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9230" yWindow="705" windowWidth="19065" windowHeight="11190" tabRatio="595" firstSheet="1" activeTab="3"/>
  </bookViews>
  <sheets>
    <sheet name="Header(source)" sheetId="1" state="hidden" r:id="rId1"/>
    <sheet name="MF PF (2)" sheetId="17" r:id="rId2"/>
    <sheet name="Summary" sheetId="11" r:id="rId3"/>
    <sheet name="Data" sheetId="7" r:id="rId4"/>
    <sheet name="Peak NAV" sheetId="13" r:id="rId5"/>
    <sheet name="SharpR" sheetId="14" r:id="rId6"/>
    <sheet name="Manual" sheetId="12" r:id="rId7"/>
    <sheet name="Performance" sheetId="9" r:id="rId8"/>
    <sheet name="Checking" sheetId="15" r:id="rId9"/>
    <sheet name="MF PF" sheetId="16" r:id="rId10"/>
  </sheets>
  <functionGroups builtInGroupCount="17"/>
  <externalReferences>
    <externalReference r:id="rId11"/>
    <externalReference r:id="rId12"/>
  </externalReferences>
  <definedNames>
    <definedName name="_xlnm._FilterDatabase" localSheetId="3" hidden="1">Data!$A$2:$AJ$4909</definedName>
    <definedName name="AG">Data!$B$4793</definedName>
    <definedName name="AUM">Data!$A$2:$AB$2489</definedName>
    <definedName name="_xlnm.Extract" localSheetId="3">Summary!$A$139</definedName>
    <definedName name="MEDate" localSheetId="3">[1]Summary!$B$3</definedName>
    <definedName name="MEDate">[2]Summary!$B$3</definedName>
    <definedName name="MonEnd" localSheetId="3">[1]ARF!$A$6:$A$544</definedName>
    <definedName name="MonEnd">[2]ARF!$A$6:$A$544</definedName>
    <definedName name="_xlnm.Print_Area" localSheetId="2">Summary!$A$1:$AD$40</definedName>
    <definedName name="Printarea2">Summary!$A$8:$AD$34</definedName>
    <definedName name="Record">Data!$A$2:$AB$5638</definedName>
  </definedNames>
  <calcPr calcId="145621"/>
  <pivotCaches>
    <pivotCache cacheId="481" r:id="rId13"/>
    <pivotCache cacheId="482" r:id="rId14"/>
    <pivotCache cacheId="483" r:id="rId15"/>
    <pivotCache cacheId="484" r:id="rId16"/>
  </pivotCaches>
</workbook>
</file>

<file path=xl/calcChain.xml><?xml version="1.0" encoding="utf-8"?>
<calcChain xmlns="http://schemas.openxmlformats.org/spreadsheetml/2006/main">
  <c r="R3030" i="7" l="1"/>
  <c r="Q3030" i="7"/>
  <c r="L3030" i="7"/>
  <c r="N3030" i="7" s="1"/>
  <c r="O3030" i="7" s="1"/>
  <c r="AF3030" i="7"/>
  <c r="AI3030" i="7" s="1"/>
  <c r="AG3030" i="7"/>
  <c r="AH3030" i="7"/>
  <c r="AJ3030" i="7"/>
  <c r="L2574" i="7"/>
  <c r="N2574" i="7" s="1"/>
  <c r="O2574" i="7" s="1"/>
  <c r="L2586" i="7"/>
  <c r="N2586" i="7"/>
  <c r="O2586" i="7" s="1"/>
  <c r="L2598" i="7"/>
  <c r="N2598" i="7"/>
  <c r="O2598" i="7" s="1"/>
  <c r="L2610" i="7"/>
  <c r="N2610" i="7" s="1"/>
  <c r="O2610" i="7" s="1"/>
  <c r="L2622" i="7"/>
  <c r="N2622" i="7" s="1"/>
  <c r="O2622" i="7" s="1"/>
  <c r="L2634" i="7"/>
  <c r="N2634" i="7" s="1"/>
  <c r="O2634" i="7" s="1"/>
  <c r="L2646" i="7"/>
  <c r="N2646" i="7" s="1"/>
  <c r="O2646" i="7" s="1"/>
  <c r="L2670" i="7"/>
  <c r="N2670" i="7" s="1"/>
  <c r="O2670" i="7" s="1"/>
  <c r="L2682" i="7"/>
  <c r="N2682" i="7" s="1"/>
  <c r="O2682" i="7" s="1"/>
  <c r="L2694" i="7"/>
  <c r="N2694" i="7" s="1"/>
  <c r="O2694" i="7" s="1"/>
  <c r="L2706" i="7"/>
  <c r="N2706" i="7" s="1"/>
  <c r="O2706" i="7" s="1"/>
  <c r="L2718" i="7"/>
  <c r="N2718" i="7" s="1"/>
  <c r="O2718" i="7" s="1"/>
  <c r="L2730" i="7"/>
  <c r="N2730" i="7" s="1"/>
  <c r="O2730" i="7" s="1"/>
  <c r="L2742" i="7"/>
  <c r="N2742" i="7" s="1"/>
  <c r="O2742" i="7" s="1"/>
  <c r="L2754" i="7"/>
  <c r="N2754" i="7" s="1"/>
  <c r="O2754" i="7" s="1"/>
  <c r="L2766" i="7"/>
  <c r="N2766" i="7" s="1"/>
  <c r="O2766" i="7" s="1"/>
  <c r="L2778" i="7"/>
  <c r="N2778" i="7" s="1"/>
  <c r="O2778" i="7" s="1"/>
  <c r="L2790" i="7"/>
  <c r="N2790" i="7" s="1"/>
  <c r="O2790" i="7" s="1"/>
  <c r="L2802" i="7"/>
  <c r="N2802" i="7" s="1"/>
  <c r="O2802" i="7" s="1"/>
  <c r="L2811" i="7"/>
  <c r="N2811" i="7" s="1"/>
  <c r="O2811" i="7" s="1"/>
  <c r="L2820" i="7"/>
  <c r="N2820" i="7" s="1"/>
  <c r="O2820" i="7" s="1"/>
  <c r="L2829" i="7"/>
  <c r="N2829" i="7" s="1"/>
  <c r="O2829" i="7" s="1"/>
  <c r="L2838" i="7"/>
  <c r="N2838" i="7" s="1"/>
  <c r="O2838" i="7" s="1"/>
  <c r="L2847" i="7"/>
  <c r="N2847" i="7" s="1"/>
  <c r="O2847" i="7" s="1"/>
  <c r="L2856" i="7"/>
  <c r="N2856" i="7" s="1"/>
  <c r="O2856" i="7" s="1"/>
  <c r="L2865" i="7"/>
  <c r="N2865" i="7" s="1"/>
  <c r="O2865" i="7" s="1"/>
  <c r="L2874" i="7"/>
  <c r="N2874" i="7" s="1"/>
  <c r="O2874" i="7" s="1"/>
  <c r="L2883" i="7"/>
  <c r="N2883" i="7" s="1"/>
  <c r="O2883" i="7" s="1"/>
  <c r="L2892" i="7"/>
  <c r="N2892" i="7" s="1"/>
  <c r="O2892" i="7" s="1"/>
  <c r="L2901" i="7"/>
  <c r="N2901" i="7" s="1"/>
  <c r="O2901" i="7" s="1"/>
  <c r="L2910" i="7"/>
  <c r="N2910" i="7" s="1"/>
  <c r="O2910" i="7" s="1"/>
  <c r="L2919" i="7"/>
  <c r="N2919" i="7" s="1"/>
  <c r="O2919" i="7" s="1"/>
  <c r="L2928" i="7"/>
  <c r="N2928" i="7" s="1"/>
  <c r="O2928" i="7" s="1"/>
  <c r="L2937" i="7"/>
  <c r="N2937" i="7"/>
  <c r="O2937" i="7" s="1"/>
  <c r="L2946" i="7"/>
  <c r="N2946" i="7" s="1"/>
  <c r="O2946" i="7" s="1"/>
  <c r="L2955" i="7"/>
  <c r="N2955" i="7" s="1"/>
  <c r="O2955" i="7" s="1"/>
  <c r="L2964" i="7"/>
  <c r="N2964" i="7" s="1"/>
  <c r="O2964" i="7" s="1"/>
  <c r="L2970" i="7"/>
  <c r="N2970" i="7" s="1"/>
  <c r="O2970" i="7" s="1"/>
  <c r="L2976" i="7"/>
  <c r="N2976" i="7" s="1"/>
  <c r="O2976" i="7" s="1"/>
  <c r="L2982" i="7"/>
  <c r="N2982" i="7" s="1"/>
  <c r="O2982" i="7" s="1"/>
  <c r="L2988" i="7"/>
  <c r="N2988" i="7" s="1"/>
  <c r="O2988" i="7" s="1"/>
  <c r="L2994" i="7"/>
  <c r="N2994" i="7" s="1"/>
  <c r="O2994" i="7" s="1"/>
  <c r="L3000" i="7"/>
  <c r="N3000" i="7" s="1"/>
  <c r="O3000" i="7" s="1"/>
  <c r="L3006" i="7"/>
  <c r="N3006" i="7" s="1"/>
  <c r="O3006" i="7" s="1"/>
  <c r="L3012" i="7"/>
  <c r="N3012" i="7" s="1"/>
  <c r="O3012" i="7" s="1"/>
  <c r="L3039" i="7"/>
  <c r="N3039" i="7" s="1"/>
  <c r="L3021" i="7"/>
  <c r="N3021" i="7" s="1"/>
  <c r="O3021" i="7" s="1"/>
  <c r="L3045" i="7"/>
  <c r="N3045" i="7" s="1"/>
  <c r="O3045" i="7" s="1"/>
  <c r="L3051" i="7"/>
  <c r="N3051" i="7" s="1"/>
  <c r="O3051" i="7" s="1"/>
  <c r="L3057" i="7"/>
  <c r="N3057" i="7" s="1"/>
  <c r="O3057" i="7" s="1"/>
  <c r="L2658" i="7"/>
  <c r="N2658" i="7" s="1"/>
  <c r="AF2574" i="7"/>
  <c r="AI2574" i="7" s="1"/>
  <c r="AG2574" i="7"/>
  <c r="AH2574" i="7"/>
  <c r="AJ2574" i="7"/>
  <c r="AF2586" i="7"/>
  <c r="AI2586" i="7" s="1"/>
  <c r="AG2586" i="7"/>
  <c r="AH2586" i="7"/>
  <c r="AJ2586" i="7"/>
  <c r="AF2598" i="7"/>
  <c r="AI2598" i="7" s="1"/>
  <c r="AG2598" i="7"/>
  <c r="AH2598" i="7"/>
  <c r="AJ2598" i="7"/>
  <c r="AF2610" i="7"/>
  <c r="AI2610" i="7" s="1"/>
  <c r="AG2610" i="7"/>
  <c r="AH2610" i="7"/>
  <c r="AJ2610" i="7"/>
  <c r="AF2622" i="7"/>
  <c r="AI2622" i="7" s="1"/>
  <c r="AG2622" i="7"/>
  <c r="AH2622" i="7"/>
  <c r="AJ2622" i="7"/>
  <c r="AF2634" i="7"/>
  <c r="AI2634" i="7" s="1"/>
  <c r="AG2634" i="7"/>
  <c r="AH2634" i="7"/>
  <c r="AJ2634" i="7"/>
  <c r="AF2646" i="7"/>
  <c r="AI2646" i="7" s="1"/>
  <c r="AG2646" i="7"/>
  <c r="AH2646" i="7"/>
  <c r="AJ2646" i="7"/>
  <c r="AF2670" i="7"/>
  <c r="AI2670" i="7" s="1"/>
  <c r="AG2670" i="7"/>
  <c r="AH2670" i="7"/>
  <c r="AJ2670" i="7"/>
  <c r="AF2682" i="7"/>
  <c r="AI2682" i="7" s="1"/>
  <c r="AG2682" i="7"/>
  <c r="AH2682" i="7"/>
  <c r="AJ2682" i="7"/>
  <c r="AF2694" i="7"/>
  <c r="AI2694" i="7" s="1"/>
  <c r="AG2694" i="7"/>
  <c r="AH2694" i="7"/>
  <c r="AJ2694" i="7"/>
  <c r="AF2706" i="7"/>
  <c r="AI2706" i="7" s="1"/>
  <c r="AG2706" i="7"/>
  <c r="AH2706" i="7"/>
  <c r="AJ2706" i="7"/>
  <c r="AF2718" i="7"/>
  <c r="AI2718" i="7" s="1"/>
  <c r="AG2718" i="7"/>
  <c r="AH2718" i="7"/>
  <c r="AJ2718" i="7"/>
  <c r="AF2730" i="7"/>
  <c r="AI2730" i="7" s="1"/>
  <c r="AG2730" i="7"/>
  <c r="AH2730" i="7"/>
  <c r="AJ2730" i="7"/>
  <c r="AF2742" i="7"/>
  <c r="AI2742" i="7" s="1"/>
  <c r="AG2742" i="7"/>
  <c r="AH2742" i="7"/>
  <c r="AJ2742" i="7"/>
  <c r="AF2754" i="7"/>
  <c r="AG2754" i="7"/>
  <c r="AH2754" i="7"/>
  <c r="AI2754" i="7"/>
  <c r="AJ2754" i="7"/>
  <c r="AF2766" i="7"/>
  <c r="AI2766" i="7" s="1"/>
  <c r="AG2766" i="7"/>
  <c r="AH2766" i="7"/>
  <c r="AJ2766" i="7"/>
  <c r="AF2778" i="7"/>
  <c r="AI2778" i="7" s="1"/>
  <c r="AG2778" i="7"/>
  <c r="AH2778" i="7"/>
  <c r="AJ2778" i="7"/>
  <c r="AF2790" i="7"/>
  <c r="AI2790" i="7" s="1"/>
  <c r="AG2790" i="7"/>
  <c r="AH2790" i="7"/>
  <c r="AJ2790" i="7"/>
  <c r="AF2802" i="7"/>
  <c r="AI2802" i="7" s="1"/>
  <c r="AG2802" i="7"/>
  <c r="AH2802" i="7"/>
  <c r="AJ2802" i="7"/>
  <c r="AF2811" i="7"/>
  <c r="AI2811" i="7" s="1"/>
  <c r="AG2811" i="7"/>
  <c r="AH2811" i="7"/>
  <c r="AJ2811" i="7"/>
  <c r="AF2820" i="7"/>
  <c r="AI2820" i="7" s="1"/>
  <c r="AG2820" i="7"/>
  <c r="AH2820" i="7"/>
  <c r="AJ2820" i="7"/>
  <c r="AF2829" i="7"/>
  <c r="AI2829" i="7" s="1"/>
  <c r="AG2829" i="7"/>
  <c r="AH2829" i="7"/>
  <c r="AJ2829" i="7"/>
  <c r="AF2838" i="7"/>
  <c r="AI2838" i="7" s="1"/>
  <c r="AG2838" i="7"/>
  <c r="AH2838" i="7"/>
  <c r="AJ2838" i="7"/>
  <c r="AF2847" i="7"/>
  <c r="AI2847" i="7" s="1"/>
  <c r="AG2847" i="7"/>
  <c r="AH2847" i="7"/>
  <c r="AJ2847" i="7"/>
  <c r="AF2856" i="7"/>
  <c r="AG2856" i="7"/>
  <c r="AH2856" i="7"/>
  <c r="AI2856" i="7"/>
  <c r="AJ2856" i="7"/>
  <c r="AF2865" i="7"/>
  <c r="AI2865" i="7" s="1"/>
  <c r="AG2865" i="7"/>
  <c r="AH2865" i="7"/>
  <c r="AJ2865" i="7"/>
  <c r="AF2874" i="7"/>
  <c r="AI2874" i="7" s="1"/>
  <c r="AG2874" i="7"/>
  <c r="AH2874" i="7"/>
  <c r="AJ2874" i="7"/>
  <c r="AF2883" i="7"/>
  <c r="AI2883" i="7" s="1"/>
  <c r="AG2883" i="7"/>
  <c r="AH2883" i="7"/>
  <c r="AJ2883" i="7"/>
  <c r="AF2892" i="7"/>
  <c r="AI2892" i="7" s="1"/>
  <c r="AG2892" i="7"/>
  <c r="AH2892" i="7"/>
  <c r="AJ2892" i="7"/>
  <c r="AF2901" i="7"/>
  <c r="AI2901" i="7" s="1"/>
  <c r="AG2901" i="7"/>
  <c r="AH2901" i="7"/>
  <c r="AJ2901" i="7"/>
  <c r="AF2910" i="7"/>
  <c r="AI2910" i="7" s="1"/>
  <c r="AG2910" i="7"/>
  <c r="AH2910" i="7"/>
  <c r="AJ2910" i="7"/>
  <c r="AF2919" i="7"/>
  <c r="AI2919" i="7" s="1"/>
  <c r="AG2919" i="7"/>
  <c r="AH2919" i="7"/>
  <c r="AJ2919" i="7"/>
  <c r="AF2928" i="7"/>
  <c r="AI2928" i="7" s="1"/>
  <c r="AG2928" i="7"/>
  <c r="AH2928" i="7"/>
  <c r="AJ2928" i="7"/>
  <c r="AF2937" i="7"/>
  <c r="AI2937" i="7" s="1"/>
  <c r="AG2937" i="7"/>
  <c r="AH2937" i="7"/>
  <c r="AJ2937" i="7"/>
  <c r="AF2946" i="7"/>
  <c r="AI2946" i="7" s="1"/>
  <c r="AG2946" i="7"/>
  <c r="AH2946" i="7"/>
  <c r="AJ2946" i="7"/>
  <c r="AF2955" i="7"/>
  <c r="AI2955" i="7" s="1"/>
  <c r="AG2955" i="7"/>
  <c r="AH2955" i="7"/>
  <c r="AJ2955" i="7"/>
  <c r="AF2964" i="7"/>
  <c r="AI2964" i="7" s="1"/>
  <c r="AG2964" i="7"/>
  <c r="AH2964" i="7"/>
  <c r="AJ2964" i="7"/>
  <c r="AF2970" i="7"/>
  <c r="AI2970" i="7" s="1"/>
  <c r="AG2970" i="7"/>
  <c r="AH2970" i="7"/>
  <c r="AJ2970" i="7"/>
  <c r="AF2976" i="7"/>
  <c r="AI2976" i="7" s="1"/>
  <c r="AG2976" i="7"/>
  <c r="AH2976" i="7"/>
  <c r="AJ2976" i="7"/>
  <c r="AF2982" i="7"/>
  <c r="AI2982" i="7" s="1"/>
  <c r="AG2982" i="7"/>
  <c r="AH2982" i="7"/>
  <c r="AJ2982" i="7"/>
  <c r="AF2988" i="7"/>
  <c r="AI2988" i="7" s="1"/>
  <c r="AG2988" i="7"/>
  <c r="AH2988" i="7"/>
  <c r="AJ2988" i="7"/>
  <c r="AF2994" i="7"/>
  <c r="AI2994" i="7" s="1"/>
  <c r="AG2994" i="7"/>
  <c r="AH2994" i="7"/>
  <c r="AJ2994" i="7"/>
  <c r="AF3000" i="7"/>
  <c r="AI3000" i="7" s="1"/>
  <c r="AG3000" i="7"/>
  <c r="AH3000" i="7"/>
  <c r="AJ3000" i="7"/>
  <c r="AF3006" i="7"/>
  <c r="AI3006" i="7" s="1"/>
  <c r="AG3006" i="7"/>
  <c r="AH3006" i="7"/>
  <c r="AJ3006" i="7"/>
  <c r="AF3012" i="7"/>
  <c r="AI3012" i="7" s="1"/>
  <c r="AG3012" i="7"/>
  <c r="AH3012" i="7"/>
  <c r="AJ3012" i="7"/>
  <c r="AF3039" i="7"/>
  <c r="AI3039" i="7" s="1"/>
  <c r="AG3039" i="7"/>
  <c r="AH3039" i="7"/>
  <c r="AJ3039" i="7"/>
  <c r="AF3021" i="7"/>
  <c r="AI3021" i="7" s="1"/>
  <c r="AG3021" i="7"/>
  <c r="AH3021" i="7"/>
  <c r="AJ3021" i="7"/>
  <c r="AF3045" i="7"/>
  <c r="AI3045" i="7" s="1"/>
  <c r="AG3045" i="7"/>
  <c r="AH3045" i="7"/>
  <c r="AJ3045" i="7"/>
  <c r="AF3051" i="7"/>
  <c r="AI3051" i="7" s="1"/>
  <c r="AG3051" i="7"/>
  <c r="AH3051" i="7"/>
  <c r="AJ3051" i="7"/>
  <c r="AF3057" i="7"/>
  <c r="AI3057" i="7" s="1"/>
  <c r="AG3057" i="7"/>
  <c r="AH3057" i="7"/>
  <c r="AJ3057" i="7"/>
  <c r="AJ2658" i="7"/>
  <c r="AI2658" i="7"/>
  <c r="AH2658" i="7"/>
  <c r="AG2658" i="7"/>
  <c r="AF2658" i="7"/>
  <c r="M2610" i="7"/>
  <c r="M2730" i="7"/>
  <c r="M3000" i="7"/>
  <c r="M3051" i="7"/>
  <c r="M2778" i="7"/>
  <c r="M3021" i="7"/>
  <c r="M3045" i="7"/>
  <c r="M2622" i="7"/>
  <c r="M2937" i="7"/>
  <c r="M2982" i="7"/>
  <c r="M3057" i="7"/>
  <c r="M2829" i="7"/>
  <c r="M2892" i="7"/>
  <c r="M2994" i="7"/>
  <c r="M2718" i="7"/>
  <c r="M2883" i="7"/>
  <c r="M3006" i="7"/>
  <c r="M2742" i="7"/>
  <c r="M2646" i="7"/>
  <c r="M2955" i="7"/>
  <c r="M2670" i="7"/>
  <c r="M2928" i="7"/>
  <c r="M2976" i="7"/>
  <c r="M2970" i="7"/>
  <c r="M2586" i="7"/>
  <c r="M3012" i="7"/>
  <c r="M2847" i="7"/>
  <c r="M2694" i="7"/>
  <c r="M2754" i="7"/>
  <c r="M2802" i="7"/>
  <c r="M2856" i="7"/>
  <c r="M3039" i="7"/>
  <c r="M2865" i="7"/>
  <c r="M2910" i="7"/>
  <c r="M3030" i="7"/>
  <c r="M2901" i="7"/>
  <c r="M2946" i="7"/>
  <c r="M2988" i="7"/>
  <c r="M2790" i="7"/>
  <c r="M2838" i="7"/>
  <c r="M2811" i="7"/>
  <c r="M2634" i="7"/>
  <c r="M2706" i="7"/>
  <c r="M2574" i="7"/>
  <c r="M2874" i="7"/>
  <c r="M2964" i="7"/>
  <c r="M2598" i="7"/>
  <c r="M2820" i="7"/>
  <c r="M2682" i="7"/>
  <c r="M2919" i="7"/>
  <c r="M2766" i="7"/>
  <c r="M2658" i="7"/>
  <c r="AJ1944" i="7" l="1"/>
  <c r="AH1944" i="7"/>
  <c r="AG1944" i="7"/>
  <c r="AF1944" i="7"/>
  <c r="AI1944" i="7" s="1"/>
  <c r="AJ1654" i="7"/>
  <c r="AH1654" i="7"/>
  <c r="AG1654" i="7"/>
  <c r="AF1654" i="7"/>
  <c r="AI1654" i="7" s="1"/>
  <c r="AJ1608" i="7"/>
  <c r="AH1608" i="7"/>
  <c r="AG1608" i="7"/>
  <c r="AF1608" i="7"/>
  <c r="AI1608" i="7" s="1"/>
  <c r="AJ1562" i="7"/>
  <c r="AH1562" i="7"/>
  <c r="AG1562" i="7"/>
  <c r="AF1562" i="7"/>
  <c r="AI1562" i="7" s="1"/>
  <c r="AJ1516" i="7"/>
  <c r="AH1516" i="7"/>
  <c r="AG1516" i="7"/>
  <c r="AF1516" i="7"/>
  <c r="AI1516" i="7" s="1"/>
  <c r="AJ1470" i="7"/>
  <c r="AH1470" i="7"/>
  <c r="AG1470" i="7"/>
  <c r="AF1470" i="7"/>
  <c r="AI1470" i="7" s="1"/>
  <c r="AJ1378" i="7"/>
  <c r="AH1378" i="7"/>
  <c r="AG1378" i="7"/>
  <c r="AF1378" i="7"/>
  <c r="AI1378" i="7" s="1"/>
  <c r="AJ1424" i="7"/>
  <c r="AH1424" i="7"/>
  <c r="AG1424" i="7"/>
  <c r="AF1424" i="7"/>
  <c r="AI1424" i="7" s="1"/>
  <c r="AJ1174" i="7"/>
  <c r="AH1174" i="7"/>
  <c r="AG1174" i="7"/>
  <c r="AF1174" i="7"/>
  <c r="AI1174" i="7" s="1"/>
  <c r="AJ1228" i="7"/>
  <c r="AH1228" i="7"/>
  <c r="AG1228" i="7"/>
  <c r="AF1228" i="7"/>
  <c r="AI1228" i="7" s="1"/>
  <c r="AJ1227" i="7"/>
  <c r="AH1227" i="7"/>
  <c r="AG1227" i="7"/>
  <c r="AF1227" i="7"/>
  <c r="AI1227" i="7" s="1"/>
  <c r="AJ1332" i="7"/>
  <c r="AH1332" i="7"/>
  <c r="AG1332" i="7"/>
  <c r="AF1332" i="7"/>
  <c r="AI1332" i="7" s="1"/>
  <c r="AJ1280" i="7"/>
  <c r="AH1280" i="7"/>
  <c r="AG1280" i="7"/>
  <c r="AF1280" i="7"/>
  <c r="AI1280" i="7" s="1"/>
  <c r="AJ1122" i="7"/>
  <c r="AH1122" i="7"/>
  <c r="AG1122" i="7"/>
  <c r="AF1122" i="7"/>
  <c r="AI1122" i="7" s="1"/>
  <c r="AJ1070" i="7"/>
  <c r="AH1070" i="7"/>
  <c r="AG1070" i="7"/>
  <c r="AF1070" i="7"/>
  <c r="AI1070" i="7" s="1"/>
  <c r="AJ1898" i="7"/>
  <c r="AH1898" i="7"/>
  <c r="AG1898" i="7"/>
  <c r="AF1898" i="7"/>
  <c r="AI1898" i="7" s="1"/>
  <c r="AJ1840" i="7"/>
  <c r="AH1840" i="7"/>
  <c r="AG1840" i="7"/>
  <c r="AF1840" i="7"/>
  <c r="AI1840" i="7" s="1"/>
  <c r="AJ1018" i="7"/>
  <c r="AH1018" i="7"/>
  <c r="AG1018" i="7"/>
  <c r="AF1018" i="7"/>
  <c r="AI1018" i="7" s="1"/>
  <c r="AJ960" i="7"/>
  <c r="AH960" i="7"/>
  <c r="AG960" i="7"/>
  <c r="AF960" i="7"/>
  <c r="AI960" i="7" s="1"/>
  <c r="AJ902" i="7"/>
  <c r="AH902" i="7"/>
  <c r="AG902" i="7"/>
  <c r="AF902" i="7"/>
  <c r="AI902" i="7" s="1"/>
  <c r="AJ844" i="7"/>
  <c r="AH844" i="7"/>
  <c r="AG844" i="7"/>
  <c r="AF844" i="7"/>
  <c r="AI844" i="7" s="1"/>
  <c r="AJ1782" i="7"/>
  <c r="AH1782" i="7"/>
  <c r="AG1782" i="7"/>
  <c r="AF1782" i="7"/>
  <c r="AI1782" i="7" s="1"/>
  <c r="AJ1718" i="7"/>
  <c r="AH1718" i="7"/>
  <c r="AG1718" i="7"/>
  <c r="AF1718" i="7"/>
  <c r="AI1718" i="7" s="1"/>
  <c r="AJ786" i="7"/>
  <c r="AH786" i="7"/>
  <c r="AG786" i="7"/>
  <c r="AF786" i="7"/>
  <c r="AI786" i="7" s="1"/>
  <c r="AJ451" i="7"/>
  <c r="AH451" i="7"/>
  <c r="AG451" i="7"/>
  <c r="AF451" i="7"/>
  <c r="AI451" i="7" s="1"/>
  <c r="AJ722" i="7"/>
  <c r="AH722" i="7"/>
  <c r="AG722" i="7"/>
  <c r="AF722" i="7"/>
  <c r="AI722" i="7" s="1"/>
  <c r="AJ656" i="7"/>
  <c r="AH656" i="7"/>
  <c r="AG656" i="7"/>
  <c r="AF656" i="7"/>
  <c r="AI656" i="7" s="1"/>
  <c r="AJ590" i="7"/>
  <c r="AH590" i="7"/>
  <c r="AG590" i="7"/>
  <c r="AF590" i="7"/>
  <c r="AI590" i="7" s="1"/>
  <c r="AJ387" i="7"/>
  <c r="AH387" i="7"/>
  <c r="AG387" i="7"/>
  <c r="AF387" i="7"/>
  <c r="AI387" i="7" s="1"/>
  <c r="AJ386" i="7"/>
  <c r="AH386" i="7"/>
  <c r="AG386" i="7"/>
  <c r="AF386" i="7"/>
  <c r="AI386" i="7" s="1"/>
  <c r="AJ524" i="7"/>
  <c r="AH524" i="7"/>
  <c r="AG524" i="7"/>
  <c r="AF524" i="7"/>
  <c r="AI524" i="7" s="1"/>
  <c r="AJ517" i="7"/>
  <c r="AH517" i="7"/>
  <c r="AG517" i="7"/>
  <c r="AF517" i="7"/>
  <c r="AI517" i="7" s="1"/>
  <c r="AJ1942" i="7"/>
  <c r="AH1942" i="7"/>
  <c r="AG1942" i="7"/>
  <c r="AF1942" i="7"/>
  <c r="AI1942" i="7" s="1"/>
  <c r="AJ1652" i="7"/>
  <c r="AH1652" i="7"/>
  <c r="AG1652" i="7"/>
  <c r="AF1652" i="7"/>
  <c r="AI1652" i="7" s="1"/>
  <c r="AJ1606" i="7"/>
  <c r="AH1606" i="7"/>
  <c r="AG1606" i="7"/>
  <c r="AF1606" i="7"/>
  <c r="AI1606" i="7" s="1"/>
  <c r="AJ1560" i="7"/>
  <c r="AH1560" i="7"/>
  <c r="AG1560" i="7"/>
  <c r="AF1560" i="7"/>
  <c r="AI1560" i="7" s="1"/>
  <c r="AJ1514" i="7"/>
  <c r="AH1514" i="7"/>
  <c r="AG1514" i="7"/>
  <c r="AF1514" i="7"/>
  <c r="AI1514" i="7" s="1"/>
  <c r="AJ1468" i="7"/>
  <c r="AH1468" i="7"/>
  <c r="AG1468" i="7"/>
  <c r="AF1468" i="7"/>
  <c r="AI1468" i="7" s="1"/>
  <c r="AJ1376" i="7"/>
  <c r="AH1376" i="7"/>
  <c r="AG1376" i="7"/>
  <c r="AF1376" i="7"/>
  <c r="AI1376" i="7" s="1"/>
  <c r="AJ1422" i="7"/>
  <c r="AH1422" i="7"/>
  <c r="AG1422" i="7"/>
  <c r="AF1422" i="7"/>
  <c r="AI1422" i="7" s="1"/>
  <c r="AJ1172" i="7"/>
  <c r="AH1172" i="7"/>
  <c r="AG1172" i="7"/>
  <c r="AF1172" i="7"/>
  <c r="AI1172" i="7" s="1"/>
  <c r="AJ1225" i="7"/>
  <c r="AH1225" i="7"/>
  <c r="AG1225" i="7"/>
  <c r="AF1225" i="7"/>
  <c r="AI1225" i="7" s="1"/>
  <c r="AJ1224" i="7"/>
  <c r="AH1224" i="7"/>
  <c r="AG1224" i="7"/>
  <c r="AF1224" i="7"/>
  <c r="AI1224" i="7" s="1"/>
  <c r="AJ1330" i="7"/>
  <c r="AH1330" i="7"/>
  <c r="AG1330" i="7"/>
  <c r="AF1330" i="7"/>
  <c r="AI1330" i="7" s="1"/>
  <c r="AJ1278" i="7"/>
  <c r="AH1278" i="7"/>
  <c r="AG1278" i="7"/>
  <c r="AF1278" i="7"/>
  <c r="AI1278" i="7" s="1"/>
  <c r="AJ1120" i="7"/>
  <c r="AH1120" i="7"/>
  <c r="AG1120" i="7"/>
  <c r="AF1120" i="7"/>
  <c r="AI1120" i="7" s="1"/>
  <c r="AJ1068" i="7"/>
  <c r="AH1068" i="7"/>
  <c r="AG1068" i="7"/>
  <c r="AF1068" i="7"/>
  <c r="AI1068" i="7" s="1"/>
  <c r="AJ1896" i="7"/>
  <c r="AH1896" i="7"/>
  <c r="AG1896" i="7"/>
  <c r="AF1896" i="7"/>
  <c r="AI1896" i="7" s="1"/>
  <c r="AJ1838" i="7"/>
  <c r="AH1838" i="7"/>
  <c r="AG1838" i="7"/>
  <c r="AF1838" i="7"/>
  <c r="AI1838" i="7" s="1"/>
  <c r="AJ1016" i="7"/>
  <c r="AH1016" i="7"/>
  <c r="AG1016" i="7"/>
  <c r="AF1016" i="7"/>
  <c r="AI1016" i="7" s="1"/>
  <c r="AJ958" i="7"/>
  <c r="AH958" i="7"/>
  <c r="AG958" i="7"/>
  <c r="AF958" i="7"/>
  <c r="AI958" i="7" s="1"/>
  <c r="AJ900" i="7"/>
  <c r="AH900" i="7"/>
  <c r="AG900" i="7"/>
  <c r="AF900" i="7"/>
  <c r="AI900" i="7" s="1"/>
  <c r="AJ842" i="7"/>
  <c r="AH842" i="7"/>
  <c r="AG842" i="7"/>
  <c r="AF842" i="7"/>
  <c r="AI842" i="7" s="1"/>
  <c r="AJ1780" i="7"/>
  <c r="AH1780" i="7"/>
  <c r="AG1780" i="7"/>
  <c r="AF1780" i="7"/>
  <c r="AI1780" i="7" s="1"/>
  <c r="AJ1716" i="7"/>
  <c r="AH1716" i="7"/>
  <c r="AG1716" i="7"/>
  <c r="AF1716" i="7"/>
  <c r="AI1716" i="7" s="1"/>
  <c r="AJ784" i="7"/>
  <c r="AH784" i="7"/>
  <c r="AG784" i="7"/>
  <c r="AF784" i="7"/>
  <c r="AI784" i="7" s="1"/>
  <c r="AJ449" i="7"/>
  <c r="AH449" i="7"/>
  <c r="AG449" i="7"/>
  <c r="AF449" i="7"/>
  <c r="AI449" i="7" s="1"/>
  <c r="AJ720" i="7"/>
  <c r="AH720" i="7"/>
  <c r="AG720" i="7"/>
  <c r="AF720" i="7"/>
  <c r="AI720" i="7" s="1"/>
  <c r="AJ654" i="7"/>
  <c r="AH654" i="7"/>
  <c r="AG654" i="7"/>
  <c r="AF654" i="7"/>
  <c r="AI654" i="7" s="1"/>
  <c r="AJ588" i="7"/>
  <c r="AH588" i="7"/>
  <c r="AG588" i="7"/>
  <c r="AF588" i="7"/>
  <c r="AI588" i="7" s="1"/>
  <c r="AJ384" i="7"/>
  <c r="AH384" i="7"/>
  <c r="AG384" i="7"/>
  <c r="AF384" i="7"/>
  <c r="AI384" i="7" s="1"/>
  <c r="AJ383" i="7"/>
  <c r="AH383" i="7"/>
  <c r="AG383" i="7"/>
  <c r="AF383" i="7"/>
  <c r="AI383" i="7" s="1"/>
  <c r="AJ522" i="7"/>
  <c r="AH522" i="7"/>
  <c r="AG522" i="7"/>
  <c r="AF522" i="7"/>
  <c r="AI522" i="7" s="1"/>
  <c r="AJ515" i="7"/>
  <c r="AH515" i="7"/>
  <c r="AG515" i="7"/>
  <c r="AF515" i="7"/>
  <c r="AI515" i="7" s="1"/>
  <c r="L1606" i="7"/>
  <c r="N1606" i="7" s="1"/>
  <c r="O1606" i="7" s="1"/>
  <c r="L1652" i="7"/>
  <c r="N1652" i="7" s="1"/>
  <c r="O1652" i="7" s="1"/>
  <c r="L1942" i="7"/>
  <c r="N1942" i="7" s="1"/>
  <c r="O1942" i="7" s="1"/>
  <c r="L517" i="7"/>
  <c r="N517" i="7"/>
  <c r="O517" i="7" s="1"/>
  <c r="L524" i="7"/>
  <c r="N524" i="7" s="1"/>
  <c r="O524" i="7" s="1"/>
  <c r="L386" i="7"/>
  <c r="N386" i="7" s="1"/>
  <c r="O386" i="7" s="1"/>
  <c r="L387" i="7"/>
  <c r="N387" i="7" s="1"/>
  <c r="O387" i="7" s="1"/>
  <c r="L590" i="7"/>
  <c r="N590" i="7" s="1"/>
  <c r="O590" i="7" s="1"/>
  <c r="L656" i="7"/>
  <c r="N656" i="7" s="1"/>
  <c r="O656" i="7" s="1"/>
  <c r="L722" i="7"/>
  <c r="N722" i="7" s="1"/>
  <c r="O722" i="7" s="1"/>
  <c r="L451" i="7"/>
  <c r="N451" i="7" s="1"/>
  <c r="O451" i="7" s="1"/>
  <c r="L786" i="7"/>
  <c r="N786" i="7" s="1"/>
  <c r="O786" i="7" s="1"/>
  <c r="L1718" i="7"/>
  <c r="N1718" i="7" s="1"/>
  <c r="O1718" i="7" s="1"/>
  <c r="L1782" i="7"/>
  <c r="N1782" i="7" s="1"/>
  <c r="O1782" i="7" s="1"/>
  <c r="L844" i="7"/>
  <c r="N844" i="7" s="1"/>
  <c r="O844" i="7" s="1"/>
  <c r="L902" i="7"/>
  <c r="N902" i="7" s="1"/>
  <c r="O902" i="7" s="1"/>
  <c r="L960" i="7"/>
  <c r="N960" i="7" s="1"/>
  <c r="O960" i="7" s="1"/>
  <c r="L1018" i="7"/>
  <c r="N1018" i="7" s="1"/>
  <c r="O1018" i="7" s="1"/>
  <c r="L1840" i="7"/>
  <c r="N1840" i="7" s="1"/>
  <c r="O1840" i="7" s="1"/>
  <c r="L1898" i="7"/>
  <c r="N1898" i="7" s="1"/>
  <c r="O1898" i="7" s="1"/>
  <c r="L1070" i="7"/>
  <c r="N1070" i="7" s="1"/>
  <c r="O1070" i="7" s="1"/>
  <c r="L1122" i="7"/>
  <c r="N1122" i="7" s="1"/>
  <c r="O1122" i="7" s="1"/>
  <c r="L1280" i="7"/>
  <c r="N1280" i="7"/>
  <c r="O1280" i="7" s="1"/>
  <c r="L1332" i="7"/>
  <c r="N1332" i="7" s="1"/>
  <c r="O1332" i="7" s="1"/>
  <c r="L1227" i="7"/>
  <c r="N1227" i="7" s="1"/>
  <c r="O1227" i="7" s="1"/>
  <c r="L1228" i="7"/>
  <c r="N1228" i="7" s="1"/>
  <c r="O1228" i="7" s="1"/>
  <c r="L1174" i="7"/>
  <c r="N1174" i="7" s="1"/>
  <c r="O1174" i="7" s="1"/>
  <c r="L1424" i="7"/>
  <c r="N1424" i="7" s="1"/>
  <c r="O1424" i="7" s="1"/>
  <c r="L1378" i="7"/>
  <c r="N1378" i="7" s="1"/>
  <c r="O1378" i="7" s="1"/>
  <c r="L1470" i="7"/>
  <c r="N1470" i="7" s="1"/>
  <c r="O1470" i="7" s="1"/>
  <c r="L1516" i="7"/>
  <c r="N1516" i="7" s="1"/>
  <c r="O1516" i="7" s="1"/>
  <c r="L1562" i="7"/>
  <c r="N1562" i="7" s="1"/>
  <c r="O1562" i="7" s="1"/>
  <c r="L1608" i="7"/>
  <c r="N1608" i="7" s="1"/>
  <c r="O1608" i="7" s="1"/>
  <c r="L1654" i="7"/>
  <c r="N1654" i="7" s="1"/>
  <c r="O1654" i="7" s="1"/>
  <c r="L1944" i="7"/>
  <c r="N1944" i="7" s="1"/>
  <c r="O1944" i="7" s="1"/>
  <c r="L1560" i="7"/>
  <c r="N1560" i="7" s="1"/>
  <c r="O1560" i="7" s="1"/>
  <c r="L1514" i="7"/>
  <c r="N1514" i="7" s="1"/>
  <c r="O1514" i="7" s="1"/>
  <c r="L1468" i="7"/>
  <c r="N1468" i="7" s="1"/>
  <c r="O1468" i="7" s="1"/>
  <c r="L1376" i="7"/>
  <c r="N1376" i="7" s="1"/>
  <c r="O1376" i="7" s="1"/>
  <c r="L1422" i="7"/>
  <c r="N1422" i="7" s="1"/>
  <c r="O1422" i="7" s="1"/>
  <c r="L1172" i="7"/>
  <c r="N1172" i="7" s="1"/>
  <c r="O1172" i="7" s="1"/>
  <c r="L1225" i="7"/>
  <c r="N1225" i="7" s="1"/>
  <c r="O1225" i="7" s="1"/>
  <c r="L1224" i="7"/>
  <c r="N1224" i="7" s="1"/>
  <c r="O1224" i="7" s="1"/>
  <c r="L1330" i="7"/>
  <c r="N1330" i="7" s="1"/>
  <c r="O1330" i="7" s="1"/>
  <c r="L1278" i="7"/>
  <c r="N1278" i="7" s="1"/>
  <c r="O1278" i="7" s="1"/>
  <c r="L1120" i="7"/>
  <c r="N1120" i="7" s="1"/>
  <c r="O1120" i="7" s="1"/>
  <c r="L1068" i="7"/>
  <c r="N1068" i="7" s="1"/>
  <c r="O1068" i="7" s="1"/>
  <c r="L1896" i="7"/>
  <c r="N1896" i="7" s="1"/>
  <c r="O1896" i="7" s="1"/>
  <c r="L1838" i="7"/>
  <c r="N1838" i="7" s="1"/>
  <c r="O1838" i="7" s="1"/>
  <c r="L1016" i="7"/>
  <c r="N1016" i="7" s="1"/>
  <c r="O1016" i="7" s="1"/>
  <c r="L958" i="7"/>
  <c r="N958" i="7" s="1"/>
  <c r="O958" i="7" s="1"/>
  <c r="L900" i="7"/>
  <c r="N900" i="7" s="1"/>
  <c r="O900" i="7" s="1"/>
  <c r="L842" i="7"/>
  <c r="N842" i="7" s="1"/>
  <c r="O842" i="7" s="1"/>
  <c r="L1780" i="7"/>
  <c r="N1780" i="7" s="1"/>
  <c r="O1780" i="7" s="1"/>
  <c r="L1716" i="7"/>
  <c r="N1716" i="7" s="1"/>
  <c r="O1716" i="7" s="1"/>
  <c r="L784" i="7"/>
  <c r="N784" i="7" s="1"/>
  <c r="O784" i="7" s="1"/>
  <c r="L449" i="7"/>
  <c r="N449" i="7" s="1"/>
  <c r="O449" i="7" s="1"/>
  <c r="L720" i="7"/>
  <c r="N720" i="7" s="1"/>
  <c r="O720" i="7" s="1"/>
  <c r="L654" i="7"/>
  <c r="N654" i="7" s="1"/>
  <c r="O654" i="7" s="1"/>
  <c r="L588" i="7"/>
  <c r="N588" i="7" s="1"/>
  <c r="O588" i="7" s="1"/>
  <c r="L384" i="7"/>
  <c r="N384" i="7" s="1"/>
  <c r="O384" i="7" s="1"/>
  <c r="L383" i="7"/>
  <c r="N383" i="7" s="1"/>
  <c r="O383" i="7" s="1"/>
  <c r="L522" i="7"/>
  <c r="N522" i="7" s="1"/>
  <c r="L515" i="7"/>
  <c r="N515" i="7" s="1"/>
  <c r="AH2561" i="7"/>
  <c r="AH2545" i="7"/>
  <c r="AH2529" i="7"/>
  <c r="AH2513" i="7"/>
  <c r="AH2497" i="7"/>
  <c r="AH2481" i="7"/>
  <c r="AH2465" i="7"/>
  <c r="AH2449" i="7"/>
  <c r="AH2433" i="7"/>
  <c r="AH2410" i="7"/>
  <c r="AH2387" i="7"/>
  <c r="AH2364" i="7"/>
  <c r="AH2341" i="7"/>
  <c r="AH2318" i="7"/>
  <c r="AH2280" i="7"/>
  <c r="AH2253" i="7"/>
  <c r="AH2226" i="7"/>
  <c r="AH2188" i="7"/>
  <c r="AH2151" i="7"/>
  <c r="AH2114" i="7"/>
  <c r="AH2077" i="7"/>
  <c r="AH2032" i="7"/>
  <c r="AH1988" i="7"/>
  <c r="AH1943" i="7"/>
  <c r="AH1897" i="7"/>
  <c r="AH1839" i="7"/>
  <c r="AH1781" i="7"/>
  <c r="AH1717" i="7"/>
  <c r="AH1653" i="7"/>
  <c r="AH1607" i="7"/>
  <c r="AH1561" i="7"/>
  <c r="AH1515" i="7"/>
  <c r="AH1469" i="7"/>
  <c r="AH1423" i="7"/>
  <c r="AH1377" i="7"/>
  <c r="AH1331" i="7"/>
  <c r="AH1279" i="7"/>
  <c r="AH1226" i="7"/>
  <c r="AH1173" i="7"/>
  <c r="AH1121" i="7"/>
  <c r="AH1069" i="7"/>
  <c r="AH1017" i="7"/>
  <c r="AH959" i="7"/>
  <c r="AH901" i="7"/>
  <c r="AH843" i="7"/>
  <c r="AH785" i="7"/>
  <c r="AH721" i="7"/>
  <c r="AH655" i="7"/>
  <c r="AH589" i="7"/>
  <c r="AH523" i="7"/>
  <c r="AH516" i="7"/>
  <c r="AH450" i="7"/>
  <c r="AH385" i="7"/>
  <c r="M1782" i="7"/>
  <c r="M1944" i="7"/>
  <c r="M1225" i="7"/>
  <c r="M960" i="7"/>
  <c r="M1606" i="7"/>
  <c r="M1172" i="7"/>
  <c r="M386" i="7"/>
  <c r="M1332" i="7"/>
  <c r="M522" i="7"/>
  <c r="M1838" i="7"/>
  <c r="M1560" i="7"/>
  <c r="M1468" i="7"/>
  <c r="M1780" i="7"/>
  <c r="M1174" i="7"/>
  <c r="M1068" i="7"/>
  <c r="M1422" i="7"/>
  <c r="M1840" i="7"/>
  <c r="M1562" i="7"/>
  <c r="M784" i="7"/>
  <c r="M722" i="7"/>
  <c r="M958" i="7"/>
  <c r="M654" i="7"/>
  <c r="M900" i="7"/>
  <c r="M1018" i="7"/>
  <c r="M524" i="7"/>
  <c r="M656" i="7"/>
  <c r="M842" i="7"/>
  <c r="M1122" i="7"/>
  <c r="M1654" i="7"/>
  <c r="M1227" i="7"/>
  <c r="M1718" i="7"/>
  <c r="M1424" i="7"/>
  <c r="M588" i="7"/>
  <c r="M1608" i="7"/>
  <c r="M1070" i="7"/>
  <c r="M1120" i="7"/>
  <c r="M1942" i="7"/>
  <c r="M387" i="7"/>
  <c r="M786" i="7"/>
  <c r="M1330" i="7"/>
  <c r="M517" i="7"/>
  <c r="M1016" i="7"/>
  <c r="M1898" i="7"/>
  <c r="M1514" i="7"/>
  <c r="M1376" i="7"/>
  <c r="M1896" i="7"/>
  <c r="M1278" i="7"/>
  <c r="M449" i="7"/>
  <c r="M720" i="7"/>
  <c r="M1280" i="7"/>
  <c r="M1716" i="7"/>
  <c r="M515" i="7"/>
  <c r="M1378" i="7"/>
  <c r="M1516" i="7"/>
  <c r="M1470" i="7"/>
  <c r="M1224" i="7"/>
  <c r="M384" i="7"/>
  <c r="M1228" i="7"/>
  <c r="M902" i="7"/>
  <c r="M844" i="7"/>
  <c r="M451" i="7"/>
  <c r="M383" i="7"/>
  <c r="M1652" i="7"/>
  <c r="M590" i="7"/>
  <c r="AJ2561" i="7" l="1"/>
  <c r="AG2561" i="7"/>
  <c r="AF2561" i="7"/>
  <c r="AI2561" i="7" s="1"/>
  <c r="L2561" i="7"/>
  <c r="N2561" i="7" s="1"/>
  <c r="AJ2545" i="7"/>
  <c r="AG2545" i="7"/>
  <c r="AF2545" i="7"/>
  <c r="AI2545" i="7" s="1"/>
  <c r="L2545" i="7"/>
  <c r="AJ2529" i="7"/>
  <c r="AG2529" i="7"/>
  <c r="AF2529" i="7"/>
  <c r="AI2529" i="7" s="1"/>
  <c r="L2529" i="7"/>
  <c r="AJ2513" i="7"/>
  <c r="AG2513" i="7"/>
  <c r="AF2513" i="7"/>
  <c r="AI2513" i="7" s="1"/>
  <c r="L2513" i="7"/>
  <c r="AJ2497" i="7"/>
  <c r="AG2497" i="7"/>
  <c r="AF2497" i="7"/>
  <c r="AI2497" i="7" s="1"/>
  <c r="L2497" i="7"/>
  <c r="AJ2481" i="7"/>
  <c r="AG2481" i="7"/>
  <c r="AF2481" i="7"/>
  <c r="AI2481" i="7" s="1"/>
  <c r="L2481" i="7"/>
  <c r="AJ2465" i="7"/>
  <c r="AG2465" i="7"/>
  <c r="AF2465" i="7"/>
  <c r="AI2465" i="7" s="1"/>
  <c r="L2465" i="7"/>
  <c r="AJ2449" i="7"/>
  <c r="AG2449" i="7"/>
  <c r="AF2449" i="7"/>
  <c r="AI2449" i="7" s="1"/>
  <c r="L2449" i="7"/>
  <c r="AJ2433" i="7"/>
  <c r="AG2433" i="7"/>
  <c r="AF2433" i="7"/>
  <c r="AI2433" i="7" s="1"/>
  <c r="L2433" i="7"/>
  <c r="N2433" i="7" s="1"/>
  <c r="AJ2410" i="7"/>
  <c r="AG2410" i="7"/>
  <c r="AF2410" i="7"/>
  <c r="AI2410" i="7" s="1"/>
  <c r="L2410" i="7"/>
  <c r="AJ2387" i="7"/>
  <c r="AG2387" i="7"/>
  <c r="AF2387" i="7"/>
  <c r="AI2387" i="7" s="1"/>
  <c r="L2387" i="7"/>
  <c r="AJ2364" i="7"/>
  <c r="AG2364" i="7"/>
  <c r="AF2364" i="7"/>
  <c r="AI2364" i="7" s="1"/>
  <c r="L2364" i="7"/>
  <c r="AJ2341" i="7"/>
  <c r="AG2341" i="7"/>
  <c r="AF2341" i="7"/>
  <c r="AI2341" i="7" s="1"/>
  <c r="L2341" i="7"/>
  <c r="AJ2318" i="7"/>
  <c r="AG2318" i="7"/>
  <c r="AF2318" i="7"/>
  <c r="AI2318" i="7" s="1"/>
  <c r="L2318" i="7"/>
  <c r="N2318" i="7" s="1"/>
  <c r="AJ2280" i="7"/>
  <c r="AG2280" i="7"/>
  <c r="AF2280" i="7"/>
  <c r="AI2280" i="7" s="1"/>
  <c r="L2280" i="7"/>
  <c r="AJ2253" i="7"/>
  <c r="AG2253" i="7"/>
  <c r="AF2253" i="7"/>
  <c r="AI2253" i="7" s="1"/>
  <c r="L2253" i="7"/>
  <c r="AJ2226" i="7"/>
  <c r="AG2226" i="7"/>
  <c r="AF2226" i="7"/>
  <c r="AI2226" i="7" s="1"/>
  <c r="L2226" i="7"/>
  <c r="AJ2188" i="7"/>
  <c r="AG2188" i="7"/>
  <c r="AF2188" i="7"/>
  <c r="AI2188" i="7" s="1"/>
  <c r="L2188" i="7"/>
  <c r="AJ2151" i="7"/>
  <c r="AG2151" i="7"/>
  <c r="AF2151" i="7"/>
  <c r="AI2151" i="7" s="1"/>
  <c r="L2151" i="7"/>
  <c r="AJ2114" i="7"/>
  <c r="AG2114" i="7"/>
  <c r="AF2114" i="7"/>
  <c r="AI2114" i="7" s="1"/>
  <c r="L2114" i="7"/>
  <c r="AJ2077" i="7"/>
  <c r="AG2077" i="7"/>
  <c r="AF2077" i="7"/>
  <c r="AI2077" i="7" s="1"/>
  <c r="L2077" i="7"/>
  <c r="N2077" i="7" s="1"/>
  <c r="AJ2032" i="7"/>
  <c r="AG2032" i="7"/>
  <c r="AF2032" i="7"/>
  <c r="AI2032" i="7" s="1"/>
  <c r="L2032" i="7"/>
  <c r="AJ1988" i="7"/>
  <c r="AG1988" i="7"/>
  <c r="AF1988" i="7"/>
  <c r="AI1988" i="7" s="1"/>
  <c r="L1988" i="7"/>
  <c r="AJ1943" i="7"/>
  <c r="AG1943" i="7"/>
  <c r="AF1943" i="7"/>
  <c r="AI1943" i="7" s="1"/>
  <c r="L1943" i="7"/>
  <c r="N1943" i="7" s="1"/>
  <c r="AJ1897" i="7"/>
  <c r="AG1897" i="7"/>
  <c r="AF1897" i="7"/>
  <c r="AI1897" i="7" s="1"/>
  <c r="L1897" i="7"/>
  <c r="AJ1839" i="7"/>
  <c r="AG1839" i="7"/>
  <c r="AF1839" i="7"/>
  <c r="AI1839" i="7" s="1"/>
  <c r="L1839" i="7"/>
  <c r="AJ1781" i="7"/>
  <c r="AG1781" i="7"/>
  <c r="AF1781" i="7"/>
  <c r="AI1781" i="7" s="1"/>
  <c r="L1781" i="7"/>
  <c r="AJ1717" i="7"/>
  <c r="AG1717" i="7"/>
  <c r="AF1717" i="7"/>
  <c r="AI1717" i="7" s="1"/>
  <c r="L1717" i="7"/>
  <c r="AJ1653" i="7"/>
  <c r="AG1653" i="7"/>
  <c r="AF1653" i="7"/>
  <c r="AI1653" i="7" s="1"/>
  <c r="L1653" i="7"/>
  <c r="AJ1607" i="7"/>
  <c r="AG1607" i="7"/>
  <c r="AF1607" i="7"/>
  <c r="AI1607" i="7" s="1"/>
  <c r="L1607" i="7"/>
  <c r="AJ1561" i="7"/>
  <c r="AG1561" i="7"/>
  <c r="AF1561" i="7"/>
  <c r="AI1561" i="7" s="1"/>
  <c r="L1561" i="7"/>
  <c r="AJ1515" i="7"/>
  <c r="AG1515" i="7"/>
  <c r="AF1515" i="7"/>
  <c r="AI1515" i="7" s="1"/>
  <c r="L1515" i="7"/>
  <c r="AJ1469" i="7"/>
  <c r="AG1469" i="7"/>
  <c r="AF1469" i="7"/>
  <c r="AI1469" i="7" s="1"/>
  <c r="L1469" i="7"/>
  <c r="AJ1423" i="7"/>
  <c r="AG1423" i="7"/>
  <c r="AF1423" i="7"/>
  <c r="AI1423" i="7" s="1"/>
  <c r="L1423" i="7"/>
  <c r="AJ1377" i="7"/>
  <c r="AG1377" i="7"/>
  <c r="AF1377" i="7"/>
  <c r="AI1377" i="7" s="1"/>
  <c r="L1377" i="7"/>
  <c r="AJ1331" i="7"/>
  <c r="AG1331" i="7"/>
  <c r="AF1331" i="7"/>
  <c r="AI1331" i="7" s="1"/>
  <c r="L1331" i="7"/>
  <c r="AJ1279" i="7"/>
  <c r="AG1279" i="7"/>
  <c r="AF1279" i="7"/>
  <c r="AI1279" i="7" s="1"/>
  <c r="L1279" i="7"/>
  <c r="AJ1226" i="7"/>
  <c r="AG1226" i="7"/>
  <c r="AF1226" i="7"/>
  <c r="AI1226" i="7" s="1"/>
  <c r="L1226" i="7"/>
  <c r="AJ1173" i="7"/>
  <c r="AG1173" i="7"/>
  <c r="AF1173" i="7"/>
  <c r="AI1173" i="7" s="1"/>
  <c r="L1173" i="7"/>
  <c r="AJ1121" i="7"/>
  <c r="AG1121" i="7"/>
  <c r="AF1121" i="7"/>
  <c r="AI1121" i="7" s="1"/>
  <c r="L1121" i="7"/>
  <c r="AJ1069" i="7"/>
  <c r="AG1069" i="7"/>
  <c r="AF1069" i="7"/>
  <c r="AI1069" i="7" s="1"/>
  <c r="L1069" i="7"/>
  <c r="AJ1017" i="7"/>
  <c r="AG1017" i="7"/>
  <c r="AF1017" i="7"/>
  <c r="AI1017" i="7" s="1"/>
  <c r="L1017" i="7"/>
  <c r="AJ959" i="7"/>
  <c r="AG959" i="7"/>
  <c r="AF959" i="7"/>
  <c r="AI959" i="7" s="1"/>
  <c r="L959" i="7"/>
  <c r="AJ901" i="7"/>
  <c r="AG901" i="7"/>
  <c r="AF901" i="7"/>
  <c r="AI901" i="7" s="1"/>
  <c r="L901" i="7"/>
  <c r="AJ843" i="7"/>
  <c r="AG843" i="7"/>
  <c r="AF843" i="7"/>
  <c r="AI843" i="7" s="1"/>
  <c r="L843" i="7"/>
  <c r="AJ785" i="7"/>
  <c r="AG785" i="7"/>
  <c r="AF785" i="7"/>
  <c r="AI785" i="7" s="1"/>
  <c r="L785" i="7"/>
  <c r="AJ721" i="7"/>
  <c r="AG721" i="7"/>
  <c r="AF721" i="7"/>
  <c r="AI721" i="7" s="1"/>
  <c r="L721" i="7"/>
  <c r="AJ655" i="7"/>
  <c r="AG655" i="7"/>
  <c r="AF655" i="7"/>
  <c r="AI655" i="7" s="1"/>
  <c r="L655" i="7"/>
  <c r="AJ589" i="7"/>
  <c r="AG589" i="7"/>
  <c r="AF589" i="7"/>
  <c r="AI589" i="7" s="1"/>
  <c r="L589" i="7"/>
  <c r="AJ523" i="7"/>
  <c r="AG523" i="7"/>
  <c r="AF523" i="7"/>
  <c r="AI523" i="7" s="1"/>
  <c r="L523" i="7"/>
  <c r="AJ516" i="7"/>
  <c r="AG516" i="7"/>
  <c r="AF516" i="7"/>
  <c r="AI516" i="7" s="1"/>
  <c r="L516" i="7"/>
  <c r="N516" i="7" s="1"/>
  <c r="AJ450" i="7"/>
  <c r="AG450" i="7"/>
  <c r="AF450" i="7"/>
  <c r="AI450" i="7" s="1"/>
  <c r="L450" i="7"/>
  <c r="AJ385" i="7"/>
  <c r="AG385" i="7"/>
  <c r="AF385" i="7"/>
  <c r="AI385" i="7" s="1"/>
  <c r="L385" i="7"/>
  <c r="M1988" i="7"/>
  <c r="M1423" i="7"/>
  <c r="M1515" i="7"/>
  <c r="M2032" i="7"/>
  <c r="M2188" i="7"/>
  <c r="M1331" i="7"/>
  <c r="M785" i="7"/>
  <c r="M523" i="7"/>
  <c r="M1781" i="7"/>
  <c r="M2114" i="7"/>
  <c r="M2077" i="7"/>
  <c r="M901" i="7"/>
  <c r="M1839" i="7"/>
  <c r="M2364" i="7"/>
  <c r="M1279" i="7"/>
  <c r="M385" i="7"/>
  <c r="M2318" i="7"/>
  <c r="M2529" i="7"/>
  <c r="M1561" i="7"/>
  <c r="M2253" i="7"/>
  <c r="M450" i="7"/>
  <c r="M516" i="7"/>
  <c r="M2497" i="7"/>
  <c r="M721" i="7"/>
  <c r="M1173" i="7"/>
  <c r="M2433" i="7"/>
  <c r="M1017" i="7"/>
  <c r="M843" i="7"/>
  <c r="M2226" i="7"/>
  <c r="M2410" i="7"/>
  <c r="M655" i="7"/>
  <c r="M1943" i="7"/>
  <c r="M1717" i="7"/>
  <c r="M2280" i="7"/>
  <c r="M1897" i="7"/>
  <c r="M1607" i="7"/>
  <c r="M2387" i="7"/>
  <c r="M2341" i="7"/>
  <c r="M1377" i="7"/>
  <c r="M2481" i="7"/>
  <c r="M2561" i="7"/>
  <c r="M1226" i="7"/>
  <c r="M2513" i="7"/>
  <c r="M959" i="7"/>
  <c r="M1121" i="7"/>
  <c r="M2449" i="7"/>
  <c r="M1653" i="7"/>
  <c r="M1069" i="7"/>
  <c r="M589" i="7"/>
  <c r="M2545" i="7"/>
  <c r="M2151" i="7"/>
  <c r="M1469" i="7"/>
  <c r="M2465" i="7"/>
  <c r="N385" i="7" l="1"/>
  <c r="O385" i="7" s="1"/>
  <c r="N450" i="7"/>
  <c r="O450" i="7" s="1"/>
  <c r="N523" i="7"/>
  <c r="O523" i="7" s="1"/>
  <c r="N589" i="7"/>
  <c r="O589" i="7" s="1"/>
  <c r="N655" i="7"/>
  <c r="O655" i="7" s="1"/>
  <c r="N721" i="7"/>
  <c r="O721" i="7" s="1"/>
  <c r="N785" i="7"/>
  <c r="O785" i="7" s="1"/>
  <c r="N843" i="7"/>
  <c r="O843" i="7" s="1"/>
  <c r="N901" i="7"/>
  <c r="O901" i="7" s="1"/>
  <c r="N959" i="7"/>
  <c r="O959" i="7" s="1"/>
  <c r="N1017" i="7"/>
  <c r="O1017" i="7" s="1"/>
  <c r="N1069" i="7"/>
  <c r="O1069" i="7" s="1"/>
  <c r="N1121" i="7"/>
  <c r="O1121" i="7" s="1"/>
  <c r="N1173" i="7"/>
  <c r="O1173" i="7" s="1"/>
  <c r="N1226" i="7"/>
  <c r="O1226" i="7" s="1"/>
  <c r="N1279" i="7"/>
  <c r="O1279" i="7" s="1"/>
  <c r="N1331" i="7"/>
  <c r="O1331" i="7" s="1"/>
  <c r="N1377" i="7"/>
  <c r="O1377" i="7" s="1"/>
  <c r="N1423" i="7"/>
  <c r="O1423" i="7" s="1"/>
  <c r="N1469" i="7"/>
  <c r="O1469" i="7" s="1"/>
  <c r="N1515" i="7"/>
  <c r="O1515" i="7" s="1"/>
  <c r="N1561" i="7"/>
  <c r="O1561" i="7" s="1"/>
  <c r="N1607" i="7"/>
  <c r="O1607" i="7" s="1"/>
  <c r="N1653" i="7"/>
  <c r="O1653" i="7" s="1"/>
  <c r="N1717" i="7"/>
  <c r="O1717" i="7" s="1"/>
  <c r="N1781" i="7"/>
  <c r="O1781" i="7" s="1"/>
  <c r="N1839" i="7"/>
  <c r="O1839" i="7" s="1"/>
  <c r="N1897" i="7"/>
  <c r="O1897" i="7" s="1"/>
  <c r="N1988" i="7"/>
  <c r="O1988" i="7" s="1"/>
  <c r="N2032" i="7"/>
  <c r="O2032" i="7" s="1"/>
  <c r="N2114" i="7"/>
  <c r="O2114" i="7" s="1"/>
  <c r="N2151" i="7"/>
  <c r="O2151" i="7" s="1"/>
  <c r="N2188" i="7"/>
  <c r="O2188" i="7" s="1"/>
  <c r="N2226" i="7"/>
  <c r="O2226" i="7" s="1"/>
  <c r="N2253" i="7"/>
  <c r="O2253" i="7" s="1"/>
  <c r="N2280" i="7"/>
  <c r="O2280" i="7" s="1"/>
  <c r="N2341" i="7"/>
  <c r="O2341" i="7" s="1"/>
  <c r="N2364" i="7"/>
  <c r="O2364" i="7" s="1"/>
  <c r="N2387" i="7"/>
  <c r="O2387" i="7" s="1"/>
  <c r="N2410" i="7"/>
  <c r="O2410" i="7" s="1"/>
  <c r="N2449" i="7"/>
  <c r="O2449" i="7" s="1"/>
  <c r="N2465" i="7"/>
  <c r="O2465" i="7" s="1"/>
  <c r="N2481" i="7"/>
  <c r="O2481" i="7" s="1"/>
  <c r="N2497" i="7"/>
  <c r="O2497" i="7" s="1"/>
  <c r="N2513" i="7"/>
  <c r="O2513" i="7" s="1"/>
  <c r="N2529" i="7"/>
  <c r="O2529" i="7" s="1"/>
  <c r="N2545" i="7"/>
  <c r="O2545" i="7" s="1"/>
  <c r="O1943" i="7"/>
  <c r="Z218" i="14"/>
  <c r="AA218" i="14"/>
  <c r="Z213" i="14"/>
  <c r="AA213" i="14"/>
  <c r="Z207" i="14"/>
  <c r="AA207" i="14"/>
  <c r="AJ4665" i="7"/>
  <c r="AH4665" i="7"/>
  <c r="AG4665" i="7"/>
  <c r="AF4665" i="7"/>
  <c r="AI4665" i="7" s="1"/>
  <c r="L4665" i="7"/>
  <c r="N4665" i="7" s="1"/>
  <c r="AF4662" i="7"/>
  <c r="AI4662" i="7" s="1"/>
  <c r="AG4662" i="7"/>
  <c r="AH4662" i="7"/>
  <c r="AJ4662" i="7"/>
  <c r="AF4663" i="7"/>
  <c r="AI4663" i="7" s="1"/>
  <c r="AG4663" i="7"/>
  <c r="AH4663" i="7"/>
  <c r="AJ4663" i="7"/>
  <c r="AF4664" i="7"/>
  <c r="AI4664" i="7" s="1"/>
  <c r="AG4664" i="7"/>
  <c r="AH4664" i="7"/>
  <c r="AJ4664" i="7"/>
  <c r="AF4666" i="7"/>
  <c r="AI4666" i="7" s="1"/>
  <c r="AG4666" i="7"/>
  <c r="AH4666" i="7"/>
  <c r="AJ4666" i="7"/>
  <c r="AF4667" i="7"/>
  <c r="AI4667" i="7" s="1"/>
  <c r="AG4667" i="7"/>
  <c r="AH4667" i="7"/>
  <c r="AJ4667" i="7"/>
  <c r="AF4668" i="7"/>
  <c r="AI4668" i="7" s="1"/>
  <c r="AG4668" i="7"/>
  <c r="AH4668" i="7"/>
  <c r="AJ4668" i="7"/>
  <c r="AF4669" i="7"/>
  <c r="AI4669" i="7" s="1"/>
  <c r="AG4669" i="7"/>
  <c r="AH4669" i="7"/>
  <c r="AJ4669" i="7"/>
  <c r="AF4670" i="7"/>
  <c r="AI4670" i="7" s="1"/>
  <c r="AG4670" i="7"/>
  <c r="AH4670" i="7"/>
  <c r="AJ4670" i="7"/>
  <c r="AF4671" i="7"/>
  <c r="AI4671" i="7" s="1"/>
  <c r="AG4671" i="7"/>
  <c r="AH4671" i="7"/>
  <c r="AJ4671" i="7"/>
  <c r="AF4672" i="7"/>
  <c r="AI4672" i="7" s="1"/>
  <c r="AG4672" i="7"/>
  <c r="AH4672" i="7"/>
  <c r="AJ4672" i="7"/>
  <c r="AF4673" i="7"/>
  <c r="AI4673" i="7" s="1"/>
  <c r="AG4673" i="7"/>
  <c r="AH4673" i="7"/>
  <c r="AJ4673" i="7"/>
  <c r="AF4864" i="7"/>
  <c r="AI4864" i="7" s="1"/>
  <c r="AG4864" i="7"/>
  <c r="AH4864" i="7"/>
  <c r="AJ4864" i="7"/>
  <c r="AF4863" i="7"/>
  <c r="AI4863" i="7" s="1"/>
  <c r="AG4863" i="7"/>
  <c r="AH4863" i="7"/>
  <c r="AJ4863" i="7"/>
  <c r="AF4865" i="7"/>
  <c r="AI4865" i="7" s="1"/>
  <c r="AG4865" i="7"/>
  <c r="AH4865" i="7"/>
  <c r="AJ4865" i="7"/>
  <c r="AF4866" i="7"/>
  <c r="AI4866" i="7" s="1"/>
  <c r="AG4866" i="7"/>
  <c r="AH4866" i="7"/>
  <c r="AJ4866" i="7"/>
  <c r="AF4867" i="7"/>
  <c r="AI4867" i="7" s="1"/>
  <c r="AG4867" i="7"/>
  <c r="AH4867" i="7"/>
  <c r="AJ4867" i="7"/>
  <c r="AF4868" i="7"/>
  <c r="AI4868" i="7" s="1"/>
  <c r="AG4868" i="7"/>
  <c r="AH4868" i="7"/>
  <c r="AJ4868" i="7"/>
  <c r="AF4869" i="7"/>
  <c r="AI4869" i="7" s="1"/>
  <c r="AG4869" i="7"/>
  <c r="AH4869" i="7"/>
  <c r="AJ4869" i="7"/>
  <c r="L4863" i="7"/>
  <c r="N4863" i="7" s="1"/>
  <c r="AG2582" i="7"/>
  <c r="AG4860" i="7"/>
  <c r="AG4859" i="7"/>
  <c r="AF4859" i="7"/>
  <c r="AI4859" i="7" s="1"/>
  <c r="AH4859" i="7"/>
  <c r="AJ4859" i="7"/>
  <c r="AF4860" i="7"/>
  <c r="AI4860" i="7" s="1"/>
  <c r="AH4860" i="7"/>
  <c r="AJ4860" i="7"/>
  <c r="AF4861" i="7"/>
  <c r="AI4861" i="7" s="1"/>
  <c r="AG4861" i="7"/>
  <c r="AH4861" i="7"/>
  <c r="AJ4861" i="7"/>
  <c r="AF4862" i="7"/>
  <c r="AI4862" i="7" s="1"/>
  <c r="AG4862" i="7"/>
  <c r="AH4862" i="7"/>
  <c r="AJ4862" i="7"/>
  <c r="Y209" i="14" l="1"/>
  <c r="Y210" i="14"/>
  <c r="E35" i="11"/>
  <c r="AR33" i="11"/>
  <c r="AQ33" i="11"/>
  <c r="L4860" i="7"/>
  <c r="N4860" i="7" s="1"/>
  <c r="L4861" i="7"/>
  <c r="N4861" i="7" s="1"/>
  <c r="L4862" i="7"/>
  <c r="N4862" i="7" s="1"/>
  <c r="L4864" i="7"/>
  <c r="N4864" i="7" s="1"/>
  <c r="L4865" i="7"/>
  <c r="N4865" i="7" s="1"/>
  <c r="M4665" i="7"/>
  <c r="M4863" i="7"/>
  <c r="L4663" i="7" l="1"/>
  <c r="N4663" i="7" s="1"/>
  <c r="L4664" i="7"/>
  <c r="N4664" i="7" s="1"/>
  <c r="L4666" i="7"/>
  <c r="N4666" i="7" s="1"/>
  <c r="M4860" i="7"/>
  <c r="M4663" i="7"/>
  <c r="M4864" i="7"/>
  <c r="M4865" i="7"/>
  <c r="M4666" i="7"/>
  <c r="M4664" i="7"/>
  <c r="M4861" i="7"/>
  <c r="M4862" i="7"/>
  <c r="J10" i="11" l="1"/>
  <c r="AJ1655" i="7"/>
  <c r="AH1655" i="7"/>
  <c r="AG1655" i="7"/>
  <c r="AF1655" i="7"/>
  <c r="AI1655" i="7" s="1"/>
  <c r="AJ1609" i="7"/>
  <c r="AH1609" i="7"/>
  <c r="AG1609" i="7"/>
  <c r="AF1609" i="7"/>
  <c r="AI1609" i="7" s="1"/>
  <c r="AJ1563" i="7"/>
  <c r="AH1563" i="7"/>
  <c r="AG1563" i="7"/>
  <c r="AF1563" i="7"/>
  <c r="AI1563" i="7" s="1"/>
  <c r="AJ1517" i="7"/>
  <c r="AH1517" i="7"/>
  <c r="AG1517" i="7"/>
  <c r="AF1517" i="7"/>
  <c r="AI1517" i="7" s="1"/>
  <c r="AJ1471" i="7"/>
  <c r="AH1471" i="7"/>
  <c r="AG1471" i="7"/>
  <c r="AF1471" i="7"/>
  <c r="AI1471" i="7" s="1"/>
  <c r="AJ1425" i="7"/>
  <c r="AH1425" i="7"/>
  <c r="AG1425" i="7"/>
  <c r="AF1425" i="7"/>
  <c r="AI1425" i="7" s="1"/>
  <c r="AJ1379" i="7"/>
  <c r="AH1379" i="7"/>
  <c r="AG1379" i="7"/>
  <c r="AF1379" i="7"/>
  <c r="AI1379" i="7" s="1"/>
  <c r="AJ1333" i="7"/>
  <c r="AH1333" i="7"/>
  <c r="AG1333" i="7"/>
  <c r="AF1333" i="7"/>
  <c r="AI1333" i="7" s="1"/>
  <c r="AJ1281" i="7"/>
  <c r="AH1281" i="7"/>
  <c r="AG1281" i="7"/>
  <c r="AF1281" i="7"/>
  <c r="AI1281" i="7" s="1"/>
  <c r="AJ1229" i="7"/>
  <c r="AH1229" i="7"/>
  <c r="AG1229" i="7"/>
  <c r="AF1229" i="7"/>
  <c r="AI1229" i="7" s="1"/>
  <c r="AJ1175" i="7"/>
  <c r="AH1175" i="7"/>
  <c r="AG1175" i="7"/>
  <c r="AF1175" i="7"/>
  <c r="AI1175" i="7" s="1"/>
  <c r="AJ1123" i="7"/>
  <c r="AH1123" i="7"/>
  <c r="AG1123" i="7"/>
  <c r="AF1123" i="7"/>
  <c r="AI1123" i="7" s="1"/>
  <c r="AJ1071" i="7"/>
  <c r="AH1071" i="7"/>
  <c r="AG1071" i="7"/>
  <c r="AF1071" i="7"/>
  <c r="AI1071" i="7" s="1"/>
  <c r="L525" i="7"/>
  <c r="N525" i="7" s="1"/>
  <c r="AF525" i="7"/>
  <c r="AI525" i="7" s="1"/>
  <c r="AG525" i="7"/>
  <c r="AH525" i="7"/>
  <c r="AJ525" i="7"/>
  <c r="AF452" i="7"/>
  <c r="AI452" i="7" s="1"/>
  <c r="AG452" i="7"/>
  <c r="AH452" i="7"/>
  <c r="AJ452" i="7"/>
  <c r="AF518" i="7"/>
  <c r="AI518" i="7" s="1"/>
  <c r="AG518" i="7"/>
  <c r="AH518" i="7"/>
  <c r="AJ518" i="7"/>
  <c r="AF591" i="7"/>
  <c r="AI591" i="7" s="1"/>
  <c r="AG591" i="7"/>
  <c r="AH591" i="7"/>
  <c r="AJ591" i="7"/>
  <c r="AF657" i="7"/>
  <c r="AI657" i="7" s="1"/>
  <c r="AG657" i="7"/>
  <c r="AH657" i="7"/>
  <c r="AJ657" i="7"/>
  <c r="AF723" i="7"/>
  <c r="AI723" i="7" s="1"/>
  <c r="AG723" i="7"/>
  <c r="AH723" i="7"/>
  <c r="AJ723" i="7"/>
  <c r="AF787" i="7"/>
  <c r="AI787" i="7" s="1"/>
  <c r="AG787" i="7"/>
  <c r="AH787" i="7"/>
  <c r="AJ787" i="7"/>
  <c r="AF845" i="7"/>
  <c r="AI845" i="7" s="1"/>
  <c r="AG845" i="7"/>
  <c r="AH845" i="7"/>
  <c r="AJ845" i="7"/>
  <c r="AF903" i="7"/>
  <c r="AI903" i="7" s="1"/>
  <c r="AG903" i="7"/>
  <c r="AH903" i="7"/>
  <c r="AJ903" i="7"/>
  <c r="AF961" i="7"/>
  <c r="AI961" i="7" s="1"/>
  <c r="AG961" i="7"/>
  <c r="AH961" i="7"/>
  <c r="AJ961" i="7"/>
  <c r="AF1019" i="7"/>
  <c r="AI1019" i="7" s="1"/>
  <c r="AG1019" i="7"/>
  <c r="AH1019" i="7"/>
  <c r="AJ1019" i="7"/>
  <c r="AF1719" i="7"/>
  <c r="AI1719" i="7" s="1"/>
  <c r="AG1719" i="7"/>
  <c r="AH1719" i="7"/>
  <c r="AJ1719" i="7"/>
  <c r="AF1783" i="7"/>
  <c r="AI1783" i="7" s="1"/>
  <c r="AG1783" i="7"/>
  <c r="AH1783" i="7"/>
  <c r="AJ1783" i="7"/>
  <c r="AF1841" i="7"/>
  <c r="AI1841" i="7" s="1"/>
  <c r="AG1841" i="7"/>
  <c r="AH1841" i="7"/>
  <c r="AJ1841" i="7"/>
  <c r="AF1899" i="7"/>
  <c r="AI1899" i="7" s="1"/>
  <c r="AG1899" i="7"/>
  <c r="AH1899" i="7"/>
  <c r="AJ1899" i="7"/>
  <c r="AF1945" i="7"/>
  <c r="AI1945" i="7" s="1"/>
  <c r="AG1945" i="7"/>
  <c r="AH1945" i="7"/>
  <c r="AJ1945" i="7"/>
  <c r="AJ388" i="7"/>
  <c r="AH388" i="7"/>
  <c r="AG388" i="7"/>
  <c r="AF388" i="7"/>
  <c r="AI388" i="7" s="1"/>
  <c r="L452" i="7"/>
  <c r="N452" i="7" s="1"/>
  <c r="O452" i="7" s="1"/>
  <c r="L518" i="7"/>
  <c r="N518" i="7" s="1"/>
  <c r="L591" i="7"/>
  <c r="N591" i="7" s="1"/>
  <c r="O591" i="7" s="1"/>
  <c r="L657" i="7"/>
  <c r="N657" i="7" s="1"/>
  <c r="O657" i="7" s="1"/>
  <c r="L723" i="7"/>
  <c r="N723" i="7" s="1"/>
  <c r="O723" i="7" s="1"/>
  <c r="L787" i="7"/>
  <c r="N787" i="7" s="1"/>
  <c r="O787" i="7" s="1"/>
  <c r="L845" i="7"/>
  <c r="N845" i="7" s="1"/>
  <c r="O845" i="7" s="1"/>
  <c r="L903" i="7"/>
  <c r="N903" i="7" s="1"/>
  <c r="O903" i="7" s="1"/>
  <c r="L961" i="7"/>
  <c r="N961" i="7" s="1"/>
  <c r="O961" i="7" s="1"/>
  <c r="L1019" i="7"/>
  <c r="N1019" i="7" s="1"/>
  <c r="O1019" i="7" s="1"/>
  <c r="L1071" i="7"/>
  <c r="N1071" i="7" s="1"/>
  <c r="O1071" i="7" s="1"/>
  <c r="L1123" i="7"/>
  <c r="N1123" i="7" s="1"/>
  <c r="O1123" i="7" s="1"/>
  <c r="L1175" i="7"/>
  <c r="N1175" i="7" s="1"/>
  <c r="O1175" i="7" s="1"/>
  <c r="L1229" i="7"/>
  <c r="N1229" i="7" s="1"/>
  <c r="O1229" i="7" s="1"/>
  <c r="L1281" i="7"/>
  <c r="N1281" i="7" s="1"/>
  <c r="O1281" i="7" s="1"/>
  <c r="L1333" i="7"/>
  <c r="N1333" i="7" s="1"/>
  <c r="O1333" i="7" s="1"/>
  <c r="L1379" i="7"/>
  <c r="N1379" i="7" s="1"/>
  <c r="O1379" i="7" s="1"/>
  <c r="L1425" i="7"/>
  <c r="N1425" i="7" s="1"/>
  <c r="O1425" i="7" s="1"/>
  <c r="L1471" i="7"/>
  <c r="N1471" i="7" s="1"/>
  <c r="O1471" i="7" s="1"/>
  <c r="L1517" i="7"/>
  <c r="N1517" i="7" s="1"/>
  <c r="O1517" i="7" s="1"/>
  <c r="L1563" i="7"/>
  <c r="N1563" i="7" s="1"/>
  <c r="O1563" i="7" s="1"/>
  <c r="L1609" i="7"/>
  <c r="N1609" i="7" s="1"/>
  <c r="O1609" i="7" s="1"/>
  <c r="L1655" i="7"/>
  <c r="N1655" i="7" s="1"/>
  <c r="O1655" i="7" s="1"/>
  <c r="L1719" i="7"/>
  <c r="N1719" i="7" s="1"/>
  <c r="O1719" i="7" s="1"/>
  <c r="L1783" i="7"/>
  <c r="N1783" i="7" s="1"/>
  <c r="O1783" i="7" s="1"/>
  <c r="L1841" i="7"/>
  <c r="N1841" i="7" s="1"/>
  <c r="O1841" i="7" s="1"/>
  <c r="L1899" i="7"/>
  <c r="N1899" i="7" s="1"/>
  <c r="O1899" i="7" s="1"/>
  <c r="L1945" i="7"/>
  <c r="N1945" i="7" s="1"/>
  <c r="O1945" i="7" s="1"/>
  <c r="L388" i="7"/>
  <c r="N388" i="7" s="1"/>
  <c r="O388" i="7" s="1"/>
  <c r="M1899" i="7"/>
  <c r="M1425" i="7"/>
  <c r="M1123" i="7"/>
  <c r="M591" i="7"/>
  <c r="M1019" i="7"/>
  <c r="M723" i="7"/>
  <c r="M961" i="7"/>
  <c r="M657" i="7"/>
  <c r="M388" i="7"/>
  <c r="M1563" i="7"/>
  <c r="M1609" i="7"/>
  <c r="M845" i="7"/>
  <c r="M1229" i="7"/>
  <c r="M1719" i="7"/>
  <c r="M1517" i="7"/>
  <c r="M1841" i="7"/>
  <c r="M1655" i="7"/>
  <c r="M1379" i="7"/>
  <c r="M1945" i="7"/>
  <c r="M903" i="7"/>
  <c r="M518" i="7"/>
  <c r="M1281" i="7"/>
  <c r="M1471" i="7"/>
  <c r="M1175" i="7"/>
  <c r="M1783" i="7"/>
  <c r="M452" i="7"/>
  <c r="M1333" i="7"/>
  <c r="M1071" i="7"/>
  <c r="M525" i="7"/>
  <c r="M787" i="7"/>
  <c r="AG2969" i="7" l="1"/>
  <c r="AJ3050" i="7"/>
  <c r="AH3050" i="7"/>
  <c r="AG3050" i="7"/>
  <c r="AF3050" i="7"/>
  <c r="AI3050" i="7" s="1"/>
  <c r="AJ3044" i="7"/>
  <c r="AH3044" i="7"/>
  <c r="AG3044" i="7"/>
  <c r="AF3044" i="7"/>
  <c r="AI3044" i="7" s="1"/>
  <c r="AJ3038" i="7"/>
  <c r="AH3038" i="7"/>
  <c r="AG3038" i="7"/>
  <c r="AF3038" i="7"/>
  <c r="AI3038" i="7" s="1"/>
  <c r="AJ3029" i="7"/>
  <c r="AH3029" i="7"/>
  <c r="AG3029" i="7"/>
  <c r="AF3029" i="7"/>
  <c r="AI3029" i="7" s="1"/>
  <c r="AJ3020" i="7"/>
  <c r="AH3020" i="7"/>
  <c r="AG3020" i="7"/>
  <c r="AF3020" i="7"/>
  <c r="AI3020" i="7" s="1"/>
  <c r="AJ3011" i="7"/>
  <c r="AH3011" i="7"/>
  <c r="AG3011" i="7"/>
  <c r="AF3011" i="7"/>
  <c r="AI3011" i="7" s="1"/>
  <c r="AJ3005" i="7"/>
  <c r="AH3005" i="7"/>
  <c r="AG3005" i="7"/>
  <c r="AF3005" i="7"/>
  <c r="AI3005" i="7" s="1"/>
  <c r="AG2681" i="7"/>
  <c r="AG2669" i="7"/>
  <c r="AG2657" i="7"/>
  <c r="AG2645" i="7"/>
  <c r="AG2633" i="7"/>
  <c r="AG2621" i="7"/>
  <c r="AG2609" i="7"/>
  <c r="AG2597" i="7"/>
  <c r="AG2585" i="7"/>
  <c r="AG2573" i="7"/>
  <c r="R4506" i="7" l="1"/>
  <c r="Q4506" i="7"/>
  <c r="E4506" i="7"/>
  <c r="E4505" i="7"/>
  <c r="Q4420" i="7" l="1"/>
  <c r="I4420" i="7"/>
  <c r="R4909" i="7" l="1"/>
  <c r="Q4909" i="7"/>
  <c r="I4908" i="7"/>
  <c r="E4909" i="7"/>
  <c r="E4908" i="7"/>
  <c r="E4907" i="7"/>
  <c r="E4906" i="7"/>
  <c r="E4859" i="7" l="1"/>
  <c r="E4695" i="7" l="1"/>
  <c r="L4695" i="7"/>
  <c r="N4695" i="7" s="1"/>
  <c r="R4695" i="7"/>
  <c r="AF4695" i="7"/>
  <c r="AI4695" i="7" s="1"/>
  <c r="AG4695" i="7"/>
  <c r="AH4695" i="7"/>
  <c r="AJ4695" i="7"/>
  <c r="K4575" i="7"/>
  <c r="K4576" i="7"/>
  <c r="K4577" i="7"/>
  <c r="K4578" i="7"/>
  <c r="K4579" i="7"/>
  <c r="K4580" i="7"/>
  <c r="K4581" i="7"/>
  <c r="K4582" i="7"/>
  <c r="K4583" i="7"/>
  <c r="K4584" i="7"/>
  <c r="K4585" i="7"/>
  <c r="K4586" i="7"/>
  <c r="K4587" i="7"/>
  <c r="E4587" i="7" s="1"/>
  <c r="L4587" i="7"/>
  <c r="N4587" i="7" s="1"/>
  <c r="AF4587" i="7"/>
  <c r="AI4587" i="7" s="1"/>
  <c r="AH4587" i="7"/>
  <c r="AJ4587" i="7"/>
  <c r="D4542" i="7"/>
  <c r="E4542" i="7" s="1"/>
  <c r="E4541" i="7"/>
  <c r="L4542" i="7"/>
  <c r="AF4542" i="7"/>
  <c r="AI4542" i="7" s="1"/>
  <c r="AH4542" i="7"/>
  <c r="AJ4542" i="7"/>
  <c r="K4364" i="7"/>
  <c r="L4364" i="7"/>
  <c r="Q4364" i="7"/>
  <c r="AF4364" i="7"/>
  <c r="AI4364" i="7" s="1"/>
  <c r="AG4364" i="7"/>
  <c r="AH4364" i="7"/>
  <c r="AJ4364" i="7"/>
  <c r="E4199" i="7"/>
  <c r="L4199" i="7"/>
  <c r="N4199" i="7" s="1"/>
  <c r="Q4199" i="7"/>
  <c r="AF4199" i="7"/>
  <c r="AI4199" i="7" s="1"/>
  <c r="AG4199" i="7"/>
  <c r="AH4199" i="7"/>
  <c r="AJ4199" i="7"/>
  <c r="M4199" i="7"/>
  <c r="M4587" i="7"/>
  <c r="M4364" i="7"/>
  <c r="M4695" i="7"/>
  <c r="M4542" i="7"/>
  <c r="N4542" i="7" l="1"/>
  <c r="AG4587" i="7"/>
  <c r="AG4542" i="7"/>
  <c r="N4364" i="7"/>
  <c r="E247" i="7"/>
  <c r="L247" i="7"/>
  <c r="AF247" i="7"/>
  <c r="AI247" i="7" s="1"/>
  <c r="AG247" i="7"/>
  <c r="AH247" i="7"/>
  <c r="AJ247" i="7"/>
  <c r="M247" i="7"/>
  <c r="N247" i="7" l="1"/>
  <c r="AF217" i="7"/>
  <c r="AI217" i="7" s="1"/>
  <c r="AG217" i="7"/>
  <c r="AH217" i="7"/>
  <c r="AJ217" i="7"/>
  <c r="AF2078" i="7"/>
  <c r="AI2078" i="7" s="1"/>
  <c r="AG2078" i="7"/>
  <c r="AH2078" i="7"/>
  <c r="AJ2078" i="7"/>
  <c r="AF1989" i="7"/>
  <c r="AI1989" i="7" s="1"/>
  <c r="AG1989" i="7"/>
  <c r="AH1989" i="7"/>
  <c r="AJ1989" i="7"/>
  <c r="AF2033" i="7"/>
  <c r="AI2033" i="7" s="1"/>
  <c r="AG2033" i="7"/>
  <c r="AH2033" i="7"/>
  <c r="AJ2033" i="7"/>
  <c r="AF2319" i="7"/>
  <c r="AI2319" i="7" s="1"/>
  <c r="AG2319" i="7"/>
  <c r="AH2319" i="7"/>
  <c r="AJ2319" i="7"/>
  <c r="AF2115" i="7"/>
  <c r="AI2115" i="7" s="1"/>
  <c r="AG2115" i="7"/>
  <c r="AH2115" i="7"/>
  <c r="AJ2115" i="7"/>
  <c r="AF2152" i="7"/>
  <c r="AI2152" i="7" s="1"/>
  <c r="AG2152" i="7"/>
  <c r="AH2152" i="7"/>
  <c r="AJ2152" i="7"/>
  <c r="AF2189" i="7"/>
  <c r="AI2189" i="7" s="1"/>
  <c r="AG2189" i="7"/>
  <c r="AH2189" i="7"/>
  <c r="AJ2189" i="7"/>
  <c r="AF2227" i="7"/>
  <c r="AI2227" i="7" s="1"/>
  <c r="AG2227" i="7"/>
  <c r="AH2227" i="7"/>
  <c r="AJ2227" i="7"/>
  <c r="AF2254" i="7"/>
  <c r="AI2254" i="7" s="1"/>
  <c r="AG2254" i="7"/>
  <c r="AH2254" i="7"/>
  <c r="AJ2254" i="7"/>
  <c r="AF2281" i="7"/>
  <c r="AI2281" i="7" s="1"/>
  <c r="AG2281" i="7"/>
  <c r="AH2281" i="7"/>
  <c r="AJ2281" i="7"/>
  <c r="AF2434" i="7"/>
  <c r="AI2434" i="7" s="1"/>
  <c r="AG2434" i="7"/>
  <c r="AH2434" i="7"/>
  <c r="AJ2434" i="7"/>
  <c r="AF2342" i="7"/>
  <c r="AI2342" i="7" s="1"/>
  <c r="AG2342" i="7"/>
  <c r="AH2342" i="7"/>
  <c r="AJ2342" i="7"/>
  <c r="AF2365" i="7"/>
  <c r="AI2365" i="7" s="1"/>
  <c r="AG2365" i="7"/>
  <c r="AH2365" i="7"/>
  <c r="AJ2365" i="7"/>
  <c r="AF2388" i="7"/>
  <c r="AI2388" i="7" s="1"/>
  <c r="AG2388" i="7"/>
  <c r="AH2388" i="7"/>
  <c r="AJ2388" i="7"/>
  <c r="AF2411" i="7"/>
  <c r="AI2411" i="7" s="1"/>
  <c r="AG2411" i="7"/>
  <c r="AH2411" i="7"/>
  <c r="AJ2411" i="7"/>
  <c r="AF2562" i="7"/>
  <c r="AI2562" i="7" s="1"/>
  <c r="AG2562" i="7"/>
  <c r="AH2562" i="7"/>
  <c r="AJ2562" i="7"/>
  <c r="AF2450" i="7"/>
  <c r="AI2450" i="7" s="1"/>
  <c r="AG2450" i="7"/>
  <c r="AH2450" i="7"/>
  <c r="AJ2450" i="7"/>
  <c r="AF2466" i="7"/>
  <c r="AI2466" i="7" s="1"/>
  <c r="AG2466" i="7"/>
  <c r="AH2466" i="7"/>
  <c r="AJ2466" i="7"/>
  <c r="AF2482" i="7"/>
  <c r="AI2482" i="7" s="1"/>
  <c r="AG2482" i="7"/>
  <c r="AH2482" i="7"/>
  <c r="AJ2482" i="7"/>
  <c r="AF2498" i="7"/>
  <c r="AI2498" i="7" s="1"/>
  <c r="AG2498" i="7"/>
  <c r="AH2498" i="7"/>
  <c r="AJ2498" i="7"/>
  <c r="AF2514" i="7"/>
  <c r="AI2514" i="7" s="1"/>
  <c r="AG2514" i="7"/>
  <c r="AH2514" i="7"/>
  <c r="AJ2514" i="7"/>
  <c r="AF2530" i="7"/>
  <c r="AI2530" i="7" s="1"/>
  <c r="AG2530" i="7"/>
  <c r="AH2530" i="7"/>
  <c r="AJ2530" i="7"/>
  <c r="AF2546" i="7"/>
  <c r="AI2546" i="7" s="1"/>
  <c r="AG2546" i="7"/>
  <c r="AH2546" i="7"/>
  <c r="AJ2546" i="7"/>
  <c r="AF3169" i="7"/>
  <c r="AI3169" i="7" s="1"/>
  <c r="AG3169" i="7"/>
  <c r="AH3169" i="7"/>
  <c r="AJ3169" i="7"/>
  <c r="AF3264" i="7"/>
  <c r="AI3264" i="7" s="1"/>
  <c r="AG3264" i="7"/>
  <c r="AH3264" i="7"/>
  <c r="AJ3264" i="7"/>
  <c r="AF3359" i="7"/>
  <c r="AI3359" i="7" s="1"/>
  <c r="AG3359" i="7"/>
  <c r="AH3359" i="7"/>
  <c r="AJ3359" i="7"/>
  <c r="AF3454" i="7"/>
  <c r="AI3454" i="7" s="1"/>
  <c r="AG3454" i="7"/>
  <c r="AH3454" i="7"/>
  <c r="AJ3454" i="7"/>
  <c r="AF3548" i="7"/>
  <c r="AI3548" i="7" s="1"/>
  <c r="AG3548" i="7"/>
  <c r="AH3548" i="7"/>
  <c r="AJ3548" i="7"/>
  <c r="AF3628" i="7"/>
  <c r="AI3628" i="7" s="1"/>
  <c r="AG3628" i="7"/>
  <c r="AH3628" i="7"/>
  <c r="AJ3628" i="7"/>
  <c r="AF3708" i="7"/>
  <c r="AI3708" i="7" s="1"/>
  <c r="AG3708" i="7"/>
  <c r="AH3708" i="7"/>
  <c r="AJ3708" i="7"/>
  <c r="AF3788" i="7"/>
  <c r="AI3788" i="7" s="1"/>
  <c r="AG3788" i="7"/>
  <c r="AH3788" i="7"/>
  <c r="AJ3788" i="7"/>
  <c r="AF3867" i="7"/>
  <c r="AI3867" i="7" s="1"/>
  <c r="AG3867" i="7"/>
  <c r="AH3867" i="7"/>
  <c r="AJ3867" i="7"/>
  <c r="AF3946" i="7"/>
  <c r="AI3946" i="7" s="1"/>
  <c r="AG3946" i="7"/>
  <c r="AH3946" i="7"/>
  <c r="AJ3946" i="7"/>
  <c r="AF4025" i="7"/>
  <c r="AI4025" i="7" s="1"/>
  <c r="AG4025" i="7"/>
  <c r="AH4025" i="7"/>
  <c r="AJ4025" i="7"/>
  <c r="AF4145" i="7"/>
  <c r="AI4145" i="7" s="1"/>
  <c r="AG4145" i="7"/>
  <c r="AH4145" i="7"/>
  <c r="AJ4145" i="7"/>
  <c r="AF4404" i="7"/>
  <c r="AI4404" i="7" s="1"/>
  <c r="AG4404" i="7"/>
  <c r="AH4404" i="7"/>
  <c r="AJ4404" i="7"/>
  <c r="AF4420" i="7"/>
  <c r="AI4420" i="7" s="1"/>
  <c r="AG4420" i="7"/>
  <c r="AH4420" i="7"/>
  <c r="AJ4420" i="7"/>
  <c r="AF4443" i="7"/>
  <c r="AI4443" i="7" s="1"/>
  <c r="AG4443" i="7"/>
  <c r="AH4443" i="7"/>
  <c r="AJ4443" i="7"/>
  <c r="AF4471" i="7"/>
  <c r="AI4471" i="7" s="1"/>
  <c r="AG4471" i="7"/>
  <c r="AH4471" i="7"/>
  <c r="AJ4471" i="7"/>
  <c r="AF4506" i="7"/>
  <c r="AI4506" i="7" s="1"/>
  <c r="AG4506" i="7"/>
  <c r="AH4506" i="7"/>
  <c r="AJ4506" i="7"/>
  <c r="AF4909" i="7"/>
  <c r="AI4909" i="7" s="1"/>
  <c r="AG4909" i="7"/>
  <c r="AH4909" i="7"/>
  <c r="AJ4909" i="7"/>
  <c r="L2078" i="7"/>
  <c r="N2078" i="7" s="1"/>
  <c r="L1989" i="7"/>
  <c r="N1989" i="7" s="1"/>
  <c r="O1989" i="7" s="1"/>
  <c r="L2033" i="7"/>
  <c r="N2033" i="7" s="1"/>
  <c r="O2033" i="7" s="1"/>
  <c r="L2319" i="7"/>
  <c r="N2319" i="7" s="1"/>
  <c r="L2115" i="7"/>
  <c r="N2115" i="7" s="1"/>
  <c r="O2115" i="7" s="1"/>
  <c r="L2152" i="7"/>
  <c r="N2152" i="7" s="1"/>
  <c r="O2152" i="7" s="1"/>
  <c r="L2189" i="7"/>
  <c r="N2189" i="7" s="1"/>
  <c r="O2189" i="7" s="1"/>
  <c r="L2227" i="7"/>
  <c r="N2227" i="7" s="1"/>
  <c r="O2227" i="7" s="1"/>
  <c r="L2254" i="7"/>
  <c r="N2254" i="7" s="1"/>
  <c r="O2254" i="7" s="1"/>
  <c r="L2281" i="7"/>
  <c r="N2281" i="7" s="1"/>
  <c r="O2281" i="7" s="1"/>
  <c r="L2434" i="7"/>
  <c r="N2434" i="7" s="1"/>
  <c r="L2342" i="7"/>
  <c r="N2342" i="7" s="1"/>
  <c r="O2342" i="7" s="1"/>
  <c r="L2365" i="7"/>
  <c r="N2365" i="7" s="1"/>
  <c r="O2365" i="7" s="1"/>
  <c r="L2388" i="7"/>
  <c r="N2388" i="7" s="1"/>
  <c r="O2388" i="7" s="1"/>
  <c r="L2411" i="7"/>
  <c r="N2411" i="7" s="1"/>
  <c r="O2411" i="7" s="1"/>
  <c r="L2562" i="7"/>
  <c r="N2562" i="7" s="1"/>
  <c r="L2450" i="7"/>
  <c r="N2450" i="7" s="1"/>
  <c r="O2450" i="7" s="1"/>
  <c r="L2466" i="7"/>
  <c r="N2466" i="7" s="1"/>
  <c r="O2466" i="7" s="1"/>
  <c r="L2482" i="7"/>
  <c r="N2482" i="7" s="1"/>
  <c r="O2482" i="7" s="1"/>
  <c r="L2498" i="7"/>
  <c r="N2498" i="7" s="1"/>
  <c r="O2498" i="7" s="1"/>
  <c r="L2514" i="7"/>
  <c r="N2514" i="7" s="1"/>
  <c r="O2514" i="7" s="1"/>
  <c r="L2530" i="7"/>
  <c r="N2530" i="7" s="1"/>
  <c r="O2530" i="7" s="1"/>
  <c r="L2546" i="7"/>
  <c r="N2546" i="7" s="1"/>
  <c r="O2546" i="7" s="1"/>
  <c r="L3169" i="7"/>
  <c r="N3169" i="7" s="1"/>
  <c r="O3169" i="7" s="1"/>
  <c r="L3264" i="7"/>
  <c r="N3264" i="7" s="1"/>
  <c r="L3359" i="7"/>
  <c r="N3359" i="7" s="1"/>
  <c r="O3359" i="7" s="1"/>
  <c r="L3454" i="7"/>
  <c r="N3454" i="7" s="1"/>
  <c r="O3454" i="7" s="1"/>
  <c r="L3548" i="7"/>
  <c r="N3548" i="7" s="1"/>
  <c r="O3548" i="7" s="1"/>
  <c r="L3628" i="7"/>
  <c r="N3628" i="7" s="1"/>
  <c r="O3628" i="7" s="1"/>
  <c r="L3708" i="7"/>
  <c r="N3708" i="7" s="1"/>
  <c r="O3708" i="7" s="1"/>
  <c r="L3788" i="7"/>
  <c r="N3788" i="7" s="1"/>
  <c r="O3788" i="7" s="1"/>
  <c r="L3867" i="7"/>
  <c r="N3867" i="7" s="1"/>
  <c r="O3867" i="7" s="1"/>
  <c r="L3946" i="7"/>
  <c r="N3946" i="7" s="1"/>
  <c r="O3946" i="7" s="1"/>
  <c r="L4025" i="7"/>
  <c r="N4025" i="7" s="1"/>
  <c r="O4025" i="7" s="1"/>
  <c r="L4145" i="7"/>
  <c r="L4404" i="7"/>
  <c r="N4404" i="7" s="1"/>
  <c r="L4420" i="7"/>
  <c r="N4420" i="7" s="1"/>
  <c r="L4443" i="7"/>
  <c r="N4443" i="7" s="1"/>
  <c r="L4471" i="7"/>
  <c r="N4471" i="7" s="1"/>
  <c r="L4506" i="7"/>
  <c r="N4506" i="7" s="1"/>
  <c r="L4662" i="7"/>
  <c r="L4859" i="7"/>
  <c r="N4859" i="7" s="1"/>
  <c r="L4909" i="7"/>
  <c r="N4909" i="7" s="1"/>
  <c r="L217" i="7"/>
  <c r="M3169" i="7"/>
  <c r="M3548" i="7"/>
  <c r="M2450" i="7"/>
  <c r="M2434" i="7"/>
  <c r="M4909" i="7"/>
  <c r="M3867" i="7"/>
  <c r="M2281" i="7"/>
  <c r="M2498" i="7"/>
  <c r="M2546" i="7"/>
  <c r="M2033" i="7"/>
  <c r="M2411" i="7"/>
  <c r="M4662" i="7"/>
  <c r="M2227" i="7"/>
  <c r="M4420" i="7"/>
  <c r="M4025" i="7"/>
  <c r="M2254" i="7"/>
  <c r="M1989" i="7"/>
  <c r="M4404" i="7"/>
  <c r="M2365" i="7"/>
  <c r="N4662" i="7" l="1"/>
  <c r="AG4908" i="7"/>
  <c r="AG4907" i="7"/>
  <c r="AG4906" i="7"/>
  <c r="AG4905" i="7"/>
  <c r="AG4904" i="7"/>
  <c r="AG4903" i="7"/>
  <c r="AG4902" i="7"/>
  <c r="AG4901" i="7"/>
  <c r="AG4900" i="7"/>
  <c r="AG4899" i="7"/>
  <c r="AG4898" i="7"/>
  <c r="AG4897" i="7"/>
  <c r="AG4896" i="7"/>
  <c r="AG4895" i="7"/>
  <c r="AG4894" i="7"/>
  <c r="AG4893" i="7"/>
  <c r="AG4892" i="7"/>
  <c r="AG4891" i="7"/>
  <c r="AG4890" i="7"/>
  <c r="AG4889" i="7"/>
  <c r="AG4888" i="7"/>
  <c r="AG4887" i="7"/>
  <c r="AG4886" i="7"/>
  <c r="AG4885" i="7"/>
  <c r="AG4884" i="7"/>
  <c r="AG4883" i="7"/>
  <c r="AG4882" i="7"/>
  <c r="AG4881" i="7"/>
  <c r="AG4880" i="7"/>
  <c r="AG4879" i="7"/>
  <c r="AG4878" i="7"/>
  <c r="AG4877" i="7"/>
  <c r="AG4876" i="7"/>
  <c r="AG4875" i="7"/>
  <c r="AG4874" i="7"/>
  <c r="AG4873" i="7"/>
  <c r="AG4872" i="7"/>
  <c r="AG4871" i="7"/>
  <c r="AG4870" i="7"/>
  <c r="AG4858" i="7"/>
  <c r="AG4857" i="7"/>
  <c r="AG4856" i="7"/>
  <c r="AG4855" i="7"/>
  <c r="AG4854" i="7"/>
  <c r="AG4853" i="7"/>
  <c r="AG4852" i="7"/>
  <c r="AG4851" i="7"/>
  <c r="AG4850" i="7"/>
  <c r="AG4849" i="7"/>
  <c r="AG4848" i="7"/>
  <c r="AG4847" i="7"/>
  <c r="AG4846" i="7"/>
  <c r="AG4845" i="7"/>
  <c r="AG4844" i="7"/>
  <c r="AG4843" i="7"/>
  <c r="AG4842" i="7"/>
  <c r="AG4841" i="7"/>
  <c r="AG4840" i="7"/>
  <c r="AG4839" i="7"/>
  <c r="AG4838" i="7"/>
  <c r="AG4837" i="7"/>
  <c r="AG4836" i="7"/>
  <c r="AG4835" i="7"/>
  <c r="AG4834" i="7"/>
  <c r="AG4833" i="7"/>
  <c r="AG4832" i="7"/>
  <c r="AG4831" i="7"/>
  <c r="AG4830" i="7"/>
  <c r="AG4829" i="7"/>
  <c r="AG4828" i="7"/>
  <c r="AG4827" i="7"/>
  <c r="AG4826" i="7"/>
  <c r="AG4825" i="7"/>
  <c r="AG4824" i="7"/>
  <c r="AG4823" i="7"/>
  <c r="AG4822" i="7"/>
  <c r="AG4821" i="7"/>
  <c r="AG4820" i="7"/>
  <c r="AG4819" i="7"/>
  <c r="AG4818" i="7"/>
  <c r="AG4817" i="7"/>
  <c r="AG4816" i="7"/>
  <c r="AG4815" i="7"/>
  <c r="AG4814" i="7"/>
  <c r="AG4813" i="7"/>
  <c r="AG4812" i="7"/>
  <c r="AG4811" i="7"/>
  <c r="AG4810" i="7"/>
  <c r="AG4809" i="7"/>
  <c r="AG4808" i="7"/>
  <c r="AG4807" i="7"/>
  <c r="AG4806" i="7"/>
  <c r="AG4805" i="7"/>
  <c r="AG4804" i="7"/>
  <c r="AG4803" i="7"/>
  <c r="AG4802" i="7"/>
  <c r="AG4801" i="7"/>
  <c r="AG4800" i="7"/>
  <c r="AG4799" i="7"/>
  <c r="AG4798" i="7"/>
  <c r="AG4797" i="7"/>
  <c r="AG4796" i="7"/>
  <c r="AG4795" i="7"/>
  <c r="AG4794" i="7"/>
  <c r="AG4793" i="7"/>
  <c r="AG4792" i="7"/>
  <c r="AG4791" i="7"/>
  <c r="AG4790" i="7"/>
  <c r="AG4789" i="7"/>
  <c r="AG4788" i="7"/>
  <c r="AG4787" i="7"/>
  <c r="AG4786" i="7"/>
  <c r="AG4785" i="7"/>
  <c r="AG4784" i="7"/>
  <c r="AG4783" i="7"/>
  <c r="AG4782" i="7"/>
  <c r="AG4781" i="7"/>
  <c r="AG4780" i="7"/>
  <c r="AG4779" i="7"/>
  <c r="AG4778" i="7"/>
  <c r="AG4777" i="7"/>
  <c r="AG4776" i="7"/>
  <c r="AG4775" i="7"/>
  <c r="AG4774" i="7"/>
  <c r="AG4773" i="7"/>
  <c r="AG4772" i="7"/>
  <c r="AG4771" i="7"/>
  <c r="AG4770" i="7"/>
  <c r="AG4769" i="7"/>
  <c r="AG4768" i="7"/>
  <c r="AG4767" i="7"/>
  <c r="AG4766" i="7"/>
  <c r="AG4765" i="7"/>
  <c r="AG4764" i="7"/>
  <c r="AG4763" i="7"/>
  <c r="AG4762" i="7"/>
  <c r="AG4761" i="7"/>
  <c r="AG4760" i="7"/>
  <c r="AG4759" i="7"/>
  <c r="AG4758" i="7"/>
  <c r="AG4757" i="7"/>
  <c r="AG4756" i="7"/>
  <c r="AG4755" i="7"/>
  <c r="AG4754" i="7"/>
  <c r="AG4753" i="7"/>
  <c r="AG4752" i="7"/>
  <c r="AG4751" i="7"/>
  <c r="AG4750" i="7"/>
  <c r="AG4749" i="7"/>
  <c r="AG4748" i="7"/>
  <c r="AG4747" i="7"/>
  <c r="AG4746" i="7"/>
  <c r="AG4745" i="7"/>
  <c r="AG4744" i="7"/>
  <c r="AG4743" i="7"/>
  <c r="AG4742" i="7"/>
  <c r="AG4741" i="7"/>
  <c r="AG4740" i="7"/>
  <c r="AG4739" i="7"/>
  <c r="AG4738" i="7"/>
  <c r="AG4737" i="7"/>
  <c r="AG4736" i="7"/>
  <c r="AG4735" i="7"/>
  <c r="AG4734" i="7"/>
  <c r="AG4733" i="7"/>
  <c r="AG4732" i="7"/>
  <c r="AG4731" i="7"/>
  <c r="AG4730" i="7"/>
  <c r="AG4729" i="7"/>
  <c r="AG4728" i="7"/>
  <c r="AG4727" i="7"/>
  <c r="AG4726" i="7"/>
  <c r="AG4725" i="7"/>
  <c r="AG4724" i="7"/>
  <c r="AG4723" i="7"/>
  <c r="AG4722" i="7"/>
  <c r="AG4721" i="7"/>
  <c r="AG4720" i="7"/>
  <c r="AG4719" i="7"/>
  <c r="AG4718" i="7"/>
  <c r="AG4717" i="7"/>
  <c r="AG4716" i="7"/>
  <c r="AG4715" i="7"/>
  <c r="AG4714" i="7"/>
  <c r="AG4713" i="7"/>
  <c r="AG4712" i="7"/>
  <c r="AG4711" i="7"/>
  <c r="AG4710" i="7"/>
  <c r="AG4709" i="7"/>
  <c r="AG4708" i="7"/>
  <c r="AG4707" i="7"/>
  <c r="AG4706" i="7"/>
  <c r="AG4705" i="7"/>
  <c r="AG4704" i="7"/>
  <c r="AG4703" i="7"/>
  <c r="AG4702" i="7"/>
  <c r="AG4701" i="7"/>
  <c r="AG4700" i="7"/>
  <c r="AG4699" i="7"/>
  <c r="AG4698" i="7"/>
  <c r="AG4697" i="7"/>
  <c r="AG4696" i="7"/>
  <c r="AG4694" i="7"/>
  <c r="AG4693" i="7"/>
  <c r="AG4692" i="7"/>
  <c r="AG4691" i="7"/>
  <c r="AG4683" i="7"/>
  <c r="AG4682" i="7"/>
  <c r="AG4681" i="7"/>
  <c r="AG4680" i="7"/>
  <c r="AG4679" i="7"/>
  <c r="AG4678" i="7"/>
  <c r="AG4677" i="7"/>
  <c r="AG4676" i="7"/>
  <c r="AG4675" i="7"/>
  <c r="AG4674" i="7"/>
  <c r="AG4661" i="7"/>
  <c r="AG4660" i="7"/>
  <c r="AG4659" i="7"/>
  <c r="AG4650" i="7"/>
  <c r="AG4649" i="7"/>
  <c r="AG4648" i="7"/>
  <c r="AG4647" i="7"/>
  <c r="AG4646" i="7"/>
  <c r="AG4645" i="7"/>
  <c r="AG4644" i="7"/>
  <c r="AG4643" i="7"/>
  <c r="AG4642" i="7"/>
  <c r="AG4641" i="7"/>
  <c r="AG4640" i="7"/>
  <c r="AG4639" i="7"/>
  <c r="AG4638" i="7"/>
  <c r="AG4637" i="7"/>
  <c r="AG4636" i="7"/>
  <c r="AG4635" i="7"/>
  <c r="AG4634" i="7"/>
  <c r="AG4633" i="7"/>
  <c r="AG4632" i="7"/>
  <c r="AG4631" i="7"/>
  <c r="AG4630" i="7"/>
  <c r="AG4629" i="7"/>
  <c r="AG4628" i="7"/>
  <c r="AG4627" i="7"/>
  <c r="AG4626" i="7"/>
  <c r="AG4625" i="7"/>
  <c r="AG4624" i="7"/>
  <c r="AG4623" i="7"/>
  <c r="AG4622" i="7"/>
  <c r="AG4621" i="7"/>
  <c r="AG4620" i="7"/>
  <c r="AG4619" i="7"/>
  <c r="AG4618" i="7"/>
  <c r="AG4617" i="7"/>
  <c r="AG4616" i="7"/>
  <c r="AG4615" i="7"/>
  <c r="AG4614" i="7"/>
  <c r="AG4613" i="7"/>
  <c r="AG4612" i="7"/>
  <c r="AG4611" i="7"/>
  <c r="AG4610" i="7"/>
  <c r="AG4609" i="7"/>
  <c r="AG4608" i="7"/>
  <c r="AG4607" i="7"/>
  <c r="AG4606" i="7"/>
  <c r="AG4605" i="7"/>
  <c r="AG4604" i="7"/>
  <c r="AG4603" i="7"/>
  <c r="AG4602" i="7"/>
  <c r="AG4601" i="7"/>
  <c r="AG4600" i="7"/>
  <c r="AG4599" i="7"/>
  <c r="AG4598" i="7"/>
  <c r="AG4597" i="7"/>
  <c r="AG4596" i="7"/>
  <c r="AG4595" i="7"/>
  <c r="AG4594" i="7"/>
  <c r="AG4593" i="7"/>
  <c r="AG4592" i="7"/>
  <c r="AG4591" i="7"/>
  <c r="AG4590" i="7"/>
  <c r="AG4589" i="7"/>
  <c r="AG4588" i="7"/>
  <c r="AG4586" i="7"/>
  <c r="AG4585" i="7"/>
  <c r="AG4584" i="7"/>
  <c r="AG4583" i="7"/>
  <c r="AG4582" i="7"/>
  <c r="AG4581" i="7"/>
  <c r="AG4580" i="7"/>
  <c r="AG4579" i="7"/>
  <c r="AG4578" i="7"/>
  <c r="AG4577" i="7"/>
  <c r="AG4576" i="7"/>
  <c r="AG4575" i="7"/>
  <c r="AG4574" i="7"/>
  <c r="AG4573" i="7"/>
  <c r="AG4572" i="7"/>
  <c r="AG4571" i="7"/>
  <c r="AG4570" i="7"/>
  <c r="AG4569" i="7"/>
  <c r="AG4568" i="7"/>
  <c r="AG4567" i="7"/>
  <c r="AG4566" i="7"/>
  <c r="AG4565" i="7"/>
  <c r="AG4564" i="7"/>
  <c r="AG4563" i="7"/>
  <c r="AG4562" i="7"/>
  <c r="AG4561" i="7"/>
  <c r="AG4560" i="7"/>
  <c r="AG4559" i="7"/>
  <c r="AG4558" i="7"/>
  <c r="AG4557" i="7"/>
  <c r="AG4556" i="7"/>
  <c r="AG4555" i="7"/>
  <c r="AG4554" i="7"/>
  <c r="AG4553" i="7"/>
  <c r="AG4552" i="7"/>
  <c r="AG4551" i="7"/>
  <c r="AG4550" i="7"/>
  <c r="AG4549" i="7"/>
  <c r="AG4548" i="7"/>
  <c r="AG4547" i="7"/>
  <c r="AG4546" i="7"/>
  <c r="AG4545" i="7"/>
  <c r="AG4544" i="7"/>
  <c r="AG4543" i="7"/>
  <c r="AG4541" i="7"/>
  <c r="AG4540" i="7"/>
  <c r="AG4539" i="7"/>
  <c r="AG4538" i="7"/>
  <c r="AG4537" i="7"/>
  <c r="AG4536" i="7"/>
  <c r="AG4535" i="7"/>
  <c r="AG4534" i="7"/>
  <c r="AG4533" i="7"/>
  <c r="AG4532" i="7"/>
  <c r="AG4531" i="7"/>
  <c r="AG4530" i="7"/>
  <c r="AG4529" i="7"/>
  <c r="AG4528" i="7"/>
  <c r="AG4527" i="7"/>
  <c r="AG4526" i="7"/>
  <c r="AG4525" i="7"/>
  <c r="AG4524" i="7"/>
  <c r="AG4523" i="7"/>
  <c r="AG4522" i="7"/>
  <c r="AG4521" i="7"/>
  <c r="AG4520" i="7"/>
  <c r="AG4519" i="7"/>
  <c r="AG4518" i="7"/>
  <c r="AG4517" i="7"/>
  <c r="AG4516" i="7"/>
  <c r="AG4515" i="7"/>
  <c r="AG4514" i="7"/>
  <c r="AG4513" i="7"/>
  <c r="AG4512" i="7"/>
  <c r="AG4511" i="7"/>
  <c r="AG4510" i="7"/>
  <c r="AG4509" i="7"/>
  <c r="AG4508" i="7"/>
  <c r="AG4507" i="7"/>
  <c r="AG4505" i="7"/>
  <c r="AG4504" i="7"/>
  <c r="AG4503" i="7"/>
  <c r="AG4502" i="7"/>
  <c r="AG4501" i="7"/>
  <c r="AG4500" i="7"/>
  <c r="AG4495" i="7"/>
  <c r="AG4494" i="7"/>
  <c r="AG4493" i="7"/>
  <c r="AG4492" i="7"/>
  <c r="AG4491" i="7"/>
  <c r="AG4490" i="7"/>
  <c r="AG4489" i="7"/>
  <c r="AG4488" i="7"/>
  <c r="AG4487" i="7"/>
  <c r="AG4486" i="7"/>
  <c r="AG4485" i="7"/>
  <c r="AG4484" i="7"/>
  <c r="AG4483" i="7"/>
  <c r="AG4482" i="7"/>
  <c r="AG4481" i="7"/>
  <c r="AG4480" i="7"/>
  <c r="AG4479" i="7"/>
  <c r="AG4478" i="7"/>
  <c r="AG4477" i="7"/>
  <c r="AG4476" i="7"/>
  <c r="AG4475" i="7"/>
  <c r="AG4474" i="7"/>
  <c r="AG4473" i="7"/>
  <c r="AG4472" i="7"/>
  <c r="AG4470" i="7"/>
  <c r="AG4469" i="7"/>
  <c r="AG4468" i="7"/>
  <c r="AG4467" i="7"/>
  <c r="AG4466" i="7"/>
  <c r="AG4465" i="7"/>
  <c r="AG4464" i="7"/>
  <c r="AG4463" i="7"/>
  <c r="AG4462" i="7"/>
  <c r="AG4461" i="7"/>
  <c r="AG4460" i="7"/>
  <c r="AG4459" i="7"/>
  <c r="AG4458" i="7"/>
  <c r="AG4457" i="7"/>
  <c r="AG4456" i="7"/>
  <c r="AG4455" i="7"/>
  <c r="AG4454" i="7"/>
  <c r="AG4453" i="7"/>
  <c r="AG4452" i="7"/>
  <c r="AG4451" i="7"/>
  <c r="AG4450" i="7"/>
  <c r="AG4449" i="7"/>
  <c r="AG4448" i="7"/>
  <c r="AG4447" i="7"/>
  <c r="AG4446" i="7"/>
  <c r="AG4445" i="7"/>
  <c r="AG4444" i="7"/>
  <c r="AG4442" i="7"/>
  <c r="AG4441" i="7"/>
  <c r="AG4440" i="7"/>
  <c r="AG4439" i="7"/>
  <c r="AG4438" i="7"/>
  <c r="AG4437" i="7"/>
  <c r="AG4436" i="7"/>
  <c r="AG4435" i="7"/>
  <c r="AG4434" i="7"/>
  <c r="AG4433" i="7"/>
  <c r="AG4432" i="7"/>
  <c r="AG4431" i="7"/>
  <c r="AG4430" i="7"/>
  <c r="AG4429" i="7"/>
  <c r="AG4428" i="7"/>
  <c r="AG4427" i="7"/>
  <c r="AG4426" i="7"/>
  <c r="AG4425" i="7"/>
  <c r="AG4424" i="7"/>
  <c r="AG4423" i="7"/>
  <c r="AG4422" i="7"/>
  <c r="AG4421" i="7"/>
  <c r="AG4419" i="7"/>
  <c r="AG4418" i="7"/>
  <c r="AG4417" i="7"/>
  <c r="AG4416" i="7"/>
  <c r="AG4415" i="7"/>
  <c r="AG4414" i="7"/>
  <c r="AG4413" i="7"/>
  <c r="AG4412" i="7"/>
  <c r="AG4411" i="7"/>
  <c r="AG4410" i="7"/>
  <c r="AG4409" i="7"/>
  <c r="AG4408" i="7"/>
  <c r="AG4407" i="7"/>
  <c r="AG4406" i="7"/>
  <c r="AG4405" i="7"/>
  <c r="AG4403" i="7"/>
  <c r="AG4402" i="7"/>
  <c r="AG4401" i="7"/>
  <c r="AG4400" i="7"/>
  <c r="AG4392" i="7"/>
  <c r="AG4391" i="7"/>
  <c r="AG4390" i="7"/>
  <c r="AG4389" i="7"/>
  <c r="AG4388" i="7"/>
  <c r="AG4387" i="7"/>
  <c r="AG4386" i="7"/>
  <c r="AG4385" i="7"/>
  <c r="AG4384" i="7"/>
  <c r="AG4383" i="7"/>
  <c r="AG4382" i="7"/>
  <c r="AG4381" i="7"/>
  <c r="AG4380" i="7"/>
  <c r="AG4379" i="7"/>
  <c r="AG4378" i="7"/>
  <c r="AG4377" i="7"/>
  <c r="AG4376" i="7"/>
  <c r="AG4375" i="7"/>
  <c r="AG4374" i="7"/>
  <c r="AG4373" i="7"/>
  <c r="AG4372" i="7"/>
  <c r="AG4371" i="7"/>
  <c r="AG4370" i="7"/>
  <c r="AG4369" i="7"/>
  <c r="AG4368" i="7"/>
  <c r="AG4367" i="7"/>
  <c r="AG4366" i="7"/>
  <c r="AG4365" i="7"/>
  <c r="AG4363" i="7"/>
  <c r="AG4362" i="7"/>
  <c r="AG4361" i="7"/>
  <c r="AG4352" i="7"/>
  <c r="AG4351" i="7"/>
  <c r="AG4350" i="7"/>
  <c r="AG4349" i="7"/>
  <c r="AG4348" i="7"/>
  <c r="AG4347" i="7"/>
  <c r="AG4346" i="7"/>
  <c r="AG4345" i="7"/>
  <c r="AG4344" i="7"/>
  <c r="AG4343" i="7"/>
  <c r="AG4342" i="7"/>
  <c r="AG4341" i="7"/>
  <c r="AG4340" i="7"/>
  <c r="AG4339" i="7"/>
  <c r="AG4338" i="7"/>
  <c r="AG4337" i="7"/>
  <c r="AG4336" i="7"/>
  <c r="AG4335" i="7"/>
  <c r="AG4334" i="7"/>
  <c r="AG4333" i="7"/>
  <c r="AG4332" i="7"/>
  <c r="AG4331" i="7"/>
  <c r="AG4330" i="7"/>
  <c r="AG4329" i="7"/>
  <c r="AG4328" i="7"/>
  <c r="AG4327" i="7"/>
  <c r="AG4326" i="7"/>
  <c r="AG4325" i="7"/>
  <c r="AG4324" i="7"/>
  <c r="AG4323" i="7"/>
  <c r="AG4322" i="7"/>
  <c r="AG4321" i="7"/>
  <c r="AG4320" i="7"/>
  <c r="AG4319" i="7"/>
  <c r="AG4318" i="7"/>
  <c r="AG4317" i="7"/>
  <c r="AG4316" i="7"/>
  <c r="AG4315" i="7"/>
  <c r="AG4314" i="7"/>
  <c r="AG4313" i="7"/>
  <c r="AG4312" i="7"/>
  <c r="AG4311" i="7"/>
  <c r="AG4310" i="7"/>
  <c r="AG4309" i="7"/>
  <c r="AG4308" i="7"/>
  <c r="AG4307" i="7"/>
  <c r="AG4306" i="7"/>
  <c r="AG4305" i="7"/>
  <c r="AG4304" i="7"/>
  <c r="AG4303" i="7"/>
  <c r="AG4302" i="7"/>
  <c r="AG4301" i="7"/>
  <c r="AG4300" i="7"/>
  <c r="AG4299" i="7"/>
  <c r="AG4298" i="7"/>
  <c r="AG4297" i="7"/>
  <c r="AG4296" i="7"/>
  <c r="AG4295" i="7"/>
  <c r="AG4294" i="7"/>
  <c r="AG4293" i="7"/>
  <c r="AG4292" i="7"/>
  <c r="AG4291" i="7"/>
  <c r="AG4290" i="7"/>
  <c r="AG4289" i="7"/>
  <c r="AG4288" i="7"/>
  <c r="AG4287" i="7"/>
  <c r="AG4286" i="7"/>
  <c r="AG4285" i="7"/>
  <c r="AG4284" i="7"/>
  <c r="AG4283" i="7"/>
  <c r="AG4282" i="7"/>
  <c r="AG4281" i="7"/>
  <c r="AG4280" i="7"/>
  <c r="AG4279" i="7"/>
  <c r="AG4278" i="7"/>
  <c r="AG4277" i="7"/>
  <c r="AG4276" i="7"/>
  <c r="AG4275" i="7"/>
  <c r="AG4274" i="7"/>
  <c r="AG4273" i="7"/>
  <c r="AG4272" i="7"/>
  <c r="AG4271" i="7"/>
  <c r="AG4270" i="7"/>
  <c r="AG4269" i="7"/>
  <c r="AG4268" i="7"/>
  <c r="AG4267" i="7"/>
  <c r="AG4266" i="7"/>
  <c r="AG4265" i="7"/>
  <c r="AG4264" i="7"/>
  <c r="AG4263" i="7"/>
  <c r="AG4262" i="7"/>
  <c r="AG4261" i="7"/>
  <c r="AG4260" i="7"/>
  <c r="AG4259" i="7"/>
  <c r="AG4258" i="7"/>
  <c r="AG4257" i="7"/>
  <c r="AG4256" i="7"/>
  <c r="AG4255" i="7"/>
  <c r="AG4254" i="7"/>
  <c r="AG4253" i="7"/>
  <c r="AG4252" i="7"/>
  <c r="AG4251" i="7"/>
  <c r="AG4250" i="7"/>
  <c r="AG4249" i="7"/>
  <c r="AG4248" i="7"/>
  <c r="AG4247" i="7"/>
  <c r="AG4246" i="7"/>
  <c r="AG4245" i="7"/>
  <c r="AG4244" i="7"/>
  <c r="AG4243" i="7"/>
  <c r="AG4242" i="7"/>
  <c r="AG4241" i="7"/>
  <c r="AG4240" i="7"/>
  <c r="AG4239" i="7"/>
  <c r="AG4238" i="7"/>
  <c r="AG4237" i="7"/>
  <c r="AG4236" i="7"/>
  <c r="AG4235" i="7"/>
  <c r="AG4234" i="7"/>
  <c r="AG4233" i="7"/>
  <c r="AG4232" i="7"/>
  <c r="AG4231" i="7"/>
  <c r="AG4230" i="7"/>
  <c r="AG4229" i="7"/>
  <c r="AG4228" i="7"/>
  <c r="AG4227" i="7"/>
  <c r="AG4226" i="7"/>
  <c r="AG4225" i="7"/>
  <c r="AG4224" i="7"/>
  <c r="AG4223" i="7"/>
  <c r="AG4222" i="7"/>
  <c r="AG4221" i="7"/>
  <c r="AG4220" i="7"/>
  <c r="AG4219" i="7"/>
  <c r="AG4218" i="7"/>
  <c r="AG4217" i="7"/>
  <c r="AG4216" i="7"/>
  <c r="AG4215" i="7"/>
  <c r="AG4214" i="7"/>
  <c r="AG4213" i="7"/>
  <c r="AG4212" i="7"/>
  <c r="AG4211" i="7"/>
  <c r="AG4210" i="7"/>
  <c r="AG4209" i="7"/>
  <c r="AG4208" i="7"/>
  <c r="AG4207" i="7"/>
  <c r="AG4206" i="7"/>
  <c r="AG4201" i="7"/>
  <c r="AG4200" i="7"/>
  <c r="AG4198" i="7"/>
  <c r="AG4197" i="7"/>
  <c r="AG4196" i="7"/>
  <c r="AG4195" i="7"/>
  <c r="AG4188" i="7"/>
  <c r="AG4187" i="7"/>
  <c r="AG4186" i="7"/>
  <c r="AG4185" i="7"/>
  <c r="AG4184" i="7"/>
  <c r="AG4183" i="7"/>
  <c r="AG4182" i="7"/>
  <c r="AG4181" i="7"/>
  <c r="AG4180" i="7"/>
  <c r="AG4179" i="7"/>
  <c r="AG4178" i="7"/>
  <c r="AG4177" i="7"/>
  <c r="AG4176" i="7"/>
  <c r="AG4175" i="7"/>
  <c r="AG4174" i="7"/>
  <c r="AG4173" i="7"/>
  <c r="AG4172" i="7"/>
  <c r="AG4171" i="7"/>
  <c r="AG4170" i="7"/>
  <c r="AG4169" i="7"/>
  <c r="AG4168" i="7"/>
  <c r="AG4167" i="7"/>
  <c r="AG4166" i="7"/>
  <c r="AG4165" i="7"/>
  <c r="AG4164" i="7"/>
  <c r="AG4163" i="7"/>
  <c r="AG4162" i="7"/>
  <c r="AG4161" i="7"/>
  <c r="AG4160" i="7"/>
  <c r="AG4159" i="7"/>
  <c r="AG4158" i="7"/>
  <c r="AG4157" i="7"/>
  <c r="AG4156" i="7"/>
  <c r="AG4155" i="7"/>
  <c r="AG4154" i="7"/>
  <c r="AG4153" i="7"/>
  <c r="AG4152" i="7"/>
  <c r="AG4151" i="7"/>
  <c r="AG4150" i="7"/>
  <c r="AG4149" i="7"/>
  <c r="AG4148" i="7"/>
  <c r="AG4147" i="7"/>
  <c r="AG4146" i="7"/>
  <c r="AG4144" i="7"/>
  <c r="AG4143" i="7"/>
  <c r="AG4142" i="7"/>
  <c r="AG4134" i="7"/>
  <c r="AG4133" i="7"/>
  <c r="AG4132" i="7"/>
  <c r="AG4131" i="7"/>
  <c r="AG4130" i="7"/>
  <c r="AG4129" i="7"/>
  <c r="AG4128" i="7"/>
  <c r="AG4127" i="7"/>
  <c r="AG4126" i="7"/>
  <c r="AG4125" i="7"/>
  <c r="AG4124" i="7"/>
  <c r="AG4123" i="7"/>
  <c r="AG4122" i="7"/>
  <c r="AG4121" i="7"/>
  <c r="AG4120" i="7"/>
  <c r="AG4119" i="7"/>
  <c r="AG4118" i="7"/>
  <c r="AG4117" i="7"/>
  <c r="AG4116" i="7"/>
  <c r="AG4115" i="7"/>
  <c r="AG4114" i="7"/>
  <c r="AG4113" i="7"/>
  <c r="AG4112" i="7"/>
  <c r="AG4111" i="7"/>
  <c r="AG4110" i="7"/>
  <c r="AG4109" i="7"/>
  <c r="AG4108" i="7"/>
  <c r="AG4107" i="7"/>
  <c r="AG4106" i="7"/>
  <c r="AG4105" i="7"/>
  <c r="AG4104" i="7"/>
  <c r="AG4103" i="7"/>
  <c r="AG4102" i="7"/>
  <c r="AG4101" i="7"/>
  <c r="AG4100" i="7"/>
  <c r="AG4099" i="7"/>
  <c r="AG4098" i="7"/>
  <c r="AG4097" i="7"/>
  <c r="AG4096" i="7"/>
  <c r="AG4095" i="7"/>
  <c r="AG4094" i="7"/>
  <c r="AG4093" i="7"/>
  <c r="AG4092" i="7"/>
  <c r="AG4091" i="7"/>
  <c r="AG4090" i="7"/>
  <c r="AG4089" i="7"/>
  <c r="AG4088" i="7"/>
  <c r="AG4087" i="7"/>
  <c r="AG4086" i="7"/>
  <c r="AG4085" i="7"/>
  <c r="AG4084" i="7"/>
  <c r="AG4083" i="7"/>
  <c r="AG4082" i="7"/>
  <c r="AG4081" i="7"/>
  <c r="AG4080" i="7"/>
  <c r="AG4079" i="7"/>
  <c r="AG4078" i="7"/>
  <c r="AG4077" i="7"/>
  <c r="AG4076" i="7"/>
  <c r="AG4075" i="7"/>
  <c r="AG4074" i="7"/>
  <c r="AG4073" i="7"/>
  <c r="AG4072" i="7"/>
  <c r="AG4071" i="7"/>
  <c r="AG4070" i="7"/>
  <c r="AG4069" i="7"/>
  <c r="AG4068" i="7"/>
  <c r="AG4067" i="7"/>
  <c r="AG4066" i="7"/>
  <c r="AG4065" i="7"/>
  <c r="AG4064" i="7"/>
  <c r="AG4063" i="7"/>
  <c r="AG4062" i="7"/>
  <c r="AG4061" i="7"/>
  <c r="AG4060" i="7"/>
  <c r="AG4059" i="7"/>
  <c r="AG4058" i="7"/>
  <c r="AG4057" i="7"/>
  <c r="AG4056" i="7"/>
  <c r="AG4055" i="7"/>
  <c r="AG4054" i="7"/>
  <c r="AG4053" i="7"/>
  <c r="AG4052" i="7"/>
  <c r="AG4051" i="7"/>
  <c r="AG4050" i="7"/>
  <c r="AG4049" i="7"/>
  <c r="AG4048" i="7"/>
  <c r="AG4047" i="7"/>
  <c r="AG4046" i="7"/>
  <c r="AG4045" i="7"/>
  <c r="AG4044" i="7"/>
  <c r="AG4043" i="7"/>
  <c r="AG4042" i="7"/>
  <c r="AG4041" i="7"/>
  <c r="AG4040" i="7"/>
  <c r="AG4039" i="7"/>
  <c r="AG4038" i="7"/>
  <c r="AG4037" i="7"/>
  <c r="AG4036" i="7"/>
  <c r="AG4035" i="7"/>
  <c r="AG4034" i="7"/>
  <c r="AG4033" i="7"/>
  <c r="AG4032" i="7"/>
  <c r="AG4031" i="7"/>
  <c r="AG4030" i="7"/>
  <c r="AG4029" i="7"/>
  <c r="AG4028" i="7"/>
  <c r="AG4027" i="7"/>
  <c r="AG4026" i="7"/>
  <c r="AG4024" i="7"/>
  <c r="AG4023" i="7"/>
  <c r="AG4022" i="7"/>
  <c r="AG4021" i="7"/>
  <c r="AG4020" i="7"/>
  <c r="AG4019" i="7"/>
  <c r="AG4018" i="7"/>
  <c r="AG4017" i="7"/>
  <c r="AG4016" i="7"/>
  <c r="AG4015" i="7"/>
  <c r="AG4014" i="7"/>
  <c r="AG4013" i="7"/>
  <c r="AG4012" i="7"/>
  <c r="AG4011" i="7"/>
  <c r="AG4010" i="7"/>
  <c r="AG4009" i="7"/>
  <c r="AG4008" i="7"/>
  <c r="AG4007" i="7"/>
  <c r="AG4006" i="7"/>
  <c r="AG4005" i="7"/>
  <c r="AG4004" i="7"/>
  <c r="AG4003" i="7"/>
  <c r="AG4002" i="7"/>
  <c r="AG4001" i="7"/>
  <c r="AG4000" i="7"/>
  <c r="AG3999" i="7"/>
  <c r="AG3998" i="7"/>
  <c r="AG3997" i="7"/>
  <c r="AG3996" i="7"/>
  <c r="AG3995" i="7"/>
  <c r="AG3994" i="7"/>
  <c r="AG3993" i="7"/>
  <c r="AG3992" i="7"/>
  <c r="AG3991" i="7"/>
  <c r="AG3990" i="7"/>
  <c r="AG3989" i="7"/>
  <c r="AG3988" i="7"/>
  <c r="AG3987" i="7"/>
  <c r="AG3986" i="7"/>
  <c r="AG3985" i="7"/>
  <c r="AG3984" i="7"/>
  <c r="AG3983" i="7"/>
  <c r="AG3982" i="7"/>
  <c r="AG3981" i="7"/>
  <c r="AG3980" i="7"/>
  <c r="AG3979" i="7"/>
  <c r="AG3978" i="7"/>
  <c r="AG3977" i="7"/>
  <c r="AG3976" i="7"/>
  <c r="AG3975" i="7"/>
  <c r="AG3974" i="7"/>
  <c r="AG3973" i="7"/>
  <c r="AG3972" i="7"/>
  <c r="AG3971" i="7"/>
  <c r="AG3970" i="7"/>
  <c r="AG3969" i="7"/>
  <c r="AG3968" i="7"/>
  <c r="AG3967" i="7"/>
  <c r="AG3966" i="7"/>
  <c r="AG3965" i="7"/>
  <c r="AG3964" i="7"/>
  <c r="AG3963" i="7"/>
  <c r="AG3962" i="7"/>
  <c r="AG3961" i="7"/>
  <c r="AG3960" i="7"/>
  <c r="AG3959" i="7"/>
  <c r="AG3958" i="7"/>
  <c r="AG3957" i="7"/>
  <c r="AG3956" i="7"/>
  <c r="AG3955" i="7"/>
  <c r="AG3954" i="7"/>
  <c r="AG3953" i="7"/>
  <c r="AG3952" i="7"/>
  <c r="AG3951" i="7"/>
  <c r="AG3950" i="7"/>
  <c r="AG3949" i="7"/>
  <c r="AG3948" i="7"/>
  <c r="AG3947" i="7"/>
  <c r="AG3945" i="7"/>
  <c r="AG3944" i="7"/>
  <c r="AG3943" i="7"/>
  <c r="AG3942" i="7"/>
  <c r="AG3941" i="7"/>
  <c r="AG3940" i="7"/>
  <c r="AG3939" i="7"/>
  <c r="AG3938" i="7"/>
  <c r="AG3937" i="7"/>
  <c r="AG3936" i="7"/>
  <c r="AG3935" i="7"/>
  <c r="AG3934" i="7"/>
  <c r="AG3933" i="7"/>
  <c r="AG3932" i="7"/>
  <c r="AG3931" i="7"/>
  <c r="AG3930" i="7"/>
  <c r="AG3929" i="7"/>
  <c r="AG3928" i="7"/>
  <c r="AG3927" i="7"/>
  <c r="AG3926" i="7"/>
  <c r="AG3925" i="7"/>
  <c r="AG3924" i="7"/>
  <c r="AG3923" i="7"/>
  <c r="AG3922" i="7"/>
  <c r="AG3921" i="7"/>
  <c r="AG3920" i="7"/>
  <c r="AG3919" i="7"/>
  <c r="AG3918" i="7"/>
  <c r="AG3917" i="7"/>
  <c r="AG3916" i="7"/>
  <c r="AG3915" i="7"/>
  <c r="AG3914" i="7"/>
  <c r="AG3913" i="7"/>
  <c r="AG3912" i="7"/>
  <c r="AG3911" i="7"/>
  <c r="AG3910" i="7"/>
  <c r="AG3909" i="7"/>
  <c r="AG3908" i="7"/>
  <c r="AG3907" i="7"/>
  <c r="AG3906" i="7"/>
  <c r="AG3905" i="7"/>
  <c r="AG3904" i="7"/>
  <c r="AG3903" i="7"/>
  <c r="AG3902" i="7"/>
  <c r="AG3901" i="7"/>
  <c r="AG3900" i="7"/>
  <c r="AG3899" i="7"/>
  <c r="AG3898" i="7"/>
  <c r="AG3897" i="7"/>
  <c r="AG3896" i="7"/>
  <c r="AG3895" i="7"/>
  <c r="AG3894" i="7"/>
  <c r="AG3893" i="7"/>
  <c r="AG3892" i="7"/>
  <c r="AG3891" i="7"/>
  <c r="AG3890" i="7"/>
  <c r="AG3889" i="7"/>
  <c r="AG3888" i="7"/>
  <c r="AG3887" i="7"/>
  <c r="AG3886" i="7"/>
  <c r="AG3885" i="7"/>
  <c r="AG3884" i="7"/>
  <c r="AG3883" i="7"/>
  <c r="AG3882" i="7"/>
  <c r="AG3881" i="7"/>
  <c r="AG3880" i="7"/>
  <c r="AG3879" i="7"/>
  <c r="AG3878" i="7"/>
  <c r="AG3877" i="7"/>
  <c r="AG3876" i="7"/>
  <c r="AG3875" i="7"/>
  <c r="AG3874" i="7"/>
  <c r="AG3873" i="7"/>
  <c r="AG3872" i="7"/>
  <c r="AG3871" i="7"/>
  <c r="AG3870" i="7"/>
  <c r="AG3869" i="7"/>
  <c r="AG3868" i="7"/>
  <c r="AG3866" i="7"/>
  <c r="AG3865" i="7"/>
  <c r="AG3864" i="7"/>
  <c r="AG3863" i="7"/>
  <c r="AG3862" i="7"/>
  <c r="AG3861" i="7"/>
  <c r="AG3860" i="7"/>
  <c r="AG3859" i="7"/>
  <c r="AG3858" i="7"/>
  <c r="AG3857" i="7"/>
  <c r="AG3856" i="7"/>
  <c r="AG3855" i="7"/>
  <c r="AG3854" i="7"/>
  <c r="AG3853" i="7"/>
  <c r="AG3852" i="7"/>
  <c r="AG3851" i="7"/>
  <c r="AG3850" i="7"/>
  <c r="AG3849" i="7"/>
  <c r="AG3848" i="7"/>
  <c r="AG3847" i="7"/>
  <c r="AG3846" i="7"/>
  <c r="AG3845" i="7"/>
  <c r="AG3844" i="7"/>
  <c r="AG3843" i="7"/>
  <c r="AG3842" i="7"/>
  <c r="AG3841" i="7"/>
  <c r="AG3840" i="7"/>
  <c r="AG3839" i="7"/>
  <c r="AG3838" i="7"/>
  <c r="AG3837" i="7"/>
  <c r="AG3836" i="7"/>
  <c r="AG3835" i="7"/>
  <c r="AG3834" i="7"/>
  <c r="AG3833" i="7"/>
  <c r="AG3832" i="7"/>
  <c r="AG3831" i="7"/>
  <c r="AG3830" i="7"/>
  <c r="AG3829" i="7"/>
  <c r="AG3828" i="7"/>
  <c r="AG3827" i="7"/>
  <c r="AG3826" i="7"/>
  <c r="AG3825" i="7"/>
  <c r="AG3824" i="7"/>
  <c r="AG3823" i="7"/>
  <c r="AG3822" i="7"/>
  <c r="AG3821" i="7"/>
  <c r="AG3820" i="7"/>
  <c r="AG3819" i="7"/>
  <c r="AG3818" i="7"/>
  <c r="AG3817" i="7"/>
  <c r="AG3816" i="7"/>
  <c r="AG3815" i="7"/>
  <c r="AG3814" i="7"/>
  <c r="AG3813" i="7"/>
  <c r="AG3812" i="7"/>
  <c r="AG3811" i="7"/>
  <c r="AG3810" i="7"/>
  <c r="AG3809" i="7"/>
  <c r="AG3808" i="7"/>
  <c r="AG3807" i="7"/>
  <c r="AG3806" i="7"/>
  <c r="AG3805" i="7"/>
  <c r="AG3804" i="7"/>
  <c r="AG3803" i="7"/>
  <c r="AG3802" i="7"/>
  <c r="AG3801" i="7"/>
  <c r="AG3800" i="7"/>
  <c r="AG3799" i="7"/>
  <c r="AG3798" i="7"/>
  <c r="AG3797" i="7"/>
  <c r="AG3796" i="7"/>
  <c r="AG3795" i="7"/>
  <c r="AG3794" i="7"/>
  <c r="AG3793" i="7"/>
  <c r="AG3792" i="7"/>
  <c r="AG3791" i="7"/>
  <c r="AG3790" i="7"/>
  <c r="AG3789" i="7"/>
  <c r="AG3787" i="7"/>
  <c r="AG3786" i="7"/>
  <c r="AG3785" i="7"/>
  <c r="AG3784" i="7"/>
  <c r="AG3783" i="7"/>
  <c r="AG3782" i="7"/>
  <c r="AG3781" i="7"/>
  <c r="AG3780" i="7"/>
  <c r="AG3779" i="7"/>
  <c r="AG3778" i="7"/>
  <c r="AG3777" i="7"/>
  <c r="AG3776" i="7"/>
  <c r="AG3775" i="7"/>
  <c r="AG3774" i="7"/>
  <c r="AG3773" i="7"/>
  <c r="AG3772" i="7"/>
  <c r="AG3771" i="7"/>
  <c r="AG3770" i="7"/>
  <c r="AG3769" i="7"/>
  <c r="AG3768" i="7"/>
  <c r="AG3767" i="7"/>
  <c r="AG3766" i="7"/>
  <c r="AG3765" i="7"/>
  <c r="AG3764" i="7"/>
  <c r="AG3763" i="7"/>
  <c r="AG3762" i="7"/>
  <c r="AG3761" i="7"/>
  <c r="AG3760" i="7"/>
  <c r="AG3759" i="7"/>
  <c r="AG3758" i="7"/>
  <c r="AG3757" i="7"/>
  <c r="AG3756" i="7"/>
  <c r="AG3755" i="7"/>
  <c r="AG3754" i="7"/>
  <c r="AG3753" i="7"/>
  <c r="AG3752" i="7"/>
  <c r="AG3751" i="7"/>
  <c r="AG3750" i="7"/>
  <c r="AG3749" i="7"/>
  <c r="AG3748" i="7"/>
  <c r="AG3747" i="7"/>
  <c r="AG3746" i="7"/>
  <c r="AG3745" i="7"/>
  <c r="AG3744" i="7"/>
  <c r="AG3743" i="7"/>
  <c r="AG3742" i="7"/>
  <c r="AG3741" i="7"/>
  <c r="AG3740" i="7"/>
  <c r="AG3739" i="7"/>
  <c r="AG3738" i="7"/>
  <c r="AG3737" i="7"/>
  <c r="AG3736" i="7"/>
  <c r="AG3735" i="7"/>
  <c r="AG3734" i="7"/>
  <c r="AG3733" i="7"/>
  <c r="AG3732" i="7"/>
  <c r="AG3731" i="7"/>
  <c r="AG3730" i="7"/>
  <c r="AG3729" i="7"/>
  <c r="AG3728" i="7"/>
  <c r="AG3727" i="7"/>
  <c r="AG3726" i="7"/>
  <c r="AG3725" i="7"/>
  <c r="AG3724" i="7"/>
  <c r="AG3723" i="7"/>
  <c r="AG3722" i="7"/>
  <c r="AG3721" i="7"/>
  <c r="AG3720" i="7"/>
  <c r="AG3719" i="7"/>
  <c r="AG3718" i="7"/>
  <c r="AG3717" i="7"/>
  <c r="AG3716" i="7"/>
  <c r="AG3715" i="7"/>
  <c r="AG3714" i="7"/>
  <c r="AG3713" i="7"/>
  <c r="AG3712" i="7"/>
  <c r="AG3711" i="7"/>
  <c r="AG3710" i="7"/>
  <c r="AG3709" i="7"/>
  <c r="AG3707" i="7"/>
  <c r="AG3706" i="7"/>
  <c r="AG3705" i="7"/>
  <c r="AG3704" i="7"/>
  <c r="AG3703" i="7"/>
  <c r="AG3702" i="7"/>
  <c r="AG3701" i="7"/>
  <c r="AG3700" i="7"/>
  <c r="AG3699" i="7"/>
  <c r="AG3698" i="7"/>
  <c r="AG3697" i="7"/>
  <c r="AG3696" i="7"/>
  <c r="AG3695" i="7"/>
  <c r="AG3694" i="7"/>
  <c r="AG3693" i="7"/>
  <c r="AG3692" i="7"/>
  <c r="AG3691" i="7"/>
  <c r="AG3690" i="7"/>
  <c r="AG3689" i="7"/>
  <c r="AG3688" i="7"/>
  <c r="AG3687" i="7"/>
  <c r="AG3686" i="7"/>
  <c r="AG3685" i="7"/>
  <c r="AG3684" i="7"/>
  <c r="AG3683" i="7"/>
  <c r="AG3682" i="7"/>
  <c r="AG3681" i="7"/>
  <c r="AG3680" i="7"/>
  <c r="AG3679" i="7"/>
  <c r="AG3678" i="7"/>
  <c r="AG3677" i="7"/>
  <c r="AG3676" i="7"/>
  <c r="AG3675" i="7"/>
  <c r="AG3674" i="7"/>
  <c r="AG3673" i="7"/>
  <c r="AG3672" i="7"/>
  <c r="AG3671" i="7"/>
  <c r="AG3670" i="7"/>
  <c r="AG3669" i="7"/>
  <c r="AG3668" i="7"/>
  <c r="AG3667" i="7"/>
  <c r="AG3666" i="7"/>
  <c r="AG3665" i="7"/>
  <c r="AG3664" i="7"/>
  <c r="AG3663" i="7"/>
  <c r="AG3662" i="7"/>
  <c r="AG3661" i="7"/>
  <c r="AG3660" i="7"/>
  <c r="AG3659" i="7"/>
  <c r="AG3658" i="7"/>
  <c r="AG3657" i="7"/>
  <c r="AG3656" i="7"/>
  <c r="AG3655" i="7"/>
  <c r="AG3654" i="7"/>
  <c r="AG3653" i="7"/>
  <c r="AG3652" i="7"/>
  <c r="AG3651" i="7"/>
  <c r="AG3650" i="7"/>
  <c r="AG3649" i="7"/>
  <c r="AG3648" i="7"/>
  <c r="AG3647" i="7"/>
  <c r="AG3646" i="7"/>
  <c r="AG3645" i="7"/>
  <c r="AG3644" i="7"/>
  <c r="AG3643" i="7"/>
  <c r="AG3642" i="7"/>
  <c r="AG3641" i="7"/>
  <c r="AG3640" i="7"/>
  <c r="AG3639" i="7"/>
  <c r="AG3638" i="7"/>
  <c r="AG3637" i="7"/>
  <c r="AG3636" i="7"/>
  <c r="AG3635" i="7"/>
  <c r="AG3634" i="7"/>
  <c r="AG3633" i="7"/>
  <c r="AG3632" i="7"/>
  <c r="AG3631" i="7"/>
  <c r="AG3630" i="7"/>
  <c r="AG3629" i="7"/>
  <c r="AG3627" i="7"/>
  <c r="AG3626" i="7"/>
  <c r="AG3623" i="7"/>
  <c r="AG3622" i="7"/>
  <c r="AG3621" i="7"/>
  <c r="AG3620" i="7"/>
  <c r="AG3618" i="7"/>
  <c r="AG3617" i="7"/>
  <c r="AG3616" i="7"/>
  <c r="AG3615" i="7"/>
  <c r="AG3614" i="7"/>
  <c r="AG3613" i="7"/>
  <c r="AG3612" i="7"/>
  <c r="AG3611" i="7"/>
  <c r="AG3610" i="7"/>
  <c r="AG3609" i="7"/>
  <c r="AG3608" i="7"/>
  <c r="AG3607" i="7"/>
  <c r="AG3606" i="7"/>
  <c r="AG3605" i="7"/>
  <c r="AG3604" i="7"/>
  <c r="AG3603" i="7"/>
  <c r="AG3602" i="7"/>
  <c r="AG3601" i="7"/>
  <c r="AG3600" i="7"/>
  <c r="AG3599" i="7"/>
  <c r="AG3598" i="7"/>
  <c r="AG3597" i="7"/>
  <c r="AG3596" i="7"/>
  <c r="AG3595" i="7"/>
  <c r="AG3594" i="7"/>
  <c r="AG3593" i="7"/>
  <c r="AG3592" i="7"/>
  <c r="AG3591" i="7"/>
  <c r="AG3590" i="7"/>
  <c r="AG3589" i="7"/>
  <c r="AG3588" i="7"/>
  <c r="AG3587" i="7"/>
  <c r="AG3586" i="7"/>
  <c r="AG3585" i="7"/>
  <c r="AG3584" i="7"/>
  <c r="AG3583" i="7"/>
  <c r="AG3582" i="7"/>
  <c r="AG3581" i="7"/>
  <c r="AG3580" i="7"/>
  <c r="AG3579" i="7"/>
  <c r="AG3578" i="7"/>
  <c r="AG3577" i="7"/>
  <c r="AG3576" i="7"/>
  <c r="AG3575" i="7"/>
  <c r="AG3574" i="7"/>
  <c r="AG3573" i="7"/>
  <c r="AG3572" i="7"/>
  <c r="AG3571" i="7"/>
  <c r="AG3570" i="7"/>
  <c r="AG3569" i="7"/>
  <c r="AG3568" i="7"/>
  <c r="AG3567" i="7"/>
  <c r="AG3566" i="7"/>
  <c r="AG3565" i="7"/>
  <c r="AG3564" i="7"/>
  <c r="AG3563" i="7"/>
  <c r="AG3562" i="7"/>
  <c r="AG3561" i="7"/>
  <c r="AG3560" i="7"/>
  <c r="AG3559" i="7"/>
  <c r="AG3558" i="7"/>
  <c r="AG3557" i="7"/>
  <c r="AG3556" i="7"/>
  <c r="AG3555" i="7"/>
  <c r="AG3554" i="7"/>
  <c r="AG3553" i="7"/>
  <c r="AG3552" i="7"/>
  <c r="AG3551" i="7"/>
  <c r="AG3550" i="7"/>
  <c r="AG3549" i="7"/>
  <c r="AG3547" i="7"/>
  <c r="AG3546" i="7"/>
  <c r="AG3545" i="7"/>
  <c r="AG3544" i="7"/>
  <c r="AG3543" i="7"/>
  <c r="AG3542" i="7"/>
  <c r="AG3541" i="7"/>
  <c r="AG3540" i="7"/>
  <c r="AG3539" i="7"/>
  <c r="AG3538" i="7"/>
  <c r="AG3537" i="7"/>
  <c r="AG3536" i="7"/>
  <c r="AG3535" i="7"/>
  <c r="AG3534" i="7"/>
  <c r="AG3533" i="7"/>
  <c r="AG3532" i="7"/>
  <c r="AG3531" i="7"/>
  <c r="AG3530" i="7"/>
  <c r="AG3529" i="7"/>
  <c r="AG3528" i="7"/>
  <c r="AG3527" i="7"/>
  <c r="AG3526" i="7"/>
  <c r="AG3525" i="7"/>
  <c r="AG3524" i="7"/>
  <c r="AG3523" i="7"/>
  <c r="AG3522" i="7"/>
  <c r="AG3521" i="7"/>
  <c r="AG3520" i="7"/>
  <c r="AG3519" i="7"/>
  <c r="AG3518" i="7"/>
  <c r="AG3517" i="7"/>
  <c r="AG3516" i="7"/>
  <c r="AG3515" i="7"/>
  <c r="AG3514" i="7"/>
  <c r="AG3513" i="7"/>
  <c r="AG3512" i="7"/>
  <c r="AG3511" i="7"/>
  <c r="AG3510" i="7"/>
  <c r="AG3509" i="7"/>
  <c r="AG3508" i="7"/>
  <c r="AG3507" i="7"/>
  <c r="AG3506" i="7"/>
  <c r="AG3505" i="7"/>
  <c r="AG3504" i="7"/>
  <c r="AG3503" i="7"/>
  <c r="AG3502" i="7"/>
  <c r="AG3501" i="7"/>
  <c r="AG3500" i="7"/>
  <c r="AG3499" i="7"/>
  <c r="AG3498" i="7"/>
  <c r="AG3497" i="7"/>
  <c r="AG3496" i="7"/>
  <c r="AG3495" i="7"/>
  <c r="AG3494" i="7"/>
  <c r="AG3493" i="7"/>
  <c r="AG3492" i="7"/>
  <c r="AG3491" i="7"/>
  <c r="AG3490" i="7"/>
  <c r="AG3489" i="7"/>
  <c r="AG3488" i="7"/>
  <c r="AG3487" i="7"/>
  <c r="AG3486" i="7"/>
  <c r="AG3485" i="7"/>
  <c r="AG3484" i="7"/>
  <c r="AG3483" i="7"/>
  <c r="AG3482" i="7"/>
  <c r="AG3481" i="7"/>
  <c r="AG3480" i="7"/>
  <c r="AG3479" i="7"/>
  <c r="AG3478" i="7"/>
  <c r="AG3477" i="7"/>
  <c r="AG3476" i="7"/>
  <c r="AG3475" i="7"/>
  <c r="AG3474" i="7"/>
  <c r="AG3473" i="7"/>
  <c r="AG3472" i="7"/>
  <c r="AG3471" i="7"/>
  <c r="AG3470" i="7"/>
  <c r="AG3469" i="7"/>
  <c r="AG3468" i="7"/>
  <c r="AG3467" i="7"/>
  <c r="AG3466" i="7"/>
  <c r="AG3465" i="7"/>
  <c r="AG3464" i="7"/>
  <c r="AG3463" i="7"/>
  <c r="AG3462" i="7"/>
  <c r="AG3461" i="7"/>
  <c r="AG3460" i="7"/>
  <c r="AG3459" i="7"/>
  <c r="AG3458" i="7"/>
  <c r="AG3457" i="7"/>
  <c r="AG3456" i="7"/>
  <c r="AG3455" i="7"/>
  <c r="AG3453" i="7"/>
  <c r="AG3452" i="7"/>
  <c r="AG3451" i="7"/>
  <c r="AG3450" i="7"/>
  <c r="AG3449" i="7"/>
  <c r="AG3448" i="7"/>
  <c r="AG3447" i="7"/>
  <c r="AG3446" i="7"/>
  <c r="AG3445" i="7"/>
  <c r="AG3444" i="7"/>
  <c r="AG3443" i="7"/>
  <c r="AG3442" i="7"/>
  <c r="AG3441" i="7"/>
  <c r="AG3440" i="7"/>
  <c r="AG3439" i="7"/>
  <c r="AG3438" i="7"/>
  <c r="AG3437" i="7"/>
  <c r="AG3436" i="7"/>
  <c r="AG3435" i="7"/>
  <c r="AG3434" i="7"/>
  <c r="AG3433" i="7"/>
  <c r="AG3432" i="7"/>
  <c r="AG3431" i="7"/>
  <c r="AG3430" i="7"/>
  <c r="AG3429" i="7"/>
  <c r="AG3428" i="7"/>
  <c r="AG3427" i="7"/>
  <c r="AG3426" i="7"/>
  <c r="AG3425" i="7"/>
  <c r="AG3424" i="7"/>
  <c r="AG3423" i="7"/>
  <c r="AG3422" i="7"/>
  <c r="AG3421" i="7"/>
  <c r="AG3420" i="7"/>
  <c r="AG3419" i="7"/>
  <c r="AG3418" i="7"/>
  <c r="AG3417" i="7"/>
  <c r="AG3416" i="7"/>
  <c r="AG3415" i="7"/>
  <c r="AG3414" i="7"/>
  <c r="AG3413" i="7"/>
  <c r="AG3412" i="7"/>
  <c r="AG3411" i="7"/>
  <c r="AG3410" i="7"/>
  <c r="AG3409" i="7"/>
  <c r="AG3408" i="7"/>
  <c r="AG3407" i="7"/>
  <c r="AG3406" i="7"/>
  <c r="AG3405" i="7"/>
  <c r="AG3404" i="7"/>
  <c r="AG3403" i="7"/>
  <c r="AG3402" i="7"/>
  <c r="AG3401" i="7"/>
  <c r="AG3400" i="7"/>
  <c r="AG3399" i="7"/>
  <c r="AG3398" i="7"/>
  <c r="AG3397" i="7"/>
  <c r="AG3396" i="7"/>
  <c r="AG3395" i="7"/>
  <c r="AG3394" i="7"/>
  <c r="AG3393" i="7"/>
  <c r="AG3392" i="7"/>
  <c r="AG3391" i="7"/>
  <c r="AG3390" i="7"/>
  <c r="AG3389" i="7"/>
  <c r="AG3388" i="7"/>
  <c r="AG3387" i="7"/>
  <c r="AG3386" i="7"/>
  <c r="AG3385" i="7"/>
  <c r="AG3384" i="7"/>
  <c r="AG3383" i="7"/>
  <c r="AG3382" i="7"/>
  <c r="AG3381" i="7"/>
  <c r="AG3380" i="7"/>
  <c r="AG3379" i="7"/>
  <c r="AG3378" i="7"/>
  <c r="AG3377" i="7"/>
  <c r="AG3376" i="7"/>
  <c r="AG3375" i="7"/>
  <c r="AG3374" i="7"/>
  <c r="AG3373" i="7"/>
  <c r="AG3372" i="7"/>
  <c r="AG3371" i="7"/>
  <c r="AG3370" i="7"/>
  <c r="AG3369" i="7"/>
  <c r="AG3368" i="7"/>
  <c r="AG3367" i="7"/>
  <c r="AG3366" i="7"/>
  <c r="AG3365" i="7"/>
  <c r="AG3364" i="7"/>
  <c r="AG3363" i="7"/>
  <c r="AG3362" i="7"/>
  <c r="AG3361" i="7"/>
  <c r="AG3360" i="7"/>
  <c r="AG3358" i="7"/>
  <c r="AG3357" i="7"/>
  <c r="AG3356" i="7"/>
  <c r="AG3355" i="7"/>
  <c r="AG3354" i="7"/>
  <c r="AG3353" i="7"/>
  <c r="AG3352" i="7"/>
  <c r="AG3351" i="7"/>
  <c r="AG3350" i="7"/>
  <c r="AG3349" i="7"/>
  <c r="AG3348" i="7"/>
  <c r="AG3347" i="7"/>
  <c r="AG3346" i="7"/>
  <c r="AG3345" i="7"/>
  <c r="AG3344" i="7"/>
  <c r="AG3343" i="7"/>
  <c r="AG3342" i="7"/>
  <c r="AG3341" i="7"/>
  <c r="AG3340" i="7"/>
  <c r="AG3339" i="7"/>
  <c r="AG3338" i="7"/>
  <c r="AG3337" i="7"/>
  <c r="AG3336" i="7"/>
  <c r="AG3335" i="7"/>
  <c r="AG3334" i="7"/>
  <c r="AG3333" i="7"/>
  <c r="AG3332" i="7"/>
  <c r="AG3331" i="7"/>
  <c r="AG3330" i="7"/>
  <c r="AG3329" i="7"/>
  <c r="AG3328" i="7"/>
  <c r="AG3327" i="7"/>
  <c r="AG3326" i="7"/>
  <c r="AG3325" i="7"/>
  <c r="AG3324" i="7"/>
  <c r="AG3323" i="7"/>
  <c r="AG3322" i="7"/>
  <c r="AG3321" i="7"/>
  <c r="AG3320" i="7"/>
  <c r="AG3319" i="7"/>
  <c r="AG3318" i="7"/>
  <c r="AG3317" i="7"/>
  <c r="AG3316" i="7"/>
  <c r="AG3315" i="7"/>
  <c r="AG3314" i="7"/>
  <c r="AG3313" i="7"/>
  <c r="AG3312" i="7"/>
  <c r="AG3311" i="7"/>
  <c r="AG3310" i="7"/>
  <c r="AG3309" i="7"/>
  <c r="AG3308" i="7"/>
  <c r="AG3307" i="7"/>
  <c r="AG3306" i="7"/>
  <c r="AG3305" i="7"/>
  <c r="AG3304" i="7"/>
  <c r="AG3303" i="7"/>
  <c r="AG3302" i="7"/>
  <c r="AG3301" i="7"/>
  <c r="AG3300" i="7"/>
  <c r="AG3299" i="7"/>
  <c r="AG3298" i="7"/>
  <c r="AG3297" i="7"/>
  <c r="AG3296" i="7"/>
  <c r="AG3295" i="7"/>
  <c r="AG3294" i="7"/>
  <c r="AG3293" i="7"/>
  <c r="AG3292" i="7"/>
  <c r="AG3291" i="7"/>
  <c r="AG3290" i="7"/>
  <c r="AG3289" i="7"/>
  <c r="AG3288" i="7"/>
  <c r="AG3287" i="7"/>
  <c r="AG3286" i="7"/>
  <c r="AG3285" i="7"/>
  <c r="AG3284" i="7"/>
  <c r="AG3283" i="7"/>
  <c r="AG3282" i="7"/>
  <c r="AG3281" i="7"/>
  <c r="AG3280" i="7"/>
  <c r="AG3279" i="7"/>
  <c r="AG3278" i="7"/>
  <c r="AG3277" i="7"/>
  <c r="AG3276" i="7"/>
  <c r="AG3275" i="7"/>
  <c r="AG3274" i="7"/>
  <c r="AG3273" i="7"/>
  <c r="AG3272" i="7"/>
  <c r="AG3271" i="7"/>
  <c r="AG3270" i="7"/>
  <c r="AG3269" i="7"/>
  <c r="AG3268" i="7"/>
  <c r="AG3267" i="7"/>
  <c r="AG3266" i="7"/>
  <c r="AG3265" i="7"/>
  <c r="AG3263" i="7"/>
  <c r="AG3262" i="7"/>
  <c r="AG3261" i="7"/>
  <c r="AG3260" i="7"/>
  <c r="AG3259" i="7"/>
  <c r="AG3258" i="7"/>
  <c r="AG3257" i="7"/>
  <c r="AG3256" i="7"/>
  <c r="AG3255" i="7"/>
  <c r="AG3254" i="7"/>
  <c r="AG3253" i="7"/>
  <c r="AG3252" i="7"/>
  <c r="AG3251" i="7"/>
  <c r="AG3250" i="7"/>
  <c r="AG3249" i="7"/>
  <c r="AG3248" i="7"/>
  <c r="AG3247" i="7"/>
  <c r="AG3246" i="7"/>
  <c r="AG3245" i="7"/>
  <c r="AG3244" i="7"/>
  <c r="AG3243" i="7"/>
  <c r="AG3242" i="7"/>
  <c r="AG3241" i="7"/>
  <c r="AG3240" i="7"/>
  <c r="AG3239" i="7"/>
  <c r="AG3238" i="7"/>
  <c r="AG3237" i="7"/>
  <c r="AG3236" i="7"/>
  <c r="AG3235" i="7"/>
  <c r="AG3234" i="7"/>
  <c r="AG3233" i="7"/>
  <c r="AG3232" i="7"/>
  <c r="AG3231" i="7"/>
  <c r="AG3230" i="7"/>
  <c r="AG3229" i="7"/>
  <c r="AG3228" i="7"/>
  <c r="AG3227" i="7"/>
  <c r="AG3226" i="7"/>
  <c r="AG3225" i="7"/>
  <c r="AG3224" i="7"/>
  <c r="AG3223" i="7"/>
  <c r="AG3222" i="7"/>
  <c r="AG3221" i="7"/>
  <c r="AG3220" i="7"/>
  <c r="AG3219" i="7"/>
  <c r="AG3218" i="7"/>
  <c r="AG3217" i="7"/>
  <c r="AG3216" i="7"/>
  <c r="AG3215" i="7"/>
  <c r="AG3214" i="7"/>
  <c r="AG3213" i="7"/>
  <c r="AG3212" i="7"/>
  <c r="AG3211" i="7"/>
  <c r="AG3210" i="7"/>
  <c r="AG3209" i="7"/>
  <c r="AG3208" i="7"/>
  <c r="AG3207" i="7"/>
  <c r="AG3206" i="7"/>
  <c r="AG3205" i="7"/>
  <c r="AG3204" i="7"/>
  <c r="AG3203" i="7"/>
  <c r="AG3202" i="7"/>
  <c r="AG3201" i="7"/>
  <c r="AG3200" i="7"/>
  <c r="AG3199" i="7"/>
  <c r="AG3198" i="7"/>
  <c r="AG3197" i="7"/>
  <c r="AG3196" i="7"/>
  <c r="AG3195" i="7"/>
  <c r="AG3194" i="7"/>
  <c r="AG3193" i="7"/>
  <c r="AG3192" i="7"/>
  <c r="AG3191" i="7"/>
  <c r="AG3190" i="7"/>
  <c r="AG3189" i="7"/>
  <c r="AG3188" i="7"/>
  <c r="AG3187" i="7"/>
  <c r="AG3186" i="7"/>
  <c r="AG3185" i="7"/>
  <c r="AG3184" i="7"/>
  <c r="AG3183" i="7"/>
  <c r="AG3182" i="7"/>
  <c r="AG3181" i="7"/>
  <c r="AG3180" i="7"/>
  <c r="AG3179" i="7"/>
  <c r="AG3178" i="7"/>
  <c r="AG3177" i="7"/>
  <c r="AG3176" i="7"/>
  <c r="AG3175" i="7"/>
  <c r="AG3174" i="7"/>
  <c r="AG3173" i="7"/>
  <c r="AG3172" i="7"/>
  <c r="AG3171" i="7"/>
  <c r="AG3170" i="7"/>
  <c r="AG3168" i="7"/>
  <c r="AG3167" i="7"/>
  <c r="AG3164" i="7"/>
  <c r="AG3163" i="7"/>
  <c r="AG3162" i="7"/>
  <c r="AG3161" i="7"/>
  <c r="AG3160" i="7"/>
  <c r="AG3159" i="7"/>
  <c r="AG3158" i="7"/>
  <c r="AG3157" i="7"/>
  <c r="AG3156" i="7"/>
  <c r="AG3155" i="7"/>
  <c r="AG3154" i="7"/>
  <c r="AG3153" i="7"/>
  <c r="AG3152" i="7"/>
  <c r="AG3151" i="7"/>
  <c r="AG3150" i="7"/>
  <c r="AG3149" i="7"/>
  <c r="AG3148" i="7"/>
  <c r="AG3147" i="7"/>
  <c r="AG3146" i="7"/>
  <c r="AG3145" i="7"/>
  <c r="AG3144" i="7"/>
  <c r="AG3143" i="7"/>
  <c r="AG3142" i="7"/>
  <c r="AG3141" i="7"/>
  <c r="AG3140" i="7"/>
  <c r="AG3139" i="7"/>
  <c r="AG3138" i="7"/>
  <c r="AG3137" i="7"/>
  <c r="AG3136" i="7"/>
  <c r="AG3135" i="7"/>
  <c r="AG3134" i="7"/>
  <c r="AG3133" i="7"/>
  <c r="AG3132" i="7"/>
  <c r="AG3131" i="7"/>
  <c r="AG3130" i="7"/>
  <c r="AG3129" i="7"/>
  <c r="AG3128" i="7"/>
  <c r="AG3127" i="7"/>
  <c r="AG3126" i="7"/>
  <c r="AG3125" i="7"/>
  <c r="AG3124" i="7"/>
  <c r="AG3123" i="7"/>
  <c r="AG3122" i="7"/>
  <c r="AG3121" i="7"/>
  <c r="AG3120" i="7"/>
  <c r="AG3119" i="7"/>
  <c r="AG3118" i="7"/>
  <c r="AG3117" i="7"/>
  <c r="AG3116" i="7"/>
  <c r="AG3115" i="7"/>
  <c r="AG3114" i="7"/>
  <c r="AG3113" i="7"/>
  <c r="AG3112" i="7"/>
  <c r="AG3111" i="7"/>
  <c r="AG3110" i="7"/>
  <c r="AG3109" i="7"/>
  <c r="AG3108" i="7"/>
  <c r="AG3107" i="7"/>
  <c r="AG3106" i="7"/>
  <c r="AG3105" i="7"/>
  <c r="AG3104" i="7"/>
  <c r="AG3103" i="7"/>
  <c r="AG3102" i="7"/>
  <c r="AG3101" i="7"/>
  <c r="AG3100" i="7"/>
  <c r="AG3099" i="7"/>
  <c r="AG3098" i="7"/>
  <c r="AG3097" i="7"/>
  <c r="AG3096" i="7"/>
  <c r="AG3095" i="7"/>
  <c r="AG3094" i="7"/>
  <c r="AG3093" i="7"/>
  <c r="AG3092" i="7"/>
  <c r="AG3091" i="7"/>
  <c r="AG3090" i="7"/>
  <c r="AG3089" i="7"/>
  <c r="AG3088" i="7"/>
  <c r="AG3087" i="7"/>
  <c r="AG3086" i="7"/>
  <c r="AG3085" i="7"/>
  <c r="AG3084" i="7"/>
  <c r="AG3083" i="7"/>
  <c r="AG3082" i="7"/>
  <c r="AG3081" i="7"/>
  <c r="AG3080" i="7"/>
  <c r="AG3079" i="7"/>
  <c r="AG3078" i="7"/>
  <c r="AG3077" i="7"/>
  <c r="AG3076" i="7"/>
  <c r="AG3075" i="7"/>
  <c r="AG3074" i="7"/>
  <c r="AG3073" i="7"/>
  <c r="AG3072" i="7"/>
  <c r="AG3071" i="7"/>
  <c r="AG3070" i="7"/>
  <c r="AG3069" i="7"/>
  <c r="AG3068" i="7"/>
  <c r="AG3067" i="7"/>
  <c r="AG3066" i="7"/>
  <c r="AG3065" i="7"/>
  <c r="AG3064" i="7"/>
  <c r="AG3063" i="7"/>
  <c r="AG3062" i="7"/>
  <c r="AG3061" i="7"/>
  <c r="AG3060" i="7"/>
  <c r="AG3059" i="7"/>
  <c r="AG3058" i="7"/>
  <c r="AG3056" i="7"/>
  <c r="AG3055" i="7"/>
  <c r="AG3054" i="7"/>
  <c r="AG3053" i="7"/>
  <c r="AG3052" i="7"/>
  <c r="AG3049" i="7"/>
  <c r="AG3048" i="7"/>
  <c r="AG3043" i="7"/>
  <c r="AG3042" i="7"/>
  <c r="AG3037" i="7"/>
  <c r="AG3036" i="7"/>
  <c r="AG3035" i="7"/>
  <c r="AG3034" i="7"/>
  <c r="AG3033" i="7"/>
  <c r="AG3032" i="7"/>
  <c r="AG3031" i="7"/>
  <c r="AG3028" i="7"/>
  <c r="AG3027" i="7"/>
  <c r="AG3026" i="7"/>
  <c r="AG3025" i="7"/>
  <c r="AG3024" i="7"/>
  <c r="AG3023" i="7"/>
  <c r="AG3022" i="7"/>
  <c r="AG3019" i="7"/>
  <c r="AG3018" i="7"/>
  <c r="AG3017" i="7"/>
  <c r="AG3016" i="7"/>
  <c r="AG3015" i="7"/>
  <c r="AG3014" i="7"/>
  <c r="AG3013" i="7"/>
  <c r="AG3010" i="7"/>
  <c r="AG3009" i="7"/>
  <c r="AG3008" i="7"/>
  <c r="AG3007" i="7"/>
  <c r="AG3004" i="7"/>
  <c r="AG3003" i="7"/>
  <c r="AG3002" i="7"/>
  <c r="AG3001" i="7"/>
  <c r="AG2999" i="7"/>
  <c r="AG2998" i="7"/>
  <c r="AG2997" i="7"/>
  <c r="AG2996" i="7"/>
  <c r="AG2995" i="7"/>
  <c r="AG2993" i="7"/>
  <c r="AG2992" i="7"/>
  <c r="AG2991" i="7"/>
  <c r="AG2990" i="7"/>
  <c r="AG2989" i="7"/>
  <c r="AG2987" i="7"/>
  <c r="AG2986" i="7"/>
  <c r="AG2985" i="7"/>
  <c r="AG2984" i="7"/>
  <c r="AG2983" i="7"/>
  <c r="AG2981" i="7"/>
  <c r="AG2980" i="7"/>
  <c r="AG2979" i="7"/>
  <c r="AG2978" i="7"/>
  <c r="AG2977" i="7"/>
  <c r="AG2975" i="7"/>
  <c r="AG2974" i="7"/>
  <c r="AG2973" i="7"/>
  <c r="AG2972" i="7"/>
  <c r="AG2971" i="7"/>
  <c r="AG2968" i="7"/>
  <c r="AG2967" i="7"/>
  <c r="AG2966" i="7"/>
  <c r="AG2965" i="7"/>
  <c r="AG2963" i="7"/>
  <c r="AG2962" i="7"/>
  <c r="AG2961" i="7"/>
  <c r="AG2960" i="7"/>
  <c r="AG2959" i="7"/>
  <c r="AG2958" i="7"/>
  <c r="AG2957" i="7"/>
  <c r="AG2956" i="7"/>
  <c r="AG2954" i="7"/>
  <c r="AG2953" i="7"/>
  <c r="AG2952" i="7"/>
  <c r="AG2951" i="7"/>
  <c r="AG2950" i="7"/>
  <c r="AG2949" i="7"/>
  <c r="AG2948" i="7"/>
  <c r="AG2947" i="7"/>
  <c r="AG2945" i="7"/>
  <c r="AG2944" i="7"/>
  <c r="AG2943" i="7"/>
  <c r="AG2942" i="7"/>
  <c r="AG2941" i="7"/>
  <c r="AG2940" i="7"/>
  <c r="AG2939" i="7"/>
  <c r="AG2938" i="7"/>
  <c r="AG2936" i="7"/>
  <c r="AG2935" i="7"/>
  <c r="AG2934" i="7"/>
  <c r="AG2933" i="7"/>
  <c r="AG2932" i="7"/>
  <c r="AG2931" i="7"/>
  <c r="AG2930" i="7"/>
  <c r="AG2929" i="7"/>
  <c r="AG2927" i="7"/>
  <c r="AG2926" i="7"/>
  <c r="AG2925" i="7"/>
  <c r="AG2924" i="7"/>
  <c r="AG2923" i="7"/>
  <c r="AG2922" i="7"/>
  <c r="AG2921" i="7"/>
  <c r="AG2920" i="7"/>
  <c r="AG2918" i="7"/>
  <c r="AG2917" i="7"/>
  <c r="AG2916" i="7"/>
  <c r="AG2915" i="7"/>
  <c r="AG2914" i="7"/>
  <c r="AG2913" i="7"/>
  <c r="AG2912" i="7"/>
  <c r="AG2911" i="7"/>
  <c r="AG2909" i="7"/>
  <c r="AG2908" i="7"/>
  <c r="AG2907" i="7"/>
  <c r="AG2906" i="7"/>
  <c r="AG2905" i="7"/>
  <c r="AG2904" i="7"/>
  <c r="AG2903" i="7"/>
  <c r="AG2902" i="7"/>
  <c r="AG2900" i="7"/>
  <c r="AG2899" i="7"/>
  <c r="AG2898" i="7"/>
  <c r="AG2897" i="7"/>
  <c r="AG2896" i="7"/>
  <c r="AG2895" i="7"/>
  <c r="AG2894" i="7"/>
  <c r="AG2893" i="7"/>
  <c r="AG2891" i="7"/>
  <c r="AG2890" i="7"/>
  <c r="AG2889" i="7"/>
  <c r="AG2888" i="7"/>
  <c r="AG2887" i="7"/>
  <c r="AG2886" i="7"/>
  <c r="AG2885" i="7"/>
  <c r="AG2884" i="7"/>
  <c r="AG2882" i="7"/>
  <c r="AG2881" i="7"/>
  <c r="AG2880" i="7"/>
  <c r="AG2879" i="7"/>
  <c r="AG2878" i="7"/>
  <c r="AG2877" i="7"/>
  <c r="AG2876" i="7"/>
  <c r="AG2875" i="7"/>
  <c r="AG2873" i="7"/>
  <c r="AG2872" i="7"/>
  <c r="AG2871" i="7"/>
  <c r="AG2870" i="7"/>
  <c r="AG2869" i="7"/>
  <c r="AG2868" i="7"/>
  <c r="AG2867" i="7"/>
  <c r="AG2866" i="7"/>
  <c r="AG2864" i="7"/>
  <c r="AG2863" i="7"/>
  <c r="AG2862" i="7"/>
  <c r="AG2861" i="7"/>
  <c r="AG2860" i="7"/>
  <c r="AG2859" i="7"/>
  <c r="AG2858" i="7"/>
  <c r="AG2857" i="7"/>
  <c r="AG2855" i="7"/>
  <c r="AG2854" i="7"/>
  <c r="AG2853" i="7"/>
  <c r="AG2852" i="7"/>
  <c r="AG2851" i="7"/>
  <c r="AG2850" i="7"/>
  <c r="AG2849" i="7"/>
  <c r="AG2848" i="7"/>
  <c r="AG2846" i="7"/>
  <c r="AG2845" i="7"/>
  <c r="AG2844" i="7"/>
  <c r="AG2843" i="7"/>
  <c r="AG2842" i="7"/>
  <c r="AG2841" i="7"/>
  <c r="AG2840" i="7"/>
  <c r="AG2839" i="7"/>
  <c r="AG2837" i="7"/>
  <c r="AG2836" i="7"/>
  <c r="AG2835" i="7"/>
  <c r="AG2834" i="7"/>
  <c r="AG2833" i="7"/>
  <c r="AG2832" i="7"/>
  <c r="AG2831" i="7"/>
  <c r="AG2830" i="7"/>
  <c r="AG2828" i="7"/>
  <c r="AG2827" i="7"/>
  <c r="AG2826" i="7"/>
  <c r="AG2825" i="7"/>
  <c r="AG2824" i="7"/>
  <c r="AG2823" i="7"/>
  <c r="AG2822" i="7"/>
  <c r="AG2821" i="7"/>
  <c r="AG2819" i="7"/>
  <c r="AG2818" i="7"/>
  <c r="AG2817" i="7"/>
  <c r="AG2816" i="7"/>
  <c r="AG2815" i="7"/>
  <c r="AG2814" i="7"/>
  <c r="AG2813" i="7"/>
  <c r="AG2812" i="7"/>
  <c r="AG2810" i="7"/>
  <c r="AG2809" i="7"/>
  <c r="AG2808" i="7"/>
  <c r="AG2807" i="7"/>
  <c r="AG2806" i="7"/>
  <c r="AG2805" i="7"/>
  <c r="AG2804" i="7"/>
  <c r="AG2803" i="7"/>
  <c r="AG2801" i="7"/>
  <c r="AG2800" i="7"/>
  <c r="AG2799" i="7"/>
  <c r="AG2798" i="7"/>
  <c r="AG2797" i="7"/>
  <c r="AG2796" i="7"/>
  <c r="AG2795" i="7"/>
  <c r="AG2794" i="7"/>
  <c r="AG2793" i="7"/>
  <c r="AG2792" i="7"/>
  <c r="AG2791" i="7"/>
  <c r="AG2789" i="7"/>
  <c r="AG2788" i="7"/>
  <c r="AG2787" i="7"/>
  <c r="AG2786" i="7"/>
  <c r="AG2785" i="7"/>
  <c r="AG2784" i="7"/>
  <c r="AG2783" i="7"/>
  <c r="AG2782" i="7"/>
  <c r="AG2781" i="7"/>
  <c r="AG2780" i="7"/>
  <c r="AG2779" i="7"/>
  <c r="AG2777" i="7"/>
  <c r="AG2776" i="7"/>
  <c r="AG2775" i="7"/>
  <c r="AG2774" i="7"/>
  <c r="AG2773" i="7"/>
  <c r="AG2772" i="7"/>
  <c r="AG2771" i="7"/>
  <c r="AG2770" i="7"/>
  <c r="AG2769" i="7"/>
  <c r="AG2768" i="7"/>
  <c r="AG2767" i="7"/>
  <c r="AG2765" i="7"/>
  <c r="AG2764" i="7"/>
  <c r="AG2763" i="7"/>
  <c r="AG2762" i="7"/>
  <c r="AG2761" i="7"/>
  <c r="AG2760" i="7"/>
  <c r="AG2759" i="7"/>
  <c r="AG2758" i="7"/>
  <c r="AG2757" i="7"/>
  <c r="AG2756" i="7"/>
  <c r="AG2755" i="7"/>
  <c r="AG2753" i="7"/>
  <c r="AG2752" i="7"/>
  <c r="AG2751" i="7"/>
  <c r="AG2750" i="7"/>
  <c r="AG2749" i="7"/>
  <c r="AG2748" i="7"/>
  <c r="AG2747" i="7"/>
  <c r="AG2746" i="7"/>
  <c r="AG2745" i="7"/>
  <c r="AG2744" i="7"/>
  <c r="AG2743" i="7"/>
  <c r="AG2741" i="7"/>
  <c r="AG2740" i="7"/>
  <c r="AG2739" i="7"/>
  <c r="AG2738" i="7"/>
  <c r="AG2737" i="7"/>
  <c r="AG2736" i="7"/>
  <c r="AG2735" i="7"/>
  <c r="AG2734" i="7"/>
  <c r="AG2733" i="7"/>
  <c r="AG2732" i="7"/>
  <c r="AG2731" i="7"/>
  <c r="AG2729" i="7"/>
  <c r="AG2728" i="7"/>
  <c r="AG2727" i="7"/>
  <c r="AG2726" i="7"/>
  <c r="AG2725" i="7"/>
  <c r="AG2724" i="7"/>
  <c r="AG2723" i="7"/>
  <c r="AG2722" i="7"/>
  <c r="AG2721" i="7"/>
  <c r="AG2720" i="7"/>
  <c r="AG2719" i="7"/>
  <c r="AG2717" i="7"/>
  <c r="AG2716" i="7"/>
  <c r="AG2715" i="7"/>
  <c r="AG2714" i="7"/>
  <c r="AG2713" i="7"/>
  <c r="AG2712" i="7"/>
  <c r="AG2711" i="7"/>
  <c r="AG2710" i="7"/>
  <c r="AG2709" i="7"/>
  <c r="AG2708" i="7"/>
  <c r="AG2707" i="7"/>
  <c r="AG2705" i="7"/>
  <c r="AG2704" i="7"/>
  <c r="AG2703" i="7"/>
  <c r="AG2702" i="7"/>
  <c r="AG2701" i="7"/>
  <c r="AG2700" i="7"/>
  <c r="AG2699" i="7"/>
  <c r="AG2698" i="7"/>
  <c r="AG2697" i="7"/>
  <c r="AG2696" i="7"/>
  <c r="AG2695" i="7"/>
  <c r="AG2693" i="7"/>
  <c r="AG2692" i="7"/>
  <c r="AG2691" i="7"/>
  <c r="AG2690" i="7"/>
  <c r="AG2689" i="7"/>
  <c r="AG2688" i="7"/>
  <c r="AG2687" i="7"/>
  <c r="AG2686" i="7"/>
  <c r="AG2685" i="7"/>
  <c r="AG2684" i="7"/>
  <c r="AG2683" i="7"/>
  <c r="AG2680" i="7"/>
  <c r="AG2679" i="7"/>
  <c r="AG2678" i="7"/>
  <c r="AG2677" i="7"/>
  <c r="AG2676" i="7"/>
  <c r="AG2675" i="7"/>
  <c r="AG2674" i="7"/>
  <c r="AG2673" i="7"/>
  <c r="AG2672" i="7"/>
  <c r="AG2671" i="7"/>
  <c r="AG2668" i="7"/>
  <c r="AG2667" i="7"/>
  <c r="AG2666" i="7"/>
  <c r="AG2665" i="7"/>
  <c r="AG2664" i="7"/>
  <c r="AG2663" i="7"/>
  <c r="AG2662" i="7"/>
  <c r="AG2661" i="7"/>
  <c r="AG2660" i="7"/>
  <c r="AG2659" i="7"/>
  <c r="AG2656" i="7"/>
  <c r="AG2655" i="7"/>
  <c r="AG2654" i="7"/>
  <c r="AG2653" i="7"/>
  <c r="AG2652" i="7"/>
  <c r="AG2651" i="7"/>
  <c r="AG2650" i="7"/>
  <c r="AG2649" i="7"/>
  <c r="AG2648" i="7"/>
  <c r="AG2647" i="7"/>
  <c r="AG2644" i="7"/>
  <c r="AG2643" i="7"/>
  <c r="AG2642" i="7"/>
  <c r="AG2641" i="7"/>
  <c r="AG2640" i="7"/>
  <c r="AG2639" i="7"/>
  <c r="AG2638" i="7"/>
  <c r="AG2637" i="7"/>
  <c r="AG2636" i="7"/>
  <c r="AG2635" i="7"/>
  <c r="AG2632" i="7"/>
  <c r="AG2631" i="7"/>
  <c r="AG2630" i="7"/>
  <c r="AG2629" i="7"/>
  <c r="AG2628" i="7"/>
  <c r="AG2627" i="7"/>
  <c r="AG2626" i="7"/>
  <c r="AG2625" i="7"/>
  <c r="AG2624" i="7"/>
  <c r="AG2623" i="7"/>
  <c r="AG2620" i="7"/>
  <c r="AG2619" i="7"/>
  <c r="AG2618" i="7"/>
  <c r="AG2617" i="7"/>
  <c r="AG2616" i="7"/>
  <c r="AG2615" i="7"/>
  <c r="AG2614" i="7"/>
  <c r="AG2613" i="7"/>
  <c r="AG2612" i="7"/>
  <c r="AG2611" i="7"/>
  <c r="AG2608" i="7"/>
  <c r="AG2607" i="7"/>
  <c r="AG2606" i="7"/>
  <c r="AG2605" i="7"/>
  <c r="AG2604" i="7"/>
  <c r="AG2603" i="7"/>
  <c r="AG2602" i="7"/>
  <c r="AG2601" i="7"/>
  <c r="AG2600" i="7"/>
  <c r="AG2599" i="7"/>
  <c r="AG2596" i="7"/>
  <c r="AG2595" i="7"/>
  <c r="AG2594" i="7"/>
  <c r="AG2593" i="7"/>
  <c r="AG2592" i="7"/>
  <c r="AG2591" i="7"/>
  <c r="AG2590" i="7"/>
  <c r="AG2589" i="7"/>
  <c r="AG2588" i="7"/>
  <c r="AG2587" i="7"/>
  <c r="AG2584" i="7"/>
  <c r="AG2583" i="7"/>
  <c r="AG2581" i="7"/>
  <c r="AG2580" i="7"/>
  <c r="AG2579" i="7"/>
  <c r="AG2578" i="7"/>
  <c r="AG2577" i="7"/>
  <c r="AG2576" i="7"/>
  <c r="AG2575" i="7"/>
  <c r="AG2572" i="7"/>
  <c r="AG2571" i="7"/>
  <c r="AG2570" i="7"/>
  <c r="AG2569" i="7"/>
  <c r="AG2568" i="7"/>
  <c r="AG2567" i="7"/>
  <c r="AG2566" i="7"/>
  <c r="AG2565" i="7"/>
  <c r="AG2564" i="7"/>
  <c r="AG2563" i="7"/>
  <c r="AG2560" i="7"/>
  <c r="AG2559" i="7"/>
  <c r="AG2558" i="7"/>
  <c r="AG2557" i="7"/>
  <c r="AG2556" i="7"/>
  <c r="AG2555" i="7"/>
  <c r="AG2554" i="7"/>
  <c r="AG2553" i="7"/>
  <c r="AG2552" i="7"/>
  <c r="AG2551" i="7"/>
  <c r="AG2550" i="7"/>
  <c r="AG2549" i="7"/>
  <c r="AG2548" i="7"/>
  <c r="AG2547" i="7"/>
  <c r="AG2544" i="7"/>
  <c r="AG2543" i="7"/>
  <c r="AG2542" i="7"/>
  <c r="AG2541" i="7"/>
  <c r="AG2540" i="7"/>
  <c r="AG2539" i="7"/>
  <c r="AG2538" i="7"/>
  <c r="AG2537" i="7"/>
  <c r="AG2536" i="7"/>
  <c r="AG2535" i="7"/>
  <c r="AG2534" i="7"/>
  <c r="AG2533" i="7"/>
  <c r="AG2532" i="7"/>
  <c r="AG2531" i="7"/>
  <c r="AG2528" i="7"/>
  <c r="AG2527" i="7"/>
  <c r="AG2526" i="7"/>
  <c r="AG2525" i="7"/>
  <c r="AG2524" i="7"/>
  <c r="AG2523" i="7"/>
  <c r="AG2522" i="7"/>
  <c r="AG2521" i="7"/>
  <c r="AG2520" i="7"/>
  <c r="AG2519" i="7"/>
  <c r="AG2518" i="7"/>
  <c r="AG2517" i="7"/>
  <c r="AG2516" i="7"/>
  <c r="AG2515" i="7"/>
  <c r="AG2512" i="7"/>
  <c r="AG2511" i="7"/>
  <c r="AG2510" i="7"/>
  <c r="AG2509" i="7"/>
  <c r="AG2508" i="7"/>
  <c r="AG2507" i="7"/>
  <c r="AG2506" i="7"/>
  <c r="AG2505" i="7"/>
  <c r="AG2504" i="7"/>
  <c r="AG2503" i="7"/>
  <c r="AG2502" i="7"/>
  <c r="AG2501" i="7"/>
  <c r="AG2500" i="7"/>
  <c r="AG2499" i="7"/>
  <c r="AG2496" i="7"/>
  <c r="AG2495" i="7"/>
  <c r="AG2494" i="7"/>
  <c r="AG2493" i="7"/>
  <c r="AG2492" i="7"/>
  <c r="AG2491" i="7"/>
  <c r="AG2490" i="7"/>
  <c r="AG2489" i="7"/>
  <c r="AG2488" i="7"/>
  <c r="AG2487" i="7"/>
  <c r="AG2486" i="7"/>
  <c r="AG2485" i="7"/>
  <c r="AG2484" i="7"/>
  <c r="AG2483" i="7"/>
  <c r="AG2480" i="7"/>
  <c r="AG2479" i="7"/>
  <c r="AG2478" i="7"/>
  <c r="AG2477" i="7"/>
  <c r="AG2476" i="7"/>
  <c r="AG2475" i="7"/>
  <c r="AG2474" i="7"/>
  <c r="AG2473" i="7"/>
  <c r="AG2472" i="7"/>
  <c r="AG2471" i="7"/>
  <c r="AG2470" i="7"/>
  <c r="AG2469" i="7"/>
  <c r="AG2468" i="7"/>
  <c r="AG2467" i="7"/>
  <c r="AG2464" i="7"/>
  <c r="AG2463" i="7"/>
  <c r="AG2462" i="7"/>
  <c r="AG2461" i="7"/>
  <c r="AG2460" i="7"/>
  <c r="AG2459" i="7"/>
  <c r="AG2458" i="7"/>
  <c r="AG2457" i="7"/>
  <c r="AG2456" i="7"/>
  <c r="AG2455" i="7"/>
  <c r="AG2454" i="7"/>
  <c r="AG2453" i="7"/>
  <c r="AG2452" i="7"/>
  <c r="AG2451" i="7"/>
  <c r="AG2448" i="7"/>
  <c r="AG2447" i="7"/>
  <c r="AG2446" i="7"/>
  <c r="AG2445" i="7"/>
  <c r="AG2444" i="7"/>
  <c r="AG2443" i="7"/>
  <c r="AG2442" i="7"/>
  <c r="AG2441" i="7"/>
  <c r="AG2440" i="7"/>
  <c r="AG2439" i="7"/>
  <c r="AG2438" i="7"/>
  <c r="AG2437" i="7"/>
  <c r="AG2436" i="7"/>
  <c r="AG2435" i="7"/>
  <c r="AG2432" i="7"/>
  <c r="AG2431" i="7"/>
  <c r="AG2430" i="7"/>
  <c r="AG2429" i="7"/>
  <c r="AG2428" i="7"/>
  <c r="AG2427" i="7"/>
  <c r="AG2426" i="7"/>
  <c r="AG2425" i="7"/>
  <c r="AG2424" i="7"/>
  <c r="AG2423" i="7"/>
  <c r="AG2422" i="7"/>
  <c r="AG2421" i="7"/>
  <c r="AG2420" i="7"/>
  <c r="AG2419" i="7"/>
  <c r="AG2418" i="7"/>
  <c r="AG2417" i="7"/>
  <c r="AG2416" i="7"/>
  <c r="AG2415" i="7"/>
  <c r="AG2414" i="7"/>
  <c r="AG2413" i="7"/>
  <c r="AG2412" i="7"/>
  <c r="AG2409" i="7"/>
  <c r="AG2408" i="7"/>
  <c r="AG2407" i="7"/>
  <c r="AG2406" i="7"/>
  <c r="AG2405" i="7"/>
  <c r="AG2404" i="7"/>
  <c r="AG2403" i="7"/>
  <c r="AG2402" i="7"/>
  <c r="AG2401" i="7"/>
  <c r="AG2400" i="7"/>
  <c r="AG2399" i="7"/>
  <c r="AG2398" i="7"/>
  <c r="AG2397" i="7"/>
  <c r="AG2396" i="7"/>
  <c r="AG2395" i="7"/>
  <c r="AG2394" i="7"/>
  <c r="AG2393" i="7"/>
  <c r="AG2392" i="7"/>
  <c r="AG2391" i="7"/>
  <c r="AG2390" i="7"/>
  <c r="AG2389" i="7"/>
  <c r="AG2386" i="7"/>
  <c r="AG2385" i="7"/>
  <c r="AG2384" i="7"/>
  <c r="AG2383" i="7"/>
  <c r="AG2382" i="7"/>
  <c r="AG2381" i="7"/>
  <c r="AG2380" i="7"/>
  <c r="AG2379" i="7"/>
  <c r="AG2378" i="7"/>
  <c r="AG2377" i="7"/>
  <c r="AG2376" i="7"/>
  <c r="AG2375" i="7"/>
  <c r="AG2374" i="7"/>
  <c r="AG2373" i="7"/>
  <c r="AG2372" i="7"/>
  <c r="AG2371" i="7"/>
  <c r="AG2370" i="7"/>
  <c r="AG2369" i="7"/>
  <c r="AG2368" i="7"/>
  <c r="AG2367" i="7"/>
  <c r="AG2366" i="7"/>
  <c r="AG2363" i="7"/>
  <c r="AG2362" i="7"/>
  <c r="AG2361" i="7"/>
  <c r="AG2360" i="7"/>
  <c r="AG2359" i="7"/>
  <c r="AG2358" i="7"/>
  <c r="AG2357" i="7"/>
  <c r="AG2356" i="7"/>
  <c r="AG2355" i="7"/>
  <c r="AG2354" i="7"/>
  <c r="AG2353" i="7"/>
  <c r="AG2352" i="7"/>
  <c r="AG2351" i="7"/>
  <c r="AG2350" i="7"/>
  <c r="AG2349" i="7"/>
  <c r="AG2348" i="7"/>
  <c r="AG2347" i="7"/>
  <c r="AG2346" i="7"/>
  <c r="AG2345" i="7"/>
  <c r="AG2344" i="7"/>
  <c r="AG2343" i="7"/>
  <c r="AG2340" i="7"/>
  <c r="AG2339" i="7"/>
  <c r="AG2338" i="7"/>
  <c r="AG2337" i="7"/>
  <c r="AG2336" i="7"/>
  <c r="AG2335" i="7"/>
  <c r="AG2334" i="7"/>
  <c r="AG2333" i="7"/>
  <c r="AG2332" i="7"/>
  <c r="AG2331" i="7"/>
  <c r="AG2330" i="7"/>
  <c r="AG2329" i="7"/>
  <c r="AG2328" i="7"/>
  <c r="AG2327" i="7"/>
  <c r="AG2326" i="7"/>
  <c r="AG2325" i="7"/>
  <c r="AG2324" i="7"/>
  <c r="AG2323" i="7"/>
  <c r="AG2322" i="7"/>
  <c r="AG2321" i="7"/>
  <c r="AG2320" i="7"/>
  <c r="AG2317" i="7"/>
  <c r="AG2316" i="7"/>
  <c r="AG2315" i="7"/>
  <c r="AG2314" i="7"/>
  <c r="AG2313" i="7"/>
  <c r="AG2312" i="7"/>
  <c r="AG2311" i="7"/>
  <c r="AG2310" i="7"/>
  <c r="AG2309" i="7"/>
  <c r="AG2308" i="7"/>
  <c r="AG2307" i="7"/>
  <c r="AG2306" i="7"/>
  <c r="AG2305" i="7"/>
  <c r="AG2304" i="7"/>
  <c r="AG2303" i="7"/>
  <c r="AG2302" i="7"/>
  <c r="AG2301" i="7"/>
  <c r="AG2300" i="7"/>
  <c r="AG2299" i="7"/>
  <c r="AG2298" i="7"/>
  <c r="AG2297" i="7"/>
  <c r="AG2296" i="7"/>
  <c r="AG2295" i="7"/>
  <c r="AG2294" i="7"/>
  <c r="AG2292" i="7"/>
  <c r="AG2291" i="7"/>
  <c r="AG2290" i="7"/>
  <c r="AG2289" i="7"/>
  <c r="AG2288" i="7"/>
  <c r="AG2287" i="7"/>
  <c r="AG2286" i="7"/>
  <c r="AG2285" i="7"/>
  <c r="AG2284" i="7"/>
  <c r="AG2283" i="7"/>
  <c r="AG2282" i="7"/>
  <c r="AG2279" i="7"/>
  <c r="AG2278" i="7"/>
  <c r="AG2277" i="7"/>
  <c r="AG2276" i="7"/>
  <c r="AG2275" i="7"/>
  <c r="AG2274" i="7"/>
  <c r="AG2273" i="7"/>
  <c r="AG2272" i="7"/>
  <c r="AG2271" i="7"/>
  <c r="AG2270" i="7"/>
  <c r="AG2269" i="7"/>
  <c r="AG2268" i="7"/>
  <c r="AG2267" i="7"/>
  <c r="AG2266" i="7"/>
  <c r="AG2265" i="7"/>
  <c r="AG2264" i="7"/>
  <c r="AG2263" i="7"/>
  <c r="AG2262" i="7"/>
  <c r="AG2261" i="7"/>
  <c r="AG2260" i="7"/>
  <c r="AG2259" i="7"/>
  <c r="AG2258" i="7"/>
  <c r="AG2257" i="7"/>
  <c r="AG2255" i="7"/>
  <c r="AG2252" i="7"/>
  <c r="AG2251" i="7"/>
  <c r="AG2250" i="7"/>
  <c r="AG2249" i="7"/>
  <c r="AG2248" i="7"/>
  <c r="AG2247" i="7"/>
  <c r="AG2246" i="7"/>
  <c r="AG2245" i="7"/>
  <c r="AG2244" i="7"/>
  <c r="AG2243" i="7"/>
  <c r="AG2242" i="7"/>
  <c r="AG2241" i="7"/>
  <c r="AG2240" i="7"/>
  <c r="AG2239" i="7"/>
  <c r="AG2238" i="7"/>
  <c r="AG2237" i="7"/>
  <c r="AG2236" i="7"/>
  <c r="AG2235" i="7"/>
  <c r="AG2234" i="7"/>
  <c r="AG2233" i="7"/>
  <c r="AG2232" i="7"/>
  <c r="AG2231" i="7"/>
  <c r="AG2230" i="7"/>
  <c r="AG2228" i="7"/>
  <c r="AG2225" i="7"/>
  <c r="AG2224" i="7"/>
  <c r="AG2223" i="7"/>
  <c r="AG2222" i="7"/>
  <c r="AG2221" i="7"/>
  <c r="AG2220" i="7"/>
  <c r="AG2219" i="7"/>
  <c r="AG2218" i="7"/>
  <c r="AG2217" i="7"/>
  <c r="AG2216" i="7"/>
  <c r="AG2215" i="7"/>
  <c r="AG2214" i="7"/>
  <c r="AG2213" i="7"/>
  <c r="AG2212" i="7"/>
  <c r="AG2211" i="7"/>
  <c r="AG2210" i="7"/>
  <c r="AG2209" i="7"/>
  <c r="AG2208" i="7"/>
  <c r="AG2207" i="7"/>
  <c r="AG2206" i="7"/>
  <c r="AG2205" i="7"/>
  <c r="AG2204" i="7"/>
  <c r="AG2203" i="7"/>
  <c r="AG2201" i="7"/>
  <c r="AG2200" i="7"/>
  <c r="AG2199" i="7"/>
  <c r="AG2198" i="7"/>
  <c r="AG2197" i="7"/>
  <c r="AG2196" i="7"/>
  <c r="AG2195" i="7"/>
  <c r="AG2194" i="7"/>
  <c r="AG2193" i="7"/>
  <c r="AG2192" i="7"/>
  <c r="AG2191" i="7"/>
  <c r="AG2190" i="7"/>
  <c r="AG2187" i="7"/>
  <c r="AG2186" i="7"/>
  <c r="AG2185" i="7"/>
  <c r="AG2184" i="7"/>
  <c r="AG2183" i="7"/>
  <c r="AG2182" i="7"/>
  <c r="AG2181" i="7"/>
  <c r="AG2180" i="7"/>
  <c r="AG2179" i="7"/>
  <c r="AG2178" i="7"/>
  <c r="AG2177" i="7"/>
  <c r="AG2176" i="7"/>
  <c r="AG2175" i="7"/>
  <c r="AG2174" i="7"/>
  <c r="AG2173" i="7"/>
  <c r="AG2172" i="7"/>
  <c r="AG2171" i="7"/>
  <c r="AG2170" i="7"/>
  <c r="AG2169" i="7"/>
  <c r="AG2168" i="7"/>
  <c r="AG2167" i="7"/>
  <c r="AG2166" i="7"/>
  <c r="AG2165" i="7"/>
  <c r="AG2164" i="7"/>
  <c r="AG2163" i="7"/>
  <c r="AG2162" i="7"/>
  <c r="AG2161" i="7"/>
  <c r="AG2160" i="7"/>
  <c r="AG2159" i="7"/>
  <c r="AG2158" i="7"/>
  <c r="AG2157" i="7"/>
  <c r="AG2156" i="7"/>
  <c r="AG2155" i="7"/>
  <c r="AG2154" i="7"/>
  <c r="AG2153" i="7"/>
  <c r="AG2150" i="7"/>
  <c r="AG2149" i="7"/>
  <c r="AG2148" i="7"/>
  <c r="AG2147" i="7"/>
  <c r="AG2146" i="7"/>
  <c r="AG2145" i="7"/>
  <c r="AG2144" i="7"/>
  <c r="AG2143" i="7"/>
  <c r="AG2142" i="7"/>
  <c r="AG2141" i="7"/>
  <c r="AG2140" i="7"/>
  <c r="AG2139" i="7"/>
  <c r="AG2138" i="7"/>
  <c r="AG2137" i="7"/>
  <c r="AG2136" i="7"/>
  <c r="AG2135" i="7"/>
  <c r="AG2134" i="7"/>
  <c r="AG2133" i="7"/>
  <c r="AG2132" i="7"/>
  <c r="AG2131" i="7"/>
  <c r="AG2130" i="7"/>
  <c r="AG2129" i="7"/>
  <c r="AG2128" i="7"/>
  <c r="AG2127" i="7"/>
  <c r="AG2126" i="7"/>
  <c r="AG2125" i="7"/>
  <c r="AG2124" i="7"/>
  <c r="AG2123" i="7"/>
  <c r="AG2122" i="7"/>
  <c r="AG2121" i="7"/>
  <c r="AG2120" i="7"/>
  <c r="AG2119" i="7"/>
  <c r="AG2118" i="7"/>
  <c r="AG2117" i="7"/>
  <c r="AG2116" i="7"/>
  <c r="AG2113" i="7"/>
  <c r="AG2112" i="7"/>
  <c r="AG2111" i="7"/>
  <c r="AG2110" i="7"/>
  <c r="AG2109" i="7"/>
  <c r="AG2108" i="7"/>
  <c r="AG2107" i="7"/>
  <c r="AG2106" i="7"/>
  <c r="AG2105" i="7"/>
  <c r="AG2104" i="7"/>
  <c r="AG2103" i="7"/>
  <c r="AG2102" i="7"/>
  <c r="AG2101" i="7"/>
  <c r="AG2100" i="7"/>
  <c r="AG2099" i="7"/>
  <c r="AG2098" i="7"/>
  <c r="AG2097" i="7"/>
  <c r="AG2096" i="7"/>
  <c r="AG2095" i="7"/>
  <c r="AG2094" i="7"/>
  <c r="AG2093" i="7"/>
  <c r="AG2092" i="7"/>
  <c r="AG2091" i="7"/>
  <c r="AG2090" i="7"/>
  <c r="AG2089" i="7"/>
  <c r="AG2088" i="7"/>
  <c r="AG2087" i="7"/>
  <c r="AG2086" i="7"/>
  <c r="AG2085" i="7"/>
  <c r="AG2084" i="7"/>
  <c r="AG2083" i="7"/>
  <c r="AG2082" i="7"/>
  <c r="AG2081" i="7"/>
  <c r="AG2080" i="7"/>
  <c r="AG2079" i="7"/>
  <c r="AG2076" i="7"/>
  <c r="AG2075" i="7"/>
  <c r="AG2074" i="7"/>
  <c r="AG2073" i="7"/>
  <c r="AG2072" i="7"/>
  <c r="AG2071" i="7"/>
  <c r="AG2070" i="7"/>
  <c r="AG2069" i="7"/>
  <c r="AG2068" i="7"/>
  <c r="AG2067" i="7"/>
  <c r="AG2066" i="7"/>
  <c r="AG2065" i="7"/>
  <c r="AG2064" i="7"/>
  <c r="AG2063" i="7"/>
  <c r="AG2062" i="7"/>
  <c r="AG2061" i="7"/>
  <c r="AG2060" i="7"/>
  <c r="AG2059" i="7"/>
  <c r="AG2058" i="7"/>
  <c r="AG2057" i="7"/>
  <c r="AG2056" i="7"/>
  <c r="AG2055" i="7"/>
  <c r="AG2054" i="7"/>
  <c r="AG2053" i="7"/>
  <c r="AG2051" i="7"/>
  <c r="AG2049" i="7"/>
  <c r="AG2048" i="7"/>
  <c r="AG2046" i="7"/>
  <c r="AG2045" i="7"/>
  <c r="AG2044" i="7"/>
  <c r="AG2040" i="7"/>
  <c r="AG2039" i="7"/>
  <c r="AG2038" i="7"/>
  <c r="AG2037" i="7"/>
  <c r="AG2036" i="7"/>
  <c r="AG2035" i="7"/>
  <c r="AG2034" i="7"/>
  <c r="AG2031" i="7"/>
  <c r="AG2030" i="7"/>
  <c r="AG2029" i="7"/>
  <c r="AG2028" i="7"/>
  <c r="AG2027" i="7"/>
  <c r="AG2026" i="7"/>
  <c r="AG2025" i="7"/>
  <c r="AG2024" i="7"/>
  <c r="AG2023" i="7"/>
  <c r="AG2022" i="7"/>
  <c r="AG2021" i="7"/>
  <c r="AG2020" i="7"/>
  <c r="AG2019" i="7"/>
  <c r="AG2018" i="7"/>
  <c r="AG2017" i="7"/>
  <c r="AG2016" i="7"/>
  <c r="AG2015" i="7"/>
  <c r="AG2014" i="7"/>
  <c r="AG2013" i="7"/>
  <c r="AG2012" i="7"/>
  <c r="AG2011" i="7"/>
  <c r="AG2010" i="7"/>
  <c r="AG2009" i="7"/>
  <c r="AG2008" i="7"/>
  <c r="AG2007" i="7"/>
  <c r="AG2005" i="7"/>
  <c r="AG2004" i="7"/>
  <c r="AG2002" i="7"/>
  <c r="AG2001" i="7"/>
  <c r="AG2000" i="7"/>
  <c r="AG1996" i="7"/>
  <c r="AG1995" i="7"/>
  <c r="AG1994" i="7"/>
  <c r="AG1993" i="7"/>
  <c r="AG1992" i="7"/>
  <c r="AG1991" i="7"/>
  <c r="AG1990" i="7"/>
  <c r="AG1987" i="7"/>
  <c r="AG1986" i="7"/>
  <c r="AG1985" i="7"/>
  <c r="AG1984" i="7"/>
  <c r="AG1983" i="7"/>
  <c r="AG1982" i="7"/>
  <c r="AG1981" i="7"/>
  <c r="AG1980" i="7"/>
  <c r="AG1979" i="7"/>
  <c r="AG1978" i="7"/>
  <c r="AG1977" i="7"/>
  <c r="AG1976" i="7"/>
  <c r="AG1975" i="7"/>
  <c r="AG1974" i="7"/>
  <c r="AG1973" i="7"/>
  <c r="AG1972" i="7"/>
  <c r="AG1971" i="7"/>
  <c r="AG1970" i="7"/>
  <c r="AG1969" i="7"/>
  <c r="AG1968" i="7"/>
  <c r="AG1967" i="7"/>
  <c r="AG1966" i="7"/>
  <c r="AG1965" i="7"/>
  <c r="AG1964" i="7"/>
  <c r="AG1963" i="7"/>
  <c r="AG1961" i="7"/>
  <c r="AG1960" i="7"/>
  <c r="AG1958" i="7"/>
  <c r="AG1957" i="7"/>
  <c r="AG1956" i="7"/>
  <c r="AG1952" i="7"/>
  <c r="AG1951" i="7"/>
  <c r="AG1950" i="7"/>
  <c r="AG1949" i="7"/>
  <c r="AG1948" i="7"/>
  <c r="AG1947" i="7"/>
  <c r="AG1946" i="7"/>
  <c r="AG1941" i="7"/>
  <c r="AG1940" i="7"/>
  <c r="AG1939" i="7"/>
  <c r="AG1938" i="7"/>
  <c r="AG1937" i="7"/>
  <c r="AG1936" i="7"/>
  <c r="AG1935" i="7"/>
  <c r="AG1934" i="7"/>
  <c r="AG1933" i="7"/>
  <c r="AG1932" i="7"/>
  <c r="AG1931" i="7"/>
  <c r="AG1930" i="7"/>
  <c r="AG1929" i="7"/>
  <c r="AG1928" i="7"/>
  <c r="AG1927" i="7"/>
  <c r="AG1926" i="7"/>
  <c r="AG1925" i="7"/>
  <c r="AG1924" i="7"/>
  <c r="AG1923" i="7"/>
  <c r="AG1922" i="7"/>
  <c r="AG1921" i="7"/>
  <c r="AG1920" i="7"/>
  <c r="AG1919" i="7"/>
  <c r="AG1918" i="7"/>
  <c r="AG1917" i="7"/>
  <c r="AG1916" i="7"/>
  <c r="AG1915" i="7"/>
  <c r="AG1914" i="7"/>
  <c r="AG1913" i="7"/>
  <c r="AG1912" i="7"/>
  <c r="AG1911" i="7"/>
  <c r="AG1910" i="7"/>
  <c r="AG1909" i="7"/>
  <c r="AG1908" i="7"/>
  <c r="AG1907" i="7"/>
  <c r="AG1906" i="7"/>
  <c r="AG1905" i="7"/>
  <c r="AG1904" i="7"/>
  <c r="AG1903" i="7"/>
  <c r="AG1902" i="7"/>
  <c r="AG1901" i="7"/>
  <c r="AG1900" i="7"/>
  <c r="AG1895" i="7"/>
  <c r="AG1894" i="7"/>
  <c r="AG1893" i="7"/>
  <c r="AG1892" i="7"/>
  <c r="AG1891" i="7"/>
  <c r="AG1890" i="7"/>
  <c r="AG1889" i="7"/>
  <c r="AG1888" i="7"/>
  <c r="AG1887" i="7"/>
  <c r="AG1886" i="7"/>
  <c r="AG1885" i="7"/>
  <c r="AG1884" i="7"/>
  <c r="AG1883" i="7"/>
  <c r="AG1882" i="7"/>
  <c r="AG1881" i="7"/>
  <c r="AG1880" i="7"/>
  <c r="AG1879" i="7"/>
  <c r="AG1878" i="7"/>
  <c r="AG1877" i="7"/>
  <c r="AG1876" i="7"/>
  <c r="AG1875" i="7"/>
  <c r="AG1874" i="7"/>
  <c r="AG1873" i="7"/>
  <c r="AG1872" i="7"/>
  <c r="AG1871" i="7"/>
  <c r="AG1870" i="7"/>
  <c r="AG1869" i="7"/>
  <c r="AG1868" i="7"/>
  <c r="AG1867" i="7"/>
  <c r="AG1866" i="7"/>
  <c r="AG1865" i="7"/>
  <c r="AG1864" i="7"/>
  <c r="AG1863" i="7"/>
  <c r="AG1862" i="7"/>
  <c r="AG1861" i="7"/>
  <c r="AG1860" i="7"/>
  <c r="AG1859" i="7"/>
  <c r="AG1858" i="7"/>
  <c r="AG1857" i="7"/>
  <c r="AG1856" i="7"/>
  <c r="AG1855" i="7"/>
  <c r="AG1854" i="7"/>
  <c r="AG1853" i="7"/>
  <c r="AG1852" i="7"/>
  <c r="AG1851" i="7"/>
  <c r="AG1850" i="7"/>
  <c r="AG1849" i="7"/>
  <c r="AG1848" i="7"/>
  <c r="AG1847" i="7"/>
  <c r="AG1846" i="7"/>
  <c r="AG1845" i="7"/>
  <c r="AG1844" i="7"/>
  <c r="AG1843" i="7"/>
  <c r="AG1842" i="7"/>
  <c r="AG1837" i="7"/>
  <c r="AG1836" i="7"/>
  <c r="AG1835" i="7"/>
  <c r="AG1834" i="7"/>
  <c r="AG1833" i="7"/>
  <c r="AG1832" i="7"/>
  <c r="AG1831" i="7"/>
  <c r="AG1830" i="7"/>
  <c r="AG1829" i="7"/>
  <c r="AG1828" i="7"/>
  <c r="AG1827" i="7"/>
  <c r="AG1826" i="7"/>
  <c r="AG1825" i="7"/>
  <c r="AG1824" i="7"/>
  <c r="AG1823" i="7"/>
  <c r="AG1822" i="7"/>
  <c r="AG1821" i="7"/>
  <c r="AG1820" i="7"/>
  <c r="AG1819" i="7"/>
  <c r="AG1818" i="7"/>
  <c r="AG1817" i="7"/>
  <c r="AG1816" i="7"/>
  <c r="AG1815" i="7"/>
  <c r="AG1814" i="7"/>
  <c r="AG1813" i="7"/>
  <c r="AG1812" i="7"/>
  <c r="AG1811" i="7"/>
  <c r="AG1810" i="7"/>
  <c r="AG1809" i="7"/>
  <c r="AG1808" i="7"/>
  <c r="AG1807" i="7"/>
  <c r="AG1806" i="7"/>
  <c r="AG1805" i="7"/>
  <c r="AG1804" i="7"/>
  <c r="AG1803" i="7"/>
  <c r="AG1802" i="7"/>
  <c r="AG1801" i="7"/>
  <c r="AG1800" i="7"/>
  <c r="AG1799" i="7"/>
  <c r="AG1798" i="7"/>
  <c r="AG1797" i="7"/>
  <c r="AG1796" i="7"/>
  <c r="AG1795" i="7"/>
  <c r="AG1794" i="7"/>
  <c r="AG1793" i="7"/>
  <c r="AG1792" i="7"/>
  <c r="AG1791" i="7"/>
  <c r="AG1790" i="7"/>
  <c r="AG1789" i="7"/>
  <c r="AG1788" i="7"/>
  <c r="AG1787" i="7"/>
  <c r="AG1786" i="7"/>
  <c r="AG1785" i="7"/>
  <c r="AG1784" i="7"/>
  <c r="AG1779" i="7"/>
  <c r="AG1778" i="7"/>
  <c r="AG1777" i="7"/>
  <c r="AG1776" i="7"/>
  <c r="AG1775" i="7"/>
  <c r="AG1774" i="7"/>
  <c r="AG1773" i="7"/>
  <c r="AG1772" i="7"/>
  <c r="AG1771" i="7"/>
  <c r="AG1770" i="7"/>
  <c r="AG1769" i="7"/>
  <c r="AG1768" i="7"/>
  <c r="AG1767" i="7"/>
  <c r="AG1766" i="7"/>
  <c r="AG1765" i="7"/>
  <c r="AG1764" i="7"/>
  <c r="AG1763" i="7"/>
  <c r="AG1762" i="7"/>
  <c r="AG1761" i="7"/>
  <c r="AG1760" i="7"/>
  <c r="AG1759" i="7"/>
  <c r="AG1758" i="7"/>
  <c r="AG1757" i="7"/>
  <c r="AG1756" i="7"/>
  <c r="AG1755" i="7"/>
  <c r="AG1754" i="7"/>
  <c r="AG1753" i="7"/>
  <c r="AG1752" i="7"/>
  <c r="AG1751" i="7"/>
  <c r="AG1750" i="7"/>
  <c r="AG1749" i="7"/>
  <c r="AG1748" i="7"/>
  <c r="AG1747" i="7"/>
  <c r="AG1746" i="7"/>
  <c r="AG1745" i="7"/>
  <c r="AG1744" i="7"/>
  <c r="AG1743" i="7"/>
  <c r="AG1742" i="7"/>
  <c r="AG1741" i="7"/>
  <c r="AG1740" i="7"/>
  <c r="AG1739" i="7"/>
  <c r="AG1738" i="7"/>
  <c r="AG1737" i="7"/>
  <c r="AG1736" i="7"/>
  <c r="AG1735" i="7"/>
  <c r="AG1734" i="7"/>
  <c r="AG1733" i="7"/>
  <c r="AG1732" i="7"/>
  <c r="AG1731" i="7"/>
  <c r="AG1730" i="7"/>
  <c r="AG1729" i="7"/>
  <c r="AG1728" i="7"/>
  <c r="AG1727" i="7"/>
  <c r="AG1726" i="7"/>
  <c r="AG1725" i="7"/>
  <c r="AG1724" i="7"/>
  <c r="AG1723" i="7"/>
  <c r="AG1722" i="7"/>
  <c r="AG1721" i="7"/>
  <c r="AG1720" i="7"/>
  <c r="AG1715" i="7"/>
  <c r="AG1714" i="7"/>
  <c r="AG1713" i="7"/>
  <c r="AG1712" i="7"/>
  <c r="AG1711" i="7"/>
  <c r="AG1710" i="7"/>
  <c r="AG1709" i="7"/>
  <c r="AG1708" i="7"/>
  <c r="AG1707" i="7"/>
  <c r="AG1706" i="7"/>
  <c r="AG1705" i="7"/>
  <c r="AG1704" i="7"/>
  <c r="AG1703" i="7"/>
  <c r="AG1702" i="7"/>
  <c r="AG1701" i="7"/>
  <c r="AG1700" i="7"/>
  <c r="AG1699" i="7"/>
  <c r="AG1698" i="7"/>
  <c r="AG1697" i="7"/>
  <c r="AG1696" i="7"/>
  <c r="AG1695" i="7"/>
  <c r="AG1694" i="7"/>
  <c r="AG1693" i="7"/>
  <c r="AG1692" i="7"/>
  <c r="AG1691" i="7"/>
  <c r="AG1690" i="7"/>
  <c r="AG1689" i="7"/>
  <c r="AG1688" i="7"/>
  <c r="AG1687" i="7"/>
  <c r="AG1686" i="7"/>
  <c r="AG1685" i="7"/>
  <c r="AG1684" i="7"/>
  <c r="AG1683" i="7"/>
  <c r="AG1682" i="7"/>
  <c r="AG1681" i="7"/>
  <c r="AG1680" i="7"/>
  <c r="AG1679" i="7"/>
  <c r="AG1678" i="7"/>
  <c r="AG1677" i="7"/>
  <c r="AG1676" i="7"/>
  <c r="AG1675" i="7"/>
  <c r="AG1674" i="7"/>
  <c r="AG1673" i="7"/>
  <c r="AG1672" i="7"/>
  <c r="AG1671" i="7"/>
  <c r="AG1670" i="7"/>
  <c r="AG1669" i="7"/>
  <c r="AG1668" i="7"/>
  <c r="AG1667" i="7"/>
  <c r="AG1666" i="7"/>
  <c r="AG1665" i="7"/>
  <c r="AG1664" i="7"/>
  <c r="AG1663" i="7"/>
  <c r="AG1662" i="7"/>
  <c r="AG1661" i="7"/>
  <c r="AG1660" i="7"/>
  <c r="AG1659" i="7"/>
  <c r="AG1658" i="7"/>
  <c r="AG1657" i="7"/>
  <c r="AG1656" i="7"/>
  <c r="AG1651" i="7"/>
  <c r="AG1648" i="7"/>
  <c r="AG1647" i="7"/>
  <c r="AG1646" i="7"/>
  <c r="AG1645" i="7"/>
  <c r="AG1644" i="7"/>
  <c r="AG1643" i="7"/>
  <c r="AG1642" i="7"/>
  <c r="AG1641" i="7"/>
  <c r="AG1640" i="7"/>
  <c r="AG1639" i="7"/>
  <c r="AG1638" i="7"/>
  <c r="AG1637" i="7"/>
  <c r="AG1636" i="7"/>
  <c r="AG1635" i="7"/>
  <c r="AG1634" i="7"/>
  <c r="AG1633" i="7"/>
  <c r="AG1632" i="7"/>
  <c r="AG1631" i="7"/>
  <c r="AG1630" i="7"/>
  <c r="AG1629" i="7"/>
  <c r="AG1628" i="7"/>
  <c r="AG1627" i="7"/>
  <c r="AG1626" i="7"/>
  <c r="AG1625" i="7"/>
  <c r="AG1624" i="7"/>
  <c r="AG1623" i="7"/>
  <c r="AG1622" i="7"/>
  <c r="AG1621" i="7"/>
  <c r="AG1620" i="7"/>
  <c r="AG1619" i="7"/>
  <c r="AG1618" i="7"/>
  <c r="AG1617" i="7"/>
  <c r="AG1616" i="7"/>
  <c r="AG1615" i="7"/>
  <c r="AG1614" i="7"/>
  <c r="AG1613" i="7"/>
  <c r="AG1612" i="7"/>
  <c r="AG1611" i="7"/>
  <c r="AG1610" i="7"/>
  <c r="AG1605" i="7"/>
  <c r="AG1604" i="7"/>
  <c r="AG1603" i="7"/>
  <c r="AG1602" i="7"/>
  <c r="AG1601" i="7"/>
  <c r="AG1600" i="7"/>
  <c r="AG1599" i="7"/>
  <c r="AG1598" i="7"/>
  <c r="AG1597" i="7"/>
  <c r="AG1596" i="7"/>
  <c r="AG1595" i="7"/>
  <c r="AG1594" i="7"/>
  <c r="AG1593" i="7"/>
  <c r="AG1592" i="7"/>
  <c r="AG1591" i="7"/>
  <c r="AG1590" i="7"/>
  <c r="AG1589" i="7"/>
  <c r="AG1588" i="7"/>
  <c r="AG1587" i="7"/>
  <c r="AG1586" i="7"/>
  <c r="AG1585" i="7"/>
  <c r="AG1584" i="7"/>
  <c r="AG1583" i="7"/>
  <c r="AG1582" i="7"/>
  <c r="AG1581" i="7"/>
  <c r="AG1580" i="7"/>
  <c r="AG1579" i="7"/>
  <c r="AG1578" i="7"/>
  <c r="AG1577" i="7"/>
  <c r="AG1576" i="7"/>
  <c r="AG1575" i="7"/>
  <c r="AG1574" i="7"/>
  <c r="AG1573" i="7"/>
  <c r="AG1572" i="7"/>
  <c r="AG1571" i="7"/>
  <c r="AG1570" i="7"/>
  <c r="AG1569" i="7"/>
  <c r="AG1568" i="7"/>
  <c r="AG1567" i="7"/>
  <c r="AG1566" i="7"/>
  <c r="AG1565" i="7"/>
  <c r="AG1564" i="7"/>
  <c r="AG1559" i="7"/>
  <c r="AG1558" i="7"/>
  <c r="AG1557" i="7"/>
  <c r="AG1556" i="7"/>
  <c r="AG1555" i="7"/>
  <c r="AG1554" i="7"/>
  <c r="AG1553" i="7"/>
  <c r="AG1552" i="7"/>
  <c r="AG1551" i="7"/>
  <c r="AG1550" i="7"/>
  <c r="AG1549" i="7"/>
  <c r="AG1548" i="7"/>
  <c r="AG1547" i="7"/>
  <c r="AG1546" i="7"/>
  <c r="AG1545" i="7"/>
  <c r="AG1544" i="7"/>
  <c r="AG1543" i="7"/>
  <c r="AG1542" i="7"/>
  <c r="AG1541" i="7"/>
  <c r="AG1540" i="7"/>
  <c r="AG1539" i="7"/>
  <c r="AG1538" i="7"/>
  <c r="AG1537" i="7"/>
  <c r="AG1536" i="7"/>
  <c r="AG1535" i="7"/>
  <c r="AG1534" i="7"/>
  <c r="AG1533" i="7"/>
  <c r="AG1532" i="7"/>
  <c r="AG1531" i="7"/>
  <c r="AG1530" i="7"/>
  <c r="AG1529" i="7"/>
  <c r="AG1528" i="7"/>
  <c r="AG1527" i="7"/>
  <c r="AG1526" i="7"/>
  <c r="AG1525" i="7"/>
  <c r="AG1524" i="7"/>
  <c r="AG1523" i="7"/>
  <c r="AG1522" i="7"/>
  <c r="AG1521" i="7"/>
  <c r="AG1520" i="7"/>
  <c r="AG1519" i="7"/>
  <c r="AG1518" i="7"/>
  <c r="AG1513" i="7"/>
  <c r="AG1512" i="7"/>
  <c r="AG1511" i="7"/>
  <c r="AG1510" i="7"/>
  <c r="AG1509" i="7"/>
  <c r="AG1508" i="7"/>
  <c r="AG1507" i="7"/>
  <c r="AG1506" i="7"/>
  <c r="AG1505" i="7"/>
  <c r="AG1504" i="7"/>
  <c r="AG1503" i="7"/>
  <c r="AG1502" i="7"/>
  <c r="AG1501" i="7"/>
  <c r="AG1500" i="7"/>
  <c r="AG1499" i="7"/>
  <c r="AG1498" i="7"/>
  <c r="AG1497" i="7"/>
  <c r="AG1496" i="7"/>
  <c r="AG1495" i="7"/>
  <c r="AG1494" i="7"/>
  <c r="AG1493" i="7"/>
  <c r="AG1492" i="7"/>
  <c r="AG1491" i="7"/>
  <c r="AG1490" i="7"/>
  <c r="AG1489" i="7"/>
  <c r="AG1488" i="7"/>
  <c r="AG1487" i="7"/>
  <c r="AG1486" i="7"/>
  <c r="AG1485" i="7"/>
  <c r="AG1484" i="7"/>
  <c r="AG1483" i="7"/>
  <c r="AG1482" i="7"/>
  <c r="AG1481" i="7"/>
  <c r="AG1480" i="7"/>
  <c r="AG1479" i="7"/>
  <c r="AG1478" i="7"/>
  <c r="AG1477" i="7"/>
  <c r="AG1476" i="7"/>
  <c r="AG1475" i="7"/>
  <c r="AG1474" i="7"/>
  <c r="AG1473" i="7"/>
  <c r="AG1472" i="7"/>
  <c r="AG1467" i="7"/>
  <c r="AG1466" i="7"/>
  <c r="AG1465" i="7"/>
  <c r="AG1464" i="7"/>
  <c r="AG1463" i="7"/>
  <c r="AG1462" i="7"/>
  <c r="AG1461" i="7"/>
  <c r="AG1460" i="7"/>
  <c r="AG1459" i="7"/>
  <c r="AG1458" i="7"/>
  <c r="AG1457" i="7"/>
  <c r="AG1456" i="7"/>
  <c r="AG1455" i="7"/>
  <c r="AG1454" i="7"/>
  <c r="AG1453" i="7"/>
  <c r="AG1452" i="7"/>
  <c r="AG1451" i="7"/>
  <c r="AG1450" i="7"/>
  <c r="AG1449" i="7"/>
  <c r="AG1448" i="7"/>
  <c r="AG1447" i="7"/>
  <c r="AG1446" i="7"/>
  <c r="AG1445" i="7"/>
  <c r="AG1444" i="7"/>
  <c r="AG1443" i="7"/>
  <c r="AG1442" i="7"/>
  <c r="AG1441" i="7"/>
  <c r="AG1440" i="7"/>
  <c r="AG1439" i="7"/>
  <c r="AG1438" i="7"/>
  <c r="AG1437" i="7"/>
  <c r="AG1436" i="7"/>
  <c r="AG1435" i="7"/>
  <c r="AG1434" i="7"/>
  <c r="AG1433" i="7"/>
  <c r="AG1432" i="7"/>
  <c r="AG1431" i="7"/>
  <c r="AG1430" i="7"/>
  <c r="AG1429" i="7"/>
  <c r="AG1428" i="7"/>
  <c r="AG1427" i="7"/>
  <c r="AG1426" i="7"/>
  <c r="AG1421" i="7"/>
  <c r="AG1420" i="7"/>
  <c r="AG1419" i="7"/>
  <c r="AG1418" i="7"/>
  <c r="AG1417" i="7"/>
  <c r="AG1416" i="7"/>
  <c r="AG1415" i="7"/>
  <c r="AG1414" i="7"/>
  <c r="AG1413" i="7"/>
  <c r="AG1412" i="7"/>
  <c r="AG1411" i="7"/>
  <c r="AG1410" i="7"/>
  <c r="AG1409" i="7"/>
  <c r="AG1408" i="7"/>
  <c r="AG1407" i="7"/>
  <c r="AG1406" i="7"/>
  <c r="AG1405" i="7"/>
  <c r="AG1404" i="7"/>
  <c r="AG1403" i="7"/>
  <c r="AG1402" i="7"/>
  <c r="AG1401" i="7"/>
  <c r="AG1400" i="7"/>
  <c r="AG1399" i="7"/>
  <c r="AG1398" i="7"/>
  <c r="AG1397" i="7"/>
  <c r="AG1396" i="7"/>
  <c r="AG1395" i="7"/>
  <c r="AG1394" i="7"/>
  <c r="AG1393" i="7"/>
  <c r="AG1392" i="7"/>
  <c r="AG1391" i="7"/>
  <c r="AG1390" i="7"/>
  <c r="AG1389" i="7"/>
  <c r="AG1388" i="7"/>
  <c r="AG1387" i="7"/>
  <c r="AG1386" i="7"/>
  <c r="AG1385" i="7"/>
  <c r="AG1384" i="7"/>
  <c r="AG1383" i="7"/>
  <c r="AG1382" i="7"/>
  <c r="AG1381" i="7"/>
  <c r="AG1380" i="7"/>
  <c r="AG1375" i="7"/>
  <c r="AG1372" i="7"/>
  <c r="AG1371" i="7"/>
  <c r="AG1370" i="7"/>
  <c r="AG1369" i="7"/>
  <c r="AG1368" i="7"/>
  <c r="AG1367" i="7"/>
  <c r="AG1366" i="7"/>
  <c r="AG1365" i="7"/>
  <c r="AG1364" i="7"/>
  <c r="AG1363" i="7"/>
  <c r="AG1362" i="7"/>
  <c r="AG1361" i="7"/>
  <c r="AG1360" i="7"/>
  <c r="AG1359" i="7"/>
  <c r="AG1358" i="7"/>
  <c r="AG1357" i="7"/>
  <c r="AG1356" i="7"/>
  <c r="AG1355" i="7"/>
  <c r="AG1354" i="7"/>
  <c r="AG1353" i="7"/>
  <c r="AG1352" i="7"/>
  <c r="AG1351" i="7"/>
  <c r="AG1350" i="7"/>
  <c r="AG1349" i="7"/>
  <c r="AG1348" i="7"/>
  <c r="AG1347" i="7"/>
  <c r="AG1346" i="7"/>
  <c r="AG1345" i="7"/>
  <c r="AG1344" i="7"/>
  <c r="AG1343" i="7"/>
  <c r="AG1342" i="7"/>
  <c r="AG1341" i="7"/>
  <c r="AG1340" i="7"/>
  <c r="AG1339" i="7"/>
  <c r="AG1338" i="7"/>
  <c r="AG1337" i="7"/>
  <c r="AG1336" i="7"/>
  <c r="AG1335" i="7"/>
  <c r="AG1334" i="7"/>
  <c r="AG1329" i="7"/>
  <c r="AG1328" i="7"/>
  <c r="AG1327" i="7"/>
  <c r="AG1326" i="7"/>
  <c r="AG1325" i="7"/>
  <c r="AG1324" i="7"/>
  <c r="AG1323" i="7"/>
  <c r="AG1322" i="7"/>
  <c r="AG1321" i="7"/>
  <c r="AG1320" i="7"/>
  <c r="AG1319" i="7"/>
  <c r="AG1318" i="7"/>
  <c r="AG1317" i="7"/>
  <c r="AG1316" i="7"/>
  <c r="AG1315" i="7"/>
  <c r="AG1314" i="7"/>
  <c r="AG1313" i="7"/>
  <c r="AG1312" i="7"/>
  <c r="AG1311" i="7"/>
  <c r="AG1310" i="7"/>
  <c r="AG1309" i="7"/>
  <c r="AG1308" i="7"/>
  <c r="AG1307" i="7"/>
  <c r="AG1306" i="7"/>
  <c r="AG1305" i="7"/>
  <c r="AG1304" i="7"/>
  <c r="AG1303" i="7"/>
  <c r="AG1302" i="7"/>
  <c r="AG1301" i="7"/>
  <c r="AG1300" i="7"/>
  <c r="AG1299" i="7"/>
  <c r="AG1298" i="7"/>
  <c r="AG1297" i="7"/>
  <c r="AG1296" i="7"/>
  <c r="AG1295" i="7"/>
  <c r="AG1294" i="7"/>
  <c r="AG1293" i="7"/>
  <c r="AG1292" i="7"/>
  <c r="AG1291" i="7"/>
  <c r="AG1290" i="7"/>
  <c r="AG1289" i="7"/>
  <c r="AG1288" i="7"/>
  <c r="AG1287" i="7"/>
  <c r="AG1286" i="7"/>
  <c r="AG1285" i="7"/>
  <c r="AG1284" i="7"/>
  <c r="AG1283" i="7"/>
  <c r="AG1282" i="7"/>
  <c r="AG1277" i="7"/>
  <c r="AG1276" i="7"/>
  <c r="AG1275" i="7"/>
  <c r="AG1274" i="7"/>
  <c r="AG1273" i="7"/>
  <c r="AG1272" i="7"/>
  <c r="AG1271" i="7"/>
  <c r="AG1270" i="7"/>
  <c r="AG1269" i="7"/>
  <c r="AG1268" i="7"/>
  <c r="AG1267" i="7"/>
  <c r="AG1266" i="7"/>
  <c r="AG1265" i="7"/>
  <c r="AG1264" i="7"/>
  <c r="AG1263" i="7"/>
  <c r="AG1262" i="7"/>
  <c r="AG1261" i="7"/>
  <c r="AG1260" i="7"/>
  <c r="AG1259" i="7"/>
  <c r="AG1258" i="7"/>
  <c r="AG1257" i="7"/>
  <c r="AG1256" i="7"/>
  <c r="AG1255" i="7"/>
  <c r="AG1254" i="7"/>
  <c r="AG1253" i="7"/>
  <c r="AG1252" i="7"/>
  <c r="AG1251" i="7"/>
  <c r="AG1250" i="7"/>
  <c r="AG1249" i="7"/>
  <c r="AG1248" i="7"/>
  <c r="AG1247" i="7"/>
  <c r="AG1246" i="7"/>
  <c r="AG1245" i="7"/>
  <c r="AG1244" i="7"/>
  <c r="AG1243" i="7"/>
  <c r="AG1242" i="7"/>
  <c r="AG1241" i="7"/>
  <c r="AG1240" i="7"/>
  <c r="AG1239" i="7"/>
  <c r="AG1238" i="7"/>
  <c r="AG1237" i="7"/>
  <c r="AG1236" i="7"/>
  <c r="AG1235" i="7"/>
  <c r="AG1234" i="7"/>
  <c r="AG1233" i="7"/>
  <c r="AG1232" i="7"/>
  <c r="AG1231" i="7"/>
  <c r="AG1230" i="7"/>
  <c r="AG1223" i="7"/>
  <c r="AG1222" i="7"/>
  <c r="AG1221" i="7"/>
  <c r="AG1220" i="7"/>
  <c r="AG1219" i="7"/>
  <c r="AG1218" i="7"/>
  <c r="AG1217" i="7"/>
  <c r="AG1216" i="7"/>
  <c r="AG1215" i="7"/>
  <c r="AG1214" i="7"/>
  <c r="AG1213" i="7"/>
  <c r="AG1212" i="7"/>
  <c r="AG1211" i="7"/>
  <c r="AG1210" i="7"/>
  <c r="AG1209" i="7"/>
  <c r="AG1208" i="7"/>
  <c r="AG1207" i="7"/>
  <c r="AG1206" i="7"/>
  <c r="AG1205" i="7"/>
  <c r="AG1204" i="7"/>
  <c r="AG1203" i="7"/>
  <c r="AG1202" i="7"/>
  <c r="AG1201" i="7"/>
  <c r="AG1200" i="7"/>
  <c r="AG1199" i="7"/>
  <c r="AG1198" i="7"/>
  <c r="AG1197" i="7"/>
  <c r="AG1196" i="7"/>
  <c r="AG1195" i="7"/>
  <c r="AG1194" i="7"/>
  <c r="AG1193" i="7"/>
  <c r="AG1192" i="7"/>
  <c r="AG1191" i="7"/>
  <c r="AG1190" i="7"/>
  <c r="AG1189" i="7"/>
  <c r="AG1188" i="7"/>
  <c r="AG1187" i="7"/>
  <c r="AG1186" i="7"/>
  <c r="AG1185" i="7"/>
  <c r="AG1184" i="7"/>
  <c r="AG1183" i="7"/>
  <c r="AG1182" i="7"/>
  <c r="AG1181" i="7"/>
  <c r="AG1180" i="7"/>
  <c r="AG1179" i="7"/>
  <c r="AG1178" i="7"/>
  <c r="AG1177" i="7"/>
  <c r="AG1176" i="7"/>
  <c r="AG1171" i="7"/>
  <c r="AG1170" i="7"/>
  <c r="AG1169" i="7"/>
  <c r="AG1168" i="7"/>
  <c r="AG1167" i="7"/>
  <c r="AG1166" i="7"/>
  <c r="AG1165" i="7"/>
  <c r="AG1164" i="7"/>
  <c r="AG1163" i="7"/>
  <c r="AG1162" i="7"/>
  <c r="AG1161" i="7"/>
  <c r="AG1160" i="7"/>
  <c r="AG1159" i="7"/>
  <c r="AG1158" i="7"/>
  <c r="AG1157" i="7"/>
  <c r="AG1156" i="7"/>
  <c r="AG1155" i="7"/>
  <c r="AG1154" i="7"/>
  <c r="AG1153" i="7"/>
  <c r="AG1152" i="7"/>
  <c r="AG1151" i="7"/>
  <c r="AG1150" i="7"/>
  <c r="AG1149" i="7"/>
  <c r="AG1148" i="7"/>
  <c r="AG1147" i="7"/>
  <c r="AG1146" i="7"/>
  <c r="AG1145" i="7"/>
  <c r="AG1144" i="7"/>
  <c r="AG1143" i="7"/>
  <c r="AG1142" i="7"/>
  <c r="AG1141" i="7"/>
  <c r="AG1140" i="7"/>
  <c r="AG1139" i="7"/>
  <c r="AG1138" i="7"/>
  <c r="AG1137" i="7"/>
  <c r="AG1136" i="7"/>
  <c r="AG1135" i="7"/>
  <c r="AG1134" i="7"/>
  <c r="AG1133" i="7"/>
  <c r="AG1132" i="7"/>
  <c r="AG1131" i="7"/>
  <c r="AG1130" i="7"/>
  <c r="AG1129" i="7"/>
  <c r="AG1128" i="7"/>
  <c r="AG1127" i="7"/>
  <c r="AG1126" i="7"/>
  <c r="AG1125" i="7"/>
  <c r="AG1124" i="7"/>
  <c r="AG1119" i="7"/>
  <c r="AG1118" i="7"/>
  <c r="AG1117" i="7"/>
  <c r="AG1116" i="7"/>
  <c r="AG1115" i="7"/>
  <c r="AG1114" i="7"/>
  <c r="AG1113" i="7"/>
  <c r="AG1112" i="7"/>
  <c r="AG1111" i="7"/>
  <c r="AG1110" i="7"/>
  <c r="AG1109" i="7"/>
  <c r="AG1108" i="7"/>
  <c r="AG1107" i="7"/>
  <c r="AG1106" i="7"/>
  <c r="AG1105" i="7"/>
  <c r="AG1104" i="7"/>
  <c r="AG1103" i="7"/>
  <c r="AG1102" i="7"/>
  <c r="AG1101" i="7"/>
  <c r="AG1100" i="7"/>
  <c r="AG1099" i="7"/>
  <c r="AG1098" i="7"/>
  <c r="AG1097" i="7"/>
  <c r="AG1096" i="7"/>
  <c r="AG1095" i="7"/>
  <c r="AG1094" i="7"/>
  <c r="AG1093" i="7"/>
  <c r="AG1092" i="7"/>
  <c r="AG1091" i="7"/>
  <c r="AG1090" i="7"/>
  <c r="AG1089" i="7"/>
  <c r="AG1088" i="7"/>
  <c r="AG1087" i="7"/>
  <c r="AG1086" i="7"/>
  <c r="AG1085" i="7"/>
  <c r="AG1084" i="7"/>
  <c r="AG1083" i="7"/>
  <c r="AG1082" i="7"/>
  <c r="AG1081" i="7"/>
  <c r="AG1080" i="7"/>
  <c r="AG1079" i="7"/>
  <c r="AG1078" i="7"/>
  <c r="AG1077" i="7"/>
  <c r="AG1076" i="7"/>
  <c r="AG1075" i="7"/>
  <c r="AG1074" i="7"/>
  <c r="AG1073" i="7"/>
  <c r="AG1072" i="7"/>
  <c r="AG1067" i="7"/>
  <c r="AG1066" i="7"/>
  <c r="AG1065" i="7"/>
  <c r="AG1064" i="7"/>
  <c r="AG1063" i="7"/>
  <c r="AG1062" i="7"/>
  <c r="AG1061" i="7"/>
  <c r="AG1060" i="7"/>
  <c r="AG1059" i="7"/>
  <c r="AG1058" i="7"/>
  <c r="AG1057" i="7"/>
  <c r="AG1056" i="7"/>
  <c r="AG1055" i="7"/>
  <c r="AG1054" i="7"/>
  <c r="AG1053" i="7"/>
  <c r="AG1052" i="7"/>
  <c r="AG1051" i="7"/>
  <c r="AG1050" i="7"/>
  <c r="AG1049" i="7"/>
  <c r="AG1048" i="7"/>
  <c r="AG1047" i="7"/>
  <c r="AG1046" i="7"/>
  <c r="AG1045" i="7"/>
  <c r="AG1044" i="7"/>
  <c r="AG1043" i="7"/>
  <c r="AG1042" i="7"/>
  <c r="AG1041" i="7"/>
  <c r="AG1040" i="7"/>
  <c r="AG1039" i="7"/>
  <c r="AG1038" i="7"/>
  <c r="AG1037" i="7"/>
  <c r="AG1036" i="7"/>
  <c r="AG1035" i="7"/>
  <c r="AG1034" i="7"/>
  <c r="AG1033" i="7"/>
  <c r="AG1032" i="7"/>
  <c r="AG1031" i="7"/>
  <c r="AG1030" i="7"/>
  <c r="AG1029" i="7"/>
  <c r="AG1028" i="7"/>
  <c r="AG1027" i="7"/>
  <c r="AG1026" i="7"/>
  <c r="AG1025" i="7"/>
  <c r="AG1024" i="7"/>
  <c r="AG1023" i="7"/>
  <c r="AG1022" i="7"/>
  <c r="AG1021" i="7"/>
  <c r="AG1020" i="7"/>
  <c r="AG1015" i="7"/>
  <c r="AG1014" i="7"/>
  <c r="AG1013" i="7"/>
  <c r="AG1012" i="7"/>
  <c r="AG1011" i="7"/>
  <c r="AG1010" i="7"/>
  <c r="AG1009" i="7"/>
  <c r="AG1008" i="7"/>
  <c r="AG1007" i="7"/>
  <c r="AG1006" i="7"/>
  <c r="AG1005" i="7"/>
  <c r="AG1004" i="7"/>
  <c r="AG1003" i="7"/>
  <c r="AG1002" i="7"/>
  <c r="AG1001" i="7"/>
  <c r="AG1000" i="7"/>
  <c r="AG999" i="7"/>
  <c r="AG998" i="7"/>
  <c r="AG997" i="7"/>
  <c r="AG996" i="7"/>
  <c r="AG995" i="7"/>
  <c r="AG994" i="7"/>
  <c r="AG993" i="7"/>
  <c r="AG992" i="7"/>
  <c r="AG991" i="7"/>
  <c r="AG990" i="7"/>
  <c r="AG989" i="7"/>
  <c r="AG988" i="7"/>
  <c r="AG987" i="7"/>
  <c r="AG986" i="7"/>
  <c r="AG985" i="7"/>
  <c r="AG984" i="7"/>
  <c r="AG983" i="7"/>
  <c r="AG982" i="7"/>
  <c r="AG981" i="7"/>
  <c r="AG980" i="7"/>
  <c r="AG979" i="7"/>
  <c r="AG978" i="7"/>
  <c r="AG977" i="7"/>
  <c r="AG976" i="7"/>
  <c r="AG975" i="7"/>
  <c r="AG974" i="7"/>
  <c r="AG973" i="7"/>
  <c r="AG972" i="7"/>
  <c r="AG971" i="7"/>
  <c r="AG970" i="7"/>
  <c r="AG969" i="7"/>
  <c r="AG968" i="7"/>
  <c r="AG967" i="7"/>
  <c r="AG966" i="7"/>
  <c r="AG965" i="7"/>
  <c r="AG964" i="7"/>
  <c r="AG963" i="7"/>
  <c r="AG962" i="7"/>
  <c r="AG957" i="7"/>
  <c r="AG956" i="7"/>
  <c r="AG955" i="7"/>
  <c r="AG954" i="7"/>
  <c r="AG953" i="7"/>
  <c r="AG952" i="7"/>
  <c r="AG951" i="7"/>
  <c r="AG950" i="7"/>
  <c r="AG949" i="7"/>
  <c r="AG948" i="7"/>
  <c r="AG947" i="7"/>
  <c r="AG946" i="7"/>
  <c r="AG945" i="7"/>
  <c r="AG944" i="7"/>
  <c r="AG943" i="7"/>
  <c r="AG942" i="7"/>
  <c r="AG941" i="7"/>
  <c r="AG940" i="7"/>
  <c r="AG939" i="7"/>
  <c r="AG938" i="7"/>
  <c r="AG937" i="7"/>
  <c r="AG936" i="7"/>
  <c r="AG935" i="7"/>
  <c r="AG934" i="7"/>
  <c r="AG933" i="7"/>
  <c r="AG932" i="7"/>
  <c r="AG931" i="7"/>
  <c r="AG930" i="7"/>
  <c r="AG929" i="7"/>
  <c r="AG928" i="7"/>
  <c r="AG927" i="7"/>
  <c r="AG926" i="7"/>
  <c r="AG925" i="7"/>
  <c r="AG924" i="7"/>
  <c r="AG923" i="7"/>
  <c r="AG922" i="7"/>
  <c r="AG921" i="7"/>
  <c r="AG920" i="7"/>
  <c r="AG919" i="7"/>
  <c r="AG918" i="7"/>
  <c r="AG917" i="7"/>
  <c r="AG916" i="7"/>
  <c r="AG915" i="7"/>
  <c r="AG914" i="7"/>
  <c r="AG913" i="7"/>
  <c r="AG912" i="7"/>
  <c r="AG911" i="7"/>
  <c r="AG910" i="7"/>
  <c r="AG909" i="7"/>
  <c r="AG908" i="7"/>
  <c r="AG907" i="7"/>
  <c r="AG906" i="7"/>
  <c r="AG905" i="7"/>
  <c r="AG904" i="7"/>
  <c r="AG899" i="7"/>
  <c r="AG898" i="7"/>
  <c r="AG897" i="7"/>
  <c r="AG896" i="7"/>
  <c r="AG895" i="7"/>
  <c r="AG894" i="7"/>
  <c r="AG893" i="7"/>
  <c r="AG892" i="7"/>
  <c r="AG891" i="7"/>
  <c r="AG890" i="7"/>
  <c r="AG889" i="7"/>
  <c r="AG888" i="7"/>
  <c r="AG887" i="7"/>
  <c r="AG886" i="7"/>
  <c r="AG885" i="7"/>
  <c r="AG884" i="7"/>
  <c r="AG883" i="7"/>
  <c r="AG882" i="7"/>
  <c r="AG881" i="7"/>
  <c r="AG880" i="7"/>
  <c r="AG879" i="7"/>
  <c r="AG878" i="7"/>
  <c r="AG877" i="7"/>
  <c r="AG876" i="7"/>
  <c r="AG875" i="7"/>
  <c r="AG874" i="7"/>
  <c r="AG873" i="7"/>
  <c r="AG872" i="7"/>
  <c r="AG871" i="7"/>
  <c r="AG870" i="7"/>
  <c r="AG869" i="7"/>
  <c r="AG868" i="7"/>
  <c r="AG867" i="7"/>
  <c r="AG866" i="7"/>
  <c r="AG865" i="7"/>
  <c r="AG864" i="7"/>
  <c r="AG863" i="7"/>
  <c r="AG862" i="7"/>
  <c r="AG861" i="7"/>
  <c r="AG860" i="7"/>
  <c r="AG859" i="7"/>
  <c r="AG858" i="7"/>
  <c r="AG857" i="7"/>
  <c r="AG856" i="7"/>
  <c r="AG855" i="7"/>
  <c r="AG854" i="7"/>
  <c r="AG853" i="7"/>
  <c r="AG852" i="7"/>
  <c r="AG851" i="7"/>
  <c r="AG850" i="7"/>
  <c r="AG849" i="7"/>
  <c r="AG848" i="7"/>
  <c r="AG847" i="7"/>
  <c r="AG846" i="7"/>
  <c r="AG841" i="7"/>
  <c r="AG840" i="7"/>
  <c r="AG839" i="7"/>
  <c r="AG838" i="7"/>
  <c r="AG837" i="7"/>
  <c r="AG836" i="7"/>
  <c r="AG835" i="7"/>
  <c r="AG834" i="7"/>
  <c r="AG833" i="7"/>
  <c r="AG832" i="7"/>
  <c r="AG831" i="7"/>
  <c r="AG830" i="7"/>
  <c r="AG829" i="7"/>
  <c r="AG828" i="7"/>
  <c r="AG827" i="7"/>
  <c r="AG826" i="7"/>
  <c r="AG825" i="7"/>
  <c r="AG824" i="7"/>
  <c r="AG823" i="7"/>
  <c r="AG822" i="7"/>
  <c r="AG821" i="7"/>
  <c r="AG820" i="7"/>
  <c r="AG819" i="7"/>
  <c r="AG818" i="7"/>
  <c r="AG817" i="7"/>
  <c r="AG816" i="7"/>
  <c r="AG815" i="7"/>
  <c r="AG814" i="7"/>
  <c r="AG813" i="7"/>
  <c r="AG812" i="7"/>
  <c r="AG811" i="7"/>
  <c r="AG810" i="7"/>
  <c r="AG809" i="7"/>
  <c r="AG808" i="7"/>
  <c r="AG807" i="7"/>
  <c r="AG806" i="7"/>
  <c r="AG805" i="7"/>
  <c r="AG804" i="7"/>
  <c r="AG803" i="7"/>
  <c r="AG802" i="7"/>
  <c r="AG801" i="7"/>
  <c r="AG800" i="7"/>
  <c r="AG799" i="7"/>
  <c r="AG798" i="7"/>
  <c r="AG797" i="7"/>
  <c r="AG796" i="7"/>
  <c r="AG795" i="7"/>
  <c r="AG794" i="7"/>
  <c r="AG793" i="7"/>
  <c r="AG792" i="7"/>
  <c r="AG791" i="7"/>
  <c r="AG790" i="7"/>
  <c r="AG789" i="7"/>
  <c r="AG788" i="7"/>
  <c r="AG783" i="7"/>
  <c r="AG782" i="7"/>
  <c r="AG781" i="7"/>
  <c r="AG780" i="7"/>
  <c r="AG779" i="7"/>
  <c r="AG778" i="7"/>
  <c r="AG777" i="7"/>
  <c r="AG776" i="7"/>
  <c r="AG775" i="7"/>
  <c r="AG774" i="7"/>
  <c r="AG773" i="7"/>
  <c r="AG772" i="7"/>
  <c r="AG771" i="7"/>
  <c r="AG770" i="7"/>
  <c r="AG769" i="7"/>
  <c r="AG768" i="7"/>
  <c r="AG767" i="7"/>
  <c r="AG766" i="7"/>
  <c r="AG765" i="7"/>
  <c r="AG764" i="7"/>
  <c r="AG763" i="7"/>
  <c r="AG762" i="7"/>
  <c r="AG761" i="7"/>
  <c r="AG760" i="7"/>
  <c r="AG759" i="7"/>
  <c r="AG758" i="7"/>
  <c r="AG757" i="7"/>
  <c r="AG756" i="7"/>
  <c r="AG755" i="7"/>
  <c r="AG754" i="7"/>
  <c r="AG753" i="7"/>
  <c r="AG752" i="7"/>
  <c r="AG751" i="7"/>
  <c r="AG750" i="7"/>
  <c r="AG749" i="7"/>
  <c r="AG748" i="7"/>
  <c r="AG747" i="7"/>
  <c r="AG746" i="7"/>
  <c r="AG745" i="7"/>
  <c r="AG744" i="7"/>
  <c r="AG743" i="7"/>
  <c r="AG742" i="7"/>
  <c r="AG741" i="7"/>
  <c r="AG740" i="7"/>
  <c r="AG739" i="7"/>
  <c r="AG738" i="7"/>
  <c r="AG737" i="7"/>
  <c r="AG736" i="7"/>
  <c r="AG735" i="7"/>
  <c r="AG734" i="7"/>
  <c r="AG733" i="7"/>
  <c r="AG732" i="7"/>
  <c r="AG731" i="7"/>
  <c r="AG730" i="7"/>
  <c r="AG729" i="7"/>
  <c r="AG728" i="7"/>
  <c r="AG727" i="7"/>
  <c r="AG726" i="7"/>
  <c r="AG725" i="7"/>
  <c r="AG724" i="7"/>
  <c r="AG719" i="7"/>
  <c r="AG718" i="7"/>
  <c r="AG717" i="7"/>
  <c r="AG716" i="7"/>
  <c r="AG715" i="7"/>
  <c r="AG714" i="7"/>
  <c r="AG713" i="7"/>
  <c r="AG712" i="7"/>
  <c r="AG711" i="7"/>
  <c r="AG710" i="7"/>
  <c r="AG709" i="7"/>
  <c r="AG708" i="7"/>
  <c r="AG707" i="7"/>
  <c r="AG706" i="7"/>
  <c r="AG705" i="7"/>
  <c r="AG704" i="7"/>
  <c r="AG703" i="7"/>
  <c r="AG702" i="7"/>
  <c r="AG701" i="7"/>
  <c r="AG700" i="7"/>
  <c r="AG699" i="7"/>
  <c r="AG698" i="7"/>
  <c r="AG697" i="7"/>
  <c r="AG696" i="7"/>
  <c r="AG695" i="7"/>
  <c r="AG694" i="7"/>
  <c r="AG693" i="7"/>
  <c r="AG692" i="7"/>
  <c r="AG691" i="7"/>
  <c r="AG690" i="7"/>
  <c r="AG689" i="7"/>
  <c r="AG688" i="7"/>
  <c r="AG687" i="7"/>
  <c r="AG686" i="7"/>
  <c r="AG685" i="7"/>
  <c r="AG684" i="7"/>
  <c r="AG683" i="7"/>
  <c r="AG682" i="7"/>
  <c r="AG681" i="7"/>
  <c r="AG680" i="7"/>
  <c r="AG679" i="7"/>
  <c r="AG678" i="7"/>
  <c r="AG677" i="7"/>
  <c r="AG676" i="7"/>
  <c r="AG675" i="7"/>
  <c r="AG674" i="7"/>
  <c r="AG673" i="7"/>
  <c r="AG672" i="7"/>
  <c r="AG671" i="7"/>
  <c r="AG670" i="7"/>
  <c r="AG669" i="7"/>
  <c r="AG668" i="7"/>
  <c r="AG667" i="7"/>
  <c r="AG666" i="7"/>
  <c r="AG665" i="7"/>
  <c r="AG664" i="7"/>
  <c r="AG663" i="7"/>
  <c r="AG662" i="7"/>
  <c r="AG661" i="7"/>
  <c r="AG660" i="7"/>
  <c r="AG659" i="7"/>
  <c r="AG658" i="7"/>
  <c r="AG653" i="7"/>
  <c r="AG652" i="7"/>
  <c r="AG651" i="7"/>
  <c r="AG650" i="7"/>
  <c r="AG649" i="7"/>
  <c r="AG648" i="7"/>
  <c r="AG647" i="7"/>
  <c r="AG646" i="7"/>
  <c r="AG645" i="7"/>
  <c r="AG644" i="7"/>
  <c r="AG643" i="7"/>
  <c r="AG642" i="7"/>
  <c r="AG641" i="7"/>
  <c r="AG640" i="7"/>
  <c r="AG639" i="7"/>
  <c r="AG638" i="7"/>
  <c r="AG637" i="7"/>
  <c r="AG636" i="7"/>
  <c r="AG635" i="7"/>
  <c r="AG634" i="7"/>
  <c r="AG633" i="7"/>
  <c r="AG632" i="7"/>
  <c r="AG631" i="7"/>
  <c r="AG630" i="7"/>
  <c r="AG629" i="7"/>
  <c r="AG628" i="7"/>
  <c r="AG627" i="7"/>
  <c r="AG626" i="7"/>
  <c r="AG625" i="7"/>
  <c r="AG624" i="7"/>
  <c r="AG623" i="7"/>
  <c r="AG622" i="7"/>
  <c r="AG621" i="7"/>
  <c r="AG620" i="7"/>
  <c r="AG619" i="7"/>
  <c r="AG618" i="7"/>
  <c r="AG617" i="7"/>
  <c r="AG616" i="7"/>
  <c r="AG615" i="7"/>
  <c r="AG614" i="7"/>
  <c r="AG613" i="7"/>
  <c r="AG612" i="7"/>
  <c r="AG611" i="7"/>
  <c r="AG610" i="7"/>
  <c r="AG609" i="7"/>
  <c r="AG608" i="7"/>
  <c r="AG607" i="7"/>
  <c r="AG606" i="7"/>
  <c r="AG605" i="7"/>
  <c r="AG604" i="7"/>
  <c r="AG603" i="7"/>
  <c r="AG602" i="7"/>
  <c r="AG601" i="7"/>
  <c r="AG600" i="7"/>
  <c r="AG599" i="7"/>
  <c r="AG598" i="7"/>
  <c r="AG597" i="7"/>
  <c r="AG596" i="7"/>
  <c r="AG595" i="7"/>
  <c r="AG594" i="7"/>
  <c r="AG593" i="7"/>
  <c r="AG592" i="7"/>
  <c r="AG587" i="7"/>
  <c r="AG586" i="7"/>
  <c r="AG585" i="7"/>
  <c r="AG584" i="7"/>
  <c r="AG583" i="7"/>
  <c r="AG582" i="7"/>
  <c r="AG581" i="7"/>
  <c r="AG580" i="7"/>
  <c r="AG579" i="7"/>
  <c r="AG578" i="7"/>
  <c r="AG577" i="7"/>
  <c r="AG576" i="7"/>
  <c r="AG575" i="7"/>
  <c r="AG574" i="7"/>
  <c r="AG573" i="7"/>
  <c r="AG572" i="7"/>
  <c r="AG571" i="7"/>
  <c r="AG570" i="7"/>
  <c r="AG569" i="7"/>
  <c r="AG568" i="7"/>
  <c r="AG567" i="7"/>
  <c r="AG566" i="7"/>
  <c r="AG565" i="7"/>
  <c r="AG564" i="7"/>
  <c r="AG563" i="7"/>
  <c r="AG562" i="7"/>
  <c r="AG561" i="7"/>
  <c r="AG560" i="7"/>
  <c r="AG559" i="7"/>
  <c r="AG558" i="7"/>
  <c r="AG557" i="7"/>
  <c r="AG556" i="7"/>
  <c r="AG555" i="7"/>
  <c r="AG554" i="7"/>
  <c r="AG553" i="7"/>
  <c r="AG552" i="7"/>
  <c r="AG551" i="7"/>
  <c r="AG550" i="7"/>
  <c r="AG549" i="7"/>
  <c r="AG548" i="7"/>
  <c r="AG547" i="7"/>
  <c r="AG546" i="7"/>
  <c r="AG545" i="7"/>
  <c r="AG544" i="7"/>
  <c r="AG543" i="7"/>
  <c r="AG542" i="7"/>
  <c r="AG541" i="7"/>
  <c r="AG540" i="7"/>
  <c r="AG539" i="7"/>
  <c r="AG538" i="7"/>
  <c r="AG537" i="7"/>
  <c r="AG536" i="7"/>
  <c r="AG535" i="7"/>
  <c r="AG534" i="7"/>
  <c r="AG533" i="7"/>
  <c r="AG532" i="7"/>
  <c r="AG531" i="7"/>
  <c r="AG530" i="7"/>
  <c r="AG529" i="7"/>
  <c r="AG528" i="7"/>
  <c r="AG527" i="7"/>
  <c r="AG526" i="7"/>
  <c r="AG521" i="7"/>
  <c r="AG520" i="7"/>
  <c r="AG519" i="7"/>
  <c r="AG514" i="7"/>
  <c r="AG513" i="7"/>
  <c r="AG512" i="7"/>
  <c r="AG511" i="7"/>
  <c r="AG510" i="7"/>
  <c r="AG509" i="7"/>
  <c r="AG508" i="7"/>
  <c r="AG507" i="7"/>
  <c r="AG506" i="7"/>
  <c r="AG505" i="7"/>
  <c r="AG504" i="7"/>
  <c r="AG503" i="7"/>
  <c r="AG502" i="7"/>
  <c r="AG501" i="7"/>
  <c r="AG500" i="7"/>
  <c r="AG499" i="7"/>
  <c r="AG498" i="7"/>
  <c r="AG497" i="7"/>
  <c r="AG496" i="7"/>
  <c r="AG495" i="7"/>
  <c r="AG494" i="7"/>
  <c r="AG493" i="7"/>
  <c r="AG492" i="7"/>
  <c r="AG491" i="7"/>
  <c r="AG490" i="7"/>
  <c r="AG489" i="7"/>
  <c r="AG488" i="7"/>
  <c r="AG487" i="7"/>
  <c r="AG486" i="7"/>
  <c r="AG485" i="7"/>
  <c r="AG484" i="7"/>
  <c r="AG483" i="7"/>
  <c r="AG482" i="7"/>
  <c r="AG481" i="7"/>
  <c r="AG480" i="7"/>
  <c r="AG479" i="7"/>
  <c r="AG478" i="7"/>
  <c r="AG477" i="7"/>
  <c r="AG476" i="7"/>
  <c r="AG475" i="7"/>
  <c r="AG474" i="7"/>
  <c r="AG473" i="7"/>
  <c r="AG472" i="7"/>
  <c r="AG471" i="7"/>
  <c r="AG470" i="7"/>
  <c r="AG469" i="7"/>
  <c r="AG468" i="7"/>
  <c r="AG467" i="7"/>
  <c r="AG466" i="7"/>
  <c r="AG465" i="7"/>
  <c r="AG464" i="7"/>
  <c r="AG463" i="7"/>
  <c r="AG462" i="7"/>
  <c r="AG461" i="7"/>
  <c r="AG460" i="7"/>
  <c r="AG459" i="7"/>
  <c r="AG458" i="7"/>
  <c r="AG457" i="7"/>
  <c r="AG456" i="7"/>
  <c r="AG455" i="7"/>
  <c r="AG454" i="7"/>
  <c r="AG453" i="7"/>
  <c r="AG448" i="7"/>
  <c r="AG447" i="7"/>
  <c r="AG446" i="7"/>
  <c r="AG445" i="7"/>
  <c r="AG444" i="7"/>
  <c r="AG443" i="7"/>
  <c r="AG442" i="7"/>
  <c r="AG441" i="7"/>
  <c r="AG440" i="7"/>
  <c r="AG439" i="7"/>
  <c r="AG438" i="7"/>
  <c r="AG437" i="7"/>
  <c r="AG436" i="7"/>
  <c r="AG435" i="7"/>
  <c r="AG434" i="7"/>
  <c r="AG433" i="7"/>
  <c r="AG432" i="7"/>
  <c r="AG431" i="7"/>
  <c r="AG430" i="7"/>
  <c r="AG429" i="7"/>
  <c r="AG428" i="7"/>
  <c r="AG427" i="7"/>
  <c r="AG426" i="7"/>
  <c r="AG425" i="7"/>
  <c r="AG424" i="7"/>
  <c r="AG423" i="7"/>
  <c r="AG422" i="7"/>
  <c r="AG421" i="7"/>
  <c r="AG420" i="7"/>
  <c r="AG419" i="7"/>
  <c r="AG418" i="7"/>
  <c r="AG417" i="7"/>
  <c r="AG416" i="7"/>
  <c r="AG415" i="7"/>
  <c r="AG414" i="7"/>
  <c r="AG413" i="7"/>
  <c r="AG412" i="7"/>
  <c r="AG411" i="7"/>
  <c r="AG410" i="7"/>
  <c r="AG409" i="7"/>
  <c r="AG408" i="7"/>
  <c r="AG407" i="7"/>
  <c r="AG406" i="7"/>
  <c r="AG405" i="7"/>
  <c r="AG404" i="7"/>
  <c r="AG403" i="7"/>
  <c r="AG402" i="7"/>
  <c r="AG401" i="7"/>
  <c r="AG400" i="7"/>
  <c r="AG399" i="7"/>
  <c r="AG398" i="7"/>
  <c r="AG397" i="7"/>
  <c r="AG396" i="7"/>
  <c r="AG395" i="7"/>
  <c r="AG394" i="7"/>
  <c r="AG393" i="7"/>
  <c r="AG392" i="7"/>
  <c r="AG391" i="7"/>
  <c r="AG390" i="7"/>
  <c r="AG389" i="7"/>
  <c r="AG382" i="7"/>
  <c r="AG379" i="7"/>
  <c r="AG378" i="7"/>
  <c r="AG377" i="7"/>
  <c r="AG376" i="7"/>
  <c r="AG375" i="7"/>
  <c r="AG374" i="7"/>
  <c r="AG373" i="7"/>
  <c r="AG372" i="7"/>
  <c r="AG371" i="7"/>
  <c r="AG370" i="7"/>
  <c r="AG369" i="7"/>
  <c r="AG368" i="7"/>
  <c r="AG367" i="7"/>
  <c r="AG366" i="7"/>
  <c r="AG365" i="7"/>
  <c r="AG364" i="7"/>
  <c r="AG363" i="7"/>
  <c r="AG362" i="7"/>
  <c r="AG361" i="7"/>
  <c r="AG360" i="7"/>
  <c r="AG359" i="7"/>
  <c r="AG358" i="7"/>
  <c r="AG357" i="7"/>
  <c r="AG356" i="7"/>
  <c r="AG355" i="7"/>
  <c r="AG354" i="7"/>
  <c r="AG353" i="7"/>
  <c r="AG352" i="7"/>
  <c r="AG351" i="7"/>
  <c r="AG350" i="7"/>
  <c r="AG349" i="7"/>
  <c r="AG348" i="7"/>
  <c r="AG347" i="7"/>
  <c r="AG346" i="7"/>
  <c r="AG345" i="7"/>
  <c r="AG344" i="7"/>
  <c r="AG343" i="7"/>
  <c r="AG342" i="7"/>
  <c r="AG341" i="7"/>
  <c r="AG340" i="7"/>
  <c r="AG339" i="7"/>
  <c r="AG338" i="7"/>
  <c r="AG337" i="7"/>
  <c r="AG336" i="7"/>
  <c r="AG335" i="7"/>
  <c r="AG334" i="7"/>
  <c r="AG333" i="7"/>
  <c r="AG332" i="7"/>
  <c r="AG331" i="7"/>
  <c r="AG330" i="7"/>
  <c r="AG329" i="7"/>
  <c r="AG328" i="7"/>
  <c r="AG327" i="7"/>
  <c r="AG326" i="7"/>
  <c r="AG325" i="7"/>
  <c r="AG324" i="7"/>
  <c r="AG323" i="7"/>
  <c r="AG322" i="7"/>
  <c r="AG321" i="7"/>
  <c r="AG320" i="7"/>
  <c r="AG319" i="7"/>
  <c r="AG318" i="7"/>
  <c r="AG310" i="7"/>
  <c r="AG309" i="7"/>
  <c r="AG308" i="7"/>
  <c r="AG307" i="7"/>
  <c r="AG306" i="7"/>
  <c r="AG305" i="7"/>
  <c r="AG304" i="7"/>
  <c r="AG303" i="7"/>
  <c r="AG302" i="7"/>
  <c r="AG301" i="7"/>
  <c r="AG300" i="7"/>
  <c r="AG299" i="7"/>
  <c r="AG298" i="7"/>
  <c r="AG297" i="7"/>
  <c r="AG296" i="7"/>
  <c r="AG295" i="7"/>
  <c r="AG294" i="7"/>
  <c r="AG293" i="7"/>
  <c r="AG292" i="7"/>
  <c r="AG291" i="7"/>
  <c r="AG290" i="7"/>
  <c r="AG289" i="7"/>
  <c r="AG288" i="7"/>
  <c r="AG287" i="7"/>
  <c r="AG286" i="7"/>
  <c r="AG285" i="7"/>
  <c r="AG284" i="7"/>
  <c r="AG283" i="7"/>
  <c r="AG282" i="7"/>
  <c r="AG281" i="7"/>
  <c r="AG280" i="7"/>
  <c r="AG279" i="7"/>
  <c r="AG278" i="7"/>
  <c r="AG277" i="7"/>
  <c r="AG276" i="7"/>
  <c r="AG275" i="7"/>
  <c r="AG274" i="7"/>
  <c r="AG273" i="7"/>
  <c r="AG272" i="7"/>
  <c r="AG271" i="7"/>
  <c r="AG270" i="7"/>
  <c r="AG269" i="7"/>
  <c r="AG268" i="7"/>
  <c r="AG267" i="7"/>
  <c r="AG266" i="7"/>
  <c r="AG265" i="7"/>
  <c r="AG264" i="7"/>
  <c r="AG263" i="7"/>
  <c r="AG262" i="7"/>
  <c r="AG261" i="7"/>
  <c r="AG260" i="7"/>
  <c r="AG259" i="7"/>
  <c r="AG258" i="7"/>
  <c r="AG257" i="7"/>
  <c r="AG256" i="7"/>
  <c r="AG255" i="7"/>
  <c r="AG254" i="7"/>
  <c r="AG253" i="7"/>
  <c r="AG252" i="7"/>
  <c r="AG251" i="7"/>
  <c r="AG250" i="7"/>
  <c r="AG249" i="7"/>
  <c r="AG248" i="7"/>
  <c r="AG246" i="7"/>
  <c r="AG245" i="7"/>
  <c r="AG244" i="7"/>
  <c r="AG243" i="7"/>
  <c r="AG242" i="7"/>
  <c r="AG241" i="7"/>
  <c r="AG240" i="7"/>
  <c r="AG239" i="7"/>
  <c r="AG238" i="7"/>
  <c r="AG237" i="7"/>
  <c r="AG236" i="7"/>
  <c r="AG235" i="7"/>
  <c r="AG234" i="7"/>
  <c r="AG233" i="7"/>
  <c r="AG232" i="7"/>
  <c r="AG231" i="7"/>
  <c r="AG230" i="7"/>
  <c r="AG229" i="7"/>
  <c r="AG228" i="7"/>
  <c r="AG227" i="7"/>
  <c r="AG226" i="7"/>
  <c r="AG225" i="7"/>
  <c r="AG224" i="7"/>
  <c r="AG223" i="7"/>
  <c r="AG222" i="7"/>
  <c r="AG221" i="7"/>
  <c r="AG220" i="7"/>
  <c r="AG219" i="7"/>
  <c r="AG218" i="7"/>
  <c r="AG216" i="7"/>
  <c r="AG215" i="7"/>
  <c r="AG214" i="7"/>
  <c r="AG205" i="7"/>
  <c r="AG204" i="7"/>
  <c r="AG203" i="7"/>
  <c r="AG202" i="7"/>
  <c r="AG201" i="7"/>
  <c r="AG200" i="7"/>
  <c r="AG199" i="7"/>
  <c r="AG198" i="7"/>
  <c r="AG197" i="7"/>
  <c r="AG196" i="7"/>
  <c r="AG195" i="7"/>
  <c r="AG194" i="7"/>
  <c r="AG193" i="7"/>
  <c r="AG192" i="7"/>
  <c r="AG191" i="7"/>
  <c r="AG190" i="7"/>
  <c r="AG189" i="7"/>
  <c r="AG188" i="7"/>
  <c r="AG187" i="7"/>
  <c r="AG186" i="7"/>
  <c r="AG185" i="7"/>
  <c r="AG184" i="7"/>
  <c r="AG183" i="7"/>
  <c r="AG182" i="7"/>
  <c r="AG181" i="7"/>
  <c r="AG180" i="7"/>
  <c r="AG179" i="7"/>
  <c r="AG178" i="7"/>
  <c r="AG177" i="7"/>
  <c r="AG176" i="7"/>
  <c r="AG175" i="7"/>
  <c r="AG174" i="7"/>
  <c r="AG173" i="7"/>
  <c r="AG172" i="7"/>
  <c r="AG171" i="7"/>
  <c r="AG170" i="7"/>
  <c r="AG169" i="7"/>
  <c r="AG168" i="7"/>
  <c r="AG167" i="7"/>
  <c r="AG166" i="7"/>
  <c r="AG165" i="7"/>
  <c r="AG164" i="7"/>
  <c r="AG163" i="7"/>
  <c r="AG162" i="7"/>
  <c r="AG161" i="7"/>
  <c r="AG160" i="7"/>
  <c r="AG159" i="7"/>
  <c r="AG158" i="7"/>
  <c r="AG157" i="7"/>
  <c r="AG156" i="7"/>
  <c r="AG155" i="7"/>
  <c r="AG154" i="7"/>
  <c r="AG153" i="7"/>
  <c r="AG152" i="7"/>
  <c r="AG151" i="7"/>
  <c r="AG150" i="7"/>
  <c r="AG149" i="7"/>
  <c r="AG148" i="7"/>
  <c r="AG147" i="7"/>
  <c r="AG146" i="7"/>
  <c r="AG145" i="7"/>
  <c r="AG144" i="7"/>
  <c r="AG143" i="7"/>
  <c r="AG142" i="7"/>
  <c r="AG141" i="7"/>
  <c r="AG140" i="7"/>
  <c r="AG139" i="7"/>
  <c r="AG138" i="7"/>
  <c r="AG137" i="7"/>
  <c r="AG136" i="7"/>
  <c r="AG135" i="7"/>
  <c r="AG134" i="7"/>
  <c r="AG133" i="7"/>
  <c r="AG132" i="7"/>
  <c r="AG131" i="7"/>
  <c r="AG130" i="7"/>
  <c r="AG129" i="7"/>
  <c r="AG128" i="7"/>
  <c r="AG127" i="7"/>
  <c r="AG126" i="7"/>
  <c r="AG125" i="7"/>
  <c r="AG124" i="7"/>
  <c r="AG123" i="7"/>
  <c r="AG122" i="7"/>
  <c r="AG121" i="7"/>
  <c r="AG120" i="7"/>
  <c r="AG119" i="7"/>
  <c r="AG118" i="7"/>
  <c r="AG117" i="7"/>
  <c r="AG116" i="7"/>
  <c r="AG115" i="7"/>
  <c r="AG114" i="7"/>
  <c r="AG113" i="7"/>
  <c r="AG112" i="7"/>
  <c r="AG111" i="7"/>
  <c r="AG110" i="7"/>
  <c r="AG109" i="7"/>
  <c r="AG108" i="7"/>
  <c r="AG107" i="7"/>
  <c r="AG106" i="7"/>
  <c r="AG105" i="7"/>
  <c r="AG104" i="7"/>
  <c r="AG103" i="7"/>
  <c r="AG102" i="7"/>
  <c r="AG101" i="7"/>
  <c r="AG100" i="7"/>
  <c r="AG99" i="7"/>
  <c r="AG98" i="7"/>
  <c r="AG97" i="7"/>
  <c r="AG96" i="7"/>
  <c r="AG95" i="7"/>
  <c r="AG94" i="7"/>
  <c r="AG93" i="7"/>
  <c r="AG92" i="7"/>
  <c r="AG91" i="7"/>
  <c r="AG90" i="7"/>
  <c r="AG89" i="7"/>
  <c r="AG88" i="7"/>
  <c r="AG87" i="7"/>
  <c r="AG86" i="7"/>
  <c r="AG85" i="7"/>
  <c r="AG84" i="7"/>
  <c r="AG83" i="7"/>
  <c r="AG82" i="7"/>
  <c r="AG81" i="7"/>
  <c r="AG80" i="7"/>
  <c r="AG79" i="7"/>
  <c r="AG78" i="7"/>
  <c r="AG77" i="7"/>
  <c r="AG76" i="7"/>
  <c r="AG75" i="7"/>
  <c r="AG74" i="7"/>
  <c r="AG73" i="7"/>
  <c r="AG72" i="7"/>
  <c r="AG71" i="7"/>
  <c r="AG70" i="7"/>
  <c r="AG69" i="7"/>
  <c r="AG68" i="7"/>
  <c r="AG67" i="7"/>
  <c r="AG66" i="7"/>
  <c r="AG65" i="7"/>
  <c r="AG64" i="7"/>
  <c r="AG63" i="7"/>
  <c r="AG62" i="7"/>
  <c r="AG61" i="7"/>
  <c r="AG60" i="7"/>
  <c r="AG59" i="7"/>
  <c r="AG58" i="7"/>
  <c r="AG57" i="7"/>
  <c r="AG56" i="7"/>
  <c r="AG55" i="7"/>
  <c r="AG54" i="7"/>
  <c r="AG53" i="7"/>
  <c r="AG52" i="7"/>
  <c r="AG51" i="7"/>
  <c r="AG50" i="7"/>
  <c r="AG49" i="7"/>
  <c r="AG48" i="7"/>
  <c r="AG47" i="7"/>
  <c r="AG46" i="7"/>
  <c r="AG45" i="7"/>
  <c r="AG44" i="7"/>
  <c r="AG43" i="7"/>
  <c r="AG42" i="7"/>
  <c r="AG41" i="7"/>
  <c r="AG40" i="7"/>
  <c r="AG39" i="7"/>
  <c r="AG38" i="7"/>
  <c r="AG37" i="7"/>
  <c r="AG36" i="7"/>
  <c r="AG35" i="7"/>
  <c r="AG34" i="7"/>
  <c r="AG33" i="7"/>
  <c r="AG32" i="7"/>
  <c r="AG31" i="7"/>
  <c r="AG30" i="7"/>
  <c r="AG29" i="7"/>
  <c r="AG28" i="7"/>
  <c r="AG27" i="7"/>
  <c r="AG26" i="7"/>
  <c r="AG25" i="7"/>
  <c r="AG24" i="7"/>
  <c r="AG23" i="7"/>
  <c r="AG22" i="7"/>
  <c r="AG21" i="7"/>
  <c r="AG20" i="7"/>
  <c r="AG19" i="7"/>
  <c r="AG18" i="7"/>
  <c r="AG17" i="7"/>
  <c r="AG16" i="7"/>
  <c r="AG15" i="7"/>
  <c r="AG14" i="7"/>
  <c r="AG13" i="7"/>
  <c r="AG12" i="7"/>
  <c r="AG11" i="7"/>
  <c r="AG10" i="7"/>
  <c r="AG9" i="7"/>
  <c r="AG8" i="7"/>
  <c r="AG7" i="7"/>
  <c r="AG6" i="7"/>
  <c r="AG5" i="7"/>
  <c r="AG4" i="7"/>
  <c r="M2115" i="7"/>
  <c r="M3628" i="7"/>
  <c r="M2189" i="7"/>
  <c r="M2319" i="7"/>
  <c r="M4859" i="7"/>
  <c r="M3359" i="7"/>
  <c r="M2152" i="7"/>
  <c r="M4145" i="7"/>
  <c r="M3708" i="7"/>
  <c r="M3264" i="7"/>
  <c r="M2078" i="7"/>
  <c r="M2562" i="7"/>
  <c r="M2530" i="7"/>
  <c r="M2388" i="7"/>
  <c r="M4471" i="7"/>
  <c r="M3788" i="7"/>
  <c r="M2482" i="7"/>
  <c r="M2514" i="7"/>
  <c r="M2342" i="7"/>
  <c r="M2466" i="7"/>
  <c r="M4506" i="7"/>
  <c r="M217" i="7"/>
  <c r="M3946" i="7"/>
  <c r="M4443" i="7"/>
  <c r="M3454" i="7"/>
  <c r="N217" i="7" l="1"/>
  <c r="O217" i="7" s="1"/>
  <c r="N4145" i="7"/>
  <c r="E234" i="7"/>
  <c r="E246" i="7"/>
  <c r="AF234" i="7" l="1"/>
  <c r="AI234" i="7" s="1"/>
  <c r="AH234" i="7"/>
  <c r="AJ234" i="7"/>
  <c r="AF235" i="7"/>
  <c r="AI235" i="7" s="1"/>
  <c r="AH235" i="7"/>
  <c r="AJ235" i="7"/>
  <c r="AF236" i="7"/>
  <c r="AI236" i="7" s="1"/>
  <c r="AH236" i="7"/>
  <c r="AJ236" i="7"/>
  <c r="AF237" i="7"/>
  <c r="AI237" i="7" s="1"/>
  <c r="AH237" i="7"/>
  <c r="AJ237" i="7"/>
  <c r="AF238" i="7"/>
  <c r="AI238" i="7" s="1"/>
  <c r="AH238" i="7"/>
  <c r="AJ238" i="7"/>
  <c r="AF239" i="7"/>
  <c r="AI239" i="7" s="1"/>
  <c r="AH239" i="7"/>
  <c r="AJ239" i="7"/>
  <c r="AF240" i="7"/>
  <c r="AI240" i="7" s="1"/>
  <c r="AH240" i="7"/>
  <c r="AJ240" i="7"/>
  <c r="AF241" i="7"/>
  <c r="AI241" i="7" s="1"/>
  <c r="AH241" i="7"/>
  <c r="AJ241" i="7"/>
  <c r="AF242" i="7"/>
  <c r="AI242" i="7" s="1"/>
  <c r="AH242" i="7"/>
  <c r="AJ242" i="7"/>
  <c r="AF243" i="7"/>
  <c r="AI243" i="7" s="1"/>
  <c r="AH243" i="7"/>
  <c r="AJ243" i="7"/>
  <c r="AF244" i="7"/>
  <c r="AI244" i="7" s="1"/>
  <c r="AH244" i="7"/>
  <c r="AJ244" i="7"/>
  <c r="AF245" i="7"/>
  <c r="AI245" i="7" s="1"/>
  <c r="AH245" i="7"/>
  <c r="AJ245" i="7"/>
  <c r="AF246" i="7"/>
  <c r="AI246" i="7" s="1"/>
  <c r="AH246" i="7"/>
  <c r="AJ246" i="7"/>
  <c r="AF248" i="7"/>
  <c r="AI248" i="7" s="1"/>
  <c r="AH248" i="7"/>
  <c r="AJ248" i="7"/>
  <c r="I17" i="11"/>
  <c r="AJ4198" i="7"/>
  <c r="AH4198" i="7"/>
  <c r="AF4198" i="7"/>
  <c r="AI4198" i="7" s="1"/>
  <c r="Q4198" i="7"/>
  <c r="L4198" i="7"/>
  <c r="N4198" i="7" s="1"/>
  <c r="E4198" i="7"/>
  <c r="AJ3052" i="7"/>
  <c r="F3048" i="7"/>
  <c r="F3042" i="7"/>
  <c r="F3041" i="7"/>
  <c r="AJ3053" i="7"/>
  <c r="AH3053" i="7"/>
  <c r="AF3053" i="7"/>
  <c r="AI3053" i="7" s="1"/>
  <c r="L3053" i="7"/>
  <c r="N3053" i="7" s="1"/>
  <c r="O3053" i="7" s="1"/>
  <c r="AJ3047" i="7"/>
  <c r="AH3047" i="7"/>
  <c r="AF3047" i="7"/>
  <c r="AI3047" i="7" s="1"/>
  <c r="L3047" i="7"/>
  <c r="N3047" i="7" s="1"/>
  <c r="O3047" i="7" s="1"/>
  <c r="AJ3041" i="7"/>
  <c r="AH3041" i="7"/>
  <c r="AF3041" i="7"/>
  <c r="AI3041" i="7" s="1"/>
  <c r="L3041" i="7"/>
  <c r="N3041" i="7" s="1"/>
  <c r="O3041" i="7" s="1"/>
  <c r="L3050" i="7"/>
  <c r="N3050" i="7" s="1"/>
  <c r="O3050" i="7" s="1"/>
  <c r="M3047" i="7"/>
  <c r="M233" i="7"/>
  <c r="M3041" i="7"/>
  <c r="M3050" i="7"/>
  <c r="M4198" i="7"/>
  <c r="M3053" i="7"/>
  <c r="X3627" i="7" l="1"/>
  <c r="X3168" i="7"/>
  <c r="V3627" i="7"/>
  <c r="V3168" i="7"/>
  <c r="Q4363" i="7" l="1"/>
  <c r="R4908" i="7"/>
  <c r="Q4908" i="7" l="1"/>
  <c r="R4858" i="7"/>
  <c r="E4858" i="7"/>
  <c r="Q4661" i="7" l="1"/>
  <c r="AJ4694" i="7"/>
  <c r="AH4694" i="7"/>
  <c r="AF4694" i="7"/>
  <c r="AI4694" i="7" s="1"/>
  <c r="R4694" i="7"/>
  <c r="L4694" i="7"/>
  <c r="N4694" i="7" s="1"/>
  <c r="E4694" i="7"/>
  <c r="AJ4586" i="7"/>
  <c r="AH4586" i="7"/>
  <c r="AF4586" i="7"/>
  <c r="AI4586" i="7" s="1"/>
  <c r="L4586" i="7"/>
  <c r="N4586" i="7" s="1"/>
  <c r="E4586" i="7"/>
  <c r="AJ4541" i="7"/>
  <c r="AH4541" i="7"/>
  <c r="AF4541" i="7"/>
  <c r="AI4541" i="7" s="1"/>
  <c r="L4541" i="7"/>
  <c r="N4541" i="7" s="1"/>
  <c r="Q4505" i="7"/>
  <c r="R4505" i="7"/>
  <c r="M4694" i="7"/>
  <c r="M4541" i="7"/>
  <c r="M4586" i="7"/>
  <c r="Q4419" i="7" l="1"/>
  <c r="AJ4363" i="7" l="1"/>
  <c r="AH4363" i="7"/>
  <c r="AF4363" i="7"/>
  <c r="AI4363" i="7" s="1"/>
  <c r="L4363" i="7"/>
  <c r="X4144" i="7"/>
  <c r="V4144" i="7"/>
  <c r="L246" i="7"/>
  <c r="AF2657" i="7"/>
  <c r="AI2657" i="7" s="1"/>
  <c r="AH2657" i="7"/>
  <c r="AJ2657" i="7"/>
  <c r="AF2573" i="7"/>
  <c r="AI2573" i="7" s="1"/>
  <c r="AH2573" i="7"/>
  <c r="AJ2573" i="7"/>
  <c r="AF2585" i="7"/>
  <c r="AI2585" i="7" s="1"/>
  <c r="AH2585" i="7"/>
  <c r="AJ2585" i="7"/>
  <c r="AF2597" i="7"/>
  <c r="AI2597" i="7" s="1"/>
  <c r="AH2597" i="7"/>
  <c r="AJ2597" i="7"/>
  <c r="AF2609" i="7"/>
  <c r="AI2609" i="7" s="1"/>
  <c r="AH2609" i="7"/>
  <c r="AJ2609" i="7"/>
  <c r="AF2621" i="7"/>
  <c r="AI2621" i="7" s="1"/>
  <c r="AH2621" i="7"/>
  <c r="AJ2621" i="7"/>
  <c r="AF2633" i="7"/>
  <c r="AI2633" i="7" s="1"/>
  <c r="AH2633" i="7"/>
  <c r="AJ2633" i="7"/>
  <c r="AF2645" i="7"/>
  <c r="AI2645" i="7" s="1"/>
  <c r="AH2645" i="7"/>
  <c r="AJ2645" i="7"/>
  <c r="AF2669" i="7"/>
  <c r="AI2669" i="7" s="1"/>
  <c r="AH2669" i="7"/>
  <c r="AJ2669" i="7"/>
  <c r="AF2681" i="7"/>
  <c r="AI2681" i="7" s="1"/>
  <c r="AH2681" i="7"/>
  <c r="AJ2681" i="7"/>
  <c r="AF2693" i="7"/>
  <c r="AI2693" i="7" s="1"/>
  <c r="AH2693" i="7"/>
  <c r="AJ2693" i="7"/>
  <c r="AF2705" i="7"/>
  <c r="AI2705" i="7" s="1"/>
  <c r="AH2705" i="7"/>
  <c r="AJ2705" i="7"/>
  <c r="AF2717" i="7"/>
  <c r="AI2717" i="7" s="1"/>
  <c r="AH2717" i="7"/>
  <c r="AJ2717" i="7"/>
  <c r="AF2729" i="7"/>
  <c r="AI2729" i="7" s="1"/>
  <c r="AH2729" i="7"/>
  <c r="AJ2729" i="7"/>
  <c r="AF2741" i="7"/>
  <c r="AI2741" i="7" s="1"/>
  <c r="AH2741" i="7"/>
  <c r="AJ2741" i="7"/>
  <c r="AF2753" i="7"/>
  <c r="AI2753" i="7" s="1"/>
  <c r="AH2753" i="7"/>
  <c r="AJ2753" i="7"/>
  <c r="AF2765" i="7"/>
  <c r="AI2765" i="7" s="1"/>
  <c r="AH2765" i="7"/>
  <c r="AJ2765" i="7"/>
  <c r="AF2777" i="7"/>
  <c r="AI2777" i="7" s="1"/>
  <c r="AH2777" i="7"/>
  <c r="AJ2777" i="7"/>
  <c r="AF2789" i="7"/>
  <c r="AI2789" i="7" s="1"/>
  <c r="AH2789" i="7"/>
  <c r="AJ2789" i="7"/>
  <c r="AF2801" i="7"/>
  <c r="AI2801" i="7" s="1"/>
  <c r="AH2801" i="7"/>
  <c r="AJ2801" i="7"/>
  <c r="AF2810" i="7"/>
  <c r="AI2810" i="7" s="1"/>
  <c r="AH2810" i="7"/>
  <c r="AJ2810" i="7"/>
  <c r="AF2819" i="7"/>
  <c r="AI2819" i="7" s="1"/>
  <c r="AH2819" i="7"/>
  <c r="AJ2819" i="7"/>
  <c r="AF2828" i="7"/>
  <c r="AI2828" i="7" s="1"/>
  <c r="AH2828" i="7"/>
  <c r="AJ2828" i="7"/>
  <c r="AF2837" i="7"/>
  <c r="AI2837" i="7" s="1"/>
  <c r="AH2837" i="7"/>
  <c r="AJ2837" i="7"/>
  <c r="AF2846" i="7"/>
  <c r="AI2846" i="7" s="1"/>
  <c r="AH2846" i="7"/>
  <c r="AJ2846" i="7"/>
  <c r="AF2855" i="7"/>
  <c r="AI2855" i="7" s="1"/>
  <c r="AH2855" i="7"/>
  <c r="AJ2855" i="7"/>
  <c r="AF2864" i="7"/>
  <c r="AI2864" i="7" s="1"/>
  <c r="AH2864" i="7"/>
  <c r="AJ2864" i="7"/>
  <c r="AF2873" i="7"/>
  <c r="AI2873" i="7" s="1"/>
  <c r="AH2873" i="7"/>
  <c r="AJ2873" i="7"/>
  <c r="AF2882" i="7"/>
  <c r="AI2882" i="7" s="1"/>
  <c r="AH2882" i="7"/>
  <c r="AJ2882" i="7"/>
  <c r="AF2891" i="7"/>
  <c r="AI2891" i="7" s="1"/>
  <c r="AH2891" i="7"/>
  <c r="AJ2891" i="7"/>
  <c r="AF2900" i="7"/>
  <c r="AI2900" i="7" s="1"/>
  <c r="AH2900" i="7"/>
  <c r="AJ2900" i="7"/>
  <c r="AF2909" i="7"/>
  <c r="AI2909" i="7" s="1"/>
  <c r="AH2909" i="7"/>
  <c r="AJ2909" i="7"/>
  <c r="AF2918" i="7"/>
  <c r="AI2918" i="7" s="1"/>
  <c r="AH2918" i="7"/>
  <c r="AJ2918" i="7"/>
  <c r="AF2927" i="7"/>
  <c r="AI2927" i="7" s="1"/>
  <c r="AH2927" i="7"/>
  <c r="AJ2927" i="7"/>
  <c r="AF2936" i="7"/>
  <c r="AI2936" i="7" s="1"/>
  <c r="AH2936" i="7"/>
  <c r="AJ2936" i="7"/>
  <c r="AF2945" i="7"/>
  <c r="AI2945" i="7" s="1"/>
  <c r="AH2945" i="7"/>
  <c r="AJ2945" i="7"/>
  <c r="AF2954" i="7"/>
  <c r="AI2954" i="7" s="1"/>
  <c r="AH2954" i="7"/>
  <c r="AJ2954" i="7"/>
  <c r="AF2963" i="7"/>
  <c r="AI2963" i="7" s="1"/>
  <c r="AH2963" i="7"/>
  <c r="AJ2963" i="7"/>
  <c r="AF2969" i="7"/>
  <c r="AI2969" i="7" s="1"/>
  <c r="AH2969" i="7"/>
  <c r="AJ2969" i="7"/>
  <c r="AF2975" i="7"/>
  <c r="AI2975" i="7" s="1"/>
  <c r="AH2975" i="7"/>
  <c r="AJ2975" i="7"/>
  <c r="AF2981" i="7"/>
  <c r="AI2981" i="7" s="1"/>
  <c r="AH2981" i="7"/>
  <c r="AJ2981" i="7"/>
  <c r="AF2987" i="7"/>
  <c r="AI2987" i="7" s="1"/>
  <c r="AH2987" i="7"/>
  <c r="AJ2987" i="7"/>
  <c r="AF2993" i="7"/>
  <c r="AI2993" i="7" s="1"/>
  <c r="AH2993" i="7"/>
  <c r="AJ2993" i="7"/>
  <c r="AF2999" i="7"/>
  <c r="AI2999" i="7" s="1"/>
  <c r="AH2999" i="7"/>
  <c r="AJ2999" i="7"/>
  <c r="AF3056" i="7"/>
  <c r="AI3056" i="7" s="1"/>
  <c r="AH3056" i="7"/>
  <c r="AJ3056" i="7"/>
  <c r="AF3168" i="7"/>
  <c r="AI3168" i="7" s="1"/>
  <c r="AH3168" i="7"/>
  <c r="AJ3168" i="7"/>
  <c r="AF3263" i="7"/>
  <c r="AI3263" i="7" s="1"/>
  <c r="AH3263" i="7"/>
  <c r="AJ3263" i="7"/>
  <c r="AF3358" i="7"/>
  <c r="AI3358" i="7" s="1"/>
  <c r="AH3358" i="7"/>
  <c r="AJ3358" i="7"/>
  <c r="AF3453" i="7"/>
  <c r="AI3453" i="7" s="1"/>
  <c r="AH3453" i="7"/>
  <c r="AJ3453" i="7"/>
  <c r="AF3547" i="7"/>
  <c r="AI3547" i="7" s="1"/>
  <c r="AH3547" i="7"/>
  <c r="AJ3547" i="7"/>
  <c r="AF3627" i="7"/>
  <c r="AI3627" i="7" s="1"/>
  <c r="AH3627" i="7"/>
  <c r="AJ3627" i="7"/>
  <c r="AF3707" i="7"/>
  <c r="AI3707" i="7" s="1"/>
  <c r="AH3707" i="7"/>
  <c r="AJ3707" i="7"/>
  <c r="AF3787" i="7"/>
  <c r="AI3787" i="7" s="1"/>
  <c r="AH3787" i="7"/>
  <c r="AJ3787" i="7"/>
  <c r="AF3866" i="7"/>
  <c r="AI3866" i="7" s="1"/>
  <c r="AH3866" i="7"/>
  <c r="AJ3866" i="7"/>
  <c r="AF3945" i="7"/>
  <c r="AI3945" i="7" s="1"/>
  <c r="AH3945" i="7"/>
  <c r="AJ3945" i="7"/>
  <c r="AF4024" i="7"/>
  <c r="AI4024" i="7" s="1"/>
  <c r="AH4024" i="7"/>
  <c r="AJ4024" i="7"/>
  <c r="AF4144" i="7"/>
  <c r="AI4144" i="7" s="1"/>
  <c r="AH4144" i="7"/>
  <c r="AJ4144" i="7"/>
  <c r="AF4403" i="7"/>
  <c r="AI4403" i="7" s="1"/>
  <c r="AH4403" i="7"/>
  <c r="AJ4403" i="7"/>
  <c r="AF4419" i="7"/>
  <c r="AI4419" i="7" s="1"/>
  <c r="AH4419" i="7"/>
  <c r="AJ4419" i="7"/>
  <c r="AF4442" i="7"/>
  <c r="AI4442" i="7" s="1"/>
  <c r="AH4442" i="7"/>
  <c r="AJ4442" i="7"/>
  <c r="AF4470" i="7"/>
  <c r="AI4470" i="7" s="1"/>
  <c r="AH4470" i="7"/>
  <c r="AJ4470" i="7"/>
  <c r="AF4505" i="7"/>
  <c r="AI4505" i="7" s="1"/>
  <c r="AH4505" i="7"/>
  <c r="AJ4505" i="7"/>
  <c r="AF4661" i="7"/>
  <c r="AI4661" i="7" s="1"/>
  <c r="AH4661" i="7"/>
  <c r="AJ4661" i="7"/>
  <c r="AF4858" i="7"/>
  <c r="AI4858" i="7" s="1"/>
  <c r="AH4858" i="7"/>
  <c r="AJ4858" i="7"/>
  <c r="AF4908" i="7"/>
  <c r="AI4908" i="7" s="1"/>
  <c r="AH4908" i="7"/>
  <c r="AJ4908" i="7"/>
  <c r="L2657" i="7"/>
  <c r="N2657" i="7" s="1"/>
  <c r="O2657" i="7" s="1"/>
  <c r="L2573" i="7"/>
  <c r="N2573" i="7" s="1"/>
  <c r="O2573" i="7" s="1"/>
  <c r="L2585" i="7"/>
  <c r="N2585" i="7" s="1"/>
  <c r="O2585" i="7" s="1"/>
  <c r="L2597" i="7"/>
  <c r="N2597" i="7" s="1"/>
  <c r="O2597" i="7" s="1"/>
  <c r="L2609" i="7"/>
  <c r="N2609" i="7" s="1"/>
  <c r="O2609" i="7" s="1"/>
  <c r="L2621" i="7"/>
  <c r="N2621" i="7" s="1"/>
  <c r="O2621" i="7" s="1"/>
  <c r="L2633" i="7"/>
  <c r="N2633" i="7" s="1"/>
  <c r="O2633" i="7" s="1"/>
  <c r="L2645" i="7"/>
  <c r="N2645" i="7" s="1"/>
  <c r="O2645" i="7" s="1"/>
  <c r="L2669" i="7"/>
  <c r="N2669" i="7" s="1"/>
  <c r="O2669" i="7" s="1"/>
  <c r="L2681" i="7"/>
  <c r="N2681" i="7" s="1"/>
  <c r="O2681" i="7" s="1"/>
  <c r="L2693" i="7"/>
  <c r="N2693" i="7" s="1"/>
  <c r="O2693" i="7" s="1"/>
  <c r="L2705" i="7"/>
  <c r="N2705" i="7" s="1"/>
  <c r="O2705" i="7" s="1"/>
  <c r="L2717" i="7"/>
  <c r="N2717" i="7" s="1"/>
  <c r="O2717" i="7" s="1"/>
  <c r="L2729" i="7"/>
  <c r="N2729" i="7" s="1"/>
  <c r="O2729" i="7" s="1"/>
  <c r="L2741" i="7"/>
  <c r="N2741" i="7" s="1"/>
  <c r="O2741" i="7" s="1"/>
  <c r="L2753" i="7"/>
  <c r="N2753" i="7" s="1"/>
  <c r="O2753" i="7" s="1"/>
  <c r="L2765" i="7"/>
  <c r="N2765" i="7" s="1"/>
  <c r="O2765" i="7" s="1"/>
  <c r="L2777" i="7"/>
  <c r="N2777" i="7" s="1"/>
  <c r="O2777" i="7" s="1"/>
  <c r="L2789" i="7"/>
  <c r="N2789" i="7" s="1"/>
  <c r="O2789" i="7" s="1"/>
  <c r="L2801" i="7"/>
  <c r="N2801" i="7" s="1"/>
  <c r="O2801" i="7" s="1"/>
  <c r="L2810" i="7"/>
  <c r="N2810" i="7" s="1"/>
  <c r="O2810" i="7" s="1"/>
  <c r="L2819" i="7"/>
  <c r="N2819" i="7" s="1"/>
  <c r="O2819" i="7" s="1"/>
  <c r="L2828" i="7"/>
  <c r="N2828" i="7" s="1"/>
  <c r="O2828" i="7" s="1"/>
  <c r="L2837" i="7"/>
  <c r="N2837" i="7" s="1"/>
  <c r="O2837" i="7" s="1"/>
  <c r="L2846" i="7"/>
  <c r="N2846" i="7" s="1"/>
  <c r="O2846" i="7" s="1"/>
  <c r="L2855" i="7"/>
  <c r="N2855" i="7" s="1"/>
  <c r="O2855" i="7" s="1"/>
  <c r="L2864" i="7"/>
  <c r="N2864" i="7" s="1"/>
  <c r="O2864" i="7" s="1"/>
  <c r="L2873" i="7"/>
  <c r="N2873" i="7" s="1"/>
  <c r="O2873" i="7" s="1"/>
  <c r="L2882" i="7"/>
  <c r="N2882" i="7" s="1"/>
  <c r="O2882" i="7" s="1"/>
  <c r="L2891" i="7"/>
  <c r="N2891" i="7" s="1"/>
  <c r="O2891" i="7" s="1"/>
  <c r="L2900" i="7"/>
  <c r="N2900" i="7" s="1"/>
  <c r="O2900" i="7" s="1"/>
  <c r="L2909" i="7"/>
  <c r="N2909" i="7" s="1"/>
  <c r="O2909" i="7" s="1"/>
  <c r="L2918" i="7"/>
  <c r="N2918" i="7" s="1"/>
  <c r="O2918" i="7" s="1"/>
  <c r="L2927" i="7"/>
  <c r="N2927" i="7" s="1"/>
  <c r="O2927" i="7" s="1"/>
  <c r="L2936" i="7"/>
  <c r="N2936" i="7" s="1"/>
  <c r="O2936" i="7" s="1"/>
  <c r="L2945" i="7"/>
  <c r="N2945" i="7" s="1"/>
  <c r="O2945" i="7" s="1"/>
  <c r="L2954" i="7"/>
  <c r="N2954" i="7" s="1"/>
  <c r="O2954" i="7" s="1"/>
  <c r="L2963" i="7"/>
  <c r="N2963" i="7" s="1"/>
  <c r="O2963" i="7" s="1"/>
  <c r="L2969" i="7"/>
  <c r="N2969" i="7" s="1"/>
  <c r="O2969" i="7" s="1"/>
  <c r="L2975" i="7"/>
  <c r="N2975" i="7" s="1"/>
  <c r="O2975" i="7" s="1"/>
  <c r="L2981" i="7"/>
  <c r="N2981" i="7" s="1"/>
  <c r="O2981" i="7" s="1"/>
  <c r="L2987" i="7"/>
  <c r="N2987" i="7" s="1"/>
  <c r="O2987" i="7" s="1"/>
  <c r="L2993" i="7"/>
  <c r="N2993" i="7" s="1"/>
  <c r="O2993" i="7" s="1"/>
  <c r="L2999" i="7"/>
  <c r="N2999" i="7" s="1"/>
  <c r="O2999" i="7" s="1"/>
  <c r="L3005" i="7"/>
  <c r="N3005" i="7" s="1"/>
  <c r="O3005" i="7" s="1"/>
  <c r="L3011" i="7"/>
  <c r="N3011" i="7" s="1"/>
  <c r="O3011" i="7" s="1"/>
  <c r="L3038" i="7"/>
  <c r="N3038" i="7" s="1"/>
  <c r="O3038" i="7" s="1"/>
  <c r="L3020" i="7"/>
  <c r="N3020" i="7" s="1"/>
  <c r="O3020" i="7" s="1"/>
  <c r="L3029" i="7"/>
  <c r="N3029" i="7" s="1"/>
  <c r="O3029" i="7" s="1"/>
  <c r="L3044" i="7"/>
  <c r="N3044" i="7" s="1"/>
  <c r="O3044" i="7" s="1"/>
  <c r="L3056" i="7"/>
  <c r="N3056" i="7" s="1"/>
  <c r="O3056" i="7" s="1"/>
  <c r="L3168" i="7"/>
  <c r="N3168" i="7" s="1"/>
  <c r="O3168" i="7" s="1"/>
  <c r="L3263" i="7"/>
  <c r="N3263" i="7" s="1"/>
  <c r="L3358" i="7"/>
  <c r="N3358" i="7" s="1"/>
  <c r="O3358" i="7" s="1"/>
  <c r="L3453" i="7"/>
  <c r="N3453" i="7" s="1"/>
  <c r="O3453" i="7" s="1"/>
  <c r="L3547" i="7"/>
  <c r="N3547" i="7" s="1"/>
  <c r="O3547" i="7" s="1"/>
  <c r="L3627" i="7"/>
  <c r="N3627" i="7" s="1"/>
  <c r="O3627" i="7" s="1"/>
  <c r="L3707" i="7"/>
  <c r="N3707" i="7" s="1"/>
  <c r="L3787" i="7"/>
  <c r="N3787" i="7" s="1"/>
  <c r="O3787" i="7" s="1"/>
  <c r="L3866" i="7"/>
  <c r="N3866" i="7" s="1"/>
  <c r="O3866" i="7" s="1"/>
  <c r="L3945" i="7"/>
  <c r="N3945" i="7" s="1"/>
  <c r="O3945" i="7" s="1"/>
  <c r="L4024" i="7"/>
  <c r="N4024" i="7" s="1"/>
  <c r="L4144" i="7"/>
  <c r="L4403" i="7"/>
  <c r="N4403" i="7" s="1"/>
  <c r="L4419" i="7"/>
  <c r="N4419" i="7" s="1"/>
  <c r="L4442" i="7"/>
  <c r="N4442" i="7" s="1"/>
  <c r="L4470" i="7"/>
  <c r="N4470" i="7" s="1"/>
  <c r="L4505" i="7"/>
  <c r="N4505" i="7" s="1"/>
  <c r="L4661" i="7"/>
  <c r="L4858" i="7"/>
  <c r="N4858" i="7" s="1"/>
  <c r="L4908" i="7"/>
  <c r="N4908" i="7" s="1"/>
  <c r="L216" i="7"/>
  <c r="AF216" i="7"/>
  <c r="AI216" i="7" s="1"/>
  <c r="AJ216" i="7"/>
  <c r="AH216" i="7"/>
  <c r="M3263" i="7"/>
  <c r="M2609" i="7"/>
  <c r="M3056" i="7"/>
  <c r="M2705" i="7"/>
  <c r="M3044" i="7"/>
  <c r="M2969" i="7"/>
  <c r="M4403" i="7"/>
  <c r="M4442" i="7"/>
  <c r="M2891" i="7"/>
  <c r="M2597" i="7"/>
  <c r="M3005" i="7"/>
  <c r="M2741" i="7"/>
  <c r="M2873" i="7"/>
  <c r="M2882" i="7"/>
  <c r="M2753" i="7"/>
  <c r="M3866" i="7"/>
  <c r="M2975" i="7"/>
  <c r="M2717" i="7"/>
  <c r="M2981" i="7"/>
  <c r="M2729" i="7"/>
  <c r="M2987" i="7"/>
  <c r="M3020" i="7"/>
  <c r="M4363" i="7"/>
  <c r="M2681" i="7"/>
  <c r="M4661" i="7"/>
  <c r="M2657" i="7"/>
  <c r="M2993" i="7"/>
  <c r="M2585" i="7"/>
  <c r="M2777" i="7"/>
  <c r="M3787" i="7"/>
  <c r="M3038" i="7"/>
  <c r="M2999" i="7"/>
  <c r="M2810" i="7"/>
  <c r="M3627" i="7"/>
  <c r="M2909" i="7"/>
  <c r="M2645" i="7"/>
  <c r="M3945" i="7"/>
  <c r="N4363" i="7" l="1"/>
  <c r="N4661" i="7"/>
  <c r="M2963" i="7"/>
  <c r="M3029" i="7"/>
  <c r="M4858" i="7"/>
  <c r="M2819" i="7"/>
  <c r="M4024" i="7"/>
  <c r="M2855" i="7"/>
  <c r="M3358" i="7"/>
  <c r="M2789" i="7"/>
  <c r="M3707" i="7"/>
  <c r="M2633" i="7"/>
  <c r="M2801" i="7"/>
  <c r="M3453" i="7"/>
  <c r="M4419" i="7"/>
  <c r="M2621" i="7"/>
  <c r="M2846" i="7"/>
  <c r="M4470" i="7"/>
  <c r="M3547" i="7"/>
  <c r="M3168" i="7"/>
  <c r="M2945" i="7"/>
  <c r="M2573" i="7"/>
  <c r="M2918" i="7"/>
  <c r="M4144" i="7"/>
  <c r="M2927" i="7"/>
  <c r="M2837" i="7"/>
  <c r="M2864" i="7"/>
  <c r="M2765" i="7"/>
  <c r="M2900" i="7"/>
  <c r="M4908" i="7"/>
  <c r="M2693" i="7"/>
  <c r="M2669" i="7"/>
  <c r="M2828" i="7"/>
  <c r="M3011" i="7"/>
  <c r="M4505" i="7"/>
  <c r="M2954" i="7"/>
  <c r="M2936" i="7"/>
  <c r="M216" i="7"/>
  <c r="N4144" i="7" l="1"/>
  <c r="N216" i="7"/>
  <c r="O216" i="7" s="1"/>
  <c r="L245" i="7"/>
  <c r="E245" i="7"/>
  <c r="L244" i="7"/>
  <c r="E244" i="7"/>
  <c r="L243" i="7"/>
  <c r="E243" i="7"/>
  <c r="L242" i="7"/>
  <c r="E242" i="7"/>
  <c r="L241" i="7"/>
  <c r="E241" i="7"/>
  <c r="L240" i="7"/>
  <c r="E240" i="7"/>
  <c r="L239" i="7"/>
  <c r="E239" i="7"/>
  <c r="L238" i="7"/>
  <c r="E238" i="7"/>
  <c r="L237" i="7"/>
  <c r="E237" i="7"/>
  <c r="L236" i="7"/>
  <c r="E236" i="7"/>
  <c r="L235" i="7"/>
  <c r="E235" i="7"/>
  <c r="L234" i="7"/>
  <c r="M238" i="7"/>
  <c r="M242" i="7"/>
  <c r="M244" i="7"/>
  <c r="M237" i="7"/>
  <c r="M235" i="7"/>
  <c r="M243" i="7"/>
  <c r="M241" i="7"/>
  <c r="M246" i="7"/>
  <c r="M234" i="7"/>
  <c r="M245" i="7"/>
  <c r="M239" i="7"/>
  <c r="M236" i="7"/>
  <c r="M240" i="7"/>
  <c r="N246" i="7" l="1"/>
  <c r="N234" i="7"/>
  <c r="N236" i="7"/>
  <c r="N235" i="7"/>
  <c r="N237" i="7"/>
  <c r="N238" i="7"/>
  <c r="N239" i="7"/>
  <c r="N240" i="7"/>
  <c r="N241" i="7"/>
  <c r="N242" i="7"/>
  <c r="N243" i="7"/>
  <c r="N244" i="7"/>
  <c r="N245" i="7"/>
  <c r="I2052" i="7"/>
  <c r="AG2052" i="7" s="1"/>
  <c r="I2293" i="7" l="1"/>
  <c r="AG2293" i="7" s="1"/>
  <c r="G2256" i="7"/>
  <c r="AG2256" i="7" s="1"/>
  <c r="G2229" i="7"/>
  <c r="AG2229" i="7" s="1"/>
  <c r="G2202" i="7"/>
  <c r="AG2202" i="7" s="1"/>
  <c r="G2050" i="7" l="1"/>
  <c r="AG2050" i="7" s="1"/>
  <c r="G2006" i="7"/>
  <c r="AG2006" i="7" s="1"/>
  <c r="G1962" i="7"/>
  <c r="AG1962" i="7" s="1"/>
  <c r="G2047" i="7"/>
  <c r="AG2047" i="7" s="1"/>
  <c r="G2003" i="7"/>
  <c r="AG2003" i="7" s="1"/>
  <c r="G1959" i="7"/>
  <c r="AG1959" i="7" s="1"/>
  <c r="G2043" i="7"/>
  <c r="AG2043" i="7" s="1"/>
  <c r="G1999" i="7"/>
  <c r="AG1999" i="7" s="1"/>
  <c r="G1955" i="7"/>
  <c r="AG1955" i="7" s="1"/>
  <c r="G2042" i="7"/>
  <c r="AG2042" i="7" s="1"/>
  <c r="G1954" i="7"/>
  <c r="G1998" i="7"/>
  <c r="AG1998" i="7" s="1"/>
  <c r="I2041" i="7"/>
  <c r="AG2041" i="7" s="1"/>
  <c r="I1997" i="7"/>
  <c r="AG1997" i="7" s="1"/>
  <c r="I1953" i="7"/>
  <c r="AG1953" i="7" s="1"/>
  <c r="AG1954" i="7" l="1"/>
  <c r="I9" i="11"/>
  <c r="B220" i="14"/>
  <c r="C209" i="14"/>
  <c r="D209" i="14"/>
  <c r="E209" i="14"/>
  <c r="F209" i="14"/>
  <c r="I209" i="14"/>
  <c r="J209" i="14"/>
  <c r="K209" i="14"/>
  <c r="L209" i="14"/>
  <c r="C210" i="14"/>
  <c r="D210" i="14"/>
  <c r="E210" i="14"/>
  <c r="F210" i="14"/>
  <c r="I210" i="14"/>
  <c r="J210" i="14"/>
  <c r="K210" i="14"/>
  <c r="L210" i="14"/>
  <c r="C211" i="14"/>
  <c r="D211" i="14"/>
  <c r="E211" i="14"/>
  <c r="F211" i="14"/>
  <c r="I211" i="14"/>
  <c r="J211" i="14"/>
  <c r="B211" i="14"/>
  <c r="B210" i="14"/>
  <c r="B209" i="14"/>
  <c r="L211" i="14"/>
  <c r="M211" i="14"/>
  <c r="N211" i="14"/>
  <c r="O211" i="14"/>
  <c r="P211" i="14"/>
  <c r="Q211" i="14"/>
  <c r="R211" i="14"/>
  <c r="S211" i="14"/>
  <c r="T211" i="14"/>
  <c r="U211" i="14"/>
  <c r="V211" i="14"/>
  <c r="W211" i="14"/>
  <c r="X211" i="14"/>
  <c r="Y211" i="14"/>
  <c r="AF4" i="7" l="1"/>
  <c r="AI4" i="7" s="1"/>
  <c r="AH4" i="7"/>
  <c r="AJ4" i="7"/>
  <c r="AF5" i="7"/>
  <c r="AI5" i="7" s="1"/>
  <c r="AH5" i="7"/>
  <c r="AJ5" i="7"/>
  <c r="AF6" i="7"/>
  <c r="AI6" i="7" s="1"/>
  <c r="AH6" i="7"/>
  <c r="AJ6" i="7"/>
  <c r="AF7" i="7"/>
  <c r="AI7" i="7" s="1"/>
  <c r="AH7" i="7"/>
  <c r="AJ7" i="7"/>
  <c r="AF8" i="7"/>
  <c r="AI8" i="7" s="1"/>
  <c r="AH8" i="7"/>
  <c r="AJ8" i="7"/>
  <c r="AF9" i="7"/>
  <c r="AI9" i="7" s="1"/>
  <c r="AH9" i="7"/>
  <c r="AJ9" i="7"/>
  <c r="AF10" i="7"/>
  <c r="AI10" i="7" s="1"/>
  <c r="AH10" i="7"/>
  <c r="AJ10" i="7"/>
  <c r="AF11" i="7"/>
  <c r="AI11" i="7" s="1"/>
  <c r="AH11" i="7"/>
  <c r="AJ11" i="7"/>
  <c r="AF12" i="7"/>
  <c r="AI12" i="7" s="1"/>
  <c r="AH12" i="7"/>
  <c r="AJ12" i="7"/>
  <c r="AF13" i="7"/>
  <c r="AI13" i="7" s="1"/>
  <c r="AH13" i="7"/>
  <c r="AJ13" i="7"/>
  <c r="AF14" i="7"/>
  <c r="AI14" i="7" s="1"/>
  <c r="AH14" i="7"/>
  <c r="AJ14" i="7"/>
  <c r="AF15" i="7"/>
  <c r="AI15" i="7" s="1"/>
  <c r="AH15" i="7"/>
  <c r="AJ15" i="7"/>
  <c r="AF16" i="7"/>
  <c r="AI16" i="7" s="1"/>
  <c r="AH16" i="7"/>
  <c r="AJ16" i="7"/>
  <c r="AF17" i="7"/>
  <c r="AI17" i="7" s="1"/>
  <c r="AH17" i="7"/>
  <c r="AJ17" i="7"/>
  <c r="AF18" i="7"/>
  <c r="AI18" i="7" s="1"/>
  <c r="AH18" i="7"/>
  <c r="AJ18" i="7"/>
  <c r="AF19" i="7"/>
  <c r="AI19" i="7" s="1"/>
  <c r="AH19" i="7"/>
  <c r="AJ19" i="7"/>
  <c r="AF20" i="7"/>
  <c r="AI20" i="7" s="1"/>
  <c r="AH20" i="7"/>
  <c r="AJ20" i="7"/>
  <c r="AF21" i="7"/>
  <c r="AI21" i="7" s="1"/>
  <c r="AH21" i="7"/>
  <c r="AJ21" i="7"/>
  <c r="AF22" i="7"/>
  <c r="AI22" i="7" s="1"/>
  <c r="AH22" i="7"/>
  <c r="AJ22" i="7"/>
  <c r="AF23" i="7"/>
  <c r="AI23" i="7" s="1"/>
  <c r="AH23" i="7"/>
  <c r="AJ23" i="7"/>
  <c r="AF24" i="7"/>
  <c r="AI24" i="7" s="1"/>
  <c r="AH24" i="7"/>
  <c r="AJ24" i="7"/>
  <c r="AF25" i="7"/>
  <c r="AI25" i="7" s="1"/>
  <c r="AH25" i="7"/>
  <c r="AJ25" i="7"/>
  <c r="AF26" i="7"/>
  <c r="AI26" i="7" s="1"/>
  <c r="AH26" i="7"/>
  <c r="AJ26" i="7"/>
  <c r="AF27" i="7"/>
  <c r="AI27" i="7" s="1"/>
  <c r="AH27" i="7"/>
  <c r="AJ27" i="7"/>
  <c r="AF28" i="7"/>
  <c r="AI28" i="7" s="1"/>
  <c r="AH28" i="7"/>
  <c r="AJ28" i="7"/>
  <c r="AF29" i="7"/>
  <c r="AI29" i="7" s="1"/>
  <c r="AH29" i="7"/>
  <c r="AJ29" i="7"/>
  <c r="AF30" i="7"/>
  <c r="AI30" i="7" s="1"/>
  <c r="AH30" i="7"/>
  <c r="AJ30" i="7"/>
  <c r="AF31" i="7"/>
  <c r="AI31" i="7" s="1"/>
  <c r="AH31" i="7"/>
  <c r="AJ31" i="7"/>
  <c r="AF32" i="7"/>
  <c r="AI32" i="7" s="1"/>
  <c r="AH32" i="7"/>
  <c r="AJ32" i="7"/>
  <c r="AF33" i="7"/>
  <c r="AI33" i="7" s="1"/>
  <c r="AH33" i="7"/>
  <c r="AJ33" i="7"/>
  <c r="AF34" i="7"/>
  <c r="AI34" i="7" s="1"/>
  <c r="AH34" i="7"/>
  <c r="AJ34" i="7"/>
  <c r="AF35" i="7"/>
  <c r="AI35" i="7" s="1"/>
  <c r="AH35" i="7"/>
  <c r="AJ35" i="7"/>
  <c r="AF36" i="7"/>
  <c r="AI36" i="7" s="1"/>
  <c r="AH36" i="7"/>
  <c r="AJ36" i="7"/>
  <c r="AF37" i="7"/>
  <c r="AI37" i="7" s="1"/>
  <c r="AH37" i="7"/>
  <c r="AJ37" i="7"/>
  <c r="AF38" i="7"/>
  <c r="AI38" i="7" s="1"/>
  <c r="AH38" i="7"/>
  <c r="AJ38" i="7"/>
  <c r="AF39" i="7"/>
  <c r="AI39" i="7" s="1"/>
  <c r="AH39" i="7"/>
  <c r="AJ39" i="7"/>
  <c r="AF40" i="7"/>
  <c r="AI40" i="7" s="1"/>
  <c r="AH40" i="7"/>
  <c r="AJ40" i="7"/>
  <c r="AF41" i="7"/>
  <c r="AI41" i="7" s="1"/>
  <c r="AH41" i="7"/>
  <c r="AJ41" i="7"/>
  <c r="AF42" i="7"/>
  <c r="AI42" i="7" s="1"/>
  <c r="AH42" i="7"/>
  <c r="AJ42" i="7"/>
  <c r="AF43" i="7"/>
  <c r="AI43" i="7" s="1"/>
  <c r="AH43" i="7"/>
  <c r="AJ43" i="7"/>
  <c r="AF44" i="7"/>
  <c r="AI44" i="7" s="1"/>
  <c r="AH44" i="7"/>
  <c r="AJ44" i="7"/>
  <c r="AF45" i="7"/>
  <c r="AI45" i="7" s="1"/>
  <c r="AH45" i="7"/>
  <c r="AJ45" i="7"/>
  <c r="AF46" i="7"/>
  <c r="AI46" i="7" s="1"/>
  <c r="AH46" i="7"/>
  <c r="AJ46" i="7"/>
  <c r="AF47" i="7"/>
  <c r="AI47" i="7" s="1"/>
  <c r="AH47" i="7"/>
  <c r="AJ47" i="7"/>
  <c r="AF48" i="7"/>
  <c r="AI48" i="7" s="1"/>
  <c r="AH48" i="7"/>
  <c r="AJ48" i="7"/>
  <c r="AF49" i="7"/>
  <c r="AI49" i="7" s="1"/>
  <c r="AH49" i="7"/>
  <c r="AJ49" i="7"/>
  <c r="AF50" i="7"/>
  <c r="AI50" i="7" s="1"/>
  <c r="AH50" i="7"/>
  <c r="AJ50" i="7"/>
  <c r="AF51" i="7"/>
  <c r="AI51" i="7" s="1"/>
  <c r="AH51" i="7"/>
  <c r="AJ51" i="7"/>
  <c r="AF52" i="7"/>
  <c r="AI52" i="7" s="1"/>
  <c r="AH52" i="7"/>
  <c r="AJ52" i="7"/>
  <c r="AF53" i="7"/>
  <c r="AI53" i="7" s="1"/>
  <c r="AH53" i="7"/>
  <c r="AJ53" i="7"/>
  <c r="AF54" i="7"/>
  <c r="AI54" i="7" s="1"/>
  <c r="AH54" i="7"/>
  <c r="AJ54" i="7"/>
  <c r="AF55" i="7"/>
  <c r="AI55" i="7" s="1"/>
  <c r="AH55" i="7"/>
  <c r="AJ55" i="7"/>
  <c r="AF56" i="7"/>
  <c r="AI56" i="7" s="1"/>
  <c r="AH56" i="7"/>
  <c r="AJ56" i="7"/>
  <c r="AF57" i="7"/>
  <c r="AI57" i="7" s="1"/>
  <c r="AH57" i="7"/>
  <c r="AJ57" i="7"/>
  <c r="AF58" i="7"/>
  <c r="AI58" i="7" s="1"/>
  <c r="AH58" i="7"/>
  <c r="AJ58" i="7"/>
  <c r="AF59" i="7"/>
  <c r="AI59" i="7" s="1"/>
  <c r="AH59" i="7"/>
  <c r="AJ59" i="7"/>
  <c r="AF60" i="7"/>
  <c r="AI60" i="7" s="1"/>
  <c r="AH60" i="7"/>
  <c r="AJ60" i="7"/>
  <c r="AF61" i="7"/>
  <c r="AI61" i="7" s="1"/>
  <c r="AH61" i="7"/>
  <c r="AJ61" i="7"/>
  <c r="AF62" i="7"/>
  <c r="AI62" i="7" s="1"/>
  <c r="AH62" i="7"/>
  <c r="AJ62" i="7"/>
  <c r="AF63" i="7"/>
  <c r="AI63" i="7" s="1"/>
  <c r="AH63" i="7"/>
  <c r="AJ63" i="7"/>
  <c r="AF64" i="7"/>
  <c r="AI64" i="7" s="1"/>
  <c r="AH64" i="7"/>
  <c r="AJ64" i="7"/>
  <c r="AF65" i="7"/>
  <c r="AI65" i="7" s="1"/>
  <c r="AH65" i="7"/>
  <c r="AJ65" i="7"/>
  <c r="AF66" i="7"/>
  <c r="AI66" i="7" s="1"/>
  <c r="AH66" i="7"/>
  <c r="AJ66" i="7"/>
  <c r="AF67" i="7"/>
  <c r="AI67" i="7" s="1"/>
  <c r="AH67" i="7"/>
  <c r="AJ67" i="7"/>
  <c r="AF68" i="7"/>
  <c r="AI68" i="7" s="1"/>
  <c r="AH68" i="7"/>
  <c r="AJ68" i="7"/>
  <c r="AF69" i="7"/>
  <c r="AI69" i="7" s="1"/>
  <c r="AH69" i="7"/>
  <c r="AJ69" i="7"/>
  <c r="AF70" i="7"/>
  <c r="AI70" i="7" s="1"/>
  <c r="AH70" i="7"/>
  <c r="AJ70" i="7"/>
  <c r="AF71" i="7"/>
  <c r="AI71" i="7" s="1"/>
  <c r="AH71" i="7"/>
  <c r="AJ71" i="7"/>
  <c r="AF72" i="7"/>
  <c r="AI72" i="7" s="1"/>
  <c r="AH72" i="7"/>
  <c r="AJ72" i="7"/>
  <c r="AF73" i="7"/>
  <c r="AI73" i="7" s="1"/>
  <c r="AH73" i="7"/>
  <c r="AJ73" i="7"/>
  <c r="AF74" i="7"/>
  <c r="AI74" i="7" s="1"/>
  <c r="AH74" i="7"/>
  <c r="AJ74" i="7"/>
  <c r="AF75" i="7"/>
  <c r="AI75" i="7" s="1"/>
  <c r="AH75" i="7"/>
  <c r="AJ75" i="7"/>
  <c r="AF76" i="7"/>
  <c r="AI76" i="7" s="1"/>
  <c r="AH76" i="7"/>
  <c r="AJ76" i="7"/>
  <c r="AF77" i="7"/>
  <c r="AI77" i="7" s="1"/>
  <c r="AH77" i="7"/>
  <c r="AJ77" i="7"/>
  <c r="AF78" i="7"/>
  <c r="AI78" i="7" s="1"/>
  <c r="AH78" i="7"/>
  <c r="AJ78" i="7"/>
  <c r="AF79" i="7"/>
  <c r="AI79" i="7" s="1"/>
  <c r="AH79" i="7"/>
  <c r="AJ79" i="7"/>
  <c r="AF80" i="7"/>
  <c r="AI80" i="7" s="1"/>
  <c r="AH80" i="7"/>
  <c r="AJ80" i="7"/>
  <c r="AF81" i="7"/>
  <c r="AI81" i="7" s="1"/>
  <c r="AH81" i="7"/>
  <c r="AJ81" i="7"/>
  <c r="AF82" i="7"/>
  <c r="AI82" i="7" s="1"/>
  <c r="AH82" i="7"/>
  <c r="AJ82" i="7"/>
  <c r="AF83" i="7"/>
  <c r="AI83" i="7" s="1"/>
  <c r="AH83" i="7"/>
  <c r="AJ83" i="7"/>
  <c r="AF84" i="7"/>
  <c r="AI84" i="7" s="1"/>
  <c r="AH84" i="7"/>
  <c r="AJ84" i="7"/>
  <c r="AF85" i="7"/>
  <c r="AI85" i="7" s="1"/>
  <c r="AH85" i="7"/>
  <c r="AJ85" i="7"/>
  <c r="AF86" i="7"/>
  <c r="AI86" i="7" s="1"/>
  <c r="AH86" i="7"/>
  <c r="AJ86" i="7"/>
  <c r="AF87" i="7"/>
  <c r="AI87" i="7" s="1"/>
  <c r="AH87" i="7"/>
  <c r="AJ87" i="7"/>
  <c r="AF88" i="7"/>
  <c r="AI88" i="7" s="1"/>
  <c r="AH88" i="7"/>
  <c r="AJ88" i="7"/>
  <c r="AF89" i="7"/>
  <c r="AI89" i="7" s="1"/>
  <c r="AH89" i="7"/>
  <c r="AJ89" i="7"/>
  <c r="AF90" i="7"/>
  <c r="AI90" i="7" s="1"/>
  <c r="AH90" i="7"/>
  <c r="AJ90" i="7"/>
  <c r="AF91" i="7"/>
  <c r="AI91" i="7" s="1"/>
  <c r="AH91" i="7"/>
  <c r="AJ91" i="7"/>
  <c r="AF92" i="7"/>
  <c r="AI92" i="7" s="1"/>
  <c r="AH92" i="7"/>
  <c r="AJ92" i="7"/>
  <c r="AF93" i="7"/>
  <c r="AI93" i="7" s="1"/>
  <c r="AH93" i="7"/>
  <c r="AJ93" i="7"/>
  <c r="AF94" i="7"/>
  <c r="AI94" i="7" s="1"/>
  <c r="AH94" i="7"/>
  <c r="AJ94" i="7"/>
  <c r="AF95" i="7"/>
  <c r="AI95" i="7" s="1"/>
  <c r="AH95" i="7"/>
  <c r="AJ95" i="7"/>
  <c r="AF96" i="7"/>
  <c r="AI96" i="7" s="1"/>
  <c r="AH96" i="7"/>
  <c r="AJ96" i="7"/>
  <c r="AF97" i="7"/>
  <c r="AI97" i="7" s="1"/>
  <c r="AH97" i="7"/>
  <c r="AJ97" i="7"/>
  <c r="AF98" i="7"/>
  <c r="AI98" i="7" s="1"/>
  <c r="AH98" i="7"/>
  <c r="AJ98" i="7"/>
  <c r="AF99" i="7"/>
  <c r="AI99" i="7" s="1"/>
  <c r="AH99" i="7"/>
  <c r="AJ99" i="7"/>
  <c r="AF100" i="7"/>
  <c r="AI100" i="7" s="1"/>
  <c r="AH100" i="7"/>
  <c r="AJ100" i="7"/>
  <c r="AF101" i="7"/>
  <c r="AI101" i="7" s="1"/>
  <c r="AH101" i="7"/>
  <c r="AJ101" i="7"/>
  <c r="AF102" i="7"/>
  <c r="AI102" i="7" s="1"/>
  <c r="AH102" i="7"/>
  <c r="AJ102" i="7"/>
  <c r="AF103" i="7"/>
  <c r="AI103" i="7" s="1"/>
  <c r="AH103" i="7"/>
  <c r="AJ103" i="7"/>
  <c r="AF104" i="7"/>
  <c r="AI104" i="7" s="1"/>
  <c r="AH104" i="7"/>
  <c r="AJ104" i="7"/>
  <c r="AF105" i="7"/>
  <c r="AI105" i="7" s="1"/>
  <c r="AH105" i="7"/>
  <c r="AJ105" i="7"/>
  <c r="AF106" i="7"/>
  <c r="AI106" i="7" s="1"/>
  <c r="AH106" i="7"/>
  <c r="AJ106" i="7"/>
  <c r="AF107" i="7"/>
  <c r="AI107" i="7" s="1"/>
  <c r="AH107" i="7"/>
  <c r="AJ107" i="7"/>
  <c r="AF108" i="7"/>
  <c r="AI108" i="7" s="1"/>
  <c r="AH108" i="7"/>
  <c r="AJ108" i="7"/>
  <c r="AF109" i="7"/>
  <c r="AI109" i="7" s="1"/>
  <c r="AH109" i="7"/>
  <c r="AJ109" i="7"/>
  <c r="AF110" i="7"/>
  <c r="AI110" i="7" s="1"/>
  <c r="AH110" i="7"/>
  <c r="AJ110" i="7"/>
  <c r="AF111" i="7"/>
  <c r="AI111" i="7" s="1"/>
  <c r="AH111" i="7"/>
  <c r="AJ111" i="7"/>
  <c r="AF112" i="7"/>
  <c r="AI112" i="7" s="1"/>
  <c r="AH112" i="7"/>
  <c r="AJ112" i="7"/>
  <c r="AF113" i="7"/>
  <c r="AI113" i="7" s="1"/>
  <c r="AH113" i="7"/>
  <c r="AJ113" i="7"/>
  <c r="AF114" i="7"/>
  <c r="AI114" i="7" s="1"/>
  <c r="AH114" i="7"/>
  <c r="AJ114" i="7"/>
  <c r="AF115" i="7"/>
  <c r="AI115" i="7" s="1"/>
  <c r="AH115" i="7"/>
  <c r="AJ115" i="7"/>
  <c r="AF116" i="7"/>
  <c r="AI116" i="7" s="1"/>
  <c r="AH116" i="7"/>
  <c r="AJ116" i="7"/>
  <c r="AF117" i="7"/>
  <c r="AI117" i="7" s="1"/>
  <c r="AH117" i="7"/>
  <c r="AJ117" i="7"/>
  <c r="AF118" i="7"/>
  <c r="AI118" i="7" s="1"/>
  <c r="AH118" i="7"/>
  <c r="AJ118" i="7"/>
  <c r="AF119" i="7"/>
  <c r="AI119" i="7" s="1"/>
  <c r="AH119" i="7"/>
  <c r="AJ119" i="7"/>
  <c r="AF120" i="7"/>
  <c r="AI120" i="7" s="1"/>
  <c r="AH120" i="7"/>
  <c r="AJ120" i="7"/>
  <c r="AF121" i="7"/>
  <c r="AI121" i="7" s="1"/>
  <c r="AH121" i="7"/>
  <c r="AJ121" i="7"/>
  <c r="AF122" i="7"/>
  <c r="AI122" i="7" s="1"/>
  <c r="AH122" i="7"/>
  <c r="AJ122" i="7"/>
  <c r="AF123" i="7"/>
  <c r="AI123" i="7" s="1"/>
  <c r="AH123" i="7"/>
  <c r="AJ123" i="7"/>
  <c r="AF124" i="7"/>
  <c r="AI124" i="7" s="1"/>
  <c r="AH124" i="7"/>
  <c r="AJ124" i="7"/>
  <c r="AF125" i="7"/>
  <c r="AI125" i="7" s="1"/>
  <c r="AH125" i="7"/>
  <c r="AJ125" i="7"/>
  <c r="AF126" i="7"/>
  <c r="AI126" i="7" s="1"/>
  <c r="AH126" i="7"/>
  <c r="AJ126" i="7"/>
  <c r="AF127" i="7"/>
  <c r="AI127" i="7" s="1"/>
  <c r="AH127" i="7"/>
  <c r="AJ127" i="7"/>
  <c r="AF128" i="7"/>
  <c r="AI128" i="7" s="1"/>
  <c r="AH128" i="7"/>
  <c r="AJ128" i="7"/>
  <c r="AF129" i="7"/>
  <c r="AI129" i="7" s="1"/>
  <c r="AH129" i="7"/>
  <c r="AJ129" i="7"/>
  <c r="AF130" i="7"/>
  <c r="AI130" i="7" s="1"/>
  <c r="AH130" i="7"/>
  <c r="AJ130" i="7"/>
  <c r="AF131" i="7"/>
  <c r="AI131" i="7" s="1"/>
  <c r="AH131" i="7"/>
  <c r="AJ131" i="7"/>
  <c r="AF132" i="7"/>
  <c r="AI132" i="7" s="1"/>
  <c r="AH132" i="7"/>
  <c r="AJ132" i="7"/>
  <c r="AF133" i="7"/>
  <c r="AI133" i="7" s="1"/>
  <c r="AH133" i="7"/>
  <c r="AJ133" i="7"/>
  <c r="AF134" i="7"/>
  <c r="AI134" i="7" s="1"/>
  <c r="AH134" i="7"/>
  <c r="AJ134" i="7"/>
  <c r="AF135" i="7"/>
  <c r="AI135" i="7" s="1"/>
  <c r="AH135" i="7"/>
  <c r="AJ135" i="7"/>
  <c r="AF136" i="7"/>
  <c r="AI136" i="7" s="1"/>
  <c r="AH136" i="7"/>
  <c r="AJ136" i="7"/>
  <c r="AF137" i="7"/>
  <c r="AI137" i="7" s="1"/>
  <c r="AH137" i="7"/>
  <c r="AJ137" i="7"/>
  <c r="AF138" i="7"/>
  <c r="AI138" i="7" s="1"/>
  <c r="AH138" i="7"/>
  <c r="AJ138" i="7"/>
  <c r="AF139" i="7"/>
  <c r="AI139" i="7" s="1"/>
  <c r="AH139" i="7"/>
  <c r="AJ139" i="7"/>
  <c r="AF140" i="7"/>
  <c r="AI140" i="7" s="1"/>
  <c r="AH140" i="7"/>
  <c r="AJ140" i="7"/>
  <c r="AF141" i="7"/>
  <c r="AI141" i="7" s="1"/>
  <c r="AH141" i="7"/>
  <c r="AJ141" i="7"/>
  <c r="AF142" i="7"/>
  <c r="AI142" i="7" s="1"/>
  <c r="AH142" i="7"/>
  <c r="AJ142" i="7"/>
  <c r="AF143" i="7"/>
  <c r="AI143" i="7" s="1"/>
  <c r="AH143" i="7"/>
  <c r="AJ143" i="7"/>
  <c r="AF144" i="7"/>
  <c r="AI144" i="7" s="1"/>
  <c r="AH144" i="7"/>
  <c r="AJ144" i="7"/>
  <c r="AF145" i="7"/>
  <c r="AI145" i="7" s="1"/>
  <c r="AH145" i="7"/>
  <c r="AJ145" i="7"/>
  <c r="AF146" i="7"/>
  <c r="AI146" i="7" s="1"/>
  <c r="AH146" i="7"/>
  <c r="AJ146" i="7"/>
  <c r="AF147" i="7"/>
  <c r="AI147" i="7" s="1"/>
  <c r="AH147" i="7"/>
  <c r="AJ147" i="7"/>
  <c r="AF148" i="7"/>
  <c r="AI148" i="7" s="1"/>
  <c r="AH148" i="7"/>
  <c r="AJ148" i="7"/>
  <c r="AF149" i="7"/>
  <c r="AI149" i="7" s="1"/>
  <c r="AH149" i="7"/>
  <c r="AJ149" i="7"/>
  <c r="AF150" i="7"/>
  <c r="AI150" i="7" s="1"/>
  <c r="AH150" i="7"/>
  <c r="AJ150" i="7"/>
  <c r="AF151" i="7"/>
  <c r="AI151" i="7" s="1"/>
  <c r="AH151" i="7"/>
  <c r="AJ151" i="7"/>
  <c r="AF152" i="7"/>
  <c r="AI152" i="7" s="1"/>
  <c r="AH152" i="7"/>
  <c r="AJ152" i="7"/>
  <c r="AF153" i="7"/>
  <c r="AI153" i="7" s="1"/>
  <c r="AH153" i="7"/>
  <c r="AJ153" i="7"/>
  <c r="AF154" i="7"/>
  <c r="AI154" i="7" s="1"/>
  <c r="AH154" i="7"/>
  <c r="AJ154" i="7"/>
  <c r="AF155" i="7"/>
  <c r="AI155" i="7" s="1"/>
  <c r="AH155" i="7"/>
  <c r="AJ155" i="7"/>
  <c r="AF156" i="7"/>
  <c r="AI156" i="7" s="1"/>
  <c r="AH156" i="7"/>
  <c r="AJ156" i="7"/>
  <c r="AF157" i="7"/>
  <c r="AI157" i="7" s="1"/>
  <c r="AH157" i="7"/>
  <c r="AJ157" i="7"/>
  <c r="AF158" i="7"/>
  <c r="AI158" i="7" s="1"/>
  <c r="AH158" i="7"/>
  <c r="AJ158" i="7"/>
  <c r="AF159" i="7"/>
  <c r="AI159" i="7" s="1"/>
  <c r="AH159" i="7"/>
  <c r="AJ159" i="7"/>
  <c r="AF160" i="7"/>
  <c r="AI160" i="7" s="1"/>
  <c r="AH160" i="7"/>
  <c r="AJ160" i="7"/>
  <c r="AF161" i="7"/>
  <c r="AI161" i="7" s="1"/>
  <c r="AH161" i="7"/>
  <c r="AJ161" i="7"/>
  <c r="AF162" i="7"/>
  <c r="AI162" i="7" s="1"/>
  <c r="AH162" i="7"/>
  <c r="AJ162" i="7"/>
  <c r="AF163" i="7"/>
  <c r="AI163" i="7" s="1"/>
  <c r="AH163" i="7"/>
  <c r="AJ163" i="7"/>
  <c r="AF164" i="7"/>
  <c r="AI164" i="7" s="1"/>
  <c r="AH164" i="7"/>
  <c r="AJ164" i="7"/>
  <c r="AF165" i="7"/>
  <c r="AI165" i="7" s="1"/>
  <c r="AH165" i="7"/>
  <c r="AJ165" i="7"/>
  <c r="AF166" i="7"/>
  <c r="AI166" i="7" s="1"/>
  <c r="AH166" i="7"/>
  <c r="AJ166" i="7"/>
  <c r="AF167" i="7"/>
  <c r="AI167" i="7" s="1"/>
  <c r="AH167" i="7"/>
  <c r="AJ167" i="7"/>
  <c r="AF168" i="7"/>
  <c r="AI168" i="7" s="1"/>
  <c r="AH168" i="7"/>
  <c r="AJ168" i="7"/>
  <c r="AF169" i="7"/>
  <c r="AI169" i="7" s="1"/>
  <c r="AH169" i="7"/>
  <c r="AJ169" i="7"/>
  <c r="AF170" i="7"/>
  <c r="AI170" i="7" s="1"/>
  <c r="AH170" i="7"/>
  <c r="AJ170" i="7"/>
  <c r="AF171" i="7"/>
  <c r="AI171" i="7" s="1"/>
  <c r="AH171" i="7"/>
  <c r="AJ171" i="7"/>
  <c r="AF172" i="7"/>
  <c r="AI172" i="7" s="1"/>
  <c r="AH172" i="7"/>
  <c r="AJ172" i="7"/>
  <c r="AF173" i="7"/>
  <c r="AI173" i="7" s="1"/>
  <c r="AH173" i="7"/>
  <c r="AJ173" i="7"/>
  <c r="AF174" i="7"/>
  <c r="AI174" i="7" s="1"/>
  <c r="AH174" i="7"/>
  <c r="AJ174" i="7"/>
  <c r="AF175" i="7"/>
  <c r="AI175" i="7" s="1"/>
  <c r="AH175" i="7"/>
  <c r="AJ175" i="7"/>
  <c r="AF176" i="7"/>
  <c r="AI176" i="7" s="1"/>
  <c r="AH176" i="7"/>
  <c r="AJ176" i="7"/>
  <c r="AF177" i="7"/>
  <c r="AI177" i="7" s="1"/>
  <c r="AH177" i="7"/>
  <c r="AJ177" i="7"/>
  <c r="AF178" i="7"/>
  <c r="AI178" i="7" s="1"/>
  <c r="AH178" i="7"/>
  <c r="AJ178" i="7"/>
  <c r="AF179" i="7"/>
  <c r="AI179" i="7" s="1"/>
  <c r="AH179" i="7"/>
  <c r="AJ179" i="7"/>
  <c r="AF180" i="7"/>
  <c r="AI180" i="7" s="1"/>
  <c r="AH180" i="7"/>
  <c r="AJ180" i="7"/>
  <c r="AF181" i="7"/>
  <c r="AI181" i="7" s="1"/>
  <c r="AH181" i="7"/>
  <c r="AJ181" i="7"/>
  <c r="AF182" i="7"/>
  <c r="AI182" i="7" s="1"/>
  <c r="AH182" i="7"/>
  <c r="AJ182" i="7"/>
  <c r="AF183" i="7"/>
  <c r="AI183" i="7" s="1"/>
  <c r="AH183" i="7"/>
  <c r="AJ183" i="7"/>
  <c r="AF184" i="7"/>
  <c r="AI184" i="7" s="1"/>
  <c r="AH184" i="7"/>
  <c r="AJ184" i="7"/>
  <c r="AF185" i="7"/>
  <c r="AI185" i="7" s="1"/>
  <c r="AH185" i="7"/>
  <c r="AJ185" i="7"/>
  <c r="AF186" i="7"/>
  <c r="AI186" i="7" s="1"/>
  <c r="AH186" i="7"/>
  <c r="AJ186" i="7"/>
  <c r="AF187" i="7"/>
  <c r="AI187" i="7" s="1"/>
  <c r="AH187" i="7"/>
  <c r="AJ187" i="7"/>
  <c r="AF188" i="7"/>
  <c r="AI188" i="7" s="1"/>
  <c r="AH188" i="7"/>
  <c r="AJ188" i="7"/>
  <c r="AF189" i="7"/>
  <c r="AI189" i="7" s="1"/>
  <c r="AH189" i="7"/>
  <c r="AJ189" i="7"/>
  <c r="AF190" i="7"/>
  <c r="AI190" i="7" s="1"/>
  <c r="AH190" i="7"/>
  <c r="AJ190" i="7"/>
  <c r="AF191" i="7"/>
  <c r="AI191" i="7" s="1"/>
  <c r="AH191" i="7"/>
  <c r="AJ191" i="7"/>
  <c r="AF192" i="7"/>
  <c r="AI192" i="7" s="1"/>
  <c r="AH192" i="7"/>
  <c r="AJ192" i="7"/>
  <c r="AF193" i="7"/>
  <c r="AI193" i="7" s="1"/>
  <c r="AH193" i="7"/>
  <c r="AJ193" i="7"/>
  <c r="AF194" i="7"/>
  <c r="AI194" i="7" s="1"/>
  <c r="AH194" i="7"/>
  <c r="AJ194" i="7"/>
  <c r="AF195" i="7"/>
  <c r="AI195" i="7" s="1"/>
  <c r="AH195" i="7"/>
  <c r="AJ195" i="7"/>
  <c r="AF196" i="7"/>
  <c r="AI196" i="7" s="1"/>
  <c r="AH196" i="7"/>
  <c r="AJ196" i="7"/>
  <c r="AF197" i="7"/>
  <c r="AI197" i="7" s="1"/>
  <c r="AH197" i="7"/>
  <c r="AJ197" i="7"/>
  <c r="AF198" i="7"/>
  <c r="AI198" i="7" s="1"/>
  <c r="AH198" i="7"/>
  <c r="AJ198" i="7"/>
  <c r="AF199" i="7"/>
  <c r="AI199" i="7" s="1"/>
  <c r="AH199" i="7"/>
  <c r="AJ199" i="7"/>
  <c r="AF200" i="7"/>
  <c r="AI200" i="7" s="1"/>
  <c r="AH200" i="7"/>
  <c r="AJ200" i="7"/>
  <c r="AF201" i="7"/>
  <c r="AI201" i="7" s="1"/>
  <c r="AH201" i="7"/>
  <c r="AJ201" i="7"/>
  <c r="AF202" i="7"/>
  <c r="AI202" i="7" s="1"/>
  <c r="AH202" i="7"/>
  <c r="AJ202" i="7"/>
  <c r="AF203" i="7"/>
  <c r="AI203" i="7" s="1"/>
  <c r="AH203" i="7"/>
  <c r="AJ203" i="7"/>
  <c r="AF204" i="7"/>
  <c r="AI204" i="7" s="1"/>
  <c r="AH204" i="7"/>
  <c r="AJ204" i="7"/>
  <c r="AF205" i="7"/>
  <c r="AI205" i="7" s="1"/>
  <c r="AH205" i="7"/>
  <c r="AJ205" i="7"/>
  <c r="AF206" i="7"/>
  <c r="AI206" i="7" s="1"/>
  <c r="AH206" i="7"/>
  <c r="AJ206" i="7"/>
  <c r="AF207" i="7"/>
  <c r="AI207" i="7" s="1"/>
  <c r="AH207" i="7"/>
  <c r="AJ207" i="7"/>
  <c r="AF208" i="7"/>
  <c r="AI208" i="7" s="1"/>
  <c r="AH208" i="7"/>
  <c r="AJ208" i="7"/>
  <c r="AF209" i="7"/>
  <c r="AI209" i="7" s="1"/>
  <c r="AH209" i="7"/>
  <c r="AJ209" i="7"/>
  <c r="AF210" i="7"/>
  <c r="AI210" i="7" s="1"/>
  <c r="AH210" i="7"/>
  <c r="AJ210" i="7"/>
  <c r="AF211" i="7"/>
  <c r="AI211" i="7" s="1"/>
  <c r="AH211" i="7"/>
  <c r="AJ211" i="7"/>
  <c r="AF212" i="7"/>
  <c r="AI212" i="7" s="1"/>
  <c r="AH212" i="7"/>
  <c r="AJ212" i="7"/>
  <c r="AF213" i="7"/>
  <c r="AI213" i="7" s="1"/>
  <c r="AH213" i="7"/>
  <c r="AJ213" i="7"/>
  <c r="AF214" i="7"/>
  <c r="AI214" i="7" s="1"/>
  <c r="AH214" i="7"/>
  <c r="AJ214" i="7"/>
  <c r="AF215" i="7"/>
  <c r="AI215" i="7" s="1"/>
  <c r="AH215" i="7"/>
  <c r="AJ215" i="7"/>
  <c r="AF218" i="7"/>
  <c r="AI218" i="7" s="1"/>
  <c r="AH218" i="7"/>
  <c r="AJ218" i="7"/>
  <c r="AF219" i="7"/>
  <c r="AI219" i="7" s="1"/>
  <c r="AH219" i="7"/>
  <c r="AJ219" i="7"/>
  <c r="AF220" i="7"/>
  <c r="AI220" i="7" s="1"/>
  <c r="AH220" i="7"/>
  <c r="AJ220" i="7"/>
  <c r="AF221" i="7"/>
  <c r="AI221" i="7" s="1"/>
  <c r="AH221" i="7"/>
  <c r="AJ221" i="7"/>
  <c r="AF222" i="7"/>
  <c r="AI222" i="7" s="1"/>
  <c r="AH222" i="7"/>
  <c r="AJ222" i="7"/>
  <c r="AF223" i="7"/>
  <c r="AI223" i="7" s="1"/>
  <c r="AH223" i="7"/>
  <c r="AJ223" i="7"/>
  <c r="AF224" i="7"/>
  <c r="AI224" i="7" s="1"/>
  <c r="AH224" i="7"/>
  <c r="AJ224" i="7"/>
  <c r="AF225" i="7"/>
  <c r="AI225" i="7" s="1"/>
  <c r="AH225" i="7"/>
  <c r="AJ225" i="7"/>
  <c r="AF226" i="7"/>
  <c r="AI226" i="7" s="1"/>
  <c r="AH226" i="7"/>
  <c r="AJ226" i="7"/>
  <c r="AF227" i="7"/>
  <c r="AI227" i="7" s="1"/>
  <c r="AH227" i="7"/>
  <c r="AJ227" i="7"/>
  <c r="AF228" i="7"/>
  <c r="AI228" i="7" s="1"/>
  <c r="AH228" i="7"/>
  <c r="AJ228" i="7"/>
  <c r="AF229" i="7"/>
  <c r="AI229" i="7" s="1"/>
  <c r="AH229" i="7"/>
  <c r="AJ229" i="7"/>
  <c r="AF230" i="7"/>
  <c r="AI230" i="7" s="1"/>
  <c r="AH230" i="7"/>
  <c r="AJ230" i="7"/>
  <c r="AF231" i="7"/>
  <c r="AI231" i="7" s="1"/>
  <c r="AH231" i="7"/>
  <c r="AJ231" i="7"/>
  <c r="AF232" i="7"/>
  <c r="AI232" i="7" s="1"/>
  <c r="AH232" i="7"/>
  <c r="AJ232" i="7"/>
  <c r="AF233" i="7"/>
  <c r="AI233" i="7" s="1"/>
  <c r="AH233" i="7"/>
  <c r="AJ233" i="7"/>
  <c r="AF249" i="7"/>
  <c r="AI249" i="7" s="1"/>
  <c r="AH249" i="7"/>
  <c r="AJ249" i="7"/>
  <c r="AF250" i="7"/>
  <c r="AI250" i="7" s="1"/>
  <c r="AH250" i="7"/>
  <c r="AJ250" i="7"/>
  <c r="AF251" i="7"/>
  <c r="AI251" i="7" s="1"/>
  <c r="AH251" i="7"/>
  <c r="AJ251" i="7"/>
  <c r="AF252" i="7"/>
  <c r="AI252" i="7" s="1"/>
  <c r="AH252" i="7"/>
  <c r="AJ252" i="7"/>
  <c r="AF253" i="7"/>
  <c r="AI253" i="7" s="1"/>
  <c r="AH253" i="7"/>
  <c r="AJ253" i="7"/>
  <c r="AF254" i="7"/>
  <c r="AI254" i="7" s="1"/>
  <c r="AH254" i="7"/>
  <c r="AJ254" i="7"/>
  <c r="AF255" i="7"/>
  <c r="AI255" i="7" s="1"/>
  <c r="AH255" i="7"/>
  <c r="AJ255" i="7"/>
  <c r="AF256" i="7"/>
  <c r="AI256" i="7" s="1"/>
  <c r="AH256" i="7"/>
  <c r="AJ256" i="7"/>
  <c r="AF257" i="7"/>
  <c r="AI257" i="7" s="1"/>
  <c r="AH257" i="7"/>
  <c r="AJ257" i="7"/>
  <c r="AF258" i="7"/>
  <c r="AI258" i="7" s="1"/>
  <c r="AH258" i="7"/>
  <c r="AJ258" i="7"/>
  <c r="AF259" i="7"/>
  <c r="AI259" i="7" s="1"/>
  <c r="AH259" i="7"/>
  <c r="AJ259" i="7"/>
  <c r="AF260" i="7"/>
  <c r="AI260" i="7" s="1"/>
  <c r="AH260" i="7"/>
  <c r="AJ260" i="7"/>
  <c r="AF261" i="7"/>
  <c r="AI261" i="7" s="1"/>
  <c r="AH261" i="7"/>
  <c r="AJ261" i="7"/>
  <c r="AF262" i="7"/>
  <c r="AI262" i="7" s="1"/>
  <c r="AH262" i="7"/>
  <c r="AJ262" i="7"/>
  <c r="AF263" i="7"/>
  <c r="AI263" i="7" s="1"/>
  <c r="AH263" i="7"/>
  <c r="AJ263" i="7"/>
  <c r="AF264" i="7"/>
  <c r="AI264" i="7" s="1"/>
  <c r="AH264" i="7"/>
  <c r="AJ264" i="7"/>
  <c r="AF265" i="7"/>
  <c r="AI265" i="7" s="1"/>
  <c r="AH265" i="7"/>
  <c r="AJ265" i="7"/>
  <c r="AF266" i="7"/>
  <c r="AI266" i="7" s="1"/>
  <c r="AH266" i="7"/>
  <c r="AJ266" i="7"/>
  <c r="AF267" i="7"/>
  <c r="AI267" i="7" s="1"/>
  <c r="AH267" i="7"/>
  <c r="AJ267" i="7"/>
  <c r="AF268" i="7"/>
  <c r="AI268" i="7" s="1"/>
  <c r="AH268" i="7"/>
  <c r="AJ268" i="7"/>
  <c r="AF269" i="7"/>
  <c r="AI269" i="7" s="1"/>
  <c r="AH269" i="7"/>
  <c r="AJ269" i="7"/>
  <c r="AF270" i="7"/>
  <c r="AI270" i="7" s="1"/>
  <c r="AH270" i="7"/>
  <c r="AJ270" i="7"/>
  <c r="AF271" i="7"/>
  <c r="AI271" i="7" s="1"/>
  <c r="AH271" i="7"/>
  <c r="AJ271" i="7"/>
  <c r="AF272" i="7"/>
  <c r="AI272" i="7" s="1"/>
  <c r="AH272" i="7"/>
  <c r="AJ272" i="7"/>
  <c r="AF273" i="7"/>
  <c r="AI273" i="7" s="1"/>
  <c r="AH273" i="7"/>
  <c r="AJ273" i="7"/>
  <c r="AF274" i="7"/>
  <c r="AI274" i="7" s="1"/>
  <c r="AH274" i="7"/>
  <c r="AJ274" i="7"/>
  <c r="AF275" i="7"/>
  <c r="AI275" i="7" s="1"/>
  <c r="AH275" i="7"/>
  <c r="AJ275" i="7"/>
  <c r="AF276" i="7"/>
  <c r="AI276" i="7" s="1"/>
  <c r="AH276" i="7"/>
  <c r="AJ276" i="7"/>
  <c r="AF277" i="7"/>
  <c r="AI277" i="7" s="1"/>
  <c r="AH277" i="7"/>
  <c r="AJ277" i="7"/>
  <c r="AF278" i="7"/>
  <c r="AI278" i="7" s="1"/>
  <c r="AH278" i="7"/>
  <c r="AJ278" i="7"/>
  <c r="AF279" i="7"/>
  <c r="AI279" i="7" s="1"/>
  <c r="AH279" i="7"/>
  <c r="AJ279" i="7"/>
  <c r="AF280" i="7"/>
  <c r="AI280" i="7" s="1"/>
  <c r="AH280" i="7"/>
  <c r="AJ280" i="7"/>
  <c r="AF281" i="7"/>
  <c r="AI281" i="7" s="1"/>
  <c r="AH281" i="7"/>
  <c r="AJ281" i="7"/>
  <c r="AF282" i="7"/>
  <c r="AI282" i="7" s="1"/>
  <c r="AH282" i="7"/>
  <c r="AJ282" i="7"/>
  <c r="AF283" i="7"/>
  <c r="AI283" i="7" s="1"/>
  <c r="AH283" i="7"/>
  <c r="AJ283" i="7"/>
  <c r="AF284" i="7"/>
  <c r="AI284" i="7" s="1"/>
  <c r="AH284" i="7"/>
  <c r="AJ284" i="7"/>
  <c r="AF285" i="7"/>
  <c r="AI285" i="7" s="1"/>
  <c r="AH285" i="7"/>
  <c r="AJ285" i="7"/>
  <c r="AF286" i="7"/>
  <c r="AI286" i="7" s="1"/>
  <c r="AH286" i="7"/>
  <c r="AJ286" i="7"/>
  <c r="AF287" i="7"/>
  <c r="AI287" i="7" s="1"/>
  <c r="AH287" i="7"/>
  <c r="AJ287" i="7"/>
  <c r="AF288" i="7"/>
  <c r="AI288" i="7" s="1"/>
  <c r="AH288" i="7"/>
  <c r="AJ288" i="7"/>
  <c r="AF289" i="7"/>
  <c r="AI289" i="7" s="1"/>
  <c r="AH289" i="7"/>
  <c r="AJ289" i="7"/>
  <c r="AF290" i="7"/>
  <c r="AI290" i="7" s="1"/>
  <c r="AH290" i="7"/>
  <c r="AJ290" i="7"/>
  <c r="AF291" i="7"/>
  <c r="AI291" i="7" s="1"/>
  <c r="AH291" i="7"/>
  <c r="AJ291" i="7"/>
  <c r="AF292" i="7"/>
  <c r="AI292" i="7" s="1"/>
  <c r="AH292" i="7"/>
  <c r="AJ292" i="7"/>
  <c r="AF293" i="7"/>
  <c r="AI293" i="7" s="1"/>
  <c r="AH293" i="7"/>
  <c r="AJ293" i="7"/>
  <c r="AF294" i="7"/>
  <c r="AI294" i="7" s="1"/>
  <c r="AH294" i="7"/>
  <c r="AJ294" i="7"/>
  <c r="AF295" i="7"/>
  <c r="AI295" i="7" s="1"/>
  <c r="AH295" i="7"/>
  <c r="AJ295" i="7"/>
  <c r="AF296" i="7"/>
  <c r="AI296" i="7" s="1"/>
  <c r="AH296" i="7"/>
  <c r="AJ296" i="7"/>
  <c r="AF297" i="7"/>
  <c r="AI297" i="7" s="1"/>
  <c r="AH297" i="7"/>
  <c r="AJ297" i="7"/>
  <c r="AF298" i="7"/>
  <c r="AI298" i="7" s="1"/>
  <c r="AH298" i="7"/>
  <c r="AJ298" i="7"/>
  <c r="AF299" i="7"/>
  <c r="AI299" i="7" s="1"/>
  <c r="AH299" i="7"/>
  <c r="AJ299" i="7"/>
  <c r="AF300" i="7"/>
  <c r="AI300" i="7" s="1"/>
  <c r="AH300" i="7"/>
  <c r="AJ300" i="7"/>
  <c r="AF301" i="7"/>
  <c r="AI301" i="7" s="1"/>
  <c r="AH301" i="7"/>
  <c r="AJ301" i="7"/>
  <c r="AF302" i="7"/>
  <c r="AI302" i="7" s="1"/>
  <c r="AH302" i="7"/>
  <c r="AJ302" i="7"/>
  <c r="AF303" i="7"/>
  <c r="AI303" i="7" s="1"/>
  <c r="AH303" i="7"/>
  <c r="AJ303" i="7"/>
  <c r="AF304" i="7"/>
  <c r="AI304" i="7" s="1"/>
  <c r="AH304" i="7"/>
  <c r="AJ304" i="7"/>
  <c r="AF305" i="7"/>
  <c r="AI305" i="7" s="1"/>
  <c r="AH305" i="7"/>
  <c r="AJ305" i="7"/>
  <c r="AF306" i="7"/>
  <c r="AI306" i="7" s="1"/>
  <c r="AH306" i="7"/>
  <c r="AJ306" i="7"/>
  <c r="AF307" i="7"/>
  <c r="AI307" i="7" s="1"/>
  <c r="AH307" i="7"/>
  <c r="AJ307" i="7"/>
  <c r="AF308" i="7"/>
  <c r="AI308" i="7" s="1"/>
  <c r="AH308" i="7"/>
  <c r="AJ308" i="7"/>
  <c r="AF309" i="7"/>
  <c r="AI309" i="7" s="1"/>
  <c r="AH309" i="7"/>
  <c r="AJ309" i="7"/>
  <c r="AF310" i="7"/>
  <c r="AI310" i="7" s="1"/>
  <c r="AH310" i="7"/>
  <c r="AJ310" i="7"/>
  <c r="AF311" i="7"/>
  <c r="AI311" i="7" s="1"/>
  <c r="AH311" i="7"/>
  <c r="AJ311" i="7"/>
  <c r="AF312" i="7"/>
  <c r="AI312" i="7" s="1"/>
  <c r="AH312" i="7"/>
  <c r="AJ312" i="7"/>
  <c r="AF313" i="7"/>
  <c r="AI313" i="7" s="1"/>
  <c r="AH313" i="7"/>
  <c r="AJ313" i="7"/>
  <c r="AF314" i="7"/>
  <c r="AI314" i="7" s="1"/>
  <c r="AH314" i="7"/>
  <c r="AJ314" i="7"/>
  <c r="AF315" i="7"/>
  <c r="AI315" i="7" s="1"/>
  <c r="AH315" i="7"/>
  <c r="AJ315" i="7"/>
  <c r="AF316" i="7"/>
  <c r="AI316" i="7" s="1"/>
  <c r="AH316" i="7"/>
  <c r="AJ316" i="7"/>
  <c r="AF317" i="7"/>
  <c r="AI317" i="7" s="1"/>
  <c r="AH317" i="7"/>
  <c r="AJ317" i="7"/>
  <c r="AF318" i="7"/>
  <c r="AI318" i="7" s="1"/>
  <c r="AH318" i="7"/>
  <c r="AJ318" i="7"/>
  <c r="AF319" i="7"/>
  <c r="AI319" i="7" s="1"/>
  <c r="AH319" i="7"/>
  <c r="AJ319" i="7"/>
  <c r="AF320" i="7"/>
  <c r="AI320" i="7" s="1"/>
  <c r="AH320" i="7"/>
  <c r="AJ320" i="7"/>
  <c r="AF321" i="7"/>
  <c r="AI321" i="7" s="1"/>
  <c r="AH321" i="7"/>
  <c r="AJ321" i="7"/>
  <c r="AF322" i="7"/>
  <c r="AI322" i="7" s="1"/>
  <c r="AH322" i="7"/>
  <c r="AJ322" i="7"/>
  <c r="AF323" i="7"/>
  <c r="AI323" i="7" s="1"/>
  <c r="AH323" i="7"/>
  <c r="AJ323" i="7"/>
  <c r="AF324" i="7"/>
  <c r="AI324" i="7" s="1"/>
  <c r="AH324" i="7"/>
  <c r="AJ324" i="7"/>
  <c r="AF325" i="7"/>
  <c r="AI325" i="7" s="1"/>
  <c r="AH325" i="7"/>
  <c r="AJ325" i="7"/>
  <c r="AF326" i="7"/>
  <c r="AI326" i="7" s="1"/>
  <c r="AH326" i="7"/>
  <c r="AJ326" i="7"/>
  <c r="AF327" i="7"/>
  <c r="AI327" i="7" s="1"/>
  <c r="AH327" i="7"/>
  <c r="AJ327" i="7"/>
  <c r="AF328" i="7"/>
  <c r="AI328" i="7" s="1"/>
  <c r="AH328" i="7"/>
  <c r="AJ328" i="7"/>
  <c r="AF329" i="7"/>
  <c r="AI329" i="7" s="1"/>
  <c r="AH329" i="7"/>
  <c r="AJ329" i="7"/>
  <c r="AF330" i="7"/>
  <c r="AI330" i="7" s="1"/>
  <c r="AH330" i="7"/>
  <c r="AJ330" i="7"/>
  <c r="AF331" i="7"/>
  <c r="AI331" i="7" s="1"/>
  <c r="AH331" i="7"/>
  <c r="AJ331" i="7"/>
  <c r="AF332" i="7"/>
  <c r="AI332" i="7" s="1"/>
  <c r="AH332" i="7"/>
  <c r="AJ332" i="7"/>
  <c r="AF333" i="7"/>
  <c r="AI333" i="7" s="1"/>
  <c r="AH333" i="7"/>
  <c r="AJ333" i="7"/>
  <c r="AF334" i="7"/>
  <c r="AI334" i="7" s="1"/>
  <c r="AH334" i="7"/>
  <c r="AJ334" i="7"/>
  <c r="AF335" i="7"/>
  <c r="AI335" i="7" s="1"/>
  <c r="AH335" i="7"/>
  <c r="AJ335" i="7"/>
  <c r="AF336" i="7"/>
  <c r="AI336" i="7" s="1"/>
  <c r="AH336" i="7"/>
  <c r="AJ336" i="7"/>
  <c r="AF337" i="7"/>
  <c r="AI337" i="7" s="1"/>
  <c r="AH337" i="7"/>
  <c r="AJ337" i="7"/>
  <c r="AF338" i="7"/>
  <c r="AI338" i="7" s="1"/>
  <c r="AH338" i="7"/>
  <c r="AJ338" i="7"/>
  <c r="AF339" i="7"/>
  <c r="AI339" i="7" s="1"/>
  <c r="AH339" i="7"/>
  <c r="AJ339" i="7"/>
  <c r="AF340" i="7"/>
  <c r="AI340" i="7" s="1"/>
  <c r="AH340" i="7"/>
  <c r="AJ340" i="7"/>
  <c r="AF341" i="7"/>
  <c r="AI341" i="7" s="1"/>
  <c r="AH341" i="7"/>
  <c r="AJ341" i="7"/>
  <c r="AF342" i="7"/>
  <c r="AI342" i="7" s="1"/>
  <c r="AH342" i="7"/>
  <c r="AJ342" i="7"/>
  <c r="AF343" i="7"/>
  <c r="AI343" i="7" s="1"/>
  <c r="AH343" i="7"/>
  <c r="AJ343" i="7"/>
  <c r="AF344" i="7"/>
  <c r="AI344" i="7" s="1"/>
  <c r="AH344" i="7"/>
  <c r="AJ344" i="7"/>
  <c r="AF345" i="7"/>
  <c r="AI345" i="7" s="1"/>
  <c r="AH345" i="7"/>
  <c r="AJ345" i="7"/>
  <c r="AF346" i="7"/>
  <c r="AI346" i="7" s="1"/>
  <c r="AH346" i="7"/>
  <c r="AJ346" i="7"/>
  <c r="AF347" i="7"/>
  <c r="AI347" i="7" s="1"/>
  <c r="AH347" i="7"/>
  <c r="AJ347" i="7"/>
  <c r="AF348" i="7"/>
  <c r="AI348" i="7" s="1"/>
  <c r="AH348" i="7"/>
  <c r="AJ348" i="7"/>
  <c r="AF349" i="7"/>
  <c r="AI349" i="7" s="1"/>
  <c r="AH349" i="7"/>
  <c r="AJ349" i="7"/>
  <c r="AF350" i="7"/>
  <c r="AI350" i="7" s="1"/>
  <c r="AH350" i="7"/>
  <c r="AJ350" i="7"/>
  <c r="AF351" i="7"/>
  <c r="AI351" i="7" s="1"/>
  <c r="AH351" i="7"/>
  <c r="AJ351" i="7"/>
  <c r="AF352" i="7"/>
  <c r="AI352" i="7" s="1"/>
  <c r="AH352" i="7"/>
  <c r="AJ352" i="7"/>
  <c r="AF353" i="7"/>
  <c r="AI353" i="7" s="1"/>
  <c r="AH353" i="7"/>
  <c r="AJ353" i="7"/>
  <c r="AF354" i="7"/>
  <c r="AI354" i="7" s="1"/>
  <c r="AH354" i="7"/>
  <c r="AJ354" i="7"/>
  <c r="AF355" i="7"/>
  <c r="AI355" i="7" s="1"/>
  <c r="AH355" i="7"/>
  <c r="AJ355" i="7"/>
  <c r="AF356" i="7"/>
  <c r="AI356" i="7" s="1"/>
  <c r="AH356" i="7"/>
  <c r="AJ356" i="7"/>
  <c r="AF357" i="7"/>
  <c r="AI357" i="7" s="1"/>
  <c r="AH357" i="7"/>
  <c r="AJ357" i="7"/>
  <c r="AF358" i="7"/>
  <c r="AI358" i="7" s="1"/>
  <c r="AH358" i="7"/>
  <c r="AJ358" i="7"/>
  <c r="AF359" i="7"/>
  <c r="AI359" i="7" s="1"/>
  <c r="AH359" i="7"/>
  <c r="AJ359" i="7"/>
  <c r="AF360" i="7"/>
  <c r="AI360" i="7" s="1"/>
  <c r="AH360" i="7"/>
  <c r="AJ360" i="7"/>
  <c r="AF361" i="7"/>
  <c r="AI361" i="7" s="1"/>
  <c r="AH361" i="7"/>
  <c r="AJ361" i="7"/>
  <c r="AF362" i="7"/>
  <c r="AI362" i="7" s="1"/>
  <c r="AH362" i="7"/>
  <c r="AJ362" i="7"/>
  <c r="AF363" i="7"/>
  <c r="AI363" i="7" s="1"/>
  <c r="AH363" i="7"/>
  <c r="AJ363" i="7"/>
  <c r="AF364" i="7"/>
  <c r="AI364" i="7" s="1"/>
  <c r="AH364" i="7"/>
  <c r="AJ364" i="7"/>
  <c r="AF365" i="7"/>
  <c r="AI365" i="7" s="1"/>
  <c r="AH365" i="7"/>
  <c r="AJ365" i="7"/>
  <c r="AF366" i="7"/>
  <c r="AI366" i="7" s="1"/>
  <c r="AH366" i="7"/>
  <c r="AJ366" i="7"/>
  <c r="AF367" i="7"/>
  <c r="AI367" i="7" s="1"/>
  <c r="AH367" i="7"/>
  <c r="AJ367" i="7"/>
  <c r="AF368" i="7"/>
  <c r="AI368" i="7" s="1"/>
  <c r="AH368" i="7"/>
  <c r="AJ368" i="7"/>
  <c r="AF369" i="7"/>
  <c r="AI369" i="7" s="1"/>
  <c r="AH369" i="7"/>
  <c r="AJ369" i="7"/>
  <c r="AF370" i="7"/>
  <c r="AI370" i="7" s="1"/>
  <c r="AH370" i="7"/>
  <c r="AJ370" i="7"/>
  <c r="AF371" i="7"/>
  <c r="AI371" i="7" s="1"/>
  <c r="AH371" i="7"/>
  <c r="AJ371" i="7"/>
  <c r="AF372" i="7"/>
  <c r="AI372" i="7" s="1"/>
  <c r="AH372" i="7"/>
  <c r="AJ372" i="7"/>
  <c r="AF373" i="7"/>
  <c r="AI373" i="7" s="1"/>
  <c r="AH373" i="7"/>
  <c r="AJ373" i="7"/>
  <c r="AF374" i="7"/>
  <c r="AI374" i="7" s="1"/>
  <c r="AH374" i="7"/>
  <c r="AJ374" i="7"/>
  <c r="AF375" i="7"/>
  <c r="AI375" i="7" s="1"/>
  <c r="AH375" i="7"/>
  <c r="AJ375" i="7"/>
  <c r="AF376" i="7"/>
  <c r="AI376" i="7" s="1"/>
  <c r="AH376" i="7"/>
  <c r="AJ376" i="7"/>
  <c r="AF377" i="7"/>
  <c r="AI377" i="7" s="1"/>
  <c r="AH377" i="7"/>
  <c r="AJ377" i="7"/>
  <c r="AF378" i="7"/>
  <c r="AI378" i="7" s="1"/>
  <c r="AH378" i="7"/>
  <c r="AJ378" i="7"/>
  <c r="AF379" i="7"/>
  <c r="AI379" i="7" s="1"/>
  <c r="AH379" i="7"/>
  <c r="AJ379" i="7"/>
  <c r="AF380" i="7"/>
  <c r="AI380" i="7" s="1"/>
  <c r="AH380" i="7"/>
  <c r="AJ380" i="7"/>
  <c r="AF381" i="7"/>
  <c r="AI381" i="7" s="1"/>
  <c r="AH381" i="7"/>
  <c r="AJ381" i="7"/>
  <c r="AF382" i="7"/>
  <c r="AI382" i="7" s="1"/>
  <c r="AH382" i="7"/>
  <c r="AJ382" i="7"/>
  <c r="AF389" i="7"/>
  <c r="AI389" i="7" s="1"/>
  <c r="AH389" i="7"/>
  <c r="AJ389" i="7"/>
  <c r="AF390" i="7"/>
  <c r="AI390" i="7" s="1"/>
  <c r="AH390" i="7"/>
  <c r="AJ390" i="7"/>
  <c r="AF391" i="7"/>
  <c r="AI391" i="7" s="1"/>
  <c r="AH391" i="7"/>
  <c r="AJ391" i="7"/>
  <c r="AF392" i="7"/>
  <c r="AI392" i="7" s="1"/>
  <c r="AH392" i="7"/>
  <c r="AJ392" i="7"/>
  <c r="AF393" i="7"/>
  <c r="AI393" i="7" s="1"/>
  <c r="AH393" i="7"/>
  <c r="AJ393" i="7"/>
  <c r="AF394" i="7"/>
  <c r="AI394" i="7" s="1"/>
  <c r="AH394" i="7"/>
  <c r="AJ394" i="7"/>
  <c r="AF395" i="7"/>
  <c r="AI395" i="7" s="1"/>
  <c r="AH395" i="7"/>
  <c r="AJ395" i="7"/>
  <c r="AF396" i="7"/>
  <c r="AI396" i="7" s="1"/>
  <c r="AH396" i="7"/>
  <c r="AJ396" i="7"/>
  <c r="AF397" i="7"/>
  <c r="AI397" i="7" s="1"/>
  <c r="AH397" i="7"/>
  <c r="AJ397" i="7"/>
  <c r="AF398" i="7"/>
  <c r="AI398" i="7" s="1"/>
  <c r="AH398" i="7"/>
  <c r="AJ398" i="7"/>
  <c r="AF399" i="7"/>
  <c r="AI399" i="7" s="1"/>
  <c r="AH399" i="7"/>
  <c r="AJ399" i="7"/>
  <c r="AF400" i="7"/>
  <c r="AI400" i="7" s="1"/>
  <c r="AH400" i="7"/>
  <c r="AJ400" i="7"/>
  <c r="AF401" i="7"/>
  <c r="AI401" i="7" s="1"/>
  <c r="AH401" i="7"/>
  <c r="AJ401" i="7"/>
  <c r="AF402" i="7"/>
  <c r="AI402" i="7" s="1"/>
  <c r="AH402" i="7"/>
  <c r="AJ402" i="7"/>
  <c r="AF403" i="7"/>
  <c r="AI403" i="7" s="1"/>
  <c r="AH403" i="7"/>
  <c r="AJ403" i="7"/>
  <c r="AF404" i="7"/>
  <c r="AI404" i="7" s="1"/>
  <c r="AH404" i="7"/>
  <c r="AJ404" i="7"/>
  <c r="AF405" i="7"/>
  <c r="AI405" i="7" s="1"/>
  <c r="AH405" i="7"/>
  <c r="AJ405" i="7"/>
  <c r="AF406" i="7"/>
  <c r="AI406" i="7" s="1"/>
  <c r="AH406" i="7"/>
  <c r="AJ406" i="7"/>
  <c r="AF407" i="7"/>
  <c r="AI407" i="7" s="1"/>
  <c r="AH407" i="7"/>
  <c r="AJ407" i="7"/>
  <c r="AF408" i="7"/>
  <c r="AI408" i="7" s="1"/>
  <c r="AH408" i="7"/>
  <c r="AJ408" i="7"/>
  <c r="AF409" i="7"/>
  <c r="AI409" i="7" s="1"/>
  <c r="AH409" i="7"/>
  <c r="AJ409" i="7"/>
  <c r="AF410" i="7"/>
  <c r="AI410" i="7" s="1"/>
  <c r="AH410" i="7"/>
  <c r="AJ410" i="7"/>
  <c r="AF411" i="7"/>
  <c r="AI411" i="7" s="1"/>
  <c r="AH411" i="7"/>
  <c r="AJ411" i="7"/>
  <c r="AF412" i="7"/>
  <c r="AI412" i="7" s="1"/>
  <c r="AH412" i="7"/>
  <c r="AJ412" i="7"/>
  <c r="AF413" i="7"/>
  <c r="AI413" i="7" s="1"/>
  <c r="AH413" i="7"/>
  <c r="AJ413" i="7"/>
  <c r="AF414" i="7"/>
  <c r="AI414" i="7" s="1"/>
  <c r="AH414" i="7"/>
  <c r="AJ414" i="7"/>
  <c r="AF415" i="7"/>
  <c r="AI415" i="7" s="1"/>
  <c r="AH415" i="7"/>
  <c r="AJ415" i="7"/>
  <c r="AF416" i="7"/>
  <c r="AI416" i="7" s="1"/>
  <c r="AH416" i="7"/>
  <c r="AJ416" i="7"/>
  <c r="AF417" i="7"/>
  <c r="AI417" i="7" s="1"/>
  <c r="AH417" i="7"/>
  <c r="AJ417" i="7"/>
  <c r="AF418" i="7"/>
  <c r="AI418" i="7" s="1"/>
  <c r="AH418" i="7"/>
  <c r="AJ418" i="7"/>
  <c r="AF419" i="7"/>
  <c r="AI419" i="7" s="1"/>
  <c r="AH419" i="7"/>
  <c r="AJ419" i="7"/>
  <c r="AF420" i="7"/>
  <c r="AI420" i="7" s="1"/>
  <c r="AH420" i="7"/>
  <c r="AJ420" i="7"/>
  <c r="AF421" i="7"/>
  <c r="AI421" i="7" s="1"/>
  <c r="AH421" i="7"/>
  <c r="AJ421" i="7"/>
  <c r="AF422" i="7"/>
  <c r="AI422" i="7" s="1"/>
  <c r="AH422" i="7"/>
  <c r="AJ422" i="7"/>
  <c r="AF423" i="7"/>
  <c r="AI423" i="7" s="1"/>
  <c r="AH423" i="7"/>
  <c r="AJ423" i="7"/>
  <c r="AF424" i="7"/>
  <c r="AI424" i="7" s="1"/>
  <c r="AH424" i="7"/>
  <c r="AJ424" i="7"/>
  <c r="AF425" i="7"/>
  <c r="AI425" i="7" s="1"/>
  <c r="AH425" i="7"/>
  <c r="AJ425" i="7"/>
  <c r="AF426" i="7"/>
  <c r="AI426" i="7" s="1"/>
  <c r="AH426" i="7"/>
  <c r="AJ426" i="7"/>
  <c r="AF427" i="7"/>
  <c r="AI427" i="7" s="1"/>
  <c r="AH427" i="7"/>
  <c r="AJ427" i="7"/>
  <c r="AF428" i="7"/>
  <c r="AI428" i="7" s="1"/>
  <c r="AH428" i="7"/>
  <c r="AJ428" i="7"/>
  <c r="AF429" i="7"/>
  <c r="AI429" i="7" s="1"/>
  <c r="AH429" i="7"/>
  <c r="AJ429" i="7"/>
  <c r="AF430" i="7"/>
  <c r="AI430" i="7" s="1"/>
  <c r="AH430" i="7"/>
  <c r="AJ430" i="7"/>
  <c r="AF431" i="7"/>
  <c r="AI431" i="7" s="1"/>
  <c r="AH431" i="7"/>
  <c r="AJ431" i="7"/>
  <c r="AF432" i="7"/>
  <c r="AI432" i="7" s="1"/>
  <c r="AH432" i="7"/>
  <c r="AJ432" i="7"/>
  <c r="AF433" i="7"/>
  <c r="AI433" i="7" s="1"/>
  <c r="AH433" i="7"/>
  <c r="AJ433" i="7"/>
  <c r="AF434" i="7"/>
  <c r="AI434" i="7" s="1"/>
  <c r="AH434" i="7"/>
  <c r="AJ434" i="7"/>
  <c r="AF435" i="7"/>
  <c r="AI435" i="7" s="1"/>
  <c r="AH435" i="7"/>
  <c r="AJ435" i="7"/>
  <c r="AF436" i="7"/>
  <c r="AI436" i="7" s="1"/>
  <c r="AH436" i="7"/>
  <c r="AJ436" i="7"/>
  <c r="AF437" i="7"/>
  <c r="AI437" i="7" s="1"/>
  <c r="AH437" i="7"/>
  <c r="AJ437" i="7"/>
  <c r="AF438" i="7"/>
  <c r="AI438" i="7" s="1"/>
  <c r="AH438" i="7"/>
  <c r="AJ438" i="7"/>
  <c r="AF439" i="7"/>
  <c r="AI439" i="7" s="1"/>
  <c r="AH439" i="7"/>
  <c r="AJ439" i="7"/>
  <c r="AF440" i="7"/>
  <c r="AI440" i="7" s="1"/>
  <c r="AH440" i="7"/>
  <c r="AJ440" i="7"/>
  <c r="AF441" i="7"/>
  <c r="AI441" i="7" s="1"/>
  <c r="AH441" i="7"/>
  <c r="AJ441" i="7"/>
  <c r="AF442" i="7"/>
  <c r="AI442" i="7" s="1"/>
  <c r="AH442" i="7"/>
  <c r="AJ442" i="7"/>
  <c r="AF443" i="7"/>
  <c r="AI443" i="7" s="1"/>
  <c r="AH443" i="7"/>
  <c r="AJ443" i="7"/>
  <c r="AF444" i="7"/>
  <c r="AI444" i="7" s="1"/>
  <c r="AH444" i="7"/>
  <c r="AJ444" i="7"/>
  <c r="AF445" i="7"/>
  <c r="AI445" i="7" s="1"/>
  <c r="AH445" i="7"/>
  <c r="AJ445" i="7"/>
  <c r="AF446" i="7"/>
  <c r="AI446" i="7" s="1"/>
  <c r="AH446" i="7"/>
  <c r="AJ446" i="7"/>
  <c r="AF447" i="7"/>
  <c r="AI447" i="7" s="1"/>
  <c r="AH447" i="7"/>
  <c r="AJ447" i="7"/>
  <c r="AF448" i="7"/>
  <c r="AI448" i="7" s="1"/>
  <c r="AH448" i="7"/>
  <c r="AJ448" i="7"/>
  <c r="AF453" i="7"/>
  <c r="AI453" i="7" s="1"/>
  <c r="AH453" i="7"/>
  <c r="AJ453" i="7"/>
  <c r="AF454" i="7"/>
  <c r="AI454" i="7" s="1"/>
  <c r="AH454" i="7"/>
  <c r="AJ454" i="7"/>
  <c r="AF455" i="7"/>
  <c r="AI455" i="7" s="1"/>
  <c r="AH455" i="7"/>
  <c r="AJ455" i="7"/>
  <c r="AF456" i="7"/>
  <c r="AI456" i="7" s="1"/>
  <c r="AH456" i="7"/>
  <c r="AJ456" i="7"/>
  <c r="AF457" i="7"/>
  <c r="AI457" i="7" s="1"/>
  <c r="AH457" i="7"/>
  <c r="AJ457" i="7"/>
  <c r="AF458" i="7"/>
  <c r="AI458" i="7" s="1"/>
  <c r="AH458" i="7"/>
  <c r="AJ458" i="7"/>
  <c r="AF459" i="7"/>
  <c r="AI459" i="7" s="1"/>
  <c r="AH459" i="7"/>
  <c r="AJ459" i="7"/>
  <c r="AF460" i="7"/>
  <c r="AI460" i="7" s="1"/>
  <c r="AH460" i="7"/>
  <c r="AJ460" i="7"/>
  <c r="AF461" i="7"/>
  <c r="AI461" i="7" s="1"/>
  <c r="AH461" i="7"/>
  <c r="AJ461" i="7"/>
  <c r="AF462" i="7"/>
  <c r="AI462" i="7" s="1"/>
  <c r="AH462" i="7"/>
  <c r="AJ462" i="7"/>
  <c r="AF463" i="7"/>
  <c r="AI463" i="7" s="1"/>
  <c r="AH463" i="7"/>
  <c r="AJ463" i="7"/>
  <c r="AF464" i="7"/>
  <c r="AI464" i="7" s="1"/>
  <c r="AH464" i="7"/>
  <c r="AJ464" i="7"/>
  <c r="AF465" i="7"/>
  <c r="AI465" i="7" s="1"/>
  <c r="AH465" i="7"/>
  <c r="AJ465" i="7"/>
  <c r="AF466" i="7"/>
  <c r="AI466" i="7" s="1"/>
  <c r="AH466" i="7"/>
  <c r="AJ466" i="7"/>
  <c r="AF467" i="7"/>
  <c r="AI467" i="7" s="1"/>
  <c r="AH467" i="7"/>
  <c r="AJ467" i="7"/>
  <c r="AF468" i="7"/>
  <c r="AI468" i="7" s="1"/>
  <c r="AH468" i="7"/>
  <c r="AJ468" i="7"/>
  <c r="AF469" i="7"/>
  <c r="AI469" i="7" s="1"/>
  <c r="AH469" i="7"/>
  <c r="AJ469" i="7"/>
  <c r="AF470" i="7"/>
  <c r="AI470" i="7" s="1"/>
  <c r="AH470" i="7"/>
  <c r="AJ470" i="7"/>
  <c r="AF471" i="7"/>
  <c r="AI471" i="7" s="1"/>
  <c r="AH471" i="7"/>
  <c r="AJ471" i="7"/>
  <c r="AF472" i="7"/>
  <c r="AI472" i="7" s="1"/>
  <c r="AH472" i="7"/>
  <c r="AJ472" i="7"/>
  <c r="AF473" i="7"/>
  <c r="AI473" i="7" s="1"/>
  <c r="AH473" i="7"/>
  <c r="AJ473" i="7"/>
  <c r="AF474" i="7"/>
  <c r="AI474" i="7" s="1"/>
  <c r="AH474" i="7"/>
  <c r="AJ474" i="7"/>
  <c r="AF475" i="7"/>
  <c r="AI475" i="7" s="1"/>
  <c r="AH475" i="7"/>
  <c r="AJ475" i="7"/>
  <c r="AF476" i="7"/>
  <c r="AI476" i="7" s="1"/>
  <c r="AH476" i="7"/>
  <c r="AJ476" i="7"/>
  <c r="AF477" i="7"/>
  <c r="AI477" i="7" s="1"/>
  <c r="AH477" i="7"/>
  <c r="AJ477" i="7"/>
  <c r="AF478" i="7"/>
  <c r="AI478" i="7" s="1"/>
  <c r="AH478" i="7"/>
  <c r="AJ478" i="7"/>
  <c r="AF479" i="7"/>
  <c r="AI479" i="7" s="1"/>
  <c r="AH479" i="7"/>
  <c r="AJ479" i="7"/>
  <c r="AF480" i="7"/>
  <c r="AI480" i="7" s="1"/>
  <c r="AH480" i="7"/>
  <c r="AJ480" i="7"/>
  <c r="AF481" i="7"/>
  <c r="AI481" i="7" s="1"/>
  <c r="AH481" i="7"/>
  <c r="AJ481" i="7"/>
  <c r="AF482" i="7"/>
  <c r="AI482" i="7" s="1"/>
  <c r="AH482" i="7"/>
  <c r="AJ482" i="7"/>
  <c r="AF483" i="7"/>
  <c r="AI483" i="7" s="1"/>
  <c r="AH483" i="7"/>
  <c r="AJ483" i="7"/>
  <c r="AF484" i="7"/>
  <c r="AI484" i="7" s="1"/>
  <c r="AH484" i="7"/>
  <c r="AJ484" i="7"/>
  <c r="AF485" i="7"/>
  <c r="AI485" i="7" s="1"/>
  <c r="AH485" i="7"/>
  <c r="AJ485" i="7"/>
  <c r="AF486" i="7"/>
  <c r="AI486" i="7" s="1"/>
  <c r="AH486" i="7"/>
  <c r="AJ486" i="7"/>
  <c r="AF487" i="7"/>
  <c r="AI487" i="7" s="1"/>
  <c r="AH487" i="7"/>
  <c r="AJ487" i="7"/>
  <c r="AF488" i="7"/>
  <c r="AI488" i="7" s="1"/>
  <c r="AH488" i="7"/>
  <c r="AJ488" i="7"/>
  <c r="AF489" i="7"/>
  <c r="AI489" i="7" s="1"/>
  <c r="AH489" i="7"/>
  <c r="AJ489" i="7"/>
  <c r="AF490" i="7"/>
  <c r="AI490" i="7" s="1"/>
  <c r="AH490" i="7"/>
  <c r="AJ490" i="7"/>
  <c r="AF491" i="7"/>
  <c r="AI491" i="7" s="1"/>
  <c r="AH491" i="7"/>
  <c r="AJ491" i="7"/>
  <c r="AF492" i="7"/>
  <c r="AI492" i="7" s="1"/>
  <c r="AH492" i="7"/>
  <c r="AJ492" i="7"/>
  <c r="AF493" i="7"/>
  <c r="AI493" i="7" s="1"/>
  <c r="AH493" i="7"/>
  <c r="AJ493" i="7"/>
  <c r="AF494" i="7"/>
  <c r="AI494" i="7" s="1"/>
  <c r="AH494" i="7"/>
  <c r="AJ494" i="7"/>
  <c r="AF495" i="7"/>
  <c r="AI495" i="7" s="1"/>
  <c r="AH495" i="7"/>
  <c r="AJ495" i="7"/>
  <c r="AF496" i="7"/>
  <c r="AI496" i="7" s="1"/>
  <c r="AH496" i="7"/>
  <c r="AJ496" i="7"/>
  <c r="AF497" i="7"/>
  <c r="AI497" i="7" s="1"/>
  <c r="AH497" i="7"/>
  <c r="AJ497" i="7"/>
  <c r="AF498" i="7"/>
  <c r="AI498" i="7" s="1"/>
  <c r="AH498" i="7"/>
  <c r="AJ498" i="7"/>
  <c r="AF499" i="7"/>
  <c r="AI499" i="7" s="1"/>
  <c r="AH499" i="7"/>
  <c r="AJ499" i="7"/>
  <c r="AF500" i="7"/>
  <c r="AI500" i="7" s="1"/>
  <c r="AH500" i="7"/>
  <c r="AJ500" i="7"/>
  <c r="AF501" i="7"/>
  <c r="AI501" i="7" s="1"/>
  <c r="AH501" i="7"/>
  <c r="AJ501" i="7"/>
  <c r="AF502" i="7"/>
  <c r="AI502" i="7" s="1"/>
  <c r="AH502" i="7"/>
  <c r="AJ502" i="7"/>
  <c r="AF503" i="7"/>
  <c r="AI503" i="7" s="1"/>
  <c r="AH503" i="7"/>
  <c r="AJ503" i="7"/>
  <c r="AF504" i="7"/>
  <c r="AI504" i="7" s="1"/>
  <c r="AH504" i="7"/>
  <c r="AJ504" i="7"/>
  <c r="AF505" i="7"/>
  <c r="AI505" i="7" s="1"/>
  <c r="AH505" i="7"/>
  <c r="AJ505" i="7"/>
  <c r="AF506" i="7"/>
  <c r="AI506" i="7" s="1"/>
  <c r="AH506" i="7"/>
  <c r="AJ506" i="7"/>
  <c r="AF507" i="7"/>
  <c r="AI507" i="7" s="1"/>
  <c r="AH507" i="7"/>
  <c r="AJ507" i="7"/>
  <c r="AF508" i="7"/>
  <c r="AI508" i="7" s="1"/>
  <c r="AH508" i="7"/>
  <c r="AJ508" i="7"/>
  <c r="AF509" i="7"/>
  <c r="AI509" i="7" s="1"/>
  <c r="AH509" i="7"/>
  <c r="AJ509" i="7"/>
  <c r="AF510" i="7"/>
  <c r="AI510" i="7" s="1"/>
  <c r="AH510" i="7"/>
  <c r="AJ510" i="7"/>
  <c r="AF511" i="7"/>
  <c r="AI511" i="7" s="1"/>
  <c r="AH511" i="7"/>
  <c r="AJ511" i="7"/>
  <c r="AF512" i="7"/>
  <c r="AI512" i="7" s="1"/>
  <c r="AH512" i="7"/>
  <c r="AJ512" i="7"/>
  <c r="AF513" i="7"/>
  <c r="AI513" i="7" s="1"/>
  <c r="AH513" i="7"/>
  <c r="AJ513" i="7"/>
  <c r="AF514" i="7"/>
  <c r="AI514" i="7" s="1"/>
  <c r="AH514" i="7"/>
  <c r="AJ514" i="7"/>
  <c r="AF519" i="7"/>
  <c r="AI519" i="7" s="1"/>
  <c r="AH519" i="7"/>
  <c r="AJ519" i="7"/>
  <c r="AF520" i="7"/>
  <c r="AI520" i="7" s="1"/>
  <c r="AH520" i="7"/>
  <c r="AJ520" i="7"/>
  <c r="AF521" i="7"/>
  <c r="AI521" i="7" s="1"/>
  <c r="AH521" i="7"/>
  <c r="AJ521" i="7"/>
  <c r="AF526" i="7"/>
  <c r="AI526" i="7" s="1"/>
  <c r="AH526" i="7"/>
  <c r="AJ526" i="7"/>
  <c r="AF527" i="7"/>
  <c r="AI527" i="7" s="1"/>
  <c r="AH527" i="7"/>
  <c r="AJ527" i="7"/>
  <c r="AF528" i="7"/>
  <c r="AI528" i="7" s="1"/>
  <c r="AH528" i="7"/>
  <c r="AJ528" i="7"/>
  <c r="AF529" i="7"/>
  <c r="AI529" i="7" s="1"/>
  <c r="AH529" i="7"/>
  <c r="AJ529" i="7"/>
  <c r="AF530" i="7"/>
  <c r="AI530" i="7" s="1"/>
  <c r="AH530" i="7"/>
  <c r="AJ530" i="7"/>
  <c r="AF531" i="7"/>
  <c r="AI531" i="7" s="1"/>
  <c r="AH531" i="7"/>
  <c r="AJ531" i="7"/>
  <c r="AF532" i="7"/>
  <c r="AI532" i="7" s="1"/>
  <c r="AH532" i="7"/>
  <c r="AJ532" i="7"/>
  <c r="AF533" i="7"/>
  <c r="AI533" i="7" s="1"/>
  <c r="AH533" i="7"/>
  <c r="AJ533" i="7"/>
  <c r="AF534" i="7"/>
  <c r="AI534" i="7" s="1"/>
  <c r="AH534" i="7"/>
  <c r="AJ534" i="7"/>
  <c r="AF535" i="7"/>
  <c r="AI535" i="7" s="1"/>
  <c r="AH535" i="7"/>
  <c r="AJ535" i="7"/>
  <c r="AF536" i="7"/>
  <c r="AI536" i="7" s="1"/>
  <c r="AH536" i="7"/>
  <c r="AJ536" i="7"/>
  <c r="AF537" i="7"/>
  <c r="AI537" i="7" s="1"/>
  <c r="AH537" i="7"/>
  <c r="AJ537" i="7"/>
  <c r="AF538" i="7"/>
  <c r="AI538" i="7" s="1"/>
  <c r="AH538" i="7"/>
  <c r="AJ538" i="7"/>
  <c r="AF539" i="7"/>
  <c r="AI539" i="7" s="1"/>
  <c r="AH539" i="7"/>
  <c r="AJ539" i="7"/>
  <c r="AF540" i="7"/>
  <c r="AI540" i="7" s="1"/>
  <c r="AH540" i="7"/>
  <c r="AJ540" i="7"/>
  <c r="AF541" i="7"/>
  <c r="AI541" i="7" s="1"/>
  <c r="AH541" i="7"/>
  <c r="AJ541" i="7"/>
  <c r="AF542" i="7"/>
  <c r="AI542" i="7" s="1"/>
  <c r="AH542" i="7"/>
  <c r="AJ542" i="7"/>
  <c r="AF543" i="7"/>
  <c r="AI543" i="7" s="1"/>
  <c r="AH543" i="7"/>
  <c r="AJ543" i="7"/>
  <c r="AF544" i="7"/>
  <c r="AI544" i="7" s="1"/>
  <c r="AH544" i="7"/>
  <c r="AJ544" i="7"/>
  <c r="AF545" i="7"/>
  <c r="AI545" i="7" s="1"/>
  <c r="AH545" i="7"/>
  <c r="AJ545" i="7"/>
  <c r="AF546" i="7"/>
  <c r="AI546" i="7" s="1"/>
  <c r="AH546" i="7"/>
  <c r="AJ546" i="7"/>
  <c r="AF547" i="7"/>
  <c r="AI547" i="7" s="1"/>
  <c r="AH547" i="7"/>
  <c r="AJ547" i="7"/>
  <c r="AF548" i="7"/>
  <c r="AI548" i="7" s="1"/>
  <c r="AH548" i="7"/>
  <c r="AJ548" i="7"/>
  <c r="AF549" i="7"/>
  <c r="AI549" i="7" s="1"/>
  <c r="AH549" i="7"/>
  <c r="AJ549" i="7"/>
  <c r="AF550" i="7"/>
  <c r="AI550" i="7" s="1"/>
  <c r="AH550" i="7"/>
  <c r="AJ550" i="7"/>
  <c r="AF551" i="7"/>
  <c r="AI551" i="7" s="1"/>
  <c r="AH551" i="7"/>
  <c r="AJ551" i="7"/>
  <c r="AF552" i="7"/>
  <c r="AI552" i="7" s="1"/>
  <c r="AH552" i="7"/>
  <c r="AJ552" i="7"/>
  <c r="AF553" i="7"/>
  <c r="AI553" i="7" s="1"/>
  <c r="AH553" i="7"/>
  <c r="AJ553" i="7"/>
  <c r="AF554" i="7"/>
  <c r="AI554" i="7" s="1"/>
  <c r="AH554" i="7"/>
  <c r="AJ554" i="7"/>
  <c r="AF555" i="7"/>
  <c r="AI555" i="7" s="1"/>
  <c r="AH555" i="7"/>
  <c r="AJ555" i="7"/>
  <c r="AF556" i="7"/>
  <c r="AI556" i="7" s="1"/>
  <c r="AH556" i="7"/>
  <c r="AJ556" i="7"/>
  <c r="AF557" i="7"/>
  <c r="AI557" i="7" s="1"/>
  <c r="AH557" i="7"/>
  <c r="AJ557" i="7"/>
  <c r="AF558" i="7"/>
  <c r="AI558" i="7" s="1"/>
  <c r="AH558" i="7"/>
  <c r="AJ558" i="7"/>
  <c r="AF559" i="7"/>
  <c r="AI559" i="7" s="1"/>
  <c r="AH559" i="7"/>
  <c r="AJ559" i="7"/>
  <c r="AF560" i="7"/>
  <c r="AI560" i="7" s="1"/>
  <c r="AH560" i="7"/>
  <c r="AJ560" i="7"/>
  <c r="AF561" i="7"/>
  <c r="AI561" i="7" s="1"/>
  <c r="AH561" i="7"/>
  <c r="AJ561" i="7"/>
  <c r="AF562" i="7"/>
  <c r="AI562" i="7" s="1"/>
  <c r="AH562" i="7"/>
  <c r="AJ562" i="7"/>
  <c r="AF563" i="7"/>
  <c r="AI563" i="7" s="1"/>
  <c r="AH563" i="7"/>
  <c r="AJ563" i="7"/>
  <c r="AF564" i="7"/>
  <c r="AI564" i="7" s="1"/>
  <c r="AH564" i="7"/>
  <c r="AJ564" i="7"/>
  <c r="AF565" i="7"/>
  <c r="AI565" i="7" s="1"/>
  <c r="AH565" i="7"/>
  <c r="AJ565" i="7"/>
  <c r="AF566" i="7"/>
  <c r="AI566" i="7" s="1"/>
  <c r="AH566" i="7"/>
  <c r="AJ566" i="7"/>
  <c r="AF567" i="7"/>
  <c r="AI567" i="7" s="1"/>
  <c r="AH567" i="7"/>
  <c r="AJ567" i="7"/>
  <c r="AF568" i="7"/>
  <c r="AI568" i="7" s="1"/>
  <c r="AH568" i="7"/>
  <c r="AJ568" i="7"/>
  <c r="AF569" i="7"/>
  <c r="AI569" i="7" s="1"/>
  <c r="AH569" i="7"/>
  <c r="AJ569" i="7"/>
  <c r="AF570" i="7"/>
  <c r="AI570" i="7" s="1"/>
  <c r="AH570" i="7"/>
  <c r="AJ570" i="7"/>
  <c r="AF571" i="7"/>
  <c r="AI571" i="7" s="1"/>
  <c r="AH571" i="7"/>
  <c r="AJ571" i="7"/>
  <c r="AF572" i="7"/>
  <c r="AI572" i="7" s="1"/>
  <c r="AH572" i="7"/>
  <c r="AJ572" i="7"/>
  <c r="AF573" i="7"/>
  <c r="AI573" i="7" s="1"/>
  <c r="AH573" i="7"/>
  <c r="AJ573" i="7"/>
  <c r="AF574" i="7"/>
  <c r="AI574" i="7" s="1"/>
  <c r="AH574" i="7"/>
  <c r="AJ574" i="7"/>
  <c r="AF575" i="7"/>
  <c r="AI575" i="7" s="1"/>
  <c r="AH575" i="7"/>
  <c r="AJ575" i="7"/>
  <c r="AF576" i="7"/>
  <c r="AI576" i="7" s="1"/>
  <c r="AH576" i="7"/>
  <c r="AJ576" i="7"/>
  <c r="AF577" i="7"/>
  <c r="AI577" i="7" s="1"/>
  <c r="AH577" i="7"/>
  <c r="AJ577" i="7"/>
  <c r="AF578" i="7"/>
  <c r="AI578" i="7" s="1"/>
  <c r="AH578" i="7"/>
  <c r="AJ578" i="7"/>
  <c r="AF579" i="7"/>
  <c r="AI579" i="7" s="1"/>
  <c r="AH579" i="7"/>
  <c r="AJ579" i="7"/>
  <c r="AF580" i="7"/>
  <c r="AI580" i="7" s="1"/>
  <c r="AH580" i="7"/>
  <c r="AJ580" i="7"/>
  <c r="AF581" i="7"/>
  <c r="AI581" i="7" s="1"/>
  <c r="AH581" i="7"/>
  <c r="AJ581" i="7"/>
  <c r="AF582" i="7"/>
  <c r="AI582" i="7" s="1"/>
  <c r="AH582" i="7"/>
  <c r="AJ582" i="7"/>
  <c r="AF583" i="7"/>
  <c r="AI583" i="7" s="1"/>
  <c r="AH583" i="7"/>
  <c r="AJ583" i="7"/>
  <c r="AF584" i="7"/>
  <c r="AI584" i="7" s="1"/>
  <c r="AH584" i="7"/>
  <c r="AJ584" i="7"/>
  <c r="AF585" i="7"/>
  <c r="AI585" i="7" s="1"/>
  <c r="AH585" i="7"/>
  <c r="AJ585" i="7"/>
  <c r="AF586" i="7"/>
  <c r="AI586" i="7" s="1"/>
  <c r="AH586" i="7"/>
  <c r="AJ586" i="7"/>
  <c r="AF587" i="7"/>
  <c r="AI587" i="7" s="1"/>
  <c r="AH587" i="7"/>
  <c r="AJ587" i="7"/>
  <c r="AF592" i="7"/>
  <c r="AI592" i="7" s="1"/>
  <c r="AH592" i="7"/>
  <c r="AJ592" i="7"/>
  <c r="AF593" i="7"/>
  <c r="AI593" i="7" s="1"/>
  <c r="AH593" i="7"/>
  <c r="AJ593" i="7"/>
  <c r="AF594" i="7"/>
  <c r="AI594" i="7" s="1"/>
  <c r="AH594" i="7"/>
  <c r="AJ594" i="7"/>
  <c r="AF595" i="7"/>
  <c r="AI595" i="7" s="1"/>
  <c r="AH595" i="7"/>
  <c r="AJ595" i="7"/>
  <c r="AF596" i="7"/>
  <c r="AI596" i="7" s="1"/>
  <c r="AH596" i="7"/>
  <c r="AJ596" i="7"/>
  <c r="AF597" i="7"/>
  <c r="AI597" i="7" s="1"/>
  <c r="AH597" i="7"/>
  <c r="AJ597" i="7"/>
  <c r="AF598" i="7"/>
  <c r="AI598" i="7" s="1"/>
  <c r="AH598" i="7"/>
  <c r="AJ598" i="7"/>
  <c r="AF599" i="7"/>
  <c r="AI599" i="7" s="1"/>
  <c r="AH599" i="7"/>
  <c r="AJ599" i="7"/>
  <c r="AF600" i="7"/>
  <c r="AI600" i="7" s="1"/>
  <c r="AH600" i="7"/>
  <c r="AJ600" i="7"/>
  <c r="AF601" i="7"/>
  <c r="AI601" i="7" s="1"/>
  <c r="AH601" i="7"/>
  <c r="AJ601" i="7"/>
  <c r="AF602" i="7"/>
  <c r="AI602" i="7" s="1"/>
  <c r="AH602" i="7"/>
  <c r="AJ602" i="7"/>
  <c r="AF603" i="7"/>
  <c r="AI603" i="7" s="1"/>
  <c r="AH603" i="7"/>
  <c r="AJ603" i="7"/>
  <c r="AF604" i="7"/>
  <c r="AI604" i="7" s="1"/>
  <c r="AH604" i="7"/>
  <c r="AJ604" i="7"/>
  <c r="AF605" i="7"/>
  <c r="AI605" i="7" s="1"/>
  <c r="AH605" i="7"/>
  <c r="AJ605" i="7"/>
  <c r="AF606" i="7"/>
  <c r="AI606" i="7" s="1"/>
  <c r="AH606" i="7"/>
  <c r="AJ606" i="7"/>
  <c r="AF607" i="7"/>
  <c r="AI607" i="7" s="1"/>
  <c r="AH607" i="7"/>
  <c r="AJ607" i="7"/>
  <c r="AF608" i="7"/>
  <c r="AI608" i="7" s="1"/>
  <c r="AH608" i="7"/>
  <c r="AJ608" i="7"/>
  <c r="AF609" i="7"/>
  <c r="AI609" i="7" s="1"/>
  <c r="AH609" i="7"/>
  <c r="AJ609" i="7"/>
  <c r="AF610" i="7"/>
  <c r="AI610" i="7" s="1"/>
  <c r="AH610" i="7"/>
  <c r="AJ610" i="7"/>
  <c r="AF611" i="7"/>
  <c r="AI611" i="7" s="1"/>
  <c r="AH611" i="7"/>
  <c r="AJ611" i="7"/>
  <c r="AF612" i="7"/>
  <c r="AI612" i="7" s="1"/>
  <c r="AH612" i="7"/>
  <c r="AJ612" i="7"/>
  <c r="AF613" i="7"/>
  <c r="AI613" i="7" s="1"/>
  <c r="AH613" i="7"/>
  <c r="AJ613" i="7"/>
  <c r="AF614" i="7"/>
  <c r="AI614" i="7" s="1"/>
  <c r="AH614" i="7"/>
  <c r="AJ614" i="7"/>
  <c r="AF615" i="7"/>
  <c r="AI615" i="7" s="1"/>
  <c r="AH615" i="7"/>
  <c r="AJ615" i="7"/>
  <c r="AF616" i="7"/>
  <c r="AI616" i="7" s="1"/>
  <c r="AH616" i="7"/>
  <c r="AJ616" i="7"/>
  <c r="AF617" i="7"/>
  <c r="AI617" i="7" s="1"/>
  <c r="AH617" i="7"/>
  <c r="AJ617" i="7"/>
  <c r="AF618" i="7"/>
  <c r="AI618" i="7" s="1"/>
  <c r="AH618" i="7"/>
  <c r="AJ618" i="7"/>
  <c r="AF619" i="7"/>
  <c r="AI619" i="7" s="1"/>
  <c r="AH619" i="7"/>
  <c r="AJ619" i="7"/>
  <c r="AF620" i="7"/>
  <c r="AI620" i="7" s="1"/>
  <c r="AH620" i="7"/>
  <c r="AJ620" i="7"/>
  <c r="AF621" i="7"/>
  <c r="AI621" i="7" s="1"/>
  <c r="AH621" i="7"/>
  <c r="AJ621" i="7"/>
  <c r="AF622" i="7"/>
  <c r="AI622" i="7" s="1"/>
  <c r="AH622" i="7"/>
  <c r="AJ622" i="7"/>
  <c r="AF623" i="7"/>
  <c r="AI623" i="7" s="1"/>
  <c r="AH623" i="7"/>
  <c r="AJ623" i="7"/>
  <c r="AF624" i="7"/>
  <c r="AI624" i="7" s="1"/>
  <c r="AH624" i="7"/>
  <c r="AJ624" i="7"/>
  <c r="AF625" i="7"/>
  <c r="AI625" i="7" s="1"/>
  <c r="AH625" i="7"/>
  <c r="AJ625" i="7"/>
  <c r="AF626" i="7"/>
  <c r="AI626" i="7" s="1"/>
  <c r="AH626" i="7"/>
  <c r="AJ626" i="7"/>
  <c r="AF627" i="7"/>
  <c r="AI627" i="7" s="1"/>
  <c r="AH627" i="7"/>
  <c r="AJ627" i="7"/>
  <c r="AF628" i="7"/>
  <c r="AI628" i="7" s="1"/>
  <c r="AH628" i="7"/>
  <c r="AJ628" i="7"/>
  <c r="AF629" i="7"/>
  <c r="AI629" i="7" s="1"/>
  <c r="AH629" i="7"/>
  <c r="AJ629" i="7"/>
  <c r="AF630" i="7"/>
  <c r="AI630" i="7" s="1"/>
  <c r="AH630" i="7"/>
  <c r="AJ630" i="7"/>
  <c r="AF631" i="7"/>
  <c r="AI631" i="7" s="1"/>
  <c r="AH631" i="7"/>
  <c r="AJ631" i="7"/>
  <c r="AF632" i="7"/>
  <c r="AI632" i="7" s="1"/>
  <c r="AH632" i="7"/>
  <c r="AJ632" i="7"/>
  <c r="AF633" i="7"/>
  <c r="AI633" i="7" s="1"/>
  <c r="AH633" i="7"/>
  <c r="AJ633" i="7"/>
  <c r="AF634" i="7"/>
  <c r="AI634" i="7" s="1"/>
  <c r="AH634" i="7"/>
  <c r="AJ634" i="7"/>
  <c r="AF635" i="7"/>
  <c r="AI635" i="7" s="1"/>
  <c r="AH635" i="7"/>
  <c r="AJ635" i="7"/>
  <c r="AF636" i="7"/>
  <c r="AI636" i="7" s="1"/>
  <c r="AH636" i="7"/>
  <c r="AJ636" i="7"/>
  <c r="AF637" i="7"/>
  <c r="AI637" i="7" s="1"/>
  <c r="AH637" i="7"/>
  <c r="AJ637" i="7"/>
  <c r="AF638" i="7"/>
  <c r="AI638" i="7" s="1"/>
  <c r="AH638" i="7"/>
  <c r="AJ638" i="7"/>
  <c r="AF639" i="7"/>
  <c r="AI639" i="7" s="1"/>
  <c r="AH639" i="7"/>
  <c r="AJ639" i="7"/>
  <c r="AF640" i="7"/>
  <c r="AI640" i="7" s="1"/>
  <c r="AH640" i="7"/>
  <c r="AJ640" i="7"/>
  <c r="AF641" i="7"/>
  <c r="AI641" i="7" s="1"/>
  <c r="AH641" i="7"/>
  <c r="AJ641" i="7"/>
  <c r="AF642" i="7"/>
  <c r="AI642" i="7" s="1"/>
  <c r="AH642" i="7"/>
  <c r="AJ642" i="7"/>
  <c r="AF643" i="7"/>
  <c r="AI643" i="7" s="1"/>
  <c r="AH643" i="7"/>
  <c r="AJ643" i="7"/>
  <c r="AF644" i="7"/>
  <c r="AI644" i="7" s="1"/>
  <c r="AH644" i="7"/>
  <c r="AJ644" i="7"/>
  <c r="AF645" i="7"/>
  <c r="AI645" i="7" s="1"/>
  <c r="AH645" i="7"/>
  <c r="AJ645" i="7"/>
  <c r="AF646" i="7"/>
  <c r="AI646" i="7" s="1"/>
  <c r="AH646" i="7"/>
  <c r="AJ646" i="7"/>
  <c r="AF647" i="7"/>
  <c r="AI647" i="7" s="1"/>
  <c r="AH647" i="7"/>
  <c r="AJ647" i="7"/>
  <c r="AF648" i="7"/>
  <c r="AI648" i="7" s="1"/>
  <c r="AH648" i="7"/>
  <c r="AJ648" i="7"/>
  <c r="AF649" i="7"/>
  <c r="AI649" i="7" s="1"/>
  <c r="AH649" i="7"/>
  <c r="AJ649" i="7"/>
  <c r="AF650" i="7"/>
  <c r="AI650" i="7" s="1"/>
  <c r="AH650" i="7"/>
  <c r="AJ650" i="7"/>
  <c r="AF651" i="7"/>
  <c r="AI651" i="7" s="1"/>
  <c r="AH651" i="7"/>
  <c r="AJ651" i="7"/>
  <c r="AF652" i="7"/>
  <c r="AI652" i="7" s="1"/>
  <c r="AH652" i="7"/>
  <c r="AJ652" i="7"/>
  <c r="AF653" i="7"/>
  <c r="AI653" i="7" s="1"/>
  <c r="AH653" i="7"/>
  <c r="AJ653" i="7"/>
  <c r="AF658" i="7"/>
  <c r="AI658" i="7" s="1"/>
  <c r="AH658" i="7"/>
  <c r="AJ658" i="7"/>
  <c r="AF659" i="7"/>
  <c r="AI659" i="7" s="1"/>
  <c r="AH659" i="7"/>
  <c r="AJ659" i="7"/>
  <c r="AF660" i="7"/>
  <c r="AI660" i="7" s="1"/>
  <c r="AH660" i="7"/>
  <c r="AJ660" i="7"/>
  <c r="AF661" i="7"/>
  <c r="AI661" i="7" s="1"/>
  <c r="AH661" i="7"/>
  <c r="AJ661" i="7"/>
  <c r="AF662" i="7"/>
  <c r="AI662" i="7" s="1"/>
  <c r="AH662" i="7"/>
  <c r="AJ662" i="7"/>
  <c r="AF663" i="7"/>
  <c r="AI663" i="7" s="1"/>
  <c r="AH663" i="7"/>
  <c r="AJ663" i="7"/>
  <c r="AF664" i="7"/>
  <c r="AI664" i="7" s="1"/>
  <c r="AH664" i="7"/>
  <c r="AJ664" i="7"/>
  <c r="AF665" i="7"/>
  <c r="AI665" i="7" s="1"/>
  <c r="AH665" i="7"/>
  <c r="AJ665" i="7"/>
  <c r="AF666" i="7"/>
  <c r="AI666" i="7" s="1"/>
  <c r="AH666" i="7"/>
  <c r="AJ666" i="7"/>
  <c r="AF667" i="7"/>
  <c r="AI667" i="7" s="1"/>
  <c r="AH667" i="7"/>
  <c r="AJ667" i="7"/>
  <c r="AF668" i="7"/>
  <c r="AI668" i="7" s="1"/>
  <c r="AH668" i="7"/>
  <c r="AJ668" i="7"/>
  <c r="AF669" i="7"/>
  <c r="AI669" i="7" s="1"/>
  <c r="AH669" i="7"/>
  <c r="AJ669" i="7"/>
  <c r="AF670" i="7"/>
  <c r="AI670" i="7" s="1"/>
  <c r="AH670" i="7"/>
  <c r="AJ670" i="7"/>
  <c r="AF671" i="7"/>
  <c r="AI671" i="7" s="1"/>
  <c r="AH671" i="7"/>
  <c r="AJ671" i="7"/>
  <c r="AF672" i="7"/>
  <c r="AI672" i="7" s="1"/>
  <c r="AH672" i="7"/>
  <c r="AJ672" i="7"/>
  <c r="AF673" i="7"/>
  <c r="AI673" i="7" s="1"/>
  <c r="AH673" i="7"/>
  <c r="AJ673" i="7"/>
  <c r="AF674" i="7"/>
  <c r="AI674" i="7" s="1"/>
  <c r="AH674" i="7"/>
  <c r="AJ674" i="7"/>
  <c r="AF675" i="7"/>
  <c r="AI675" i="7" s="1"/>
  <c r="AH675" i="7"/>
  <c r="AJ675" i="7"/>
  <c r="AF676" i="7"/>
  <c r="AI676" i="7" s="1"/>
  <c r="AH676" i="7"/>
  <c r="AJ676" i="7"/>
  <c r="AF677" i="7"/>
  <c r="AI677" i="7" s="1"/>
  <c r="AH677" i="7"/>
  <c r="AJ677" i="7"/>
  <c r="AF678" i="7"/>
  <c r="AI678" i="7" s="1"/>
  <c r="AH678" i="7"/>
  <c r="AJ678" i="7"/>
  <c r="AF679" i="7"/>
  <c r="AI679" i="7" s="1"/>
  <c r="AH679" i="7"/>
  <c r="AJ679" i="7"/>
  <c r="AF680" i="7"/>
  <c r="AI680" i="7" s="1"/>
  <c r="AH680" i="7"/>
  <c r="AJ680" i="7"/>
  <c r="AF681" i="7"/>
  <c r="AI681" i="7" s="1"/>
  <c r="AH681" i="7"/>
  <c r="AJ681" i="7"/>
  <c r="AF682" i="7"/>
  <c r="AI682" i="7" s="1"/>
  <c r="AH682" i="7"/>
  <c r="AJ682" i="7"/>
  <c r="AF683" i="7"/>
  <c r="AI683" i="7" s="1"/>
  <c r="AH683" i="7"/>
  <c r="AJ683" i="7"/>
  <c r="AF684" i="7"/>
  <c r="AI684" i="7" s="1"/>
  <c r="AH684" i="7"/>
  <c r="AJ684" i="7"/>
  <c r="AF685" i="7"/>
  <c r="AI685" i="7" s="1"/>
  <c r="AH685" i="7"/>
  <c r="AJ685" i="7"/>
  <c r="AF686" i="7"/>
  <c r="AI686" i="7" s="1"/>
  <c r="AH686" i="7"/>
  <c r="AJ686" i="7"/>
  <c r="AF687" i="7"/>
  <c r="AI687" i="7" s="1"/>
  <c r="AH687" i="7"/>
  <c r="AJ687" i="7"/>
  <c r="AF688" i="7"/>
  <c r="AI688" i="7" s="1"/>
  <c r="AH688" i="7"/>
  <c r="AJ688" i="7"/>
  <c r="AF689" i="7"/>
  <c r="AI689" i="7" s="1"/>
  <c r="AH689" i="7"/>
  <c r="AJ689" i="7"/>
  <c r="AF690" i="7"/>
  <c r="AI690" i="7" s="1"/>
  <c r="AH690" i="7"/>
  <c r="AJ690" i="7"/>
  <c r="AF691" i="7"/>
  <c r="AI691" i="7" s="1"/>
  <c r="AH691" i="7"/>
  <c r="AJ691" i="7"/>
  <c r="AF692" i="7"/>
  <c r="AI692" i="7" s="1"/>
  <c r="AH692" i="7"/>
  <c r="AJ692" i="7"/>
  <c r="AF693" i="7"/>
  <c r="AI693" i="7" s="1"/>
  <c r="AH693" i="7"/>
  <c r="AJ693" i="7"/>
  <c r="AF694" i="7"/>
  <c r="AI694" i="7" s="1"/>
  <c r="AH694" i="7"/>
  <c r="AJ694" i="7"/>
  <c r="AF695" i="7"/>
  <c r="AI695" i="7" s="1"/>
  <c r="AH695" i="7"/>
  <c r="AJ695" i="7"/>
  <c r="AF696" i="7"/>
  <c r="AI696" i="7" s="1"/>
  <c r="AH696" i="7"/>
  <c r="AJ696" i="7"/>
  <c r="AF697" i="7"/>
  <c r="AI697" i="7" s="1"/>
  <c r="AH697" i="7"/>
  <c r="AJ697" i="7"/>
  <c r="AF698" i="7"/>
  <c r="AI698" i="7" s="1"/>
  <c r="AH698" i="7"/>
  <c r="AJ698" i="7"/>
  <c r="AF699" i="7"/>
  <c r="AI699" i="7" s="1"/>
  <c r="AH699" i="7"/>
  <c r="AJ699" i="7"/>
  <c r="AF700" i="7"/>
  <c r="AI700" i="7" s="1"/>
  <c r="AH700" i="7"/>
  <c r="AJ700" i="7"/>
  <c r="AF701" i="7"/>
  <c r="AI701" i="7" s="1"/>
  <c r="AH701" i="7"/>
  <c r="AJ701" i="7"/>
  <c r="AF702" i="7"/>
  <c r="AI702" i="7" s="1"/>
  <c r="AH702" i="7"/>
  <c r="AJ702" i="7"/>
  <c r="AF703" i="7"/>
  <c r="AI703" i="7" s="1"/>
  <c r="AH703" i="7"/>
  <c r="AJ703" i="7"/>
  <c r="AF704" i="7"/>
  <c r="AI704" i="7" s="1"/>
  <c r="AH704" i="7"/>
  <c r="AJ704" i="7"/>
  <c r="AF705" i="7"/>
  <c r="AI705" i="7" s="1"/>
  <c r="AH705" i="7"/>
  <c r="AJ705" i="7"/>
  <c r="AF706" i="7"/>
  <c r="AI706" i="7" s="1"/>
  <c r="AH706" i="7"/>
  <c r="AJ706" i="7"/>
  <c r="AF707" i="7"/>
  <c r="AI707" i="7" s="1"/>
  <c r="AH707" i="7"/>
  <c r="AJ707" i="7"/>
  <c r="AF708" i="7"/>
  <c r="AI708" i="7" s="1"/>
  <c r="AH708" i="7"/>
  <c r="AJ708" i="7"/>
  <c r="AF709" i="7"/>
  <c r="AI709" i="7" s="1"/>
  <c r="AH709" i="7"/>
  <c r="AJ709" i="7"/>
  <c r="AF710" i="7"/>
  <c r="AI710" i="7" s="1"/>
  <c r="AH710" i="7"/>
  <c r="AJ710" i="7"/>
  <c r="AF711" i="7"/>
  <c r="AI711" i="7" s="1"/>
  <c r="AH711" i="7"/>
  <c r="AJ711" i="7"/>
  <c r="AF712" i="7"/>
  <c r="AI712" i="7" s="1"/>
  <c r="AH712" i="7"/>
  <c r="AJ712" i="7"/>
  <c r="AF713" i="7"/>
  <c r="AI713" i="7" s="1"/>
  <c r="AH713" i="7"/>
  <c r="AJ713" i="7"/>
  <c r="AF714" i="7"/>
  <c r="AI714" i="7" s="1"/>
  <c r="AH714" i="7"/>
  <c r="AJ714" i="7"/>
  <c r="AF715" i="7"/>
  <c r="AI715" i="7" s="1"/>
  <c r="AH715" i="7"/>
  <c r="AJ715" i="7"/>
  <c r="AF716" i="7"/>
  <c r="AI716" i="7" s="1"/>
  <c r="AH716" i="7"/>
  <c r="AJ716" i="7"/>
  <c r="AF717" i="7"/>
  <c r="AI717" i="7" s="1"/>
  <c r="AH717" i="7"/>
  <c r="AJ717" i="7"/>
  <c r="AF718" i="7"/>
  <c r="AI718" i="7" s="1"/>
  <c r="AH718" i="7"/>
  <c r="AJ718" i="7"/>
  <c r="AF719" i="7"/>
  <c r="AI719" i="7" s="1"/>
  <c r="AH719" i="7"/>
  <c r="AJ719" i="7"/>
  <c r="AF724" i="7"/>
  <c r="AI724" i="7" s="1"/>
  <c r="AH724" i="7"/>
  <c r="AJ724" i="7"/>
  <c r="AF725" i="7"/>
  <c r="AI725" i="7" s="1"/>
  <c r="AH725" i="7"/>
  <c r="AJ725" i="7"/>
  <c r="AF726" i="7"/>
  <c r="AI726" i="7" s="1"/>
  <c r="AH726" i="7"/>
  <c r="AJ726" i="7"/>
  <c r="AF727" i="7"/>
  <c r="AI727" i="7" s="1"/>
  <c r="AH727" i="7"/>
  <c r="AJ727" i="7"/>
  <c r="AF728" i="7"/>
  <c r="AI728" i="7" s="1"/>
  <c r="AH728" i="7"/>
  <c r="AJ728" i="7"/>
  <c r="AF729" i="7"/>
  <c r="AI729" i="7" s="1"/>
  <c r="AH729" i="7"/>
  <c r="AJ729" i="7"/>
  <c r="AF730" i="7"/>
  <c r="AI730" i="7" s="1"/>
  <c r="AH730" i="7"/>
  <c r="AJ730" i="7"/>
  <c r="AF731" i="7"/>
  <c r="AI731" i="7" s="1"/>
  <c r="AH731" i="7"/>
  <c r="AJ731" i="7"/>
  <c r="AF732" i="7"/>
  <c r="AI732" i="7" s="1"/>
  <c r="AH732" i="7"/>
  <c r="AJ732" i="7"/>
  <c r="AF733" i="7"/>
  <c r="AI733" i="7" s="1"/>
  <c r="AH733" i="7"/>
  <c r="AJ733" i="7"/>
  <c r="AF734" i="7"/>
  <c r="AI734" i="7" s="1"/>
  <c r="AH734" i="7"/>
  <c r="AJ734" i="7"/>
  <c r="AF735" i="7"/>
  <c r="AI735" i="7" s="1"/>
  <c r="AH735" i="7"/>
  <c r="AJ735" i="7"/>
  <c r="AF736" i="7"/>
  <c r="AI736" i="7" s="1"/>
  <c r="AH736" i="7"/>
  <c r="AJ736" i="7"/>
  <c r="AF737" i="7"/>
  <c r="AI737" i="7" s="1"/>
  <c r="AH737" i="7"/>
  <c r="AJ737" i="7"/>
  <c r="AF738" i="7"/>
  <c r="AI738" i="7" s="1"/>
  <c r="AH738" i="7"/>
  <c r="AJ738" i="7"/>
  <c r="AF739" i="7"/>
  <c r="AI739" i="7" s="1"/>
  <c r="AH739" i="7"/>
  <c r="AJ739" i="7"/>
  <c r="AF740" i="7"/>
  <c r="AI740" i="7" s="1"/>
  <c r="AH740" i="7"/>
  <c r="AJ740" i="7"/>
  <c r="AF741" i="7"/>
  <c r="AI741" i="7" s="1"/>
  <c r="AH741" i="7"/>
  <c r="AJ741" i="7"/>
  <c r="AF742" i="7"/>
  <c r="AI742" i="7" s="1"/>
  <c r="AH742" i="7"/>
  <c r="AJ742" i="7"/>
  <c r="AF743" i="7"/>
  <c r="AI743" i="7" s="1"/>
  <c r="AH743" i="7"/>
  <c r="AJ743" i="7"/>
  <c r="AF744" i="7"/>
  <c r="AI744" i="7" s="1"/>
  <c r="AH744" i="7"/>
  <c r="AJ744" i="7"/>
  <c r="AF745" i="7"/>
  <c r="AI745" i="7" s="1"/>
  <c r="AH745" i="7"/>
  <c r="AJ745" i="7"/>
  <c r="AF746" i="7"/>
  <c r="AI746" i="7" s="1"/>
  <c r="AH746" i="7"/>
  <c r="AJ746" i="7"/>
  <c r="AF747" i="7"/>
  <c r="AI747" i="7" s="1"/>
  <c r="AH747" i="7"/>
  <c r="AJ747" i="7"/>
  <c r="AF748" i="7"/>
  <c r="AI748" i="7" s="1"/>
  <c r="AH748" i="7"/>
  <c r="AJ748" i="7"/>
  <c r="AF749" i="7"/>
  <c r="AI749" i="7" s="1"/>
  <c r="AH749" i="7"/>
  <c r="AJ749" i="7"/>
  <c r="AF750" i="7"/>
  <c r="AI750" i="7" s="1"/>
  <c r="AH750" i="7"/>
  <c r="AJ750" i="7"/>
  <c r="AF751" i="7"/>
  <c r="AI751" i="7" s="1"/>
  <c r="AH751" i="7"/>
  <c r="AJ751" i="7"/>
  <c r="AF752" i="7"/>
  <c r="AI752" i="7" s="1"/>
  <c r="AH752" i="7"/>
  <c r="AJ752" i="7"/>
  <c r="AF753" i="7"/>
  <c r="AI753" i="7" s="1"/>
  <c r="AH753" i="7"/>
  <c r="AJ753" i="7"/>
  <c r="AF754" i="7"/>
  <c r="AI754" i="7" s="1"/>
  <c r="AH754" i="7"/>
  <c r="AJ754" i="7"/>
  <c r="AF755" i="7"/>
  <c r="AI755" i="7" s="1"/>
  <c r="AH755" i="7"/>
  <c r="AJ755" i="7"/>
  <c r="AF756" i="7"/>
  <c r="AI756" i="7" s="1"/>
  <c r="AH756" i="7"/>
  <c r="AJ756" i="7"/>
  <c r="AF757" i="7"/>
  <c r="AI757" i="7" s="1"/>
  <c r="AH757" i="7"/>
  <c r="AJ757" i="7"/>
  <c r="AF758" i="7"/>
  <c r="AI758" i="7" s="1"/>
  <c r="AH758" i="7"/>
  <c r="AJ758" i="7"/>
  <c r="AF759" i="7"/>
  <c r="AI759" i="7" s="1"/>
  <c r="AH759" i="7"/>
  <c r="AJ759" i="7"/>
  <c r="AF760" i="7"/>
  <c r="AI760" i="7" s="1"/>
  <c r="AH760" i="7"/>
  <c r="AJ760" i="7"/>
  <c r="AF761" i="7"/>
  <c r="AI761" i="7" s="1"/>
  <c r="AH761" i="7"/>
  <c r="AJ761" i="7"/>
  <c r="AF762" i="7"/>
  <c r="AI762" i="7" s="1"/>
  <c r="AH762" i="7"/>
  <c r="AJ762" i="7"/>
  <c r="AF763" i="7"/>
  <c r="AI763" i="7" s="1"/>
  <c r="AH763" i="7"/>
  <c r="AJ763" i="7"/>
  <c r="AF764" i="7"/>
  <c r="AI764" i="7" s="1"/>
  <c r="AH764" i="7"/>
  <c r="AJ764" i="7"/>
  <c r="AF765" i="7"/>
  <c r="AI765" i="7" s="1"/>
  <c r="AH765" i="7"/>
  <c r="AJ765" i="7"/>
  <c r="AF766" i="7"/>
  <c r="AI766" i="7" s="1"/>
  <c r="AH766" i="7"/>
  <c r="AJ766" i="7"/>
  <c r="AF767" i="7"/>
  <c r="AI767" i="7" s="1"/>
  <c r="AH767" i="7"/>
  <c r="AJ767" i="7"/>
  <c r="AF768" i="7"/>
  <c r="AI768" i="7" s="1"/>
  <c r="AH768" i="7"/>
  <c r="AJ768" i="7"/>
  <c r="AF769" i="7"/>
  <c r="AI769" i="7" s="1"/>
  <c r="AH769" i="7"/>
  <c r="AJ769" i="7"/>
  <c r="AF770" i="7"/>
  <c r="AI770" i="7" s="1"/>
  <c r="AH770" i="7"/>
  <c r="AJ770" i="7"/>
  <c r="AF771" i="7"/>
  <c r="AI771" i="7" s="1"/>
  <c r="AH771" i="7"/>
  <c r="AJ771" i="7"/>
  <c r="AF772" i="7"/>
  <c r="AI772" i="7" s="1"/>
  <c r="AH772" i="7"/>
  <c r="AJ772" i="7"/>
  <c r="AF773" i="7"/>
  <c r="AI773" i="7" s="1"/>
  <c r="AH773" i="7"/>
  <c r="AJ773" i="7"/>
  <c r="AF774" i="7"/>
  <c r="AI774" i="7" s="1"/>
  <c r="AH774" i="7"/>
  <c r="AJ774" i="7"/>
  <c r="AF775" i="7"/>
  <c r="AI775" i="7" s="1"/>
  <c r="AH775" i="7"/>
  <c r="AJ775" i="7"/>
  <c r="AF776" i="7"/>
  <c r="AI776" i="7" s="1"/>
  <c r="AH776" i="7"/>
  <c r="AJ776" i="7"/>
  <c r="AF777" i="7"/>
  <c r="AI777" i="7" s="1"/>
  <c r="AH777" i="7"/>
  <c r="AJ777" i="7"/>
  <c r="AF778" i="7"/>
  <c r="AI778" i="7" s="1"/>
  <c r="AH778" i="7"/>
  <c r="AJ778" i="7"/>
  <c r="AF779" i="7"/>
  <c r="AI779" i="7" s="1"/>
  <c r="AH779" i="7"/>
  <c r="AJ779" i="7"/>
  <c r="AF780" i="7"/>
  <c r="AI780" i="7" s="1"/>
  <c r="AH780" i="7"/>
  <c r="AJ780" i="7"/>
  <c r="AF781" i="7"/>
  <c r="AI781" i="7" s="1"/>
  <c r="AH781" i="7"/>
  <c r="AJ781" i="7"/>
  <c r="AF782" i="7"/>
  <c r="AI782" i="7" s="1"/>
  <c r="AH782" i="7"/>
  <c r="AJ782" i="7"/>
  <c r="AF783" i="7"/>
  <c r="AI783" i="7" s="1"/>
  <c r="AH783" i="7"/>
  <c r="AJ783" i="7"/>
  <c r="AF788" i="7"/>
  <c r="AI788" i="7" s="1"/>
  <c r="AH788" i="7"/>
  <c r="AJ788" i="7"/>
  <c r="AF789" i="7"/>
  <c r="AI789" i="7" s="1"/>
  <c r="AH789" i="7"/>
  <c r="AJ789" i="7"/>
  <c r="AF790" i="7"/>
  <c r="AI790" i="7" s="1"/>
  <c r="AH790" i="7"/>
  <c r="AJ790" i="7"/>
  <c r="AF791" i="7"/>
  <c r="AI791" i="7" s="1"/>
  <c r="AH791" i="7"/>
  <c r="AJ791" i="7"/>
  <c r="AF792" i="7"/>
  <c r="AI792" i="7" s="1"/>
  <c r="AH792" i="7"/>
  <c r="AJ792" i="7"/>
  <c r="AF793" i="7"/>
  <c r="AI793" i="7" s="1"/>
  <c r="AH793" i="7"/>
  <c r="AJ793" i="7"/>
  <c r="AF794" i="7"/>
  <c r="AI794" i="7" s="1"/>
  <c r="AH794" i="7"/>
  <c r="AJ794" i="7"/>
  <c r="AF795" i="7"/>
  <c r="AI795" i="7" s="1"/>
  <c r="AH795" i="7"/>
  <c r="AJ795" i="7"/>
  <c r="AF796" i="7"/>
  <c r="AI796" i="7" s="1"/>
  <c r="AH796" i="7"/>
  <c r="AJ796" i="7"/>
  <c r="AF797" i="7"/>
  <c r="AI797" i="7" s="1"/>
  <c r="AH797" i="7"/>
  <c r="AJ797" i="7"/>
  <c r="AF798" i="7"/>
  <c r="AI798" i="7" s="1"/>
  <c r="AH798" i="7"/>
  <c r="AJ798" i="7"/>
  <c r="AF799" i="7"/>
  <c r="AI799" i="7" s="1"/>
  <c r="AH799" i="7"/>
  <c r="AJ799" i="7"/>
  <c r="AF800" i="7"/>
  <c r="AI800" i="7" s="1"/>
  <c r="AH800" i="7"/>
  <c r="AJ800" i="7"/>
  <c r="AF801" i="7"/>
  <c r="AI801" i="7" s="1"/>
  <c r="AH801" i="7"/>
  <c r="AJ801" i="7"/>
  <c r="AF802" i="7"/>
  <c r="AI802" i="7" s="1"/>
  <c r="AH802" i="7"/>
  <c r="AJ802" i="7"/>
  <c r="AF803" i="7"/>
  <c r="AI803" i="7" s="1"/>
  <c r="AH803" i="7"/>
  <c r="AJ803" i="7"/>
  <c r="AF804" i="7"/>
  <c r="AI804" i="7" s="1"/>
  <c r="AH804" i="7"/>
  <c r="AJ804" i="7"/>
  <c r="AF805" i="7"/>
  <c r="AI805" i="7" s="1"/>
  <c r="AH805" i="7"/>
  <c r="AJ805" i="7"/>
  <c r="AF806" i="7"/>
  <c r="AI806" i="7" s="1"/>
  <c r="AH806" i="7"/>
  <c r="AJ806" i="7"/>
  <c r="AF807" i="7"/>
  <c r="AI807" i="7" s="1"/>
  <c r="AH807" i="7"/>
  <c r="AJ807" i="7"/>
  <c r="AF808" i="7"/>
  <c r="AI808" i="7" s="1"/>
  <c r="AH808" i="7"/>
  <c r="AJ808" i="7"/>
  <c r="AF809" i="7"/>
  <c r="AI809" i="7" s="1"/>
  <c r="AH809" i="7"/>
  <c r="AJ809" i="7"/>
  <c r="AF810" i="7"/>
  <c r="AI810" i="7" s="1"/>
  <c r="AH810" i="7"/>
  <c r="AJ810" i="7"/>
  <c r="AF811" i="7"/>
  <c r="AI811" i="7" s="1"/>
  <c r="AH811" i="7"/>
  <c r="AJ811" i="7"/>
  <c r="AF812" i="7"/>
  <c r="AI812" i="7" s="1"/>
  <c r="AH812" i="7"/>
  <c r="AJ812" i="7"/>
  <c r="AF813" i="7"/>
  <c r="AI813" i="7" s="1"/>
  <c r="AH813" i="7"/>
  <c r="AJ813" i="7"/>
  <c r="AF814" i="7"/>
  <c r="AI814" i="7" s="1"/>
  <c r="AH814" i="7"/>
  <c r="AJ814" i="7"/>
  <c r="AF815" i="7"/>
  <c r="AI815" i="7" s="1"/>
  <c r="AH815" i="7"/>
  <c r="AJ815" i="7"/>
  <c r="AF816" i="7"/>
  <c r="AI816" i="7" s="1"/>
  <c r="AH816" i="7"/>
  <c r="AJ816" i="7"/>
  <c r="AF817" i="7"/>
  <c r="AI817" i="7" s="1"/>
  <c r="AH817" i="7"/>
  <c r="AJ817" i="7"/>
  <c r="AF818" i="7"/>
  <c r="AI818" i="7" s="1"/>
  <c r="AH818" i="7"/>
  <c r="AJ818" i="7"/>
  <c r="AF819" i="7"/>
  <c r="AI819" i="7" s="1"/>
  <c r="AH819" i="7"/>
  <c r="AJ819" i="7"/>
  <c r="AF820" i="7"/>
  <c r="AI820" i="7" s="1"/>
  <c r="AH820" i="7"/>
  <c r="AJ820" i="7"/>
  <c r="AF821" i="7"/>
  <c r="AI821" i="7" s="1"/>
  <c r="AH821" i="7"/>
  <c r="AJ821" i="7"/>
  <c r="AF822" i="7"/>
  <c r="AI822" i="7" s="1"/>
  <c r="AH822" i="7"/>
  <c r="AJ822" i="7"/>
  <c r="AF823" i="7"/>
  <c r="AI823" i="7" s="1"/>
  <c r="AH823" i="7"/>
  <c r="AJ823" i="7"/>
  <c r="AF824" i="7"/>
  <c r="AI824" i="7" s="1"/>
  <c r="AH824" i="7"/>
  <c r="AJ824" i="7"/>
  <c r="AF825" i="7"/>
  <c r="AI825" i="7" s="1"/>
  <c r="AH825" i="7"/>
  <c r="AJ825" i="7"/>
  <c r="AF826" i="7"/>
  <c r="AI826" i="7" s="1"/>
  <c r="AH826" i="7"/>
  <c r="AJ826" i="7"/>
  <c r="AF827" i="7"/>
  <c r="AI827" i="7" s="1"/>
  <c r="AH827" i="7"/>
  <c r="AJ827" i="7"/>
  <c r="AF828" i="7"/>
  <c r="AI828" i="7" s="1"/>
  <c r="AH828" i="7"/>
  <c r="AJ828" i="7"/>
  <c r="AF829" i="7"/>
  <c r="AI829" i="7" s="1"/>
  <c r="AH829" i="7"/>
  <c r="AJ829" i="7"/>
  <c r="AF830" i="7"/>
  <c r="AI830" i="7" s="1"/>
  <c r="AH830" i="7"/>
  <c r="AJ830" i="7"/>
  <c r="AF831" i="7"/>
  <c r="AI831" i="7" s="1"/>
  <c r="AH831" i="7"/>
  <c r="AJ831" i="7"/>
  <c r="AF832" i="7"/>
  <c r="AI832" i="7" s="1"/>
  <c r="AH832" i="7"/>
  <c r="AJ832" i="7"/>
  <c r="AF833" i="7"/>
  <c r="AI833" i="7" s="1"/>
  <c r="AH833" i="7"/>
  <c r="AJ833" i="7"/>
  <c r="AF834" i="7"/>
  <c r="AI834" i="7" s="1"/>
  <c r="AH834" i="7"/>
  <c r="AJ834" i="7"/>
  <c r="AF835" i="7"/>
  <c r="AI835" i="7" s="1"/>
  <c r="AH835" i="7"/>
  <c r="AJ835" i="7"/>
  <c r="AF836" i="7"/>
  <c r="AI836" i="7" s="1"/>
  <c r="AH836" i="7"/>
  <c r="AJ836" i="7"/>
  <c r="AF837" i="7"/>
  <c r="AI837" i="7" s="1"/>
  <c r="AH837" i="7"/>
  <c r="AJ837" i="7"/>
  <c r="AF838" i="7"/>
  <c r="AI838" i="7" s="1"/>
  <c r="AH838" i="7"/>
  <c r="AJ838" i="7"/>
  <c r="AF839" i="7"/>
  <c r="AI839" i="7" s="1"/>
  <c r="AH839" i="7"/>
  <c r="AJ839" i="7"/>
  <c r="AF840" i="7"/>
  <c r="AI840" i="7" s="1"/>
  <c r="AH840" i="7"/>
  <c r="AJ840" i="7"/>
  <c r="AF841" i="7"/>
  <c r="AI841" i="7" s="1"/>
  <c r="AH841" i="7"/>
  <c r="AJ841" i="7"/>
  <c r="AF846" i="7"/>
  <c r="AI846" i="7" s="1"/>
  <c r="AH846" i="7"/>
  <c r="AJ846" i="7"/>
  <c r="AF847" i="7"/>
  <c r="AI847" i="7" s="1"/>
  <c r="AH847" i="7"/>
  <c r="AJ847" i="7"/>
  <c r="AF848" i="7"/>
  <c r="AI848" i="7" s="1"/>
  <c r="AH848" i="7"/>
  <c r="AJ848" i="7"/>
  <c r="AF849" i="7"/>
  <c r="AI849" i="7" s="1"/>
  <c r="AH849" i="7"/>
  <c r="AJ849" i="7"/>
  <c r="AF850" i="7"/>
  <c r="AI850" i="7" s="1"/>
  <c r="AH850" i="7"/>
  <c r="AJ850" i="7"/>
  <c r="AF851" i="7"/>
  <c r="AI851" i="7" s="1"/>
  <c r="AH851" i="7"/>
  <c r="AJ851" i="7"/>
  <c r="AF852" i="7"/>
  <c r="AI852" i="7" s="1"/>
  <c r="AH852" i="7"/>
  <c r="AJ852" i="7"/>
  <c r="AF853" i="7"/>
  <c r="AI853" i="7" s="1"/>
  <c r="AH853" i="7"/>
  <c r="AJ853" i="7"/>
  <c r="AF854" i="7"/>
  <c r="AI854" i="7" s="1"/>
  <c r="AH854" i="7"/>
  <c r="AJ854" i="7"/>
  <c r="AF855" i="7"/>
  <c r="AI855" i="7" s="1"/>
  <c r="AH855" i="7"/>
  <c r="AJ855" i="7"/>
  <c r="AF856" i="7"/>
  <c r="AI856" i="7" s="1"/>
  <c r="AH856" i="7"/>
  <c r="AJ856" i="7"/>
  <c r="AF857" i="7"/>
  <c r="AI857" i="7" s="1"/>
  <c r="AH857" i="7"/>
  <c r="AJ857" i="7"/>
  <c r="AF858" i="7"/>
  <c r="AI858" i="7" s="1"/>
  <c r="AH858" i="7"/>
  <c r="AJ858" i="7"/>
  <c r="AF859" i="7"/>
  <c r="AI859" i="7" s="1"/>
  <c r="AH859" i="7"/>
  <c r="AJ859" i="7"/>
  <c r="AF860" i="7"/>
  <c r="AI860" i="7" s="1"/>
  <c r="AH860" i="7"/>
  <c r="AJ860" i="7"/>
  <c r="AF861" i="7"/>
  <c r="AI861" i="7" s="1"/>
  <c r="AH861" i="7"/>
  <c r="AJ861" i="7"/>
  <c r="AF862" i="7"/>
  <c r="AI862" i="7" s="1"/>
  <c r="AH862" i="7"/>
  <c r="AJ862" i="7"/>
  <c r="AF863" i="7"/>
  <c r="AI863" i="7" s="1"/>
  <c r="AH863" i="7"/>
  <c r="AJ863" i="7"/>
  <c r="AF864" i="7"/>
  <c r="AI864" i="7" s="1"/>
  <c r="AH864" i="7"/>
  <c r="AJ864" i="7"/>
  <c r="AF865" i="7"/>
  <c r="AI865" i="7" s="1"/>
  <c r="AH865" i="7"/>
  <c r="AJ865" i="7"/>
  <c r="AF866" i="7"/>
  <c r="AI866" i="7" s="1"/>
  <c r="AH866" i="7"/>
  <c r="AJ866" i="7"/>
  <c r="AF867" i="7"/>
  <c r="AI867" i="7" s="1"/>
  <c r="AH867" i="7"/>
  <c r="AJ867" i="7"/>
  <c r="AF868" i="7"/>
  <c r="AI868" i="7" s="1"/>
  <c r="AH868" i="7"/>
  <c r="AJ868" i="7"/>
  <c r="AF869" i="7"/>
  <c r="AI869" i="7" s="1"/>
  <c r="AH869" i="7"/>
  <c r="AJ869" i="7"/>
  <c r="AF870" i="7"/>
  <c r="AI870" i="7" s="1"/>
  <c r="AH870" i="7"/>
  <c r="AJ870" i="7"/>
  <c r="AF871" i="7"/>
  <c r="AI871" i="7" s="1"/>
  <c r="AH871" i="7"/>
  <c r="AJ871" i="7"/>
  <c r="AF872" i="7"/>
  <c r="AI872" i="7" s="1"/>
  <c r="AH872" i="7"/>
  <c r="AJ872" i="7"/>
  <c r="AF873" i="7"/>
  <c r="AI873" i="7" s="1"/>
  <c r="AH873" i="7"/>
  <c r="AJ873" i="7"/>
  <c r="AF874" i="7"/>
  <c r="AI874" i="7" s="1"/>
  <c r="AH874" i="7"/>
  <c r="AJ874" i="7"/>
  <c r="AF875" i="7"/>
  <c r="AI875" i="7" s="1"/>
  <c r="AH875" i="7"/>
  <c r="AJ875" i="7"/>
  <c r="AF876" i="7"/>
  <c r="AI876" i="7" s="1"/>
  <c r="AH876" i="7"/>
  <c r="AJ876" i="7"/>
  <c r="AF877" i="7"/>
  <c r="AI877" i="7" s="1"/>
  <c r="AH877" i="7"/>
  <c r="AJ877" i="7"/>
  <c r="AF878" i="7"/>
  <c r="AI878" i="7" s="1"/>
  <c r="AH878" i="7"/>
  <c r="AJ878" i="7"/>
  <c r="AF879" i="7"/>
  <c r="AI879" i="7" s="1"/>
  <c r="AH879" i="7"/>
  <c r="AJ879" i="7"/>
  <c r="AF880" i="7"/>
  <c r="AI880" i="7" s="1"/>
  <c r="AH880" i="7"/>
  <c r="AJ880" i="7"/>
  <c r="AF881" i="7"/>
  <c r="AI881" i="7" s="1"/>
  <c r="AH881" i="7"/>
  <c r="AJ881" i="7"/>
  <c r="AF882" i="7"/>
  <c r="AI882" i="7" s="1"/>
  <c r="AH882" i="7"/>
  <c r="AJ882" i="7"/>
  <c r="AF883" i="7"/>
  <c r="AI883" i="7" s="1"/>
  <c r="AH883" i="7"/>
  <c r="AJ883" i="7"/>
  <c r="AF884" i="7"/>
  <c r="AI884" i="7" s="1"/>
  <c r="AH884" i="7"/>
  <c r="AJ884" i="7"/>
  <c r="AF885" i="7"/>
  <c r="AI885" i="7" s="1"/>
  <c r="AH885" i="7"/>
  <c r="AJ885" i="7"/>
  <c r="AF886" i="7"/>
  <c r="AI886" i="7" s="1"/>
  <c r="AH886" i="7"/>
  <c r="AJ886" i="7"/>
  <c r="AF887" i="7"/>
  <c r="AI887" i="7" s="1"/>
  <c r="AH887" i="7"/>
  <c r="AJ887" i="7"/>
  <c r="AF888" i="7"/>
  <c r="AI888" i="7" s="1"/>
  <c r="AH888" i="7"/>
  <c r="AJ888" i="7"/>
  <c r="AF889" i="7"/>
  <c r="AI889" i="7" s="1"/>
  <c r="AH889" i="7"/>
  <c r="AJ889" i="7"/>
  <c r="AF890" i="7"/>
  <c r="AI890" i="7" s="1"/>
  <c r="AH890" i="7"/>
  <c r="AJ890" i="7"/>
  <c r="AF891" i="7"/>
  <c r="AI891" i="7" s="1"/>
  <c r="AH891" i="7"/>
  <c r="AJ891" i="7"/>
  <c r="AF892" i="7"/>
  <c r="AI892" i="7" s="1"/>
  <c r="AH892" i="7"/>
  <c r="AJ892" i="7"/>
  <c r="AF893" i="7"/>
  <c r="AI893" i="7" s="1"/>
  <c r="AH893" i="7"/>
  <c r="AJ893" i="7"/>
  <c r="AF894" i="7"/>
  <c r="AI894" i="7" s="1"/>
  <c r="AH894" i="7"/>
  <c r="AJ894" i="7"/>
  <c r="AF895" i="7"/>
  <c r="AI895" i="7" s="1"/>
  <c r="AH895" i="7"/>
  <c r="AJ895" i="7"/>
  <c r="AF896" i="7"/>
  <c r="AI896" i="7" s="1"/>
  <c r="AH896" i="7"/>
  <c r="AJ896" i="7"/>
  <c r="AF897" i="7"/>
  <c r="AI897" i="7" s="1"/>
  <c r="AH897" i="7"/>
  <c r="AJ897" i="7"/>
  <c r="AF898" i="7"/>
  <c r="AI898" i="7" s="1"/>
  <c r="AH898" i="7"/>
  <c r="AJ898" i="7"/>
  <c r="AF899" i="7"/>
  <c r="AI899" i="7" s="1"/>
  <c r="AH899" i="7"/>
  <c r="AJ899" i="7"/>
  <c r="AF904" i="7"/>
  <c r="AI904" i="7" s="1"/>
  <c r="AH904" i="7"/>
  <c r="AJ904" i="7"/>
  <c r="AF905" i="7"/>
  <c r="AI905" i="7" s="1"/>
  <c r="AH905" i="7"/>
  <c r="AJ905" i="7"/>
  <c r="AF906" i="7"/>
  <c r="AI906" i="7" s="1"/>
  <c r="AH906" i="7"/>
  <c r="AJ906" i="7"/>
  <c r="AF907" i="7"/>
  <c r="AI907" i="7" s="1"/>
  <c r="AH907" i="7"/>
  <c r="AJ907" i="7"/>
  <c r="AF908" i="7"/>
  <c r="AI908" i="7" s="1"/>
  <c r="AH908" i="7"/>
  <c r="AJ908" i="7"/>
  <c r="AF909" i="7"/>
  <c r="AI909" i="7" s="1"/>
  <c r="AH909" i="7"/>
  <c r="AJ909" i="7"/>
  <c r="AF910" i="7"/>
  <c r="AI910" i="7" s="1"/>
  <c r="AH910" i="7"/>
  <c r="AJ910" i="7"/>
  <c r="AF911" i="7"/>
  <c r="AI911" i="7" s="1"/>
  <c r="AH911" i="7"/>
  <c r="AJ911" i="7"/>
  <c r="AF912" i="7"/>
  <c r="AI912" i="7" s="1"/>
  <c r="AH912" i="7"/>
  <c r="AJ912" i="7"/>
  <c r="AF913" i="7"/>
  <c r="AI913" i="7" s="1"/>
  <c r="AH913" i="7"/>
  <c r="AJ913" i="7"/>
  <c r="AF914" i="7"/>
  <c r="AI914" i="7" s="1"/>
  <c r="AH914" i="7"/>
  <c r="AJ914" i="7"/>
  <c r="AF915" i="7"/>
  <c r="AI915" i="7" s="1"/>
  <c r="AH915" i="7"/>
  <c r="AJ915" i="7"/>
  <c r="AF916" i="7"/>
  <c r="AI916" i="7" s="1"/>
  <c r="AH916" i="7"/>
  <c r="AJ916" i="7"/>
  <c r="AF917" i="7"/>
  <c r="AI917" i="7" s="1"/>
  <c r="AH917" i="7"/>
  <c r="AJ917" i="7"/>
  <c r="AF918" i="7"/>
  <c r="AI918" i="7" s="1"/>
  <c r="AH918" i="7"/>
  <c r="AJ918" i="7"/>
  <c r="AF919" i="7"/>
  <c r="AI919" i="7" s="1"/>
  <c r="AH919" i="7"/>
  <c r="AJ919" i="7"/>
  <c r="AF920" i="7"/>
  <c r="AI920" i="7" s="1"/>
  <c r="AH920" i="7"/>
  <c r="AJ920" i="7"/>
  <c r="AF921" i="7"/>
  <c r="AI921" i="7" s="1"/>
  <c r="AH921" i="7"/>
  <c r="AJ921" i="7"/>
  <c r="AF922" i="7"/>
  <c r="AI922" i="7" s="1"/>
  <c r="AH922" i="7"/>
  <c r="AJ922" i="7"/>
  <c r="AF923" i="7"/>
  <c r="AI923" i="7" s="1"/>
  <c r="AH923" i="7"/>
  <c r="AJ923" i="7"/>
  <c r="AF924" i="7"/>
  <c r="AI924" i="7" s="1"/>
  <c r="AH924" i="7"/>
  <c r="AJ924" i="7"/>
  <c r="AF925" i="7"/>
  <c r="AI925" i="7" s="1"/>
  <c r="AH925" i="7"/>
  <c r="AJ925" i="7"/>
  <c r="AF926" i="7"/>
  <c r="AI926" i="7" s="1"/>
  <c r="AH926" i="7"/>
  <c r="AJ926" i="7"/>
  <c r="AF927" i="7"/>
  <c r="AI927" i="7" s="1"/>
  <c r="AH927" i="7"/>
  <c r="AJ927" i="7"/>
  <c r="AF928" i="7"/>
  <c r="AI928" i="7" s="1"/>
  <c r="AH928" i="7"/>
  <c r="AJ928" i="7"/>
  <c r="AF929" i="7"/>
  <c r="AI929" i="7" s="1"/>
  <c r="AH929" i="7"/>
  <c r="AJ929" i="7"/>
  <c r="AF930" i="7"/>
  <c r="AI930" i="7" s="1"/>
  <c r="AH930" i="7"/>
  <c r="AJ930" i="7"/>
  <c r="AF931" i="7"/>
  <c r="AI931" i="7" s="1"/>
  <c r="AH931" i="7"/>
  <c r="AJ931" i="7"/>
  <c r="AF932" i="7"/>
  <c r="AI932" i="7" s="1"/>
  <c r="AH932" i="7"/>
  <c r="AJ932" i="7"/>
  <c r="AF933" i="7"/>
  <c r="AI933" i="7" s="1"/>
  <c r="AH933" i="7"/>
  <c r="AJ933" i="7"/>
  <c r="AF934" i="7"/>
  <c r="AI934" i="7" s="1"/>
  <c r="AH934" i="7"/>
  <c r="AJ934" i="7"/>
  <c r="AF935" i="7"/>
  <c r="AI935" i="7" s="1"/>
  <c r="AH935" i="7"/>
  <c r="AJ935" i="7"/>
  <c r="AF936" i="7"/>
  <c r="AI936" i="7" s="1"/>
  <c r="AH936" i="7"/>
  <c r="AJ936" i="7"/>
  <c r="AF937" i="7"/>
  <c r="AI937" i="7" s="1"/>
  <c r="AH937" i="7"/>
  <c r="AJ937" i="7"/>
  <c r="AF938" i="7"/>
  <c r="AI938" i="7" s="1"/>
  <c r="AH938" i="7"/>
  <c r="AJ938" i="7"/>
  <c r="AF939" i="7"/>
  <c r="AI939" i="7" s="1"/>
  <c r="AH939" i="7"/>
  <c r="AJ939" i="7"/>
  <c r="AF940" i="7"/>
  <c r="AI940" i="7" s="1"/>
  <c r="AH940" i="7"/>
  <c r="AJ940" i="7"/>
  <c r="AF941" i="7"/>
  <c r="AI941" i="7" s="1"/>
  <c r="AH941" i="7"/>
  <c r="AJ941" i="7"/>
  <c r="AF942" i="7"/>
  <c r="AI942" i="7" s="1"/>
  <c r="AH942" i="7"/>
  <c r="AJ942" i="7"/>
  <c r="AF943" i="7"/>
  <c r="AI943" i="7" s="1"/>
  <c r="AH943" i="7"/>
  <c r="AJ943" i="7"/>
  <c r="AF944" i="7"/>
  <c r="AI944" i="7" s="1"/>
  <c r="AH944" i="7"/>
  <c r="AJ944" i="7"/>
  <c r="AF945" i="7"/>
  <c r="AI945" i="7" s="1"/>
  <c r="AH945" i="7"/>
  <c r="AJ945" i="7"/>
  <c r="AF946" i="7"/>
  <c r="AI946" i="7" s="1"/>
  <c r="AH946" i="7"/>
  <c r="AJ946" i="7"/>
  <c r="AF947" i="7"/>
  <c r="AI947" i="7" s="1"/>
  <c r="AH947" i="7"/>
  <c r="AJ947" i="7"/>
  <c r="AF948" i="7"/>
  <c r="AI948" i="7" s="1"/>
  <c r="AH948" i="7"/>
  <c r="AJ948" i="7"/>
  <c r="AF949" i="7"/>
  <c r="AI949" i="7" s="1"/>
  <c r="AH949" i="7"/>
  <c r="AJ949" i="7"/>
  <c r="AF950" i="7"/>
  <c r="AI950" i="7" s="1"/>
  <c r="AH950" i="7"/>
  <c r="AJ950" i="7"/>
  <c r="AF951" i="7"/>
  <c r="AI951" i="7" s="1"/>
  <c r="AH951" i="7"/>
  <c r="AJ951" i="7"/>
  <c r="AF952" i="7"/>
  <c r="AI952" i="7" s="1"/>
  <c r="AH952" i="7"/>
  <c r="AJ952" i="7"/>
  <c r="AF953" i="7"/>
  <c r="AI953" i="7" s="1"/>
  <c r="AH953" i="7"/>
  <c r="AJ953" i="7"/>
  <c r="AF954" i="7"/>
  <c r="AI954" i="7" s="1"/>
  <c r="AH954" i="7"/>
  <c r="AJ954" i="7"/>
  <c r="AF955" i="7"/>
  <c r="AI955" i="7" s="1"/>
  <c r="AH955" i="7"/>
  <c r="AJ955" i="7"/>
  <c r="AF956" i="7"/>
  <c r="AI956" i="7" s="1"/>
  <c r="AH956" i="7"/>
  <c r="AJ956" i="7"/>
  <c r="AF957" i="7"/>
  <c r="AI957" i="7" s="1"/>
  <c r="AH957" i="7"/>
  <c r="AJ957" i="7"/>
  <c r="AF962" i="7"/>
  <c r="AI962" i="7" s="1"/>
  <c r="AH962" i="7"/>
  <c r="AJ962" i="7"/>
  <c r="AF963" i="7"/>
  <c r="AI963" i="7" s="1"/>
  <c r="AH963" i="7"/>
  <c r="AJ963" i="7"/>
  <c r="AF964" i="7"/>
  <c r="AI964" i="7" s="1"/>
  <c r="AH964" i="7"/>
  <c r="AJ964" i="7"/>
  <c r="AF965" i="7"/>
  <c r="AI965" i="7" s="1"/>
  <c r="AH965" i="7"/>
  <c r="AJ965" i="7"/>
  <c r="AF966" i="7"/>
  <c r="AI966" i="7" s="1"/>
  <c r="AH966" i="7"/>
  <c r="AJ966" i="7"/>
  <c r="AF967" i="7"/>
  <c r="AI967" i="7" s="1"/>
  <c r="AH967" i="7"/>
  <c r="AJ967" i="7"/>
  <c r="AF968" i="7"/>
  <c r="AI968" i="7" s="1"/>
  <c r="AH968" i="7"/>
  <c r="AJ968" i="7"/>
  <c r="AF969" i="7"/>
  <c r="AI969" i="7" s="1"/>
  <c r="AH969" i="7"/>
  <c r="AJ969" i="7"/>
  <c r="AF970" i="7"/>
  <c r="AI970" i="7" s="1"/>
  <c r="AH970" i="7"/>
  <c r="AJ970" i="7"/>
  <c r="AF971" i="7"/>
  <c r="AI971" i="7" s="1"/>
  <c r="AH971" i="7"/>
  <c r="AJ971" i="7"/>
  <c r="AF972" i="7"/>
  <c r="AI972" i="7" s="1"/>
  <c r="AH972" i="7"/>
  <c r="AJ972" i="7"/>
  <c r="AF973" i="7"/>
  <c r="AI973" i="7" s="1"/>
  <c r="AH973" i="7"/>
  <c r="AJ973" i="7"/>
  <c r="AF974" i="7"/>
  <c r="AI974" i="7" s="1"/>
  <c r="AH974" i="7"/>
  <c r="AJ974" i="7"/>
  <c r="AF975" i="7"/>
  <c r="AI975" i="7" s="1"/>
  <c r="AH975" i="7"/>
  <c r="AJ975" i="7"/>
  <c r="AF976" i="7"/>
  <c r="AI976" i="7" s="1"/>
  <c r="AH976" i="7"/>
  <c r="AJ976" i="7"/>
  <c r="AF977" i="7"/>
  <c r="AI977" i="7" s="1"/>
  <c r="AH977" i="7"/>
  <c r="AJ977" i="7"/>
  <c r="AF978" i="7"/>
  <c r="AI978" i="7" s="1"/>
  <c r="AH978" i="7"/>
  <c r="AJ978" i="7"/>
  <c r="AF979" i="7"/>
  <c r="AI979" i="7" s="1"/>
  <c r="AH979" i="7"/>
  <c r="AJ979" i="7"/>
  <c r="AF980" i="7"/>
  <c r="AI980" i="7" s="1"/>
  <c r="AH980" i="7"/>
  <c r="AJ980" i="7"/>
  <c r="AF981" i="7"/>
  <c r="AI981" i="7" s="1"/>
  <c r="AH981" i="7"/>
  <c r="AJ981" i="7"/>
  <c r="AF982" i="7"/>
  <c r="AI982" i="7" s="1"/>
  <c r="AH982" i="7"/>
  <c r="AJ982" i="7"/>
  <c r="AF983" i="7"/>
  <c r="AI983" i="7" s="1"/>
  <c r="AH983" i="7"/>
  <c r="AJ983" i="7"/>
  <c r="AF984" i="7"/>
  <c r="AI984" i="7" s="1"/>
  <c r="AH984" i="7"/>
  <c r="AJ984" i="7"/>
  <c r="AF985" i="7"/>
  <c r="AI985" i="7" s="1"/>
  <c r="AH985" i="7"/>
  <c r="AJ985" i="7"/>
  <c r="AF986" i="7"/>
  <c r="AI986" i="7" s="1"/>
  <c r="AH986" i="7"/>
  <c r="AJ986" i="7"/>
  <c r="AF987" i="7"/>
  <c r="AI987" i="7" s="1"/>
  <c r="AH987" i="7"/>
  <c r="AJ987" i="7"/>
  <c r="AF988" i="7"/>
  <c r="AI988" i="7" s="1"/>
  <c r="AH988" i="7"/>
  <c r="AJ988" i="7"/>
  <c r="AF989" i="7"/>
  <c r="AI989" i="7" s="1"/>
  <c r="AH989" i="7"/>
  <c r="AJ989" i="7"/>
  <c r="AF990" i="7"/>
  <c r="AI990" i="7" s="1"/>
  <c r="AH990" i="7"/>
  <c r="AJ990" i="7"/>
  <c r="AF991" i="7"/>
  <c r="AI991" i="7" s="1"/>
  <c r="AH991" i="7"/>
  <c r="AJ991" i="7"/>
  <c r="AF992" i="7"/>
  <c r="AI992" i="7" s="1"/>
  <c r="AH992" i="7"/>
  <c r="AJ992" i="7"/>
  <c r="AF993" i="7"/>
  <c r="AI993" i="7" s="1"/>
  <c r="AH993" i="7"/>
  <c r="AJ993" i="7"/>
  <c r="AF994" i="7"/>
  <c r="AI994" i="7" s="1"/>
  <c r="AH994" i="7"/>
  <c r="AJ994" i="7"/>
  <c r="AF995" i="7"/>
  <c r="AI995" i="7" s="1"/>
  <c r="AH995" i="7"/>
  <c r="AJ995" i="7"/>
  <c r="AF996" i="7"/>
  <c r="AI996" i="7" s="1"/>
  <c r="AH996" i="7"/>
  <c r="AJ996" i="7"/>
  <c r="AF997" i="7"/>
  <c r="AI997" i="7" s="1"/>
  <c r="AH997" i="7"/>
  <c r="AJ997" i="7"/>
  <c r="AF998" i="7"/>
  <c r="AI998" i="7" s="1"/>
  <c r="AH998" i="7"/>
  <c r="AJ998" i="7"/>
  <c r="AF999" i="7"/>
  <c r="AI999" i="7" s="1"/>
  <c r="AH999" i="7"/>
  <c r="AJ999" i="7"/>
  <c r="AF1000" i="7"/>
  <c r="AI1000" i="7" s="1"/>
  <c r="AH1000" i="7"/>
  <c r="AJ1000" i="7"/>
  <c r="AF1001" i="7"/>
  <c r="AI1001" i="7" s="1"/>
  <c r="AH1001" i="7"/>
  <c r="AJ1001" i="7"/>
  <c r="AF1002" i="7"/>
  <c r="AI1002" i="7" s="1"/>
  <c r="AH1002" i="7"/>
  <c r="AJ1002" i="7"/>
  <c r="AF1003" i="7"/>
  <c r="AI1003" i="7" s="1"/>
  <c r="AH1003" i="7"/>
  <c r="AJ1003" i="7"/>
  <c r="AF1004" i="7"/>
  <c r="AI1004" i="7" s="1"/>
  <c r="AH1004" i="7"/>
  <c r="AJ1004" i="7"/>
  <c r="AF1005" i="7"/>
  <c r="AI1005" i="7" s="1"/>
  <c r="AH1005" i="7"/>
  <c r="AJ1005" i="7"/>
  <c r="AF1006" i="7"/>
  <c r="AI1006" i="7" s="1"/>
  <c r="AH1006" i="7"/>
  <c r="AJ1006" i="7"/>
  <c r="AF1007" i="7"/>
  <c r="AI1007" i="7" s="1"/>
  <c r="AH1007" i="7"/>
  <c r="AJ1007" i="7"/>
  <c r="AF1008" i="7"/>
  <c r="AI1008" i="7" s="1"/>
  <c r="AH1008" i="7"/>
  <c r="AJ1008" i="7"/>
  <c r="AF1009" i="7"/>
  <c r="AI1009" i="7" s="1"/>
  <c r="AH1009" i="7"/>
  <c r="AJ1009" i="7"/>
  <c r="AF1010" i="7"/>
  <c r="AI1010" i="7" s="1"/>
  <c r="AH1010" i="7"/>
  <c r="AJ1010" i="7"/>
  <c r="AF1011" i="7"/>
  <c r="AI1011" i="7" s="1"/>
  <c r="AH1011" i="7"/>
  <c r="AJ1011" i="7"/>
  <c r="AF1012" i="7"/>
  <c r="AI1012" i="7" s="1"/>
  <c r="AH1012" i="7"/>
  <c r="AJ1012" i="7"/>
  <c r="AF1013" i="7"/>
  <c r="AI1013" i="7" s="1"/>
  <c r="AH1013" i="7"/>
  <c r="AJ1013" i="7"/>
  <c r="AF1014" i="7"/>
  <c r="AI1014" i="7" s="1"/>
  <c r="AH1014" i="7"/>
  <c r="AJ1014" i="7"/>
  <c r="AF1015" i="7"/>
  <c r="AI1015" i="7" s="1"/>
  <c r="AH1015" i="7"/>
  <c r="AJ1015" i="7"/>
  <c r="AF1020" i="7"/>
  <c r="AI1020" i="7" s="1"/>
  <c r="AH1020" i="7"/>
  <c r="AJ1020" i="7"/>
  <c r="AF1021" i="7"/>
  <c r="AI1021" i="7" s="1"/>
  <c r="AH1021" i="7"/>
  <c r="AJ1021" i="7"/>
  <c r="AF1022" i="7"/>
  <c r="AI1022" i="7" s="1"/>
  <c r="AH1022" i="7"/>
  <c r="AJ1022" i="7"/>
  <c r="AF1023" i="7"/>
  <c r="AI1023" i="7" s="1"/>
  <c r="AH1023" i="7"/>
  <c r="AJ1023" i="7"/>
  <c r="AF1024" i="7"/>
  <c r="AI1024" i="7" s="1"/>
  <c r="AH1024" i="7"/>
  <c r="AJ1024" i="7"/>
  <c r="AF1025" i="7"/>
  <c r="AI1025" i="7" s="1"/>
  <c r="AH1025" i="7"/>
  <c r="AJ1025" i="7"/>
  <c r="AF1026" i="7"/>
  <c r="AI1026" i="7" s="1"/>
  <c r="AH1026" i="7"/>
  <c r="AJ1026" i="7"/>
  <c r="AF1027" i="7"/>
  <c r="AI1027" i="7" s="1"/>
  <c r="AH1027" i="7"/>
  <c r="AJ1027" i="7"/>
  <c r="AF1028" i="7"/>
  <c r="AI1028" i="7" s="1"/>
  <c r="AH1028" i="7"/>
  <c r="AJ1028" i="7"/>
  <c r="AF1029" i="7"/>
  <c r="AI1029" i="7" s="1"/>
  <c r="AH1029" i="7"/>
  <c r="AJ1029" i="7"/>
  <c r="AF1030" i="7"/>
  <c r="AI1030" i="7" s="1"/>
  <c r="AH1030" i="7"/>
  <c r="AJ1030" i="7"/>
  <c r="AF1031" i="7"/>
  <c r="AI1031" i="7" s="1"/>
  <c r="AH1031" i="7"/>
  <c r="AJ1031" i="7"/>
  <c r="AF1032" i="7"/>
  <c r="AI1032" i="7" s="1"/>
  <c r="AH1032" i="7"/>
  <c r="AJ1032" i="7"/>
  <c r="AF1033" i="7"/>
  <c r="AI1033" i="7" s="1"/>
  <c r="AH1033" i="7"/>
  <c r="AJ1033" i="7"/>
  <c r="AF1034" i="7"/>
  <c r="AI1034" i="7" s="1"/>
  <c r="AH1034" i="7"/>
  <c r="AJ1034" i="7"/>
  <c r="AF1035" i="7"/>
  <c r="AI1035" i="7" s="1"/>
  <c r="AH1035" i="7"/>
  <c r="AJ1035" i="7"/>
  <c r="AF1036" i="7"/>
  <c r="AI1036" i="7" s="1"/>
  <c r="AH1036" i="7"/>
  <c r="AJ1036" i="7"/>
  <c r="AF1037" i="7"/>
  <c r="AI1037" i="7" s="1"/>
  <c r="AH1037" i="7"/>
  <c r="AJ1037" i="7"/>
  <c r="AF1038" i="7"/>
  <c r="AI1038" i="7" s="1"/>
  <c r="AH1038" i="7"/>
  <c r="AJ1038" i="7"/>
  <c r="AF1039" i="7"/>
  <c r="AI1039" i="7" s="1"/>
  <c r="AH1039" i="7"/>
  <c r="AJ1039" i="7"/>
  <c r="AF1040" i="7"/>
  <c r="AI1040" i="7" s="1"/>
  <c r="AH1040" i="7"/>
  <c r="AJ1040" i="7"/>
  <c r="AF1041" i="7"/>
  <c r="AI1041" i="7" s="1"/>
  <c r="AH1041" i="7"/>
  <c r="AJ1041" i="7"/>
  <c r="AF1042" i="7"/>
  <c r="AI1042" i="7" s="1"/>
  <c r="AH1042" i="7"/>
  <c r="AJ1042" i="7"/>
  <c r="AF1043" i="7"/>
  <c r="AI1043" i="7" s="1"/>
  <c r="AH1043" i="7"/>
  <c r="AJ1043" i="7"/>
  <c r="AF1044" i="7"/>
  <c r="AI1044" i="7" s="1"/>
  <c r="AH1044" i="7"/>
  <c r="AJ1044" i="7"/>
  <c r="AF1045" i="7"/>
  <c r="AI1045" i="7" s="1"/>
  <c r="AH1045" i="7"/>
  <c r="AJ1045" i="7"/>
  <c r="AF1046" i="7"/>
  <c r="AI1046" i="7" s="1"/>
  <c r="AH1046" i="7"/>
  <c r="AJ1046" i="7"/>
  <c r="AF1047" i="7"/>
  <c r="AI1047" i="7" s="1"/>
  <c r="AH1047" i="7"/>
  <c r="AJ1047" i="7"/>
  <c r="AF1048" i="7"/>
  <c r="AI1048" i="7" s="1"/>
  <c r="AH1048" i="7"/>
  <c r="AJ1048" i="7"/>
  <c r="AF1049" i="7"/>
  <c r="AI1049" i="7" s="1"/>
  <c r="AH1049" i="7"/>
  <c r="AJ1049" i="7"/>
  <c r="AF1050" i="7"/>
  <c r="AI1050" i="7" s="1"/>
  <c r="AH1050" i="7"/>
  <c r="AJ1050" i="7"/>
  <c r="AF1051" i="7"/>
  <c r="AI1051" i="7" s="1"/>
  <c r="AH1051" i="7"/>
  <c r="AJ1051" i="7"/>
  <c r="AF1052" i="7"/>
  <c r="AI1052" i="7" s="1"/>
  <c r="AH1052" i="7"/>
  <c r="AJ1052" i="7"/>
  <c r="AF1053" i="7"/>
  <c r="AI1053" i="7" s="1"/>
  <c r="AH1053" i="7"/>
  <c r="AJ1053" i="7"/>
  <c r="AF1054" i="7"/>
  <c r="AI1054" i="7" s="1"/>
  <c r="AH1054" i="7"/>
  <c r="AJ1054" i="7"/>
  <c r="AF1055" i="7"/>
  <c r="AI1055" i="7" s="1"/>
  <c r="AH1055" i="7"/>
  <c r="AJ1055" i="7"/>
  <c r="AF1056" i="7"/>
  <c r="AI1056" i="7" s="1"/>
  <c r="AH1056" i="7"/>
  <c r="AJ1056" i="7"/>
  <c r="AF1057" i="7"/>
  <c r="AI1057" i="7" s="1"/>
  <c r="AH1057" i="7"/>
  <c r="AJ1057" i="7"/>
  <c r="AF1058" i="7"/>
  <c r="AI1058" i="7" s="1"/>
  <c r="AH1058" i="7"/>
  <c r="AJ1058" i="7"/>
  <c r="AF1059" i="7"/>
  <c r="AI1059" i="7" s="1"/>
  <c r="AH1059" i="7"/>
  <c r="AJ1059" i="7"/>
  <c r="AF1060" i="7"/>
  <c r="AI1060" i="7" s="1"/>
  <c r="AH1060" i="7"/>
  <c r="AJ1060" i="7"/>
  <c r="AF1061" i="7"/>
  <c r="AI1061" i="7" s="1"/>
  <c r="AH1061" i="7"/>
  <c r="AJ1061" i="7"/>
  <c r="AF1062" i="7"/>
  <c r="AI1062" i="7" s="1"/>
  <c r="AH1062" i="7"/>
  <c r="AJ1062" i="7"/>
  <c r="AF1063" i="7"/>
  <c r="AI1063" i="7" s="1"/>
  <c r="AH1063" i="7"/>
  <c r="AJ1063" i="7"/>
  <c r="AF1064" i="7"/>
  <c r="AI1064" i="7" s="1"/>
  <c r="AH1064" i="7"/>
  <c r="AJ1064" i="7"/>
  <c r="AF1065" i="7"/>
  <c r="AI1065" i="7" s="1"/>
  <c r="AH1065" i="7"/>
  <c r="AJ1065" i="7"/>
  <c r="AF1066" i="7"/>
  <c r="AI1066" i="7" s="1"/>
  <c r="AH1066" i="7"/>
  <c r="AJ1066" i="7"/>
  <c r="AF1067" i="7"/>
  <c r="AI1067" i="7" s="1"/>
  <c r="AH1067" i="7"/>
  <c r="AJ1067" i="7"/>
  <c r="AF1072" i="7"/>
  <c r="AI1072" i="7" s="1"/>
  <c r="AH1072" i="7"/>
  <c r="AJ1072" i="7"/>
  <c r="AF1073" i="7"/>
  <c r="AI1073" i="7" s="1"/>
  <c r="AH1073" i="7"/>
  <c r="AJ1073" i="7"/>
  <c r="AF1074" i="7"/>
  <c r="AI1074" i="7" s="1"/>
  <c r="AH1074" i="7"/>
  <c r="AJ1074" i="7"/>
  <c r="AF1075" i="7"/>
  <c r="AI1075" i="7" s="1"/>
  <c r="AH1075" i="7"/>
  <c r="AJ1075" i="7"/>
  <c r="AF1076" i="7"/>
  <c r="AI1076" i="7" s="1"/>
  <c r="AH1076" i="7"/>
  <c r="AJ1076" i="7"/>
  <c r="AF1077" i="7"/>
  <c r="AI1077" i="7" s="1"/>
  <c r="AH1077" i="7"/>
  <c r="AJ1077" i="7"/>
  <c r="AF1078" i="7"/>
  <c r="AI1078" i="7" s="1"/>
  <c r="AH1078" i="7"/>
  <c r="AJ1078" i="7"/>
  <c r="AF1079" i="7"/>
  <c r="AI1079" i="7" s="1"/>
  <c r="AH1079" i="7"/>
  <c r="AJ1079" i="7"/>
  <c r="AF1080" i="7"/>
  <c r="AI1080" i="7" s="1"/>
  <c r="AH1080" i="7"/>
  <c r="AJ1080" i="7"/>
  <c r="AF1081" i="7"/>
  <c r="AI1081" i="7" s="1"/>
  <c r="AH1081" i="7"/>
  <c r="AJ1081" i="7"/>
  <c r="AF1082" i="7"/>
  <c r="AI1082" i="7" s="1"/>
  <c r="AH1082" i="7"/>
  <c r="AJ1082" i="7"/>
  <c r="AF1083" i="7"/>
  <c r="AI1083" i="7" s="1"/>
  <c r="AH1083" i="7"/>
  <c r="AJ1083" i="7"/>
  <c r="AF1084" i="7"/>
  <c r="AI1084" i="7" s="1"/>
  <c r="AH1084" i="7"/>
  <c r="AJ1084" i="7"/>
  <c r="AF1085" i="7"/>
  <c r="AI1085" i="7" s="1"/>
  <c r="AH1085" i="7"/>
  <c r="AJ1085" i="7"/>
  <c r="AF1086" i="7"/>
  <c r="AI1086" i="7" s="1"/>
  <c r="AH1086" i="7"/>
  <c r="AJ1086" i="7"/>
  <c r="AF1087" i="7"/>
  <c r="AI1087" i="7" s="1"/>
  <c r="AH1087" i="7"/>
  <c r="AJ1087" i="7"/>
  <c r="AF1088" i="7"/>
  <c r="AI1088" i="7" s="1"/>
  <c r="AH1088" i="7"/>
  <c r="AJ1088" i="7"/>
  <c r="AF1089" i="7"/>
  <c r="AI1089" i="7" s="1"/>
  <c r="AH1089" i="7"/>
  <c r="AJ1089" i="7"/>
  <c r="AF1090" i="7"/>
  <c r="AI1090" i="7" s="1"/>
  <c r="AH1090" i="7"/>
  <c r="AJ1090" i="7"/>
  <c r="AF1091" i="7"/>
  <c r="AI1091" i="7" s="1"/>
  <c r="AH1091" i="7"/>
  <c r="AJ1091" i="7"/>
  <c r="AF1092" i="7"/>
  <c r="AI1092" i="7" s="1"/>
  <c r="AH1092" i="7"/>
  <c r="AJ1092" i="7"/>
  <c r="AF1093" i="7"/>
  <c r="AI1093" i="7" s="1"/>
  <c r="AH1093" i="7"/>
  <c r="AJ1093" i="7"/>
  <c r="AF1094" i="7"/>
  <c r="AI1094" i="7" s="1"/>
  <c r="AH1094" i="7"/>
  <c r="AJ1094" i="7"/>
  <c r="AF1095" i="7"/>
  <c r="AI1095" i="7" s="1"/>
  <c r="AH1095" i="7"/>
  <c r="AJ1095" i="7"/>
  <c r="AF1096" i="7"/>
  <c r="AI1096" i="7" s="1"/>
  <c r="AH1096" i="7"/>
  <c r="AJ1096" i="7"/>
  <c r="AF1097" i="7"/>
  <c r="AI1097" i="7" s="1"/>
  <c r="AH1097" i="7"/>
  <c r="AJ1097" i="7"/>
  <c r="AF1098" i="7"/>
  <c r="AI1098" i="7" s="1"/>
  <c r="AH1098" i="7"/>
  <c r="AJ1098" i="7"/>
  <c r="AF1099" i="7"/>
  <c r="AI1099" i="7" s="1"/>
  <c r="AH1099" i="7"/>
  <c r="AJ1099" i="7"/>
  <c r="AF1100" i="7"/>
  <c r="AI1100" i="7" s="1"/>
  <c r="AH1100" i="7"/>
  <c r="AJ1100" i="7"/>
  <c r="AF1101" i="7"/>
  <c r="AI1101" i="7" s="1"/>
  <c r="AH1101" i="7"/>
  <c r="AJ1101" i="7"/>
  <c r="AF1102" i="7"/>
  <c r="AI1102" i="7" s="1"/>
  <c r="AH1102" i="7"/>
  <c r="AJ1102" i="7"/>
  <c r="AF1103" i="7"/>
  <c r="AI1103" i="7" s="1"/>
  <c r="AH1103" i="7"/>
  <c r="AJ1103" i="7"/>
  <c r="AF1104" i="7"/>
  <c r="AI1104" i="7" s="1"/>
  <c r="AH1104" i="7"/>
  <c r="AJ1104" i="7"/>
  <c r="AF1105" i="7"/>
  <c r="AI1105" i="7" s="1"/>
  <c r="AH1105" i="7"/>
  <c r="AJ1105" i="7"/>
  <c r="AF1106" i="7"/>
  <c r="AI1106" i="7" s="1"/>
  <c r="AH1106" i="7"/>
  <c r="AJ1106" i="7"/>
  <c r="AF1107" i="7"/>
  <c r="AI1107" i="7" s="1"/>
  <c r="AH1107" i="7"/>
  <c r="AJ1107" i="7"/>
  <c r="AF1108" i="7"/>
  <c r="AI1108" i="7" s="1"/>
  <c r="AH1108" i="7"/>
  <c r="AJ1108" i="7"/>
  <c r="AF1109" i="7"/>
  <c r="AI1109" i="7" s="1"/>
  <c r="AH1109" i="7"/>
  <c r="AJ1109" i="7"/>
  <c r="AF1110" i="7"/>
  <c r="AI1110" i="7" s="1"/>
  <c r="AH1110" i="7"/>
  <c r="AJ1110" i="7"/>
  <c r="AF1111" i="7"/>
  <c r="AI1111" i="7" s="1"/>
  <c r="AH1111" i="7"/>
  <c r="AJ1111" i="7"/>
  <c r="AF1112" i="7"/>
  <c r="AI1112" i="7" s="1"/>
  <c r="AH1112" i="7"/>
  <c r="AJ1112" i="7"/>
  <c r="AF1113" i="7"/>
  <c r="AI1113" i="7" s="1"/>
  <c r="AH1113" i="7"/>
  <c r="AJ1113" i="7"/>
  <c r="AF1114" i="7"/>
  <c r="AI1114" i="7" s="1"/>
  <c r="AH1114" i="7"/>
  <c r="AJ1114" i="7"/>
  <c r="AF1115" i="7"/>
  <c r="AI1115" i="7" s="1"/>
  <c r="AH1115" i="7"/>
  <c r="AJ1115" i="7"/>
  <c r="AF1116" i="7"/>
  <c r="AI1116" i="7" s="1"/>
  <c r="AH1116" i="7"/>
  <c r="AJ1116" i="7"/>
  <c r="AF1117" i="7"/>
  <c r="AI1117" i="7" s="1"/>
  <c r="AH1117" i="7"/>
  <c r="AJ1117" i="7"/>
  <c r="AF1118" i="7"/>
  <c r="AI1118" i="7" s="1"/>
  <c r="AH1118" i="7"/>
  <c r="AJ1118" i="7"/>
  <c r="AF1119" i="7"/>
  <c r="AI1119" i="7" s="1"/>
  <c r="AH1119" i="7"/>
  <c r="AJ1119" i="7"/>
  <c r="AF1124" i="7"/>
  <c r="AI1124" i="7" s="1"/>
  <c r="AH1124" i="7"/>
  <c r="AJ1124" i="7"/>
  <c r="AF1125" i="7"/>
  <c r="AI1125" i="7" s="1"/>
  <c r="AH1125" i="7"/>
  <c r="AJ1125" i="7"/>
  <c r="AF1126" i="7"/>
  <c r="AI1126" i="7" s="1"/>
  <c r="AH1126" i="7"/>
  <c r="AJ1126" i="7"/>
  <c r="AF1127" i="7"/>
  <c r="AI1127" i="7" s="1"/>
  <c r="AH1127" i="7"/>
  <c r="AJ1127" i="7"/>
  <c r="AF1128" i="7"/>
  <c r="AI1128" i="7" s="1"/>
  <c r="AH1128" i="7"/>
  <c r="AJ1128" i="7"/>
  <c r="AF1129" i="7"/>
  <c r="AI1129" i="7" s="1"/>
  <c r="AH1129" i="7"/>
  <c r="AJ1129" i="7"/>
  <c r="AF1130" i="7"/>
  <c r="AI1130" i="7" s="1"/>
  <c r="AH1130" i="7"/>
  <c r="AJ1130" i="7"/>
  <c r="AF1131" i="7"/>
  <c r="AI1131" i="7" s="1"/>
  <c r="AH1131" i="7"/>
  <c r="AJ1131" i="7"/>
  <c r="AF1132" i="7"/>
  <c r="AI1132" i="7" s="1"/>
  <c r="AH1132" i="7"/>
  <c r="AJ1132" i="7"/>
  <c r="AF1133" i="7"/>
  <c r="AI1133" i="7" s="1"/>
  <c r="AH1133" i="7"/>
  <c r="AJ1133" i="7"/>
  <c r="AF1134" i="7"/>
  <c r="AI1134" i="7" s="1"/>
  <c r="AH1134" i="7"/>
  <c r="AJ1134" i="7"/>
  <c r="AF1135" i="7"/>
  <c r="AI1135" i="7" s="1"/>
  <c r="AH1135" i="7"/>
  <c r="AJ1135" i="7"/>
  <c r="AF1136" i="7"/>
  <c r="AI1136" i="7" s="1"/>
  <c r="AH1136" i="7"/>
  <c r="AJ1136" i="7"/>
  <c r="AF1137" i="7"/>
  <c r="AI1137" i="7" s="1"/>
  <c r="AH1137" i="7"/>
  <c r="AJ1137" i="7"/>
  <c r="AF1138" i="7"/>
  <c r="AI1138" i="7" s="1"/>
  <c r="AH1138" i="7"/>
  <c r="AJ1138" i="7"/>
  <c r="AF1139" i="7"/>
  <c r="AI1139" i="7" s="1"/>
  <c r="AH1139" i="7"/>
  <c r="AJ1139" i="7"/>
  <c r="AF1140" i="7"/>
  <c r="AI1140" i="7" s="1"/>
  <c r="AH1140" i="7"/>
  <c r="AJ1140" i="7"/>
  <c r="AF1141" i="7"/>
  <c r="AI1141" i="7" s="1"/>
  <c r="AH1141" i="7"/>
  <c r="AJ1141" i="7"/>
  <c r="AF1142" i="7"/>
  <c r="AI1142" i="7" s="1"/>
  <c r="AH1142" i="7"/>
  <c r="AJ1142" i="7"/>
  <c r="AF1143" i="7"/>
  <c r="AI1143" i="7" s="1"/>
  <c r="AH1143" i="7"/>
  <c r="AJ1143" i="7"/>
  <c r="AF1144" i="7"/>
  <c r="AI1144" i="7" s="1"/>
  <c r="AH1144" i="7"/>
  <c r="AJ1144" i="7"/>
  <c r="AF1145" i="7"/>
  <c r="AI1145" i="7" s="1"/>
  <c r="AH1145" i="7"/>
  <c r="AJ1145" i="7"/>
  <c r="AF1146" i="7"/>
  <c r="AI1146" i="7" s="1"/>
  <c r="AH1146" i="7"/>
  <c r="AJ1146" i="7"/>
  <c r="AF1147" i="7"/>
  <c r="AI1147" i="7" s="1"/>
  <c r="AH1147" i="7"/>
  <c r="AJ1147" i="7"/>
  <c r="AF1148" i="7"/>
  <c r="AI1148" i="7" s="1"/>
  <c r="AH1148" i="7"/>
  <c r="AJ1148" i="7"/>
  <c r="AF1149" i="7"/>
  <c r="AI1149" i="7" s="1"/>
  <c r="AH1149" i="7"/>
  <c r="AJ1149" i="7"/>
  <c r="AF1150" i="7"/>
  <c r="AI1150" i="7" s="1"/>
  <c r="AH1150" i="7"/>
  <c r="AJ1150" i="7"/>
  <c r="AF1151" i="7"/>
  <c r="AI1151" i="7" s="1"/>
  <c r="AH1151" i="7"/>
  <c r="AJ1151" i="7"/>
  <c r="AF1152" i="7"/>
  <c r="AI1152" i="7" s="1"/>
  <c r="AH1152" i="7"/>
  <c r="AJ1152" i="7"/>
  <c r="AF1153" i="7"/>
  <c r="AI1153" i="7" s="1"/>
  <c r="AH1153" i="7"/>
  <c r="AJ1153" i="7"/>
  <c r="AF1154" i="7"/>
  <c r="AI1154" i="7" s="1"/>
  <c r="AH1154" i="7"/>
  <c r="AJ1154" i="7"/>
  <c r="AF1155" i="7"/>
  <c r="AI1155" i="7" s="1"/>
  <c r="AH1155" i="7"/>
  <c r="AJ1155" i="7"/>
  <c r="AF1156" i="7"/>
  <c r="AI1156" i="7" s="1"/>
  <c r="AH1156" i="7"/>
  <c r="AJ1156" i="7"/>
  <c r="AF1157" i="7"/>
  <c r="AI1157" i="7" s="1"/>
  <c r="AH1157" i="7"/>
  <c r="AJ1157" i="7"/>
  <c r="AF1158" i="7"/>
  <c r="AI1158" i="7" s="1"/>
  <c r="AH1158" i="7"/>
  <c r="AJ1158" i="7"/>
  <c r="AF1159" i="7"/>
  <c r="AI1159" i="7" s="1"/>
  <c r="AH1159" i="7"/>
  <c r="AJ1159" i="7"/>
  <c r="AF1160" i="7"/>
  <c r="AI1160" i="7" s="1"/>
  <c r="AH1160" i="7"/>
  <c r="AJ1160" i="7"/>
  <c r="AF1161" i="7"/>
  <c r="AI1161" i="7" s="1"/>
  <c r="AH1161" i="7"/>
  <c r="AJ1161" i="7"/>
  <c r="AF1162" i="7"/>
  <c r="AI1162" i="7" s="1"/>
  <c r="AH1162" i="7"/>
  <c r="AJ1162" i="7"/>
  <c r="AF1163" i="7"/>
  <c r="AI1163" i="7" s="1"/>
  <c r="AH1163" i="7"/>
  <c r="AJ1163" i="7"/>
  <c r="AF1164" i="7"/>
  <c r="AI1164" i="7" s="1"/>
  <c r="AH1164" i="7"/>
  <c r="AJ1164" i="7"/>
  <c r="AF1165" i="7"/>
  <c r="AI1165" i="7" s="1"/>
  <c r="AH1165" i="7"/>
  <c r="AJ1165" i="7"/>
  <c r="AF1166" i="7"/>
  <c r="AI1166" i="7" s="1"/>
  <c r="AH1166" i="7"/>
  <c r="AJ1166" i="7"/>
  <c r="AF1167" i="7"/>
  <c r="AI1167" i="7" s="1"/>
  <c r="AH1167" i="7"/>
  <c r="AJ1167" i="7"/>
  <c r="AF1168" i="7"/>
  <c r="AI1168" i="7" s="1"/>
  <c r="AH1168" i="7"/>
  <c r="AJ1168" i="7"/>
  <c r="AF1169" i="7"/>
  <c r="AI1169" i="7" s="1"/>
  <c r="AH1169" i="7"/>
  <c r="AJ1169" i="7"/>
  <c r="AF1170" i="7"/>
  <c r="AI1170" i="7" s="1"/>
  <c r="AH1170" i="7"/>
  <c r="AJ1170" i="7"/>
  <c r="AF1171" i="7"/>
  <c r="AI1171" i="7" s="1"/>
  <c r="AH1171" i="7"/>
  <c r="AJ1171" i="7"/>
  <c r="AF1176" i="7"/>
  <c r="AI1176" i="7" s="1"/>
  <c r="AH1176" i="7"/>
  <c r="AJ1176" i="7"/>
  <c r="AF1177" i="7"/>
  <c r="AI1177" i="7" s="1"/>
  <c r="AH1177" i="7"/>
  <c r="AJ1177" i="7"/>
  <c r="AF1178" i="7"/>
  <c r="AI1178" i="7" s="1"/>
  <c r="AH1178" i="7"/>
  <c r="AJ1178" i="7"/>
  <c r="AF1179" i="7"/>
  <c r="AI1179" i="7" s="1"/>
  <c r="AH1179" i="7"/>
  <c r="AJ1179" i="7"/>
  <c r="AF1180" i="7"/>
  <c r="AI1180" i="7" s="1"/>
  <c r="AH1180" i="7"/>
  <c r="AJ1180" i="7"/>
  <c r="AF1181" i="7"/>
  <c r="AI1181" i="7" s="1"/>
  <c r="AH1181" i="7"/>
  <c r="AJ1181" i="7"/>
  <c r="AF1182" i="7"/>
  <c r="AI1182" i="7" s="1"/>
  <c r="AH1182" i="7"/>
  <c r="AJ1182" i="7"/>
  <c r="AF1183" i="7"/>
  <c r="AI1183" i="7" s="1"/>
  <c r="AH1183" i="7"/>
  <c r="AJ1183" i="7"/>
  <c r="AF1184" i="7"/>
  <c r="AI1184" i="7" s="1"/>
  <c r="AH1184" i="7"/>
  <c r="AJ1184" i="7"/>
  <c r="AF1185" i="7"/>
  <c r="AI1185" i="7" s="1"/>
  <c r="AH1185" i="7"/>
  <c r="AJ1185" i="7"/>
  <c r="AF1186" i="7"/>
  <c r="AI1186" i="7" s="1"/>
  <c r="AH1186" i="7"/>
  <c r="AJ1186" i="7"/>
  <c r="AF1187" i="7"/>
  <c r="AI1187" i="7" s="1"/>
  <c r="AH1187" i="7"/>
  <c r="AJ1187" i="7"/>
  <c r="AF1188" i="7"/>
  <c r="AI1188" i="7" s="1"/>
  <c r="AH1188" i="7"/>
  <c r="AJ1188" i="7"/>
  <c r="AF1189" i="7"/>
  <c r="AI1189" i="7" s="1"/>
  <c r="AH1189" i="7"/>
  <c r="AJ1189" i="7"/>
  <c r="AF1190" i="7"/>
  <c r="AI1190" i="7" s="1"/>
  <c r="AH1190" i="7"/>
  <c r="AJ1190" i="7"/>
  <c r="AF1191" i="7"/>
  <c r="AI1191" i="7" s="1"/>
  <c r="AH1191" i="7"/>
  <c r="AJ1191" i="7"/>
  <c r="AF1192" i="7"/>
  <c r="AI1192" i="7" s="1"/>
  <c r="AH1192" i="7"/>
  <c r="AJ1192" i="7"/>
  <c r="AF1193" i="7"/>
  <c r="AI1193" i="7" s="1"/>
  <c r="AH1193" i="7"/>
  <c r="AJ1193" i="7"/>
  <c r="AF1194" i="7"/>
  <c r="AI1194" i="7" s="1"/>
  <c r="AH1194" i="7"/>
  <c r="AJ1194" i="7"/>
  <c r="AF1195" i="7"/>
  <c r="AI1195" i="7" s="1"/>
  <c r="AH1195" i="7"/>
  <c r="AJ1195" i="7"/>
  <c r="AF1196" i="7"/>
  <c r="AI1196" i="7" s="1"/>
  <c r="AH1196" i="7"/>
  <c r="AJ1196" i="7"/>
  <c r="AF1197" i="7"/>
  <c r="AI1197" i="7" s="1"/>
  <c r="AH1197" i="7"/>
  <c r="AJ1197" i="7"/>
  <c r="AF1198" i="7"/>
  <c r="AI1198" i="7" s="1"/>
  <c r="AH1198" i="7"/>
  <c r="AJ1198" i="7"/>
  <c r="AF1199" i="7"/>
  <c r="AI1199" i="7" s="1"/>
  <c r="AH1199" i="7"/>
  <c r="AJ1199" i="7"/>
  <c r="AF1200" i="7"/>
  <c r="AI1200" i="7" s="1"/>
  <c r="AH1200" i="7"/>
  <c r="AJ1200" i="7"/>
  <c r="AF1201" i="7"/>
  <c r="AI1201" i="7" s="1"/>
  <c r="AH1201" i="7"/>
  <c r="AJ1201" i="7"/>
  <c r="AF1202" i="7"/>
  <c r="AI1202" i="7" s="1"/>
  <c r="AH1202" i="7"/>
  <c r="AJ1202" i="7"/>
  <c r="AF1203" i="7"/>
  <c r="AI1203" i="7" s="1"/>
  <c r="AH1203" i="7"/>
  <c r="AJ1203" i="7"/>
  <c r="AF1204" i="7"/>
  <c r="AI1204" i="7" s="1"/>
  <c r="AH1204" i="7"/>
  <c r="AJ1204" i="7"/>
  <c r="AF1205" i="7"/>
  <c r="AI1205" i="7" s="1"/>
  <c r="AH1205" i="7"/>
  <c r="AJ1205" i="7"/>
  <c r="AF1206" i="7"/>
  <c r="AI1206" i="7" s="1"/>
  <c r="AH1206" i="7"/>
  <c r="AJ1206" i="7"/>
  <c r="AF1207" i="7"/>
  <c r="AI1207" i="7" s="1"/>
  <c r="AH1207" i="7"/>
  <c r="AJ1207" i="7"/>
  <c r="AF1208" i="7"/>
  <c r="AI1208" i="7" s="1"/>
  <c r="AH1208" i="7"/>
  <c r="AJ1208" i="7"/>
  <c r="AF1209" i="7"/>
  <c r="AI1209" i="7" s="1"/>
  <c r="AH1209" i="7"/>
  <c r="AJ1209" i="7"/>
  <c r="AF1210" i="7"/>
  <c r="AI1210" i="7" s="1"/>
  <c r="AH1210" i="7"/>
  <c r="AJ1210" i="7"/>
  <c r="AF1211" i="7"/>
  <c r="AI1211" i="7" s="1"/>
  <c r="AH1211" i="7"/>
  <c r="AJ1211" i="7"/>
  <c r="AF1212" i="7"/>
  <c r="AI1212" i="7" s="1"/>
  <c r="AH1212" i="7"/>
  <c r="AJ1212" i="7"/>
  <c r="AF1213" i="7"/>
  <c r="AI1213" i="7" s="1"/>
  <c r="AH1213" i="7"/>
  <c r="AJ1213" i="7"/>
  <c r="AF1214" i="7"/>
  <c r="AI1214" i="7" s="1"/>
  <c r="AH1214" i="7"/>
  <c r="AJ1214" i="7"/>
  <c r="AF1215" i="7"/>
  <c r="AI1215" i="7" s="1"/>
  <c r="AH1215" i="7"/>
  <c r="AJ1215" i="7"/>
  <c r="AF1216" i="7"/>
  <c r="AI1216" i="7" s="1"/>
  <c r="AH1216" i="7"/>
  <c r="AJ1216" i="7"/>
  <c r="AF1217" i="7"/>
  <c r="AI1217" i="7" s="1"/>
  <c r="AH1217" i="7"/>
  <c r="AJ1217" i="7"/>
  <c r="AF1218" i="7"/>
  <c r="AI1218" i="7" s="1"/>
  <c r="AH1218" i="7"/>
  <c r="AJ1218" i="7"/>
  <c r="AF1219" i="7"/>
  <c r="AI1219" i="7" s="1"/>
  <c r="AH1219" i="7"/>
  <c r="AJ1219" i="7"/>
  <c r="AF1220" i="7"/>
  <c r="AI1220" i="7" s="1"/>
  <c r="AH1220" i="7"/>
  <c r="AJ1220" i="7"/>
  <c r="AF1221" i="7"/>
  <c r="AI1221" i="7" s="1"/>
  <c r="AH1221" i="7"/>
  <c r="AJ1221" i="7"/>
  <c r="AF1222" i="7"/>
  <c r="AI1222" i="7" s="1"/>
  <c r="AH1222" i="7"/>
  <c r="AJ1222" i="7"/>
  <c r="AF1223" i="7"/>
  <c r="AI1223" i="7" s="1"/>
  <c r="AH1223" i="7"/>
  <c r="AJ1223" i="7"/>
  <c r="AF1230" i="7"/>
  <c r="AI1230" i="7" s="1"/>
  <c r="AH1230" i="7"/>
  <c r="AJ1230" i="7"/>
  <c r="AF1231" i="7"/>
  <c r="AI1231" i="7" s="1"/>
  <c r="AH1231" i="7"/>
  <c r="AJ1231" i="7"/>
  <c r="AF1232" i="7"/>
  <c r="AI1232" i="7" s="1"/>
  <c r="AH1232" i="7"/>
  <c r="AJ1232" i="7"/>
  <c r="AF1233" i="7"/>
  <c r="AI1233" i="7" s="1"/>
  <c r="AH1233" i="7"/>
  <c r="AJ1233" i="7"/>
  <c r="AF1234" i="7"/>
  <c r="AI1234" i="7" s="1"/>
  <c r="AH1234" i="7"/>
  <c r="AJ1234" i="7"/>
  <c r="AF1235" i="7"/>
  <c r="AI1235" i="7" s="1"/>
  <c r="AH1235" i="7"/>
  <c r="AJ1235" i="7"/>
  <c r="AF1236" i="7"/>
  <c r="AI1236" i="7" s="1"/>
  <c r="AH1236" i="7"/>
  <c r="AJ1236" i="7"/>
  <c r="AF1237" i="7"/>
  <c r="AI1237" i="7" s="1"/>
  <c r="AH1237" i="7"/>
  <c r="AJ1237" i="7"/>
  <c r="AF1238" i="7"/>
  <c r="AI1238" i="7" s="1"/>
  <c r="AH1238" i="7"/>
  <c r="AJ1238" i="7"/>
  <c r="AF1239" i="7"/>
  <c r="AI1239" i="7" s="1"/>
  <c r="AH1239" i="7"/>
  <c r="AJ1239" i="7"/>
  <c r="AF1240" i="7"/>
  <c r="AI1240" i="7" s="1"/>
  <c r="AH1240" i="7"/>
  <c r="AJ1240" i="7"/>
  <c r="AF1241" i="7"/>
  <c r="AI1241" i="7" s="1"/>
  <c r="AH1241" i="7"/>
  <c r="AJ1241" i="7"/>
  <c r="AF1242" i="7"/>
  <c r="AI1242" i="7" s="1"/>
  <c r="AH1242" i="7"/>
  <c r="AJ1242" i="7"/>
  <c r="AF1243" i="7"/>
  <c r="AI1243" i="7" s="1"/>
  <c r="AH1243" i="7"/>
  <c r="AJ1243" i="7"/>
  <c r="AF1244" i="7"/>
  <c r="AI1244" i="7" s="1"/>
  <c r="AH1244" i="7"/>
  <c r="AJ1244" i="7"/>
  <c r="AF1245" i="7"/>
  <c r="AI1245" i="7" s="1"/>
  <c r="AH1245" i="7"/>
  <c r="AJ1245" i="7"/>
  <c r="AF1246" i="7"/>
  <c r="AI1246" i="7" s="1"/>
  <c r="AH1246" i="7"/>
  <c r="AJ1246" i="7"/>
  <c r="AF1247" i="7"/>
  <c r="AI1247" i="7" s="1"/>
  <c r="AH1247" i="7"/>
  <c r="AJ1247" i="7"/>
  <c r="AF1248" i="7"/>
  <c r="AI1248" i="7" s="1"/>
  <c r="AH1248" i="7"/>
  <c r="AJ1248" i="7"/>
  <c r="AF1249" i="7"/>
  <c r="AI1249" i="7" s="1"/>
  <c r="AH1249" i="7"/>
  <c r="AJ1249" i="7"/>
  <c r="AF1250" i="7"/>
  <c r="AI1250" i="7" s="1"/>
  <c r="AH1250" i="7"/>
  <c r="AJ1250" i="7"/>
  <c r="AF1251" i="7"/>
  <c r="AI1251" i="7" s="1"/>
  <c r="AH1251" i="7"/>
  <c r="AJ1251" i="7"/>
  <c r="AF1252" i="7"/>
  <c r="AI1252" i="7" s="1"/>
  <c r="AH1252" i="7"/>
  <c r="AJ1252" i="7"/>
  <c r="AF1253" i="7"/>
  <c r="AI1253" i="7" s="1"/>
  <c r="AH1253" i="7"/>
  <c r="AJ1253" i="7"/>
  <c r="AF1254" i="7"/>
  <c r="AI1254" i="7" s="1"/>
  <c r="AH1254" i="7"/>
  <c r="AJ1254" i="7"/>
  <c r="AF1255" i="7"/>
  <c r="AI1255" i="7" s="1"/>
  <c r="AH1255" i="7"/>
  <c r="AJ1255" i="7"/>
  <c r="AF1256" i="7"/>
  <c r="AI1256" i="7" s="1"/>
  <c r="AH1256" i="7"/>
  <c r="AJ1256" i="7"/>
  <c r="AF1257" i="7"/>
  <c r="AI1257" i="7" s="1"/>
  <c r="AH1257" i="7"/>
  <c r="AJ1257" i="7"/>
  <c r="AF1258" i="7"/>
  <c r="AI1258" i="7" s="1"/>
  <c r="AH1258" i="7"/>
  <c r="AJ1258" i="7"/>
  <c r="AF1259" i="7"/>
  <c r="AI1259" i="7" s="1"/>
  <c r="AH1259" i="7"/>
  <c r="AJ1259" i="7"/>
  <c r="AF1260" i="7"/>
  <c r="AI1260" i="7" s="1"/>
  <c r="AH1260" i="7"/>
  <c r="AJ1260" i="7"/>
  <c r="AF1261" i="7"/>
  <c r="AI1261" i="7" s="1"/>
  <c r="AH1261" i="7"/>
  <c r="AJ1261" i="7"/>
  <c r="AF1262" i="7"/>
  <c r="AI1262" i="7" s="1"/>
  <c r="AH1262" i="7"/>
  <c r="AJ1262" i="7"/>
  <c r="AF1263" i="7"/>
  <c r="AI1263" i="7" s="1"/>
  <c r="AH1263" i="7"/>
  <c r="AJ1263" i="7"/>
  <c r="AF1264" i="7"/>
  <c r="AI1264" i="7" s="1"/>
  <c r="AH1264" i="7"/>
  <c r="AJ1264" i="7"/>
  <c r="AF1265" i="7"/>
  <c r="AI1265" i="7" s="1"/>
  <c r="AH1265" i="7"/>
  <c r="AJ1265" i="7"/>
  <c r="AF1266" i="7"/>
  <c r="AI1266" i="7" s="1"/>
  <c r="AH1266" i="7"/>
  <c r="AJ1266" i="7"/>
  <c r="AF1267" i="7"/>
  <c r="AI1267" i="7" s="1"/>
  <c r="AH1267" i="7"/>
  <c r="AJ1267" i="7"/>
  <c r="AF1268" i="7"/>
  <c r="AI1268" i="7" s="1"/>
  <c r="AH1268" i="7"/>
  <c r="AJ1268" i="7"/>
  <c r="AF1269" i="7"/>
  <c r="AI1269" i="7" s="1"/>
  <c r="AH1269" i="7"/>
  <c r="AJ1269" i="7"/>
  <c r="AF1270" i="7"/>
  <c r="AI1270" i="7" s="1"/>
  <c r="AH1270" i="7"/>
  <c r="AJ1270" i="7"/>
  <c r="AF1271" i="7"/>
  <c r="AI1271" i="7" s="1"/>
  <c r="AH1271" i="7"/>
  <c r="AJ1271" i="7"/>
  <c r="AF1272" i="7"/>
  <c r="AI1272" i="7" s="1"/>
  <c r="AH1272" i="7"/>
  <c r="AJ1272" i="7"/>
  <c r="AF1273" i="7"/>
  <c r="AI1273" i="7" s="1"/>
  <c r="AH1273" i="7"/>
  <c r="AJ1273" i="7"/>
  <c r="AF1274" i="7"/>
  <c r="AI1274" i="7" s="1"/>
  <c r="AH1274" i="7"/>
  <c r="AJ1274" i="7"/>
  <c r="AF1275" i="7"/>
  <c r="AI1275" i="7" s="1"/>
  <c r="AH1275" i="7"/>
  <c r="AJ1275" i="7"/>
  <c r="AF1276" i="7"/>
  <c r="AI1276" i="7" s="1"/>
  <c r="AH1276" i="7"/>
  <c r="AJ1276" i="7"/>
  <c r="AF1277" i="7"/>
  <c r="AI1277" i="7" s="1"/>
  <c r="AH1277" i="7"/>
  <c r="AJ1277" i="7"/>
  <c r="AF1282" i="7"/>
  <c r="AI1282" i="7" s="1"/>
  <c r="AH1282" i="7"/>
  <c r="AJ1282" i="7"/>
  <c r="AF1283" i="7"/>
  <c r="AI1283" i="7" s="1"/>
  <c r="AH1283" i="7"/>
  <c r="AJ1283" i="7"/>
  <c r="AF1284" i="7"/>
  <c r="AI1284" i="7" s="1"/>
  <c r="AH1284" i="7"/>
  <c r="AJ1284" i="7"/>
  <c r="AF1285" i="7"/>
  <c r="AI1285" i="7" s="1"/>
  <c r="AH1285" i="7"/>
  <c r="AJ1285" i="7"/>
  <c r="AF1286" i="7"/>
  <c r="AI1286" i="7" s="1"/>
  <c r="AH1286" i="7"/>
  <c r="AJ1286" i="7"/>
  <c r="AF1287" i="7"/>
  <c r="AI1287" i="7" s="1"/>
  <c r="AH1287" i="7"/>
  <c r="AJ1287" i="7"/>
  <c r="AF1288" i="7"/>
  <c r="AI1288" i="7" s="1"/>
  <c r="AH1288" i="7"/>
  <c r="AJ1288" i="7"/>
  <c r="AF1289" i="7"/>
  <c r="AI1289" i="7" s="1"/>
  <c r="AH1289" i="7"/>
  <c r="AJ1289" i="7"/>
  <c r="AF1290" i="7"/>
  <c r="AI1290" i="7" s="1"/>
  <c r="AH1290" i="7"/>
  <c r="AJ1290" i="7"/>
  <c r="AF1291" i="7"/>
  <c r="AI1291" i="7" s="1"/>
  <c r="AH1291" i="7"/>
  <c r="AJ1291" i="7"/>
  <c r="AF1292" i="7"/>
  <c r="AI1292" i="7" s="1"/>
  <c r="AH1292" i="7"/>
  <c r="AJ1292" i="7"/>
  <c r="AF1293" i="7"/>
  <c r="AI1293" i="7" s="1"/>
  <c r="AH1293" i="7"/>
  <c r="AJ1293" i="7"/>
  <c r="AF1294" i="7"/>
  <c r="AI1294" i="7" s="1"/>
  <c r="AH1294" i="7"/>
  <c r="AJ1294" i="7"/>
  <c r="AF1295" i="7"/>
  <c r="AI1295" i="7" s="1"/>
  <c r="AH1295" i="7"/>
  <c r="AJ1295" i="7"/>
  <c r="AF1296" i="7"/>
  <c r="AI1296" i="7" s="1"/>
  <c r="AH1296" i="7"/>
  <c r="AJ1296" i="7"/>
  <c r="AF1297" i="7"/>
  <c r="AI1297" i="7" s="1"/>
  <c r="AH1297" i="7"/>
  <c r="AJ1297" i="7"/>
  <c r="AF1298" i="7"/>
  <c r="AI1298" i="7" s="1"/>
  <c r="AH1298" i="7"/>
  <c r="AJ1298" i="7"/>
  <c r="AF1299" i="7"/>
  <c r="AI1299" i="7" s="1"/>
  <c r="AH1299" i="7"/>
  <c r="AJ1299" i="7"/>
  <c r="AF1300" i="7"/>
  <c r="AI1300" i="7" s="1"/>
  <c r="AH1300" i="7"/>
  <c r="AJ1300" i="7"/>
  <c r="AF1301" i="7"/>
  <c r="AI1301" i="7" s="1"/>
  <c r="AH1301" i="7"/>
  <c r="AJ1301" i="7"/>
  <c r="AF1302" i="7"/>
  <c r="AI1302" i="7" s="1"/>
  <c r="AH1302" i="7"/>
  <c r="AJ1302" i="7"/>
  <c r="AF1303" i="7"/>
  <c r="AI1303" i="7" s="1"/>
  <c r="AH1303" i="7"/>
  <c r="AJ1303" i="7"/>
  <c r="AF1304" i="7"/>
  <c r="AI1304" i="7" s="1"/>
  <c r="AH1304" i="7"/>
  <c r="AJ1304" i="7"/>
  <c r="AF1305" i="7"/>
  <c r="AI1305" i="7" s="1"/>
  <c r="AH1305" i="7"/>
  <c r="AJ1305" i="7"/>
  <c r="AF1306" i="7"/>
  <c r="AI1306" i="7" s="1"/>
  <c r="AH1306" i="7"/>
  <c r="AJ1306" i="7"/>
  <c r="AF1307" i="7"/>
  <c r="AI1307" i="7" s="1"/>
  <c r="AH1307" i="7"/>
  <c r="AJ1307" i="7"/>
  <c r="AF1308" i="7"/>
  <c r="AI1308" i="7" s="1"/>
  <c r="AH1308" i="7"/>
  <c r="AJ1308" i="7"/>
  <c r="AF1309" i="7"/>
  <c r="AI1309" i="7" s="1"/>
  <c r="AH1309" i="7"/>
  <c r="AJ1309" i="7"/>
  <c r="AF1310" i="7"/>
  <c r="AI1310" i="7" s="1"/>
  <c r="AH1310" i="7"/>
  <c r="AJ1310" i="7"/>
  <c r="AF1311" i="7"/>
  <c r="AI1311" i="7" s="1"/>
  <c r="AH1311" i="7"/>
  <c r="AJ1311" i="7"/>
  <c r="AF1312" i="7"/>
  <c r="AI1312" i="7" s="1"/>
  <c r="AH1312" i="7"/>
  <c r="AJ1312" i="7"/>
  <c r="AF1313" i="7"/>
  <c r="AI1313" i="7" s="1"/>
  <c r="AH1313" i="7"/>
  <c r="AJ1313" i="7"/>
  <c r="AF1314" i="7"/>
  <c r="AI1314" i="7" s="1"/>
  <c r="AH1314" i="7"/>
  <c r="AJ1314" i="7"/>
  <c r="AF1315" i="7"/>
  <c r="AI1315" i="7" s="1"/>
  <c r="AH1315" i="7"/>
  <c r="AJ1315" i="7"/>
  <c r="AF1316" i="7"/>
  <c r="AI1316" i="7" s="1"/>
  <c r="AH1316" i="7"/>
  <c r="AJ1316" i="7"/>
  <c r="AF1317" i="7"/>
  <c r="AI1317" i="7" s="1"/>
  <c r="AH1317" i="7"/>
  <c r="AJ1317" i="7"/>
  <c r="AF1318" i="7"/>
  <c r="AI1318" i="7" s="1"/>
  <c r="AH1318" i="7"/>
  <c r="AJ1318" i="7"/>
  <c r="AF1319" i="7"/>
  <c r="AI1319" i="7" s="1"/>
  <c r="AH1319" i="7"/>
  <c r="AJ1319" i="7"/>
  <c r="AF1320" i="7"/>
  <c r="AI1320" i="7" s="1"/>
  <c r="AH1320" i="7"/>
  <c r="AJ1320" i="7"/>
  <c r="AF1321" i="7"/>
  <c r="AI1321" i="7" s="1"/>
  <c r="AH1321" i="7"/>
  <c r="AJ1321" i="7"/>
  <c r="AF1322" i="7"/>
  <c r="AI1322" i="7" s="1"/>
  <c r="AH1322" i="7"/>
  <c r="AJ1322" i="7"/>
  <c r="AF1323" i="7"/>
  <c r="AI1323" i="7" s="1"/>
  <c r="AH1323" i="7"/>
  <c r="AJ1323" i="7"/>
  <c r="AF1324" i="7"/>
  <c r="AI1324" i="7" s="1"/>
  <c r="AH1324" i="7"/>
  <c r="AJ1324" i="7"/>
  <c r="AF1325" i="7"/>
  <c r="AI1325" i="7" s="1"/>
  <c r="AH1325" i="7"/>
  <c r="AJ1325" i="7"/>
  <c r="AF1326" i="7"/>
  <c r="AI1326" i="7" s="1"/>
  <c r="AH1326" i="7"/>
  <c r="AJ1326" i="7"/>
  <c r="AF1327" i="7"/>
  <c r="AI1327" i="7" s="1"/>
  <c r="AH1327" i="7"/>
  <c r="AJ1327" i="7"/>
  <c r="AF1328" i="7"/>
  <c r="AI1328" i="7" s="1"/>
  <c r="AH1328" i="7"/>
  <c r="AJ1328" i="7"/>
  <c r="AF1329" i="7"/>
  <c r="AI1329" i="7" s="1"/>
  <c r="AH1329" i="7"/>
  <c r="AJ1329" i="7"/>
  <c r="AF1334" i="7"/>
  <c r="AI1334" i="7" s="1"/>
  <c r="AH1334" i="7"/>
  <c r="AJ1334" i="7"/>
  <c r="AF1335" i="7"/>
  <c r="AI1335" i="7" s="1"/>
  <c r="AH1335" i="7"/>
  <c r="AJ1335" i="7"/>
  <c r="AF1336" i="7"/>
  <c r="AI1336" i="7" s="1"/>
  <c r="AH1336" i="7"/>
  <c r="AJ1336" i="7"/>
  <c r="AF1337" i="7"/>
  <c r="AI1337" i="7" s="1"/>
  <c r="AH1337" i="7"/>
  <c r="AJ1337" i="7"/>
  <c r="AF1338" i="7"/>
  <c r="AI1338" i="7" s="1"/>
  <c r="AH1338" i="7"/>
  <c r="AJ1338" i="7"/>
  <c r="AF1339" i="7"/>
  <c r="AI1339" i="7" s="1"/>
  <c r="AH1339" i="7"/>
  <c r="AJ1339" i="7"/>
  <c r="AF1340" i="7"/>
  <c r="AI1340" i="7" s="1"/>
  <c r="AH1340" i="7"/>
  <c r="AJ1340" i="7"/>
  <c r="AF1341" i="7"/>
  <c r="AI1341" i="7" s="1"/>
  <c r="AH1341" i="7"/>
  <c r="AJ1341" i="7"/>
  <c r="AF1342" i="7"/>
  <c r="AI1342" i="7" s="1"/>
  <c r="AH1342" i="7"/>
  <c r="AJ1342" i="7"/>
  <c r="AF1343" i="7"/>
  <c r="AI1343" i="7" s="1"/>
  <c r="AH1343" i="7"/>
  <c r="AJ1343" i="7"/>
  <c r="AF1344" i="7"/>
  <c r="AI1344" i="7" s="1"/>
  <c r="AH1344" i="7"/>
  <c r="AJ1344" i="7"/>
  <c r="AF1345" i="7"/>
  <c r="AI1345" i="7" s="1"/>
  <c r="AH1345" i="7"/>
  <c r="AJ1345" i="7"/>
  <c r="AF1346" i="7"/>
  <c r="AI1346" i="7" s="1"/>
  <c r="AH1346" i="7"/>
  <c r="AJ1346" i="7"/>
  <c r="AF1347" i="7"/>
  <c r="AI1347" i="7" s="1"/>
  <c r="AH1347" i="7"/>
  <c r="AJ1347" i="7"/>
  <c r="AF1348" i="7"/>
  <c r="AI1348" i="7" s="1"/>
  <c r="AH1348" i="7"/>
  <c r="AJ1348" i="7"/>
  <c r="AF1349" i="7"/>
  <c r="AI1349" i="7" s="1"/>
  <c r="AH1349" i="7"/>
  <c r="AJ1349" i="7"/>
  <c r="AF1350" i="7"/>
  <c r="AI1350" i="7" s="1"/>
  <c r="AH1350" i="7"/>
  <c r="AJ1350" i="7"/>
  <c r="AF1351" i="7"/>
  <c r="AI1351" i="7" s="1"/>
  <c r="AH1351" i="7"/>
  <c r="AJ1351" i="7"/>
  <c r="AF1352" i="7"/>
  <c r="AI1352" i="7" s="1"/>
  <c r="AH1352" i="7"/>
  <c r="AJ1352" i="7"/>
  <c r="AF1353" i="7"/>
  <c r="AI1353" i="7" s="1"/>
  <c r="AH1353" i="7"/>
  <c r="AJ1353" i="7"/>
  <c r="AF1354" i="7"/>
  <c r="AI1354" i="7" s="1"/>
  <c r="AH1354" i="7"/>
  <c r="AJ1354" i="7"/>
  <c r="AF1355" i="7"/>
  <c r="AI1355" i="7" s="1"/>
  <c r="AH1355" i="7"/>
  <c r="AJ1355" i="7"/>
  <c r="AF1356" i="7"/>
  <c r="AI1356" i="7" s="1"/>
  <c r="AH1356" i="7"/>
  <c r="AJ1356" i="7"/>
  <c r="AF1357" i="7"/>
  <c r="AI1357" i="7" s="1"/>
  <c r="AH1357" i="7"/>
  <c r="AJ1357" i="7"/>
  <c r="AF1358" i="7"/>
  <c r="AI1358" i="7" s="1"/>
  <c r="AH1358" i="7"/>
  <c r="AJ1358" i="7"/>
  <c r="AF1359" i="7"/>
  <c r="AI1359" i="7" s="1"/>
  <c r="AH1359" i="7"/>
  <c r="AJ1359" i="7"/>
  <c r="AF1360" i="7"/>
  <c r="AI1360" i="7" s="1"/>
  <c r="AH1360" i="7"/>
  <c r="AJ1360" i="7"/>
  <c r="AF1361" i="7"/>
  <c r="AI1361" i="7" s="1"/>
  <c r="AH1361" i="7"/>
  <c r="AJ1361" i="7"/>
  <c r="AF1362" i="7"/>
  <c r="AI1362" i="7" s="1"/>
  <c r="AH1362" i="7"/>
  <c r="AJ1362" i="7"/>
  <c r="AF1363" i="7"/>
  <c r="AI1363" i="7" s="1"/>
  <c r="AH1363" i="7"/>
  <c r="AJ1363" i="7"/>
  <c r="AF1364" i="7"/>
  <c r="AI1364" i="7" s="1"/>
  <c r="AH1364" i="7"/>
  <c r="AJ1364" i="7"/>
  <c r="AF1365" i="7"/>
  <c r="AI1365" i="7" s="1"/>
  <c r="AH1365" i="7"/>
  <c r="AJ1365" i="7"/>
  <c r="AF1366" i="7"/>
  <c r="AI1366" i="7" s="1"/>
  <c r="AH1366" i="7"/>
  <c r="AJ1366" i="7"/>
  <c r="AF1367" i="7"/>
  <c r="AI1367" i="7" s="1"/>
  <c r="AH1367" i="7"/>
  <c r="AJ1367" i="7"/>
  <c r="AF1368" i="7"/>
  <c r="AI1368" i="7" s="1"/>
  <c r="AH1368" i="7"/>
  <c r="AJ1368" i="7"/>
  <c r="AF1369" i="7"/>
  <c r="AI1369" i="7" s="1"/>
  <c r="AH1369" i="7"/>
  <c r="AJ1369" i="7"/>
  <c r="AF1370" i="7"/>
  <c r="AI1370" i="7" s="1"/>
  <c r="AH1370" i="7"/>
  <c r="AJ1370" i="7"/>
  <c r="AF1371" i="7"/>
  <c r="AI1371" i="7" s="1"/>
  <c r="AH1371" i="7"/>
  <c r="AJ1371" i="7"/>
  <c r="AF1372" i="7"/>
  <c r="AI1372" i="7" s="1"/>
  <c r="AH1372" i="7"/>
  <c r="AJ1372" i="7"/>
  <c r="AF1373" i="7"/>
  <c r="AI1373" i="7" s="1"/>
  <c r="AH1373" i="7"/>
  <c r="AJ1373" i="7"/>
  <c r="AF1374" i="7"/>
  <c r="AI1374" i="7" s="1"/>
  <c r="AH1374" i="7"/>
  <c r="AJ1374" i="7"/>
  <c r="AF1375" i="7"/>
  <c r="AI1375" i="7" s="1"/>
  <c r="AH1375" i="7"/>
  <c r="AJ1375" i="7"/>
  <c r="AF1380" i="7"/>
  <c r="AI1380" i="7" s="1"/>
  <c r="AH1380" i="7"/>
  <c r="AJ1380" i="7"/>
  <c r="AF1381" i="7"/>
  <c r="AI1381" i="7" s="1"/>
  <c r="AH1381" i="7"/>
  <c r="AJ1381" i="7"/>
  <c r="AF1382" i="7"/>
  <c r="AI1382" i="7" s="1"/>
  <c r="AH1382" i="7"/>
  <c r="AJ1382" i="7"/>
  <c r="AF1383" i="7"/>
  <c r="AI1383" i="7" s="1"/>
  <c r="AH1383" i="7"/>
  <c r="AJ1383" i="7"/>
  <c r="AF1384" i="7"/>
  <c r="AI1384" i="7" s="1"/>
  <c r="AH1384" i="7"/>
  <c r="AJ1384" i="7"/>
  <c r="AF1385" i="7"/>
  <c r="AI1385" i="7" s="1"/>
  <c r="AH1385" i="7"/>
  <c r="AJ1385" i="7"/>
  <c r="AF1386" i="7"/>
  <c r="AI1386" i="7" s="1"/>
  <c r="AH1386" i="7"/>
  <c r="AJ1386" i="7"/>
  <c r="AF1387" i="7"/>
  <c r="AI1387" i="7" s="1"/>
  <c r="AH1387" i="7"/>
  <c r="AJ1387" i="7"/>
  <c r="AF1388" i="7"/>
  <c r="AI1388" i="7" s="1"/>
  <c r="AH1388" i="7"/>
  <c r="AJ1388" i="7"/>
  <c r="AF1389" i="7"/>
  <c r="AI1389" i="7" s="1"/>
  <c r="AH1389" i="7"/>
  <c r="AJ1389" i="7"/>
  <c r="AF1390" i="7"/>
  <c r="AI1390" i="7" s="1"/>
  <c r="AH1390" i="7"/>
  <c r="AJ1390" i="7"/>
  <c r="AF1391" i="7"/>
  <c r="AI1391" i="7" s="1"/>
  <c r="AH1391" i="7"/>
  <c r="AJ1391" i="7"/>
  <c r="AF1392" i="7"/>
  <c r="AI1392" i="7" s="1"/>
  <c r="AH1392" i="7"/>
  <c r="AJ1392" i="7"/>
  <c r="AF1393" i="7"/>
  <c r="AI1393" i="7" s="1"/>
  <c r="AH1393" i="7"/>
  <c r="AJ1393" i="7"/>
  <c r="AF1394" i="7"/>
  <c r="AI1394" i="7" s="1"/>
  <c r="AH1394" i="7"/>
  <c r="AJ1394" i="7"/>
  <c r="AF1395" i="7"/>
  <c r="AI1395" i="7" s="1"/>
  <c r="AH1395" i="7"/>
  <c r="AJ1395" i="7"/>
  <c r="AF1396" i="7"/>
  <c r="AI1396" i="7" s="1"/>
  <c r="AH1396" i="7"/>
  <c r="AJ1396" i="7"/>
  <c r="AF1397" i="7"/>
  <c r="AI1397" i="7" s="1"/>
  <c r="AH1397" i="7"/>
  <c r="AJ1397" i="7"/>
  <c r="AF1398" i="7"/>
  <c r="AI1398" i="7" s="1"/>
  <c r="AH1398" i="7"/>
  <c r="AJ1398" i="7"/>
  <c r="AF1399" i="7"/>
  <c r="AI1399" i="7" s="1"/>
  <c r="AH1399" i="7"/>
  <c r="AJ1399" i="7"/>
  <c r="AF1400" i="7"/>
  <c r="AI1400" i="7" s="1"/>
  <c r="AH1400" i="7"/>
  <c r="AJ1400" i="7"/>
  <c r="AF1401" i="7"/>
  <c r="AI1401" i="7" s="1"/>
  <c r="AH1401" i="7"/>
  <c r="AJ1401" i="7"/>
  <c r="AF1402" i="7"/>
  <c r="AI1402" i="7" s="1"/>
  <c r="AH1402" i="7"/>
  <c r="AJ1402" i="7"/>
  <c r="AF1403" i="7"/>
  <c r="AI1403" i="7" s="1"/>
  <c r="AH1403" i="7"/>
  <c r="AJ1403" i="7"/>
  <c r="AF1404" i="7"/>
  <c r="AI1404" i="7" s="1"/>
  <c r="AH1404" i="7"/>
  <c r="AJ1404" i="7"/>
  <c r="AF1405" i="7"/>
  <c r="AI1405" i="7" s="1"/>
  <c r="AH1405" i="7"/>
  <c r="AJ1405" i="7"/>
  <c r="AF1406" i="7"/>
  <c r="AI1406" i="7" s="1"/>
  <c r="AH1406" i="7"/>
  <c r="AJ1406" i="7"/>
  <c r="AF1407" i="7"/>
  <c r="AI1407" i="7" s="1"/>
  <c r="AH1407" i="7"/>
  <c r="AJ1407" i="7"/>
  <c r="AF1408" i="7"/>
  <c r="AI1408" i="7" s="1"/>
  <c r="AH1408" i="7"/>
  <c r="AJ1408" i="7"/>
  <c r="AF1409" i="7"/>
  <c r="AI1409" i="7" s="1"/>
  <c r="AH1409" i="7"/>
  <c r="AJ1409" i="7"/>
  <c r="AF1410" i="7"/>
  <c r="AI1410" i="7" s="1"/>
  <c r="AH1410" i="7"/>
  <c r="AJ1410" i="7"/>
  <c r="AF1411" i="7"/>
  <c r="AI1411" i="7" s="1"/>
  <c r="AH1411" i="7"/>
  <c r="AJ1411" i="7"/>
  <c r="AF1412" i="7"/>
  <c r="AI1412" i="7" s="1"/>
  <c r="AH1412" i="7"/>
  <c r="AJ1412" i="7"/>
  <c r="AF1413" i="7"/>
  <c r="AI1413" i="7" s="1"/>
  <c r="AH1413" i="7"/>
  <c r="AJ1413" i="7"/>
  <c r="AF1414" i="7"/>
  <c r="AI1414" i="7" s="1"/>
  <c r="AH1414" i="7"/>
  <c r="AJ1414" i="7"/>
  <c r="AF1415" i="7"/>
  <c r="AI1415" i="7" s="1"/>
  <c r="AH1415" i="7"/>
  <c r="AJ1415" i="7"/>
  <c r="AF1416" i="7"/>
  <c r="AI1416" i="7" s="1"/>
  <c r="AH1416" i="7"/>
  <c r="AJ1416" i="7"/>
  <c r="AF1417" i="7"/>
  <c r="AI1417" i="7" s="1"/>
  <c r="AH1417" i="7"/>
  <c r="AJ1417" i="7"/>
  <c r="AF1418" i="7"/>
  <c r="AI1418" i="7" s="1"/>
  <c r="AH1418" i="7"/>
  <c r="AJ1418" i="7"/>
  <c r="AF1419" i="7"/>
  <c r="AI1419" i="7" s="1"/>
  <c r="AH1419" i="7"/>
  <c r="AJ1419" i="7"/>
  <c r="AF1420" i="7"/>
  <c r="AI1420" i="7" s="1"/>
  <c r="AH1420" i="7"/>
  <c r="AJ1420" i="7"/>
  <c r="AF1421" i="7"/>
  <c r="AI1421" i="7" s="1"/>
  <c r="AH1421" i="7"/>
  <c r="AJ1421" i="7"/>
  <c r="AF1426" i="7"/>
  <c r="AI1426" i="7" s="1"/>
  <c r="AH1426" i="7"/>
  <c r="AJ1426" i="7"/>
  <c r="AF1427" i="7"/>
  <c r="AI1427" i="7" s="1"/>
  <c r="AH1427" i="7"/>
  <c r="AJ1427" i="7"/>
  <c r="AF1428" i="7"/>
  <c r="AI1428" i="7" s="1"/>
  <c r="AH1428" i="7"/>
  <c r="AJ1428" i="7"/>
  <c r="AF1429" i="7"/>
  <c r="AI1429" i="7" s="1"/>
  <c r="AH1429" i="7"/>
  <c r="AJ1429" i="7"/>
  <c r="AF1430" i="7"/>
  <c r="AI1430" i="7" s="1"/>
  <c r="AH1430" i="7"/>
  <c r="AJ1430" i="7"/>
  <c r="AF1431" i="7"/>
  <c r="AI1431" i="7" s="1"/>
  <c r="AH1431" i="7"/>
  <c r="AJ1431" i="7"/>
  <c r="AF1432" i="7"/>
  <c r="AI1432" i="7" s="1"/>
  <c r="AH1432" i="7"/>
  <c r="AJ1432" i="7"/>
  <c r="AF1433" i="7"/>
  <c r="AI1433" i="7" s="1"/>
  <c r="AH1433" i="7"/>
  <c r="AJ1433" i="7"/>
  <c r="AF1434" i="7"/>
  <c r="AI1434" i="7" s="1"/>
  <c r="AH1434" i="7"/>
  <c r="AJ1434" i="7"/>
  <c r="AF1435" i="7"/>
  <c r="AI1435" i="7" s="1"/>
  <c r="AH1435" i="7"/>
  <c r="AJ1435" i="7"/>
  <c r="AF1436" i="7"/>
  <c r="AI1436" i="7" s="1"/>
  <c r="AH1436" i="7"/>
  <c r="AJ1436" i="7"/>
  <c r="AF1437" i="7"/>
  <c r="AI1437" i="7" s="1"/>
  <c r="AH1437" i="7"/>
  <c r="AJ1437" i="7"/>
  <c r="AF1438" i="7"/>
  <c r="AI1438" i="7" s="1"/>
  <c r="AH1438" i="7"/>
  <c r="AJ1438" i="7"/>
  <c r="AF1439" i="7"/>
  <c r="AI1439" i="7" s="1"/>
  <c r="AH1439" i="7"/>
  <c r="AJ1439" i="7"/>
  <c r="AF1440" i="7"/>
  <c r="AI1440" i="7" s="1"/>
  <c r="AH1440" i="7"/>
  <c r="AJ1440" i="7"/>
  <c r="AF1441" i="7"/>
  <c r="AI1441" i="7" s="1"/>
  <c r="AH1441" i="7"/>
  <c r="AJ1441" i="7"/>
  <c r="AF1442" i="7"/>
  <c r="AI1442" i="7" s="1"/>
  <c r="AH1442" i="7"/>
  <c r="AJ1442" i="7"/>
  <c r="AF1443" i="7"/>
  <c r="AI1443" i="7" s="1"/>
  <c r="AH1443" i="7"/>
  <c r="AJ1443" i="7"/>
  <c r="AF1444" i="7"/>
  <c r="AI1444" i="7" s="1"/>
  <c r="AH1444" i="7"/>
  <c r="AJ1444" i="7"/>
  <c r="AF1445" i="7"/>
  <c r="AI1445" i="7" s="1"/>
  <c r="AH1445" i="7"/>
  <c r="AJ1445" i="7"/>
  <c r="AF1446" i="7"/>
  <c r="AI1446" i="7" s="1"/>
  <c r="AH1446" i="7"/>
  <c r="AJ1446" i="7"/>
  <c r="AF1447" i="7"/>
  <c r="AI1447" i="7" s="1"/>
  <c r="AH1447" i="7"/>
  <c r="AJ1447" i="7"/>
  <c r="AF1448" i="7"/>
  <c r="AI1448" i="7" s="1"/>
  <c r="AH1448" i="7"/>
  <c r="AJ1448" i="7"/>
  <c r="AF1449" i="7"/>
  <c r="AI1449" i="7" s="1"/>
  <c r="AH1449" i="7"/>
  <c r="AJ1449" i="7"/>
  <c r="AF1450" i="7"/>
  <c r="AI1450" i="7" s="1"/>
  <c r="AH1450" i="7"/>
  <c r="AJ1450" i="7"/>
  <c r="AF1451" i="7"/>
  <c r="AI1451" i="7" s="1"/>
  <c r="AH1451" i="7"/>
  <c r="AJ1451" i="7"/>
  <c r="AF1452" i="7"/>
  <c r="AI1452" i="7" s="1"/>
  <c r="AH1452" i="7"/>
  <c r="AJ1452" i="7"/>
  <c r="AF1453" i="7"/>
  <c r="AI1453" i="7" s="1"/>
  <c r="AH1453" i="7"/>
  <c r="AJ1453" i="7"/>
  <c r="AF1454" i="7"/>
  <c r="AI1454" i="7" s="1"/>
  <c r="AH1454" i="7"/>
  <c r="AJ1454" i="7"/>
  <c r="AF1455" i="7"/>
  <c r="AI1455" i="7" s="1"/>
  <c r="AH1455" i="7"/>
  <c r="AJ1455" i="7"/>
  <c r="AF1456" i="7"/>
  <c r="AI1456" i="7" s="1"/>
  <c r="AH1456" i="7"/>
  <c r="AJ1456" i="7"/>
  <c r="AF1457" i="7"/>
  <c r="AI1457" i="7" s="1"/>
  <c r="AH1457" i="7"/>
  <c r="AJ1457" i="7"/>
  <c r="AF1458" i="7"/>
  <c r="AI1458" i="7" s="1"/>
  <c r="AH1458" i="7"/>
  <c r="AJ1458" i="7"/>
  <c r="AF1459" i="7"/>
  <c r="AI1459" i="7" s="1"/>
  <c r="AH1459" i="7"/>
  <c r="AJ1459" i="7"/>
  <c r="AF1460" i="7"/>
  <c r="AI1460" i="7" s="1"/>
  <c r="AH1460" i="7"/>
  <c r="AJ1460" i="7"/>
  <c r="AF1461" i="7"/>
  <c r="AI1461" i="7" s="1"/>
  <c r="AH1461" i="7"/>
  <c r="AJ1461" i="7"/>
  <c r="AF1462" i="7"/>
  <c r="AI1462" i="7" s="1"/>
  <c r="AH1462" i="7"/>
  <c r="AJ1462" i="7"/>
  <c r="AF1463" i="7"/>
  <c r="AI1463" i="7" s="1"/>
  <c r="AH1463" i="7"/>
  <c r="AJ1463" i="7"/>
  <c r="AF1464" i="7"/>
  <c r="AI1464" i="7" s="1"/>
  <c r="AH1464" i="7"/>
  <c r="AJ1464" i="7"/>
  <c r="AF1465" i="7"/>
  <c r="AI1465" i="7" s="1"/>
  <c r="AH1465" i="7"/>
  <c r="AJ1465" i="7"/>
  <c r="AF1466" i="7"/>
  <c r="AI1466" i="7" s="1"/>
  <c r="AH1466" i="7"/>
  <c r="AJ1466" i="7"/>
  <c r="AF1467" i="7"/>
  <c r="AI1467" i="7" s="1"/>
  <c r="AH1467" i="7"/>
  <c r="AJ1467" i="7"/>
  <c r="AF1472" i="7"/>
  <c r="AI1472" i="7" s="1"/>
  <c r="AH1472" i="7"/>
  <c r="AJ1472" i="7"/>
  <c r="AF1473" i="7"/>
  <c r="AI1473" i="7" s="1"/>
  <c r="AH1473" i="7"/>
  <c r="AJ1473" i="7"/>
  <c r="AF1474" i="7"/>
  <c r="AI1474" i="7" s="1"/>
  <c r="AH1474" i="7"/>
  <c r="AJ1474" i="7"/>
  <c r="AF1475" i="7"/>
  <c r="AI1475" i="7" s="1"/>
  <c r="AH1475" i="7"/>
  <c r="AJ1475" i="7"/>
  <c r="AF1476" i="7"/>
  <c r="AI1476" i="7" s="1"/>
  <c r="AH1476" i="7"/>
  <c r="AJ1476" i="7"/>
  <c r="AF1477" i="7"/>
  <c r="AI1477" i="7" s="1"/>
  <c r="AH1477" i="7"/>
  <c r="AJ1477" i="7"/>
  <c r="AF1478" i="7"/>
  <c r="AI1478" i="7" s="1"/>
  <c r="AH1478" i="7"/>
  <c r="AJ1478" i="7"/>
  <c r="AF1479" i="7"/>
  <c r="AI1479" i="7" s="1"/>
  <c r="AH1479" i="7"/>
  <c r="AJ1479" i="7"/>
  <c r="AF1480" i="7"/>
  <c r="AI1480" i="7" s="1"/>
  <c r="AH1480" i="7"/>
  <c r="AJ1480" i="7"/>
  <c r="AF1481" i="7"/>
  <c r="AI1481" i="7" s="1"/>
  <c r="AH1481" i="7"/>
  <c r="AJ1481" i="7"/>
  <c r="AF1482" i="7"/>
  <c r="AI1482" i="7" s="1"/>
  <c r="AH1482" i="7"/>
  <c r="AJ1482" i="7"/>
  <c r="AF1483" i="7"/>
  <c r="AI1483" i="7" s="1"/>
  <c r="AH1483" i="7"/>
  <c r="AJ1483" i="7"/>
  <c r="AF1484" i="7"/>
  <c r="AI1484" i="7" s="1"/>
  <c r="AH1484" i="7"/>
  <c r="AJ1484" i="7"/>
  <c r="AF1485" i="7"/>
  <c r="AI1485" i="7" s="1"/>
  <c r="AH1485" i="7"/>
  <c r="AJ1485" i="7"/>
  <c r="AF1486" i="7"/>
  <c r="AI1486" i="7" s="1"/>
  <c r="AH1486" i="7"/>
  <c r="AJ1486" i="7"/>
  <c r="AF1487" i="7"/>
  <c r="AI1487" i="7" s="1"/>
  <c r="AH1487" i="7"/>
  <c r="AJ1487" i="7"/>
  <c r="AF1488" i="7"/>
  <c r="AI1488" i="7" s="1"/>
  <c r="AH1488" i="7"/>
  <c r="AJ1488" i="7"/>
  <c r="AF1489" i="7"/>
  <c r="AI1489" i="7" s="1"/>
  <c r="AH1489" i="7"/>
  <c r="AJ1489" i="7"/>
  <c r="AF1490" i="7"/>
  <c r="AI1490" i="7" s="1"/>
  <c r="AH1490" i="7"/>
  <c r="AJ1490" i="7"/>
  <c r="AF1491" i="7"/>
  <c r="AI1491" i="7" s="1"/>
  <c r="AH1491" i="7"/>
  <c r="AJ1491" i="7"/>
  <c r="AF1492" i="7"/>
  <c r="AI1492" i="7" s="1"/>
  <c r="AH1492" i="7"/>
  <c r="AJ1492" i="7"/>
  <c r="AF1493" i="7"/>
  <c r="AI1493" i="7" s="1"/>
  <c r="AH1493" i="7"/>
  <c r="AJ1493" i="7"/>
  <c r="AF1494" i="7"/>
  <c r="AI1494" i="7" s="1"/>
  <c r="AH1494" i="7"/>
  <c r="AJ1494" i="7"/>
  <c r="AF1495" i="7"/>
  <c r="AI1495" i="7" s="1"/>
  <c r="AH1495" i="7"/>
  <c r="AJ1495" i="7"/>
  <c r="AF1496" i="7"/>
  <c r="AI1496" i="7" s="1"/>
  <c r="AH1496" i="7"/>
  <c r="AJ1496" i="7"/>
  <c r="AF1497" i="7"/>
  <c r="AI1497" i="7" s="1"/>
  <c r="AH1497" i="7"/>
  <c r="AJ1497" i="7"/>
  <c r="AF1498" i="7"/>
  <c r="AI1498" i="7" s="1"/>
  <c r="AH1498" i="7"/>
  <c r="AJ1498" i="7"/>
  <c r="AF1499" i="7"/>
  <c r="AI1499" i="7" s="1"/>
  <c r="AH1499" i="7"/>
  <c r="AJ1499" i="7"/>
  <c r="AF1500" i="7"/>
  <c r="AI1500" i="7" s="1"/>
  <c r="AH1500" i="7"/>
  <c r="AJ1500" i="7"/>
  <c r="AF1501" i="7"/>
  <c r="AI1501" i="7" s="1"/>
  <c r="AH1501" i="7"/>
  <c r="AJ1501" i="7"/>
  <c r="AF1502" i="7"/>
  <c r="AI1502" i="7" s="1"/>
  <c r="AH1502" i="7"/>
  <c r="AJ1502" i="7"/>
  <c r="AF1503" i="7"/>
  <c r="AI1503" i="7" s="1"/>
  <c r="AH1503" i="7"/>
  <c r="AJ1503" i="7"/>
  <c r="AF1504" i="7"/>
  <c r="AI1504" i="7" s="1"/>
  <c r="AH1504" i="7"/>
  <c r="AJ1504" i="7"/>
  <c r="AF1505" i="7"/>
  <c r="AI1505" i="7" s="1"/>
  <c r="AH1505" i="7"/>
  <c r="AJ1505" i="7"/>
  <c r="AF1506" i="7"/>
  <c r="AI1506" i="7" s="1"/>
  <c r="AH1506" i="7"/>
  <c r="AJ1506" i="7"/>
  <c r="AF1507" i="7"/>
  <c r="AI1507" i="7" s="1"/>
  <c r="AH1507" i="7"/>
  <c r="AJ1507" i="7"/>
  <c r="AF1508" i="7"/>
  <c r="AI1508" i="7" s="1"/>
  <c r="AH1508" i="7"/>
  <c r="AJ1508" i="7"/>
  <c r="AF1509" i="7"/>
  <c r="AI1509" i="7" s="1"/>
  <c r="AH1509" i="7"/>
  <c r="AJ1509" i="7"/>
  <c r="AF1510" i="7"/>
  <c r="AI1510" i="7" s="1"/>
  <c r="AH1510" i="7"/>
  <c r="AJ1510" i="7"/>
  <c r="AF1511" i="7"/>
  <c r="AI1511" i="7" s="1"/>
  <c r="AH1511" i="7"/>
  <c r="AJ1511" i="7"/>
  <c r="AF1512" i="7"/>
  <c r="AI1512" i="7" s="1"/>
  <c r="AH1512" i="7"/>
  <c r="AJ1512" i="7"/>
  <c r="AF1513" i="7"/>
  <c r="AI1513" i="7" s="1"/>
  <c r="AH1513" i="7"/>
  <c r="AJ1513" i="7"/>
  <c r="AF1518" i="7"/>
  <c r="AI1518" i="7" s="1"/>
  <c r="AH1518" i="7"/>
  <c r="AJ1518" i="7"/>
  <c r="AF1519" i="7"/>
  <c r="AI1519" i="7" s="1"/>
  <c r="AH1519" i="7"/>
  <c r="AJ1519" i="7"/>
  <c r="AF1520" i="7"/>
  <c r="AI1520" i="7" s="1"/>
  <c r="AH1520" i="7"/>
  <c r="AJ1520" i="7"/>
  <c r="AF1521" i="7"/>
  <c r="AI1521" i="7" s="1"/>
  <c r="AH1521" i="7"/>
  <c r="AJ1521" i="7"/>
  <c r="AF1522" i="7"/>
  <c r="AI1522" i="7" s="1"/>
  <c r="AH1522" i="7"/>
  <c r="AJ1522" i="7"/>
  <c r="AF1523" i="7"/>
  <c r="AI1523" i="7" s="1"/>
  <c r="AH1523" i="7"/>
  <c r="AJ1523" i="7"/>
  <c r="AF1524" i="7"/>
  <c r="AI1524" i="7" s="1"/>
  <c r="AH1524" i="7"/>
  <c r="AJ1524" i="7"/>
  <c r="AF1525" i="7"/>
  <c r="AI1525" i="7" s="1"/>
  <c r="AH1525" i="7"/>
  <c r="AJ1525" i="7"/>
  <c r="AF1526" i="7"/>
  <c r="AI1526" i="7" s="1"/>
  <c r="AH1526" i="7"/>
  <c r="AJ1526" i="7"/>
  <c r="AF1527" i="7"/>
  <c r="AI1527" i="7" s="1"/>
  <c r="AH1527" i="7"/>
  <c r="AJ1527" i="7"/>
  <c r="AF1528" i="7"/>
  <c r="AI1528" i="7" s="1"/>
  <c r="AH1528" i="7"/>
  <c r="AJ1528" i="7"/>
  <c r="AF1529" i="7"/>
  <c r="AI1529" i="7" s="1"/>
  <c r="AH1529" i="7"/>
  <c r="AJ1529" i="7"/>
  <c r="AF1530" i="7"/>
  <c r="AI1530" i="7" s="1"/>
  <c r="AH1530" i="7"/>
  <c r="AJ1530" i="7"/>
  <c r="AF1531" i="7"/>
  <c r="AI1531" i="7" s="1"/>
  <c r="AH1531" i="7"/>
  <c r="AJ1531" i="7"/>
  <c r="AF1532" i="7"/>
  <c r="AI1532" i="7" s="1"/>
  <c r="AH1532" i="7"/>
  <c r="AJ1532" i="7"/>
  <c r="AF1533" i="7"/>
  <c r="AI1533" i="7" s="1"/>
  <c r="AH1533" i="7"/>
  <c r="AJ1533" i="7"/>
  <c r="AF1534" i="7"/>
  <c r="AI1534" i="7" s="1"/>
  <c r="AH1534" i="7"/>
  <c r="AJ1534" i="7"/>
  <c r="AF1535" i="7"/>
  <c r="AI1535" i="7" s="1"/>
  <c r="AH1535" i="7"/>
  <c r="AJ1535" i="7"/>
  <c r="AF1536" i="7"/>
  <c r="AI1536" i="7" s="1"/>
  <c r="AH1536" i="7"/>
  <c r="AJ1536" i="7"/>
  <c r="AF1537" i="7"/>
  <c r="AI1537" i="7" s="1"/>
  <c r="AH1537" i="7"/>
  <c r="AJ1537" i="7"/>
  <c r="AF1538" i="7"/>
  <c r="AI1538" i="7" s="1"/>
  <c r="AH1538" i="7"/>
  <c r="AJ1538" i="7"/>
  <c r="AF1539" i="7"/>
  <c r="AI1539" i="7" s="1"/>
  <c r="AH1539" i="7"/>
  <c r="AJ1539" i="7"/>
  <c r="AF1540" i="7"/>
  <c r="AI1540" i="7" s="1"/>
  <c r="AH1540" i="7"/>
  <c r="AJ1540" i="7"/>
  <c r="AF1541" i="7"/>
  <c r="AI1541" i="7" s="1"/>
  <c r="AH1541" i="7"/>
  <c r="AJ1541" i="7"/>
  <c r="AF1542" i="7"/>
  <c r="AI1542" i="7" s="1"/>
  <c r="AH1542" i="7"/>
  <c r="AJ1542" i="7"/>
  <c r="AF1543" i="7"/>
  <c r="AI1543" i="7" s="1"/>
  <c r="AH1543" i="7"/>
  <c r="AJ1543" i="7"/>
  <c r="AF1544" i="7"/>
  <c r="AI1544" i="7" s="1"/>
  <c r="AH1544" i="7"/>
  <c r="AJ1544" i="7"/>
  <c r="AF1545" i="7"/>
  <c r="AI1545" i="7" s="1"/>
  <c r="AH1545" i="7"/>
  <c r="AJ1545" i="7"/>
  <c r="AF1546" i="7"/>
  <c r="AI1546" i="7" s="1"/>
  <c r="AH1546" i="7"/>
  <c r="AJ1546" i="7"/>
  <c r="AF1547" i="7"/>
  <c r="AI1547" i="7" s="1"/>
  <c r="AH1547" i="7"/>
  <c r="AJ1547" i="7"/>
  <c r="AF1548" i="7"/>
  <c r="AI1548" i="7" s="1"/>
  <c r="AH1548" i="7"/>
  <c r="AJ1548" i="7"/>
  <c r="AF1549" i="7"/>
  <c r="AI1549" i="7" s="1"/>
  <c r="AH1549" i="7"/>
  <c r="AJ1549" i="7"/>
  <c r="AF1550" i="7"/>
  <c r="AI1550" i="7" s="1"/>
  <c r="AH1550" i="7"/>
  <c r="AJ1550" i="7"/>
  <c r="AF1551" i="7"/>
  <c r="AI1551" i="7" s="1"/>
  <c r="AH1551" i="7"/>
  <c r="AJ1551" i="7"/>
  <c r="AF1552" i="7"/>
  <c r="AI1552" i="7" s="1"/>
  <c r="AH1552" i="7"/>
  <c r="AJ1552" i="7"/>
  <c r="AF1553" i="7"/>
  <c r="AI1553" i="7" s="1"/>
  <c r="AH1553" i="7"/>
  <c r="AJ1553" i="7"/>
  <c r="AF1554" i="7"/>
  <c r="AI1554" i="7" s="1"/>
  <c r="AH1554" i="7"/>
  <c r="AJ1554" i="7"/>
  <c r="AF1555" i="7"/>
  <c r="AI1555" i="7" s="1"/>
  <c r="AH1555" i="7"/>
  <c r="AJ1555" i="7"/>
  <c r="AF1556" i="7"/>
  <c r="AI1556" i="7" s="1"/>
  <c r="AH1556" i="7"/>
  <c r="AJ1556" i="7"/>
  <c r="AF1557" i="7"/>
  <c r="AI1557" i="7" s="1"/>
  <c r="AH1557" i="7"/>
  <c r="AJ1557" i="7"/>
  <c r="AF1558" i="7"/>
  <c r="AI1558" i="7" s="1"/>
  <c r="AH1558" i="7"/>
  <c r="AJ1558" i="7"/>
  <c r="AF1559" i="7"/>
  <c r="AI1559" i="7" s="1"/>
  <c r="AH1559" i="7"/>
  <c r="AJ1559" i="7"/>
  <c r="AF1564" i="7"/>
  <c r="AI1564" i="7" s="1"/>
  <c r="AH1564" i="7"/>
  <c r="AJ1564" i="7"/>
  <c r="AF1565" i="7"/>
  <c r="AI1565" i="7" s="1"/>
  <c r="AH1565" i="7"/>
  <c r="AJ1565" i="7"/>
  <c r="AF1566" i="7"/>
  <c r="AI1566" i="7" s="1"/>
  <c r="AH1566" i="7"/>
  <c r="AJ1566" i="7"/>
  <c r="AF1567" i="7"/>
  <c r="AI1567" i="7" s="1"/>
  <c r="AH1567" i="7"/>
  <c r="AJ1567" i="7"/>
  <c r="AF1568" i="7"/>
  <c r="AI1568" i="7" s="1"/>
  <c r="AH1568" i="7"/>
  <c r="AJ1568" i="7"/>
  <c r="AF1569" i="7"/>
  <c r="AI1569" i="7" s="1"/>
  <c r="AH1569" i="7"/>
  <c r="AJ1569" i="7"/>
  <c r="AF1570" i="7"/>
  <c r="AI1570" i="7" s="1"/>
  <c r="AH1570" i="7"/>
  <c r="AJ1570" i="7"/>
  <c r="AF1571" i="7"/>
  <c r="AI1571" i="7" s="1"/>
  <c r="AH1571" i="7"/>
  <c r="AJ1571" i="7"/>
  <c r="AF1572" i="7"/>
  <c r="AI1572" i="7" s="1"/>
  <c r="AH1572" i="7"/>
  <c r="AJ1572" i="7"/>
  <c r="AF1573" i="7"/>
  <c r="AI1573" i="7" s="1"/>
  <c r="AH1573" i="7"/>
  <c r="AJ1573" i="7"/>
  <c r="AF1574" i="7"/>
  <c r="AI1574" i="7" s="1"/>
  <c r="AH1574" i="7"/>
  <c r="AJ1574" i="7"/>
  <c r="AF1575" i="7"/>
  <c r="AI1575" i="7" s="1"/>
  <c r="AH1575" i="7"/>
  <c r="AJ1575" i="7"/>
  <c r="AF1576" i="7"/>
  <c r="AI1576" i="7" s="1"/>
  <c r="AH1576" i="7"/>
  <c r="AJ1576" i="7"/>
  <c r="AF1577" i="7"/>
  <c r="AI1577" i="7" s="1"/>
  <c r="AH1577" i="7"/>
  <c r="AJ1577" i="7"/>
  <c r="AF1578" i="7"/>
  <c r="AI1578" i="7" s="1"/>
  <c r="AH1578" i="7"/>
  <c r="AJ1578" i="7"/>
  <c r="AF1579" i="7"/>
  <c r="AI1579" i="7" s="1"/>
  <c r="AH1579" i="7"/>
  <c r="AJ1579" i="7"/>
  <c r="AF1580" i="7"/>
  <c r="AI1580" i="7" s="1"/>
  <c r="AH1580" i="7"/>
  <c r="AJ1580" i="7"/>
  <c r="AF1581" i="7"/>
  <c r="AI1581" i="7" s="1"/>
  <c r="AH1581" i="7"/>
  <c r="AJ1581" i="7"/>
  <c r="AF1582" i="7"/>
  <c r="AI1582" i="7" s="1"/>
  <c r="AH1582" i="7"/>
  <c r="AJ1582" i="7"/>
  <c r="AF1583" i="7"/>
  <c r="AI1583" i="7" s="1"/>
  <c r="AH1583" i="7"/>
  <c r="AJ1583" i="7"/>
  <c r="AF1584" i="7"/>
  <c r="AI1584" i="7" s="1"/>
  <c r="AH1584" i="7"/>
  <c r="AJ1584" i="7"/>
  <c r="AF1585" i="7"/>
  <c r="AI1585" i="7" s="1"/>
  <c r="AH1585" i="7"/>
  <c r="AJ1585" i="7"/>
  <c r="AF1586" i="7"/>
  <c r="AI1586" i="7" s="1"/>
  <c r="AH1586" i="7"/>
  <c r="AJ1586" i="7"/>
  <c r="AF1587" i="7"/>
  <c r="AI1587" i="7" s="1"/>
  <c r="AH1587" i="7"/>
  <c r="AJ1587" i="7"/>
  <c r="AF1588" i="7"/>
  <c r="AI1588" i="7" s="1"/>
  <c r="AH1588" i="7"/>
  <c r="AJ1588" i="7"/>
  <c r="AF1589" i="7"/>
  <c r="AI1589" i="7" s="1"/>
  <c r="AH1589" i="7"/>
  <c r="AJ1589" i="7"/>
  <c r="AF1590" i="7"/>
  <c r="AI1590" i="7" s="1"/>
  <c r="AH1590" i="7"/>
  <c r="AJ1590" i="7"/>
  <c r="AF1591" i="7"/>
  <c r="AI1591" i="7" s="1"/>
  <c r="AH1591" i="7"/>
  <c r="AJ1591" i="7"/>
  <c r="AF1592" i="7"/>
  <c r="AI1592" i="7" s="1"/>
  <c r="AH1592" i="7"/>
  <c r="AJ1592" i="7"/>
  <c r="AF1593" i="7"/>
  <c r="AI1593" i="7" s="1"/>
  <c r="AH1593" i="7"/>
  <c r="AJ1593" i="7"/>
  <c r="AF1594" i="7"/>
  <c r="AI1594" i="7" s="1"/>
  <c r="AH1594" i="7"/>
  <c r="AJ1594" i="7"/>
  <c r="AF1595" i="7"/>
  <c r="AI1595" i="7" s="1"/>
  <c r="AH1595" i="7"/>
  <c r="AJ1595" i="7"/>
  <c r="AF1596" i="7"/>
  <c r="AI1596" i="7" s="1"/>
  <c r="AH1596" i="7"/>
  <c r="AJ1596" i="7"/>
  <c r="AF1597" i="7"/>
  <c r="AI1597" i="7" s="1"/>
  <c r="AH1597" i="7"/>
  <c r="AJ1597" i="7"/>
  <c r="AF1598" i="7"/>
  <c r="AI1598" i="7" s="1"/>
  <c r="AH1598" i="7"/>
  <c r="AJ1598" i="7"/>
  <c r="AF1599" i="7"/>
  <c r="AI1599" i="7" s="1"/>
  <c r="AH1599" i="7"/>
  <c r="AJ1599" i="7"/>
  <c r="AF1600" i="7"/>
  <c r="AI1600" i="7" s="1"/>
  <c r="AH1600" i="7"/>
  <c r="AJ1600" i="7"/>
  <c r="AF1601" i="7"/>
  <c r="AI1601" i="7" s="1"/>
  <c r="AH1601" i="7"/>
  <c r="AJ1601" i="7"/>
  <c r="AF1602" i="7"/>
  <c r="AI1602" i="7" s="1"/>
  <c r="AH1602" i="7"/>
  <c r="AJ1602" i="7"/>
  <c r="AF1603" i="7"/>
  <c r="AI1603" i="7" s="1"/>
  <c r="AH1603" i="7"/>
  <c r="AJ1603" i="7"/>
  <c r="AF1604" i="7"/>
  <c r="AI1604" i="7" s="1"/>
  <c r="AH1604" i="7"/>
  <c r="AJ1604" i="7"/>
  <c r="AF1605" i="7"/>
  <c r="AI1605" i="7" s="1"/>
  <c r="AH1605" i="7"/>
  <c r="AJ1605" i="7"/>
  <c r="AF1610" i="7"/>
  <c r="AI1610" i="7" s="1"/>
  <c r="AH1610" i="7"/>
  <c r="AJ1610" i="7"/>
  <c r="AF1611" i="7"/>
  <c r="AI1611" i="7" s="1"/>
  <c r="AH1611" i="7"/>
  <c r="AJ1611" i="7"/>
  <c r="AF1612" i="7"/>
  <c r="AI1612" i="7" s="1"/>
  <c r="AH1612" i="7"/>
  <c r="AJ1612" i="7"/>
  <c r="AF1613" i="7"/>
  <c r="AI1613" i="7" s="1"/>
  <c r="AH1613" i="7"/>
  <c r="AJ1613" i="7"/>
  <c r="AF1614" i="7"/>
  <c r="AI1614" i="7" s="1"/>
  <c r="AH1614" i="7"/>
  <c r="AJ1614" i="7"/>
  <c r="AF1615" i="7"/>
  <c r="AI1615" i="7" s="1"/>
  <c r="AH1615" i="7"/>
  <c r="AJ1615" i="7"/>
  <c r="AF1616" i="7"/>
  <c r="AI1616" i="7" s="1"/>
  <c r="AH1616" i="7"/>
  <c r="AJ1616" i="7"/>
  <c r="AF1617" i="7"/>
  <c r="AI1617" i="7" s="1"/>
  <c r="AH1617" i="7"/>
  <c r="AJ1617" i="7"/>
  <c r="AF1618" i="7"/>
  <c r="AI1618" i="7" s="1"/>
  <c r="AH1618" i="7"/>
  <c r="AJ1618" i="7"/>
  <c r="AF1619" i="7"/>
  <c r="AI1619" i="7" s="1"/>
  <c r="AH1619" i="7"/>
  <c r="AJ1619" i="7"/>
  <c r="AF1620" i="7"/>
  <c r="AI1620" i="7" s="1"/>
  <c r="AH1620" i="7"/>
  <c r="AJ1620" i="7"/>
  <c r="AF1621" i="7"/>
  <c r="AI1621" i="7" s="1"/>
  <c r="AH1621" i="7"/>
  <c r="AJ1621" i="7"/>
  <c r="AF1622" i="7"/>
  <c r="AI1622" i="7" s="1"/>
  <c r="AH1622" i="7"/>
  <c r="AJ1622" i="7"/>
  <c r="AF1623" i="7"/>
  <c r="AI1623" i="7" s="1"/>
  <c r="AH1623" i="7"/>
  <c r="AJ1623" i="7"/>
  <c r="AF1624" i="7"/>
  <c r="AI1624" i="7" s="1"/>
  <c r="AH1624" i="7"/>
  <c r="AJ1624" i="7"/>
  <c r="AF1625" i="7"/>
  <c r="AI1625" i="7" s="1"/>
  <c r="AH1625" i="7"/>
  <c r="AJ1625" i="7"/>
  <c r="AF1626" i="7"/>
  <c r="AI1626" i="7" s="1"/>
  <c r="AH1626" i="7"/>
  <c r="AJ1626" i="7"/>
  <c r="AF1627" i="7"/>
  <c r="AI1627" i="7" s="1"/>
  <c r="AH1627" i="7"/>
  <c r="AJ1627" i="7"/>
  <c r="AF1628" i="7"/>
  <c r="AI1628" i="7" s="1"/>
  <c r="AH1628" i="7"/>
  <c r="AJ1628" i="7"/>
  <c r="AF1629" i="7"/>
  <c r="AI1629" i="7" s="1"/>
  <c r="AH1629" i="7"/>
  <c r="AJ1629" i="7"/>
  <c r="AF1630" i="7"/>
  <c r="AI1630" i="7" s="1"/>
  <c r="AH1630" i="7"/>
  <c r="AJ1630" i="7"/>
  <c r="AF1631" i="7"/>
  <c r="AI1631" i="7" s="1"/>
  <c r="AH1631" i="7"/>
  <c r="AJ1631" i="7"/>
  <c r="AF1632" i="7"/>
  <c r="AI1632" i="7" s="1"/>
  <c r="AH1632" i="7"/>
  <c r="AJ1632" i="7"/>
  <c r="AF1633" i="7"/>
  <c r="AI1633" i="7" s="1"/>
  <c r="AH1633" i="7"/>
  <c r="AJ1633" i="7"/>
  <c r="AF1634" i="7"/>
  <c r="AI1634" i="7" s="1"/>
  <c r="AH1634" i="7"/>
  <c r="AJ1634" i="7"/>
  <c r="AF1635" i="7"/>
  <c r="AI1635" i="7" s="1"/>
  <c r="AH1635" i="7"/>
  <c r="AJ1635" i="7"/>
  <c r="AF1636" i="7"/>
  <c r="AI1636" i="7" s="1"/>
  <c r="AH1636" i="7"/>
  <c r="AJ1636" i="7"/>
  <c r="AF1637" i="7"/>
  <c r="AI1637" i="7" s="1"/>
  <c r="AH1637" i="7"/>
  <c r="AJ1637" i="7"/>
  <c r="AF1638" i="7"/>
  <c r="AI1638" i="7" s="1"/>
  <c r="AH1638" i="7"/>
  <c r="AJ1638" i="7"/>
  <c r="AF1639" i="7"/>
  <c r="AI1639" i="7" s="1"/>
  <c r="AH1639" i="7"/>
  <c r="AJ1639" i="7"/>
  <c r="AF1640" i="7"/>
  <c r="AI1640" i="7" s="1"/>
  <c r="AH1640" i="7"/>
  <c r="AJ1640" i="7"/>
  <c r="AF1641" i="7"/>
  <c r="AI1641" i="7" s="1"/>
  <c r="AH1641" i="7"/>
  <c r="AJ1641" i="7"/>
  <c r="AF1642" i="7"/>
  <c r="AI1642" i="7" s="1"/>
  <c r="AH1642" i="7"/>
  <c r="AJ1642" i="7"/>
  <c r="AF1643" i="7"/>
  <c r="AI1643" i="7" s="1"/>
  <c r="AH1643" i="7"/>
  <c r="AJ1643" i="7"/>
  <c r="AF1644" i="7"/>
  <c r="AI1644" i="7" s="1"/>
  <c r="AH1644" i="7"/>
  <c r="AJ1644" i="7"/>
  <c r="AF1645" i="7"/>
  <c r="AI1645" i="7" s="1"/>
  <c r="AH1645" i="7"/>
  <c r="AJ1645" i="7"/>
  <c r="AF1646" i="7"/>
  <c r="AI1646" i="7" s="1"/>
  <c r="AH1646" i="7"/>
  <c r="AJ1646" i="7"/>
  <c r="AF1647" i="7"/>
  <c r="AI1647" i="7" s="1"/>
  <c r="AH1647" i="7"/>
  <c r="AJ1647" i="7"/>
  <c r="AF1648" i="7"/>
  <c r="AI1648" i="7" s="1"/>
  <c r="AH1648" i="7"/>
  <c r="AJ1648" i="7"/>
  <c r="AF1649" i="7"/>
  <c r="AI1649" i="7" s="1"/>
  <c r="AH1649" i="7"/>
  <c r="AJ1649" i="7"/>
  <c r="AF1650" i="7"/>
  <c r="AI1650" i="7" s="1"/>
  <c r="AH1650" i="7"/>
  <c r="AJ1650" i="7"/>
  <c r="AF1651" i="7"/>
  <c r="AI1651" i="7" s="1"/>
  <c r="AH1651" i="7"/>
  <c r="AJ1651" i="7"/>
  <c r="AF1656" i="7"/>
  <c r="AI1656" i="7" s="1"/>
  <c r="AH1656" i="7"/>
  <c r="AJ1656" i="7"/>
  <c r="AF1657" i="7"/>
  <c r="AI1657" i="7" s="1"/>
  <c r="AH1657" i="7"/>
  <c r="AJ1657" i="7"/>
  <c r="AF1658" i="7"/>
  <c r="AI1658" i="7" s="1"/>
  <c r="AH1658" i="7"/>
  <c r="AJ1658" i="7"/>
  <c r="AF1659" i="7"/>
  <c r="AI1659" i="7" s="1"/>
  <c r="AH1659" i="7"/>
  <c r="AJ1659" i="7"/>
  <c r="AF1660" i="7"/>
  <c r="AI1660" i="7" s="1"/>
  <c r="AH1660" i="7"/>
  <c r="AJ1660" i="7"/>
  <c r="AF1661" i="7"/>
  <c r="AI1661" i="7" s="1"/>
  <c r="AH1661" i="7"/>
  <c r="AJ1661" i="7"/>
  <c r="AF1662" i="7"/>
  <c r="AI1662" i="7" s="1"/>
  <c r="AH1662" i="7"/>
  <c r="AJ1662" i="7"/>
  <c r="AF1663" i="7"/>
  <c r="AI1663" i="7" s="1"/>
  <c r="AH1663" i="7"/>
  <c r="AJ1663" i="7"/>
  <c r="AF1664" i="7"/>
  <c r="AI1664" i="7" s="1"/>
  <c r="AH1664" i="7"/>
  <c r="AJ1664" i="7"/>
  <c r="AF1665" i="7"/>
  <c r="AI1665" i="7" s="1"/>
  <c r="AH1665" i="7"/>
  <c r="AJ1665" i="7"/>
  <c r="AF1666" i="7"/>
  <c r="AI1666" i="7" s="1"/>
  <c r="AH1666" i="7"/>
  <c r="AJ1666" i="7"/>
  <c r="AF1667" i="7"/>
  <c r="AI1667" i="7" s="1"/>
  <c r="AH1667" i="7"/>
  <c r="AJ1667" i="7"/>
  <c r="AF1668" i="7"/>
  <c r="AI1668" i="7" s="1"/>
  <c r="AH1668" i="7"/>
  <c r="AJ1668" i="7"/>
  <c r="AF1669" i="7"/>
  <c r="AI1669" i="7" s="1"/>
  <c r="AH1669" i="7"/>
  <c r="AJ1669" i="7"/>
  <c r="AF1670" i="7"/>
  <c r="AI1670" i="7" s="1"/>
  <c r="AH1670" i="7"/>
  <c r="AJ1670" i="7"/>
  <c r="AF1671" i="7"/>
  <c r="AI1671" i="7" s="1"/>
  <c r="AH1671" i="7"/>
  <c r="AJ1671" i="7"/>
  <c r="AF1672" i="7"/>
  <c r="AI1672" i="7" s="1"/>
  <c r="AH1672" i="7"/>
  <c r="AJ1672" i="7"/>
  <c r="AF1673" i="7"/>
  <c r="AI1673" i="7" s="1"/>
  <c r="AH1673" i="7"/>
  <c r="AJ1673" i="7"/>
  <c r="AF1674" i="7"/>
  <c r="AI1674" i="7" s="1"/>
  <c r="AH1674" i="7"/>
  <c r="AJ1674" i="7"/>
  <c r="AF1675" i="7"/>
  <c r="AI1675" i="7" s="1"/>
  <c r="AH1675" i="7"/>
  <c r="AJ1675" i="7"/>
  <c r="AF1676" i="7"/>
  <c r="AI1676" i="7" s="1"/>
  <c r="AH1676" i="7"/>
  <c r="AJ1676" i="7"/>
  <c r="AF1677" i="7"/>
  <c r="AI1677" i="7" s="1"/>
  <c r="AH1677" i="7"/>
  <c r="AJ1677" i="7"/>
  <c r="AF1678" i="7"/>
  <c r="AI1678" i="7" s="1"/>
  <c r="AH1678" i="7"/>
  <c r="AJ1678" i="7"/>
  <c r="AF1679" i="7"/>
  <c r="AI1679" i="7" s="1"/>
  <c r="AH1679" i="7"/>
  <c r="AJ1679" i="7"/>
  <c r="AF1680" i="7"/>
  <c r="AI1680" i="7" s="1"/>
  <c r="AH1680" i="7"/>
  <c r="AJ1680" i="7"/>
  <c r="AF1681" i="7"/>
  <c r="AI1681" i="7" s="1"/>
  <c r="AH1681" i="7"/>
  <c r="AJ1681" i="7"/>
  <c r="AF1682" i="7"/>
  <c r="AI1682" i="7" s="1"/>
  <c r="AH1682" i="7"/>
  <c r="AJ1682" i="7"/>
  <c r="AF1683" i="7"/>
  <c r="AI1683" i="7" s="1"/>
  <c r="AH1683" i="7"/>
  <c r="AJ1683" i="7"/>
  <c r="AF1684" i="7"/>
  <c r="AI1684" i="7" s="1"/>
  <c r="AH1684" i="7"/>
  <c r="AJ1684" i="7"/>
  <c r="AF1685" i="7"/>
  <c r="AI1685" i="7" s="1"/>
  <c r="AH1685" i="7"/>
  <c r="AJ1685" i="7"/>
  <c r="AF1686" i="7"/>
  <c r="AI1686" i="7" s="1"/>
  <c r="AH1686" i="7"/>
  <c r="AJ1686" i="7"/>
  <c r="AF1687" i="7"/>
  <c r="AI1687" i="7" s="1"/>
  <c r="AH1687" i="7"/>
  <c r="AJ1687" i="7"/>
  <c r="AF1688" i="7"/>
  <c r="AI1688" i="7" s="1"/>
  <c r="AH1688" i="7"/>
  <c r="AJ1688" i="7"/>
  <c r="AF1689" i="7"/>
  <c r="AI1689" i="7" s="1"/>
  <c r="AH1689" i="7"/>
  <c r="AJ1689" i="7"/>
  <c r="AF1690" i="7"/>
  <c r="AI1690" i="7" s="1"/>
  <c r="AH1690" i="7"/>
  <c r="AJ1690" i="7"/>
  <c r="AF1691" i="7"/>
  <c r="AI1691" i="7" s="1"/>
  <c r="AH1691" i="7"/>
  <c r="AJ1691" i="7"/>
  <c r="AF1692" i="7"/>
  <c r="AI1692" i="7" s="1"/>
  <c r="AH1692" i="7"/>
  <c r="AJ1692" i="7"/>
  <c r="AF1693" i="7"/>
  <c r="AI1693" i="7" s="1"/>
  <c r="AH1693" i="7"/>
  <c r="AJ1693" i="7"/>
  <c r="AF1694" i="7"/>
  <c r="AI1694" i="7" s="1"/>
  <c r="AH1694" i="7"/>
  <c r="AJ1694" i="7"/>
  <c r="AF1695" i="7"/>
  <c r="AI1695" i="7" s="1"/>
  <c r="AH1695" i="7"/>
  <c r="AJ1695" i="7"/>
  <c r="AF1696" i="7"/>
  <c r="AI1696" i="7" s="1"/>
  <c r="AH1696" i="7"/>
  <c r="AJ1696" i="7"/>
  <c r="AF1697" i="7"/>
  <c r="AI1697" i="7" s="1"/>
  <c r="AH1697" i="7"/>
  <c r="AJ1697" i="7"/>
  <c r="AF1698" i="7"/>
  <c r="AI1698" i="7" s="1"/>
  <c r="AH1698" i="7"/>
  <c r="AJ1698" i="7"/>
  <c r="AF1699" i="7"/>
  <c r="AI1699" i="7" s="1"/>
  <c r="AH1699" i="7"/>
  <c r="AJ1699" i="7"/>
  <c r="AF1700" i="7"/>
  <c r="AI1700" i="7" s="1"/>
  <c r="AH1700" i="7"/>
  <c r="AJ1700" i="7"/>
  <c r="AF1701" i="7"/>
  <c r="AI1701" i="7" s="1"/>
  <c r="AH1701" i="7"/>
  <c r="AJ1701" i="7"/>
  <c r="AF1702" i="7"/>
  <c r="AI1702" i="7" s="1"/>
  <c r="AH1702" i="7"/>
  <c r="AJ1702" i="7"/>
  <c r="AF1703" i="7"/>
  <c r="AI1703" i="7" s="1"/>
  <c r="AH1703" i="7"/>
  <c r="AJ1703" i="7"/>
  <c r="AF1704" i="7"/>
  <c r="AI1704" i="7" s="1"/>
  <c r="AH1704" i="7"/>
  <c r="AJ1704" i="7"/>
  <c r="AF1705" i="7"/>
  <c r="AI1705" i="7" s="1"/>
  <c r="AH1705" i="7"/>
  <c r="AJ1705" i="7"/>
  <c r="AF1706" i="7"/>
  <c r="AI1706" i="7" s="1"/>
  <c r="AH1706" i="7"/>
  <c r="AJ1706" i="7"/>
  <c r="AF1707" i="7"/>
  <c r="AI1707" i="7" s="1"/>
  <c r="AH1707" i="7"/>
  <c r="AJ1707" i="7"/>
  <c r="AF1708" i="7"/>
  <c r="AI1708" i="7" s="1"/>
  <c r="AH1708" i="7"/>
  <c r="AJ1708" i="7"/>
  <c r="AF1709" i="7"/>
  <c r="AI1709" i="7" s="1"/>
  <c r="AH1709" i="7"/>
  <c r="AJ1709" i="7"/>
  <c r="AF1710" i="7"/>
  <c r="AI1710" i="7" s="1"/>
  <c r="AH1710" i="7"/>
  <c r="AJ1710" i="7"/>
  <c r="AF1711" i="7"/>
  <c r="AI1711" i="7" s="1"/>
  <c r="AH1711" i="7"/>
  <c r="AJ1711" i="7"/>
  <c r="AF1712" i="7"/>
  <c r="AI1712" i="7" s="1"/>
  <c r="AH1712" i="7"/>
  <c r="AJ1712" i="7"/>
  <c r="AF1713" i="7"/>
  <c r="AI1713" i="7" s="1"/>
  <c r="AH1713" i="7"/>
  <c r="AJ1713" i="7"/>
  <c r="AF1714" i="7"/>
  <c r="AI1714" i="7" s="1"/>
  <c r="AH1714" i="7"/>
  <c r="AJ1714" i="7"/>
  <c r="AF1715" i="7"/>
  <c r="AI1715" i="7" s="1"/>
  <c r="AH1715" i="7"/>
  <c r="AJ1715" i="7"/>
  <c r="AF1720" i="7"/>
  <c r="AI1720" i="7" s="1"/>
  <c r="AH1720" i="7"/>
  <c r="AJ1720" i="7"/>
  <c r="AF1721" i="7"/>
  <c r="AI1721" i="7" s="1"/>
  <c r="AH1721" i="7"/>
  <c r="AJ1721" i="7"/>
  <c r="AF1722" i="7"/>
  <c r="AI1722" i="7" s="1"/>
  <c r="AH1722" i="7"/>
  <c r="AJ1722" i="7"/>
  <c r="AF1723" i="7"/>
  <c r="AI1723" i="7" s="1"/>
  <c r="AH1723" i="7"/>
  <c r="AJ1723" i="7"/>
  <c r="AF1724" i="7"/>
  <c r="AI1724" i="7" s="1"/>
  <c r="AH1724" i="7"/>
  <c r="AJ1724" i="7"/>
  <c r="AF1725" i="7"/>
  <c r="AI1725" i="7" s="1"/>
  <c r="AH1725" i="7"/>
  <c r="AJ1725" i="7"/>
  <c r="AF1726" i="7"/>
  <c r="AI1726" i="7" s="1"/>
  <c r="AH1726" i="7"/>
  <c r="AJ1726" i="7"/>
  <c r="AF1727" i="7"/>
  <c r="AI1727" i="7" s="1"/>
  <c r="AH1727" i="7"/>
  <c r="AJ1727" i="7"/>
  <c r="AF1728" i="7"/>
  <c r="AI1728" i="7" s="1"/>
  <c r="AH1728" i="7"/>
  <c r="AJ1728" i="7"/>
  <c r="AF1729" i="7"/>
  <c r="AI1729" i="7" s="1"/>
  <c r="AH1729" i="7"/>
  <c r="AJ1729" i="7"/>
  <c r="AF1730" i="7"/>
  <c r="AI1730" i="7" s="1"/>
  <c r="AH1730" i="7"/>
  <c r="AJ1730" i="7"/>
  <c r="AF1731" i="7"/>
  <c r="AI1731" i="7" s="1"/>
  <c r="AH1731" i="7"/>
  <c r="AJ1731" i="7"/>
  <c r="AF1732" i="7"/>
  <c r="AI1732" i="7" s="1"/>
  <c r="AH1732" i="7"/>
  <c r="AJ1732" i="7"/>
  <c r="AF1733" i="7"/>
  <c r="AI1733" i="7" s="1"/>
  <c r="AH1733" i="7"/>
  <c r="AJ1733" i="7"/>
  <c r="AF1734" i="7"/>
  <c r="AI1734" i="7" s="1"/>
  <c r="AH1734" i="7"/>
  <c r="AJ1734" i="7"/>
  <c r="AF1735" i="7"/>
  <c r="AI1735" i="7" s="1"/>
  <c r="AH1735" i="7"/>
  <c r="AJ1735" i="7"/>
  <c r="AF1736" i="7"/>
  <c r="AI1736" i="7" s="1"/>
  <c r="AH1736" i="7"/>
  <c r="AJ1736" i="7"/>
  <c r="AF1737" i="7"/>
  <c r="AI1737" i="7" s="1"/>
  <c r="AH1737" i="7"/>
  <c r="AJ1737" i="7"/>
  <c r="AF1738" i="7"/>
  <c r="AI1738" i="7" s="1"/>
  <c r="AH1738" i="7"/>
  <c r="AJ1738" i="7"/>
  <c r="AF1739" i="7"/>
  <c r="AI1739" i="7" s="1"/>
  <c r="AH1739" i="7"/>
  <c r="AJ1739" i="7"/>
  <c r="AF1740" i="7"/>
  <c r="AI1740" i="7" s="1"/>
  <c r="AH1740" i="7"/>
  <c r="AJ1740" i="7"/>
  <c r="AF1741" i="7"/>
  <c r="AI1741" i="7" s="1"/>
  <c r="AH1741" i="7"/>
  <c r="AJ1741" i="7"/>
  <c r="AF1742" i="7"/>
  <c r="AI1742" i="7" s="1"/>
  <c r="AH1742" i="7"/>
  <c r="AJ1742" i="7"/>
  <c r="AF1743" i="7"/>
  <c r="AI1743" i="7" s="1"/>
  <c r="AH1743" i="7"/>
  <c r="AJ1743" i="7"/>
  <c r="AF1744" i="7"/>
  <c r="AI1744" i="7" s="1"/>
  <c r="AH1744" i="7"/>
  <c r="AJ1744" i="7"/>
  <c r="AF1745" i="7"/>
  <c r="AI1745" i="7" s="1"/>
  <c r="AH1745" i="7"/>
  <c r="AJ1745" i="7"/>
  <c r="AF1746" i="7"/>
  <c r="AI1746" i="7" s="1"/>
  <c r="AH1746" i="7"/>
  <c r="AJ1746" i="7"/>
  <c r="AF1747" i="7"/>
  <c r="AI1747" i="7" s="1"/>
  <c r="AH1747" i="7"/>
  <c r="AJ1747" i="7"/>
  <c r="AF1748" i="7"/>
  <c r="AI1748" i="7" s="1"/>
  <c r="AH1748" i="7"/>
  <c r="AJ1748" i="7"/>
  <c r="AF1749" i="7"/>
  <c r="AI1749" i="7" s="1"/>
  <c r="AH1749" i="7"/>
  <c r="AJ1749" i="7"/>
  <c r="AF1750" i="7"/>
  <c r="AI1750" i="7" s="1"/>
  <c r="AH1750" i="7"/>
  <c r="AJ1750" i="7"/>
  <c r="AF1751" i="7"/>
  <c r="AI1751" i="7" s="1"/>
  <c r="AH1751" i="7"/>
  <c r="AJ1751" i="7"/>
  <c r="AF1752" i="7"/>
  <c r="AI1752" i="7" s="1"/>
  <c r="AH1752" i="7"/>
  <c r="AJ1752" i="7"/>
  <c r="AF1753" i="7"/>
  <c r="AI1753" i="7" s="1"/>
  <c r="AH1753" i="7"/>
  <c r="AJ1753" i="7"/>
  <c r="AF1754" i="7"/>
  <c r="AI1754" i="7" s="1"/>
  <c r="AH1754" i="7"/>
  <c r="AJ1754" i="7"/>
  <c r="AF1755" i="7"/>
  <c r="AI1755" i="7" s="1"/>
  <c r="AH1755" i="7"/>
  <c r="AJ1755" i="7"/>
  <c r="AF1756" i="7"/>
  <c r="AI1756" i="7" s="1"/>
  <c r="AH1756" i="7"/>
  <c r="AJ1756" i="7"/>
  <c r="AF1757" i="7"/>
  <c r="AI1757" i="7" s="1"/>
  <c r="AH1757" i="7"/>
  <c r="AJ1757" i="7"/>
  <c r="AF1758" i="7"/>
  <c r="AI1758" i="7" s="1"/>
  <c r="AH1758" i="7"/>
  <c r="AJ1758" i="7"/>
  <c r="AF1759" i="7"/>
  <c r="AI1759" i="7" s="1"/>
  <c r="AH1759" i="7"/>
  <c r="AJ1759" i="7"/>
  <c r="AF1760" i="7"/>
  <c r="AI1760" i="7" s="1"/>
  <c r="AH1760" i="7"/>
  <c r="AJ1760" i="7"/>
  <c r="AF1761" i="7"/>
  <c r="AI1761" i="7" s="1"/>
  <c r="AH1761" i="7"/>
  <c r="AJ1761" i="7"/>
  <c r="AF1762" i="7"/>
  <c r="AI1762" i="7" s="1"/>
  <c r="AH1762" i="7"/>
  <c r="AJ1762" i="7"/>
  <c r="AF1763" i="7"/>
  <c r="AI1763" i="7" s="1"/>
  <c r="AH1763" i="7"/>
  <c r="AJ1763" i="7"/>
  <c r="AF1764" i="7"/>
  <c r="AI1764" i="7" s="1"/>
  <c r="AH1764" i="7"/>
  <c r="AJ1764" i="7"/>
  <c r="AF1765" i="7"/>
  <c r="AI1765" i="7" s="1"/>
  <c r="AH1765" i="7"/>
  <c r="AJ1765" i="7"/>
  <c r="AF1766" i="7"/>
  <c r="AI1766" i="7" s="1"/>
  <c r="AH1766" i="7"/>
  <c r="AJ1766" i="7"/>
  <c r="AF1767" i="7"/>
  <c r="AI1767" i="7" s="1"/>
  <c r="AH1767" i="7"/>
  <c r="AJ1767" i="7"/>
  <c r="AF1768" i="7"/>
  <c r="AI1768" i="7" s="1"/>
  <c r="AH1768" i="7"/>
  <c r="AJ1768" i="7"/>
  <c r="AF1769" i="7"/>
  <c r="AI1769" i="7" s="1"/>
  <c r="AH1769" i="7"/>
  <c r="AJ1769" i="7"/>
  <c r="AF1770" i="7"/>
  <c r="AI1770" i="7" s="1"/>
  <c r="AH1770" i="7"/>
  <c r="AJ1770" i="7"/>
  <c r="AF1771" i="7"/>
  <c r="AI1771" i="7" s="1"/>
  <c r="AH1771" i="7"/>
  <c r="AJ1771" i="7"/>
  <c r="AF1772" i="7"/>
  <c r="AI1772" i="7" s="1"/>
  <c r="AH1772" i="7"/>
  <c r="AJ1772" i="7"/>
  <c r="AF1773" i="7"/>
  <c r="AI1773" i="7" s="1"/>
  <c r="AH1773" i="7"/>
  <c r="AJ1773" i="7"/>
  <c r="AF1774" i="7"/>
  <c r="AI1774" i="7" s="1"/>
  <c r="AH1774" i="7"/>
  <c r="AJ1774" i="7"/>
  <c r="AF1775" i="7"/>
  <c r="AI1775" i="7" s="1"/>
  <c r="AH1775" i="7"/>
  <c r="AJ1775" i="7"/>
  <c r="AF1776" i="7"/>
  <c r="AI1776" i="7" s="1"/>
  <c r="AH1776" i="7"/>
  <c r="AJ1776" i="7"/>
  <c r="AF1777" i="7"/>
  <c r="AI1777" i="7" s="1"/>
  <c r="AH1777" i="7"/>
  <c r="AJ1777" i="7"/>
  <c r="AF1778" i="7"/>
  <c r="AI1778" i="7" s="1"/>
  <c r="AH1778" i="7"/>
  <c r="AJ1778" i="7"/>
  <c r="AF1779" i="7"/>
  <c r="AI1779" i="7" s="1"/>
  <c r="AH1779" i="7"/>
  <c r="AJ1779" i="7"/>
  <c r="AF1784" i="7"/>
  <c r="AI1784" i="7" s="1"/>
  <c r="AH1784" i="7"/>
  <c r="AJ1784" i="7"/>
  <c r="AF1785" i="7"/>
  <c r="AI1785" i="7" s="1"/>
  <c r="AH1785" i="7"/>
  <c r="AJ1785" i="7"/>
  <c r="AF1786" i="7"/>
  <c r="AI1786" i="7" s="1"/>
  <c r="AH1786" i="7"/>
  <c r="AJ1786" i="7"/>
  <c r="AF1787" i="7"/>
  <c r="AI1787" i="7" s="1"/>
  <c r="AH1787" i="7"/>
  <c r="AJ1787" i="7"/>
  <c r="AF1788" i="7"/>
  <c r="AI1788" i="7" s="1"/>
  <c r="AH1788" i="7"/>
  <c r="AJ1788" i="7"/>
  <c r="AF1789" i="7"/>
  <c r="AI1789" i="7" s="1"/>
  <c r="AH1789" i="7"/>
  <c r="AJ1789" i="7"/>
  <c r="AF1790" i="7"/>
  <c r="AI1790" i="7" s="1"/>
  <c r="AH1790" i="7"/>
  <c r="AJ1790" i="7"/>
  <c r="AF1791" i="7"/>
  <c r="AI1791" i="7" s="1"/>
  <c r="AH1791" i="7"/>
  <c r="AJ1791" i="7"/>
  <c r="AF1792" i="7"/>
  <c r="AI1792" i="7" s="1"/>
  <c r="AH1792" i="7"/>
  <c r="AJ1792" i="7"/>
  <c r="AF1793" i="7"/>
  <c r="AI1793" i="7" s="1"/>
  <c r="AH1793" i="7"/>
  <c r="AJ1793" i="7"/>
  <c r="AF1794" i="7"/>
  <c r="AI1794" i="7" s="1"/>
  <c r="AH1794" i="7"/>
  <c r="AJ1794" i="7"/>
  <c r="AF1795" i="7"/>
  <c r="AI1795" i="7" s="1"/>
  <c r="AH1795" i="7"/>
  <c r="AJ1795" i="7"/>
  <c r="AF1796" i="7"/>
  <c r="AI1796" i="7" s="1"/>
  <c r="AH1796" i="7"/>
  <c r="AJ1796" i="7"/>
  <c r="AF1797" i="7"/>
  <c r="AI1797" i="7" s="1"/>
  <c r="AH1797" i="7"/>
  <c r="AJ1797" i="7"/>
  <c r="AF1798" i="7"/>
  <c r="AI1798" i="7" s="1"/>
  <c r="AH1798" i="7"/>
  <c r="AJ1798" i="7"/>
  <c r="AF1799" i="7"/>
  <c r="AI1799" i="7" s="1"/>
  <c r="AH1799" i="7"/>
  <c r="AJ1799" i="7"/>
  <c r="AF1800" i="7"/>
  <c r="AI1800" i="7" s="1"/>
  <c r="AH1800" i="7"/>
  <c r="AJ1800" i="7"/>
  <c r="AF1801" i="7"/>
  <c r="AI1801" i="7" s="1"/>
  <c r="AH1801" i="7"/>
  <c r="AJ1801" i="7"/>
  <c r="AF1802" i="7"/>
  <c r="AI1802" i="7" s="1"/>
  <c r="AH1802" i="7"/>
  <c r="AJ1802" i="7"/>
  <c r="AF1803" i="7"/>
  <c r="AI1803" i="7" s="1"/>
  <c r="AH1803" i="7"/>
  <c r="AJ1803" i="7"/>
  <c r="AF1804" i="7"/>
  <c r="AI1804" i="7" s="1"/>
  <c r="AH1804" i="7"/>
  <c r="AJ1804" i="7"/>
  <c r="AF1805" i="7"/>
  <c r="AI1805" i="7" s="1"/>
  <c r="AH1805" i="7"/>
  <c r="AJ1805" i="7"/>
  <c r="AF1806" i="7"/>
  <c r="AI1806" i="7" s="1"/>
  <c r="AH1806" i="7"/>
  <c r="AJ1806" i="7"/>
  <c r="AF1807" i="7"/>
  <c r="AI1807" i="7" s="1"/>
  <c r="AH1807" i="7"/>
  <c r="AJ1807" i="7"/>
  <c r="AF1808" i="7"/>
  <c r="AI1808" i="7" s="1"/>
  <c r="AH1808" i="7"/>
  <c r="AJ1808" i="7"/>
  <c r="AF1809" i="7"/>
  <c r="AI1809" i="7" s="1"/>
  <c r="AH1809" i="7"/>
  <c r="AJ1809" i="7"/>
  <c r="AF1810" i="7"/>
  <c r="AI1810" i="7" s="1"/>
  <c r="AH1810" i="7"/>
  <c r="AJ1810" i="7"/>
  <c r="AF1811" i="7"/>
  <c r="AI1811" i="7" s="1"/>
  <c r="AH1811" i="7"/>
  <c r="AJ1811" i="7"/>
  <c r="AF1812" i="7"/>
  <c r="AI1812" i="7" s="1"/>
  <c r="AH1812" i="7"/>
  <c r="AJ1812" i="7"/>
  <c r="AF1813" i="7"/>
  <c r="AI1813" i="7" s="1"/>
  <c r="AH1813" i="7"/>
  <c r="AJ1813" i="7"/>
  <c r="AF1814" i="7"/>
  <c r="AI1814" i="7" s="1"/>
  <c r="AH1814" i="7"/>
  <c r="AJ1814" i="7"/>
  <c r="AF1815" i="7"/>
  <c r="AI1815" i="7" s="1"/>
  <c r="AH1815" i="7"/>
  <c r="AJ1815" i="7"/>
  <c r="AF1816" i="7"/>
  <c r="AI1816" i="7" s="1"/>
  <c r="AH1816" i="7"/>
  <c r="AJ1816" i="7"/>
  <c r="AF1817" i="7"/>
  <c r="AI1817" i="7" s="1"/>
  <c r="AH1817" i="7"/>
  <c r="AJ1817" i="7"/>
  <c r="AF1818" i="7"/>
  <c r="AI1818" i="7" s="1"/>
  <c r="AH1818" i="7"/>
  <c r="AJ1818" i="7"/>
  <c r="AF1819" i="7"/>
  <c r="AI1819" i="7" s="1"/>
  <c r="AH1819" i="7"/>
  <c r="AJ1819" i="7"/>
  <c r="AF1820" i="7"/>
  <c r="AI1820" i="7" s="1"/>
  <c r="AH1820" i="7"/>
  <c r="AJ1820" i="7"/>
  <c r="AF1821" i="7"/>
  <c r="AI1821" i="7" s="1"/>
  <c r="AH1821" i="7"/>
  <c r="AJ1821" i="7"/>
  <c r="AF1822" i="7"/>
  <c r="AI1822" i="7" s="1"/>
  <c r="AH1822" i="7"/>
  <c r="AJ1822" i="7"/>
  <c r="AF1823" i="7"/>
  <c r="AI1823" i="7" s="1"/>
  <c r="AH1823" i="7"/>
  <c r="AJ1823" i="7"/>
  <c r="AF1824" i="7"/>
  <c r="AI1824" i="7" s="1"/>
  <c r="AH1824" i="7"/>
  <c r="AJ1824" i="7"/>
  <c r="AF1825" i="7"/>
  <c r="AI1825" i="7" s="1"/>
  <c r="AH1825" i="7"/>
  <c r="AJ1825" i="7"/>
  <c r="AF1826" i="7"/>
  <c r="AI1826" i="7" s="1"/>
  <c r="AH1826" i="7"/>
  <c r="AJ1826" i="7"/>
  <c r="AF1827" i="7"/>
  <c r="AI1827" i="7" s="1"/>
  <c r="AH1827" i="7"/>
  <c r="AJ1827" i="7"/>
  <c r="AF1828" i="7"/>
  <c r="AI1828" i="7" s="1"/>
  <c r="AH1828" i="7"/>
  <c r="AJ1828" i="7"/>
  <c r="AF1829" i="7"/>
  <c r="AI1829" i="7" s="1"/>
  <c r="AH1829" i="7"/>
  <c r="AJ1829" i="7"/>
  <c r="AF1830" i="7"/>
  <c r="AI1830" i="7" s="1"/>
  <c r="AH1830" i="7"/>
  <c r="AJ1830" i="7"/>
  <c r="AF1831" i="7"/>
  <c r="AI1831" i="7" s="1"/>
  <c r="AH1831" i="7"/>
  <c r="AJ1831" i="7"/>
  <c r="AF1832" i="7"/>
  <c r="AI1832" i="7" s="1"/>
  <c r="AH1832" i="7"/>
  <c r="AJ1832" i="7"/>
  <c r="AF1833" i="7"/>
  <c r="AI1833" i="7" s="1"/>
  <c r="AH1833" i="7"/>
  <c r="AJ1833" i="7"/>
  <c r="AF1834" i="7"/>
  <c r="AI1834" i="7" s="1"/>
  <c r="AH1834" i="7"/>
  <c r="AJ1834" i="7"/>
  <c r="AF1835" i="7"/>
  <c r="AI1835" i="7" s="1"/>
  <c r="AH1835" i="7"/>
  <c r="AJ1835" i="7"/>
  <c r="AF1836" i="7"/>
  <c r="AI1836" i="7" s="1"/>
  <c r="AH1836" i="7"/>
  <c r="AJ1836" i="7"/>
  <c r="AF1837" i="7"/>
  <c r="AI1837" i="7" s="1"/>
  <c r="AH1837" i="7"/>
  <c r="AJ1837" i="7"/>
  <c r="AF1842" i="7"/>
  <c r="AI1842" i="7" s="1"/>
  <c r="AH1842" i="7"/>
  <c r="AJ1842" i="7"/>
  <c r="AF1843" i="7"/>
  <c r="AI1843" i="7" s="1"/>
  <c r="AH1843" i="7"/>
  <c r="AJ1843" i="7"/>
  <c r="AF1844" i="7"/>
  <c r="AI1844" i="7" s="1"/>
  <c r="AH1844" i="7"/>
  <c r="AJ1844" i="7"/>
  <c r="AF1845" i="7"/>
  <c r="AI1845" i="7" s="1"/>
  <c r="AH1845" i="7"/>
  <c r="AJ1845" i="7"/>
  <c r="AF1846" i="7"/>
  <c r="AI1846" i="7" s="1"/>
  <c r="AH1846" i="7"/>
  <c r="AJ1846" i="7"/>
  <c r="AF1847" i="7"/>
  <c r="AI1847" i="7" s="1"/>
  <c r="AH1847" i="7"/>
  <c r="AJ1847" i="7"/>
  <c r="AF1848" i="7"/>
  <c r="AI1848" i="7" s="1"/>
  <c r="AH1848" i="7"/>
  <c r="AJ1848" i="7"/>
  <c r="AF1849" i="7"/>
  <c r="AI1849" i="7" s="1"/>
  <c r="AH1849" i="7"/>
  <c r="AJ1849" i="7"/>
  <c r="AF1850" i="7"/>
  <c r="AI1850" i="7" s="1"/>
  <c r="AH1850" i="7"/>
  <c r="AJ1850" i="7"/>
  <c r="AF1851" i="7"/>
  <c r="AI1851" i="7" s="1"/>
  <c r="AH1851" i="7"/>
  <c r="AJ1851" i="7"/>
  <c r="AF1852" i="7"/>
  <c r="AI1852" i="7" s="1"/>
  <c r="AH1852" i="7"/>
  <c r="AJ1852" i="7"/>
  <c r="AF1853" i="7"/>
  <c r="AI1853" i="7" s="1"/>
  <c r="AH1853" i="7"/>
  <c r="AJ1853" i="7"/>
  <c r="AF1854" i="7"/>
  <c r="AI1854" i="7" s="1"/>
  <c r="AH1854" i="7"/>
  <c r="AJ1854" i="7"/>
  <c r="AF1855" i="7"/>
  <c r="AI1855" i="7" s="1"/>
  <c r="AH1855" i="7"/>
  <c r="AJ1855" i="7"/>
  <c r="AF1856" i="7"/>
  <c r="AI1856" i="7" s="1"/>
  <c r="AH1856" i="7"/>
  <c r="AJ1856" i="7"/>
  <c r="AF1857" i="7"/>
  <c r="AI1857" i="7" s="1"/>
  <c r="AH1857" i="7"/>
  <c r="AJ1857" i="7"/>
  <c r="AF1858" i="7"/>
  <c r="AI1858" i="7" s="1"/>
  <c r="AH1858" i="7"/>
  <c r="AJ1858" i="7"/>
  <c r="AF1859" i="7"/>
  <c r="AI1859" i="7" s="1"/>
  <c r="AH1859" i="7"/>
  <c r="AJ1859" i="7"/>
  <c r="AF1860" i="7"/>
  <c r="AI1860" i="7" s="1"/>
  <c r="AH1860" i="7"/>
  <c r="AJ1860" i="7"/>
  <c r="AF1861" i="7"/>
  <c r="AI1861" i="7" s="1"/>
  <c r="AH1861" i="7"/>
  <c r="AJ1861" i="7"/>
  <c r="AF1862" i="7"/>
  <c r="AI1862" i="7" s="1"/>
  <c r="AH1862" i="7"/>
  <c r="AJ1862" i="7"/>
  <c r="AF1863" i="7"/>
  <c r="AI1863" i="7" s="1"/>
  <c r="AH1863" i="7"/>
  <c r="AJ1863" i="7"/>
  <c r="AF1864" i="7"/>
  <c r="AI1864" i="7" s="1"/>
  <c r="AH1864" i="7"/>
  <c r="AJ1864" i="7"/>
  <c r="AF1865" i="7"/>
  <c r="AI1865" i="7" s="1"/>
  <c r="AH1865" i="7"/>
  <c r="AJ1865" i="7"/>
  <c r="AF1866" i="7"/>
  <c r="AI1866" i="7" s="1"/>
  <c r="AH1866" i="7"/>
  <c r="AJ1866" i="7"/>
  <c r="AF1867" i="7"/>
  <c r="AI1867" i="7" s="1"/>
  <c r="AH1867" i="7"/>
  <c r="AJ1867" i="7"/>
  <c r="AF1868" i="7"/>
  <c r="AI1868" i="7" s="1"/>
  <c r="AH1868" i="7"/>
  <c r="AJ1868" i="7"/>
  <c r="AF1869" i="7"/>
  <c r="AI1869" i="7" s="1"/>
  <c r="AH1869" i="7"/>
  <c r="AJ1869" i="7"/>
  <c r="AF1870" i="7"/>
  <c r="AI1870" i="7" s="1"/>
  <c r="AH1870" i="7"/>
  <c r="AJ1870" i="7"/>
  <c r="AF1871" i="7"/>
  <c r="AI1871" i="7" s="1"/>
  <c r="AH1871" i="7"/>
  <c r="AJ1871" i="7"/>
  <c r="AF1872" i="7"/>
  <c r="AI1872" i="7" s="1"/>
  <c r="AH1872" i="7"/>
  <c r="AJ1872" i="7"/>
  <c r="AF1873" i="7"/>
  <c r="AI1873" i="7" s="1"/>
  <c r="AH1873" i="7"/>
  <c r="AJ1873" i="7"/>
  <c r="AF1874" i="7"/>
  <c r="AI1874" i="7" s="1"/>
  <c r="AH1874" i="7"/>
  <c r="AJ1874" i="7"/>
  <c r="AF1875" i="7"/>
  <c r="AI1875" i="7" s="1"/>
  <c r="AH1875" i="7"/>
  <c r="AJ1875" i="7"/>
  <c r="AF1876" i="7"/>
  <c r="AI1876" i="7" s="1"/>
  <c r="AH1876" i="7"/>
  <c r="AJ1876" i="7"/>
  <c r="AF1877" i="7"/>
  <c r="AI1877" i="7" s="1"/>
  <c r="AH1877" i="7"/>
  <c r="AJ1877" i="7"/>
  <c r="AF1878" i="7"/>
  <c r="AI1878" i="7" s="1"/>
  <c r="AH1878" i="7"/>
  <c r="AJ1878" i="7"/>
  <c r="AF1879" i="7"/>
  <c r="AI1879" i="7" s="1"/>
  <c r="AH1879" i="7"/>
  <c r="AJ1879" i="7"/>
  <c r="AF1880" i="7"/>
  <c r="AI1880" i="7" s="1"/>
  <c r="AH1880" i="7"/>
  <c r="AJ1880" i="7"/>
  <c r="AF1881" i="7"/>
  <c r="AI1881" i="7" s="1"/>
  <c r="AH1881" i="7"/>
  <c r="AJ1881" i="7"/>
  <c r="AF1882" i="7"/>
  <c r="AI1882" i="7" s="1"/>
  <c r="AH1882" i="7"/>
  <c r="AJ1882" i="7"/>
  <c r="AF1883" i="7"/>
  <c r="AI1883" i="7" s="1"/>
  <c r="AH1883" i="7"/>
  <c r="AJ1883" i="7"/>
  <c r="AF1884" i="7"/>
  <c r="AI1884" i="7" s="1"/>
  <c r="AH1884" i="7"/>
  <c r="AJ1884" i="7"/>
  <c r="AF1885" i="7"/>
  <c r="AI1885" i="7" s="1"/>
  <c r="AH1885" i="7"/>
  <c r="AJ1885" i="7"/>
  <c r="AF1886" i="7"/>
  <c r="AI1886" i="7" s="1"/>
  <c r="AH1886" i="7"/>
  <c r="AJ1886" i="7"/>
  <c r="AF1887" i="7"/>
  <c r="AI1887" i="7" s="1"/>
  <c r="AH1887" i="7"/>
  <c r="AJ1887" i="7"/>
  <c r="AF1888" i="7"/>
  <c r="AI1888" i="7" s="1"/>
  <c r="AH1888" i="7"/>
  <c r="AJ1888" i="7"/>
  <c r="AF1889" i="7"/>
  <c r="AI1889" i="7" s="1"/>
  <c r="AH1889" i="7"/>
  <c r="AJ1889" i="7"/>
  <c r="AF1890" i="7"/>
  <c r="AI1890" i="7" s="1"/>
  <c r="AH1890" i="7"/>
  <c r="AJ1890" i="7"/>
  <c r="AF1891" i="7"/>
  <c r="AI1891" i="7" s="1"/>
  <c r="AH1891" i="7"/>
  <c r="AJ1891" i="7"/>
  <c r="AF1892" i="7"/>
  <c r="AI1892" i="7" s="1"/>
  <c r="AH1892" i="7"/>
  <c r="AJ1892" i="7"/>
  <c r="AF1893" i="7"/>
  <c r="AI1893" i="7" s="1"/>
  <c r="AH1893" i="7"/>
  <c r="AJ1893" i="7"/>
  <c r="AF1894" i="7"/>
  <c r="AI1894" i="7" s="1"/>
  <c r="AH1894" i="7"/>
  <c r="AJ1894" i="7"/>
  <c r="AF1895" i="7"/>
  <c r="AI1895" i="7" s="1"/>
  <c r="AH1895" i="7"/>
  <c r="AJ1895" i="7"/>
  <c r="AF1900" i="7"/>
  <c r="AI1900" i="7" s="1"/>
  <c r="AH1900" i="7"/>
  <c r="AJ1900" i="7"/>
  <c r="AF1901" i="7"/>
  <c r="AI1901" i="7" s="1"/>
  <c r="AH1901" i="7"/>
  <c r="AJ1901" i="7"/>
  <c r="AF1902" i="7"/>
  <c r="AI1902" i="7" s="1"/>
  <c r="AH1902" i="7"/>
  <c r="AJ1902" i="7"/>
  <c r="AF1903" i="7"/>
  <c r="AI1903" i="7" s="1"/>
  <c r="AH1903" i="7"/>
  <c r="AJ1903" i="7"/>
  <c r="AF1904" i="7"/>
  <c r="AI1904" i="7" s="1"/>
  <c r="AH1904" i="7"/>
  <c r="AJ1904" i="7"/>
  <c r="AF1905" i="7"/>
  <c r="AI1905" i="7" s="1"/>
  <c r="AH1905" i="7"/>
  <c r="AJ1905" i="7"/>
  <c r="AF1906" i="7"/>
  <c r="AI1906" i="7" s="1"/>
  <c r="AH1906" i="7"/>
  <c r="AJ1906" i="7"/>
  <c r="AF1907" i="7"/>
  <c r="AI1907" i="7" s="1"/>
  <c r="AH1907" i="7"/>
  <c r="AJ1907" i="7"/>
  <c r="AF1908" i="7"/>
  <c r="AI1908" i="7" s="1"/>
  <c r="AH1908" i="7"/>
  <c r="AJ1908" i="7"/>
  <c r="AF1909" i="7"/>
  <c r="AI1909" i="7" s="1"/>
  <c r="AH1909" i="7"/>
  <c r="AJ1909" i="7"/>
  <c r="AF1910" i="7"/>
  <c r="AI1910" i="7" s="1"/>
  <c r="AH1910" i="7"/>
  <c r="AJ1910" i="7"/>
  <c r="AF1911" i="7"/>
  <c r="AI1911" i="7" s="1"/>
  <c r="AH1911" i="7"/>
  <c r="AJ1911" i="7"/>
  <c r="AF1912" i="7"/>
  <c r="AI1912" i="7" s="1"/>
  <c r="AH1912" i="7"/>
  <c r="AJ1912" i="7"/>
  <c r="AF1913" i="7"/>
  <c r="AI1913" i="7" s="1"/>
  <c r="AH1913" i="7"/>
  <c r="AJ1913" i="7"/>
  <c r="AF1914" i="7"/>
  <c r="AI1914" i="7" s="1"/>
  <c r="AH1914" i="7"/>
  <c r="AJ1914" i="7"/>
  <c r="AF1915" i="7"/>
  <c r="AI1915" i="7" s="1"/>
  <c r="AH1915" i="7"/>
  <c r="AJ1915" i="7"/>
  <c r="AF1916" i="7"/>
  <c r="AI1916" i="7" s="1"/>
  <c r="AH1916" i="7"/>
  <c r="AJ1916" i="7"/>
  <c r="AF1917" i="7"/>
  <c r="AI1917" i="7" s="1"/>
  <c r="AH1917" i="7"/>
  <c r="AJ1917" i="7"/>
  <c r="AF1918" i="7"/>
  <c r="AI1918" i="7" s="1"/>
  <c r="AH1918" i="7"/>
  <c r="AJ1918" i="7"/>
  <c r="AF1919" i="7"/>
  <c r="AI1919" i="7" s="1"/>
  <c r="AH1919" i="7"/>
  <c r="AJ1919" i="7"/>
  <c r="AF1920" i="7"/>
  <c r="AI1920" i="7" s="1"/>
  <c r="AH1920" i="7"/>
  <c r="AJ1920" i="7"/>
  <c r="AF1921" i="7"/>
  <c r="AI1921" i="7" s="1"/>
  <c r="AH1921" i="7"/>
  <c r="AJ1921" i="7"/>
  <c r="AF1922" i="7"/>
  <c r="AI1922" i="7" s="1"/>
  <c r="AH1922" i="7"/>
  <c r="AJ1922" i="7"/>
  <c r="AF1923" i="7"/>
  <c r="AI1923" i="7" s="1"/>
  <c r="AH1923" i="7"/>
  <c r="AJ1923" i="7"/>
  <c r="AF1924" i="7"/>
  <c r="AI1924" i="7" s="1"/>
  <c r="AH1924" i="7"/>
  <c r="AJ1924" i="7"/>
  <c r="AF1925" i="7"/>
  <c r="AI1925" i="7" s="1"/>
  <c r="AH1925" i="7"/>
  <c r="AJ1925" i="7"/>
  <c r="AF1926" i="7"/>
  <c r="AI1926" i="7" s="1"/>
  <c r="AH1926" i="7"/>
  <c r="AJ1926" i="7"/>
  <c r="AF1927" i="7"/>
  <c r="AI1927" i="7" s="1"/>
  <c r="AH1927" i="7"/>
  <c r="AJ1927" i="7"/>
  <c r="AF1928" i="7"/>
  <c r="AI1928" i="7" s="1"/>
  <c r="AH1928" i="7"/>
  <c r="AJ1928" i="7"/>
  <c r="AF1929" i="7"/>
  <c r="AI1929" i="7" s="1"/>
  <c r="AH1929" i="7"/>
  <c r="AJ1929" i="7"/>
  <c r="AF1930" i="7"/>
  <c r="AI1930" i="7" s="1"/>
  <c r="AH1930" i="7"/>
  <c r="AJ1930" i="7"/>
  <c r="AF1931" i="7"/>
  <c r="AI1931" i="7" s="1"/>
  <c r="AH1931" i="7"/>
  <c r="AJ1931" i="7"/>
  <c r="AF1932" i="7"/>
  <c r="AI1932" i="7" s="1"/>
  <c r="AH1932" i="7"/>
  <c r="AJ1932" i="7"/>
  <c r="AF1933" i="7"/>
  <c r="AI1933" i="7" s="1"/>
  <c r="AH1933" i="7"/>
  <c r="AJ1933" i="7"/>
  <c r="AF1934" i="7"/>
  <c r="AI1934" i="7" s="1"/>
  <c r="AH1934" i="7"/>
  <c r="AJ1934" i="7"/>
  <c r="AF1935" i="7"/>
  <c r="AI1935" i="7" s="1"/>
  <c r="AH1935" i="7"/>
  <c r="AJ1935" i="7"/>
  <c r="AF1936" i="7"/>
  <c r="AI1936" i="7" s="1"/>
  <c r="AH1936" i="7"/>
  <c r="AJ1936" i="7"/>
  <c r="AF1937" i="7"/>
  <c r="AI1937" i="7" s="1"/>
  <c r="AH1937" i="7"/>
  <c r="AJ1937" i="7"/>
  <c r="AF1938" i="7"/>
  <c r="AI1938" i="7" s="1"/>
  <c r="AH1938" i="7"/>
  <c r="AJ1938" i="7"/>
  <c r="AF1939" i="7"/>
  <c r="AI1939" i="7" s="1"/>
  <c r="AH1939" i="7"/>
  <c r="AJ1939" i="7"/>
  <c r="AF1940" i="7"/>
  <c r="AI1940" i="7" s="1"/>
  <c r="AH1940" i="7"/>
  <c r="AJ1940" i="7"/>
  <c r="AF1941" i="7"/>
  <c r="AI1941" i="7" s="1"/>
  <c r="AH1941" i="7"/>
  <c r="AJ1941" i="7"/>
  <c r="AF1946" i="7"/>
  <c r="AI1946" i="7" s="1"/>
  <c r="AH1946" i="7"/>
  <c r="AJ1946" i="7"/>
  <c r="AF1947" i="7"/>
  <c r="AI1947" i="7" s="1"/>
  <c r="AH1947" i="7"/>
  <c r="AJ1947" i="7"/>
  <c r="AF1948" i="7"/>
  <c r="AI1948" i="7" s="1"/>
  <c r="AH1948" i="7"/>
  <c r="AJ1948" i="7"/>
  <c r="AF1949" i="7"/>
  <c r="AI1949" i="7" s="1"/>
  <c r="AH1949" i="7"/>
  <c r="AJ1949" i="7"/>
  <c r="AF1950" i="7"/>
  <c r="AI1950" i="7" s="1"/>
  <c r="AH1950" i="7"/>
  <c r="AJ1950" i="7"/>
  <c r="AF1951" i="7"/>
  <c r="AI1951" i="7" s="1"/>
  <c r="AH1951" i="7"/>
  <c r="AJ1951" i="7"/>
  <c r="AF1952" i="7"/>
  <c r="AI1952" i="7" s="1"/>
  <c r="AH1952" i="7"/>
  <c r="AJ1952" i="7"/>
  <c r="AF1953" i="7"/>
  <c r="AI1953" i="7" s="1"/>
  <c r="AH1953" i="7"/>
  <c r="AJ1953" i="7"/>
  <c r="AF1954" i="7"/>
  <c r="AI1954" i="7" s="1"/>
  <c r="AH1954" i="7"/>
  <c r="AJ1954" i="7"/>
  <c r="AF1955" i="7"/>
  <c r="AI1955" i="7" s="1"/>
  <c r="AH1955" i="7"/>
  <c r="AJ1955" i="7"/>
  <c r="AF1956" i="7"/>
  <c r="AI1956" i="7" s="1"/>
  <c r="AH1956" i="7"/>
  <c r="AJ1956" i="7"/>
  <c r="AF1957" i="7"/>
  <c r="AI1957" i="7" s="1"/>
  <c r="AH1957" i="7"/>
  <c r="AJ1957" i="7"/>
  <c r="AF1958" i="7"/>
  <c r="AI1958" i="7" s="1"/>
  <c r="AH1958" i="7"/>
  <c r="AJ1958" i="7"/>
  <c r="AF1959" i="7"/>
  <c r="AI1959" i="7" s="1"/>
  <c r="AH1959" i="7"/>
  <c r="AJ1959" i="7"/>
  <c r="AF1960" i="7"/>
  <c r="AI1960" i="7" s="1"/>
  <c r="AH1960" i="7"/>
  <c r="AJ1960" i="7"/>
  <c r="AF1961" i="7"/>
  <c r="AI1961" i="7" s="1"/>
  <c r="AH1961" i="7"/>
  <c r="AJ1961" i="7"/>
  <c r="AF1962" i="7"/>
  <c r="AI1962" i="7" s="1"/>
  <c r="AH1962" i="7"/>
  <c r="AJ1962" i="7"/>
  <c r="AF1963" i="7"/>
  <c r="AI1963" i="7" s="1"/>
  <c r="AH1963" i="7"/>
  <c r="AJ1963" i="7"/>
  <c r="AF1964" i="7"/>
  <c r="AI1964" i="7" s="1"/>
  <c r="AH1964" i="7"/>
  <c r="AJ1964" i="7"/>
  <c r="AF1965" i="7"/>
  <c r="AI1965" i="7" s="1"/>
  <c r="AH1965" i="7"/>
  <c r="AJ1965" i="7"/>
  <c r="AF1966" i="7"/>
  <c r="AI1966" i="7" s="1"/>
  <c r="AH1966" i="7"/>
  <c r="AJ1966" i="7"/>
  <c r="AF1967" i="7"/>
  <c r="AI1967" i="7" s="1"/>
  <c r="AH1967" i="7"/>
  <c r="AJ1967" i="7"/>
  <c r="AF1968" i="7"/>
  <c r="AI1968" i="7" s="1"/>
  <c r="AH1968" i="7"/>
  <c r="AJ1968" i="7"/>
  <c r="AF1969" i="7"/>
  <c r="AI1969" i="7" s="1"/>
  <c r="AH1969" i="7"/>
  <c r="AJ1969" i="7"/>
  <c r="AF1970" i="7"/>
  <c r="AI1970" i="7" s="1"/>
  <c r="AH1970" i="7"/>
  <c r="AJ1970" i="7"/>
  <c r="AF1971" i="7"/>
  <c r="AI1971" i="7" s="1"/>
  <c r="AH1971" i="7"/>
  <c r="AJ1971" i="7"/>
  <c r="AF1972" i="7"/>
  <c r="AI1972" i="7" s="1"/>
  <c r="AH1972" i="7"/>
  <c r="AJ1972" i="7"/>
  <c r="AF1973" i="7"/>
  <c r="AI1973" i="7" s="1"/>
  <c r="AH1973" i="7"/>
  <c r="AJ1973" i="7"/>
  <c r="AF1974" i="7"/>
  <c r="AI1974" i="7" s="1"/>
  <c r="AH1974" i="7"/>
  <c r="AJ1974" i="7"/>
  <c r="AF1975" i="7"/>
  <c r="AI1975" i="7" s="1"/>
  <c r="AH1975" i="7"/>
  <c r="AJ1975" i="7"/>
  <c r="AF1976" i="7"/>
  <c r="AI1976" i="7" s="1"/>
  <c r="AH1976" i="7"/>
  <c r="AJ1976" i="7"/>
  <c r="AF1977" i="7"/>
  <c r="AI1977" i="7" s="1"/>
  <c r="AH1977" i="7"/>
  <c r="AJ1977" i="7"/>
  <c r="AF1978" i="7"/>
  <c r="AI1978" i="7" s="1"/>
  <c r="AH1978" i="7"/>
  <c r="AJ1978" i="7"/>
  <c r="AF1979" i="7"/>
  <c r="AI1979" i="7" s="1"/>
  <c r="AH1979" i="7"/>
  <c r="AJ1979" i="7"/>
  <c r="AF1980" i="7"/>
  <c r="AI1980" i="7" s="1"/>
  <c r="AH1980" i="7"/>
  <c r="AJ1980" i="7"/>
  <c r="AF1981" i="7"/>
  <c r="AI1981" i="7" s="1"/>
  <c r="AH1981" i="7"/>
  <c r="AJ1981" i="7"/>
  <c r="AF1982" i="7"/>
  <c r="AI1982" i="7" s="1"/>
  <c r="AH1982" i="7"/>
  <c r="AJ1982" i="7"/>
  <c r="AF1983" i="7"/>
  <c r="AI1983" i="7" s="1"/>
  <c r="AH1983" i="7"/>
  <c r="AJ1983" i="7"/>
  <c r="AF1984" i="7"/>
  <c r="AI1984" i="7" s="1"/>
  <c r="AH1984" i="7"/>
  <c r="AJ1984" i="7"/>
  <c r="AF1985" i="7"/>
  <c r="AI1985" i="7" s="1"/>
  <c r="AH1985" i="7"/>
  <c r="AJ1985" i="7"/>
  <c r="AF1986" i="7"/>
  <c r="AI1986" i="7" s="1"/>
  <c r="AH1986" i="7"/>
  <c r="AJ1986" i="7"/>
  <c r="AF1987" i="7"/>
  <c r="AI1987" i="7" s="1"/>
  <c r="AH1987" i="7"/>
  <c r="AJ1987" i="7"/>
  <c r="AF1990" i="7"/>
  <c r="AI1990" i="7" s="1"/>
  <c r="AH1990" i="7"/>
  <c r="AJ1990" i="7"/>
  <c r="AF1991" i="7"/>
  <c r="AI1991" i="7" s="1"/>
  <c r="AH1991" i="7"/>
  <c r="AJ1991" i="7"/>
  <c r="AF1992" i="7"/>
  <c r="AI1992" i="7" s="1"/>
  <c r="AH1992" i="7"/>
  <c r="AJ1992" i="7"/>
  <c r="AF1993" i="7"/>
  <c r="AI1993" i="7" s="1"/>
  <c r="AH1993" i="7"/>
  <c r="AJ1993" i="7"/>
  <c r="AF1994" i="7"/>
  <c r="AI1994" i="7" s="1"/>
  <c r="AH1994" i="7"/>
  <c r="AJ1994" i="7"/>
  <c r="AF1995" i="7"/>
  <c r="AI1995" i="7" s="1"/>
  <c r="AH1995" i="7"/>
  <c r="AJ1995" i="7"/>
  <c r="AF1996" i="7"/>
  <c r="AI1996" i="7" s="1"/>
  <c r="AH1996" i="7"/>
  <c r="AJ1996" i="7"/>
  <c r="AF1997" i="7"/>
  <c r="AI1997" i="7" s="1"/>
  <c r="AH1997" i="7"/>
  <c r="AJ1997" i="7"/>
  <c r="AF1998" i="7"/>
  <c r="AI1998" i="7" s="1"/>
  <c r="AH1998" i="7"/>
  <c r="AJ1998" i="7"/>
  <c r="AF1999" i="7"/>
  <c r="AI1999" i="7" s="1"/>
  <c r="AH1999" i="7"/>
  <c r="AJ1999" i="7"/>
  <c r="AF2000" i="7"/>
  <c r="AI2000" i="7" s="1"/>
  <c r="AH2000" i="7"/>
  <c r="AJ2000" i="7"/>
  <c r="AF2001" i="7"/>
  <c r="AI2001" i="7" s="1"/>
  <c r="AH2001" i="7"/>
  <c r="AJ2001" i="7"/>
  <c r="AF2002" i="7"/>
  <c r="AI2002" i="7" s="1"/>
  <c r="AH2002" i="7"/>
  <c r="AJ2002" i="7"/>
  <c r="AF2003" i="7"/>
  <c r="AI2003" i="7" s="1"/>
  <c r="AH2003" i="7"/>
  <c r="AJ2003" i="7"/>
  <c r="AF2004" i="7"/>
  <c r="AI2004" i="7" s="1"/>
  <c r="AH2004" i="7"/>
  <c r="AJ2004" i="7"/>
  <c r="AF2005" i="7"/>
  <c r="AI2005" i="7" s="1"/>
  <c r="AH2005" i="7"/>
  <c r="AJ2005" i="7"/>
  <c r="AF2006" i="7"/>
  <c r="AI2006" i="7" s="1"/>
  <c r="AH2006" i="7"/>
  <c r="AJ2006" i="7"/>
  <c r="AF2007" i="7"/>
  <c r="AI2007" i="7" s="1"/>
  <c r="AH2007" i="7"/>
  <c r="AJ2007" i="7"/>
  <c r="AF2008" i="7"/>
  <c r="AI2008" i="7" s="1"/>
  <c r="AH2008" i="7"/>
  <c r="AJ2008" i="7"/>
  <c r="AF2009" i="7"/>
  <c r="AI2009" i="7" s="1"/>
  <c r="AH2009" i="7"/>
  <c r="AJ2009" i="7"/>
  <c r="AF2010" i="7"/>
  <c r="AI2010" i="7" s="1"/>
  <c r="AH2010" i="7"/>
  <c r="AJ2010" i="7"/>
  <c r="AF2011" i="7"/>
  <c r="AI2011" i="7" s="1"/>
  <c r="AH2011" i="7"/>
  <c r="AJ2011" i="7"/>
  <c r="AF2012" i="7"/>
  <c r="AI2012" i="7" s="1"/>
  <c r="AH2012" i="7"/>
  <c r="AJ2012" i="7"/>
  <c r="AF2013" i="7"/>
  <c r="AI2013" i="7" s="1"/>
  <c r="AH2013" i="7"/>
  <c r="AJ2013" i="7"/>
  <c r="AF2014" i="7"/>
  <c r="AI2014" i="7" s="1"/>
  <c r="AH2014" i="7"/>
  <c r="AJ2014" i="7"/>
  <c r="AF2015" i="7"/>
  <c r="AI2015" i="7" s="1"/>
  <c r="AH2015" i="7"/>
  <c r="AJ2015" i="7"/>
  <c r="AF2016" i="7"/>
  <c r="AI2016" i="7" s="1"/>
  <c r="AH2016" i="7"/>
  <c r="AJ2016" i="7"/>
  <c r="AF2017" i="7"/>
  <c r="AI2017" i="7" s="1"/>
  <c r="AH2017" i="7"/>
  <c r="AJ2017" i="7"/>
  <c r="AF2018" i="7"/>
  <c r="AI2018" i="7" s="1"/>
  <c r="AH2018" i="7"/>
  <c r="AJ2018" i="7"/>
  <c r="AF2019" i="7"/>
  <c r="AI2019" i="7" s="1"/>
  <c r="AH2019" i="7"/>
  <c r="AJ2019" i="7"/>
  <c r="AF2020" i="7"/>
  <c r="AI2020" i="7" s="1"/>
  <c r="AH2020" i="7"/>
  <c r="AJ2020" i="7"/>
  <c r="AF2021" i="7"/>
  <c r="AI2021" i="7" s="1"/>
  <c r="AH2021" i="7"/>
  <c r="AJ2021" i="7"/>
  <c r="AF2022" i="7"/>
  <c r="AI2022" i="7" s="1"/>
  <c r="AH2022" i="7"/>
  <c r="AJ2022" i="7"/>
  <c r="AF2023" i="7"/>
  <c r="AI2023" i="7" s="1"/>
  <c r="AH2023" i="7"/>
  <c r="AJ2023" i="7"/>
  <c r="AF2024" i="7"/>
  <c r="AI2024" i="7" s="1"/>
  <c r="AH2024" i="7"/>
  <c r="AJ2024" i="7"/>
  <c r="AF2025" i="7"/>
  <c r="AI2025" i="7" s="1"/>
  <c r="AH2025" i="7"/>
  <c r="AJ2025" i="7"/>
  <c r="AF2026" i="7"/>
  <c r="AI2026" i="7" s="1"/>
  <c r="AH2026" i="7"/>
  <c r="AJ2026" i="7"/>
  <c r="AF2027" i="7"/>
  <c r="AI2027" i="7" s="1"/>
  <c r="AH2027" i="7"/>
  <c r="AJ2027" i="7"/>
  <c r="AF2028" i="7"/>
  <c r="AI2028" i="7" s="1"/>
  <c r="AH2028" i="7"/>
  <c r="AJ2028" i="7"/>
  <c r="AF2029" i="7"/>
  <c r="AI2029" i="7" s="1"/>
  <c r="AH2029" i="7"/>
  <c r="AJ2029" i="7"/>
  <c r="AF2030" i="7"/>
  <c r="AI2030" i="7" s="1"/>
  <c r="AH2030" i="7"/>
  <c r="AJ2030" i="7"/>
  <c r="AF2031" i="7"/>
  <c r="AI2031" i="7" s="1"/>
  <c r="AH2031" i="7"/>
  <c r="AJ2031" i="7"/>
  <c r="AF2034" i="7"/>
  <c r="AI2034" i="7" s="1"/>
  <c r="AH2034" i="7"/>
  <c r="AJ2034" i="7"/>
  <c r="AF2035" i="7"/>
  <c r="AI2035" i="7" s="1"/>
  <c r="AH2035" i="7"/>
  <c r="AJ2035" i="7"/>
  <c r="AF2036" i="7"/>
  <c r="AI2036" i="7" s="1"/>
  <c r="AH2036" i="7"/>
  <c r="AJ2036" i="7"/>
  <c r="AF2037" i="7"/>
  <c r="AI2037" i="7" s="1"/>
  <c r="AH2037" i="7"/>
  <c r="AJ2037" i="7"/>
  <c r="AF2038" i="7"/>
  <c r="AI2038" i="7" s="1"/>
  <c r="AH2038" i="7"/>
  <c r="AJ2038" i="7"/>
  <c r="AF2039" i="7"/>
  <c r="AI2039" i="7" s="1"/>
  <c r="AH2039" i="7"/>
  <c r="AJ2039" i="7"/>
  <c r="AF2040" i="7"/>
  <c r="AI2040" i="7" s="1"/>
  <c r="AH2040" i="7"/>
  <c r="AJ2040" i="7"/>
  <c r="AF2041" i="7"/>
  <c r="AI2041" i="7" s="1"/>
  <c r="AH2041" i="7"/>
  <c r="AJ2041" i="7"/>
  <c r="AF2042" i="7"/>
  <c r="AI2042" i="7" s="1"/>
  <c r="AH2042" i="7"/>
  <c r="AJ2042" i="7"/>
  <c r="AF2043" i="7"/>
  <c r="AI2043" i="7" s="1"/>
  <c r="AH2043" i="7"/>
  <c r="AJ2043" i="7"/>
  <c r="AF2044" i="7"/>
  <c r="AI2044" i="7" s="1"/>
  <c r="AH2044" i="7"/>
  <c r="AJ2044" i="7"/>
  <c r="AF2045" i="7"/>
  <c r="AI2045" i="7" s="1"/>
  <c r="AH2045" i="7"/>
  <c r="AJ2045" i="7"/>
  <c r="AF2046" i="7"/>
  <c r="AI2046" i="7" s="1"/>
  <c r="AH2046" i="7"/>
  <c r="AJ2046" i="7"/>
  <c r="AF2047" i="7"/>
  <c r="AI2047" i="7" s="1"/>
  <c r="AH2047" i="7"/>
  <c r="AJ2047" i="7"/>
  <c r="AF2048" i="7"/>
  <c r="AI2048" i="7" s="1"/>
  <c r="AH2048" i="7"/>
  <c r="AJ2048" i="7"/>
  <c r="AF2049" i="7"/>
  <c r="AI2049" i="7" s="1"/>
  <c r="AH2049" i="7"/>
  <c r="AJ2049" i="7"/>
  <c r="AF2050" i="7"/>
  <c r="AI2050" i="7" s="1"/>
  <c r="AH2050" i="7"/>
  <c r="AJ2050" i="7"/>
  <c r="AF2051" i="7"/>
  <c r="AI2051" i="7" s="1"/>
  <c r="AH2051" i="7"/>
  <c r="AJ2051" i="7"/>
  <c r="AF2052" i="7"/>
  <c r="AI2052" i="7" s="1"/>
  <c r="AH2052" i="7"/>
  <c r="AJ2052" i="7"/>
  <c r="AF2053" i="7"/>
  <c r="AI2053" i="7" s="1"/>
  <c r="AH2053" i="7"/>
  <c r="AJ2053" i="7"/>
  <c r="AF2054" i="7"/>
  <c r="AI2054" i="7" s="1"/>
  <c r="AH2054" i="7"/>
  <c r="AJ2054" i="7"/>
  <c r="AF2055" i="7"/>
  <c r="AI2055" i="7" s="1"/>
  <c r="AH2055" i="7"/>
  <c r="AJ2055" i="7"/>
  <c r="AF2056" i="7"/>
  <c r="AI2056" i="7" s="1"/>
  <c r="AH2056" i="7"/>
  <c r="AJ2056" i="7"/>
  <c r="AF2057" i="7"/>
  <c r="AI2057" i="7" s="1"/>
  <c r="AH2057" i="7"/>
  <c r="AJ2057" i="7"/>
  <c r="AF2058" i="7"/>
  <c r="AI2058" i="7" s="1"/>
  <c r="AH2058" i="7"/>
  <c r="AJ2058" i="7"/>
  <c r="AF2059" i="7"/>
  <c r="AI2059" i="7" s="1"/>
  <c r="AH2059" i="7"/>
  <c r="AJ2059" i="7"/>
  <c r="AF2060" i="7"/>
  <c r="AI2060" i="7" s="1"/>
  <c r="AH2060" i="7"/>
  <c r="AJ2060" i="7"/>
  <c r="AF2061" i="7"/>
  <c r="AI2061" i="7" s="1"/>
  <c r="AH2061" i="7"/>
  <c r="AJ2061" i="7"/>
  <c r="AF2062" i="7"/>
  <c r="AI2062" i="7" s="1"/>
  <c r="AH2062" i="7"/>
  <c r="AJ2062" i="7"/>
  <c r="AF2063" i="7"/>
  <c r="AI2063" i="7" s="1"/>
  <c r="AH2063" i="7"/>
  <c r="AJ2063" i="7"/>
  <c r="AF2064" i="7"/>
  <c r="AI2064" i="7" s="1"/>
  <c r="AH2064" i="7"/>
  <c r="AJ2064" i="7"/>
  <c r="AF2065" i="7"/>
  <c r="AI2065" i="7" s="1"/>
  <c r="AH2065" i="7"/>
  <c r="AJ2065" i="7"/>
  <c r="AF2066" i="7"/>
  <c r="AI2066" i="7" s="1"/>
  <c r="AH2066" i="7"/>
  <c r="AJ2066" i="7"/>
  <c r="AF2067" i="7"/>
  <c r="AI2067" i="7" s="1"/>
  <c r="AH2067" i="7"/>
  <c r="AJ2067" i="7"/>
  <c r="AF2068" i="7"/>
  <c r="AI2068" i="7" s="1"/>
  <c r="AH2068" i="7"/>
  <c r="AJ2068" i="7"/>
  <c r="AF2069" i="7"/>
  <c r="AI2069" i="7" s="1"/>
  <c r="AH2069" i="7"/>
  <c r="AJ2069" i="7"/>
  <c r="AF2070" i="7"/>
  <c r="AI2070" i="7" s="1"/>
  <c r="AH2070" i="7"/>
  <c r="AJ2070" i="7"/>
  <c r="AF2071" i="7"/>
  <c r="AI2071" i="7" s="1"/>
  <c r="AH2071" i="7"/>
  <c r="AJ2071" i="7"/>
  <c r="AF2072" i="7"/>
  <c r="AI2072" i="7" s="1"/>
  <c r="AH2072" i="7"/>
  <c r="AJ2072" i="7"/>
  <c r="AF2073" i="7"/>
  <c r="AI2073" i="7" s="1"/>
  <c r="AH2073" i="7"/>
  <c r="AJ2073" i="7"/>
  <c r="AF2074" i="7"/>
  <c r="AI2074" i="7" s="1"/>
  <c r="AH2074" i="7"/>
  <c r="AJ2074" i="7"/>
  <c r="AF2075" i="7"/>
  <c r="AI2075" i="7" s="1"/>
  <c r="AH2075" i="7"/>
  <c r="AJ2075" i="7"/>
  <c r="AF2076" i="7"/>
  <c r="AI2076" i="7" s="1"/>
  <c r="AH2076" i="7"/>
  <c r="AJ2076" i="7"/>
  <c r="AF2079" i="7"/>
  <c r="AI2079" i="7" s="1"/>
  <c r="AH2079" i="7"/>
  <c r="AJ2079" i="7"/>
  <c r="AF2080" i="7"/>
  <c r="AI2080" i="7" s="1"/>
  <c r="AH2080" i="7"/>
  <c r="AJ2080" i="7"/>
  <c r="AF2081" i="7"/>
  <c r="AI2081" i="7" s="1"/>
  <c r="AH2081" i="7"/>
  <c r="AJ2081" i="7"/>
  <c r="AF2082" i="7"/>
  <c r="AI2082" i="7" s="1"/>
  <c r="AH2082" i="7"/>
  <c r="AJ2082" i="7"/>
  <c r="AF2083" i="7"/>
  <c r="AI2083" i="7" s="1"/>
  <c r="AH2083" i="7"/>
  <c r="AJ2083" i="7"/>
  <c r="AF2084" i="7"/>
  <c r="AI2084" i="7" s="1"/>
  <c r="AH2084" i="7"/>
  <c r="AJ2084" i="7"/>
  <c r="AF2085" i="7"/>
  <c r="AI2085" i="7" s="1"/>
  <c r="AH2085" i="7"/>
  <c r="AJ2085" i="7"/>
  <c r="AF2086" i="7"/>
  <c r="AI2086" i="7" s="1"/>
  <c r="AH2086" i="7"/>
  <c r="AJ2086" i="7"/>
  <c r="AF2087" i="7"/>
  <c r="AI2087" i="7" s="1"/>
  <c r="AH2087" i="7"/>
  <c r="AJ2087" i="7"/>
  <c r="AF2088" i="7"/>
  <c r="AI2088" i="7" s="1"/>
  <c r="AH2088" i="7"/>
  <c r="AJ2088" i="7"/>
  <c r="AF2089" i="7"/>
  <c r="AI2089" i="7" s="1"/>
  <c r="AH2089" i="7"/>
  <c r="AJ2089" i="7"/>
  <c r="AF2090" i="7"/>
  <c r="AI2090" i="7" s="1"/>
  <c r="AH2090" i="7"/>
  <c r="AJ2090" i="7"/>
  <c r="AF2091" i="7"/>
  <c r="AI2091" i="7" s="1"/>
  <c r="AH2091" i="7"/>
  <c r="AJ2091" i="7"/>
  <c r="AF2092" i="7"/>
  <c r="AI2092" i="7" s="1"/>
  <c r="AH2092" i="7"/>
  <c r="AJ2092" i="7"/>
  <c r="AF2093" i="7"/>
  <c r="AI2093" i="7" s="1"/>
  <c r="AH2093" i="7"/>
  <c r="AJ2093" i="7"/>
  <c r="AF2094" i="7"/>
  <c r="AI2094" i="7" s="1"/>
  <c r="AH2094" i="7"/>
  <c r="AJ2094" i="7"/>
  <c r="AF2095" i="7"/>
  <c r="AI2095" i="7" s="1"/>
  <c r="AH2095" i="7"/>
  <c r="AJ2095" i="7"/>
  <c r="AF2096" i="7"/>
  <c r="AI2096" i="7" s="1"/>
  <c r="AH2096" i="7"/>
  <c r="AJ2096" i="7"/>
  <c r="AF2097" i="7"/>
  <c r="AI2097" i="7" s="1"/>
  <c r="AH2097" i="7"/>
  <c r="AJ2097" i="7"/>
  <c r="AF2098" i="7"/>
  <c r="AI2098" i="7" s="1"/>
  <c r="AH2098" i="7"/>
  <c r="AJ2098" i="7"/>
  <c r="AF2099" i="7"/>
  <c r="AI2099" i="7" s="1"/>
  <c r="AH2099" i="7"/>
  <c r="AJ2099" i="7"/>
  <c r="AF2100" i="7"/>
  <c r="AI2100" i="7" s="1"/>
  <c r="AH2100" i="7"/>
  <c r="AJ2100" i="7"/>
  <c r="AF2101" i="7"/>
  <c r="AI2101" i="7" s="1"/>
  <c r="AH2101" i="7"/>
  <c r="AJ2101" i="7"/>
  <c r="AF2102" i="7"/>
  <c r="AI2102" i="7" s="1"/>
  <c r="AH2102" i="7"/>
  <c r="AJ2102" i="7"/>
  <c r="AF2103" i="7"/>
  <c r="AI2103" i="7" s="1"/>
  <c r="AH2103" i="7"/>
  <c r="AJ2103" i="7"/>
  <c r="AF2104" i="7"/>
  <c r="AI2104" i="7" s="1"/>
  <c r="AH2104" i="7"/>
  <c r="AJ2104" i="7"/>
  <c r="AF2105" i="7"/>
  <c r="AI2105" i="7" s="1"/>
  <c r="AH2105" i="7"/>
  <c r="AJ2105" i="7"/>
  <c r="AF2106" i="7"/>
  <c r="AI2106" i="7" s="1"/>
  <c r="AH2106" i="7"/>
  <c r="AJ2106" i="7"/>
  <c r="AF2107" i="7"/>
  <c r="AI2107" i="7" s="1"/>
  <c r="AH2107" i="7"/>
  <c r="AJ2107" i="7"/>
  <c r="AF2108" i="7"/>
  <c r="AI2108" i="7" s="1"/>
  <c r="AH2108" i="7"/>
  <c r="AJ2108" i="7"/>
  <c r="AF2109" i="7"/>
  <c r="AI2109" i="7" s="1"/>
  <c r="AH2109" i="7"/>
  <c r="AJ2109" i="7"/>
  <c r="AF2110" i="7"/>
  <c r="AI2110" i="7" s="1"/>
  <c r="AH2110" i="7"/>
  <c r="AJ2110" i="7"/>
  <c r="AF2111" i="7"/>
  <c r="AI2111" i="7" s="1"/>
  <c r="AH2111" i="7"/>
  <c r="AJ2111" i="7"/>
  <c r="AF2112" i="7"/>
  <c r="AI2112" i="7" s="1"/>
  <c r="AH2112" i="7"/>
  <c r="AJ2112" i="7"/>
  <c r="AF2113" i="7"/>
  <c r="AI2113" i="7" s="1"/>
  <c r="AH2113" i="7"/>
  <c r="AJ2113" i="7"/>
  <c r="AF2116" i="7"/>
  <c r="AI2116" i="7" s="1"/>
  <c r="AH2116" i="7"/>
  <c r="AJ2116" i="7"/>
  <c r="AF2117" i="7"/>
  <c r="AI2117" i="7" s="1"/>
  <c r="AH2117" i="7"/>
  <c r="AJ2117" i="7"/>
  <c r="AF2118" i="7"/>
  <c r="AI2118" i="7" s="1"/>
  <c r="AH2118" i="7"/>
  <c r="AJ2118" i="7"/>
  <c r="AF2119" i="7"/>
  <c r="AI2119" i="7" s="1"/>
  <c r="AH2119" i="7"/>
  <c r="AJ2119" i="7"/>
  <c r="AF2120" i="7"/>
  <c r="AI2120" i="7" s="1"/>
  <c r="AH2120" i="7"/>
  <c r="AJ2120" i="7"/>
  <c r="AF2121" i="7"/>
  <c r="AI2121" i="7" s="1"/>
  <c r="AH2121" i="7"/>
  <c r="AJ2121" i="7"/>
  <c r="AF2122" i="7"/>
  <c r="AI2122" i="7" s="1"/>
  <c r="AH2122" i="7"/>
  <c r="AJ2122" i="7"/>
  <c r="AF2123" i="7"/>
  <c r="AI2123" i="7" s="1"/>
  <c r="AH2123" i="7"/>
  <c r="AJ2123" i="7"/>
  <c r="AF2124" i="7"/>
  <c r="AI2124" i="7" s="1"/>
  <c r="AH2124" i="7"/>
  <c r="AJ2124" i="7"/>
  <c r="AF2125" i="7"/>
  <c r="AI2125" i="7" s="1"/>
  <c r="AH2125" i="7"/>
  <c r="AJ2125" i="7"/>
  <c r="AF2126" i="7"/>
  <c r="AI2126" i="7" s="1"/>
  <c r="AH2126" i="7"/>
  <c r="AJ2126" i="7"/>
  <c r="AF2127" i="7"/>
  <c r="AI2127" i="7" s="1"/>
  <c r="AH2127" i="7"/>
  <c r="AJ2127" i="7"/>
  <c r="AF2128" i="7"/>
  <c r="AI2128" i="7" s="1"/>
  <c r="AH2128" i="7"/>
  <c r="AJ2128" i="7"/>
  <c r="AF2129" i="7"/>
  <c r="AI2129" i="7" s="1"/>
  <c r="AH2129" i="7"/>
  <c r="AJ2129" i="7"/>
  <c r="AF2130" i="7"/>
  <c r="AI2130" i="7" s="1"/>
  <c r="AH2130" i="7"/>
  <c r="AJ2130" i="7"/>
  <c r="AF2131" i="7"/>
  <c r="AI2131" i="7" s="1"/>
  <c r="AH2131" i="7"/>
  <c r="AJ2131" i="7"/>
  <c r="AF2132" i="7"/>
  <c r="AI2132" i="7" s="1"/>
  <c r="AH2132" i="7"/>
  <c r="AJ2132" i="7"/>
  <c r="AF2133" i="7"/>
  <c r="AI2133" i="7" s="1"/>
  <c r="AH2133" i="7"/>
  <c r="AJ2133" i="7"/>
  <c r="AF2134" i="7"/>
  <c r="AI2134" i="7" s="1"/>
  <c r="AH2134" i="7"/>
  <c r="AJ2134" i="7"/>
  <c r="AF2135" i="7"/>
  <c r="AI2135" i="7" s="1"/>
  <c r="AH2135" i="7"/>
  <c r="AJ2135" i="7"/>
  <c r="AF2136" i="7"/>
  <c r="AI2136" i="7" s="1"/>
  <c r="AH2136" i="7"/>
  <c r="AJ2136" i="7"/>
  <c r="AF2137" i="7"/>
  <c r="AI2137" i="7" s="1"/>
  <c r="AH2137" i="7"/>
  <c r="AJ2137" i="7"/>
  <c r="AF2138" i="7"/>
  <c r="AI2138" i="7" s="1"/>
  <c r="AH2138" i="7"/>
  <c r="AJ2138" i="7"/>
  <c r="AF2139" i="7"/>
  <c r="AI2139" i="7" s="1"/>
  <c r="AH2139" i="7"/>
  <c r="AJ2139" i="7"/>
  <c r="AF2140" i="7"/>
  <c r="AI2140" i="7" s="1"/>
  <c r="AH2140" i="7"/>
  <c r="AJ2140" i="7"/>
  <c r="AF2141" i="7"/>
  <c r="AI2141" i="7" s="1"/>
  <c r="AH2141" i="7"/>
  <c r="AJ2141" i="7"/>
  <c r="AF2142" i="7"/>
  <c r="AI2142" i="7" s="1"/>
  <c r="AH2142" i="7"/>
  <c r="AJ2142" i="7"/>
  <c r="AF2143" i="7"/>
  <c r="AI2143" i="7" s="1"/>
  <c r="AH2143" i="7"/>
  <c r="AJ2143" i="7"/>
  <c r="AF2144" i="7"/>
  <c r="AI2144" i="7" s="1"/>
  <c r="AH2144" i="7"/>
  <c r="AJ2144" i="7"/>
  <c r="AF2145" i="7"/>
  <c r="AI2145" i="7" s="1"/>
  <c r="AH2145" i="7"/>
  <c r="AJ2145" i="7"/>
  <c r="AF2146" i="7"/>
  <c r="AI2146" i="7" s="1"/>
  <c r="AH2146" i="7"/>
  <c r="AJ2146" i="7"/>
  <c r="AF2147" i="7"/>
  <c r="AI2147" i="7" s="1"/>
  <c r="AH2147" i="7"/>
  <c r="AJ2147" i="7"/>
  <c r="AF2148" i="7"/>
  <c r="AI2148" i="7" s="1"/>
  <c r="AH2148" i="7"/>
  <c r="AJ2148" i="7"/>
  <c r="AF2149" i="7"/>
  <c r="AI2149" i="7" s="1"/>
  <c r="AH2149" i="7"/>
  <c r="AJ2149" i="7"/>
  <c r="AF2150" i="7"/>
  <c r="AI2150" i="7" s="1"/>
  <c r="AH2150" i="7"/>
  <c r="AJ2150" i="7"/>
  <c r="AF2153" i="7"/>
  <c r="AI2153" i="7" s="1"/>
  <c r="AH2153" i="7"/>
  <c r="AJ2153" i="7"/>
  <c r="AF2154" i="7"/>
  <c r="AI2154" i="7" s="1"/>
  <c r="AH2154" i="7"/>
  <c r="AJ2154" i="7"/>
  <c r="AF2155" i="7"/>
  <c r="AI2155" i="7" s="1"/>
  <c r="AH2155" i="7"/>
  <c r="AJ2155" i="7"/>
  <c r="AF2156" i="7"/>
  <c r="AI2156" i="7" s="1"/>
  <c r="AH2156" i="7"/>
  <c r="AJ2156" i="7"/>
  <c r="AF2157" i="7"/>
  <c r="AI2157" i="7" s="1"/>
  <c r="AH2157" i="7"/>
  <c r="AJ2157" i="7"/>
  <c r="AF2158" i="7"/>
  <c r="AI2158" i="7" s="1"/>
  <c r="AH2158" i="7"/>
  <c r="AJ2158" i="7"/>
  <c r="AF2159" i="7"/>
  <c r="AI2159" i="7" s="1"/>
  <c r="AH2159" i="7"/>
  <c r="AJ2159" i="7"/>
  <c r="AF2160" i="7"/>
  <c r="AI2160" i="7" s="1"/>
  <c r="AH2160" i="7"/>
  <c r="AJ2160" i="7"/>
  <c r="AF2161" i="7"/>
  <c r="AI2161" i="7" s="1"/>
  <c r="AH2161" i="7"/>
  <c r="AJ2161" i="7"/>
  <c r="AF2162" i="7"/>
  <c r="AI2162" i="7" s="1"/>
  <c r="AH2162" i="7"/>
  <c r="AJ2162" i="7"/>
  <c r="AF2163" i="7"/>
  <c r="AI2163" i="7" s="1"/>
  <c r="AH2163" i="7"/>
  <c r="AJ2163" i="7"/>
  <c r="AF2164" i="7"/>
  <c r="AI2164" i="7" s="1"/>
  <c r="AH2164" i="7"/>
  <c r="AJ2164" i="7"/>
  <c r="AF2165" i="7"/>
  <c r="AI2165" i="7" s="1"/>
  <c r="AH2165" i="7"/>
  <c r="AJ2165" i="7"/>
  <c r="AF2166" i="7"/>
  <c r="AI2166" i="7" s="1"/>
  <c r="AH2166" i="7"/>
  <c r="AJ2166" i="7"/>
  <c r="AF2167" i="7"/>
  <c r="AI2167" i="7" s="1"/>
  <c r="AH2167" i="7"/>
  <c r="AJ2167" i="7"/>
  <c r="AF2168" i="7"/>
  <c r="AI2168" i="7" s="1"/>
  <c r="AH2168" i="7"/>
  <c r="AJ2168" i="7"/>
  <c r="AF2169" i="7"/>
  <c r="AI2169" i="7" s="1"/>
  <c r="AH2169" i="7"/>
  <c r="AJ2169" i="7"/>
  <c r="AF2170" i="7"/>
  <c r="AI2170" i="7" s="1"/>
  <c r="AH2170" i="7"/>
  <c r="AJ2170" i="7"/>
  <c r="AF2171" i="7"/>
  <c r="AI2171" i="7" s="1"/>
  <c r="AH2171" i="7"/>
  <c r="AJ2171" i="7"/>
  <c r="AF2172" i="7"/>
  <c r="AI2172" i="7" s="1"/>
  <c r="AH2172" i="7"/>
  <c r="AJ2172" i="7"/>
  <c r="AF2173" i="7"/>
  <c r="AI2173" i="7" s="1"/>
  <c r="AH2173" i="7"/>
  <c r="AJ2173" i="7"/>
  <c r="AF2174" i="7"/>
  <c r="AI2174" i="7" s="1"/>
  <c r="AH2174" i="7"/>
  <c r="AJ2174" i="7"/>
  <c r="AF2175" i="7"/>
  <c r="AI2175" i="7" s="1"/>
  <c r="AH2175" i="7"/>
  <c r="AJ2175" i="7"/>
  <c r="AF2176" i="7"/>
  <c r="AI2176" i="7" s="1"/>
  <c r="AH2176" i="7"/>
  <c r="AJ2176" i="7"/>
  <c r="AF2177" i="7"/>
  <c r="AI2177" i="7" s="1"/>
  <c r="AH2177" i="7"/>
  <c r="AJ2177" i="7"/>
  <c r="AF2178" i="7"/>
  <c r="AI2178" i="7" s="1"/>
  <c r="AH2178" i="7"/>
  <c r="AJ2178" i="7"/>
  <c r="AF2179" i="7"/>
  <c r="AI2179" i="7" s="1"/>
  <c r="AH2179" i="7"/>
  <c r="AJ2179" i="7"/>
  <c r="AF2180" i="7"/>
  <c r="AI2180" i="7" s="1"/>
  <c r="AH2180" i="7"/>
  <c r="AJ2180" i="7"/>
  <c r="AF2181" i="7"/>
  <c r="AI2181" i="7" s="1"/>
  <c r="AH2181" i="7"/>
  <c r="AJ2181" i="7"/>
  <c r="AF2182" i="7"/>
  <c r="AI2182" i="7" s="1"/>
  <c r="AH2182" i="7"/>
  <c r="AJ2182" i="7"/>
  <c r="AF2183" i="7"/>
  <c r="AI2183" i="7" s="1"/>
  <c r="AH2183" i="7"/>
  <c r="AJ2183" i="7"/>
  <c r="AF2184" i="7"/>
  <c r="AI2184" i="7" s="1"/>
  <c r="AH2184" i="7"/>
  <c r="AJ2184" i="7"/>
  <c r="AF2185" i="7"/>
  <c r="AI2185" i="7" s="1"/>
  <c r="AH2185" i="7"/>
  <c r="AJ2185" i="7"/>
  <c r="AF2186" i="7"/>
  <c r="AI2186" i="7" s="1"/>
  <c r="AH2186" i="7"/>
  <c r="AJ2186" i="7"/>
  <c r="AF2187" i="7"/>
  <c r="AI2187" i="7" s="1"/>
  <c r="AH2187" i="7"/>
  <c r="AJ2187" i="7"/>
  <c r="AF2190" i="7"/>
  <c r="AI2190" i="7" s="1"/>
  <c r="AH2190" i="7"/>
  <c r="AJ2190" i="7"/>
  <c r="AF2191" i="7"/>
  <c r="AI2191" i="7" s="1"/>
  <c r="AH2191" i="7"/>
  <c r="AJ2191" i="7"/>
  <c r="AF2192" i="7"/>
  <c r="AI2192" i="7" s="1"/>
  <c r="AH2192" i="7"/>
  <c r="AJ2192" i="7"/>
  <c r="AF2193" i="7"/>
  <c r="AI2193" i="7" s="1"/>
  <c r="AH2193" i="7"/>
  <c r="AJ2193" i="7"/>
  <c r="AF2194" i="7"/>
  <c r="AI2194" i="7" s="1"/>
  <c r="AH2194" i="7"/>
  <c r="AJ2194" i="7"/>
  <c r="AF2195" i="7"/>
  <c r="AI2195" i="7" s="1"/>
  <c r="AH2195" i="7"/>
  <c r="AJ2195" i="7"/>
  <c r="AF2196" i="7"/>
  <c r="AI2196" i="7" s="1"/>
  <c r="AH2196" i="7"/>
  <c r="AJ2196" i="7"/>
  <c r="AF2197" i="7"/>
  <c r="AI2197" i="7" s="1"/>
  <c r="AH2197" i="7"/>
  <c r="AJ2197" i="7"/>
  <c r="AF2198" i="7"/>
  <c r="AI2198" i="7" s="1"/>
  <c r="AH2198" i="7"/>
  <c r="AJ2198" i="7"/>
  <c r="AF2199" i="7"/>
  <c r="AI2199" i="7" s="1"/>
  <c r="AH2199" i="7"/>
  <c r="AJ2199" i="7"/>
  <c r="AF2200" i="7"/>
  <c r="AI2200" i="7" s="1"/>
  <c r="AH2200" i="7"/>
  <c r="AJ2200" i="7"/>
  <c r="AF2201" i="7"/>
  <c r="AI2201" i="7" s="1"/>
  <c r="AH2201" i="7"/>
  <c r="AJ2201" i="7"/>
  <c r="AF2202" i="7"/>
  <c r="AI2202" i="7" s="1"/>
  <c r="AH2202" i="7"/>
  <c r="AJ2202" i="7"/>
  <c r="AF2203" i="7"/>
  <c r="AI2203" i="7" s="1"/>
  <c r="AH2203" i="7"/>
  <c r="AJ2203" i="7"/>
  <c r="AF2204" i="7"/>
  <c r="AI2204" i="7" s="1"/>
  <c r="AH2204" i="7"/>
  <c r="AJ2204" i="7"/>
  <c r="AF2205" i="7"/>
  <c r="AI2205" i="7" s="1"/>
  <c r="AH2205" i="7"/>
  <c r="AJ2205" i="7"/>
  <c r="AF2206" i="7"/>
  <c r="AI2206" i="7" s="1"/>
  <c r="AH2206" i="7"/>
  <c r="AJ2206" i="7"/>
  <c r="AF2207" i="7"/>
  <c r="AI2207" i="7" s="1"/>
  <c r="AH2207" i="7"/>
  <c r="AJ2207" i="7"/>
  <c r="AF2208" i="7"/>
  <c r="AI2208" i="7" s="1"/>
  <c r="AH2208" i="7"/>
  <c r="AJ2208" i="7"/>
  <c r="AF2209" i="7"/>
  <c r="AI2209" i="7" s="1"/>
  <c r="AH2209" i="7"/>
  <c r="AJ2209" i="7"/>
  <c r="AF2210" i="7"/>
  <c r="AI2210" i="7" s="1"/>
  <c r="AH2210" i="7"/>
  <c r="AJ2210" i="7"/>
  <c r="AF2211" i="7"/>
  <c r="AI2211" i="7" s="1"/>
  <c r="AH2211" i="7"/>
  <c r="AJ2211" i="7"/>
  <c r="AF2212" i="7"/>
  <c r="AI2212" i="7" s="1"/>
  <c r="AH2212" i="7"/>
  <c r="AJ2212" i="7"/>
  <c r="AF2213" i="7"/>
  <c r="AI2213" i="7" s="1"/>
  <c r="AH2213" i="7"/>
  <c r="AJ2213" i="7"/>
  <c r="AF2214" i="7"/>
  <c r="AI2214" i="7" s="1"/>
  <c r="AH2214" i="7"/>
  <c r="AJ2214" i="7"/>
  <c r="AF2215" i="7"/>
  <c r="AI2215" i="7" s="1"/>
  <c r="AH2215" i="7"/>
  <c r="AJ2215" i="7"/>
  <c r="AF2216" i="7"/>
  <c r="AI2216" i="7" s="1"/>
  <c r="AH2216" i="7"/>
  <c r="AJ2216" i="7"/>
  <c r="AF2217" i="7"/>
  <c r="AI2217" i="7" s="1"/>
  <c r="AH2217" i="7"/>
  <c r="AJ2217" i="7"/>
  <c r="AF2218" i="7"/>
  <c r="AI2218" i="7" s="1"/>
  <c r="AH2218" i="7"/>
  <c r="AJ2218" i="7"/>
  <c r="AF2219" i="7"/>
  <c r="AI2219" i="7" s="1"/>
  <c r="AH2219" i="7"/>
  <c r="AJ2219" i="7"/>
  <c r="AF2220" i="7"/>
  <c r="AI2220" i="7" s="1"/>
  <c r="AH2220" i="7"/>
  <c r="AJ2220" i="7"/>
  <c r="AF2221" i="7"/>
  <c r="AI2221" i="7" s="1"/>
  <c r="AH2221" i="7"/>
  <c r="AJ2221" i="7"/>
  <c r="AF2222" i="7"/>
  <c r="AI2222" i="7" s="1"/>
  <c r="AH2222" i="7"/>
  <c r="AJ2222" i="7"/>
  <c r="AF2223" i="7"/>
  <c r="AI2223" i="7" s="1"/>
  <c r="AH2223" i="7"/>
  <c r="AJ2223" i="7"/>
  <c r="AF2224" i="7"/>
  <c r="AI2224" i="7" s="1"/>
  <c r="AH2224" i="7"/>
  <c r="AJ2224" i="7"/>
  <c r="AF2225" i="7"/>
  <c r="AI2225" i="7" s="1"/>
  <c r="AH2225" i="7"/>
  <c r="AJ2225" i="7"/>
  <c r="AF2228" i="7"/>
  <c r="AI2228" i="7" s="1"/>
  <c r="AH2228" i="7"/>
  <c r="AJ2228" i="7"/>
  <c r="AF2229" i="7"/>
  <c r="AI2229" i="7" s="1"/>
  <c r="AH2229" i="7"/>
  <c r="AJ2229" i="7"/>
  <c r="AF2230" i="7"/>
  <c r="AI2230" i="7" s="1"/>
  <c r="AH2230" i="7"/>
  <c r="AJ2230" i="7"/>
  <c r="AF2231" i="7"/>
  <c r="AI2231" i="7" s="1"/>
  <c r="AH2231" i="7"/>
  <c r="AJ2231" i="7"/>
  <c r="AF2232" i="7"/>
  <c r="AI2232" i="7" s="1"/>
  <c r="AH2232" i="7"/>
  <c r="AJ2232" i="7"/>
  <c r="AF2233" i="7"/>
  <c r="AI2233" i="7" s="1"/>
  <c r="AH2233" i="7"/>
  <c r="AJ2233" i="7"/>
  <c r="AF2234" i="7"/>
  <c r="AI2234" i="7" s="1"/>
  <c r="AH2234" i="7"/>
  <c r="AJ2234" i="7"/>
  <c r="AF2235" i="7"/>
  <c r="AI2235" i="7" s="1"/>
  <c r="AH2235" i="7"/>
  <c r="AJ2235" i="7"/>
  <c r="AF2236" i="7"/>
  <c r="AI2236" i="7" s="1"/>
  <c r="AH2236" i="7"/>
  <c r="AJ2236" i="7"/>
  <c r="AF2237" i="7"/>
  <c r="AI2237" i="7" s="1"/>
  <c r="AH2237" i="7"/>
  <c r="AJ2237" i="7"/>
  <c r="AF2238" i="7"/>
  <c r="AI2238" i="7" s="1"/>
  <c r="AH2238" i="7"/>
  <c r="AJ2238" i="7"/>
  <c r="AF2239" i="7"/>
  <c r="AI2239" i="7" s="1"/>
  <c r="AH2239" i="7"/>
  <c r="AJ2239" i="7"/>
  <c r="AF2240" i="7"/>
  <c r="AI2240" i="7" s="1"/>
  <c r="AH2240" i="7"/>
  <c r="AJ2240" i="7"/>
  <c r="AF2241" i="7"/>
  <c r="AI2241" i="7" s="1"/>
  <c r="AH2241" i="7"/>
  <c r="AJ2241" i="7"/>
  <c r="AF2242" i="7"/>
  <c r="AI2242" i="7" s="1"/>
  <c r="AH2242" i="7"/>
  <c r="AJ2242" i="7"/>
  <c r="AF2243" i="7"/>
  <c r="AI2243" i="7" s="1"/>
  <c r="AH2243" i="7"/>
  <c r="AJ2243" i="7"/>
  <c r="AF2244" i="7"/>
  <c r="AI2244" i="7" s="1"/>
  <c r="AH2244" i="7"/>
  <c r="AJ2244" i="7"/>
  <c r="AF2245" i="7"/>
  <c r="AI2245" i="7" s="1"/>
  <c r="AH2245" i="7"/>
  <c r="AJ2245" i="7"/>
  <c r="AF2246" i="7"/>
  <c r="AI2246" i="7" s="1"/>
  <c r="AH2246" i="7"/>
  <c r="AJ2246" i="7"/>
  <c r="AF2247" i="7"/>
  <c r="AI2247" i="7" s="1"/>
  <c r="AH2247" i="7"/>
  <c r="AJ2247" i="7"/>
  <c r="AF2248" i="7"/>
  <c r="AI2248" i="7" s="1"/>
  <c r="AH2248" i="7"/>
  <c r="AJ2248" i="7"/>
  <c r="AF2249" i="7"/>
  <c r="AI2249" i="7" s="1"/>
  <c r="AH2249" i="7"/>
  <c r="AJ2249" i="7"/>
  <c r="AF2250" i="7"/>
  <c r="AI2250" i="7" s="1"/>
  <c r="AH2250" i="7"/>
  <c r="AJ2250" i="7"/>
  <c r="AF2251" i="7"/>
  <c r="AI2251" i="7" s="1"/>
  <c r="AH2251" i="7"/>
  <c r="AJ2251" i="7"/>
  <c r="AF2252" i="7"/>
  <c r="AI2252" i="7" s="1"/>
  <c r="AH2252" i="7"/>
  <c r="AJ2252" i="7"/>
  <c r="AF2255" i="7"/>
  <c r="AI2255" i="7" s="1"/>
  <c r="AH2255" i="7"/>
  <c r="AJ2255" i="7"/>
  <c r="AF2256" i="7"/>
  <c r="AI2256" i="7" s="1"/>
  <c r="AH2256" i="7"/>
  <c r="AJ2256" i="7"/>
  <c r="AF2257" i="7"/>
  <c r="AI2257" i="7" s="1"/>
  <c r="AH2257" i="7"/>
  <c r="AJ2257" i="7"/>
  <c r="AF2258" i="7"/>
  <c r="AI2258" i="7" s="1"/>
  <c r="AH2258" i="7"/>
  <c r="AJ2258" i="7"/>
  <c r="AF2259" i="7"/>
  <c r="AI2259" i="7" s="1"/>
  <c r="AH2259" i="7"/>
  <c r="AJ2259" i="7"/>
  <c r="AF2260" i="7"/>
  <c r="AI2260" i="7" s="1"/>
  <c r="AH2260" i="7"/>
  <c r="AJ2260" i="7"/>
  <c r="AF2261" i="7"/>
  <c r="AI2261" i="7" s="1"/>
  <c r="AH2261" i="7"/>
  <c r="AJ2261" i="7"/>
  <c r="AF2262" i="7"/>
  <c r="AI2262" i="7" s="1"/>
  <c r="AH2262" i="7"/>
  <c r="AJ2262" i="7"/>
  <c r="AF2263" i="7"/>
  <c r="AI2263" i="7" s="1"/>
  <c r="AH2263" i="7"/>
  <c r="AJ2263" i="7"/>
  <c r="AF2264" i="7"/>
  <c r="AI2264" i="7" s="1"/>
  <c r="AH2264" i="7"/>
  <c r="AJ2264" i="7"/>
  <c r="AF2265" i="7"/>
  <c r="AI2265" i="7" s="1"/>
  <c r="AH2265" i="7"/>
  <c r="AJ2265" i="7"/>
  <c r="AF2266" i="7"/>
  <c r="AI2266" i="7" s="1"/>
  <c r="AH2266" i="7"/>
  <c r="AJ2266" i="7"/>
  <c r="AF2267" i="7"/>
  <c r="AI2267" i="7" s="1"/>
  <c r="AH2267" i="7"/>
  <c r="AJ2267" i="7"/>
  <c r="AF2268" i="7"/>
  <c r="AI2268" i="7" s="1"/>
  <c r="AH2268" i="7"/>
  <c r="AJ2268" i="7"/>
  <c r="AF2269" i="7"/>
  <c r="AI2269" i="7" s="1"/>
  <c r="AH2269" i="7"/>
  <c r="AJ2269" i="7"/>
  <c r="AF2270" i="7"/>
  <c r="AI2270" i="7" s="1"/>
  <c r="AH2270" i="7"/>
  <c r="AJ2270" i="7"/>
  <c r="AF2271" i="7"/>
  <c r="AI2271" i="7" s="1"/>
  <c r="AH2271" i="7"/>
  <c r="AJ2271" i="7"/>
  <c r="AF2272" i="7"/>
  <c r="AI2272" i="7" s="1"/>
  <c r="AH2272" i="7"/>
  <c r="AJ2272" i="7"/>
  <c r="AF2273" i="7"/>
  <c r="AI2273" i="7" s="1"/>
  <c r="AH2273" i="7"/>
  <c r="AJ2273" i="7"/>
  <c r="AF2274" i="7"/>
  <c r="AI2274" i="7" s="1"/>
  <c r="AH2274" i="7"/>
  <c r="AJ2274" i="7"/>
  <c r="AF2275" i="7"/>
  <c r="AI2275" i="7" s="1"/>
  <c r="AH2275" i="7"/>
  <c r="AJ2275" i="7"/>
  <c r="AF2276" i="7"/>
  <c r="AI2276" i="7" s="1"/>
  <c r="AH2276" i="7"/>
  <c r="AJ2276" i="7"/>
  <c r="AF2277" i="7"/>
  <c r="AI2277" i="7" s="1"/>
  <c r="AH2277" i="7"/>
  <c r="AJ2277" i="7"/>
  <c r="AF2278" i="7"/>
  <c r="AI2278" i="7" s="1"/>
  <c r="AH2278" i="7"/>
  <c r="AJ2278" i="7"/>
  <c r="AF2279" i="7"/>
  <c r="AI2279" i="7" s="1"/>
  <c r="AH2279" i="7"/>
  <c r="AJ2279" i="7"/>
  <c r="AF2282" i="7"/>
  <c r="AI2282" i="7" s="1"/>
  <c r="AH2282" i="7"/>
  <c r="AJ2282" i="7"/>
  <c r="AF2283" i="7"/>
  <c r="AI2283" i="7" s="1"/>
  <c r="AH2283" i="7"/>
  <c r="AJ2283" i="7"/>
  <c r="AF2284" i="7"/>
  <c r="AI2284" i="7" s="1"/>
  <c r="AH2284" i="7"/>
  <c r="AJ2284" i="7"/>
  <c r="AF2285" i="7"/>
  <c r="AI2285" i="7" s="1"/>
  <c r="AH2285" i="7"/>
  <c r="AJ2285" i="7"/>
  <c r="AF2286" i="7"/>
  <c r="AI2286" i="7" s="1"/>
  <c r="AH2286" i="7"/>
  <c r="AJ2286" i="7"/>
  <c r="AF2287" i="7"/>
  <c r="AI2287" i="7" s="1"/>
  <c r="AH2287" i="7"/>
  <c r="AJ2287" i="7"/>
  <c r="AF2288" i="7"/>
  <c r="AI2288" i="7" s="1"/>
  <c r="AH2288" i="7"/>
  <c r="AJ2288" i="7"/>
  <c r="AF2289" i="7"/>
  <c r="AI2289" i="7" s="1"/>
  <c r="AH2289" i="7"/>
  <c r="AJ2289" i="7"/>
  <c r="AF2290" i="7"/>
  <c r="AI2290" i="7" s="1"/>
  <c r="AH2290" i="7"/>
  <c r="AJ2290" i="7"/>
  <c r="AF2291" i="7"/>
  <c r="AI2291" i="7" s="1"/>
  <c r="AH2291" i="7"/>
  <c r="AJ2291" i="7"/>
  <c r="AF2292" i="7"/>
  <c r="AI2292" i="7" s="1"/>
  <c r="AH2292" i="7"/>
  <c r="AJ2292" i="7"/>
  <c r="AF2293" i="7"/>
  <c r="AI2293" i="7" s="1"/>
  <c r="AH2293" i="7"/>
  <c r="AJ2293" i="7"/>
  <c r="AF2294" i="7"/>
  <c r="AI2294" i="7" s="1"/>
  <c r="AH2294" i="7"/>
  <c r="AJ2294" i="7"/>
  <c r="AF2295" i="7"/>
  <c r="AI2295" i="7" s="1"/>
  <c r="AH2295" i="7"/>
  <c r="AJ2295" i="7"/>
  <c r="AF2296" i="7"/>
  <c r="AI2296" i="7" s="1"/>
  <c r="AH2296" i="7"/>
  <c r="AJ2296" i="7"/>
  <c r="AF2297" i="7"/>
  <c r="AI2297" i="7" s="1"/>
  <c r="AH2297" i="7"/>
  <c r="AJ2297" i="7"/>
  <c r="AF2298" i="7"/>
  <c r="AI2298" i="7" s="1"/>
  <c r="AH2298" i="7"/>
  <c r="AJ2298" i="7"/>
  <c r="AF2299" i="7"/>
  <c r="AI2299" i="7" s="1"/>
  <c r="AH2299" i="7"/>
  <c r="AJ2299" i="7"/>
  <c r="AF2300" i="7"/>
  <c r="AI2300" i="7" s="1"/>
  <c r="AH2300" i="7"/>
  <c r="AJ2300" i="7"/>
  <c r="AF2301" i="7"/>
  <c r="AI2301" i="7" s="1"/>
  <c r="AH2301" i="7"/>
  <c r="AJ2301" i="7"/>
  <c r="AF2302" i="7"/>
  <c r="AI2302" i="7" s="1"/>
  <c r="AH2302" i="7"/>
  <c r="AJ2302" i="7"/>
  <c r="AF2303" i="7"/>
  <c r="AI2303" i="7" s="1"/>
  <c r="AH2303" i="7"/>
  <c r="AJ2303" i="7"/>
  <c r="AF2304" i="7"/>
  <c r="AI2304" i="7" s="1"/>
  <c r="AH2304" i="7"/>
  <c r="AJ2304" i="7"/>
  <c r="AF2305" i="7"/>
  <c r="AI2305" i="7" s="1"/>
  <c r="AH2305" i="7"/>
  <c r="AJ2305" i="7"/>
  <c r="AF2306" i="7"/>
  <c r="AI2306" i="7" s="1"/>
  <c r="AH2306" i="7"/>
  <c r="AJ2306" i="7"/>
  <c r="AF2307" i="7"/>
  <c r="AI2307" i="7" s="1"/>
  <c r="AH2307" i="7"/>
  <c r="AJ2307" i="7"/>
  <c r="AF2308" i="7"/>
  <c r="AI2308" i="7" s="1"/>
  <c r="AH2308" i="7"/>
  <c r="AJ2308" i="7"/>
  <c r="AF2309" i="7"/>
  <c r="AI2309" i="7" s="1"/>
  <c r="AH2309" i="7"/>
  <c r="AJ2309" i="7"/>
  <c r="AF2310" i="7"/>
  <c r="AI2310" i="7" s="1"/>
  <c r="AH2310" i="7"/>
  <c r="AJ2310" i="7"/>
  <c r="AF2311" i="7"/>
  <c r="AI2311" i="7" s="1"/>
  <c r="AH2311" i="7"/>
  <c r="AJ2311" i="7"/>
  <c r="AF2312" i="7"/>
  <c r="AI2312" i="7" s="1"/>
  <c r="AH2312" i="7"/>
  <c r="AJ2312" i="7"/>
  <c r="AF2313" i="7"/>
  <c r="AI2313" i="7" s="1"/>
  <c r="AH2313" i="7"/>
  <c r="AJ2313" i="7"/>
  <c r="AF2314" i="7"/>
  <c r="AI2314" i="7" s="1"/>
  <c r="AH2314" i="7"/>
  <c r="AJ2314" i="7"/>
  <c r="AF2315" i="7"/>
  <c r="AI2315" i="7" s="1"/>
  <c r="AH2315" i="7"/>
  <c r="AJ2315" i="7"/>
  <c r="AF2316" i="7"/>
  <c r="AI2316" i="7" s="1"/>
  <c r="AH2316" i="7"/>
  <c r="AJ2316" i="7"/>
  <c r="AF2317" i="7"/>
  <c r="AI2317" i="7" s="1"/>
  <c r="AH2317" i="7"/>
  <c r="AJ2317" i="7"/>
  <c r="AF2320" i="7"/>
  <c r="AI2320" i="7" s="1"/>
  <c r="AH2320" i="7"/>
  <c r="AJ2320" i="7"/>
  <c r="AF2321" i="7"/>
  <c r="AI2321" i="7" s="1"/>
  <c r="AH2321" i="7"/>
  <c r="AJ2321" i="7"/>
  <c r="AF2322" i="7"/>
  <c r="AI2322" i="7" s="1"/>
  <c r="AH2322" i="7"/>
  <c r="AJ2322" i="7"/>
  <c r="AF2323" i="7"/>
  <c r="AI2323" i="7" s="1"/>
  <c r="AH2323" i="7"/>
  <c r="AJ2323" i="7"/>
  <c r="AF2324" i="7"/>
  <c r="AI2324" i="7" s="1"/>
  <c r="AH2324" i="7"/>
  <c r="AJ2324" i="7"/>
  <c r="AF2325" i="7"/>
  <c r="AI2325" i="7" s="1"/>
  <c r="AH2325" i="7"/>
  <c r="AJ2325" i="7"/>
  <c r="AF2326" i="7"/>
  <c r="AI2326" i="7" s="1"/>
  <c r="AH2326" i="7"/>
  <c r="AJ2326" i="7"/>
  <c r="AF2327" i="7"/>
  <c r="AI2327" i="7" s="1"/>
  <c r="AH2327" i="7"/>
  <c r="AJ2327" i="7"/>
  <c r="AF2328" i="7"/>
  <c r="AI2328" i="7" s="1"/>
  <c r="AH2328" i="7"/>
  <c r="AJ2328" i="7"/>
  <c r="AF2329" i="7"/>
  <c r="AI2329" i="7" s="1"/>
  <c r="AH2329" i="7"/>
  <c r="AJ2329" i="7"/>
  <c r="AF2330" i="7"/>
  <c r="AI2330" i="7" s="1"/>
  <c r="AH2330" i="7"/>
  <c r="AJ2330" i="7"/>
  <c r="AF2331" i="7"/>
  <c r="AI2331" i="7" s="1"/>
  <c r="AH2331" i="7"/>
  <c r="AJ2331" i="7"/>
  <c r="AF2332" i="7"/>
  <c r="AI2332" i="7" s="1"/>
  <c r="AH2332" i="7"/>
  <c r="AJ2332" i="7"/>
  <c r="AF2333" i="7"/>
  <c r="AI2333" i="7" s="1"/>
  <c r="AH2333" i="7"/>
  <c r="AJ2333" i="7"/>
  <c r="AF2334" i="7"/>
  <c r="AI2334" i="7" s="1"/>
  <c r="AH2334" i="7"/>
  <c r="AJ2334" i="7"/>
  <c r="AF2335" i="7"/>
  <c r="AI2335" i="7" s="1"/>
  <c r="AH2335" i="7"/>
  <c r="AJ2335" i="7"/>
  <c r="AF2336" i="7"/>
  <c r="AI2336" i="7" s="1"/>
  <c r="AH2336" i="7"/>
  <c r="AJ2336" i="7"/>
  <c r="AF2337" i="7"/>
  <c r="AI2337" i="7" s="1"/>
  <c r="AH2337" i="7"/>
  <c r="AJ2337" i="7"/>
  <c r="AF2338" i="7"/>
  <c r="AI2338" i="7" s="1"/>
  <c r="AH2338" i="7"/>
  <c r="AJ2338" i="7"/>
  <c r="AF2339" i="7"/>
  <c r="AI2339" i="7" s="1"/>
  <c r="AH2339" i="7"/>
  <c r="AJ2339" i="7"/>
  <c r="AF2340" i="7"/>
  <c r="AI2340" i="7" s="1"/>
  <c r="AH2340" i="7"/>
  <c r="AJ2340" i="7"/>
  <c r="AF2343" i="7"/>
  <c r="AI2343" i="7" s="1"/>
  <c r="AH2343" i="7"/>
  <c r="AJ2343" i="7"/>
  <c r="AF2344" i="7"/>
  <c r="AI2344" i="7" s="1"/>
  <c r="AH2344" i="7"/>
  <c r="AJ2344" i="7"/>
  <c r="AF2345" i="7"/>
  <c r="AI2345" i="7" s="1"/>
  <c r="AH2345" i="7"/>
  <c r="AJ2345" i="7"/>
  <c r="AF2346" i="7"/>
  <c r="AI2346" i="7" s="1"/>
  <c r="AH2346" i="7"/>
  <c r="AJ2346" i="7"/>
  <c r="AF2347" i="7"/>
  <c r="AI2347" i="7" s="1"/>
  <c r="AH2347" i="7"/>
  <c r="AJ2347" i="7"/>
  <c r="AF2348" i="7"/>
  <c r="AI2348" i="7" s="1"/>
  <c r="AH2348" i="7"/>
  <c r="AJ2348" i="7"/>
  <c r="AF2349" i="7"/>
  <c r="AI2349" i="7" s="1"/>
  <c r="AH2349" i="7"/>
  <c r="AJ2349" i="7"/>
  <c r="AF2350" i="7"/>
  <c r="AI2350" i="7" s="1"/>
  <c r="AH2350" i="7"/>
  <c r="AJ2350" i="7"/>
  <c r="AF2351" i="7"/>
  <c r="AI2351" i="7" s="1"/>
  <c r="AH2351" i="7"/>
  <c r="AJ2351" i="7"/>
  <c r="AF2352" i="7"/>
  <c r="AI2352" i="7" s="1"/>
  <c r="AH2352" i="7"/>
  <c r="AJ2352" i="7"/>
  <c r="AF2353" i="7"/>
  <c r="AI2353" i="7" s="1"/>
  <c r="AH2353" i="7"/>
  <c r="AJ2353" i="7"/>
  <c r="AF2354" i="7"/>
  <c r="AI2354" i="7" s="1"/>
  <c r="AH2354" i="7"/>
  <c r="AJ2354" i="7"/>
  <c r="AF2355" i="7"/>
  <c r="AI2355" i="7" s="1"/>
  <c r="AH2355" i="7"/>
  <c r="AJ2355" i="7"/>
  <c r="AF2356" i="7"/>
  <c r="AI2356" i="7" s="1"/>
  <c r="AH2356" i="7"/>
  <c r="AJ2356" i="7"/>
  <c r="AF2357" i="7"/>
  <c r="AI2357" i="7" s="1"/>
  <c r="AH2357" i="7"/>
  <c r="AJ2357" i="7"/>
  <c r="AF2358" i="7"/>
  <c r="AI2358" i="7" s="1"/>
  <c r="AH2358" i="7"/>
  <c r="AJ2358" i="7"/>
  <c r="AF2359" i="7"/>
  <c r="AI2359" i="7" s="1"/>
  <c r="AH2359" i="7"/>
  <c r="AJ2359" i="7"/>
  <c r="AF2360" i="7"/>
  <c r="AI2360" i="7" s="1"/>
  <c r="AH2360" i="7"/>
  <c r="AJ2360" i="7"/>
  <c r="AF2361" i="7"/>
  <c r="AI2361" i="7" s="1"/>
  <c r="AH2361" i="7"/>
  <c r="AJ2361" i="7"/>
  <c r="AF2362" i="7"/>
  <c r="AI2362" i="7" s="1"/>
  <c r="AH2362" i="7"/>
  <c r="AJ2362" i="7"/>
  <c r="AF2363" i="7"/>
  <c r="AI2363" i="7" s="1"/>
  <c r="AH2363" i="7"/>
  <c r="AJ2363" i="7"/>
  <c r="AF2366" i="7"/>
  <c r="AI2366" i="7" s="1"/>
  <c r="AH2366" i="7"/>
  <c r="AJ2366" i="7"/>
  <c r="AF2367" i="7"/>
  <c r="AI2367" i="7" s="1"/>
  <c r="AH2367" i="7"/>
  <c r="AJ2367" i="7"/>
  <c r="AF2368" i="7"/>
  <c r="AI2368" i="7" s="1"/>
  <c r="AH2368" i="7"/>
  <c r="AJ2368" i="7"/>
  <c r="AF2369" i="7"/>
  <c r="AI2369" i="7" s="1"/>
  <c r="AH2369" i="7"/>
  <c r="AJ2369" i="7"/>
  <c r="AF2370" i="7"/>
  <c r="AI2370" i="7" s="1"/>
  <c r="AH2370" i="7"/>
  <c r="AJ2370" i="7"/>
  <c r="AF2371" i="7"/>
  <c r="AI2371" i="7" s="1"/>
  <c r="AH2371" i="7"/>
  <c r="AJ2371" i="7"/>
  <c r="AF2372" i="7"/>
  <c r="AI2372" i="7" s="1"/>
  <c r="AH2372" i="7"/>
  <c r="AJ2372" i="7"/>
  <c r="AF2373" i="7"/>
  <c r="AI2373" i="7" s="1"/>
  <c r="AH2373" i="7"/>
  <c r="AJ2373" i="7"/>
  <c r="AF2374" i="7"/>
  <c r="AI2374" i="7" s="1"/>
  <c r="AH2374" i="7"/>
  <c r="AJ2374" i="7"/>
  <c r="AF2375" i="7"/>
  <c r="AI2375" i="7" s="1"/>
  <c r="AH2375" i="7"/>
  <c r="AJ2375" i="7"/>
  <c r="AF2376" i="7"/>
  <c r="AI2376" i="7" s="1"/>
  <c r="AH2376" i="7"/>
  <c r="AJ2376" i="7"/>
  <c r="AF2377" i="7"/>
  <c r="AI2377" i="7" s="1"/>
  <c r="AH2377" i="7"/>
  <c r="AJ2377" i="7"/>
  <c r="AF2378" i="7"/>
  <c r="AI2378" i="7" s="1"/>
  <c r="AH2378" i="7"/>
  <c r="AJ2378" i="7"/>
  <c r="AF2379" i="7"/>
  <c r="AI2379" i="7" s="1"/>
  <c r="AH2379" i="7"/>
  <c r="AJ2379" i="7"/>
  <c r="AF2380" i="7"/>
  <c r="AI2380" i="7" s="1"/>
  <c r="AH2380" i="7"/>
  <c r="AJ2380" i="7"/>
  <c r="AF2381" i="7"/>
  <c r="AI2381" i="7" s="1"/>
  <c r="AH2381" i="7"/>
  <c r="AJ2381" i="7"/>
  <c r="AF2382" i="7"/>
  <c r="AI2382" i="7" s="1"/>
  <c r="AH2382" i="7"/>
  <c r="AJ2382" i="7"/>
  <c r="AF2383" i="7"/>
  <c r="AI2383" i="7" s="1"/>
  <c r="AH2383" i="7"/>
  <c r="AJ2383" i="7"/>
  <c r="AF2384" i="7"/>
  <c r="AI2384" i="7" s="1"/>
  <c r="AH2384" i="7"/>
  <c r="AJ2384" i="7"/>
  <c r="AF2385" i="7"/>
  <c r="AI2385" i="7" s="1"/>
  <c r="AH2385" i="7"/>
  <c r="AJ2385" i="7"/>
  <c r="AF2386" i="7"/>
  <c r="AI2386" i="7" s="1"/>
  <c r="AH2386" i="7"/>
  <c r="AJ2386" i="7"/>
  <c r="AF2389" i="7"/>
  <c r="AI2389" i="7" s="1"/>
  <c r="AH2389" i="7"/>
  <c r="AJ2389" i="7"/>
  <c r="AF2390" i="7"/>
  <c r="AI2390" i="7" s="1"/>
  <c r="AH2390" i="7"/>
  <c r="AJ2390" i="7"/>
  <c r="AF2391" i="7"/>
  <c r="AI2391" i="7" s="1"/>
  <c r="AH2391" i="7"/>
  <c r="AJ2391" i="7"/>
  <c r="AF2392" i="7"/>
  <c r="AI2392" i="7" s="1"/>
  <c r="AH2392" i="7"/>
  <c r="AJ2392" i="7"/>
  <c r="AF2393" i="7"/>
  <c r="AI2393" i="7" s="1"/>
  <c r="AH2393" i="7"/>
  <c r="AJ2393" i="7"/>
  <c r="AF2394" i="7"/>
  <c r="AI2394" i="7" s="1"/>
  <c r="AH2394" i="7"/>
  <c r="AJ2394" i="7"/>
  <c r="AF2395" i="7"/>
  <c r="AI2395" i="7" s="1"/>
  <c r="AH2395" i="7"/>
  <c r="AJ2395" i="7"/>
  <c r="AF2396" i="7"/>
  <c r="AI2396" i="7" s="1"/>
  <c r="AH2396" i="7"/>
  <c r="AJ2396" i="7"/>
  <c r="AF2397" i="7"/>
  <c r="AI2397" i="7" s="1"/>
  <c r="AH2397" i="7"/>
  <c r="AJ2397" i="7"/>
  <c r="AF2398" i="7"/>
  <c r="AI2398" i="7" s="1"/>
  <c r="AH2398" i="7"/>
  <c r="AJ2398" i="7"/>
  <c r="AF2399" i="7"/>
  <c r="AI2399" i="7" s="1"/>
  <c r="AH2399" i="7"/>
  <c r="AJ2399" i="7"/>
  <c r="AF2400" i="7"/>
  <c r="AI2400" i="7" s="1"/>
  <c r="AH2400" i="7"/>
  <c r="AJ2400" i="7"/>
  <c r="AF2401" i="7"/>
  <c r="AI2401" i="7" s="1"/>
  <c r="AH2401" i="7"/>
  <c r="AJ2401" i="7"/>
  <c r="AF2402" i="7"/>
  <c r="AI2402" i="7" s="1"/>
  <c r="AH2402" i="7"/>
  <c r="AJ2402" i="7"/>
  <c r="AF2403" i="7"/>
  <c r="AI2403" i="7" s="1"/>
  <c r="AH2403" i="7"/>
  <c r="AJ2403" i="7"/>
  <c r="AF2404" i="7"/>
  <c r="AI2404" i="7" s="1"/>
  <c r="AH2404" i="7"/>
  <c r="AJ2404" i="7"/>
  <c r="AF2405" i="7"/>
  <c r="AI2405" i="7" s="1"/>
  <c r="AH2405" i="7"/>
  <c r="AJ2405" i="7"/>
  <c r="AF2406" i="7"/>
  <c r="AI2406" i="7" s="1"/>
  <c r="AH2406" i="7"/>
  <c r="AJ2406" i="7"/>
  <c r="AF2407" i="7"/>
  <c r="AI2407" i="7" s="1"/>
  <c r="AH2407" i="7"/>
  <c r="AJ2407" i="7"/>
  <c r="AF2408" i="7"/>
  <c r="AI2408" i="7" s="1"/>
  <c r="AH2408" i="7"/>
  <c r="AJ2408" i="7"/>
  <c r="AF2409" i="7"/>
  <c r="AI2409" i="7" s="1"/>
  <c r="AH2409" i="7"/>
  <c r="AJ2409" i="7"/>
  <c r="AF2412" i="7"/>
  <c r="AI2412" i="7" s="1"/>
  <c r="AH2412" i="7"/>
  <c r="AJ2412" i="7"/>
  <c r="AF2413" i="7"/>
  <c r="AI2413" i="7" s="1"/>
  <c r="AH2413" i="7"/>
  <c r="AJ2413" i="7"/>
  <c r="AF2414" i="7"/>
  <c r="AI2414" i="7" s="1"/>
  <c r="AH2414" i="7"/>
  <c r="AJ2414" i="7"/>
  <c r="AF2415" i="7"/>
  <c r="AI2415" i="7" s="1"/>
  <c r="AH2415" i="7"/>
  <c r="AJ2415" i="7"/>
  <c r="AF2416" i="7"/>
  <c r="AI2416" i="7" s="1"/>
  <c r="AH2416" i="7"/>
  <c r="AJ2416" i="7"/>
  <c r="AF2417" i="7"/>
  <c r="AI2417" i="7" s="1"/>
  <c r="AH2417" i="7"/>
  <c r="AJ2417" i="7"/>
  <c r="AF2418" i="7"/>
  <c r="AI2418" i="7" s="1"/>
  <c r="AH2418" i="7"/>
  <c r="AJ2418" i="7"/>
  <c r="AF2419" i="7"/>
  <c r="AI2419" i="7" s="1"/>
  <c r="AH2419" i="7"/>
  <c r="AJ2419" i="7"/>
  <c r="AF2420" i="7"/>
  <c r="AI2420" i="7" s="1"/>
  <c r="AH2420" i="7"/>
  <c r="AJ2420" i="7"/>
  <c r="AF2421" i="7"/>
  <c r="AI2421" i="7" s="1"/>
  <c r="AH2421" i="7"/>
  <c r="AJ2421" i="7"/>
  <c r="AF2422" i="7"/>
  <c r="AI2422" i="7" s="1"/>
  <c r="AH2422" i="7"/>
  <c r="AJ2422" i="7"/>
  <c r="AF2423" i="7"/>
  <c r="AI2423" i="7" s="1"/>
  <c r="AH2423" i="7"/>
  <c r="AJ2423" i="7"/>
  <c r="AF2424" i="7"/>
  <c r="AI2424" i="7" s="1"/>
  <c r="AH2424" i="7"/>
  <c r="AJ2424" i="7"/>
  <c r="AF2425" i="7"/>
  <c r="AI2425" i="7" s="1"/>
  <c r="AH2425" i="7"/>
  <c r="AJ2425" i="7"/>
  <c r="AF2426" i="7"/>
  <c r="AI2426" i="7" s="1"/>
  <c r="AH2426" i="7"/>
  <c r="AJ2426" i="7"/>
  <c r="AF2427" i="7"/>
  <c r="AI2427" i="7" s="1"/>
  <c r="AH2427" i="7"/>
  <c r="AJ2427" i="7"/>
  <c r="AF2428" i="7"/>
  <c r="AI2428" i="7" s="1"/>
  <c r="AH2428" i="7"/>
  <c r="AJ2428" i="7"/>
  <c r="AF2429" i="7"/>
  <c r="AI2429" i="7" s="1"/>
  <c r="AH2429" i="7"/>
  <c r="AJ2429" i="7"/>
  <c r="AF2430" i="7"/>
  <c r="AI2430" i="7" s="1"/>
  <c r="AH2430" i="7"/>
  <c r="AJ2430" i="7"/>
  <c r="AF2431" i="7"/>
  <c r="AI2431" i="7" s="1"/>
  <c r="AH2431" i="7"/>
  <c r="AJ2431" i="7"/>
  <c r="AF2432" i="7"/>
  <c r="AI2432" i="7" s="1"/>
  <c r="AH2432" i="7"/>
  <c r="AJ2432" i="7"/>
  <c r="AF2435" i="7"/>
  <c r="AI2435" i="7" s="1"/>
  <c r="AH2435" i="7"/>
  <c r="AJ2435" i="7"/>
  <c r="AF2436" i="7"/>
  <c r="AI2436" i="7" s="1"/>
  <c r="AH2436" i="7"/>
  <c r="AJ2436" i="7"/>
  <c r="AF2437" i="7"/>
  <c r="AI2437" i="7" s="1"/>
  <c r="AH2437" i="7"/>
  <c r="AJ2437" i="7"/>
  <c r="AF2438" i="7"/>
  <c r="AI2438" i="7" s="1"/>
  <c r="AH2438" i="7"/>
  <c r="AJ2438" i="7"/>
  <c r="AF2439" i="7"/>
  <c r="AI2439" i="7" s="1"/>
  <c r="AH2439" i="7"/>
  <c r="AJ2439" i="7"/>
  <c r="AF2440" i="7"/>
  <c r="AI2440" i="7" s="1"/>
  <c r="AH2440" i="7"/>
  <c r="AJ2440" i="7"/>
  <c r="AF2441" i="7"/>
  <c r="AI2441" i="7" s="1"/>
  <c r="AH2441" i="7"/>
  <c r="AJ2441" i="7"/>
  <c r="AF2442" i="7"/>
  <c r="AI2442" i="7" s="1"/>
  <c r="AH2442" i="7"/>
  <c r="AJ2442" i="7"/>
  <c r="AF2443" i="7"/>
  <c r="AI2443" i="7" s="1"/>
  <c r="AH2443" i="7"/>
  <c r="AJ2443" i="7"/>
  <c r="AF2444" i="7"/>
  <c r="AI2444" i="7" s="1"/>
  <c r="AH2444" i="7"/>
  <c r="AJ2444" i="7"/>
  <c r="AF2445" i="7"/>
  <c r="AI2445" i="7" s="1"/>
  <c r="AH2445" i="7"/>
  <c r="AJ2445" i="7"/>
  <c r="AF2446" i="7"/>
  <c r="AI2446" i="7" s="1"/>
  <c r="AH2446" i="7"/>
  <c r="AJ2446" i="7"/>
  <c r="AF2447" i="7"/>
  <c r="AI2447" i="7" s="1"/>
  <c r="AH2447" i="7"/>
  <c r="AJ2447" i="7"/>
  <c r="AF2448" i="7"/>
  <c r="AI2448" i="7" s="1"/>
  <c r="AH2448" i="7"/>
  <c r="AJ2448" i="7"/>
  <c r="AF2451" i="7"/>
  <c r="AI2451" i="7" s="1"/>
  <c r="AH2451" i="7"/>
  <c r="AJ2451" i="7"/>
  <c r="AF2452" i="7"/>
  <c r="AI2452" i="7" s="1"/>
  <c r="AH2452" i="7"/>
  <c r="AJ2452" i="7"/>
  <c r="AF2453" i="7"/>
  <c r="AI2453" i="7" s="1"/>
  <c r="AH2453" i="7"/>
  <c r="AJ2453" i="7"/>
  <c r="AF2454" i="7"/>
  <c r="AI2454" i="7" s="1"/>
  <c r="AH2454" i="7"/>
  <c r="AJ2454" i="7"/>
  <c r="AF2455" i="7"/>
  <c r="AI2455" i="7" s="1"/>
  <c r="AH2455" i="7"/>
  <c r="AJ2455" i="7"/>
  <c r="AF2456" i="7"/>
  <c r="AI2456" i="7" s="1"/>
  <c r="AH2456" i="7"/>
  <c r="AJ2456" i="7"/>
  <c r="AF2457" i="7"/>
  <c r="AI2457" i="7" s="1"/>
  <c r="AH2457" i="7"/>
  <c r="AJ2457" i="7"/>
  <c r="AF2458" i="7"/>
  <c r="AI2458" i="7" s="1"/>
  <c r="AH2458" i="7"/>
  <c r="AJ2458" i="7"/>
  <c r="AF2459" i="7"/>
  <c r="AI2459" i="7" s="1"/>
  <c r="AH2459" i="7"/>
  <c r="AJ2459" i="7"/>
  <c r="AF2460" i="7"/>
  <c r="AI2460" i="7" s="1"/>
  <c r="AH2460" i="7"/>
  <c r="AJ2460" i="7"/>
  <c r="AF2461" i="7"/>
  <c r="AI2461" i="7" s="1"/>
  <c r="AH2461" i="7"/>
  <c r="AJ2461" i="7"/>
  <c r="AF2462" i="7"/>
  <c r="AI2462" i="7" s="1"/>
  <c r="AH2462" i="7"/>
  <c r="AJ2462" i="7"/>
  <c r="AF2463" i="7"/>
  <c r="AI2463" i="7" s="1"/>
  <c r="AH2463" i="7"/>
  <c r="AJ2463" i="7"/>
  <c r="AF2464" i="7"/>
  <c r="AI2464" i="7" s="1"/>
  <c r="AH2464" i="7"/>
  <c r="AJ2464" i="7"/>
  <c r="AF2467" i="7"/>
  <c r="AI2467" i="7" s="1"/>
  <c r="AH2467" i="7"/>
  <c r="AJ2467" i="7"/>
  <c r="AF2468" i="7"/>
  <c r="AI2468" i="7" s="1"/>
  <c r="AH2468" i="7"/>
  <c r="AJ2468" i="7"/>
  <c r="AF2469" i="7"/>
  <c r="AI2469" i="7" s="1"/>
  <c r="AH2469" i="7"/>
  <c r="AJ2469" i="7"/>
  <c r="AF2470" i="7"/>
  <c r="AI2470" i="7" s="1"/>
  <c r="AH2470" i="7"/>
  <c r="AJ2470" i="7"/>
  <c r="AF2471" i="7"/>
  <c r="AI2471" i="7" s="1"/>
  <c r="AH2471" i="7"/>
  <c r="AJ2471" i="7"/>
  <c r="AF2472" i="7"/>
  <c r="AI2472" i="7" s="1"/>
  <c r="AH2472" i="7"/>
  <c r="AJ2472" i="7"/>
  <c r="AF2473" i="7"/>
  <c r="AI2473" i="7" s="1"/>
  <c r="AH2473" i="7"/>
  <c r="AJ2473" i="7"/>
  <c r="AF2474" i="7"/>
  <c r="AI2474" i="7" s="1"/>
  <c r="AH2474" i="7"/>
  <c r="AJ2474" i="7"/>
  <c r="AF2475" i="7"/>
  <c r="AI2475" i="7" s="1"/>
  <c r="AH2475" i="7"/>
  <c r="AJ2475" i="7"/>
  <c r="AF2476" i="7"/>
  <c r="AI2476" i="7" s="1"/>
  <c r="AH2476" i="7"/>
  <c r="AJ2476" i="7"/>
  <c r="AF2477" i="7"/>
  <c r="AI2477" i="7" s="1"/>
  <c r="AH2477" i="7"/>
  <c r="AJ2477" i="7"/>
  <c r="AF2478" i="7"/>
  <c r="AI2478" i="7" s="1"/>
  <c r="AH2478" i="7"/>
  <c r="AJ2478" i="7"/>
  <c r="AF2479" i="7"/>
  <c r="AI2479" i="7" s="1"/>
  <c r="AH2479" i="7"/>
  <c r="AJ2479" i="7"/>
  <c r="AF2480" i="7"/>
  <c r="AI2480" i="7" s="1"/>
  <c r="AH2480" i="7"/>
  <c r="AJ2480" i="7"/>
  <c r="AF2483" i="7"/>
  <c r="AI2483" i="7" s="1"/>
  <c r="AH2483" i="7"/>
  <c r="AJ2483" i="7"/>
  <c r="AF2484" i="7"/>
  <c r="AI2484" i="7" s="1"/>
  <c r="AH2484" i="7"/>
  <c r="AJ2484" i="7"/>
  <c r="AF2485" i="7"/>
  <c r="AI2485" i="7" s="1"/>
  <c r="AH2485" i="7"/>
  <c r="AJ2485" i="7"/>
  <c r="AF2486" i="7"/>
  <c r="AI2486" i="7" s="1"/>
  <c r="AH2486" i="7"/>
  <c r="AJ2486" i="7"/>
  <c r="AF2487" i="7"/>
  <c r="AI2487" i="7" s="1"/>
  <c r="AH2487" i="7"/>
  <c r="AJ2487" i="7"/>
  <c r="AF2488" i="7"/>
  <c r="AI2488" i="7" s="1"/>
  <c r="AH2488" i="7"/>
  <c r="AJ2488" i="7"/>
  <c r="AF2489" i="7"/>
  <c r="AI2489" i="7" s="1"/>
  <c r="AH2489" i="7"/>
  <c r="AJ2489" i="7"/>
  <c r="AF2490" i="7"/>
  <c r="AI2490" i="7" s="1"/>
  <c r="AH2490" i="7"/>
  <c r="AJ2490" i="7"/>
  <c r="AF2491" i="7"/>
  <c r="AI2491" i="7" s="1"/>
  <c r="AH2491" i="7"/>
  <c r="AJ2491" i="7"/>
  <c r="AF2492" i="7"/>
  <c r="AI2492" i="7" s="1"/>
  <c r="AH2492" i="7"/>
  <c r="AJ2492" i="7"/>
  <c r="AF2493" i="7"/>
  <c r="AI2493" i="7" s="1"/>
  <c r="AH2493" i="7"/>
  <c r="AJ2493" i="7"/>
  <c r="AF2494" i="7"/>
  <c r="AI2494" i="7" s="1"/>
  <c r="AH2494" i="7"/>
  <c r="AJ2494" i="7"/>
  <c r="AF2495" i="7"/>
  <c r="AI2495" i="7" s="1"/>
  <c r="AH2495" i="7"/>
  <c r="AJ2495" i="7"/>
  <c r="AF2496" i="7"/>
  <c r="AI2496" i="7" s="1"/>
  <c r="AH2496" i="7"/>
  <c r="AJ2496" i="7"/>
  <c r="AF2499" i="7"/>
  <c r="AI2499" i="7" s="1"/>
  <c r="AH2499" i="7"/>
  <c r="AJ2499" i="7"/>
  <c r="AF2500" i="7"/>
  <c r="AI2500" i="7" s="1"/>
  <c r="AH2500" i="7"/>
  <c r="AJ2500" i="7"/>
  <c r="AF2501" i="7"/>
  <c r="AI2501" i="7" s="1"/>
  <c r="AH2501" i="7"/>
  <c r="AJ2501" i="7"/>
  <c r="AF2502" i="7"/>
  <c r="AI2502" i="7" s="1"/>
  <c r="AH2502" i="7"/>
  <c r="AJ2502" i="7"/>
  <c r="AF2503" i="7"/>
  <c r="AI2503" i="7" s="1"/>
  <c r="AH2503" i="7"/>
  <c r="AJ2503" i="7"/>
  <c r="AF2504" i="7"/>
  <c r="AI2504" i="7" s="1"/>
  <c r="AH2504" i="7"/>
  <c r="AJ2504" i="7"/>
  <c r="AF2505" i="7"/>
  <c r="AI2505" i="7" s="1"/>
  <c r="AH2505" i="7"/>
  <c r="AJ2505" i="7"/>
  <c r="AF2506" i="7"/>
  <c r="AI2506" i="7" s="1"/>
  <c r="AH2506" i="7"/>
  <c r="AJ2506" i="7"/>
  <c r="AF2507" i="7"/>
  <c r="AI2507" i="7" s="1"/>
  <c r="AH2507" i="7"/>
  <c r="AJ2507" i="7"/>
  <c r="AF2508" i="7"/>
  <c r="AI2508" i="7" s="1"/>
  <c r="AH2508" i="7"/>
  <c r="AJ2508" i="7"/>
  <c r="AF2509" i="7"/>
  <c r="AI2509" i="7" s="1"/>
  <c r="AH2509" i="7"/>
  <c r="AJ2509" i="7"/>
  <c r="AF2510" i="7"/>
  <c r="AI2510" i="7" s="1"/>
  <c r="AH2510" i="7"/>
  <c r="AJ2510" i="7"/>
  <c r="AF2511" i="7"/>
  <c r="AI2511" i="7" s="1"/>
  <c r="AH2511" i="7"/>
  <c r="AJ2511" i="7"/>
  <c r="AF2512" i="7"/>
  <c r="AI2512" i="7" s="1"/>
  <c r="AH2512" i="7"/>
  <c r="AJ2512" i="7"/>
  <c r="AF2515" i="7"/>
  <c r="AI2515" i="7" s="1"/>
  <c r="AH2515" i="7"/>
  <c r="AJ2515" i="7"/>
  <c r="AF2516" i="7"/>
  <c r="AI2516" i="7" s="1"/>
  <c r="AH2516" i="7"/>
  <c r="AJ2516" i="7"/>
  <c r="AF2517" i="7"/>
  <c r="AI2517" i="7" s="1"/>
  <c r="AH2517" i="7"/>
  <c r="AJ2517" i="7"/>
  <c r="AF2518" i="7"/>
  <c r="AI2518" i="7" s="1"/>
  <c r="AH2518" i="7"/>
  <c r="AJ2518" i="7"/>
  <c r="AF2519" i="7"/>
  <c r="AI2519" i="7" s="1"/>
  <c r="AH2519" i="7"/>
  <c r="AJ2519" i="7"/>
  <c r="AF2520" i="7"/>
  <c r="AI2520" i="7" s="1"/>
  <c r="AH2520" i="7"/>
  <c r="AJ2520" i="7"/>
  <c r="AF2521" i="7"/>
  <c r="AI2521" i="7" s="1"/>
  <c r="AH2521" i="7"/>
  <c r="AJ2521" i="7"/>
  <c r="AF2522" i="7"/>
  <c r="AI2522" i="7" s="1"/>
  <c r="AH2522" i="7"/>
  <c r="AJ2522" i="7"/>
  <c r="AF2523" i="7"/>
  <c r="AI2523" i="7" s="1"/>
  <c r="AH2523" i="7"/>
  <c r="AJ2523" i="7"/>
  <c r="AF2524" i="7"/>
  <c r="AI2524" i="7" s="1"/>
  <c r="AH2524" i="7"/>
  <c r="AJ2524" i="7"/>
  <c r="AF2525" i="7"/>
  <c r="AI2525" i="7" s="1"/>
  <c r="AH2525" i="7"/>
  <c r="AJ2525" i="7"/>
  <c r="AF2526" i="7"/>
  <c r="AI2526" i="7" s="1"/>
  <c r="AH2526" i="7"/>
  <c r="AJ2526" i="7"/>
  <c r="AF2527" i="7"/>
  <c r="AI2527" i="7" s="1"/>
  <c r="AH2527" i="7"/>
  <c r="AJ2527" i="7"/>
  <c r="AF2528" i="7"/>
  <c r="AI2528" i="7" s="1"/>
  <c r="AH2528" i="7"/>
  <c r="AJ2528" i="7"/>
  <c r="AF2531" i="7"/>
  <c r="AI2531" i="7" s="1"/>
  <c r="AH2531" i="7"/>
  <c r="AJ2531" i="7"/>
  <c r="AF2532" i="7"/>
  <c r="AI2532" i="7" s="1"/>
  <c r="AH2532" i="7"/>
  <c r="AJ2532" i="7"/>
  <c r="AF2533" i="7"/>
  <c r="AI2533" i="7" s="1"/>
  <c r="AH2533" i="7"/>
  <c r="AJ2533" i="7"/>
  <c r="AF2534" i="7"/>
  <c r="AI2534" i="7" s="1"/>
  <c r="AH2534" i="7"/>
  <c r="AJ2534" i="7"/>
  <c r="AF2535" i="7"/>
  <c r="AI2535" i="7" s="1"/>
  <c r="AH2535" i="7"/>
  <c r="AJ2535" i="7"/>
  <c r="AF2536" i="7"/>
  <c r="AI2536" i="7" s="1"/>
  <c r="AH2536" i="7"/>
  <c r="AJ2536" i="7"/>
  <c r="AF2537" i="7"/>
  <c r="AI2537" i="7" s="1"/>
  <c r="AH2537" i="7"/>
  <c r="AJ2537" i="7"/>
  <c r="AF2538" i="7"/>
  <c r="AI2538" i="7" s="1"/>
  <c r="AH2538" i="7"/>
  <c r="AJ2538" i="7"/>
  <c r="AF2539" i="7"/>
  <c r="AI2539" i="7" s="1"/>
  <c r="AH2539" i="7"/>
  <c r="AJ2539" i="7"/>
  <c r="AF2540" i="7"/>
  <c r="AI2540" i="7" s="1"/>
  <c r="AH2540" i="7"/>
  <c r="AJ2540" i="7"/>
  <c r="AF2541" i="7"/>
  <c r="AI2541" i="7" s="1"/>
  <c r="AH2541" i="7"/>
  <c r="AJ2541" i="7"/>
  <c r="AF2542" i="7"/>
  <c r="AI2542" i="7" s="1"/>
  <c r="AH2542" i="7"/>
  <c r="AJ2542" i="7"/>
  <c r="AF2543" i="7"/>
  <c r="AI2543" i="7" s="1"/>
  <c r="AH2543" i="7"/>
  <c r="AJ2543" i="7"/>
  <c r="AF2544" i="7"/>
  <c r="AI2544" i="7" s="1"/>
  <c r="AH2544" i="7"/>
  <c r="AJ2544" i="7"/>
  <c r="AF2547" i="7"/>
  <c r="AI2547" i="7" s="1"/>
  <c r="AH2547" i="7"/>
  <c r="AJ2547" i="7"/>
  <c r="AF2548" i="7"/>
  <c r="AI2548" i="7" s="1"/>
  <c r="AH2548" i="7"/>
  <c r="AJ2548" i="7"/>
  <c r="AF2549" i="7"/>
  <c r="AI2549" i="7" s="1"/>
  <c r="AH2549" i="7"/>
  <c r="AJ2549" i="7"/>
  <c r="AF2550" i="7"/>
  <c r="AI2550" i="7" s="1"/>
  <c r="AH2550" i="7"/>
  <c r="AJ2550" i="7"/>
  <c r="AF2551" i="7"/>
  <c r="AI2551" i="7" s="1"/>
  <c r="AH2551" i="7"/>
  <c r="AJ2551" i="7"/>
  <c r="AF2552" i="7"/>
  <c r="AI2552" i="7" s="1"/>
  <c r="AH2552" i="7"/>
  <c r="AJ2552" i="7"/>
  <c r="AF2553" i="7"/>
  <c r="AI2553" i="7" s="1"/>
  <c r="AH2553" i="7"/>
  <c r="AJ2553" i="7"/>
  <c r="AF2554" i="7"/>
  <c r="AI2554" i="7" s="1"/>
  <c r="AH2554" i="7"/>
  <c r="AJ2554" i="7"/>
  <c r="AF2555" i="7"/>
  <c r="AI2555" i="7" s="1"/>
  <c r="AH2555" i="7"/>
  <c r="AJ2555" i="7"/>
  <c r="AF2556" i="7"/>
  <c r="AI2556" i="7" s="1"/>
  <c r="AH2556" i="7"/>
  <c r="AJ2556" i="7"/>
  <c r="AF2557" i="7"/>
  <c r="AI2557" i="7" s="1"/>
  <c r="AH2557" i="7"/>
  <c r="AJ2557" i="7"/>
  <c r="AF2558" i="7"/>
  <c r="AI2558" i="7" s="1"/>
  <c r="AH2558" i="7"/>
  <c r="AJ2558" i="7"/>
  <c r="AF2559" i="7"/>
  <c r="AI2559" i="7" s="1"/>
  <c r="AH2559" i="7"/>
  <c r="AJ2559" i="7"/>
  <c r="AF2560" i="7"/>
  <c r="AI2560" i="7" s="1"/>
  <c r="AH2560" i="7"/>
  <c r="AJ2560" i="7"/>
  <c r="AF2563" i="7"/>
  <c r="AI2563" i="7" s="1"/>
  <c r="AH2563" i="7"/>
  <c r="AJ2563" i="7"/>
  <c r="AF2564" i="7"/>
  <c r="AI2564" i="7" s="1"/>
  <c r="AH2564" i="7"/>
  <c r="AJ2564" i="7"/>
  <c r="AF2565" i="7"/>
  <c r="AI2565" i="7" s="1"/>
  <c r="AH2565" i="7"/>
  <c r="AJ2565" i="7"/>
  <c r="AF2566" i="7"/>
  <c r="AI2566" i="7" s="1"/>
  <c r="AH2566" i="7"/>
  <c r="AJ2566" i="7"/>
  <c r="AF2567" i="7"/>
  <c r="AI2567" i="7" s="1"/>
  <c r="AH2567" i="7"/>
  <c r="AJ2567" i="7"/>
  <c r="AF2568" i="7"/>
  <c r="AI2568" i="7" s="1"/>
  <c r="AH2568" i="7"/>
  <c r="AJ2568" i="7"/>
  <c r="AF2569" i="7"/>
  <c r="AI2569" i="7" s="1"/>
  <c r="AH2569" i="7"/>
  <c r="AJ2569" i="7"/>
  <c r="AF2570" i="7"/>
  <c r="AI2570" i="7" s="1"/>
  <c r="AH2570" i="7"/>
  <c r="AJ2570" i="7"/>
  <c r="AF2571" i="7"/>
  <c r="AI2571" i="7" s="1"/>
  <c r="AH2571" i="7"/>
  <c r="AJ2571" i="7"/>
  <c r="AF2572" i="7"/>
  <c r="AI2572" i="7" s="1"/>
  <c r="AH2572" i="7"/>
  <c r="AJ2572" i="7"/>
  <c r="AF2575" i="7"/>
  <c r="AI2575" i="7" s="1"/>
  <c r="AH2575" i="7"/>
  <c r="AJ2575" i="7"/>
  <c r="AF2576" i="7"/>
  <c r="AI2576" i="7" s="1"/>
  <c r="AH2576" i="7"/>
  <c r="AJ2576" i="7"/>
  <c r="AF2577" i="7"/>
  <c r="AI2577" i="7" s="1"/>
  <c r="AH2577" i="7"/>
  <c r="AJ2577" i="7"/>
  <c r="AF2578" i="7"/>
  <c r="AI2578" i="7" s="1"/>
  <c r="AH2578" i="7"/>
  <c r="AJ2578" i="7"/>
  <c r="AF2579" i="7"/>
  <c r="AI2579" i="7" s="1"/>
  <c r="AH2579" i="7"/>
  <c r="AJ2579" i="7"/>
  <c r="AF2580" i="7"/>
  <c r="AI2580" i="7" s="1"/>
  <c r="AH2580" i="7"/>
  <c r="AJ2580" i="7"/>
  <c r="AF2581" i="7"/>
  <c r="AI2581" i="7" s="1"/>
  <c r="AH2581" i="7"/>
  <c r="AJ2581" i="7"/>
  <c r="AF2582" i="7"/>
  <c r="AI2582" i="7" s="1"/>
  <c r="AH2582" i="7"/>
  <c r="AJ2582" i="7"/>
  <c r="AF2583" i="7"/>
  <c r="AI2583" i="7" s="1"/>
  <c r="AH2583" i="7"/>
  <c r="AJ2583" i="7"/>
  <c r="AF2584" i="7"/>
  <c r="AI2584" i="7" s="1"/>
  <c r="AH2584" i="7"/>
  <c r="AJ2584" i="7"/>
  <c r="AF2587" i="7"/>
  <c r="AI2587" i="7" s="1"/>
  <c r="AH2587" i="7"/>
  <c r="AJ2587" i="7"/>
  <c r="AF2588" i="7"/>
  <c r="AI2588" i="7" s="1"/>
  <c r="AH2588" i="7"/>
  <c r="AJ2588" i="7"/>
  <c r="AF2589" i="7"/>
  <c r="AI2589" i="7" s="1"/>
  <c r="AH2589" i="7"/>
  <c r="AJ2589" i="7"/>
  <c r="AF2590" i="7"/>
  <c r="AI2590" i="7" s="1"/>
  <c r="AH2590" i="7"/>
  <c r="AJ2590" i="7"/>
  <c r="AF2591" i="7"/>
  <c r="AI2591" i="7" s="1"/>
  <c r="AH2591" i="7"/>
  <c r="AJ2591" i="7"/>
  <c r="AF2592" i="7"/>
  <c r="AI2592" i="7" s="1"/>
  <c r="AH2592" i="7"/>
  <c r="AJ2592" i="7"/>
  <c r="AF2593" i="7"/>
  <c r="AI2593" i="7" s="1"/>
  <c r="AH2593" i="7"/>
  <c r="AJ2593" i="7"/>
  <c r="AF2594" i="7"/>
  <c r="AI2594" i="7" s="1"/>
  <c r="AH2594" i="7"/>
  <c r="AJ2594" i="7"/>
  <c r="AF2595" i="7"/>
  <c r="AI2595" i="7" s="1"/>
  <c r="AH2595" i="7"/>
  <c r="AJ2595" i="7"/>
  <c r="AF2596" i="7"/>
  <c r="AI2596" i="7" s="1"/>
  <c r="AH2596" i="7"/>
  <c r="AJ2596" i="7"/>
  <c r="AF2599" i="7"/>
  <c r="AI2599" i="7" s="1"/>
  <c r="AH2599" i="7"/>
  <c r="AJ2599" i="7"/>
  <c r="AF2600" i="7"/>
  <c r="AI2600" i="7" s="1"/>
  <c r="AH2600" i="7"/>
  <c r="AJ2600" i="7"/>
  <c r="AF2601" i="7"/>
  <c r="AI2601" i="7" s="1"/>
  <c r="AH2601" i="7"/>
  <c r="AJ2601" i="7"/>
  <c r="AF2602" i="7"/>
  <c r="AI2602" i="7" s="1"/>
  <c r="AH2602" i="7"/>
  <c r="AJ2602" i="7"/>
  <c r="AF2603" i="7"/>
  <c r="AI2603" i="7" s="1"/>
  <c r="AH2603" i="7"/>
  <c r="AJ2603" i="7"/>
  <c r="AF2604" i="7"/>
  <c r="AI2604" i="7" s="1"/>
  <c r="AH2604" i="7"/>
  <c r="AJ2604" i="7"/>
  <c r="AF2605" i="7"/>
  <c r="AI2605" i="7" s="1"/>
  <c r="AH2605" i="7"/>
  <c r="AJ2605" i="7"/>
  <c r="AF2606" i="7"/>
  <c r="AI2606" i="7" s="1"/>
  <c r="AH2606" i="7"/>
  <c r="AJ2606" i="7"/>
  <c r="AF2607" i="7"/>
  <c r="AI2607" i="7" s="1"/>
  <c r="AH2607" i="7"/>
  <c r="AJ2607" i="7"/>
  <c r="AF2608" i="7"/>
  <c r="AI2608" i="7" s="1"/>
  <c r="AH2608" i="7"/>
  <c r="AJ2608" i="7"/>
  <c r="AF2611" i="7"/>
  <c r="AI2611" i="7" s="1"/>
  <c r="AH2611" i="7"/>
  <c r="AJ2611" i="7"/>
  <c r="AF2612" i="7"/>
  <c r="AI2612" i="7" s="1"/>
  <c r="AH2612" i="7"/>
  <c r="AJ2612" i="7"/>
  <c r="AF2613" i="7"/>
  <c r="AI2613" i="7" s="1"/>
  <c r="AH2613" i="7"/>
  <c r="AJ2613" i="7"/>
  <c r="AF2614" i="7"/>
  <c r="AI2614" i="7" s="1"/>
  <c r="AH2614" i="7"/>
  <c r="AJ2614" i="7"/>
  <c r="AF2615" i="7"/>
  <c r="AI2615" i="7" s="1"/>
  <c r="AH2615" i="7"/>
  <c r="AJ2615" i="7"/>
  <c r="AF2616" i="7"/>
  <c r="AI2616" i="7" s="1"/>
  <c r="AH2616" i="7"/>
  <c r="AJ2616" i="7"/>
  <c r="AF2617" i="7"/>
  <c r="AI2617" i="7" s="1"/>
  <c r="AH2617" i="7"/>
  <c r="AJ2617" i="7"/>
  <c r="AF2618" i="7"/>
  <c r="AI2618" i="7" s="1"/>
  <c r="AH2618" i="7"/>
  <c r="AJ2618" i="7"/>
  <c r="AF2619" i="7"/>
  <c r="AI2619" i="7" s="1"/>
  <c r="AH2619" i="7"/>
  <c r="AJ2619" i="7"/>
  <c r="AF2620" i="7"/>
  <c r="AI2620" i="7" s="1"/>
  <c r="AH2620" i="7"/>
  <c r="AJ2620" i="7"/>
  <c r="AF2623" i="7"/>
  <c r="AI2623" i="7" s="1"/>
  <c r="AH2623" i="7"/>
  <c r="AJ2623" i="7"/>
  <c r="AF2624" i="7"/>
  <c r="AI2624" i="7" s="1"/>
  <c r="AH2624" i="7"/>
  <c r="AJ2624" i="7"/>
  <c r="AF2625" i="7"/>
  <c r="AI2625" i="7" s="1"/>
  <c r="AH2625" i="7"/>
  <c r="AJ2625" i="7"/>
  <c r="AF2626" i="7"/>
  <c r="AI2626" i="7" s="1"/>
  <c r="AH2626" i="7"/>
  <c r="AJ2626" i="7"/>
  <c r="AF2627" i="7"/>
  <c r="AI2627" i="7" s="1"/>
  <c r="AH2627" i="7"/>
  <c r="AJ2627" i="7"/>
  <c r="AF2628" i="7"/>
  <c r="AI2628" i="7" s="1"/>
  <c r="AH2628" i="7"/>
  <c r="AJ2628" i="7"/>
  <c r="AF2629" i="7"/>
  <c r="AI2629" i="7" s="1"/>
  <c r="AH2629" i="7"/>
  <c r="AJ2629" i="7"/>
  <c r="AF2630" i="7"/>
  <c r="AI2630" i="7" s="1"/>
  <c r="AH2630" i="7"/>
  <c r="AJ2630" i="7"/>
  <c r="AF2631" i="7"/>
  <c r="AI2631" i="7" s="1"/>
  <c r="AH2631" i="7"/>
  <c r="AJ2631" i="7"/>
  <c r="AF2632" i="7"/>
  <c r="AI2632" i="7" s="1"/>
  <c r="AH2632" i="7"/>
  <c r="AJ2632" i="7"/>
  <c r="AF2635" i="7"/>
  <c r="AI2635" i="7" s="1"/>
  <c r="AH2635" i="7"/>
  <c r="AJ2635" i="7"/>
  <c r="AF2636" i="7"/>
  <c r="AI2636" i="7" s="1"/>
  <c r="AH2636" i="7"/>
  <c r="AJ2636" i="7"/>
  <c r="AF2637" i="7"/>
  <c r="AI2637" i="7" s="1"/>
  <c r="AH2637" i="7"/>
  <c r="AJ2637" i="7"/>
  <c r="AF2638" i="7"/>
  <c r="AI2638" i="7" s="1"/>
  <c r="AH2638" i="7"/>
  <c r="AJ2638" i="7"/>
  <c r="AF2639" i="7"/>
  <c r="AI2639" i="7" s="1"/>
  <c r="AH2639" i="7"/>
  <c r="AJ2639" i="7"/>
  <c r="AF2640" i="7"/>
  <c r="AI2640" i="7" s="1"/>
  <c r="AH2640" i="7"/>
  <c r="AJ2640" i="7"/>
  <c r="AF2641" i="7"/>
  <c r="AI2641" i="7" s="1"/>
  <c r="AH2641" i="7"/>
  <c r="AJ2641" i="7"/>
  <c r="AF2642" i="7"/>
  <c r="AI2642" i="7" s="1"/>
  <c r="AH2642" i="7"/>
  <c r="AJ2642" i="7"/>
  <c r="AF2643" i="7"/>
  <c r="AI2643" i="7" s="1"/>
  <c r="AH2643" i="7"/>
  <c r="AJ2643" i="7"/>
  <c r="AF2644" i="7"/>
  <c r="AI2644" i="7" s="1"/>
  <c r="AH2644" i="7"/>
  <c r="AJ2644" i="7"/>
  <c r="AF2647" i="7"/>
  <c r="AI2647" i="7" s="1"/>
  <c r="AH2647" i="7"/>
  <c r="AJ2647" i="7"/>
  <c r="AF2648" i="7"/>
  <c r="AI2648" i="7" s="1"/>
  <c r="AH2648" i="7"/>
  <c r="AJ2648" i="7"/>
  <c r="AF2649" i="7"/>
  <c r="AI2649" i="7" s="1"/>
  <c r="AH2649" i="7"/>
  <c r="AJ2649" i="7"/>
  <c r="AF2650" i="7"/>
  <c r="AI2650" i="7" s="1"/>
  <c r="AH2650" i="7"/>
  <c r="AJ2650" i="7"/>
  <c r="AF2651" i="7"/>
  <c r="AI2651" i="7" s="1"/>
  <c r="AH2651" i="7"/>
  <c r="AJ2651" i="7"/>
  <c r="AF2652" i="7"/>
  <c r="AI2652" i="7" s="1"/>
  <c r="AH2652" i="7"/>
  <c r="AJ2652" i="7"/>
  <c r="AF2653" i="7"/>
  <c r="AI2653" i="7" s="1"/>
  <c r="AH2653" i="7"/>
  <c r="AJ2653" i="7"/>
  <c r="AF2654" i="7"/>
  <c r="AI2654" i="7" s="1"/>
  <c r="AH2654" i="7"/>
  <c r="AJ2654" i="7"/>
  <c r="AF2655" i="7"/>
  <c r="AI2655" i="7" s="1"/>
  <c r="AH2655" i="7"/>
  <c r="AJ2655" i="7"/>
  <c r="AF2656" i="7"/>
  <c r="AI2656" i="7" s="1"/>
  <c r="AH2656" i="7"/>
  <c r="AJ2656" i="7"/>
  <c r="AF2659" i="7"/>
  <c r="AI2659" i="7" s="1"/>
  <c r="AH2659" i="7"/>
  <c r="AJ2659" i="7"/>
  <c r="AF2660" i="7"/>
  <c r="AI2660" i="7" s="1"/>
  <c r="AH2660" i="7"/>
  <c r="AJ2660" i="7"/>
  <c r="AF2661" i="7"/>
  <c r="AI2661" i="7" s="1"/>
  <c r="AH2661" i="7"/>
  <c r="AJ2661" i="7"/>
  <c r="AF2662" i="7"/>
  <c r="AI2662" i="7" s="1"/>
  <c r="AH2662" i="7"/>
  <c r="AJ2662" i="7"/>
  <c r="AF2663" i="7"/>
  <c r="AI2663" i="7" s="1"/>
  <c r="AH2663" i="7"/>
  <c r="AJ2663" i="7"/>
  <c r="AF2664" i="7"/>
  <c r="AI2664" i="7" s="1"/>
  <c r="AH2664" i="7"/>
  <c r="AJ2664" i="7"/>
  <c r="AF2665" i="7"/>
  <c r="AI2665" i="7" s="1"/>
  <c r="AH2665" i="7"/>
  <c r="AJ2665" i="7"/>
  <c r="AF2666" i="7"/>
  <c r="AI2666" i="7" s="1"/>
  <c r="AH2666" i="7"/>
  <c r="AJ2666" i="7"/>
  <c r="AF2667" i="7"/>
  <c r="AI2667" i="7" s="1"/>
  <c r="AH2667" i="7"/>
  <c r="AJ2667" i="7"/>
  <c r="AF2668" i="7"/>
  <c r="AI2668" i="7" s="1"/>
  <c r="AH2668" i="7"/>
  <c r="AJ2668" i="7"/>
  <c r="AF2671" i="7"/>
  <c r="AI2671" i="7" s="1"/>
  <c r="AH2671" i="7"/>
  <c r="AJ2671" i="7"/>
  <c r="AF2672" i="7"/>
  <c r="AI2672" i="7" s="1"/>
  <c r="AH2672" i="7"/>
  <c r="AJ2672" i="7"/>
  <c r="AF2673" i="7"/>
  <c r="AI2673" i="7" s="1"/>
  <c r="AH2673" i="7"/>
  <c r="AJ2673" i="7"/>
  <c r="AF2674" i="7"/>
  <c r="AI2674" i="7" s="1"/>
  <c r="AH2674" i="7"/>
  <c r="AJ2674" i="7"/>
  <c r="AF2675" i="7"/>
  <c r="AI2675" i="7" s="1"/>
  <c r="AH2675" i="7"/>
  <c r="AJ2675" i="7"/>
  <c r="AF2676" i="7"/>
  <c r="AI2676" i="7" s="1"/>
  <c r="AH2676" i="7"/>
  <c r="AJ2676" i="7"/>
  <c r="AF2677" i="7"/>
  <c r="AI2677" i="7" s="1"/>
  <c r="AH2677" i="7"/>
  <c r="AJ2677" i="7"/>
  <c r="AF2678" i="7"/>
  <c r="AI2678" i="7" s="1"/>
  <c r="AH2678" i="7"/>
  <c r="AJ2678" i="7"/>
  <c r="AF2679" i="7"/>
  <c r="AI2679" i="7" s="1"/>
  <c r="AH2679" i="7"/>
  <c r="AJ2679" i="7"/>
  <c r="AF2680" i="7"/>
  <c r="AI2680" i="7" s="1"/>
  <c r="AH2680" i="7"/>
  <c r="AJ2680" i="7"/>
  <c r="AF2683" i="7"/>
  <c r="AI2683" i="7" s="1"/>
  <c r="AH2683" i="7"/>
  <c r="AJ2683" i="7"/>
  <c r="AF2684" i="7"/>
  <c r="AI2684" i="7" s="1"/>
  <c r="AH2684" i="7"/>
  <c r="AJ2684" i="7"/>
  <c r="AF2685" i="7"/>
  <c r="AI2685" i="7" s="1"/>
  <c r="AH2685" i="7"/>
  <c r="AJ2685" i="7"/>
  <c r="AF2686" i="7"/>
  <c r="AI2686" i="7" s="1"/>
  <c r="AH2686" i="7"/>
  <c r="AJ2686" i="7"/>
  <c r="AF2687" i="7"/>
  <c r="AI2687" i="7" s="1"/>
  <c r="AH2687" i="7"/>
  <c r="AJ2687" i="7"/>
  <c r="AF2688" i="7"/>
  <c r="AI2688" i="7" s="1"/>
  <c r="AH2688" i="7"/>
  <c r="AJ2688" i="7"/>
  <c r="AF2689" i="7"/>
  <c r="AI2689" i="7" s="1"/>
  <c r="AH2689" i="7"/>
  <c r="AJ2689" i="7"/>
  <c r="AF2690" i="7"/>
  <c r="AI2690" i="7" s="1"/>
  <c r="AH2690" i="7"/>
  <c r="AJ2690" i="7"/>
  <c r="AF2691" i="7"/>
  <c r="AI2691" i="7" s="1"/>
  <c r="AH2691" i="7"/>
  <c r="AJ2691" i="7"/>
  <c r="AF2692" i="7"/>
  <c r="AI2692" i="7" s="1"/>
  <c r="AH2692" i="7"/>
  <c r="AJ2692" i="7"/>
  <c r="AF2695" i="7"/>
  <c r="AI2695" i="7" s="1"/>
  <c r="AH2695" i="7"/>
  <c r="AJ2695" i="7"/>
  <c r="AF2696" i="7"/>
  <c r="AI2696" i="7" s="1"/>
  <c r="AH2696" i="7"/>
  <c r="AJ2696" i="7"/>
  <c r="AF2697" i="7"/>
  <c r="AI2697" i="7" s="1"/>
  <c r="AH2697" i="7"/>
  <c r="AJ2697" i="7"/>
  <c r="AF2698" i="7"/>
  <c r="AI2698" i="7" s="1"/>
  <c r="AH2698" i="7"/>
  <c r="AJ2698" i="7"/>
  <c r="AF2699" i="7"/>
  <c r="AI2699" i="7" s="1"/>
  <c r="AH2699" i="7"/>
  <c r="AJ2699" i="7"/>
  <c r="AF2700" i="7"/>
  <c r="AI2700" i="7" s="1"/>
  <c r="AH2700" i="7"/>
  <c r="AJ2700" i="7"/>
  <c r="AF2701" i="7"/>
  <c r="AI2701" i="7" s="1"/>
  <c r="AH2701" i="7"/>
  <c r="AJ2701" i="7"/>
  <c r="AF2702" i="7"/>
  <c r="AI2702" i="7" s="1"/>
  <c r="AH2702" i="7"/>
  <c r="AJ2702" i="7"/>
  <c r="AF2703" i="7"/>
  <c r="AI2703" i="7" s="1"/>
  <c r="AH2703" i="7"/>
  <c r="AJ2703" i="7"/>
  <c r="AF2704" i="7"/>
  <c r="AI2704" i="7" s="1"/>
  <c r="AH2704" i="7"/>
  <c r="AJ2704" i="7"/>
  <c r="AF2707" i="7"/>
  <c r="AI2707" i="7" s="1"/>
  <c r="AH2707" i="7"/>
  <c r="AJ2707" i="7"/>
  <c r="AF2708" i="7"/>
  <c r="AI2708" i="7" s="1"/>
  <c r="AH2708" i="7"/>
  <c r="AJ2708" i="7"/>
  <c r="AF2709" i="7"/>
  <c r="AI2709" i="7" s="1"/>
  <c r="AH2709" i="7"/>
  <c r="AJ2709" i="7"/>
  <c r="AF2710" i="7"/>
  <c r="AI2710" i="7" s="1"/>
  <c r="AH2710" i="7"/>
  <c r="AJ2710" i="7"/>
  <c r="AF2711" i="7"/>
  <c r="AI2711" i="7" s="1"/>
  <c r="AH2711" i="7"/>
  <c r="AJ2711" i="7"/>
  <c r="AF2712" i="7"/>
  <c r="AI2712" i="7" s="1"/>
  <c r="AH2712" i="7"/>
  <c r="AJ2712" i="7"/>
  <c r="AF2713" i="7"/>
  <c r="AI2713" i="7" s="1"/>
  <c r="AH2713" i="7"/>
  <c r="AJ2713" i="7"/>
  <c r="AF2714" i="7"/>
  <c r="AI2714" i="7" s="1"/>
  <c r="AH2714" i="7"/>
  <c r="AJ2714" i="7"/>
  <c r="AF2715" i="7"/>
  <c r="AI2715" i="7" s="1"/>
  <c r="AH2715" i="7"/>
  <c r="AJ2715" i="7"/>
  <c r="AF2716" i="7"/>
  <c r="AI2716" i="7" s="1"/>
  <c r="AH2716" i="7"/>
  <c r="AJ2716" i="7"/>
  <c r="AF2719" i="7"/>
  <c r="AI2719" i="7" s="1"/>
  <c r="AH2719" i="7"/>
  <c r="AJ2719" i="7"/>
  <c r="AF2720" i="7"/>
  <c r="AI2720" i="7" s="1"/>
  <c r="AH2720" i="7"/>
  <c r="AJ2720" i="7"/>
  <c r="AF2721" i="7"/>
  <c r="AI2721" i="7" s="1"/>
  <c r="AH2721" i="7"/>
  <c r="AJ2721" i="7"/>
  <c r="AF2722" i="7"/>
  <c r="AI2722" i="7" s="1"/>
  <c r="AH2722" i="7"/>
  <c r="AJ2722" i="7"/>
  <c r="AF2723" i="7"/>
  <c r="AI2723" i="7" s="1"/>
  <c r="AH2723" i="7"/>
  <c r="AJ2723" i="7"/>
  <c r="AF2724" i="7"/>
  <c r="AI2724" i="7" s="1"/>
  <c r="AH2724" i="7"/>
  <c r="AJ2724" i="7"/>
  <c r="AF2725" i="7"/>
  <c r="AI2725" i="7" s="1"/>
  <c r="AH2725" i="7"/>
  <c r="AJ2725" i="7"/>
  <c r="AF2726" i="7"/>
  <c r="AI2726" i="7" s="1"/>
  <c r="AH2726" i="7"/>
  <c r="AJ2726" i="7"/>
  <c r="AF2727" i="7"/>
  <c r="AI2727" i="7" s="1"/>
  <c r="AH2727" i="7"/>
  <c r="AJ2727" i="7"/>
  <c r="AF2728" i="7"/>
  <c r="AI2728" i="7" s="1"/>
  <c r="AH2728" i="7"/>
  <c r="AJ2728" i="7"/>
  <c r="AF2731" i="7"/>
  <c r="AI2731" i="7" s="1"/>
  <c r="AH2731" i="7"/>
  <c r="AJ2731" i="7"/>
  <c r="AF2732" i="7"/>
  <c r="AI2732" i="7" s="1"/>
  <c r="AH2732" i="7"/>
  <c r="AJ2732" i="7"/>
  <c r="AF2733" i="7"/>
  <c r="AI2733" i="7" s="1"/>
  <c r="AH2733" i="7"/>
  <c r="AJ2733" i="7"/>
  <c r="AF2734" i="7"/>
  <c r="AI2734" i="7" s="1"/>
  <c r="AH2734" i="7"/>
  <c r="AJ2734" i="7"/>
  <c r="AF2735" i="7"/>
  <c r="AI2735" i="7" s="1"/>
  <c r="AH2735" i="7"/>
  <c r="AJ2735" i="7"/>
  <c r="AF2736" i="7"/>
  <c r="AI2736" i="7" s="1"/>
  <c r="AH2736" i="7"/>
  <c r="AJ2736" i="7"/>
  <c r="AF2737" i="7"/>
  <c r="AI2737" i="7" s="1"/>
  <c r="AH2737" i="7"/>
  <c r="AJ2737" i="7"/>
  <c r="AF2738" i="7"/>
  <c r="AI2738" i="7" s="1"/>
  <c r="AH2738" i="7"/>
  <c r="AJ2738" i="7"/>
  <c r="AF2739" i="7"/>
  <c r="AI2739" i="7" s="1"/>
  <c r="AH2739" i="7"/>
  <c r="AJ2739" i="7"/>
  <c r="AF2740" i="7"/>
  <c r="AI2740" i="7" s="1"/>
  <c r="AH2740" i="7"/>
  <c r="AJ2740" i="7"/>
  <c r="AF2743" i="7"/>
  <c r="AI2743" i="7" s="1"/>
  <c r="AH2743" i="7"/>
  <c r="AJ2743" i="7"/>
  <c r="AF2744" i="7"/>
  <c r="AI2744" i="7" s="1"/>
  <c r="AH2744" i="7"/>
  <c r="AJ2744" i="7"/>
  <c r="AF2745" i="7"/>
  <c r="AI2745" i="7" s="1"/>
  <c r="AH2745" i="7"/>
  <c r="AJ2745" i="7"/>
  <c r="AF2746" i="7"/>
  <c r="AI2746" i="7" s="1"/>
  <c r="AH2746" i="7"/>
  <c r="AJ2746" i="7"/>
  <c r="AF2747" i="7"/>
  <c r="AI2747" i="7" s="1"/>
  <c r="AH2747" i="7"/>
  <c r="AJ2747" i="7"/>
  <c r="AF2748" i="7"/>
  <c r="AI2748" i="7" s="1"/>
  <c r="AH2748" i="7"/>
  <c r="AJ2748" i="7"/>
  <c r="AF2749" i="7"/>
  <c r="AI2749" i="7" s="1"/>
  <c r="AH2749" i="7"/>
  <c r="AJ2749" i="7"/>
  <c r="AF2750" i="7"/>
  <c r="AI2750" i="7" s="1"/>
  <c r="AH2750" i="7"/>
  <c r="AJ2750" i="7"/>
  <c r="AF2751" i="7"/>
  <c r="AI2751" i="7" s="1"/>
  <c r="AH2751" i="7"/>
  <c r="AJ2751" i="7"/>
  <c r="AF2752" i="7"/>
  <c r="AI2752" i="7" s="1"/>
  <c r="AH2752" i="7"/>
  <c r="AJ2752" i="7"/>
  <c r="AF2755" i="7"/>
  <c r="AI2755" i="7" s="1"/>
  <c r="AH2755" i="7"/>
  <c r="AJ2755" i="7"/>
  <c r="AF2756" i="7"/>
  <c r="AI2756" i="7" s="1"/>
  <c r="AH2756" i="7"/>
  <c r="AJ2756" i="7"/>
  <c r="AF2757" i="7"/>
  <c r="AI2757" i="7" s="1"/>
  <c r="AH2757" i="7"/>
  <c r="AJ2757" i="7"/>
  <c r="AF2758" i="7"/>
  <c r="AI2758" i="7" s="1"/>
  <c r="AH2758" i="7"/>
  <c r="AJ2758" i="7"/>
  <c r="AF2759" i="7"/>
  <c r="AI2759" i="7" s="1"/>
  <c r="AH2759" i="7"/>
  <c r="AJ2759" i="7"/>
  <c r="AF2760" i="7"/>
  <c r="AI2760" i="7" s="1"/>
  <c r="AH2760" i="7"/>
  <c r="AJ2760" i="7"/>
  <c r="AF2761" i="7"/>
  <c r="AI2761" i="7" s="1"/>
  <c r="AH2761" i="7"/>
  <c r="AJ2761" i="7"/>
  <c r="AF2762" i="7"/>
  <c r="AI2762" i="7" s="1"/>
  <c r="AH2762" i="7"/>
  <c r="AJ2762" i="7"/>
  <c r="AF2763" i="7"/>
  <c r="AI2763" i="7" s="1"/>
  <c r="AH2763" i="7"/>
  <c r="AJ2763" i="7"/>
  <c r="AF2764" i="7"/>
  <c r="AI2764" i="7" s="1"/>
  <c r="AH2764" i="7"/>
  <c r="AJ2764" i="7"/>
  <c r="AF2767" i="7"/>
  <c r="AI2767" i="7" s="1"/>
  <c r="AH2767" i="7"/>
  <c r="AJ2767" i="7"/>
  <c r="AF2768" i="7"/>
  <c r="AI2768" i="7" s="1"/>
  <c r="AH2768" i="7"/>
  <c r="AJ2768" i="7"/>
  <c r="AF2769" i="7"/>
  <c r="AI2769" i="7" s="1"/>
  <c r="AH2769" i="7"/>
  <c r="AJ2769" i="7"/>
  <c r="AF2770" i="7"/>
  <c r="AI2770" i="7" s="1"/>
  <c r="AH2770" i="7"/>
  <c r="AJ2770" i="7"/>
  <c r="AF2771" i="7"/>
  <c r="AI2771" i="7" s="1"/>
  <c r="AH2771" i="7"/>
  <c r="AJ2771" i="7"/>
  <c r="AF2772" i="7"/>
  <c r="AI2772" i="7" s="1"/>
  <c r="AH2772" i="7"/>
  <c r="AJ2772" i="7"/>
  <c r="AF2773" i="7"/>
  <c r="AI2773" i="7" s="1"/>
  <c r="AH2773" i="7"/>
  <c r="AJ2773" i="7"/>
  <c r="AF2774" i="7"/>
  <c r="AI2774" i="7" s="1"/>
  <c r="AH2774" i="7"/>
  <c r="AJ2774" i="7"/>
  <c r="AF2775" i="7"/>
  <c r="AI2775" i="7" s="1"/>
  <c r="AH2775" i="7"/>
  <c r="AJ2775" i="7"/>
  <c r="AF2776" i="7"/>
  <c r="AI2776" i="7" s="1"/>
  <c r="AH2776" i="7"/>
  <c r="AJ2776" i="7"/>
  <c r="AF2779" i="7"/>
  <c r="AI2779" i="7" s="1"/>
  <c r="AH2779" i="7"/>
  <c r="AJ2779" i="7"/>
  <c r="AF2780" i="7"/>
  <c r="AI2780" i="7" s="1"/>
  <c r="AH2780" i="7"/>
  <c r="AJ2780" i="7"/>
  <c r="AF2781" i="7"/>
  <c r="AI2781" i="7" s="1"/>
  <c r="AH2781" i="7"/>
  <c r="AJ2781" i="7"/>
  <c r="AF2782" i="7"/>
  <c r="AI2782" i="7" s="1"/>
  <c r="AH2782" i="7"/>
  <c r="AJ2782" i="7"/>
  <c r="AF2783" i="7"/>
  <c r="AI2783" i="7" s="1"/>
  <c r="AH2783" i="7"/>
  <c r="AJ2783" i="7"/>
  <c r="AF2784" i="7"/>
  <c r="AI2784" i="7" s="1"/>
  <c r="AH2784" i="7"/>
  <c r="AJ2784" i="7"/>
  <c r="AF2785" i="7"/>
  <c r="AI2785" i="7" s="1"/>
  <c r="AH2785" i="7"/>
  <c r="AJ2785" i="7"/>
  <c r="AF2786" i="7"/>
  <c r="AI2786" i="7" s="1"/>
  <c r="AH2786" i="7"/>
  <c r="AJ2786" i="7"/>
  <c r="AF2787" i="7"/>
  <c r="AI2787" i="7" s="1"/>
  <c r="AH2787" i="7"/>
  <c r="AJ2787" i="7"/>
  <c r="AF2788" i="7"/>
  <c r="AI2788" i="7" s="1"/>
  <c r="AH2788" i="7"/>
  <c r="AJ2788" i="7"/>
  <c r="AF2791" i="7"/>
  <c r="AI2791" i="7" s="1"/>
  <c r="AH2791" i="7"/>
  <c r="AJ2791" i="7"/>
  <c r="AF2792" i="7"/>
  <c r="AI2792" i="7" s="1"/>
  <c r="AH2792" i="7"/>
  <c r="AJ2792" i="7"/>
  <c r="AF2793" i="7"/>
  <c r="AI2793" i="7" s="1"/>
  <c r="AH2793" i="7"/>
  <c r="AJ2793" i="7"/>
  <c r="AF2794" i="7"/>
  <c r="AI2794" i="7" s="1"/>
  <c r="AH2794" i="7"/>
  <c r="AJ2794" i="7"/>
  <c r="AF2795" i="7"/>
  <c r="AI2795" i="7" s="1"/>
  <c r="AH2795" i="7"/>
  <c r="AJ2795" i="7"/>
  <c r="AF2796" i="7"/>
  <c r="AI2796" i="7" s="1"/>
  <c r="AH2796" i="7"/>
  <c r="AJ2796" i="7"/>
  <c r="AF2797" i="7"/>
  <c r="AI2797" i="7" s="1"/>
  <c r="AH2797" i="7"/>
  <c r="AJ2797" i="7"/>
  <c r="AF2798" i="7"/>
  <c r="AI2798" i="7" s="1"/>
  <c r="AH2798" i="7"/>
  <c r="AJ2798" i="7"/>
  <c r="AF2799" i="7"/>
  <c r="AI2799" i="7" s="1"/>
  <c r="AH2799" i="7"/>
  <c r="AJ2799" i="7"/>
  <c r="AF2800" i="7"/>
  <c r="AI2800" i="7" s="1"/>
  <c r="AH2800" i="7"/>
  <c r="AJ2800" i="7"/>
  <c r="AF2803" i="7"/>
  <c r="AI2803" i="7" s="1"/>
  <c r="AH2803" i="7"/>
  <c r="AJ2803" i="7"/>
  <c r="AF2804" i="7"/>
  <c r="AI2804" i="7" s="1"/>
  <c r="AH2804" i="7"/>
  <c r="AJ2804" i="7"/>
  <c r="AF2805" i="7"/>
  <c r="AI2805" i="7" s="1"/>
  <c r="AH2805" i="7"/>
  <c r="AJ2805" i="7"/>
  <c r="AF2806" i="7"/>
  <c r="AI2806" i="7" s="1"/>
  <c r="AH2806" i="7"/>
  <c r="AJ2806" i="7"/>
  <c r="AF2807" i="7"/>
  <c r="AI2807" i="7" s="1"/>
  <c r="AH2807" i="7"/>
  <c r="AJ2807" i="7"/>
  <c r="AF2808" i="7"/>
  <c r="AI2808" i="7" s="1"/>
  <c r="AH2808" i="7"/>
  <c r="AJ2808" i="7"/>
  <c r="AF2809" i="7"/>
  <c r="AI2809" i="7" s="1"/>
  <c r="AH2809" i="7"/>
  <c r="AJ2809" i="7"/>
  <c r="AF2812" i="7"/>
  <c r="AI2812" i="7" s="1"/>
  <c r="AH2812" i="7"/>
  <c r="AJ2812" i="7"/>
  <c r="AF2813" i="7"/>
  <c r="AI2813" i="7" s="1"/>
  <c r="AH2813" i="7"/>
  <c r="AJ2813" i="7"/>
  <c r="AF2814" i="7"/>
  <c r="AI2814" i="7" s="1"/>
  <c r="AH2814" i="7"/>
  <c r="AJ2814" i="7"/>
  <c r="AF2815" i="7"/>
  <c r="AI2815" i="7" s="1"/>
  <c r="AH2815" i="7"/>
  <c r="AJ2815" i="7"/>
  <c r="AF2816" i="7"/>
  <c r="AI2816" i="7" s="1"/>
  <c r="AH2816" i="7"/>
  <c r="AJ2816" i="7"/>
  <c r="AF2817" i="7"/>
  <c r="AI2817" i="7" s="1"/>
  <c r="AH2817" i="7"/>
  <c r="AJ2817" i="7"/>
  <c r="AF2818" i="7"/>
  <c r="AI2818" i="7" s="1"/>
  <c r="AH2818" i="7"/>
  <c r="AJ2818" i="7"/>
  <c r="AF2821" i="7"/>
  <c r="AI2821" i="7" s="1"/>
  <c r="AH2821" i="7"/>
  <c r="AJ2821" i="7"/>
  <c r="AF2822" i="7"/>
  <c r="AI2822" i="7" s="1"/>
  <c r="AH2822" i="7"/>
  <c r="AJ2822" i="7"/>
  <c r="AF2823" i="7"/>
  <c r="AI2823" i="7" s="1"/>
  <c r="AH2823" i="7"/>
  <c r="AJ2823" i="7"/>
  <c r="AF2824" i="7"/>
  <c r="AI2824" i="7" s="1"/>
  <c r="AH2824" i="7"/>
  <c r="AJ2824" i="7"/>
  <c r="AF2825" i="7"/>
  <c r="AI2825" i="7" s="1"/>
  <c r="AH2825" i="7"/>
  <c r="AJ2825" i="7"/>
  <c r="AF2826" i="7"/>
  <c r="AI2826" i="7" s="1"/>
  <c r="AH2826" i="7"/>
  <c r="AJ2826" i="7"/>
  <c r="AF2827" i="7"/>
  <c r="AI2827" i="7" s="1"/>
  <c r="AH2827" i="7"/>
  <c r="AJ2827" i="7"/>
  <c r="AF2830" i="7"/>
  <c r="AI2830" i="7" s="1"/>
  <c r="AH2830" i="7"/>
  <c r="AJ2830" i="7"/>
  <c r="AF2831" i="7"/>
  <c r="AI2831" i="7" s="1"/>
  <c r="AH2831" i="7"/>
  <c r="AJ2831" i="7"/>
  <c r="AF2832" i="7"/>
  <c r="AI2832" i="7" s="1"/>
  <c r="AH2832" i="7"/>
  <c r="AJ2832" i="7"/>
  <c r="AF2833" i="7"/>
  <c r="AI2833" i="7" s="1"/>
  <c r="AH2833" i="7"/>
  <c r="AJ2833" i="7"/>
  <c r="AF2834" i="7"/>
  <c r="AI2834" i="7" s="1"/>
  <c r="AH2834" i="7"/>
  <c r="AJ2834" i="7"/>
  <c r="AF2835" i="7"/>
  <c r="AI2835" i="7" s="1"/>
  <c r="AH2835" i="7"/>
  <c r="AJ2835" i="7"/>
  <c r="AF2836" i="7"/>
  <c r="AI2836" i="7" s="1"/>
  <c r="AH2836" i="7"/>
  <c r="AJ2836" i="7"/>
  <c r="AF2839" i="7"/>
  <c r="AI2839" i="7" s="1"/>
  <c r="AH2839" i="7"/>
  <c r="AJ2839" i="7"/>
  <c r="AF2840" i="7"/>
  <c r="AI2840" i="7" s="1"/>
  <c r="AH2840" i="7"/>
  <c r="AJ2840" i="7"/>
  <c r="AF2841" i="7"/>
  <c r="AI2841" i="7" s="1"/>
  <c r="AH2841" i="7"/>
  <c r="AJ2841" i="7"/>
  <c r="AF2842" i="7"/>
  <c r="AI2842" i="7" s="1"/>
  <c r="AH2842" i="7"/>
  <c r="AJ2842" i="7"/>
  <c r="AF2843" i="7"/>
  <c r="AI2843" i="7" s="1"/>
  <c r="AH2843" i="7"/>
  <c r="AJ2843" i="7"/>
  <c r="AF2844" i="7"/>
  <c r="AI2844" i="7" s="1"/>
  <c r="AH2844" i="7"/>
  <c r="AJ2844" i="7"/>
  <c r="AF2845" i="7"/>
  <c r="AI2845" i="7" s="1"/>
  <c r="AH2845" i="7"/>
  <c r="AJ2845" i="7"/>
  <c r="AF2848" i="7"/>
  <c r="AI2848" i="7" s="1"/>
  <c r="AH2848" i="7"/>
  <c r="AJ2848" i="7"/>
  <c r="AF2849" i="7"/>
  <c r="AI2849" i="7" s="1"/>
  <c r="AH2849" i="7"/>
  <c r="AJ2849" i="7"/>
  <c r="AF2850" i="7"/>
  <c r="AI2850" i="7" s="1"/>
  <c r="AH2850" i="7"/>
  <c r="AJ2850" i="7"/>
  <c r="AF2851" i="7"/>
  <c r="AI2851" i="7" s="1"/>
  <c r="AH2851" i="7"/>
  <c r="AJ2851" i="7"/>
  <c r="AF2852" i="7"/>
  <c r="AI2852" i="7" s="1"/>
  <c r="AH2852" i="7"/>
  <c r="AJ2852" i="7"/>
  <c r="AF2853" i="7"/>
  <c r="AI2853" i="7" s="1"/>
  <c r="AH2853" i="7"/>
  <c r="AJ2853" i="7"/>
  <c r="AF2854" i="7"/>
  <c r="AI2854" i="7" s="1"/>
  <c r="AH2854" i="7"/>
  <c r="AJ2854" i="7"/>
  <c r="AF2857" i="7"/>
  <c r="AI2857" i="7" s="1"/>
  <c r="AH2857" i="7"/>
  <c r="AJ2857" i="7"/>
  <c r="AF2858" i="7"/>
  <c r="AI2858" i="7" s="1"/>
  <c r="AH2858" i="7"/>
  <c r="AJ2858" i="7"/>
  <c r="AF2859" i="7"/>
  <c r="AI2859" i="7" s="1"/>
  <c r="AH2859" i="7"/>
  <c r="AJ2859" i="7"/>
  <c r="AF2860" i="7"/>
  <c r="AI2860" i="7" s="1"/>
  <c r="AH2860" i="7"/>
  <c r="AJ2860" i="7"/>
  <c r="AF2861" i="7"/>
  <c r="AI2861" i="7" s="1"/>
  <c r="AH2861" i="7"/>
  <c r="AJ2861" i="7"/>
  <c r="AF2862" i="7"/>
  <c r="AI2862" i="7" s="1"/>
  <c r="AH2862" i="7"/>
  <c r="AJ2862" i="7"/>
  <c r="AF2863" i="7"/>
  <c r="AI2863" i="7" s="1"/>
  <c r="AH2863" i="7"/>
  <c r="AJ2863" i="7"/>
  <c r="AF2866" i="7"/>
  <c r="AI2866" i="7" s="1"/>
  <c r="AH2866" i="7"/>
  <c r="AJ2866" i="7"/>
  <c r="AF2867" i="7"/>
  <c r="AI2867" i="7" s="1"/>
  <c r="AH2867" i="7"/>
  <c r="AJ2867" i="7"/>
  <c r="AF2868" i="7"/>
  <c r="AI2868" i="7" s="1"/>
  <c r="AH2868" i="7"/>
  <c r="AJ2868" i="7"/>
  <c r="AF2869" i="7"/>
  <c r="AI2869" i="7" s="1"/>
  <c r="AH2869" i="7"/>
  <c r="AJ2869" i="7"/>
  <c r="AF2870" i="7"/>
  <c r="AI2870" i="7" s="1"/>
  <c r="AH2870" i="7"/>
  <c r="AJ2870" i="7"/>
  <c r="AF2871" i="7"/>
  <c r="AI2871" i="7" s="1"/>
  <c r="AH2871" i="7"/>
  <c r="AJ2871" i="7"/>
  <c r="AF2872" i="7"/>
  <c r="AI2872" i="7" s="1"/>
  <c r="AH2872" i="7"/>
  <c r="AJ2872" i="7"/>
  <c r="AF2875" i="7"/>
  <c r="AI2875" i="7" s="1"/>
  <c r="AH2875" i="7"/>
  <c r="AJ2875" i="7"/>
  <c r="AF2876" i="7"/>
  <c r="AI2876" i="7" s="1"/>
  <c r="AH2876" i="7"/>
  <c r="AJ2876" i="7"/>
  <c r="AF2877" i="7"/>
  <c r="AI2877" i="7" s="1"/>
  <c r="AH2877" i="7"/>
  <c r="AJ2877" i="7"/>
  <c r="AF2878" i="7"/>
  <c r="AI2878" i="7" s="1"/>
  <c r="AH2878" i="7"/>
  <c r="AJ2878" i="7"/>
  <c r="AF2879" i="7"/>
  <c r="AI2879" i="7" s="1"/>
  <c r="AH2879" i="7"/>
  <c r="AJ2879" i="7"/>
  <c r="AF2880" i="7"/>
  <c r="AI2880" i="7" s="1"/>
  <c r="AH2880" i="7"/>
  <c r="AJ2880" i="7"/>
  <c r="AF2881" i="7"/>
  <c r="AI2881" i="7" s="1"/>
  <c r="AH2881" i="7"/>
  <c r="AJ2881" i="7"/>
  <c r="AF2884" i="7"/>
  <c r="AI2884" i="7" s="1"/>
  <c r="AH2884" i="7"/>
  <c r="AJ2884" i="7"/>
  <c r="AF2885" i="7"/>
  <c r="AI2885" i="7" s="1"/>
  <c r="AH2885" i="7"/>
  <c r="AJ2885" i="7"/>
  <c r="AF2886" i="7"/>
  <c r="AI2886" i="7" s="1"/>
  <c r="AH2886" i="7"/>
  <c r="AJ2886" i="7"/>
  <c r="AF2887" i="7"/>
  <c r="AI2887" i="7" s="1"/>
  <c r="AH2887" i="7"/>
  <c r="AJ2887" i="7"/>
  <c r="AF2888" i="7"/>
  <c r="AI2888" i="7" s="1"/>
  <c r="AH2888" i="7"/>
  <c r="AJ2888" i="7"/>
  <c r="AF2889" i="7"/>
  <c r="AI2889" i="7" s="1"/>
  <c r="AH2889" i="7"/>
  <c r="AJ2889" i="7"/>
  <c r="AF2890" i="7"/>
  <c r="AI2890" i="7" s="1"/>
  <c r="AH2890" i="7"/>
  <c r="AJ2890" i="7"/>
  <c r="AF2893" i="7"/>
  <c r="AI2893" i="7" s="1"/>
  <c r="AH2893" i="7"/>
  <c r="AJ2893" i="7"/>
  <c r="AF2894" i="7"/>
  <c r="AI2894" i="7" s="1"/>
  <c r="AH2894" i="7"/>
  <c r="AJ2894" i="7"/>
  <c r="AF2895" i="7"/>
  <c r="AI2895" i="7" s="1"/>
  <c r="AH2895" i="7"/>
  <c r="AJ2895" i="7"/>
  <c r="AF2896" i="7"/>
  <c r="AI2896" i="7" s="1"/>
  <c r="AH2896" i="7"/>
  <c r="AJ2896" i="7"/>
  <c r="AF2897" i="7"/>
  <c r="AI2897" i="7" s="1"/>
  <c r="AH2897" i="7"/>
  <c r="AJ2897" i="7"/>
  <c r="AF2898" i="7"/>
  <c r="AI2898" i="7" s="1"/>
  <c r="AH2898" i="7"/>
  <c r="AJ2898" i="7"/>
  <c r="AF2899" i="7"/>
  <c r="AI2899" i="7" s="1"/>
  <c r="AH2899" i="7"/>
  <c r="AJ2899" i="7"/>
  <c r="AF2902" i="7"/>
  <c r="AI2902" i="7" s="1"/>
  <c r="AH2902" i="7"/>
  <c r="AJ2902" i="7"/>
  <c r="AF2903" i="7"/>
  <c r="AI2903" i="7" s="1"/>
  <c r="AH2903" i="7"/>
  <c r="AJ2903" i="7"/>
  <c r="AF2904" i="7"/>
  <c r="AI2904" i="7" s="1"/>
  <c r="AH2904" i="7"/>
  <c r="AJ2904" i="7"/>
  <c r="AF2905" i="7"/>
  <c r="AI2905" i="7" s="1"/>
  <c r="AH2905" i="7"/>
  <c r="AJ2905" i="7"/>
  <c r="AF2906" i="7"/>
  <c r="AI2906" i="7" s="1"/>
  <c r="AH2906" i="7"/>
  <c r="AJ2906" i="7"/>
  <c r="AF2907" i="7"/>
  <c r="AI2907" i="7" s="1"/>
  <c r="AH2907" i="7"/>
  <c r="AJ2907" i="7"/>
  <c r="AF2908" i="7"/>
  <c r="AI2908" i="7" s="1"/>
  <c r="AH2908" i="7"/>
  <c r="AJ2908" i="7"/>
  <c r="AF2911" i="7"/>
  <c r="AI2911" i="7" s="1"/>
  <c r="AH2911" i="7"/>
  <c r="AJ2911" i="7"/>
  <c r="AF2912" i="7"/>
  <c r="AI2912" i="7" s="1"/>
  <c r="AH2912" i="7"/>
  <c r="AJ2912" i="7"/>
  <c r="AF2913" i="7"/>
  <c r="AI2913" i="7" s="1"/>
  <c r="AH2913" i="7"/>
  <c r="AJ2913" i="7"/>
  <c r="AF2914" i="7"/>
  <c r="AI2914" i="7" s="1"/>
  <c r="AH2914" i="7"/>
  <c r="AJ2914" i="7"/>
  <c r="AF2915" i="7"/>
  <c r="AI2915" i="7" s="1"/>
  <c r="AH2915" i="7"/>
  <c r="AJ2915" i="7"/>
  <c r="AF2916" i="7"/>
  <c r="AI2916" i="7" s="1"/>
  <c r="AH2916" i="7"/>
  <c r="AJ2916" i="7"/>
  <c r="AF2917" i="7"/>
  <c r="AI2917" i="7" s="1"/>
  <c r="AH2917" i="7"/>
  <c r="AJ2917" i="7"/>
  <c r="AF2920" i="7"/>
  <c r="AI2920" i="7" s="1"/>
  <c r="AH2920" i="7"/>
  <c r="AJ2920" i="7"/>
  <c r="AF2921" i="7"/>
  <c r="AI2921" i="7" s="1"/>
  <c r="AH2921" i="7"/>
  <c r="AJ2921" i="7"/>
  <c r="AF2922" i="7"/>
  <c r="AI2922" i="7" s="1"/>
  <c r="AH2922" i="7"/>
  <c r="AJ2922" i="7"/>
  <c r="AF2923" i="7"/>
  <c r="AI2923" i="7" s="1"/>
  <c r="AH2923" i="7"/>
  <c r="AJ2923" i="7"/>
  <c r="AF2924" i="7"/>
  <c r="AI2924" i="7" s="1"/>
  <c r="AH2924" i="7"/>
  <c r="AJ2924" i="7"/>
  <c r="AF2925" i="7"/>
  <c r="AI2925" i="7" s="1"/>
  <c r="AH2925" i="7"/>
  <c r="AJ2925" i="7"/>
  <c r="AF2926" i="7"/>
  <c r="AI2926" i="7" s="1"/>
  <c r="AH2926" i="7"/>
  <c r="AJ2926" i="7"/>
  <c r="AF2929" i="7"/>
  <c r="AI2929" i="7" s="1"/>
  <c r="AH2929" i="7"/>
  <c r="AJ2929" i="7"/>
  <c r="AF2930" i="7"/>
  <c r="AI2930" i="7" s="1"/>
  <c r="AH2930" i="7"/>
  <c r="AJ2930" i="7"/>
  <c r="AF2931" i="7"/>
  <c r="AI2931" i="7" s="1"/>
  <c r="AH2931" i="7"/>
  <c r="AJ2931" i="7"/>
  <c r="AF2932" i="7"/>
  <c r="AI2932" i="7" s="1"/>
  <c r="AH2932" i="7"/>
  <c r="AJ2932" i="7"/>
  <c r="AF2933" i="7"/>
  <c r="AI2933" i="7" s="1"/>
  <c r="AH2933" i="7"/>
  <c r="AJ2933" i="7"/>
  <c r="AF2934" i="7"/>
  <c r="AI2934" i="7" s="1"/>
  <c r="AH2934" i="7"/>
  <c r="AJ2934" i="7"/>
  <c r="AF2935" i="7"/>
  <c r="AI2935" i="7" s="1"/>
  <c r="AH2935" i="7"/>
  <c r="AJ2935" i="7"/>
  <c r="AF2938" i="7"/>
  <c r="AI2938" i="7" s="1"/>
  <c r="AH2938" i="7"/>
  <c r="AJ2938" i="7"/>
  <c r="AF2939" i="7"/>
  <c r="AI2939" i="7" s="1"/>
  <c r="AH2939" i="7"/>
  <c r="AJ2939" i="7"/>
  <c r="AF2940" i="7"/>
  <c r="AI2940" i="7" s="1"/>
  <c r="AH2940" i="7"/>
  <c r="AJ2940" i="7"/>
  <c r="AF2941" i="7"/>
  <c r="AI2941" i="7" s="1"/>
  <c r="AH2941" i="7"/>
  <c r="AJ2941" i="7"/>
  <c r="AF2942" i="7"/>
  <c r="AI2942" i="7" s="1"/>
  <c r="AH2942" i="7"/>
  <c r="AJ2942" i="7"/>
  <c r="AF2943" i="7"/>
  <c r="AI2943" i="7" s="1"/>
  <c r="AH2943" i="7"/>
  <c r="AJ2943" i="7"/>
  <c r="AF2944" i="7"/>
  <c r="AI2944" i="7" s="1"/>
  <c r="AH2944" i="7"/>
  <c r="AJ2944" i="7"/>
  <c r="AF2947" i="7"/>
  <c r="AI2947" i="7" s="1"/>
  <c r="AH2947" i="7"/>
  <c r="AJ2947" i="7"/>
  <c r="AF2948" i="7"/>
  <c r="AI2948" i="7" s="1"/>
  <c r="AH2948" i="7"/>
  <c r="AJ2948" i="7"/>
  <c r="AF2949" i="7"/>
  <c r="AI2949" i="7" s="1"/>
  <c r="AH2949" i="7"/>
  <c r="AJ2949" i="7"/>
  <c r="AF2950" i="7"/>
  <c r="AI2950" i="7" s="1"/>
  <c r="AH2950" i="7"/>
  <c r="AJ2950" i="7"/>
  <c r="AF2951" i="7"/>
  <c r="AI2951" i="7" s="1"/>
  <c r="AH2951" i="7"/>
  <c r="AJ2951" i="7"/>
  <c r="AF2952" i="7"/>
  <c r="AI2952" i="7" s="1"/>
  <c r="AH2952" i="7"/>
  <c r="AJ2952" i="7"/>
  <c r="AF2953" i="7"/>
  <c r="AI2953" i="7" s="1"/>
  <c r="AH2953" i="7"/>
  <c r="AJ2953" i="7"/>
  <c r="AF2956" i="7"/>
  <c r="AI2956" i="7" s="1"/>
  <c r="AH2956" i="7"/>
  <c r="AJ2956" i="7"/>
  <c r="AF2957" i="7"/>
  <c r="AI2957" i="7" s="1"/>
  <c r="AH2957" i="7"/>
  <c r="AJ2957" i="7"/>
  <c r="AF2958" i="7"/>
  <c r="AI2958" i="7" s="1"/>
  <c r="AH2958" i="7"/>
  <c r="AJ2958" i="7"/>
  <c r="AF2959" i="7"/>
  <c r="AI2959" i="7" s="1"/>
  <c r="AH2959" i="7"/>
  <c r="AJ2959" i="7"/>
  <c r="AF2960" i="7"/>
  <c r="AI2960" i="7" s="1"/>
  <c r="AH2960" i="7"/>
  <c r="AJ2960" i="7"/>
  <c r="AF2961" i="7"/>
  <c r="AI2961" i="7" s="1"/>
  <c r="AH2961" i="7"/>
  <c r="AJ2961" i="7"/>
  <c r="AF2962" i="7"/>
  <c r="AI2962" i="7" s="1"/>
  <c r="AH2962" i="7"/>
  <c r="AJ2962" i="7"/>
  <c r="AF2965" i="7"/>
  <c r="AI2965" i="7" s="1"/>
  <c r="AH2965" i="7"/>
  <c r="AJ2965" i="7"/>
  <c r="AF2967" i="7"/>
  <c r="AI2967" i="7" s="1"/>
  <c r="AH2967" i="7"/>
  <c r="AJ2967" i="7"/>
  <c r="AF2968" i="7"/>
  <c r="AI2968" i="7" s="1"/>
  <c r="AH2968" i="7"/>
  <c r="AJ2968" i="7"/>
  <c r="AF2971" i="7"/>
  <c r="AI2971" i="7" s="1"/>
  <c r="AH2971" i="7"/>
  <c r="AJ2971" i="7"/>
  <c r="AF2973" i="7"/>
  <c r="AI2973" i="7" s="1"/>
  <c r="AH2973" i="7"/>
  <c r="AJ2973" i="7"/>
  <c r="AF2974" i="7"/>
  <c r="AI2974" i="7" s="1"/>
  <c r="AH2974" i="7"/>
  <c r="AJ2974" i="7"/>
  <c r="AF2977" i="7"/>
  <c r="AI2977" i="7" s="1"/>
  <c r="AH2977" i="7"/>
  <c r="AJ2977" i="7"/>
  <c r="AF2979" i="7"/>
  <c r="AI2979" i="7" s="1"/>
  <c r="AH2979" i="7"/>
  <c r="AJ2979" i="7"/>
  <c r="AF2980" i="7"/>
  <c r="AI2980" i="7" s="1"/>
  <c r="AH2980" i="7"/>
  <c r="AJ2980" i="7"/>
  <c r="AF2983" i="7"/>
  <c r="AI2983" i="7" s="1"/>
  <c r="AH2983" i="7"/>
  <c r="AJ2983" i="7"/>
  <c r="AF2985" i="7"/>
  <c r="AI2985" i="7" s="1"/>
  <c r="AH2985" i="7"/>
  <c r="AJ2985" i="7"/>
  <c r="AF2986" i="7"/>
  <c r="AI2986" i="7" s="1"/>
  <c r="AH2986" i="7"/>
  <c r="AJ2986" i="7"/>
  <c r="AF2989" i="7"/>
  <c r="AI2989" i="7" s="1"/>
  <c r="AH2989" i="7"/>
  <c r="AJ2989" i="7"/>
  <c r="AF2991" i="7"/>
  <c r="AI2991" i="7" s="1"/>
  <c r="AH2991" i="7"/>
  <c r="AJ2991" i="7"/>
  <c r="AF2992" i="7"/>
  <c r="AI2992" i="7" s="1"/>
  <c r="AH2992" i="7"/>
  <c r="AJ2992" i="7"/>
  <c r="AF2995" i="7"/>
  <c r="AI2995" i="7" s="1"/>
  <c r="AH2995" i="7"/>
  <c r="AJ2995" i="7"/>
  <c r="AF2997" i="7"/>
  <c r="AI2997" i="7" s="1"/>
  <c r="AH2997" i="7"/>
  <c r="AJ2997" i="7"/>
  <c r="AF2998" i="7"/>
  <c r="AI2998" i="7" s="1"/>
  <c r="AH2998" i="7"/>
  <c r="AJ2998" i="7"/>
  <c r="AF3001" i="7"/>
  <c r="AI3001" i="7" s="1"/>
  <c r="AH3001" i="7"/>
  <c r="AJ3001" i="7"/>
  <c r="AF3003" i="7"/>
  <c r="AI3003" i="7" s="1"/>
  <c r="AH3003" i="7"/>
  <c r="AJ3003" i="7"/>
  <c r="AF3004" i="7"/>
  <c r="AI3004" i="7" s="1"/>
  <c r="AH3004" i="7"/>
  <c r="AJ3004" i="7"/>
  <c r="AF3007" i="7"/>
  <c r="AI3007" i="7" s="1"/>
  <c r="AH3007" i="7"/>
  <c r="AJ3007" i="7"/>
  <c r="AF3009" i="7"/>
  <c r="AI3009" i="7" s="1"/>
  <c r="AH3009" i="7"/>
  <c r="AJ3009" i="7"/>
  <c r="AF3010" i="7"/>
  <c r="AI3010" i="7" s="1"/>
  <c r="AH3010" i="7"/>
  <c r="AJ3010" i="7"/>
  <c r="AF3013" i="7"/>
  <c r="AI3013" i="7" s="1"/>
  <c r="AH3013" i="7"/>
  <c r="AJ3013" i="7"/>
  <c r="AF3014" i="7"/>
  <c r="AI3014" i="7" s="1"/>
  <c r="AH3014" i="7"/>
  <c r="AJ3014" i="7"/>
  <c r="AF3015" i="7"/>
  <c r="AI3015" i="7" s="1"/>
  <c r="AH3015" i="7"/>
  <c r="AJ3015" i="7"/>
  <c r="AF3016" i="7"/>
  <c r="AI3016" i="7" s="1"/>
  <c r="AH3016" i="7"/>
  <c r="AJ3016" i="7"/>
  <c r="AF3017" i="7"/>
  <c r="AI3017" i="7" s="1"/>
  <c r="AH3017" i="7"/>
  <c r="AJ3017" i="7"/>
  <c r="AF3018" i="7"/>
  <c r="AI3018" i="7" s="1"/>
  <c r="AH3018" i="7"/>
  <c r="AJ3018" i="7"/>
  <c r="AF3019" i="7"/>
  <c r="AI3019" i="7" s="1"/>
  <c r="AH3019" i="7"/>
  <c r="AJ3019" i="7"/>
  <c r="AF3022" i="7"/>
  <c r="AI3022" i="7" s="1"/>
  <c r="AH3022" i="7"/>
  <c r="AJ3022" i="7"/>
  <c r="AF3023" i="7"/>
  <c r="AI3023" i="7" s="1"/>
  <c r="AH3023" i="7"/>
  <c r="AJ3023" i="7"/>
  <c r="AF3024" i="7"/>
  <c r="AI3024" i="7" s="1"/>
  <c r="AH3024" i="7"/>
  <c r="AJ3024" i="7"/>
  <c r="AF3025" i="7"/>
  <c r="AI3025" i="7" s="1"/>
  <c r="AH3025" i="7"/>
  <c r="AJ3025" i="7"/>
  <c r="AF3026" i="7"/>
  <c r="AI3026" i="7" s="1"/>
  <c r="AH3026" i="7"/>
  <c r="AJ3026" i="7"/>
  <c r="AF3027" i="7"/>
  <c r="AI3027" i="7" s="1"/>
  <c r="AH3027" i="7"/>
  <c r="AJ3027" i="7"/>
  <c r="AF3028" i="7"/>
  <c r="AI3028" i="7" s="1"/>
  <c r="AH3028" i="7"/>
  <c r="AJ3028" i="7"/>
  <c r="AF3031" i="7"/>
  <c r="AI3031" i="7" s="1"/>
  <c r="AH3031" i="7"/>
  <c r="AJ3031" i="7"/>
  <c r="AF3032" i="7"/>
  <c r="AI3032" i="7" s="1"/>
  <c r="AH3032" i="7"/>
  <c r="AJ3032" i="7"/>
  <c r="AF3033" i="7"/>
  <c r="AI3033" i="7" s="1"/>
  <c r="AH3033" i="7"/>
  <c r="AJ3033" i="7"/>
  <c r="AF3034" i="7"/>
  <c r="AI3034" i="7" s="1"/>
  <c r="AH3034" i="7"/>
  <c r="AJ3034" i="7"/>
  <c r="AF3035" i="7"/>
  <c r="AI3035" i="7" s="1"/>
  <c r="AH3035" i="7"/>
  <c r="AJ3035" i="7"/>
  <c r="AF3036" i="7"/>
  <c r="AI3036" i="7" s="1"/>
  <c r="AH3036" i="7"/>
  <c r="AJ3036" i="7"/>
  <c r="AF3037" i="7"/>
  <c r="AI3037" i="7" s="1"/>
  <c r="AH3037" i="7"/>
  <c r="AJ3037" i="7"/>
  <c r="AF3040" i="7"/>
  <c r="AI3040" i="7" s="1"/>
  <c r="AH3040" i="7"/>
  <c r="AJ3040" i="7"/>
  <c r="AF3042" i="7"/>
  <c r="AI3042" i="7" s="1"/>
  <c r="AH3042" i="7"/>
  <c r="AJ3042" i="7"/>
  <c r="AF3043" i="7"/>
  <c r="AI3043" i="7" s="1"/>
  <c r="AH3043" i="7"/>
  <c r="AJ3043" i="7"/>
  <c r="AF3046" i="7"/>
  <c r="AI3046" i="7" s="1"/>
  <c r="AH3046" i="7"/>
  <c r="AJ3046" i="7"/>
  <c r="AF3048" i="7"/>
  <c r="AI3048" i="7" s="1"/>
  <c r="AH3048" i="7"/>
  <c r="AJ3048" i="7"/>
  <c r="AF3049" i="7"/>
  <c r="AI3049" i="7" s="1"/>
  <c r="AH3049" i="7"/>
  <c r="AJ3049" i="7"/>
  <c r="AF3052" i="7"/>
  <c r="AI3052" i="7" s="1"/>
  <c r="AH3052" i="7"/>
  <c r="AF3054" i="7"/>
  <c r="AI3054" i="7" s="1"/>
  <c r="AH3054" i="7"/>
  <c r="AJ3054" i="7"/>
  <c r="AF3055" i="7"/>
  <c r="AI3055" i="7" s="1"/>
  <c r="AH3055" i="7"/>
  <c r="AJ3055" i="7"/>
  <c r="AF3058" i="7"/>
  <c r="AI3058" i="7" s="1"/>
  <c r="AH3058" i="7"/>
  <c r="AJ3058" i="7"/>
  <c r="AF3059" i="7"/>
  <c r="AI3059" i="7" s="1"/>
  <c r="AH3059" i="7"/>
  <c r="AJ3059" i="7"/>
  <c r="AF3060" i="7"/>
  <c r="AI3060" i="7" s="1"/>
  <c r="AH3060" i="7"/>
  <c r="AJ3060" i="7"/>
  <c r="AF3061" i="7"/>
  <c r="AI3061" i="7" s="1"/>
  <c r="AH3061" i="7"/>
  <c r="AJ3061" i="7"/>
  <c r="AF3062" i="7"/>
  <c r="AI3062" i="7" s="1"/>
  <c r="AH3062" i="7"/>
  <c r="AJ3062" i="7"/>
  <c r="AF3063" i="7"/>
  <c r="AI3063" i="7" s="1"/>
  <c r="AH3063" i="7"/>
  <c r="AJ3063" i="7"/>
  <c r="AF3064" i="7"/>
  <c r="AI3064" i="7" s="1"/>
  <c r="AH3064" i="7"/>
  <c r="AJ3064" i="7"/>
  <c r="AF3065" i="7"/>
  <c r="AI3065" i="7" s="1"/>
  <c r="AH3065" i="7"/>
  <c r="AJ3065" i="7"/>
  <c r="AF3066" i="7"/>
  <c r="AI3066" i="7" s="1"/>
  <c r="AH3066" i="7"/>
  <c r="AJ3066" i="7"/>
  <c r="AF3067" i="7"/>
  <c r="AI3067" i="7" s="1"/>
  <c r="AH3067" i="7"/>
  <c r="AJ3067" i="7"/>
  <c r="AF3068" i="7"/>
  <c r="AI3068" i="7" s="1"/>
  <c r="AH3068" i="7"/>
  <c r="AJ3068" i="7"/>
  <c r="AF3069" i="7"/>
  <c r="AI3069" i="7" s="1"/>
  <c r="AH3069" i="7"/>
  <c r="AJ3069" i="7"/>
  <c r="AF3070" i="7"/>
  <c r="AI3070" i="7" s="1"/>
  <c r="AH3070" i="7"/>
  <c r="AJ3070" i="7"/>
  <c r="AF3071" i="7"/>
  <c r="AI3071" i="7" s="1"/>
  <c r="AH3071" i="7"/>
  <c r="AJ3071" i="7"/>
  <c r="AF3072" i="7"/>
  <c r="AI3072" i="7" s="1"/>
  <c r="AH3072" i="7"/>
  <c r="AJ3072" i="7"/>
  <c r="AF3073" i="7"/>
  <c r="AI3073" i="7" s="1"/>
  <c r="AH3073" i="7"/>
  <c r="AJ3073" i="7"/>
  <c r="AF3074" i="7"/>
  <c r="AI3074" i="7" s="1"/>
  <c r="AH3074" i="7"/>
  <c r="AJ3074" i="7"/>
  <c r="AF3075" i="7"/>
  <c r="AI3075" i="7" s="1"/>
  <c r="AH3075" i="7"/>
  <c r="AJ3075" i="7"/>
  <c r="AF3076" i="7"/>
  <c r="AI3076" i="7" s="1"/>
  <c r="AH3076" i="7"/>
  <c r="AJ3076" i="7"/>
  <c r="AF3077" i="7"/>
  <c r="AI3077" i="7" s="1"/>
  <c r="AH3077" i="7"/>
  <c r="AJ3077" i="7"/>
  <c r="AF3078" i="7"/>
  <c r="AI3078" i="7" s="1"/>
  <c r="AH3078" i="7"/>
  <c r="AJ3078" i="7"/>
  <c r="AF3079" i="7"/>
  <c r="AI3079" i="7" s="1"/>
  <c r="AH3079" i="7"/>
  <c r="AJ3079" i="7"/>
  <c r="AF3080" i="7"/>
  <c r="AI3080" i="7" s="1"/>
  <c r="AH3080" i="7"/>
  <c r="AJ3080" i="7"/>
  <c r="AF3081" i="7"/>
  <c r="AI3081" i="7" s="1"/>
  <c r="AH3081" i="7"/>
  <c r="AJ3081" i="7"/>
  <c r="AF3082" i="7"/>
  <c r="AI3082" i="7" s="1"/>
  <c r="AH3082" i="7"/>
  <c r="AJ3082" i="7"/>
  <c r="AF3083" i="7"/>
  <c r="AI3083" i="7" s="1"/>
  <c r="AH3083" i="7"/>
  <c r="AJ3083" i="7"/>
  <c r="AF3084" i="7"/>
  <c r="AI3084" i="7" s="1"/>
  <c r="AH3084" i="7"/>
  <c r="AJ3084" i="7"/>
  <c r="AF3085" i="7"/>
  <c r="AI3085" i="7" s="1"/>
  <c r="AH3085" i="7"/>
  <c r="AJ3085" i="7"/>
  <c r="AF3086" i="7"/>
  <c r="AI3086" i="7" s="1"/>
  <c r="AH3086" i="7"/>
  <c r="AJ3086" i="7"/>
  <c r="AF3087" i="7"/>
  <c r="AI3087" i="7" s="1"/>
  <c r="AH3087" i="7"/>
  <c r="AJ3087" i="7"/>
  <c r="AF3088" i="7"/>
  <c r="AI3088" i="7" s="1"/>
  <c r="AH3088" i="7"/>
  <c r="AJ3088" i="7"/>
  <c r="AF3089" i="7"/>
  <c r="AI3089" i="7" s="1"/>
  <c r="AH3089" i="7"/>
  <c r="AJ3089" i="7"/>
  <c r="AF3090" i="7"/>
  <c r="AI3090" i="7" s="1"/>
  <c r="AH3090" i="7"/>
  <c r="AJ3090" i="7"/>
  <c r="AF3091" i="7"/>
  <c r="AI3091" i="7" s="1"/>
  <c r="AH3091" i="7"/>
  <c r="AJ3091" i="7"/>
  <c r="AF3092" i="7"/>
  <c r="AI3092" i="7" s="1"/>
  <c r="AH3092" i="7"/>
  <c r="AJ3092" i="7"/>
  <c r="AF3093" i="7"/>
  <c r="AI3093" i="7" s="1"/>
  <c r="AH3093" i="7"/>
  <c r="AJ3093" i="7"/>
  <c r="AF3094" i="7"/>
  <c r="AI3094" i="7" s="1"/>
  <c r="AH3094" i="7"/>
  <c r="AJ3094" i="7"/>
  <c r="AF3095" i="7"/>
  <c r="AI3095" i="7" s="1"/>
  <c r="AH3095" i="7"/>
  <c r="AJ3095" i="7"/>
  <c r="AF3096" i="7"/>
  <c r="AI3096" i="7" s="1"/>
  <c r="AH3096" i="7"/>
  <c r="AJ3096" i="7"/>
  <c r="AF3097" i="7"/>
  <c r="AI3097" i="7" s="1"/>
  <c r="AH3097" i="7"/>
  <c r="AJ3097" i="7"/>
  <c r="AF3098" i="7"/>
  <c r="AI3098" i="7" s="1"/>
  <c r="AH3098" i="7"/>
  <c r="AJ3098" i="7"/>
  <c r="AF3099" i="7"/>
  <c r="AI3099" i="7" s="1"/>
  <c r="AH3099" i="7"/>
  <c r="AJ3099" i="7"/>
  <c r="AF3100" i="7"/>
  <c r="AI3100" i="7" s="1"/>
  <c r="AH3100" i="7"/>
  <c r="AJ3100" i="7"/>
  <c r="AF3101" i="7"/>
  <c r="AI3101" i="7" s="1"/>
  <c r="AH3101" i="7"/>
  <c r="AJ3101" i="7"/>
  <c r="AF3102" i="7"/>
  <c r="AI3102" i="7" s="1"/>
  <c r="AH3102" i="7"/>
  <c r="AJ3102" i="7"/>
  <c r="AF3103" i="7"/>
  <c r="AI3103" i="7" s="1"/>
  <c r="AH3103" i="7"/>
  <c r="AJ3103" i="7"/>
  <c r="AF3104" i="7"/>
  <c r="AI3104" i="7" s="1"/>
  <c r="AH3104" i="7"/>
  <c r="AJ3104" i="7"/>
  <c r="AF3105" i="7"/>
  <c r="AI3105" i="7" s="1"/>
  <c r="AH3105" i="7"/>
  <c r="AJ3105" i="7"/>
  <c r="AF3106" i="7"/>
  <c r="AI3106" i="7" s="1"/>
  <c r="AH3106" i="7"/>
  <c r="AJ3106" i="7"/>
  <c r="AF3107" i="7"/>
  <c r="AI3107" i="7" s="1"/>
  <c r="AH3107" i="7"/>
  <c r="AJ3107" i="7"/>
  <c r="AF3108" i="7"/>
  <c r="AI3108" i="7" s="1"/>
  <c r="AH3108" i="7"/>
  <c r="AJ3108" i="7"/>
  <c r="AF3109" i="7"/>
  <c r="AI3109" i="7" s="1"/>
  <c r="AH3109" i="7"/>
  <c r="AJ3109" i="7"/>
  <c r="AF3110" i="7"/>
  <c r="AI3110" i="7" s="1"/>
  <c r="AH3110" i="7"/>
  <c r="AJ3110" i="7"/>
  <c r="AF3111" i="7"/>
  <c r="AI3111" i="7" s="1"/>
  <c r="AH3111" i="7"/>
  <c r="AJ3111" i="7"/>
  <c r="AF3112" i="7"/>
  <c r="AI3112" i="7" s="1"/>
  <c r="AH3112" i="7"/>
  <c r="AJ3112" i="7"/>
  <c r="AF3113" i="7"/>
  <c r="AI3113" i="7" s="1"/>
  <c r="AH3113" i="7"/>
  <c r="AJ3113" i="7"/>
  <c r="AF3114" i="7"/>
  <c r="AI3114" i="7" s="1"/>
  <c r="AH3114" i="7"/>
  <c r="AJ3114" i="7"/>
  <c r="AF3115" i="7"/>
  <c r="AI3115" i="7" s="1"/>
  <c r="AH3115" i="7"/>
  <c r="AJ3115" i="7"/>
  <c r="AF3116" i="7"/>
  <c r="AI3116" i="7" s="1"/>
  <c r="AH3116" i="7"/>
  <c r="AJ3116" i="7"/>
  <c r="AF3117" i="7"/>
  <c r="AI3117" i="7" s="1"/>
  <c r="AH3117" i="7"/>
  <c r="AJ3117" i="7"/>
  <c r="AF3118" i="7"/>
  <c r="AI3118" i="7" s="1"/>
  <c r="AH3118" i="7"/>
  <c r="AJ3118" i="7"/>
  <c r="AF3119" i="7"/>
  <c r="AI3119" i="7" s="1"/>
  <c r="AH3119" i="7"/>
  <c r="AJ3119" i="7"/>
  <c r="AF3120" i="7"/>
  <c r="AI3120" i="7" s="1"/>
  <c r="AH3120" i="7"/>
  <c r="AJ3120" i="7"/>
  <c r="AF3121" i="7"/>
  <c r="AI3121" i="7" s="1"/>
  <c r="AH3121" i="7"/>
  <c r="AJ3121" i="7"/>
  <c r="AF3122" i="7"/>
  <c r="AI3122" i="7" s="1"/>
  <c r="AH3122" i="7"/>
  <c r="AJ3122" i="7"/>
  <c r="AF3123" i="7"/>
  <c r="AI3123" i="7" s="1"/>
  <c r="AH3123" i="7"/>
  <c r="AJ3123" i="7"/>
  <c r="AF3124" i="7"/>
  <c r="AI3124" i="7" s="1"/>
  <c r="AH3124" i="7"/>
  <c r="AJ3124" i="7"/>
  <c r="AF3125" i="7"/>
  <c r="AI3125" i="7" s="1"/>
  <c r="AH3125" i="7"/>
  <c r="AJ3125" i="7"/>
  <c r="AF3126" i="7"/>
  <c r="AI3126" i="7" s="1"/>
  <c r="AH3126" i="7"/>
  <c r="AJ3126" i="7"/>
  <c r="AF3127" i="7"/>
  <c r="AI3127" i="7" s="1"/>
  <c r="AH3127" i="7"/>
  <c r="AJ3127" i="7"/>
  <c r="AF3128" i="7"/>
  <c r="AI3128" i="7" s="1"/>
  <c r="AH3128" i="7"/>
  <c r="AJ3128" i="7"/>
  <c r="AF3129" i="7"/>
  <c r="AI3129" i="7" s="1"/>
  <c r="AH3129" i="7"/>
  <c r="AJ3129" i="7"/>
  <c r="AF3130" i="7"/>
  <c r="AI3130" i="7" s="1"/>
  <c r="AH3130" i="7"/>
  <c r="AJ3130" i="7"/>
  <c r="AF3131" i="7"/>
  <c r="AI3131" i="7" s="1"/>
  <c r="AH3131" i="7"/>
  <c r="AJ3131" i="7"/>
  <c r="AF3132" i="7"/>
  <c r="AI3132" i="7" s="1"/>
  <c r="AH3132" i="7"/>
  <c r="AJ3132" i="7"/>
  <c r="AF3133" i="7"/>
  <c r="AI3133" i="7" s="1"/>
  <c r="AH3133" i="7"/>
  <c r="AJ3133" i="7"/>
  <c r="AF3134" i="7"/>
  <c r="AI3134" i="7" s="1"/>
  <c r="AH3134" i="7"/>
  <c r="AJ3134" i="7"/>
  <c r="AF3135" i="7"/>
  <c r="AI3135" i="7" s="1"/>
  <c r="AH3135" i="7"/>
  <c r="AJ3135" i="7"/>
  <c r="AF3136" i="7"/>
  <c r="AI3136" i="7" s="1"/>
  <c r="AH3136" i="7"/>
  <c r="AJ3136" i="7"/>
  <c r="AF3137" i="7"/>
  <c r="AI3137" i="7" s="1"/>
  <c r="AH3137" i="7"/>
  <c r="AJ3137" i="7"/>
  <c r="AF3138" i="7"/>
  <c r="AI3138" i="7" s="1"/>
  <c r="AH3138" i="7"/>
  <c r="AJ3138" i="7"/>
  <c r="AF3139" i="7"/>
  <c r="AI3139" i="7" s="1"/>
  <c r="AH3139" i="7"/>
  <c r="AJ3139" i="7"/>
  <c r="AF3140" i="7"/>
  <c r="AI3140" i="7" s="1"/>
  <c r="AH3140" i="7"/>
  <c r="AJ3140" i="7"/>
  <c r="AF3141" i="7"/>
  <c r="AI3141" i="7" s="1"/>
  <c r="AH3141" i="7"/>
  <c r="AJ3141" i="7"/>
  <c r="AF3142" i="7"/>
  <c r="AI3142" i="7" s="1"/>
  <c r="AH3142" i="7"/>
  <c r="AJ3142" i="7"/>
  <c r="AF3143" i="7"/>
  <c r="AI3143" i="7" s="1"/>
  <c r="AH3143" i="7"/>
  <c r="AJ3143" i="7"/>
  <c r="AF3144" i="7"/>
  <c r="AI3144" i="7" s="1"/>
  <c r="AH3144" i="7"/>
  <c r="AJ3144" i="7"/>
  <c r="AF3145" i="7"/>
  <c r="AI3145" i="7" s="1"/>
  <c r="AH3145" i="7"/>
  <c r="AJ3145" i="7"/>
  <c r="AF3146" i="7"/>
  <c r="AI3146" i="7" s="1"/>
  <c r="AH3146" i="7"/>
  <c r="AJ3146" i="7"/>
  <c r="AF3147" i="7"/>
  <c r="AI3147" i="7" s="1"/>
  <c r="AH3147" i="7"/>
  <c r="AJ3147" i="7"/>
  <c r="AF3148" i="7"/>
  <c r="AI3148" i="7" s="1"/>
  <c r="AH3148" i="7"/>
  <c r="AJ3148" i="7"/>
  <c r="AF3149" i="7"/>
  <c r="AI3149" i="7" s="1"/>
  <c r="AH3149" i="7"/>
  <c r="AJ3149" i="7"/>
  <c r="AF3150" i="7"/>
  <c r="AI3150" i="7" s="1"/>
  <c r="AH3150" i="7"/>
  <c r="AJ3150" i="7"/>
  <c r="AF3151" i="7"/>
  <c r="AI3151" i="7" s="1"/>
  <c r="AH3151" i="7"/>
  <c r="AJ3151" i="7"/>
  <c r="AF3152" i="7"/>
  <c r="AI3152" i="7" s="1"/>
  <c r="AH3152" i="7"/>
  <c r="AJ3152" i="7"/>
  <c r="AF3153" i="7"/>
  <c r="AI3153" i="7" s="1"/>
  <c r="AH3153" i="7"/>
  <c r="AJ3153" i="7"/>
  <c r="AF3154" i="7"/>
  <c r="AI3154" i="7" s="1"/>
  <c r="AH3154" i="7"/>
  <c r="AJ3154" i="7"/>
  <c r="AF3155" i="7"/>
  <c r="AI3155" i="7" s="1"/>
  <c r="AH3155" i="7"/>
  <c r="AJ3155" i="7"/>
  <c r="AF3156" i="7"/>
  <c r="AI3156" i="7" s="1"/>
  <c r="AH3156" i="7"/>
  <c r="AJ3156" i="7"/>
  <c r="AF3157" i="7"/>
  <c r="AI3157" i="7" s="1"/>
  <c r="AH3157" i="7"/>
  <c r="AJ3157" i="7"/>
  <c r="AF3158" i="7"/>
  <c r="AI3158" i="7" s="1"/>
  <c r="AH3158" i="7"/>
  <c r="AJ3158" i="7"/>
  <c r="AF3159" i="7"/>
  <c r="AI3159" i="7" s="1"/>
  <c r="AH3159" i="7"/>
  <c r="AJ3159" i="7"/>
  <c r="AF3160" i="7"/>
  <c r="AI3160" i="7" s="1"/>
  <c r="AH3160" i="7"/>
  <c r="AJ3160" i="7"/>
  <c r="AF3161" i="7"/>
  <c r="AI3161" i="7" s="1"/>
  <c r="AH3161" i="7"/>
  <c r="AJ3161" i="7"/>
  <c r="AF3162" i="7"/>
  <c r="AI3162" i="7" s="1"/>
  <c r="AH3162" i="7"/>
  <c r="AJ3162" i="7"/>
  <c r="AF3163" i="7"/>
  <c r="AI3163" i="7" s="1"/>
  <c r="AH3163" i="7"/>
  <c r="AJ3163" i="7"/>
  <c r="AF3164" i="7"/>
  <c r="AI3164" i="7" s="1"/>
  <c r="AH3164" i="7"/>
  <c r="AJ3164" i="7"/>
  <c r="AF3165" i="7"/>
  <c r="AI3165" i="7" s="1"/>
  <c r="AH3165" i="7"/>
  <c r="AJ3165" i="7"/>
  <c r="AF3166" i="7"/>
  <c r="AI3166" i="7" s="1"/>
  <c r="AH3166" i="7"/>
  <c r="AJ3166" i="7"/>
  <c r="AF3167" i="7"/>
  <c r="AI3167" i="7" s="1"/>
  <c r="AH3167" i="7"/>
  <c r="AJ3167" i="7"/>
  <c r="AF3170" i="7"/>
  <c r="AI3170" i="7" s="1"/>
  <c r="AH3170" i="7"/>
  <c r="AJ3170" i="7"/>
  <c r="AF3171" i="7"/>
  <c r="AI3171" i="7" s="1"/>
  <c r="AH3171" i="7"/>
  <c r="AJ3171" i="7"/>
  <c r="AF3172" i="7"/>
  <c r="AI3172" i="7" s="1"/>
  <c r="AH3172" i="7"/>
  <c r="AJ3172" i="7"/>
  <c r="AF3173" i="7"/>
  <c r="AI3173" i="7" s="1"/>
  <c r="AH3173" i="7"/>
  <c r="AJ3173" i="7"/>
  <c r="AF3174" i="7"/>
  <c r="AI3174" i="7" s="1"/>
  <c r="AH3174" i="7"/>
  <c r="AJ3174" i="7"/>
  <c r="AF3175" i="7"/>
  <c r="AI3175" i="7" s="1"/>
  <c r="AH3175" i="7"/>
  <c r="AJ3175" i="7"/>
  <c r="AF3176" i="7"/>
  <c r="AI3176" i="7" s="1"/>
  <c r="AH3176" i="7"/>
  <c r="AJ3176" i="7"/>
  <c r="AF3177" i="7"/>
  <c r="AI3177" i="7" s="1"/>
  <c r="AH3177" i="7"/>
  <c r="AJ3177" i="7"/>
  <c r="AF3178" i="7"/>
  <c r="AI3178" i="7" s="1"/>
  <c r="AH3178" i="7"/>
  <c r="AJ3178" i="7"/>
  <c r="AF3179" i="7"/>
  <c r="AI3179" i="7" s="1"/>
  <c r="AH3179" i="7"/>
  <c r="AJ3179" i="7"/>
  <c r="AF3180" i="7"/>
  <c r="AI3180" i="7" s="1"/>
  <c r="AH3180" i="7"/>
  <c r="AJ3180" i="7"/>
  <c r="AF3181" i="7"/>
  <c r="AI3181" i="7" s="1"/>
  <c r="AH3181" i="7"/>
  <c r="AJ3181" i="7"/>
  <c r="AF3182" i="7"/>
  <c r="AI3182" i="7" s="1"/>
  <c r="AH3182" i="7"/>
  <c r="AJ3182" i="7"/>
  <c r="AF3183" i="7"/>
  <c r="AI3183" i="7" s="1"/>
  <c r="AH3183" i="7"/>
  <c r="AJ3183" i="7"/>
  <c r="AF3184" i="7"/>
  <c r="AI3184" i="7" s="1"/>
  <c r="AH3184" i="7"/>
  <c r="AJ3184" i="7"/>
  <c r="AF3185" i="7"/>
  <c r="AI3185" i="7" s="1"/>
  <c r="AH3185" i="7"/>
  <c r="AJ3185" i="7"/>
  <c r="AF3186" i="7"/>
  <c r="AI3186" i="7" s="1"/>
  <c r="AH3186" i="7"/>
  <c r="AJ3186" i="7"/>
  <c r="AF3187" i="7"/>
  <c r="AI3187" i="7" s="1"/>
  <c r="AH3187" i="7"/>
  <c r="AJ3187" i="7"/>
  <c r="AF3188" i="7"/>
  <c r="AI3188" i="7" s="1"/>
  <c r="AH3188" i="7"/>
  <c r="AJ3188" i="7"/>
  <c r="AF3189" i="7"/>
  <c r="AI3189" i="7" s="1"/>
  <c r="AH3189" i="7"/>
  <c r="AJ3189" i="7"/>
  <c r="AF3190" i="7"/>
  <c r="AI3190" i="7" s="1"/>
  <c r="AH3190" i="7"/>
  <c r="AJ3190" i="7"/>
  <c r="AF3191" i="7"/>
  <c r="AI3191" i="7" s="1"/>
  <c r="AH3191" i="7"/>
  <c r="AJ3191" i="7"/>
  <c r="AF3192" i="7"/>
  <c r="AI3192" i="7" s="1"/>
  <c r="AH3192" i="7"/>
  <c r="AJ3192" i="7"/>
  <c r="AF3193" i="7"/>
  <c r="AI3193" i="7" s="1"/>
  <c r="AH3193" i="7"/>
  <c r="AJ3193" i="7"/>
  <c r="AF3194" i="7"/>
  <c r="AI3194" i="7" s="1"/>
  <c r="AH3194" i="7"/>
  <c r="AJ3194" i="7"/>
  <c r="AF3195" i="7"/>
  <c r="AI3195" i="7" s="1"/>
  <c r="AH3195" i="7"/>
  <c r="AJ3195" i="7"/>
  <c r="AF3196" i="7"/>
  <c r="AI3196" i="7" s="1"/>
  <c r="AH3196" i="7"/>
  <c r="AJ3196" i="7"/>
  <c r="AF3197" i="7"/>
  <c r="AI3197" i="7" s="1"/>
  <c r="AH3197" i="7"/>
  <c r="AJ3197" i="7"/>
  <c r="AF3198" i="7"/>
  <c r="AI3198" i="7" s="1"/>
  <c r="AH3198" i="7"/>
  <c r="AJ3198" i="7"/>
  <c r="AF3199" i="7"/>
  <c r="AI3199" i="7" s="1"/>
  <c r="AH3199" i="7"/>
  <c r="AJ3199" i="7"/>
  <c r="AF3200" i="7"/>
  <c r="AI3200" i="7" s="1"/>
  <c r="AH3200" i="7"/>
  <c r="AJ3200" i="7"/>
  <c r="AF3201" i="7"/>
  <c r="AI3201" i="7" s="1"/>
  <c r="AH3201" i="7"/>
  <c r="AJ3201" i="7"/>
  <c r="AF3202" i="7"/>
  <c r="AI3202" i="7" s="1"/>
  <c r="AH3202" i="7"/>
  <c r="AJ3202" i="7"/>
  <c r="AF3203" i="7"/>
  <c r="AI3203" i="7" s="1"/>
  <c r="AH3203" i="7"/>
  <c r="AJ3203" i="7"/>
  <c r="AF3204" i="7"/>
  <c r="AI3204" i="7" s="1"/>
  <c r="AH3204" i="7"/>
  <c r="AJ3204" i="7"/>
  <c r="AF3205" i="7"/>
  <c r="AI3205" i="7" s="1"/>
  <c r="AH3205" i="7"/>
  <c r="AJ3205" i="7"/>
  <c r="AF3206" i="7"/>
  <c r="AI3206" i="7" s="1"/>
  <c r="AH3206" i="7"/>
  <c r="AJ3206" i="7"/>
  <c r="AF3207" i="7"/>
  <c r="AI3207" i="7" s="1"/>
  <c r="AH3207" i="7"/>
  <c r="AJ3207" i="7"/>
  <c r="AF3208" i="7"/>
  <c r="AI3208" i="7" s="1"/>
  <c r="AH3208" i="7"/>
  <c r="AJ3208" i="7"/>
  <c r="AF3209" i="7"/>
  <c r="AI3209" i="7" s="1"/>
  <c r="AH3209" i="7"/>
  <c r="AJ3209" i="7"/>
  <c r="AF3210" i="7"/>
  <c r="AI3210" i="7" s="1"/>
  <c r="AH3210" i="7"/>
  <c r="AJ3210" i="7"/>
  <c r="AF3211" i="7"/>
  <c r="AI3211" i="7" s="1"/>
  <c r="AH3211" i="7"/>
  <c r="AJ3211" i="7"/>
  <c r="AF3212" i="7"/>
  <c r="AI3212" i="7" s="1"/>
  <c r="AH3212" i="7"/>
  <c r="AJ3212" i="7"/>
  <c r="AF3213" i="7"/>
  <c r="AI3213" i="7" s="1"/>
  <c r="AH3213" i="7"/>
  <c r="AJ3213" i="7"/>
  <c r="AF3214" i="7"/>
  <c r="AI3214" i="7" s="1"/>
  <c r="AH3214" i="7"/>
  <c r="AJ3214" i="7"/>
  <c r="AF3215" i="7"/>
  <c r="AI3215" i="7" s="1"/>
  <c r="AH3215" i="7"/>
  <c r="AJ3215" i="7"/>
  <c r="AF3216" i="7"/>
  <c r="AI3216" i="7" s="1"/>
  <c r="AH3216" i="7"/>
  <c r="AJ3216" i="7"/>
  <c r="AF3217" i="7"/>
  <c r="AI3217" i="7" s="1"/>
  <c r="AH3217" i="7"/>
  <c r="AJ3217" i="7"/>
  <c r="AF3218" i="7"/>
  <c r="AI3218" i="7" s="1"/>
  <c r="AH3218" i="7"/>
  <c r="AJ3218" i="7"/>
  <c r="AF3219" i="7"/>
  <c r="AI3219" i="7" s="1"/>
  <c r="AH3219" i="7"/>
  <c r="AJ3219" i="7"/>
  <c r="AF3220" i="7"/>
  <c r="AI3220" i="7" s="1"/>
  <c r="AH3220" i="7"/>
  <c r="AJ3220" i="7"/>
  <c r="AF3221" i="7"/>
  <c r="AI3221" i="7" s="1"/>
  <c r="AH3221" i="7"/>
  <c r="AJ3221" i="7"/>
  <c r="AF3222" i="7"/>
  <c r="AI3222" i="7" s="1"/>
  <c r="AH3222" i="7"/>
  <c r="AJ3222" i="7"/>
  <c r="AF3223" i="7"/>
  <c r="AI3223" i="7" s="1"/>
  <c r="AH3223" i="7"/>
  <c r="AJ3223" i="7"/>
  <c r="AF3224" i="7"/>
  <c r="AI3224" i="7" s="1"/>
  <c r="AH3224" i="7"/>
  <c r="AJ3224" i="7"/>
  <c r="AF3225" i="7"/>
  <c r="AI3225" i="7" s="1"/>
  <c r="AH3225" i="7"/>
  <c r="AJ3225" i="7"/>
  <c r="AF3226" i="7"/>
  <c r="AI3226" i="7" s="1"/>
  <c r="AH3226" i="7"/>
  <c r="AJ3226" i="7"/>
  <c r="AF3227" i="7"/>
  <c r="AI3227" i="7" s="1"/>
  <c r="AH3227" i="7"/>
  <c r="AJ3227" i="7"/>
  <c r="AF3228" i="7"/>
  <c r="AI3228" i="7" s="1"/>
  <c r="AH3228" i="7"/>
  <c r="AJ3228" i="7"/>
  <c r="AF3229" i="7"/>
  <c r="AI3229" i="7" s="1"/>
  <c r="AH3229" i="7"/>
  <c r="AJ3229" i="7"/>
  <c r="AF3230" i="7"/>
  <c r="AI3230" i="7" s="1"/>
  <c r="AH3230" i="7"/>
  <c r="AJ3230" i="7"/>
  <c r="AF3231" i="7"/>
  <c r="AI3231" i="7" s="1"/>
  <c r="AH3231" i="7"/>
  <c r="AJ3231" i="7"/>
  <c r="AF3232" i="7"/>
  <c r="AI3232" i="7" s="1"/>
  <c r="AH3232" i="7"/>
  <c r="AJ3232" i="7"/>
  <c r="AF3233" i="7"/>
  <c r="AI3233" i="7" s="1"/>
  <c r="AH3233" i="7"/>
  <c r="AJ3233" i="7"/>
  <c r="AF3234" i="7"/>
  <c r="AI3234" i="7" s="1"/>
  <c r="AH3234" i="7"/>
  <c r="AJ3234" i="7"/>
  <c r="AF3235" i="7"/>
  <c r="AI3235" i="7" s="1"/>
  <c r="AH3235" i="7"/>
  <c r="AJ3235" i="7"/>
  <c r="AF3236" i="7"/>
  <c r="AI3236" i="7" s="1"/>
  <c r="AH3236" i="7"/>
  <c r="AJ3236" i="7"/>
  <c r="AF3237" i="7"/>
  <c r="AI3237" i="7" s="1"/>
  <c r="AH3237" i="7"/>
  <c r="AJ3237" i="7"/>
  <c r="AF3238" i="7"/>
  <c r="AI3238" i="7" s="1"/>
  <c r="AH3238" i="7"/>
  <c r="AJ3238" i="7"/>
  <c r="AF3239" i="7"/>
  <c r="AI3239" i="7" s="1"/>
  <c r="AH3239" i="7"/>
  <c r="AJ3239" i="7"/>
  <c r="AF3240" i="7"/>
  <c r="AI3240" i="7" s="1"/>
  <c r="AH3240" i="7"/>
  <c r="AJ3240" i="7"/>
  <c r="AF3241" i="7"/>
  <c r="AI3241" i="7" s="1"/>
  <c r="AH3241" i="7"/>
  <c r="AJ3241" i="7"/>
  <c r="AF3242" i="7"/>
  <c r="AI3242" i="7" s="1"/>
  <c r="AH3242" i="7"/>
  <c r="AJ3242" i="7"/>
  <c r="AF3243" i="7"/>
  <c r="AI3243" i="7" s="1"/>
  <c r="AH3243" i="7"/>
  <c r="AJ3243" i="7"/>
  <c r="AF3244" i="7"/>
  <c r="AI3244" i="7" s="1"/>
  <c r="AH3244" i="7"/>
  <c r="AJ3244" i="7"/>
  <c r="AF3245" i="7"/>
  <c r="AI3245" i="7" s="1"/>
  <c r="AH3245" i="7"/>
  <c r="AJ3245" i="7"/>
  <c r="AF3246" i="7"/>
  <c r="AI3246" i="7" s="1"/>
  <c r="AH3246" i="7"/>
  <c r="AJ3246" i="7"/>
  <c r="AF3247" i="7"/>
  <c r="AI3247" i="7" s="1"/>
  <c r="AH3247" i="7"/>
  <c r="AJ3247" i="7"/>
  <c r="AF3248" i="7"/>
  <c r="AI3248" i="7" s="1"/>
  <c r="AH3248" i="7"/>
  <c r="AJ3248" i="7"/>
  <c r="AF3249" i="7"/>
  <c r="AI3249" i="7" s="1"/>
  <c r="AH3249" i="7"/>
  <c r="AJ3249" i="7"/>
  <c r="AF3250" i="7"/>
  <c r="AI3250" i="7" s="1"/>
  <c r="AH3250" i="7"/>
  <c r="AJ3250" i="7"/>
  <c r="AF3251" i="7"/>
  <c r="AI3251" i="7" s="1"/>
  <c r="AH3251" i="7"/>
  <c r="AJ3251" i="7"/>
  <c r="AF3252" i="7"/>
  <c r="AI3252" i="7" s="1"/>
  <c r="AH3252" i="7"/>
  <c r="AJ3252" i="7"/>
  <c r="AF3253" i="7"/>
  <c r="AI3253" i="7" s="1"/>
  <c r="AH3253" i="7"/>
  <c r="AJ3253" i="7"/>
  <c r="AF3254" i="7"/>
  <c r="AI3254" i="7" s="1"/>
  <c r="AH3254" i="7"/>
  <c r="AJ3254" i="7"/>
  <c r="AF3255" i="7"/>
  <c r="AI3255" i="7" s="1"/>
  <c r="AH3255" i="7"/>
  <c r="AJ3255" i="7"/>
  <c r="AF3256" i="7"/>
  <c r="AI3256" i="7" s="1"/>
  <c r="AH3256" i="7"/>
  <c r="AJ3256" i="7"/>
  <c r="AF3257" i="7"/>
  <c r="AI3257" i="7" s="1"/>
  <c r="AH3257" i="7"/>
  <c r="AJ3257" i="7"/>
  <c r="AF3258" i="7"/>
  <c r="AI3258" i="7" s="1"/>
  <c r="AH3258" i="7"/>
  <c r="AJ3258" i="7"/>
  <c r="AF3259" i="7"/>
  <c r="AI3259" i="7" s="1"/>
  <c r="AH3259" i="7"/>
  <c r="AJ3259" i="7"/>
  <c r="AF3260" i="7"/>
  <c r="AI3260" i="7" s="1"/>
  <c r="AH3260" i="7"/>
  <c r="AJ3260" i="7"/>
  <c r="AF3261" i="7"/>
  <c r="AI3261" i="7" s="1"/>
  <c r="AH3261" i="7"/>
  <c r="AJ3261" i="7"/>
  <c r="AF3262" i="7"/>
  <c r="AI3262" i="7" s="1"/>
  <c r="AH3262" i="7"/>
  <c r="AJ3262" i="7"/>
  <c r="AF3265" i="7"/>
  <c r="AI3265" i="7" s="1"/>
  <c r="AH3265" i="7"/>
  <c r="AJ3265" i="7"/>
  <c r="AF3266" i="7"/>
  <c r="AI3266" i="7" s="1"/>
  <c r="AH3266" i="7"/>
  <c r="AJ3266" i="7"/>
  <c r="AF3267" i="7"/>
  <c r="AI3267" i="7" s="1"/>
  <c r="AH3267" i="7"/>
  <c r="AJ3267" i="7"/>
  <c r="AF3268" i="7"/>
  <c r="AI3268" i="7" s="1"/>
  <c r="AH3268" i="7"/>
  <c r="AJ3268" i="7"/>
  <c r="AF3269" i="7"/>
  <c r="AI3269" i="7" s="1"/>
  <c r="AH3269" i="7"/>
  <c r="AJ3269" i="7"/>
  <c r="AF3270" i="7"/>
  <c r="AI3270" i="7" s="1"/>
  <c r="AH3270" i="7"/>
  <c r="AJ3270" i="7"/>
  <c r="AF3271" i="7"/>
  <c r="AI3271" i="7" s="1"/>
  <c r="AH3271" i="7"/>
  <c r="AJ3271" i="7"/>
  <c r="AF3272" i="7"/>
  <c r="AI3272" i="7" s="1"/>
  <c r="AH3272" i="7"/>
  <c r="AJ3272" i="7"/>
  <c r="AF3273" i="7"/>
  <c r="AI3273" i="7" s="1"/>
  <c r="AH3273" i="7"/>
  <c r="AJ3273" i="7"/>
  <c r="AF3274" i="7"/>
  <c r="AI3274" i="7" s="1"/>
  <c r="AH3274" i="7"/>
  <c r="AJ3274" i="7"/>
  <c r="AF3275" i="7"/>
  <c r="AI3275" i="7" s="1"/>
  <c r="AH3275" i="7"/>
  <c r="AJ3275" i="7"/>
  <c r="AF3276" i="7"/>
  <c r="AI3276" i="7" s="1"/>
  <c r="AH3276" i="7"/>
  <c r="AJ3276" i="7"/>
  <c r="AF3277" i="7"/>
  <c r="AI3277" i="7" s="1"/>
  <c r="AH3277" i="7"/>
  <c r="AJ3277" i="7"/>
  <c r="AF3278" i="7"/>
  <c r="AI3278" i="7" s="1"/>
  <c r="AH3278" i="7"/>
  <c r="AJ3278" i="7"/>
  <c r="AF3279" i="7"/>
  <c r="AI3279" i="7" s="1"/>
  <c r="AH3279" i="7"/>
  <c r="AJ3279" i="7"/>
  <c r="AF3280" i="7"/>
  <c r="AI3280" i="7" s="1"/>
  <c r="AH3280" i="7"/>
  <c r="AJ3280" i="7"/>
  <c r="AF3281" i="7"/>
  <c r="AI3281" i="7" s="1"/>
  <c r="AH3281" i="7"/>
  <c r="AJ3281" i="7"/>
  <c r="AF3282" i="7"/>
  <c r="AI3282" i="7" s="1"/>
  <c r="AH3282" i="7"/>
  <c r="AJ3282" i="7"/>
  <c r="AF3283" i="7"/>
  <c r="AI3283" i="7" s="1"/>
  <c r="AH3283" i="7"/>
  <c r="AJ3283" i="7"/>
  <c r="AF3284" i="7"/>
  <c r="AI3284" i="7" s="1"/>
  <c r="AH3284" i="7"/>
  <c r="AJ3284" i="7"/>
  <c r="AF3285" i="7"/>
  <c r="AI3285" i="7" s="1"/>
  <c r="AH3285" i="7"/>
  <c r="AJ3285" i="7"/>
  <c r="AF3286" i="7"/>
  <c r="AI3286" i="7" s="1"/>
  <c r="AH3286" i="7"/>
  <c r="AJ3286" i="7"/>
  <c r="AF3287" i="7"/>
  <c r="AI3287" i="7" s="1"/>
  <c r="AH3287" i="7"/>
  <c r="AJ3287" i="7"/>
  <c r="AF3288" i="7"/>
  <c r="AI3288" i="7" s="1"/>
  <c r="AH3288" i="7"/>
  <c r="AJ3288" i="7"/>
  <c r="AF3289" i="7"/>
  <c r="AI3289" i="7" s="1"/>
  <c r="AH3289" i="7"/>
  <c r="AJ3289" i="7"/>
  <c r="AF3290" i="7"/>
  <c r="AI3290" i="7" s="1"/>
  <c r="AH3290" i="7"/>
  <c r="AJ3290" i="7"/>
  <c r="AF3291" i="7"/>
  <c r="AI3291" i="7" s="1"/>
  <c r="AH3291" i="7"/>
  <c r="AJ3291" i="7"/>
  <c r="AF3292" i="7"/>
  <c r="AI3292" i="7" s="1"/>
  <c r="AH3292" i="7"/>
  <c r="AJ3292" i="7"/>
  <c r="AF3293" i="7"/>
  <c r="AI3293" i="7" s="1"/>
  <c r="AH3293" i="7"/>
  <c r="AJ3293" i="7"/>
  <c r="AF3294" i="7"/>
  <c r="AI3294" i="7" s="1"/>
  <c r="AH3294" i="7"/>
  <c r="AJ3294" i="7"/>
  <c r="AF3295" i="7"/>
  <c r="AI3295" i="7" s="1"/>
  <c r="AH3295" i="7"/>
  <c r="AJ3295" i="7"/>
  <c r="AF3296" i="7"/>
  <c r="AI3296" i="7" s="1"/>
  <c r="AH3296" i="7"/>
  <c r="AJ3296" i="7"/>
  <c r="AF3297" i="7"/>
  <c r="AI3297" i="7" s="1"/>
  <c r="AH3297" i="7"/>
  <c r="AJ3297" i="7"/>
  <c r="AF3298" i="7"/>
  <c r="AI3298" i="7" s="1"/>
  <c r="AH3298" i="7"/>
  <c r="AJ3298" i="7"/>
  <c r="AF3299" i="7"/>
  <c r="AI3299" i="7" s="1"/>
  <c r="AH3299" i="7"/>
  <c r="AJ3299" i="7"/>
  <c r="AF3300" i="7"/>
  <c r="AI3300" i="7" s="1"/>
  <c r="AH3300" i="7"/>
  <c r="AJ3300" i="7"/>
  <c r="AF3301" i="7"/>
  <c r="AI3301" i="7" s="1"/>
  <c r="AH3301" i="7"/>
  <c r="AJ3301" i="7"/>
  <c r="AF3302" i="7"/>
  <c r="AI3302" i="7" s="1"/>
  <c r="AH3302" i="7"/>
  <c r="AJ3302" i="7"/>
  <c r="AF3303" i="7"/>
  <c r="AI3303" i="7" s="1"/>
  <c r="AH3303" i="7"/>
  <c r="AJ3303" i="7"/>
  <c r="AF3304" i="7"/>
  <c r="AI3304" i="7" s="1"/>
  <c r="AH3304" i="7"/>
  <c r="AJ3304" i="7"/>
  <c r="AF3305" i="7"/>
  <c r="AI3305" i="7" s="1"/>
  <c r="AH3305" i="7"/>
  <c r="AJ3305" i="7"/>
  <c r="AF3306" i="7"/>
  <c r="AI3306" i="7" s="1"/>
  <c r="AH3306" i="7"/>
  <c r="AJ3306" i="7"/>
  <c r="AF3307" i="7"/>
  <c r="AI3307" i="7" s="1"/>
  <c r="AH3307" i="7"/>
  <c r="AJ3307" i="7"/>
  <c r="AF3308" i="7"/>
  <c r="AI3308" i="7" s="1"/>
  <c r="AH3308" i="7"/>
  <c r="AJ3308" i="7"/>
  <c r="AF3309" i="7"/>
  <c r="AI3309" i="7" s="1"/>
  <c r="AH3309" i="7"/>
  <c r="AJ3309" i="7"/>
  <c r="AF3310" i="7"/>
  <c r="AI3310" i="7" s="1"/>
  <c r="AH3310" i="7"/>
  <c r="AJ3310" i="7"/>
  <c r="AF3311" i="7"/>
  <c r="AI3311" i="7" s="1"/>
  <c r="AH3311" i="7"/>
  <c r="AJ3311" i="7"/>
  <c r="AF3312" i="7"/>
  <c r="AI3312" i="7" s="1"/>
  <c r="AH3312" i="7"/>
  <c r="AJ3312" i="7"/>
  <c r="AF3313" i="7"/>
  <c r="AI3313" i="7" s="1"/>
  <c r="AH3313" i="7"/>
  <c r="AJ3313" i="7"/>
  <c r="AF3314" i="7"/>
  <c r="AI3314" i="7" s="1"/>
  <c r="AH3314" i="7"/>
  <c r="AJ3314" i="7"/>
  <c r="AF3315" i="7"/>
  <c r="AI3315" i="7" s="1"/>
  <c r="AH3315" i="7"/>
  <c r="AJ3315" i="7"/>
  <c r="AF3316" i="7"/>
  <c r="AI3316" i="7" s="1"/>
  <c r="AH3316" i="7"/>
  <c r="AJ3316" i="7"/>
  <c r="AF3317" i="7"/>
  <c r="AI3317" i="7" s="1"/>
  <c r="AH3317" i="7"/>
  <c r="AJ3317" i="7"/>
  <c r="AF3318" i="7"/>
  <c r="AI3318" i="7" s="1"/>
  <c r="AH3318" i="7"/>
  <c r="AJ3318" i="7"/>
  <c r="AF3319" i="7"/>
  <c r="AI3319" i="7" s="1"/>
  <c r="AH3319" i="7"/>
  <c r="AJ3319" i="7"/>
  <c r="AF3320" i="7"/>
  <c r="AI3320" i="7" s="1"/>
  <c r="AH3320" i="7"/>
  <c r="AJ3320" i="7"/>
  <c r="AF3321" i="7"/>
  <c r="AI3321" i="7" s="1"/>
  <c r="AH3321" i="7"/>
  <c r="AJ3321" i="7"/>
  <c r="AF3322" i="7"/>
  <c r="AI3322" i="7" s="1"/>
  <c r="AH3322" i="7"/>
  <c r="AJ3322" i="7"/>
  <c r="AF3323" i="7"/>
  <c r="AI3323" i="7" s="1"/>
  <c r="AH3323" i="7"/>
  <c r="AJ3323" i="7"/>
  <c r="AF3324" i="7"/>
  <c r="AI3324" i="7" s="1"/>
  <c r="AH3324" i="7"/>
  <c r="AJ3324" i="7"/>
  <c r="AF3325" i="7"/>
  <c r="AI3325" i="7" s="1"/>
  <c r="AH3325" i="7"/>
  <c r="AJ3325" i="7"/>
  <c r="AF3326" i="7"/>
  <c r="AI3326" i="7" s="1"/>
  <c r="AH3326" i="7"/>
  <c r="AJ3326" i="7"/>
  <c r="AF3327" i="7"/>
  <c r="AI3327" i="7" s="1"/>
  <c r="AH3327" i="7"/>
  <c r="AJ3327" i="7"/>
  <c r="AF3328" i="7"/>
  <c r="AI3328" i="7" s="1"/>
  <c r="AH3328" i="7"/>
  <c r="AJ3328" i="7"/>
  <c r="AF3329" i="7"/>
  <c r="AI3329" i="7" s="1"/>
  <c r="AH3329" i="7"/>
  <c r="AJ3329" i="7"/>
  <c r="AF3330" i="7"/>
  <c r="AI3330" i="7" s="1"/>
  <c r="AH3330" i="7"/>
  <c r="AJ3330" i="7"/>
  <c r="AF3331" i="7"/>
  <c r="AI3331" i="7" s="1"/>
  <c r="AH3331" i="7"/>
  <c r="AJ3331" i="7"/>
  <c r="AF3332" i="7"/>
  <c r="AI3332" i="7" s="1"/>
  <c r="AH3332" i="7"/>
  <c r="AJ3332" i="7"/>
  <c r="AF3333" i="7"/>
  <c r="AI3333" i="7" s="1"/>
  <c r="AH3333" i="7"/>
  <c r="AJ3333" i="7"/>
  <c r="AF3334" i="7"/>
  <c r="AI3334" i="7" s="1"/>
  <c r="AH3334" i="7"/>
  <c r="AJ3334" i="7"/>
  <c r="AF3335" i="7"/>
  <c r="AI3335" i="7" s="1"/>
  <c r="AH3335" i="7"/>
  <c r="AJ3335" i="7"/>
  <c r="AF3336" i="7"/>
  <c r="AI3336" i="7" s="1"/>
  <c r="AH3336" i="7"/>
  <c r="AJ3336" i="7"/>
  <c r="AF3337" i="7"/>
  <c r="AI3337" i="7" s="1"/>
  <c r="AH3337" i="7"/>
  <c r="AJ3337" i="7"/>
  <c r="AF3338" i="7"/>
  <c r="AI3338" i="7" s="1"/>
  <c r="AH3338" i="7"/>
  <c r="AJ3338" i="7"/>
  <c r="AF3339" i="7"/>
  <c r="AI3339" i="7" s="1"/>
  <c r="AH3339" i="7"/>
  <c r="AJ3339" i="7"/>
  <c r="AF3340" i="7"/>
  <c r="AI3340" i="7" s="1"/>
  <c r="AH3340" i="7"/>
  <c r="AJ3340" i="7"/>
  <c r="AF3341" i="7"/>
  <c r="AI3341" i="7" s="1"/>
  <c r="AH3341" i="7"/>
  <c r="AJ3341" i="7"/>
  <c r="AF3342" i="7"/>
  <c r="AI3342" i="7" s="1"/>
  <c r="AH3342" i="7"/>
  <c r="AJ3342" i="7"/>
  <c r="AF3343" i="7"/>
  <c r="AI3343" i="7" s="1"/>
  <c r="AH3343" i="7"/>
  <c r="AJ3343" i="7"/>
  <c r="AF3344" i="7"/>
  <c r="AI3344" i="7" s="1"/>
  <c r="AH3344" i="7"/>
  <c r="AJ3344" i="7"/>
  <c r="AF3345" i="7"/>
  <c r="AI3345" i="7" s="1"/>
  <c r="AH3345" i="7"/>
  <c r="AJ3345" i="7"/>
  <c r="AF3346" i="7"/>
  <c r="AI3346" i="7" s="1"/>
  <c r="AH3346" i="7"/>
  <c r="AJ3346" i="7"/>
  <c r="AF3347" i="7"/>
  <c r="AI3347" i="7" s="1"/>
  <c r="AH3347" i="7"/>
  <c r="AJ3347" i="7"/>
  <c r="AF3348" i="7"/>
  <c r="AI3348" i="7" s="1"/>
  <c r="AH3348" i="7"/>
  <c r="AJ3348" i="7"/>
  <c r="AF3349" i="7"/>
  <c r="AI3349" i="7" s="1"/>
  <c r="AH3349" i="7"/>
  <c r="AJ3349" i="7"/>
  <c r="AF3350" i="7"/>
  <c r="AI3350" i="7" s="1"/>
  <c r="AH3350" i="7"/>
  <c r="AJ3350" i="7"/>
  <c r="AF3351" i="7"/>
  <c r="AI3351" i="7" s="1"/>
  <c r="AH3351" i="7"/>
  <c r="AJ3351" i="7"/>
  <c r="AF3352" i="7"/>
  <c r="AI3352" i="7" s="1"/>
  <c r="AH3352" i="7"/>
  <c r="AJ3352" i="7"/>
  <c r="AF3353" i="7"/>
  <c r="AI3353" i="7" s="1"/>
  <c r="AH3353" i="7"/>
  <c r="AJ3353" i="7"/>
  <c r="AF3354" i="7"/>
  <c r="AI3354" i="7" s="1"/>
  <c r="AH3354" i="7"/>
  <c r="AJ3354" i="7"/>
  <c r="AF3355" i="7"/>
  <c r="AI3355" i="7" s="1"/>
  <c r="AH3355" i="7"/>
  <c r="AJ3355" i="7"/>
  <c r="AF3356" i="7"/>
  <c r="AI3356" i="7" s="1"/>
  <c r="AH3356" i="7"/>
  <c r="AJ3356" i="7"/>
  <c r="AF3357" i="7"/>
  <c r="AI3357" i="7" s="1"/>
  <c r="AH3357" i="7"/>
  <c r="AJ3357" i="7"/>
  <c r="AF3360" i="7"/>
  <c r="AI3360" i="7" s="1"/>
  <c r="AH3360" i="7"/>
  <c r="AJ3360" i="7"/>
  <c r="AF3361" i="7"/>
  <c r="AI3361" i="7" s="1"/>
  <c r="AH3361" i="7"/>
  <c r="AJ3361" i="7"/>
  <c r="AF3362" i="7"/>
  <c r="AI3362" i="7" s="1"/>
  <c r="AH3362" i="7"/>
  <c r="AJ3362" i="7"/>
  <c r="AF3363" i="7"/>
  <c r="AI3363" i="7" s="1"/>
  <c r="AH3363" i="7"/>
  <c r="AJ3363" i="7"/>
  <c r="AF3364" i="7"/>
  <c r="AI3364" i="7" s="1"/>
  <c r="AH3364" i="7"/>
  <c r="AJ3364" i="7"/>
  <c r="AF3365" i="7"/>
  <c r="AI3365" i="7" s="1"/>
  <c r="AH3365" i="7"/>
  <c r="AJ3365" i="7"/>
  <c r="AF3366" i="7"/>
  <c r="AI3366" i="7" s="1"/>
  <c r="AH3366" i="7"/>
  <c r="AJ3366" i="7"/>
  <c r="AF3367" i="7"/>
  <c r="AI3367" i="7" s="1"/>
  <c r="AH3367" i="7"/>
  <c r="AJ3367" i="7"/>
  <c r="AF3368" i="7"/>
  <c r="AI3368" i="7" s="1"/>
  <c r="AH3368" i="7"/>
  <c r="AJ3368" i="7"/>
  <c r="AF3369" i="7"/>
  <c r="AI3369" i="7" s="1"/>
  <c r="AH3369" i="7"/>
  <c r="AJ3369" i="7"/>
  <c r="AF3370" i="7"/>
  <c r="AI3370" i="7" s="1"/>
  <c r="AH3370" i="7"/>
  <c r="AJ3370" i="7"/>
  <c r="AF3371" i="7"/>
  <c r="AI3371" i="7" s="1"/>
  <c r="AH3371" i="7"/>
  <c r="AJ3371" i="7"/>
  <c r="AF3372" i="7"/>
  <c r="AI3372" i="7" s="1"/>
  <c r="AH3372" i="7"/>
  <c r="AJ3372" i="7"/>
  <c r="AF3373" i="7"/>
  <c r="AI3373" i="7" s="1"/>
  <c r="AH3373" i="7"/>
  <c r="AJ3373" i="7"/>
  <c r="AF3374" i="7"/>
  <c r="AI3374" i="7" s="1"/>
  <c r="AH3374" i="7"/>
  <c r="AJ3374" i="7"/>
  <c r="AF3375" i="7"/>
  <c r="AI3375" i="7" s="1"/>
  <c r="AH3375" i="7"/>
  <c r="AJ3375" i="7"/>
  <c r="AF3376" i="7"/>
  <c r="AI3376" i="7" s="1"/>
  <c r="AH3376" i="7"/>
  <c r="AJ3376" i="7"/>
  <c r="AF3377" i="7"/>
  <c r="AI3377" i="7" s="1"/>
  <c r="AH3377" i="7"/>
  <c r="AJ3377" i="7"/>
  <c r="AF3378" i="7"/>
  <c r="AI3378" i="7" s="1"/>
  <c r="AH3378" i="7"/>
  <c r="AJ3378" i="7"/>
  <c r="AF3379" i="7"/>
  <c r="AI3379" i="7" s="1"/>
  <c r="AH3379" i="7"/>
  <c r="AJ3379" i="7"/>
  <c r="AF3380" i="7"/>
  <c r="AI3380" i="7" s="1"/>
  <c r="AH3380" i="7"/>
  <c r="AJ3380" i="7"/>
  <c r="AF3381" i="7"/>
  <c r="AI3381" i="7" s="1"/>
  <c r="AH3381" i="7"/>
  <c r="AJ3381" i="7"/>
  <c r="AF3382" i="7"/>
  <c r="AI3382" i="7" s="1"/>
  <c r="AH3382" i="7"/>
  <c r="AJ3382" i="7"/>
  <c r="AF3383" i="7"/>
  <c r="AI3383" i="7" s="1"/>
  <c r="AH3383" i="7"/>
  <c r="AJ3383" i="7"/>
  <c r="AF3384" i="7"/>
  <c r="AI3384" i="7" s="1"/>
  <c r="AH3384" i="7"/>
  <c r="AJ3384" i="7"/>
  <c r="AF3385" i="7"/>
  <c r="AI3385" i="7" s="1"/>
  <c r="AH3385" i="7"/>
  <c r="AJ3385" i="7"/>
  <c r="AF3386" i="7"/>
  <c r="AI3386" i="7" s="1"/>
  <c r="AH3386" i="7"/>
  <c r="AJ3386" i="7"/>
  <c r="AF3387" i="7"/>
  <c r="AI3387" i="7" s="1"/>
  <c r="AH3387" i="7"/>
  <c r="AJ3387" i="7"/>
  <c r="AF3388" i="7"/>
  <c r="AI3388" i="7" s="1"/>
  <c r="AH3388" i="7"/>
  <c r="AJ3388" i="7"/>
  <c r="AF3389" i="7"/>
  <c r="AI3389" i="7" s="1"/>
  <c r="AH3389" i="7"/>
  <c r="AJ3389" i="7"/>
  <c r="AF3390" i="7"/>
  <c r="AI3390" i="7" s="1"/>
  <c r="AH3390" i="7"/>
  <c r="AJ3390" i="7"/>
  <c r="AF3391" i="7"/>
  <c r="AI3391" i="7" s="1"/>
  <c r="AH3391" i="7"/>
  <c r="AJ3391" i="7"/>
  <c r="AF3392" i="7"/>
  <c r="AI3392" i="7" s="1"/>
  <c r="AH3392" i="7"/>
  <c r="AJ3392" i="7"/>
  <c r="AF3393" i="7"/>
  <c r="AI3393" i="7" s="1"/>
  <c r="AH3393" i="7"/>
  <c r="AJ3393" i="7"/>
  <c r="AF3394" i="7"/>
  <c r="AI3394" i="7" s="1"/>
  <c r="AH3394" i="7"/>
  <c r="AJ3394" i="7"/>
  <c r="AF3395" i="7"/>
  <c r="AI3395" i="7" s="1"/>
  <c r="AH3395" i="7"/>
  <c r="AJ3395" i="7"/>
  <c r="AF3396" i="7"/>
  <c r="AI3396" i="7" s="1"/>
  <c r="AH3396" i="7"/>
  <c r="AJ3396" i="7"/>
  <c r="AF3397" i="7"/>
  <c r="AI3397" i="7" s="1"/>
  <c r="AH3397" i="7"/>
  <c r="AJ3397" i="7"/>
  <c r="AF3398" i="7"/>
  <c r="AI3398" i="7" s="1"/>
  <c r="AH3398" i="7"/>
  <c r="AJ3398" i="7"/>
  <c r="AF3399" i="7"/>
  <c r="AI3399" i="7" s="1"/>
  <c r="AH3399" i="7"/>
  <c r="AJ3399" i="7"/>
  <c r="AF3400" i="7"/>
  <c r="AI3400" i="7" s="1"/>
  <c r="AH3400" i="7"/>
  <c r="AJ3400" i="7"/>
  <c r="AF3401" i="7"/>
  <c r="AI3401" i="7" s="1"/>
  <c r="AH3401" i="7"/>
  <c r="AJ3401" i="7"/>
  <c r="AF3402" i="7"/>
  <c r="AI3402" i="7" s="1"/>
  <c r="AH3402" i="7"/>
  <c r="AJ3402" i="7"/>
  <c r="AF3403" i="7"/>
  <c r="AI3403" i="7" s="1"/>
  <c r="AH3403" i="7"/>
  <c r="AJ3403" i="7"/>
  <c r="AF3404" i="7"/>
  <c r="AI3404" i="7" s="1"/>
  <c r="AH3404" i="7"/>
  <c r="AJ3404" i="7"/>
  <c r="AF3405" i="7"/>
  <c r="AI3405" i="7" s="1"/>
  <c r="AH3405" i="7"/>
  <c r="AJ3405" i="7"/>
  <c r="AF3406" i="7"/>
  <c r="AI3406" i="7" s="1"/>
  <c r="AH3406" i="7"/>
  <c r="AJ3406" i="7"/>
  <c r="AF3407" i="7"/>
  <c r="AI3407" i="7" s="1"/>
  <c r="AH3407" i="7"/>
  <c r="AJ3407" i="7"/>
  <c r="AF3408" i="7"/>
  <c r="AI3408" i="7" s="1"/>
  <c r="AH3408" i="7"/>
  <c r="AJ3408" i="7"/>
  <c r="AF3409" i="7"/>
  <c r="AI3409" i="7" s="1"/>
  <c r="AH3409" i="7"/>
  <c r="AJ3409" i="7"/>
  <c r="AF3410" i="7"/>
  <c r="AI3410" i="7" s="1"/>
  <c r="AH3410" i="7"/>
  <c r="AJ3410" i="7"/>
  <c r="AF3411" i="7"/>
  <c r="AI3411" i="7" s="1"/>
  <c r="AH3411" i="7"/>
  <c r="AJ3411" i="7"/>
  <c r="AF3412" i="7"/>
  <c r="AI3412" i="7" s="1"/>
  <c r="AH3412" i="7"/>
  <c r="AJ3412" i="7"/>
  <c r="AF3413" i="7"/>
  <c r="AI3413" i="7" s="1"/>
  <c r="AH3413" i="7"/>
  <c r="AJ3413" i="7"/>
  <c r="AF3414" i="7"/>
  <c r="AI3414" i="7" s="1"/>
  <c r="AH3414" i="7"/>
  <c r="AJ3414" i="7"/>
  <c r="AF3415" i="7"/>
  <c r="AI3415" i="7" s="1"/>
  <c r="AH3415" i="7"/>
  <c r="AJ3415" i="7"/>
  <c r="AF3416" i="7"/>
  <c r="AI3416" i="7" s="1"/>
  <c r="AH3416" i="7"/>
  <c r="AJ3416" i="7"/>
  <c r="AF3417" i="7"/>
  <c r="AI3417" i="7" s="1"/>
  <c r="AH3417" i="7"/>
  <c r="AJ3417" i="7"/>
  <c r="AF3418" i="7"/>
  <c r="AI3418" i="7" s="1"/>
  <c r="AH3418" i="7"/>
  <c r="AJ3418" i="7"/>
  <c r="AF3419" i="7"/>
  <c r="AI3419" i="7" s="1"/>
  <c r="AH3419" i="7"/>
  <c r="AJ3419" i="7"/>
  <c r="AF3420" i="7"/>
  <c r="AI3420" i="7" s="1"/>
  <c r="AH3420" i="7"/>
  <c r="AJ3420" i="7"/>
  <c r="AF3421" i="7"/>
  <c r="AI3421" i="7" s="1"/>
  <c r="AH3421" i="7"/>
  <c r="AJ3421" i="7"/>
  <c r="AF3422" i="7"/>
  <c r="AI3422" i="7" s="1"/>
  <c r="AH3422" i="7"/>
  <c r="AJ3422" i="7"/>
  <c r="AF3423" i="7"/>
  <c r="AI3423" i="7" s="1"/>
  <c r="AH3423" i="7"/>
  <c r="AJ3423" i="7"/>
  <c r="AF3424" i="7"/>
  <c r="AI3424" i="7" s="1"/>
  <c r="AH3424" i="7"/>
  <c r="AJ3424" i="7"/>
  <c r="AF3425" i="7"/>
  <c r="AI3425" i="7" s="1"/>
  <c r="AH3425" i="7"/>
  <c r="AJ3425" i="7"/>
  <c r="AF3426" i="7"/>
  <c r="AI3426" i="7" s="1"/>
  <c r="AH3426" i="7"/>
  <c r="AJ3426" i="7"/>
  <c r="AF3427" i="7"/>
  <c r="AI3427" i="7" s="1"/>
  <c r="AH3427" i="7"/>
  <c r="AJ3427" i="7"/>
  <c r="AF3428" i="7"/>
  <c r="AI3428" i="7" s="1"/>
  <c r="AH3428" i="7"/>
  <c r="AJ3428" i="7"/>
  <c r="AF3429" i="7"/>
  <c r="AI3429" i="7" s="1"/>
  <c r="AH3429" i="7"/>
  <c r="AJ3429" i="7"/>
  <c r="AF3430" i="7"/>
  <c r="AI3430" i="7" s="1"/>
  <c r="AH3430" i="7"/>
  <c r="AJ3430" i="7"/>
  <c r="AF3431" i="7"/>
  <c r="AI3431" i="7" s="1"/>
  <c r="AH3431" i="7"/>
  <c r="AJ3431" i="7"/>
  <c r="AF3432" i="7"/>
  <c r="AI3432" i="7" s="1"/>
  <c r="AH3432" i="7"/>
  <c r="AJ3432" i="7"/>
  <c r="AF3433" i="7"/>
  <c r="AI3433" i="7" s="1"/>
  <c r="AH3433" i="7"/>
  <c r="AJ3433" i="7"/>
  <c r="AF3434" i="7"/>
  <c r="AI3434" i="7" s="1"/>
  <c r="AH3434" i="7"/>
  <c r="AJ3434" i="7"/>
  <c r="AF3435" i="7"/>
  <c r="AI3435" i="7" s="1"/>
  <c r="AH3435" i="7"/>
  <c r="AJ3435" i="7"/>
  <c r="AF3436" i="7"/>
  <c r="AI3436" i="7" s="1"/>
  <c r="AH3436" i="7"/>
  <c r="AJ3436" i="7"/>
  <c r="AF3437" i="7"/>
  <c r="AI3437" i="7" s="1"/>
  <c r="AH3437" i="7"/>
  <c r="AJ3437" i="7"/>
  <c r="AF3438" i="7"/>
  <c r="AI3438" i="7" s="1"/>
  <c r="AH3438" i="7"/>
  <c r="AJ3438" i="7"/>
  <c r="AF3439" i="7"/>
  <c r="AI3439" i="7" s="1"/>
  <c r="AH3439" i="7"/>
  <c r="AJ3439" i="7"/>
  <c r="AF3440" i="7"/>
  <c r="AI3440" i="7" s="1"/>
  <c r="AH3440" i="7"/>
  <c r="AJ3440" i="7"/>
  <c r="AF3441" i="7"/>
  <c r="AI3441" i="7" s="1"/>
  <c r="AH3441" i="7"/>
  <c r="AJ3441" i="7"/>
  <c r="AF3442" i="7"/>
  <c r="AI3442" i="7" s="1"/>
  <c r="AH3442" i="7"/>
  <c r="AJ3442" i="7"/>
  <c r="AF3443" i="7"/>
  <c r="AI3443" i="7" s="1"/>
  <c r="AH3443" i="7"/>
  <c r="AJ3443" i="7"/>
  <c r="AF3444" i="7"/>
  <c r="AI3444" i="7" s="1"/>
  <c r="AH3444" i="7"/>
  <c r="AJ3444" i="7"/>
  <c r="AF3445" i="7"/>
  <c r="AI3445" i="7" s="1"/>
  <c r="AH3445" i="7"/>
  <c r="AJ3445" i="7"/>
  <c r="AF3446" i="7"/>
  <c r="AI3446" i="7" s="1"/>
  <c r="AH3446" i="7"/>
  <c r="AJ3446" i="7"/>
  <c r="AF3447" i="7"/>
  <c r="AI3447" i="7" s="1"/>
  <c r="AH3447" i="7"/>
  <c r="AJ3447" i="7"/>
  <c r="AF3448" i="7"/>
  <c r="AI3448" i="7" s="1"/>
  <c r="AH3448" i="7"/>
  <c r="AJ3448" i="7"/>
  <c r="AF3449" i="7"/>
  <c r="AI3449" i="7" s="1"/>
  <c r="AH3449" i="7"/>
  <c r="AJ3449" i="7"/>
  <c r="AF3450" i="7"/>
  <c r="AI3450" i="7" s="1"/>
  <c r="AH3450" i="7"/>
  <c r="AJ3450" i="7"/>
  <c r="AF3451" i="7"/>
  <c r="AI3451" i="7" s="1"/>
  <c r="AH3451" i="7"/>
  <c r="AJ3451" i="7"/>
  <c r="AF3452" i="7"/>
  <c r="AI3452" i="7" s="1"/>
  <c r="AH3452" i="7"/>
  <c r="AJ3452" i="7"/>
  <c r="AF3455" i="7"/>
  <c r="AI3455" i="7" s="1"/>
  <c r="AH3455" i="7"/>
  <c r="AJ3455" i="7"/>
  <c r="AF3456" i="7"/>
  <c r="AI3456" i="7" s="1"/>
  <c r="AH3456" i="7"/>
  <c r="AJ3456" i="7"/>
  <c r="AF3457" i="7"/>
  <c r="AI3457" i="7" s="1"/>
  <c r="AH3457" i="7"/>
  <c r="AJ3457" i="7"/>
  <c r="AF3458" i="7"/>
  <c r="AI3458" i="7" s="1"/>
  <c r="AH3458" i="7"/>
  <c r="AJ3458" i="7"/>
  <c r="AF3459" i="7"/>
  <c r="AI3459" i="7" s="1"/>
  <c r="AH3459" i="7"/>
  <c r="AJ3459" i="7"/>
  <c r="AF3460" i="7"/>
  <c r="AI3460" i="7" s="1"/>
  <c r="AH3460" i="7"/>
  <c r="AJ3460" i="7"/>
  <c r="AF3461" i="7"/>
  <c r="AI3461" i="7" s="1"/>
  <c r="AH3461" i="7"/>
  <c r="AJ3461" i="7"/>
  <c r="AF3462" i="7"/>
  <c r="AI3462" i="7" s="1"/>
  <c r="AH3462" i="7"/>
  <c r="AJ3462" i="7"/>
  <c r="AF3463" i="7"/>
  <c r="AI3463" i="7" s="1"/>
  <c r="AH3463" i="7"/>
  <c r="AJ3463" i="7"/>
  <c r="AF3464" i="7"/>
  <c r="AI3464" i="7" s="1"/>
  <c r="AH3464" i="7"/>
  <c r="AJ3464" i="7"/>
  <c r="AF3465" i="7"/>
  <c r="AI3465" i="7" s="1"/>
  <c r="AH3465" i="7"/>
  <c r="AJ3465" i="7"/>
  <c r="AF3466" i="7"/>
  <c r="AI3466" i="7" s="1"/>
  <c r="AH3466" i="7"/>
  <c r="AJ3466" i="7"/>
  <c r="AF3467" i="7"/>
  <c r="AI3467" i="7" s="1"/>
  <c r="AH3467" i="7"/>
  <c r="AJ3467" i="7"/>
  <c r="AF3468" i="7"/>
  <c r="AI3468" i="7" s="1"/>
  <c r="AH3468" i="7"/>
  <c r="AJ3468" i="7"/>
  <c r="AF3469" i="7"/>
  <c r="AI3469" i="7" s="1"/>
  <c r="AH3469" i="7"/>
  <c r="AJ3469" i="7"/>
  <c r="AF3470" i="7"/>
  <c r="AI3470" i="7" s="1"/>
  <c r="AH3470" i="7"/>
  <c r="AJ3470" i="7"/>
  <c r="AF3471" i="7"/>
  <c r="AI3471" i="7" s="1"/>
  <c r="AH3471" i="7"/>
  <c r="AJ3471" i="7"/>
  <c r="AF3472" i="7"/>
  <c r="AI3472" i="7" s="1"/>
  <c r="AH3472" i="7"/>
  <c r="AJ3472" i="7"/>
  <c r="AF3473" i="7"/>
  <c r="AI3473" i="7" s="1"/>
  <c r="AH3473" i="7"/>
  <c r="AJ3473" i="7"/>
  <c r="AF3474" i="7"/>
  <c r="AI3474" i="7" s="1"/>
  <c r="AH3474" i="7"/>
  <c r="AJ3474" i="7"/>
  <c r="AF3475" i="7"/>
  <c r="AI3475" i="7" s="1"/>
  <c r="AH3475" i="7"/>
  <c r="AJ3475" i="7"/>
  <c r="AF3476" i="7"/>
  <c r="AI3476" i="7" s="1"/>
  <c r="AH3476" i="7"/>
  <c r="AJ3476" i="7"/>
  <c r="AF3477" i="7"/>
  <c r="AI3477" i="7" s="1"/>
  <c r="AH3477" i="7"/>
  <c r="AJ3477" i="7"/>
  <c r="AF3478" i="7"/>
  <c r="AI3478" i="7" s="1"/>
  <c r="AH3478" i="7"/>
  <c r="AJ3478" i="7"/>
  <c r="AF3479" i="7"/>
  <c r="AI3479" i="7" s="1"/>
  <c r="AH3479" i="7"/>
  <c r="AJ3479" i="7"/>
  <c r="AF3480" i="7"/>
  <c r="AI3480" i="7" s="1"/>
  <c r="AH3480" i="7"/>
  <c r="AJ3480" i="7"/>
  <c r="AF3481" i="7"/>
  <c r="AI3481" i="7" s="1"/>
  <c r="AH3481" i="7"/>
  <c r="AJ3481" i="7"/>
  <c r="AF3482" i="7"/>
  <c r="AI3482" i="7" s="1"/>
  <c r="AH3482" i="7"/>
  <c r="AJ3482" i="7"/>
  <c r="AF3483" i="7"/>
  <c r="AI3483" i="7" s="1"/>
  <c r="AH3483" i="7"/>
  <c r="AJ3483" i="7"/>
  <c r="AF3484" i="7"/>
  <c r="AI3484" i="7" s="1"/>
  <c r="AH3484" i="7"/>
  <c r="AJ3484" i="7"/>
  <c r="AF3485" i="7"/>
  <c r="AI3485" i="7" s="1"/>
  <c r="AH3485" i="7"/>
  <c r="AJ3485" i="7"/>
  <c r="AF3486" i="7"/>
  <c r="AI3486" i="7" s="1"/>
  <c r="AH3486" i="7"/>
  <c r="AJ3486" i="7"/>
  <c r="AF3487" i="7"/>
  <c r="AI3487" i="7" s="1"/>
  <c r="AH3487" i="7"/>
  <c r="AJ3487" i="7"/>
  <c r="AF3488" i="7"/>
  <c r="AI3488" i="7" s="1"/>
  <c r="AH3488" i="7"/>
  <c r="AJ3488" i="7"/>
  <c r="AF3489" i="7"/>
  <c r="AI3489" i="7" s="1"/>
  <c r="AH3489" i="7"/>
  <c r="AJ3489" i="7"/>
  <c r="AF3490" i="7"/>
  <c r="AI3490" i="7" s="1"/>
  <c r="AH3490" i="7"/>
  <c r="AJ3490" i="7"/>
  <c r="AF3491" i="7"/>
  <c r="AI3491" i="7" s="1"/>
  <c r="AH3491" i="7"/>
  <c r="AJ3491" i="7"/>
  <c r="AF3492" i="7"/>
  <c r="AI3492" i="7" s="1"/>
  <c r="AH3492" i="7"/>
  <c r="AJ3492" i="7"/>
  <c r="AF3493" i="7"/>
  <c r="AI3493" i="7" s="1"/>
  <c r="AH3493" i="7"/>
  <c r="AJ3493" i="7"/>
  <c r="AF3494" i="7"/>
  <c r="AI3494" i="7" s="1"/>
  <c r="AH3494" i="7"/>
  <c r="AJ3494" i="7"/>
  <c r="AF3495" i="7"/>
  <c r="AI3495" i="7" s="1"/>
  <c r="AH3495" i="7"/>
  <c r="AJ3495" i="7"/>
  <c r="AF3496" i="7"/>
  <c r="AI3496" i="7" s="1"/>
  <c r="AH3496" i="7"/>
  <c r="AJ3496" i="7"/>
  <c r="AF3497" i="7"/>
  <c r="AI3497" i="7" s="1"/>
  <c r="AH3497" i="7"/>
  <c r="AJ3497" i="7"/>
  <c r="AF3498" i="7"/>
  <c r="AI3498" i="7" s="1"/>
  <c r="AH3498" i="7"/>
  <c r="AJ3498" i="7"/>
  <c r="AF3499" i="7"/>
  <c r="AI3499" i="7" s="1"/>
  <c r="AH3499" i="7"/>
  <c r="AJ3499" i="7"/>
  <c r="AF3500" i="7"/>
  <c r="AI3500" i="7" s="1"/>
  <c r="AH3500" i="7"/>
  <c r="AJ3500" i="7"/>
  <c r="AF3501" i="7"/>
  <c r="AI3501" i="7" s="1"/>
  <c r="AH3501" i="7"/>
  <c r="AJ3501" i="7"/>
  <c r="AF3502" i="7"/>
  <c r="AI3502" i="7" s="1"/>
  <c r="AH3502" i="7"/>
  <c r="AJ3502" i="7"/>
  <c r="AF3503" i="7"/>
  <c r="AI3503" i="7" s="1"/>
  <c r="AH3503" i="7"/>
  <c r="AJ3503" i="7"/>
  <c r="AF3504" i="7"/>
  <c r="AI3504" i="7" s="1"/>
  <c r="AH3504" i="7"/>
  <c r="AJ3504" i="7"/>
  <c r="AF3505" i="7"/>
  <c r="AI3505" i="7" s="1"/>
  <c r="AH3505" i="7"/>
  <c r="AJ3505" i="7"/>
  <c r="AF3506" i="7"/>
  <c r="AI3506" i="7" s="1"/>
  <c r="AH3506" i="7"/>
  <c r="AJ3506" i="7"/>
  <c r="AF3507" i="7"/>
  <c r="AI3507" i="7" s="1"/>
  <c r="AH3507" i="7"/>
  <c r="AJ3507" i="7"/>
  <c r="AF3508" i="7"/>
  <c r="AI3508" i="7" s="1"/>
  <c r="AH3508" i="7"/>
  <c r="AJ3508" i="7"/>
  <c r="AF3509" i="7"/>
  <c r="AI3509" i="7" s="1"/>
  <c r="AH3509" i="7"/>
  <c r="AJ3509" i="7"/>
  <c r="AF3510" i="7"/>
  <c r="AI3510" i="7" s="1"/>
  <c r="AH3510" i="7"/>
  <c r="AJ3510" i="7"/>
  <c r="AF3511" i="7"/>
  <c r="AI3511" i="7" s="1"/>
  <c r="AH3511" i="7"/>
  <c r="AJ3511" i="7"/>
  <c r="AF3512" i="7"/>
  <c r="AI3512" i="7" s="1"/>
  <c r="AH3512" i="7"/>
  <c r="AJ3512" i="7"/>
  <c r="AF3513" i="7"/>
  <c r="AI3513" i="7" s="1"/>
  <c r="AH3513" i="7"/>
  <c r="AJ3513" i="7"/>
  <c r="AF3514" i="7"/>
  <c r="AI3514" i="7" s="1"/>
  <c r="AH3514" i="7"/>
  <c r="AJ3514" i="7"/>
  <c r="AF3515" i="7"/>
  <c r="AI3515" i="7" s="1"/>
  <c r="AH3515" i="7"/>
  <c r="AJ3515" i="7"/>
  <c r="AF3516" i="7"/>
  <c r="AI3516" i="7" s="1"/>
  <c r="AH3516" i="7"/>
  <c r="AJ3516" i="7"/>
  <c r="AF3517" i="7"/>
  <c r="AI3517" i="7" s="1"/>
  <c r="AH3517" i="7"/>
  <c r="AJ3517" i="7"/>
  <c r="AF3518" i="7"/>
  <c r="AI3518" i="7" s="1"/>
  <c r="AH3518" i="7"/>
  <c r="AJ3518" i="7"/>
  <c r="AF3519" i="7"/>
  <c r="AI3519" i="7" s="1"/>
  <c r="AH3519" i="7"/>
  <c r="AJ3519" i="7"/>
  <c r="AF3520" i="7"/>
  <c r="AI3520" i="7" s="1"/>
  <c r="AH3520" i="7"/>
  <c r="AJ3520" i="7"/>
  <c r="AF3521" i="7"/>
  <c r="AI3521" i="7" s="1"/>
  <c r="AH3521" i="7"/>
  <c r="AJ3521" i="7"/>
  <c r="AF3522" i="7"/>
  <c r="AI3522" i="7" s="1"/>
  <c r="AH3522" i="7"/>
  <c r="AJ3522" i="7"/>
  <c r="AF3523" i="7"/>
  <c r="AI3523" i="7" s="1"/>
  <c r="AH3523" i="7"/>
  <c r="AJ3523" i="7"/>
  <c r="AF3524" i="7"/>
  <c r="AI3524" i="7" s="1"/>
  <c r="AH3524" i="7"/>
  <c r="AJ3524" i="7"/>
  <c r="AF3525" i="7"/>
  <c r="AI3525" i="7" s="1"/>
  <c r="AH3525" i="7"/>
  <c r="AJ3525" i="7"/>
  <c r="AF3526" i="7"/>
  <c r="AI3526" i="7" s="1"/>
  <c r="AH3526" i="7"/>
  <c r="AJ3526" i="7"/>
  <c r="AF3527" i="7"/>
  <c r="AI3527" i="7" s="1"/>
  <c r="AH3527" i="7"/>
  <c r="AJ3527" i="7"/>
  <c r="AF3528" i="7"/>
  <c r="AI3528" i="7" s="1"/>
  <c r="AH3528" i="7"/>
  <c r="AJ3528" i="7"/>
  <c r="AF3529" i="7"/>
  <c r="AI3529" i="7" s="1"/>
  <c r="AH3529" i="7"/>
  <c r="AJ3529" i="7"/>
  <c r="AF3530" i="7"/>
  <c r="AI3530" i="7" s="1"/>
  <c r="AH3530" i="7"/>
  <c r="AJ3530" i="7"/>
  <c r="AF3531" i="7"/>
  <c r="AI3531" i="7" s="1"/>
  <c r="AH3531" i="7"/>
  <c r="AJ3531" i="7"/>
  <c r="AF3532" i="7"/>
  <c r="AI3532" i="7" s="1"/>
  <c r="AH3532" i="7"/>
  <c r="AJ3532" i="7"/>
  <c r="AF3533" i="7"/>
  <c r="AI3533" i="7" s="1"/>
  <c r="AH3533" i="7"/>
  <c r="AJ3533" i="7"/>
  <c r="AF3534" i="7"/>
  <c r="AI3534" i="7" s="1"/>
  <c r="AH3534" i="7"/>
  <c r="AJ3534" i="7"/>
  <c r="AF3535" i="7"/>
  <c r="AI3535" i="7" s="1"/>
  <c r="AH3535" i="7"/>
  <c r="AJ3535" i="7"/>
  <c r="AF3536" i="7"/>
  <c r="AI3536" i="7" s="1"/>
  <c r="AH3536" i="7"/>
  <c r="AJ3536" i="7"/>
  <c r="AF3537" i="7"/>
  <c r="AI3537" i="7" s="1"/>
  <c r="AH3537" i="7"/>
  <c r="AJ3537" i="7"/>
  <c r="AF3538" i="7"/>
  <c r="AI3538" i="7" s="1"/>
  <c r="AH3538" i="7"/>
  <c r="AJ3538" i="7"/>
  <c r="AF3539" i="7"/>
  <c r="AI3539" i="7" s="1"/>
  <c r="AH3539" i="7"/>
  <c r="AJ3539" i="7"/>
  <c r="AF3540" i="7"/>
  <c r="AI3540" i="7" s="1"/>
  <c r="AH3540" i="7"/>
  <c r="AJ3540" i="7"/>
  <c r="AF3541" i="7"/>
  <c r="AI3541" i="7" s="1"/>
  <c r="AH3541" i="7"/>
  <c r="AJ3541" i="7"/>
  <c r="AF3542" i="7"/>
  <c r="AI3542" i="7" s="1"/>
  <c r="AH3542" i="7"/>
  <c r="AJ3542" i="7"/>
  <c r="AF3543" i="7"/>
  <c r="AI3543" i="7" s="1"/>
  <c r="AH3543" i="7"/>
  <c r="AJ3543" i="7"/>
  <c r="AF3544" i="7"/>
  <c r="AI3544" i="7" s="1"/>
  <c r="AH3544" i="7"/>
  <c r="AJ3544" i="7"/>
  <c r="AF3545" i="7"/>
  <c r="AI3545" i="7" s="1"/>
  <c r="AH3545" i="7"/>
  <c r="AJ3545" i="7"/>
  <c r="AF3546" i="7"/>
  <c r="AI3546" i="7" s="1"/>
  <c r="AH3546" i="7"/>
  <c r="AJ3546" i="7"/>
  <c r="AF3549" i="7"/>
  <c r="AI3549" i="7" s="1"/>
  <c r="AH3549" i="7"/>
  <c r="AJ3549" i="7"/>
  <c r="AF3550" i="7"/>
  <c r="AI3550" i="7" s="1"/>
  <c r="AH3550" i="7"/>
  <c r="AJ3550" i="7"/>
  <c r="AF3551" i="7"/>
  <c r="AI3551" i="7" s="1"/>
  <c r="AH3551" i="7"/>
  <c r="AJ3551" i="7"/>
  <c r="AF3552" i="7"/>
  <c r="AI3552" i="7" s="1"/>
  <c r="AH3552" i="7"/>
  <c r="AJ3552" i="7"/>
  <c r="AF3553" i="7"/>
  <c r="AI3553" i="7" s="1"/>
  <c r="AH3553" i="7"/>
  <c r="AJ3553" i="7"/>
  <c r="AF3554" i="7"/>
  <c r="AI3554" i="7" s="1"/>
  <c r="AH3554" i="7"/>
  <c r="AJ3554" i="7"/>
  <c r="AF3555" i="7"/>
  <c r="AI3555" i="7" s="1"/>
  <c r="AH3555" i="7"/>
  <c r="AJ3555" i="7"/>
  <c r="AF3556" i="7"/>
  <c r="AI3556" i="7" s="1"/>
  <c r="AH3556" i="7"/>
  <c r="AJ3556" i="7"/>
  <c r="AF3557" i="7"/>
  <c r="AI3557" i="7" s="1"/>
  <c r="AH3557" i="7"/>
  <c r="AJ3557" i="7"/>
  <c r="AF3558" i="7"/>
  <c r="AI3558" i="7" s="1"/>
  <c r="AH3558" i="7"/>
  <c r="AJ3558" i="7"/>
  <c r="AF3559" i="7"/>
  <c r="AI3559" i="7" s="1"/>
  <c r="AH3559" i="7"/>
  <c r="AJ3559" i="7"/>
  <c r="AF3560" i="7"/>
  <c r="AI3560" i="7" s="1"/>
  <c r="AH3560" i="7"/>
  <c r="AJ3560" i="7"/>
  <c r="AF3561" i="7"/>
  <c r="AI3561" i="7" s="1"/>
  <c r="AH3561" i="7"/>
  <c r="AJ3561" i="7"/>
  <c r="AF3562" i="7"/>
  <c r="AI3562" i="7" s="1"/>
  <c r="AH3562" i="7"/>
  <c r="AJ3562" i="7"/>
  <c r="AF3563" i="7"/>
  <c r="AI3563" i="7" s="1"/>
  <c r="AH3563" i="7"/>
  <c r="AJ3563" i="7"/>
  <c r="AF3564" i="7"/>
  <c r="AI3564" i="7" s="1"/>
  <c r="AH3564" i="7"/>
  <c r="AJ3564" i="7"/>
  <c r="AF3565" i="7"/>
  <c r="AI3565" i="7" s="1"/>
  <c r="AH3565" i="7"/>
  <c r="AJ3565" i="7"/>
  <c r="AF3566" i="7"/>
  <c r="AI3566" i="7" s="1"/>
  <c r="AH3566" i="7"/>
  <c r="AJ3566" i="7"/>
  <c r="AF3567" i="7"/>
  <c r="AI3567" i="7" s="1"/>
  <c r="AH3567" i="7"/>
  <c r="AJ3567" i="7"/>
  <c r="AF3568" i="7"/>
  <c r="AI3568" i="7" s="1"/>
  <c r="AH3568" i="7"/>
  <c r="AJ3568" i="7"/>
  <c r="AF3569" i="7"/>
  <c r="AI3569" i="7" s="1"/>
  <c r="AH3569" i="7"/>
  <c r="AJ3569" i="7"/>
  <c r="AF3570" i="7"/>
  <c r="AI3570" i="7" s="1"/>
  <c r="AH3570" i="7"/>
  <c r="AJ3570" i="7"/>
  <c r="AF3571" i="7"/>
  <c r="AI3571" i="7" s="1"/>
  <c r="AH3571" i="7"/>
  <c r="AJ3571" i="7"/>
  <c r="AF3572" i="7"/>
  <c r="AI3572" i="7" s="1"/>
  <c r="AH3572" i="7"/>
  <c r="AJ3572" i="7"/>
  <c r="AF3573" i="7"/>
  <c r="AI3573" i="7" s="1"/>
  <c r="AH3573" i="7"/>
  <c r="AJ3573" i="7"/>
  <c r="AF3574" i="7"/>
  <c r="AI3574" i="7" s="1"/>
  <c r="AH3574" i="7"/>
  <c r="AJ3574" i="7"/>
  <c r="AF3575" i="7"/>
  <c r="AI3575" i="7" s="1"/>
  <c r="AH3575" i="7"/>
  <c r="AJ3575" i="7"/>
  <c r="AF3576" i="7"/>
  <c r="AI3576" i="7" s="1"/>
  <c r="AH3576" i="7"/>
  <c r="AJ3576" i="7"/>
  <c r="AF3577" i="7"/>
  <c r="AI3577" i="7" s="1"/>
  <c r="AH3577" i="7"/>
  <c r="AJ3577" i="7"/>
  <c r="AF3578" i="7"/>
  <c r="AI3578" i="7" s="1"/>
  <c r="AH3578" i="7"/>
  <c r="AJ3578" i="7"/>
  <c r="AF3579" i="7"/>
  <c r="AI3579" i="7" s="1"/>
  <c r="AH3579" i="7"/>
  <c r="AJ3579" i="7"/>
  <c r="AF3580" i="7"/>
  <c r="AI3580" i="7" s="1"/>
  <c r="AH3580" i="7"/>
  <c r="AJ3580" i="7"/>
  <c r="AF3581" i="7"/>
  <c r="AI3581" i="7" s="1"/>
  <c r="AH3581" i="7"/>
  <c r="AJ3581" i="7"/>
  <c r="AF3582" i="7"/>
  <c r="AI3582" i="7" s="1"/>
  <c r="AH3582" i="7"/>
  <c r="AJ3582" i="7"/>
  <c r="AF3583" i="7"/>
  <c r="AI3583" i="7" s="1"/>
  <c r="AH3583" i="7"/>
  <c r="AJ3583" i="7"/>
  <c r="AF3584" i="7"/>
  <c r="AI3584" i="7" s="1"/>
  <c r="AH3584" i="7"/>
  <c r="AJ3584" i="7"/>
  <c r="AF3585" i="7"/>
  <c r="AI3585" i="7" s="1"/>
  <c r="AH3585" i="7"/>
  <c r="AJ3585" i="7"/>
  <c r="AF3586" i="7"/>
  <c r="AI3586" i="7" s="1"/>
  <c r="AH3586" i="7"/>
  <c r="AJ3586" i="7"/>
  <c r="AF3587" i="7"/>
  <c r="AI3587" i="7" s="1"/>
  <c r="AH3587" i="7"/>
  <c r="AJ3587" i="7"/>
  <c r="AF3588" i="7"/>
  <c r="AI3588" i="7" s="1"/>
  <c r="AH3588" i="7"/>
  <c r="AJ3588" i="7"/>
  <c r="AF3589" i="7"/>
  <c r="AI3589" i="7" s="1"/>
  <c r="AH3589" i="7"/>
  <c r="AJ3589" i="7"/>
  <c r="AF3590" i="7"/>
  <c r="AI3590" i="7" s="1"/>
  <c r="AH3590" i="7"/>
  <c r="AJ3590" i="7"/>
  <c r="AF3591" i="7"/>
  <c r="AI3591" i="7" s="1"/>
  <c r="AH3591" i="7"/>
  <c r="AJ3591" i="7"/>
  <c r="AF3592" i="7"/>
  <c r="AI3592" i="7" s="1"/>
  <c r="AH3592" i="7"/>
  <c r="AJ3592" i="7"/>
  <c r="AF3593" i="7"/>
  <c r="AI3593" i="7" s="1"/>
  <c r="AH3593" i="7"/>
  <c r="AJ3593" i="7"/>
  <c r="AF3594" i="7"/>
  <c r="AI3594" i="7" s="1"/>
  <c r="AH3594" i="7"/>
  <c r="AJ3594" i="7"/>
  <c r="AF3595" i="7"/>
  <c r="AI3595" i="7" s="1"/>
  <c r="AH3595" i="7"/>
  <c r="AJ3595" i="7"/>
  <c r="AF3596" i="7"/>
  <c r="AI3596" i="7" s="1"/>
  <c r="AH3596" i="7"/>
  <c r="AJ3596" i="7"/>
  <c r="AF3597" i="7"/>
  <c r="AI3597" i="7" s="1"/>
  <c r="AH3597" i="7"/>
  <c r="AJ3597" i="7"/>
  <c r="AF3598" i="7"/>
  <c r="AI3598" i="7" s="1"/>
  <c r="AH3598" i="7"/>
  <c r="AJ3598" i="7"/>
  <c r="AF3599" i="7"/>
  <c r="AI3599" i="7" s="1"/>
  <c r="AH3599" i="7"/>
  <c r="AJ3599" i="7"/>
  <c r="AF3600" i="7"/>
  <c r="AI3600" i="7" s="1"/>
  <c r="AH3600" i="7"/>
  <c r="AJ3600" i="7"/>
  <c r="AF3601" i="7"/>
  <c r="AI3601" i="7" s="1"/>
  <c r="AH3601" i="7"/>
  <c r="AJ3601" i="7"/>
  <c r="AF3602" i="7"/>
  <c r="AI3602" i="7" s="1"/>
  <c r="AH3602" i="7"/>
  <c r="AJ3602" i="7"/>
  <c r="AF3603" i="7"/>
  <c r="AI3603" i="7" s="1"/>
  <c r="AH3603" i="7"/>
  <c r="AJ3603" i="7"/>
  <c r="AF3604" i="7"/>
  <c r="AI3604" i="7" s="1"/>
  <c r="AH3604" i="7"/>
  <c r="AJ3604" i="7"/>
  <c r="AF3605" i="7"/>
  <c r="AI3605" i="7" s="1"/>
  <c r="AH3605" i="7"/>
  <c r="AJ3605" i="7"/>
  <c r="AF3606" i="7"/>
  <c r="AI3606" i="7" s="1"/>
  <c r="AH3606" i="7"/>
  <c r="AJ3606" i="7"/>
  <c r="AF3607" i="7"/>
  <c r="AI3607" i="7" s="1"/>
  <c r="AH3607" i="7"/>
  <c r="AJ3607" i="7"/>
  <c r="AF3608" i="7"/>
  <c r="AI3608" i="7" s="1"/>
  <c r="AH3608" i="7"/>
  <c r="AJ3608" i="7"/>
  <c r="AF3609" i="7"/>
  <c r="AI3609" i="7" s="1"/>
  <c r="AH3609" i="7"/>
  <c r="AJ3609" i="7"/>
  <c r="AF3610" i="7"/>
  <c r="AI3610" i="7" s="1"/>
  <c r="AH3610" i="7"/>
  <c r="AJ3610" i="7"/>
  <c r="AF3611" i="7"/>
  <c r="AI3611" i="7" s="1"/>
  <c r="AH3611" i="7"/>
  <c r="AJ3611" i="7"/>
  <c r="AF3612" i="7"/>
  <c r="AI3612" i="7" s="1"/>
  <c r="AH3612" i="7"/>
  <c r="AJ3612" i="7"/>
  <c r="AF3613" i="7"/>
  <c r="AI3613" i="7" s="1"/>
  <c r="AH3613" i="7"/>
  <c r="AJ3613" i="7"/>
  <c r="AF3614" i="7"/>
  <c r="AI3614" i="7" s="1"/>
  <c r="AH3614" i="7"/>
  <c r="AJ3614" i="7"/>
  <c r="AF3615" i="7"/>
  <c r="AI3615" i="7" s="1"/>
  <c r="AH3615" i="7"/>
  <c r="AJ3615" i="7"/>
  <c r="AF3616" i="7"/>
  <c r="AI3616" i="7" s="1"/>
  <c r="AH3616" i="7"/>
  <c r="AJ3616" i="7"/>
  <c r="AF3617" i="7"/>
  <c r="AI3617" i="7" s="1"/>
  <c r="AH3617" i="7"/>
  <c r="AJ3617" i="7"/>
  <c r="AF3618" i="7"/>
  <c r="AI3618" i="7" s="1"/>
  <c r="AH3618" i="7"/>
  <c r="AJ3618" i="7"/>
  <c r="AF3619" i="7"/>
  <c r="AI3619" i="7" s="1"/>
  <c r="AH3619" i="7"/>
  <c r="AJ3619" i="7"/>
  <c r="AF3620" i="7"/>
  <c r="AI3620" i="7" s="1"/>
  <c r="AH3620" i="7"/>
  <c r="AJ3620" i="7"/>
  <c r="AF3621" i="7"/>
  <c r="AI3621" i="7" s="1"/>
  <c r="AH3621" i="7"/>
  <c r="AJ3621" i="7"/>
  <c r="AF3622" i="7"/>
  <c r="AI3622" i="7" s="1"/>
  <c r="AH3622" i="7"/>
  <c r="AJ3622" i="7"/>
  <c r="AF3623" i="7"/>
  <c r="AI3623" i="7" s="1"/>
  <c r="AH3623" i="7"/>
  <c r="AJ3623" i="7"/>
  <c r="AF3624" i="7"/>
  <c r="AI3624" i="7" s="1"/>
  <c r="AH3624" i="7"/>
  <c r="AJ3624" i="7"/>
  <c r="AF3625" i="7"/>
  <c r="AI3625" i="7" s="1"/>
  <c r="AH3625" i="7"/>
  <c r="AJ3625" i="7"/>
  <c r="AF3626" i="7"/>
  <c r="AI3626" i="7" s="1"/>
  <c r="AH3626" i="7"/>
  <c r="AJ3626" i="7"/>
  <c r="AF3629" i="7"/>
  <c r="AI3629" i="7" s="1"/>
  <c r="AH3629" i="7"/>
  <c r="AJ3629" i="7"/>
  <c r="AF3630" i="7"/>
  <c r="AI3630" i="7" s="1"/>
  <c r="AH3630" i="7"/>
  <c r="AJ3630" i="7"/>
  <c r="AF3631" i="7"/>
  <c r="AI3631" i="7" s="1"/>
  <c r="AH3631" i="7"/>
  <c r="AJ3631" i="7"/>
  <c r="AF3632" i="7"/>
  <c r="AI3632" i="7" s="1"/>
  <c r="AH3632" i="7"/>
  <c r="AJ3632" i="7"/>
  <c r="AF3633" i="7"/>
  <c r="AI3633" i="7" s="1"/>
  <c r="AH3633" i="7"/>
  <c r="AJ3633" i="7"/>
  <c r="AF3634" i="7"/>
  <c r="AI3634" i="7" s="1"/>
  <c r="AH3634" i="7"/>
  <c r="AJ3634" i="7"/>
  <c r="AF3635" i="7"/>
  <c r="AI3635" i="7" s="1"/>
  <c r="AH3635" i="7"/>
  <c r="AJ3635" i="7"/>
  <c r="AF3636" i="7"/>
  <c r="AI3636" i="7" s="1"/>
  <c r="AH3636" i="7"/>
  <c r="AJ3636" i="7"/>
  <c r="AF3637" i="7"/>
  <c r="AI3637" i="7" s="1"/>
  <c r="AH3637" i="7"/>
  <c r="AJ3637" i="7"/>
  <c r="AF3638" i="7"/>
  <c r="AI3638" i="7" s="1"/>
  <c r="AH3638" i="7"/>
  <c r="AJ3638" i="7"/>
  <c r="AF3639" i="7"/>
  <c r="AI3639" i="7" s="1"/>
  <c r="AH3639" i="7"/>
  <c r="AJ3639" i="7"/>
  <c r="AF3640" i="7"/>
  <c r="AI3640" i="7" s="1"/>
  <c r="AH3640" i="7"/>
  <c r="AJ3640" i="7"/>
  <c r="AF3641" i="7"/>
  <c r="AI3641" i="7" s="1"/>
  <c r="AH3641" i="7"/>
  <c r="AJ3641" i="7"/>
  <c r="AF3642" i="7"/>
  <c r="AI3642" i="7" s="1"/>
  <c r="AH3642" i="7"/>
  <c r="AJ3642" i="7"/>
  <c r="AF3643" i="7"/>
  <c r="AI3643" i="7" s="1"/>
  <c r="AH3643" i="7"/>
  <c r="AJ3643" i="7"/>
  <c r="AF3644" i="7"/>
  <c r="AI3644" i="7" s="1"/>
  <c r="AH3644" i="7"/>
  <c r="AJ3644" i="7"/>
  <c r="AF3645" i="7"/>
  <c r="AI3645" i="7" s="1"/>
  <c r="AH3645" i="7"/>
  <c r="AJ3645" i="7"/>
  <c r="AF3646" i="7"/>
  <c r="AI3646" i="7" s="1"/>
  <c r="AH3646" i="7"/>
  <c r="AJ3646" i="7"/>
  <c r="AF3647" i="7"/>
  <c r="AI3647" i="7" s="1"/>
  <c r="AH3647" i="7"/>
  <c r="AJ3647" i="7"/>
  <c r="AF3648" i="7"/>
  <c r="AI3648" i="7" s="1"/>
  <c r="AH3648" i="7"/>
  <c r="AJ3648" i="7"/>
  <c r="AF3649" i="7"/>
  <c r="AI3649" i="7" s="1"/>
  <c r="AH3649" i="7"/>
  <c r="AJ3649" i="7"/>
  <c r="AF3650" i="7"/>
  <c r="AI3650" i="7" s="1"/>
  <c r="AH3650" i="7"/>
  <c r="AJ3650" i="7"/>
  <c r="AF3651" i="7"/>
  <c r="AI3651" i="7" s="1"/>
  <c r="AH3651" i="7"/>
  <c r="AJ3651" i="7"/>
  <c r="AF3652" i="7"/>
  <c r="AI3652" i="7" s="1"/>
  <c r="AH3652" i="7"/>
  <c r="AJ3652" i="7"/>
  <c r="AF3653" i="7"/>
  <c r="AI3653" i="7" s="1"/>
  <c r="AH3653" i="7"/>
  <c r="AJ3653" i="7"/>
  <c r="AF3654" i="7"/>
  <c r="AI3654" i="7" s="1"/>
  <c r="AH3654" i="7"/>
  <c r="AJ3654" i="7"/>
  <c r="AF3655" i="7"/>
  <c r="AI3655" i="7" s="1"/>
  <c r="AH3655" i="7"/>
  <c r="AJ3655" i="7"/>
  <c r="AF3656" i="7"/>
  <c r="AI3656" i="7" s="1"/>
  <c r="AH3656" i="7"/>
  <c r="AJ3656" i="7"/>
  <c r="AF3657" i="7"/>
  <c r="AI3657" i="7" s="1"/>
  <c r="AH3657" i="7"/>
  <c r="AJ3657" i="7"/>
  <c r="AF3658" i="7"/>
  <c r="AI3658" i="7" s="1"/>
  <c r="AH3658" i="7"/>
  <c r="AJ3658" i="7"/>
  <c r="AF3659" i="7"/>
  <c r="AI3659" i="7" s="1"/>
  <c r="AH3659" i="7"/>
  <c r="AJ3659" i="7"/>
  <c r="AF3660" i="7"/>
  <c r="AI3660" i="7" s="1"/>
  <c r="AH3660" i="7"/>
  <c r="AJ3660" i="7"/>
  <c r="AF3661" i="7"/>
  <c r="AI3661" i="7" s="1"/>
  <c r="AH3661" i="7"/>
  <c r="AJ3661" i="7"/>
  <c r="AF3662" i="7"/>
  <c r="AI3662" i="7" s="1"/>
  <c r="AH3662" i="7"/>
  <c r="AJ3662" i="7"/>
  <c r="AF3663" i="7"/>
  <c r="AI3663" i="7" s="1"/>
  <c r="AH3663" i="7"/>
  <c r="AJ3663" i="7"/>
  <c r="AF3664" i="7"/>
  <c r="AI3664" i="7" s="1"/>
  <c r="AH3664" i="7"/>
  <c r="AJ3664" i="7"/>
  <c r="AF3665" i="7"/>
  <c r="AI3665" i="7" s="1"/>
  <c r="AH3665" i="7"/>
  <c r="AJ3665" i="7"/>
  <c r="AF3666" i="7"/>
  <c r="AI3666" i="7" s="1"/>
  <c r="AH3666" i="7"/>
  <c r="AJ3666" i="7"/>
  <c r="AF3667" i="7"/>
  <c r="AI3667" i="7" s="1"/>
  <c r="AH3667" i="7"/>
  <c r="AJ3667" i="7"/>
  <c r="AF3668" i="7"/>
  <c r="AI3668" i="7" s="1"/>
  <c r="AH3668" i="7"/>
  <c r="AJ3668" i="7"/>
  <c r="AF3669" i="7"/>
  <c r="AI3669" i="7" s="1"/>
  <c r="AH3669" i="7"/>
  <c r="AJ3669" i="7"/>
  <c r="AF3670" i="7"/>
  <c r="AI3670" i="7" s="1"/>
  <c r="AH3670" i="7"/>
  <c r="AJ3670" i="7"/>
  <c r="AF3671" i="7"/>
  <c r="AI3671" i="7" s="1"/>
  <c r="AH3671" i="7"/>
  <c r="AJ3671" i="7"/>
  <c r="AF3672" i="7"/>
  <c r="AI3672" i="7" s="1"/>
  <c r="AH3672" i="7"/>
  <c r="AJ3672" i="7"/>
  <c r="AF3673" i="7"/>
  <c r="AI3673" i="7" s="1"/>
  <c r="AH3673" i="7"/>
  <c r="AJ3673" i="7"/>
  <c r="AF3674" i="7"/>
  <c r="AI3674" i="7" s="1"/>
  <c r="AH3674" i="7"/>
  <c r="AJ3674" i="7"/>
  <c r="AF3675" i="7"/>
  <c r="AI3675" i="7" s="1"/>
  <c r="AH3675" i="7"/>
  <c r="AJ3675" i="7"/>
  <c r="AF3676" i="7"/>
  <c r="AI3676" i="7" s="1"/>
  <c r="AH3676" i="7"/>
  <c r="AJ3676" i="7"/>
  <c r="AF3677" i="7"/>
  <c r="AI3677" i="7" s="1"/>
  <c r="AH3677" i="7"/>
  <c r="AJ3677" i="7"/>
  <c r="AF3678" i="7"/>
  <c r="AI3678" i="7" s="1"/>
  <c r="AH3678" i="7"/>
  <c r="AJ3678" i="7"/>
  <c r="AF3679" i="7"/>
  <c r="AI3679" i="7" s="1"/>
  <c r="AH3679" i="7"/>
  <c r="AJ3679" i="7"/>
  <c r="AF3680" i="7"/>
  <c r="AI3680" i="7" s="1"/>
  <c r="AH3680" i="7"/>
  <c r="AJ3680" i="7"/>
  <c r="AF3681" i="7"/>
  <c r="AI3681" i="7" s="1"/>
  <c r="AH3681" i="7"/>
  <c r="AJ3681" i="7"/>
  <c r="AF3682" i="7"/>
  <c r="AI3682" i="7" s="1"/>
  <c r="AH3682" i="7"/>
  <c r="AJ3682" i="7"/>
  <c r="AF3683" i="7"/>
  <c r="AI3683" i="7" s="1"/>
  <c r="AH3683" i="7"/>
  <c r="AJ3683" i="7"/>
  <c r="AF3684" i="7"/>
  <c r="AI3684" i="7" s="1"/>
  <c r="AH3684" i="7"/>
  <c r="AJ3684" i="7"/>
  <c r="AF3685" i="7"/>
  <c r="AI3685" i="7" s="1"/>
  <c r="AH3685" i="7"/>
  <c r="AJ3685" i="7"/>
  <c r="AF3686" i="7"/>
  <c r="AI3686" i="7" s="1"/>
  <c r="AH3686" i="7"/>
  <c r="AJ3686" i="7"/>
  <c r="AF3687" i="7"/>
  <c r="AI3687" i="7" s="1"/>
  <c r="AH3687" i="7"/>
  <c r="AJ3687" i="7"/>
  <c r="AF3688" i="7"/>
  <c r="AI3688" i="7" s="1"/>
  <c r="AH3688" i="7"/>
  <c r="AJ3688" i="7"/>
  <c r="AF3689" i="7"/>
  <c r="AI3689" i="7" s="1"/>
  <c r="AH3689" i="7"/>
  <c r="AJ3689" i="7"/>
  <c r="AF3690" i="7"/>
  <c r="AI3690" i="7" s="1"/>
  <c r="AH3690" i="7"/>
  <c r="AJ3690" i="7"/>
  <c r="AF3691" i="7"/>
  <c r="AI3691" i="7" s="1"/>
  <c r="AH3691" i="7"/>
  <c r="AJ3691" i="7"/>
  <c r="AF3692" i="7"/>
  <c r="AI3692" i="7" s="1"/>
  <c r="AH3692" i="7"/>
  <c r="AJ3692" i="7"/>
  <c r="AF3693" i="7"/>
  <c r="AI3693" i="7" s="1"/>
  <c r="AH3693" i="7"/>
  <c r="AJ3693" i="7"/>
  <c r="AF3694" i="7"/>
  <c r="AI3694" i="7" s="1"/>
  <c r="AH3694" i="7"/>
  <c r="AJ3694" i="7"/>
  <c r="AF3695" i="7"/>
  <c r="AI3695" i="7" s="1"/>
  <c r="AH3695" i="7"/>
  <c r="AJ3695" i="7"/>
  <c r="AF3696" i="7"/>
  <c r="AI3696" i="7" s="1"/>
  <c r="AH3696" i="7"/>
  <c r="AJ3696" i="7"/>
  <c r="AF3697" i="7"/>
  <c r="AI3697" i="7" s="1"/>
  <c r="AH3697" i="7"/>
  <c r="AJ3697" i="7"/>
  <c r="AF3698" i="7"/>
  <c r="AI3698" i="7" s="1"/>
  <c r="AH3698" i="7"/>
  <c r="AJ3698" i="7"/>
  <c r="AF3699" i="7"/>
  <c r="AI3699" i="7" s="1"/>
  <c r="AH3699" i="7"/>
  <c r="AJ3699" i="7"/>
  <c r="AF3700" i="7"/>
  <c r="AI3700" i="7" s="1"/>
  <c r="AH3700" i="7"/>
  <c r="AJ3700" i="7"/>
  <c r="AF3701" i="7"/>
  <c r="AI3701" i="7" s="1"/>
  <c r="AH3701" i="7"/>
  <c r="AJ3701" i="7"/>
  <c r="AF3702" i="7"/>
  <c r="AI3702" i="7" s="1"/>
  <c r="AH3702" i="7"/>
  <c r="AJ3702" i="7"/>
  <c r="AF3703" i="7"/>
  <c r="AI3703" i="7" s="1"/>
  <c r="AH3703" i="7"/>
  <c r="AJ3703" i="7"/>
  <c r="AF3704" i="7"/>
  <c r="AI3704" i="7" s="1"/>
  <c r="AH3704" i="7"/>
  <c r="AJ3704" i="7"/>
  <c r="AF3705" i="7"/>
  <c r="AI3705" i="7" s="1"/>
  <c r="AH3705" i="7"/>
  <c r="AJ3705" i="7"/>
  <c r="AF3706" i="7"/>
  <c r="AI3706" i="7" s="1"/>
  <c r="AH3706" i="7"/>
  <c r="AJ3706" i="7"/>
  <c r="AF3709" i="7"/>
  <c r="AI3709" i="7" s="1"/>
  <c r="AH3709" i="7"/>
  <c r="AJ3709" i="7"/>
  <c r="AF3710" i="7"/>
  <c r="AI3710" i="7" s="1"/>
  <c r="AH3710" i="7"/>
  <c r="AJ3710" i="7"/>
  <c r="AF3711" i="7"/>
  <c r="AI3711" i="7" s="1"/>
  <c r="AH3711" i="7"/>
  <c r="AJ3711" i="7"/>
  <c r="AF3712" i="7"/>
  <c r="AI3712" i="7" s="1"/>
  <c r="AH3712" i="7"/>
  <c r="AJ3712" i="7"/>
  <c r="AF3713" i="7"/>
  <c r="AI3713" i="7" s="1"/>
  <c r="AH3713" i="7"/>
  <c r="AJ3713" i="7"/>
  <c r="AF3714" i="7"/>
  <c r="AI3714" i="7" s="1"/>
  <c r="AH3714" i="7"/>
  <c r="AJ3714" i="7"/>
  <c r="AF3715" i="7"/>
  <c r="AI3715" i="7" s="1"/>
  <c r="AH3715" i="7"/>
  <c r="AJ3715" i="7"/>
  <c r="AF3716" i="7"/>
  <c r="AI3716" i="7" s="1"/>
  <c r="AH3716" i="7"/>
  <c r="AJ3716" i="7"/>
  <c r="AF3717" i="7"/>
  <c r="AI3717" i="7" s="1"/>
  <c r="AH3717" i="7"/>
  <c r="AJ3717" i="7"/>
  <c r="AF3718" i="7"/>
  <c r="AI3718" i="7" s="1"/>
  <c r="AH3718" i="7"/>
  <c r="AJ3718" i="7"/>
  <c r="AF3719" i="7"/>
  <c r="AI3719" i="7" s="1"/>
  <c r="AH3719" i="7"/>
  <c r="AJ3719" i="7"/>
  <c r="AF3720" i="7"/>
  <c r="AI3720" i="7" s="1"/>
  <c r="AH3720" i="7"/>
  <c r="AJ3720" i="7"/>
  <c r="AF3721" i="7"/>
  <c r="AI3721" i="7" s="1"/>
  <c r="AH3721" i="7"/>
  <c r="AJ3721" i="7"/>
  <c r="AF3722" i="7"/>
  <c r="AI3722" i="7" s="1"/>
  <c r="AH3722" i="7"/>
  <c r="AJ3722" i="7"/>
  <c r="AF3723" i="7"/>
  <c r="AI3723" i="7" s="1"/>
  <c r="AH3723" i="7"/>
  <c r="AJ3723" i="7"/>
  <c r="AF3724" i="7"/>
  <c r="AI3724" i="7" s="1"/>
  <c r="AH3724" i="7"/>
  <c r="AJ3724" i="7"/>
  <c r="AF3725" i="7"/>
  <c r="AI3725" i="7" s="1"/>
  <c r="AH3725" i="7"/>
  <c r="AJ3725" i="7"/>
  <c r="AF3726" i="7"/>
  <c r="AI3726" i="7" s="1"/>
  <c r="AH3726" i="7"/>
  <c r="AJ3726" i="7"/>
  <c r="AF3727" i="7"/>
  <c r="AI3727" i="7" s="1"/>
  <c r="AH3727" i="7"/>
  <c r="AJ3727" i="7"/>
  <c r="AF3728" i="7"/>
  <c r="AI3728" i="7" s="1"/>
  <c r="AH3728" i="7"/>
  <c r="AJ3728" i="7"/>
  <c r="AF3729" i="7"/>
  <c r="AI3729" i="7" s="1"/>
  <c r="AH3729" i="7"/>
  <c r="AJ3729" i="7"/>
  <c r="AF3730" i="7"/>
  <c r="AI3730" i="7" s="1"/>
  <c r="AH3730" i="7"/>
  <c r="AJ3730" i="7"/>
  <c r="AF3731" i="7"/>
  <c r="AI3731" i="7" s="1"/>
  <c r="AH3731" i="7"/>
  <c r="AJ3731" i="7"/>
  <c r="AF3732" i="7"/>
  <c r="AI3732" i="7" s="1"/>
  <c r="AH3732" i="7"/>
  <c r="AJ3732" i="7"/>
  <c r="AF3733" i="7"/>
  <c r="AI3733" i="7" s="1"/>
  <c r="AH3733" i="7"/>
  <c r="AJ3733" i="7"/>
  <c r="AF3734" i="7"/>
  <c r="AI3734" i="7" s="1"/>
  <c r="AH3734" i="7"/>
  <c r="AJ3734" i="7"/>
  <c r="AF3735" i="7"/>
  <c r="AI3735" i="7" s="1"/>
  <c r="AH3735" i="7"/>
  <c r="AJ3735" i="7"/>
  <c r="AF3736" i="7"/>
  <c r="AI3736" i="7" s="1"/>
  <c r="AH3736" i="7"/>
  <c r="AJ3736" i="7"/>
  <c r="AF3737" i="7"/>
  <c r="AI3737" i="7" s="1"/>
  <c r="AH3737" i="7"/>
  <c r="AJ3737" i="7"/>
  <c r="AF3738" i="7"/>
  <c r="AI3738" i="7" s="1"/>
  <c r="AH3738" i="7"/>
  <c r="AJ3738" i="7"/>
  <c r="AF3739" i="7"/>
  <c r="AI3739" i="7" s="1"/>
  <c r="AH3739" i="7"/>
  <c r="AJ3739" i="7"/>
  <c r="AF3740" i="7"/>
  <c r="AI3740" i="7" s="1"/>
  <c r="AH3740" i="7"/>
  <c r="AJ3740" i="7"/>
  <c r="AF3741" i="7"/>
  <c r="AI3741" i="7" s="1"/>
  <c r="AH3741" i="7"/>
  <c r="AJ3741" i="7"/>
  <c r="AF3742" i="7"/>
  <c r="AI3742" i="7" s="1"/>
  <c r="AH3742" i="7"/>
  <c r="AJ3742" i="7"/>
  <c r="AF3743" i="7"/>
  <c r="AI3743" i="7" s="1"/>
  <c r="AH3743" i="7"/>
  <c r="AJ3743" i="7"/>
  <c r="AF3744" i="7"/>
  <c r="AI3744" i="7" s="1"/>
  <c r="AH3744" i="7"/>
  <c r="AJ3744" i="7"/>
  <c r="AF3745" i="7"/>
  <c r="AI3745" i="7" s="1"/>
  <c r="AH3745" i="7"/>
  <c r="AJ3745" i="7"/>
  <c r="AF3746" i="7"/>
  <c r="AI3746" i="7" s="1"/>
  <c r="AH3746" i="7"/>
  <c r="AJ3746" i="7"/>
  <c r="AF3747" i="7"/>
  <c r="AI3747" i="7" s="1"/>
  <c r="AH3747" i="7"/>
  <c r="AJ3747" i="7"/>
  <c r="AF3748" i="7"/>
  <c r="AI3748" i="7" s="1"/>
  <c r="AH3748" i="7"/>
  <c r="AJ3748" i="7"/>
  <c r="AF3749" i="7"/>
  <c r="AI3749" i="7" s="1"/>
  <c r="AH3749" i="7"/>
  <c r="AJ3749" i="7"/>
  <c r="AF3750" i="7"/>
  <c r="AI3750" i="7" s="1"/>
  <c r="AH3750" i="7"/>
  <c r="AJ3750" i="7"/>
  <c r="AF3751" i="7"/>
  <c r="AI3751" i="7" s="1"/>
  <c r="AH3751" i="7"/>
  <c r="AJ3751" i="7"/>
  <c r="AF3752" i="7"/>
  <c r="AI3752" i="7" s="1"/>
  <c r="AH3752" i="7"/>
  <c r="AJ3752" i="7"/>
  <c r="AF3753" i="7"/>
  <c r="AI3753" i="7" s="1"/>
  <c r="AH3753" i="7"/>
  <c r="AJ3753" i="7"/>
  <c r="AF3754" i="7"/>
  <c r="AI3754" i="7" s="1"/>
  <c r="AH3754" i="7"/>
  <c r="AJ3754" i="7"/>
  <c r="AF3755" i="7"/>
  <c r="AI3755" i="7" s="1"/>
  <c r="AH3755" i="7"/>
  <c r="AJ3755" i="7"/>
  <c r="AF3756" i="7"/>
  <c r="AI3756" i="7" s="1"/>
  <c r="AH3756" i="7"/>
  <c r="AJ3756" i="7"/>
  <c r="AF3757" i="7"/>
  <c r="AI3757" i="7" s="1"/>
  <c r="AH3757" i="7"/>
  <c r="AJ3757" i="7"/>
  <c r="AF3758" i="7"/>
  <c r="AI3758" i="7" s="1"/>
  <c r="AH3758" i="7"/>
  <c r="AJ3758" i="7"/>
  <c r="AF3759" i="7"/>
  <c r="AI3759" i="7" s="1"/>
  <c r="AH3759" i="7"/>
  <c r="AJ3759" i="7"/>
  <c r="AF3760" i="7"/>
  <c r="AI3760" i="7" s="1"/>
  <c r="AH3760" i="7"/>
  <c r="AJ3760" i="7"/>
  <c r="AF3761" i="7"/>
  <c r="AI3761" i="7" s="1"/>
  <c r="AH3761" i="7"/>
  <c r="AJ3761" i="7"/>
  <c r="AF3762" i="7"/>
  <c r="AI3762" i="7" s="1"/>
  <c r="AH3762" i="7"/>
  <c r="AJ3762" i="7"/>
  <c r="AF3763" i="7"/>
  <c r="AI3763" i="7" s="1"/>
  <c r="AH3763" i="7"/>
  <c r="AJ3763" i="7"/>
  <c r="AF3764" i="7"/>
  <c r="AI3764" i="7" s="1"/>
  <c r="AH3764" i="7"/>
  <c r="AJ3764" i="7"/>
  <c r="AF3765" i="7"/>
  <c r="AI3765" i="7" s="1"/>
  <c r="AH3765" i="7"/>
  <c r="AJ3765" i="7"/>
  <c r="AF3766" i="7"/>
  <c r="AI3766" i="7" s="1"/>
  <c r="AH3766" i="7"/>
  <c r="AJ3766" i="7"/>
  <c r="AF3767" i="7"/>
  <c r="AI3767" i="7" s="1"/>
  <c r="AH3767" i="7"/>
  <c r="AJ3767" i="7"/>
  <c r="AF3768" i="7"/>
  <c r="AI3768" i="7" s="1"/>
  <c r="AH3768" i="7"/>
  <c r="AJ3768" i="7"/>
  <c r="AF3769" i="7"/>
  <c r="AI3769" i="7" s="1"/>
  <c r="AH3769" i="7"/>
  <c r="AJ3769" i="7"/>
  <c r="AF3770" i="7"/>
  <c r="AI3770" i="7" s="1"/>
  <c r="AH3770" i="7"/>
  <c r="AJ3770" i="7"/>
  <c r="AF3771" i="7"/>
  <c r="AI3771" i="7" s="1"/>
  <c r="AH3771" i="7"/>
  <c r="AJ3771" i="7"/>
  <c r="AF3772" i="7"/>
  <c r="AI3772" i="7" s="1"/>
  <c r="AH3772" i="7"/>
  <c r="AJ3772" i="7"/>
  <c r="AF3773" i="7"/>
  <c r="AI3773" i="7" s="1"/>
  <c r="AH3773" i="7"/>
  <c r="AJ3773" i="7"/>
  <c r="AF3774" i="7"/>
  <c r="AI3774" i="7" s="1"/>
  <c r="AH3774" i="7"/>
  <c r="AJ3774" i="7"/>
  <c r="AF3775" i="7"/>
  <c r="AI3775" i="7" s="1"/>
  <c r="AH3775" i="7"/>
  <c r="AJ3775" i="7"/>
  <c r="AF3776" i="7"/>
  <c r="AI3776" i="7" s="1"/>
  <c r="AH3776" i="7"/>
  <c r="AJ3776" i="7"/>
  <c r="AF3777" i="7"/>
  <c r="AI3777" i="7" s="1"/>
  <c r="AH3777" i="7"/>
  <c r="AJ3777" i="7"/>
  <c r="AF3778" i="7"/>
  <c r="AI3778" i="7" s="1"/>
  <c r="AH3778" i="7"/>
  <c r="AJ3778" i="7"/>
  <c r="AF3779" i="7"/>
  <c r="AI3779" i="7" s="1"/>
  <c r="AH3779" i="7"/>
  <c r="AJ3779" i="7"/>
  <c r="AF3780" i="7"/>
  <c r="AI3780" i="7" s="1"/>
  <c r="AH3780" i="7"/>
  <c r="AJ3780" i="7"/>
  <c r="AF3781" i="7"/>
  <c r="AI3781" i="7" s="1"/>
  <c r="AH3781" i="7"/>
  <c r="AJ3781" i="7"/>
  <c r="AF3782" i="7"/>
  <c r="AI3782" i="7" s="1"/>
  <c r="AH3782" i="7"/>
  <c r="AJ3782" i="7"/>
  <c r="AF3783" i="7"/>
  <c r="AI3783" i="7" s="1"/>
  <c r="AH3783" i="7"/>
  <c r="AJ3783" i="7"/>
  <c r="AF3784" i="7"/>
  <c r="AI3784" i="7" s="1"/>
  <c r="AH3784" i="7"/>
  <c r="AJ3784" i="7"/>
  <c r="AF3785" i="7"/>
  <c r="AI3785" i="7" s="1"/>
  <c r="AH3785" i="7"/>
  <c r="AJ3785" i="7"/>
  <c r="AF3786" i="7"/>
  <c r="AI3786" i="7" s="1"/>
  <c r="AH3786" i="7"/>
  <c r="AJ3786" i="7"/>
  <c r="AF3789" i="7"/>
  <c r="AI3789" i="7" s="1"/>
  <c r="AH3789" i="7"/>
  <c r="AJ3789" i="7"/>
  <c r="AF3790" i="7"/>
  <c r="AI3790" i="7" s="1"/>
  <c r="AH3790" i="7"/>
  <c r="AJ3790" i="7"/>
  <c r="AF3791" i="7"/>
  <c r="AI3791" i="7" s="1"/>
  <c r="AH3791" i="7"/>
  <c r="AJ3791" i="7"/>
  <c r="AF3792" i="7"/>
  <c r="AI3792" i="7" s="1"/>
  <c r="AH3792" i="7"/>
  <c r="AJ3792" i="7"/>
  <c r="AF3793" i="7"/>
  <c r="AI3793" i="7" s="1"/>
  <c r="AH3793" i="7"/>
  <c r="AJ3793" i="7"/>
  <c r="AF3794" i="7"/>
  <c r="AI3794" i="7" s="1"/>
  <c r="AH3794" i="7"/>
  <c r="AJ3794" i="7"/>
  <c r="AF3795" i="7"/>
  <c r="AI3795" i="7" s="1"/>
  <c r="AH3795" i="7"/>
  <c r="AJ3795" i="7"/>
  <c r="AF3796" i="7"/>
  <c r="AI3796" i="7" s="1"/>
  <c r="AH3796" i="7"/>
  <c r="AJ3796" i="7"/>
  <c r="AF3797" i="7"/>
  <c r="AI3797" i="7" s="1"/>
  <c r="AH3797" i="7"/>
  <c r="AJ3797" i="7"/>
  <c r="AF3798" i="7"/>
  <c r="AI3798" i="7" s="1"/>
  <c r="AH3798" i="7"/>
  <c r="AJ3798" i="7"/>
  <c r="AF3799" i="7"/>
  <c r="AI3799" i="7" s="1"/>
  <c r="AH3799" i="7"/>
  <c r="AJ3799" i="7"/>
  <c r="AF3800" i="7"/>
  <c r="AI3800" i="7" s="1"/>
  <c r="AH3800" i="7"/>
  <c r="AJ3800" i="7"/>
  <c r="AF3801" i="7"/>
  <c r="AI3801" i="7" s="1"/>
  <c r="AH3801" i="7"/>
  <c r="AJ3801" i="7"/>
  <c r="AF3802" i="7"/>
  <c r="AI3802" i="7" s="1"/>
  <c r="AH3802" i="7"/>
  <c r="AJ3802" i="7"/>
  <c r="AF3803" i="7"/>
  <c r="AI3803" i="7" s="1"/>
  <c r="AH3803" i="7"/>
  <c r="AJ3803" i="7"/>
  <c r="AF3804" i="7"/>
  <c r="AI3804" i="7" s="1"/>
  <c r="AH3804" i="7"/>
  <c r="AJ3804" i="7"/>
  <c r="AF3805" i="7"/>
  <c r="AI3805" i="7" s="1"/>
  <c r="AH3805" i="7"/>
  <c r="AJ3805" i="7"/>
  <c r="AF3806" i="7"/>
  <c r="AI3806" i="7" s="1"/>
  <c r="AH3806" i="7"/>
  <c r="AJ3806" i="7"/>
  <c r="AF3807" i="7"/>
  <c r="AI3807" i="7" s="1"/>
  <c r="AH3807" i="7"/>
  <c r="AJ3807" i="7"/>
  <c r="AF3808" i="7"/>
  <c r="AI3808" i="7" s="1"/>
  <c r="AH3808" i="7"/>
  <c r="AJ3808" i="7"/>
  <c r="AF3809" i="7"/>
  <c r="AI3809" i="7" s="1"/>
  <c r="AH3809" i="7"/>
  <c r="AJ3809" i="7"/>
  <c r="AF3810" i="7"/>
  <c r="AI3810" i="7" s="1"/>
  <c r="AH3810" i="7"/>
  <c r="AJ3810" i="7"/>
  <c r="AF3811" i="7"/>
  <c r="AI3811" i="7" s="1"/>
  <c r="AH3811" i="7"/>
  <c r="AJ3811" i="7"/>
  <c r="AF3812" i="7"/>
  <c r="AI3812" i="7" s="1"/>
  <c r="AH3812" i="7"/>
  <c r="AJ3812" i="7"/>
  <c r="AF3813" i="7"/>
  <c r="AI3813" i="7" s="1"/>
  <c r="AH3813" i="7"/>
  <c r="AJ3813" i="7"/>
  <c r="AF3814" i="7"/>
  <c r="AI3814" i="7" s="1"/>
  <c r="AH3814" i="7"/>
  <c r="AJ3814" i="7"/>
  <c r="AF3815" i="7"/>
  <c r="AI3815" i="7" s="1"/>
  <c r="AH3815" i="7"/>
  <c r="AJ3815" i="7"/>
  <c r="AF3816" i="7"/>
  <c r="AI3816" i="7" s="1"/>
  <c r="AH3816" i="7"/>
  <c r="AJ3816" i="7"/>
  <c r="AF3817" i="7"/>
  <c r="AI3817" i="7" s="1"/>
  <c r="AH3817" i="7"/>
  <c r="AJ3817" i="7"/>
  <c r="AF3818" i="7"/>
  <c r="AI3818" i="7" s="1"/>
  <c r="AH3818" i="7"/>
  <c r="AJ3818" i="7"/>
  <c r="AF3819" i="7"/>
  <c r="AI3819" i="7" s="1"/>
  <c r="AH3819" i="7"/>
  <c r="AJ3819" i="7"/>
  <c r="AF3820" i="7"/>
  <c r="AI3820" i="7" s="1"/>
  <c r="AH3820" i="7"/>
  <c r="AJ3820" i="7"/>
  <c r="AF3821" i="7"/>
  <c r="AI3821" i="7" s="1"/>
  <c r="AH3821" i="7"/>
  <c r="AJ3821" i="7"/>
  <c r="AF3822" i="7"/>
  <c r="AI3822" i="7" s="1"/>
  <c r="AH3822" i="7"/>
  <c r="AJ3822" i="7"/>
  <c r="AF3823" i="7"/>
  <c r="AI3823" i="7" s="1"/>
  <c r="AH3823" i="7"/>
  <c r="AJ3823" i="7"/>
  <c r="AF3824" i="7"/>
  <c r="AI3824" i="7" s="1"/>
  <c r="AH3824" i="7"/>
  <c r="AJ3824" i="7"/>
  <c r="AF3825" i="7"/>
  <c r="AI3825" i="7" s="1"/>
  <c r="AH3825" i="7"/>
  <c r="AJ3825" i="7"/>
  <c r="AF3826" i="7"/>
  <c r="AI3826" i="7" s="1"/>
  <c r="AH3826" i="7"/>
  <c r="AJ3826" i="7"/>
  <c r="AF3827" i="7"/>
  <c r="AI3827" i="7" s="1"/>
  <c r="AH3827" i="7"/>
  <c r="AJ3827" i="7"/>
  <c r="AF3828" i="7"/>
  <c r="AI3828" i="7" s="1"/>
  <c r="AH3828" i="7"/>
  <c r="AJ3828" i="7"/>
  <c r="AF3829" i="7"/>
  <c r="AI3829" i="7" s="1"/>
  <c r="AH3829" i="7"/>
  <c r="AJ3829" i="7"/>
  <c r="AF3830" i="7"/>
  <c r="AI3830" i="7" s="1"/>
  <c r="AH3830" i="7"/>
  <c r="AJ3830" i="7"/>
  <c r="AF3831" i="7"/>
  <c r="AI3831" i="7" s="1"/>
  <c r="AH3831" i="7"/>
  <c r="AJ3831" i="7"/>
  <c r="AF3832" i="7"/>
  <c r="AI3832" i="7" s="1"/>
  <c r="AH3832" i="7"/>
  <c r="AJ3832" i="7"/>
  <c r="AF3833" i="7"/>
  <c r="AI3833" i="7" s="1"/>
  <c r="AH3833" i="7"/>
  <c r="AJ3833" i="7"/>
  <c r="AF3834" i="7"/>
  <c r="AI3834" i="7" s="1"/>
  <c r="AH3834" i="7"/>
  <c r="AJ3834" i="7"/>
  <c r="AF3835" i="7"/>
  <c r="AI3835" i="7" s="1"/>
  <c r="AH3835" i="7"/>
  <c r="AJ3835" i="7"/>
  <c r="AF3836" i="7"/>
  <c r="AI3836" i="7" s="1"/>
  <c r="AH3836" i="7"/>
  <c r="AJ3836" i="7"/>
  <c r="AF3837" i="7"/>
  <c r="AI3837" i="7" s="1"/>
  <c r="AH3837" i="7"/>
  <c r="AJ3837" i="7"/>
  <c r="AF3838" i="7"/>
  <c r="AI3838" i="7" s="1"/>
  <c r="AH3838" i="7"/>
  <c r="AJ3838" i="7"/>
  <c r="AF3839" i="7"/>
  <c r="AI3839" i="7" s="1"/>
  <c r="AH3839" i="7"/>
  <c r="AJ3839" i="7"/>
  <c r="AF3840" i="7"/>
  <c r="AI3840" i="7" s="1"/>
  <c r="AH3840" i="7"/>
  <c r="AJ3840" i="7"/>
  <c r="AF3841" i="7"/>
  <c r="AI3841" i="7" s="1"/>
  <c r="AH3841" i="7"/>
  <c r="AJ3841" i="7"/>
  <c r="AF3842" i="7"/>
  <c r="AI3842" i="7" s="1"/>
  <c r="AH3842" i="7"/>
  <c r="AJ3842" i="7"/>
  <c r="AF3843" i="7"/>
  <c r="AI3843" i="7" s="1"/>
  <c r="AH3843" i="7"/>
  <c r="AJ3843" i="7"/>
  <c r="AF3844" i="7"/>
  <c r="AI3844" i="7" s="1"/>
  <c r="AH3844" i="7"/>
  <c r="AJ3844" i="7"/>
  <c r="AF3845" i="7"/>
  <c r="AI3845" i="7" s="1"/>
  <c r="AH3845" i="7"/>
  <c r="AJ3845" i="7"/>
  <c r="AF3846" i="7"/>
  <c r="AI3846" i="7" s="1"/>
  <c r="AH3846" i="7"/>
  <c r="AJ3846" i="7"/>
  <c r="AF3847" i="7"/>
  <c r="AI3847" i="7" s="1"/>
  <c r="AH3847" i="7"/>
  <c r="AJ3847" i="7"/>
  <c r="AF3848" i="7"/>
  <c r="AI3848" i="7" s="1"/>
  <c r="AH3848" i="7"/>
  <c r="AJ3848" i="7"/>
  <c r="AF3849" i="7"/>
  <c r="AI3849" i="7" s="1"/>
  <c r="AH3849" i="7"/>
  <c r="AJ3849" i="7"/>
  <c r="AF3850" i="7"/>
  <c r="AI3850" i="7" s="1"/>
  <c r="AH3850" i="7"/>
  <c r="AJ3850" i="7"/>
  <c r="AF3851" i="7"/>
  <c r="AI3851" i="7" s="1"/>
  <c r="AH3851" i="7"/>
  <c r="AJ3851" i="7"/>
  <c r="AF3852" i="7"/>
  <c r="AI3852" i="7" s="1"/>
  <c r="AH3852" i="7"/>
  <c r="AJ3852" i="7"/>
  <c r="AF3853" i="7"/>
  <c r="AI3853" i="7" s="1"/>
  <c r="AH3853" i="7"/>
  <c r="AJ3853" i="7"/>
  <c r="AF3854" i="7"/>
  <c r="AI3854" i="7" s="1"/>
  <c r="AH3854" i="7"/>
  <c r="AJ3854" i="7"/>
  <c r="AF3855" i="7"/>
  <c r="AI3855" i="7" s="1"/>
  <c r="AH3855" i="7"/>
  <c r="AJ3855" i="7"/>
  <c r="AF3856" i="7"/>
  <c r="AI3856" i="7" s="1"/>
  <c r="AH3856" i="7"/>
  <c r="AJ3856" i="7"/>
  <c r="AF3857" i="7"/>
  <c r="AI3857" i="7" s="1"/>
  <c r="AH3857" i="7"/>
  <c r="AJ3857" i="7"/>
  <c r="AF3858" i="7"/>
  <c r="AI3858" i="7" s="1"/>
  <c r="AH3858" i="7"/>
  <c r="AJ3858" i="7"/>
  <c r="AF3859" i="7"/>
  <c r="AI3859" i="7" s="1"/>
  <c r="AH3859" i="7"/>
  <c r="AJ3859" i="7"/>
  <c r="AF3860" i="7"/>
  <c r="AI3860" i="7" s="1"/>
  <c r="AH3860" i="7"/>
  <c r="AJ3860" i="7"/>
  <c r="AF3861" i="7"/>
  <c r="AI3861" i="7" s="1"/>
  <c r="AH3861" i="7"/>
  <c r="AJ3861" i="7"/>
  <c r="AF3862" i="7"/>
  <c r="AI3862" i="7" s="1"/>
  <c r="AH3862" i="7"/>
  <c r="AJ3862" i="7"/>
  <c r="AF3863" i="7"/>
  <c r="AI3863" i="7" s="1"/>
  <c r="AH3863" i="7"/>
  <c r="AJ3863" i="7"/>
  <c r="AF3864" i="7"/>
  <c r="AI3864" i="7" s="1"/>
  <c r="AH3864" i="7"/>
  <c r="AJ3864" i="7"/>
  <c r="AF3865" i="7"/>
  <c r="AI3865" i="7" s="1"/>
  <c r="AH3865" i="7"/>
  <c r="AJ3865" i="7"/>
  <c r="AF3868" i="7"/>
  <c r="AI3868" i="7" s="1"/>
  <c r="AH3868" i="7"/>
  <c r="AJ3868" i="7"/>
  <c r="AF3869" i="7"/>
  <c r="AI3869" i="7" s="1"/>
  <c r="AH3869" i="7"/>
  <c r="AJ3869" i="7"/>
  <c r="AF3870" i="7"/>
  <c r="AI3870" i="7" s="1"/>
  <c r="AH3870" i="7"/>
  <c r="AJ3870" i="7"/>
  <c r="AF3871" i="7"/>
  <c r="AI3871" i="7" s="1"/>
  <c r="AH3871" i="7"/>
  <c r="AJ3871" i="7"/>
  <c r="AF3872" i="7"/>
  <c r="AI3872" i="7" s="1"/>
  <c r="AH3872" i="7"/>
  <c r="AJ3872" i="7"/>
  <c r="AF3873" i="7"/>
  <c r="AI3873" i="7" s="1"/>
  <c r="AH3873" i="7"/>
  <c r="AJ3873" i="7"/>
  <c r="AF3874" i="7"/>
  <c r="AI3874" i="7" s="1"/>
  <c r="AH3874" i="7"/>
  <c r="AJ3874" i="7"/>
  <c r="AF3875" i="7"/>
  <c r="AI3875" i="7" s="1"/>
  <c r="AH3875" i="7"/>
  <c r="AJ3875" i="7"/>
  <c r="AF3876" i="7"/>
  <c r="AI3876" i="7" s="1"/>
  <c r="AH3876" i="7"/>
  <c r="AJ3876" i="7"/>
  <c r="AF3877" i="7"/>
  <c r="AI3877" i="7" s="1"/>
  <c r="AH3877" i="7"/>
  <c r="AJ3877" i="7"/>
  <c r="AF3878" i="7"/>
  <c r="AI3878" i="7" s="1"/>
  <c r="AH3878" i="7"/>
  <c r="AJ3878" i="7"/>
  <c r="AF3879" i="7"/>
  <c r="AI3879" i="7" s="1"/>
  <c r="AH3879" i="7"/>
  <c r="AJ3879" i="7"/>
  <c r="AF3880" i="7"/>
  <c r="AI3880" i="7" s="1"/>
  <c r="AH3880" i="7"/>
  <c r="AJ3880" i="7"/>
  <c r="AF3881" i="7"/>
  <c r="AI3881" i="7" s="1"/>
  <c r="AH3881" i="7"/>
  <c r="AJ3881" i="7"/>
  <c r="AF3882" i="7"/>
  <c r="AI3882" i="7" s="1"/>
  <c r="AH3882" i="7"/>
  <c r="AJ3882" i="7"/>
  <c r="AF3883" i="7"/>
  <c r="AI3883" i="7" s="1"/>
  <c r="AH3883" i="7"/>
  <c r="AJ3883" i="7"/>
  <c r="AF3884" i="7"/>
  <c r="AI3884" i="7" s="1"/>
  <c r="AH3884" i="7"/>
  <c r="AJ3884" i="7"/>
  <c r="AF3885" i="7"/>
  <c r="AI3885" i="7" s="1"/>
  <c r="AH3885" i="7"/>
  <c r="AJ3885" i="7"/>
  <c r="AF3886" i="7"/>
  <c r="AI3886" i="7" s="1"/>
  <c r="AH3886" i="7"/>
  <c r="AJ3886" i="7"/>
  <c r="AF3887" i="7"/>
  <c r="AI3887" i="7" s="1"/>
  <c r="AH3887" i="7"/>
  <c r="AJ3887" i="7"/>
  <c r="AF3888" i="7"/>
  <c r="AI3888" i="7" s="1"/>
  <c r="AH3888" i="7"/>
  <c r="AJ3888" i="7"/>
  <c r="AF3889" i="7"/>
  <c r="AI3889" i="7" s="1"/>
  <c r="AH3889" i="7"/>
  <c r="AJ3889" i="7"/>
  <c r="AF3890" i="7"/>
  <c r="AI3890" i="7" s="1"/>
  <c r="AH3890" i="7"/>
  <c r="AJ3890" i="7"/>
  <c r="AF3891" i="7"/>
  <c r="AI3891" i="7" s="1"/>
  <c r="AH3891" i="7"/>
  <c r="AJ3891" i="7"/>
  <c r="AF3892" i="7"/>
  <c r="AI3892" i="7" s="1"/>
  <c r="AH3892" i="7"/>
  <c r="AJ3892" i="7"/>
  <c r="AF3893" i="7"/>
  <c r="AI3893" i="7" s="1"/>
  <c r="AH3893" i="7"/>
  <c r="AJ3893" i="7"/>
  <c r="AF3894" i="7"/>
  <c r="AI3894" i="7" s="1"/>
  <c r="AH3894" i="7"/>
  <c r="AJ3894" i="7"/>
  <c r="AF3895" i="7"/>
  <c r="AI3895" i="7" s="1"/>
  <c r="AH3895" i="7"/>
  <c r="AJ3895" i="7"/>
  <c r="AF3896" i="7"/>
  <c r="AI3896" i="7" s="1"/>
  <c r="AH3896" i="7"/>
  <c r="AJ3896" i="7"/>
  <c r="AF3897" i="7"/>
  <c r="AI3897" i="7" s="1"/>
  <c r="AH3897" i="7"/>
  <c r="AJ3897" i="7"/>
  <c r="AF3898" i="7"/>
  <c r="AI3898" i="7" s="1"/>
  <c r="AH3898" i="7"/>
  <c r="AJ3898" i="7"/>
  <c r="AF3899" i="7"/>
  <c r="AI3899" i="7" s="1"/>
  <c r="AH3899" i="7"/>
  <c r="AJ3899" i="7"/>
  <c r="AF3900" i="7"/>
  <c r="AI3900" i="7" s="1"/>
  <c r="AH3900" i="7"/>
  <c r="AJ3900" i="7"/>
  <c r="AF3901" i="7"/>
  <c r="AI3901" i="7" s="1"/>
  <c r="AH3901" i="7"/>
  <c r="AJ3901" i="7"/>
  <c r="AF3902" i="7"/>
  <c r="AI3902" i="7" s="1"/>
  <c r="AH3902" i="7"/>
  <c r="AJ3902" i="7"/>
  <c r="AF3903" i="7"/>
  <c r="AI3903" i="7" s="1"/>
  <c r="AH3903" i="7"/>
  <c r="AJ3903" i="7"/>
  <c r="AF3904" i="7"/>
  <c r="AI3904" i="7" s="1"/>
  <c r="AH3904" i="7"/>
  <c r="AJ3904" i="7"/>
  <c r="AF3905" i="7"/>
  <c r="AI3905" i="7" s="1"/>
  <c r="AH3905" i="7"/>
  <c r="AJ3905" i="7"/>
  <c r="AF3906" i="7"/>
  <c r="AI3906" i="7" s="1"/>
  <c r="AH3906" i="7"/>
  <c r="AJ3906" i="7"/>
  <c r="AF3907" i="7"/>
  <c r="AI3907" i="7" s="1"/>
  <c r="AH3907" i="7"/>
  <c r="AJ3907" i="7"/>
  <c r="AF3908" i="7"/>
  <c r="AI3908" i="7" s="1"/>
  <c r="AH3908" i="7"/>
  <c r="AJ3908" i="7"/>
  <c r="AF3909" i="7"/>
  <c r="AI3909" i="7" s="1"/>
  <c r="AH3909" i="7"/>
  <c r="AJ3909" i="7"/>
  <c r="AF3910" i="7"/>
  <c r="AI3910" i="7" s="1"/>
  <c r="AH3910" i="7"/>
  <c r="AJ3910" i="7"/>
  <c r="AF3911" i="7"/>
  <c r="AI3911" i="7" s="1"/>
  <c r="AH3911" i="7"/>
  <c r="AJ3911" i="7"/>
  <c r="AF3912" i="7"/>
  <c r="AI3912" i="7" s="1"/>
  <c r="AH3912" i="7"/>
  <c r="AJ3912" i="7"/>
  <c r="AF3913" i="7"/>
  <c r="AI3913" i="7" s="1"/>
  <c r="AH3913" i="7"/>
  <c r="AJ3913" i="7"/>
  <c r="AF3914" i="7"/>
  <c r="AI3914" i="7" s="1"/>
  <c r="AH3914" i="7"/>
  <c r="AJ3914" i="7"/>
  <c r="AF3915" i="7"/>
  <c r="AI3915" i="7" s="1"/>
  <c r="AH3915" i="7"/>
  <c r="AJ3915" i="7"/>
  <c r="AF3916" i="7"/>
  <c r="AI3916" i="7" s="1"/>
  <c r="AH3916" i="7"/>
  <c r="AJ3916" i="7"/>
  <c r="AF3917" i="7"/>
  <c r="AI3917" i="7" s="1"/>
  <c r="AH3917" i="7"/>
  <c r="AJ3917" i="7"/>
  <c r="AF3918" i="7"/>
  <c r="AI3918" i="7" s="1"/>
  <c r="AH3918" i="7"/>
  <c r="AJ3918" i="7"/>
  <c r="AF3919" i="7"/>
  <c r="AI3919" i="7" s="1"/>
  <c r="AH3919" i="7"/>
  <c r="AJ3919" i="7"/>
  <c r="AF3920" i="7"/>
  <c r="AI3920" i="7" s="1"/>
  <c r="AH3920" i="7"/>
  <c r="AJ3920" i="7"/>
  <c r="AF3921" i="7"/>
  <c r="AI3921" i="7" s="1"/>
  <c r="AH3921" i="7"/>
  <c r="AJ3921" i="7"/>
  <c r="AF3922" i="7"/>
  <c r="AI3922" i="7" s="1"/>
  <c r="AH3922" i="7"/>
  <c r="AJ3922" i="7"/>
  <c r="AF3923" i="7"/>
  <c r="AI3923" i="7" s="1"/>
  <c r="AH3923" i="7"/>
  <c r="AJ3923" i="7"/>
  <c r="AF3924" i="7"/>
  <c r="AI3924" i="7" s="1"/>
  <c r="AH3924" i="7"/>
  <c r="AJ3924" i="7"/>
  <c r="AF3925" i="7"/>
  <c r="AI3925" i="7" s="1"/>
  <c r="AH3925" i="7"/>
  <c r="AJ3925" i="7"/>
  <c r="AF3926" i="7"/>
  <c r="AI3926" i="7" s="1"/>
  <c r="AH3926" i="7"/>
  <c r="AJ3926" i="7"/>
  <c r="AF3927" i="7"/>
  <c r="AI3927" i="7" s="1"/>
  <c r="AH3927" i="7"/>
  <c r="AJ3927" i="7"/>
  <c r="AF3928" i="7"/>
  <c r="AI3928" i="7" s="1"/>
  <c r="AH3928" i="7"/>
  <c r="AJ3928" i="7"/>
  <c r="AF3929" i="7"/>
  <c r="AI3929" i="7" s="1"/>
  <c r="AH3929" i="7"/>
  <c r="AJ3929" i="7"/>
  <c r="AF3930" i="7"/>
  <c r="AI3930" i="7" s="1"/>
  <c r="AH3930" i="7"/>
  <c r="AJ3930" i="7"/>
  <c r="AF3931" i="7"/>
  <c r="AI3931" i="7" s="1"/>
  <c r="AH3931" i="7"/>
  <c r="AJ3931" i="7"/>
  <c r="AF3932" i="7"/>
  <c r="AI3932" i="7" s="1"/>
  <c r="AH3932" i="7"/>
  <c r="AJ3932" i="7"/>
  <c r="AF3933" i="7"/>
  <c r="AI3933" i="7" s="1"/>
  <c r="AH3933" i="7"/>
  <c r="AJ3933" i="7"/>
  <c r="AF3934" i="7"/>
  <c r="AI3934" i="7" s="1"/>
  <c r="AH3934" i="7"/>
  <c r="AJ3934" i="7"/>
  <c r="AF3935" i="7"/>
  <c r="AI3935" i="7" s="1"/>
  <c r="AH3935" i="7"/>
  <c r="AJ3935" i="7"/>
  <c r="AF3936" i="7"/>
  <c r="AI3936" i="7" s="1"/>
  <c r="AH3936" i="7"/>
  <c r="AJ3936" i="7"/>
  <c r="AF3937" i="7"/>
  <c r="AI3937" i="7" s="1"/>
  <c r="AH3937" i="7"/>
  <c r="AJ3937" i="7"/>
  <c r="AF3938" i="7"/>
  <c r="AI3938" i="7" s="1"/>
  <c r="AH3938" i="7"/>
  <c r="AJ3938" i="7"/>
  <c r="AF3939" i="7"/>
  <c r="AI3939" i="7" s="1"/>
  <c r="AH3939" i="7"/>
  <c r="AJ3939" i="7"/>
  <c r="AF3940" i="7"/>
  <c r="AI3940" i="7" s="1"/>
  <c r="AH3940" i="7"/>
  <c r="AJ3940" i="7"/>
  <c r="AF3941" i="7"/>
  <c r="AI3941" i="7" s="1"/>
  <c r="AH3941" i="7"/>
  <c r="AJ3941" i="7"/>
  <c r="AF3942" i="7"/>
  <c r="AI3942" i="7" s="1"/>
  <c r="AH3942" i="7"/>
  <c r="AJ3942" i="7"/>
  <c r="AF3943" i="7"/>
  <c r="AI3943" i="7" s="1"/>
  <c r="AH3943" i="7"/>
  <c r="AJ3943" i="7"/>
  <c r="AF3944" i="7"/>
  <c r="AI3944" i="7" s="1"/>
  <c r="AH3944" i="7"/>
  <c r="AJ3944" i="7"/>
  <c r="AF3947" i="7"/>
  <c r="AI3947" i="7" s="1"/>
  <c r="AH3947" i="7"/>
  <c r="AJ3947" i="7"/>
  <c r="AF3948" i="7"/>
  <c r="AI3948" i="7" s="1"/>
  <c r="AH3948" i="7"/>
  <c r="AJ3948" i="7"/>
  <c r="AF3949" i="7"/>
  <c r="AI3949" i="7" s="1"/>
  <c r="AH3949" i="7"/>
  <c r="AJ3949" i="7"/>
  <c r="AF3950" i="7"/>
  <c r="AI3950" i="7" s="1"/>
  <c r="AH3950" i="7"/>
  <c r="AJ3950" i="7"/>
  <c r="AF3951" i="7"/>
  <c r="AI3951" i="7" s="1"/>
  <c r="AH3951" i="7"/>
  <c r="AJ3951" i="7"/>
  <c r="AF3952" i="7"/>
  <c r="AI3952" i="7" s="1"/>
  <c r="AH3952" i="7"/>
  <c r="AJ3952" i="7"/>
  <c r="AF3953" i="7"/>
  <c r="AI3953" i="7" s="1"/>
  <c r="AH3953" i="7"/>
  <c r="AJ3953" i="7"/>
  <c r="AF3954" i="7"/>
  <c r="AI3954" i="7" s="1"/>
  <c r="AH3954" i="7"/>
  <c r="AJ3954" i="7"/>
  <c r="AF3955" i="7"/>
  <c r="AI3955" i="7" s="1"/>
  <c r="AH3955" i="7"/>
  <c r="AJ3955" i="7"/>
  <c r="AF3956" i="7"/>
  <c r="AI3956" i="7" s="1"/>
  <c r="AH3956" i="7"/>
  <c r="AJ3956" i="7"/>
  <c r="AF3957" i="7"/>
  <c r="AI3957" i="7" s="1"/>
  <c r="AH3957" i="7"/>
  <c r="AJ3957" i="7"/>
  <c r="AF3958" i="7"/>
  <c r="AI3958" i="7" s="1"/>
  <c r="AH3958" i="7"/>
  <c r="AJ3958" i="7"/>
  <c r="AF3959" i="7"/>
  <c r="AI3959" i="7" s="1"/>
  <c r="AH3959" i="7"/>
  <c r="AJ3959" i="7"/>
  <c r="AF3960" i="7"/>
  <c r="AI3960" i="7" s="1"/>
  <c r="AH3960" i="7"/>
  <c r="AJ3960" i="7"/>
  <c r="AF3961" i="7"/>
  <c r="AI3961" i="7" s="1"/>
  <c r="AH3961" i="7"/>
  <c r="AJ3961" i="7"/>
  <c r="AF3962" i="7"/>
  <c r="AI3962" i="7" s="1"/>
  <c r="AH3962" i="7"/>
  <c r="AJ3962" i="7"/>
  <c r="AF3963" i="7"/>
  <c r="AI3963" i="7" s="1"/>
  <c r="AH3963" i="7"/>
  <c r="AJ3963" i="7"/>
  <c r="AF3964" i="7"/>
  <c r="AI3964" i="7" s="1"/>
  <c r="AH3964" i="7"/>
  <c r="AJ3964" i="7"/>
  <c r="AF3965" i="7"/>
  <c r="AI3965" i="7" s="1"/>
  <c r="AH3965" i="7"/>
  <c r="AJ3965" i="7"/>
  <c r="AF3966" i="7"/>
  <c r="AI3966" i="7" s="1"/>
  <c r="AH3966" i="7"/>
  <c r="AJ3966" i="7"/>
  <c r="AF3967" i="7"/>
  <c r="AI3967" i="7" s="1"/>
  <c r="AH3967" i="7"/>
  <c r="AJ3967" i="7"/>
  <c r="AF3968" i="7"/>
  <c r="AI3968" i="7" s="1"/>
  <c r="AH3968" i="7"/>
  <c r="AJ3968" i="7"/>
  <c r="AF3969" i="7"/>
  <c r="AI3969" i="7" s="1"/>
  <c r="AH3969" i="7"/>
  <c r="AJ3969" i="7"/>
  <c r="AF3970" i="7"/>
  <c r="AI3970" i="7" s="1"/>
  <c r="AH3970" i="7"/>
  <c r="AJ3970" i="7"/>
  <c r="AF3971" i="7"/>
  <c r="AI3971" i="7" s="1"/>
  <c r="AH3971" i="7"/>
  <c r="AJ3971" i="7"/>
  <c r="AF3972" i="7"/>
  <c r="AI3972" i="7" s="1"/>
  <c r="AH3972" i="7"/>
  <c r="AJ3972" i="7"/>
  <c r="AF3973" i="7"/>
  <c r="AI3973" i="7" s="1"/>
  <c r="AH3973" i="7"/>
  <c r="AJ3973" i="7"/>
  <c r="AF3974" i="7"/>
  <c r="AI3974" i="7" s="1"/>
  <c r="AH3974" i="7"/>
  <c r="AJ3974" i="7"/>
  <c r="AF3975" i="7"/>
  <c r="AI3975" i="7" s="1"/>
  <c r="AH3975" i="7"/>
  <c r="AJ3975" i="7"/>
  <c r="AF3976" i="7"/>
  <c r="AI3976" i="7" s="1"/>
  <c r="AH3976" i="7"/>
  <c r="AJ3976" i="7"/>
  <c r="AF3977" i="7"/>
  <c r="AI3977" i="7" s="1"/>
  <c r="AH3977" i="7"/>
  <c r="AJ3977" i="7"/>
  <c r="AF3978" i="7"/>
  <c r="AI3978" i="7" s="1"/>
  <c r="AH3978" i="7"/>
  <c r="AJ3978" i="7"/>
  <c r="AF3979" i="7"/>
  <c r="AI3979" i="7" s="1"/>
  <c r="AH3979" i="7"/>
  <c r="AJ3979" i="7"/>
  <c r="AF3980" i="7"/>
  <c r="AI3980" i="7" s="1"/>
  <c r="AH3980" i="7"/>
  <c r="AJ3980" i="7"/>
  <c r="AF3981" i="7"/>
  <c r="AI3981" i="7" s="1"/>
  <c r="AH3981" i="7"/>
  <c r="AJ3981" i="7"/>
  <c r="AF3982" i="7"/>
  <c r="AI3982" i="7" s="1"/>
  <c r="AH3982" i="7"/>
  <c r="AJ3982" i="7"/>
  <c r="AF3983" i="7"/>
  <c r="AI3983" i="7" s="1"/>
  <c r="AH3983" i="7"/>
  <c r="AJ3983" i="7"/>
  <c r="AF3984" i="7"/>
  <c r="AI3984" i="7" s="1"/>
  <c r="AH3984" i="7"/>
  <c r="AJ3984" i="7"/>
  <c r="AF3985" i="7"/>
  <c r="AI3985" i="7" s="1"/>
  <c r="AH3985" i="7"/>
  <c r="AJ3985" i="7"/>
  <c r="AF3986" i="7"/>
  <c r="AI3986" i="7" s="1"/>
  <c r="AH3986" i="7"/>
  <c r="AJ3986" i="7"/>
  <c r="AF3987" i="7"/>
  <c r="AI3987" i="7" s="1"/>
  <c r="AH3987" i="7"/>
  <c r="AJ3987" i="7"/>
  <c r="AF3988" i="7"/>
  <c r="AI3988" i="7" s="1"/>
  <c r="AH3988" i="7"/>
  <c r="AJ3988" i="7"/>
  <c r="AF3989" i="7"/>
  <c r="AI3989" i="7" s="1"/>
  <c r="AH3989" i="7"/>
  <c r="AJ3989" i="7"/>
  <c r="AF3990" i="7"/>
  <c r="AI3990" i="7" s="1"/>
  <c r="AH3990" i="7"/>
  <c r="AJ3990" i="7"/>
  <c r="AF3991" i="7"/>
  <c r="AI3991" i="7" s="1"/>
  <c r="AH3991" i="7"/>
  <c r="AJ3991" i="7"/>
  <c r="AF3992" i="7"/>
  <c r="AI3992" i="7" s="1"/>
  <c r="AH3992" i="7"/>
  <c r="AJ3992" i="7"/>
  <c r="AF3993" i="7"/>
  <c r="AI3993" i="7" s="1"/>
  <c r="AH3993" i="7"/>
  <c r="AJ3993" i="7"/>
  <c r="AF3994" i="7"/>
  <c r="AI3994" i="7" s="1"/>
  <c r="AH3994" i="7"/>
  <c r="AJ3994" i="7"/>
  <c r="AF3995" i="7"/>
  <c r="AI3995" i="7" s="1"/>
  <c r="AH3995" i="7"/>
  <c r="AJ3995" i="7"/>
  <c r="AF3996" i="7"/>
  <c r="AI3996" i="7" s="1"/>
  <c r="AH3996" i="7"/>
  <c r="AJ3996" i="7"/>
  <c r="AF3997" i="7"/>
  <c r="AI3997" i="7" s="1"/>
  <c r="AH3997" i="7"/>
  <c r="AJ3997" i="7"/>
  <c r="AF3998" i="7"/>
  <c r="AI3998" i="7" s="1"/>
  <c r="AH3998" i="7"/>
  <c r="AJ3998" i="7"/>
  <c r="AF3999" i="7"/>
  <c r="AI3999" i="7" s="1"/>
  <c r="AH3999" i="7"/>
  <c r="AJ3999" i="7"/>
  <c r="AF4000" i="7"/>
  <c r="AI4000" i="7" s="1"/>
  <c r="AH4000" i="7"/>
  <c r="AJ4000" i="7"/>
  <c r="AF4001" i="7"/>
  <c r="AI4001" i="7" s="1"/>
  <c r="AH4001" i="7"/>
  <c r="AJ4001" i="7"/>
  <c r="AF4002" i="7"/>
  <c r="AI4002" i="7" s="1"/>
  <c r="AH4002" i="7"/>
  <c r="AJ4002" i="7"/>
  <c r="AF4003" i="7"/>
  <c r="AI4003" i="7" s="1"/>
  <c r="AH4003" i="7"/>
  <c r="AJ4003" i="7"/>
  <c r="AF4004" i="7"/>
  <c r="AI4004" i="7" s="1"/>
  <c r="AH4004" i="7"/>
  <c r="AJ4004" i="7"/>
  <c r="AF4005" i="7"/>
  <c r="AI4005" i="7" s="1"/>
  <c r="AH4005" i="7"/>
  <c r="AJ4005" i="7"/>
  <c r="AF4006" i="7"/>
  <c r="AI4006" i="7" s="1"/>
  <c r="AH4006" i="7"/>
  <c r="AJ4006" i="7"/>
  <c r="AF4007" i="7"/>
  <c r="AI4007" i="7" s="1"/>
  <c r="AH4007" i="7"/>
  <c r="AJ4007" i="7"/>
  <c r="AF4008" i="7"/>
  <c r="AI4008" i="7" s="1"/>
  <c r="AH4008" i="7"/>
  <c r="AJ4008" i="7"/>
  <c r="AF4009" i="7"/>
  <c r="AI4009" i="7" s="1"/>
  <c r="AH4009" i="7"/>
  <c r="AJ4009" i="7"/>
  <c r="AF4010" i="7"/>
  <c r="AI4010" i="7" s="1"/>
  <c r="AH4010" i="7"/>
  <c r="AJ4010" i="7"/>
  <c r="AF4011" i="7"/>
  <c r="AI4011" i="7" s="1"/>
  <c r="AH4011" i="7"/>
  <c r="AJ4011" i="7"/>
  <c r="AF4012" i="7"/>
  <c r="AI4012" i="7" s="1"/>
  <c r="AH4012" i="7"/>
  <c r="AJ4012" i="7"/>
  <c r="AF4013" i="7"/>
  <c r="AI4013" i="7" s="1"/>
  <c r="AH4013" i="7"/>
  <c r="AJ4013" i="7"/>
  <c r="AF4014" i="7"/>
  <c r="AI4014" i="7" s="1"/>
  <c r="AH4014" i="7"/>
  <c r="AJ4014" i="7"/>
  <c r="AF4015" i="7"/>
  <c r="AI4015" i="7" s="1"/>
  <c r="AH4015" i="7"/>
  <c r="AJ4015" i="7"/>
  <c r="AF4016" i="7"/>
  <c r="AI4016" i="7" s="1"/>
  <c r="AH4016" i="7"/>
  <c r="AJ4016" i="7"/>
  <c r="AF4017" i="7"/>
  <c r="AI4017" i="7" s="1"/>
  <c r="AH4017" i="7"/>
  <c r="AJ4017" i="7"/>
  <c r="AF4018" i="7"/>
  <c r="AI4018" i="7" s="1"/>
  <c r="AH4018" i="7"/>
  <c r="AJ4018" i="7"/>
  <c r="AF4019" i="7"/>
  <c r="AI4019" i="7" s="1"/>
  <c r="AH4019" i="7"/>
  <c r="AJ4019" i="7"/>
  <c r="AF4020" i="7"/>
  <c r="AI4020" i="7" s="1"/>
  <c r="AH4020" i="7"/>
  <c r="AJ4020" i="7"/>
  <c r="AF4021" i="7"/>
  <c r="AI4021" i="7" s="1"/>
  <c r="AH4021" i="7"/>
  <c r="AJ4021" i="7"/>
  <c r="AF4022" i="7"/>
  <c r="AI4022" i="7" s="1"/>
  <c r="AH4022" i="7"/>
  <c r="AJ4022" i="7"/>
  <c r="AF4023" i="7"/>
  <c r="AI4023" i="7" s="1"/>
  <c r="AH4023" i="7"/>
  <c r="AJ4023" i="7"/>
  <c r="AF4026" i="7"/>
  <c r="AI4026" i="7" s="1"/>
  <c r="AH4026" i="7"/>
  <c r="AJ4026" i="7"/>
  <c r="AF4027" i="7"/>
  <c r="AI4027" i="7" s="1"/>
  <c r="AH4027" i="7"/>
  <c r="AJ4027" i="7"/>
  <c r="AF4028" i="7"/>
  <c r="AI4028" i="7" s="1"/>
  <c r="AH4028" i="7"/>
  <c r="AJ4028" i="7"/>
  <c r="AF4029" i="7"/>
  <c r="AI4029" i="7" s="1"/>
  <c r="AH4029" i="7"/>
  <c r="AJ4029" i="7"/>
  <c r="AF4030" i="7"/>
  <c r="AI4030" i="7" s="1"/>
  <c r="AH4030" i="7"/>
  <c r="AJ4030" i="7"/>
  <c r="AF4031" i="7"/>
  <c r="AI4031" i="7" s="1"/>
  <c r="AH4031" i="7"/>
  <c r="AJ4031" i="7"/>
  <c r="AF4032" i="7"/>
  <c r="AI4032" i="7" s="1"/>
  <c r="AH4032" i="7"/>
  <c r="AJ4032" i="7"/>
  <c r="AF4033" i="7"/>
  <c r="AI4033" i="7" s="1"/>
  <c r="AH4033" i="7"/>
  <c r="AJ4033" i="7"/>
  <c r="AF4034" i="7"/>
  <c r="AI4034" i="7" s="1"/>
  <c r="AH4034" i="7"/>
  <c r="AJ4034" i="7"/>
  <c r="AF4035" i="7"/>
  <c r="AI4035" i="7" s="1"/>
  <c r="AH4035" i="7"/>
  <c r="AJ4035" i="7"/>
  <c r="AF4036" i="7"/>
  <c r="AI4036" i="7" s="1"/>
  <c r="AH4036" i="7"/>
  <c r="AJ4036" i="7"/>
  <c r="AF4037" i="7"/>
  <c r="AI4037" i="7" s="1"/>
  <c r="AH4037" i="7"/>
  <c r="AJ4037" i="7"/>
  <c r="AF4038" i="7"/>
  <c r="AI4038" i="7" s="1"/>
  <c r="AH4038" i="7"/>
  <c r="AJ4038" i="7"/>
  <c r="AF4039" i="7"/>
  <c r="AI4039" i="7" s="1"/>
  <c r="AH4039" i="7"/>
  <c r="AJ4039" i="7"/>
  <c r="AF4040" i="7"/>
  <c r="AI4040" i="7" s="1"/>
  <c r="AH4040" i="7"/>
  <c r="AJ4040" i="7"/>
  <c r="AF4041" i="7"/>
  <c r="AI4041" i="7" s="1"/>
  <c r="AH4041" i="7"/>
  <c r="AJ4041" i="7"/>
  <c r="AF4042" i="7"/>
  <c r="AI4042" i="7" s="1"/>
  <c r="AH4042" i="7"/>
  <c r="AJ4042" i="7"/>
  <c r="AF4043" i="7"/>
  <c r="AI4043" i="7" s="1"/>
  <c r="AH4043" i="7"/>
  <c r="AJ4043" i="7"/>
  <c r="AF4044" i="7"/>
  <c r="AI4044" i="7" s="1"/>
  <c r="AH4044" i="7"/>
  <c r="AJ4044" i="7"/>
  <c r="AF4045" i="7"/>
  <c r="AI4045" i="7" s="1"/>
  <c r="AH4045" i="7"/>
  <c r="AJ4045" i="7"/>
  <c r="AF4046" i="7"/>
  <c r="AI4046" i="7" s="1"/>
  <c r="AH4046" i="7"/>
  <c r="AJ4046" i="7"/>
  <c r="AF4047" i="7"/>
  <c r="AI4047" i="7" s="1"/>
  <c r="AH4047" i="7"/>
  <c r="AJ4047" i="7"/>
  <c r="AF4048" i="7"/>
  <c r="AI4048" i="7" s="1"/>
  <c r="AH4048" i="7"/>
  <c r="AJ4048" i="7"/>
  <c r="AF4049" i="7"/>
  <c r="AI4049" i="7" s="1"/>
  <c r="AH4049" i="7"/>
  <c r="AJ4049" i="7"/>
  <c r="AF4050" i="7"/>
  <c r="AI4050" i="7" s="1"/>
  <c r="AH4050" i="7"/>
  <c r="AJ4050" i="7"/>
  <c r="AF4051" i="7"/>
  <c r="AI4051" i="7" s="1"/>
  <c r="AH4051" i="7"/>
  <c r="AJ4051" i="7"/>
  <c r="AF4052" i="7"/>
  <c r="AI4052" i="7" s="1"/>
  <c r="AH4052" i="7"/>
  <c r="AJ4052" i="7"/>
  <c r="AF4053" i="7"/>
  <c r="AI4053" i="7" s="1"/>
  <c r="AH4053" i="7"/>
  <c r="AJ4053" i="7"/>
  <c r="AF4054" i="7"/>
  <c r="AI4054" i="7" s="1"/>
  <c r="AH4054" i="7"/>
  <c r="AJ4054" i="7"/>
  <c r="AF4055" i="7"/>
  <c r="AI4055" i="7" s="1"/>
  <c r="AH4055" i="7"/>
  <c r="AJ4055" i="7"/>
  <c r="AF4056" i="7"/>
  <c r="AI4056" i="7" s="1"/>
  <c r="AH4056" i="7"/>
  <c r="AJ4056" i="7"/>
  <c r="AF4057" i="7"/>
  <c r="AI4057" i="7" s="1"/>
  <c r="AH4057" i="7"/>
  <c r="AJ4057" i="7"/>
  <c r="AF4058" i="7"/>
  <c r="AI4058" i="7" s="1"/>
  <c r="AH4058" i="7"/>
  <c r="AJ4058" i="7"/>
  <c r="AF4059" i="7"/>
  <c r="AI4059" i="7" s="1"/>
  <c r="AH4059" i="7"/>
  <c r="AJ4059" i="7"/>
  <c r="AF4060" i="7"/>
  <c r="AI4060" i="7" s="1"/>
  <c r="AH4060" i="7"/>
  <c r="AJ4060" i="7"/>
  <c r="AF4061" i="7"/>
  <c r="AI4061" i="7" s="1"/>
  <c r="AH4061" i="7"/>
  <c r="AJ4061" i="7"/>
  <c r="AF4062" i="7"/>
  <c r="AI4062" i="7" s="1"/>
  <c r="AH4062" i="7"/>
  <c r="AJ4062" i="7"/>
  <c r="AF4063" i="7"/>
  <c r="AI4063" i="7" s="1"/>
  <c r="AH4063" i="7"/>
  <c r="AJ4063" i="7"/>
  <c r="AF4064" i="7"/>
  <c r="AI4064" i="7" s="1"/>
  <c r="AH4064" i="7"/>
  <c r="AJ4064" i="7"/>
  <c r="AF4065" i="7"/>
  <c r="AI4065" i="7" s="1"/>
  <c r="AH4065" i="7"/>
  <c r="AJ4065" i="7"/>
  <c r="AF4066" i="7"/>
  <c r="AI4066" i="7" s="1"/>
  <c r="AH4066" i="7"/>
  <c r="AJ4066" i="7"/>
  <c r="AF4067" i="7"/>
  <c r="AI4067" i="7" s="1"/>
  <c r="AH4067" i="7"/>
  <c r="AJ4067" i="7"/>
  <c r="AF4068" i="7"/>
  <c r="AI4068" i="7" s="1"/>
  <c r="AH4068" i="7"/>
  <c r="AJ4068" i="7"/>
  <c r="AF4069" i="7"/>
  <c r="AI4069" i="7" s="1"/>
  <c r="AH4069" i="7"/>
  <c r="AJ4069" i="7"/>
  <c r="AF4070" i="7"/>
  <c r="AI4070" i="7" s="1"/>
  <c r="AH4070" i="7"/>
  <c r="AJ4070" i="7"/>
  <c r="AF4071" i="7"/>
  <c r="AI4071" i="7" s="1"/>
  <c r="AH4071" i="7"/>
  <c r="AJ4071" i="7"/>
  <c r="AF4072" i="7"/>
  <c r="AI4072" i="7" s="1"/>
  <c r="AH4072" i="7"/>
  <c r="AJ4072" i="7"/>
  <c r="AF4073" i="7"/>
  <c r="AI4073" i="7" s="1"/>
  <c r="AH4073" i="7"/>
  <c r="AJ4073" i="7"/>
  <c r="AF4074" i="7"/>
  <c r="AI4074" i="7" s="1"/>
  <c r="AH4074" i="7"/>
  <c r="AJ4074" i="7"/>
  <c r="AF4075" i="7"/>
  <c r="AI4075" i="7" s="1"/>
  <c r="AH4075" i="7"/>
  <c r="AJ4075" i="7"/>
  <c r="AF4076" i="7"/>
  <c r="AI4076" i="7" s="1"/>
  <c r="AH4076" i="7"/>
  <c r="AJ4076" i="7"/>
  <c r="AF4077" i="7"/>
  <c r="AI4077" i="7" s="1"/>
  <c r="AH4077" i="7"/>
  <c r="AJ4077" i="7"/>
  <c r="AF4078" i="7"/>
  <c r="AI4078" i="7" s="1"/>
  <c r="AH4078" i="7"/>
  <c r="AJ4078" i="7"/>
  <c r="AF4079" i="7"/>
  <c r="AI4079" i="7" s="1"/>
  <c r="AH4079" i="7"/>
  <c r="AJ4079" i="7"/>
  <c r="AF4080" i="7"/>
  <c r="AI4080" i="7" s="1"/>
  <c r="AH4080" i="7"/>
  <c r="AJ4080" i="7"/>
  <c r="AF4081" i="7"/>
  <c r="AI4081" i="7" s="1"/>
  <c r="AH4081" i="7"/>
  <c r="AJ4081" i="7"/>
  <c r="AF4082" i="7"/>
  <c r="AI4082" i="7" s="1"/>
  <c r="AH4082" i="7"/>
  <c r="AJ4082" i="7"/>
  <c r="AF4083" i="7"/>
  <c r="AI4083" i="7" s="1"/>
  <c r="AH4083" i="7"/>
  <c r="AJ4083" i="7"/>
  <c r="AF4084" i="7"/>
  <c r="AI4084" i="7" s="1"/>
  <c r="AH4084" i="7"/>
  <c r="AJ4084" i="7"/>
  <c r="AF4085" i="7"/>
  <c r="AI4085" i="7" s="1"/>
  <c r="AH4085" i="7"/>
  <c r="AJ4085" i="7"/>
  <c r="AF4086" i="7"/>
  <c r="AI4086" i="7" s="1"/>
  <c r="AH4086" i="7"/>
  <c r="AJ4086" i="7"/>
  <c r="AF4087" i="7"/>
  <c r="AI4087" i="7" s="1"/>
  <c r="AH4087" i="7"/>
  <c r="AJ4087" i="7"/>
  <c r="AF4088" i="7"/>
  <c r="AI4088" i="7" s="1"/>
  <c r="AH4088" i="7"/>
  <c r="AJ4088" i="7"/>
  <c r="AF4089" i="7"/>
  <c r="AI4089" i="7" s="1"/>
  <c r="AH4089" i="7"/>
  <c r="AJ4089" i="7"/>
  <c r="AF4090" i="7"/>
  <c r="AI4090" i="7" s="1"/>
  <c r="AH4090" i="7"/>
  <c r="AJ4090" i="7"/>
  <c r="AF4091" i="7"/>
  <c r="AI4091" i="7" s="1"/>
  <c r="AH4091" i="7"/>
  <c r="AJ4091" i="7"/>
  <c r="AF4092" i="7"/>
  <c r="AI4092" i="7" s="1"/>
  <c r="AH4092" i="7"/>
  <c r="AJ4092" i="7"/>
  <c r="AF4093" i="7"/>
  <c r="AI4093" i="7" s="1"/>
  <c r="AH4093" i="7"/>
  <c r="AJ4093" i="7"/>
  <c r="AF4094" i="7"/>
  <c r="AI4094" i="7" s="1"/>
  <c r="AH4094" i="7"/>
  <c r="AJ4094" i="7"/>
  <c r="AF4095" i="7"/>
  <c r="AI4095" i="7" s="1"/>
  <c r="AH4095" i="7"/>
  <c r="AJ4095" i="7"/>
  <c r="AF4096" i="7"/>
  <c r="AI4096" i="7" s="1"/>
  <c r="AH4096" i="7"/>
  <c r="AJ4096" i="7"/>
  <c r="AF4097" i="7"/>
  <c r="AI4097" i="7" s="1"/>
  <c r="AH4097" i="7"/>
  <c r="AJ4097" i="7"/>
  <c r="AF4098" i="7"/>
  <c r="AI4098" i="7" s="1"/>
  <c r="AH4098" i="7"/>
  <c r="AJ4098" i="7"/>
  <c r="AF4099" i="7"/>
  <c r="AI4099" i="7" s="1"/>
  <c r="AH4099" i="7"/>
  <c r="AJ4099" i="7"/>
  <c r="AF4100" i="7"/>
  <c r="AI4100" i="7" s="1"/>
  <c r="AH4100" i="7"/>
  <c r="AJ4100" i="7"/>
  <c r="AF4101" i="7"/>
  <c r="AI4101" i="7" s="1"/>
  <c r="AH4101" i="7"/>
  <c r="AJ4101" i="7"/>
  <c r="AF4102" i="7"/>
  <c r="AI4102" i="7" s="1"/>
  <c r="AH4102" i="7"/>
  <c r="AJ4102" i="7"/>
  <c r="AF4103" i="7"/>
  <c r="AI4103" i="7" s="1"/>
  <c r="AH4103" i="7"/>
  <c r="AJ4103" i="7"/>
  <c r="AF4104" i="7"/>
  <c r="AI4104" i="7" s="1"/>
  <c r="AH4104" i="7"/>
  <c r="AJ4104" i="7"/>
  <c r="AF4105" i="7"/>
  <c r="AI4105" i="7" s="1"/>
  <c r="AH4105" i="7"/>
  <c r="AJ4105" i="7"/>
  <c r="AF4106" i="7"/>
  <c r="AI4106" i="7" s="1"/>
  <c r="AH4106" i="7"/>
  <c r="AJ4106" i="7"/>
  <c r="AF4107" i="7"/>
  <c r="AI4107" i="7" s="1"/>
  <c r="AH4107" i="7"/>
  <c r="AJ4107" i="7"/>
  <c r="AF4108" i="7"/>
  <c r="AI4108" i="7" s="1"/>
  <c r="AH4108" i="7"/>
  <c r="AJ4108" i="7"/>
  <c r="AF4109" i="7"/>
  <c r="AI4109" i="7" s="1"/>
  <c r="AH4109" i="7"/>
  <c r="AJ4109" i="7"/>
  <c r="AF4110" i="7"/>
  <c r="AI4110" i="7" s="1"/>
  <c r="AH4110" i="7"/>
  <c r="AJ4110" i="7"/>
  <c r="AF4111" i="7"/>
  <c r="AI4111" i="7" s="1"/>
  <c r="AH4111" i="7"/>
  <c r="AJ4111" i="7"/>
  <c r="AF4112" i="7"/>
  <c r="AI4112" i="7" s="1"/>
  <c r="AH4112" i="7"/>
  <c r="AJ4112" i="7"/>
  <c r="AF4113" i="7"/>
  <c r="AI4113" i="7" s="1"/>
  <c r="AH4113" i="7"/>
  <c r="AJ4113" i="7"/>
  <c r="AF4114" i="7"/>
  <c r="AI4114" i="7" s="1"/>
  <c r="AH4114" i="7"/>
  <c r="AJ4114" i="7"/>
  <c r="AF4115" i="7"/>
  <c r="AI4115" i="7" s="1"/>
  <c r="AH4115" i="7"/>
  <c r="AJ4115" i="7"/>
  <c r="AF4116" i="7"/>
  <c r="AI4116" i="7" s="1"/>
  <c r="AH4116" i="7"/>
  <c r="AJ4116" i="7"/>
  <c r="AF4117" i="7"/>
  <c r="AI4117" i="7" s="1"/>
  <c r="AH4117" i="7"/>
  <c r="AJ4117" i="7"/>
  <c r="AF4118" i="7"/>
  <c r="AI4118" i="7" s="1"/>
  <c r="AH4118" i="7"/>
  <c r="AJ4118" i="7"/>
  <c r="AF4119" i="7"/>
  <c r="AI4119" i="7" s="1"/>
  <c r="AH4119" i="7"/>
  <c r="AJ4119" i="7"/>
  <c r="AF4120" i="7"/>
  <c r="AI4120" i="7" s="1"/>
  <c r="AH4120" i="7"/>
  <c r="AJ4120" i="7"/>
  <c r="AF4121" i="7"/>
  <c r="AI4121" i="7" s="1"/>
  <c r="AH4121" i="7"/>
  <c r="AJ4121" i="7"/>
  <c r="AF4122" i="7"/>
  <c r="AI4122" i="7" s="1"/>
  <c r="AH4122" i="7"/>
  <c r="AJ4122" i="7"/>
  <c r="AF4123" i="7"/>
  <c r="AI4123" i="7" s="1"/>
  <c r="AH4123" i="7"/>
  <c r="AJ4123" i="7"/>
  <c r="AF4124" i="7"/>
  <c r="AI4124" i="7" s="1"/>
  <c r="AH4124" i="7"/>
  <c r="AJ4124" i="7"/>
  <c r="AF4125" i="7"/>
  <c r="AI4125" i="7" s="1"/>
  <c r="AH4125" i="7"/>
  <c r="AJ4125" i="7"/>
  <c r="AF4126" i="7"/>
  <c r="AI4126" i="7" s="1"/>
  <c r="AH4126" i="7"/>
  <c r="AJ4126" i="7"/>
  <c r="AF4127" i="7"/>
  <c r="AI4127" i="7" s="1"/>
  <c r="AH4127" i="7"/>
  <c r="AJ4127" i="7"/>
  <c r="AF4128" i="7"/>
  <c r="AI4128" i="7" s="1"/>
  <c r="AH4128" i="7"/>
  <c r="AJ4128" i="7"/>
  <c r="AF4129" i="7"/>
  <c r="AI4129" i="7" s="1"/>
  <c r="AH4129" i="7"/>
  <c r="AJ4129" i="7"/>
  <c r="AF4130" i="7"/>
  <c r="AI4130" i="7" s="1"/>
  <c r="AH4130" i="7"/>
  <c r="AJ4130" i="7"/>
  <c r="AF4131" i="7"/>
  <c r="AI4131" i="7" s="1"/>
  <c r="AH4131" i="7"/>
  <c r="AJ4131" i="7"/>
  <c r="AF4132" i="7"/>
  <c r="AI4132" i="7" s="1"/>
  <c r="AH4132" i="7"/>
  <c r="AJ4132" i="7"/>
  <c r="AF4133" i="7"/>
  <c r="AI4133" i="7" s="1"/>
  <c r="AH4133" i="7"/>
  <c r="AJ4133" i="7"/>
  <c r="AF4134" i="7"/>
  <c r="AI4134" i="7" s="1"/>
  <c r="AH4134" i="7"/>
  <c r="AJ4134" i="7"/>
  <c r="AF4135" i="7"/>
  <c r="AI4135" i="7" s="1"/>
  <c r="AH4135" i="7"/>
  <c r="AJ4135" i="7"/>
  <c r="AF4136" i="7"/>
  <c r="AI4136" i="7" s="1"/>
  <c r="AH4136" i="7"/>
  <c r="AJ4136" i="7"/>
  <c r="AF4137" i="7"/>
  <c r="AI4137" i="7" s="1"/>
  <c r="AH4137" i="7"/>
  <c r="AJ4137" i="7"/>
  <c r="AF4138" i="7"/>
  <c r="AI4138" i="7" s="1"/>
  <c r="AH4138" i="7"/>
  <c r="AJ4138" i="7"/>
  <c r="AF4139" i="7"/>
  <c r="AI4139" i="7" s="1"/>
  <c r="AH4139" i="7"/>
  <c r="AJ4139" i="7"/>
  <c r="AF4140" i="7"/>
  <c r="AI4140" i="7" s="1"/>
  <c r="AH4140" i="7"/>
  <c r="AJ4140" i="7"/>
  <c r="AF4141" i="7"/>
  <c r="AI4141" i="7" s="1"/>
  <c r="AH4141" i="7"/>
  <c r="AJ4141" i="7"/>
  <c r="AF4142" i="7"/>
  <c r="AI4142" i="7" s="1"/>
  <c r="AH4142" i="7"/>
  <c r="AJ4142" i="7"/>
  <c r="AF4143" i="7"/>
  <c r="AI4143" i="7" s="1"/>
  <c r="AH4143" i="7"/>
  <c r="AJ4143" i="7"/>
  <c r="AF4146" i="7"/>
  <c r="AI4146" i="7" s="1"/>
  <c r="AH4146" i="7"/>
  <c r="AJ4146" i="7"/>
  <c r="AF4147" i="7"/>
  <c r="AI4147" i="7" s="1"/>
  <c r="AH4147" i="7"/>
  <c r="AJ4147" i="7"/>
  <c r="AF4148" i="7"/>
  <c r="AI4148" i="7" s="1"/>
  <c r="AH4148" i="7"/>
  <c r="AJ4148" i="7"/>
  <c r="AF4149" i="7"/>
  <c r="AI4149" i="7" s="1"/>
  <c r="AH4149" i="7"/>
  <c r="AJ4149" i="7"/>
  <c r="AF4150" i="7"/>
  <c r="AI4150" i="7" s="1"/>
  <c r="AH4150" i="7"/>
  <c r="AJ4150" i="7"/>
  <c r="AF4151" i="7"/>
  <c r="AI4151" i="7" s="1"/>
  <c r="AH4151" i="7"/>
  <c r="AJ4151" i="7"/>
  <c r="AF4152" i="7"/>
  <c r="AI4152" i="7" s="1"/>
  <c r="AH4152" i="7"/>
  <c r="AJ4152" i="7"/>
  <c r="AF4153" i="7"/>
  <c r="AI4153" i="7" s="1"/>
  <c r="AH4153" i="7"/>
  <c r="AJ4153" i="7"/>
  <c r="AF4154" i="7"/>
  <c r="AI4154" i="7" s="1"/>
  <c r="AH4154" i="7"/>
  <c r="AJ4154" i="7"/>
  <c r="AF4155" i="7"/>
  <c r="AI4155" i="7" s="1"/>
  <c r="AH4155" i="7"/>
  <c r="AJ4155" i="7"/>
  <c r="AF4156" i="7"/>
  <c r="AI4156" i="7" s="1"/>
  <c r="AH4156" i="7"/>
  <c r="AJ4156" i="7"/>
  <c r="AF4157" i="7"/>
  <c r="AI4157" i="7" s="1"/>
  <c r="AH4157" i="7"/>
  <c r="AJ4157" i="7"/>
  <c r="AF4158" i="7"/>
  <c r="AI4158" i="7" s="1"/>
  <c r="AH4158" i="7"/>
  <c r="AJ4158" i="7"/>
  <c r="AF4159" i="7"/>
  <c r="AI4159" i="7" s="1"/>
  <c r="AH4159" i="7"/>
  <c r="AJ4159" i="7"/>
  <c r="AF4160" i="7"/>
  <c r="AI4160" i="7" s="1"/>
  <c r="AH4160" i="7"/>
  <c r="AJ4160" i="7"/>
  <c r="AF4161" i="7"/>
  <c r="AI4161" i="7" s="1"/>
  <c r="AH4161" i="7"/>
  <c r="AJ4161" i="7"/>
  <c r="AF4162" i="7"/>
  <c r="AI4162" i="7" s="1"/>
  <c r="AH4162" i="7"/>
  <c r="AJ4162" i="7"/>
  <c r="AF4163" i="7"/>
  <c r="AI4163" i="7" s="1"/>
  <c r="AH4163" i="7"/>
  <c r="AJ4163" i="7"/>
  <c r="AF4164" i="7"/>
  <c r="AI4164" i="7" s="1"/>
  <c r="AH4164" i="7"/>
  <c r="AJ4164" i="7"/>
  <c r="AF4165" i="7"/>
  <c r="AI4165" i="7" s="1"/>
  <c r="AH4165" i="7"/>
  <c r="AJ4165" i="7"/>
  <c r="AF4166" i="7"/>
  <c r="AI4166" i="7" s="1"/>
  <c r="AH4166" i="7"/>
  <c r="AJ4166" i="7"/>
  <c r="AF4167" i="7"/>
  <c r="AI4167" i="7" s="1"/>
  <c r="AH4167" i="7"/>
  <c r="AJ4167" i="7"/>
  <c r="AF4168" i="7"/>
  <c r="AI4168" i="7" s="1"/>
  <c r="AH4168" i="7"/>
  <c r="AJ4168" i="7"/>
  <c r="AF4169" i="7"/>
  <c r="AI4169" i="7" s="1"/>
  <c r="AH4169" i="7"/>
  <c r="AJ4169" i="7"/>
  <c r="AF4170" i="7"/>
  <c r="AI4170" i="7" s="1"/>
  <c r="AH4170" i="7"/>
  <c r="AJ4170" i="7"/>
  <c r="AF4171" i="7"/>
  <c r="AI4171" i="7" s="1"/>
  <c r="AH4171" i="7"/>
  <c r="AJ4171" i="7"/>
  <c r="AF4172" i="7"/>
  <c r="AI4172" i="7" s="1"/>
  <c r="AH4172" i="7"/>
  <c r="AJ4172" i="7"/>
  <c r="AF4173" i="7"/>
  <c r="AI4173" i="7" s="1"/>
  <c r="AH4173" i="7"/>
  <c r="AJ4173" i="7"/>
  <c r="AF4174" i="7"/>
  <c r="AI4174" i="7" s="1"/>
  <c r="AH4174" i="7"/>
  <c r="AJ4174" i="7"/>
  <c r="AF4175" i="7"/>
  <c r="AI4175" i="7" s="1"/>
  <c r="AH4175" i="7"/>
  <c r="AJ4175" i="7"/>
  <c r="AF4176" i="7"/>
  <c r="AI4176" i="7" s="1"/>
  <c r="AH4176" i="7"/>
  <c r="AJ4176" i="7"/>
  <c r="AF4177" i="7"/>
  <c r="AI4177" i="7" s="1"/>
  <c r="AH4177" i="7"/>
  <c r="AJ4177" i="7"/>
  <c r="AF4178" i="7"/>
  <c r="AI4178" i="7" s="1"/>
  <c r="AH4178" i="7"/>
  <c r="AJ4178" i="7"/>
  <c r="AF4179" i="7"/>
  <c r="AI4179" i="7" s="1"/>
  <c r="AH4179" i="7"/>
  <c r="AJ4179" i="7"/>
  <c r="AF4180" i="7"/>
  <c r="AI4180" i="7" s="1"/>
  <c r="AH4180" i="7"/>
  <c r="AJ4180" i="7"/>
  <c r="AF4181" i="7"/>
  <c r="AI4181" i="7" s="1"/>
  <c r="AH4181" i="7"/>
  <c r="AJ4181" i="7"/>
  <c r="AF4182" i="7"/>
  <c r="AI4182" i="7" s="1"/>
  <c r="AH4182" i="7"/>
  <c r="AJ4182" i="7"/>
  <c r="AF4183" i="7"/>
  <c r="AI4183" i="7" s="1"/>
  <c r="AH4183" i="7"/>
  <c r="AJ4183" i="7"/>
  <c r="AF4184" i="7"/>
  <c r="AI4184" i="7" s="1"/>
  <c r="AH4184" i="7"/>
  <c r="AJ4184" i="7"/>
  <c r="AF4185" i="7"/>
  <c r="AI4185" i="7" s="1"/>
  <c r="AH4185" i="7"/>
  <c r="AJ4185" i="7"/>
  <c r="AF4186" i="7"/>
  <c r="AI4186" i="7" s="1"/>
  <c r="AH4186" i="7"/>
  <c r="AJ4186" i="7"/>
  <c r="AF4187" i="7"/>
  <c r="AI4187" i="7" s="1"/>
  <c r="AH4187" i="7"/>
  <c r="AJ4187" i="7"/>
  <c r="AF4188" i="7"/>
  <c r="AI4188" i="7" s="1"/>
  <c r="AH4188" i="7"/>
  <c r="AJ4188" i="7"/>
  <c r="AF4189" i="7"/>
  <c r="AI4189" i="7" s="1"/>
  <c r="AH4189" i="7"/>
  <c r="AJ4189" i="7"/>
  <c r="AF4190" i="7"/>
  <c r="AI4190" i="7" s="1"/>
  <c r="AH4190" i="7"/>
  <c r="AJ4190" i="7"/>
  <c r="AF4191" i="7"/>
  <c r="AI4191" i="7" s="1"/>
  <c r="AH4191" i="7"/>
  <c r="AJ4191" i="7"/>
  <c r="AF4192" i="7"/>
  <c r="AI4192" i="7" s="1"/>
  <c r="AH4192" i="7"/>
  <c r="AJ4192" i="7"/>
  <c r="AF4193" i="7"/>
  <c r="AI4193" i="7" s="1"/>
  <c r="AH4193" i="7"/>
  <c r="AJ4193" i="7"/>
  <c r="AF4194" i="7"/>
  <c r="AI4194" i="7" s="1"/>
  <c r="AH4194" i="7"/>
  <c r="AJ4194" i="7"/>
  <c r="AF4195" i="7"/>
  <c r="AI4195" i="7" s="1"/>
  <c r="AH4195" i="7"/>
  <c r="AJ4195" i="7"/>
  <c r="AF4196" i="7"/>
  <c r="AI4196" i="7" s="1"/>
  <c r="AH4196" i="7"/>
  <c r="AJ4196" i="7"/>
  <c r="AF4197" i="7"/>
  <c r="AI4197" i="7" s="1"/>
  <c r="AH4197" i="7"/>
  <c r="AJ4197" i="7"/>
  <c r="AF4200" i="7"/>
  <c r="AI4200" i="7" s="1"/>
  <c r="AH4200" i="7"/>
  <c r="AJ4200" i="7"/>
  <c r="AF4201" i="7"/>
  <c r="AI4201" i="7" s="1"/>
  <c r="AH4201" i="7"/>
  <c r="AJ4201" i="7"/>
  <c r="AF4202" i="7"/>
  <c r="AI4202" i="7" s="1"/>
  <c r="AH4202" i="7"/>
  <c r="AJ4202" i="7"/>
  <c r="AF4203" i="7"/>
  <c r="AI4203" i="7" s="1"/>
  <c r="AH4203" i="7"/>
  <c r="AJ4203" i="7"/>
  <c r="AF4204" i="7"/>
  <c r="AI4204" i="7" s="1"/>
  <c r="AH4204" i="7"/>
  <c r="AJ4204" i="7"/>
  <c r="AF4205" i="7"/>
  <c r="AI4205" i="7" s="1"/>
  <c r="AH4205" i="7"/>
  <c r="AJ4205" i="7"/>
  <c r="AF4206" i="7"/>
  <c r="AI4206" i="7" s="1"/>
  <c r="AH4206" i="7"/>
  <c r="AJ4206" i="7"/>
  <c r="AF4207" i="7"/>
  <c r="AI4207" i="7" s="1"/>
  <c r="AH4207" i="7"/>
  <c r="AJ4207" i="7"/>
  <c r="AF4208" i="7"/>
  <c r="AI4208" i="7" s="1"/>
  <c r="AH4208" i="7"/>
  <c r="AJ4208" i="7"/>
  <c r="AF4209" i="7"/>
  <c r="AI4209" i="7" s="1"/>
  <c r="AH4209" i="7"/>
  <c r="AJ4209" i="7"/>
  <c r="AF4210" i="7"/>
  <c r="AI4210" i="7" s="1"/>
  <c r="AH4210" i="7"/>
  <c r="AJ4210" i="7"/>
  <c r="AF4211" i="7"/>
  <c r="AI4211" i="7" s="1"/>
  <c r="AH4211" i="7"/>
  <c r="AJ4211" i="7"/>
  <c r="AF4212" i="7"/>
  <c r="AI4212" i="7" s="1"/>
  <c r="AH4212" i="7"/>
  <c r="AJ4212" i="7"/>
  <c r="AF4213" i="7"/>
  <c r="AI4213" i="7" s="1"/>
  <c r="AH4213" i="7"/>
  <c r="AJ4213" i="7"/>
  <c r="AF4214" i="7"/>
  <c r="AI4214" i="7" s="1"/>
  <c r="AH4214" i="7"/>
  <c r="AJ4214" i="7"/>
  <c r="AF4215" i="7"/>
  <c r="AI4215" i="7" s="1"/>
  <c r="AH4215" i="7"/>
  <c r="AJ4215" i="7"/>
  <c r="AF4216" i="7"/>
  <c r="AI4216" i="7" s="1"/>
  <c r="AH4216" i="7"/>
  <c r="AJ4216" i="7"/>
  <c r="AF4217" i="7"/>
  <c r="AI4217" i="7" s="1"/>
  <c r="AH4217" i="7"/>
  <c r="AJ4217" i="7"/>
  <c r="AF4218" i="7"/>
  <c r="AI4218" i="7" s="1"/>
  <c r="AH4218" i="7"/>
  <c r="AJ4218" i="7"/>
  <c r="AF4219" i="7"/>
  <c r="AI4219" i="7" s="1"/>
  <c r="AH4219" i="7"/>
  <c r="AJ4219" i="7"/>
  <c r="AF4220" i="7"/>
  <c r="AI4220" i="7" s="1"/>
  <c r="AH4220" i="7"/>
  <c r="AJ4220" i="7"/>
  <c r="AF4221" i="7"/>
  <c r="AI4221" i="7" s="1"/>
  <c r="AH4221" i="7"/>
  <c r="AJ4221" i="7"/>
  <c r="AF4222" i="7"/>
  <c r="AI4222" i="7" s="1"/>
  <c r="AH4222" i="7"/>
  <c r="AJ4222" i="7"/>
  <c r="AF4223" i="7"/>
  <c r="AI4223" i="7" s="1"/>
  <c r="AH4223" i="7"/>
  <c r="AJ4223" i="7"/>
  <c r="AF4224" i="7"/>
  <c r="AI4224" i="7" s="1"/>
  <c r="AH4224" i="7"/>
  <c r="AJ4224" i="7"/>
  <c r="AF4225" i="7"/>
  <c r="AI4225" i="7" s="1"/>
  <c r="AH4225" i="7"/>
  <c r="AJ4225" i="7"/>
  <c r="AF4226" i="7"/>
  <c r="AI4226" i="7" s="1"/>
  <c r="AH4226" i="7"/>
  <c r="AJ4226" i="7"/>
  <c r="AF4227" i="7"/>
  <c r="AI4227" i="7" s="1"/>
  <c r="AH4227" i="7"/>
  <c r="AJ4227" i="7"/>
  <c r="AF4228" i="7"/>
  <c r="AI4228" i="7" s="1"/>
  <c r="AH4228" i="7"/>
  <c r="AJ4228" i="7"/>
  <c r="AF4229" i="7"/>
  <c r="AI4229" i="7" s="1"/>
  <c r="AH4229" i="7"/>
  <c r="AJ4229" i="7"/>
  <c r="AF4230" i="7"/>
  <c r="AI4230" i="7" s="1"/>
  <c r="AH4230" i="7"/>
  <c r="AJ4230" i="7"/>
  <c r="AF4231" i="7"/>
  <c r="AI4231" i="7" s="1"/>
  <c r="AH4231" i="7"/>
  <c r="AJ4231" i="7"/>
  <c r="AF4232" i="7"/>
  <c r="AI4232" i="7" s="1"/>
  <c r="AH4232" i="7"/>
  <c r="AJ4232" i="7"/>
  <c r="AF4233" i="7"/>
  <c r="AI4233" i="7" s="1"/>
  <c r="AH4233" i="7"/>
  <c r="AJ4233" i="7"/>
  <c r="AF4234" i="7"/>
  <c r="AI4234" i="7" s="1"/>
  <c r="AH4234" i="7"/>
  <c r="AJ4234" i="7"/>
  <c r="AF4235" i="7"/>
  <c r="AI4235" i="7" s="1"/>
  <c r="AH4235" i="7"/>
  <c r="AJ4235" i="7"/>
  <c r="AF4236" i="7"/>
  <c r="AI4236" i="7" s="1"/>
  <c r="AH4236" i="7"/>
  <c r="AJ4236" i="7"/>
  <c r="AF4237" i="7"/>
  <c r="AI4237" i="7" s="1"/>
  <c r="AH4237" i="7"/>
  <c r="AJ4237" i="7"/>
  <c r="AF4238" i="7"/>
  <c r="AI4238" i="7" s="1"/>
  <c r="AH4238" i="7"/>
  <c r="AJ4238" i="7"/>
  <c r="AF4239" i="7"/>
  <c r="AI4239" i="7" s="1"/>
  <c r="AH4239" i="7"/>
  <c r="AJ4239" i="7"/>
  <c r="AF4240" i="7"/>
  <c r="AI4240" i="7" s="1"/>
  <c r="AH4240" i="7"/>
  <c r="AJ4240" i="7"/>
  <c r="AF4241" i="7"/>
  <c r="AI4241" i="7" s="1"/>
  <c r="AH4241" i="7"/>
  <c r="AJ4241" i="7"/>
  <c r="AF4242" i="7"/>
  <c r="AI4242" i="7" s="1"/>
  <c r="AH4242" i="7"/>
  <c r="AJ4242" i="7"/>
  <c r="AF4243" i="7"/>
  <c r="AI4243" i="7" s="1"/>
  <c r="AH4243" i="7"/>
  <c r="AJ4243" i="7"/>
  <c r="AF4244" i="7"/>
  <c r="AI4244" i="7" s="1"/>
  <c r="AH4244" i="7"/>
  <c r="AJ4244" i="7"/>
  <c r="AF4245" i="7"/>
  <c r="AI4245" i="7" s="1"/>
  <c r="AH4245" i="7"/>
  <c r="AJ4245" i="7"/>
  <c r="AF4246" i="7"/>
  <c r="AI4246" i="7" s="1"/>
  <c r="AH4246" i="7"/>
  <c r="AJ4246" i="7"/>
  <c r="AF4247" i="7"/>
  <c r="AI4247" i="7" s="1"/>
  <c r="AH4247" i="7"/>
  <c r="AJ4247" i="7"/>
  <c r="AF4248" i="7"/>
  <c r="AI4248" i="7" s="1"/>
  <c r="AH4248" i="7"/>
  <c r="AJ4248" i="7"/>
  <c r="AF4249" i="7"/>
  <c r="AI4249" i="7" s="1"/>
  <c r="AH4249" i="7"/>
  <c r="AJ4249" i="7"/>
  <c r="AF4250" i="7"/>
  <c r="AI4250" i="7" s="1"/>
  <c r="AH4250" i="7"/>
  <c r="AJ4250" i="7"/>
  <c r="AF4251" i="7"/>
  <c r="AI4251" i="7" s="1"/>
  <c r="AH4251" i="7"/>
  <c r="AJ4251" i="7"/>
  <c r="AF4252" i="7"/>
  <c r="AI4252" i="7" s="1"/>
  <c r="AH4252" i="7"/>
  <c r="AJ4252" i="7"/>
  <c r="AF4253" i="7"/>
  <c r="AI4253" i="7" s="1"/>
  <c r="AH4253" i="7"/>
  <c r="AJ4253" i="7"/>
  <c r="AF4254" i="7"/>
  <c r="AI4254" i="7" s="1"/>
  <c r="AH4254" i="7"/>
  <c r="AJ4254" i="7"/>
  <c r="AF4255" i="7"/>
  <c r="AI4255" i="7" s="1"/>
  <c r="AH4255" i="7"/>
  <c r="AJ4255" i="7"/>
  <c r="AF4256" i="7"/>
  <c r="AI4256" i="7" s="1"/>
  <c r="AH4256" i="7"/>
  <c r="AJ4256" i="7"/>
  <c r="AF4257" i="7"/>
  <c r="AI4257" i="7" s="1"/>
  <c r="AH4257" i="7"/>
  <c r="AJ4257" i="7"/>
  <c r="AF4258" i="7"/>
  <c r="AI4258" i="7" s="1"/>
  <c r="AH4258" i="7"/>
  <c r="AJ4258" i="7"/>
  <c r="AF4259" i="7"/>
  <c r="AI4259" i="7" s="1"/>
  <c r="AH4259" i="7"/>
  <c r="AJ4259" i="7"/>
  <c r="AF4260" i="7"/>
  <c r="AI4260" i="7" s="1"/>
  <c r="AH4260" i="7"/>
  <c r="AJ4260" i="7"/>
  <c r="AF4261" i="7"/>
  <c r="AI4261" i="7" s="1"/>
  <c r="AH4261" i="7"/>
  <c r="AJ4261" i="7"/>
  <c r="AF4262" i="7"/>
  <c r="AI4262" i="7" s="1"/>
  <c r="AH4262" i="7"/>
  <c r="AJ4262" i="7"/>
  <c r="AF4263" i="7"/>
  <c r="AI4263" i="7" s="1"/>
  <c r="AH4263" i="7"/>
  <c r="AJ4263" i="7"/>
  <c r="AF4264" i="7"/>
  <c r="AI4264" i="7" s="1"/>
  <c r="AH4264" i="7"/>
  <c r="AJ4264" i="7"/>
  <c r="AF4265" i="7"/>
  <c r="AI4265" i="7" s="1"/>
  <c r="AH4265" i="7"/>
  <c r="AJ4265" i="7"/>
  <c r="AF4266" i="7"/>
  <c r="AI4266" i="7" s="1"/>
  <c r="AH4266" i="7"/>
  <c r="AJ4266" i="7"/>
  <c r="AF4267" i="7"/>
  <c r="AI4267" i="7" s="1"/>
  <c r="AH4267" i="7"/>
  <c r="AJ4267" i="7"/>
  <c r="AF4268" i="7"/>
  <c r="AI4268" i="7" s="1"/>
  <c r="AH4268" i="7"/>
  <c r="AJ4268" i="7"/>
  <c r="AF4269" i="7"/>
  <c r="AI4269" i="7" s="1"/>
  <c r="AH4269" i="7"/>
  <c r="AJ4269" i="7"/>
  <c r="AF4270" i="7"/>
  <c r="AI4270" i="7" s="1"/>
  <c r="AH4270" i="7"/>
  <c r="AJ4270" i="7"/>
  <c r="AF4271" i="7"/>
  <c r="AI4271" i="7" s="1"/>
  <c r="AH4271" i="7"/>
  <c r="AJ4271" i="7"/>
  <c r="AF4272" i="7"/>
  <c r="AI4272" i="7" s="1"/>
  <c r="AH4272" i="7"/>
  <c r="AJ4272" i="7"/>
  <c r="AF4273" i="7"/>
  <c r="AI4273" i="7" s="1"/>
  <c r="AH4273" i="7"/>
  <c r="AJ4273" i="7"/>
  <c r="AF4274" i="7"/>
  <c r="AI4274" i="7" s="1"/>
  <c r="AH4274" i="7"/>
  <c r="AJ4274" i="7"/>
  <c r="AF4275" i="7"/>
  <c r="AI4275" i="7" s="1"/>
  <c r="AH4275" i="7"/>
  <c r="AJ4275" i="7"/>
  <c r="AF4276" i="7"/>
  <c r="AI4276" i="7" s="1"/>
  <c r="AH4276" i="7"/>
  <c r="AJ4276" i="7"/>
  <c r="AF4277" i="7"/>
  <c r="AI4277" i="7" s="1"/>
  <c r="AH4277" i="7"/>
  <c r="AJ4277" i="7"/>
  <c r="AF4278" i="7"/>
  <c r="AI4278" i="7" s="1"/>
  <c r="AH4278" i="7"/>
  <c r="AJ4278" i="7"/>
  <c r="AF4279" i="7"/>
  <c r="AI4279" i="7" s="1"/>
  <c r="AH4279" i="7"/>
  <c r="AJ4279" i="7"/>
  <c r="AF4280" i="7"/>
  <c r="AI4280" i="7" s="1"/>
  <c r="AH4280" i="7"/>
  <c r="AJ4280" i="7"/>
  <c r="AF4281" i="7"/>
  <c r="AI4281" i="7" s="1"/>
  <c r="AH4281" i="7"/>
  <c r="AJ4281" i="7"/>
  <c r="AF4282" i="7"/>
  <c r="AI4282" i="7" s="1"/>
  <c r="AH4282" i="7"/>
  <c r="AJ4282" i="7"/>
  <c r="AF4283" i="7"/>
  <c r="AI4283" i="7" s="1"/>
  <c r="AH4283" i="7"/>
  <c r="AJ4283" i="7"/>
  <c r="AF4284" i="7"/>
  <c r="AI4284" i="7" s="1"/>
  <c r="AH4284" i="7"/>
  <c r="AJ4284" i="7"/>
  <c r="AF4285" i="7"/>
  <c r="AI4285" i="7" s="1"/>
  <c r="AH4285" i="7"/>
  <c r="AJ4285" i="7"/>
  <c r="AF4286" i="7"/>
  <c r="AI4286" i="7" s="1"/>
  <c r="AH4286" i="7"/>
  <c r="AJ4286" i="7"/>
  <c r="AF4287" i="7"/>
  <c r="AI4287" i="7" s="1"/>
  <c r="AH4287" i="7"/>
  <c r="AJ4287" i="7"/>
  <c r="AF4288" i="7"/>
  <c r="AI4288" i="7" s="1"/>
  <c r="AH4288" i="7"/>
  <c r="AJ4288" i="7"/>
  <c r="AF4289" i="7"/>
  <c r="AI4289" i="7" s="1"/>
  <c r="AH4289" i="7"/>
  <c r="AJ4289" i="7"/>
  <c r="AF4290" i="7"/>
  <c r="AI4290" i="7" s="1"/>
  <c r="AH4290" i="7"/>
  <c r="AJ4290" i="7"/>
  <c r="AF4291" i="7"/>
  <c r="AI4291" i="7" s="1"/>
  <c r="AH4291" i="7"/>
  <c r="AJ4291" i="7"/>
  <c r="AF4292" i="7"/>
  <c r="AI4292" i="7" s="1"/>
  <c r="AH4292" i="7"/>
  <c r="AJ4292" i="7"/>
  <c r="AF4293" i="7"/>
  <c r="AI4293" i="7" s="1"/>
  <c r="AH4293" i="7"/>
  <c r="AJ4293" i="7"/>
  <c r="AF4294" i="7"/>
  <c r="AI4294" i="7" s="1"/>
  <c r="AH4294" i="7"/>
  <c r="AJ4294" i="7"/>
  <c r="AF4295" i="7"/>
  <c r="AI4295" i="7" s="1"/>
  <c r="AH4295" i="7"/>
  <c r="AJ4295" i="7"/>
  <c r="AF4296" i="7"/>
  <c r="AI4296" i="7" s="1"/>
  <c r="AH4296" i="7"/>
  <c r="AJ4296" i="7"/>
  <c r="AF4297" i="7"/>
  <c r="AI4297" i="7" s="1"/>
  <c r="AH4297" i="7"/>
  <c r="AJ4297" i="7"/>
  <c r="AF4298" i="7"/>
  <c r="AI4298" i="7" s="1"/>
  <c r="AH4298" i="7"/>
  <c r="AJ4298" i="7"/>
  <c r="AF4299" i="7"/>
  <c r="AI4299" i="7" s="1"/>
  <c r="AH4299" i="7"/>
  <c r="AJ4299" i="7"/>
  <c r="AF4300" i="7"/>
  <c r="AI4300" i="7" s="1"/>
  <c r="AH4300" i="7"/>
  <c r="AJ4300" i="7"/>
  <c r="AF4301" i="7"/>
  <c r="AI4301" i="7" s="1"/>
  <c r="AH4301" i="7"/>
  <c r="AJ4301" i="7"/>
  <c r="AF4302" i="7"/>
  <c r="AI4302" i="7" s="1"/>
  <c r="AH4302" i="7"/>
  <c r="AJ4302" i="7"/>
  <c r="AF4303" i="7"/>
  <c r="AI4303" i="7" s="1"/>
  <c r="AH4303" i="7"/>
  <c r="AJ4303" i="7"/>
  <c r="AF4304" i="7"/>
  <c r="AI4304" i="7" s="1"/>
  <c r="AH4304" i="7"/>
  <c r="AJ4304" i="7"/>
  <c r="AF4305" i="7"/>
  <c r="AI4305" i="7" s="1"/>
  <c r="AH4305" i="7"/>
  <c r="AJ4305" i="7"/>
  <c r="AF4306" i="7"/>
  <c r="AI4306" i="7" s="1"/>
  <c r="AH4306" i="7"/>
  <c r="AJ4306" i="7"/>
  <c r="AF4307" i="7"/>
  <c r="AI4307" i="7" s="1"/>
  <c r="AH4307" i="7"/>
  <c r="AJ4307" i="7"/>
  <c r="AF4308" i="7"/>
  <c r="AI4308" i="7" s="1"/>
  <c r="AH4308" i="7"/>
  <c r="AJ4308" i="7"/>
  <c r="AF4309" i="7"/>
  <c r="AI4309" i="7" s="1"/>
  <c r="AH4309" i="7"/>
  <c r="AJ4309" i="7"/>
  <c r="AF4310" i="7"/>
  <c r="AI4310" i="7" s="1"/>
  <c r="AH4310" i="7"/>
  <c r="AJ4310" i="7"/>
  <c r="AF4311" i="7"/>
  <c r="AI4311" i="7" s="1"/>
  <c r="AH4311" i="7"/>
  <c r="AJ4311" i="7"/>
  <c r="AF4312" i="7"/>
  <c r="AI4312" i="7" s="1"/>
  <c r="AH4312" i="7"/>
  <c r="AJ4312" i="7"/>
  <c r="AF4313" i="7"/>
  <c r="AI4313" i="7" s="1"/>
  <c r="AH4313" i="7"/>
  <c r="AJ4313" i="7"/>
  <c r="AF4314" i="7"/>
  <c r="AI4314" i="7" s="1"/>
  <c r="AH4314" i="7"/>
  <c r="AJ4314" i="7"/>
  <c r="AF4315" i="7"/>
  <c r="AI4315" i="7" s="1"/>
  <c r="AH4315" i="7"/>
  <c r="AJ4315" i="7"/>
  <c r="AF4316" i="7"/>
  <c r="AI4316" i="7" s="1"/>
  <c r="AH4316" i="7"/>
  <c r="AJ4316" i="7"/>
  <c r="AF4317" i="7"/>
  <c r="AI4317" i="7" s="1"/>
  <c r="AH4317" i="7"/>
  <c r="AJ4317" i="7"/>
  <c r="AF4318" i="7"/>
  <c r="AI4318" i="7" s="1"/>
  <c r="AH4318" i="7"/>
  <c r="AJ4318" i="7"/>
  <c r="AF4319" i="7"/>
  <c r="AI4319" i="7" s="1"/>
  <c r="AH4319" i="7"/>
  <c r="AJ4319" i="7"/>
  <c r="AF4320" i="7"/>
  <c r="AI4320" i="7" s="1"/>
  <c r="AH4320" i="7"/>
  <c r="AJ4320" i="7"/>
  <c r="AF4321" i="7"/>
  <c r="AI4321" i="7" s="1"/>
  <c r="AH4321" i="7"/>
  <c r="AJ4321" i="7"/>
  <c r="AF4322" i="7"/>
  <c r="AI4322" i="7" s="1"/>
  <c r="AH4322" i="7"/>
  <c r="AJ4322" i="7"/>
  <c r="AF4323" i="7"/>
  <c r="AI4323" i="7" s="1"/>
  <c r="AH4323" i="7"/>
  <c r="AJ4323" i="7"/>
  <c r="AF4324" i="7"/>
  <c r="AI4324" i="7" s="1"/>
  <c r="AH4324" i="7"/>
  <c r="AJ4324" i="7"/>
  <c r="AF4325" i="7"/>
  <c r="AI4325" i="7" s="1"/>
  <c r="AH4325" i="7"/>
  <c r="AJ4325" i="7"/>
  <c r="AF4326" i="7"/>
  <c r="AI4326" i="7" s="1"/>
  <c r="AH4326" i="7"/>
  <c r="AJ4326" i="7"/>
  <c r="AF4327" i="7"/>
  <c r="AI4327" i="7" s="1"/>
  <c r="AH4327" i="7"/>
  <c r="AJ4327" i="7"/>
  <c r="AF4328" i="7"/>
  <c r="AI4328" i="7" s="1"/>
  <c r="AH4328" i="7"/>
  <c r="AJ4328" i="7"/>
  <c r="AF4329" i="7"/>
  <c r="AI4329" i="7" s="1"/>
  <c r="AH4329" i="7"/>
  <c r="AJ4329" i="7"/>
  <c r="AF4330" i="7"/>
  <c r="AI4330" i="7" s="1"/>
  <c r="AH4330" i="7"/>
  <c r="AJ4330" i="7"/>
  <c r="AF4331" i="7"/>
  <c r="AI4331" i="7" s="1"/>
  <c r="AH4331" i="7"/>
  <c r="AJ4331" i="7"/>
  <c r="AF4332" i="7"/>
  <c r="AI4332" i="7" s="1"/>
  <c r="AH4332" i="7"/>
  <c r="AJ4332" i="7"/>
  <c r="AF4333" i="7"/>
  <c r="AI4333" i="7" s="1"/>
  <c r="AH4333" i="7"/>
  <c r="AJ4333" i="7"/>
  <c r="AF4334" i="7"/>
  <c r="AI4334" i="7" s="1"/>
  <c r="AH4334" i="7"/>
  <c r="AJ4334" i="7"/>
  <c r="AF4335" i="7"/>
  <c r="AI4335" i="7" s="1"/>
  <c r="AH4335" i="7"/>
  <c r="AJ4335" i="7"/>
  <c r="AF4336" i="7"/>
  <c r="AI4336" i="7" s="1"/>
  <c r="AH4336" i="7"/>
  <c r="AJ4336" i="7"/>
  <c r="AF4337" i="7"/>
  <c r="AI4337" i="7" s="1"/>
  <c r="AH4337" i="7"/>
  <c r="AJ4337" i="7"/>
  <c r="AF4338" i="7"/>
  <c r="AI4338" i="7" s="1"/>
  <c r="AH4338" i="7"/>
  <c r="AJ4338" i="7"/>
  <c r="AF4339" i="7"/>
  <c r="AI4339" i="7" s="1"/>
  <c r="AH4339" i="7"/>
  <c r="AJ4339" i="7"/>
  <c r="AF4340" i="7"/>
  <c r="AI4340" i="7" s="1"/>
  <c r="AH4340" i="7"/>
  <c r="AJ4340" i="7"/>
  <c r="AF4341" i="7"/>
  <c r="AI4341" i="7" s="1"/>
  <c r="AH4341" i="7"/>
  <c r="AJ4341" i="7"/>
  <c r="AF4342" i="7"/>
  <c r="AI4342" i="7" s="1"/>
  <c r="AH4342" i="7"/>
  <c r="AJ4342" i="7"/>
  <c r="AF4343" i="7"/>
  <c r="AI4343" i="7" s="1"/>
  <c r="AH4343" i="7"/>
  <c r="AJ4343" i="7"/>
  <c r="AF4344" i="7"/>
  <c r="AI4344" i="7" s="1"/>
  <c r="AH4344" i="7"/>
  <c r="AJ4344" i="7"/>
  <c r="AF4345" i="7"/>
  <c r="AI4345" i="7" s="1"/>
  <c r="AH4345" i="7"/>
  <c r="AJ4345" i="7"/>
  <c r="AF4346" i="7"/>
  <c r="AI4346" i="7" s="1"/>
  <c r="AH4346" i="7"/>
  <c r="AJ4346" i="7"/>
  <c r="AF4347" i="7"/>
  <c r="AI4347" i="7" s="1"/>
  <c r="AH4347" i="7"/>
  <c r="AJ4347" i="7"/>
  <c r="AF4348" i="7"/>
  <c r="AI4348" i="7" s="1"/>
  <c r="AH4348" i="7"/>
  <c r="AJ4348" i="7"/>
  <c r="AF4349" i="7"/>
  <c r="AI4349" i="7" s="1"/>
  <c r="AH4349" i="7"/>
  <c r="AJ4349" i="7"/>
  <c r="AF4350" i="7"/>
  <c r="AI4350" i="7" s="1"/>
  <c r="AH4350" i="7"/>
  <c r="AJ4350" i="7"/>
  <c r="AF4351" i="7"/>
  <c r="AI4351" i="7" s="1"/>
  <c r="AH4351" i="7"/>
  <c r="AJ4351" i="7"/>
  <c r="AF4352" i="7"/>
  <c r="AI4352" i="7" s="1"/>
  <c r="AH4352" i="7"/>
  <c r="AJ4352" i="7"/>
  <c r="AF4353" i="7"/>
  <c r="AI4353" i="7" s="1"/>
  <c r="AH4353" i="7"/>
  <c r="AJ4353" i="7"/>
  <c r="AF4354" i="7"/>
  <c r="AI4354" i="7" s="1"/>
  <c r="AH4354" i="7"/>
  <c r="AJ4354" i="7"/>
  <c r="AF4355" i="7"/>
  <c r="AI4355" i="7" s="1"/>
  <c r="AH4355" i="7"/>
  <c r="AJ4355" i="7"/>
  <c r="AF4356" i="7"/>
  <c r="AI4356" i="7" s="1"/>
  <c r="AH4356" i="7"/>
  <c r="AJ4356" i="7"/>
  <c r="AF4357" i="7"/>
  <c r="AI4357" i="7" s="1"/>
  <c r="AH4357" i="7"/>
  <c r="AJ4357" i="7"/>
  <c r="AF4358" i="7"/>
  <c r="AI4358" i="7" s="1"/>
  <c r="AH4358" i="7"/>
  <c r="AJ4358" i="7"/>
  <c r="AF4359" i="7"/>
  <c r="AI4359" i="7" s="1"/>
  <c r="AH4359" i="7"/>
  <c r="AJ4359" i="7"/>
  <c r="AF4360" i="7"/>
  <c r="AI4360" i="7" s="1"/>
  <c r="AH4360" i="7"/>
  <c r="AJ4360" i="7"/>
  <c r="AF4361" i="7"/>
  <c r="AI4361" i="7" s="1"/>
  <c r="AH4361" i="7"/>
  <c r="AJ4361" i="7"/>
  <c r="AF4362" i="7"/>
  <c r="AI4362" i="7" s="1"/>
  <c r="AH4362" i="7"/>
  <c r="AJ4362" i="7"/>
  <c r="AF4365" i="7"/>
  <c r="AI4365" i="7" s="1"/>
  <c r="AH4365" i="7"/>
  <c r="AJ4365" i="7"/>
  <c r="AF4366" i="7"/>
  <c r="AI4366" i="7" s="1"/>
  <c r="AH4366" i="7"/>
  <c r="AJ4366" i="7"/>
  <c r="AF4367" i="7"/>
  <c r="AI4367" i="7" s="1"/>
  <c r="AH4367" i="7"/>
  <c r="AJ4367" i="7"/>
  <c r="AF4368" i="7"/>
  <c r="AI4368" i="7" s="1"/>
  <c r="AH4368" i="7"/>
  <c r="AJ4368" i="7"/>
  <c r="AF4369" i="7"/>
  <c r="AI4369" i="7" s="1"/>
  <c r="AH4369" i="7"/>
  <c r="AJ4369" i="7"/>
  <c r="AF4370" i="7"/>
  <c r="AI4370" i="7" s="1"/>
  <c r="AH4370" i="7"/>
  <c r="AJ4370" i="7"/>
  <c r="AF4371" i="7"/>
  <c r="AI4371" i="7" s="1"/>
  <c r="AH4371" i="7"/>
  <c r="AJ4371" i="7"/>
  <c r="AF4372" i="7"/>
  <c r="AI4372" i="7" s="1"/>
  <c r="AH4372" i="7"/>
  <c r="AJ4372" i="7"/>
  <c r="AF4373" i="7"/>
  <c r="AI4373" i="7" s="1"/>
  <c r="AH4373" i="7"/>
  <c r="AJ4373" i="7"/>
  <c r="AF4374" i="7"/>
  <c r="AI4374" i="7" s="1"/>
  <c r="AH4374" i="7"/>
  <c r="AJ4374" i="7"/>
  <c r="AF4375" i="7"/>
  <c r="AI4375" i="7" s="1"/>
  <c r="AH4375" i="7"/>
  <c r="AJ4375" i="7"/>
  <c r="AF4376" i="7"/>
  <c r="AI4376" i="7" s="1"/>
  <c r="AH4376" i="7"/>
  <c r="AJ4376" i="7"/>
  <c r="AF4377" i="7"/>
  <c r="AI4377" i="7" s="1"/>
  <c r="AH4377" i="7"/>
  <c r="AJ4377" i="7"/>
  <c r="AF4378" i="7"/>
  <c r="AI4378" i="7" s="1"/>
  <c r="AH4378" i="7"/>
  <c r="AJ4378" i="7"/>
  <c r="AF4379" i="7"/>
  <c r="AI4379" i="7" s="1"/>
  <c r="AH4379" i="7"/>
  <c r="AJ4379" i="7"/>
  <c r="AF4380" i="7"/>
  <c r="AI4380" i="7" s="1"/>
  <c r="AH4380" i="7"/>
  <c r="AJ4380" i="7"/>
  <c r="AF4381" i="7"/>
  <c r="AI4381" i="7" s="1"/>
  <c r="AH4381" i="7"/>
  <c r="AJ4381" i="7"/>
  <c r="AF4382" i="7"/>
  <c r="AI4382" i="7" s="1"/>
  <c r="AH4382" i="7"/>
  <c r="AJ4382" i="7"/>
  <c r="AF4383" i="7"/>
  <c r="AI4383" i="7" s="1"/>
  <c r="AH4383" i="7"/>
  <c r="AJ4383" i="7"/>
  <c r="AF4384" i="7"/>
  <c r="AI4384" i="7" s="1"/>
  <c r="AH4384" i="7"/>
  <c r="AJ4384" i="7"/>
  <c r="AF4385" i="7"/>
  <c r="AI4385" i="7" s="1"/>
  <c r="AH4385" i="7"/>
  <c r="AJ4385" i="7"/>
  <c r="AF4386" i="7"/>
  <c r="AI4386" i="7" s="1"/>
  <c r="AH4386" i="7"/>
  <c r="AJ4386" i="7"/>
  <c r="AF4387" i="7"/>
  <c r="AI4387" i="7" s="1"/>
  <c r="AH4387" i="7"/>
  <c r="AJ4387" i="7"/>
  <c r="AF4388" i="7"/>
  <c r="AI4388" i="7" s="1"/>
  <c r="AH4388" i="7"/>
  <c r="AJ4388" i="7"/>
  <c r="AF4389" i="7"/>
  <c r="AI4389" i="7" s="1"/>
  <c r="AH4389" i="7"/>
  <c r="AJ4389" i="7"/>
  <c r="AF4390" i="7"/>
  <c r="AI4390" i="7" s="1"/>
  <c r="AH4390" i="7"/>
  <c r="AJ4390" i="7"/>
  <c r="AF4391" i="7"/>
  <c r="AI4391" i="7" s="1"/>
  <c r="AH4391" i="7"/>
  <c r="AJ4391" i="7"/>
  <c r="AF4392" i="7"/>
  <c r="AI4392" i="7" s="1"/>
  <c r="AH4392" i="7"/>
  <c r="AJ4392" i="7"/>
  <c r="AF4393" i="7"/>
  <c r="AI4393" i="7" s="1"/>
  <c r="AH4393" i="7"/>
  <c r="AJ4393" i="7"/>
  <c r="AF4394" i="7"/>
  <c r="AI4394" i="7" s="1"/>
  <c r="AH4394" i="7"/>
  <c r="AJ4394" i="7"/>
  <c r="AF4395" i="7"/>
  <c r="AI4395" i="7" s="1"/>
  <c r="AH4395" i="7"/>
  <c r="AJ4395" i="7"/>
  <c r="AF4396" i="7"/>
  <c r="AI4396" i="7" s="1"/>
  <c r="AH4396" i="7"/>
  <c r="AJ4396" i="7"/>
  <c r="AF4397" i="7"/>
  <c r="AI4397" i="7" s="1"/>
  <c r="AH4397" i="7"/>
  <c r="AJ4397" i="7"/>
  <c r="AF4398" i="7"/>
  <c r="AI4398" i="7" s="1"/>
  <c r="AH4398" i="7"/>
  <c r="AJ4398" i="7"/>
  <c r="AF4399" i="7"/>
  <c r="AI4399" i="7" s="1"/>
  <c r="AH4399" i="7"/>
  <c r="AJ4399" i="7"/>
  <c r="AF4400" i="7"/>
  <c r="AI4400" i="7" s="1"/>
  <c r="AH4400" i="7"/>
  <c r="AJ4400" i="7"/>
  <c r="AF4401" i="7"/>
  <c r="AI4401" i="7" s="1"/>
  <c r="AH4401" i="7"/>
  <c r="AJ4401" i="7"/>
  <c r="AF4402" i="7"/>
  <c r="AI4402" i="7" s="1"/>
  <c r="AH4402" i="7"/>
  <c r="AJ4402" i="7"/>
  <c r="AF4405" i="7"/>
  <c r="AI4405" i="7" s="1"/>
  <c r="AH4405" i="7"/>
  <c r="AJ4405" i="7"/>
  <c r="AF4406" i="7"/>
  <c r="AI4406" i="7" s="1"/>
  <c r="AH4406" i="7"/>
  <c r="AJ4406" i="7"/>
  <c r="AF4407" i="7"/>
  <c r="AI4407" i="7" s="1"/>
  <c r="AH4407" i="7"/>
  <c r="AJ4407" i="7"/>
  <c r="AF4408" i="7"/>
  <c r="AI4408" i="7" s="1"/>
  <c r="AH4408" i="7"/>
  <c r="AJ4408" i="7"/>
  <c r="AF4409" i="7"/>
  <c r="AI4409" i="7" s="1"/>
  <c r="AH4409" i="7"/>
  <c r="AJ4409" i="7"/>
  <c r="AF4410" i="7"/>
  <c r="AI4410" i="7" s="1"/>
  <c r="AH4410" i="7"/>
  <c r="AJ4410" i="7"/>
  <c r="AF4411" i="7"/>
  <c r="AI4411" i="7" s="1"/>
  <c r="AH4411" i="7"/>
  <c r="AJ4411" i="7"/>
  <c r="AF4412" i="7"/>
  <c r="AI4412" i="7" s="1"/>
  <c r="AH4412" i="7"/>
  <c r="AJ4412" i="7"/>
  <c r="AF4413" i="7"/>
  <c r="AI4413" i="7" s="1"/>
  <c r="AH4413" i="7"/>
  <c r="AJ4413" i="7"/>
  <c r="AF4414" i="7"/>
  <c r="AI4414" i="7" s="1"/>
  <c r="AH4414" i="7"/>
  <c r="AJ4414" i="7"/>
  <c r="AF4415" i="7"/>
  <c r="AI4415" i="7" s="1"/>
  <c r="AH4415" i="7"/>
  <c r="AJ4415" i="7"/>
  <c r="AF4416" i="7"/>
  <c r="AI4416" i="7" s="1"/>
  <c r="AH4416" i="7"/>
  <c r="AJ4416" i="7"/>
  <c r="AF4417" i="7"/>
  <c r="AI4417" i="7" s="1"/>
  <c r="AH4417" i="7"/>
  <c r="AJ4417" i="7"/>
  <c r="AF4418" i="7"/>
  <c r="AI4418" i="7" s="1"/>
  <c r="AH4418" i="7"/>
  <c r="AJ4418" i="7"/>
  <c r="AF4421" i="7"/>
  <c r="AI4421" i="7" s="1"/>
  <c r="AH4421" i="7"/>
  <c r="AJ4421" i="7"/>
  <c r="AF4422" i="7"/>
  <c r="AI4422" i="7" s="1"/>
  <c r="AH4422" i="7"/>
  <c r="AJ4422" i="7"/>
  <c r="AF4423" i="7"/>
  <c r="AI4423" i="7" s="1"/>
  <c r="AH4423" i="7"/>
  <c r="AJ4423" i="7"/>
  <c r="AF4424" i="7"/>
  <c r="AI4424" i="7" s="1"/>
  <c r="AH4424" i="7"/>
  <c r="AJ4424" i="7"/>
  <c r="AF4425" i="7"/>
  <c r="AI4425" i="7" s="1"/>
  <c r="AH4425" i="7"/>
  <c r="AJ4425" i="7"/>
  <c r="AF4426" i="7"/>
  <c r="AI4426" i="7" s="1"/>
  <c r="AH4426" i="7"/>
  <c r="AJ4426" i="7"/>
  <c r="AF4427" i="7"/>
  <c r="AI4427" i="7" s="1"/>
  <c r="AH4427" i="7"/>
  <c r="AJ4427" i="7"/>
  <c r="AF4428" i="7"/>
  <c r="AI4428" i="7" s="1"/>
  <c r="AH4428" i="7"/>
  <c r="AJ4428" i="7"/>
  <c r="AF4429" i="7"/>
  <c r="AI4429" i="7" s="1"/>
  <c r="AH4429" i="7"/>
  <c r="AJ4429" i="7"/>
  <c r="AF4430" i="7"/>
  <c r="AI4430" i="7" s="1"/>
  <c r="AH4430" i="7"/>
  <c r="AJ4430" i="7"/>
  <c r="AF4431" i="7"/>
  <c r="AI4431" i="7" s="1"/>
  <c r="AH4431" i="7"/>
  <c r="AJ4431" i="7"/>
  <c r="AF4432" i="7"/>
  <c r="AI4432" i="7" s="1"/>
  <c r="AH4432" i="7"/>
  <c r="AJ4432" i="7"/>
  <c r="AF4433" i="7"/>
  <c r="AI4433" i="7" s="1"/>
  <c r="AH4433" i="7"/>
  <c r="AJ4433" i="7"/>
  <c r="AF4434" i="7"/>
  <c r="AI4434" i="7" s="1"/>
  <c r="AH4434" i="7"/>
  <c r="AJ4434" i="7"/>
  <c r="AF4435" i="7"/>
  <c r="AI4435" i="7" s="1"/>
  <c r="AH4435" i="7"/>
  <c r="AJ4435" i="7"/>
  <c r="AF4436" i="7"/>
  <c r="AI4436" i="7" s="1"/>
  <c r="AH4436" i="7"/>
  <c r="AJ4436" i="7"/>
  <c r="AF4437" i="7"/>
  <c r="AI4437" i="7" s="1"/>
  <c r="AH4437" i="7"/>
  <c r="AJ4437" i="7"/>
  <c r="AF4438" i="7"/>
  <c r="AI4438" i="7" s="1"/>
  <c r="AH4438" i="7"/>
  <c r="AJ4438" i="7"/>
  <c r="AF4439" i="7"/>
  <c r="AI4439" i="7" s="1"/>
  <c r="AH4439" i="7"/>
  <c r="AJ4439" i="7"/>
  <c r="AF4440" i="7"/>
  <c r="AI4440" i="7" s="1"/>
  <c r="AH4440" i="7"/>
  <c r="AJ4440" i="7"/>
  <c r="AF4441" i="7"/>
  <c r="AI4441" i="7" s="1"/>
  <c r="AH4441" i="7"/>
  <c r="AJ4441" i="7"/>
  <c r="AF4444" i="7"/>
  <c r="AI4444" i="7" s="1"/>
  <c r="AH4444" i="7"/>
  <c r="AJ4444" i="7"/>
  <c r="AF4445" i="7"/>
  <c r="AI4445" i="7" s="1"/>
  <c r="AH4445" i="7"/>
  <c r="AJ4445" i="7"/>
  <c r="AF4446" i="7"/>
  <c r="AI4446" i="7" s="1"/>
  <c r="AH4446" i="7"/>
  <c r="AJ4446" i="7"/>
  <c r="AF4447" i="7"/>
  <c r="AI4447" i="7" s="1"/>
  <c r="AH4447" i="7"/>
  <c r="AJ4447" i="7"/>
  <c r="AF4448" i="7"/>
  <c r="AI4448" i="7" s="1"/>
  <c r="AH4448" i="7"/>
  <c r="AJ4448" i="7"/>
  <c r="AF4449" i="7"/>
  <c r="AI4449" i="7" s="1"/>
  <c r="AH4449" i="7"/>
  <c r="AJ4449" i="7"/>
  <c r="AF4450" i="7"/>
  <c r="AI4450" i="7" s="1"/>
  <c r="AH4450" i="7"/>
  <c r="AJ4450" i="7"/>
  <c r="AF4451" i="7"/>
  <c r="AI4451" i="7" s="1"/>
  <c r="AH4451" i="7"/>
  <c r="AJ4451" i="7"/>
  <c r="AF4452" i="7"/>
  <c r="AI4452" i="7" s="1"/>
  <c r="AH4452" i="7"/>
  <c r="AJ4452" i="7"/>
  <c r="AF4453" i="7"/>
  <c r="AI4453" i="7" s="1"/>
  <c r="AH4453" i="7"/>
  <c r="AJ4453" i="7"/>
  <c r="AF4454" i="7"/>
  <c r="AI4454" i="7" s="1"/>
  <c r="AH4454" i="7"/>
  <c r="AJ4454" i="7"/>
  <c r="AF4455" i="7"/>
  <c r="AI4455" i="7" s="1"/>
  <c r="AH4455" i="7"/>
  <c r="AJ4455" i="7"/>
  <c r="AF4456" i="7"/>
  <c r="AI4456" i="7" s="1"/>
  <c r="AH4456" i="7"/>
  <c r="AJ4456" i="7"/>
  <c r="AF4457" i="7"/>
  <c r="AI4457" i="7" s="1"/>
  <c r="AH4457" i="7"/>
  <c r="AJ4457" i="7"/>
  <c r="AF4458" i="7"/>
  <c r="AI4458" i="7" s="1"/>
  <c r="AH4458" i="7"/>
  <c r="AJ4458" i="7"/>
  <c r="AF4459" i="7"/>
  <c r="AI4459" i="7" s="1"/>
  <c r="AH4459" i="7"/>
  <c r="AJ4459" i="7"/>
  <c r="AF4460" i="7"/>
  <c r="AI4460" i="7" s="1"/>
  <c r="AH4460" i="7"/>
  <c r="AJ4460" i="7"/>
  <c r="AF4461" i="7"/>
  <c r="AI4461" i="7" s="1"/>
  <c r="AH4461" i="7"/>
  <c r="AJ4461" i="7"/>
  <c r="AF4462" i="7"/>
  <c r="AI4462" i="7" s="1"/>
  <c r="AH4462" i="7"/>
  <c r="AJ4462" i="7"/>
  <c r="AF4463" i="7"/>
  <c r="AI4463" i="7" s="1"/>
  <c r="AH4463" i="7"/>
  <c r="AJ4463" i="7"/>
  <c r="AF4464" i="7"/>
  <c r="AI4464" i="7" s="1"/>
  <c r="AH4464" i="7"/>
  <c r="AJ4464" i="7"/>
  <c r="AF4465" i="7"/>
  <c r="AI4465" i="7" s="1"/>
  <c r="AH4465" i="7"/>
  <c r="AJ4465" i="7"/>
  <c r="AF4466" i="7"/>
  <c r="AI4466" i="7" s="1"/>
  <c r="AH4466" i="7"/>
  <c r="AJ4466" i="7"/>
  <c r="AF4467" i="7"/>
  <c r="AI4467" i="7" s="1"/>
  <c r="AH4467" i="7"/>
  <c r="AJ4467" i="7"/>
  <c r="AF4468" i="7"/>
  <c r="AI4468" i="7" s="1"/>
  <c r="AH4468" i="7"/>
  <c r="AJ4468" i="7"/>
  <c r="AF4469" i="7"/>
  <c r="AI4469" i="7" s="1"/>
  <c r="AH4469" i="7"/>
  <c r="AJ4469" i="7"/>
  <c r="AF4472" i="7"/>
  <c r="AI4472" i="7" s="1"/>
  <c r="AH4472" i="7"/>
  <c r="AJ4472" i="7"/>
  <c r="AF4473" i="7"/>
  <c r="AI4473" i="7" s="1"/>
  <c r="AH4473" i="7"/>
  <c r="AJ4473" i="7"/>
  <c r="AF4474" i="7"/>
  <c r="AI4474" i="7" s="1"/>
  <c r="AH4474" i="7"/>
  <c r="AJ4474" i="7"/>
  <c r="AF4475" i="7"/>
  <c r="AI4475" i="7" s="1"/>
  <c r="AH4475" i="7"/>
  <c r="AJ4475" i="7"/>
  <c r="AF4476" i="7"/>
  <c r="AI4476" i="7" s="1"/>
  <c r="AH4476" i="7"/>
  <c r="AJ4476" i="7"/>
  <c r="AF4477" i="7"/>
  <c r="AI4477" i="7" s="1"/>
  <c r="AH4477" i="7"/>
  <c r="AJ4477" i="7"/>
  <c r="AF4478" i="7"/>
  <c r="AI4478" i="7" s="1"/>
  <c r="AH4478" i="7"/>
  <c r="AJ4478" i="7"/>
  <c r="AF4479" i="7"/>
  <c r="AI4479" i="7" s="1"/>
  <c r="AH4479" i="7"/>
  <c r="AJ4479" i="7"/>
  <c r="AF4480" i="7"/>
  <c r="AI4480" i="7" s="1"/>
  <c r="AH4480" i="7"/>
  <c r="AJ4480" i="7"/>
  <c r="AF4481" i="7"/>
  <c r="AI4481" i="7" s="1"/>
  <c r="AH4481" i="7"/>
  <c r="AJ4481" i="7"/>
  <c r="AF4482" i="7"/>
  <c r="AI4482" i="7" s="1"/>
  <c r="AH4482" i="7"/>
  <c r="AJ4482" i="7"/>
  <c r="AF4483" i="7"/>
  <c r="AI4483" i="7" s="1"/>
  <c r="AH4483" i="7"/>
  <c r="AJ4483" i="7"/>
  <c r="AF4484" i="7"/>
  <c r="AI4484" i="7" s="1"/>
  <c r="AH4484" i="7"/>
  <c r="AJ4484" i="7"/>
  <c r="AF4485" i="7"/>
  <c r="AI4485" i="7" s="1"/>
  <c r="AH4485" i="7"/>
  <c r="AJ4485" i="7"/>
  <c r="AF4486" i="7"/>
  <c r="AI4486" i="7" s="1"/>
  <c r="AH4486" i="7"/>
  <c r="AJ4486" i="7"/>
  <c r="AF4487" i="7"/>
  <c r="AI4487" i="7" s="1"/>
  <c r="AH4487" i="7"/>
  <c r="AJ4487" i="7"/>
  <c r="AF4488" i="7"/>
  <c r="AI4488" i="7" s="1"/>
  <c r="AH4488" i="7"/>
  <c r="AJ4488" i="7"/>
  <c r="AF4489" i="7"/>
  <c r="AI4489" i="7" s="1"/>
  <c r="AH4489" i="7"/>
  <c r="AJ4489" i="7"/>
  <c r="AF4490" i="7"/>
  <c r="AI4490" i="7" s="1"/>
  <c r="AH4490" i="7"/>
  <c r="AJ4490" i="7"/>
  <c r="AF4491" i="7"/>
  <c r="AI4491" i="7" s="1"/>
  <c r="AH4491" i="7"/>
  <c r="AJ4491" i="7"/>
  <c r="AF4492" i="7"/>
  <c r="AI4492" i="7" s="1"/>
  <c r="AH4492" i="7"/>
  <c r="AJ4492" i="7"/>
  <c r="AF4493" i="7"/>
  <c r="AI4493" i="7" s="1"/>
  <c r="AH4493" i="7"/>
  <c r="AJ4493" i="7"/>
  <c r="AF4494" i="7"/>
  <c r="AI4494" i="7" s="1"/>
  <c r="AH4494" i="7"/>
  <c r="AJ4494" i="7"/>
  <c r="AF4495" i="7"/>
  <c r="AI4495" i="7" s="1"/>
  <c r="AH4495" i="7"/>
  <c r="AJ4495" i="7"/>
  <c r="AF4496" i="7"/>
  <c r="AI4496" i="7" s="1"/>
  <c r="AH4496" i="7"/>
  <c r="AJ4496" i="7"/>
  <c r="AF4497" i="7"/>
  <c r="AI4497" i="7" s="1"/>
  <c r="AH4497" i="7"/>
  <c r="AJ4497" i="7"/>
  <c r="AF4498" i="7"/>
  <c r="AI4498" i="7" s="1"/>
  <c r="AH4498" i="7"/>
  <c r="AJ4498" i="7"/>
  <c r="AF4499" i="7"/>
  <c r="AI4499" i="7" s="1"/>
  <c r="AH4499" i="7"/>
  <c r="AJ4499" i="7"/>
  <c r="AF4500" i="7"/>
  <c r="AI4500" i="7" s="1"/>
  <c r="AH4500" i="7"/>
  <c r="AJ4500" i="7"/>
  <c r="AF4501" i="7"/>
  <c r="AI4501" i="7" s="1"/>
  <c r="AH4501" i="7"/>
  <c r="AJ4501" i="7"/>
  <c r="AF4502" i="7"/>
  <c r="AI4502" i="7" s="1"/>
  <c r="AH4502" i="7"/>
  <c r="AJ4502" i="7"/>
  <c r="AF4503" i="7"/>
  <c r="AI4503" i="7" s="1"/>
  <c r="AH4503" i="7"/>
  <c r="AJ4503" i="7"/>
  <c r="AF4504" i="7"/>
  <c r="AI4504" i="7" s="1"/>
  <c r="AH4504" i="7"/>
  <c r="AJ4504" i="7"/>
  <c r="AF4507" i="7"/>
  <c r="AI4507" i="7" s="1"/>
  <c r="AH4507" i="7"/>
  <c r="AJ4507" i="7"/>
  <c r="AF4508" i="7"/>
  <c r="AI4508" i="7" s="1"/>
  <c r="AH4508" i="7"/>
  <c r="AJ4508" i="7"/>
  <c r="AF4509" i="7"/>
  <c r="AI4509" i="7" s="1"/>
  <c r="AH4509" i="7"/>
  <c r="AJ4509" i="7"/>
  <c r="AF4510" i="7"/>
  <c r="AI4510" i="7" s="1"/>
  <c r="AH4510" i="7"/>
  <c r="AJ4510" i="7"/>
  <c r="AF4511" i="7"/>
  <c r="AI4511" i="7" s="1"/>
  <c r="AH4511" i="7"/>
  <c r="AJ4511" i="7"/>
  <c r="AF4512" i="7"/>
  <c r="AI4512" i="7" s="1"/>
  <c r="AH4512" i="7"/>
  <c r="AJ4512" i="7"/>
  <c r="AF4513" i="7"/>
  <c r="AI4513" i="7" s="1"/>
  <c r="AH4513" i="7"/>
  <c r="AJ4513" i="7"/>
  <c r="AF4514" i="7"/>
  <c r="AI4514" i="7" s="1"/>
  <c r="AH4514" i="7"/>
  <c r="AJ4514" i="7"/>
  <c r="AF4515" i="7"/>
  <c r="AI4515" i="7" s="1"/>
  <c r="AH4515" i="7"/>
  <c r="AJ4515" i="7"/>
  <c r="AF4516" i="7"/>
  <c r="AI4516" i="7" s="1"/>
  <c r="AH4516" i="7"/>
  <c r="AJ4516" i="7"/>
  <c r="AF4517" i="7"/>
  <c r="AI4517" i="7" s="1"/>
  <c r="AH4517" i="7"/>
  <c r="AJ4517" i="7"/>
  <c r="AF4518" i="7"/>
  <c r="AI4518" i="7" s="1"/>
  <c r="AH4518" i="7"/>
  <c r="AJ4518" i="7"/>
  <c r="AF4519" i="7"/>
  <c r="AI4519" i="7" s="1"/>
  <c r="AH4519" i="7"/>
  <c r="AJ4519" i="7"/>
  <c r="AF4520" i="7"/>
  <c r="AI4520" i="7" s="1"/>
  <c r="AH4520" i="7"/>
  <c r="AJ4520" i="7"/>
  <c r="AF4521" i="7"/>
  <c r="AI4521" i="7" s="1"/>
  <c r="AH4521" i="7"/>
  <c r="AJ4521" i="7"/>
  <c r="AF4522" i="7"/>
  <c r="AI4522" i="7" s="1"/>
  <c r="AH4522" i="7"/>
  <c r="AJ4522" i="7"/>
  <c r="AF4523" i="7"/>
  <c r="AI4523" i="7" s="1"/>
  <c r="AH4523" i="7"/>
  <c r="AJ4523" i="7"/>
  <c r="AF4524" i="7"/>
  <c r="AI4524" i="7" s="1"/>
  <c r="AH4524" i="7"/>
  <c r="AJ4524" i="7"/>
  <c r="AF4525" i="7"/>
  <c r="AI4525" i="7" s="1"/>
  <c r="AH4525" i="7"/>
  <c r="AJ4525" i="7"/>
  <c r="AF4526" i="7"/>
  <c r="AI4526" i="7" s="1"/>
  <c r="AH4526" i="7"/>
  <c r="AJ4526" i="7"/>
  <c r="AF4527" i="7"/>
  <c r="AI4527" i="7" s="1"/>
  <c r="AH4527" i="7"/>
  <c r="AJ4527" i="7"/>
  <c r="AF4528" i="7"/>
  <c r="AI4528" i="7" s="1"/>
  <c r="AH4528" i="7"/>
  <c r="AJ4528" i="7"/>
  <c r="AF4529" i="7"/>
  <c r="AI4529" i="7" s="1"/>
  <c r="AH4529" i="7"/>
  <c r="AJ4529" i="7"/>
  <c r="AF4530" i="7"/>
  <c r="AI4530" i="7" s="1"/>
  <c r="AH4530" i="7"/>
  <c r="AJ4530" i="7"/>
  <c r="AF4531" i="7"/>
  <c r="AI4531" i="7" s="1"/>
  <c r="AH4531" i="7"/>
  <c r="AJ4531" i="7"/>
  <c r="AF4532" i="7"/>
  <c r="AI4532" i="7" s="1"/>
  <c r="AH4532" i="7"/>
  <c r="AJ4532" i="7"/>
  <c r="AF4533" i="7"/>
  <c r="AI4533" i="7" s="1"/>
  <c r="AH4533" i="7"/>
  <c r="AJ4533" i="7"/>
  <c r="AF4534" i="7"/>
  <c r="AI4534" i="7" s="1"/>
  <c r="AH4534" i="7"/>
  <c r="AJ4534" i="7"/>
  <c r="AF4535" i="7"/>
  <c r="AI4535" i="7" s="1"/>
  <c r="AH4535" i="7"/>
  <c r="AJ4535" i="7"/>
  <c r="AF4536" i="7"/>
  <c r="AI4536" i="7" s="1"/>
  <c r="AH4536" i="7"/>
  <c r="AJ4536" i="7"/>
  <c r="AF4537" i="7"/>
  <c r="AI4537" i="7" s="1"/>
  <c r="AH4537" i="7"/>
  <c r="AJ4537" i="7"/>
  <c r="AF4538" i="7"/>
  <c r="AI4538" i="7" s="1"/>
  <c r="AH4538" i="7"/>
  <c r="AJ4538" i="7"/>
  <c r="AF4539" i="7"/>
  <c r="AI4539" i="7" s="1"/>
  <c r="AH4539" i="7"/>
  <c r="AJ4539" i="7"/>
  <c r="AF4540" i="7"/>
  <c r="AI4540" i="7" s="1"/>
  <c r="AH4540" i="7"/>
  <c r="AJ4540" i="7"/>
  <c r="AF4543" i="7"/>
  <c r="AI4543" i="7" s="1"/>
  <c r="AH4543" i="7"/>
  <c r="AJ4543" i="7"/>
  <c r="AF4544" i="7"/>
  <c r="AI4544" i="7" s="1"/>
  <c r="AH4544" i="7"/>
  <c r="AJ4544" i="7"/>
  <c r="AF4545" i="7"/>
  <c r="AI4545" i="7" s="1"/>
  <c r="AH4545" i="7"/>
  <c r="AJ4545" i="7"/>
  <c r="AF4546" i="7"/>
  <c r="AI4546" i="7" s="1"/>
  <c r="AH4546" i="7"/>
  <c r="AJ4546" i="7"/>
  <c r="AF4547" i="7"/>
  <c r="AI4547" i="7" s="1"/>
  <c r="AH4547" i="7"/>
  <c r="AJ4547" i="7"/>
  <c r="AF4548" i="7"/>
  <c r="AI4548" i="7" s="1"/>
  <c r="AH4548" i="7"/>
  <c r="AJ4548" i="7"/>
  <c r="AF4549" i="7"/>
  <c r="AI4549" i="7" s="1"/>
  <c r="AH4549" i="7"/>
  <c r="AJ4549" i="7"/>
  <c r="AF4550" i="7"/>
  <c r="AI4550" i="7" s="1"/>
  <c r="AH4550" i="7"/>
  <c r="AJ4550" i="7"/>
  <c r="AF4551" i="7"/>
  <c r="AI4551" i="7" s="1"/>
  <c r="AH4551" i="7"/>
  <c r="AJ4551" i="7"/>
  <c r="AF4552" i="7"/>
  <c r="AI4552" i="7" s="1"/>
  <c r="AH4552" i="7"/>
  <c r="AJ4552" i="7"/>
  <c r="AF4553" i="7"/>
  <c r="AI4553" i="7" s="1"/>
  <c r="AH4553" i="7"/>
  <c r="AJ4553" i="7"/>
  <c r="AF4554" i="7"/>
  <c r="AI4554" i="7" s="1"/>
  <c r="AH4554" i="7"/>
  <c r="AJ4554" i="7"/>
  <c r="AF4555" i="7"/>
  <c r="AI4555" i="7" s="1"/>
  <c r="AH4555" i="7"/>
  <c r="AJ4555" i="7"/>
  <c r="AF4556" i="7"/>
  <c r="AI4556" i="7" s="1"/>
  <c r="AH4556" i="7"/>
  <c r="AJ4556" i="7"/>
  <c r="AF4557" i="7"/>
  <c r="AI4557" i="7" s="1"/>
  <c r="AH4557" i="7"/>
  <c r="AJ4557" i="7"/>
  <c r="AF4558" i="7"/>
  <c r="AI4558" i="7" s="1"/>
  <c r="AH4558" i="7"/>
  <c r="AJ4558" i="7"/>
  <c r="AF4559" i="7"/>
  <c r="AI4559" i="7" s="1"/>
  <c r="AH4559" i="7"/>
  <c r="AJ4559" i="7"/>
  <c r="AF4560" i="7"/>
  <c r="AI4560" i="7" s="1"/>
  <c r="AH4560" i="7"/>
  <c r="AJ4560" i="7"/>
  <c r="AF4561" i="7"/>
  <c r="AI4561" i="7" s="1"/>
  <c r="AH4561" i="7"/>
  <c r="AJ4561" i="7"/>
  <c r="AF4562" i="7"/>
  <c r="AI4562" i="7" s="1"/>
  <c r="AH4562" i="7"/>
  <c r="AJ4562" i="7"/>
  <c r="AF4563" i="7"/>
  <c r="AI4563" i="7" s="1"/>
  <c r="AH4563" i="7"/>
  <c r="AJ4563" i="7"/>
  <c r="AF4564" i="7"/>
  <c r="AI4564" i="7" s="1"/>
  <c r="AH4564" i="7"/>
  <c r="AJ4564" i="7"/>
  <c r="AF4565" i="7"/>
  <c r="AI4565" i="7" s="1"/>
  <c r="AH4565" i="7"/>
  <c r="AJ4565" i="7"/>
  <c r="AF4566" i="7"/>
  <c r="AI4566" i="7" s="1"/>
  <c r="AH4566" i="7"/>
  <c r="AJ4566" i="7"/>
  <c r="AF4567" i="7"/>
  <c r="AI4567" i="7" s="1"/>
  <c r="AH4567" i="7"/>
  <c r="AJ4567" i="7"/>
  <c r="AF4568" i="7"/>
  <c r="AI4568" i="7" s="1"/>
  <c r="AH4568" i="7"/>
  <c r="AJ4568" i="7"/>
  <c r="AF4569" i="7"/>
  <c r="AI4569" i="7" s="1"/>
  <c r="AH4569" i="7"/>
  <c r="AJ4569" i="7"/>
  <c r="AF4570" i="7"/>
  <c r="AI4570" i="7" s="1"/>
  <c r="AH4570" i="7"/>
  <c r="AJ4570" i="7"/>
  <c r="AF4571" i="7"/>
  <c r="AI4571" i="7" s="1"/>
  <c r="AH4571" i="7"/>
  <c r="AJ4571" i="7"/>
  <c r="AF4572" i="7"/>
  <c r="AI4572" i="7" s="1"/>
  <c r="AH4572" i="7"/>
  <c r="AJ4572" i="7"/>
  <c r="AF4573" i="7"/>
  <c r="AI4573" i="7" s="1"/>
  <c r="AH4573" i="7"/>
  <c r="AJ4573" i="7"/>
  <c r="AF4574" i="7"/>
  <c r="AI4574" i="7" s="1"/>
  <c r="AH4574" i="7"/>
  <c r="AJ4574" i="7"/>
  <c r="AF4575" i="7"/>
  <c r="AI4575" i="7" s="1"/>
  <c r="AH4575" i="7"/>
  <c r="AJ4575" i="7"/>
  <c r="AF4576" i="7"/>
  <c r="AI4576" i="7" s="1"/>
  <c r="AH4576" i="7"/>
  <c r="AJ4576" i="7"/>
  <c r="AF4577" i="7"/>
  <c r="AI4577" i="7" s="1"/>
  <c r="AH4577" i="7"/>
  <c r="AJ4577" i="7"/>
  <c r="AF4578" i="7"/>
  <c r="AI4578" i="7" s="1"/>
  <c r="AH4578" i="7"/>
  <c r="AJ4578" i="7"/>
  <c r="AF4579" i="7"/>
  <c r="AI4579" i="7" s="1"/>
  <c r="AH4579" i="7"/>
  <c r="AJ4579" i="7"/>
  <c r="AF4580" i="7"/>
  <c r="AI4580" i="7" s="1"/>
  <c r="AH4580" i="7"/>
  <c r="AJ4580" i="7"/>
  <c r="AF4581" i="7"/>
  <c r="AI4581" i="7" s="1"/>
  <c r="AH4581" i="7"/>
  <c r="AJ4581" i="7"/>
  <c r="AF4582" i="7"/>
  <c r="AI4582" i="7" s="1"/>
  <c r="AH4582" i="7"/>
  <c r="AJ4582" i="7"/>
  <c r="AF4583" i="7"/>
  <c r="AI4583" i="7" s="1"/>
  <c r="AH4583" i="7"/>
  <c r="AJ4583" i="7"/>
  <c r="AF4584" i="7"/>
  <c r="AI4584" i="7" s="1"/>
  <c r="AH4584" i="7"/>
  <c r="AJ4584" i="7"/>
  <c r="AF4585" i="7"/>
  <c r="AI4585" i="7" s="1"/>
  <c r="AH4585" i="7"/>
  <c r="AJ4585" i="7"/>
  <c r="AF4588" i="7"/>
  <c r="AI4588" i="7" s="1"/>
  <c r="AH4588" i="7"/>
  <c r="AJ4588" i="7"/>
  <c r="AF4589" i="7"/>
  <c r="AI4589" i="7" s="1"/>
  <c r="AH4589" i="7"/>
  <c r="AJ4589" i="7"/>
  <c r="AF4590" i="7"/>
  <c r="AI4590" i="7" s="1"/>
  <c r="AH4590" i="7"/>
  <c r="AJ4590" i="7"/>
  <c r="AF4591" i="7"/>
  <c r="AI4591" i="7" s="1"/>
  <c r="AH4591" i="7"/>
  <c r="AJ4591" i="7"/>
  <c r="AF4592" i="7"/>
  <c r="AI4592" i="7" s="1"/>
  <c r="AH4592" i="7"/>
  <c r="AJ4592" i="7"/>
  <c r="AF4593" i="7"/>
  <c r="AI4593" i="7" s="1"/>
  <c r="AH4593" i="7"/>
  <c r="AJ4593" i="7"/>
  <c r="AF4594" i="7"/>
  <c r="AI4594" i="7" s="1"/>
  <c r="AH4594" i="7"/>
  <c r="AJ4594" i="7"/>
  <c r="AF4595" i="7"/>
  <c r="AI4595" i="7" s="1"/>
  <c r="AH4595" i="7"/>
  <c r="AJ4595" i="7"/>
  <c r="AF4596" i="7"/>
  <c r="AI4596" i="7" s="1"/>
  <c r="AH4596" i="7"/>
  <c r="AJ4596" i="7"/>
  <c r="AF4597" i="7"/>
  <c r="AI4597" i="7" s="1"/>
  <c r="AH4597" i="7"/>
  <c r="AJ4597" i="7"/>
  <c r="AF4598" i="7"/>
  <c r="AI4598" i="7" s="1"/>
  <c r="AH4598" i="7"/>
  <c r="AJ4598" i="7"/>
  <c r="AF4599" i="7"/>
  <c r="AI4599" i="7" s="1"/>
  <c r="AH4599" i="7"/>
  <c r="AJ4599" i="7"/>
  <c r="AF4600" i="7"/>
  <c r="AI4600" i="7" s="1"/>
  <c r="AH4600" i="7"/>
  <c r="AJ4600" i="7"/>
  <c r="AF4601" i="7"/>
  <c r="AI4601" i="7" s="1"/>
  <c r="AH4601" i="7"/>
  <c r="AJ4601" i="7"/>
  <c r="AF4602" i="7"/>
  <c r="AI4602" i="7" s="1"/>
  <c r="AH4602" i="7"/>
  <c r="AJ4602" i="7"/>
  <c r="AF4603" i="7"/>
  <c r="AI4603" i="7" s="1"/>
  <c r="AH4603" i="7"/>
  <c r="AJ4603" i="7"/>
  <c r="AF4604" i="7"/>
  <c r="AI4604" i="7" s="1"/>
  <c r="AH4604" i="7"/>
  <c r="AJ4604" i="7"/>
  <c r="AF4605" i="7"/>
  <c r="AI4605" i="7" s="1"/>
  <c r="AH4605" i="7"/>
  <c r="AJ4605" i="7"/>
  <c r="AF4606" i="7"/>
  <c r="AI4606" i="7" s="1"/>
  <c r="AH4606" i="7"/>
  <c r="AJ4606" i="7"/>
  <c r="AF4607" i="7"/>
  <c r="AI4607" i="7" s="1"/>
  <c r="AH4607" i="7"/>
  <c r="AJ4607" i="7"/>
  <c r="AF4608" i="7"/>
  <c r="AI4608" i="7" s="1"/>
  <c r="AH4608" i="7"/>
  <c r="AJ4608" i="7"/>
  <c r="AF4609" i="7"/>
  <c r="AI4609" i="7" s="1"/>
  <c r="AH4609" i="7"/>
  <c r="AJ4609" i="7"/>
  <c r="AF4610" i="7"/>
  <c r="AI4610" i="7" s="1"/>
  <c r="AH4610" i="7"/>
  <c r="AJ4610" i="7"/>
  <c r="AF4611" i="7"/>
  <c r="AI4611" i="7" s="1"/>
  <c r="AH4611" i="7"/>
  <c r="AJ4611" i="7"/>
  <c r="AF4612" i="7"/>
  <c r="AI4612" i="7" s="1"/>
  <c r="AH4612" i="7"/>
  <c r="AJ4612" i="7"/>
  <c r="AF4613" i="7"/>
  <c r="AI4613" i="7" s="1"/>
  <c r="AH4613" i="7"/>
  <c r="AJ4613" i="7"/>
  <c r="AF4614" i="7"/>
  <c r="AI4614" i="7" s="1"/>
  <c r="AH4614" i="7"/>
  <c r="AJ4614" i="7"/>
  <c r="AF4615" i="7"/>
  <c r="AI4615" i="7" s="1"/>
  <c r="AH4615" i="7"/>
  <c r="AJ4615" i="7"/>
  <c r="AF4616" i="7"/>
  <c r="AI4616" i="7" s="1"/>
  <c r="AH4616" i="7"/>
  <c r="AJ4616" i="7"/>
  <c r="AF4617" i="7"/>
  <c r="AI4617" i="7" s="1"/>
  <c r="AH4617" i="7"/>
  <c r="AJ4617" i="7"/>
  <c r="AF4618" i="7"/>
  <c r="AI4618" i="7" s="1"/>
  <c r="AH4618" i="7"/>
  <c r="AJ4618" i="7"/>
  <c r="AF4619" i="7"/>
  <c r="AI4619" i="7" s="1"/>
  <c r="AH4619" i="7"/>
  <c r="AJ4619" i="7"/>
  <c r="AF4620" i="7"/>
  <c r="AI4620" i="7" s="1"/>
  <c r="AH4620" i="7"/>
  <c r="AJ4620" i="7"/>
  <c r="AF4621" i="7"/>
  <c r="AI4621" i="7" s="1"/>
  <c r="AH4621" i="7"/>
  <c r="AJ4621" i="7"/>
  <c r="AF4622" i="7"/>
  <c r="AI4622" i="7" s="1"/>
  <c r="AH4622" i="7"/>
  <c r="AJ4622" i="7"/>
  <c r="AF4623" i="7"/>
  <c r="AI4623" i="7" s="1"/>
  <c r="AH4623" i="7"/>
  <c r="AJ4623" i="7"/>
  <c r="AF4624" i="7"/>
  <c r="AI4624" i="7" s="1"/>
  <c r="AH4624" i="7"/>
  <c r="AJ4624" i="7"/>
  <c r="AF4625" i="7"/>
  <c r="AI4625" i="7" s="1"/>
  <c r="AH4625" i="7"/>
  <c r="AJ4625" i="7"/>
  <c r="AF4626" i="7"/>
  <c r="AI4626" i="7" s="1"/>
  <c r="AH4626" i="7"/>
  <c r="AJ4626" i="7"/>
  <c r="AF4627" i="7"/>
  <c r="AI4627" i="7" s="1"/>
  <c r="AH4627" i="7"/>
  <c r="AJ4627" i="7"/>
  <c r="AF4628" i="7"/>
  <c r="AI4628" i="7" s="1"/>
  <c r="AH4628" i="7"/>
  <c r="AJ4628" i="7"/>
  <c r="AF4629" i="7"/>
  <c r="AI4629" i="7" s="1"/>
  <c r="AH4629" i="7"/>
  <c r="AJ4629" i="7"/>
  <c r="AF4630" i="7"/>
  <c r="AI4630" i="7" s="1"/>
  <c r="AH4630" i="7"/>
  <c r="AJ4630" i="7"/>
  <c r="AF4631" i="7"/>
  <c r="AI4631" i="7" s="1"/>
  <c r="AH4631" i="7"/>
  <c r="AJ4631" i="7"/>
  <c r="AF4632" i="7"/>
  <c r="AI4632" i="7" s="1"/>
  <c r="AH4632" i="7"/>
  <c r="AJ4632" i="7"/>
  <c r="AF4633" i="7"/>
  <c r="AI4633" i="7" s="1"/>
  <c r="AH4633" i="7"/>
  <c r="AJ4633" i="7"/>
  <c r="AF4634" i="7"/>
  <c r="AI4634" i="7" s="1"/>
  <c r="AH4634" i="7"/>
  <c r="AJ4634" i="7"/>
  <c r="AF4635" i="7"/>
  <c r="AI4635" i="7" s="1"/>
  <c r="AH4635" i="7"/>
  <c r="AJ4635" i="7"/>
  <c r="AF4636" i="7"/>
  <c r="AI4636" i="7" s="1"/>
  <c r="AH4636" i="7"/>
  <c r="AJ4636" i="7"/>
  <c r="AF4637" i="7"/>
  <c r="AI4637" i="7" s="1"/>
  <c r="AH4637" i="7"/>
  <c r="AJ4637" i="7"/>
  <c r="AF4638" i="7"/>
  <c r="AI4638" i="7" s="1"/>
  <c r="AH4638" i="7"/>
  <c r="AJ4638" i="7"/>
  <c r="AF4639" i="7"/>
  <c r="AI4639" i="7" s="1"/>
  <c r="AH4639" i="7"/>
  <c r="AJ4639" i="7"/>
  <c r="AF4640" i="7"/>
  <c r="AI4640" i="7" s="1"/>
  <c r="AH4640" i="7"/>
  <c r="AJ4640" i="7"/>
  <c r="AF4641" i="7"/>
  <c r="AI4641" i="7" s="1"/>
  <c r="AH4641" i="7"/>
  <c r="AJ4641" i="7"/>
  <c r="AF4642" i="7"/>
  <c r="AI4642" i="7" s="1"/>
  <c r="AH4642" i="7"/>
  <c r="AJ4642" i="7"/>
  <c r="AF4643" i="7"/>
  <c r="AI4643" i="7" s="1"/>
  <c r="AH4643" i="7"/>
  <c r="AJ4643" i="7"/>
  <c r="AF4644" i="7"/>
  <c r="AI4644" i="7" s="1"/>
  <c r="AH4644" i="7"/>
  <c r="AJ4644" i="7"/>
  <c r="AF4645" i="7"/>
  <c r="AI4645" i="7" s="1"/>
  <c r="AH4645" i="7"/>
  <c r="AJ4645" i="7"/>
  <c r="AF4646" i="7"/>
  <c r="AI4646" i="7" s="1"/>
  <c r="AH4646" i="7"/>
  <c r="AJ4646" i="7"/>
  <c r="AF4647" i="7"/>
  <c r="AI4647" i="7" s="1"/>
  <c r="AH4647" i="7"/>
  <c r="AJ4647" i="7"/>
  <c r="AF4648" i="7"/>
  <c r="AI4648" i="7" s="1"/>
  <c r="AH4648" i="7"/>
  <c r="AJ4648" i="7"/>
  <c r="AF4649" i="7"/>
  <c r="AI4649" i="7" s="1"/>
  <c r="AH4649" i="7"/>
  <c r="AJ4649" i="7"/>
  <c r="AF4650" i="7"/>
  <c r="AI4650" i="7" s="1"/>
  <c r="AH4650" i="7"/>
  <c r="AJ4650" i="7"/>
  <c r="AF4651" i="7"/>
  <c r="AI4651" i="7" s="1"/>
  <c r="AH4651" i="7"/>
  <c r="AJ4651" i="7"/>
  <c r="AF4652" i="7"/>
  <c r="AI4652" i="7" s="1"/>
  <c r="AH4652" i="7"/>
  <c r="AJ4652" i="7"/>
  <c r="AF4653" i="7"/>
  <c r="AI4653" i="7" s="1"/>
  <c r="AH4653" i="7"/>
  <c r="AJ4653" i="7"/>
  <c r="AF4654" i="7"/>
  <c r="AI4654" i="7" s="1"/>
  <c r="AH4654" i="7"/>
  <c r="AJ4654" i="7"/>
  <c r="AF4655" i="7"/>
  <c r="AI4655" i="7" s="1"/>
  <c r="AH4655" i="7"/>
  <c r="AJ4655" i="7"/>
  <c r="AF4656" i="7"/>
  <c r="AI4656" i="7" s="1"/>
  <c r="AH4656" i="7"/>
  <c r="AJ4656" i="7"/>
  <c r="AF4657" i="7"/>
  <c r="AI4657" i="7" s="1"/>
  <c r="AH4657" i="7"/>
  <c r="AJ4657" i="7"/>
  <c r="AF4658" i="7"/>
  <c r="AI4658" i="7" s="1"/>
  <c r="AH4658" i="7"/>
  <c r="AJ4658" i="7"/>
  <c r="AF4659" i="7"/>
  <c r="AI4659" i="7" s="1"/>
  <c r="AH4659" i="7"/>
  <c r="AJ4659" i="7"/>
  <c r="AF4660" i="7"/>
  <c r="AI4660" i="7" s="1"/>
  <c r="AH4660" i="7"/>
  <c r="AJ4660" i="7"/>
  <c r="AF4674" i="7"/>
  <c r="AI4674" i="7" s="1"/>
  <c r="AH4674" i="7"/>
  <c r="AJ4674" i="7"/>
  <c r="AF4675" i="7"/>
  <c r="AI4675" i="7" s="1"/>
  <c r="AH4675" i="7"/>
  <c r="AJ4675" i="7"/>
  <c r="AF4676" i="7"/>
  <c r="AI4676" i="7" s="1"/>
  <c r="AH4676" i="7"/>
  <c r="AJ4676" i="7"/>
  <c r="AF4677" i="7"/>
  <c r="AI4677" i="7" s="1"/>
  <c r="AH4677" i="7"/>
  <c r="AJ4677" i="7"/>
  <c r="AF4678" i="7"/>
  <c r="AI4678" i="7" s="1"/>
  <c r="AH4678" i="7"/>
  <c r="AJ4678" i="7"/>
  <c r="AF4679" i="7"/>
  <c r="AI4679" i="7" s="1"/>
  <c r="AH4679" i="7"/>
  <c r="AJ4679" i="7"/>
  <c r="AF4680" i="7"/>
  <c r="AI4680" i="7" s="1"/>
  <c r="AH4680" i="7"/>
  <c r="AJ4680" i="7"/>
  <c r="AF4681" i="7"/>
  <c r="AI4681" i="7" s="1"/>
  <c r="AH4681" i="7"/>
  <c r="AJ4681" i="7"/>
  <c r="AF4682" i="7"/>
  <c r="AI4682" i="7" s="1"/>
  <c r="AH4682" i="7"/>
  <c r="AJ4682" i="7"/>
  <c r="AF4683" i="7"/>
  <c r="AI4683" i="7" s="1"/>
  <c r="AH4683" i="7"/>
  <c r="AJ4683" i="7"/>
  <c r="AF4684" i="7"/>
  <c r="AI4684" i="7" s="1"/>
  <c r="AH4684" i="7"/>
  <c r="AJ4684" i="7"/>
  <c r="AF4685" i="7"/>
  <c r="AI4685" i="7" s="1"/>
  <c r="AH4685" i="7"/>
  <c r="AJ4685" i="7"/>
  <c r="AF4686" i="7"/>
  <c r="AI4686" i="7" s="1"/>
  <c r="AH4686" i="7"/>
  <c r="AJ4686" i="7"/>
  <c r="AF4687" i="7"/>
  <c r="AI4687" i="7" s="1"/>
  <c r="AH4687" i="7"/>
  <c r="AJ4687" i="7"/>
  <c r="AF4688" i="7"/>
  <c r="AI4688" i="7" s="1"/>
  <c r="AH4688" i="7"/>
  <c r="AJ4688" i="7"/>
  <c r="AF4689" i="7"/>
  <c r="AI4689" i="7" s="1"/>
  <c r="AH4689" i="7"/>
  <c r="AJ4689" i="7"/>
  <c r="AF4690" i="7"/>
  <c r="AI4690" i="7" s="1"/>
  <c r="AH4690" i="7"/>
  <c r="AJ4690" i="7"/>
  <c r="AF4691" i="7"/>
  <c r="AI4691" i="7" s="1"/>
  <c r="AH4691" i="7"/>
  <c r="AJ4691" i="7"/>
  <c r="AF4692" i="7"/>
  <c r="AI4692" i="7" s="1"/>
  <c r="AH4692" i="7"/>
  <c r="AJ4692" i="7"/>
  <c r="AF4693" i="7"/>
  <c r="AI4693" i="7" s="1"/>
  <c r="AH4693" i="7"/>
  <c r="AJ4693" i="7"/>
  <c r="AF4696" i="7"/>
  <c r="AI4696" i="7" s="1"/>
  <c r="AH4696" i="7"/>
  <c r="AJ4696" i="7"/>
  <c r="AF4697" i="7"/>
  <c r="AI4697" i="7" s="1"/>
  <c r="AH4697" i="7"/>
  <c r="AJ4697" i="7"/>
  <c r="AF4698" i="7"/>
  <c r="AI4698" i="7" s="1"/>
  <c r="AH4698" i="7"/>
  <c r="AJ4698" i="7"/>
  <c r="AF4699" i="7"/>
  <c r="AI4699" i="7" s="1"/>
  <c r="AH4699" i="7"/>
  <c r="AJ4699" i="7"/>
  <c r="AF4700" i="7"/>
  <c r="AI4700" i="7" s="1"/>
  <c r="AH4700" i="7"/>
  <c r="AJ4700" i="7"/>
  <c r="AF4701" i="7"/>
  <c r="AI4701" i="7" s="1"/>
  <c r="AH4701" i="7"/>
  <c r="AJ4701" i="7"/>
  <c r="AF4702" i="7"/>
  <c r="AI4702" i="7" s="1"/>
  <c r="AH4702" i="7"/>
  <c r="AJ4702" i="7"/>
  <c r="AF4703" i="7"/>
  <c r="AI4703" i="7" s="1"/>
  <c r="AH4703" i="7"/>
  <c r="AJ4703" i="7"/>
  <c r="AF4704" i="7"/>
  <c r="AI4704" i="7" s="1"/>
  <c r="AH4704" i="7"/>
  <c r="AJ4704" i="7"/>
  <c r="AF4705" i="7"/>
  <c r="AI4705" i="7" s="1"/>
  <c r="AH4705" i="7"/>
  <c r="AJ4705" i="7"/>
  <c r="AF4706" i="7"/>
  <c r="AI4706" i="7" s="1"/>
  <c r="AH4706" i="7"/>
  <c r="AJ4706" i="7"/>
  <c r="AF4707" i="7"/>
  <c r="AI4707" i="7" s="1"/>
  <c r="AH4707" i="7"/>
  <c r="AJ4707" i="7"/>
  <c r="AF4708" i="7"/>
  <c r="AI4708" i="7" s="1"/>
  <c r="AH4708" i="7"/>
  <c r="AJ4708" i="7"/>
  <c r="AF4709" i="7"/>
  <c r="AI4709" i="7" s="1"/>
  <c r="AH4709" i="7"/>
  <c r="AJ4709" i="7"/>
  <c r="AF4710" i="7"/>
  <c r="AI4710" i="7" s="1"/>
  <c r="AH4710" i="7"/>
  <c r="AJ4710" i="7"/>
  <c r="AF4711" i="7"/>
  <c r="AI4711" i="7" s="1"/>
  <c r="AH4711" i="7"/>
  <c r="AJ4711" i="7"/>
  <c r="AF4712" i="7"/>
  <c r="AI4712" i="7" s="1"/>
  <c r="AH4712" i="7"/>
  <c r="AJ4712" i="7"/>
  <c r="AF4713" i="7"/>
  <c r="AI4713" i="7" s="1"/>
  <c r="AH4713" i="7"/>
  <c r="AJ4713" i="7"/>
  <c r="AF4714" i="7"/>
  <c r="AI4714" i="7" s="1"/>
  <c r="AH4714" i="7"/>
  <c r="AJ4714" i="7"/>
  <c r="AF4715" i="7"/>
  <c r="AI4715" i="7" s="1"/>
  <c r="AH4715" i="7"/>
  <c r="AJ4715" i="7"/>
  <c r="AF4716" i="7"/>
  <c r="AI4716" i="7" s="1"/>
  <c r="AH4716" i="7"/>
  <c r="AJ4716" i="7"/>
  <c r="AF4717" i="7"/>
  <c r="AI4717" i="7" s="1"/>
  <c r="AH4717" i="7"/>
  <c r="AJ4717" i="7"/>
  <c r="AF4718" i="7"/>
  <c r="AI4718" i="7" s="1"/>
  <c r="AH4718" i="7"/>
  <c r="AJ4718" i="7"/>
  <c r="AF4719" i="7"/>
  <c r="AI4719" i="7" s="1"/>
  <c r="AH4719" i="7"/>
  <c r="AJ4719" i="7"/>
  <c r="AF4720" i="7"/>
  <c r="AI4720" i="7" s="1"/>
  <c r="AH4720" i="7"/>
  <c r="AJ4720" i="7"/>
  <c r="AF4721" i="7"/>
  <c r="AI4721" i="7" s="1"/>
  <c r="AH4721" i="7"/>
  <c r="AJ4721" i="7"/>
  <c r="AF4722" i="7"/>
  <c r="AI4722" i="7" s="1"/>
  <c r="AH4722" i="7"/>
  <c r="AJ4722" i="7"/>
  <c r="AF4723" i="7"/>
  <c r="AI4723" i="7" s="1"/>
  <c r="AH4723" i="7"/>
  <c r="AJ4723" i="7"/>
  <c r="AF4724" i="7"/>
  <c r="AI4724" i="7" s="1"/>
  <c r="AH4724" i="7"/>
  <c r="AJ4724" i="7"/>
  <c r="AF4725" i="7"/>
  <c r="AI4725" i="7" s="1"/>
  <c r="AH4725" i="7"/>
  <c r="AJ4725" i="7"/>
  <c r="AF4726" i="7"/>
  <c r="AI4726" i="7" s="1"/>
  <c r="AH4726" i="7"/>
  <c r="AJ4726" i="7"/>
  <c r="AF4727" i="7"/>
  <c r="AI4727" i="7" s="1"/>
  <c r="AH4727" i="7"/>
  <c r="AJ4727" i="7"/>
  <c r="AF4728" i="7"/>
  <c r="AI4728" i="7" s="1"/>
  <c r="AH4728" i="7"/>
  <c r="AJ4728" i="7"/>
  <c r="AF4729" i="7"/>
  <c r="AI4729" i="7" s="1"/>
  <c r="AH4729" i="7"/>
  <c r="AJ4729" i="7"/>
  <c r="AF4730" i="7"/>
  <c r="AI4730" i="7" s="1"/>
  <c r="AH4730" i="7"/>
  <c r="AJ4730" i="7"/>
  <c r="AF4731" i="7"/>
  <c r="AI4731" i="7" s="1"/>
  <c r="AH4731" i="7"/>
  <c r="AJ4731" i="7"/>
  <c r="AF4732" i="7"/>
  <c r="AI4732" i="7" s="1"/>
  <c r="AH4732" i="7"/>
  <c r="AJ4732" i="7"/>
  <c r="AF4733" i="7"/>
  <c r="AI4733" i="7" s="1"/>
  <c r="AH4733" i="7"/>
  <c r="AJ4733" i="7"/>
  <c r="AF4734" i="7"/>
  <c r="AI4734" i="7" s="1"/>
  <c r="AH4734" i="7"/>
  <c r="AJ4734" i="7"/>
  <c r="AF4735" i="7"/>
  <c r="AI4735" i="7" s="1"/>
  <c r="AH4735" i="7"/>
  <c r="AJ4735" i="7"/>
  <c r="AF4736" i="7"/>
  <c r="AI4736" i="7" s="1"/>
  <c r="AH4736" i="7"/>
  <c r="AJ4736" i="7"/>
  <c r="AF4737" i="7"/>
  <c r="AI4737" i="7" s="1"/>
  <c r="AH4737" i="7"/>
  <c r="AJ4737" i="7"/>
  <c r="AF4738" i="7"/>
  <c r="AI4738" i="7" s="1"/>
  <c r="AH4738" i="7"/>
  <c r="AJ4738" i="7"/>
  <c r="AF4739" i="7"/>
  <c r="AI4739" i="7" s="1"/>
  <c r="AH4739" i="7"/>
  <c r="AJ4739" i="7"/>
  <c r="AF4740" i="7"/>
  <c r="AI4740" i="7" s="1"/>
  <c r="AH4740" i="7"/>
  <c r="AJ4740" i="7"/>
  <c r="AF4741" i="7"/>
  <c r="AI4741" i="7" s="1"/>
  <c r="AH4741" i="7"/>
  <c r="AJ4741" i="7"/>
  <c r="AF4742" i="7"/>
  <c r="AI4742" i="7" s="1"/>
  <c r="AH4742" i="7"/>
  <c r="AJ4742" i="7"/>
  <c r="AF4743" i="7"/>
  <c r="AI4743" i="7" s="1"/>
  <c r="AH4743" i="7"/>
  <c r="AJ4743" i="7"/>
  <c r="AF4744" i="7"/>
  <c r="AI4744" i="7" s="1"/>
  <c r="AH4744" i="7"/>
  <c r="AJ4744" i="7"/>
  <c r="AF4745" i="7"/>
  <c r="AI4745" i="7" s="1"/>
  <c r="AH4745" i="7"/>
  <c r="AJ4745" i="7"/>
  <c r="AF4746" i="7"/>
  <c r="AI4746" i="7" s="1"/>
  <c r="AH4746" i="7"/>
  <c r="AJ4746" i="7"/>
  <c r="AF4747" i="7"/>
  <c r="AI4747" i="7" s="1"/>
  <c r="AH4747" i="7"/>
  <c r="AJ4747" i="7"/>
  <c r="AF4748" i="7"/>
  <c r="AI4748" i="7" s="1"/>
  <c r="AH4748" i="7"/>
  <c r="AJ4748" i="7"/>
  <c r="AF4749" i="7"/>
  <c r="AI4749" i="7" s="1"/>
  <c r="AH4749" i="7"/>
  <c r="AJ4749" i="7"/>
  <c r="AF4750" i="7"/>
  <c r="AI4750" i="7" s="1"/>
  <c r="AH4750" i="7"/>
  <c r="AJ4750" i="7"/>
  <c r="AF4751" i="7"/>
  <c r="AI4751" i="7" s="1"/>
  <c r="AH4751" i="7"/>
  <c r="AJ4751" i="7"/>
  <c r="AF4752" i="7"/>
  <c r="AI4752" i="7" s="1"/>
  <c r="AH4752" i="7"/>
  <c r="AJ4752" i="7"/>
  <c r="AF4753" i="7"/>
  <c r="AI4753" i="7" s="1"/>
  <c r="AH4753" i="7"/>
  <c r="AJ4753" i="7"/>
  <c r="AF4754" i="7"/>
  <c r="AI4754" i="7" s="1"/>
  <c r="AH4754" i="7"/>
  <c r="AJ4754" i="7"/>
  <c r="AF4755" i="7"/>
  <c r="AI4755" i="7" s="1"/>
  <c r="AH4755" i="7"/>
  <c r="AJ4755" i="7"/>
  <c r="AF4756" i="7"/>
  <c r="AI4756" i="7" s="1"/>
  <c r="AH4756" i="7"/>
  <c r="AJ4756" i="7"/>
  <c r="AF4757" i="7"/>
  <c r="AI4757" i="7" s="1"/>
  <c r="AH4757" i="7"/>
  <c r="AJ4757" i="7"/>
  <c r="AF4758" i="7"/>
  <c r="AI4758" i="7" s="1"/>
  <c r="AH4758" i="7"/>
  <c r="AJ4758" i="7"/>
  <c r="AF4759" i="7"/>
  <c r="AI4759" i="7" s="1"/>
  <c r="AH4759" i="7"/>
  <c r="AJ4759" i="7"/>
  <c r="AF4760" i="7"/>
  <c r="AI4760" i="7" s="1"/>
  <c r="AH4760" i="7"/>
  <c r="AJ4760" i="7"/>
  <c r="AF4761" i="7"/>
  <c r="AI4761" i="7" s="1"/>
  <c r="AH4761" i="7"/>
  <c r="AJ4761" i="7"/>
  <c r="AF4762" i="7"/>
  <c r="AI4762" i="7" s="1"/>
  <c r="AH4762" i="7"/>
  <c r="AJ4762" i="7"/>
  <c r="AF4763" i="7"/>
  <c r="AI4763" i="7" s="1"/>
  <c r="AH4763" i="7"/>
  <c r="AJ4763" i="7"/>
  <c r="AF4764" i="7"/>
  <c r="AI4764" i="7" s="1"/>
  <c r="AH4764" i="7"/>
  <c r="AJ4764" i="7"/>
  <c r="AF4765" i="7"/>
  <c r="AI4765" i="7" s="1"/>
  <c r="AH4765" i="7"/>
  <c r="AJ4765" i="7"/>
  <c r="AF4766" i="7"/>
  <c r="AI4766" i="7" s="1"/>
  <c r="AH4766" i="7"/>
  <c r="AJ4766" i="7"/>
  <c r="AF4767" i="7"/>
  <c r="AI4767" i="7" s="1"/>
  <c r="AH4767" i="7"/>
  <c r="AJ4767" i="7"/>
  <c r="AF4768" i="7"/>
  <c r="AI4768" i="7" s="1"/>
  <c r="AH4768" i="7"/>
  <c r="AJ4768" i="7"/>
  <c r="AF4769" i="7"/>
  <c r="AI4769" i="7" s="1"/>
  <c r="AH4769" i="7"/>
  <c r="AJ4769" i="7"/>
  <c r="AF4770" i="7"/>
  <c r="AI4770" i="7" s="1"/>
  <c r="AH4770" i="7"/>
  <c r="AJ4770" i="7"/>
  <c r="AF4771" i="7"/>
  <c r="AI4771" i="7" s="1"/>
  <c r="AH4771" i="7"/>
  <c r="AJ4771" i="7"/>
  <c r="AF4772" i="7"/>
  <c r="AI4772" i="7" s="1"/>
  <c r="AH4772" i="7"/>
  <c r="AJ4772" i="7"/>
  <c r="AF4773" i="7"/>
  <c r="AI4773" i="7" s="1"/>
  <c r="AH4773" i="7"/>
  <c r="AJ4773" i="7"/>
  <c r="AF4774" i="7"/>
  <c r="AI4774" i="7" s="1"/>
  <c r="AH4774" i="7"/>
  <c r="AJ4774" i="7"/>
  <c r="AF4775" i="7"/>
  <c r="AI4775" i="7" s="1"/>
  <c r="AH4775" i="7"/>
  <c r="AJ4775" i="7"/>
  <c r="AF4776" i="7"/>
  <c r="AI4776" i="7" s="1"/>
  <c r="AH4776" i="7"/>
  <c r="AJ4776" i="7"/>
  <c r="AF4777" i="7"/>
  <c r="AI4777" i="7" s="1"/>
  <c r="AH4777" i="7"/>
  <c r="AJ4777" i="7"/>
  <c r="AF4778" i="7"/>
  <c r="AI4778" i="7" s="1"/>
  <c r="AH4778" i="7"/>
  <c r="AJ4778" i="7"/>
  <c r="AF4779" i="7"/>
  <c r="AI4779" i="7" s="1"/>
  <c r="AH4779" i="7"/>
  <c r="AJ4779" i="7"/>
  <c r="AF4780" i="7"/>
  <c r="AI4780" i="7" s="1"/>
  <c r="AH4780" i="7"/>
  <c r="AJ4780" i="7"/>
  <c r="AF4781" i="7"/>
  <c r="AI4781" i="7" s="1"/>
  <c r="AH4781" i="7"/>
  <c r="AJ4781" i="7"/>
  <c r="AF4782" i="7"/>
  <c r="AI4782" i="7" s="1"/>
  <c r="AH4782" i="7"/>
  <c r="AJ4782" i="7"/>
  <c r="AF4783" i="7"/>
  <c r="AI4783" i="7" s="1"/>
  <c r="AH4783" i="7"/>
  <c r="AJ4783" i="7"/>
  <c r="AF4784" i="7"/>
  <c r="AI4784" i="7" s="1"/>
  <c r="AH4784" i="7"/>
  <c r="AJ4784" i="7"/>
  <c r="AF4785" i="7"/>
  <c r="AI4785" i="7" s="1"/>
  <c r="AH4785" i="7"/>
  <c r="AJ4785" i="7"/>
  <c r="AF4786" i="7"/>
  <c r="AI4786" i="7" s="1"/>
  <c r="AH4786" i="7"/>
  <c r="AJ4786" i="7"/>
  <c r="AF4787" i="7"/>
  <c r="AI4787" i="7" s="1"/>
  <c r="AH4787" i="7"/>
  <c r="AJ4787" i="7"/>
  <c r="AF4788" i="7"/>
  <c r="AI4788" i="7" s="1"/>
  <c r="AH4788" i="7"/>
  <c r="AJ4788" i="7"/>
  <c r="AF4789" i="7"/>
  <c r="AI4789" i="7" s="1"/>
  <c r="AH4789" i="7"/>
  <c r="AJ4789" i="7"/>
  <c r="AF4790" i="7"/>
  <c r="AI4790" i="7" s="1"/>
  <c r="AH4790" i="7"/>
  <c r="AJ4790" i="7"/>
  <c r="AF4791" i="7"/>
  <c r="AI4791" i="7" s="1"/>
  <c r="AH4791" i="7"/>
  <c r="AJ4791" i="7"/>
  <c r="AF4792" i="7"/>
  <c r="AI4792" i="7" s="1"/>
  <c r="AH4792" i="7"/>
  <c r="AJ4792" i="7"/>
  <c r="AF4793" i="7"/>
  <c r="AI4793" i="7" s="1"/>
  <c r="AH4793" i="7"/>
  <c r="AJ4793" i="7"/>
  <c r="AF4794" i="7"/>
  <c r="AI4794" i="7" s="1"/>
  <c r="AH4794" i="7"/>
  <c r="AJ4794" i="7"/>
  <c r="AF4795" i="7"/>
  <c r="AI4795" i="7" s="1"/>
  <c r="AH4795" i="7"/>
  <c r="AJ4795" i="7"/>
  <c r="AF4796" i="7"/>
  <c r="AI4796" i="7" s="1"/>
  <c r="AH4796" i="7"/>
  <c r="AJ4796" i="7"/>
  <c r="AF4797" i="7"/>
  <c r="AI4797" i="7" s="1"/>
  <c r="AH4797" i="7"/>
  <c r="AJ4797" i="7"/>
  <c r="AF4798" i="7"/>
  <c r="AI4798" i="7" s="1"/>
  <c r="AH4798" i="7"/>
  <c r="AJ4798" i="7"/>
  <c r="AF4799" i="7"/>
  <c r="AI4799" i="7" s="1"/>
  <c r="AH4799" i="7"/>
  <c r="AJ4799" i="7"/>
  <c r="AF4800" i="7"/>
  <c r="AI4800" i="7" s="1"/>
  <c r="AH4800" i="7"/>
  <c r="AJ4800" i="7"/>
  <c r="AF4801" i="7"/>
  <c r="AI4801" i="7" s="1"/>
  <c r="AH4801" i="7"/>
  <c r="AJ4801" i="7"/>
  <c r="AF4802" i="7"/>
  <c r="AI4802" i="7" s="1"/>
  <c r="AH4802" i="7"/>
  <c r="AJ4802" i="7"/>
  <c r="AF4803" i="7"/>
  <c r="AI4803" i="7" s="1"/>
  <c r="AH4803" i="7"/>
  <c r="AJ4803" i="7"/>
  <c r="AF4804" i="7"/>
  <c r="AI4804" i="7" s="1"/>
  <c r="AH4804" i="7"/>
  <c r="AJ4804" i="7"/>
  <c r="AF4805" i="7"/>
  <c r="AI4805" i="7" s="1"/>
  <c r="AH4805" i="7"/>
  <c r="AJ4805" i="7"/>
  <c r="AF4806" i="7"/>
  <c r="AI4806" i="7" s="1"/>
  <c r="AH4806" i="7"/>
  <c r="AJ4806" i="7"/>
  <c r="AF4807" i="7"/>
  <c r="AI4807" i="7" s="1"/>
  <c r="AH4807" i="7"/>
  <c r="AJ4807" i="7"/>
  <c r="AF4808" i="7"/>
  <c r="AI4808" i="7" s="1"/>
  <c r="AH4808" i="7"/>
  <c r="AJ4808" i="7"/>
  <c r="AF4809" i="7"/>
  <c r="AI4809" i="7" s="1"/>
  <c r="AH4809" i="7"/>
  <c r="AJ4809" i="7"/>
  <c r="AF4810" i="7"/>
  <c r="AI4810" i="7" s="1"/>
  <c r="AH4810" i="7"/>
  <c r="AJ4810" i="7"/>
  <c r="AF4811" i="7"/>
  <c r="AI4811" i="7" s="1"/>
  <c r="AH4811" i="7"/>
  <c r="AJ4811" i="7"/>
  <c r="AF4812" i="7"/>
  <c r="AI4812" i="7" s="1"/>
  <c r="AH4812" i="7"/>
  <c r="AJ4812" i="7"/>
  <c r="AF4813" i="7"/>
  <c r="AI4813" i="7" s="1"/>
  <c r="AH4813" i="7"/>
  <c r="AJ4813" i="7"/>
  <c r="AF4814" i="7"/>
  <c r="AI4814" i="7" s="1"/>
  <c r="AH4814" i="7"/>
  <c r="AJ4814" i="7"/>
  <c r="AF4815" i="7"/>
  <c r="AI4815" i="7" s="1"/>
  <c r="AH4815" i="7"/>
  <c r="AJ4815" i="7"/>
  <c r="AF4816" i="7"/>
  <c r="AI4816" i="7" s="1"/>
  <c r="AH4816" i="7"/>
  <c r="AJ4816" i="7"/>
  <c r="AF4817" i="7"/>
  <c r="AI4817" i="7" s="1"/>
  <c r="AH4817" i="7"/>
  <c r="AJ4817" i="7"/>
  <c r="AF4818" i="7"/>
  <c r="AI4818" i="7" s="1"/>
  <c r="AH4818" i="7"/>
  <c r="AJ4818" i="7"/>
  <c r="AF4819" i="7"/>
  <c r="AI4819" i="7" s="1"/>
  <c r="AH4819" i="7"/>
  <c r="AJ4819" i="7"/>
  <c r="AF4820" i="7"/>
  <c r="AI4820" i="7" s="1"/>
  <c r="AH4820" i="7"/>
  <c r="AJ4820" i="7"/>
  <c r="AF4821" i="7"/>
  <c r="AI4821" i="7" s="1"/>
  <c r="AH4821" i="7"/>
  <c r="AJ4821" i="7"/>
  <c r="AF4822" i="7"/>
  <c r="AI4822" i="7" s="1"/>
  <c r="AH4822" i="7"/>
  <c r="AJ4822" i="7"/>
  <c r="AF4823" i="7"/>
  <c r="AI4823" i="7" s="1"/>
  <c r="AH4823" i="7"/>
  <c r="AJ4823" i="7"/>
  <c r="AF4824" i="7"/>
  <c r="AI4824" i="7" s="1"/>
  <c r="AH4824" i="7"/>
  <c r="AJ4824" i="7"/>
  <c r="AF4825" i="7"/>
  <c r="AI4825" i="7" s="1"/>
  <c r="AH4825" i="7"/>
  <c r="AJ4825" i="7"/>
  <c r="AF4826" i="7"/>
  <c r="AI4826" i="7" s="1"/>
  <c r="AH4826" i="7"/>
  <c r="AJ4826" i="7"/>
  <c r="AF4827" i="7"/>
  <c r="AI4827" i="7" s="1"/>
  <c r="AH4827" i="7"/>
  <c r="AJ4827" i="7"/>
  <c r="AF4828" i="7"/>
  <c r="AI4828" i="7" s="1"/>
  <c r="AH4828" i="7"/>
  <c r="AJ4828" i="7"/>
  <c r="AF4829" i="7"/>
  <c r="AI4829" i="7" s="1"/>
  <c r="AH4829" i="7"/>
  <c r="AJ4829" i="7"/>
  <c r="AF4830" i="7"/>
  <c r="AI4830" i="7" s="1"/>
  <c r="AH4830" i="7"/>
  <c r="AJ4830" i="7"/>
  <c r="AF4831" i="7"/>
  <c r="AI4831" i="7" s="1"/>
  <c r="AH4831" i="7"/>
  <c r="AJ4831" i="7"/>
  <c r="AF4832" i="7"/>
  <c r="AI4832" i="7" s="1"/>
  <c r="AH4832" i="7"/>
  <c r="AJ4832" i="7"/>
  <c r="AF4833" i="7"/>
  <c r="AI4833" i="7" s="1"/>
  <c r="AH4833" i="7"/>
  <c r="AJ4833" i="7"/>
  <c r="AF4834" i="7"/>
  <c r="AI4834" i="7" s="1"/>
  <c r="AH4834" i="7"/>
  <c r="AJ4834" i="7"/>
  <c r="AF4835" i="7"/>
  <c r="AI4835" i="7" s="1"/>
  <c r="AH4835" i="7"/>
  <c r="AJ4835" i="7"/>
  <c r="AF4836" i="7"/>
  <c r="AI4836" i="7" s="1"/>
  <c r="AH4836" i="7"/>
  <c r="AJ4836" i="7"/>
  <c r="AF4837" i="7"/>
  <c r="AI4837" i="7" s="1"/>
  <c r="AH4837" i="7"/>
  <c r="AJ4837" i="7"/>
  <c r="AF4838" i="7"/>
  <c r="AI4838" i="7" s="1"/>
  <c r="AH4838" i="7"/>
  <c r="AJ4838" i="7"/>
  <c r="AF4839" i="7"/>
  <c r="AI4839" i="7" s="1"/>
  <c r="AH4839" i="7"/>
  <c r="AJ4839" i="7"/>
  <c r="AF4840" i="7"/>
  <c r="AI4840" i="7" s="1"/>
  <c r="AH4840" i="7"/>
  <c r="AJ4840" i="7"/>
  <c r="AF4841" i="7"/>
  <c r="AI4841" i="7" s="1"/>
  <c r="AH4841" i="7"/>
  <c r="AJ4841" i="7"/>
  <c r="AF4842" i="7"/>
  <c r="AI4842" i="7" s="1"/>
  <c r="AH4842" i="7"/>
  <c r="AJ4842" i="7"/>
  <c r="AF4843" i="7"/>
  <c r="AI4843" i="7" s="1"/>
  <c r="AH4843" i="7"/>
  <c r="AJ4843" i="7"/>
  <c r="AF4844" i="7"/>
  <c r="AI4844" i="7" s="1"/>
  <c r="AH4844" i="7"/>
  <c r="AJ4844" i="7"/>
  <c r="AF4845" i="7"/>
  <c r="AI4845" i="7" s="1"/>
  <c r="AH4845" i="7"/>
  <c r="AJ4845" i="7"/>
  <c r="AF4846" i="7"/>
  <c r="AI4846" i="7" s="1"/>
  <c r="AH4846" i="7"/>
  <c r="AJ4846" i="7"/>
  <c r="AF4847" i="7"/>
  <c r="AI4847" i="7" s="1"/>
  <c r="AH4847" i="7"/>
  <c r="AJ4847" i="7"/>
  <c r="AF4848" i="7"/>
  <c r="AI4848" i="7" s="1"/>
  <c r="AH4848" i="7"/>
  <c r="AJ4848" i="7"/>
  <c r="AF4849" i="7"/>
  <c r="AI4849" i="7" s="1"/>
  <c r="AH4849" i="7"/>
  <c r="AJ4849" i="7"/>
  <c r="AF4850" i="7"/>
  <c r="AI4850" i="7" s="1"/>
  <c r="AH4850" i="7"/>
  <c r="AJ4850" i="7"/>
  <c r="AF4851" i="7"/>
  <c r="AI4851" i="7" s="1"/>
  <c r="AH4851" i="7"/>
  <c r="AJ4851" i="7"/>
  <c r="AF4852" i="7"/>
  <c r="AI4852" i="7" s="1"/>
  <c r="AH4852" i="7"/>
  <c r="AJ4852" i="7"/>
  <c r="AF4853" i="7"/>
  <c r="AI4853" i="7" s="1"/>
  <c r="AH4853" i="7"/>
  <c r="AJ4853" i="7"/>
  <c r="AF4854" i="7"/>
  <c r="AI4854" i="7" s="1"/>
  <c r="AH4854" i="7"/>
  <c r="AJ4854" i="7"/>
  <c r="AF4855" i="7"/>
  <c r="AI4855" i="7" s="1"/>
  <c r="AH4855" i="7"/>
  <c r="AJ4855" i="7"/>
  <c r="AF4856" i="7"/>
  <c r="AI4856" i="7" s="1"/>
  <c r="AH4856" i="7"/>
  <c r="AJ4856" i="7"/>
  <c r="AF4857" i="7"/>
  <c r="AI4857" i="7" s="1"/>
  <c r="AH4857" i="7"/>
  <c r="AJ4857" i="7"/>
  <c r="AF4870" i="7"/>
  <c r="AI4870" i="7" s="1"/>
  <c r="AH4870" i="7"/>
  <c r="AJ4870" i="7"/>
  <c r="AF4871" i="7"/>
  <c r="AI4871" i="7" s="1"/>
  <c r="AH4871" i="7"/>
  <c r="AJ4871" i="7"/>
  <c r="AF4872" i="7"/>
  <c r="AI4872" i="7" s="1"/>
  <c r="AH4872" i="7"/>
  <c r="AJ4872" i="7"/>
  <c r="AF4873" i="7"/>
  <c r="AI4873" i="7" s="1"/>
  <c r="AH4873" i="7"/>
  <c r="AJ4873" i="7"/>
  <c r="AF4874" i="7"/>
  <c r="AI4874" i="7" s="1"/>
  <c r="AH4874" i="7"/>
  <c r="AJ4874" i="7"/>
  <c r="AF4875" i="7"/>
  <c r="AI4875" i="7" s="1"/>
  <c r="AH4875" i="7"/>
  <c r="AJ4875" i="7"/>
  <c r="AF4876" i="7"/>
  <c r="AI4876" i="7" s="1"/>
  <c r="AH4876" i="7"/>
  <c r="AJ4876" i="7"/>
  <c r="AF4877" i="7"/>
  <c r="AI4877" i="7" s="1"/>
  <c r="AH4877" i="7"/>
  <c r="AJ4877" i="7"/>
  <c r="AF4878" i="7"/>
  <c r="AI4878" i="7" s="1"/>
  <c r="AH4878" i="7"/>
  <c r="AJ4878" i="7"/>
  <c r="AF4879" i="7"/>
  <c r="AI4879" i="7" s="1"/>
  <c r="AH4879" i="7"/>
  <c r="AJ4879" i="7"/>
  <c r="AF4880" i="7"/>
  <c r="AI4880" i="7" s="1"/>
  <c r="AH4880" i="7"/>
  <c r="AJ4880" i="7"/>
  <c r="AF4881" i="7"/>
  <c r="AI4881" i="7" s="1"/>
  <c r="AH4881" i="7"/>
  <c r="AJ4881" i="7"/>
  <c r="AF4882" i="7"/>
  <c r="AI4882" i="7" s="1"/>
  <c r="AH4882" i="7"/>
  <c r="AJ4882" i="7"/>
  <c r="AF4883" i="7"/>
  <c r="AI4883" i="7" s="1"/>
  <c r="AH4883" i="7"/>
  <c r="AJ4883" i="7"/>
  <c r="AF4884" i="7"/>
  <c r="AI4884" i="7" s="1"/>
  <c r="AH4884" i="7"/>
  <c r="AJ4884" i="7"/>
  <c r="AF4885" i="7"/>
  <c r="AI4885" i="7" s="1"/>
  <c r="AH4885" i="7"/>
  <c r="AJ4885" i="7"/>
  <c r="AF4886" i="7"/>
  <c r="AI4886" i="7" s="1"/>
  <c r="AH4886" i="7"/>
  <c r="AJ4886" i="7"/>
  <c r="AF4887" i="7"/>
  <c r="AI4887" i="7" s="1"/>
  <c r="AH4887" i="7"/>
  <c r="AJ4887" i="7"/>
  <c r="AF4888" i="7"/>
  <c r="AI4888" i="7" s="1"/>
  <c r="AH4888" i="7"/>
  <c r="AJ4888" i="7"/>
  <c r="AF4889" i="7"/>
  <c r="AI4889" i="7" s="1"/>
  <c r="AH4889" i="7"/>
  <c r="AJ4889" i="7"/>
  <c r="AF4890" i="7"/>
  <c r="AI4890" i="7" s="1"/>
  <c r="AH4890" i="7"/>
  <c r="AJ4890" i="7"/>
  <c r="AF4891" i="7"/>
  <c r="AI4891" i="7" s="1"/>
  <c r="AH4891" i="7"/>
  <c r="AJ4891" i="7"/>
  <c r="AF4892" i="7"/>
  <c r="AI4892" i="7" s="1"/>
  <c r="AH4892" i="7"/>
  <c r="AJ4892" i="7"/>
  <c r="AF4893" i="7"/>
  <c r="AI4893" i="7" s="1"/>
  <c r="AH4893" i="7"/>
  <c r="AJ4893" i="7"/>
  <c r="AF4894" i="7"/>
  <c r="AI4894" i="7" s="1"/>
  <c r="AH4894" i="7"/>
  <c r="AJ4894" i="7"/>
  <c r="AF4895" i="7"/>
  <c r="AI4895" i="7" s="1"/>
  <c r="AH4895" i="7"/>
  <c r="AJ4895" i="7"/>
  <c r="AF4896" i="7"/>
  <c r="AI4896" i="7" s="1"/>
  <c r="AH4896" i="7"/>
  <c r="AJ4896" i="7"/>
  <c r="AF4897" i="7"/>
  <c r="AI4897" i="7" s="1"/>
  <c r="AH4897" i="7"/>
  <c r="AJ4897" i="7"/>
  <c r="AF4898" i="7"/>
  <c r="AI4898" i="7" s="1"/>
  <c r="AH4898" i="7"/>
  <c r="AJ4898" i="7"/>
  <c r="AF4899" i="7"/>
  <c r="AI4899" i="7" s="1"/>
  <c r="AH4899" i="7"/>
  <c r="AJ4899" i="7"/>
  <c r="AF4900" i="7"/>
  <c r="AI4900" i="7" s="1"/>
  <c r="AH4900" i="7"/>
  <c r="AJ4900" i="7"/>
  <c r="AF4901" i="7"/>
  <c r="AI4901" i="7" s="1"/>
  <c r="AH4901" i="7"/>
  <c r="AJ4901" i="7"/>
  <c r="AF4902" i="7"/>
  <c r="AI4902" i="7" s="1"/>
  <c r="AH4902" i="7"/>
  <c r="AJ4902" i="7"/>
  <c r="AF4903" i="7"/>
  <c r="AI4903" i="7" s="1"/>
  <c r="AH4903" i="7"/>
  <c r="AJ4903" i="7"/>
  <c r="AF4904" i="7"/>
  <c r="AI4904" i="7" s="1"/>
  <c r="AH4904" i="7"/>
  <c r="AJ4904" i="7"/>
  <c r="AF4905" i="7"/>
  <c r="AI4905" i="7" s="1"/>
  <c r="AH4905" i="7"/>
  <c r="AJ4905" i="7"/>
  <c r="AF4906" i="7"/>
  <c r="AI4906" i="7" s="1"/>
  <c r="AH4906" i="7"/>
  <c r="AJ4906" i="7"/>
  <c r="AF4907" i="7"/>
  <c r="AI4907" i="7" s="1"/>
  <c r="AH4907" i="7"/>
  <c r="AJ4907" i="7"/>
  <c r="L2566" i="7" l="1"/>
  <c r="N2566" i="7" s="1"/>
  <c r="O2566" i="7" s="1"/>
  <c r="M2566" i="7"/>
  <c r="L4907" i="7" l="1"/>
  <c r="N4907" i="7" s="1"/>
  <c r="M4907" i="7"/>
  <c r="V4143" i="7" l="1"/>
  <c r="X4143" i="7"/>
  <c r="L4" i="7" l="1"/>
  <c r="N4" i="7" s="1"/>
  <c r="L5" i="7"/>
  <c r="N5" i="7" s="1"/>
  <c r="L6" i="7"/>
  <c r="N6" i="7" s="1"/>
  <c r="L7" i="7"/>
  <c r="N7" i="7" s="1"/>
  <c r="L8" i="7"/>
  <c r="N8" i="7" s="1"/>
  <c r="L9" i="7"/>
  <c r="N9" i="7" s="1"/>
  <c r="L10" i="7"/>
  <c r="N10" i="7" s="1"/>
  <c r="L11" i="7"/>
  <c r="N11" i="7" s="1"/>
  <c r="L12" i="7"/>
  <c r="N12" i="7" s="1"/>
  <c r="L13" i="7"/>
  <c r="N13" i="7" s="1"/>
  <c r="L14" i="7"/>
  <c r="N14" i="7" s="1"/>
  <c r="L15" i="7"/>
  <c r="N15" i="7" s="1"/>
  <c r="L16" i="7"/>
  <c r="N16" i="7" s="1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10" i="7"/>
  <c r="L211" i="7"/>
  <c r="L212" i="7"/>
  <c r="L213" i="7"/>
  <c r="L214" i="7"/>
  <c r="L215" i="7"/>
  <c r="L218" i="7"/>
  <c r="N218" i="7" s="1"/>
  <c r="L219" i="7"/>
  <c r="N219" i="7" s="1"/>
  <c r="L220" i="7"/>
  <c r="N220" i="7" s="1"/>
  <c r="L221" i="7"/>
  <c r="N221" i="7" s="1"/>
  <c r="L222" i="7"/>
  <c r="N222" i="7" s="1"/>
  <c r="L223" i="7"/>
  <c r="N223" i="7" s="1"/>
  <c r="L224" i="7"/>
  <c r="N224" i="7" s="1"/>
  <c r="L225" i="7"/>
  <c r="N225" i="7" s="1"/>
  <c r="L226" i="7"/>
  <c r="N226" i="7" s="1"/>
  <c r="L227" i="7"/>
  <c r="N227" i="7" s="1"/>
  <c r="L228" i="7"/>
  <c r="N228" i="7" s="1"/>
  <c r="L229" i="7"/>
  <c r="N229" i="7" s="1"/>
  <c r="L230" i="7"/>
  <c r="N230" i="7" s="1"/>
  <c r="L231" i="7"/>
  <c r="N231" i="7" s="1"/>
  <c r="L232" i="7"/>
  <c r="N232" i="7" s="1"/>
  <c r="L233" i="7"/>
  <c r="N233" i="7" s="1"/>
  <c r="L248" i="7"/>
  <c r="N248" i="7" s="1"/>
  <c r="L249" i="7"/>
  <c r="N249" i="7" s="1"/>
  <c r="L250" i="7"/>
  <c r="N250" i="7" s="1"/>
  <c r="L251" i="7"/>
  <c r="N251" i="7" s="1"/>
  <c r="L252" i="7"/>
  <c r="N252" i="7" s="1"/>
  <c r="L253" i="7"/>
  <c r="N253" i="7" s="1"/>
  <c r="L254" i="7"/>
  <c r="N254" i="7" s="1"/>
  <c r="L255" i="7"/>
  <c r="N255" i="7" s="1"/>
  <c r="L256" i="7"/>
  <c r="N256" i="7" s="1"/>
  <c r="L257" i="7"/>
  <c r="N257" i="7" s="1"/>
  <c r="L258" i="7"/>
  <c r="N258" i="7" s="1"/>
  <c r="L259" i="7"/>
  <c r="N259" i="7" s="1"/>
  <c r="L260" i="7"/>
  <c r="N260" i="7" s="1"/>
  <c r="L261" i="7"/>
  <c r="N261" i="7" s="1"/>
  <c r="L262" i="7"/>
  <c r="N262" i="7" s="1"/>
  <c r="L263" i="7"/>
  <c r="N263" i="7" s="1"/>
  <c r="L264" i="7"/>
  <c r="N264" i="7" s="1"/>
  <c r="L265" i="7"/>
  <c r="N265" i="7" s="1"/>
  <c r="L266" i="7"/>
  <c r="N266" i="7" s="1"/>
  <c r="L267" i="7"/>
  <c r="N267" i="7" s="1"/>
  <c r="L268" i="7"/>
  <c r="N268" i="7" s="1"/>
  <c r="L269" i="7"/>
  <c r="N269" i="7" s="1"/>
  <c r="L270" i="7"/>
  <c r="N270" i="7" s="1"/>
  <c r="L271" i="7"/>
  <c r="N271" i="7" s="1"/>
  <c r="L272" i="7"/>
  <c r="N272" i="7" s="1"/>
  <c r="L273" i="7"/>
  <c r="N273" i="7" s="1"/>
  <c r="L274" i="7"/>
  <c r="N274" i="7" s="1"/>
  <c r="L275" i="7"/>
  <c r="N275" i="7" s="1"/>
  <c r="L276" i="7"/>
  <c r="N276" i="7" s="1"/>
  <c r="L277" i="7"/>
  <c r="N277" i="7" s="1"/>
  <c r="L278" i="7"/>
  <c r="N278" i="7" s="1"/>
  <c r="L279" i="7"/>
  <c r="N279" i="7" s="1"/>
  <c r="L280" i="7"/>
  <c r="N280" i="7" s="1"/>
  <c r="L281" i="7"/>
  <c r="N281" i="7" s="1"/>
  <c r="L282" i="7"/>
  <c r="N282" i="7" s="1"/>
  <c r="L283" i="7"/>
  <c r="N283" i="7" s="1"/>
  <c r="L284" i="7"/>
  <c r="N284" i="7" s="1"/>
  <c r="L285" i="7"/>
  <c r="N285" i="7" s="1"/>
  <c r="L286" i="7"/>
  <c r="N286" i="7" s="1"/>
  <c r="L287" i="7"/>
  <c r="N287" i="7" s="1"/>
  <c r="L288" i="7"/>
  <c r="N288" i="7" s="1"/>
  <c r="L289" i="7"/>
  <c r="N289" i="7" s="1"/>
  <c r="L290" i="7"/>
  <c r="N290" i="7" s="1"/>
  <c r="L291" i="7"/>
  <c r="N291" i="7" s="1"/>
  <c r="L292" i="7"/>
  <c r="N292" i="7" s="1"/>
  <c r="L293" i="7"/>
  <c r="N293" i="7" s="1"/>
  <c r="L294" i="7"/>
  <c r="N294" i="7" s="1"/>
  <c r="L295" i="7"/>
  <c r="N295" i="7" s="1"/>
  <c r="L296" i="7"/>
  <c r="N296" i="7" s="1"/>
  <c r="L297" i="7"/>
  <c r="N297" i="7" s="1"/>
  <c r="L298" i="7"/>
  <c r="N298" i="7" s="1"/>
  <c r="L299" i="7"/>
  <c r="N299" i="7" s="1"/>
  <c r="L300" i="7"/>
  <c r="N300" i="7" s="1"/>
  <c r="L301" i="7"/>
  <c r="N301" i="7" s="1"/>
  <c r="L302" i="7"/>
  <c r="N302" i="7" s="1"/>
  <c r="L303" i="7"/>
  <c r="N303" i="7" s="1"/>
  <c r="L304" i="7"/>
  <c r="N304" i="7" s="1"/>
  <c r="L305" i="7"/>
  <c r="N305" i="7" s="1"/>
  <c r="L306" i="7"/>
  <c r="N306" i="7" s="1"/>
  <c r="L307" i="7"/>
  <c r="N307" i="7" s="1"/>
  <c r="L308" i="7"/>
  <c r="N308" i="7" s="1"/>
  <c r="L309" i="7"/>
  <c r="N309" i="7" s="1"/>
  <c r="L310" i="7"/>
  <c r="N310" i="7" s="1"/>
  <c r="L311" i="7"/>
  <c r="N311" i="7" s="1"/>
  <c r="L312" i="7"/>
  <c r="N312" i="7" s="1"/>
  <c r="L316" i="7"/>
  <c r="N316" i="7" s="1"/>
  <c r="L317" i="7"/>
  <c r="N317" i="7" s="1"/>
  <c r="L318" i="7"/>
  <c r="N318" i="7" s="1"/>
  <c r="L319" i="7"/>
  <c r="N319" i="7" s="1"/>
  <c r="L320" i="7"/>
  <c r="N320" i="7" s="1"/>
  <c r="L321" i="7"/>
  <c r="N321" i="7" s="1"/>
  <c r="L322" i="7"/>
  <c r="N322" i="7" s="1"/>
  <c r="O322" i="7" s="1"/>
  <c r="L323" i="7"/>
  <c r="N323" i="7" s="1"/>
  <c r="O323" i="7" s="1"/>
  <c r="L324" i="7"/>
  <c r="N324" i="7" s="1"/>
  <c r="O324" i="7" s="1"/>
  <c r="L325" i="7"/>
  <c r="N325" i="7" s="1"/>
  <c r="O325" i="7" s="1"/>
  <c r="L326" i="7"/>
  <c r="N326" i="7" s="1"/>
  <c r="O326" i="7" s="1"/>
  <c r="L327" i="7"/>
  <c r="N327" i="7" s="1"/>
  <c r="O327" i="7" s="1"/>
  <c r="L328" i="7"/>
  <c r="N328" i="7" s="1"/>
  <c r="O328" i="7" s="1"/>
  <c r="L329" i="7"/>
  <c r="N329" i="7" s="1"/>
  <c r="O329" i="7" s="1"/>
  <c r="L330" i="7"/>
  <c r="N330" i="7" s="1"/>
  <c r="O330" i="7" s="1"/>
  <c r="L331" i="7"/>
  <c r="N331" i="7" s="1"/>
  <c r="O331" i="7" s="1"/>
  <c r="L332" i="7"/>
  <c r="N332" i="7" s="1"/>
  <c r="O332" i="7" s="1"/>
  <c r="L333" i="7"/>
  <c r="N333" i="7" s="1"/>
  <c r="O333" i="7" s="1"/>
  <c r="L334" i="7"/>
  <c r="N334" i="7" s="1"/>
  <c r="O334" i="7" s="1"/>
  <c r="L335" i="7"/>
  <c r="N335" i="7" s="1"/>
  <c r="O335" i="7" s="1"/>
  <c r="L336" i="7"/>
  <c r="N336" i="7" s="1"/>
  <c r="O336" i="7" s="1"/>
  <c r="L337" i="7"/>
  <c r="N337" i="7" s="1"/>
  <c r="O337" i="7" s="1"/>
  <c r="L338" i="7"/>
  <c r="N338" i="7" s="1"/>
  <c r="O338" i="7" s="1"/>
  <c r="L339" i="7"/>
  <c r="N339" i="7" s="1"/>
  <c r="O339" i="7" s="1"/>
  <c r="L340" i="7"/>
  <c r="N340" i="7" s="1"/>
  <c r="O340" i="7" s="1"/>
  <c r="L341" i="7"/>
  <c r="N341" i="7" s="1"/>
  <c r="O341" i="7" s="1"/>
  <c r="L342" i="7"/>
  <c r="N342" i="7" s="1"/>
  <c r="O342" i="7" s="1"/>
  <c r="L343" i="7"/>
  <c r="N343" i="7" s="1"/>
  <c r="O343" i="7" s="1"/>
  <c r="L344" i="7"/>
  <c r="N344" i="7" s="1"/>
  <c r="O344" i="7" s="1"/>
  <c r="L345" i="7"/>
  <c r="N345" i="7" s="1"/>
  <c r="O345" i="7" s="1"/>
  <c r="L346" i="7"/>
  <c r="N346" i="7" s="1"/>
  <c r="O346" i="7" s="1"/>
  <c r="L347" i="7"/>
  <c r="N347" i="7" s="1"/>
  <c r="O347" i="7" s="1"/>
  <c r="L348" i="7"/>
  <c r="N348" i="7" s="1"/>
  <c r="O348" i="7" s="1"/>
  <c r="L349" i="7"/>
  <c r="N349" i="7" s="1"/>
  <c r="O349" i="7" s="1"/>
  <c r="L350" i="7"/>
  <c r="N350" i="7" s="1"/>
  <c r="O350" i="7" s="1"/>
  <c r="L351" i="7"/>
  <c r="N351" i="7" s="1"/>
  <c r="O351" i="7" s="1"/>
  <c r="L352" i="7"/>
  <c r="N352" i="7" s="1"/>
  <c r="O352" i="7" s="1"/>
  <c r="L353" i="7"/>
  <c r="N353" i="7" s="1"/>
  <c r="O353" i="7" s="1"/>
  <c r="L354" i="7"/>
  <c r="N354" i="7" s="1"/>
  <c r="O354" i="7" s="1"/>
  <c r="L355" i="7"/>
  <c r="N355" i="7" s="1"/>
  <c r="O355" i="7" s="1"/>
  <c r="L356" i="7"/>
  <c r="N356" i="7" s="1"/>
  <c r="O356" i="7" s="1"/>
  <c r="L357" i="7"/>
  <c r="N357" i="7" s="1"/>
  <c r="O357" i="7" s="1"/>
  <c r="L358" i="7"/>
  <c r="N358" i="7" s="1"/>
  <c r="O358" i="7" s="1"/>
  <c r="L359" i="7"/>
  <c r="N359" i="7" s="1"/>
  <c r="O359" i="7" s="1"/>
  <c r="L360" i="7"/>
  <c r="N360" i="7" s="1"/>
  <c r="O360" i="7" s="1"/>
  <c r="L361" i="7"/>
  <c r="N361" i="7" s="1"/>
  <c r="O361" i="7" s="1"/>
  <c r="L362" i="7"/>
  <c r="N362" i="7" s="1"/>
  <c r="O362" i="7" s="1"/>
  <c r="L363" i="7"/>
  <c r="N363" i="7" s="1"/>
  <c r="O363" i="7" s="1"/>
  <c r="L364" i="7"/>
  <c r="N364" i="7" s="1"/>
  <c r="O364" i="7" s="1"/>
  <c r="L365" i="7"/>
  <c r="N365" i="7" s="1"/>
  <c r="O365" i="7" s="1"/>
  <c r="L366" i="7"/>
  <c r="N366" i="7" s="1"/>
  <c r="O366" i="7" s="1"/>
  <c r="L367" i="7"/>
  <c r="N367" i="7" s="1"/>
  <c r="O367" i="7" s="1"/>
  <c r="L368" i="7"/>
  <c r="N368" i="7" s="1"/>
  <c r="O368" i="7" s="1"/>
  <c r="L369" i="7"/>
  <c r="N369" i="7" s="1"/>
  <c r="O369" i="7" s="1"/>
  <c r="L370" i="7"/>
  <c r="N370" i="7" s="1"/>
  <c r="O370" i="7" s="1"/>
  <c r="L371" i="7"/>
  <c r="N371" i="7" s="1"/>
  <c r="O371" i="7" s="1"/>
  <c r="L372" i="7"/>
  <c r="N372" i="7" s="1"/>
  <c r="O372" i="7" s="1"/>
  <c r="L373" i="7"/>
  <c r="N373" i="7" s="1"/>
  <c r="O373" i="7" s="1"/>
  <c r="L374" i="7"/>
  <c r="N374" i="7" s="1"/>
  <c r="O374" i="7" s="1"/>
  <c r="L375" i="7"/>
  <c r="N375" i="7" s="1"/>
  <c r="O375" i="7" s="1"/>
  <c r="L376" i="7"/>
  <c r="N376" i="7" s="1"/>
  <c r="O376" i="7" s="1"/>
  <c r="L377" i="7"/>
  <c r="N377" i="7" s="1"/>
  <c r="O377" i="7" s="1"/>
  <c r="L378" i="7"/>
  <c r="N378" i="7" s="1"/>
  <c r="O378" i="7" s="1"/>
  <c r="L379" i="7"/>
  <c r="N379" i="7" s="1"/>
  <c r="O379" i="7" s="1"/>
  <c r="L380" i="7"/>
  <c r="N380" i="7" s="1"/>
  <c r="O380" i="7" s="1"/>
  <c r="L381" i="7"/>
  <c r="N381" i="7" s="1"/>
  <c r="O381" i="7" s="1"/>
  <c r="L382" i="7"/>
  <c r="N382" i="7" s="1"/>
  <c r="O382" i="7" s="1"/>
  <c r="L389" i="7"/>
  <c r="N389" i="7" s="1"/>
  <c r="O389" i="7" s="1"/>
  <c r="L390" i="7"/>
  <c r="N390" i="7" s="1"/>
  <c r="O390" i="7" s="1"/>
  <c r="L391" i="7"/>
  <c r="N391" i="7" s="1"/>
  <c r="O391" i="7" s="1"/>
  <c r="L392" i="7"/>
  <c r="N392" i="7" s="1"/>
  <c r="O392" i="7" s="1"/>
  <c r="L393" i="7"/>
  <c r="N393" i="7" s="1"/>
  <c r="O393" i="7" s="1"/>
  <c r="L394" i="7"/>
  <c r="N394" i="7" s="1"/>
  <c r="O394" i="7" s="1"/>
  <c r="L395" i="7"/>
  <c r="N395" i="7" s="1"/>
  <c r="O395" i="7" s="1"/>
  <c r="L396" i="7"/>
  <c r="N396" i="7" s="1"/>
  <c r="O396" i="7" s="1"/>
  <c r="L397" i="7"/>
  <c r="N397" i="7" s="1"/>
  <c r="O397" i="7" s="1"/>
  <c r="L398" i="7"/>
  <c r="N398" i="7" s="1"/>
  <c r="O398" i="7" s="1"/>
  <c r="L399" i="7"/>
  <c r="N399" i="7" s="1"/>
  <c r="O399" i="7" s="1"/>
  <c r="L400" i="7"/>
  <c r="N400" i="7" s="1"/>
  <c r="O400" i="7" s="1"/>
  <c r="L401" i="7"/>
  <c r="N401" i="7" s="1"/>
  <c r="O401" i="7" s="1"/>
  <c r="L402" i="7"/>
  <c r="N402" i="7" s="1"/>
  <c r="O402" i="7" s="1"/>
  <c r="L403" i="7"/>
  <c r="N403" i="7" s="1"/>
  <c r="O403" i="7" s="1"/>
  <c r="L404" i="7"/>
  <c r="N404" i="7" s="1"/>
  <c r="O404" i="7" s="1"/>
  <c r="L405" i="7"/>
  <c r="N405" i="7" s="1"/>
  <c r="O405" i="7" s="1"/>
  <c r="L406" i="7"/>
  <c r="N406" i="7" s="1"/>
  <c r="O406" i="7" s="1"/>
  <c r="L407" i="7"/>
  <c r="N407" i="7" s="1"/>
  <c r="O407" i="7" s="1"/>
  <c r="L408" i="7"/>
  <c r="N408" i="7" s="1"/>
  <c r="O408" i="7" s="1"/>
  <c r="L409" i="7"/>
  <c r="N409" i="7" s="1"/>
  <c r="O409" i="7" s="1"/>
  <c r="L410" i="7"/>
  <c r="N410" i="7" s="1"/>
  <c r="O410" i="7" s="1"/>
  <c r="L411" i="7"/>
  <c r="N411" i="7" s="1"/>
  <c r="O411" i="7" s="1"/>
  <c r="L412" i="7"/>
  <c r="N412" i="7" s="1"/>
  <c r="O412" i="7" s="1"/>
  <c r="L413" i="7"/>
  <c r="N413" i="7" s="1"/>
  <c r="O413" i="7" s="1"/>
  <c r="L414" i="7"/>
  <c r="N414" i="7" s="1"/>
  <c r="O414" i="7" s="1"/>
  <c r="L415" i="7"/>
  <c r="N415" i="7" s="1"/>
  <c r="O415" i="7" s="1"/>
  <c r="L416" i="7"/>
  <c r="N416" i="7" s="1"/>
  <c r="O416" i="7" s="1"/>
  <c r="L417" i="7"/>
  <c r="N417" i="7" s="1"/>
  <c r="O417" i="7" s="1"/>
  <c r="L418" i="7"/>
  <c r="N418" i="7" s="1"/>
  <c r="O418" i="7" s="1"/>
  <c r="L419" i="7"/>
  <c r="N419" i="7" s="1"/>
  <c r="O419" i="7" s="1"/>
  <c r="L420" i="7"/>
  <c r="N420" i="7" s="1"/>
  <c r="O420" i="7" s="1"/>
  <c r="L421" i="7"/>
  <c r="N421" i="7" s="1"/>
  <c r="O421" i="7" s="1"/>
  <c r="L422" i="7"/>
  <c r="N422" i="7" s="1"/>
  <c r="O422" i="7" s="1"/>
  <c r="L423" i="7"/>
  <c r="N423" i="7" s="1"/>
  <c r="O423" i="7" s="1"/>
  <c r="L424" i="7"/>
  <c r="N424" i="7" s="1"/>
  <c r="O424" i="7" s="1"/>
  <c r="L425" i="7"/>
  <c r="N425" i="7" s="1"/>
  <c r="O425" i="7" s="1"/>
  <c r="L426" i="7"/>
  <c r="N426" i="7" s="1"/>
  <c r="O426" i="7" s="1"/>
  <c r="L427" i="7"/>
  <c r="N427" i="7" s="1"/>
  <c r="O427" i="7" s="1"/>
  <c r="L428" i="7"/>
  <c r="N428" i="7" s="1"/>
  <c r="O428" i="7" s="1"/>
  <c r="L429" i="7"/>
  <c r="N429" i="7" s="1"/>
  <c r="O429" i="7" s="1"/>
  <c r="L430" i="7"/>
  <c r="N430" i="7" s="1"/>
  <c r="O430" i="7" s="1"/>
  <c r="L431" i="7"/>
  <c r="N431" i="7" s="1"/>
  <c r="O431" i="7" s="1"/>
  <c r="L432" i="7"/>
  <c r="N432" i="7" s="1"/>
  <c r="O432" i="7" s="1"/>
  <c r="L433" i="7"/>
  <c r="N433" i="7" s="1"/>
  <c r="O433" i="7" s="1"/>
  <c r="L434" i="7"/>
  <c r="N434" i="7" s="1"/>
  <c r="O434" i="7" s="1"/>
  <c r="L435" i="7"/>
  <c r="N435" i="7" s="1"/>
  <c r="O435" i="7" s="1"/>
  <c r="L436" i="7"/>
  <c r="N436" i="7" s="1"/>
  <c r="O436" i="7" s="1"/>
  <c r="L437" i="7"/>
  <c r="N437" i="7" s="1"/>
  <c r="O437" i="7" s="1"/>
  <c r="L438" i="7"/>
  <c r="N438" i="7" s="1"/>
  <c r="O438" i="7" s="1"/>
  <c r="L439" i="7"/>
  <c r="N439" i="7" s="1"/>
  <c r="O439" i="7" s="1"/>
  <c r="L440" i="7"/>
  <c r="N440" i="7" s="1"/>
  <c r="O440" i="7" s="1"/>
  <c r="L441" i="7"/>
  <c r="N441" i="7" s="1"/>
  <c r="O441" i="7" s="1"/>
  <c r="L442" i="7"/>
  <c r="N442" i="7" s="1"/>
  <c r="O442" i="7" s="1"/>
  <c r="L443" i="7"/>
  <c r="N443" i="7" s="1"/>
  <c r="O443" i="7" s="1"/>
  <c r="L444" i="7"/>
  <c r="N444" i="7" s="1"/>
  <c r="O444" i="7" s="1"/>
  <c r="L445" i="7"/>
  <c r="N445" i="7" s="1"/>
  <c r="O445" i="7" s="1"/>
  <c r="L446" i="7"/>
  <c r="N446" i="7" s="1"/>
  <c r="O446" i="7" s="1"/>
  <c r="L447" i="7"/>
  <c r="N447" i="7" s="1"/>
  <c r="O447" i="7" s="1"/>
  <c r="L448" i="7"/>
  <c r="N448" i="7" s="1"/>
  <c r="O448" i="7" s="1"/>
  <c r="L453" i="7"/>
  <c r="N453" i="7" s="1"/>
  <c r="L454" i="7"/>
  <c r="N454" i="7" s="1"/>
  <c r="L455" i="7"/>
  <c r="N455" i="7" s="1"/>
  <c r="L456" i="7"/>
  <c r="N456" i="7" s="1"/>
  <c r="L457" i="7"/>
  <c r="N457" i="7" s="1"/>
  <c r="L458" i="7"/>
  <c r="N458" i="7" s="1"/>
  <c r="L459" i="7"/>
  <c r="N459" i="7" s="1"/>
  <c r="L460" i="7"/>
  <c r="N460" i="7" s="1"/>
  <c r="L461" i="7"/>
  <c r="N461" i="7" s="1"/>
  <c r="L462" i="7"/>
  <c r="N462" i="7" s="1"/>
  <c r="L463" i="7"/>
  <c r="N463" i="7" s="1"/>
  <c r="L464" i="7"/>
  <c r="N464" i="7" s="1"/>
  <c r="L465" i="7"/>
  <c r="N465" i="7" s="1"/>
  <c r="L466" i="7"/>
  <c r="N466" i="7" s="1"/>
  <c r="L467" i="7"/>
  <c r="N467" i="7" s="1"/>
  <c r="L468" i="7"/>
  <c r="N468" i="7" s="1"/>
  <c r="L469" i="7"/>
  <c r="N469" i="7" s="1"/>
  <c r="L470" i="7"/>
  <c r="N470" i="7" s="1"/>
  <c r="L471" i="7"/>
  <c r="N471" i="7" s="1"/>
  <c r="L472" i="7"/>
  <c r="N472" i="7" s="1"/>
  <c r="L473" i="7"/>
  <c r="N473" i="7" s="1"/>
  <c r="L474" i="7"/>
  <c r="N474" i="7" s="1"/>
  <c r="L475" i="7"/>
  <c r="N475" i="7" s="1"/>
  <c r="L476" i="7"/>
  <c r="N476" i="7" s="1"/>
  <c r="L477" i="7"/>
  <c r="N477" i="7" s="1"/>
  <c r="L478" i="7"/>
  <c r="N478" i="7" s="1"/>
  <c r="L479" i="7"/>
  <c r="N479" i="7" s="1"/>
  <c r="L480" i="7"/>
  <c r="N480" i="7" s="1"/>
  <c r="L481" i="7"/>
  <c r="N481" i="7" s="1"/>
  <c r="L482" i="7"/>
  <c r="N482" i="7" s="1"/>
  <c r="L483" i="7"/>
  <c r="N483" i="7" s="1"/>
  <c r="L484" i="7"/>
  <c r="N484" i="7" s="1"/>
  <c r="L485" i="7"/>
  <c r="N485" i="7" s="1"/>
  <c r="L486" i="7"/>
  <c r="N486" i="7" s="1"/>
  <c r="L487" i="7"/>
  <c r="N487" i="7" s="1"/>
  <c r="L488" i="7"/>
  <c r="N488" i="7" s="1"/>
  <c r="L489" i="7"/>
  <c r="N489" i="7" s="1"/>
  <c r="L490" i="7"/>
  <c r="N490" i="7" s="1"/>
  <c r="L491" i="7"/>
  <c r="N491" i="7" s="1"/>
  <c r="L492" i="7"/>
  <c r="N492" i="7" s="1"/>
  <c r="L493" i="7"/>
  <c r="N493" i="7" s="1"/>
  <c r="L494" i="7"/>
  <c r="N494" i="7" s="1"/>
  <c r="L495" i="7"/>
  <c r="N495" i="7" s="1"/>
  <c r="L496" i="7"/>
  <c r="N496" i="7" s="1"/>
  <c r="L497" i="7"/>
  <c r="N497" i="7" s="1"/>
  <c r="L498" i="7"/>
  <c r="N498" i="7" s="1"/>
  <c r="L499" i="7"/>
  <c r="N499" i="7" s="1"/>
  <c r="L500" i="7"/>
  <c r="N500" i="7" s="1"/>
  <c r="L501" i="7"/>
  <c r="N501" i="7" s="1"/>
  <c r="L502" i="7"/>
  <c r="N502" i="7" s="1"/>
  <c r="L503" i="7"/>
  <c r="N503" i="7" s="1"/>
  <c r="L504" i="7"/>
  <c r="N504" i="7" s="1"/>
  <c r="L505" i="7"/>
  <c r="N505" i="7" s="1"/>
  <c r="L506" i="7"/>
  <c r="N506" i="7" s="1"/>
  <c r="L507" i="7"/>
  <c r="N507" i="7" s="1"/>
  <c r="L508" i="7"/>
  <c r="N508" i="7" s="1"/>
  <c r="L509" i="7"/>
  <c r="N509" i="7" s="1"/>
  <c r="L510" i="7"/>
  <c r="N510" i="7" s="1"/>
  <c r="L511" i="7"/>
  <c r="N511" i="7" s="1"/>
  <c r="L512" i="7"/>
  <c r="N512" i="7" s="1"/>
  <c r="L513" i="7"/>
  <c r="N513" i="7" s="1"/>
  <c r="L514" i="7"/>
  <c r="N514" i="7" s="1"/>
  <c r="L519" i="7"/>
  <c r="N519" i="7" s="1"/>
  <c r="L520" i="7"/>
  <c r="N520" i="7" s="1"/>
  <c r="L521" i="7"/>
  <c r="N521" i="7" s="1"/>
  <c r="L526" i="7"/>
  <c r="N526" i="7" s="1"/>
  <c r="O526" i="7" s="1"/>
  <c r="L527" i="7"/>
  <c r="N527" i="7" s="1"/>
  <c r="O527" i="7" s="1"/>
  <c r="L528" i="7"/>
  <c r="N528" i="7" s="1"/>
  <c r="O528" i="7" s="1"/>
  <c r="L529" i="7"/>
  <c r="N529" i="7" s="1"/>
  <c r="O529" i="7" s="1"/>
  <c r="L530" i="7"/>
  <c r="N530" i="7" s="1"/>
  <c r="O530" i="7" s="1"/>
  <c r="L531" i="7"/>
  <c r="N531" i="7" s="1"/>
  <c r="O531" i="7" s="1"/>
  <c r="L532" i="7"/>
  <c r="N532" i="7" s="1"/>
  <c r="O532" i="7" s="1"/>
  <c r="L533" i="7"/>
  <c r="N533" i="7" s="1"/>
  <c r="O533" i="7" s="1"/>
  <c r="L534" i="7"/>
  <c r="N534" i="7" s="1"/>
  <c r="O534" i="7" s="1"/>
  <c r="L535" i="7"/>
  <c r="N535" i="7" s="1"/>
  <c r="O535" i="7" s="1"/>
  <c r="L536" i="7"/>
  <c r="N536" i="7" s="1"/>
  <c r="O536" i="7" s="1"/>
  <c r="L537" i="7"/>
  <c r="N537" i="7" s="1"/>
  <c r="O537" i="7" s="1"/>
  <c r="L538" i="7"/>
  <c r="N538" i="7" s="1"/>
  <c r="O538" i="7" s="1"/>
  <c r="L539" i="7"/>
  <c r="N539" i="7" s="1"/>
  <c r="O539" i="7" s="1"/>
  <c r="L540" i="7"/>
  <c r="N540" i="7" s="1"/>
  <c r="O540" i="7" s="1"/>
  <c r="L541" i="7"/>
  <c r="N541" i="7" s="1"/>
  <c r="O541" i="7" s="1"/>
  <c r="L542" i="7"/>
  <c r="N542" i="7" s="1"/>
  <c r="O542" i="7" s="1"/>
  <c r="L543" i="7"/>
  <c r="N543" i="7" s="1"/>
  <c r="O543" i="7" s="1"/>
  <c r="L544" i="7"/>
  <c r="N544" i="7" s="1"/>
  <c r="O544" i="7" s="1"/>
  <c r="L545" i="7"/>
  <c r="N545" i="7" s="1"/>
  <c r="O545" i="7" s="1"/>
  <c r="L546" i="7"/>
  <c r="N546" i="7" s="1"/>
  <c r="O546" i="7" s="1"/>
  <c r="L547" i="7"/>
  <c r="N547" i="7" s="1"/>
  <c r="O547" i="7" s="1"/>
  <c r="L548" i="7"/>
  <c r="N548" i="7" s="1"/>
  <c r="O548" i="7" s="1"/>
  <c r="L549" i="7"/>
  <c r="N549" i="7" s="1"/>
  <c r="O549" i="7" s="1"/>
  <c r="L550" i="7"/>
  <c r="N550" i="7" s="1"/>
  <c r="O550" i="7" s="1"/>
  <c r="L551" i="7"/>
  <c r="N551" i="7" s="1"/>
  <c r="O551" i="7" s="1"/>
  <c r="L552" i="7"/>
  <c r="N552" i="7" s="1"/>
  <c r="O552" i="7" s="1"/>
  <c r="L553" i="7"/>
  <c r="N553" i="7" s="1"/>
  <c r="O553" i="7" s="1"/>
  <c r="L554" i="7"/>
  <c r="N554" i="7" s="1"/>
  <c r="O554" i="7" s="1"/>
  <c r="L555" i="7"/>
  <c r="N555" i="7" s="1"/>
  <c r="O555" i="7" s="1"/>
  <c r="L556" i="7"/>
  <c r="N556" i="7" s="1"/>
  <c r="O556" i="7" s="1"/>
  <c r="L557" i="7"/>
  <c r="N557" i="7" s="1"/>
  <c r="O557" i="7" s="1"/>
  <c r="L558" i="7"/>
  <c r="N558" i="7" s="1"/>
  <c r="O558" i="7" s="1"/>
  <c r="L559" i="7"/>
  <c r="N559" i="7" s="1"/>
  <c r="O559" i="7" s="1"/>
  <c r="L560" i="7"/>
  <c r="N560" i="7" s="1"/>
  <c r="O560" i="7" s="1"/>
  <c r="L561" i="7"/>
  <c r="N561" i="7" s="1"/>
  <c r="O561" i="7" s="1"/>
  <c r="L562" i="7"/>
  <c r="N562" i="7" s="1"/>
  <c r="O562" i="7" s="1"/>
  <c r="L563" i="7"/>
  <c r="N563" i="7" s="1"/>
  <c r="O563" i="7" s="1"/>
  <c r="L564" i="7"/>
  <c r="N564" i="7" s="1"/>
  <c r="O564" i="7" s="1"/>
  <c r="L565" i="7"/>
  <c r="N565" i="7" s="1"/>
  <c r="O565" i="7" s="1"/>
  <c r="L566" i="7"/>
  <c r="N566" i="7" s="1"/>
  <c r="O566" i="7" s="1"/>
  <c r="L567" i="7"/>
  <c r="N567" i="7" s="1"/>
  <c r="O567" i="7" s="1"/>
  <c r="L568" i="7"/>
  <c r="N568" i="7" s="1"/>
  <c r="O568" i="7" s="1"/>
  <c r="L569" i="7"/>
  <c r="N569" i="7" s="1"/>
  <c r="O569" i="7" s="1"/>
  <c r="L570" i="7"/>
  <c r="N570" i="7" s="1"/>
  <c r="O570" i="7" s="1"/>
  <c r="L571" i="7"/>
  <c r="N571" i="7" s="1"/>
  <c r="O571" i="7" s="1"/>
  <c r="L572" i="7"/>
  <c r="N572" i="7" s="1"/>
  <c r="O572" i="7" s="1"/>
  <c r="L573" i="7"/>
  <c r="N573" i="7" s="1"/>
  <c r="O573" i="7" s="1"/>
  <c r="L574" i="7"/>
  <c r="N574" i="7" s="1"/>
  <c r="O574" i="7" s="1"/>
  <c r="L575" i="7"/>
  <c r="N575" i="7" s="1"/>
  <c r="O575" i="7" s="1"/>
  <c r="L576" i="7"/>
  <c r="N576" i="7" s="1"/>
  <c r="O576" i="7" s="1"/>
  <c r="L577" i="7"/>
  <c r="N577" i="7" s="1"/>
  <c r="O577" i="7" s="1"/>
  <c r="L578" i="7"/>
  <c r="N578" i="7" s="1"/>
  <c r="O578" i="7" s="1"/>
  <c r="L579" i="7"/>
  <c r="N579" i="7" s="1"/>
  <c r="O579" i="7" s="1"/>
  <c r="L580" i="7"/>
  <c r="N580" i="7" s="1"/>
  <c r="O580" i="7" s="1"/>
  <c r="L581" i="7"/>
  <c r="N581" i="7" s="1"/>
  <c r="O581" i="7" s="1"/>
  <c r="L582" i="7"/>
  <c r="N582" i="7" s="1"/>
  <c r="O582" i="7" s="1"/>
  <c r="L583" i="7"/>
  <c r="N583" i="7" s="1"/>
  <c r="O583" i="7" s="1"/>
  <c r="L584" i="7"/>
  <c r="N584" i="7" s="1"/>
  <c r="O584" i="7" s="1"/>
  <c r="L585" i="7"/>
  <c r="N585" i="7" s="1"/>
  <c r="O585" i="7" s="1"/>
  <c r="L586" i="7"/>
  <c r="N586" i="7" s="1"/>
  <c r="O586" i="7" s="1"/>
  <c r="L587" i="7"/>
  <c r="N587" i="7" s="1"/>
  <c r="O587" i="7" s="1"/>
  <c r="L592" i="7"/>
  <c r="N592" i="7" s="1"/>
  <c r="O592" i="7" s="1"/>
  <c r="L593" i="7"/>
  <c r="N593" i="7" s="1"/>
  <c r="O593" i="7" s="1"/>
  <c r="L594" i="7"/>
  <c r="N594" i="7" s="1"/>
  <c r="O594" i="7" s="1"/>
  <c r="L595" i="7"/>
  <c r="N595" i="7" s="1"/>
  <c r="O595" i="7" s="1"/>
  <c r="L596" i="7"/>
  <c r="N596" i="7" s="1"/>
  <c r="O596" i="7" s="1"/>
  <c r="L597" i="7"/>
  <c r="N597" i="7" s="1"/>
  <c r="O597" i="7" s="1"/>
  <c r="L598" i="7"/>
  <c r="N598" i="7" s="1"/>
  <c r="O598" i="7" s="1"/>
  <c r="L599" i="7"/>
  <c r="N599" i="7" s="1"/>
  <c r="O599" i="7" s="1"/>
  <c r="L600" i="7"/>
  <c r="N600" i="7" s="1"/>
  <c r="O600" i="7" s="1"/>
  <c r="L601" i="7"/>
  <c r="N601" i="7" s="1"/>
  <c r="O601" i="7" s="1"/>
  <c r="L602" i="7"/>
  <c r="N602" i="7" s="1"/>
  <c r="O602" i="7" s="1"/>
  <c r="L603" i="7"/>
  <c r="N603" i="7" s="1"/>
  <c r="O603" i="7" s="1"/>
  <c r="L604" i="7"/>
  <c r="N604" i="7" s="1"/>
  <c r="O604" i="7" s="1"/>
  <c r="L605" i="7"/>
  <c r="N605" i="7" s="1"/>
  <c r="O605" i="7" s="1"/>
  <c r="L606" i="7"/>
  <c r="N606" i="7" s="1"/>
  <c r="O606" i="7" s="1"/>
  <c r="L607" i="7"/>
  <c r="N607" i="7" s="1"/>
  <c r="O607" i="7" s="1"/>
  <c r="L608" i="7"/>
  <c r="N608" i="7" s="1"/>
  <c r="O608" i="7" s="1"/>
  <c r="L609" i="7"/>
  <c r="N609" i="7" s="1"/>
  <c r="O609" i="7" s="1"/>
  <c r="L610" i="7"/>
  <c r="N610" i="7" s="1"/>
  <c r="O610" i="7" s="1"/>
  <c r="L611" i="7"/>
  <c r="N611" i="7" s="1"/>
  <c r="O611" i="7" s="1"/>
  <c r="L612" i="7"/>
  <c r="N612" i="7" s="1"/>
  <c r="O612" i="7" s="1"/>
  <c r="L613" i="7"/>
  <c r="N613" i="7" s="1"/>
  <c r="O613" i="7" s="1"/>
  <c r="L614" i="7"/>
  <c r="N614" i="7" s="1"/>
  <c r="O614" i="7" s="1"/>
  <c r="L615" i="7"/>
  <c r="N615" i="7" s="1"/>
  <c r="O615" i="7" s="1"/>
  <c r="L616" i="7"/>
  <c r="N616" i="7" s="1"/>
  <c r="O616" i="7" s="1"/>
  <c r="L617" i="7"/>
  <c r="N617" i="7" s="1"/>
  <c r="O617" i="7" s="1"/>
  <c r="L618" i="7"/>
  <c r="N618" i="7" s="1"/>
  <c r="O618" i="7" s="1"/>
  <c r="L619" i="7"/>
  <c r="N619" i="7" s="1"/>
  <c r="O619" i="7" s="1"/>
  <c r="L620" i="7"/>
  <c r="N620" i="7" s="1"/>
  <c r="O620" i="7" s="1"/>
  <c r="L621" i="7"/>
  <c r="N621" i="7" s="1"/>
  <c r="O621" i="7" s="1"/>
  <c r="L622" i="7"/>
  <c r="N622" i="7" s="1"/>
  <c r="O622" i="7" s="1"/>
  <c r="L623" i="7"/>
  <c r="N623" i="7" s="1"/>
  <c r="O623" i="7" s="1"/>
  <c r="L624" i="7"/>
  <c r="N624" i="7" s="1"/>
  <c r="O624" i="7" s="1"/>
  <c r="L625" i="7"/>
  <c r="N625" i="7" s="1"/>
  <c r="O625" i="7" s="1"/>
  <c r="L626" i="7"/>
  <c r="N626" i="7" s="1"/>
  <c r="O626" i="7" s="1"/>
  <c r="L627" i="7"/>
  <c r="N627" i="7" s="1"/>
  <c r="O627" i="7" s="1"/>
  <c r="L628" i="7"/>
  <c r="N628" i="7" s="1"/>
  <c r="O628" i="7" s="1"/>
  <c r="L629" i="7"/>
  <c r="N629" i="7" s="1"/>
  <c r="O629" i="7" s="1"/>
  <c r="L630" i="7"/>
  <c r="N630" i="7" s="1"/>
  <c r="O630" i="7" s="1"/>
  <c r="L631" i="7"/>
  <c r="N631" i="7" s="1"/>
  <c r="O631" i="7" s="1"/>
  <c r="L632" i="7"/>
  <c r="N632" i="7" s="1"/>
  <c r="O632" i="7" s="1"/>
  <c r="L633" i="7"/>
  <c r="N633" i="7" s="1"/>
  <c r="O633" i="7" s="1"/>
  <c r="L634" i="7"/>
  <c r="N634" i="7" s="1"/>
  <c r="O634" i="7" s="1"/>
  <c r="L635" i="7"/>
  <c r="N635" i="7" s="1"/>
  <c r="O635" i="7" s="1"/>
  <c r="L636" i="7"/>
  <c r="N636" i="7" s="1"/>
  <c r="O636" i="7" s="1"/>
  <c r="L637" i="7"/>
  <c r="N637" i="7" s="1"/>
  <c r="O637" i="7" s="1"/>
  <c r="L638" i="7"/>
  <c r="N638" i="7" s="1"/>
  <c r="O638" i="7" s="1"/>
  <c r="L639" i="7"/>
  <c r="N639" i="7" s="1"/>
  <c r="O639" i="7" s="1"/>
  <c r="L640" i="7"/>
  <c r="N640" i="7" s="1"/>
  <c r="O640" i="7" s="1"/>
  <c r="L641" i="7"/>
  <c r="N641" i="7" s="1"/>
  <c r="O641" i="7" s="1"/>
  <c r="L642" i="7"/>
  <c r="N642" i="7" s="1"/>
  <c r="O642" i="7" s="1"/>
  <c r="L643" i="7"/>
  <c r="N643" i="7" s="1"/>
  <c r="O643" i="7" s="1"/>
  <c r="L644" i="7"/>
  <c r="N644" i="7" s="1"/>
  <c r="O644" i="7" s="1"/>
  <c r="L645" i="7"/>
  <c r="N645" i="7" s="1"/>
  <c r="O645" i="7" s="1"/>
  <c r="L646" i="7"/>
  <c r="N646" i="7" s="1"/>
  <c r="O646" i="7" s="1"/>
  <c r="L647" i="7"/>
  <c r="N647" i="7" s="1"/>
  <c r="O647" i="7" s="1"/>
  <c r="L648" i="7"/>
  <c r="N648" i="7" s="1"/>
  <c r="O648" i="7" s="1"/>
  <c r="L649" i="7"/>
  <c r="N649" i="7" s="1"/>
  <c r="O649" i="7" s="1"/>
  <c r="L650" i="7"/>
  <c r="N650" i="7" s="1"/>
  <c r="O650" i="7" s="1"/>
  <c r="L651" i="7"/>
  <c r="N651" i="7" s="1"/>
  <c r="O651" i="7" s="1"/>
  <c r="L652" i="7"/>
  <c r="N652" i="7" s="1"/>
  <c r="O652" i="7" s="1"/>
  <c r="L653" i="7"/>
  <c r="N653" i="7" s="1"/>
  <c r="O653" i="7" s="1"/>
  <c r="L658" i="7"/>
  <c r="N658" i="7" s="1"/>
  <c r="O658" i="7" s="1"/>
  <c r="L659" i="7"/>
  <c r="N659" i="7" s="1"/>
  <c r="O659" i="7" s="1"/>
  <c r="L660" i="7"/>
  <c r="N660" i="7" s="1"/>
  <c r="O660" i="7" s="1"/>
  <c r="L661" i="7"/>
  <c r="N661" i="7" s="1"/>
  <c r="O661" i="7" s="1"/>
  <c r="L662" i="7"/>
  <c r="N662" i="7" s="1"/>
  <c r="O662" i="7" s="1"/>
  <c r="L663" i="7"/>
  <c r="N663" i="7" s="1"/>
  <c r="O663" i="7" s="1"/>
  <c r="L664" i="7"/>
  <c r="N664" i="7" s="1"/>
  <c r="O664" i="7" s="1"/>
  <c r="L665" i="7"/>
  <c r="N665" i="7" s="1"/>
  <c r="O665" i="7" s="1"/>
  <c r="L666" i="7"/>
  <c r="N666" i="7" s="1"/>
  <c r="O666" i="7" s="1"/>
  <c r="L667" i="7"/>
  <c r="N667" i="7" s="1"/>
  <c r="O667" i="7" s="1"/>
  <c r="L668" i="7"/>
  <c r="N668" i="7" s="1"/>
  <c r="O668" i="7" s="1"/>
  <c r="L669" i="7"/>
  <c r="N669" i="7" s="1"/>
  <c r="O669" i="7" s="1"/>
  <c r="L670" i="7"/>
  <c r="N670" i="7" s="1"/>
  <c r="O670" i="7" s="1"/>
  <c r="L671" i="7"/>
  <c r="N671" i="7" s="1"/>
  <c r="O671" i="7" s="1"/>
  <c r="L672" i="7"/>
  <c r="N672" i="7" s="1"/>
  <c r="O672" i="7" s="1"/>
  <c r="L673" i="7"/>
  <c r="N673" i="7" s="1"/>
  <c r="O673" i="7" s="1"/>
  <c r="L674" i="7"/>
  <c r="N674" i="7" s="1"/>
  <c r="O674" i="7" s="1"/>
  <c r="L675" i="7"/>
  <c r="N675" i="7" s="1"/>
  <c r="O675" i="7" s="1"/>
  <c r="L676" i="7"/>
  <c r="N676" i="7" s="1"/>
  <c r="O676" i="7" s="1"/>
  <c r="L677" i="7"/>
  <c r="N677" i="7" s="1"/>
  <c r="O677" i="7" s="1"/>
  <c r="L678" i="7"/>
  <c r="N678" i="7" s="1"/>
  <c r="O678" i="7" s="1"/>
  <c r="L679" i="7"/>
  <c r="N679" i="7" s="1"/>
  <c r="O679" i="7" s="1"/>
  <c r="L680" i="7"/>
  <c r="N680" i="7" s="1"/>
  <c r="O680" i="7" s="1"/>
  <c r="L681" i="7"/>
  <c r="N681" i="7" s="1"/>
  <c r="O681" i="7" s="1"/>
  <c r="L682" i="7"/>
  <c r="N682" i="7" s="1"/>
  <c r="O682" i="7" s="1"/>
  <c r="L683" i="7"/>
  <c r="N683" i="7" s="1"/>
  <c r="O683" i="7" s="1"/>
  <c r="L684" i="7"/>
  <c r="N684" i="7" s="1"/>
  <c r="O684" i="7" s="1"/>
  <c r="L685" i="7"/>
  <c r="N685" i="7" s="1"/>
  <c r="O685" i="7" s="1"/>
  <c r="L686" i="7"/>
  <c r="N686" i="7" s="1"/>
  <c r="O686" i="7" s="1"/>
  <c r="L687" i="7"/>
  <c r="N687" i="7" s="1"/>
  <c r="O687" i="7" s="1"/>
  <c r="L688" i="7"/>
  <c r="N688" i="7" s="1"/>
  <c r="O688" i="7" s="1"/>
  <c r="L689" i="7"/>
  <c r="N689" i="7" s="1"/>
  <c r="O689" i="7" s="1"/>
  <c r="L690" i="7"/>
  <c r="N690" i="7" s="1"/>
  <c r="O690" i="7" s="1"/>
  <c r="L691" i="7"/>
  <c r="N691" i="7" s="1"/>
  <c r="O691" i="7" s="1"/>
  <c r="L692" i="7"/>
  <c r="N692" i="7" s="1"/>
  <c r="O692" i="7" s="1"/>
  <c r="L693" i="7"/>
  <c r="N693" i="7" s="1"/>
  <c r="O693" i="7" s="1"/>
  <c r="L694" i="7"/>
  <c r="N694" i="7" s="1"/>
  <c r="O694" i="7" s="1"/>
  <c r="L695" i="7"/>
  <c r="N695" i="7" s="1"/>
  <c r="O695" i="7" s="1"/>
  <c r="L696" i="7"/>
  <c r="N696" i="7" s="1"/>
  <c r="O696" i="7" s="1"/>
  <c r="L697" i="7"/>
  <c r="N697" i="7" s="1"/>
  <c r="O697" i="7" s="1"/>
  <c r="L698" i="7"/>
  <c r="N698" i="7" s="1"/>
  <c r="O698" i="7" s="1"/>
  <c r="L699" i="7"/>
  <c r="N699" i="7" s="1"/>
  <c r="O699" i="7" s="1"/>
  <c r="L700" i="7"/>
  <c r="N700" i="7" s="1"/>
  <c r="O700" i="7" s="1"/>
  <c r="L701" i="7"/>
  <c r="N701" i="7" s="1"/>
  <c r="O701" i="7" s="1"/>
  <c r="L702" i="7"/>
  <c r="N702" i="7" s="1"/>
  <c r="O702" i="7" s="1"/>
  <c r="L703" i="7"/>
  <c r="N703" i="7" s="1"/>
  <c r="O703" i="7" s="1"/>
  <c r="L704" i="7"/>
  <c r="N704" i="7" s="1"/>
  <c r="O704" i="7" s="1"/>
  <c r="L705" i="7"/>
  <c r="N705" i="7" s="1"/>
  <c r="O705" i="7" s="1"/>
  <c r="L706" i="7"/>
  <c r="N706" i="7" s="1"/>
  <c r="O706" i="7" s="1"/>
  <c r="L707" i="7"/>
  <c r="N707" i="7" s="1"/>
  <c r="O707" i="7" s="1"/>
  <c r="L708" i="7"/>
  <c r="N708" i="7" s="1"/>
  <c r="O708" i="7" s="1"/>
  <c r="L709" i="7"/>
  <c r="N709" i="7" s="1"/>
  <c r="O709" i="7" s="1"/>
  <c r="L710" i="7"/>
  <c r="N710" i="7" s="1"/>
  <c r="O710" i="7" s="1"/>
  <c r="L711" i="7"/>
  <c r="N711" i="7" s="1"/>
  <c r="O711" i="7" s="1"/>
  <c r="L712" i="7"/>
  <c r="N712" i="7" s="1"/>
  <c r="O712" i="7" s="1"/>
  <c r="L713" i="7"/>
  <c r="N713" i="7" s="1"/>
  <c r="O713" i="7" s="1"/>
  <c r="L714" i="7"/>
  <c r="N714" i="7" s="1"/>
  <c r="O714" i="7" s="1"/>
  <c r="L715" i="7"/>
  <c r="N715" i="7" s="1"/>
  <c r="O715" i="7" s="1"/>
  <c r="L716" i="7"/>
  <c r="N716" i="7" s="1"/>
  <c r="O716" i="7" s="1"/>
  <c r="L717" i="7"/>
  <c r="N717" i="7" s="1"/>
  <c r="O717" i="7" s="1"/>
  <c r="L718" i="7"/>
  <c r="N718" i="7" s="1"/>
  <c r="O718" i="7" s="1"/>
  <c r="L719" i="7"/>
  <c r="N719" i="7" s="1"/>
  <c r="O719" i="7" s="1"/>
  <c r="L724" i="7"/>
  <c r="N724" i="7" s="1"/>
  <c r="O724" i="7" s="1"/>
  <c r="L725" i="7"/>
  <c r="N725" i="7" s="1"/>
  <c r="O725" i="7" s="1"/>
  <c r="L726" i="7"/>
  <c r="N726" i="7" s="1"/>
  <c r="O726" i="7" s="1"/>
  <c r="L727" i="7"/>
  <c r="N727" i="7" s="1"/>
  <c r="O727" i="7" s="1"/>
  <c r="L728" i="7"/>
  <c r="N728" i="7" s="1"/>
  <c r="O728" i="7" s="1"/>
  <c r="L729" i="7"/>
  <c r="N729" i="7" s="1"/>
  <c r="O729" i="7" s="1"/>
  <c r="L730" i="7"/>
  <c r="N730" i="7" s="1"/>
  <c r="O730" i="7" s="1"/>
  <c r="L731" i="7"/>
  <c r="N731" i="7" s="1"/>
  <c r="O731" i="7" s="1"/>
  <c r="L732" i="7"/>
  <c r="N732" i="7" s="1"/>
  <c r="O732" i="7" s="1"/>
  <c r="L733" i="7"/>
  <c r="N733" i="7" s="1"/>
  <c r="O733" i="7" s="1"/>
  <c r="L734" i="7"/>
  <c r="N734" i="7" s="1"/>
  <c r="O734" i="7" s="1"/>
  <c r="L735" i="7"/>
  <c r="N735" i="7" s="1"/>
  <c r="O735" i="7" s="1"/>
  <c r="L736" i="7"/>
  <c r="N736" i="7" s="1"/>
  <c r="O736" i="7" s="1"/>
  <c r="L737" i="7"/>
  <c r="N737" i="7" s="1"/>
  <c r="O737" i="7" s="1"/>
  <c r="L738" i="7"/>
  <c r="N738" i="7" s="1"/>
  <c r="O738" i="7" s="1"/>
  <c r="L739" i="7"/>
  <c r="N739" i="7" s="1"/>
  <c r="O739" i="7" s="1"/>
  <c r="L740" i="7"/>
  <c r="N740" i="7" s="1"/>
  <c r="O740" i="7" s="1"/>
  <c r="L741" i="7"/>
  <c r="N741" i="7" s="1"/>
  <c r="O741" i="7" s="1"/>
  <c r="L742" i="7"/>
  <c r="N742" i="7" s="1"/>
  <c r="O742" i="7" s="1"/>
  <c r="L743" i="7"/>
  <c r="N743" i="7" s="1"/>
  <c r="O743" i="7" s="1"/>
  <c r="L744" i="7"/>
  <c r="N744" i="7" s="1"/>
  <c r="O744" i="7" s="1"/>
  <c r="L745" i="7"/>
  <c r="N745" i="7" s="1"/>
  <c r="O745" i="7" s="1"/>
  <c r="L746" i="7"/>
  <c r="N746" i="7" s="1"/>
  <c r="O746" i="7" s="1"/>
  <c r="L747" i="7"/>
  <c r="N747" i="7" s="1"/>
  <c r="O747" i="7" s="1"/>
  <c r="L748" i="7"/>
  <c r="N748" i="7" s="1"/>
  <c r="O748" i="7" s="1"/>
  <c r="L749" i="7"/>
  <c r="N749" i="7" s="1"/>
  <c r="O749" i="7" s="1"/>
  <c r="L750" i="7"/>
  <c r="N750" i="7" s="1"/>
  <c r="O750" i="7" s="1"/>
  <c r="L751" i="7"/>
  <c r="N751" i="7" s="1"/>
  <c r="O751" i="7" s="1"/>
  <c r="L752" i="7"/>
  <c r="N752" i="7" s="1"/>
  <c r="O752" i="7" s="1"/>
  <c r="L753" i="7"/>
  <c r="N753" i="7" s="1"/>
  <c r="O753" i="7" s="1"/>
  <c r="L754" i="7"/>
  <c r="N754" i="7" s="1"/>
  <c r="O754" i="7" s="1"/>
  <c r="L755" i="7"/>
  <c r="N755" i="7" s="1"/>
  <c r="O755" i="7" s="1"/>
  <c r="L756" i="7"/>
  <c r="N756" i="7" s="1"/>
  <c r="O756" i="7" s="1"/>
  <c r="L757" i="7"/>
  <c r="N757" i="7" s="1"/>
  <c r="O757" i="7" s="1"/>
  <c r="L758" i="7"/>
  <c r="N758" i="7" s="1"/>
  <c r="O758" i="7" s="1"/>
  <c r="L759" i="7"/>
  <c r="N759" i="7" s="1"/>
  <c r="O759" i="7" s="1"/>
  <c r="L760" i="7"/>
  <c r="N760" i="7" s="1"/>
  <c r="O760" i="7" s="1"/>
  <c r="L761" i="7"/>
  <c r="N761" i="7" s="1"/>
  <c r="O761" i="7" s="1"/>
  <c r="L762" i="7"/>
  <c r="N762" i="7" s="1"/>
  <c r="O762" i="7" s="1"/>
  <c r="L763" i="7"/>
  <c r="N763" i="7" s="1"/>
  <c r="O763" i="7" s="1"/>
  <c r="L764" i="7"/>
  <c r="N764" i="7" s="1"/>
  <c r="O764" i="7" s="1"/>
  <c r="L765" i="7"/>
  <c r="N765" i="7" s="1"/>
  <c r="O765" i="7" s="1"/>
  <c r="L766" i="7"/>
  <c r="N766" i="7" s="1"/>
  <c r="O766" i="7" s="1"/>
  <c r="L767" i="7"/>
  <c r="N767" i="7" s="1"/>
  <c r="O767" i="7" s="1"/>
  <c r="L768" i="7"/>
  <c r="N768" i="7" s="1"/>
  <c r="O768" i="7" s="1"/>
  <c r="L769" i="7"/>
  <c r="N769" i="7" s="1"/>
  <c r="O769" i="7" s="1"/>
  <c r="L770" i="7"/>
  <c r="N770" i="7" s="1"/>
  <c r="O770" i="7" s="1"/>
  <c r="L771" i="7"/>
  <c r="N771" i="7" s="1"/>
  <c r="O771" i="7" s="1"/>
  <c r="L772" i="7"/>
  <c r="N772" i="7" s="1"/>
  <c r="O772" i="7" s="1"/>
  <c r="L773" i="7"/>
  <c r="N773" i="7" s="1"/>
  <c r="O773" i="7" s="1"/>
  <c r="L774" i="7"/>
  <c r="N774" i="7" s="1"/>
  <c r="O774" i="7" s="1"/>
  <c r="L775" i="7"/>
  <c r="N775" i="7" s="1"/>
  <c r="O775" i="7" s="1"/>
  <c r="L776" i="7"/>
  <c r="N776" i="7" s="1"/>
  <c r="O776" i="7" s="1"/>
  <c r="L777" i="7"/>
  <c r="N777" i="7" s="1"/>
  <c r="O777" i="7" s="1"/>
  <c r="L778" i="7"/>
  <c r="N778" i="7" s="1"/>
  <c r="O778" i="7" s="1"/>
  <c r="L779" i="7"/>
  <c r="N779" i="7" s="1"/>
  <c r="O779" i="7" s="1"/>
  <c r="L780" i="7"/>
  <c r="N780" i="7" s="1"/>
  <c r="O780" i="7" s="1"/>
  <c r="L781" i="7"/>
  <c r="N781" i="7" s="1"/>
  <c r="O781" i="7" s="1"/>
  <c r="L782" i="7"/>
  <c r="N782" i="7" s="1"/>
  <c r="O782" i="7" s="1"/>
  <c r="L783" i="7"/>
  <c r="N783" i="7" s="1"/>
  <c r="O783" i="7" s="1"/>
  <c r="L788" i="7"/>
  <c r="N788" i="7" s="1"/>
  <c r="O788" i="7" s="1"/>
  <c r="L789" i="7"/>
  <c r="N789" i="7" s="1"/>
  <c r="O789" i="7" s="1"/>
  <c r="L790" i="7"/>
  <c r="N790" i="7" s="1"/>
  <c r="O790" i="7" s="1"/>
  <c r="L791" i="7"/>
  <c r="N791" i="7" s="1"/>
  <c r="O791" i="7" s="1"/>
  <c r="L792" i="7"/>
  <c r="N792" i="7" s="1"/>
  <c r="O792" i="7" s="1"/>
  <c r="L793" i="7"/>
  <c r="N793" i="7" s="1"/>
  <c r="O793" i="7" s="1"/>
  <c r="L794" i="7"/>
  <c r="N794" i="7" s="1"/>
  <c r="O794" i="7" s="1"/>
  <c r="L795" i="7"/>
  <c r="N795" i="7" s="1"/>
  <c r="O795" i="7" s="1"/>
  <c r="L796" i="7"/>
  <c r="N796" i="7" s="1"/>
  <c r="O796" i="7" s="1"/>
  <c r="L797" i="7"/>
  <c r="N797" i="7" s="1"/>
  <c r="O797" i="7" s="1"/>
  <c r="L798" i="7"/>
  <c r="N798" i="7" s="1"/>
  <c r="O798" i="7" s="1"/>
  <c r="L799" i="7"/>
  <c r="N799" i="7" s="1"/>
  <c r="O799" i="7" s="1"/>
  <c r="L800" i="7"/>
  <c r="N800" i="7" s="1"/>
  <c r="O800" i="7" s="1"/>
  <c r="L801" i="7"/>
  <c r="N801" i="7" s="1"/>
  <c r="O801" i="7" s="1"/>
  <c r="L802" i="7"/>
  <c r="N802" i="7" s="1"/>
  <c r="O802" i="7" s="1"/>
  <c r="L803" i="7"/>
  <c r="N803" i="7" s="1"/>
  <c r="O803" i="7" s="1"/>
  <c r="L804" i="7"/>
  <c r="N804" i="7" s="1"/>
  <c r="O804" i="7" s="1"/>
  <c r="L805" i="7"/>
  <c r="N805" i="7" s="1"/>
  <c r="O805" i="7" s="1"/>
  <c r="L806" i="7"/>
  <c r="N806" i="7" s="1"/>
  <c r="O806" i="7" s="1"/>
  <c r="L807" i="7"/>
  <c r="N807" i="7" s="1"/>
  <c r="O807" i="7" s="1"/>
  <c r="L808" i="7"/>
  <c r="N808" i="7" s="1"/>
  <c r="O808" i="7" s="1"/>
  <c r="L809" i="7"/>
  <c r="N809" i="7" s="1"/>
  <c r="O809" i="7" s="1"/>
  <c r="L810" i="7"/>
  <c r="N810" i="7" s="1"/>
  <c r="O810" i="7" s="1"/>
  <c r="L811" i="7"/>
  <c r="N811" i="7" s="1"/>
  <c r="O811" i="7" s="1"/>
  <c r="L812" i="7"/>
  <c r="N812" i="7" s="1"/>
  <c r="O812" i="7" s="1"/>
  <c r="L813" i="7"/>
  <c r="N813" i="7" s="1"/>
  <c r="O813" i="7" s="1"/>
  <c r="L814" i="7"/>
  <c r="N814" i="7" s="1"/>
  <c r="O814" i="7" s="1"/>
  <c r="L815" i="7"/>
  <c r="N815" i="7" s="1"/>
  <c r="O815" i="7" s="1"/>
  <c r="L816" i="7"/>
  <c r="N816" i="7" s="1"/>
  <c r="O816" i="7" s="1"/>
  <c r="L817" i="7"/>
  <c r="N817" i="7" s="1"/>
  <c r="O817" i="7" s="1"/>
  <c r="L818" i="7"/>
  <c r="N818" i="7" s="1"/>
  <c r="O818" i="7" s="1"/>
  <c r="L819" i="7"/>
  <c r="N819" i="7" s="1"/>
  <c r="O819" i="7" s="1"/>
  <c r="L820" i="7"/>
  <c r="N820" i="7" s="1"/>
  <c r="O820" i="7" s="1"/>
  <c r="L821" i="7"/>
  <c r="N821" i="7" s="1"/>
  <c r="O821" i="7" s="1"/>
  <c r="L822" i="7"/>
  <c r="N822" i="7" s="1"/>
  <c r="O822" i="7" s="1"/>
  <c r="L823" i="7"/>
  <c r="N823" i="7" s="1"/>
  <c r="O823" i="7" s="1"/>
  <c r="L824" i="7"/>
  <c r="N824" i="7" s="1"/>
  <c r="O824" i="7" s="1"/>
  <c r="L825" i="7"/>
  <c r="N825" i="7" s="1"/>
  <c r="O825" i="7" s="1"/>
  <c r="L826" i="7"/>
  <c r="N826" i="7" s="1"/>
  <c r="O826" i="7" s="1"/>
  <c r="L827" i="7"/>
  <c r="N827" i="7" s="1"/>
  <c r="O827" i="7" s="1"/>
  <c r="L828" i="7"/>
  <c r="N828" i="7" s="1"/>
  <c r="O828" i="7" s="1"/>
  <c r="L829" i="7"/>
  <c r="N829" i="7" s="1"/>
  <c r="O829" i="7" s="1"/>
  <c r="L830" i="7"/>
  <c r="N830" i="7" s="1"/>
  <c r="O830" i="7" s="1"/>
  <c r="L831" i="7"/>
  <c r="N831" i="7" s="1"/>
  <c r="O831" i="7" s="1"/>
  <c r="L832" i="7"/>
  <c r="N832" i="7" s="1"/>
  <c r="O832" i="7" s="1"/>
  <c r="L833" i="7"/>
  <c r="N833" i="7" s="1"/>
  <c r="O833" i="7" s="1"/>
  <c r="L834" i="7"/>
  <c r="N834" i="7" s="1"/>
  <c r="O834" i="7" s="1"/>
  <c r="L835" i="7"/>
  <c r="N835" i="7" s="1"/>
  <c r="O835" i="7" s="1"/>
  <c r="L836" i="7"/>
  <c r="N836" i="7" s="1"/>
  <c r="O836" i="7" s="1"/>
  <c r="L837" i="7"/>
  <c r="N837" i="7" s="1"/>
  <c r="O837" i="7" s="1"/>
  <c r="L838" i="7"/>
  <c r="N838" i="7" s="1"/>
  <c r="O838" i="7" s="1"/>
  <c r="L839" i="7"/>
  <c r="N839" i="7" s="1"/>
  <c r="O839" i="7" s="1"/>
  <c r="L840" i="7"/>
  <c r="N840" i="7" s="1"/>
  <c r="O840" i="7" s="1"/>
  <c r="L841" i="7"/>
  <c r="N841" i="7" s="1"/>
  <c r="O841" i="7" s="1"/>
  <c r="L846" i="7"/>
  <c r="N846" i="7" s="1"/>
  <c r="O846" i="7" s="1"/>
  <c r="L847" i="7"/>
  <c r="N847" i="7" s="1"/>
  <c r="O847" i="7" s="1"/>
  <c r="L848" i="7"/>
  <c r="N848" i="7" s="1"/>
  <c r="O848" i="7" s="1"/>
  <c r="L849" i="7"/>
  <c r="N849" i="7" s="1"/>
  <c r="O849" i="7" s="1"/>
  <c r="L850" i="7"/>
  <c r="N850" i="7" s="1"/>
  <c r="O850" i="7" s="1"/>
  <c r="L851" i="7"/>
  <c r="N851" i="7" s="1"/>
  <c r="O851" i="7" s="1"/>
  <c r="L852" i="7"/>
  <c r="N852" i="7" s="1"/>
  <c r="O852" i="7" s="1"/>
  <c r="L853" i="7"/>
  <c r="N853" i="7" s="1"/>
  <c r="O853" i="7" s="1"/>
  <c r="L854" i="7"/>
  <c r="N854" i="7" s="1"/>
  <c r="O854" i="7" s="1"/>
  <c r="L855" i="7"/>
  <c r="N855" i="7" s="1"/>
  <c r="O855" i="7" s="1"/>
  <c r="L856" i="7"/>
  <c r="N856" i="7" s="1"/>
  <c r="O856" i="7" s="1"/>
  <c r="L857" i="7"/>
  <c r="N857" i="7" s="1"/>
  <c r="O857" i="7" s="1"/>
  <c r="L858" i="7"/>
  <c r="N858" i="7" s="1"/>
  <c r="O858" i="7" s="1"/>
  <c r="L859" i="7"/>
  <c r="N859" i="7" s="1"/>
  <c r="O859" i="7" s="1"/>
  <c r="L860" i="7"/>
  <c r="N860" i="7" s="1"/>
  <c r="O860" i="7" s="1"/>
  <c r="L861" i="7"/>
  <c r="N861" i="7" s="1"/>
  <c r="O861" i="7" s="1"/>
  <c r="L862" i="7"/>
  <c r="N862" i="7" s="1"/>
  <c r="O862" i="7" s="1"/>
  <c r="L863" i="7"/>
  <c r="N863" i="7" s="1"/>
  <c r="O863" i="7" s="1"/>
  <c r="L864" i="7"/>
  <c r="N864" i="7" s="1"/>
  <c r="O864" i="7" s="1"/>
  <c r="L865" i="7"/>
  <c r="N865" i="7" s="1"/>
  <c r="O865" i="7" s="1"/>
  <c r="L866" i="7"/>
  <c r="N866" i="7" s="1"/>
  <c r="O866" i="7" s="1"/>
  <c r="L867" i="7"/>
  <c r="N867" i="7" s="1"/>
  <c r="O867" i="7" s="1"/>
  <c r="L868" i="7"/>
  <c r="N868" i="7" s="1"/>
  <c r="O868" i="7" s="1"/>
  <c r="L869" i="7"/>
  <c r="N869" i="7" s="1"/>
  <c r="O869" i="7" s="1"/>
  <c r="L870" i="7"/>
  <c r="N870" i="7" s="1"/>
  <c r="O870" i="7" s="1"/>
  <c r="L871" i="7"/>
  <c r="N871" i="7" s="1"/>
  <c r="O871" i="7" s="1"/>
  <c r="L872" i="7"/>
  <c r="N872" i="7" s="1"/>
  <c r="O872" i="7" s="1"/>
  <c r="L873" i="7"/>
  <c r="N873" i="7" s="1"/>
  <c r="O873" i="7" s="1"/>
  <c r="L874" i="7"/>
  <c r="N874" i="7" s="1"/>
  <c r="O874" i="7" s="1"/>
  <c r="L875" i="7"/>
  <c r="N875" i="7" s="1"/>
  <c r="O875" i="7" s="1"/>
  <c r="L876" i="7"/>
  <c r="N876" i="7" s="1"/>
  <c r="O876" i="7" s="1"/>
  <c r="L877" i="7"/>
  <c r="N877" i="7" s="1"/>
  <c r="O877" i="7" s="1"/>
  <c r="L878" i="7"/>
  <c r="N878" i="7" s="1"/>
  <c r="O878" i="7" s="1"/>
  <c r="L879" i="7"/>
  <c r="N879" i="7" s="1"/>
  <c r="O879" i="7" s="1"/>
  <c r="L880" i="7"/>
  <c r="N880" i="7" s="1"/>
  <c r="O880" i="7" s="1"/>
  <c r="L881" i="7"/>
  <c r="N881" i="7" s="1"/>
  <c r="O881" i="7" s="1"/>
  <c r="L882" i="7"/>
  <c r="N882" i="7" s="1"/>
  <c r="O882" i="7" s="1"/>
  <c r="L883" i="7"/>
  <c r="N883" i="7" s="1"/>
  <c r="O883" i="7" s="1"/>
  <c r="L884" i="7"/>
  <c r="N884" i="7" s="1"/>
  <c r="O884" i="7" s="1"/>
  <c r="L885" i="7"/>
  <c r="N885" i="7" s="1"/>
  <c r="O885" i="7" s="1"/>
  <c r="L886" i="7"/>
  <c r="N886" i="7" s="1"/>
  <c r="O886" i="7" s="1"/>
  <c r="L887" i="7"/>
  <c r="N887" i="7" s="1"/>
  <c r="O887" i="7" s="1"/>
  <c r="L888" i="7"/>
  <c r="N888" i="7" s="1"/>
  <c r="O888" i="7" s="1"/>
  <c r="L889" i="7"/>
  <c r="N889" i="7" s="1"/>
  <c r="O889" i="7" s="1"/>
  <c r="L890" i="7"/>
  <c r="N890" i="7" s="1"/>
  <c r="O890" i="7" s="1"/>
  <c r="L891" i="7"/>
  <c r="N891" i="7" s="1"/>
  <c r="O891" i="7" s="1"/>
  <c r="L892" i="7"/>
  <c r="N892" i="7" s="1"/>
  <c r="O892" i="7" s="1"/>
  <c r="L893" i="7"/>
  <c r="N893" i="7" s="1"/>
  <c r="O893" i="7" s="1"/>
  <c r="L894" i="7"/>
  <c r="N894" i="7" s="1"/>
  <c r="O894" i="7" s="1"/>
  <c r="L895" i="7"/>
  <c r="N895" i="7" s="1"/>
  <c r="O895" i="7" s="1"/>
  <c r="L896" i="7"/>
  <c r="N896" i="7" s="1"/>
  <c r="O896" i="7" s="1"/>
  <c r="L897" i="7"/>
  <c r="N897" i="7" s="1"/>
  <c r="O897" i="7" s="1"/>
  <c r="L898" i="7"/>
  <c r="N898" i="7" s="1"/>
  <c r="O898" i="7" s="1"/>
  <c r="L899" i="7"/>
  <c r="N899" i="7" s="1"/>
  <c r="O899" i="7" s="1"/>
  <c r="L904" i="7"/>
  <c r="N904" i="7" s="1"/>
  <c r="O904" i="7" s="1"/>
  <c r="L905" i="7"/>
  <c r="N905" i="7" s="1"/>
  <c r="O905" i="7" s="1"/>
  <c r="L906" i="7"/>
  <c r="N906" i="7" s="1"/>
  <c r="O906" i="7" s="1"/>
  <c r="L907" i="7"/>
  <c r="N907" i="7" s="1"/>
  <c r="O907" i="7" s="1"/>
  <c r="L908" i="7"/>
  <c r="N908" i="7" s="1"/>
  <c r="O908" i="7" s="1"/>
  <c r="L909" i="7"/>
  <c r="N909" i="7" s="1"/>
  <c r="O909" i="7" s="1"/>
  <c r="L910" i="7"/>
  <c r="N910" i="7" s="1"/>
  <c r="O910" i="7" s="1"/>
  <c r="L911" i="7"/>
  <c r="N911" i="7" s="1"/>
  <c r="O911" i="7" s="1"/>
  <c r="L912" i="7"/>
  <c r="N912" i="7" s="1"/>
  <c r="O912" i="7" s="1"/>
  <c r="L913" i="7"/>
  <c r="N913" i="7" s="1"/>
  <c r="O913" i="7" s="1"/>
  <c r="L914" i="7"/>
  <c r="N914" i="7" s="1"/>
  <c r="O914" i="7" s="1"/>
  <c r="L915" i="7"/>
  <c r="N915" i="7" s="1"/>
  <c r="O915" i="7" s="1"/>
  <c r="L916" i="7"/>
  <c r="N916" i="7" s="1"/>
  <c r="O916" i="7" s="1"/>
  <c r="L917" i="7"/>
  <c r="N917" i="7" s="1"/>
  <c r="O917" i="7" s="1"/>
  <c r="L918" i="7"/>
  <c r="N918" i="7" s="1"/>
  <c r="O918" i="7" s="1"/>
  <c r="L919" i="7"/>
  <c r="N919" i="7" s="1"/>
  <c r="O919" i="7" s="1"/>
  <c r="L920" i="7"/>
  <c r="N920" i="7" s="1"/>
  <c r="O920" i="7" s="1"/>
  <c r="L921" i="7"/>
  <c r="N921" i="7" s="1"/>
  <c r="O921" i="7" s="1"/>
  <c r="L922" i="7"/>
  <c r="N922" i="7" s="1"/>
  <c r="O922" i="7" s="1"/>
  <c r="L923" i="7"/>
  <c r="N923" i="7" s="1"/>
  <c r="O923" i="7" s="1"/>
  <c r="L924" i="7"/>
  <c r="N924" i="7" s="1"/>
  <c r="O924" i="7" s="1"/>
  <c r="L925" i="7"/>
  <c r="N925" i="7" s="1"/>
  <c r="O925" i="7" s="1"/>
  <c r="L926" i="7"/>
  <c r="N926" i="7" s="1"/>
  <c r="O926" i="7" s="1"/>
  <c r="L927" i="7"/>
  <c r="N927" i="7" s="1"/>
  <c r="O927" i="7" s="1"/>
  <c r="L928" i="7"/>
  <c r="N928" i="7" s="1"/>
  <c r="O928" i="7" s="1"/>
  <c r="L929" i="7"/>
  <c r="N929" i="7" s="1"/>
  <c r="O929" i="7" s="1"/>
  <c r="L930" i="7"/>
  <c r="N930" i="7" s="1"/>
  <c r="O930" i="7" s="1"/>
  <c r="L931" i="7"/>
  <c r="N931" i="7" s="1"/>
  <c r="O931" i="7" s="1"/>
  <c r="L932" i="7"/>
  <c r="N932" i="7" s="1"/>
  <c r="O932" i="7" s="1"/>
  <c r="L933" i="7"/>
  <c r="N933" i="7" s="1"/>
  <c r="O933" i="7" s="1"/>
  <c r="L934" i="7"/>
  <c r="N934" i="7" s="1"/>
  <c r="O934" i="7" s="1"/>
  <c r="L935" i="7"/>
  <c r="N935" i="7" s="1"/>
  <c r="O935" i="7" s="1"/>
  <c r="L936" i="7"/>
  <c r="N936" i="7" s="1"/>
  <c r="O936" i="7" s="1"/>
  <c r="L937" i="7"/>
  <c r="N937" i="7" s="1"/>
  <c r="O937" i="7" s="1"/>
  <c r="L938" i="7"/>
  <c r="N938" i="7" s="1"/>
  <c r="O938" i="7" s="1"/>
  <c r="L939" i="7"/>
  <c r="N939" i="7" s="1"/>
  <c r="O939" i="7" s="1"/>
  <c r="L940" i="7"/>
  <c r="N940" i="7" s="1"/>
  <c r="O940" i="7" s="1"/>
  <c r="L941" i="7"/>
  <c r="N941" i="7" s="1"/>
  <c r="O941" i="7" s="1"/>
  <c r="L942" i="7"/>
  <c r="N942" i="7" s="1"/>
  <c r="O942" i="7" s="1"/>
  <c r="L943" i="7"/>
  <c r="N943" i="7" s="1"/>
  <c r="O943" i="7" s="1"/>
  <c r="L944" i="7"/>
  <c r="N944" i="7" s="1"/>
  <c r="O944" i="7" s="1"/>
  <c r="L945" i="7"/>
  <c r="N945" i="7" s="1"/>
  <c r="O945" i="7" s="1"/>
  <c r="L946" i="7"/>
  <c r="N946" i="7" s="1"/>
  <c r="O946" i="7" s="1"/>
  <c r="L947" i="7"/>
  <c r="N947" i="7" s="1"/>
  <c r="O947" i="7" s="1"/>
  <c r="L948" i="7"/>
  <c r="N948" i="7" s="1"/>
  <c r="O948" i="7" s="1"/>
  <c r="L949" i="7"/>
  <c r="N949" i="7" s="1"/>
  <c r="O949" i="7" s="1"/>
  <c r="L950" i="7"/>
  <c r="N950" i="7" s="1"/>
  <c r="O950" i="7" s="1"/>
  <c r="L951" i="7"/>
  <c r="N951" i="7" s="1"/>
  <c r="O951" i="7" s="1"/>
  <c r="L952" i="7"/>
  <c r="N952" i="7" s="1"/>
  <c r="O952" i="7" s="1"/>
  <c r="L953" i="7"/>
  <c r="N953" i="7" s="1"/>
  <c r="O953" i="7" s="1"/>
  <c r="L954" i="7"/>
  <c r="N954" i="7" s="1"/>
  <c r="O954" i="7" s="1"/>
  <c r="L955" i="7"/>
  <c r="N955" i="7" s="1"/>
  <c r="O955" i="7" s="1"/>
  <c r="L956" i="7"/>
  <c r="N956" i="7" s="1"/>
  <c r="O956" i="7" s="1"/>
  <c r="L957" i="7"/>
  <c r="N957" i="7" s="1"/>
  <c r="O957" i="7" s="1"/>
  <c r="L962" i="7"/>
  <c r="N962" i="7" s="1"/>
  <c r="O962" i="7" s="1"/>
  <c r="L963" i="7"/>
  <c r="N963" i="7" s="1"/>
  <c r="O963" i="7" s="1"/>
  <c r="L964" i="7"/>
  <c r="N964" i="7" s="1"/>
  <c r="O964" i="7" s="1"/>
  <c r="L965" i="7"/>
  <c r="N965" i="7" s="1"/>
  <c r="O965" i="7" s="1"/>
  <c r="L966" i="7"/>
  <c r="N966" i="7" s="1"/>
  <c r="O966" i="7" s="1"/>
  <c r="L967" i="7"/>
  <c r="N967" i="7" s="1"/>
  <c r="O967" i="7" s="1"/>
  <c r="L968" i="7"/>
  <c r="N968" i="7" s="1"/>
  <c r="O968" i="7" s="1"/>
  <c r="L969" i="7"/>
  <c r="N969" i="7" s="1"/>
  <c r="O969" i="7" s="1"/>
  <c r="L970" i="7"/>
  <c r="N970" i="7" s="1"/>
  <c r="O970" i="7" s="1"/>
  <c r="L971" i="7"/>
  <c r="N971" i="7" s="1"/>
  <c r="O971" i="7" s="1"/>
  <c r="L972" i="7"/>
  <c r="N972" i="7" s="1"/>
  <c r="O972" i="7" s="1"/>
  <c r="L973" i="7"/>
  <c r="N973" i="7" s="1"/>
  <c r="O973" i="7" s="1"/>
  <c r="L974" i="7"/>
  <c r="N974" i="7" s="1"/>
  <c r="O974" i="7" s="1"/>
  <c r="L975" i="7"/>
  <c r="N975" i="7" s="1"/>
  <c r="O975" i="7" s="1"/>
  <c r="L976" i="7"/>
  <c r="N976" i="7" s="1"/>
  <c r="O976" i="7" s="1"/>
  <c r="L977" i="7"/>
  <c r="N977" i="7" s="1"/>
  <c r="O977" i="7" s="1"/>
  <c r="L978" i="7"/>
  <c r="N978" i="7" s="1"/>
  <c r="O978" i="7" s="1"/>
  <c r="L979" i="7"/>
  <c r="N979" i="7" s="1"/>
  <c r="O979" i="7" s="1"/>
  <c r="L980" i="7"/>
  <c r="N980" i="7" s="1"/>
  <c r="O980" i="7" s="1"/>
  <c r="L981" i="7"/>
  <c r="N981" i="7" s="1"/>
  <c r="O981" i="7" s="1"/>
  <c r="L982" i="7"/>
  <c r="N982" i="7" s="1"/>
  <c r="O982" i="7" s="1"/>
  <c r="L983" i="7"/>
  <c r="N983" i="7" s="1"/>
  <c r="O983" i="7" s="1"/>
  <c r="L984" i="7"/>
  <c r="N984" i="7" s="1"/>
  <c r="O984" i="7" s="1"/>
  <c r="L985" i="7"/>
  <c r="N985" i="7" s="1"/>
  <c r="O985" i="7" s="1"/>
  <c r="L986" i="7"/>
  <c r="N986" i="7" s="1"/>
  <c r="O986" i="7" s="1"/>
  <c r="L987" i="7"/>
  <c r="N987" i="7" s="1"/>
  <c r="O987" i="7" s="1"/>
  <c r="L988" i="7"/>
  <c r="N988" i="7" s="1"/>
  <c r="O988" i="7" s="1"/>
  <c r="L989" i="7"/>
  <c r="N989" i="7" s="1"/>
  <c r="O989" i="7" s="1"/>
  <c r="L990" i="7"/>
  <c r="N990" i="7" s="1"/>
  <c r="O990" i="7" s="1"/>
  <c r="L991" i="7"/>
  <c r="N991" i="7" s="1"/>
  <c r="O991" i="7" s="1"/>
  <c r="L992" i="7"/>
  <c r="N992" i="7" s="1"/>
  <c r="O992" i="7" s="1"/>
  <c r="L993" i="7"/>
  <c r="N993" i="7" s="1"/>
  <c r="O993" i="7" s="1"/>
  <c r="L994" i="7"/>
  <c r="N994" i="7" s="1"/>
  <c r="O994" i="7" s="1"/>
  <c r="L995" i="7"/>
  <c r="N995" i="7" s="1"/>
  <c r="O995" i="7" s="1"/>
  <c r="L996" i="7"/>
  <c r="N996" i="7" s="1"/>
  <c r="O996" i="7" s="1"/>
  <c r="L997" i="7"/>
  <c r="N997" i="7" s="1"/>
  <c r="O997" i="7" s="1"/>
  <c r="L998" i="7"/>
  <c r="N998" i="7" s="1"/>
  <c r="O998" i="7" s="1"/>
  <c r="L999" i="7"/>
  <c r="N999" i="7" s="1"/>
  <c r="O999" i="7" s="1"/>
  <c r="L1000" i="7"/>
  <c r="N1000" i="7" s="1"/>
  <c r="O1000" i="7" s="1"/>
  <c r="L1001" i="7"/>
  <c r="N1001" i="7" s="1"/>
  <c r="O1001" i="7" s="1"/>
  <c r="L1002" i="7"/>
  <c r="N1002" i="7" s="1"/>
  <c r="O1002" i="7" s="1"/>
  <c r="L1003" i="7"/>
  <c r="N1003" i="7" s="1"/>
  <c r="O1003" i="7" s="1"/>
  <c r="L1004" i="7"/>
  <c r="N1004" i="7" s="1"/>
  <c r="O1004" i="7" s="1"/>
  <c r="L1005" i="7"/>
  <c r="N1005" i="7" s="1"/>
  <c r="O1005" i="7" s="1"/>
  <c r="L1006" i="7"/>
  <c r="N1006" i="7" s="1"/>
  <c r="O1006" i="7" s="1"/>
  <c r="L1007" i="7"/>
  <c r="N1007" i="7" s="1"/>
  <c r="O1007" i="7" s="1"/>
  <c r="L1008" i="7"/>
  <c r="N1008" i="7" s="1"/>
  <c r="O1008" i="7" s="1"/>
  <c r="L1009" i="7"/>
  <c r="N1009" i="7" s="1"/>
  <c r="O1009" i="7" s="1"/>
  <c r="L1010" i="7"/>
  <c r="N1010" i="7" s="1"/>
  <c r="O1010" i="7" s="1"/>
  <c r="L1011" i="7"/>
  <c r="N1011" i="7" s="1"/>
  <c r="O1011" i="7" s="1"/>
  <c r="L1012" i="7"/>
  <c r="N1012" i="7" s="1"/>
  <c r="O1012" i="7" s="1"/>
  <c r="L1013" i="7"/>
  <c r="N1013" i="7" s="1"/>
  <c r="O1013" i="7" s="1"/>
  <c r="L1014" i="7"/>
  <c r="N1014" i="7" s="1"/>
  <c r="O1014" i="7" s="1"/>
  <c r="L1015" i="7"/>
  <c r="N1015" i="7" s="1"/>
  <c r="O1015" i="7" s="1"/>
  <c r="L1020" i="7"/>
  <c r="N1020" i="7" s="1"/>
  <c r="O1020" i="7" s="1"/>
  <c r="L1021" i="7"/>
  <c r="N1021" i="7" s="1"/>
  <c r="O1021" i="7" s="1"/>
  <c r="L1022" i="7"/>
  <c r="N1022" i="7" s="1"/>
  <c r="O1022" i="7" s="1"/>
  <c r="L1023" i="7"/>
  <c r="N1023" i="7" s="1"/>
  <c r="O1023" i="7" s="1"/>
  <c r="L1024" i="7"/>
  <c r="N1024" i="7" s="1"/>
  <c r="O1024" i="7" s="1"/>
  <c r="L1025" i="7"/>
  <c r="N1025" i="7" s="1"/>
  <c r="O1025" i="7" s="1"/>
  <c r="L1026" i="7"/>
  <c r="N1026" i="7" s="1"/>
  <c r="O1026" i="7" s="1"/>
  <c r="L1027" i="7"/>
  <c r="N1027" i="7" s="1"/>
  <c r="O1027" i="7" s="1"/>
  <c r="L1028" i="7"/>
  <c r="N1028" i="7" s="1"/>
  <c r="O1028" i="7" s="1"/>
  <c r="L1029" i="7"/>
  <c r="N1029" i="7" s="1"/>
  <c r="O1029" i="7" s="1"/>
  <c r="L1030" i="7"/>
  <c r="N1030" i="7" s="1"/>
  <c r="O1030" i="7" s="1"/>
  <c r="L1031" i="7"/>
  <c r="N1031" i="7" s="1"/>
  <c r="O1031" i="7" s="1"/>
  <c r="L1032" i="7"/>
  <c r="N1032" i="7" s="1"/>
  <c r="O1032" i="7" s="1"/>
  <c r="L1033" i="7"/>
  <c r="N1033" i="7" s="1"/>
  <c r="O1033" i="7" s="1"/>
  <c r="L1034" i="7"/>
  <c r="N1034" i="7" s="1"/>
  <c r="O1034" i="7" s="1"/>
  <c r="L1035" i="7"/>
  <c r="N1035" i="7" s="1"/>
  <c r="O1035" i="7" s="1"/>
  <c r="L1036" i="7"/>
  <c r="N1036" i="7" s="1"/>
  <c r="O1036" i="7" s="1"/>
  <c r="L1037" i="7"/>
  <c r="N1037" i="7" s="1"/>
  <c r="O1037" i="7" s="1"/>
  <c r="L1038" i="7"/>
  <c r="N1038" i="7" s="1"/>
  <c r="O1038" i="7" s="1"/>
  <c r="L1039" i="7"/>
  <c r="N1039" i="7" s="1"/>
  <c r="O1039" i="7" s="1"/>
  <c r="L1040" i="7"/>
  <c r="N1040" i="7" s="1"/>
  <c r="O1040" i="7" s="1"/>
  <c r="L1041" i="7"/>
  <c r="N1041" i="7" s="1"/>
  <c r="O1041" i="7" s="1"/>
  <c r="L1042" i="7"/>
  <c r="N1042" i="7" s="1"/>
  <c r="O1042" i="7" s="1"/>
  <c r="L1043" i="7"/>
  <c r="N1043" i="7" s="1"/>
  <c r="O1043" i="7" s="1"/>
  <c r="L1044" i="7"/>
  <c r="N1044" i="7" s="1"/>
  <c r="O1044" i="7" s="1"/>
  <c r="L1045" i="7"/>
  <c r="N1045" i="7" s="1"/>
  <c r="O1045" i="7" s="1"/>
  <c r="L1046" i="7"/>
  <c r="N1046" i="7" s="1"/>
  <c r="O1046" i="7" s="1"/>
  <c r="L1047" i="7"/>
  <c r="N1047" i="7" s="1"/>
  <c r="O1047" i="7" s="1"/>
  <c r="L1048" i="7"/>
  <c r="N1048" i="7" s="1"/>
  <c r="O1048" i="7" s="1"/>
  <c r="L1049" i="7"/>
  <c r="N1049" i="7" s="1"/>
  <c r="O1049" i="7" s="1"/>
  <c r="L1050" i="7"/>
  <c r="N1050" i="7" s="1"/>
  <c r="O1050" i="7" s="1"/>
  <c r="L1051" i="7"/>
  <c r="N1051" i="7" s="1"/>
  <c r="O1051" i="7" s="1"/>
  <c r="L1052" i="7"/>
  <c r="N1052" i="7" s="1"/>
  <c r="O1052" i="7" s="1"/>
  <c r="L1053" i="7"/>
  <c r="N1053" i="7" s="1"/>
  <c r="O1053" i="7" s="1"/>
  <c r="L1054" i="7"/>
  <c r="N1054" i="7" s="1"/>
  <c r="O1054" i="7" s="1"/>
  <c r="L1055" i="7"/>
  <c r="N1055" i="7" s="1"/>
  <c r="O1055" i="7" s="1"/>
  <c r="L1056" i="7"/>
  <c r="N1056" i="7" s="1"/>
  <c r="O1056" i="7" s="1"/>
  <c r="L1057" i="7"/>
  <c r="N1057" i="7" s="1"/>
  <c r="O1057" i="7" s="1"/>
  <c r="L1058" i="7"/>
  <c r="N1058" i="7" s="1"/>
  <c r="O1058" i="7" s="1"/>
  <c r="L1059" i="7"/>
  <c r="N1059" i="7" s="1"/>
  <c r="O1059" i="7" s="1"/>
  <c r="L1060" i="7"/>
  <c r="N1060" i="7" s="1"/>
  <c r="O1060" i="7" s="1"/>
  <c r="L1061" i="7"/>
  <c r="N1061" i="7" s="1"/>
  <c r="O1061" i="7" s="1"/>
  <c r="L1062" i="7"/>
  <c r="N1062" i="7" s="1"/>
  <c r="O1062" i="7" s="1"/>
  <c r="L1063" i="7"/>
  <c r="N1063" i="7" s="1"/>
  <c r="O1063" i="7" s="1"/>
  <c r="L1064" i="7"/>
  <c r="N1064" i="7" s="1"/>
  <c r="O1064" i="7" s="1"/>
  <c r="L1065" i="7"/>
  <c r="N1065" i="7" s="1"/>
  <c r="O1065" i="7" s="1"/>
  <c r="L1066" i="7"/>
  <c r="N1066" i="7" s="1"/>
  <c r="O1066" i="7" s="1"/>
  <c r="L1067" i="7"/>
  <c r="N1067" i="7" s="1"/>
  <c r="O1067" i="7" s="1"/>
  <c r="L1072" i="7"/>
  <c r="N1072" i="7" s="1"/>
  <c r="O1072" i="7" s="1"/>
  <c r="L1073" i="7"/>
  <c r="N1073" i="7" s="1"/>
  <c r="O1073" i="7" s="1"/>
  <c r="L1074" i="7"/>
  <c r="N1074" i="7" s="1"/>
  <c r="O1074" i="7" s="1"/>
  <c r="L1075" i="7"/>
  <c r="N1075" i="7" s="1"/>
  <c r="O1075" i="7" s="1"/>
  <c r="L1076" i="7"/>
  <c r="N1076" i="7" s="1"/>
  <c r="O1076" i="7" s="1"/>
  <c r="L1077" i="7"/>
  <c r="N1077" i="7" s="1"/>
  <c r="O1077" i="7" s="1"/>
  <c r="L1078" i="7"/>
  <c r="N1078" i="7" s="1"/>
  <c r="O1078" i="7" s="1"/>
  <c r="L1079" i="7"/>
  <c r="N1079" i="7" s="1"/>
  <c r="O1079" i="7" s="1"/>
  <c r="L1080" i="7"/>
  <c r="N1080" i="7" s="1"/>
  <c r="O1080" i="7" s="1"/>
  <c r="L1081" i="7"/>
  <c r="N1081" i="7" s="1"/>
  <c r="O1081" i="7" s="1"/>
  <c r="L1082" i="7"/>
  <c r="N1082" i="7" s="1"/>
  <c r="O1082" i="7" s="1"/>
  <c r="L1083" i="7"/>
  <c r="N1083" i="7" s="1"/>
  <c r="O1083" i="7" s="1"/>
  <c r="L1084" i="7"/>
  <c r="N1084" i="7" s="1"/>
  <c r="O1084" i="7" s="1"/>
  <c r="L1085" i="7"/>
  <c r="N1085" i="7" s="1"/>
  <c r="O1085" i="7" s="1"/>
  <c r="L1086" i="7"/>
  <c r="N1086" i="7" s="1"/>
  <c r="O1086" i="7" s="1"/>
  <c r="L1087" i="7"/>
  <c r="N1087" i="7" s="1"/>
  <c r="O1087" i="7" s="1"/>
  <c r="L1088" i="7"/>
  <c r="N1088" i="7" s="1"/>
  <c r="O1088" i="7" s="1"/>
  <c r="L1089" i="7"/>
  <c r="N1089" i="7" s="1"/>
  <c r="O1089" i="7" s="1"/>
  <c r="L1090" i="7"/>
  <c r="N1090" i="7" s="1"/>
  <c r="O1090" i="7" s="1"/>
  <c r="L1091" i="7"/>
  <c r="N1091" i="7" s="1"/>
  <c r="O1091" i="7" s="1"/>
  <c r="L1092" i="7"/>
  <c r="N1092" i="7" s="1"/>
  <c r="O1092" i="7" s="1"/>
  <c r="L1093" i="7"/>
  <c r="N1093" i="7" s="1"/>
  <c r="O1093" i="7" s="1"/>
  <c r="L1094" i="7"/>
  <c r="N1094" i="7" s="1"/>
  <c r="O1094" i="7" s="1"/>
  <c r="L1095" i="7"/>
  <c r="N1095" i="7" s="1"/>
  <c r="O1095" i="7" s="1"/>
  <c r="L1096" i="7"/>
  <c r="N1096" i="7" s="1"/>
  <c r="O1096" i="7" s="1"/>
  <c r="L1097" i="7"/>
  <c r="N1097" i="7" s="1"/>
  <c r="O1097" i="7" s="1"/>
  <c r="L1098" i="7"/>
  <c r="N1098" i="7" s="1"/>
  <c r="O1098" i="7" s="1"/>
  <c r="L1099" i="7"/>
  <c r="N1099" i="7" s="1"/>
  <c r="O1099" i="7" s="1"/>
  <c r="L1100" i="7"/>
  <c r="N1100" i="7" s="1"/>
  <c r="O1100" i="7" s="1"/>
  <c r="L1101" i="7"/>
  <c r="N1101" i="7" s="1"/>
  <c r="O1101" i="7" s="1"/>
  <c r="L1102" i="7"/>
  <c r="N1102" i="7" s="1"/>
  <c r="O1102" i="7" s="1"/>
  <c r="L1103" i="7"/>
  <c r="N1103" i="7" s="1"/>
  <c r="O1103" i="7" s="1"/>
  <c r="L1104" i="7"/>
  <c r="N1104" i="7" s="1"/>
  <c r="O1104" i="7" s="1"/>
  <c r="L1105" i="7"/>
  <c r="N1105" i="7" s="1"/>
  <c r="O1105" i="7" s="1"/>
  <c r="L1106" i="7"/>
  <c r="N1106" i="7" s="1"/>
  <c r="O1106" i="7" s="1"/>
  <c r="L1107" i="7"/>
  <c r="N1107" i="7" s="1"/>
  <c r="O1107" i="7" s="1"/>
  <c r="L1108" i="7"/>
  <c r="N1108" i="7" s="1"/>
  <c r="O1108" i="7" s="1"/>
  <c r="L1109" i="7"/>
  <c r="N1109" i="7" s="1"/>
  <c r="O1109" i="7" s="1"/>
  <c r="L1110" i="7"/>
  <c r="N1110" i="7" s="1"/>
  <c r="O1110" i="7" s="1"/>
  <c r="L1111" i="7"/>
  <c r="N1111" i="7" s="1"/>
  <c r="O1111" i="7" s="1"/>
  <c r="L1112" i="7"/>
  <c r="N1112" i="7" s="1"/>
  <c r="O1112" i="7" s="1"/>
  <c r="L1113" i="7"/>
  <c r="N1113" i="7" s="1"/>
  <c r="O1113" i="7" s="1"/>
  <c r="L1114" i="7"/>
  <c r="N1114" i="7" s="1"/>
  <c r="O1114" i="7" s="1"/>
  <c r="L1115" i="7"/>
  <c r="N1115" i="7" s="1"/>
  <c r="O1115" i="7" s="1"/>
  <c r="L1116" i="7"/>
  <c r="N1116" i="7" s="1"/>
  <c r="O1116" i="7" s="1"/>
  <c r="L1117" i="7"/>
  <c r="N1117" i="7" s="1"/>
  <c r="O1117" i="7" s="1"/>
  <c r="L1118" i="7"/>
  <c r="N1118" i="7" s="1"/>
  <c r="O1118" i="7" s="1"/>
  <c r="L1119" i="7"/>
  <c r="N1119" i="7" s="1"/>
  <c r="O1119" i="7" s="1"/>
  <c r="L1124" i="7"/>
  <c r="N1124" i="7" s="1"/>
  <c r="O1124" i="7" s="1"/>
  <c r="L1125" i="7"/>
  <c r="N1125" i="7" s="1"/>
  <c r="O1125" i="7" s="1"/>
  <c r="L1126" i="7"/>
  <c r="N1126" i="7" s="1"/>
  <c r="O1126" i="7" s="1"/>
  <c r="L1127" i="7"/>
  <c r="N1127" i="7" s="1"/>
  <c r="O1127" i="7" s="1"/>
  <c r="L1128" i="7"/>
  <c r="N1128" i="7" s="1"/>
  <c r="O1128" i="7" s="1"/>
  <c r="L1129" i="7"/>
  <c r="N1129" i="7" s="1"/>
  <c r="O1129" i="7" s="1"/>
  <c r="L1130" i="7"/>
  <c r="N1130" i="7" s="1"/>
  <c r="O1130" i="7" s="1"/>
  <c r="L1131" i="7"/>
  <c r="N1131" i="7" s="1"/>
  <c r="O1131" i="7" s="1"/>
  <c r="L1132" i="7"/>
  <c r="N1132" i="7" s="1"/>
  <c r="O1132" i="7" s="1"/>
  <c r="L1133" i="7"/>
  <c r="N1133" i="7" s="1"/>
  <c r="O1133" i="7" s="1"/>
  <c r="L1134" i="7"/>
  <c r="N1134" i="7" s="1"/>
  <c r="O1134" i="7" s="1"/>
  <c r="L1135" i="7"/>
  <c r="N1135" i="7" s="1"/>
  <c r="O1135" i="7" s="1"/>
  <c r="L1136" i="7"/>
  <c r="N1136" i="7" s="1"/>
  <c r="O1136" i="7" s="1"/>
  <c r="L1137" i="7"/>
  <c r="N1137" i="7" s="1"/>
  <c r="O1137" i="7" s="1"/>
  <c r="L1138" i="7"/>
  <c r="N1138" i="7" s="1"/>
  <c r="O1138" i="7" s="1"/>
  <c r="L1139" i="7"/>
  <c r="N1139" i="7" s="1"/>
  <c r="O1139" i="7" s="1"/>
  <c r="L1140" i="7"/>
  <c r="N1140" i="7" s="1"/>
  <c r="O1140" i="7" s="1"/>
  <c r="L1141" i="7"/>
  <c r="N1141" i="7" s="1"/>
  <c r="O1141" i="7" s="1"/>
  <c r="L1142" i="7"/>
  <c r="N1142" i="7" s="1"/>
  <c r="O1142" i="7" s="1"/>
  <c r="L1143" i="7"/>
  <c r="N1143" i="7" s="1"/>
  <c r="O1143" i="7" s="1"/>
  <c r="L1144" i="7"/>
  <c r="N1144" i="7" s="1"/>
  <c r="O1144" i="7" s="1"/>
  <c r="L1145" i="7"/>
  <c r="N1145" i="7" s="1"/>
  <c r="O1145" i="7" s="1"/>
  <c r="L1146" i="7"/>
  <c r="N1146" i="7" s="1"/>
  <c r="O1146" i="7" s="1"/>
  <c r="L1147" i="7"/>
  <c r="N1147" i="7" s="1"/>
  <c r="O1147" i="7" s="1"/>
  <c r="L1148" i="7"/>
  <c r="N1148" i="7" s="1"/>
  <c r="O1148" i="7" s="1"/>
  <c r="L1149" i="7"/>
  <c r="N1149" i="7" s="1"/>
  <c r="O1149" i="7" s="1"/>
  <c r="L1150" i="7"/>
  <c r="N1150" i="7" s="1"/>
  <c r="O1150" i="7" s="1"/>
  <c r="L1151" i="7"/>
  <c r="N1151" i="7" s="1"/>
  <c r="O1151" i="7" s="1"/>
  <c r="L1152" i="7"/>
  <c r="N1152" i="7" s="1"/>
  <c r="O1152" i="7" s="1"/>
  <c r="L1153" i="7"/>
  <c r="N1153" i="7" s="1"/>
  <c r="O1153" i="7" s="1"/>
  <c r="L1154" i="7"/>
  <c r="N1154" i="7" s="1"/>
  <c r="O1154" i="7" s="1"/>
  <c r="L1155" i="7"/>
  <c r="N1155" i="7" s="1"/>
  <c r="O1155" i="7" s="1"/>
  <c r="L1156" i="7"/>
  <c r="N1156" i="7" s="1"/>
  <c r="O1156" i="7" s="1"/>
  <c r="L1157" i="7"/>
  <c r="N1157" i="7" s="1"/>
  <c r="O1157" i="7" s="1"/>
  <c r="L1158" i="7"/>
  <c r="N1158" i="7" s="1"/>
  <c r="O1158" i="7" s="1"/>
  <c r="L1159" i="7"/>
  <c r="N1159" i="7" s="1"/>
  <c r="O1159" i="7" s="1"/>
  <c r="L1160" i="7"/>
  <c r="N1160" i="7" s="1"/>
  <c r="O1160" i="7" s="1"/>
  <c r="L1161" i="7"/>
  <c r="N1161" i="7" s="1"/>
  <c r="O1161" i="7" s="1"/>
  <c r="L1162" i="7"/>
  <c r="N1162" i="7" s="1"/>
  <c r="O1162" i="7" s="1"/>
  <c r="L1163" i="7"/>
  <c r="N1163" i="7" s="1"/>
  <c r="O1163" i="7" s="1"/>
  <c r="L1164" i="7"/>
  <c r="N1164" i="7" s="1"/>
  <c r="O1164" i="7" s="1"/>
  <c r="L1165" i="7"/>
  <c r="N1165" i="7" s="1"/>
  <c r="O1165" i="7" s="1"/>
  <c r="L1166" i="7"/>
  <c r="N1166" i="7" s="1"/>
  <c r="O1166" i="7" s="1"/>
  <c r="L1167" i="7"/>
  <c r="N1167" i="7" s="1"/>
  <c r="O1167" i="7" s="1"/>
  <c r="L1168" i="7"/>
  <c r="N1168" i="7" s="1"/>
  <c r="O1168" i="7" s="1"/>
  <c r="L1169" i="7"/>
  <c r="N1169" i="7" s="1"/>
  <c r="O1169" i="7" s="1"/>
  <c r="L1170" i="7"/>
  <c r="N1170" i="7" s="1"/>
  <c r="O1170" i="7" s="1"/>
  <c r="L1171" i="7"/>
  <c r="N1171" i="7" s="1"/>
  <c r="O1171" i="7" s="1"/>
  <c r="L1176" i="7"/>
  <c r="N1176" i="7" s="1"/>
  <c r="O1176" i="7" s="1"/>
  <c r="L1177" i="7"/>
  <c r="N1177" i="7" s="1"/>
  <c r="O1177" i="7" s="1"/>
  <c r="L1178" i="7"/>
  <c r="N1178" i="7" s="1"/>
  <c r="O1178" i="7" s="1"/>
  <c r="L1179" i="7"/>
  <c r="N1179" i="7" s="1"/>
  <c r="O1179" i="7" s="1"/>
  <c r="L1180" i="7"/>
  <c r="N1180" i="7" s="1"/>
  <c r="O1180" i="7" s="1"/>
  <c r="L1181" i="7"/>
  <c r="N1181" i="7" s="1"/>
  <c r="O1181" i="7" s="1"/>
  <c r="L1182" i="7"/>
  <c r="N1182" i="7" s="1"/>
  <c r="O1182" i="7" s="1"/>
  <c r="L1183" i="7"/>
  <c r="N1183" i="7" s="1"/>
  <c r="O1183" i="7" s="1"/>
  <c r="L1184" i="7"/>
  <c r="N1184" i="7" s="1"/>
  <c r="O1184" i="7" s="1"/>
  <c r="L1185" i="7"/>
  <c r="N1185" i="7" s="1"/>
  <c r="O1185" i="7" s="1"/>
  <c r="L1186" i="7"/>
  <c r="N1186" i="7" s="1"/>
  <c r="O1186" i="7" s="1"/>
  <c r="L1187" i="7"/>
  <c r="N1187" i="7" s="1"/>
  <c r="O1187" i="7" s="1"/>
  <c r="L1188" i="7"/>
  <c r="N1188" i="7" s="1"/>
  <c r="O1188" i="7" s="1"/>
  <c r="L1189" i="7"/>
  <c r="N1189" i="7" s="1"/>
  <c r="O1189" i="7" s="1"/>
  <c r="L1190" i="7"/>
  <c r="N1190" i="7" s="1"/>
  <c r="O1190" i="7" s="1"/>
  <c r="L1191" i="7"/>
  <c r="N1191" i="7" s="1"/>
  <c r="O1191" i="7" s="1"/>
  <c r="L1192" i="7"/>
  <c r="N1192" i="7" s="1"/>
  <c r="O1192" i="7" s="1"/>
  <c r="L1193" i="7"/>
  <c r="N1193" i="7" s="1"/>
  <c r="O1193" i="7" s="1"/>
  <c r="L1194" i="7"/>
  <c r="N1194" i="7" s="1"/>
  <c r="O1194" i="7" s="1"/>
  <c r="L1195" i="7"/>
  <c r="N1195" i="7" s="1"/>
  <c r="O1195" i="7" s="1"/>
  <c r="L1196" i="7"/>
  <c r="N1196" i="7" s="1"/>
  <c r="O1196" i="7" s="1"/>
  <c r="L1197" i="7"/>
  <c r="N1197" i="7" s="1"/>
  <c r="O1197" i="7" s="1"/>
  <c r="L1198" i="7"/>
  <c r="N1198" i="7" s="1"/>
  <c r="O1198" i="7" s="1"/>
  <c r="L1199" i="7"/>
  <c r="N1199" i="7" s="1"/>
  <c r="O1199" i="7" s="1"/>
  <c r="L1200" i="7"/>
  <c r="N1200" i="7" s="1"/>
  <c r="O1200" i="7" s="1"/>
  <c r="L1201" i="7"/>
  <c r="N1201" i="7" s="1"/>
  <c r="O1201" i="7" s="1"/>
  <c r="L1202" i="7"/>
  <c r="N1202" i="7" s="1"/>
  <c r="O1202" i="7" s="1"/>
  <c r="L1203" i="7"/>
  <c r="N1203" i="7" s="1"/>
  <c r="O1203" i="7" s="1"/>
  <c r="L1204" i="7"/>
  <c r="N1204" i="7" s="1"/>
  <c r="O1204" i="7" s="1"/>
  <c r="L1205" i="7"/>
  <c r="N1205" i="7" s="1"/>
  <c r="O1205" i="7" s="1"/>
  <c r="L1206" i="7"/>
  <c r="N1206" i="7" s="1"/>
  <c r="O1206" i="7" s="1"/>
  <c r="L1207" i="7"/>
  <c r="N1207" i="7" s="1"/>
  <c r="O1207" i="7" s="1"/>
  <c r="L1208" i="7"/>
  <c r="N1208" i="7" s="1"/>
  <c r="O1208" i="7" s="1"/>
  <c r="L1209" i="7"/>
  <c r="N1209" i="7" s="1"/>
  <c r="O1209" i="7" s="1"/>
  <c r="L1210" i="7"/>
  <c r="N1210" i="7" s="1"/>
  <c r="O1210" i="7" s="1"/>
  <c r="L1211" i="7"/>
  <c r="N1211" i="7" s="1"/>
  <c r="O1211" i="7" s="1"/>
  <c r="L1212" i="7"/>
  <c r="N1212" i="7" s="1"/>
  <c r="O1212" i="7" s="1"/>
  <c r="L1213" i="7"/>
  <c r="N1213" i="7" s="1"/>
  <c r="O1213" i="7" s="1"/>
  <c r="L1214" i="7"/>
  <c r="N1214" i="7" s="1"/>
  <c r="O1214" i="7" s="1"/>
  <c r="L1215" i="7"/>
  <c r="N1215" i="7" s="1"/>
  <c r="O1215" i="7" s="1"/>
  <c r="L1216" i="7"/>
  <c r="N1216" i="7" s="1"/>
  <c r="O1216" i="7" s="1"/>
  <c r="L1217" i="7"/>
  <c r="N1217" i="7" s="1"/>
  <c r="O1217" i="7" s="1"/>
  <c r="L1218" i="7"/>
  <c r="N1218" i="7" s="1"/>
  <c r="O1218" i="7" s="1"/>
  <c r="L1219" i="7"/>
  <c r="N1219" i="7" s="1"/>
  <c r="O1219" i="7" s="1"/>
  <c r="L1220" i="7"/>
  <c r="N1220" i="7" s="1"/>
  <c r="O1220" i="7" s="1"/>
  <c r="L1221" i="7"/>
  <c r="N1221" i="7" s="1"/>
  <c r="O1221" i="7" s="1"/>
  <c r="L1222" i="7"/>
  <c r="N1222" i="7" s="1"/>
  <c r="O1222" i="7" s="1"/>
  <c r="L1223" i="7"/>
  <c r="N1223" i="7" s="1"/>
  <c r="O1223" i="7" s="1"/>
  <c r="L1230" i="7"/>
  <c r="N1230" i="7" s="1"/>
  <c r="O1230" i="7" s="1"/>
  <c r="L1231" i="7"/>
  <c r="N1231" i="7" s="1"/>
  <c r="O1231" i="7" s="1"/>
  <c r="L1232" i="7"/>
  <c r="N1232" i="7" s="1"/>
  <c r="O1232" i="7" s="1"/>
  <c r="L1233" i="7"/>
  <c r="N1233" i="7" s="1"/>
  <c r="O1233" i="7" s="1"/>
  <c r="L1234" i="7"/>
  <c r="N1234" i="7" s="1"/>
  <c r="O1234" i="7" s="1"/>
  <c r="L1235" i="7"/>
  <c r="N1235" i="7" s="1"/>
  <c r="O1235" i="7" s="1"/>
  <c r="L1236" i="7"/>
  <c r="N1236" i="7" s="1"/>
  <c r="O1236" i="7" s="1"/>
  <c r="L1237" i="7"/>
  <c r="N1237" i="7" s="1"/>
  <c r="O1237" i="7" s="1"/>
  <c r="L1238" i="7"/>
  <c r="N1238" i="7" s="1"/>
  <c r="O1238" i="7" s="1"/>
  <c r="L1239" i="7"/>
  <c r="N1239" i="7" s="1"/>
  <c r="O1239" i="7" s="1"/>
  <c r="L1240" i="7"/>
  <c r="N1240" i="7" s="1"/>
  <c r="O1240" i="7" s="1"/>
  <c r="L1241" i="7"/>
  <c r="N1241" i="7" s="1"/>
  <c r="O1241" i="7" s="1"/>
  <c r="L1242" i="7"/>
  <c r="N1242" i="7" s="1"/>
  <c r="O1242" i="7" s="1"/>
  <c r="L1243" i="7"/>
  <c r="N1243" i="7" s="1"/>
  <c r="O1243" i="7" s="1"/>
  <c r="L1244" i="7"/>
  <c r="N1244" i="7" s="1"/>
  <c r="O1244" i="7" s="1"/>
  <c r="L1245" i="7"/>
  <c r="N1245" i="7" s="1"/>
  <c r="O1245" i="7" s="1"/>
  <c r="L1246" i="7"/>
  <c r="N1246" i="7" s="1"/>
  <c r="O1246" i="7" s="1"/>
  <c r="L1247" i="7"/>
  <c r="N1247" i="7" s="1"/>
  <c r="O1247" i="7" s="1"/>
  <c r="L1248" i="7"/>
  <c r="N1248" i="7" s="1"/>
  <c r="O1248" i="7" s="1"/>
  <c r="L1249" i="7"/>
  <c r="N1249" i="7" s="1"/>
  <c r="O1249" i="7" s="1"/>
  <c r="L1250" i="7"/>
  <c r="N1250" i="7" s="1"/>
  <c r="O1250" i="7" s="1"/>
  <c r="L1251" i="7"/>
  <c r="N1251" i="7" s="1"/>
  <c r="O1251" i="7" s="1"/>
  <c r="L1252" i="7"/>
  <c r="N1252" i="7" s="1"/>
  <c r="O1252" i="7" s="1"/>
  <c r="L1253" i="7"/>
  <c r="N1253" i="7" s="1"/>
  <c r="O1253" i="7" s="1"/>
  <c r="L1254" i="7"/>
  <c r="N1254" i="7" s="1"/>
  <c r="O1254" i="7" s="1"/>
  <c r="L1255" i="7"/>
  <c r="N1255" i="7" s="1"/>
  <c r="O1255" i="7" s="1"/>
  <c r="L1256" i="7"/>
  <c r="N1256" i="7" s="1"/>
  <c r="O1256" i="7" s="1"/>
  <c r="L1257" i="7"/>
  <c r="N1257" i="7" s="1"/>
  <c r="O1257" i="7" s="1"/>
  <c r="L1258" i="7"/>
  <c r="N1258" i="7" s="1"/>
  <c r="O1258" i="7" s="1"/>
  <c r="L1259" i="7"/>
  <c r="N1259" i="7" s="1"/>
  <c r="O1259" i="7" s="1"/>
  <c r="L1260" i="7"/>
  <c r="N1260" i="7" s="1"/>
  <c r="O1260" i="7" s="1"/>
  <c r="L1261" i="7"/>
  <c r="N1261" i="7" s="1"/>
  <c r="O1261" i="7" s="1"/>
  <c r="L1262" i="7"/>
  <c r="N1262" i="7" s="1"/>
  <c r="O1262" i="7" s="1"/>
  <c r="L1263" i="7"/>
  <c r="N1263" i="7" s="1"/>
  <c r="O1263" i="7" s="1"/>
  <c r="L1264" i="7"/>
  <c r="N1264" i="7" s="1"/>
  <c r="O1264" i="7" s="1"/>
  <c r="L1265" i="7"/>
  <c r="N1265" i="7" s="1"/>
  <c r="O1265" i="7" s="1"/>
  <c r="L1266" i="7"/>
  <c r="N1266" i="7" s="1"/>
  <c r="O1266" i="7" s="1"/>
  <c r="L1267" i="7"/>
  <c r="N1267" i="7" s="1"/>
  <c r="O1267" i="7" s="1"/>
  <c r="L1268" i="7"/>
  <c r="N1268" i="7" s="1"/>
  <c r="O1268" i="7" s="1"/>
  <c r="L1269" i="7"/>
  <c r="N1269" i="7" s="1"/>
  <c r="O1269" i="7" s="1"/>
  <c r="L1270" i="7"/>
  <c r="N1270" i="7" s="1"/>
  <c r="O1270" i="7" s="1"/>
  <c r="L1271" i="7"/>
  <c r="N1271" i="7" s="1"/>
  <c r="O1271" i="7" s="1"/>
  <c r="L1272" i="7"/>
  <c r="N1272" i="7" s="1"/>
  <c r="O1272" i="7" s="1"/>
  <c r="L1273" i="7"/>
  <c r="N1273" i="7" s="1"/>
  <c r="O1273" i="7" s="1"/>
  <c r="L1274" i="7"/>
  <c r="N1274" i="7" s="1"/>
  <c r="O1274" i="7" s="1"/>
  <c r="L1275" i="7"/>
  <c r="N1275" i="7" s="1"/>
  <c r="O1275" i="7" s="1"/>
  <c r="L1276" i="7"/>
  <c r="N1276" i="7" s="1"/>
  <c r="O1276" i="7" s="1"/>
  <c r="L1277" i="7"/>
  <c r="N1277" i="7" s="1"/>
  <c r="O1277" i="7" s="1"/>
  <c r="L1282" i="7"/>
  <c r="N1282" i="7" s="1"/>
  <c r="O1282" i="7" s="1"/>
  <c r="L1283" i="7"/>
  <c r="N1283" i="7" s="1"/>
  <c r="O1283" i="7" s="1"/>
  <c r="L1284" i="7"/>
  <c r="N1284" i="7" s="1"/>
  <c r="O1284" i="7" s="1"/>
  <c r="L1285" i="7"/>
  <c r="N1285" i="7" s="1"/>
  <c r="O1285" i="7" s="1"/>
  <c r="L1286" i="7"/>
  <c r="N1286" i="7" s="1"/>
  <c r="O1286" i="7" s="1"/>
  <c r="L1287" i="7"/>
  <c r="N1287" i="7" s="1"/>
  <c r="O1287" i="7" s="1"/>
  <c r="L1288" i="7"/>
  <c r="N1288" i="7" s="1"/>
  <c r="O1288" i="7" s="1"/>
  <c r="L1289" i="7"/>
  <c r="N1289" i="7" s="1"/>
  <c r="O1289" i="7" s="1"/>
  <c r="L1290" i="7"/>
  <c r="N1290" i="7" s="1"/>
  <c r="O1290" i="7" s="1"/>
  <c r="L1291" i="7"/>
  <c r="N1291" i="7" s="1"/>
  <c r="O1291" i="7" s="1"/>
  <c r="L1292" i="7"/>
  <c r="N1292" i="7" s="1"/>
  <c r="O1292" i="7" s="1"/>
  <c r="L1293" i="7"/>
  <c r="N1293" i="7" s="1"/>
  <c r="O1293" i="7" s="1"/>
  <c r="L1294" i="7"/>
  <c r="N1294" i="7" s="1"/>
  <c r="O1294" i="7" s="1"/>
  <c r="L1295" i="7"/>
  <c r="N1295" i="7" s="1"/>
  <c r="O1295" i="7" s="1"/>
  <c r="L1296" i="7"/>
  <c r="N1296" i="7" s="1"/>
  <c r="O1296" i="7" s="1"/>
  <c r="L1297" i="7"/>
  <c r="N1297" i="7" s="1"/>
  <c r="O1297" i="7" s="1"/>
  <c r="L1298" i="7"/>
  <c r="N1298" i="7" s="1"/>
  <c r="O1298" i="7" s="1"/>
  <c r="L1299" i="7"/>
  <c r="N1299" i="7" s="1"/>
  <c r="O1299" i="7" s="1"/>
  <c r="L1300" i="7"/>
  <c r="N1300" i="7" s="1"/>
  <c r="O1300" i="7" s="1"/>
  <c r="L1301" i="7"/>
  <c r="N1301" i="7" s="1"/>
  <c r="O1301" i="7" s="1"/>
  <c r="L1302" i="7"/>
  <c r="N1302" i="7" s="1"/>
  <c r="O1302" i="7" s="1"/>
  <c r="L1303" i="7"/>
  <c r="N1303" i="7" s="1"/>
  <c r="O1303" i="7" s="1"/>
  <c r="L1304" i="7"/>
  <c r="N1304" i="7" s="1"/>
  <c r="O1304" i="7" s="1"/>
  <c r="L1305" i="7"/>
  <c r="N1305" i="7" s="1"/>
  <c r="O1305" i="7" s="1"/>
  <c r="L1306" i="7"/>
  <c r="N1306" i="7" s="1"/>
  <c r="O1306" i="7" s="1"/>
  <c r="L1307" i="7"/>
  <c r="N1307" i="7" s="1"/>
  <c r="O1307" i="7" s="1"/>
  <c r="L1308" i="7"/>
  <c r="N1308" i="7" s="1"/>
  <c r="O1308" i="7" s="1"/>
  <c r="L1309" i="7"/>
  <c r="N1309" i="7" s="1"/>
  <c r="O1309" i="7" s="1"/>
  <c r="L1310" i="7"/>
  <c r="N1310" i="7" s="1"/>
  <c r="O1310" i="7" s="1"/>
  <c r="L1311" i="7"/>
  <c r="N1311" i="7" s="1"/>
  <c r="O1311" i="7" s="1"/>
  <c r="L1312" i="7"/>
  <c r="N1312" i="7" s="1"/>
  <c r="O1312" i="7" s="1"/>
  <c r="L1313" i="7"/>
  <c r="N1313" i="7" s="1"/>
  <c r="O1313" i="7" s="1"/>
  <c r="L1314" i="7"/>
  <c r="N1314" i="7" s="1"/>
  <c r="O1314" i="7" s="1"/>
  <c r="L1315" i="7"/>
  <c r="N1315" i="7" s="1"/>
  <c r="O1315" i="7" s="1"/>
  <c r="L1316" i="7"/>
  <c r="N1316" i="7" s="1"/>
  <c r="O1316" i="7" s="1"/>
  <c r="L1317" i="7"/>
  <c r="N1317" i="7" s="1"/>
  <c r="O1317" i="7" s="1"/>
  <c r="L1318" i="7"/>
  <c r="N1318" i="7" s="1"/>
  <c r="O1318" i="7" s="1"/>
  <c r="L1319" i="7"/>
  <c r="N1319" i="7" s="1"/>
  <c r="O1319" i="7" s="1"/>
  <c r="L1320" i="7"/>
  <c r="N1320" i="7" s="1"/>
  <c r="O1320" i="7" s="1"/>
  <c r="L1321" i="7"/>
  <c r="N1321" i="7" s="1"/>
  <c r="O1321" i="7" s="1"/>
  <c r="L1322" i="7"/>
  <c r="N1322" i="7" s="1"/>
  <c r="O1322" i="7" s="1"/>
  <c r="L1323" i="7"/>
  <c r="N1323" i="7" s="1"/>
  <c r="O1323" i="7" s="1"/>
  <c r="L1324" i="7"/>
  <c r="N1324" i="7" s="1"/>
  <c r="O1324" i="7" s="1"/>
  <c r="L1325" i="7"/>
  <c r="N1325" i="7" s="1"/>
  <c r="O1325" i="7" s="1"/>
  <c r="L1326" i="7"/>
  <c r="N1326" i="7" s="1"/>
  <c r="O1326" i="7" s="1"/>
  <c r="L1327" i="7"/>
  <c r="N1327" i="7" s="1"/>
  <c r="O1327" i="7" s="1"/>
  <c r="L1328" i="7"/>
  <c r="N1328" i="7" s="1"/>
  <c r="O1328" i="7" s="1"/>
  <c r="L1329" i="7"/>
  <c r="N1329" i="7" s="1"/>
  <c r="O1329" i="7" s="1"/>
  <c r="L1334" i="7"/>
  <c r="N1334" i="7" s="1"/>
  <c r="O1334" i="7" s="1"/>
  <c r="L1335" i="7"/>
  <c r="N1335" i="7" s="1"/>
  <c r="O1335" i="7" s="1"/>
  <c r="L1336" i="7"/>
  <c r="N1336" i="7" s="1"/>
  <c r="O1336" i="7" s="1"/>
  <c r="L1337" i="7"/>
  <c r="N1337" i="7" s="1"/>
  <c r="O1337" i="7" s="1"/>
  <c r="L1338" i="7"/>
  <c r="N1338" i="7" s="1"/>
  <c r="O1338" i="7" s="1"/>
  <c r="L1339" i="7"/>
  <c r="N1339" i="7" s="1"/>
  <c r="O1339" i="7" s="1"/>
  <c r="L1340" i="7"/>
  <c r="N1340" i="7" s="1"/>
  <c r="O1340" i="7" s="1"/>
  <c r="L1341" i="7"/>
  <c r="N1341" i="7" s="1"/>
  <c r="O1341" i="7" s="1"/>
  <c r="L1342" i="7"/>
  <c r="N1342" i="7" s="1"/>
  <c r="O1342" i="7" s="1"/>
  <c r="L1343" i="7"/>
  <c r="N1343" i="7" s="1"/>
  <c r="O1343" i="7" s="1"/>
  <c r="L1344" i="7"/>
  <c r="N1344" i="7" s="1"/>
  <c r="O1344" i="7" s="1"/>
  <c r="L1345" i="7"/>
  <c r="N1345" i="7" s="1"/>
  <c r="O1345" i="7" s="1"/>
  <c r="L1346" i="7"/>
  <c r="N1346" i="7" s="1"/>
  <c r="O1346" i="7" s="1"/>
  <c r="L1347" i="7"/>
  <c r="N1347" i="7" s="1"/>
  <c r="O1347" i="7" s="1"/>
  <c r="L1348" i="7"/>
  <c r="N1348" i="7" s="1"/>
  <c r="O1348" i="7" s="1"/>
  <c r="L1349" i="7"/>
  <c r="N1349" i="7" s="1"/>
  <c r="O1349" i="7" s="1"/>
  <c r="L1350" i="7"/>
  <c r="N1350" i="7" s="1"/>
  <c r="O1350" i="7" s="1"/>
  <c r="L1351" i="7"/>
  <c r="N1351" i="7" s="1"/>
  <c r="O1351" i="7" s="1"/>
  <c r="L1352" i="7"/>
  <c r="N1352" i="7" s="1"/>
  <c r="O1352" i="7" s="1"/>
  <c r="L1353" i="7"/>
  <c r="N1353" i="7" s="1"/>
  <c r="O1353" i="7" s="1"/>
  <c r="L1354" i="7"/>
  <c r="N1354" i="7" s="1"/>
  <c r="O1354" i="7" s="1"/>
  <c r="L1355" i="7"/>
  <c r="N1355" i="7" s="1"/>
  <c r="O1355" i="7" s="1"/>
  <c r="L1356" i="7"/>
  <c r="N1356" i="7" s="1"/>
  <c r="O1356" i="7" s="1"/>
  <c r="L1357" i="7"/>
  <c r="N1357" i="7" s="1"/>
  <c r="O1357" i="7" s="1"/>
  <c r="L1358" i="7"/>
  <c r="N1358" i="7" s="1"/>
  <c r="O1358" i="7" s="1"/>
  <c r="L1359" i="7"/>
  <c r="N1359" i="7" s="1"/>
  <c r="O1359" i="7" s="1"/>
  <c r="L1360" i="7"/>
  <c r="N1360" i="7" s="1"/>
  <c r="O1360" i="7" s="1"/>
  <c r="L1361" i="7"/>
  <c r="N1361" i="7" s="1"/>
  <c r="O1361" i="7" s="1"/>
  <c r="L1362" i="7"/>
  <c r="N1362" i="7" s="1"/>
  <c r="O1362" i="7" s="1"/>
  <c r="L1363" i="7"/>
  <c r="N1363" i="7" s="1"/>
  <c r="O1363" i="7" s="1"/>
  <c r="L1364" i="7"/>
  <c r="N1364" i="7" s="1"/>
  <c r="O1364" i="7" s="1"/>
  <c r="L1365" i="7"/>
  <c r="N1365" i="7" s="1"/>
  <c r="O1365" i="7" s="1"/>
  <c r="L1366" i="7"/>
  <c r="N1366" i="7" s="1"/>
  <c r="O1366" i="7" s="1"/>
  <c r="L1367" i="7"/>
  <c r="N1367" i="7" s="1"/>
  <c r="O1367" i="7" s="1"/>
  <c r="L1368" i="7"/>
  <c r="N1368" i="7" s="1"/>
  <c r="O1368" i="7" s="1"/>
  <c r="L1369" i="7"/>
  <c r="N1369" i="7" s="1"/>
  <c r="O1369" i="7" s="1"/>
  <c r="L1370" i="7"/>
  <c r="N1370" i="7" s="1"/>
  <c r="O1370" i="7" s="1"/>
  <c r="L1371" i="7"/>
  <c r="N1371" i="7" s="1"/>
  <c r="O1371" i="7" s="1"/>
  <c r="L1372" i="7"/>
  <c r="N1372" i="7" s="1"/>
  <c r="O1372" i="7" s="1"/>
  <c r="L1373" i="7"/>
  <c r="N1373" i="7" s="1"/>
  <c r="O1373" i="7" s="1"/>
  <c r="L1374" i="7"/>
  <c r="N1374" i="7" s="1"/>
  <c r="O1374" i="7" s="1"/>
  <c r="L1375" i="7"/>
  <c r="N1375" i="7" s="1"/>
  <c r="O1375" i="7" s="1"/>
  <c r="L1380" i="7"/>
  <c r="N1380" i="7" s="1"/>
  <c r="L1381" i="7"/>
  <c r="N1381" i="7" s="1"/>
  <c r="L1382" i="7"/>
  <c r="N1382" i="7" s="1"/>
  <c r="L1383" i="7"/>
  <c r="N1383" i="7" s="1"/>
  <c r="L1384" i="7"/>
  <c r="N1384" i="7" s="1"/>
  <c r="L1385" i="7"/>
  <c r="N1385" i="7" s="1"/>
  <c r="L1386" i="7"/>
  <c r="N1386" i="7" s="1"/>
  <c r="L1387" i="7"/>
  <c r="N1387" i="7" s="1"/>
  <c r="L1388" i="7"/>
  <c r="N1388" i="7" s="1"/>
  <c r="L1389" i="7"/>
  <c r="N1389" i="7" s="1"/>
  <c r="L1390" i="7"/>
  <c r="N1390" i="7" s="1"/>
  <c r="L1391" i="7"/>
  <c r="N1391" i="7" s="1"/>
  <c r="L1392" i="7"/>
  <c r="N1392" i="7" s="1"/>
  <c r="L1393" i="7"/>
  <c r="N1393" i="7" s="1"/>
  <c r="L1394" i="7"/>
  <c r="N1394" i="7" s="1"/>
  <c r="L1395" i="7"/>
  <c r="N1395" i="7" s="1"/>
  <c r="L1396" i="7"/>
  <c r="N1396" i="7" s="1"/>
  <c r="L1397" i="7"/>
  <c r="N1397" i="7" s="1"/>
  <c r="L1398" i="7"/>
  <c r="N1398" i="7" s="1"/>
  <c r="L1399" i="7"/>
  <c r="N1399" i="7" s="1"/>
  <c r="L1400" i="7"/>
  <c r="N1400" i="7" s="1"/>
  <c r="L1401" i="7"/>
  <c r="N1401" i="7" s="1"/>
  <c r="L1402" i="7"/>
  <c r="N1402" i="7" s="1"/>
  <c r="L1403" i="7"/>
  <c r="N1403" i="7" s="1"/>
  <c r="L1404" i="7"/>
  <c r="N1404" i="7" s="1"/>
  <c r="L1405" i="7"/>
  <c r="N1405" i="7" s="1"/>
  <c r="L1406" i="7"/>
  <c r="N1406" i="7" s="1"/>
  <c r="L1407" i="7"/>
  <c r="N1407" i="7" s="1"/>
  <c r="L1408" i="7"/>
  <c r="N1408" i="7" s="1"/>
  <c r="L1409" i="7"/>
  <c r="N1409" i="7" s="1"/>
  <c r="L1410" i="7"/>
  <c r="N1410" i="7" s="1"/>
  <c r="L1411" i="7"/>
  <c r="N1411" i="7" s="1"/>
  <c r="L1412" i="7"/>
  <c r="N1412" i="7" s="1"/>
  <c r="L1413" i="7"/>
  <c r="N1413" i="7" s="1"/>
  <c r="L1414" i="7"/>
  <c r="N1414" i="7" s="1"/>
  <c r="L1415" i="7"/>
  <c r="N1415" i="7" s="1"/>
  <c r="L1416" i="7"/>
  <c r="N1416" i="7" s="1"/>
  <c r="L1417" i="7"/>
  <c r="N1417" i="7" s="1"/>
  <c r="L1418" i="7"/>
  <c r="N1418" i="7" s="1"/>
  <c r="L1419" i="7"/>
  <c r="N1419" i="7" s="1"/>
  <c r="L1420" i="7"/>
  <c r="N1420" i="7" s="1"/>
  <c r="L1421" i="7"/>
  <c r="N1421" i="7" s="1"/>
  <c r="L1426" i="7"/>
  <c r="N1426" i="7" s="1"/>
  <c r="O1426" i="7" s="1"/>
  <c r="L1427" i="7"/>
  <c r="N1427" i="7" s="1"/>
  <c r="O1427" i="7" s="1"/>
  <c r="L1428" i="7"/>
  <c r="N1428" i="7" s="1"/>
  <c r="O1428" i="7" s="1"/>
  <c r="L1429" i="7"/>
  <c r="N1429" i="7" s="1"/>
  <c r="O1429" i="7" s="1"/>
  <c r="L1430" i="7"/>
  <c r="N1430" i="7" s="1"/>
  <c r="O1430" i="7" s="1"/>
  <c r="L1431" i="7"/>
  <c r="N1431" i="7" s="1"/>
  <c r="O1431" i="7" s="1"/>
  <c r="L1432" i="7"/>
  <c r="N1432" i="7" s="1"/>
  <c r="O1432" i="7" s="1"/>
  <c r="L1433" i="7"/>
  <c r="N1433" i="7" s="1"/>
  <c r="O1433" i="7" s="1"/>
  <c r="L1434" i="7"/>
  <c r="N1434" i="7" s="1"/>
  <c r="O1434" i="7" s="1"/>
  <c r="L1435" i="7"/>
  <c r="N1435" i="7" s="1"/>
  <c r="O1435" i="7" s="1"/>
  <c r="L1436" i="7"/>
  <c r="N1436" i="7" s="1"/>
  <c r="O1436" i="7" s="1"/>
  <c r="L1437" i="7"/>
  <c r="N1437" i="7" s="1"/>
  <c r="O1437" i="7" s="1"/>
  <c r="L1438" i="7"/>
  <c r="N1438" i="7" s="1"/>
  <c r="O1438" i="7" s="1"/>
  <c r="L1439" i="7"/>
  <c r="N1439" i="7" s="1"/>
  <c r="O1439" i="7" s="1"/>
  <c r="L1440" i="7"/>
  <c r="N1440" i="7" s="1"/>
  <c r="O1440" i="7" s="1"/>
  <c r="L1441" i="7"/>
  <c r="N1441" i="7" s="1"/>
  <c r="O1441" i="7" s="1"/>
  <c r="L1442" i="7"/>
  <c r="N1442" i="7" s="1"/>
  <c r="O1442" i="7" s="1"/>
  <c r="L1443" i="7"/>
  <c r="N1443" i="7" s="1"/>
  <c r="O1443" i="7" s="1"/>
  <c r="L1444" i="7"/>
  <c r="N1444" i="7" s="1"/>
  <c r="O1444" i="7" s="1"/>
  <c r="L1445" i="7"/>
  <c r="N1445" i="7" s="1"/>
  <c r="O1445" i="7" s="1"/>
  <c r="L1446" i="7"/>
  <c r="N1446" i="7" s="1"/>
  <c r="O1446" i="7" s="1"/>
  <c r="L1447" i="7"/>
  <c r="N1447" i="7" s="1"/>
  <c r="O1447" i="7" s="1"/>
  <c r="L1448" i="7"/>
  <c r="N1448" i="7" s="1"/>
  <c r="O1448" i="7" s="1"/>
  <c r="L1449" i="7"/>
  <c r="N1449" i="7" s="1"/>
  <c r="O1449" i="7" s="1"/>
  <c r="L1450" i="7"/>
  <c r="N1450" i="7" s="1"/>
  <c r="O1450" i="7" s="1"/>
  <c r="L1451" i="7"/>
  <c r="N1451" i="7" s="1"/>
  <c r="O1451" i="7" s="1"/>
  <c r="L1452" i="7"/>
  <c r="N1452" i="7" s="1"/>
  <c r="O1452" i="7" s="1"/>
  <c r="L1453" i="7"/>
  <c r="N1453" i="7" s="1"/>
  <c r="O1453" i="7" s="1"/>
  <c r="L1454" i="7"/>
  <c r="N1454" i="7" s="1"/>
  <c r="O1454" i="7" s="1"/>
  <c r="L1455" i="7"/>
  <c r="N1455" i="7" s="1"/>
  <c r="O1455" i="7" s="1"/>
  <c r="L1456" i="7"/>
  <c r="N1456" i="7" s="1"/>
  <c r="O1456" i="7" s="1"/>
  <c r="L1457" i="7"/>
  <c r="N1457" i="7" s="1"/>
  <c r="O1457" i="7" s="1"/>
  <c r="L1458" i="7"/>
  <c r="N1458" i="7" s="1"/>
  <c r="O1458" i="7" s="1"/>
  <c r="L1459" i="7"/>
  <c r="N1459" i="7" s="1"/>
  <c r="O1459" i="7" s="1"/>
  <c r="L1460" i="7"/>
  <c r="N1460" i="7" s="1"/>
  <c r="O1460" i="7" s="1"/>
  <c r="L1461" i="7"/>
  <c r="N1461" i="7" s="1"/>
  <c r="O1461" i="7" s="1"/>
  <c r="L1462" i="7"/>
  <c r="N1462" i="7" s="1"/>
  <c r="O1462" i="7" s="1"/>
  <c r="L1463" i="7"/>
  <c r="N1463" i="7" s="1"/>
  <c r="O1463" i="7" s="1"/>
  <c r="L1464" i="7"/>
  <c r="N1464" i="7" s="1"/>
  <c r="O1464" i="7" s="1"/>
  <c r="L1465" i="7"/>
  <c r="N1465" i="7" s="1"/>
  <c r="O1465" i="7" s="1"/>
  <c r="L1466" i="7"/>
  <c r="N1466" i="7" s="1"/>
  <c r="O1466" i="7" s="1"/>
  <c r="L1467" i="7"/>
  <c r="N1467" i="7" s="1"/>
  <c r="O1467" i="7" s="1"/>
  <c r="L1472" i="7"/>
  <c r="N1472" i="7" s="1"/>
  <c r="O1472" i="7" s="1"/>
  <c r="L1473" i="7"/>
  <c r="N1473" i="7" s="1"/>
  <c r="O1473" i="7" s="1"/>
  <c r="L1474" i="7"/>
  <c r="N1474" i="7" s="1"/>
  <c r="O1474" i="7" s="1"/>
  <c r="L1475" i="7"/>
  <c r="N1475" i="7" s="1"/>
  <c r="O1475" i="7" s="1"/>
  <c r="L1476" i="7"/>
  <c r="N1476" i="7" s="1"/>
  <c r="O1476" i="7" s="1"/>
  <c r="L1477" i="7"/>
  <c r="N1477" i="7" s="1"/>
  <c r="O1477" i="7" s="1"/>
  <c r="L1478" i="7"/>
  <c r="N1478" i="7" s="1"/>
  <c r="O1478" i="7" s="1"/>
  <c r="L1479" i="7"/>
  <c r="N1479" i="7" s="1"/>
  <c r="O1479" i="7" s="1"/>
  <c r="L1480" i="7"/>
  <c r="N1480" i="7" s="1"/>
  <c r="O1480" i="7" s="1"/>
  <c r="L1481" i="7"/>
  <c r="N1481" i="7" s="1"/>
  <c r="O1481" i="7" s="1"/>
  <c r="L1482" i="7"/>
  <c r="N1482" i="7" s="1"/>
  <c r="O1482" i="7" s="1"/>
  <c r="L1483" i="7"/>
  <c r="N1483" i="7" s="1"/>
  <c r="O1483" i="7" s="1"/>
  <c r="L1484" i="7"/>
  <c r="N1484" i="7" s="1"/>
  <c r="O1484" i="7" s="1"/>
  <c r="L1485" i="7"/>
  <c r="N1485" i="7" s="1"/>
  <c r="O1485" i="7" s="1"/>
  <c r="L1486" i="7"/>
  <c r="N1486" i="7" s="1"/>
  <c r="O1486" i="7" s="1"/>
  <c r="L1487" i="7"/>
  <c r="N1487" i="7" s="1"/>
  <c r="O1487" i="7" s="1"/>
  <c r="L1488" i="7"/>
  <c r="N1488" i="7" s="1"/>
  <c r="O1488" i="7" s="1"/>
  <c r="L1489" i="7"/>
  <c r="N1489" i="7" s="1"/>
  <c r="O1489" i="7" s="1"/>
  <c r="L1490" i="7"/>
  <c r="N1490" i="7" s="1"/>
  <c r="O1490" i="7" s="1"/>
  <c r="L1491" i="7"/>
  <c r="N1491" i="7" s="1"/>
  <c r="O1491" i="7" s="1"/>
  <c r="L1492" i="7"/>
  <c r="N1492" i="7" s="1"/>
  <c r="O1492" i="7" s="1"/>
  <c r="L1493" i="7"/>
  <c r="N1493" i="7" s="1"/>
  <c r="O1493" i="7" s="1"/>
  <c r="L1494" i="7"/>
  <c r="N1494" i="7" s="1"/>
  <c r="O1494" i="7" s="1"/>
  <c r="L1495" i="7"/>
  <c r="N1495" i="7" s="1"/>
  <c r="O1495" i="7" s="1"/>
  <c r="L1496" i="7"/>
  <c r="N1496" i="7" s="1"/>
  <c r="O1496" i="7" s="1"/>
  <c r="L1497" i="7"/>
  <c r="N1497" i="7" s="1"/>
  <c r="O1497" i="7" s="1"/>
  <c r="L1498" i="7"/>
  <c r="N1498" i="7" s="1"/>
  <c r="O1498" i="7" s="1"/>
  <c r="L1499" i="7"/>
  <c r="N1499" i="7" s="1"/>
  <c r="O1499" i="7" s="1"/>
  <c r="L1500" i="7"/>
  <c r="N1500" i="7" s="1"/>
  <c r="O1500" i="7" s="1"/>
  <c r="L1501" i="7"/>
  <c r="N1501" i="7" s="1"/>
  <c r="O1501" i="7" s="1"/>
  <c r="L1502" i="7"/>
  <c r="N1502" i="7" s="1"/>
  <c r="O1502" i="7" s="1"/>
  <c r="L1503" i="7"/>
  <c r="N1503" i="7" s="1"/>
  <c r="O1503" i="7" s="1"/>
  <c r="L1504" i="7"/>
  <c r="N1504" i="7" s="1"/>
  <c r="O1504" i="7" s="1"/>
  <c r="L1505" i="7"/>
  <c r="N1505" i="7" s="1"/>
  <c r="O1505" i="7" s="1"/>
  <c r="L1506" i="7"/>
  <c r="N1506" i="7" s="1"/>
  <c r="O1506" i="7" s="1"/>
  <c r="L1507" i="7"/>
  <c r="N1507" i="7" s="1"/>
  <c r="O1507" i="7" s="1"/>
  <c r="L1508" i="7"/>
  <c r="N1508" i="7" s="1"/>
  <c r="O1508" i="7" s="1"/>
  <c r="L1509" i="7"/>
  <c r="N1509" i="7" s="1"/>
  <c r="O1509" i="7" s="1"/>
  <c r="L1510" i="7"/>
  <c r="N1510" i="7" s="1"/>
  <c r="O1510" i="7" s="1"/>
  <c r="L1511" i="7"/>
  <c r="N1511" i="7" s="1"/>
  <c r="O1511" i="7" s="1"/>
  <c r="L1512" i="7"/>
  <c r="N1512" i="7" s="1"/>
  <c r="O1512" i="7" s="1"/>
  <c r="L1513" i="7"/>
  <c r="N1513" i="7" s="1"/>
  <c r="O1513" i="7" s="1"/>
  <c r="L1518" i="7"/>
  <c r="N1518" i="7" s="1"/>
  <c r="O1518" i="7" s="1"/>
  <c r="L1519" i="7"/>
  <c r="N1519" i="7" s="1"/>
  <c r="O1519" i="7" s="1"/>
  <c r="L1520" i="7"/>
  <c r="N1520" i="7" s="1"/>
  <c r="O1520" i="7" s="1"/>
  <c r="L1521" i="7"/>
  <c r="N1521" i="7" s="1"/>
  <c r="O1521" i="7" s="1"/>
  <c r="L1522" i="7"/>
  <c r="N1522" i="7" s="1"/>
  <c r="O1522" i="7" s="1"/>
  <c r="L1523" i="7"/>
  <c r="N1523" i="7" s="1"/>
  <c r="O1523" i="7" s="1"/>
  <c r="L1524" i="7"/>
  <c r="N1524" i="7" s="1"/>
  <c r="O1524" i="7" s="1"/>
  <c r="L1525" i="7"/>
  <c r="N1525" i="7" s="1"/>
  <c r="O1525" i="7" s="1"/>
  <c r="L1526" i="7"/>
  <c r="N1526" i="7" s="1"/>
  <c r="O1526" i="7" s="1"/>
  <c r="L1527" i="7"/>
  <c r="N1527" i="7" s="1"/>
  <c r="O1527" i="7" s="1"/>
  <c r="L1528" i="7"/>
  <c r="N1528" i="7" s="1"/>
  <c r="O1528" i="7" s="1"/>
  <c r="L1529" i="7"/>
  <c r="N1529" i="7" s="1"/>
  <c r="O1529" i="7" s="1"/>
  <c r="L1530" i="7"/>
  <c r="N1530" i="7" s="1"/>
  <c r="O1530" i="7" s="1"/>
  <c r="L1531" i="7"/>
  <c r="N1531" i="7" s="1"/>
  <c r="O1531" i="7" s="1"/>
  <c r="L1532" i="7"/>
  <c r="N1532" i="7" s="1"/>
  <c r="O1532" i="7" s="1"/>
  <c r="L1533" i="7"/>
  <c r="N1533" i="7" s="1"/>
  <c r="O1533" i="7" s="1"/>
  <c r="L1534" i="7"/>
  <c r="N1534" i="7" s="1"/>
  <c r="O1534" i="7" s="1"/>
  <c r="L1535" i="7"/>
  <c r="N1535" i="7" s="1"/>
  <c r="O1535" i="7" s="1"/>
  <c r="L1536" i="7"/>
  <c r="N1536" i="7" s="1"/>
  <c r="O1536" i="7" s="1"/>
  <c r="L1537" i="7"/>
  <c r="N1537" i="7" s="1"/>
  <c r="O1537" i="7" s="1"/>
  <c r="L1538" i="7"/>
  <c r="N1538" i="7" s="1"/>
  <c r="O1538" i="7" s="1"/>
  <c r="L1539" i="7"/>
  <c r="N1539" i="7" s="1"/>
  <c r="O1539" i="7" s="1"/>
  <c r="L1540" i="7"/>
  <c r="N1540" i="7" s="1"/>
  <c r="O1540" i="7" s="1"/>
  <c r="L1541" i="7"/>
  <c r="N1541" i="7" s="1"/>
  <c r="O1541" i="7" s="1"/>
  <c r="L1542" i="7"/>
  <c r="N1542" i="7" s="1"/>
  <c r="O1542" i="7" s="1"/>
  <c r="L1543" i="7"/>
  <c r="N1543" i="7" s="1"/>
  <c r="O1543" i="7" s="1"/>
  <c r="L1544" i="7"/>
  <c r="N1544" i="7" s="1"/>
  <c r="O1544" i="7" s="1"/>
  <c r="L1545" i="7"/>
  <c r="N1545" i="7" s="1"/>
  <c r="O1545" i="7" s="1"/>
  <c r="L1546" i="7"/>
  <c r="N1546" i="7" s="1"/>
  <c r="O1546" i="7" s="1"/>
  <c r="L1547" i="7"/>
  <c r="N1547" i="7" s="1"/>
  <c r="O1547" i="7" s="1"/>
  <c r="L1548" i="7"/>
  <c r="N1548" i="7" s="1"/>
  <c r="O1548" i="7" s="1"/>
  <c r="L1549" i="7"/>
  <c r="N1549" i="7" s="1"/>
  <c r="O1549" i="7" s="1"/>
  <c r="L1550" i="7"/>
  <c r="N1550" i="7" s="1"/>
  <c r="O1550" i="7" s="1"/>
  <c r="L1551" i="7"/>
  <c r="N1551" i="7" s="1"/>
  <c r="O1551" i="7" s="1"/>
  <c r="L1552" i="7"/>
  <c r="N1552" i="7" s="1"/>
  <c r="O1552" i="7" s="1"/>
  <c r="L1553" i="7"/>
  <c r="N1553" i="7" s="1"/>
  <c r="O1553" i="7" s="1"/>
  <c r="L1554" i="7"/>
  <c r="N1554" i="7" s="1"/>
  <c r="O1554" i="7" s="1"/>
  <c r="L1555" i="7"/>
  <c r="N1555" i="7" s="1"/>
  <c r="O1555" i="7" s="1"/>
  <c r="L1556" i="7"/>
  <c r="N1556" i="7" s="1"/>
  <c r="O1556" i="7" s="1"/>
  <c r="L1557" i="7"/>
  <c r="N1557" i="7" s="1"/>
  <c r="O1557" i="7" s="1"/>
  <c r="L1558" i="7"/>
  <c r="N1558" i="7" s="1"/>
  <c r="O1558" i="7" s="1"/>
  <c r="L1559" i="7"/>
  <c r="N1559" i="7" s="1"/>
  <c r="O1559" i="7" s="1"/>
  <c r="L1564" i="7"/>
  <c r="N1564" i="7" s="1"/>
  <c r="O1564" i="7" s="1"/>
  <c r="L1565" i="7"/>
  <c r="N1565" i="7" s="1"/>
  <c r="O1565" i="7" s="1"/>
  <c r="L1566" i="7"/>
  <c r="N1566" i="7" s="1"/>
  <c r="O1566" i="7" s="1"/>
  <c r="L1567" i="7"/>
  <c r="N1567" i="7" s="1"/>
  <c r="O1567" i="7" s="1"/>
  <c r="L1568" i="7"/>
  <c r="N1568" i="7" s="1"/>
  <c r="O1568" i="7" s="1"/>
  <c r="L1569" i="7"/>
  <c r="N1569" i="7" s="1"/>
  <c r="O1569" i="7" s="1"/>
  <c r="L1570" i="7"/>
  <c r="N1570" i="7" s="1"/>
  <c r="O1570" i="7" s="1"/>
  <c r="L1571" i="7"/>
  <c r="N1571" i="7" s="1"/>
  <c r="O1571" i="7" s="1"/>
  <c r="L1572" i="7"/>
  <c r="N1572" i="7" s="1"/>
  <c r="O1572" i="7" s="1"/>
  <c r="L1573" i="7"/>
  <c r="N1573" i="7" s="1"/>
  <c r="O1573" i="7" s="1"/>
  <c r="L1574" i="7"/>
  <c r="N1574" i="7" s="1"/>
  <c r="O1574" i="7" s="1"/>
  <c r="L1575" i="7"/>
  <c r="N1575" i="7" s="1"/>
  <c r="O1575" i="7" s="1"/>
  <c r="L1576" i="7"/>
  <c r="N1576" i="7" s="1"/>
  <c r="O1576" i="7" s="1"/>
  <c r="L1577" i="7"/>
  <c r="N1577" i="7" s="1"/>
  <c r="O1577" i="7" s="1"/>
  <c r="L1578" i="7"/>
  <c r="N1578" i="7" s="1"/>
  <c r="O1578" i="7" s="1"/>
  <c r="L1579" i="7"/>
  <c r="N1579" i="7" s="1"/>
  <c r="O1579" i="7" s="1"/>
  <c r="L1580" i="7"/>
  <c r="N1580" i="7" s="1"/>
  <c r="O1580" i="7" s="1"/>
  <c r="L1581" i="7"/>
  <c r="N1581" i="7" s="1"/>
  <c r="O1581" i="7" s="1"/>
  <c r="L1582" i="7"/>
  <c r="N1582" i="7" s="1"/>
  <c r="O1582" i="7" s="1"/>
  <c r="L1583" i="7"/>
  <c r="N1583" i="7" s="1"/>
  <c r="O1583" i="7" s="1"/>
  <c r="L1584" i="7"/>
  <c r="N1584" i="7" s="1"/>
  <c r="O1584" i="7" s="1"/>
  <c r="L1585" i="7"/>
  <c r="N1585" i="7" s="1"/>
  <c r="O1585" i="7" s="1"/>
  <c r="L1586" i="7"/>
  <c r="N1586" i="7" s="1"/>
  <c r="O1586" i="7" s="1"/>
  <c r="L1587" i="7"/>
  <c r="N1587" i="7" s="1"/>
  <c r="O1587" i="7" s="1"/>
  <c r="L1588" i="7"/>
  <c r="N1588" i="7" s="1"/>
  <c r="O1588" i="7" s="1"/>
  <c r="L1589" i="7"/>
  <c r="N1589" i="7" s="1"/>
  <c r="O1589" i="7" s="1"/>
  <c r="L1590" i="7"/>
  <c r="N1590" i="7" s="1"/>
  <c r="O1590" i="7" s="1"/>
  <c r="L1591" i="7"/>
  <c r="N1591" i="7" s="1"/>
  <c r="O1591" i="7" s="1"/>
  <c r="L1592" i="7"/>
  <c r="N1592" i="7" s="1"/>
  <c r="O1592" i="7" s="1"/>
  <c r="L1593" i="7"/>
  <c r="N1593" i="7" s="1"/>
  <c r="O1593" i="7" s="1"/>
  <c r="L1594" i="7"/>
  <c r="N1594" i="7" s="1"/>
  <c r="O1594" i="7" s="1"/>
  <c r="L1595" i="7"/>
  <c r="N1595" i="7" s="1"/>
  <c r="O1595" i="7" s="1"/>
  <c r="L1596" i="7"/>
  <c r="N1596" i="7" s="1"/>
  <c r="O1596" i="7" s="1"/>
  <c r="L1597" i="7"/>
  <c r="N1597" i="7" s="1"/>
  <c r="O1597" i="7" s="1"/>
  <c r="L1598" i="7"/>
  <c r="N1598" i="7" s="1"/>
  <c r="O1598" i="7" s="1"/>
  <c r="L1599" i="7"/>
  <c r="N1599" i="7" s="1"/>
  <c r="O1599" i="7" s="1"/>
  <c r="L1600" i="7"/>
  <c r="N1600" i="7" s="1"/>
  <c r="O1600" i="7" s="1"/>
  <c r="L1601" i="7"/>
  <c r="N1601" i="7" s="1"/>
  <c r="O1601" i="7" s="1"/>
  <c r="L1602" i="7"/>
  <c r="N1602" i="7" s="1"/>
  <c r="O1602" i="7" s="1"/>
  <c r="L1603" i="7"/>
  <c r="N1603" i="7" s="1"/>
  <c r="O1603" i="7" s="1"/>
  <c r="L1604" i="7"/>
  <c r="N1604" i="7" s="1"/>
  <c r="O1604" i="7" s="1"/>
  <c r="L1605" i="7"/>
  <c r="N1605" i="7" s="1"/>
  <c r="O1605" i="7" s="1"/>
  <c r="L1610" i="7"/>
  <c r="N1610" i="7" s="1"/>
  <c r="O1610" i="7" s="1"/>
  <c r="L1611" i="7"/>
  <c r="N1611" i="7" s="1"/>
  <c r="O1611" i="7" s="1"/>
  <c r="L1612" i="7"/>
  <c r="N1612" i="7" s="1"/>
  <c r="O1612" i="7" s="1"/>
  <c r="L1613" i="7"/>
  <c r="N1613" i="7" s="1"/>
  <c r="O1613" i="7" s="1"/>
  <c r="L1614" i="7"/>
  <c r="N1614" i="7" s="1"/>
  <c r="O1614" i="7" s="1"/>
  <c r="L1615" i="7"/>
  <c r="N1615" i="7" s="1"/>
  <c r="O1615" i="7" s="1"/>
  <c r="L1616" i="7"/>
  <c r="N1616" i="7" s="1"/>
  <c r="O1616" i="7" s="1"/>
  <c r="L1617" i="7"/>
  <c r="N1617" i="7" s="1"/>
  <c r="O1617" i="7" s="1"/>
  <c r="L1618" i="7"/>
  <c r="N1618" i="7" s="1"/>
  <c r="O1618" i="7" s="1"/>
  <c r="L1619" i="7"/>
  <c r="N1619" i="7" s="1"/>
  <c r="O1619" i="7" s="1"/>
  <c r="L1620" i="7"/>
  <c r="N1620" i="7" s="1"/>
  <c r="O1620" i="7" s="1"/>
  <c r="L1621" i="7"/>
  <c r="N1621" i="7" s="1"/>
  <c r="O1621" i="7" s="1"/>
  <c r="L1622" i="7"/>
  <c r="N1622" i="7" s="1"/>
  <c r="O1622" i="7" s="1"/>
  <c r="L1623" i="7"/>
  <c r="N1623" i="7" s="1"/>
  <c r="O1623" i="7" s="1"/>
  <c r="L1624" i="7"/>
  <c r="N1624" i="7" s="1"/>
  <c r="O1624" i="7" s="1"/>
  <c r="L1625" i="7"/>
  <c r="N1625" i="7" s="1"/>
  <c r="O1625" i="7" s="1"/>
  <c r="L1626" i="7"/>
  <c r="N1626" i="7" s="1"/>
  <c r="O1626" i="7" s="1"/>
  <c r="L1627" i="7"/>
  <c r="N1627" i="7" s="1"/>
  <c r="O1627" i="7" s="1"/>
  <c r="L1628" i="7"/>
  <c r="N1628" i="7" s="1"/>
  <c r="O1628" i="7" s="1"/>
  <c r="L1629" i="7"/>
  <c r="N1629" i="7" s="1"/>
  <c r="O1629" i="7" s="1"/>
  <c r="L1630" i="7"/>
  <c r="N1630" i="7" s="1"/>
  <c r="O1630" i="7" s="1"/>
  <c r="L1631" i="7"/>
  <c r="N1631" i="7" s="1"/>
  <c r="O1631" i="7" s="1"/>
  <c r="L1632" i="7"/>
  <c r="N1632" i="7" s="1"/>
  <c r="O1632" i="7" s="1"/>
  <c r="L1633" i="7"/>
  <c r="N1633" i="7" s="1"/>
  <c r="O1633" i="7" s="1"/>
  <c r="L1634" i="7"/>
  <c r="N1634" i="7" s="1"/>
  <c r="O1634" i="7" s="1"/>
  <c r="L1635" i="7"/>
  <c r="N1635" i="7" s="1"/>
  <c r="O1635" i="7" s="1"/>
  <c r="L1636" i="7"/>
  <c r="N1636" i="7" s="1"/>
  <c r="O1636" i="7" s="1"/>
  <c r="L1637" i="7"/>
  <c r="N1637" i="7" s="1"/>
  <c r="O1637" i="7" s="1"/>
  <c r="L1638" i="7"/>
  <c r="N1638" i="7" s="1"/>
  <c r="O1638" i="7" s="1"/>
  <c r="L1639" i="7"/>
  <c r="N1639" i="7" s="1"/>
  <c r="O1639" i="7" s="1"/>
  <c r="L1640" i="7"/>
  <c r="N1640" i="7" s="1"/>
  <c r="O1640" i="7" s="1"/>
  <c r="L1641" i="7"/>
  <c r="N1641" i="7" s="1"/>
  <c r="O1641" i="7" s="1"/>
  <c r="L1642" i="7"/>
  <c r="N1642" i="7" s="1"/>
  <c r="O1642" i="7" s="1"/>
  <c r="L1643" i="7"/>
  <c r="N1643" i="7" s="1"/>
  <c r="O1643" i="7" s="1"/>
  <c r="L1644" i="7"/>
  <c r="N1644" i="7" s="1"/>
  <c r="O1644" i="7" s="1"/>
  <c r="L1645" i="7"/>
  <c r="N1645" i="7" s="1"/>
  <c r="O1645" i="7" s="1"/>
  <c r="L1646" i="7"/>
  <c r="N1646" i="7" s="1"/>
  <c r="O1646" i="7" s="1"/>
  <c r="L1647" i="7"/>
  <c r="N1647" i="7" s="1"/>
  <c r="O1647" i="7" s="1"/>
  <c r="L1648" i="7"/>
  <c r="N1648" i="7" s="1"/>
  <c r="O1648" i="7" s="1"/>
  <c r="L1649" i="7"/>
  <c r="N1649" i="7" s="1"/>
  <c r="O1649" i="7" s="1"/>
  <c r="L1650" i="7"/>
  <c r="N1650" i="7" s="1"/>
  <c r="O1650" i="7" s="1"/>
  <c r="L1651" i="7"/>
  <c r="N1651" i="7" s="1"/>
  <c r="O1651" i="7" s="1"/>
  <c r="L1656" i="7"/>
  <c r="N1656" i="7" s="1"/>
  <c r="O1656" i="7" s="1"/>
  <c r="L1657" i="7"/>
  <c r="N1657" i="7" s="1"/>
  <c r="O1657" i="7" s="1"/>
  <c r="L1658" i="7"/>
  <c r="N1658" i="7" s="1"/>
  <c r="O1658" i="7" s="1"/>
  <c r="L1659" i="7"/>
  <c r="N1659" i="7" s="1"/>
  <c r="O1659" i="7" s="1"/>
  <c r="L1660" i="7"/>
  <c r="N1660" i="7" s="1"/>
  <c r="O1660" i="7" s="1"/>
  <c r="L1661" i="7"/>
  <c r="N1661" i="7" s="1"/>
  <c r="O1661" i="7" s="1"/>
  <c r="L1662" i="7"/>
  <c r="N1662" i="7" s="1"/>
  <c r="O1662" i="7" s="1"/>
  <c r="L1663" i="7"/>
  <c r="N1663" i="7" s="1"/>
  <c r="O1663" i="7" s="1"/>
  <c r="L1664" i="7"/>
  <c r="N1664" i="7" s="1"/>
  <c r="O1664" i="7" s="1"/>
  <c r="L1665" i="7"/>
  <c r="N1665" i="7" s="1"/>
  <c r="O1665" i="7" s="1"/>
  <c r="L1666" i="7"/>
  <c r="N1666" i="7" s="1"/>
  <c r="O1666" i="7" s="1"/>
  <c r="L1667" i="7"/>
  <c r="N1667" i="7" s="1"/>
  <c r="O1667" i="7" s="1"/>
  <c r="L1668" i="7"/>
  <c r="N1668" i="7" s="1"/>
  <c r="O1668" i="7" s="1"/>
  <c r="L1669" i="7"/>
  <c r="N1669" i="7" s="1"/>
  <c r="O1669" i="7" s="1"/>
  <c r="L1670" i="7"/>
  <c r="N1670" i="7" s="1"/>
  <c r="O1670" i="7" s="1"/>
  <c r="L1671" i="7"/>
  <c r="N1671" i="7" s="1"/>
  <c r="O1671" i="7" s="1"/>
  <c r="L1672" i="7"/>
  <c r="N1672" i="7" s="1"/>
  <c r="O1672" i="7" s="1"/>
  <c r="L1673" i="7"/>
  <c r="N1673" i="7" s="1"/>
  <c r="O1673" i="7" s="1"/>
  <c r="L1674" i="7"/>
  <c r="N1674" i="7" s="1"/>
  <c r="O1674" i="7" s="1"/>
  <c r="L1675" i="7"/>
  <c r="N1675" i="7" s="1"/>
  <c r="O1675" i="7" s="1"/>
  <c r="L1676" i="7"/>
  <c r="N1676" i="7" s="1"/>
  <c r="O1676" i="7" s="1"/>
  <c r="L1677" i="7"/>
  <c r="N1677" i="7" s="1"/>
  <c r="O1677" i="7" s="1"/>
  <c r="L1678" i="7"/>
  <c r="N1678" i="7" s="1"/>
  <c r="O1678" i="7" s="1"/>
  <c r="L1679" i="7"/>
  <c r="N1679" i="7" s="1"/>
  <c r="O1679" i="7" s="1"/>
  <c r="L1680" i="7"/>
  <c r="N1680" i="7" s="1"/>
  <c r="O1680" i="7" s="1"/>
  <c r="L1681" i="7"/>
  <c r="N1681" i="7" s="1"/>
  <c r="O1681" i="7" s="1"/>
  <c r="L1682" i="7"/>
  <c r="N1682" i="7" s="1"/>
  <c r="O1682" i="7" s="1"/>
  <c r="L1683" i="7"/>
  <c r="N1683" i="7" s="1"/>
  <c r="O1683" i="7" s="1"/>
  <c r="L1684" i="7"/>
  <c r="N1684" i="7" s="1"/>
  <c r="O1684" i="7" s="1"/>
  <c r="L1685" i="7"/>
  <c r="N1685" i="7" s="1"/>
  <c r="O1685" i="7" s="1"/>
  <c r="L1686" i="7"/>
  <c r="N1686" i="7" s="1"/>
  <c r="O1686" i="7" s="1"/>
  <c r="L1687" i="7"/>
  <c r="N1687" i="7" s="1"/>
  <c r="O1687" i="7" s="1"/>
  <c r="L1688" i="7"/>
  <c r="N1688" i="7" s="1"/>
  <c r="O1688" i="7" s="1"/>
  <c r="L1689" i="7"/>
  <c r="N1689" i="7" s="1"/>
  <c r="O1689" i="7" s="1"/>
  <c r="L1690" i="7"/>
  <c r="N1690" i="7" s="1"/>
  <c r="O1690" i="7" s="1"/>
  <c r="L1691" i="7"/>
  <c r="N1691" i="7" s="1"/>
  <c r="O1691" i="7" s="1"/>
  <c r="L1692" i="7"/>
  <c r="N1692" i="7" s="1"/>
  <c r="O1692" i="7" s="1"/>
  <c r="L1693" i="7"/>
  <c r="N1693" i="7" s="1"/>
  <c r="O1693" i="7" s="1"/>
  <c r="L1694" i="7"/>
  <c r="N1694" i="7" s="1"/>
  <c r="O1694" i="7" s="1"/>
  <c r="L1695" i="7"/>
  <c r="N1695" i="7" s="1"/>
  <c r="O1695" i="7" s="1"/>
  <c r="L1696" i="7"/>
  <c r="N1696" i="7" s="1"/>
  <c r="O1696" i="7" s="1"/>
  <c r="L1697" i="7"/>
  <c r="N1697" i="7" s="1"/>
  <c r="O1697" i="7" s="1"/>
  <c r="L1698" i="7"/>
  <c r="N1698" i="7" s="1"/>
  <c r="O1698" i="7" s="1"/>
  <c r="L1699" i="7"/>
  <c r="N1699" i="7" s="1"/>
  <c r="O1699" i="7" s="1"/>
  <c r="L1700" i="7"/>
  <c r="N1700" i="7" s="1"/>
  <c r="O1700" i="7" s="1"/>
  <c r="L1701" i="7"/>
  <c r="N1701" i="7" s="1"/>
  <c r="O1701" i="7" s="1"/>
  <c r="L1702" i="7"/>
  <c r="N1702" i="7" s="1"/>
  <c r="O1702" i="7" s="1"/>
  <c r="L1703" i="7"/>
  <c r="N1703" i="7" s="1"/>
  <c r="O1703" i="7" s="1"/>
  <c r="L1704" i="7"/>
  <c r="N1704" i="7" s="1"/>
  <c r="O1704" i="7" s="1"/>
  <c r="L1705" i="7"/>
  <c r="N1705" i="7" s="1"/>
  <c r="O1705" i="7" s="1"/>
  <c r="L1706" i="7"/>
  <c r="N1706" i="7" s="1"/>
  <c r="O1706" i="7" s="1"/>
  <c r="L1707" i="7"/>
  <c r="N1707" i="7" s="1"/>
  <c r="O1707" i="7" s="1"/>
  <c r="L1708" i="7"/>
  <c r="N1708" i="7" s="1"/>
  <c r="O1708" i="7" s="1"/>
  <c r="L1709" i="7"/>
  <c r="N1709" i="7" s="1"/>
  <c r="O1709" i="7" s="1"/>
  <c r="L1710" i="7"/>
  <c r="N1710" i="7" s="1"/>
  <c r="O1710" i="7" s="1"/>
  <c r="L1711" i="7"/>
  <c r="N1711" i="7" s="1"/>
  <c r="O1711" i="7" s="1"/>
  <c r="L1712" i="7"/>
  <c r="N1712" i="7" s="1"/>
  <c r="O1712" i="7" s="1"/>
  <c r="L1713" i="7"/>
  <c r="N1713" i="7" s="1"/>
  <c r="O1713" i="7" s="1"/>
  <c r="L1714" i="7"/>
  <c r="N1714" i="7" s="1"/>
  <c r="O1714" i="7" s="1"/>
  <c r="L1715" i="7"/>
  <c r="N1715" i="7" s="1"/>
  <c r="O1715" i="7" s="1"/>
  <c r="L1720" i="7"/>
  <c r="N1720" i="7" s="1"/>
  <c r="O1720" i="7" s="1"/>
  <c r="L1721" i="7"/>
  <c r="N1721" i="7" s="1"/>
  <c r="O1721" i="7" s="1"/>
  <c r="L1722" i="7"/>
  <c r="N1722" i="7" s="1"/>
  <c r="O1722" i="7" s="1"/>
  <c r="L1723" i="7"/>
  <c r="N1723" i="7" s="1"/>
  <c r="O1723" i="7" s="1"/>
  <c r="L1724" i="7"/>
  <c r="N1724" i="7" s="1"/>
  <c r="O1724" i="7" s="1"/>
  <c r="L1725" i="7"/>
  <c r="N1725" i="7" s="1"/>
  <c r="O1725" i="7" s="1"/>
  <c r="L1726" i="7"/>
  <c r="N1726" i="7" s="1"/>
  <c r="O1726" i="7" s="1"/>
  <c r="L1727" i="7"/>
  <c r="N1727" i="7" s="1"/>
  <c r="O1727" i="7" s="1"/>
  <c r="L1728" i="7"/>
  <c r="N1728" i="7" s="1"/>
  <c r="O1728" i="7" s="1"/>
  <c r="L1729" i="7"/>
  <c r="N1729" i="7" s="1"/>
  <c r="O1729" i="7" s="1"/>
  <c r="L1730" i="7"/>
  <c r="N1730" i="7" s="1"/>
  <c r="O1730" i="7" s="1"/>
  <c r="L1731" i="7"/>
  <c r="N1731" i="7" s="1"/>
  <c r="O1731" i="7" s="1"/>
  <c r="L1732" i="7"/>
  <c r="N1732" i="7" s="1"/>
  <c r="O1732" i="7" s="1"/>
  <c r="L1733" i="7"/>
  <c r="N1733" i="7" s="1"/>
  <c r="O1733" i="7" s="1"/>
  <c r="L1734" i="7"/>
  <c r="N1734" i="7" s="1"/>
  <c r="O1734" i="7" s="1"/>
  <c r="L1735" i="7"/>
  <c r="N1735" i="7" s="1"/>
  <c r="O1735" i="7" s="1"/>
  <c r="L1736" i="7"/>
  <c r="N1736" i="7" s="1"/>
  <c r="O1736" i="7" s="1"/>
  <c r="L1737" i="7"/>
  <c r="N1737" i="7" s="1"/>
  <c r="O1737" i="7" s="1"/>
  <c r="L1738" i="7"/>
  <c r="N1738" i="7" s="1"/>
  <c r="O1738" i="7" s="1"/>
  <c r="L1739" i="7"/>
  <c r="N1739" i="7" s="1"/>
  <c r="O1739" i="7" s="1"/>
  <c r="L1740" i="7"/>
  <c r="N1740" i="7" s="1"/>
  <c r="O1740" i="7" s="1"/>
  <c r="L1741" i="7"/>
  <c r="N1741" i="7" s="1"/>
  <c r="O1741" i="7" s="1"/>
  <c r="L1742" i="7"/>
  <c r="N1742" i="7" s="1"/>
  <c r="O1742" i="7" s="1"/>
  <c r="L1743" i="7"/>
  <c r="N1743" i="7" s="1"/>
  <c r="O1743" i="7" s="1"/>
  <c r="L1744" i="7"/>
  <c r="N1744" i="7" s="1"/>
  <c r="O1744" i="7" s="1"/>
  <c r="L1745" i="7"/>
  <c r="N1745" i="7" s="1"/>
  <c r="O1745" i="7" s="1"/>
  <c r="L1746" i="7"/>
  <c r="N1746" i="7" s="1"/>
  <c r="O1746" i="7" s="1"/>
  <c r="L1747" i="7"/>
  <c r="N1747" i="7" s="1"/>
  <c r="O1747" i="7" s="1"/>
  <c r="L1748" i="7"/>
  <c r="N1748" i="7" s="1"/>
  <c r="O1748" i="7" s="1"/>
  <c r="L1749" i="7"/>
  <c r="N1749" i="7" s="1"/>
  <c r="O1749" i="7" s="1"/>
  <c r="L1750" i="7"/>
  <c r="N1750" i="7" s="1"/>
  <c r="O1750" i="7" s="1"/>
  <c r="L1751" i="7"/>
  <c r="N1751" i="7" s="1"/>
  <c r="O1751" i="7" s="1"/>
  <c r="L1752" i="7"/>
  <c r="N1752" i="7" s="1"/>
  <c r="O1752" i="7" s="1"/>
  <c r="L1753" i="7"/>
  <c r="N1753" i="7" s="1"/>
  <c r="O1753" i="7" s="1"/>
  <c r="L1754" i="7"/>
  <c r="N1754" i="7" s="1"/>
  <c r="O1754" i="7" s="1"/>
  <c r="L1755" i="7"/>
  <c r="N1755" i="7" s="1"/>
  <c r="O1755" i="7" s="1"/>
  <c r="L1756" i="7"/>
  <c r="N1756" i="7" s="1"/>
  <c r="O1756" i="7" s="1"/>
  <c r="L1757" i="7"/>
  <c r="N1757" i="7" s="1"/>
  <c r="O1757" i="7" s="1"/>
  <c r="L1758" i="7"/>
  <c r="N1758" i="7" s="1"/>
  <c r="O1758" i="7" s="1"/>
  <c r="L1759" i="7"/>
  <c r="N1759" i="7" s="1"/>
  <c r="O1759" i="7" s="1"/>
  <c r="L1760" i="7"/>
  <c r="N1760" i="7" s="1"/>
  <c r="O1760" i="7" s="1"/>
  <c r="L1761" i="7"/>
  <c r="N1761" i="7" s="1"/>
  <c r="O1761" i="7" s="1"/>
  <c r="L1762" i="7"/>
  <c r="N1762" i="7" s="1"/>
  <c r="O1762" i="7" s="1"/>
  <c r="L1763" i="7"/>
  <c r="N1763" i="7" s="1"/>
  <c r="O1763" i="7" s="1"/>
  <c r="L1764" i="7"/>
  <c r="N1764" i="7" s="1"/>
  <c r="O1764" i="7" s="1"/>
  <c r="L1765" i="7"/>
  <c r="N1765" i="7" s="1"/>
  <c r="O1765" i="7" s="1"/>
  <c r="L1766" i="7"/>
  <c r="N1766" i="7" s="1"/>
  <c r="O1766" i="7" s="1"/>
  <c r="L1767" i="7"/>
  <c r="N1767" i="7" s="1"/>
  <c r="O1767" i="7" s="1"/>
  <c r="L1768" i="7"/>
  <c r="N1768" i="7" s="1"/>
  <c r="O1768" i="7" s="1"/>
  <c r="L1769" i="7"/>
  <c r="N1769" i="7" s="1"/>
  <c r="O1769" i="7" s="1"/>
  <c r="L1770" i="7"/>
  <c r="N1770" i="7" s="1"/>
  <c r="O1770" i="7" s="1"/>
  <c r="L1771" i="7"/>
  <c r="N1771" i="7" s="1"/>
  <c r="O1771" i="7" s="1"/>
  <c r="L1772" i="7"/>
  <c r="N1772" i="7" s="1"/>
  <c r="O1772" i="7" s="1"/>
  <c r="L1773" i="7"/>
  <c r="N1773" i="7" s="1"/>
  <c r="O1773" i="7" s="1"/>
  <c r="L1774" i="7"/>
  <c r="N1774" i="7" s="1"/>
  <c r="O1774" i="7" s="1"/>
  <c r="L1775" i="7"/>
  <c r="N1775" i="7" s="1"/>
  <c r="O1775" i="7" s="1"/>
  <c r="L1776" i="7"/>
  <c r="N1776" i="7" s="1"/>
  <c r="O1776" i="7" s="1"/>
  <c r="L1777" i="7"/>
  <c r="N1777" i="7" s="1"/>
  <c r="O1777" i="7" s="1"/>
  <c r="L1778" i="7"/>
  <c r="N1778" i="7" s="1"/>
  <c r="O1778" i="7" s="1"/>
  <c r="L1779" i="7"/>
  <c r="N1779" i="7" s="1"/>
  <c r="O1779" i="7" s="1"/>
  <c r="L1784" i="7"/>
  <c r="N1784" i="7" s="1"/>
  <c r="O1784" i="7" s="1"/>
  <c r="L1785" i="7"/>
  <c r="N1785" i="7" s="1"/>
  <c r="O1785" i="7" s="1"/>
  <c r="L1786" i="7"/>
  <c r="N1786" i="7" s="1"/>
  <c r="O1786" i="7" s="1"/>
  <c r="L1787" i="7"/>
  <c r="N1787" i="7" s="1"/>
  <c r="O1787" i="7" s="1"/>
  <c r="L1788" i="7"/>
  <c r="N1788" i="7" s="1"/>
  <c r="O1788" i="7" s="1"/>
  <c r="L1789" i="7"/>
  <c r="N1789" i="7" s="1"/>
  <c r="O1789" i="7" s="1"/>
  <c r="L1790" i="7"/>
  <c r="N1790" i="7" s="1"/>
  <c r="O1790" i="7" s="1"/>
  <c r="L1791" i="7"/>
  <c r="N1791" i="7" s="1"/>
  <c r="O1791" i="7" s="1"/>
  <c r="L1792" i="7"/>
  <c r="N1792" i="7" s="1"/>
  <c r="O1792" i="7" s="1"/>
  <c r="L1793" i="7"/>
  <c r="N1793" i="7" s="1"/>
  <c r="O1793" i="7" s="1"/>
  <c r="L1794" i="7"/>
  <c r="N1794" i="7" s="1"/>
  <c r="O1794" i="7" s="1"/>
  <c r="L1795" i="7"/>
  <c r="N1795" i="7" s="1"/>
  <c r="O1795" i="7" s="1"/>
  <c r="L1796" i="7"/>
  <c r="N1796" i="7" s="1"/>
  <c r="O1796" i="7" s="1"/>
  <c r="L1797" i="7"/>
  <c r="N1797" i="7" s="1"/>
  <c r="O1797" i="7" s="1"/>
  <c r="L1798" i="7"/>
  <c r="N1798" i="7" s="1"/>
  <c r="O1798" i="7" s="1"/>
  <c r="L1799" i="7"/>
  <c r="N1799" i="7" s="1"/>
  <c r="O1799" i="7" s="1"/>
  <c r="L1800" i="7"/>
  <c r="N1800" i="7" s="1"/>
  <c r="O1800" i="7" s="1"/>
  <c r="L1801" i="7"/>
  <c r="N1801" i="7" s="1"/>
  <c r="O1801" i="7" s="1"/>
  <c r="L1802" i="7"/>
  <c r="N1802" i="7" s="1"/>
  <c r="O1802" i="7" s="1"/>
  <c r="L1803" i="7"/>
  <c r="N1803" i="7" s="1"/>
  <c r="O1803" i="7" s="1"/>
  <c r="L1804" i="7"/>
  <c r="N1804" i="7" s="1"/>
  <c r="O1804" i="7" s="1"/>
  <c r="L1805" i="7"/>
  <c r="N1805" i="7" s="1"/>
  <c r="O1805" i="7" s="1"/>
  <c r="L1806" i="7"/>
  <c r="N1806" i="7" s="1"/>
  <c r="O1806" i="7" s="1"/>
  <c r="L1807" i="7"/>
  <c r="N1807" i="7" s="1"/>
  <c r="O1807" i="7" s="1"/>
  <c r="L1808" i="7"/>
  <c r="N1808" i="7" s="1"/>
  <c r="O1808" i="7" s="1"/>
  <c r="L1809" i="7"/>
  <c r="N1809" i="7" s="1"/>
  <c r="O1809" i="7" s="1"/>
  <c r="L1810" i="7"/>
  <c r="N1810" i="7" s="1"/>
  <c r="O1810" i="7" s="1"/>
  <c r="L1811" i="7"/>
  <c r="N1811" i="7" s="1"/>
  <c r="O1811" i="7" s="1"/>
  <c r="L1812" i="7"/>
  <c r="N1812" i="7" s="1"/>
  <c r="O1812" i="7" s="1"/>
  <c r="L1813" i="7"/>
  <c r="N1813" i="7" s="1"/>
  <c r="O1813" i="7" s="1"/>
  <c r="L1814" i="7"/>
  <c r="N1814" i="7" s="1"/>
  <c r="O1814" i="7" s="1"/>
  <c r="L1815" i="7"/>
  <c r="N1815" i="7" s="1"/>
  <c r="O1815" i="7" s="1"/>
  <c r="L1816" i="7"/>
  <c r="N1816" i="7" s="1"/>
  <c r="O1816" i="7" s="1"/>
  <c r="L1817" i="7"/>
  <c r="N1817" i="7" s="1"/>
  <c r="O1817" i="7" s="1"/>
  <c r="L1818" i="7"/>
  <c r="N1818" i="7" s="1"/>
  <c r="O1818" i="7" s="1"/>
  <c r="L1819" i="7"/>
  <c r="N1819" i="7" s="1"/>
  <c r="O1819" i="7" s="1"/>
  <c r="L1820" i="7"/>
  <c r="N1820" i="7" s="1"/>
  <c r="O1820" i="7" s="1"/>
  <c r="L1821" i="7"/>
  <c r="N1821" i="7" s="1"/>
  <c r="O1821" i="7" s="1"/>
  <c r="L1822" i="7"/>
  <c r="N1822" i="7" s="1"/>
  <c r="O1822" i="7" s="1"/>
  <c r="L1823" i="7"/>
  <c r="N1823" i="7" s="1"/>
  <c r="O1823" i="7" s="1"/>
  <c r="L1824" i="7"/>
  <c r="N1824" i="7" s="1"/>
  <c r="O1824" i="7" s="1"/>
  <c r="L1825" i="7"/>
  <c r="N1825" i="7" s="1"/>
  <c r="O1825" i="7" s="1"/>
  <c r="L1826" i="7"/>
  <c r="N1826" i="7" s="1"/>
  <c r="O1826" i="7" s="1"/>
  <c r="L1827" i="7"/>
  <c r="N1827" i="7" s="1"/>
  <c r="O1827" i="7" s="1"/>
  <c r="L1828" i="7"/>
  <c r="N1828" i="7" s="1"/>
  <c r="O1828" i="7" s="1"/>
  <c r="L1829" i="7"/>
  <c r="N1829" i="7" s="1"/>
  <c r="O1829" i="7" s="1"/>
  <c r="L1830" i="7"/>
  <c r="N1830" i="7" s="1"/>
  <c r="O1830" i="7" s="1"/>
  <c r="L1831" i="7"/>
  <c r="N1831" i="7" s="1"/>
  <c r="O1831" i="7" s="1"/>
  <c r="L1832" i="7"/>
  <c r="N1832" i="7" s="1"/>
  <c r="O1832" i="7" s="1"/>
  <c r="L1833" i="7"/>
  <c r="N1833" i="7" s="1"/>
  <c r="O1833" i="7" s="1"/>
  <c r="L1834" i="7"/>
  <c r="N1834" i="7" s="1"/>
  <c r="O1834" i="7" s="1"/>
  <c r="L1835" i="7"/>
  <c r="N1835" i="7" s="1"/>
  <c r="O1835" i="7" s="1"/>
  <c r="L1836" i="7"/>
  <c r="N1836" i="7" s="1"/>
  <c r="O1836" i="7" s="1"/>
  <c r="L1837" i="7"/>
  <c r="N1837" i="7" s="1"/>
  <c r="O1837" i="7" s="1"/>
  <c r="L1842" i="7"/>
  <c r="N1842" i="7" s="1"/>
  <c r="O1842" i="7" s="1"/>
  <c r="L1843" i="7"/>
  <c r="N1843" i="7" s="1"/>
  <c r="O1843" i="7" s="1"/>
  <c r="L1844" i="7"/>
  <c r="N1844" i="7" s="1"/>
  <c r="O1844" i="7" s="1"/>
  <c r="L1845" i="7"/>
  <c r="N1845" i="7" s="1"/>
  <c r="O1845" i="7" s="1"/>
  <c r="L1846" i="7"/>
  <c r="N1846" i="7" s="1"/>
  <c r="O1846" i="7" s="1"/>
  <c r="L1847" i="7"/>
  <c r="N1847" i="7" s="1"/>
  <c r="O1847" i="7" s="1"/>
  <c r="L1848" i="7"/>
  <c r="N1848" i="7" s="1"/>
  <c r="O1848" i="7" s="1"/>
  <c r="L1849" i="7"/>
  <c r="N1849" i="7" s="1"/>
  <c r="O1849" i="7" s="1"/>
  <c r="L1850" i="7"/>
  <c r="N1850" i="7" s="1"/>
  <c r="O1850" i="7" s="1"/>
  <c r="L1851" i="7"/>
  <c r="N1851" i="7" s="1"/>
  <c r="O1851" i="7" s="1"/>
  <c r="L1852" i="7"/>
  <c r="N1852" i="7" s="1"/>
  <c r="O1852" i="7" s="1"/>
  <c r="L1853" i="7"/>
  <c r="N1853" i="7" s="1"/>
  <c r="O1853" i="7" s="1"/>
  <c r="L1854" i="7"/>
  <c r="N1854" i="7" s="1"/>
  <c r="O1854" i="7" s="1"/>
  <c r="L1855" i="7"/>
  <c r="N1855" i="7" s="1"/>
  <c r="O1855" i="7" s="1"/>
  <c r="L1856" i="7"/>
  <c r="N1856" i="7" s="1"/>
  <c r="O1856" i="7" s="1"/>
  <c r="L1857" i="7"/>
  <c r="N1857" i="7" s="1"/>
  <c r="O1857" i="7" s="1"/>
  <c r="L1858" i="7"/>
  <c r="N1858" i="7" s="1"/>
  <c r="O1858" i="7" s="1"/>
  <c r="L1859" i="7"/>
  <c r="N1859" i="7" s="1"/>
  <c r="O1859" i="7" s="1"/>
  <c r="L1860" i="7"/>
  <c r="N1860" i="7" s="1"/>
  <c r="O1860" i="7" s="1"/>
  <c r="L1861" i="7"/>
  <c r="N1861" i="7" s="1"/>
  <c r="O1861" i="7" s="1"/>
  <c r="L1862" i="7"/>
  <c r="N1862" i="7" s="1"/>
  <c r="O1862" i="7" s="1"/>
  <c r="L1863" i="7"/>
  <c r="N1863" i="7" s="1"/>
  <c r="O1863" i="7" s="1"/>
  <c r="L1864" i="7"/>
  <c r="N1864" i="7" s="1"/>
  <c r="O1864" i="7" s="1"/>
  <c r="L1865" i="7"/>
  <c r="N1865" i="7" s="1"/>
  <c r="O1865" i="7" s="1"/>
  <c r="L1866" i="7"/>
  <c r="N1866" i="7" s="1"/>
  <c r="O1866" i="7" s="1"/>
  <c r="L1867" i="7"/>
  <c r="N1867" i="7" s="1"/>
  <c r="O1867" i="7" s="1"/>
  <c r="L1868" i="7"/>
  <c r="N1868" i="7" s="1"/>
  <c r="O1868" i="7" s="1"/>
  <c r="L1869" i="7"/>
  <c r="N1869" i="7" s="1"/>
  <c r="O1869" i="7" s="1"/>
  <c r="L1870" i="7"/>
  <c r="N1870" i="7" s="1"/>
  <c r="O1870" i="7" s="1"/>
  <c r="L1871" i="7"/>
  <c r="N1871" i="7" s="1"/>
  <c r="O1871" i="7" s="1"/>
  <c r="L1872" i="7"/>
  <c r="N1872" i="7" s="1"/>
  <c r="O1872" i="7" s="1"/>
  <c r="L1873" i="7"/>
  <c r="N1873" i="7" s="1"/>
  <c r="O1873" i="7" s="1"/>
  <c r="L1874" i="7"/>
  <c r="N1874" i="7" s="1"/>
  <c r="O1874" i="7" s="1"/>
  <c r="L1875" i="7"/>
  <c r="N1875" i="7" s="1"/>
  <c r="O1875" i="7" s="1"/>
  <c r="L1876" i="7"/>
  <c r="N1876" i="7" s="1"/>
  <c r="O1876" i="7" s="1"/>
  <c r="L1877" i="7"/>
  <c r="N1877" i="7" s="1"/>
  <c r="O1877" i="7" s="1"/>
  <c r="L1878" i="7"/>
  <c r="N1878" i="7" s="1"/>
  <c r="O1878" i="7" s="1"/>
  <c r="L1879" i="7"/>
  <c r="N1879" i="7" s="1"/>
  <c r="O1879" i="7" s="1"/>
  <c r="L1880" i="7"/>
  <c r="N1880" i="7" s="1"/>
  <c r="O1880" i="7" s="1"/>
  <c r="L1881" i="7"/>
  <c r="N1881" i="7" s="1"/>
  <c r="O1881" i="7" s="1"/>
  <c r="L1882" i="7"/>
  <c r="N1882" i="7" s="1"/>
  <c r="O1882" i="7" s="1"/>
  <c r="L1883" i="7"/>
  <c r="N1883" i="7" s="1"/>
  <c r="O1883" i="7" s="1"/>
  <c r="L1884" i="7"/>
  <c r="N1884" i="7" s="1"/>
  <c r="O1884" i="7" s="1"/>
  <c r="L1885" i="7"/>
  <c r="N1885" i="7" s="1"/>
  <c r="O1885" i="7" s="1"/>
  <c r="L1886" i="7"/>
  <c r="N1886" i="7" s="1"/>
  <c r="O1886" i="7" s="1"/>
  <c r="L1887" i="7"/>
  <c r="N1887" i="7" s="1"/>
  <c r="O1887" i="7" s="1"/>
  <c r="L1888" i="7"/>
  <c r="N1888" i="7" s="1"/>
  <c r="O1888" i="7" s="1"/>
  <c r="L1889" i="7"/>
  <c r="N1889" i="7" s="1"/>
  <c r="O1889" i="7" s="1"/>
  <c r="L1890" i="7"/>
  <c r="N1890" i="7" s="1"/>
  <c r="O1890" i="7" s="1"/>
  <c r="L1891" i="7"/>
  <c r="N1891" i="7" s="1"/>
  <c r="O1891" i="7" s="1"/>
  <c r="L1892" i="7"/>
  <c r="N1892" i="7" s="1"/>
  <c r="O1892" i="7" s="1"/>
  <c r="L1893" i="7"/>
  <c r="N1893" i="7" s="1"/>
  <c r="O1893" i="7" s="1"/>
  <c r="L1894" i="7"/>
  <c r="N1894" i="7" s="1"/>
  <c r="O1894" i="7" s="1"/>
  <c r="L1895" i="7"/>
  <c r="N1895" i="7" s="1"/>
  <c r="O1895" i="7" s="1"/>
  <c r="L1900" i="7"/>
  <c r="N1900" i="7" s="1"/>
  <c r="O1900" i="7" s="1"/>
  <c r="L1901" i="7"/>
  <c r="N1901" i="7" s="1"/>
  <c r="O1901" i="7" s="1"/>
  <c r="L1902" i="7"/>
  <c r="N1902" i="7" s="1"/>
  <c r="O1902" i="7" s="1"/>
  <c r="L1903" i="7"/>
  <c r="N1903" i="7" s="1"/>
  <c r="O1903" i="7" s="1"/>
  <c r="L1904" i="7"/>
  <c r="N1904" i="7" s="1"/>
  <c r="O1904" i="7" s="1"/>
  <c r="L1905" i="7"/>
  <c r="N1905" i="7" s="1"/>
  <c r="O1905" i="7" s="1"/>
  <c r="L1906" i="7"/>
  <c r="N1906" i="7" s="1"/>
  <c r="O1906" i="7" s="1"/>
  <c r="L1907" i="7"/>
  <c r="N1907" i="7" s="1"/>
  <c r="O1907" i="7" s="1"/>
  <c r="L1908" i="7"/>
  <c r="N1908" i="7" s="1"/>
  <c r="O1908" i="7" s="1"/>
  <c r="L1909" i="7"/>
  <c r="N1909" i="7" s="1"/>
  <c r="O1909" i="7" s="1"/>
  <c r="L1910" i="7"/>
  <c r="N1910" i="7" s="1"/>
  <c r="O1910" i="7" s="1"/>
  <c r="L1911" i="7"/>
  <c r="N1911" i="7" s="1"/>
  <c r="O1911" i="7" s="1"/>
  <c r="L1912" i="7"/>
  <c r="N1912" i="7" s="1"/>
  <c r="O1912" i="7" s="1"/>
  <c r="L1913" i="7"/>
  <c r="N1913" i="7" s="1"/>
  <c r="O1913" i="7" s="1"/>
  <c r="L1914" i="7"/>
  <c r="N1914" i="7" s="1"/>
  <c r="O1914" i="7" s="1"/>
  <c r="L1915" i="7"/>
  <c r="N1915" i="7" s="1"/>
  <c r="O1915" i="7" s="1"/>
  <c r="L1916" i="7"/>
  <c r="N1916" i="7" s="1"/>
  <c r="O1916" i="7" s="1"/>
  <c r="L1917" i="7"/>
  <c r="N1917" i="7" s="1"/>
  <c r="O1917" i="7" s="1"/>
  <c r="L1918" i="7"/>
  <c r="N1918" i="7" s="1"/>
  <c r="O1918" i="7" s="1"/>
  <c r="L1919" i="7"/>
  <c r="N1919" i="7" s="1"/>
  <c r="O1919" i="7" s="1"/>
  <c r="L1920" i="7"/>
  <c r="N1920" i="7" s="1"/>
  <c r="O1920" i="7" s="1"/>
  <c r="L1921" i="7"/>
  <c r="N1921" i="7" s="1"/>
  <c r="O1921" i="7" s="1"/>
  <c r="L1922" i="7"/>
  <c r="N1922" i="7" s="1"/>
  <c r="O1922" i="7" s="1"/>
  <c r="L1923" i="7"/>
  <c r="N1923" i="7" s="1"/>
  <c r="O1923" i="7" s="1"/>
  <c r="L1924" i="7"/>
  <c r="N1924" i="7" s="1"/>
  <c r="O1924" i="7" s="1"/>
  <c r="L1925" i="7"/>
  <c r="N1925" i="7" s="1"/>
  <c r="O1925" i="7" s="1"/>
  <c r="L1926" i="7"/>
  <c r="N1926" i="7" s="1"/>
  <c r="O1926" i="7" s="1"/>
  <c r="L1927" i="7"/>
  <c r="N1927" i="7" s="1"/>
  <c r="O1927" i="7" s="1"/>
  <c r="L1928" i="7"/>
  <c r="N1928" i="7" s="1"/>
  <c r="O1928" i="7" s="1"/>
  <c r="L1929" i="7"/>
  <c r="N1929" i="7" s="1"/>
  <c r="O1929" i="7" s="1"/>
  <c r="L1930" i="7"/>
  <c r="N1930" i="7" s="1"/>
  <c r="O1930" i="7" s="1"/>
  <c r="L1931" i="7"/>
  <c r="N1931" i="7" s="1"/>
  <c r="O1931" i="7" s="1"/>
  <c r="L1932" i="7"/>
  <c r="N1932" i="7" s="1"/>
  <c r="O1932" i="7" s="1"/>
  <c r="L1933" i="7"/>
  <c r="N1933" i="7" s="1"/>
  <c r="O1933" i="7" s="1"/>
  <c r="L1934" i="7"/>
  <c r="N1934" i="7" s="1"/>
  <c r="O1934" i="7" s="1"/>
  <c r="L1935" i="7"/>
  <c r="N1935" i="7" s="1"/>
  <c r="O1935" i="7" s="1"/>
  <c r="L1936" i="7"/>
  <c r="N1936" i="7" s="1"/>
  <c r="O1936" i="7" s="1"/>
  <c r="L1937" i="7"/>
  <c r="N1937" i="7" s="1"/>
  <c r="O1937" i="7" s="1"/>
  <c r="L1938" i="7"/>
  <c r="N1938" i="7" s="1"/>
  <c r="O1938" i="7" s="1"/>
  <c r="L1939" i="7"/>
  <c r="N1939" i="7" s="1"/>
  <c r="O1939" i="7" s="1"/>
  <c r="L1940" i="7"/>
  <c r="N1940" i="7" s="1"/>
  <c r="O1940" i="7" s="1"/>
  <c r="L1941" i="7"/>
  <c r="N1941" i="7" s="1"/>
  <c r="O1941" i="7" s="1"/>
  <c r="L1946" i="7"/>
  <c r="N1946" i="7" s="1"/>
  <c r="O1946" i="7" s="1"/>
  <c r="L1947" i="7"/>
  <c r="N1947" i="7" s="1"/>
  <c r="O1947" i="7" s="1"/>
  <c r="L1948" i="7"/>
  <c r="N1948" i="7" s="1"/>
  <c r="O1948" i="7" s="1"/>
  <c r="L1949" i="7"/>
  <c r="N1949" i="7" s="1"/>
  <c r="O1949" i="7" s="1"/>
  <c r="L1950" i="7"/>
  <c r="N1950" i="7" s="1"/>
  <c r="O1950" i="7" s="1"/>
  <c r="L1951" i="7"/>
  <c r="N1951" i="7" s="1"/>
  <c r="O1951" i="7" s="1"/>
  <c r="L1952" i="7"/>
  <c r="N1952" i="7" s="1"/>
  <c r="O1952" i="7" s="1"/>
  <c r="L1953" i="7"/>
  <c r="N1953" i="7" s="1"/>
  <c r="O1953" i="7" s="1"/>
  <c r="L1954" i="7"/>
  <c r="N1954" i="7" s="1"/>
  <c r="O1954" i="7" s="1"/>
  <c r="L1955" i="7"/>
  <c r="N1955" i="7" s="1"/>
  <c r="O1955" i="7" s="1"/>
  <c r="L1956" i="7"/>
  <c r="N1956" i="7" s="1"/>
  <c r="O1956" i="7" s="1"/>
  <c r="L1957" i="7"/>
  <c r="N1957" i="7" s="1"/>
  <c r="O1957" i="7" s="1"/>
  <c r="L1958" i="7"/>
  <c r="N1958" i="7" s="1"/>
  <c r="O1958" i="7" s="1"/>
  <c r="L1959" i="7"/>
  <c r="N1959" i="7" s="1"/>
  <c r="O1959" i="7" s="1"/>
  <c r="L1960" i="7"/>
  <c r="N1960" i="7" s="1"/>
  <c r="O1960" i="7" s="1"/>
  <c r="L1961" i="7"/>
  <c r="N1961" i="7" s="1"/>
  <c r="O1961" i="7" s="1"/>
  <c r="L1962" i="7"/>
  <c r="N1962" i="7" s="1"/>
  <c r="O1962" i="7" s="1"/>
  <c r="L1963" i="7"/>
  <c r="N1963" i="7" s="1"/>
  <c r="O1963" i="7" s="1"/>
  <c r="L1964" i="7"/>
  <c r="N1964" i="7" s="1"/>
  <c r="O1964" i="7" s="1"/>
  <c r="L1965" i="7"/>
  <c r="N1965" i="7" s="1"/>
  <c r="O1965" i="7" s="1"/>
  <c r="L1966" i="7"/>
  <c r="N1966" i="7" s="1"/>
  <c r="O1966" i="7" s="1"/>
  <c r="L1967" i="7"/>
  <c r="N1967" i="7" s="1"/>
  <c r="O1967" i="7" s="1"/>
  <c r="L1968" i="7"/>
  <c r="N1968" i="7" s="1"/>
  <c r="O1968" i="7" s="1"/>
  <c r="L1969" i="7"/>
  <c r="N1969" i="7" s="1"/>
  <c r="O1969" i="7" s="1"/>
  <c r="L1970" i="7"/>
  <c r="N1970" i="7" s="1"/>
  <c r="O1970" i="7" s="1"/>
  <c r="L1971" i="7"/>
  <c r="N1971" i="7" s="1"/>
  <c r="O1971" i="7" s="1"/>
  <c r="L1972" i="7"/>
  <c r="N1972" i="7" s="1"/>
  <c r="O1972" i="7" s="1"/>
  <c r="L1973" i="7"/>
  <c r="N1973" i="7" s="1"/>
  <c r="O1973" i="7" s="1"/>
  <c r="L1974" i="7"/>
  <c r="N1974" i="7" s="1"/>
  <c r="O1974" i="7" s="1"/>
  <c r="L1975" i="7"/>
  <c r="N1975" i="7" s="1"/>
  <c r="O1975" i="7" s="1"/>
  <c r="L1976" i="7"/>
  <c r="N1976" i="7" s="1"/>
  <c r="O1976" i="7" s="1"/>
  <c r="L1977" i="7"/>
  <c r="N1977" i="7" s="1"/>
  <c r="O1977" i="7" s="1"/>
  <c r="L1978" i="7"/>
  <c r="N1978" i="7" s="1"/>
  <c r="O1978" i="7" s="1"/>
  <c r="L1979" i="7"/>
  <c r="N1979" i="7" s="1"/>
  <c r="O1979" i="7" s="1"/>
  <c r="L1980" i="7"/>
  <c r="N1980" i="7" s="1"/>
  <c r="O1980" i="7" s="1"/>
  <c r="L1981" i="7"/>
  <c r="N1981" i="7" s="1"/>
  <c r="O1981" i="7" s="1"/>
  <c r="L1982" i="7"/>
  <c r="N1982" i="7" s="1"/>
  <c r="O1982" i="7" s="1"/>
  <c r="L1983" i="7"/>
  <c r="N1983" i="7" s="1"/>
  <c r="O1983" i="7" s="1"/>
  <c r="L1984" i="7"/>
  <c r="N1984" i="7" s="1"/>
  <c r="O1984" i="7" s="1"/>
  <c r="L1985" i="7"/>
  <c r="N1985" i="7" s="1"/>
  <c r="O1985" i="7" s="1"/>
  <c r="L1986" i="7"/>
  <c r="N1986" i="7" s="1"/>
  <c r="O1986" i="7" s="1"/>
  <c r="L1987" i="7"/>
  <c r="N1987" i="7" s="1"/>
  <c r="O1987" i="7" s="1"/>
  <c r="L1990" i="7"/>
  <c r="N1990" i="7" s="1"/>
  <c r="O1990" i="7" s="1"/>
  <c r="L1991" i="7"/>
  <c r="N1991" i="7" s="1"/>
  <c r="O1991" i="7" s="1"/>
  <c r="L1992" i="7"/>
  <c r="N1992" i="7" s="1"/>
  <c r="O1992" i="7" s="1"/>
  <c r="L1993" i="7"/>
  <c r="N1993" i="7" s="1"/>
  <c r="O1993" i="7" s="1"/>
  <c r="L1994" i="7"/>
  <c r="N1994" i="7" s="1"/>
  <c r="O1994" i="7" s="1"/>
  <c r="L1995" i="7"/>
  <c r="N1995" i="7" s="1"/>
  <c r="O1995" i="7" s="1"/>
  <c r="L1996" i="7"/>
  <c r="N1996" i="7" s="1"/>
  <c r="O1996" i="7" s="1"/>
  <c r="L1997" i="7"/>
  <c r="N1997" i="7" s="1"/>
  <c r="O1997" i="7" s="1"/>
  <c r="L1998" i="7"/>
  <c r="N1998" i="7" s="1"/>
  <c r="O1998" i="7" s="1"/>
  <c r="L1999" i="7"/>
  <c r="N1999" i="7" s="1"/>
  <c r="O1999" i="7" s="1"/>
  <c r="L2000" i="7"/>
  <c r="N2000" i="7" s="1"/>
  <c r="O2000" i="7" s="1"/>
  <c r="L2001" i="7"/>
  <c r="N2001" i="7" s="1"/>
  <c r="O2001" i="7" s="1"/>
  <c r="L2002" i="7"/>
  <c r="N2002" i="7" s="1"/>
  <c r="O2002" i="7" s="1"/>
  <c r="L2003" i="7"/>
  <c r="N2003" i="7" s="1"/>
  <c r="O2003" i="7" s="1"/>
  <c r="L2004" i="7"/>
  <c r="N2004" i="7" s="1"/>
  <c r="O2004" i="7" s="1"/>
  <c r="L2005" i="7"/>
  <c r="N2005" i="7" s="1"/>
  <c r="O2005" i="7" s="1"/>
  <c r="L2006" i="7"/>
  <c r="N2006" i="7" s="1"/>
  <c r="O2006" i="7" s="1"/>
  <c r="L2007" i="7"/>
  <c r="N2007" i="7" s="1"/>
  <c r="O2007" i="7" s="1"/>
  <c r="L2008" i="7"/>
  <c r="N2008" i="7" s="1"/>
  <c r="O2008" i="7" s="1"/>
  <c r="L2009" i="7"/>
  <c r="N2009" i="7" s="1"/>
  <c r="O2009" i="7" s="1"/>
  <c r="L2010" i="7"/>
  <c r="N2010" i="7" s="1"/>
  <c r="O2010" i="7" s="1"/>
  <c r="L2011" i="7"/>
  <c r="N2011" i="7" s="1"/>
  <c r="O2011" i="7" s="1"/>
  <c r="L2012" i="7"/>
  <c r="N2012" i="7" s="1"/>
  <c r="O2012" i="7" s="1"/>
  <c r="L2013" i="7"/>
  <c r="N2013" i="7" s="1"/>
  <c r="O2013" i="7" s="1"/>
  <c r="L2014" i="7"/>
  <c r="N2014" i="7" s="1"/>
  <c r="O2014" i="7" s="1"/>
  <c r="L2015" i="7"/>
  <c r="N2015" i="7" s="1"/>
  <c r="O2015" i="7" s="1"/>
  <c r="L2016" i="7"/>
  <c r="N2016" i="7" s="1"/>
  <c r="O2016" i="7" s="1"/>
  <c r="L2017" i="7"/>
  <c r="N2017" i="7" s="1"/>
  <c r="O2017" i="7" s="1"/>
  <c r="L2018" i="7"/>
  <c r="N2018" i="7" s="1"/>
  <c r="O2018" i="7" s="1"/>
  <c r="L2019" i="7"/>
  <c r="N2019" i="7" s="1"/>
  <c r="O2019" i="7" s="1"/>
  <c r="L2020" i="7"/>
  <c r="N2020" i="7" s="1"/>
  <c r="O2020" i="7" s="1"/>
  <c r="L2021" i="7"/>
  <c r="N2021" i="7" s="1"/>
  <c r="O2021" i="7" s="1"/>
  <c r="L2022" i="7"/>
  <c r="N2022" i="7" s="1"/>
  <c r="O2022" i="7" s="1"/>
  <c r="L2023" i="7"/>
  <c r="N2023" i="7" s="1"/>
  <c r="O2023" i="7" s="1"/>
  <c r="L2024" i="7"/>
  <c r="N2024" i="7" s="1"/>
  <c r="O2024" i="7" s="1"/>
  <c r="L2025" i="7"/>
  <c r="N2025" i="7" s="1"/>
  <c r="O2025" i="7" s="1"/>
  <c r="L2026" i="7"/>
  <c r="N2026" i="7" s="1"/>
  <c r="O2026" i="7" s="1"/>
  <c r="L2027" i="7"/>
  <c r="N2027" i="7" s="1"/>
  <c r="O2027" i="7" s="1"/>
  <c r="L2028" i="7"/>
  <c r="N2028" i="7" s="1"/>
  <c r="O2028" i="7" s="1"/>
  <c r="L2029" i="7"/>
  <c r="N2029" i="7" s="1"/>
  <c r="O2029" i="7" s="1"/>
  <c r="L2030" i="7"/>
  <c r="N2030" i="7" s="1"/>
  <c r="O2030" i="7" s="1"/>
  <c r="L2031" i="7"/>
  <c r="N2031" i="7" s="1"/>
  <c r="O2031" i="7" s="1"/>
  <c r="L2034" i="7"/>
  <c r="N2034" i="7" s="1"/>
  <c r="L2035" i="7"/>
  <c r="N2035" i="7" s="1"/>
  <c r="L2036" i="7"/>
  <c r="N2036" i="7" s="1"/>
  <c r="L2037" i="7"/>
  <c r="N2037" i="7" s="1"/>
  <c r="L2038" i="7"/>
  <c r="N2038" i="7" s="1"/>
  <c r="L2039" i="7"/>
  <c r="N2039" i="7" s="1"/>
  <c r="L2040" i="7"/>
  <c r="N2040" i="7" s="1"/>
  <c r="L2041" i="7"/>
  <c r="N2041" i="7" s="1"/>
  <c r="L2042" i="7"/>
  <c r="N2042" i="7" s="1"/>
  <c r="L2043" i="7"/>
  <c r="N2043" i="7" s="1"/>
  <c r="L2044" i="7"/>
  <c r="N2044" i="7" s="1"/>
  <c r="L2045" i="7"/>
  <c r="N2045" i="7" s="1"/>
  <c r="L2046" i="7"/>
  <c r="N2046" i="7" s="1"/>
  <c r="L2047" i="7"/>
  <c r="N2047" i="7" s="1"/>
  <c r="L2048" i="7"/>
  <c r="N2048" i="7" s="1"/>
  <c r="L2049" i="7"/>
  <c r="N2049" i="7" s="1"/>
  <c r="L2050" i="7"/>
  <c r="N2050" i="7" s="1"/>
  <c r="L2051" i="7"/>
  <c r="N2051" i="7" s="1"/>
  <c r="L2052" i="7"/>
  <c r="N2052" i="7" s="1"/>
  <c r="L2053" i="7"/>
  <c r="N2053" i="7" s="1"/>
  <c r="L2054" i="7"/>
  <c r="N2054" i="7" s="1"/>
  <c r="L2055" i="7"/>
  <c r="N2055" i="7" s="1"/>
  <c r="L2056" i="7"/>
  <c r="N2056" i="7" s="1"/>
  <c r="L2057" i="7"/>
  <c r="N2057" i="7" s="1"/>
  <c r="L2058" i="7"/>
  <c r="N2058" i="7" s="1"/>
  <c r="L2059" i="7"/>
  <c r="N2059" i="7" s="1"/>
  <c r="L2060" i="7"/>
  <c r="N2060" i="7" s="1"/>
  <c r="L2061" i="7"/>
  <c r="N2061" i="7" s="1"/>
  <c r="L2062" i="7"/>
  <c r="N2062" i="7" s="1"/>
  <c r="L2063" i="7"/>
  <c r="N2063" i="7" s="1"/>
  <c r="L2064" i="7"/>
  <c r="N2064" i="7" s="1"/>
  <c r="L2065" i="7"/>
  <c r="N2065" i="7" s="1"/>
  <c r="L2066" i="7"/>
  <c r="N2066" i="7" s="1"/>
  <c r="L2067" i="7"/>
  <c r="N2067" i="7" s="1"/>
  <c r="L2068" i="7"/>
  <c r="N2068" i="7" s="1"/>
  <c r="L2069" i="7"/>
  <c r="N2069" i="7" s="1"/>
  <c r="L2070" i="7"/>
  <c r="N2070" i="7" s="1"/>
  <c r="L2071" i="7"/>
  <c r="N2071" i="7" s="1"/>
  <c r="L2072" i="7"/>
  <c r="N2072" i="7" s="1"/>
  <c r="L2073" i="7"/>
  <c r="N2073" i="7" s="1"/>
  <c r="L2074" i="7"/>
  <c r="N2074" i="7" s="1"/>
  <c r="L2075" i="7"/>
  <c r="N2075" i="7" s="1"/>
  <c r="L2076" i="7"/>
  <c r="N2076" i="7" s="1"/>
  <c r="L2079" i="7"/>
  <c r="N2079" i="7" s="1"/>
  <c r="O2079" i="7" s="1"/>
  <c r="L2080" i="7"/>
  <c r="N2080" i="7" s="1"/>
  <c r="O2080" i="7" s="1"/>
  <c r="L2081" i="7"/>
  <c r="N2081" i="7" s="1"/>
  <c r="O2081" i="7" s="1"/>
  <c r="L2082" i="7"/>
  <c r="N2082" i="7" s="1"/>
  <c r="O2082" i="7" s="1"/>
  <c r="L2083" i="7"/>
  <c r="N2083" i="7" s="1"/>
  <c r="O2083" i="7" s="1"/>
  <c r="L2084" i="7"/>
  <c r="N2084" i="7" s="1"/>
  <c r="O2084" i="7" s="1"/>
  <c r="L2085" i="7"/>
  <c r="N2085" i="7" s="1"/>
  <c r="O2085" i="7" s="1"/>
  <c r="L2086" i="7"/>
  <c r="N2086" i="7" s="1"/>
  <c r="O2086" i="7" s="1"/>
  <c r="L2087" i="7"/>
  <c r="N2087" i="7" s="1"/>
  <c r="O2087" i="7" s="1"/>
  <c r="L2088" i="7"/>
  <c r="N2088" i="7" s="1"/>
  <c r="O2088" i="7" s="1"/>
  <c r="L2089" i="7"/>
  <c r="N2089" i="7" s="1"/>
  <c r="O2089" i="7" s="1"/>
  <c r="L2090" i="7"/>
  <c r="N2090" i="7" s="1"/>
  <c r="O2090" i="7" s="1"/>
  <c r="L2091" i="7"/>
  <c r="N2091" i="7" s="1"/>
  <c r="O2091" i="7" s="1"/>
  <c r="L2092" i="7"/>
  <c r="N2092" i="7" s="1"/>
  <c r="O2092" i="7" s="1"/>
  <c r="L2093" i="7"/>
  <c r="N2093" i="7" s="1"/>
  <c r="O2093" i="7" s="1"/>
  <c r="L2094" i="7"/>
  <c r="N2094" i="7" s="1"/>
  <c r="O2094" i="7" s="1"/>
  <c r="L2095" i="7"/>
  <c r="N2095" i="7" s="1"/>
  <c r="O2095" i="7" s="1"/>
  <c r="L2096" i="7"/>
  <c r="N2096" i="7" s="1"/>
  <c r="O2096" i="7" s="1"/>
  <c r="L2097" i="7"/>
  <c r="N2097" i="7" s="1"/>
  <c r="O2097" i="7" s="1"/>
  <c r="L2098" i="7"/>
  <c r="N2098" i="7" s="1"/>
  <c r="O2098" i="7" s="1"/>
  <c r="L2099" i="7"/>
  <c r="N2099" i="7" s="1"/>
  <c r="O2099" i="7" s="1"/>
  <c r="L2100" i="7"/>
  <c r="N2100" i="7" s="1"/>
  <c r="O2100" i="7" s="1"/>
  <c r="L2101" i="7"/>
  <c r="N2101" i="7" s="1"/>
  <c r="O2101" i="7" s="1"/>
  <c r="L2102" i="7"/>
  <c r="N2102" i="7" s="1"/>
  <c r="O2102" i="7" s="1"/>
  <c r="L2103" i="7"/>
  <c r="N2103" i="7" s="1"/>
  <c r="O2103" i="7" s="1"/>
  <c r="L2104" i="7"/>
  <c r="N2104" i="7" s="1"/>
  <c r="O2104" i="7" s="1"/>
  <c r="L2105" i="7"/>
  <c r="N2105" i="7" s="1"/>
  <c r="O2105" i="7" s="1"/>
  <c r="L2106" i="7"/>
  <c r="N2106" i="7" s="1"/>
  <c r="O2106" i="7" s="1"/>
  <c r="L2107" i="7"/>
  <c r="N2107" i="7" s="1"/>
  <c r="O2107" i="7" s="1"/>
  <c r="L2108" i="7"/>
  <c r="N2108" i="7" s="1"/>
  <c r="O2108" i="7" s="1"/>
  <c r="L2109" i="7"/>
  <c r="N2109" i="7" s="1"/>
  <c r="O2109" i="7" s="1"/>
  <c r="L2110" i="7"/>
  <c r="N2110" i="7" s="1"/>
  <c r="O2110" i="7" s="1"/>
  <c r="L2111" i="7"/>
  <c r="N2111" i="7" s="1"/>
  <c r="O2111" i="7" s="1"/>
  <c r="L2112" i="7"/>
  <c r="N2112" i="7" s="1"/>
  <c r="O2112" i="7" s="1"/>
  <c r="L2113" i="7"/>
  <c r="N2113" i="7" s="1"/>
  <c r="O2113" i="7" s="1"/>
  <c r="L2116" i="7"/>
  <c r="N2116" i="7" s="1"/>
  <c r="O2116" i="7" s="1"/>
  <c r="L2117" i="7"/>
  <c r="N2117" i="7" s="1"/>
  <c r="O2117" i="7" s="1"/>
  <c r="L2118" i="7"/>
  <c r="N2118" i="7" s="1"/>
  <c r="O2118" i="7" s="1"/>
  <c r="L2119" i="7"/>
  <c r="N2119" i="7" s="1"/>
  <c r="O2119" i="7" s="1"/>
  <c r="L2120" i="7"/>
  <c r="N2120" i="7" s="1"/>
  <c r="O2120" i="7" s="1"/>
  <c r="L2121" i="7"/>
  <c r="N2121" i="7" s="1"/>
  <c r="O2121" i="7" s="1"/>
  <c r="L2122" i="7"/>
  <c r="N2122" i="7" s="1"/>
  <c r="O2122" i="7" s="1"/>
  <c r="L2123" i="7"/>
  <c r="N2123" i="7" s="1"/>
  <c r="O2123" i="7" s="1"/>
  <c r="L2124" i="7"/>
  <c r="N2124" i="7" s="1"/>
  <c r="O2124" i="7" s="1"/>
  <c r="L2125" i="7"/>
  <c r="N2125" i="7" s="1"/>
  <c r="O2125" i="7" s="1"/>
  <c r="L2126" i="7"/>
  <c r="N2126" i="7" s="1"/>
  <c r="O2126" i="7" s="1"/>
  <c r="L2127" i="7"/>
  <c r="N2127" i="7" s="1"/>
  <c r="O2127" i="7" s="1"/>
  <c r="L2128" i="7"/>
  <c r="N2128" i="7" s="1"/>
  <c r="O2128" i="7" s="1"/>
  <c r="L2129" i="7"/>
  <c r="N2129" i="7" s="1"/>
  <c r="O2129" i="7" s="1"/>
  <c r="L2130" i="7"/>
  <c r="N2130" i="7" s="1"/>
  <c r="O2130" i="7" s="1"/>
  <c r="L2131" i="7"/>
  <c r="N2131" i="7" s="1"/>
  <c r="O2131" i="7" s="1"/>
  <c r="L2132" i="7"/>
  <c r="N2132" i="7" s="1"/>
  <c r="O2132" i="7" s="1"/>
  <c r="L2133" i="7"/>
  <c r="N2133" i="7" s="1"/>
  <c r="O2133" i="7" s="1"/>
  <c r="L2134" i="7"/>
  <c r="N2134" i="7" s="1"/>
  <c r="O2134" i="7" s="1"/>
  <c r="L2135" i="7"/>
  <c r="N2135" i="7" s="1"/>
  <c r="O2135" i="7" s="1"/>
  <c r="L2136" i="7"/>
  <c r="N2136" i="7" s="1"/>
  <c r="O2136" i="7" s="1"/>
  <c r="L2137" i="7"/>
  <c r="N2137" i="7" s="1"/>
  <c r="O2137" i="7" s="1"/>
  <c r="L2138" i="7"/>
  <c r="N2138" i="7" s="1"/>
  <c r="O2138" i="7" s="1"/>
  <c r="L2139" i="7"/>
  <c r="N2139" i="7" s="1"/>
  <c r="O2139" i="7" s="1"/>
  <c r="L2140" i="7"/>
  <c r="N2140" i="7" s="1"/>
  <c r="O2140" i="7" s="1"/>
  <c r="L2141" i="7"/>
  <c r="N2141" i="7" s="1"/>
  <c r="O2141" i="7" s="1"/>
  <c r="L2142" i="7"/>
  <c r="N2142" i="7" s="1"/>
  <c r="O2142" i="7" s="1"/>
  <c r="L2143" i="7"/>
  <c r="N2143" i="7" s="1"/>
  <c r="O2143" i="7" s="1"/>
  <c r="L2144" i="7"/>
  <c r="N2144" i="7" s="1"/>
  <c r="O2144" i="7" s="1"/>
  <c r="L2145" i="7"/>
  <c r="N2145" i="7" s="1"/>
  <c r="O2145" i="7" s="1"/>
  <c r="L2146" i="7"/>
  <c r="N2146" i="7" s="1"/>
  <c r="O2146" i="7" s="1"/>
  <c r="L2147" i="7"/>
  <c r="N2147" i="7" s="1"/>
  <c r="O2147" i="7" s="1"/>
  <c r="L2148" i="7"/>
  <c r="N2148" i="7" s="1"/>
  <c r="O2148" i="7" s="1"/>
  <c r="L2149" i="7"/>
  <c r="N2149" i="7" s="1"/>
  <c r="O2149" i="7" s="1"/>
  <c r="L2150" i="7"/>
  <c r="N2150" i="7" s="1"/>
  <c r="O2150" i="7" s="1"/>
  <c r="L2153" i="7"/>
  <c r="N2153" i="7" s="1"/>
  <c r="O2153" i="7" s="1"/>
  <c r="L2154" i="7"/>
  <c r="N2154" i="7" s="1"/>
  <c r="O2154" i="7" s="1"/>
  <c r="L2155" i="7"/>
  <c r="N2155" i="7" s="1"/>
  <c r="O2155" i="7" s="1"/>
  <c r="L2156" i="7"/>
  <c r="N2156" i="7" s="1"/>
  <c r="O2156" i="7" s="1"/>
  <c r="L2157" i="7"/>
  <c r="N2157" i="7" s="1"/>
  <c r="O2157" i="7" s="1"/>
  <c r="L2158" i="7"/>
  <c r="N2158" i="7" s="1"/>
  <c r="O2158" i="7" s="1"/>
  <c r="L2159" i="7"/>
  <c r="N2159" i="7" s="1"/>
  <c r="O2159" i="7" s="1"/>
  <c r="L2160" i="7"/>
  <c r="N2160" i="7" s="1"/>
  <c r="O2160" i="7" s="1"/>
  <c r="L2161" i="7"/>
  <c r="N2161" i="7" s="1"/>
  <c r="O2161" i="7" s="1"/>
  <c r="L2162" i="7"/>
  <c r="N2162" i="7" s="1"/>
  <c r="O2162" i="7" s="1"/>
  <c r="L2163" i="7"/>
  <c r="N2163" i="7" s="1"/>
  <c r="O2163" i="7" s="1"/>
  <c r="L2164" i="7"/>
  <c r="N2164" i="7" s="1"/>
  <c r="O2164" i="7" s="1"/>
  <c r="L2165" i="7"/>
  <c r="N2165" i="7" s="1"/>
  <c r="O2165" i="7" s="1"/>
  <c r="L2166" i="7"/>
  <c r="N2166" i="7" s="1"/>
  <c r="O2166" i="7" s="1"/>
  <c r="L2167" i="7"/>
  <c r="N2167" i="7" s="1"/>
  <c r="O2167" i="7" s="1"/>
  <c r="L2168" i="7"/>
  <c r="N2168" i="7" s="1"/>
  <c r="O2168" i="7" s="1"/>
  <c r="L2169" i="7"/>
  <c r="N2169" i="7" s="1"/>
  <c r="O2169" i="7" s="1"/>
  <c r="L2170" i="7"/>
  <c r="N2170" i="7" s="1"/>
  <c r="O2170" i="7" s="1"/>
  <c r="L2171" i="7"/>
  <c r="N2171" i="7" s="1"/>
  <c r="O2171" i="7" s="1"/>
  <c r="L2172" i="7"/>
  <c r="N2172" i="7" s="1"/>
  <c r="O2172" i="7" s="1"/>
  <c r="L2173" i="7"/>
  <c r="N2173" i="7" s="1"/>
  <c r="O2173" i="7" s="1"/>
  <c r="L2174" i="7"/>
  <c r="N2174" i="7" s="1"/>
  <c r="O2174" i="7" s="1"/>
  <c r="L2175" i="7"/>
  <c r="N2175" i="7" s="1"/>
  <c r="O2175" i="7" s="1"/>
  <c r="L2176" i="7"/>
  <c r="N2176" i="7" s="1"/>
  <c r="O2176" i="7" s="1"/>
  <c r="L2177" i="7"/>
  <c r="N2177" i="7" s="1"/>
  <c r="O2177" i="7" s="1"/>
  <c r="L2178" i="7"/>
  <c r="N2178" i="7" s="1"/>
  <c r="O2178" i="7" s="1"/>
  <c r="L2179" i="7"/>
  <c r="N2179" i="7" s="1"/>
  <c r="O2179" i="7" s="1"/>
  <c r="L2180" i="7"/>
  <c r="N2180" i="7" s="1"/>
  <c r="O2180" i="7" s="1"/>
  <c r="L2181" i="7"/>
  <c r="N2181" i="7" s="1"/>
  <c r="O2181" i="7" s="1"/>
  <c r="L2182" i="7"/>
  <c r="N2182" i="7" s="1"/>
  <c r="O2182" i="7" s="1"/>
  <c r="L2183" i="7"/>
  <c r="N2183" i="7" s="1"/>
  <c r="O2183" i="7" s="1"/>
  <c r="L2184" i="7"/>
  <c r="N2184" i="7" s="1"/>
  <c r="O2184" i="7" s="1"/>
  <c r="L2185" i="7"/>
  <c r="N2185" i="7" s="1"/>
  <c r="O2185" i="7" s="1"/>
  <c r="L2186" i="7"/>
  <c r="N2186" i="7" s="1"/>
  <c r="O2186" i="7" s="1"/>
  <c r="L2187" i="7"/>
  <c r="N2187" i="7" s="1"/>
  <c r="O2187" i="7" s="1"/>
  <c r="L2190" i="7"/>
  <c r="N2190" i="7" s="1"/>
  <c r="O2190" i="7" s="1"/>
  <c r="L2191" i="7"/>
  <c r="N2191" i="7" s="1"/>
  <c r="O2191" i="7" s="1"/>
  <c r="L2192" i="7"/>
  <c r="N2192" i="7" s="1"/>
  <c r="O2192" i="7" s="1"/>
  <c r="L2193" i="7"/>
  <c r="N2193" i="7" s="1"/>
  <c r="O2193" i="7" s="1"/>
  <c r="L2194" i="7"/>
  <c r="N2194" i="7" s="1"/>
  <c r="O2194" i="7" s="1"/>
  <c r="L2195" i="7"/>
  <c r="N2195" i="7" s="1"/>
  <c r="O2195" i="7" s="1"/>
  <c r="L2196" i="7"/>
  <c r="N2196" i="7" s="1"/>
  <c r="O2196" i="7" s="1"/>
  <c r="L2197" i="7"/>
  <c r="N2197" i="7" s="1"/>
  <c r="O2197" i="7" s="1"/>
  <c r="L2198" i="7"/>
  <c r="N2198" i="7" s="1"/>
  <c r="O2198" i="7" s="1"/>
  <c r="L2199" i="7"/>
  <c r="N2199" i="7" s="1"/>
  <c r="O2199" i="7" s="1"/>
  <c r="L2200" i="7"/>
  <c r="N2200" i="7" s="1"/>
  <c r="O2200" i="7" s="1"/>
  <c r="L2201" i="7"/>
  <c r="N2201" i="7" s="1"/>
  <c r="O2201" i="7" s="1"/>
  <c r="L2202" i="7"/>
  <c r="N2202" i="7" s="1"/>
  <c r="O2202" i="7" s="1"/>
  <c r="L2203" i="7"/>
  <c r="N2203" i="7" s="1"/>
  <c r="O2203" i="7" s="1"/>
  <c r="L2204" i="7"/>
  <c r="N2204" i="7" s="1"/>
  <c r="O2204" i="7" s="1"/>
  <c r="L2205" i="7"/>
  <c r="N2205" i="7" s="1"/>
  <c r="O2205" i="7" s="1"/>
  <c r="L2206" i="7"/>
  <c r="N2206" i="7" s="1"/>
  <c r="O2206" i="7" s="1"/>
  <c r="L2207" i="7"/>
  <c r="N2207" i="7" s="1"/>
  <c r="O2207" i="7" s="1"/>
  <c r="L2208" i="7"/>
  <c r="N2208" i="7" s="1"/>
  <c r="O2208" i="7" s="1"/>
  <c r="L2209" i="7"/>
  <c r="N2209" i="7" s="1"/>
  <c r="O2209" i="7" s="1"/>
  <c r="L2210" i="7"/>
  <c r="N2210" i="7" s="1"/>
  <c r="O2210" i="7" s="1"/>
  <c r="L2211" i="7"/>
  <c r="N2211" i="7" s="1"/>
  <c r="O2211" i="7" s="1"/>
  <c r="L2212" i="7"/>
  <c r="N2212" i="7" s="1"/>
  <c r="O2212" i="7" s="1"/>
  <c r="L2213" i="7"/>
  <c r="N2213" i="7" s="1"/>
  <c r="O2213" i="7" s="1"/>
  <c r="L2214" i="7"/>
  <c r="N2214" i="7" s="1"/>
  <c r="O2214" i="7" s="1"/>
  <c r="L2215" i="7"/>
  <c r="N2215" i="7" s="1"/>
  <c r="O2215" i="7" s="1"/>
  <c r="L2216" i="7"/>
  <c r="N2216" i="7" s="1"/>
  <c r="O2216" i="7" s="1"/>
  <c r="L2217" i="7"/>
  <c r="N2217" i="7" s="1"/>
  <c r="O2217" i="7" s="1"/>
  <c r="L2218" i="7"/>
  <c r="N2218" i="7" s="1"/>
  <c r="O2218" i="7" s="1"/>
  <c r="L2219" i="7"/>
  <c r="N2219" i="7" s="1"/>
  <c r="O2219" i="7" s="1"/>
  <c r="L2220" i="7"/>
  <c r="N2220" i="7" s="1"/>
  <c r="O2220" i="7" s="1"/>
  <c r="L2221" i="7"/>
  <c r="N2221" i="7" s="1"/>
  <c r="O2221" i="7" s="1"/>
  <c r="L2222" i="7"/>
  <c r="N2222" i="7" s="1"/>
  <c r="O2222" i="7" s="1"/>
  <c r="L2223" i="7"/>
  <c r="N2223" i="7" s="1"/>
  <c r="O2223" i="7" s="1"/>
  <c r="L2224" i="7"/>
  <c r="N2224" i="7" s="1"/>
  <c r="O2224" i="7" s="1"/>
  <c r="L2225" i="7"/>
  <c r="N2225" i="7" s="1"/>
  <c r="O2225" i="7" s="1"/>
  <c r="L2228" i="7"/>
  <c r="N2228" i="7" s="1"/>
  <c r="O2228" i="7" s="1"/>
  <c r="L2229" i="7"/>
  <c r="N2229" i="7" s="1"/>
  <c r="O2229" i="7" s="1"/>
  <c r="L2230" i="7"/>
  <c r="N2230" i="7" s="1"/>
  <c r="O2230" i="7" s="1"/>
  <c r="L2231" i="7"/>
  <c r="N2231" i="7" s="1"/>
  <c r="O2231" i="7" s="1"/>
  <c r="L2232" i="7"/>
  <c r="N2232" i="7" s="1"/>
  <c r="O2232" i="7" s="1"/>
  <c r="L2233" i="7"/>
  <c r="N2233" i="7" s="1"/>
  <c r="O2233" i="7" s="1"/>
  <c r="L2234" i="7"/>
  <c r="N2234" i="7" s="1"/>
  <c r="O2234" i="7" s="1"/>
  <c r="L2235" i="7"/>
  <c r="N2235" i="7" s="1"/>
  <c r="O2235" i="7" s="1"/>
  <c r="L2236" i="7"/>
  <c r="N2236" i="7" s="1"/>
  <c r="O2236" i="7" s="1"/>
  <c r="L2237" i="7"/>
  <c r="N2237" i="7" s="1"/>
  <c r="O2237" i="7" s="1"/>
  <c r="L2238" i="7"/>
  <c r="N2238" i="7" s="1"/>
  <c r="O2238" i="7" s="1"/>
  <c r="L2239" i="7"/>
  <c r="N2239" i="7" s="1"/>
  <c r="O2239" i="7" s="1"/>
  <c r="L2240" i="7"/>
  <c r="N2240" i="7" s="1"/>
  <c r="O2240" i="7" s="1"/>
  <c r="L2241" i="7"/>
  <c r="N2241" i="7" s="1"/>
  <c r="O2241" i="7" s="1"/>
  <c r="L2242" i="7"/>
  <c r="N2242" i="7" s="1"/>
  <c r="O2242" i="7" s="1"/>
  <c r="L2243" i="7"/>
  <c r="N2243" i="7" s="1"/>
  <c r="O2243" i="7" s="1"/>
  <c r="L2244" i="7"/>
  <c r="N2244" i="7" s="1"/>
  <c r="O2244" i="7" s="1"/>
  <c r="L2245" i="7"/>
  <c r="N2245" i="7" s="1"/>
  <c r="O2245" i="7" s="1"/>
  <c r="L2246" i="7"/>
  <c r="N2246" i="7" s="1"/>
  <c r="O2246" i="7" s="1"/>
  <c r="L2247" i="7"/>
  <c r="N2247" i="7" s="1"/>
  <c r="O2247" i="7" s="1"/>
  <c r="L2248" i="7"/>
  <c r="N2248" i="7" s="1"/>
  <c r="O2248" i="7" s="1"/>
  <c r="L2249" i="7"/>
  <c r="N2249" i="7" s="1"/>
  <c r="O2249" i="7" s="1"/>
  <c r="L2250" i="7"/>
  <c r="N2250" i="7" s="1"/>
  <c r="O2250" i="7" s="1"/>
  <c r="L2251" i="7"/>
  <c r="N2251" i="7" s="1"/>
  <c r="O2251" i="7" s="1"/>
  <c r="L2252" i="7"/>
  <c r="N2252" i="7" s="1"/>
  <c r="O2252" i="7" s="1"/>
  <c r="L2255" i="7"/>
  <c r="N2255" i="7" s="1"/>
  <c r="O2255" i="7" s="1"/>
  <c r="L2256" i="7"/>
  <c r="N2256" i="7" s="1"/>
  <c r="O2256" i="7" s="1"/>
  <c r="L2257" i="7"/>
  <c r="N2257" i="7" s="1"/>
  <c r="O2257" i="7" s="1"/>
  <c r="L2258" i="7"/>
  <c r="N2258" i="7" s="1"/>
  <c r="O2258" i="7" s="1"/>
  <c r="L2259" i="7"/>
  <c r="N2259" i="7" s="1"/>
  <c r="O2259" i="7" s="1"/>
  <c r="L2260" i="7"/>
  <c r="N2260" i="7" s="1"/>
  <c r="O2260" i="7" s="1"/>
  <c r="L2261" i="7"/>
  <c r="N2261" i="7" s="1"/>
  <c r="O2261" i="7" s="1"/>
  <c r="L2262" i="7"/>
  <c r="N2262" i="7" s="1"/>
  <c r="O2262" i="7" s="1"/>
  <c r="L2263" i="7"/>
  <c r="N2263" i="7" s="1"/>
  <c r="O2263" i="7" s="1"/>
  <c r="L2264" i="7"/>
  <c r="N2264" i="7" s="1"/>
  <c r="O2264" i="7" s="1"/>
  <c r="L2265" i="7"/>
  <c r="N2265" i="7" s="1"/>
  <c r="O2265" i="7" s="1"/>
  <c r="L2266" i="7"/>
  <c r="N2266" i="7" s="1"/>
  <c r="O2266" i="7" s="1"/>
  <c r="L2267" i="7"/>
  <c r="N2267" i="7" s="1"/>
  <c r="O2267" i="7" s="1"/>
  <c r="L2268" i="7"/>
  <c r="N2268" i="7" s="1"/>
  <c r="O2268" i="7" s="1"/>
  <c r="L2269" i="7"/>
  <c r="N2269" i="7" s="1"/>
  <c r="O2269" i="7" s="1"/>
  <c r="L2270" i="7"/>
  <c r="N2270" i="7" s="1"/>
  <c r="O2270" i="7" s="1"/>
  <c r="L2271" i="7"/>
  <c r="N2271" i="7" s="1"/>
  <c r="O2271" i="7" s="1"/>
  <c r="L2272" i="7"/>
  <c r="N2272" i="7" s="1"/>
  <c r="O2272" i="7" s="1"/>
  <c r="L2273" i="7"/>
  <c r="N2273" i="7" s="1"/>
  <c r="O2273" i="7" s="1"/>
  <c r="L2274" i="7"/>
  <c r="N2274" i="7" s="1"/>
  <c r="O2274" i="7" s="1"/>
  <c r="L2275" i="7"/>
  <c r="N2275" i="7" s="1"/>
  <c r="O2275" i="7" s="1"/>
  <c r="L2276" i="7"/>
  <c r="N2276" i="7" s="1"/>
  <c r="O2276" i="7" s="1"/>
  <c r="L2277" i="7"/>
  <c r="N2277" i="7" s="1"/>
  <c r="O2277" i="7" s="1"/>
  <c r="L2278" i="7"/>
  <c r="N2278" i="7" s="1"/>
  <c r="O2278" i="7" s="1"/>
  <c r="L2279" i="7"/>
  <c r="N2279" i="7" s="1"/>
  <c r="O2279" i="7" s="1"/>
  <c r="L2282" i="7"/>
  <c r="N2282" i="7" s="1"/>
  <c r="L2283" i="7"/>
  <c r="N2283" i="7" s="1"/>
  <c r="L2284" i="7"/>
  <c r="N2284" i="7" s="1"/>
  <c r="L2285" i="7"/>
  <c r="N2285" i="7" s="1"/>
  <c r="L2286" i="7"/>
  <c r="N2286" i="7" s="1"/>
  <c r="L2287" i="7"/>
  <c r="N2287" i="7" s="1"/>
  <c r="L2288" i="7"/>
  <c r="N2288" i="7" s="1"/>
  <c r="L2289" i="7"/>
  <c r="N2289" i="7" s="1"/>
  <c r="L2290" i="7"/>
  <c r="N2290" i="7" s="1"/>
  <c r="L2291" i="7"/>
  <c r="N2291" i="7" s="1"/>
  <c r="L2292" i="7"/>
  <c r="N2292" i="7" s="1"/>
  <c r="L2293" i="7"/>
  <c r="N2293" i="7" s="1"/>
  <c r="L2294" i="7"/>
  <c r="N2294" i="7" s="1"/>
  <c r="L2295" i="7"/>
  <c r="N2295" i="7" s="1"/>
  <c r="L2296" i="7"/>
  <c r="N2296" i="7" s="1"/>
  <c r="L2297" i="7"/>
  <c r="N2297" i="7" s="1"/>
  <c r="L2298" i="7"/>
  <c r="N2298" i="7" s="1"/>
  <c r="L2299" i="7"/>
  <c r="N2299" i="7" s="1"/>
  <c r="L2300" i="7"/>
  <c r="N2300" i="7" s="1"/>
  <c r="L2301" i="7"/>
  <c r="N2301" i="7" s="1"/>
  <c r="L2302" i="7"/>
  <c r="N2302" i="7" s="1"/>
  <c r="L2303" i="7"/>
  <c r="N2303" i="7" s="1"/>
  <c r="L2304" i="7"/>
  <c r="N2304" i="7" s="1"/>
  <c r="L2305" i="7"/>
  <c r="N2305" i="7" s="1"/>
  <c r="L2306" i="7"/>
  <c r="N2306" i="7" s="1"/>
  <c r="L2307" i="7"/>
  <c r="N2307" i="7" s="1"/>
  <c r="L2308" i="7"/>
  <c r="N2308" i="7" s="1"/>
  <c r="L2309" i="7"/>
  <c r="N2309" i="7" s="1"/>
  <c r="L2310" i="7"/>
  <c r="N2310" i="7" s="1"/>
  <c r="L2311" i="7"/>
  <c r="N2311" i="7" s="1"/>
  <c r="L2312" i="7"/>
  <c r="N2312" i="7" s="1"/>
  <c r="L2313" i="7"/>
  <c r="N2313" i="7" s="1"/>
  <c r="L2314" i="7"/>
  <c r="N2314" i="7" s="1"/>
  <c r="L2315" i="7"/>
  <c r="N2315" i="7" s="1"/>
  <c r="L2316" i="7"/>
  <c r="N2316" i="7" s="1"/>
  <c r="L2317" i="7"/>
  <c r="N2317" i="7" s="1"/>
  <c r="L2320" i="7"/>
  <c r="N2320" i="7" s="1"/>
  <c r="O2320" i="7" s="1"/>
  <c r="L2321" i="7"/>
  <c r="N2321" i="7" s="1"/>
  <c r="O2321" i="7" s="1"/>
  <c r="L2322" i="7"/>
  <c r="N2322" i="7" s="1"/>
  <c r="O2322" i="7" s="1"/>
  <c r="L2323" i="7"/>
  <c r="N2323" i="7" s="1"/>
  <c r="O2323" i="7" s="1"/>
  <c r="L2324" i="7"/>
  <c r="N2324" i="7" s="1"/>
  <c r="O2324" i="7" s="1"/>
  <c r="L2325" i="7"/>
  <c r="N2325" i="7" s="1"/>
  <c r="O2325" i="7" s="1"/>
  <c r="L2326" i="7"/>
  <c r="N2326" i="7" s="1"/>
  <c r="O2326" i="7" s="1"/>
  <c r="L2327" i="7"/>
  <c r="N2327" i="7" s="1"/>
  <c r="O2327" i="7" s="1"/>
  <c r="L2328" i="7"/>
  <c r="N2328" i="7" s="1"/>
  <c r="O2328" i="7" s="1"/>
  <c r="L2329" i="7"/>
  <c r="N2329" i="7" s="1"/>
  <c r="O2329" i="7" s="1"/>
  <c r="L2330" i="7"/>
  <c r="N2330" i="7" s="1"/>
  <c r="O2330" i="7" s="1"/>
  <c r="L2331" i="7"/>
  <c r="N2331" i="7" s="1"/>
  <c r="O2331" i="7" s="1"/>
  <c r="L2332" i="7"/>
  <c r="N2332" i="7" s="1"/>
  <c r="O2332" i="7" s="1"/>
  <c r="L2333" i="7"/>
  <c r="N2333" i="7" s="1"/>
  <c r="O2333" i="7" s="1"/>
  <c r="L2334" i="7"/>
  <c r="N2334" i="7" s="1"/>
  <c r="O2334" i="7" s="1"/>
  <c r="L2335" i="7"/>
  <c r="N2335" i="7" s="1"/>
  <c r="O2335" i="7" s="1"/>
  <c r="L2336" i="7"/>
  <c r="N2336" i="7" s="1"/>
  <c r="O2336" i="7" s="1"/>
  <c r="L2337" i="7"/>
  <c r="N2337" i="7" s="1"/>
  <c r="O2337" i="7" s="1"/>
  <c r="L2338" i="7"/>
  <c r="N2338" i="7" s="1"/>
  <c r="O2338" i="7" s="1"/>
  <c r="L2339" i="7"/>
  <c r="N2339" i="7" s="1"/>
  <c r="O2339" i="7" s="1"/>
  <c r="L2340" i="7"/>
  <c r="N2340" i="7" s="1"/>
  <c r="O2340" i="7" s="1"/>
  <c r="L2343" i="7"/>
  <c r="N2343" i="7" s="1"/>
  <c r="O2343" i="7" s="1"/>
  <c r="L2344" i="7"/>
  <c r="N2344" i="7" s="1"/>
  <c r="O2344" i="7" s="1"/>
  <c r="L2345" i="7"/>
  <c r="N2345" i="7" s="1"/>
  <c r="O2345" i="7" s="1"/>
  <c r="L2346" i="7"/>
  <c r="N2346" i="7" s="1"/>
  <c r="O2346" i="7" s="1"/>
  <c r="L2347" i="7"/>
  <c r="N2347" i="7" s="1"/>
  <c r="O2347" i="7" s="1"/>
  <c r="L2348" i="7"/>
  <c r="N2348" i="7" s="1"/>
  <c r="O2348" i="7" s="1"/>
  <c r="L2349" i="7"/>
  <c r="N2349" i="7" s="1"/>
  <c r="O2349" i="7" s="1"/>
  <c r="L2350" i="7"/>
  <c r="N2350" i="7" s="1"/>
  <c r="O2350" i="7" s="1"/>
  <c r="L2351" i="7"/>
  <c r="N2351" i="7" s="1"/>
  <c r="O2351" i="7" s="1"/>
  <c r="L2352" i="7"/>
  <c r="N2352" i="7" s="1"/>
  <c r="O2352" i="7" s="1"/>
  <c r="L2353" i="7"/>
  <c r="N2353" i="7" s="1"/>
  <c r="O2353" i="7" s="1"/>
  <c r="L2354" i="7"/>
  <c r="N2354" i="7" s="1"/>
  <c r="O2354" i="7" s="1"/>
  <c r="L2355" i="7"/>
  <c r="N2355" i="7" s="1"/>
  <c r="O2355" i="7" s="1"/>
  <c r="L2356" i="7"/>
  <c r="N2356" i="7" s="1"/>
  <c r="O2356" i="7" s="1"/>
  <c r="L2357" i="7"/>
  <c r="N2357" i="7" s="1"/>
  <c r="O2357" i="7" s="1"/>
  <c r="L2358" i="7"/>
  <c r="N2358" i="7" s="1"/>
  <c r="O2358" i="7" s="1"/>
  <c r="L2359" i="7"/>
  <c r="N2359" i="7" s="1"/>
  <c r="O2359" i="7" s="1"/>
  <c r="L2360" i="7"/>
  <c r="N2360" i="7" s="1"/>
  <c r="O2360" i="7" s="1"/>
  <c r="L2361" i="7"/>
  <c r="N2361" i="7" s="1"/>
  <c r="O2361" i="7" s="1"/>
  <c r="L2362" i="7"/>
  <c r="N2362" i="7" s="1"/>
  <c r="O2362" i="7" s="1"/>
  <c r="L2363" i="7"/>
  <c r="N2363" i="7" s="1"/>
  <c r="O2363" i="7" s="1"/>
  <c r="L2366" i="7"/>
  <c r="N2366" i="7" s="1"/>
  <c r="O2366" i="7" s="1"/>
  <c r="L2367" i="7"/>
  <c r="N2367" i="7" s="1"/>
  <c r="O2367" i="7" s="1"/>
  <c r="L2368" i="7"/>
  <c r="N2368" i="7" s="1"/>
  <c r="O2368" i="7" s="1"/>
  <c r="L2369" i="7"/>
  <c r="N2369" i="7" s="1"/>
  <c r="O2369" i="7" s="1"/>
  <c r="L2370" i="7"/>
  <c r="N2370" i="7" s="1"/>
  <c r="O2370" i="7" s="1"/>
  <c r="L2371" i="7"/>
  <c r="N2371" i="7" s="1"/>
  <c r="O2371" i="7" s="1"/>
  <c r="L2372" i="7"/>
  <c r="N2372" i="7" s="1"/>
  <c r="O2372" i="7" s="1"/>
  <c r="L2373" i="7"/>
  <c r="N2373" i="7" s="1"/>
  <c r="O2373" i="7" s="1"/>
  <c r="L2374" i="7"/>
  <c r="N2374" i="7" s="1"/>
  <c r="O2374" i="7" s="1"/>
  <c r="L2375" i="7"/>
  <c r="N2375" i="7" s="1"/>
  <c r="O2375" i="7" s="1"/>
  <c r="L2376" i="7"/>
  <c r="N2376" i="7" s="1"/>
  <c r="O2376" i="7" s="1"/>
  <c r="L2377" i="7"/>
  <c r="N2377" i="7" s="1"/>
  <c r="O2377" i="7" s="1"/>
  <c r="L2378" i="7"/>
  <c r="N2378" i="7" s="1"/>
  <c r="O2378" i="7" s="1"/>
  <c r="L2379" i="7"/>
  <c r="N2379" i="7" s="1"/>
  <c r="O2379" i="7" s="1"/>
  <c r="L2380" i="7"/>
  <c r="N2380" i="7" s="1"/>
  <c r="O2380" i="7" s="1"/>
  <c r="L2381" i="7"/>
  <c r="N2381" i="7" s="1"/>
  <c r="O2381" i="7" s="1"/>
  <c r="L2382" i="7"/>
  <c r="N2382" i="7" s="1"/>
  <c r="O2382" i="7" s="1"/>
  <c r="L2383" i="7"/>
  <c r="N2383" i="7" s="1"/>
  <c r="O2383" i="7" s="1"/>
  <c r="L2384" i="7"/>
  <c r="N2384" i="7" s="1"/>
  <c r="O2384" i="7" s="1"/>
  <c r="L2385" i="7"/>
  <c r="N2385" i="7" s="1"/>
  <c r="O2385" i="7" s="1"/>
  <c r="L2386" i="7"/>
  <c r="N2386" i="7" s="1"/>
  <c r="O2386" i="7" s="1"/>
  <c r="L2389" i="7"/>
  <c r="N2389" i="7" s="1"/>
  <c r="O2389" i="7" s="1"/>
  <c r="L2390" i="7"/>
  <c r="N2390" i="7" s="1"/>
  <c r="O2390" i="7" s="1"/>
  <c r="L2391" i="7"/>
  <c r="N2391" i="7" s="1"/>
  <c r="O2391" i="7" s="1"/>
  <c r="L2392" i="7"/>
  <c r="N2392" i="7" s="1"/>
  <c r="O2392" i="7" s="1"/>
  <c r="L2393" i="7"/>
  <c r="N2393" i="7" s="1"/>
  <c r="O2393" i="7" s="1"/>
  <c r="L2394" i="7"/>
  <c r="N2394" i="7" s="1"/>
  <c r="O2394" i="7" s="1"/>
  <c r="L2395" i="7"/>
  <c r="N2395" i="7" s="1"/>
  <c r="O2395" i="7" s="1"/>
  <c r="L2396" i="7"/>
  <c r="N2396" i="7" s="1"/>
  <c r="O2396" i="7" s="1"/>
  <c r="L2397" i="7"/>
  <c r="N2397" i="7" s="1"/>
  <c r="O2397" i="7" s="1"/>
  <c r="L2398" i="7"/>
  <c r="N2398" i="7" s="1"/>
  <c r="O2398" i="7" s="1"/>
  <c r="L2399" i="7"/>
  <c r="N2399" i="7" s="1"/>
  <c r="O2399" i="7" s="1"/>
  <c r="L2400" i="7"/>
  <c r="N2400" i="7" s="1"/>
  <c r="O2400" i="7" s="1"/>
  <c r="L2401" i="7"/>
  <c r="N2401" i="7" s="1"/>
  <c r="O2401" i="7" s="1"/>
  <c r="L2402" i="7"/>
  <c r="N2402" i="7" s="1"/>
  <c r="O2402" i="7" s="1"/>
  <c r="L2403" i="7"/>
  <c r="N2403" i="7" s="1"/>
  <c r="O2403" i="7" s="1"/>
  <c r="L2404" i="7"/>
  <c r="N2404" i="7" s="1"/>
  <c r="O2404" i="7" s="1"/>
  <c r="L2405" i="7"/>
  <c r="N2405" i="7" s="1"/>
  <c r="O2405" i="7" s="1"/>
  <c r="L2406" i="7"/>
  <c r="N2406" i="7" s="1"/>
  <c r="O2406" i="7" s="1"/>
  <c r="L2407" i="7"/>
  <c r="N2407" i="7" s="1"/>
  <c r="O2407" i="7" s="1"/>
  <c r="L2408" i="7"/>
  <c r="N2408" i="7" s="1"/>
  <c r="O2408" i="7" s="1"/>
  <c r="L2409" i="7"/>
  <c r="N2409" i="7" s="1"/>
  <c r="O2409" i="7" s="1"/>
  <c r="L2412" i="7"/>
  <c r="N2412" i="7" s="1"/>
  <c r="L2413" i="7"/>
  <c r="N2413" i="7" s="1"/>
  <c r="L2414" i="7"/>
  <c r="N2414" i="7" s="1"/>
  <c r="L2415" i="7"/>
  <c r="N2415" i="7" s="1"/>
  <c r="L2416" i="7"/>
  <c r="N2416" i="7" s="1"/>
  <c r="L2417" i="7"/>
  <c r="N2417" i="7" s="1"/>
  <c r="L2418" i="7"/>
  <c r="N2418" i="7" s="1"/>
  <c r="L2419" i="7"/>
  <c r="N2419" i="7" s="1"/>
  <c r="L2420" i="7"/>
  <c r="N2420" i="7" s="1"/>
  <c r="L2421" i="7"/>
  <c r="N2421" i="7" s="1"/>
  <c r="L2422" i="7"/>
  <c r="N2422" i="7" s="1"/>
  <c r="L2423" i="7"/>
  <c r="N2423" i="7" s="1"/>
  <c r="L2424" i="7"/>
  <c r="N2424" i="7" s="1"/>
  <c r="L2425" i="7"/>
  <c r="N2425" i="7" s="1"/>
  <c r="L2426" i="7"/>
  <c r="N2426" i="7" s="1"/>
  <c r="L2427" i="7"/>
  <c r="N2427" i="7" s="1"/>
  <c r="L2428" i="7"/>
  <c r="N2428" i="7" s="1"/>
  <c r="L2429" i="7"/>
  <c r="N2429" i="7" s="1"/>
  <c r="L2430" i="7"/>
  <c r="N2430" i="7" s="1"/>
  <c r="L2431" i="7"/>
  <c r="N2431" i="7" s="1"/>
  <c r="L2432" i="7"/>
  <c r="N2432" i="7" s="1"/>
  <c r="L2435" i="7"/>
  <c r="N2435" i="7" s="1"/>
  <c r="O2435" i="7" s="1"/>
  <c r="L2436" i="7"/>
  <c r="N2436" i="7" s="1"/>
  <c r="O2436" i="7" s="1"/>
  <c r="L2437" i="7"/>
  <c r="N2437" i="7" s="1"/>
  <c r="O2437" i="7" s="1"/>
  <c r="L2438" i="7"/>
  <c r="N2438" i="7" s="1"/>
  <c r="O2438" i="7" s="1"/>
  <c r="L2439" i="7"/>
  <c r="N2439" i="7" s="1"/>
  <c r="O2439" i="7" s="1"/>
  <c r="L2440" i="7"/>
  <c r="N2440" i="7" s="1"/>
  <c r="O2440" i="7" s="1"/>
  <c r="L2441" i="7"/>
  <c r="N2441" i="7" s="1"/>
  <c r="O2441" i="7" s="1"/>
  <c r="L2442" i="7"/>
  <c r="N2442" i="7" s="1"/>
  <c r="O2442" i="7" s="1"/>
  <c r="L2443" i="7"/>
  <c r="N2443" i="7" s="1"/>
  <c r="O2443" i="7" s="1"/>
  <c r="L2444" i="7"/>
  <c r="N2444" i="7" s="1"/>
  <c r="O2444" i="7" s="1"/>
  <c r="L2445" i="7"/>
  <c r="N2445" i="7" s="1"/>
  <c r="O2445" i="7" s="1"/>
  <c r="L2446" i="7"/>
  <c r="N2446" i="7" s="1"/>
  <c r="O2446" i="7" s="1"/>
  <c r="L2447" i="7"/>
  <c r="N2447" i="7" s="1"/>
  <c r="O2447" i="7" s="1"/>
  <c r="L2448" i="7"/>
  <c r="N2448" i="7" s="1"/>
  <c r="O2448" i="7" s="1"/>
  <c r="L2451" i="7"/>
  <c r="N2451" i="7" s="1"/>
  <c r="O2451" i="7" s="1"/>
  <c r="L2452" i="7"/>
  <c r="N2452" i="7" s="1"/>
  <c r="O2452" i="7" s="1"/>
  <c r="L2453" i="7"/>
  <c r="N2453" i="7" s="1"/>
  <c r="O2453" i="7" s="1"/>
  <c r="L2454" i="7"/>
  <c r="N2454" i="7" s="1"/>
  <c r="O2454" i="7" s="1"/>
  <c r="L2455" i="7"/>
  <c r="N2455" i="7" s="1"/>
  <c r="O2455" i="7" s="1"/>
  <c r="L2456" i="7"/>
  <c r="N2456" i="7" s="1"/>
  <c r="O2456" i="7" s="1"/>
  <c r="L2457" i="7"/>
  <c r="N2457" i="7" s="1"/>
  <c r="O2457" i="7" s="1"/>
  <c r="L2458" i="7"/>
  <c r="N2458" i="7" s="1"/>
  <c r="O2458" i="7" s="1"/>
  <c r="L2459" i="7"/>
  <c r="N2459" i="7" s="1"/>
  <c r="O2459" i="7" s="1"/>
  <c r="L2460" i="7"/>
  <c r="N2460" i="7" s="1"/>
  <c r="O2460" i="7" s="1"/>
  <c r="L2461" i="7"/>
  <c r="N2461" i="7" s="1"/>
  <c r="O2461" i="7" s="1"/>
  <c r="L2462" i="7"/>
  <c r="N2462" i="7" s="1"/>
  <c r="O2462" i="7" s="1"/>
  <c r="L2463" i="7"/>
  <c r="N2463" i="7" s="1"/>
  <c r="O2463" i="7" s="1"/>
  <c r="L2464" i="7"/>
  <c r="N2464" i="7" s="1"/>
  <c r="O2464" i="7" s="1"/>
  <c r="L2467" i="7"/>
  <c r="N2467" i="7" s="1"/>
  <c r="O2467" i="7" s="1"/>
  <c r="L2468" i="7"/>
  <c r="N2468" i="7" s="1"/>
  <c r="O2468" i="7" s="1"/>
  <c r="L2469" i="7"/>
  <c r="N2469" i="7" s="1"/>
  <c r="O2469" i="7" s="1"/>
  <c r="L2470" i="7"/>
  <c r="N2470" i="7" s="1"/>
  <c r="O2470" i="7" s="1"/>
  <c r="L2471" i="7"/>
  <c r="N2471" i="7" s="1"/>
  <c r="O2471" i="7" s="1"/>
  <c r="L2472" i="7"/>
  <c r="N2472" i="7" s="1"/>
  <c r="O2472" i="7" s="1"/>
  <c r="L2473" i="7"/>
  <c r="N2473" i="7" s="1"/>
  <c r="O2473" i="7" s="1"/>
  <c r="L2474" i="7"/>
  <c r="N2474" i="7" s="1"/>
  <c r="O2474" i="7" s="1"/>
  <c r="L2475" i="7"/>
  <c r="N2475" i="7" s="1"/>
  <c r="O2475" i="7" s="1"/>
  <c r="L2476" i="7"/>
  <c r="N2476" i="7" s="1"/>
  <c r="O2476" i="7" s="1"/>
  <c r="L2477" i="7"/>
  <c r="N2477" i="7" s="1"/>
  <c r="O2477" i="7" s="1"/>
  <c r="L2478" i="7"/>
  <c r="N2478" i="7" s="1"/>
  <c r="O2478" i="7" s="1"/>
  <c r="L2479" i="7"/>
  <c r="N2479" i="7" s="1"/>
  <c r="O2479" i="7" s="1"/>
  <c r="L2480" i="7"/>
  <c r="N2480" i="7" s="1"/>
  <c r="O2480" i="7" s="1"/>
  <c r="L2483" i="7"/>
  <c r="N2483" i="7" s="1"/>
  <c r="O2483" i="7" s="1"/>
  <c r="L2484" i="7"/>
  <c r="N2484" i="7" s="1"/>
  <c r="O2484" i="7" s="1"/>
  <c r="L2485" i="7"/>
  <c r="N2485" i="7" s="1"/>
  <c r="O2485" i="7" s="1"/>
  <c r="L2486" i="7"/>
  <c r="N2486" i="7" s="1"/>
  <c r="O2486" i="7" s="1"/>
  <c r="L2487" i="7"/>
  <c r="N2487" i="7" s="1"/>
  <c r="O2487" i="7" s="1"/>
  <c r="L2488" i="7"/>
  <c r="N2488" i="7" s="1"/>
  <c r="O2488" i="7" s="1"/>
  <c r="L2489" i="7"/>
  <c r="N2489" i="7" s="1"/>
  <c r="O2489" i="7" s="1"/>
  <c r="L2490" i="7"/>
  <c r="N2490" i="7" s="1"/>
  <c r="O2490" i="7" s="1"/>
  <c r="L2491" i="7"/>
  <c r="N2491" i="7" s="1"/>
  <c r="O2491" i="7" s="1"/>
  <c r="L2492" i="7"/>
  <c r="N2492" i="7" s="1"/>
  <c r="O2492" i="7" s="1"/>
  <c r="L2493" i="7"/>
  <c r="N2493" i="7" s="1"/>
  <c r="O2493" i="7" s="1"/>
  <c r="L2494" i="7"/>
  <c r="N2494" i="7" s="1"/>
  <c r="O2494" i="7" s="1"/>
  <c r="L2495" i="7"/>
  <c r="N2495" i="7" s="1"/>
  <c r="O2495" i="7" s="1"/>
  <c r="L2496" i="7"/>
  <c r="N2496" i="7" s="1"/>
  <c r="O2496" i="7" s="1"/>
  <c r="L2499" i="7"/>
  <c r="N2499" i="7" s="1"/>
  <c r="O2499" i="7" s="1"/>
  <c r="L2500" i="7"/>
  <c r="N2500" i="7" s="1"/>
  <c r="O2500" i="7" s="1"/>
  <c r="L2501" i="7"/>
  <c r="N2501" i="7" s="1"/>
  <c r="O2501" i="7" s="1"/>
  <c r="L2502" i="7"/>
  <c r="N2502" i="7" s="1"/>
  <c r="O2502" i="7" s="1"/>
  <c r="L2503" i="7"/>
  <c r="N2503" i="7" s="1"/>
  <c r="O2503" i="7" s="1"/>
  <c r="L2504" i="7"/>
  <c r="N2504" i="7" s="1"/>
  <c r="O2504" i="7" s="1"/>
  <c r="L2505" i="7"/>
  <c r="N2505" i="7" s="1"/>
  <c r="O2505" i="7" s="1"/>
  <c r="L2506" i="7"/>
  <c r="N2506" i="7" s="1"/>
  <c r="O2506" i="7" s="1"/>
  <c r="L2507" i="7"/>
  <c r="N2507" i="7" s="1"/>
  <c r="O2507" i="7" s="1"/>
  <c r="L2508" i="7"/>
  <c r="N2508" i="7" s="1"/>
  <c r="O2508" i="7" s="1"/>
  <c r="L2509" i="7"/>
  <c r="N2509" i="7" s="1"/>
  <c r="O2509" i="7" s="1"/>
  <c r="L2510" i="7"/>
  <c r="N2510" i="7" s="1"/>
  <c r="O2510" i="7" s="1"/>
  <c r="L2511" i="7"/>
  <c r="N2511" i="7" s="1"/>
  <c r="O2511" i="7" s="1"/>
  <c r="L2512" i="7"/>
  <c r="N2512" i="7" s="1"/>
  <c r="O2512" i="7" s="1"/>
  <c r="L2515" i="7"/>
  <c r="N2515" i="7" s="1"/>
  <c r="O2515" i="7" s="1"/>
  <c r="L2516" i="7"/>
  <c r="N2516" i="7" s="1"/>
  <c r="O2516" i="7" s="1"/>
  <c r="L2517" i="7"/>
  <c r="N2517" i="7" s="1"/>
  <c r="O2517" i="7" s="1"/>
  <c r="L2518" i="7"/>
  <c r="N2518" i="7" s="1"/>
  <c r="O2518" i="7" s="1"/>
  <c r="L2519" i="7"/>
  <c r="N2519" i="7" s="1"/>
  <c r="O2519" i="7" s="1"/>
  <c r="L2520" i="7"/>
  <c r="N2520" i="7" s="1"/>
  <c r="O2520" i="7" s="1"/>
  <c r="L2521" i="7"/>
  <c r="N2521" i="7" s="1"/>
  <c r="O2521" i="7" s="1"/>
  <c r="L2522" i="7"/>
  <c r="N2522" i="7" s="1"/>
  <c r="O2522" i="7" s="1"/>
  <c r="L2523" i="7"/>
  <c r="N2523" i="7" s="1"/>
  <c r="O2523" i="7" s="1"/>
  <c r="L2524" i="7"/>
  <c r="N2524" i="7" s="1"/>
  <c r="O2524" i="7" s="1"/>
  <c r="L2525" i="7"/>
  <c r="N2525" i="7" s="1"/>
  <c r="O2525" i="7" s="1"/>
  <c r="L2526" i="7"/>
  <c r="N2526" i="7" s="1"/>
  <c r="O2526" i="7" s="1"/>
  <c r="L2527" i="7"/>
  <c r="N2527" i="7" s="1"/>
  <c r="O2527" i="7" s="1"/>
  <c r="L2528" i="7"/>
  <c r="N2528" i="7" s="1"/>
  <c r="O2528" i="7" s="1"/>
  <c r="L2531" i="7"/>
  <c r="N2531" i="7" s="1"/>
  <c r="O2531" i="7" s="1"/>
  <c r="L2532" i="7"/>
  <c r="N2532" i="7" s="1"/>
  <c r="O2532" i="7" s="1"/>
  <c r="L2533" i="7"/>
  <c r="N2533" i="7" s="1"/>
  <c r="O2533" i="7" s="1"/>
  <c r="L2534" i="7"/>
  <c r="N2534" i="7" s="1"/>
  <c r="O2534" i="7" s="1"/>
  <c r="L2535" i="7"/>
  <c r="N2535" i="7" s="1"/>
  <c r="O2535" i="7" s="1"/>
  <c r="L2536" i="7"/>
  <c r="N2536" i="7" s="1"/>
  <c r="O2536" i="7" s="1"/>
  <c r="L2537" i="7"/>
  <c r="N2537" i="7" s="1"/>
  <c r="O2537" i="7" s="1"/>
  <c r="L2538" i="7"/>
  <c r="N2538" i="7" s="1"/>
  <c r="O2538" i="7" s="1"/>
  <c r="L2539" i="7"/>
  <c r="N2539" i="7" s="1"/>
  <c r="O2539" i="7" s="1"/>
  <c r="L2540" i="7"/>
  <c r="N2540" i="7" s="1"/>
  <c r="O2540" i="7" s="1"/>
  <c r="L2541" i="7"/>
  <c r="N2541" i="7" s="1"/>
  <c r="O2541" i="7" s="1"/>
  <c r="L2542" i="7"/>
  <c r="N2542" i="7" s="1"/>
  <c r="O2542" i="7" s="1"/>
  <c r="L2543" i="7"/>
  <c r="N2543" i="7" s="1"/>
  <c r="O2543" i="7" s="1"/>
  <c r="L2544" i="7"/>
  <c r="N2544" i="7" s="1"/>
  <c r="O2544" i="7" s="1"/>
  <c r="L2547" i="7"/>
  <c r="N2547" i="7" s="1"/>
  <c r="L2548" i="7"/>
  <c r="N2548" i="7" s="1"/>
  <c r="L2549" i="7"/>
  <c r="N2549" i="7" s="1"/>
  <c r="L2550" i="7"/>
  <c r="N2550" i="7" s="1"/>
  <c r="L2551" i="7"/>
  <c r="N2551" i="7" s="1"/>
  <c r="L2552" i="7"/>
  <c r="N2552" i="7" s="1"/>
  <c r="L2553" i="7"/>
  <c r="N2553" i="7" s="1"/>
  <c r="L2554" i="7"/>
  <c r="N2554" i="7" s="1"/>
  <c r="L2555" i="7"/>
  <c r="N2555" i="7" s="1"/>
  <c r="L2556" i="7"/>
  <c r="N2556" i="7" s="1"/>
  <c r="L2557" i="7"/>
  <c r="N2557" i="7" s="1"/>
  <c r="L2558" i="7"/>
  <c r="N2558" i="7" s="1"/>
  <c r="L2559" i="7"/>
  <c r="N2559" i="7" s="1"/>
  <c r="L2560" i="7"/>
  <c r="N2560" i="7" s="1"/>
  <c r="L2656" i="7"/>
  <c r="N2656" i="7" s="1"/>
  <c r="L2563" i="7"/>
  <c r="L2564" i="7"/>
  <c r="N2564" i="7" s="1"/>
  <c r="O2564" i="7" s="1"/>
  <c r="L2565" i="7"/>
  <c r="N2565" i="7" s="1"/>
  <c r="O2565" i="7" s="1"/>
  <c r="L2567" i="7"/>
  <c r="N2567" i="7" s="1"/>
  <c r="O2567" i="7" s="1"/>
  <c r="L2568" i="7"/>
  <c r="N2568" i="7" s="1"/>
  <c r="O2568" i="7" s="1"/>
  <c r="L2569" i="7"/>
  <c r="N2569" i="7" s="1"/>
  <c r="O2569" i="7" s="1"/>
  <c r="L2570" i="7"/>
  <c r="N2570" i="7" s="1"/>
  <c r="O2570" i="7" s="1"/>
  <c r="L2571" i="7"/>
  <c r="N2571" i="7" s="1"/>
  <c r="O2571" i="7" s="1"/>
  <c r="L2572" i="7"/>
  <c r="N2572" i="7" s="1"/>
  <c r="O2572" i="7" s="1"/>
  <c r="L2575" i="7"/>
  <c r="N2575" i="7" s="1"/>
  <c r="O2575" i="7" s="1"/>
  <c r="L2576" i="7"/>
  <c r="N2576" i="7" s="1"/>
  <c r="O2576" i="7" s="1"/>
  <c r="L2577" i="7"/>
  <c r="N2577" i="7" s="1"/>
  <c r="O2577" i="7" s="1"/>
  <c r="L2578" i="7"/>
  <c r="N2578" i="7" s="1"/>
  <c r="O2578" i="7" s="1"/>
  <c r="L2579" i="7"/>
  <c r="N2579" i="7" s="1"/>
  <c r="O2579" i="7" s="1"/>
  <c r="L2580" i="7"/>
  <c r="N2580" i="7" s="1"/>
  <c r="O2580" i="7" s="1"/>
  <c r="L2581" i="7"/>
  <c r="N2581" i="7" s="1"/>
  <c r="O2581" i="7" s="1"/>
  <c r="L2582" i="7"/>
  <c r="N2582" i="7" s="1"/>
  <c r="O2582" i="7" s="1"/>
  <c r="L2583" i="7"/>
  <c r="N2583" i="7" s="1"/>
  <c r="O2583" i="7" s="1"/>
  <c r="L2584" i="7"/>
  <c r="N2584" i="7" s="1"/>
  <c r="O2584" i="7" s="1"/>
  <c r="L2587" i="7"/>
  <c r="N2587" i="7" s="1"/>
  <c r="O2587" i="7" s="1"/>
  <c r="L2588" i="7"/>
  <c r="N2588" i="7" s="1"/>
  <c r="O2588" i="7" s="1"/>
  <c r="L2589" i="7"/>
  <c r="N2589" i="7" s="1"/>
  <c r="O2589" i="7" s="1"/>
  <c r="L2590" i="7"/>
  <c r="N2590" i="7" s="1"/>
  <c r="O2590" i="7" s="1"/>
  <c r="L2591" i="7"/>
  <c r="N2591" i="7" s="1"/>
  <c r="O2591" i="7" s="1"/>
  <c r="L2592" i="7"/>
  <c r="N2592" i="7" s="1"/>
  <c r="O2592" i="7" s="1"/>
  <c r="L2593" i="7"/>
  <c r="N2593" i="7" s="1"/>
  <c r="O2593" i="7" s="1"/>
  <c r="L2594" i="7"/>
  <c r="N2594" i="7" s="1"/>
  <c r="O2594" i="7" s="1"/>
  <c r="L2595" i="7"/>
  <c r="N2595" i="7" s="1"/>
  <c r="O2595" i="7" s="1"/>
  <c r="L2596" i="7"/>
  <c r="N2596" i="7" s="1"/>
  <c r="O2596" i="7" s="1"/>
  <c r="L2599" i="7"/>
  <c r="N2599" i="7" s="1"/>
  <c r="O2599" i="7" s="1"/>
  <c r="L2600" i="7"/>
  <c r="N2600" i="7" s="1"/>
  <c r="O2600" i="7" s="1"/>
  <c r="L2601" i="7"/>
  <c r="N2601" i="7" s="1"/>
  <c r="O2601" i="7" s="1"/>
  <c r="L2602" i="7"/>
  <c r="N2602" i="7" s="1"/>
  <c r="O2602" i="7" s="1"/>
  <c r="L2603" i="7"/>
  <c r="N2603" i="7" s="1"/>
  <c r="O2603" i="7" s="1"/>
  <c r="L2604" i="7"/>
  <c r="N2604" i="7" s="1"/>
  <c r="O2604" i="7" s="1"/>
  <c r="L2605" i="7"/>
  <c r="N2605" i="7" s="1"/>
  <c r="O2605" i="7" s="1"/>
  <c r="L2606" i="7"/>
  <c r="N2606" i="7" s="1"/>
  <c r="O2606" i="7" s="1"/>
  <c r="L2607" i="7"/>
  <c r="N2607" i="7" s="1"/>
  <c r="O2607" i="7" s="1"/>
  <c r="L2608" i="7"/>
  <c r="N2608" i="7" s="1"/>
  <c r="O2608" i="7" s="1"/>
  <c r="L2611" i="7"/>
  <c r="N2611" i="7" s="1"/>
  <c r="O2611" i="7" s="1"/>
  <c r="L2612" i="7"/>
  <c r="N2612" i="7" s="1"/>
  <c r="O2612" i="7" s="1"/>
  <c r="L2613" i="7"/>
  <c r="N2613" i="7" s="1"/>
  <c r="O2613" i="7" s="1"/>
  <c r="L2614" i="7"/>
  <c r="N2614" i="7" s="1"/>
  <c r="O2614" i="7" s="1"/>
  <c r="L2615" i="7"/>
  <c r="N2615" i="7" s="1"/>
  <c r="O2615" i="7" s="1"/>
  <c r="L2616" i="7"/>
  <c r="N2616" i="7" s="1"/>
  <c r="O2616" i="7" s="1"/>
  <c r="L2617" i="7"/>
  <c r="N2617" i="7" s="1"/>
  <c r="O2617" i="7" s="1"/>
  <c r="L2618" i="7"/>
  <c r="N2618" i="7" s="1"/>
  <c r="O2618" i="7" s="1"/>
  <c r="L2619" i="7"/>
  <c r="N2619" i="7" s="1"/>
  <c r="O2619" i="7" s="1"/>
  <c r="L2620" i="7"/>
  <c r="N2620" i="7" s="1"/>
  <c r="O2620" i="7" s="1"/>
  <c r="L2623" i="7"/>
  <c r="N2623" i="7" s="1"/>
  <c r="O2623" i="7" s="1"/>
  <c r="L2624" i="7"/>
  <c r="N2624" i="7" s="1"/>
  <c r="O2624" i="7" s="1"/>
  <c r="L2625" i="7"/>
  <c r="N2625" i="7" s="1"/>
  <c r="O2625" i="7" s="1"/>
  <c r="L2626" i="7"/>
  <c r="N2626" i="7" s="1"/>
  <c r="O2626" i="7" s="1"/>
  <c r="L2627" i="7"/>
  <c r="N2627" i="7" s="1"/>
  <c r="O2627" i="7" s="1"/>
  <c r="L2628" i="7"/>
  <c r="N2628" i="7" s="1"/>
  <c r="O2628" i="7" s="1"/>
  <c r="L2629" i="7"/>
  <c r="N2629" i="7" s="1"/>
  <c r="O2629" i="7" s="1"/>
  <c r="L2630" i="7"/>
  <c r="N2630" i="7" s="1"/>
  <c r="O2630" i="7" s="1"/>
  <c r="L2631" i="7"/>
  <c r="N2631" i="7" s="1"/>
  <c r="O2631" i="7" s="1"/>
  <c r="L2632" i="7"/>
  <c r="N2632" i="7" s="1"/>
  <c r="O2632" i="7" s="1"/>
  <c r="L2635" i="7"/>
  <c r="N2635" i="7" s="1"/>
  <c r="O2635" i="7" s="1"/>
  <c r="L2636" i="7"/>
  <c r="N2636" i="7" s="1"/>
  <c r="O2636" i="7" s="1"/>
  <c r="L2637" i="7"/>
  <c r="N2637" i="7" s="1"/>
  <c r="O2637" i="7" s="1"/>
  <c r="L2638" i="7"/>
  <c r="N2638" i="7" s="1"/>
  <c r="O2638" i="7" s="1"/>
  <c r="L2639" i="7"/>
  <c r="N2639" i="7" s="1"/>
  <c r="O2639" i="7" s="1"/>
  <c r="L2640" i="7"/>
  <c r="N2640" i="7" s="1"/>
  <c r="O2640" i="7" s="1"/>
  <c r="L2641" i="7"/>
  <c r="N2641" i="7" s="1"/>
  <c r="O2641" i="7" s="1"/>
  <c r="L2642" i="7"/>
  <c r="N2642" i="7" s="1"/>
  <c r="O2642" i="7" s="1"/>
  <c r="L2643" i="7"/>
  <c r="N2643" i="7" s="1"/>
  <c r="O2643" i="7" s="1"/>
  <c r="L2644" i="7"/>
  <c r="N2644" i="7" s="1"/>
  <c r="O2644" i="7" s="1"/>
  <c r="L2647" i="7"/>
  <c r="N2647" i="7" s="1"/>
  <c r="L2648" i="7"/>
  <c r="N2648" i="7" s="1"/>
  <c r="L2649" i="7"/>
  <c r="N2649" i="7" s="1"/>
  <c r="L2650" i="7"/>
  <c r="N2650" i="7" s="1"/>
  <c r="L2651" i="7"/>
  <c r="N2651" i="7" s="1"/>
  <c r="L2652" i="7"/>
  <c r="N2652" i="7" s="1"/>
  <c r="L2653" i="7"/>
  <c r="N2653" i="7" s="1"/>
  <c r="L2654" i="7"/>
  <c r="N2654" i="7" s="1"/>
  <c r="L2655" i="7"/>
  <c r="N2655" i="7" s="1"/>
  <c r="L2659" i="7"/>
  <c r="N2659" i="7" s="1"/>
  <c r="O2659" i="7" s="1"/>
  <c r="L2660" i="7"/>
  <c r="N2660" i="7" s="1"/>
  <c r="O2660" i="7" s="1"/>
  <c r="L2661" i="7"/>
  <c r="N2661" i="7" s="1"/>
  <c r="O2661" i="7" s="1"/>
  <c r="L2662" i="7"/>
  <c r="N2662" i="7" s="1"/>
  <c r="O2662" i="7" s="1"/>
  <c r="L2663" i="7"/>
  <c r="N2663" i="7" s="1"/>
  <c r="O2663" i="7" s="1"/>
  <c r="L2664" i="7"/>
  <c r="N2664" i="7" s="1"/>
  <c r="O2664" i="7" s="1"/>
  <c r="L2665" i="7"/>
  <c r="N2665" i="7" s="1"/>
  <c r="O2665" i="7" s="1"/>
  <c r="L2666" i="7"/>
  <c r="N2666" i="7" s="1"/>
  <c r="O2666" i="7" s="1"/>
  <c r="L2667" i="7"/>
  <c r="N2667" i="7" s="1"/>
  <c r="O2667" i="7" s="1"/>
  <c r="L2668" i="7"/>
  <c r="N2668" i="7" s="1"/>
  <c r="O2668" i="7" s="1"/>
  <c r="L2671" i="7"/>
  <c r="N2671" i="7" s="1"/>
  <c r="O2671" i="7" s="1"/>
  <c r="L2672" i="7"/>
  <c r="N2672" i="7" s="1"/>
  <c r="O2672" i="7" s="1"/>
  <c r="L2673" i="7"/>
  <c r="N2673" i="7" s="1"/>
  <c r="O2673" i="7" s="1"/>
  <c r="L2674" i="7"/>
  <c r="N2674" i="7" s="1"/>
  <c r="O2674" i="7" s="1"/>
  <c r="L2675" i="7"/>
  <c r="N2675" i="7" s="1"/>
  <c r="O2675" i="7" s="1"/>
  <c r="L2676" i="7"/>
  <c r="N2676" i="7" s="1"/>
  <c r="O2676" i="7" s="1"/>
  <c r="L2677" i="7"/>
  <c r="N2677" i="7" s="1"/>
  <c r="O2677" i="7" s="1"/>
  <c r="L2678" i="7"/>
  <c r="N2678" i="7" s="1"/>
  <c r="O2678" i="7" s="1"/>
  <c r="L2679" i="7"/>
  <c r="N2679" i="7" s="1"/>
  <c r="O2679" i="7" s="1"/>
  <c r="L2680" i="7"/>
  <c r="N2680" i="7" s="1"/>
  <c r="O2680" i="7" s="1"/>
  <c r="L2683" i="7"/>
  <c r="N2683" i="7" s="1"/>
  <c r="O2683" i="7" s="1"/>
  <c r="L2684" i="7"/>
  <c r="N2684" i="7" s="1"/>
  <c r="O2684" i="7" s="1"/>
  <c r="L2685" i="7"/>
  <c r="N2685" i="7" s="1"/>
  <c r="O2685" i="7" s="1"/>
  <c r="L2686" i="7"/>
  <c r="N2686" i="7" s="1"/>
  <c r="O2686" i="7" s="1"/>
  <c r="L2687" i="7"/>
  <c r="N2687" i="7" s="1"/>
  <c r="O2687" i="7" s="1"/>
  <c r="L2688" i="7"/>
  <c r="N2688" i="7" s="1"/>
  <c r="O2688" i="7" s="1"/>
  <c r="L2689" i="7"/>
  <c r="N2689" i="7" s="1"/>
  <c r="O2689" i="7" s="1"/>
  <c r="L2690" i="7"/>
  <c r="N2690" i="7" s="1"/>
  <c r="O2690" i="7" s="1"/>
  <c r="L2691" i="7"/>
  <c r="N2691" i="7" s="1"/>
  <c r="O2691" i="7" s="1"/>
  <c r="L2692" i="7"/>
  <c r="N2692" i="7" s="1"/>
  <c r="O2692" i="7" s="1"/>
  <c r="L2695" i="7"/>
  <c r="N2695" i="7" s="1"/>
  <c r="O2695" i="7" s="1"/>
  <c r="L2696" i="7"/>
  <c r="N2696" i="7" s="1"/>
  <c r="O2696" i="7" s="1"/>
  <c r="L2697" i="7"/>
  <c r="N2697" i="7" s="1"/>
  <c r="O2697" i="7" s="1"/>
  <c r="L2698" i="7"/>
  <c r="N2698" i="7" s="1"/>
  <c r="O2698" i="7" s="1"/>
  <c r="L2699" i="7"/>
  <c r="N2699" i="7" s="1"/>
  <c r="O2699" i="7" s="1"/>
  <c r="L2700" i="7"/>
  <c r="N2700" i="7" s="1"/>
  <c r="O2700" i="7" s="1"/>
  <c r="L2701" i="7"/>
  <c r="N2701" i="7" s="1"/>
  <c r="O2701" i="7" s="1"/>
  <c r="L2702" i="7"/>
  <c r="N2702" i="7" s="1"/>
  <c r="O2702" i="7" s="1"/>
  <c r="L2703" i="7"/>
  <c r="N2703" i="7" s="1"/>
  <c r="O2703" i="7" s="1"/>
  <c r="L2704" i="7"/>
  <c r="N2704" i="7" s="1"/>
  <c r="O2704" i="7" s="1"/>
  <c r="L2707" i="7"/>
  <c r="N2707" i="7" s="1"/>
  <c r="O2707" i="7" s="1"/>
  <c r="L2708" i="7"/>
  <c r="N2708" i="7" s="1"/>
  <c r="O2708" i="7" s="1"/>
  <c r="L2709" i="7"/>
  <c r="N2709" i="7" s="1"/>
  <c r="O2709" i="7" s="1"/>
  <c r="L2710" i="7"/>
  <c r="N2710" i="7" s="1"/>
  <c r="O2710" i="7" s="1"/>
  <c r="L2711" i="7"/>
  <c r="N2711" i="7" s="1"/>
  <c r="O2711" i="7" s="1"/>
  <c r="L2712" i="7"/>
  <c r="N2712" i="7" s="1"/>
  <c r="O2712" i="7" s="1"/>
  <c r="L2713" i="7"/>
  <c r="N2713" i="7" s="1"/>
  <c r="O2713" i="7" s="1"/>
  <c r="L2714" i="7"/>
  <c r="N2714" i="7" s="1"/>
  <c r="O2714" i="7" s="1"/>
  <c r="L2715" i="7"/>
  <c r="N2715" i="7" s="1"/>
  <c r="O2715" i="7" s="1"/>
  <c r="L2716" i="7"/>
  <c r="N2716" i="7" s="1"/>
  <c r="O2716" i="7" s="1"/>
  <c r="L2719" i="7"/>
  <c r="N2719" i="7" s="1"/>
  <c r="O2719" i="7" s="1"/>
  <c r="L2720" i="7"/>
  <c r="N2720" i="7" s="1"/>
  <c r="O2720" i="7" s="1"/>
  <c r="L2721" i="7"/>
  <c r="N2721" i="7" s="1"/>
  <c r="O2721" i="7" s="1"/>
  <c r="L2722" i="7"/>
  <c r="N2722" i="7" s="1"/>
  <c r="O2722" i="7" s="1"/>
  <c r="L2723" i="7"/>
  <c r="N2723" i="7" s="1"/>
  <c r="O2723" i="7" s="1"/>
  <c r="L2724" i="7"/>
  <c r="N2724" i="7" s="1"/>
  <c r="O2724" i="7" s="1"/>
  <c r="L2725" i="7"/>
  <c r="N2725" i="7" s="1"/>
  <c r="O2725" i="7" s="1"/>
  <c r="L2726" i="7"/>
  <c r="N2726" i="7" s="1"/>
  <c r="O2726" i="7" s="1"/>
  <c r="L2727" i="7"/>
  <c r="N2727" i="7" s="1"/>
  <c r="O2727" i="7" s="1"/>
  <c r="L2728" i="7"/>
  <c r="N2728" i="7" s="1"/>
  <c r="O2728" i="7" s="1"/>
  <c r="L2731" i="7"/>
  <c r="N2731" i="7" s="1"/>
  <c r="O2731" i="7" s="1"/>
  <c r="L2732" i="7"/>
  <c r="N2732" i="7" s="1"/>
  <c r="O2732" i="7" s="1"/>
  <c r="L2733" i="7"/>
  <c r="N2733" i="7" s="1"/>
  <c r="O2733" i="7" s="1"/>
  <c r="L2734" i="7"/>
  <c r="N2734" i="7" s="1"/>
  <c r="O2734" i="7" s="1"/>
  <c r="L2735" i="7"/>
  <c r="N2735" i="7" s="1"/>
  <c r="O2735" i="7" s="1"/>
  <c r="L2736" i="7"/>
  <c r="N2736" i="7" s="1"/>
  <c r="O2736" i="7" s="1"/>
  <c r="L2737" i="7"/>
  <c r="N2737" i="7" s="1"/>
  <c r="O2737" i="7" s="1"/>
  <c r="L2738" i="7"/>
  <c r="N2738" i="7" s="1"/>
  <c r="O2738" i="7" s="1"/>
  <c r="L2739" i="7"/>
  <c r="N2739" i="7" s="1"/>
  <c r="O2739" i="7" s="1"/>
  <c r="L2740" i="7"/>
  <c r="N2740" i="7" s="1"/>
  <c r="O2740" i="7" s="1"/>
  <c r="L2743" i="7"/>
  <c r="N2743" i="7" s="1"/>
  <c r="O2743" i="7" s="1"/>
  <c r="L2744" i="7"/>
  <c r="N2744" i="7" s="1"/>
  <c r="O2744" i="7" s="1"/>
  <c r="L2745" i="7"/>
  <c r="N2745" i="7" s="1"/>
  <c r="O2745" i="7" s="1"/>
  <c r="L2746" i="7"/>
  <c r="N2746" i="7" s="1"/>
  <c r="O2746" i="7" s="1"/>
  <c r="L2747" i="7"/>
  <c r="N2747" i="7" s="1"/>
  <c r="O2747" i="7" s="1"/>
  <c r="L2748" i="7"/>
  <c r="N2748" i="7" s="1"/>
  <c r="O2748" i="7" s="1"/>
  <c r="L2749" i="7"/>
  <c r="N2749" i="7" s="1"/>
  <c r="O2749" i="7" s="1"/>
  <c r="L2750" i="7"/>
  <c r="N2750" i="7" s="1"/>
  <c r="O2750" i="7" s="1"/>
  <c r="L2751" i="7"/>
  <c r="N2751" i="7" s="1"/>
  <c r="O2751" i="7" s="1"/>
  <c r="L2752" i="7"/>
  <c r="N2752" i="7" s="1"/>
  <c r="O2752" i="7" s="1"/>
  <c r="L2755" i="7"/>
  <c r="N2755" i="7" s="1"/>
  <c r="O2755" i="7" s="1"/>
  <c r="L2756" i="7"/>
  <c r="N2756" i="7" s="1"/>
  <c r="O2756" i="7" s="1"/>
  <c r="L2757" i="7"/>
  <c r="N2757" i="7" s="1"/>
  <c r="O2757" i="7" s="1"/>
  <c r="L2758" i="7"/>
  <c r="N2758" i="7" s="1"/>
  <c r="O2758" i="7" s="1"/>
  <c r="L2759" i="7"/>
  <c r="N2759" i="7" s="1"/>
  <c r="O2759" i="7" s="1"/>
  <c r="L2760" i="7"/>
  <c r="N2760" i="7" s="1"/>
  <c r="O2760" i="7" s="1"/>
  <c r="L2761" i="7"/>
  <c r="N2761" i="7" s="1"/>
  <c r="O2761" i="7" s="1"/>
  <c r="L2762" i="7"/>
  <c r="N2762" i="7" s="1"/>
  <c r="O2762" i="7" s="1"/>
  <c r="L2763" i="7"/>
  <c r="N2763" i="7" s="1"/>
  <c r="O2763" i="7" s="1"/>
  <c r="L2764" i="7"/>
  <c r="N2764" i="7" s="1"/>
  <c r="O2764" i="7" s="1"/>
  <c r="L2767" i="7"/>
  <c r="N2767" i="7" s="1"/>
  <c r="O2767" i="7" s="1"/>
  <c r="L2768" i="7"/>
  <c r="N2768" i="7" s="1"/>
  <c r="O2768" i="7" s="1"/>
  <c r="L2769" i="7"/>
  <c r="N2769" i="7" s="1"/>
  <c r="O2769" i="7" s="1"/>
  <c r="L2770" i="7"/>
  <c r="N2770" i="7" s="1"/>
  <c r="O2770" i="7" s="1"/>
  <c r="L2771" i="7"/>
  <c r="N2771" i="7" s="1"/>
  <c r="O2771" i="7" s="1"/>
  <c r="L2772" i="7"/>
  <c r="N2772" i="7" s="1"/>
  <c r="O2772" i="7" s="1"/>
  <c r="L2773" i="7"/>
  <c r="N2773" i="7" s="1"/>
  <c r="O2773" i="7" s="1"/>
  <c r="L2774" i="7"/>
  <c r="N2774" i="7" s="1"/>
  <c r="O2774" i="7" s="1"/>
  <c r="L2775" i="7"/>
  <c r="N2775" i="7" s="1"/>
  <c r="O2775" i="7" s="1"/>
  <c r="L2776" i="7"/>
  <c r="N2776" i="7" s="1"/>
  <c r="O2776" i="7" s="1"/>
  <c r="L2779" i="7"/>
  <c r="N2779" i="7" s="1"/>
  <c r="O2779" i="7" s="1"/>
  <c r="L2780" i="7"/>
  <c r="N2780" i="7" s="1"/>
  <c r="O2780" i="7" s="1"/>
  <c r="L2781" i="7"/>
  <c r="N2781" i="7" s="1"/>
  <c r="O2781" i="7" s="1"/>
  <c r="L2782" i="7"/>
  <c r="N2782" i="7" s="1"/>
  <c r="O2782" i="7" s="1"/>
  <c r="L2783" i="7"/>
  <c r="N2783" i="7" s="1"/>
  <c r="O2783" i="7" s="1"/>
  <c r="L2784" i="7"/>
  <c r="N2784" i="7" s="1"/>
  <c r="O2784" i="7" s="1"/>
  <c r="L2785" i="7"/>
  <c r="N2785" i="7" s="1"/>
  <c r="O2785" i="7" s="1"/>
  <c r="L2786" i="7"/>
  <c r="N2786" i="7" s="1"/>
  <c r="O2786" i="7" s="1"/>
  <c r="L2787" i="7"/>
  <c r="N2787" i="7" s="1"/>
  <c r="O2787" i="7" s="1"/>
  <c r="L2788" i="7"/>
  <c r="N2788" i="7" s="1"/>
  <c r="O2788" i="7" s="1"/>
  <c r="L2791" i="7"/>
  <c r="N2791" i="7" s="1"/>
  <c r="O2791" i="7" s="1"/>
  <c r="L2792" i="7"/>
  <c r="N2792" i="7" s="1"/>
  <c r="O2792" i="7" s="1"/>
  <c r="L2793" i="7"/>
  <c r="N2793" i="7" s="1"/>
  <c r="O2793" i="7" s="1"/>
  <c r="L2794" i="7"/>
  <c r="N2794" i="7" s="1"/>
  <c r="O2794" i="7" s="1"/>
  <c r="L2795" i="7"/>
  <c r="N2795" i="7" s="1"/>
  <c r="O2795" i="7" s="1"/>
  <c r="L2796" i="7"/>
  <c r="N2796" i="7" s="1"/>
  <c r="O2796" i="7" s="1"/>
  <c r="L2797" i="7"/>
  <c r="N2797" i="7" s="1"/>
  <c r="O2797" i="7" s="1"/>
  <c r="L2798" i="7"/>
  <c r="N2798" i="7" s="1"/>
  <c r="O2798" i="7" s="1"/>
  <c r="L2799" i="7"/>
  <c r="N2799" i="7" s="1"/>
  <c r="O2799" i="7" s="1"/>
  <c r="L2800" i="7"/>
  <c r="N2800" i="7" s="1"/>
  <c r="O2800" i="7" s="1"/>
  <c r="L2803" i="7"/>
  <c r="N2803" i="7" s="1"/>
  <c r="O2803" i="7" s="1"/>
  <c r="L2804" i="7"/>
  <c r="N2804" i="7" s="1"/>
  <c r="O2804" i="7" s="1"/>
  <c r="L2805" i="7"/>
  <c r="N2805" i="7" s="1"/>
  <c r="O2805" i="7" s="1"/>
  <c r="L2806" i="7"/>
  <c r="N2806" i="7" s="1"/>
  <c r="O2806" i="7" s="1"/>
  <c r="L2807" i="7"/>
  <c r="N2807" i="7" s="1"/>
  <c r="O2807" i="7" s="1"/>
  <c r="L2808" i="7"/>
  <c r="N2808" i="7" s="1"/>
  <c r="O2808" i="7" s="1"/>
  <c r="L2809" i="7"/>
  <c r="N2809" i="7" s="1"/>
  <c r="O2809" i="7" s="1"/>
  <c r="L2812" i="7"/>
  <c r="N2812" i="7" s="1"/>
  <c r="O2812" i="7" s="1"/>
  <c r="L2813" i="7"/>
  <c r="N2813" i="7" s="1"/>
  <c r="O2813" i="7" s="1"/>
  <c r="L2814" i="7"/>
  <c r="N2814" i="7" s="1"/>
  <c r="O2814" i="7" s="1"/>
  <c r="L2815" i="7"/>
  <c r="N2815" i="7" s="1"/>
  <c r="O2815" i="7" s="1"/>
  <c r="L2816" i="7"/>
  <c r="N2816" i="7" s="1"/>
  <c r="O2816" i="7" s="1"/>
  <c r="L2817" i="7"/>
  <c r="N2817" i="7" s="1"/>
  <c r="O2817" i="7" s="1"/>
  <c r="L2818" i="7"/>
  <c r="N2818" i="7" s="1"/>
  <c r="O2818" i="7" s="1"/>
  <c r="L2821" i="7"/>
  <c r="N2821" i="7" s="1"/>
  <c r="O2821" i="7" s="1"/>
  <c r="L2822" i="7"/>
  <c r="N2822" i="7" s="1"/>
  <c r="O2822" i="7" s="1"/>
  <c r="L2823" i="7"/>
  <c r="N2823" i="7" s="1"/>
  <c r="O2823" i="7" s="1"/>
  <c r="L2824" i="7"/>
  <c r="N2824" i="7" s="1"/>
  <c r="O2824" i="7" s="1"/>
  <c r="L2825" i="7"/>
  <c r="N2825" i="7" s="1"/>
  <c r="O2825" i="7" s="1"/>
  <c r="L2826" i="7"/>
  <c r="N2826" i="7" s="1"/>
  <c r="O2826" i="7" s="1"/>
  <c r="L2827" i="7"/>
  <c r="N2827" i="7" s="1"/>
  <c r="O2827" i="7" s="1"/>
  <c r="L2830" i="7"/>
  <c r="N2830" i="7" s="1"/>
  <c r="O2830" i="7" s="1"/>
  <c r="L2831" i="7"/>
  <c r="N2831" i="7" s="1"/>
  <c r="O2831" i="7" s="1"/>
  <c r="L2832" i="7"/>
  <c r="N2832" i="7" s="1"/>
  <c r="O2832" i="7" s="1"/>
  <c r="L2833" i="7"/>
  <c r="N2833" i="7" s="1"/>
  <c r="O2833" i="7" s="1"/>
  <c r="L2834" i="7"/>
  <c r="N2834" i="7" s="1"/>
  <c r="O2834" i="7" s="1"/>
  <c r="L2835" i="7"/>
  <c r="N2835" i="7" s="1"/>
  <c r="O2835" i="7" s="1"/>
  <c r="L2836" i="7"/>
  <c r="N2836" i="7" s="1"/>
  <c r="O2836" i="7" s="1"/>
  <c r="L2839" i="7"/>
  <c r="N2839" i="7" s="1"/>
  <c r="O2839" i="7" s="1"/>
  <c r="L2840" i="7"/>
  <c r="N2840" i="7" s="1"/>
  <c r="O2840" i="7" s="1"/>
  <c r="L2841" i="7"/>
  <c r="N2841" i="7" s="1"/>
  <c r="O2841" i="7" s="1"/>
  <c r="L2842" i="7"/>
  <c r="N2842" i="7" s="1"/>
  <c r="O2842" i="7" s="1"/>
  <c r="L2843" i="7"/>
  <c r="N2843" i="7" s="1"/>
  <c r="O2843" i="7" s="1"/>
  <c r="L2844" i="7"/>
  <c r="N2844" i="7" s="1"/>
  <c r="O2844" i="7" s="1"/>
  <c r="L2845" i="7"/>
  <c r="N2845" i="7" s="1"/>
  <c r="O2845" i="7" s="1"/>
  <c r="L2848" i="7"/>
  <c r="N2848" i="7" s="1"/>
  <c r="O2848" i="7" s="1"/>
  <c r="L2849" i="7"/>
  <c r="N2849" i="7" s="1"/>
  <c r="O2849" i="7" s="1"/>
  <c r="L2850" i="7"/>
  <c r="N2850" i="7" s="1"/>
  <c r="O2850" i="7" s="1"/>
  <c r="L2851" i="7"/>
  <c r="N2851" i="7" s="1"/>
  <c r="O2851" i="7" s="1"/>
  <c r="L2852" i="7"/>
  <c r="N2852" i="7" s="1"/>
  <c r="O2852" i="7" s="1"/>
  <c r="L2853" i="7"/>
  <c r="N2853" i="7" s="1"/>
  <c r="O2853" i="7" s="1"/>
  <c r="L2854" i="7"/>
  <c r="N2854" i="7" s="1"/>
  <c r="O2854" i="7" s="1"/>
  <c r="L2857" i="7"/>
  <c r="N2857" i="7" s="1"/>
  <c r="O2857" i="7" s="1"/>
  <c r="L2858" i="7"/>
  <c r="N2858" i="7" s="1"/>
  <c r="O2858" i="7" s="1"/>
  <c r="L2859" i="7"/>
  <c r="N2859" i="7" s="1"/>
  <c r="O2859" i="7" s="1"/>
  <c r="L2860" i="7"/>
  <c r="N2860" i="7" s="1"/>
  <c r="O2860" i="7" s="1"/>
  <c r="L2861" i="7"/>
  <c r="N2861" i="7" s="1"/>
  <c r="O2861" i="7" s="1"/>
  <c r="L2862" i="7"/>
  <c r="N2862" i="7" s="1"/>
  <c r="O2862" i="7" s="1"/>
  <c r="L2863" i="7"/>
  <c r="N2863" i="7" s="1"/>
  <c r="O2863" i="7" s="1"/>
  <c r="L2866" i="7"/>
  <c r="N2866" i="7" s="1"/>
  <c r="O2866" i="7" s="1"/>
  <c r="L2867" i="7"/>
  <c r="N2867" i="7" s="1"/>
  <c r="O2867" i="7" s="1"/>
  <c r="L2868" i="7"/>
  <c r="N2868" i="7" s="1"/>
  <c r="O2868" i="7" s="1"/>
  <c r="L2869" i="7"/>
  <c r="N2869" i="7" s="1"/>
  <c r="O2869" i="7" s="1"/>
  <c r="L2870" i="7"/>
  <c r="N2870" i="7" s="1"/>
  <c r="O2870" i="7" s="1"/>
  <c r="L2871" i="7"/>
  <c r="N2871" i="7" s="1"/>
  <c r="O2871" i="7" s="1"/>
  <c r="L2872" i="7"/>
  <c r="N2872" i="7" s="1"/>
  <c r="O2872" i="7" s="1"/>
  <c r="L2875" i="7"/>
  <c r="N2875" i="7" s="1"/>
  <c r="O2875" i="7" s="1"/>
  <c r="L2876" i="7"/>
  <c r="N2876" i="7" s="1"/>
  <c r="O2876" i="7" s="1"/>
  <c r="L2877" i="7"/>
  <c r="N2877" i="7" s="1"/>
  <c r="O2877" i="7" s="1"/>
  <c r="L2878" i="7"/>
  <c r="N2878" i="7" s="1"/>
  <c r="O2878" i="7" s="1"/>
  <c r="L2879" i="7"/>
  <c r="N2879" i="7" s="1"/>
  <c r="O2879" i="7" s="1"/>
  <c r="L2880" i="7"/>
  <c r="N2880" i="7" s="1"/>
  <c r="O2880" i="7" s="1"/>
  <c r="L2881" i="7"/>
  <c r="N2881" i="7" s="1"/>
  <c r="O2881" i="7" s="1"/>
  <c r="L2884" i="7"/>
  <c r="N2884" i="7" s="1"/>
  <c r="O2884" i="7" s="1"/>
  <c r="L2885" i="7"/>
  <c r="N2885" i="7" s="1"/>
  <c r="O2885" i="7" s="1"/>
  <c r="L2886" i="7"/>
  <c r="N2886" i="7" s="1"/>
  <c r="O2886" i="7" s="1"/>
  <c r="L2887" i="7"/>
  <c r="N2887" i="7" s="1"/>
  <c r="O2887" i="7" s="1"/>
  <c r="L2888" i="7"/>
  <c r="N2888" i="7" s="1"/>
  <c r="O2888" i="7" s="1"/>
  <c r="L2889" i="7"/>
  <c r="N2889" i="7" s="1"/>
  <c r="O2889" i="7" s="1"/>
  <c r="L2890" i="7"/>
  <c r="N2890" i="7" s="1"/>
  <c r="O2890" i="7" s="1"/>
  <c r="L2893" i="7"/>
  <c r="N2893" i="7" s="1"/>
  <c r="O2893" i="7" s="1"/>
  <c r="L2894" i="7"/>
  <c r="N2894" i="7" s="1"/>
  <c r="O2894" i="7" s="1"/>
  <c r="L2895" i="7"/>
  <c r="N2895" i="7" s="1"/>
  <c r="O2895" i="7" s="1"/>
  <c r="L2896" i="7"/>
  <c r="N2896" i="7" s="1"/>
  <c r="O2896" i="7" s="1"/>
  <c r="L2897" i="7"/>
  <c r="N2897" i="7" s="1"/>
  <c r="O2897" i="7" s="1"/>
  <c r="L2898" i="7"/>
  <c r="N2898" i="7" s="1"/>
  <c r="O2898" i="7" s="1"/>
  <c r="L2899" i="7"/>
  <c r="N2899" i="7" s="1"/>
  <c r="O2899" i="7" s="1"/>
  <c r="L2902" i="7"/>
  <c r="N2902" i="7" s="1"/>
  <c r="O2902" i="7" s="1"/>
  <c r="L2903" i="7"/>
  <c r="N2903" i="7" s="1"/>
  <c r="O2903" i="7" s="1"/>
  <c r="L2904" i="7"/>
  <c r="N2904" i="7" s="1"/>
  <c r="O2904" i="7" s="1"/>
  <c r="L2905" i="7"/>
  <c r="N2905" i="7" s="1"/>
  <c r="O2905" i="7" s="1"/>
  <c r="L2906" i="7"/>
  <c r="N2906" i="7" s="1"/>
  <c r="O2906" i="7" s="1"/>
  <c r="L2907" i="7"/>
  <c r="N2907" i="7" s="1"/>
  <c r="O2907" i="7" s="1"/>
  <c r="L2908" i="7"/>
  <c r="N2908" i="7" s="1"/>
  <c r="O2908" i="7" s="1"/>
  <c r="L2911" i="7"/>
  <c r="N2911" i="7" s="1"/>
  <c r="O2911" i="7" s="1"/>
  <c r="L2912" i="7"/>
  <c r="N2912" i="7" s="1"/>
  <c r="O2912" i="7" s="1"/>
  <c r="L2913" i="7"/>
  <c r="N2913" i="7" s="1"/>
  <c r="O2913" i="7" s="1"/>
  <c r="L2914" i="7"/>
  <c r="N2914" i="7" s="1"/>
  <c r="O2914" i="7" s="1"/>
  <c r="L2915" i="7"/>
  <c r="N2915" i="7" s="1"/>
  <c r="O2915" i="7" s="1"/>
  <c r="L2916" i="7"/>
  <c r="N2916" i="7" s="1"/>
  <c r="O2916" i="7" s="1"/>
  <c r="L2917" i="7"/>
  <c r="N2917" i="7" s="1"/>
  <c r="O2917" i="7" s="1"/>
  <c r="L2920" i="7"/>
  <c r="N2920" i="7" s="1"/>
  <c r="O2920" i="7" s="1"/>
  <c r="L2921" i="7"/>
  <c r="N2921" i="7" s="1"/>
  <c r="O2921" i="7" s="1"/>
  <c r="L2922" i="7"/>
  <c r="N2922" i="7" s="1"/>
  <c r="O2922" i="7" s="1"/>
  <c r="L2923" i="7"/>
  <c r="N2923" i="7" s="1"/>
  <c r="O2923" i="7" s="1"/>
  <c r="L2924" i="7"/>
  <c r="N2924" i="7" s="1"/>
  <c r="O2924" i="7" s="1"/>
  <c r="L2925" i="7"/>
  <c r="N2925" i="7" s="1"/>
  <c r="O2925" i="7" s="1"/>
  <c r="L2926" i="7"/>
  <c r="N2926" i="7" s="1"/>
  <c r="O2926" i="7" s="1"/>
  <c r="L2929" i="7"/>
  <c r="N2929" i="7" s="1"/>
  <c r="O2929" i="7" s="1"/>
  <c r="L2930" i="7"/>
  <c r="N2930" i="7" s="1"/>
  <c r="O2930" i="7" s="1"/>
  <c r="L2931" i="7"/>
  <c r="N2931" i="7" s="1"/>
  <c r="O2931" i="7" s="1"/>
  <c r="L2932" i="7"/>
  <c r="N2932" i="7" s="1"/>
  <c r="O2932" i="7" s="1"/>
  <c r="L2933" i="7"/>
  <c r="N2933" i="7" s="1"/>
  <c r="O2933" i="7" s="1"/>
  <c r="L2934" i="7"/>
  <c r="N2934" i="7" s="1"/>
  <c r="O2934" i="7" s="1"/>
  <c r="L2935" i="7"/>
  <c r="N2935" i="7" s="1"/>
  <c r="O2935" i="7" s="1"/>
  <c r="L2938" i="7"/>
  <c r="N2938" i="7" s="1"/>
  <c r="O2938" i="7" s="1"/>
  <c r="L2939" i="7"/>
  <c r="N2939" i="7" s="1"/>
  <c r="O2939" i="7" s="1"/>
  <c r="L2940" i="7"/>
  <c r="N2940" i="7" s="1"/>
  <c r="O2940" i="7" s="1"/>
  <c r="L2941" i="7"/>
  <c r="N2941" i="7" s="1"/>
  <c r="O2941" i="7" s="1"/>
  <c r="L2942" i="7"/>
  <c r="N2942" i="7" s="1"/>
  <c r="O2942" i="7" s="1"/>
  <c r="L2943" i="7"/>
  <c r="N2943" i="7" s="1"/>
  <c r="O2943" i="7" s="1"/>
  <c r="L2944" i="7"/>
  <c r="N2944" i="7" s="1"/>
  <c r="O2944" i="7" s="1"/>
  <c r="L2947" i="7"/>
  <c r="N2947" i="7" s="1"/>
  <c r="O2947" i="7" s="1"/>
  <c r="L2948" i="7"/>
  <c r="N2948" i="7" s="1"/>
  <c r="O2948" i="7" s="1"/>
  <c r="L2949" i="7"/>
  <c r="N2949" i="7" s="1"/>
  <c r="O2949" i="7" s="1"/>
  <c r="L2950" i="7"/>
  <c r="N2950" i="7" s="1"/>
  <c r="O2950" i="7" s="1"/>
  <c r="L2951" i="7"/>
  <c r="N2951" i="7" s="1"/>
  <c r="O2951" i="7" s="1"/>
  <c r="L2952" i="7"/>
  <c r="N2952" i="7" s="1"/>
  <c r="O2952" i="7" s="1"/>
  <c r="L2953" i="7"/>
  <c r="N2953" i="7" s="1"/>
  <c r="O2953" i="7" s="1"/>
  <c r="L2956" i="7"/>
  <c r="N2956" i="7" s="1"/>
  <c r="O2956" i="7" s="1"/>
  <c r="L2957" i="7"/>
  <c r="N2957" i="7" s="1"/>
  <c r="O2957" i="7" s="1"/>
  <c r="L2958" i="7"/>
  <c r="N2958" i="7" s="1"/>
  <c r="O2958" i="7" s="1"/>
  <c r="L2959" i="7"/>
  <c r="N2959" i="7" s="1"/>
  <c r="O2959" i="7" s="1"/>
  <c r="L2960" i="7"/>
  <c r="N2960" i="7" s="1"/>
  <c r="O2960" i="7" s="1"/>
  <c r="L2961" i="7"/>
  <c r="N2961" i="7" s="1"/>
  <c r="O2961" i="7" s="1"/>
  <c r="L2962" i="7"/>
  <c r="N2962" i="7" s="1"/>
  <c r="O2962" i="7" s="1"/>
  <c r="L2965" i="7"/>
  <c r="N2965" i="7" s="1"/>
  <c r="O2965" i="7" s="1"/>
  <c r="L2967" i="7"/>
  <c r="N2967" i="7" s="1"/>
  <c r="O2967" i="7" s="1"/>
  <c r="L2968" i="7"/>
  <c r="N2968" i="7" s="1"/>
  <c r="O2968" i="7" s="1"/>
  <c r="L2971" i="7"/>
  <c r="N2971" i="7" s="1"/>
  <c r="O2971" i="7" s="1"/>
  <c r="L2973" i="7"/>
  <c r="N2973" i="7" s="1"/>
  <c r="O2973" i="7" s="1"/>
  <c r="L2974" i="7"/>
  <c r="N2974" i="7" s="1"/>
  <c r="O2974" i="7" s="1"/>
  <c r="L2977" i="7"/>
  <c r="N2977" i="7" s="1"/>
  <c r="O2977" i="7" s="1"/>
  <c r="L2979" i="7"/>
  <c r="N2979" i="7" s="1"/>
  <c r="O2979" i="7" s="1"/>
  <c r="L2980" i="7"/>
  <c r="N2980" i="7" s="1"/>
  <c r="O2980" i="7" s="1"/>
  <c r="L2983" i="7"/>
  <c r="N2983" i="7" s="1"/>
  <c r="O2983" i="7" s="1"/>
  <c r="L2985" i="7"/>
  <c r="N2985" i="7" s="1"/>
  <c r="O2985" i="7" s="1"/>
  <c r="L2986" i="7"/>
  <c r="N2986" i="7" s="1"/>
  <c r="O2986" i="7" s="1"/>
  <c r="L2989" i="7"/>
  <c r="N2989" i="7" s="1"/>
  <c r="O2989" i="7" s="1"/>
  <c r="L2991" i="7"/>
  <c r="N2991" i="7" s="1"/>
  <c r="O2991" i="7" s="1"/>
  <c r="L2992" i="7"/>
  <c r="N2992" i="7" s="1"/>
  <c r="O2992" i="7" s="1"/>
  <c r="L2995" i="7"/>
  <c r="N2995" i="7" s="1"/>
  <c r="O2995" i="7" s="1"/>
  <c r="L2997" i="7"/>
  <c r="N2997" i="7" s="1"/>
  <c r="O2997" i="7" s="1"/>
  <c r="L2998" i="7"/>
  <c r="N2998" i="7" s="1"/>
  <c r="O2998" i="7" s="1"/>
  <c r="L3001" i="7"/>
  <c r="N3001" i="7" s="1"/>
  <c r="O3001" i="7" s="1"/>
  <c r="L3003" i="7"/>
  <c r="N3003" i="7" s="1"/>
  <c r="O3003" i="7" s="1"/>
  <c r="L3004" i="7"/>
  <c r="N3004" i="7" s="1"/>
  <c r="O3004" i="7" s="1"/>
  <c r="L3007" i="7"/>
  <c r="N3007" i="7" s="1"/>
  <c r="O3007" i="7" s="1"/>
  <c r="L3009" i="7"/>
  <c r="N3009" i="7" s="1"/>
  <c r="O3009" i="7" s="1"/>
  <c r="L3010" i="7"/>
  <c r="N3010" i="7" s="1"/>
  <c r="O3010" i="7" s="1"/>
  <c r="L3037" i="7"/>
  <c r="N3037" i="7" s="1"/>
  <c r="O3037" i="7" s="1"/>
  <c r="L3013" i="7"/>
  <c r="N3013" i="7" s="1"/>
  <c r="O3013" i="7" s="1"/>
  <c r="L3014" i="7"/>
  <c r="N3014" i="7" s="1"/>
  <c r="O3014" i="7" s="1"/>
  <c r="L3015" i="7"/>
  <c r="N3015" i="7" s="1"/>
  <c r="O3015" i="7" s="1"/>
  <c r="L3016" i="7"/>
  <c r="N3016" i="7" s="1"/>
  <c r="O3016" i="7" s="1"/>
  <c r="L3017" i="7"/>
  <c r="N3017" i="7" s="1"/>
  <c r="O3017" i="7" s="1"/>
  <c r="L3018" i="7"/>
  <c r="N3018" i="7" s="1"/>
  <c r="O3018" i="7" s="1"/>
  <c r="L3019" i="7"/>
  <c r="N3019" i="7" s="1"/>
  <c r="O3019" i="7" s="1"/>
  <c r="L3022" i="7"/>
  <c r="N3022" i="7" s="1"/>
  <c r="O3022" i="7" s="1"/>
  <c r="L3023" i="7"/>
  <c r="N3023" i="7" s="1"/>
  <c r="O3023" i="7" s="1"/>
  <c r="L3024" i="7"/>
  <c r="N3024" i="7" s="1"/>
  <c r="O3024" i="7" s="1"/>
  <c r="L3025" i="7"/>
  <c r="N3025" i="7" s="1"/>
  <c r="O3025" i="7" s="1"/>
  <c r="L3026" i="7"/>
  <c r="N3026" i="7" s="1"/>
  <c r="O3026" i="7" s="1"/>
  <c r="L3027" i="7"/>
  <c r="N3027" i="7" s="1"/>
  <c r="O3027" i="7" s="1"/>
  <c r="L3028" i="7"/>
  <c r="N3028" i="7" s="1"/>
  <c r="O3028" i="7" s="1"/>
  <c r="L3031" i="7"/>
  <c r="N3031" i="7" s="1"/>
  <c r="O3031" i="7" s="1"/>
  <c r="L3032" i="7"/>
  <c r="N3032" i="7" s="1"/>
  <c r="O3032" i="7" s="1"/>
  <c r="L3033" i="7"/>
  <c r="N3033" i="7" s="1"/>
  <c r="O3033" i="7" s="1"/>
  <c r="L3034" i="7"/>
  <c r="N3034" i="7" s="1"/>
  <c r="O3034" i="7" s="1"/>
  <c r="L3035" i="7"/>
  <c r="N3035" i="7" s="1"/>
  <c r="O3035" i="7" s="1"/>
  <c r="L3036" i="7"/>
  <c r="N3036" i="7" s="1"/>
  <c r="L3042" i="7"/>
  <c r="N3042" i="7" s="1"/>
  <c r="O3042" i="7" s="1"/>
  <c r="L3043" i="7"/>
  <c r="N3043" i="7" s="1"/>
  <c r="O3043" i="7" s="1"/>
  <c r="L3048" i="7"/>
  <c r="N3048" i="7" s="1"/>
  <c r="O3048" i="7" s="1"/>
  <c r="L3049" i="7"/>
  <c r="N3049" i="7" s="1"/>
  <c r="O3049" i="7" s="1"/>
  <c r="L3052" i="7"/>
  <c r="N3052" i="7" s="1"/>
  <c r="O3052" i="7" s="1"/>
  <c r="L3054" i="7"/>
  <c r="N3054" i="7" s="1"/>
  <c r="O3054" i="7" s="1"/>
  <c r="L3055" i="7"/>
  <c r="N3055" i="7" s="1"/>
  <c r="O3055" i="7" s="1"/>
  <c r="L3058" i="7"/>
  <c r="N3058" i="7" s="1"/>
  <c r="L3059" i="7"/>
  <c r="N3059" i="7" s="1"/>
  <c r="L3060" i="7"/>
  <c r="N3060" i="7" s="1"/>
  <c r="L3061" i="7"/>
  <c r="N3061" i="7" s="1"/>
  <c r="L3062" i="7"/>
  <c r="N3062" i="7" s="1"/>
  <c r="L3063" i="7"/>
  <c r="N3063" i="7" s="1"/>
  <c r="L3064" i="7"/>
  <c r="N3064" i="7" s="1"/>
  <c r="L3065" i="7"/>
  <c r="N3065" i="7" s="1"/>
  <c r="L3066" i="7"/>
  <c r="N3066" i="7" s="1"/>
  <c r="L3067" i="7"/>
  <c r="N3067" i="7" s="1"/>
  <c r="L3068" i="7"/>
  <c r="N3068" i="7" s="1"/>
  <c r="L3069" i="7"/>
  <c r="N3069" i="7" s="1"/>
  <c r="L3070" i="7"/>
  <c r="N3070" i="7" s="1"/>
  <c r="L3071" i="7"/>
  <c r="N3071" i="7" s="1"/>
  <c r="L3072" i="7"/>
  <c r="N3072" i="7" s="1"/>
  <c r="L3073" i="7"/>
  <c r="N3073" i="7" s="1"/>
  <c r="L3074" i="7"/>
  <c r="N3074" i="7" s="1"/>
  <c r="L3075" i="7"/>
  <c r="N3075" i="7" s="1"/>
  <c r="O3075" i="7" s="1"/>
  <c r="L3076" i="7"/>
  <c r="N3076" i="7" s="1"/>
  <c r="O3076" i="7" s="1"/>
  <c r="L3077" i="7"/>
  <c r="N3077" i="7" s="1"/>
  <c r="O3077" i="7" s="1"/>
  <c r="L3078" i="7"/>
  <c r="N3078" i="7" s="1"/>
  <c r="O3078" i="7" s="1"/>
  <c r="L3079" i="7"/>
  <c r="N3079" i="7" s="1"/>
  <c r="O3079" i="7" s="1"/>
  <c r="L3080" i="7"/>
  <c r="N3080" i="7" s="1"/>
  <c r="O3080" i="7" s="1"/>
  <c r="L3081" i="7"/>
  <c r="N3081" i="7" s="1"/>
  <c r="O3081" i="7" s="1"/>
  <c r="L3082" i="7"/>
  <c r="N3082" i="7" s="1"/>
  <c r="O3082" i="7" s="1"/>
  <c r="L3083" i="7"/>
  <c r="N3083" i="7" s="1"/>
  <c r="O3083" i="7" s="1"/>
  <c r="L3084" i="7"/>
  <c r="N3084" i="7" s="1"/>
  <c r="O3084" i="7" s="1"/>
  <c r="L3085" i="7"/>
  <c r="N3085" i="7" s="1"/>
  <c r="O3085" i="7" s="1"/>
  <c r="L3086" i="7"/>
  <c r="N3086" i="7" s="1"/>
  <c r="O3086" i="7" s="1"/>
  <c r="L3087" i="7"/>
  <c r="N3087" i="7" s="1"/>
  <c r="O3087" i="7" s="1"/>
  <c r="L3088" i="7"/>
  <c r="N3088" i="7" s="1"/>
  <c r="O3088" i="7" s="1"/>
  <c r="L3089" i="7"/>
  <c r="N3089" i="7" s="1"/>
  <c r="O3089" i="7" s="1"/>
  <c r="L3090" i="7"/>
  <c r="N3090" i="7" s="1"/>
  <c r="O3090" i="7" s="1"/>
  <c r="L3091" i="7"/>
  <c r="N3091" i="7" s="1"/>
  <c r="O3091" i="7" s="1"/>
  <c r="L3092" i="7"/>
  <c r="N3092" i="7" s="1"/>
  <c r="O3092" i="7" s="1"/>
  <c r="L3093" i="7"/>
  <c r="N3093" i="7" s="1"/>
  <c r="O3093" i="7" s="1"/>
  <c r="L3094" i="7"/>
  <c r="N3094" i="7" s="1"/>
  <c r="O3094" i="7" s="1"/>
  <c r="L3095" i="7"/>
  <c r="N3095" i="7" s="1"/>
  <c r="O3095" i="7" s="1"/>
  <c r="L3096" i="7"/>
  <c r="N3096" i="7" s="1"/>
  <c r="O3096" i="7" s="1"/>
  <c r="L3097" i="7"/>
  <c r="N3097" i="7" s="1"/>
  <c r="O3097" i="7" s="1"/>
  <c r="L3098" i="7"/>
  <c r="N3098" i="7" s="1"/>
  <c r="O3098" i="7" s="1"/>
  <c r="L3099" i="7"/>
  <c r="N3099" i="7" s="1"/>
  <c r="O3099" i="7" s="1"/>
  <c r="L3100" i="7"/>
  <c r="N3100" i="7" s="1"/>
  <c r="O3100" i="7" s="1"/>
  <c r="L3101" i="7"/>
  <c r="N3101" i="7" s="1"/>
  <c r="O3101" i="7" s="1"/>
  <c r="L3102" i="7"/>
  <c r="N3102" i="7" s="1"/>
  <c r="O3102" i="7" s="1"/>
  <c r="L3103" i="7"/>
  <c r="N3103" i="7" s="1"/>
  <c r="O3103" i="7" s="1"/>
  <c r="L3104" i="7"/>
  <c r="N3104" i="7" s="1"/>
  <c r="O3104" i="7" s="1"/>
  <c r="L3105" i="7"/>
  <c r="N3105" i="7" s="1"/>
  <c r="O3105" i="7" s="1"/>
  <c r="L3106" i="7"/>
  <c r="N3106" i="7" s="1"/>
  <c r="O3106" i="7" s="1"/>
  <c r="L3107" i="7"/>
  <c r="N3107" i="7" s="1"/>
  <c r="O3107" i="7" s="1"/>
  <c r="L3108" i="7"/>
  <c r="N3108" i="7" s="1"/>
  <c r="O3108" i="7" s="1"/>
  <c r="L3109" i="7"/>
  <c r="N3109" i="7" s="1"/>
  <c r="O3109" i="7" s="1"/>
  <c r="L3110" i="7"/>
  <c r="N3110" i="7" s="1"/>
  <c r="O3110" i="7" s="1"/>
  <c r="L3111" i="7"/>
  <c r="N3111" i="7" s="1"/>
  <c r="O3111" i="7" s="1"/>
  <c r="L3112" i="7"/>
  <c r="N3112" i="7" s="1"/>
  <c r="O3112" i="7" s="1"/>
  <c r="L3113" i="7"/>
  <c r="N3113" i="7" s="1"/>
  <c r="O3113" i="7" s="1"/>
  <c r="L3114" i="7"/>
  <c r="N3114" i="7" s="1"/>
  <c r="O3114" i="7" s="1"/>
  <c r="L3115" i="7"/>
  <c r="N3115" i="7" s="1"/>
  <c r="O3115" i="7" s="1"/>
  <c r="L3116" i="7"/>
  <c r="N3116" i="7" s="1"/>
  <c r="O3116" i="7" s="1"/>
  <c r="L3117" i="7"/>
  <c r="N3117" i="7" s="1"/>
  <c r="O3117" i="7" s="1"/>
  <c r="L3118" i="7"/>
  <c r="N3118" i="7" s="1"/>
  <c r="O3118" i="7" s="1"/>
  <c r="L3119" i="7"/>
  <c r="N3119" i="7" s="1"/>
  <c r="O3119" i="7" s="1"/>
  <c r="L3120" i="7"/>
  <c r="N3120" i="7" s="1"/>
  <c r="O3120" i="7" s="1"/>
  <c r="L3121" i="7"/>
  <c r="N3121" i="7" s="1"/>
  <c r="O3121" i="7" s="1"/>
  <c r="L3122" i="7"/>
  <c r="N3122" i="7" s="1"/>
  <c r="O3122" i="7" s="1"/>
  <c r="L3123" i="7"/>
  <c r="N3123" i="7" s="1"/>
  <c r="O3123" i="7" s="1"/>
  <c r="L3124" i="7"/>
  <c r="N3124" i="7" s="1"/>
  <c r="O3124" i="7" s="1"/>
  <c r="L3125" i="7"/>
  <c r="N3125" i="7" s="1"/>
  <c r="O3125" i="7" s="1"/>
  <c r="L3126" i="7"/>
  <c r="N3126" i="7" s="1"/>
  <c r="O3126" i="7" s="1"/>
  <c r="L3127" i="7"/>
  <c r="N3127" i="7" s="1"/>
  <c r="O3127" i="7" s="1"/>
  <c r="L3128" i="7"/>
  <c r="N3128" i="7" s="1"/>
  <c r="O3128" i="7" s="1"/>
  <c r="L3129" i="7"/>
  <c r="N3129" i="7" s="1"/>
  <c r="O3129" i="7" s="1"/>
  <c r="L3130" i="7"/>
  <c r="N3130" i="7" s="1"/>
  <c r="O3130" i="7" s="1"/>
  <c r="L3131" i="7"/>
  <c r="N3131" i="7" s="1"/>
  <c r="O3131" i="7" s="1"/>
  <c r="L3132" i="7"/>
  <c r="N3132" i="7" s="1"/>
  <c r="O3132" i="7" s="1"/>
  <c r="L3133" i="7"/>
  <c r="N3133" i="7" s="1"/>
  <c r="O3133" i="7" s="1"/>
  <c r="L3134" i="7"/>
  <c r="N3134" i="7" s="1"/>
  <c r="O3134" i="7" s="1"/>
  <c r="L3135" i="7"/>
  <c r="N3135" i="7" s="1"/>
  <c r="O3135" i="7" s="1"/>
  <c r="L3136" i="7"/>
  <c r="N3136" i="7" s="1"/>
  <c r="O3136" i="7" s="1"/>
  <c r="L3137" i="7"/>
  <c r="N3137" i="7" s="1"/>
  <c r="O3137" i="7" s="1"/>
  <c r="L3138" i="7"/>
  <c r="N3138" i="7" s="1"/>
  <c r="O3138" i="7" s="1"/>
  <c r="L3139" i="7"/>
  <c r="N3139" i="7" s="1"/>
  <c r="O3139" i="7" s="1"/>
  <c r="L3140" i="7"/>
  <c r="N3140" i="7" s="1"/>
  <c r="O3140" i="7" s="1"/>
  <c r="L3141" i="7"/>
  <c r="N3141" i="7" s="1"/>
  <c r="O3141" i="7" s="1"/>
  <c r="L3142" i="7"/>
  <c r="N3142" i="7" s="1"/>
  <c r="O3142" i="7" s="1"/>
  <c r="L3143" i="7"/>
  <c r="N3143" i="7" s="1"/>
  <c r="O3143" i="7" s="1"/>
  <c r="L3144" i="7"/>
  <c r="N3144" i="7" s="1"/>
  <c r="O3144" i="7" s="1"/>
  <c r="L3145" i="7"/>
  <c r="N3145" i="7" s="1"/>
  <c r="O3145" i="7" s="1"/>
  <c r="L3146" i="7"/>
  <c r="N3146" i="7" s="1"/>
  <c r="O3146" i="7" s="1"/>
  <c r="L3147" i="7"/>
  <c r="N3147" i="7" s="1"/>
  <c r="O3147" i="7" s="1"/>
  <c r="L3148" i="7"/>
  <c r="N3148" i="7" s="1"/>
  <c r="O3148" i="7" s="1"/>
  <c r="L3149" i="7"/>
  <c r="N3149" i="7" s="1"/>
  <c r="O3149" i="7" s="1"/>
  <c r="L3150" i="7"/>
  <c r="N3150" i="7" s="1"/>
  <c r="O3150" i="7" s="1"/>
  <c r="L3151" i="7"/>
  <c r="N3151" i="7" s="1"/>
  <c r="O3151" i="7" s="1"/>
  <c r="L3152" i="7"/>
  <c r="N3152" i="7" s="1"/>
  <c r="O3152" i="7" s="1"/>
  <c r="L3153" i="7"/>
  <c r="N3153" i="7" s="1"/>
  <c r="O3153" i="7" s="1"/>
  <c r="L3154" i="7"/>
  <c r="N3154" i="7" s="1"/>
  <c r="O3154" i="7" s="1"/>
  <c r="L3155" i="7"/>
  <c r="N3155" i="7" s="1"/>
  <c r="O3155" i="7" s="1"/>
  <c r="L3156" i="7"/>
  <c r="N3156" i="7" s="1"/>
  <c r="O3156" i="7" s="1"/>
  <c r="L3157" i="7"/>
  <c r="N3157" i="7" s="1"/>
  <c r="O3157" i="7" s="1"/>
  <c r="L3158" i="7"/>
  <c r="N3158" i="7" s="1"/>
  <c r="O3158" i="7" s="1"/>
  <c r="L3159" i="7"/>
  <c r="N3159" i="7" s="1"/>
  <c r="O3159" i="7" s="1"/>
  <c r="L3160" i="7"/>
  <c r="N3160" i="7" s="1"/>
  <c r="O3160" i="7" s="1"/>
  <c r="L3161" i="7"/>
  <c r="N3161" i="7" s="1"/>
  <c r="O3161" i="7" s="1"/>
  <c r="L3162" i="7"/>
  <c r="N3162" i="7" s="1"/>
  <c r="O3162" i="7" s="1"/>
  <c r="L3163" i="7"/>
  <c r="N3163" i="7" s="1"/>
  <c r="O3163" i="7" s="1"/>
  <c r="L3164" i="7"/>
  <c r="N3164" i="7" s="1"/>
  <c r="O3164" i="7" s="1"/>
  <c r="L3165" i="7"/>
  <c r="N3165" i="7" s="1"/>
  <c r="O3165" i="7" s="1"/>
  <c r="L3166" i="7"/>
  <c r="N3166" i="7" s="1"/>
  <c r="O3166" i="7" s="1"/>
  <c r="L3167" i="7"/>
  <c r="N3167" i="7" s="1"/>
  <c r="O3167" i="7" s="1"/>
  <c r="L3170" i="7"/>
  <c r="N3170" i="7" s="1"/>
  <c r="L3171" i="7"/>
  <c r="N3171" i="7" s="1"/>
  <c r="L3172" i="7"/>
  <c r="N3172" i="7" s="1"/>
  <c r="L3173" i="7"/>
  <c r="N3173" i="7" s="1"/>
  <c r="L3174" i="7"/>
  <c r="N3174" i="7" s="1"/>
  <c r="L3175" i="7"/>
  <c r="N3175" i="7" s="1"/>
  <c r="L3176" i="7"/>
  <c r="N3176" i="7" s="1"/>
  <c r="L3177" i="7"/>
  <c r="N3177" i="7" s="1"/>
  <c r="L3178" i="7"/>
  <c r="N3178" i="7" s="1"/>
  <c r="L3179" i="7"/>
  <c r="N3179" i="7" s="1"/>
  <c r="L3180" i="7"/>
  <c r="N3180" i="7" s="1"/>
  <c r="L3181" i="7"/>
  <c r="N3181" i="7" s="1"/>
  <c r="L3182" i="7"/>
  <c r="N3182" i="7" s="1"/>
  <c r="L3183" i="7"/>
  <c r="N3183" i="7" s="1"/>
  <c r="L3184" i="7"/>
  <c r="N3184" i="7" s="1"/>
  <c r="L3185" i="7"/>
  <c r="N3185" i="7" s="1"/>
  <c r="L3186" i="7"/>
  <c r="N3186" i="7" s="1"/>
  <c r="L3187" i="7"/>
  <c r="N3187" i="7" s="1"/>
  <c r="L3188" i="7"/>
  <c r="N3188" i="7" s="1"/>
  <c r="L3189" i="7"/>
  <c r="N3189" i="7" s="1"/>
  <c r="L3190" i="7"/>
  <c r="N3190" i="7" s="1"/>
  <c r="L3191" i="7"/>
  <c r="N3191" i="7" s="1"/>
  <c r="L3192" i="7"/>
  <c r="N3192" i="7" s="1"/>
  <c r="L3193" i="7"/>
  <c r="N3193" i="7" s="1"/>
  <c r="L3194" i="7"/>
  <c r="N3194" i="7" s="1"/>
  <c r="L3195" i="7"/>
  <c r="N3195" i="7" s="1"/>
  <c r="L3196" i="7"/>
  <c r="N3196" i="7" s="1"/>
  <c r="L3197" i="7"/>
  <c r="N3197" i="7" s="1"/>
  <c r="L3198" i="7"/>
  <c r="N3198" i="7" s="1"/>
  <c r="L3199" i="7"/>
  <c r="N3199" i="7" s="1"/>
  <c r="L3200" i="7"/>
  <c r="N3200" i="7" s="1"/>
  <c r="L3201" i="7"/>
  <c r="N3201" i="7" s="1"/>
  <c r="L3202" i="7"/>
  <c r="N3202" i="7" s="1"/>
  <c r="L3203" i="7"/>
  <c r="N3203" i="7" s="1"/>
  <c r="L3204" i="7"/>
  <c r="N3204" i="7" s="1"/>
  <c r="L3205" i="7"/>
  <c r="N3205" i="7" s="1"/>
  <c r="L3206" i="7"/>
  <c r="N3206" i="7" s="1"/>
  <c r="L3207" i="7"/>
  <c r="N3207" i="7" s="1"/>
  <c r="L3208" i="7"/>
  <c r="N3208" i="7" s="1"/>
  <c r="L3209" i="7"/>
  <c r="N3209" i="7" s="1"/>
  <c r="L3210" i="7"/>
  <c r="N3210" i="7" s="1"/>
  <c r="L3211" i="7"/>
  <c r="N3211" i="7" s="1"/>
  <c r="L3212" i="7"/>
  <c r="N3212" i="7" s="1"/>
  <c r="L3213" i="7"/>
  <c r="N3213" i="7" s="1"/>
  <c r="L3214" i="7"/>
  <c r="N3214" i="7" s="1"/>
  <c r="L3215" i="7"/>
  <c r="N3215" i="7" s="1"/>
  <c r="L3216" i="7"/>
  <c r="N3216" i="7" s="1"/>
  <c r="L3217" i="7"/>
  <c r="N3217" i="7" s="1"/>
  <c r="L3218" i="7"/>
  <c r="N3218" i="7" s="1"/>
  <c r="L3219" i="7"/>
  <c r="N3219" i="7" s="1"/>
  <c r="L3220" i="7"/>
  <c r="N3220" i="7" s="1"/>
  <c r="L3221" i="7"/>
  <c r="N3221" i="7" s="1"/>
  <c r="L3222" i="7"/>
  <c r="N3222" i="7" s="1"/>
  <c r="L3223" i="7"/>
  <c r="N3223" i="7" s="1"/>
  <c r="L3224" i="7"/>
  <c r="N3224" i="7" s="1"/>
  <c r="L3225" i="7"/>
  <c r="N3225" i="7" s="1"/>
  <c r="L3226" i="7"/>
  <c r="N3226" i="7" s="1"/>
  <c r="L3227" i="7"/>
  <c r="N3227" i="7" s="1"/>
  <c r="L3228" i="7"/>
  <c r="N3228" i="7" s="1"/>
  <c r="L3229" i="7"/>
  <c r="N3229" i="7" s="1"/>
  <c r="L3230" i="7"/>
  <c r="N3230" i="7" s="1"/>
  <c r="L3231" i="7"/>
  <c r="N3231" i="7" s="1"/>
  <c r="L3232" i="7"/>
  <c r="N3232" i="7" s="1"/>
  <c r="L3233" i="7"/>
  <c r="N3233" i="7" s="1"/>
  <c r="L3234" i="7"/>
  <c r="N3234" i="7" s="1"/>
  <c r="L3235" i="7"/>
  <c r="N3235" i="7" s="1"/>
  <c r="L3236" i="7"/>
  <c r="N3236" i="7" s="1"/>
  <c r="L3237" i="7"/>
  <c r="N3237" i="7" s="1"/>
  <c r="L3238" i="7"/>
  <c r="N3238" i="7" s="1"/>
  <c r="L3239" i="7"/>
  <c r="N3239" i="7" s="1"/>
  <c r="L3240" i="7"/>
  <c r="N3240" i="7" s="1"/>
  <c r="L3241" i="7"/>
  <c r="N3241" i="7" s="1"/>
  <c r="L3242" i="7"/>
  <c r="N3242" i="7" s="1"/>
  <c r="L3243" i="7"/>
  <c r="N3243" i="7" s="1"/>
  <c r="L3244" i="7"/>
  <c r="N3244" i="7" s="1"/>
  <c r="L3245" i="7"/>
  <c r="N3245" i="7" s="1"/>
  <c r="L3246" i="7"/>
  <c r="N3246" i="7" s="1"/>
  <c r="L3247" i="7"/>
  <c r="N3247" i="7" s="1"/>
  <c r="L3248" i="7"/>
  <c r="N3248" i="7" s="1"/>
  <c r="L3249" i="7"/>
  <c r="N3249" i="7" s="1"/>
  <c r="L3250" i="7"/>
  <c r="N3250" i="7" s="1"/>
  <c r="L3251" i="7"/>
  <c r="N3251" i="7" s="1"/>
  <c r="L3252" i="7"/>
  <c r="N3252" i="7" s="1"/>
  <c r="L3253" i="7"/>
  <c r="N3253" i="7" s="1"/>
  <c r="L3254" i="7"/>
  <c r="N3254" i="7" s="1"/>
  <c r="L3255" i="7"/>
  <c r="N3255" i="7" s="1"/>
  <c r="L3256" i="7"/>
  <c r="N3256" i="7" s="1"/>
  <c r="L3257" i="7"/>
  <c r="N3257" i="7" s="1"/>
  <c r="L3258" i="7"/>
  <c r="N3258" i="7" s="1"/>
  <c r="L3259" i="7"/>
  <c r="N3259" i="7" s="1"/>
  <c r="L3260" i="7"/>
  <c r="N3260" i="7" s="1"/>
  <c r="L3261" i="7"/>
  <c r="N3261" i="7" s="1"/>
  <c r="L3262" i="7"/>
  <c r="N3262" i="7" s="1"/>
  <c r="L3265" i="7"/>
  <c r="N3265" i="7" s="1"/>
  <c r="O3265" i="7" s="1"/>
  <c r="L3266" i="7"/>
  <c r="N3266" i="7" s="1"/>
  <c r="O3266" i="7" s="1"/>
  <c r="L3267" i="7"/>
  <c r="N3267" i="7" s="1"/>
  <c r="O3267" i="7" s="1"/>
  <c r="L3268" i="7"/>
  <c r="N3268" i="7" s="1"/>
  <c r="O3268" i="7" s="1"/>
  <c r="L3269" i="7"/>
  <c r="N3269" i="7" s="1"/>
  <c r="O3269" i="7" s="1"/>
  <c r="L3270" i="7"/>
  <c r="N3270" i="7" s="1"/>
  <c r="O3270" i="7" s="1"/>
  <c r="L3271" i="7"/>
  <c r="N3271" i="7" s="1"/>
  <c r="O3271" i="7" s="1"/>
  <c r="L3272" i="7"/>
  <c r="N3272" i="7" s="1"/>
  <c r="O3272" i="7" s="1"/>
  <c r="L3273" i="7"/>
  <c r="N3273" i="7" s="1"/>
  <c r="O3273" i="7" s="1"/>
  <c r="L3274" i="7"/>
  <c r="N3274" i="7" s="1"/>
  <c r="O3274" i="7" s="1"/>
  <c r="L3275" i="7"/>
  <c r="N3275" i="7" s="1"/>
  <c r="O3275" i="7" s="1"/>
  <c r="L3276" i="7"/>
  <c r="N3276" i="7" s="1"/>
  <c r="O3276" i="7" s="1"/>
  <c r="L3277" i="7"/>
  <c r="N3277" i="7" s="1"/>
  <c r="O3277" i="7" s="1"/>
  <c r="L3278" i="7"/>
  <c r="N3278" i="7" s="1"/>
  <c r="O3278" i="7" s="1"/>
  <c r="L3279" i="7"/>
  <c r="N3279" i="7" s="1"/>
  <c r="O3279" i="7" s="1"/>
  <c r="L3280" i="7"/>
  <c r="N3280" i="7" s="1"/>
  <c r="O3280" i="7" s="1"/>
  <c r="L3281" i="7"/>
  <c r="N3281" i="7" s="1"/>
  <c r="O3281" i="7" s="1"/>
  <c r="L3282" i="7"/>
  <c r="N3282" i="7" s="1"/>
  <c r="O3282" i="7" s="1"/>
  <c r="L3283" i="7"/>
  <c r="N3283" i="7" s="1"/>
  <c r="O3283" i="7" s="1"/>
  <c r="L3284" i="7"/>
  <c r="N3284" i="7" s="1"/>
  <c r="O3284" i="7" s="1"/>
  <c r="L3285" i="7"/>
  <c r="N3285" i="7" s="1"/>
  <c r="O3285" i="7" s="1"/>
  <c r="L3286" i="7"/>
  <c r="N3286" i="7" s="1"/>
  <c r="O3286" i="7" s="1"/>
  <c r="L3287" i="7"/>
  <c r="N3287" i="7" s="1"/>
  <c r="O3287" i="7" s="1"/>
  <c r="L3288" i="7"/>
  <c r="N3288" i="7" s="1"/>
  <c r="O3288" i="7" s="1"/>
  <c r="L3289" i="7"/>
  <c r="N3289" i="7" s="1"/>
  <c r="O3289" i="7" s="1"/>
  <c r="L3290" i="7"/>
  <c r="N3290" i="7" s="1"/>
  <c r="O3290" i="7" s="1"/>
  <c r="L3291" i="7"/>
  <c r="N3291" i="7" s="1"/>
  <c r="O3291" i="7" s="1"/>
  <c r="L3292" i="7"/>
  <c r="N3292" i="7" s="1"/>
  <c r="O3292" i="7" s="1"/>
  <c r="L3293" i="7"/>
  <c r="N3293" i="7" s="1"/>
  <c r="O3293" i="7" s="1"/>
  <c r="L3294" i="7"/>
  <c r="N3294" i="7" s="1"/>
  <c r="O3294" i="7" s="1"/>
  <c r="L3295" i="7"/>
  <c r="N3295" i="7" s="1"/>
  <c r="O3295" i="7" s="1"/>
  <c r="L3296" i="7"/>
  <c r="N3296" i="7" s="1"/>
  <c r="O3296" i="7" s="1"/>
  <c r="L3297" i="7"/>
  <c r="N3297" i="7" s="1"/>
  <c r="O3297" i="7" s="1"/>
  <c r="L3298" i="7"/>
  <c r="N3298" i="7" s="1"/>
  <c r="O3298" i="7" s="1"/>
  <c r="L3299" i="7"/>
  <c r="N3299" i="7" s="1"/>
  <c r="O3299" i="7" s="1"/>
  <c r="L3300" i="7"/>
  <c r="N3300" i="7" s="1"/>
  <c r="O3300" i="7" s="1"/>
  <c r="L3301" i="7"/>
  <c r="N3301" i="7" s="1"/>
  <c r="O3301" i="7" s="1"/>
  <c r="L3302" i="7"/>
  <c r="N3302" i="7" s="1"/>
  <c r="O3302" i="7" s="1"/>
  <c r="L3303" i="7"/>
  <c r="N3303" i="7" s="1"/>
  <c r="O3303" i="7" s="1"/>
  <c r="L3304" i="7"/>
  <c r="N3304" i="7" s="1"/>
  <c r="O3304" i="7" s="1"/>
  <c r="L3305" i="7"/>
  <c r="N3305" i="7" s="1"/>
  <c r="O3305" i="7" s="1"/>
  <c r="L3306" i="7"/>
  <c r="N3306" i="7" s="1"/>
  <c r="O3306" i="7" s="1"/>
  <c r="L3307" i="7"/>
  <c r="N3307" i="7" s="1"/>
  <c r="O3307" i="7" s="1"/>
  <c r="L3308" i="7"/>
  <c r="N3308" i="7" s="1"/>
  <c r="O3308" i="7" s="1"/>
  <c r="L3309" i="7"/>
  <c r="N3309" i="7" s="1"/>
  <c r="O3309" i="7" s="1"/>
  <c r="L3310" i="7"/>
  <c r="N3310" i="7" s="1"/>
  <c r="O3310" i="7" s="1"/>
  <c r="L3311" i="7"/>
  <c r="N3311" i="7" s="1"/>
  <c r="O3311" i="7" s="1"/>
  <c r="L3312" i="7"/>
  <c r="N3312" i="7" s="1"/>
  <c r="O3312" i="7" s="1"/>
  <c r="L3313" i="7"/>
  <c r="N3313" i="7" s="1"/>
  <c r="O3313" i="7" s="1"/>
  <c r="L3314" i="7"/>
  <c r="N3314" i="7" s="1"/>
  <c r="O3314" i="7" s="1"/>
  <c r="L3315" i="7"/>
  <c r="N3315" i="7" s="1"/>
  <c r="O3315" i="7" s="1"/>
  <c r="L3316" i="7"/>
  <c r="N3316" i="7" s="1"/>
  <c r="O3316" i="7" s="1"/>
  <c r="L3317" i="7"/>
  <c r="N3317" i="7" s="1"/>
  <c r="O3317" i="7" s="1"/>
  <c r="L3318" i="7"/>
  <c r="N3318" i="7" s="1"/>
  <c r="O3318" i="7" s="1"/>
  <c r="L3319" i="7"/>
  <c r="N3319" i="7" s="1"/>
  <c r="O3319" i="7" s="1"/>
  <c r="L3320" i="7"/>
  <c r="N3320" i="7" s="1"/>
  <c r="O3320" i="7" s="1"/>
  <c r="L3321" i="7"/>
  <c r="N3321" i="7" s="1"/>
  <c r="O3321" i="7" s="1"/>
  <c r="L3322" i="7"/>
  <c r="N3322" i="7" s="1"/>
  <c r="O3322" i="7" s="1"/>
  <c r="L3323" i="7"/>
  <c r="N3323" i="7" s="1"/>
  <c r="O3323" i="7" s="1"/>
  <c r="L3324" i="7"/>
  <c r="N3324" i="7" s="1"/>
  <c r="O3324" i="7" s="1"/>
  <c r="L3325" i="7"/>
  <c r="N3325" i="7" s="1"/>
  <c r="O3325" i="7" s="1"/>
  <c r="L3326" i="7"/>
  <c r="N3326" i="7" s="1"/>
  <c r="O3326" i="7" s="1"/>
  <c r="L3327" i="7"/>
  <c r="N3327" i="7" s="1"/>
  <c r="O3327" i="7" s="1"/>
  <c r="L3328" i="7"/>
  <c r="N3328" i="7" s="1"/>
  <c r="O3328" i="7" s="1"/>
  <c r="L3329" i="7"/>
  <c r="N3329" i="7" s="1"/>
  <c r="O3329" i="7" s="1"/>
  <c r="L3330" i="7"/>
  <c r="N3330" i="7" s="1"/>
  <c r="O3330" i="7" s="1"/>
  <c r="L3331" i="7"/>
  <c r="N3331" i="7" s="1"/>
  <c r="O3331" i="7" s="1"/>
  <c r="L3332" i="7"/>
  <c r="N3332" i="7" s="1"/>
  <c r="O3332" i="7" s="1"/>
  <c r="L3333" i="7"/>
  <c r="N3333" i="7" s="1"/>
  <c r="O3333" i="7" s="1"/>
  <c r="L3334" i="7"/>
  <c r="N3334" i="7" s="1"/>
  <c r="O3334" i="7" s="1"/>
  <c r="L3335" i="7"/>
  <c r="N3335" i="7" s="1"/>
  <c r="O3335" i="7" s="1"/>
  <c r="L3336" i="7"/>
  <c r="N3336" i="7" s="1"/>
  <c r="O3336" i="7" s="1"/>
  <c r="L3337" i="7"/>
  <c r="N3337" i="7" s="1"/>
  <c r="O3337" i="7" s="1"/>
  <c r="L3338" i="7"/>
  <c r="N3338" i="7" s="1"/>
  <c r="O3338" i="7" s="1"/>
  <c r="L3339" i="7"/>
  <c r="N3339" i="7" s="1"/>
  <c r="O3339" i="7" s="1"/>
  <c r="L3340" i="7"/>
  <c r="N3340" i="7" s="1"/>
  <c r="O3340" i="7" s="1"/>
  <c r="L3341" i="7"/>
  <c r="N3341" i="7" s="1"/>
  <c r="O3341" i="7" s="1"/>
  <c r="L3342" i="7"/>
  <c r="N3342" i="7" s="1"/>
  <c r="O3342" i="7" s="1"/>
  <c r="L3343" i="7"/>
  <c r="N3343" i="7" s="1"/>
  <c r="O3343" i="7" s="1"/>
  <c r="L3344" i="7"/>
  <c r="N3344" i="7" s="1"/>
  <c r="O3344" i="7" s="1"/>
  <c r="L3345" i="7"/>
  <c r="N3345" i="7" s="1"/>
  <c r="O3345" i="7" s="1"/>
  <c r="L3346" i="7"/>
  <c r="N3346" i="7" s="1"/>
  <c r="O3346" i="7" s="1"/>
  <c r="L3347" i="7"/>
  <c r="N3347" i="7" s="1"/>
  <c r="O3347" i="7" s="1"/>
  <c r="L3348" i="7"/>
  <c r="N3348" i="7" s="1"/>
  <c r="O3348" i="7" s="1"/>
  <c r="L3349" i="7"/>
  <c r="N3349" i="7" s="1"/>
  <c r="O3349" i="7" s="1"/>
  <c r="L3350" i="7"/>
  <c r="N3350" i="7" s="1"/>
  <c r="O3350" i="7" s="1"/>
  <c r="L3351" i="7"/>
  <c r="N3351" i="7" s="1"/>
  <c r="O3351" i="7" s="1"/>
  <c r="L3352" i="7"/>
  <c r="N3352" i="7" s="1"/>
  <c r="O3352" i="7" s="1"/>
  <c r="L3353" i="7"/>
  <c r="N3353" i="7" s="1"/>
  <c r="O3353" i="7" s="1"/>
  <c r="L3354" i="7"/>
  <c r="N3354" i="7" s="1"/>
  <c r="O3354" i="7" s="1"/>
  <c r="L3355" i="7"/>
  <c r="N3355" i="7" s="1"/>
  <c r="O3355" i="7" s="1"/>
  <c r="L3356" i="7"/>
  <c r="N3356" i="7" s="1"/>
  <c r="O3356" i="7" s="1"/>
  <c r="L3357" i="7"/>
  <c r="N3357" i="7" s="1"/>
  <c r="O3357" i="7" s="1"/>
  <c r="L3360" i="7"/>
  <c r="N3360" i="7" s="1"/>
  <c r="O3360" i="7" s="1"/>
  <c r="L3361" i="7"/>
  <c r="N3361" i="7" s="1"/>
  <c r="O3361" i="7" s="1"/>
  <c r="L3362" i="7"/>
  <c r="N3362" i="7" s="1"/>
  <c r="O3362" i="7" s="1"/>
  <c r="L3363" i="7"/>
  <c r="N3363" i="7" s="1"/>
  <c r="O3363" i="7" s="1"/>
  <c r="L3364" i="7"/>
  <c r="N3364" i="7" s="1"/>
  <c r="O3364" i="7" s="1"/>
  <c r="L3365" i="7"/>
  <c r="N3365" i="7" s="1"/>
  <c r="O3365" i="7" s="1"/>
  <c r="L3366" i="7"/>
  <c r="N3366" i="7" s="1"/>
  <c r="O3366" i="7" s="1"/>
  <c r="L3367" i="7"/>
  <c r="N3367" i="7" s="1"/>
  <c r="O3367" i="7" s="1"/>
  <c r="L3368" i="7"/>
  <c r="N3368" i="7" s="1"/>
  <c r="O3368" i="7" s="1"/>
  <c r="L3369" i="7"/>
  <c r="N3369" i="7" s="1"/>
  <c r="O3369" i="7" s="1"/>
  <c r="L3370" i="7"/>
  <c r="N3370" i="7" s="1"/>
  <c r="O3370" i="7" s="1"/>
  <c r="L3371" i="7"/>
  <c r="N3371" i="7" s="1"/>
  <c r="O3371" i="7" s="1"/>
  <c r="L3372" i="7"/>
  <c r="N3372" i="7" s="1"/>
  <c r="O3372" i="7" s="1"/>
  <c r="L3373" i="7"/>
  <c r="N3373" i="7" s="1"/>
  <c r="O3373" i="7" s="1"/>
  <c r="L3374" i="7"/>
  <c r="N3374" i="7" s="1"/>
  <c r="O3374" i="7" s="1"/>
  <c r="L3375" i="7"/>
  <c r="N3375" i="7" s="1"/>
  <c r="O3375" i="7" s="1"/>
  <c r="L3376" i="7"/>
  <c r="N3376" i="7" s="1"/>
  <c r="O3376" i="7" s="1"/>
  <c r="L3377" i="7"/>
  <c r="N3377" i="7" s="1"/>
  <c r="O3377" i="7" s="1"/>
  <c r="L3378" i="7"/>
  <c r="N3378" i="7" s="1"/>
  <c r="O3378" i="7" s="1"/>
  <c r="L3379" i="7"/>
  <c r="N3379" i="7" s="1"/>
  <c r="O3379" i="7" s="1"/>
  <c r="L3380" i="7"/>
  <c r="N3380" i="7" s="1"/>
  <c r="O3380" i="7" s="1"/>
  <c r="L3381" i="7"/>
  <c r="N3381" i="7" s="1"/>
  <c r="O3381" i="7" s="1"/>
  <c r="L3382" i="7"/>
  <c r="N3382" i="7" s="1"/>
  <c r="O3382" i="7" s="1"/>
  <c r="L3383" i="7"/>
  <c r="N3383" i="7" s="1"/>
  <c r="O3383" i="7" s="1"/>
  <c r="L3384" i="7"/>
  <c r="N3384" i="7" s="1"/>
  <c r="O3384" i="7" s="1"/>
  <c r="L3385" i="7"/>
  <c r="N3385" i="7" s="1"/>
  <c r="O3385" i="7" s="1"/>
  <c r="L3386" i="7"/>
  <c r="N3386" i="7" s="1"/>
  <c r="O3386" i="7" s="1"/>
  <c r="L3387" i="7"/>
  <c r="N3387" i="7" s="1"/>
  <c r="O3387" i="7" s="1"/>
  <c r="L3388" i="7"/>
  <c r="N3388" i="7" s="1"/>
  <c r="O3388" i="7" s="1"/>
  <c r="L3389" i="7"/>
  <c r="N3389" i="7" s="1"/>
  <c r="O3389" i="7" s="1"/>
  <c r="L3390" i="7"/>
  <c r="N3390" i="7" s="1"/>
  <c r="O3390" i="7" s="1"/>
  <c r="L3391" i="7"/>
  <c r="N3391" i="7" s="1"/>
  <c r="O3391" i="7" s="1"/>
  <c r="L3392" i="7"/>
  <c r="N3392" i="7" s="1"/>
  <c r="O3392" i="7" s="1"/>
  <c r="L3393" i="7"/>
  <c r="N3393" i="7" s="1"/>
  <c r="O3393" i="7" s="1"/>
  <c r="L3394" i="7"/>
  <c r="N3394" i="7" s="1"/>
  <c r="O3394" i="7" s="1"/>
  <c r="L3395" i="7"/>
  <c r="N3395" i="7" s="1"/>
  <c r="O3395" i="7" s="1"/>
  <c r="L3396" i="7"/>
  <c r="N3396" i="7" s="1"/>
  <c r="O3396" i="7" s="1"/>
  <c r="L3397" i="7"/>
  <c r="N3397" i="7" s="1"/>
  <c r="O3397" i="7" s="1"/>
  <c r="L3398" i="7"/>
  <c r="N3398" i="7" s="1"/>
  <c r="O3398" i="7" s="1"/>
  <c r="L3399" i="7"/>
  <c r="N3399" i="7" s="1"/>
  <c r="O3399" i="7" s="1"/>
  <c r="L3400" i="7"/>
  <c r="N3400" i="7" s="1"/>
  <c r="O3400" i="7" s="1"/>
  <c r="L3401" i="7"/>
  <c r="N3401" i="7" s="1"/>
  <c r="O3401" i="7" s="1"/>
  <c r="L3402" i="7"/>
  <c r="N3402" i="7" s="1"/>
  <c r="O3402" i="7" s="1"/>
  <c r="L3403" i="7"/>
  <c r="N3403" i="7" s="1"/>
  <c r="O3403" i="7" s="1"/>
  <c r="L3404" i="7"/>
  <c r="N3404" i="7" s="1"/>
  <c r="O3404" i="7" s="1"/>
  <c r="L3405" i="7"/>
  <c r="N3405" i="7" s="1"/>
  <c r="O3405" i="7" s="1"/>
  <c r="L3406" i="7"/>
  <c r="N3406" i="7" s="1"/>
  <c r="O3406" i="7" s="1"/>
  <c r="L3407" i="7"/>
  <c r="N3407" i="7" s="1"/>
  <c r="O3407" i="7" s="1"/>
  <c r="L3408" i="7"/>
  <c r="N3408" i="7" s="1"/>
  <c r="O3408" i="7" s="1"/>
  <c r="L3409" i="7"/>
  <c r="N3409" i="7" s="1"/>
  <c r="O3409" i="7" s="1"/>
  <c r="L3410" i="7"/>
  <c r="N3410" i="7" s="1"/>
  <c r="O3410" i="7" s="1"/>
  <c r="L3411" i="7"/>
  <c r="N3411" i="7" s="1"/>
  <c r="O3411" i="7" s="1"/>
  <c r="L3412" i="7"/>
  <c r="N3412" i="7" s="1"/>
  <c r="O3412" i="7" s="1"/>
  <c r="L3413" i="7"/>
  <c r="N3413" i="7" s="1"/>
  <c r="O3413" i="7" s="1"/>
  <c r="L3414" i="7"/>
  <c r="N3414" i="7" s="1"/>
  <c r="O3414" i="7" s="1"/>
  <c r="L3415" i="7"/>
  <c r="N3415" i="7" s="1"/>
  <c r="O3415" i="7" s="1"/>
  <c r="L3416" i="7"/>
  <c r="N3416" i="7" s="1"/>
  <c r="O3416" i="7" s="1"/>
  <c r="L3417" i="7"/>
  <c r="N3417" i="7" s="1"/>
  <c r="O3417" i="7" s="1"/>
  <c r="L3418" i="7"/>
  <c r="N3418" i="7" s="1"/>
  <c r="O3418" i="7" s="1"/>
  <c r="L3419" i="7"/>
  <c r="N3419" i="7" s="1"/>
  <c r="O3419" i="7" s="1"/>
  <c r="L3420" i="7"/>
  <c r="N3420" i="7" s="1"/>
  <c r="O3420" i="7" s="1"/>
  <c r="L3421" i="7"/>
  <c r="N3421" i="7" s="1"/>
  <c r="O3421" i="7" s="1"/>
  <c r="L3422" i="7"/>
  <c r="N3422" i="7" s="1"/>
  <c r="O3422" i="7" s="1"/>
  <c r="L3423" i="7"/>
  <c r="N3423" i="7" s="1"/>
  <c r="O3423" i="7" s="1"/>
  <c r="L3424" i="7"/>
  <c r="N3424" i="7" s="1"/>
  <c r="O3424" i="7" s="1"/>
  <c r="L3425" i="7"/>
  <c r="N3425" i="7" s="1"/>
  <c r="O3425" i="7" s="1"/>
  <c r="L3426" i="7"/>
  <c r="N3426" i="7" s="1"/>
  <c r="O3426" i="7" s="1"/>
  <c r="L3427" i="7"/>
  <c r="N3427" i="7" s="1"/>
  <c r="O3427" i="7" s="1"/>
  <c r="L3428" i="7"/>
  <c r="N3428" i="7" s="1"/>
  <c r="O3428" i="7" s="1"/>
  <c r="L3429" i="7"/>
  <c r="N3429" i="7" s="1"/>
  <c r="O3429" i="7" s="1"/>
  <c r="L3430" i="7"/>
  <c r="N3430" i="7" s="1"/>
  <c r="O3430" i="7" s="1"/>
  <c r="L3431" i="7"/>
  <c r="N3431" i="7" s="1"/>
  <c r="O3431" i="7" s="1"/>
  <c r="L3432" i="7"/>
  <c r="N3432" i="7" s="1"/>
  <c r="O3432" i="7" s="1"/>
  <c r="L3433" i="7"/>
  <c r="N3433" i="7" s="1"/>
  <c r="O3433" i="7" s="1"/>
  <c r="L3434" i="7"/>
  <c r="N3434" i="7" s="1"/>
  <c r="O3434" i="7" s="1"/>
  <c r="L3435" i="7"/>
  <c r="N3435" i="7" s="1"/>
  <c r="O3435" i="7" s="1"/>
  <c r="L3436" i="7"/>
  <c r="N3436" i="7" s="1"/>
  <c r="O3436" i="7" s="1"/>
  <c r="L3437" i="7"/>
  <c r="N3437" i="7" s="1"/>
  <c r="O3437" i="7" s="1"/>
  <c r="L3438" i="7"/>
  <c r="N3438" i="7" s="1"/>
  <c r="O3438" i="7" s="1"/>
  <c r="L3439" i="7"/>
  <c r="N3439" i="7" s="1"/>
  <c r="O3439" i="7" s="1"/>
  <c r="L3440" i="7"/>
  <c r="N3440" i="7" s="1"/>
  <c r="O3440" i="7" s="1"/>
  <c r="L3441" i="7"/>
  <c r="N3441" i="7" s="1"/>
  <c r="O3441" i="7" s="1"/>
  <c r="L3442" i="7"/>
  <c r="N3442" i="7" s="1"/>
  <c r="O3442" i="7" s="1"/>
  <c r="L3443" i="7"/>
  <c r="N3443" i="7" s="1"/>
  <c r="O3443" i="7" s="1"/>
  <c r="L3444" i="7"/>
  <c r="N3444" i="7" s="1"/>
  <c r="O3444" i="7" s="1"/>
  <c r="L3445" i="7"/>
  <c r="N3445" i="7" s="1"/>
  <c r="O3445" i="7" s="1"/>
  <c r="L3446" i="7"/>
  <c r="N3446" i="7" s="1"/>
  <c r="O3446" i="7" s="1"/>
  <c r="L3447" i="7"/>
  <c r="N3447" i="7" s="1"/>
  <c r="O3447" i="7" s="1"/>
  <c r="L3448" i="7"/>
  <c r="N3448" i="7" s="1"/>
  <c r="O3448" i="7" s="1"/>
  <c r="L3449" i="7"/>
  <c r="N3449" i="7" s="1"/>
  <c r="O3449" i="7" s="1"/>
  <c r="L3450" i="7"/>
  <c r="N3450" i="7" s="1"/>
  <c r="O3450" i="7" s="1"/>
  <c r="L3451" i="7"/>
  <c r="N3451" i="7" s="1"/>
  <c r="O3451" i="7" s="1"/>
  <c r="L3452" i="7"/>
  <c r="N3452" i="7" s="1"/>
  <c r="O3452" i="7" s="1"/>
  <c r="L3455" i="7"/>
  <c r="N3455" i="7" s="1"/>
  <c r="O3455" i="7" s="1"/>
  <c r="L3456" i="7"/>
  <c r="N3456" i="7" s="1"/>
  <c r="O3456" i="7" s="1"/>
  <c r="L3457" i="7"/>
  <c r="N3457" i="7" s="1"/>
  <c r="O3457" i="7" s="1"/>
  <c r="L3458" i="7"/>
  <c r="N3458" i="7" s="1"/>
  <c r="O3458" i="7" s="1"/>
  <c r="L3459" i="7"/>
  <c r="N3459" i="7" s="1"/>
  <c r="O3459" i="7" s="1"/>
  <c r="L3460" i="7"/>
  <c r="N3460" i="7" s="1"/>
  <c r="O3460" i="7" s="1"/>
  <c r="L3461" i="7"/>
  <c r="N3461" i="7" s="1"/>
  <c r="O3461" i="7" s="1"/>
  <c r="L3462" i="7"/>
  <c r="N3462" i="7" s="1"/>
  <c r="O3462" i="7" s="1"/>
  <c r="L3463" i="7"/>
  <c r="N3463" i="7" s="1"/>
  <c r="O3463" i="7" s="1"/>
  <c r="L3464" i="7"/>
  <c r="N3464" i="7" s="1"/>
  <c r="O3464" i="7" s="1"/>
  <c r="L3465" i="7"/>
  <c r="N3465" i="7" s="1"/>
  <c r="O3465" i="7" s="1"/>
  <c r="L3466" i="7"/>
  <c r="N3466" i="7" s="1"/>
  <c r="O3466" i="7" s="1"/>
  <c r="L3467" i="7"/>
  <c r="N3467" i="7" s="1"/>
  <c r="O3467" i="7" s="1"/>
  <c r="L3468" i="7"/>
  <c r="N3468" i="7" s="1"/>
  <c r="O3468" i="7" s="1"/>
  <c r="L3469" i="7"/>
  <c r="N3469" i="7" s="1"/>
  <c r="O3469" i="7" s="1"/>
  <c r="L3470" i="7"/>
  <c r="N3470" i="7" s="1"/>
  <c r="O3470" i="7" s="1"/>
  <c r="L3471" i="7"/>
  <c r="N3471" i="7" s="1"/>
  <c r="O3471" i="7" s="1"/>
  <c r="L3472" i="7"/>
  <c r="N3472" i="7" s="1"/>
  <c r="O3472" i="7" s="1"/>
  <c r="L3473" i="7"/>
  <c r="N3473" i="7" s="1"/>
  <c r="O3473" i="7" s="1"/>
  <c r="L3474" i="7"/>
  <c r="N3474" i="7" s="1"/>
  <c r="O3474" i="7" s="1"/>
  <c r="L3475" i="7"/>
  <c r="N3475" i="7" s="1"/>
  <c r="O3475" i="7" s="1"/>
  <c r="L3476" i="7"/>
  <c r="N3476" i="7" s="1"/>
  <c r="O3476" i="7" s="1"/>
  <c r="L3477" i="7"/>
  <c r="N3477" i="7" s="1"/>
  <c r="O3477" i="7" s="1"/>
  <c r="L3478" i="7"/>
  <c r="N3478" i="7" s="1"/>
  <c r="O3478" i="7" s="1"/>
  <c r="L3479" i="7"/>
  <c r="N3479" i="7" s="1"/>
  <c r="O3479" i="7" s="1"/>
  <c r="L3480" i="7"/>
  <c r="N3480" i="7" s="1"/>
  <c r="O3480" i="7" s="1"/>
  <c r="L3481" i="7"/>
  <c r="N3481" i="7" s="1"/>
  <c r="O3481" i="7" s="1"/>
  <c r="L3482" i="7"/>
  <c r="N3482" i="7" s="1"/>
  <c r="O3482" i="7" s="1"/>
  <c r="L3483" i="7"/>
  <c r="N3483" i="7" s="1"/>
  <c r="O3483" i="7" s="1"/>
  <c r="L3484" i="7"/>
  <c r="N3484" i="7" s="1"/>
  <c r="O3484" i="7" s="1"/>
  <c r="L3485" i="7"/>
  <c r="N3485" i="7" s="1"/>
  <c r="O3485" i="7" s="1"/>
  <c r="L3486" i="7"/>
  <c r="N3486" i="7" s="1"/>
  <c r="O3486" i="7" s="1"/>
  <c r="L3487" i="7"/>
  <c r="N3487" i="7" s="1"/>
  <c r="O3487" i="7" s="1"/>
  <c r="L3488" i="7"/>
  <c r="N3488" i="7" s="1"/>
  <c r="O3488" i="7" s="1"/>
  <c r="L3489" i="7"/>
  <c r="N3489" i="7" s="1"/>
  <c r="O3489" i="7" s="1"/>
  <c r="L3490" i="7"/>
  <c r="N3490" i="7" s="1"/>
  <c r="O3490" i="7" s="1"/>
  <c r="L3491" i="7"/>
  <c r="N3491" i="7" s="1"/>
  <c r="O3491" i="7" s="1"/>
  <c r="L3492" i="7"/>
  <c r="N3492" i="7" s="1"/>
  <c r="O3492" i="7" s="1"/>
  <c r="L3493" i="7"/>
  <c r="N3493" i="7" s="1"/>
  <c r="O3493" i="7" s="1"/>
  <c r="L3494" i="7"/>
  <c r="N3494" i="7" s="1"/>
  <c r="O3494" i="7" s="1"/>
  <c r="L3495" i="7"/>
  <c r="N3495" i="7" s="1"/>
  <c r="O3495" i="7" s="1"/>
  <c r="L3496" i="7"/>
  <c r="N3496" i="7" s="1"/>
  <c r="O3496" i="7" s="1"/>
  <c r="L3497" i="7"/>
  <c r="N3497" i="7" s="1"/>
  <c r="O3497" i="7" s="1"/>
  <c r="L3498" i="7"/>
  <c r="N3498" i="7" s="1"/>
  <c r="O3498" i="7" s="1"/>
  <c r="L3499" i="7"/>
  <c r="N3499" i="7" s="1"/>
  <c r="O3499" i="7" s="1"/>
  <c r="L3500" i="7"/>
  <c r="N3500" i="7" s="1"/>
  <c r="O3500" i="7" s="1"/>
  <c r="L3501" i="7"/>
  <c r="N3501" i="7" s="1"/>
  <c r="O3501" i="7" s="1"/>
  <c r="L3502" i="7"/>
  <c r="N3502" i="7" s="1"/>
  <c r="O3502" i="7" s="1"/>
  <c r="L3503" i="7"/>
  <c r="N3503" i="7" s="1"/>
  <c r="O3503" i="7" s="1"/>
  <c r="L3504" i="7"/>
  <c r="N3504" i="7" s="1"/>
  <c r="O3504" i="7" s="1"/>
  <c r="L3505" i="7"/>
  <c r="N3505" i="7" s="1"/>
  <c r="O3505" i="7" s="1"/>
  <c r="L3506" i="7"/>
  <c r="N3506" i="7" s="1"/>
  <c r="O3506" i="7" s="1"/>
  <c r="L3507" i="7"/>
  <c r="N3507" i="7" s="1"/>
  <c r="O3507" i="7" s="1"/>
  <c r="L3508" i="7"/>
  <c r="N3508" i="7" s="1"/>
  <c r="O3508" i="7" s="1"/>
  <c r="L3509" i="7"/>
  <c r="N3509" i="7" s="1"/>
  <c r="O3509" i="7" s="1"/>
  <c r="L3510" i="7"/>
  <c r="N3510" i="7" s="1"/>
  <c r="O3510" i="7" s="1"/>
  <c r="L3511" i="7"/>
  <c r="N3511" i="7" s="1"/>
  <c r="O3511" i="7" s="1"/>
  <c r="L3512" i="7"/>
  <c r="N3512" i="7" s="1"/>
  <c r="O3512" i="7" s="1"/>
  <c r="L3513" i="7"/>
  <c r="N3513" i="7" s="1"/>
  <c r="O3513" i="7" s="1"/>
  <c r="L3514" i="7"/>
  <c r="N3514" i="7" s="1"/>
  <c r="O3514" i="7" s="1"/>
  <c r="L3515" i="7"/>
  <c r="N3515" i="7" s="1"/>
  <c r="O3515" i="7" s="1"/>
  <c r="L3516" i="7"/>
  <c r="N3516" i="7" s="1"/>
  <c r="O3516" i="7" s="1"/>
  <c r="L3517" i="7"/>
  <c r="N3517" i="7" s="1"/>
  <c r="O3517" i="7" s="1"/>
  <c r="L3518" i="7"/>
  <c r="N3518" i="7" s="1"/>
  <c r="O3518" i="7" s="1"/>
  <c r="L3519" i="7"/>
  <c r="N3519" i="7" s="1"/>
  <c r="O3519" i="7" s="1"/>
  <c r="L3520" i="7"/>
  <c r="N3520" i="7" s="1"/>
  <c r="O3520" i="7" s="1"/>
  <c r="L3521" i="7"/>
  <c r="N3521" i="7" s="1"/>
  <c r="O3521" i="7" s="1"/>
  <c r="L3522" i="7"/>
  <c r="N3522" i="7" s="1"/>
  <c r="O3522" i="7" s="1"/>
  <c r="L3523" i="7"/>
  <c r="N3523" i="7" s="1"/>
  <c r="O3523" i="7" s="1"/>
  <c r="L3524" i="7"/>
  <c r="N3524" i="7" s="1"/>
  <c r="O3524" i="7" s="1"/>
  <c r="L3525" i="7"/>
  <c r="N3525" i="7" s="1"/>
  <c r="O3525" i="7" s="1"/>
  <c r="L3526" i="7"/>
  <c r="N3526" i="7" s="1"/>
  <c r="O3526" i="7" s="1"/>
  <c r="L3527" i="7"/>
  <c r="N3527" i="7" s="1"/>
  <c r="O3527" i="7" s="1"/>
  <c r="L3528" i="7"/>
  <c r="N3528" i="7" s="1"/>
  <c r="O3528" i="7" s="1"/>
  <c r="L3529" i="7"/>
  <c r="N3529" i="7" s="1"/>
  <c r="O3529" i="7" s="1"/>
  <c r="L3530" i="7"/>
  <c r="N3530" i="7" s="1"/>
  <c r="O3530" i="7" s="1"/>
  <c r="L3531" i="7"/>
  <c r="N3531" i="7" s="1"/>
  <c r="O3531" i="7" s="1"/>
  <c r="L3532" i="7"/>
  <c r="N3532" i="7" s="1"/>
  <c r="O3532" i="7" s="1"/>
  <c r="L3533" i="7"/>
  <c r="N3533" i="7" s="1"/>
  <c r="O3533" i="7" s="1"/>
  <c r="L3534" i="7"/>
  <c r="N3534" i="7" s="1"/>
  <c r="O3534" i="7" s="1"/>
  <c r="L3535" i="7"/>
  <c r="N3535" i="7" s="1"/>
  <c r="O3535" i="7" s="1"/>
  <c r="L3536" i="7"/>
  <c r="N3536" i="7" s="1"/>
  <c r="O3536" i="7" s="1"/>
  <c r="L3537" i="7"/>
  <c r="N3537" i="7" s="1"/>
  <c r="O3537" i="7" s="1"/>
  <c r="L3538" i="7"/>
  <c r="N3538" i="7" s="1"/>
  <c r="O3538" i="7" s="1"/>
  <c r="L3539" i="7"/>
  <c r="N3539" i="7" s="1"/>
  <c r="O3539" i="7" s="1"/>
  <c r="L3540" i="7"/>
  <c r="N3540" i="7" s="1"/>
  <c r="O3540" i="7" s="1"/>
  <c r="L3541" i="7"/>
  <c r="N3541" i="7" s="1"/>
  <c r="O3541" i="7" s="1"/>
  <c r="L3542" i="7"/>
  <c r="N3542" i="7" s="1"/>
  <c r="O3542" i="7" s="1"/>
  <c r="L3543" i="7"/>
  <c r="N3543" i="7" s="1"/>
  <c r="O3543" i="7" s="1"/>
  <c r="L3544" i="7"/>
  <c r="N3544" i="7" s="1"/>
  <c r="O3544" i="7" s="1"/>
  <c r="L3545" i="7"/>
  <c r="N3545" i="7" s="1"/>
  <c r="O3545" i="7" s="1"/>
  <c r="L3546" i="7"/>
  <c r="N3546" i="7" s="1"/>
  <c r="O3546" i="7" s="1"/>
  <c r="L3549" i="7"/>
  <c r="N3549" i="7" s="1"/>
  <c r="O3549" i="7" s="1"/>
  <c r="L3550" i="7"/>
  <c r="N3550" i="7" s="1"/>
  <c r="O3550" i="7" s="1"/>
  <c r="L3551" i="7"/>
  <c r="N3551" i="7" s="1"/>
  <c r="O3551" i="7" s="1"/>
  <c r="L3552" i="7"/>
  <c r="N3552" i="7" s="1"/>
  <c r="O3552" i="7" s="1"/>
  <c r="L3553" i="7"/>
  <c r="N3553" i="7" s="1"/>
  <c r="O3553" i="7" s="1"/>
  <c r="L3554" i="7"/>
  <c r="N3554" i="7" s="1"/>
  <c r="O3554" i="7" s="1"/>
  <c r="L3555" i="7"/>
  <c r="N3555" i="7" s="1"/>
  <c r="O3555" i="7" s="1"/>
  <c r="L3556" i="7"/>
  <c r="N3556" i="7" s="1"/>
  <c r="O3556" i="7" s="1"/>
  <c r="L3557" i="7"/>
  <c r="N3557" i="7" s="1"/>
  <c r="O3557" i="7" s="1"/>
  <c r="L3558" i="7"/>
  <c r="N3558" i="7" s="1"/>
  <c r="O3558" i="7" s="1"/>
  <c r="L3559" i="7"/>
  <c r="N3559" i="7" s="1"/>
  <c r="O3559" i="7" s="1"/>
  <c r="L3560" i="7"/>
  <c r="N3560" i="7" s="1"/>
  <c r="O3560" i="7" s="1"/>
  <c r="L3561" i="7"/>
  <c r="N3561" i="7" s="1"/>
  <c r="O3561" i="7" s="1"/>
  <c r="L3562" i="7"/>
  <c r="N3562" i="7" s="1"/>
  <c r="O3562" i="7" s="1"/>
  <c r="L3563" i="7"/>
  <c r="N3563" i="7" s="1"/>
  <c r="O3563" i="7" s="1"/>
  <c r="L3564" i="7"/>
  <c r="N3564" i="7" s="1"/>
  <c r="O3564" i="7" s="1"/>
  <c r="L3565" i="7"/>
  <c r="N3565" i="7" s="1"/>
  <c r="O3565" i="7" s="1"/>
  <c r="L3566" i="7"/>
  <c r="N3566" i="7" s="1"/>
  <c r="O3566" i="7" s="1"/>
  <c r="L3567" i="7"/>
  <c r="N3567" i="7" s="1"/>
  <c r="O3567" i="7" s="1"/>
  <c r="L3568" i="7"/>
  <c r="N3568" i="7" s="1"/>
  <c r="O3568" i="7" s="1"/>
  <c r="L3569" i="7"/>
  <c r="N3569" i="7" s="1"/>
  <c r="O3569" i="7" s="1"/>
  <c r="L3570" i="7"/>
  <c r="N3570" i="7" s="1"/>
  <c r="O3570" i="7" s="1"/>
  <c r="L3571" i="7"/>
  <c r="N3571" i="7" s="1"/>
  <c r="O3571" i="7" s="1"/>
  <c r="L3572" i="7"/>
  <c r="N3572" i="7" s="1"/>
  <c r="O3572" i="7" s="1"/>
  <c r="L3573" i="7"/>
  <c r="N3573" i="7" s="1"/>
  <c r="O3573" i="7" s="1"/>
  <c r="L3574" i="7"/>
  <c r="N3574" i="7" s="1"/>
  <c r="O3574" i="7" s="1"/>
  <c r="L3575" i="7"/>
  <c r="N3575" i="7" s="1"/>
  <c r="O3575" i="7" s="1"/>
  <c r="L3576" i="7"/>
  <c r="N3576" i="7" s="1"/>
  <c r="O3576" i="7" s="1"/>
  <c r="L3577" i="7"/>
  <c r="N3577" i="7" s="1"/>
  <c r="O3577" i="7" s="1"/>
  <c r="L3578" i="7"/>
  <c r="N3578" i="7" s="1"/>
  <c r="O3578" i="7" s="1"/>
  <c r="L3579" i="7"/>
  <c r="N3579" i="7" s="1"/>
  <c r="O3579" i="7" s="1"/>
  <c r="L3580" i="7"/>
  <c r="N3580" i="7" s="1"/>
  <c r="O3580" i="7" s="1"/>
  <c r="L3581" i="7"/>
  <c r="N3581" i="7" s="1"/>
  <c r="O3581" i="7" s="1"/>
  <c r="L3582" i="7"/>
  <c r="N3582" i="7" s="1"/>
  <c r="O3582" i="7" s="1"/>
  <c r="L3583" i="7"/>
  <c r="N3583" i="7" s="1"/>
  <c r="O3583" i="7" s="1"/>
  <c r="L3584" i="7"/>
  <c r="N3584" i="7" s="1"/>
  <c r="O3584" i="7" s="1"/>
  <c r="L3585" i="7"/>
  <c r="N3585" i="7" s="1"/>
  <c r="O3585" i="7" s="1"/>
  <c r="L3586" i="7"/>
  <c r="N3586" i="7" s="1"/>
  <c r="O3586" i="7" s="1"/>
  <c r="L3587" i="7"/>
  <c r="N3587" i="7" s="1"/>
  <c r="O3587" i="7" s="1"/>
  <c r="L3588" i="7"/>
  <c r="N3588" i="7" s="1"/>
  <c r="O3588" i="7" s="1"/>
  <c r="L3589" i="7"/>
  <c r="N3589" i="7" s="1"/>
  <c r="O3589" i="7" s="1"/>
  <c r="L3590" i="7"/>
  <c r="N3590" i="7" s="1"/>
  <c r="O3590" i="7" s="1"/>
  <c r="L3591" i="7"/>
  <c r="N3591" i="7" s="1"/>
  <c r="O3591" i="7" s="1"/>
  <c r="L3592" i="7"/>
  <c r="N3592" i="7" s="1"/>
  <c r="O3592" i="7" s="1"/>
  <c r="L3593" i="7"/>
  <c r="N3593" i="7" s="1"/>
  <c r="O3593" i="7" s="1"/>
  <c r="L3594" i="7"/>
  <c r="N3594" i="7" s="1"/>
  <c r="O3594" i="7" s="1"/>
  <c r="L3595" i="7"/>
  <c r="N3595" i="7" s="1"/>
  <c r="O3595" i="7" s="1"/>
  <c r="L3596" i="7"/>
  <c r="N3596" i="7" s="1"/>
  <c r="O3596" i="7" s="1"/>
  <c r="L3597" i="7"/>
  <c r="N3597" i="7" s="1"/>
  <c r="O3597" i="7" s="1"/>
  <c r="L3598" i="7"/>
  <c r="N3598" i="7" s="1"/>
  <c r="O3598" i="7" s="1"/>
  <c r="L3599" i="7"/>
  <c r="N3599" i="7" s="1"/>
  <c r="O3599" i="7" s="1"/>
  <c r="L3600" i="7"/>
  <c r="N3600" i="7" s="1"/>
  <c r="O3600" i="7" s="1"/>
  <c r="L3601" i="7"/>
  <c r="N3601" i="7" s="1"/>
  <c r="O3601" i="7" s="1"/>
  <c r="L3602" i="7"/>
  <c r="N3602" i="7" s="1"/>
  <c r="O3602" i="7" s="1"/>
  <c r="L3603" i="7"/>
  <c r="N3603" i="7" s="1"/>
  <c r="O3603" i="7" s="1"/>
  <c r="L3604" i="7"/>
  <c r="N3604" i="7" s="1"/>
  <c r="O3604" i="7" s="1"/>
  <c r="L3605" i="7"/>
  <c r="N3605" i="7" s="1"/>
  <c r="O3605" i="7" s="1"/>
  <c r="L3606" i="7"/>
  <c r="N3606" i="7" s="1"/>
  <c r="O3606" i="7" s="1"/>
  <c r="L3607" i="7"/>
  <c r="N3607" i="7" s="1"/>
  <c r="O3607" i="7" s="1"/>
  <c r="L3608" i="7"/>
  <c r="N3608" i="7" s="1"/>
  <c r="O3608" i="7" s="1"/>
  <c r="L3609" i="7"/>
  <c r="N3609" i="7" s="1"/>
  <c r="O3609" i="7" s="1"/>
  <c r="L3610" i="7"/>
  <c r="N3610" i="7" s="1"/>
  <c r="O3610" i="7" s="1"/>
  <c r="L3611" i="7"/>
  <c r="N3611" i="7" s="1"/>
  <c r="O3611" i="7" s="1"/>
  <c r="L3612" i="7"/>
  <c r="N3612" i="7" s="1"/>
  <c r="O3612" i="7" s="1"/>
  <c r="L3613" i="7"/>
  <c r="N3613" i="7" s="1"/>
  <c r="O3613" i="7" s="1"/>
  <c r="L3614" i="7"/>
  <c r="N3614" i="7" s="1"/>
  <c r="O3614" i="7" s="1"/>
  <c r="L3615" i="7"/>
  <c r="N3615" i="7" s="1"/>
  <c r="O3615" i="7" s="1"/>
  <c r="L3616" i="7"/>
  <c r="N3616" i="7" s="1"/>
  <c r="O3616" i="7" s="1"/>
  <c r="L3617" i="7"/>
  <c r="N3617" i="7" s="1"/>
  <c r="O3617" i="7" s="1"/>
  <c r="L3618" i="7"/>
  <c r="N3618" i="7" s="1"/>
  <c r="O3618" i="7" s="1"/>
  <c r="L3620" i="7"/>
  <c r="N3620" i="7" s="1"/>
  <c r="O3620" i="7" s="1"/>
  <c r="L3621" i="7"/>
  <c r="N3621" i="7" s="1"/>
  <c r="O3621" i="7" s="1"/>
  <c r="L3622" i="7"/>
  <c r="N3622" i="7" s="1"/>
  <c r="O3622" i="7" s="1"/>
  <c r="L3623" i="7"/>
  <c r="N3623" i="7" s="1"/>
  <c r="O3623" i="7" s="1"/>
  <c r="L3624" i="7"/>
  <c r="N3624" i="7" s="1"/>
  <c r="O3624" i="7" s="1"/>
  <c r="L3625" i="7"/>
  <c r="N3625" i="7" s="1"/>
  <c r="O3625" i="7" s="1"/>
  <c r="L3626" i="7"/>
  <c r="N3626" i="7" s="1"/>
  <c r="O3626" i="7" s="1"/>
  <c r="L3629" i="7"/>
  <c r="N3629" i="7" s="1"/>
  <c r="L3630" i="7"/>
  <c r="N3630" i="7" s="1"/>
  <c r="L3631" i="7"/>
  <c r="N3631" i="7" s="1"/>
  <c r="L3632" i="7"/>
  <c r="N3632" i="7" s="1"/>
  <c r="L3633" i="7"/>
  <c r="N3633" i="7" s="1"/>
  <c r="L3634" i="7"/>
  <c r="N3634" i="7" s="1"/>
  <c r="L3635" i="7"/>
  <c r="N3635" i="7" s="1"/>
  <c r="L3636" i="7"/>
  <c r="N3636" i="7" s="1"/>
  <c r="L3637" i="7"/>
  <c r="N3637" i="7" s="1"/>
  <c r="L3638" i="7"/>
  <c r="N3638" i="7" s="1"/>
  <c r="L3639" i="7"/>
  <c r="N3639" i="7" s="1"/>
  <c r="L3640" i="7"/>
  <c r="N3640" i="7" s="1"/>
  <c r="L3641" i="7"/>
  <c r="N3641" i="7" s="1"/>
  <c r="L3642" i="7"/>
  <c r="N3642" i="7" s="1"/>
  <c r="L3643" i="7"/>
  <c r="N3643" i="7" s="1"/>
  <c r="L3644" i="7"/>
  <c r="N3644" i="7" s="1"/>
  <c r="L3645" i="7"/>
  <c r="N3645" i="7" s="1"/>
  <c r="L3646" i="7"/>
  <c r="N3646" i="7" s="1"/>
  <c r="L3647" i="7"/>
  <c r="N3647" i="7" s="1"/>
  <c r="L3648" i="7"/>
  <c r="N3648" i="7" s="1"/>
  <c r="L3649" i="7"/>
  <c r="N3649" i="7" s="1"/>
  <c r="L3650" i="7"/>
  <c r="N3650" i="7" s="1"/>
  <c r="L3651" i="7"/>
  <c r="N3651" i="7" s="1"/>
  <c r="L3652" i="7"/>
  <c r="N3652" i="7" s="1"/>
  <c r="L3653" i="7"/>
  <c r="N3653" i="7" s="1"/>
  <c r="L3654" i="7"/>
  <c r="N3654" i="7" s="1"/>
  <c r="L3655" i="7"/>
  <c r="N3655" i="7" s="1"/>
  <c r="L3656" i="7"/>
  <c r="N3656" i="7" s="1"/>
  <c r="L3657" i="7"/>
  <c r="N3657" i="7" s="1"/>
  <c r="L3658" i="7"/>
  <c r="N3658" i="7" s="1"/>
  <c r="L3659" i="7"/>
  <c r="N3659" i="7" s="1"/>
  <c r="L3660" i="7"/>
  <c r="N3660" i="7" s="1"/>
  <c r="L3661" i="7"/>
  <c r="N3661" i="7" s="1"/>
  <c r="L3662" i="7"/>
  <c r="N3662" i="7" s="1"/>
  <c r="L3663" i="7"/>
  <c r="N3663" i="7" s="1"/>
  <c r="L3664" i="7"/>
  <c r="N3664" i="7" s="1"/>
  <c r="L3665" i="7"/>
  <c r="N3665" i="7" s="1"/>
  <c r="L3666" i="7"/>
  <c r="N3666" i="7" s="1"/>
  <c r="L3667" i="7"/>
  <c r="N3667" i="7" s="1"/>
  <c r="L3668" i="7"/>
  <c r="N3668" i="7" s="1"/>
  <c r="L3669" i="7"/>
  <c r="N3669" i="7" s="1"/>
  <c r="L3670" i="7"/>
  <c r="N3670" i="7" s="1"/>
  <c r="L3671" i="7"/>
  <c r="N3671" i="7" s="1"/>
  <c r="L3672" i="7"/>
  <c r="N3672" i="7" s="1"/>
  <c r="L3673" i="7"/>
  <c r="N3673" i="7" s="1"/>
  <c r="L3674" i="7"/>
  <c r="N3674" i="7" s="1"/>
  <c r="L3675" i="7"/>
  <c r="N3675" i="7" s="1"/>
  <c r="L3676" i="7"/>
  <c r="N3676" i="7" s="1"/>
  <c r="L3677" i="7"/>
  <c r="N3677" i="7" s="1"/>
  <c r="L3678" i="7"/>
  <c r="N3678" i="7" s="1"/>
  <c r="L3679" i="7"/>
  <c r="N3679" i="7" s="1"/>
  <c r="L3680" i="7"/>
  <c r="N3680" i="7" s="1"/>
  <c r="L3681" i="7"/>
  <c r="N3681" i="7" s="1"/>
  <c r="L3682" i="7"/>
  <c r="N3682" i="7" s="1"/>
  <c r="L3683" i="7"/>
  <c r="N3683" i="7" s="1"/>
  <c r="L3684" i="7"/>
  <c r="N3684" i="7" s="1"/>
  <c r="L3685" i="7"/>
  <c r="N3685" i="7" s="1"/>
  <c r="L3686" i="7"/>
  <c r="N3686" i="7" s="1"/>
  <c r="L3687" i="7"/>
  <c r="N3687" i="7" s="1"/>
  <c r="L3688" i="7"/>
  <c r="N3688" i="7" s="1"/>
  <c r="L3689" i="7"/>
  <c r="N3689" i="7" s="1"/>
  <c r="L3690" i="7"/>
  <c r="N3690" i="7" s="1"/>
  <c r="L3691" i="7"/>
  <c r="N3691" i="7" s="1"/>
  <c r="L3692" i="7"/>
  <c r="N3692" i="7" s="1"/>
  <c r="L3693" i="7"/>
  <c r="N3693" i="7" s="1"/>
  <c r="L3694" i="7"/>
  <c r="N3694" i="7" s="1"/>
  <c r="L3695" i="7"/>
  <c r="N3695" i="7" s="1"/>
  <c r="L3696" i="7"/>
  <c r="N3696" i="7" s="1"/>
  <c r="L3697" i="7"/>
  <c r="N3697" i="7" s="1"/>
  <c r="L3698" i="7"/>
  <c r="N3698" i="7" s="1"/>
  <c r="L3699" i="7"/>
  <c r="N3699" i="7" s="1"/>
  <c r="L3700" i="7"/>
  <c r="N3700" i="7" s="1"/>
  <c r="L3701" i="7"/>
  <c r="N3701" i="7" s="1"/>
  <c r="L3702" i="7"/>
  <c r="N3702" i="7" s="1"/>
  <c r="L3703" i="7"/>
  <c r="N3703" i="7" s="1"/>
  <c r="L3704" i="7"/>
  <c r="N3704" i="7" s="1"/>
  <c r="L3705" i="7"/>
  <c r="N3705" i="7" s="1"/>
  <c r="L3706" i="7"/>
  <c r="N3706" i="7" s="1"/>
  <c r="L3709" i="7"/>
  <c r="N3709" i="7" s="1"/>
  <c r="O3709" i="7" s="1"/>
  <c r="L3710" i="7"/>
  <c r="N3710" i="7" s="1"/>
  <c r="O3710" i="7" s="1"/>
  <c r="L3711" i="7"/>
  <c r="N3711" i="7" s="1"/>
  <c r="O3711" i="7" s="1"/>
  <c r="L3712" i="7"/>
  <c r="N3712" i="7" s="1"/>
  <c r="O3712" i="7" s="1"/>
  <c r="L3713" i="7"/>
  <c r="N3713" i="7" s="1"/>
  <c r="O3713" i="7" s="1"/>
  <c r="L3714" i="7"/>
  <c r="N3714" i="7" s="1"/>
  <c r="O3714" i="7" s="1"/>
  <c r="L3715" i="7"/>
  <c r="N3715" i="7" s="1"/>
  <c r="O3715" i="7" s="1"/>
  <c r="L3716" i="7"/>
  <c r="N3716" i="7" s="1"/>
  <c r="O3716" i="7" s="1"/>
  <c r="L3717" i="7"/>
  <c r="N3717" i="7" s="1"/>
  <c r="O3717" i="7" s="1"/>
  <c r="L3718" i="7"/>
  <c r="N3718" i="7" s="1"/>
  <c r="O3718" i="7" s="1"/>
  <c r="L3719" i="7"/>
  <c r="N3719" i="7" s="1"/>
  <c r="O3719" i="7" s="1"/>
  <c r="L3720" i="7"/>
  <c r="N3720" i="7" s="1"/>
  <c r="O3720" i="7" s="1"/>
  <c r="L3721" i="7"/>
  <c r="N3721" i="7" s="1"/>
  <c r="O3721" i="7" s="1"/>
  <c r="L3722" i="7"/>
  <c r="N3722" i="7" s="1"/>
  <c r="O3722" i="7" s="1"/>
  <c r="L3723" i="7"/>
  <c r="N3723" i="7" s="1"/>
  <c r="O3723" i="7" s="1"/>
  <c r="L3724" i="7"/>
  <c r="N3724" i="7" s="1"/>
  <c r="O3724" i="7" s="1"/>
  <c r="L3725" i="7"/>
  <c r="N3725" i="7" s="1"/>
  <c r="O3725" i="7" s="1"/>
  <c r="L3726" i="7"/>
  <c r="N3726" i="7" s="1"/>
  <c r="O3726" i="7" s="1"/>
  <c r="L3727" i="7"/>
  <c r="N3727" i="7" s="1"/>
  <c r="O3727" i="7" s="1"/>
  <c r="L3728" i="7"/>
  <c r="N3728" i="7" s="1"/>
  <c r="O3728" i="7" s="1"/>
  <c r="L3729" i="7"/>
  <c r="N3729" i="7" s="1"/>
  <c r="O3729" i="7" s="1"/>
  <c r="L3730" i="7"/>
  <c r="N3730" i="7" s="1"/>
  <c r="O3730" i="7" s="1"/>
  <c r="L3731" i="7"/>
  <c r="N3731" i="7" s="1"/>
  <c r="O3731" i="7" s="1"/>
  <c r="L3732" i="7"/>
  <c r="N3732" i="7" s="1"/>
  <c r="O3732" i="7" s="1"/>
  <c r="L3733" i="7"/>
  <c r="N3733" i="7" s="1"/>
  <c r="O3733" i="7" s="1"/>
  <c r="L3734" i="7"/>
  <c r="N3734" i="7" s="1"/>
  <c r="O3734" i="7" s="1"/>
  <c r="L3735" i="7"/>
  <c r="N3735" i="7" s="1"/>
  <c r="O3735" i="7" s="1"/>
  <c r="L3736" i="7"/>
  <c r="N3736" i="7" s="1"/>
  <c r="O3736" i="7" s="1"/>
  <c r="L3737" i="7"/>
  <c r="N3737" i="7" s="1"/>
  <c r="O3737" i="7" s="1"/>
  <c r="L3738" i="7"/>
  <c r="N3738" i="7" s="1"/>
  <c r="O3738" i="7" s="1"/>
  <c r="L3739" i="7"/>
  <c r="N3739" i="7" s="1"/>
  <c r="O3739" i="7" s="1"/>
  <c r="L3740" i="7"/>
  <c r="N3740" i="7" s="1"/>
  <c r="O3740" i="7" s="1"/>
  <c r="L3741" i="7"/>
  <c r="N3741" i="7" s="1"/>
  <c r="O3741" i="7" s="1"/>
  <c r="L3742" i="7"/>
  <c r="N3742" i="7" s="1"/>
  <c r="O3742" i="7" s="1"/>
  <c r="L3743" i="7"/>
  <c r="N3743" i="7" s="1"/>
  <c r="O3743" i="7" s="1"/>
  <c r="L3744" i="7"/>
  <c r="N3744" i="7" s="1"/>
  <c r="O3744" i="7" s="1"/>
  <c r="L3745" i="7"/>
  <c r="N3745" i="7" s="1"/>
  <c r="O3745" i="7" s="1"/>
  <c r="L3746" i="7"/>
  <c r="N3746" i="7" s="1"/>
  <c r="O3746" i="7" s="1"/>
  <c r="L3747" i="7"/>
  <c r="N3747" i="7" s="1"/>
  <c r="O3747" i="7" s="1"/>
  <c r="L3748" i="7"/>
  <c r="N3748" i="7" s="1"/>
  <c r="O3748" i="7" s="1"/>
  <c r="L3749" i="7"/>
  <c r="N3749" i="7" s="1"/>
  <c r="O3749" i="7" s="1"/>
  <c r="L3750" i="7"/>
  <c r="N3750" i="7" s="1"/>
  <c r="O3750" i="7" s="1"/>
  <c r="L3751" i="7"/>
  <c r="N3751" i="7" s="1"/>
  <c r="O3751" i="7" s="1"/>
  <c r="L3752" i="7"/>
  <c r="N3752" i="7" s="1"/>
  <c r="O3752" i="7" s="1"/>
  <c r="L3753" i="7"/>
  <c r="N3753" i="7" s="1"/>
  <c r="O3753" i="7" s="1"/>
  <c r="L3754" i="7"/>
  <c r="N3754" i="7" s="1"/>
  <c r="O3754" i="7" s="1"/>
  <c r="L3755" i="7"/>
  <c r="N3755" i="7" s="1"/>
  <c r="O3755" i="7" s="1"/>
  <c r="L3756" i="7"/>
  <c r="N3756" i="7" s="1"/>
  <c r="O3756" i="7" s="1"/>
  <c r="L3757" i="7"/>
  <c r="N3757" i="7" s="1"/>
  <c r="O3757" i="7" s="1"/>
  <c r="L3758" i="7"/>
  <c r="N3758" i="7" s="1"/>
  <c r="O3758" i="7" s="1"/>
  <c r="L3759" i="7"/>
  <c r="N3759" i="7" s="1"/>
  <c r="O3759" i="7" s="1"/>
  <c r="L3760" i="7"/>
  <c r="N3760" i="7" s="1"/>
  <c r="O3760" i="7" s="1"/>
  <c r="L3761" i="7"/>
  <c r="N3761" i="7" s="1"/>
  <c r="O3761" i="7" s="1"/>
  <c r="L3762" i="7"/>
  <c r="N3762" i="7" s="1"/>
  <c r="O3762" i="7" s="1"/>
  <c r="L3763" i="7"/>
  <c r="N3763" i="7" s="1"/>
  <c r="O3763" i="7" s="1"/>
  <c r="L3764" i="7"/>
  <c r="N3764" i="7" s="1"/>
  <c r="O3764" i="7" s="1"/>
  <c r="L3765" i="7"/>
  <c r="N3765" i="7" s="1"/>
  <c r="O3765" i="7" s="1"/>
  <c r="L3766" i="7"/>
  <c r="N3766" i="7" s="1"/>
  <c r="O3766" i="7" s="1"/>
  <c r="L3767" i="7"/>
  <c r="N3767" i="7" s="1"/>
  <c r="O3767" i="7" s="1"/>
  <c r="L3768" i="7"/>
  <c r="N3768" i="7" s="1"/>
  <c r="O3768" i="7" s="1"/>
  <c r="L3769" i="7"/>
  <c r="N3769" i="7" s="1"/>
  <c r="O3769" i="7" s="1"/>
  <c r="L3770" i="7"/>
  <c r="N3770" i="7" s="1"/>
  <c r="O3770" i="7" s="1"/>
  <c r="L3771" i="7"/>
  <c r="N3771" i="7" s="1"/>
  <c r="O3771" i="7" s="1"/>
  <c r="L3772" i="7"/>
  <c r="N3772" i="7" s="1"/>
  <c r="O3772" i="7" s="1"/>
  <c r="L3773" i="7"/>
  <c r="N3773" i="7" s="1"/>
  <c r="O3773" i="7" s="1"/>
  <c r="L3774" i="7"/>
  <c r="N3774" i="7" s="1"/>
  <c r="O3774" i="7" s="1"/>
  <c r="L3775" i="7"/>
  <c r="N3775" i="7" s="1"/>
  <c r="O3775" i="7" s="1"/>
  <c r="L3776" i="7"/>
  <c r="N3776" i="7" s="1"/>
  <c r="O3776" i="7" s="1"/>
  <c r="L3777" i="7"/>
  <c r="N3777" i="7" s="1"/>
  <c r="O3777" i="7" s="1"/>
  <c r="L3778" i="7"/>
  <c r="N3778" i="7" s="1"/>
  <c r="O3778" i="7" s="1"/>
  <c r="L3779" i="7"/>
  <c r="N3779" i="7" s="1"/>
  <c r="O3779" i="7" s="1"/>
  <c r="L3780" i="7"/>
  <c r="N3780" i="7" s="1"/>
  <c r="O3780" i="7" s="1"/>
  <c r="L3781" i="7"/>
  <c r="N3781" i="7" s="1"/>
  <c r="O3781" i="7" s="1"/>
  <c r="L3782" i="7"/>
  <c r="N3782" i="7" s="1"/>
  <c r="O3782" i="7" s="1"/>
  <c r="L3783" i="7"/>
  <c r="N3783" i="7" s="1"/>
  <c r="O3783" i="7" s="1"/>
  <c r="L3784" i="7"/>
  <c r="N3784" i="7" s="1"/>
  <c r="O3784" i="7" s="1"/>
  <c r="L3785" i="7"/>
  <c r="N3785" i="7" s="1"/>
  <c r="O3785" i="7" s="1"/>
  <c r="L3786" i="7"/>
  <c r="N3786" i="7" s="1"/>
  <c r="O3786" i="7" s="1"/>
  <c r="L3789" i="7"/>
  <c r="N3789" i="7" s="1"/>
  <c r="O3789" i="7" s="1"/>
  <c r="L3790" i="7"/>
  <c r="N3790" i="7" s="1"/>
  <c r="O3790" i="7" s="1"/>
  <c r="L3791" i="7"/>
  <c r="N3791" i="7" s="1"/>
  <c r="O3791" i="7" s="1"/>
  <c r="L3792" i="7"/>
  <c r="N3792" i="7" s="1"/>
  <c r="O3792" i="7" s="1"/>
  <c r="L3793" i="7"/>
  <c r="N3793" i="7" s="1"/>
  <c r="O3793" i="7" s="1"/>
  <c r="L3794" i="7"/>
  <c r="N3794" i="7" s="1"/>
  <c r="O3794" i="7" s="1"/>
  <c r="L3795" i="7"/>
  <c r="N3795" i="7" s="1"/>
  <c r="O3795" i="7" s="1"/>
  <c r="L3796" i="7"/>
  <c r="N3796" i="7" s="1"/>
  <c r="O3796" i="7" s="1"/>
  <c r="L3797" i="7"/>
  <c r="N3797" i="7" s="1"/>
  <c r="O3797" i="7" s="1"/>
  <c r="L3798" i="7"/>
  <c r="N3798" i="7" s="1"/>
  <c r="O3798" i="7" s="1"/>
  <c r="L3799" i="7"/>
  <c r="N3799" i="7" s="1"/>
  <c r="O3799" i="7" s="1"/>
  <c r="L3800" i="7"/>
  <c r="N3800" i="7" s="1"/>
  <c r="O3800" i="7" s="1"/>
  <c r="L3801" i="7"/>
  <c r="N3801" i="7" s="1"/>
  <c r="O3801" i="7" s="1"/>
  <c r="L3802" i="7"/>
  <c r="N3802" i="7" s="1"/>
  <c r="O3802" i="7" s="1"/>
  <c r="L3803" i="7"/>
  <c r="N3803" i="7" s="1"/>
  <c r="O3803" i="7" s="1"/>
  <c r="L3804" i="7"/>
  <c r="N3804" i="7" s="1"/>
  <c r="O3804" i="7" s="1"/>
  <c r="L3805" i="7"/>
  <c r="N3805" i="7" s="1"/>
  <c r="O3805" i="7" s="1"/>
  <c r="L3806" i="7"/>
  <c r="N3806" i="7" s="1"/>
  <c r="O3806" i="7" s="1"/>
  <c r="L3807" i="7"/>
  <c r="N3807" i="7" s="1"/>
  <c r="O3807" i="7" s="1"/>
  <c r="L3808" i="7"/>
  <c r="N3808" i="7" s="1"/>
  <c r="O3808" i="7" s="1"/>
  <c r="L3809" i="7"/>
  <c r="N3809" i="7" s="1"/>
  <c r="O3809" i="7" s="1"/>
  <c r="L3810" i="7"/>
  <c r="N3810" i="7" s="1"/>
  <c r="O3810" i="7" s="1"/>
  <c r="L3811" i="7"/>
  <c r="N3811" i="7" s="1"/>
  <c r="O3811" i="7" s="1"/>
  <c r="L3812" i="7"/>
  <c r="N3812" i="7" s="1"/>
  <c r="O3812" i="7" s="1"/>
  <c r="L3813" i="7"/>
  <c r="N3813" i="7" s="1"/>
  <c r="O3813" i="7" s="1"/>
  <c r="L3814" i="7"/>
  <c r="N3814" i="7" s="1"/>
  <c r="O3814" i="7" s="1"/>
  <c r="L3815" i="7"/>
  <c r="N3815" i="7" s="1"/>
  <c r="O3815" i="7" s="1"/>
  <c r="L3816" i="7"/>
  <c r="N3816" i="7" s="1"/>
  <c r="O3816" i="7" s="1"/>
  <c r="L3817" i="7"/>
  <c r="N3817" i="7" s="1"/>
  <c r="O3817" i="7" s="1"/>
  <c r="L3818" i="7"/>
  <c r="N3818" i="7" s="1"/>
  <c r="O3818" i="7" s="1"/>
  <c r="L3819" i="7"/>
  <c r="N3819" i="7" s="1"/>
  <c r="O3819" i="7" s="1"/>
  <c r="L3820" i="7"/>
  <c r="N3820" i="7" s="1"/>
  <c r="O3820" i="7" s="1"/>
  <c r="L3821" i="7"/>
  <c r="N3821" i="7" s="1"/>
  <c r="O3821" i="7" s="1"/>
  <c r="L3822" i="7"/>
  <c r="N3822" i="7" s="1"/>
  <c r="O3822" i="7" s="1"/>
  <c r="L3823" i="7"/>
  <c r="N3823" i="7" s="1"/>
  <c r="O3823" i="7" s="1"/>
  <c r="L3824" i="7"/>
  <c r="N3824" i="7" s="1"/>
  <c r="O3824" i="7" s="1"/>
  <c r="L3825" i="7"/>
  <c r="N3825" i="7" s="1"/>
  <c r="O3825" i="7" s="1"/>
  <c r="L3826" i="7"/>
  <c r="N3826" i="7" s="1"/>
  <c r="O3826" i="7" s="1"/>
  <c r="L3827" i="7"/>
  <c r="N3827" i="7" s="1"/>
  <c r="O3827" i="7" s="1"/>
  <c r="L3828" i="7"/>
  <c r="N3828" i="7" s="1"/>
  <c r="O3828" i="7" s="1"/>
  <c r="L3829" i="7"/>
  <c r="N3829" i="7" s="1"/>
  <c r="O3829" i="7" s="1"/>
  <c r="L3830" i="7"/>
  <c r="N3830" i="7" s="1"/>
  <c r="O3830" i="7" s="1"/>
  <c r="L3831" i="7"/>
  <c r="N3831" i="7" s="1"/>
  <c r="O3831" i="7" s="1"/>
  <c r="L3832" i="7"/>
  <c r="N3832" i="7" s="1"/>
  <c r="O3832" i="7" s="1"/>
  <c r="L3833" i="7"/>
  <c r="N3833" i="7" s="1"/>
  <c r="O3833" i="7" s="1"/>
  <c r="L3834" i="7"/>
  <c r="N3834" i="7" s="1"/>
  <c r="O3834" i="7" s="1"/>
  <c r="L3835" i="7"/>
  <c r="N3835" i="7" s="1"/>
  <c r="O3835" i="7" s="1"/>
  <c r="L3836" i="7"/>
  <c r="N3836" i="7" s="1"/>
  <c r="O3836" i="7" s="1"/>
  <c r="L3837" i="7"/>
  <c r="N3837" i="7" s="1"/>
  <c r="O3837" i="7" s="1"/>
  <c r="L3838" i="7"/>
  <c r="N3838" i="7" s="1"/>
  <c r="O3838" i="7" s="1"/>
  <c r="L3839" i="7"/>
  <c r="N3839" i="7" s="1"/>
  <c r="O3839" i="7" s="1"/>
  <c r="L3840" i="7"/>
  <c r="N3840" i="7" s="1"/>
  <c r="O3840" i="7" s="1"/>
  <c r="L3841" i="7"/>
  <c r="N3841" i="7" s="1"/>
  <c r="O3841" i="7" s="1"/>
  <c r="L3842" i="7"/>
  <c r="N3842" i="7" s="1"/>
  <c r="O3842" i="7" s="1"/>
  <c r="L3843" i="7"/>
  <c r="N3843" i="7" s="1"/>
  <c r="O3843" i="7" s="1"/>
  <c r="L3844" i="7"/>
  <c r="N3844" i="7" s="1"/>
  <c r="O3844" i="7" s="1"/>
  <c r="L3845" i="7"/>
  <c r="N3845" i="7" s="1"/>
  <c r="O3845" i="7" s="1"/>
  <c r="L3846" i="7"/>
  <c r="N3846" i="7" s="1"/>
  <c r="O3846" i="7" s="1"/>
  <c r="L3847" i="7"/>
  <c r="N3847" i="7" s="1"/>
  <c r="O3847" i="7" s="1"/>
  <c r="L3848" i="7"/>
  <c r="N3848" i="7" s="1"/>
  <c r="O3848" i="7" s="1"/>
  <c r="L3849" i="7"/>
  <c r="N3849" i="7" s="1"/>
  <c r="O3849" i="7" s="1"/>
  <c r="L3850" i="7"/>
  <c r="N3850" i="7" s="1"/>
  <c r="O3850" i="7" s="1"/>
  <c r="L3851" i="7"/>
  <c r="N3851" i="7" s="1"/>
  <c r="O3851" i="7" s="1"/>
  <c r="L3852" i="7"/>
  <c r="N3852" i="7" s="1"/>
  <c r="O3852" i="7" s="1"/>
  <c r="L3853" i="7"/>
  <c r="N3853" i="7" s="1"/>
  <c r="O3853" i="7" s="1"/>
  <c r="L3854" i="7"/>
  <c r="N3854" i="7" s="1"/>
  <c r="O3854" i="7" s="1"/>
  <c r="L3855" i="7"/>
  <c r="N3855" i="7" s="1"/>
  <c r="O3855" i="7" s="1"/>
  <c r="L3856" i="7"/>
  <c r="N3856" i="7" s="1"/>
  <c r="O3856" i="7" s="1"/>
  <c r="L3857" i="7"/>
  <c r="N3857" i="7" s="1"/>
  <c r="O3857" i="7" s="1"/>
  <c r="L3858" i="7"/>
  <c r="N3858" i="7" s="1"/>
  <c r="O3858" i="7" s="1"/>
  <c r="L3859" i="7"/>
  <c r="N3859" i="7" s="1"/>
  <c r="O3859" i="7" s="1"/>
  <c r="L3860" i="7"/>
  <c r="N3860" i="7" s="1"/>
  <c r="O3860" i="7" s="1"/>
  <c r="L3861" i="7"/>
  <c r="N3861" i="7" s="1"/>
  <c r="O3861" i="7" s="1"/>
  <c r="L3862" i="7"/>
  <c r="N3862" i="7" s="1"/>
  <c r="O3862" i="7" s="1"/>
  <c r="L3863" i="7"/>
  <c r="N3863" i="7" s="1"/>
  <c r="O3863" i="7" s="1"/>
  <c r="L3864" i="7"/>
  <c r="N3864" i="7" s="1"/>
  <c r="O3864" i="7" s="1"/>
  <c r="L3865" i="7"/>
  <c r="N3865" i="7" s="1"/>
  <c r="O3865" i="7" s="1"/>
  <c r="L3868" i="7"/>
  <c r="N3868" i="7" s="1"/>
  <c r="O3868" i="7" s="1"/>
  <c r="L3869" i="7"/>
  <c r="N3869" i="7" s="1"/>
  <c r="O3869" i="7" s="1"/>
  <c r="L3870" i="7"/>
  <c r="N3870" i="7" s="1"/>
  <c r="O3870" i="7" s="1"/>
  <c r="L3871" i="7"/>
  <c r="N3871" i="7" s="1"/>
  <c r="O3871" i="7" s="1"/>
  <c r="L3872" i="7"/>
  <c r="N3872" i="7" s="1"/>
  <c r="O3872" i="7" s="1"/>
  <c r="L3873" i="7"/>
  <c r="N3873" i="7" s="1"/>
  <c r="O3873" i="7" s="1"/>
  <c r="L3874" i="7"/>
  <c r="N3874" i="7" s="1"/>
  <c r="O3874" i="7" s="1"/>
  <c r="L3875" i="7"/>
  <c r="N3875" i="7" s="1"/>
  <c r="O3875" i="7" s="1"/>
  <c r="L3876" i="7"/>
  <c r="N3876" i="7" s="1"/>
  <c r="O3876" i="7" s="1"/>
  <c r="L3877" i="7"/>
  <c r="N3877" i="7" s="1"/>
  <c r="O3877" i="7" s="1"/>
  <c r="L3878" i="7"/>
  <c r="N3878" i="7" s="1"/>
  <c r="O3878" i="7" s="1"/>
  <c r="L3879" i="7"/>
  <c r="N3879" i="7" s="1"/>
  <c r="O3879" i="7" s="1"/>
  <c r="L3880" i="7"/>
  <c r="N3880" i="7" s="1"/>
  <c r="O3880" i="7" s="1"/>
  <c r="L3881" i="7"/>
  <c r="N3881" i="7" s="1"/>
  <c r="O3881" i="7" s="1"/>
  <c r="L3882" i="7"/>
  <c r="N3882" i="7" s="1"/>
  <c r="O3882" i="7" s="1"/>
  <c r="L3883" i="7"/>
  <c r="N3883" i="7" s="1"/>
  <c r="O3883" i="7" s="1"/>
  <c r="L3884" i="7"/>
  <c r="N3884" i="7" s="1"/>
  <c r="O3884" i="7" s="1"/>
  <c r="L3885" i="7"/>
  <c r="N3885" i="7" s="1"/>
  <c r="O3885" i="7" s="1"/>
  <c r="L3886" i="7"/>
  <c r="N3886" i="7" s="1"/>
  <c r="O3886" i="7" s="1"/>
  <c r="L3887" i="7"/>
  <c r="N3887" i="7" s="1"/>
  <c r="O3887" i="7" s="1"/>
  <c r="L3888" i="7"/>
  <c r="N3888" i="7" s="1"/>
  <c r="O3888" i="7" s="1"/>
  <c r="L3889" i="7"/>
  <c r="N3889" i="7" s="1"/>
  <c r="O3889" i="7" s="1"/>
  <c r="L3890" i="7"/>
  <c r="N3890" i="7" s="1"/>
  <c r="O3890" i="7" s="1"/>
  <c r="L3891" i="7"/>
  <c r="N3891" i="7" s="1"/>
  <c r="O3891" i="7" s="1"/>
  <c r="L3892" i="7"/>
  <c r="N3892" i="7" s="1"/>
  <c r="O3892" i="7" s="1"/>
  <c r="L3893" i="7"/>
  <c r="N3893" i="7" s="1"/>
  <c r="O3893" i="7" s="1"/>
  <c r="L3894" i="7"/>
  <c r="N3894" i="7" s="1"/>
  <c r="O3894" i="7" s="1"/>
  <c r="L3895" i="7"/>
  <c r="N3895" i="7" s="1"/>
  <c r="O3895" i="7" s="1"/>
  <c r="L3896" i="7"/>
  <c r="N3896" i="7" s="1"/>
  <c r="O3896" i="7" s="1"/>
  <c r="L3897" i="7"/>
  <c r="N3897" i="7" s="1"/>
  <c r="O3897" i="7" s="1"/>
  <c r="L3898" i="7"/>
  <c r="N3898" i="7" s="1"/>
  <c r="O3898" i="7" s="1"/>
  <c r="L3899" i="7"/>
  <c r="N3899" i="7" s="1"/>
  <c r="O3899" i="7" s="1"/>
  <c r="L3900" i="7"/>
  <c r="N3900" i="7" s="1"/>
  <c r="O3900" i="7" s="1"/>
  <c r="L3901" i="7"/>
  <c r="N3901" i="7" s="1"/>
  <c r="O3901" i="7" s="1"/>
  <c r="L3902" i="7"/>
  <c r="N3902" i="7" s="1"/>
  <c r="O3902" i="7" s="1"/>
  <c r="L3903" i="7"/>
  <c r="N3903" i="7" s="1"/>
  <c r="O3903" i="7" s="1"/>
  <c r="L3904" i="7"/>
  <c r="N3904" i="7" s="1"/>
  <c r="O3904" i="7" s="1"/>
  <c r="L3905" i="7"/>
  <c r="N3905" i="7" s="1"/>
  <c r="O3905" i="7" s="1"/>
  <c r="L3906" i="7"/>
  <c r="N3906" i="7" s="1"/>
  <c r="O3906" i="7" s="1"/>
  <c r="L3907" i="7"/>
  <c r="N3907" i="7" s="1"/>
  <c r="O3907" i="7" s="1"/>
  <c r="L3908" i="7"/>
  <c r="N3908" i="7" s="1"/>
  <c r="O3908" i="7" s="1"/>
  <c r="L3909" i="7"/>
  <c r="N3909" i="7" s="1"/>
  <c r="O3909" i="7" s="1"/>
  <c r="L3910" i="7"/>
  <c r="N3910" i="7" s="1"/>
  <c r="O3910" i="7" s="1"/>
  <c r="L3911" i="7"/>
  <c r="N3911" i="7" s="1"/>
  <c r="O3911" i="7" s="1"/>
  <c r="L3912" i="7"/>
  <c r="N3912" i="7" s="1"/>
  <c r="O3912" i="7" s="1"/>
  <c r="L3913" i="7"/>
  <c r="N3913" i="7" s="1"/>
  <c r="O3913" i="7" s="1"/>
  <c r="L3914" i="7"/>
  <c r="N3914" i="7" s="1"/>
  <c r="O3914" i="7" s="1"/>
  <c r="L3915" i="7"/>
  <c r="N3915" i="7" s="1"/>
  <c r="O3915" i="7" s="1"/>
  <c r="L3916" i="7"/>
  <c r="N3916" i="7" s="1"/>
  <c r="O3916" i="7" s="1"/>
  <c r="L3917" i="7"/>
  <c r="N3917" i="7" s="1"/>
  <c r="O3917" i="7" s="1"/>
  <c r="L3918" i="7"/>
  <c r="N3918" i="7" s="1"/>
  <c r="O3918" i="7" s="1"/>
  <c r="L3919" i="7"/>
  <c r="N3919" i="7" s="1"/>
  <c r="O3919" i="7" s="1"/>
  <c r="L3920" i="7"/>
  <c r="N3920" i="7" s="1"/>
  <c r="O3920" i="7" s="1"/>
  <c r="L3921" i="7"/>
  <c r="N3921" i="7" s="1"/>
  <c r="O3921" i="7" s="1"/>
  <c r="L3922" i="7"/>
  <c r="N3922" i="7" s="1"/>
  <c r="O3922" i="7" s="1"/>
  <c r="L3923" i="7"/>
  <c r="N3923" i="7" s="1"/>
  <c r="O3923" i="7" s="1"/>
  <c r="L3924" i="7"/>
  <c r="N3924" i="7" s="1"/>
  <c r="O3924" i="7" s="1"/>
  <c r="L3925" i="7"/>
  <c r="N3925" i="7" s="1"/>
  <c r="O3925" i="7" s="1"/>
  <c r="L3926" i="7"/>
  <c r="N3926" i="7" s="1"/>
  <c r="O3926" i="7" s="1"/>
  <c r="L3927" i="7"/>
  <c r="N3927" i="7" s="1"/>
  <c r="O3927" i="7" s="1"/>
  <c r="L3928" i="7"/>
  <c r="N3928" i="7" s="1"/>
  <c r="O3928" i="7" s="1"/>
  <c r="L3929" i="7"/>
  <c r="N3929" i="7" s="1"/>
  <c r="O3929" i="7" s="1"/>
  <c r="L3930" i="7"/>
  <c r="N3930" i="7" s="1"/>
  <c r="O3930" i="7" s="1"/>
  <c r="L3931" i="7"/>
  <c r="N3931" i="7" s="1"/>
  <c r="O3931" i="7" s="1"/>
  <c r="L3932" i="7"/>
  <c r="N3932" i="7" s="1"/>
  <c r="O3932" i="7" s="1"/>
  <c r="L3933" i="7"/>
  <c r="N3933" i="7" s="1"/>
  <c r="O3933" i="7" s="1"/>
  <c r="L3934" i="7"/>
  <c r="N3934" i="7" s="1"/>
  <c r="O3934" i="7" s="1"/>
  <c r="L3935" i="7"/>
  <c r="N3935" i="7" s="1"/>
  <c r="O3935" i="7" s="1"/>
  <c r="L3936" i="7"/>
  <c r="N3936" i="7" s="1"/>
  <c r="O3936" i="7" s="1"/>
  <c r="L3937" i="7"/>
  <c r="N3937" i="7" s="1"/>
  <c r="O3937" i="7" s="1"/>
  <c r="L3938" i="7"/>
  <c r="N3938" i="7" s="1"/>
  <c r="O3938" i="7" s="1"/>
  <c r="L3939" i="7"/>
  <c r="N3939" i="7" s="1"/>
  <c r="O3939" i="7" s="1"/>
  <c r="L3940" i="7"/>
  <c r="N3940" i="7" s="1"/>
  <c r="O3940" i="7" s="1"/>
  <c r="L3941" i="7"/>
  <c r="N3941" i="7" s="1"/>
  <c r="O3941" i="7" s="1"/>
  <c r="L3942" i="7"/>
  <c r="N3942" i="7" s="1"/>
  <c r="O3942" i="7" s="1"/>
  <c r="L3943" i="7"/>
  <c r="N3943" i="7" s="1"/>
  <c r="O3943" i="7" s="1"/>
  <c r="L3944" i="7"/>
  <c r="N3944" i="7" s="1"/>
  <c r="O3944" i="7" s="1"/>
  <c r="L3947" i="7"/>
  <c r="N3947" i="7" s="1"/>
  <c r="L3948" i="7"/>
  <c r="N3948" i="7" s="1"/>
  <c r="L3949" i="7"/>
  <c r="N3949" i="7" s="1"/>
  <c r="L3950" i="7"/>
  <c r="N3950" i="7" s="1"/>
  <c r="L3951" i="7"/>
  <c r="N3951" i="7" s="1"/>
  <c r="L3952" i="7"/>
  <c r="N3952" i="7" s="1"/>
  <c r="L3953" i="7"/>
  <c r="N3953" i="7" s="1"/>
  <c r="L3954" i="7"/>
  <c r="N3954" i="7" s="1"/>
  <c r="L3955" i="7"/>
  <c r="N3955" i="7" s="1"/>
  <c r="L3956" i="7"/>
  <c r="N3956" i="7" s="1"/>
  <c r="L3957" i="7"/>
  <c r="N3957" i="7" s="1"/>
  <c r="L3958" i="7"/>
  <c r="N3958" i="7" s="1"/>
  <c r="L3959" i="7"/>
  <c r="N3959" i="7" s="1"/>
  <c r="L3960" i="7"/>
  <c r="N3960" i="7" s="1"/>
  <c r="L3961" i="7"/>
  <c r="N3961" i="7" s="1"/>
  <c r="L3962" i="7"/>
  <c r="N3962" i="7" s="1"/>
  <c r="L3963" i="7"/>
  <c r="N3963" i="7" s="1"/>
  <c r="L3964" i="7"/>
  <c r="N3964" i="7" s="1"/>
  <c r="L3965" i="7"/>
  <c r="N3965" i="7" s="1"/>
  <c r="L3966" i="7"/>
  <c r="N3966" i="7" s="1"/>
  <c r="L3967" i="7"/>
  <c r="N3967" i="7" s="1"/>
  <c r="L3968" i="7"/>
  <c r="N3968" i="7" s="1"/>
  <c r="L3969" i="7"/>
  <c r="N3969" i="7" s="1"/>
  <c r="L3970" i="7"/>
  <c r="N3970" i="7" s="1"/>
  <c r="L3971" i="7"/>
  <c r="N3971" i="7" s="1"/>
  <c r="L3972" i="7"/>
  <c r="N3972" i="7" s="1"/>
  <c r="L3973" i="7"/>
  <c r="N3973" i="7" s="1"/>
  <c r="L3974" i="7"/>
  <c r="N3974" i="7" s="1"/>
  <c r="L3975" i="7"/>
  <c r="N3975" i="7" s="1"/>
  <c r="L3976" i="7"/>
  <c r="N3976" i="7" s="1"/>
  <c r="L3977" i="7"/>
  <c r="N3977" i="7" s="1"/>
  <c r="L3978" i="7"/>
  <c r="N3978" i="7" s="1"/>
  <c r="L3979" i="7"/>
  <c r="N3979" i="7" s="1"/>
  <c r="L3980" i="7"/>
  <c r="N3980" i="7" s="1"/>
  <c r="L3981" i="7"/>
  <c r="N3981" i="7" s="1"/>
  <c r="L3982" i="7"/>
  <c r="N3982" i="7" s="1"/>
  <c r="L3983" i="7"/>
  <c r="N3983" i="7" s="1"/>
  <c r="L3984" i="7"/>
  <c r="N3984" i="7" s="1"/>
  <c r="L3985" i="7"/>
  <c r="N3985" i="7" s="1"/>
  <c r="L3986" i="7"/>
  <c r="N3986" i="7" s="1"/>
  <c r="L3987" i="7"/>
  <c r="N3987" i="7" s="1"/>
  <c r="L3988" i="7"/>
  <c r="N3988" i="7" s="1"/>
  <c r="L3989" i="7"/>
  <c r="N3989" i="7" s="1"/>
  <c r="L3990" i="7"/>
  <c r="N3990" i="7" s="1"/>
  <c r="L3991" i="7"/>
  <c r="N3991" i="7" s="1"/>
  <c r="L3992" i="7"/>
  <c r="N3992" i="7" s="1"/>
  <c r="L3993" i="7"/>
  <c r="N3993" i="7" s="1"/>
  <c r="L3994" i="7"/>
  <c r="N3994" i="7" s="1"/>
  <c r="L3995" i="7"/>
  <c r="N3995" i="7" s="1"/>
  <c r="L3996" i="7"/>
  <c r="N3996" i="7" s="1"/>
  <c r="L3997" i="7"/>
  <c r="N3997" i="7" s="1"/>
  <c r="L3998" i="7"/>
  <c r="N3998" i="7" s="1"/>
  <c r="L3999" i="7"/>
  <c r="N3999" i="7" s="1"/>
  <c r="L4000" i="7"/>
  <c r="N4000" i="7" s="1"/>
  <c r="L4001" i="7"/>
  <c r="N4001" i="7" s="1"/>
  <c r="L4002" i="7"/>
  <c r="N4002" i="7" s="1"/>
  <c r="L4003" i="7"/>
  <c r="N4003" i="7" s="1"/>
  <c r="L4004" i="7"/>
  <c r="N4004" i="7" s="1"/>
  <c r="L4005" i="7"/>
  <c r="N4005" i="7" s="1"/>
  <c r="L4006" i="7"/>
  <c r="N4006" i="7" s="1"/>
  <c r="L4007" i="7"/>
  <c r="N4007" i="7" s="1"/>
  <c r="L4008" i="7"/>
  <c r="N4008" i="7" s="1"/>
  <c r="L4009" i="7"/>
  <c r="N4009" i="7" s="1"/>
  <c r="L4010" i="7"/>
  <c r="N4010" i="7" s="1"/>
  <c r="L4011" i="7"/>
  <c r="N4011" i="7" s="1"/>
  <c r="L4012" i="7"/>
  <c r="N4012" i="7" s="1"/>
  <c r="L4013" i="7"/>
  <c r="N4013" i="7" s="1"/>
  <c r="L4014" i="7"/>
  <c r="N4014" i="7" s="1"/>
  <c r="L4015" i="7"/>
  <c r="N4015" i="7" s="1"/>
  <c r="L4016" i="7"/>
  <c r="N4016" i="7" s="1"/>
  <c r="L4017" i="7"/>
  <c r="N4017" i="7" s="1"/>
  <c r="L4018" i="7"/>
  <c r="N4018" i="7" s="1"/>
  <c r="L4019" i="7"/>
  <c r="N4019" i="7" s="1"/>
  <c r="L4020" i="7"/>
  <c r="N4020" i="7" s="1"/>
  <c r="L4021" i="7"/>
  <c r="N4021" i="7" s="1"/>
  <c r="L4022" i="7"/>
  <c r="N4022" i="7" s="1"/>
  <c r="L4023" i="7"/>
  <c r="N4023" i="7" s="1"/>
  <c r="L4026" i="7"/>
  <c r="L4027" i="7"/>
  <c r="L4028" i="7"/>
  <c r="L4029" i="7"/>
  <c r="L4030" i="7"/>
  <c r="L4031" i="7"/>
  <c r="L4032" i="7"/>
  <c r="L4033" i="7"/>
  <c r="L4034" i="7"/>
  <c r="L4035" i="7"/>
  <c r="L4036" i="7"/>
  <c r="L4037" i="7"/>
  <c r="L4038" i="7"/>
  <c r="L4039" i="7"/>
  <c r="L4040" i="7"/>
  <c r="L4041" i="7"/>
  <c r="L4042" i="7"/>
  <c r="L4043" i="7"/>
  <c r="L4044" i="7"/>
  <c r="L4045" i="7"/>
  <c r="L4046" i="7"/>
  <c r="L4047" i="7"/>
  <c r="L4048" i="7"/>
  <c r="L4049" i="7"/>
  <c r="L4050" i="7"/>
  <c r="L4051" i="7"/>
  <c r="L4052" i="7"/>
  <c r="L4053" i="7"/>
  <c r="L4054" i="7"/>
  <c r="L4055" i="7"/>
  <c r="L4056" i="7"/>
  <c r="L4057" i="7"/>
  <c r="L4058" i="7"/>
  <c r="L4059" i="7"/>
  <c r="L4060" i="7"/>
  <c r="L4061" i="7"/>
  <c r="L4062" i="7"/>
  <c r="L4063" i="7"/>
  <c r="L4064" i="7"/>
  <c r="L4065" i="7"/>
  <c r="L4066" i="7"/>
  <c r="L4067" i="7"/>
  <c r="L4068" i="7"/>
  <c r="L4069" i="7"/>
  <c r="L4070" i="7"/>
  <c r="L4071" i="7"/>
  <c r="L4072" i="7"/>
  <c r="L4073" i="7"/>
  <c r="L4074" i="7"/>
  <c r="L4075" i="7"/>
  <c r="L4076" i="7"/>
  <c r="L4077" i="7"/>
  <c r="L4078" i="7"/>
  <c r="L4079" i="7"/>
  <c r="L4080" i="7"/>
  <c r="L4081" i="7"/>
  <c r="L4082" i="7"/>
  <c r="L4083" i="7"/>
  <c r="L4084" i="7"/>
  <c r="L4085" i="7"/>
  <c r="L4086" i="7"/>
  <c r="L4087" i="7"/>
  <c r="L4088" i="7"/>
  <c r="L4089" i="7"/>
  <c r="L4090" i="7"/>
  <c r="L4091" i="7"/>
  <c r="L4092" i="7"/>
  <c r="L4093" i="7"/>
  <c r="L4094" i="7"/>
  <c r="L4095" i="7"/>
  <c r="L4096" i="7"/>
  <c r="L4097" i="7"/>
  <c r="L4098" i="7"/>
  <c r="L4099" i="7"/>
  <c r="L4100" i="7"/>
  <c r="L4101" i="7"/>
  <c r="L4102" i="7"/>
  <c r="L4103" i="7"/>
  <c r="L4104" i="7"/>
  <c r="L4105" i="7"/>
  <c r="L4106" i="7"/>
  <c r="L4107" i="7"/>
  <c r="L4108" i="7"/>
  <c r="L4109" i="7"/>
  <c r="L4110" i="7"/>
  <c r="L4111" i="7"/>
  <c r="L4112" i="7"/>
  <c r="L4113" i="7"/>
  <c r="L4114" i="7"/>
  <c r="L4115" i="7"/>
  <c r="L4116" i="7"/>
  <c r="L4117" i="7"/>
  <c r="L4118" i="7"/>
  <c r="L4119" i="7"/>
  <c r="L4120" i="7"/>
  <c r="L4121" i="7"/>
  <c r="L4122" i="7"/>
  <c r="L4123" i="7"/>
  <c r="L4124" i="7"/>
  <c r="L4125" i="7"/>
  <c r="L4126" i="7"/>
  <c r="L4127" i="7"/>
  <c r="L4128" i="7"/>
  <c r="L4129" i="7"/>
  <c r="L4130" i="7"/>
  <c r="L4131" i="7"/>
  <c r="L4132" i="7"/>
  <c r="L4133" i="7"/>
  <c r="L4134" i="7"/>
  <c r="L4135" i="7"/>
  <c r="L4136" i="7"/>
  <c r="L4137" i="7"/>
  <c r="L4138" i="7"/>
  <c r="L4139" i="7"/>
  <c r="L4140" i="7"/>
  <c r="L4141" i="7"/>
  <c r="L4142" i="7"/>
  <c r="L4143" i="7"/>
  <c r="L4146" i="7"/>
  <c r="N4146" i="7" s="1"/>
  <c r="L4147" i="7"/>
  <c r="N4147" i="7" s="1"/>
  <c r="L4148" i="7"/>
  <c r="N4148" i="7" s="1"/>
  <c r="L4149" i="7"/>
  <c r="N4149" i="7" s="1"/>
  <c r="L4150" i="7"/>
  <c r="N4150" i="7" s="1"/>
  <c r="L4151" i="7"/>
  <c r="N4151" i="7" s="1"/>
  <c r="L4152" i="7"/>
  <c r="N4152" i="7" s="1"/>
  <c r="L4153" i="7"/>
  <c r="N4153" i="7" s="1"/>
  <c r="L4154" i="7"/>
  <c r="N4154" i="7" s="1"/>
  <c r="L4155" i="7"/>
  <c r="N4155" i="7" s="1"/>
  <c r="L4156" i="7"/>
  <c r="N4156" i="7" s="1"/>
  <c r="L4157" i="7"/>
  <c r="N4157" i="7" s="1"/>
  <c r="L4158" i="7"/>
  <c r="N4158" i="7" s="1"/>
  <c r="L4159" i="7"/>
  <c r="N4159" i="7" s="1"/>
  <c r="L4160" i="7"/>
  <c r="N4160" i="7" s="1"/>
  <c r="L4161" i="7"/>
  <c r="N4161" i="7" s="1"/>
  <c r="L4162" i="7"/>
  <c r="N4162" i="7" s="1"/>
  <c r="L4163" i="7"/>
  <c r="N4163" i="7" s="1"/>
  <c r="L4164" i="7"/>
  <c r="N4164" i="7" s="1"/>
  <c r="L4165" i="7"/>
  <c r="N4165" i="7" s="1"/>
  <c r="L4166" i="7"/>
  <c r="N4166" i="7" s="1"/>
  <c r="L4167" i="7"/>
  <c r="N4167" i="7" s="1"/>
  <c r="L4168" i="7"/>
  <c r="N4168" i="7" s="1"/>
  <c r="L4169" i="7"/>
  <c r="N4169" i="7" s="1"/>
  <c r="L4170" i="7"/>
  <c r="N4170" i="7" s="1"/>
  <c r="L4171" i="7"/>
  <c r="N4171" i="7" s="1"/>
  <c r="L4172" i="7"/>
  <c r="N4172" i="7" s="1"/>
  <c r="L4173" i="7"/>
  <c r="N4173" i="7" s="1"/>
  <c r="L4174" i="7"/>
  <c r="N4174" i="7" s="1"/>
  <c r="L4175" i="7"/>
  <c r="N4175" i="7" s="1"/>
  <c r="L4176" i="7"/>
  <c r="N4176" i="7" s="1"/>
  <c r="L4177" i="7"/>
  <c r="N4177" i="7" s="1"/>
  <c r="L4178" i="7"/>
  <c r="N4178" i="7" s="1"/>
  <c r="L4179" i="7"/>
  <c r="N4179" i="7" s="1"/>
  <c r="L4180" i="7"/>
  <c r="N4180" i="7" s="1"/>
  <c r="L4181" i="7"/>
  <c r="N4181" i="7" s="1"/>
  <c r="L4182" i="7"/>
  <c r="N4182" i="7" s="1"/>
  <c r="L4183" i="7"/>
  <c r="N4183" i="7" s="1"/>
  <c r="L4184" i="7"/>
  <c r="N4184" i="7" s="1"/>
  <c r="L4185" i="7"/>
  <c r="N4185" i="7" s="1"/>
  <c r="L4186" i="7"/>
  <c r="N4186" i="7" s="1"/>
  <c r="L4187" i="7"/>
  <c r="N4187" i="7" s="1"/>
  <c r="L4188" i="7"/>
  <c r="N4188" i="7" s="1"/>
  <c r="L4189" i="7"/>
  <c r="N4189" i="7" s="1"/>
  <c r="L4190" i="7"/>
  <c r="N4190" i="7" s="1"/>
  <c r="L4191" i="7"/>
  <c r="N4191" i="7" s="1"/>
  <c r="L4192" i="7"/>
  <c r="N4192" i="7" s="1"/>
  <c r="L4193" i="7"/>
  <c r="N4193" i="7" s="1"/>
  <c r="L4194" i="7"/>
  <c r="N4194" i="7" s="1"/>
  <c r="L4195" i="7"/>
  <c r="N4195" i="7" s="1"/>
  <c r="L4196" i="7"/>
  <c r="N4196" i="7" s="1"/>
  <c r="L4197" i="7"/>
  <c r="N4197" i="7" s="1"/>
  <c r="L4200" i="7"/>
  <c r="N4200" i="7" s="1"/>
  <c r="L4201" i="7"/>
  <c r="N4201" i="7" s="1"/>
  <c r="L4206" i="7"/>
  <c r="N4206" i="7" s="1"/>
  <c r="L4207" i="7"/>
  <c r="N4207" i="7" s="1"/>
  <c r="L4208" i="7"/>
  <c r="L4209" i="7"/>
  <c r="L4210" i="7"/>
  <c r="L4211" i="7"/>
  <c r="L4212" i="7"/>
  <c r="L4213" i="7"/>
  <c r="L4214" i="7"/>
  <c r="L4215" i="7"/>
  <c r="L4216" i="7"/>
  <c r="L4217" i="7"/>
  <c r="L4218" i="7"/>
  <c r="L4219" i="7"/>
  <c r="L4220" i="7"/>
  <c r="L4221" i="7"/>
  <c r="L4222" i="7"/>
  <c r="L4223" i="7"/>
  <c r="L4224" i="7"/>
  <c r="L4225" i="7"/>
  <c r="L4226" i="7"/>
  <c r="L4227" i="7"/>
  <c r="L4228" i="7"/>
  <c r="L4229" i="7"/>
  <c r="L4230" i="7"/>
  <c r="L4231" i="7"/>
  <c r="L4232" i="7"/>
  <c r="L4233" i="7"/>
  <c r="L4234" i="7"/>
  <c r="L4235" i="7"/>
  <c r="L4236" i="7"/>
  <c r="L4237" i="7"/>
  <c r="L4238" i="7"/>
  <c r="L4239" i="7"/>
  <c r="L4240" i="7"/>
  <c r="L4241" i="7"/>
  <c r="L4242" i="7"/>
  <c r="L4243" i="7"/>
  <c r="L4244" i="7"/>
  <c r="L4245" i="7"/>
  <c r="L4246" i="7"/>
  <c r="L4247" i="7"/>
  <c r="L4248" i="7"/>
  <c r="L4249" i="7"/>
  <c r="L4250" i="7"/>
  <c r="L4251" i="7"/>
  <c r="L4252" i="7"/>
  <c r="L4253" i="7"/>
  <c r="L4254" i="7"/>
  <c r="L4255" i="7"/>
  <c r="L4256" i="7"/>
  <c r="L4257" i="7"/>
  <c r="L4258" i="7"/>
  <c r="L4259" i="7"/>
  <c r="L4260" i="7"/>
  <c r="L4261" i="7"/>
  <c r="L4262" i="7"/>
  <c r="L4263" i="7"/>
  <c r="L4264" i="7"/>
  <c r="L4265" i="7"/>
  <c r="L4266" i="7"/>
  <c r="L4267" i="7"/>
  <c r="L4268" i="7"/>
  <c r="L4269" i="7"/>
  <c r="L4270" i="7"/>
  <c r="L4271" i="7"/>
  <c r="L4272" i="7"/>
  <c r="L4273" i="7"/>
  <c r="L4274" i="7"/>
  <c r="L4275" i="7"/>
  <c r="L4276" i="7"/>
  <c r="L4277" i="7"/>
  <c r="L4278" i="7"/>
  <c r="L4279" i="7"/>
  <c r="L4280" i="7"/>
  <c r="L4281" i="7"/>
  <c r="L4282" i="7"/>
  <c r="L4283" i="7"/>
  <c r="L4284" i="7"/>
  <c r="L4285" i="7"/>
  <c r="L4286" i="7"/>
  <c r="L4287" i="7"/>
  <c r="L4288" i="7"/>
  <c r="L4289" i="7"/>
  <c r="L4290" i="7"/>
  <c r="L4291" i="7"/>
  <c r="L4292" i="7"/>
  <c r="L4293" i="7"/>
  <c r="L4294" i="7"/>
  <c r="L4295" i="7"/>
  <c r="L4296" i="7"/>
  <c r="L4297" i="7"/>
  <c r="L4298" i="7"/>
  <c r="L4299" i="7"/>
  <c r="L4300" i="7"/>
  <c r="L4301" i="7"/>
  <c r="L4302" i="7"/>
  <c r="L4303" i="7"/>
  <c r="L4304" i="7"/>
  <c r="L4305" i="7"/>
  <c r="L4306" i="7"/>
  <c r="L4307" i="7"/>
  <c r="L4308" i="7"/>
  <c r="L4309" i="7"/>
  <c r="L4310" i="7"/>
  <c r="L4311" i="7"/>
  <c r="L4312" i="7"/>
  <c r="L4313" i="7"/>
  <c r="L4314" i="7"/>
  <c r="L4315" i="7"/>
  <c r="L4316" i="7"/>
  <c r="L4317" i="7"/>
  <c r="L4318" i="7"/>
  <c r="L4319" i="7"/>
  <c r="L4320" i="7"/>
  <c r="L4321" i="7"/>
  <c r="L4322" i="7"/>
  <c r="L4323" i="7"/>
  <c r="L4324" i="7"/>
  <c r="L4325" i="7"/>
  <c r="L4326" i="7"/>
  <c r="L4327" i="7"/>
  <c r="L4328" i="7"/>
  <c r="L4329" i="7"/>
  <c r="L4330" i="7"/>
  <c r="L4331" i="7"/>
  <c r="L4332" i="7"/>
  <c r="L4333" i="7"/>
  <c r="L4334" i="7"/>
  <c r="L4335" i="7"/>
  <c r="L4336" i="7"/>
  <c r="L4337" i="7"/>
  <c r="L4338" i="7"/>
  <c r="L4339" i="7"/>
  <c r="L4340" i="7"/>
  <c r="L4341" i="7"/>
  <c r="L4342" i="7"/>
  <c r="L4343" i="7"/>
  <c r="L4344" i="7"/>
  <c r="L4345" i="7"/>
  <c r="L4346" i="7"/>
  <c r="L4347" i="7"/>
  <c r="L4348" i="7"/>
  <c r="L4349" i="7"/>
  <c r="L4350" i="7"/>
  <c r="L4351" i="7"/>
  <c r="L4352" i="7"/>
  <c r="L4353" i="7"/>
  <c r="L4354" i="7"/>
  <c r="L4355" i="7"/>
  <c r="L4356" i="7"/>
  <c r="L4357" i="7"/>
  <c r="L4358" i="7"/>
  <c r="L4359" i="7"/>
  <c r="L4360" i="7"/>
  <c r="L4361" i="7"/>
  <c r="L4362" i="7"/>
  <c r="L4365" i="7"/>
  <c r="N4365" i="7" s="1"/>
  <c r="L4366" i="7"/>
  <c r="N4366" i="7" s="1"/>
  <c r="L4367" i="7"/>
  <c r="N4367" i="7" s="1"/>
  <c r="L4368" i="7"/>
  <c r="N4368" i="7" s="1"/>
  <c r="L4369" i="7"/>
  <c r="N4369" i="7" s="1"/>
  <c r="L4370" i="7"/>
  <c r="N4370" i="7" s="1"/>
  <c r="L4371" i="7"/>
  <c r="N4371" i="7" s="1"/>
  <c r="L4372" i="7"/>
  <c r="N4372" i="7" s="1"/>
  <c r="L4373" i="7"/>
  <c r="N4373" i="7" s="1"/>
  <c r="L4374" i="7"/>
  <c r="N4374" i="7" s="1"/>
  <c r="L4375" i="7"/>
  <c r="N4375" i="7" s="1"/>
  <c r="L4376" i="7"/>
  <c r="N4376" i="7" s="1"/>
  <c r="L4377" i="7"/>
  <c r="N4377" i="7" s="1"/>
  <c r="L4378" i="7"/>
  <c r="N4378" i="7" s="1"/>
  <c r="L4379" i="7"/>
  <c r="N4379" i="7" s="1"/>
  <c r="L4380" i="7"/>
  <c r="N4380" i="7" s="1"/>
  <c r="L4381" i="7"/>
  <c r="N4381" i="7" s="1"/>
  <c r="L4382" i="7"/>
  <c r="N4382" i="7" s="1"/>
  <c r="L4383" i="7"/>
  <c r="N4383" i="7" s="1"/>
  <c r="L4384" i="7"/>
  <c r="N4384" i="7" s="1"/>
  <c r="L4385" i="7"/>
  <c r="N4385" i="7" s="1"/>
  <c r="L4386" i="7"/>
  <c r="N4386" i="7" s="1"/>
  <c r="L4387" i="7"/>
  <c r="N4387" i="7" s="1"/>
  <c r="L4388" i="7"/>
  <c r="N4388" i="7" s="1"/>
  <c r="L4389" i="7"/>
  <c r="N4389" i="7" s="1"/>
  <c r="L4390" i="7"/>
  <c r="N4390" i="7" s="1"/>
  <c r="L4391" i="7"/>
  <c r="N4391" i="7" s="1"/>
  <c r="L4392" i="7"/>
  <c r="N4392" i="7" s="1"/>
  <c r="L4393" i="7"/>
  <c r="N4393" i="7" s="1"/>
  <c r="L4394" i="7"/>
  <c r="N4394" i="7" s="1"/>
  <c r="L4395" i="7"/>
  <c r="N4395" i="7" s="1"/>
  <c r="L4396" i="7"/>
  <c r="N4396" i="7" s="1"/>
  <c r="L4397" i="7"/>
  <c r="N4397" i="7" s="1"/>
  <c r="L4398" i="7"/>
  <c r="N4398" i="7" s="1"/>
  <c r="L4399" i="7"/>
  <c r="N4399" i="7" s="1"/>
  <c r="L4400" i="7"/>
  <c r="N4400" i="7" s="1"/>
  <c r="L4401" i="7"/>
  <c r="N4401" i="7" s="1"/>
  <c r="L4402" i="7"/>
  <c r="N4402" i="7" s="1"/>
  <c r="L4405" i="7"/>
  <c r="N4405" i="7" s="1"/>
  <c r="L4406" i="7"/>
  <c r="N4406" i="7" s="1"/>
  <c r="L4407" i="7"/>
  <c r="N4407" i="7" s="1"/>
  <c r="L4408" i="7"/>
  <c r="N4408" i="7" s="1"/>
  <c r="L4409" i="7"/>
  <c r="N4409" i="7" s="1"/>
  <c r="L4410" i="7"/>
  <c r="N4410" i="7" s="1"/>
  <c r="L4411" i="7"/>
  <c r="N4411" i="7" s="1"/>
  <c r="L4412" i="7"/>
  <c r="N4412" i="7" s="1"/>
  <c r="L4413" i="7"/>
  <c r="N4413" i="7" s="1"/>
  <c r="L4414" i="7"/>
  <c r="N4414" i="7" s="1"/>
  <c r="L4415" i="7"/>
  <c r="N4415" i="7" s="1"/>
  <c r="L4416" i="7"/>
  <c r="N4416" i="7" s="1"/>
  <c r="L4417" i="7"/>
  <c r="N4417" i="7" s="1"/>
  <c r="L4418" i="7"/>
  <c r="N4418" i="7" s="1"/>
  <c r="L4421" i="7"/>
  <c r="N4421" i="7" s="1"/>
  <c r="L4422" i="7"/>
  <c r="N4422" i="7" s="1"/>
  <c r="L4423" i="7"/>
  <c r="N4423" i="7" s="1"/>
  <c r="L4424" i="7"/>
  <c r="N4424" i="7" s="1"/>
  <c r="L4425" i="7"/>
  <c r="N4425" i="7" s="1"/>
  <c r="L4426" i="7"/>
  <c r="N4426" i="7" s="1"/>
  <c r="L4427" i="7"/>
  <c r="N4427" i="7" s="1"/>
  <c r="L4428" i="7"/>
  <c r="N4428" i="7" s="1"/>
  <c r="L4429" i="7"/>
  <c r="N4429" i="7" s="1"/>
  <c r="L4430" i="7"/>
  <c r="N4430" i="7" s="1"/>
  <c r="L4431" i="7"/>
  <c r="N4431" i="7" s="1"/>
  <c r="L4432" i="7"/>
  <c r="N4432" i="7" s="1"/>
  <c r="L4433" i="7"/>
  <c r="N4433" i="7" s="1"/>
  <c r="L4434" i="7"/>
  <c r="N4434" i="7" s="1"/>
  <c r="L4435" i="7"/>
  <c r="N4435" i="7" s="1"/>
  <c r="L4436" i="7"/>
  <c r="N4436" i="7" s="1"/>
  <c r="L4437" i="7"/>
  <c r="N4437" i="7" s="1"/>
  <c r="L4438" i="7"/>
  <c r="N4438" i="7" s="1"/>
  <c r="L4439" i="7"/>
  <c r="N4439" i="7" s="1"/>
  <c r="L4440" i="7"/>
  <c r="N4440" i="7" s="1"/>
  <c r="L4441" i="7"/>
  <c r="N4441" i="7" s="1"/>
  <c r="L4444" i="7"/>
  <c r="N4444" i="7" s="1"/>
  <c r="L4445" i="7"/>
  <c r="N4445" i="7" s="1"/>
  <c r="L4446" i="7"/>
  <c r="N4446" i="7" s="1"/>
  <c r="L4447" i="7"/>
  <c r="N4447" i="7" s="1"/>
  <c r="L4448" i="7"/>
  <c r="N4448" i="7" s="1"/>
  <c r="L4449" i="7"/>
  <c r="N4449" i="7" s="1"/>
  <c r="L4450" i="7"/>
  <c r="N4450" i="7" s="1"/>
  <c r="L4451" i="7"/>
  <c r="N4451" i="7" s="1"/>
  <c r="L4452" i="7"/>
  <c r="N4452" i="7" s="1"/>
  <c r="L4453" i="7"/>
  <c r="N4453" i="7" s="1"/>
  <c r="L4454" i="7"/>
  <c r="N4454" i="7" s="1"/>
  <c r="L4455" i="7"/>
  <c r="N4455" i="7" s="1"/>
  <c r="L4456" i="7"/>
  <c r="N4456" i="7" s="1"/>
  <c r="L4457" i="7"/>
  <c r="N4457" i="7" s="1"/>
  <c r="L4458" i="7"/>
  <c r="N4458" i="7" s="1"/>
  <c r="L4459" i="7"/>
  <c r="N4459" i="7" s="1"/>
  <c r="L4460" i="7"/>
  <c r="N4460" i="7" s="1"/>
  <c r="L4461" i="7"/>
  <c r="N4461" i="7" s="1"/>
  <c r="L4462" i="7"/>
  <c r="N4462" i="7" s="1"/>
  <c r="L4463" i="7"/>
  <c r="N4463" i="7" s="1"/>
  <c r="L4464" i="7"/>
  <c r="N4464" i="7" s="1"/>
  <c r="L4465" i="7"/>
  <c r="N4465" i="7" s="1"/>
  <c r="L4466" i="7"/>
  <c r="N4466" i="7" s="1"/>
  <c r="L4467" i="7"/>
  <c r="N4467" i="7" s="1"/>
  <c r="L4468" i="7"/>
  <c r="N4468" i="7" s="1"/>
  <c r="L4469" i="7"/>
  <c r="N4469" i="7" s="1"/>
  <c r="L4472" i="7"/>
  <c r="N4472" i="7" s="1"/>
  <c r="L4473" i="7"/>
  <c r="N4473" i="7" s="1"/>
  <c r="L4474" i="7"/>
  <c r="N4474" i="7" s="1"/>
  <c r="L4475" i="7"/>
  <c r="N4475" i="7" s="1"/>
  <c r="L4476" i="7"/>
  <c r="N4476" i="7" s="1"/>
  <c r="L4477" i="7"/>
  <c r="N4477" i="7" s="1"/>
  <c r="L4478" i="7"/>
  <c r="N4478" i="7" s="1"/>
  <c r="L4479" i="7"/>
  <c r="N4479" i="7" s="1"/>
  <c r="L4480" i="7"/>
  <c r="N4480" i="7" s="1"/>
  <c r="L4481" i="7"/>
  <c r="N4481" i="7" s="1"/>
  <c r="L4482" i="7"/>
  <c r="N4482" i="7" s="1"/>
  <c r="L4483" i="7"/>
  <c r="N4483" i="7" s="1"/>
  <c r="L4484" i="7"/>
  <c r="N4484" i="7" s="1"/>
  <c r="L4485" i="7"/>
  <c r="N4485" i="7" s="1"/>
  <c r="L4486" i="7"/>
  <c r="N4486" i="7" s="1"/>
  <c r="L4487" i="7"/>
  <c r="N4487" i="7" s="1"/>
  <c r="L4488" i="7"/>
  <c r="N4488" i="7" s="1"/>
  <c r="L4489" i="7"/>
  <c r="N4489" i="7" s="1"/>
  <c r="L4490" i="7"/>
  <c r="N4490" i="7" s="1"/>
  <c r="L4491" i="7"/>
  <c r="N4491" i="7" s="1"/>
  <c r="L4492" i="7"/>
  <c r="N4492" i="7" s="1"/>
  <c r="L4493" i="7"/>
  <c r="N4493" i="7" s="1"/>
  <c r="L4494" i="7"/>
  <c r="N4494" i="7" s="1"/>
  <c r="L4495" i="7"/>
  <c r="N4495" i="7" s="1"/>
  <c r="L4500" i="7"/>
  <c r="N4500" i="7" s="1"/>
  <c r="L4501" i="7"/>
  <c r="N4501" i="7" s="1"/>
  <c r="L4502" i="7"/>
  <c r="N4502" i="7" s="1"/>
  <c r="L4503" i="7"/>
  <c r="N4503" i="7" s="1"/>
  <c r="L4504" i="7"/>
  <c r="N4504" i="7" s="1"/>
  <c r="L4507" i="7"/>
  <c r="N4507" i="7" s="1"/>
  <c r="L4508" i="7"/>
  <c r="N4508" i="7" s="1"/>
  <c r="L4509" i="7"/>
  <c r="N4509" i="7" s="1"/>
  <c r="L4510" i="7"/>
  <c r="N4510" i="7" s="1"/>
  <c r="L4511" i="7"/>
  <c r="N4511" i="7" s="1"/>
  <c r="L4512" i="7"/>
  <c r="N4512" i="7" s="1"/>
  <c r="L4513" i="7"/>
  <c r="N4513" i="7" s="1"/>
  <c r="L4514" i="7"/>
  <c r="N4514" i="7" s="1"/>
  <c r="L4515" i="7"/>
  <c r="N4515" i="7" s="1"/>
  <c r="L4516" i="7"/>
  <c r="N4516" i="7" s="1"/>
  <c r="L4517" i="7"/>
  <c r="N4517" i="7" s="1"/>
  <c r="L4518" i="7"/>
  <c r="N4518" i="7" s="1"/>
  <c r="L4519" i="7"/>
  <c r="N4519" i="7" s="1"/>
  <c r="L4520" i="7"/>
  <c r="N4520" i="7" s="1"/>
  <c r="L4521" i="7"/>
  <c r="N4521" i="7" s="1"/>
  <c r="L4522" i="7"/>
  <c r="N4522" i="7" s="1"/>
  <c r="L4523" i="7"/>
  <c r="N4523" i="7" s="1"/>
  <c r="L4524" i="7"/>
  <c r="N4524" i="7" s="1"/>
  <c r="L4525" i="7"/>
  <c r="N4525" i="7" s="1"/>
  <c r="L4526" i="7"/>
  <c r="N4526" i="7" s="1"/>
  <c r="L4527" i="7"/>
  <c r="N4527" i="7" s="1"/>
  <c r="L4528" i="7"/>
  <c r="N4528" i="7" s="1"/>
  <c r="L4529" i="7"/>
  <c r="N4529" i="7" s="1"/>
  <c r="L4530" i="7"/>
  <c r="N4530" i="7" s="1"/>
  <c r="L4531" i="7"/>
  <c r="N4531" i="7" s="1"/>
  <c r="L4532" i="7"/>
  <c r="N4532" i="7" s="1"/>
  <c r="L4533" i="7"/>
  <c r="N4533" i="7" s="1"/>
  <c r="L4534" i="7"/>
  <c r="N4534" i="7" s="1"/>
  <c r="L4535" i="7"/>
  <c r="N4535" i="7" s="1"/>
  <c r="L4536" i="7"/>
  <c r="N4536" i="7" s="1"/>
  <c r="L4537" i="7"/>
  <c r="N4537" i="7" s="1"/>
  <c r="L4538" i="7"/>
  <c r="N4538" i="7" s="1"/>
  <c r="L4539" i="7"/>
  <c r="N4539" i="7" s="1"/>
  <c r="L4540" i="7"/>
  <c r="N4540" i="7" s="1"/>
  <c r="L4543" i="7"/>
  <c r="N4543" i="7" s="1"/>
  <c r="L4544" i="7"/>
  <c r="N4544" i="7" s="1"/>
  <c r="L4545" i="7"/>
  <c r="N4545" i="7" s="1"/>
  <c r="L4546" i="7"/>
  <c r="N4546" i="7" s="1"/>
  <c r="L4547" i="7"/>
  <c r="N4547" i="7" s="1"/>
  <c r="L4548" i="7"/>
  <c r="N4548" i="7" s="1"/>
  <c r="L4549" i="7"/>
  <c r="N4549" i="7" s="1"/>
  <c r="L4550" i="7"/>
  <c r="N4550" i="7" s="1"/>
  <c r="L4551" i="7"/>
  <c r="N4551" i="7" s="1"/>
  <c r="L4552" i="7"/>
  <c r="N4552" i="7" s="1"/>
  <c r="L4553" i="7"/>
  <c r="N4553" i="7" s="1"/>
  <c r="L4554" i="7"/>
  <c r="N4554" i="7" s="1"/>
  <c r="L4555" i="7"/>
  <c r="N4555" i="7" s="1"/>
  <c r="L4556" i="7"/>
  <c r="N4556" i="7" s="1"/>
  <c r="L4557" i="7"/>
  <c r="N4557" i="7" s="1"/>
  <c r="L4558" i="7"/>
  <c r="N4558" i="7" s="1"/>
  <c r="L4559" i="7"/>
  <c r="N4559" i="7" s="1"/>
  <c r="L4560" i="7"/>
  <c r="N4560" i="7" s="1"/>
  <c r="L4561" i="7"/>
  <c r="N4561" i="7" s="1"/>
  <c r="L4562" i="7"/>
  <c r="N4562" i="7" s="1"/>
  <c r="L4563" i="7"/>
  <c r="N4563" i="7" s="1"/>
  <c r="L4564" i="7"/>
  <c r="N4564" i="7" s="1"/>
  <c r="L4565" i="7"/>
  <c r="N4565" i="7" s="1"/>
  <c r="L4566" i="7"/>
  <c r="N4566" i="7" s="1"/>
  <c r="L4567" i="7"/>
  <c r="N4567" i="7" s="1"/>
  <c r="L4568" i="7"/>
  <c r="N4568" i="7" s="1"/>
  <c r="L4569" i="7"/>
  <c r="N4569" i="7" s="1"/>
  <c r="L4570" i="7"/>
  <c r="N4570" i="7" s="1"/>
  <c r="L4571" i="7"/>
  <c r="N4571" i="7" s="1"/>
  <c r="L4572" i="7"/>
  <c r="N4572" i="7" s="1"/>
  <c r="L4573" i="7"/>
  <c r="N4573" i="7" s="1"/>
  <c r="L4574" i="7"/>
  <c r="N4574" i="7" s="1"/>
  <c r="L4575" i="7"/>
  <c r="N4575" i="7" s="1"/>
  <c r="L4576" i="7"/>
  <c r="N4576" i="7" s="1"/>
  <c r="L4577" i="7"/>
  <c r="N4577" i="7" s="1"/>
  <c r="L4578" i="7"/>
  <c r="N4578" i="7" s="1"/>
  <c r="L4579" i="7"/>
  <c r="N4579" i="7" s="1"/>
  <c r="L4580" i="7"/>
  <c r="N4580" i="7" s="1"/>
  <c r="L4581" i="7"/>
  <c r="N4581" i="7" s="1"/>
  <c r="L4582" i="7"/>
  <c r="N4582" i="7" s="1"/>
  <c r="L4583" i="7"/>
  <c r="N4583" i="7" s="1"/>
  <c r="L4584" i="7"/>
  <c r="N4584" i="7" s="1"/>
  <c r="L4585" i="7"/>
  <c r="N4585" i="7" s="1"/>
  <c r="L4588" i="7"/>
  <c r="L4589" i="7"/>
  <c r="L4590" i="7"/>
  <c r="L4591" i="7"/>
  <c r="L4592" i="7"/>
  <c r="L4593" i="7"/>
  <c r="L4594" i="7"/>
  <c r="L4595" i="7"/>
  <c r="L4596" i="7"/>
  <c r="L4597" i="7"/>
  <c r="L4598" i="7"/>
  <c r="L4599" i="7"/>
  <c r="L4600" i="7"/>
  <c r="L4601" i="7"/>
  <c r="L4602" i="7"/>
  <c r="L4603" i="7"/>
  <c r="L4604" i="7"/>
  <c r="L4605" i="7"/>
  <c r="L4606" i="7"/>
  <c r="L4607" i="7"/>
  <c r="L4608" i="7"/>
  <c r="L4609" i="7"/>
  <c r="L4610" i="7"/>
  <c r="L4611" i="7"/>
  <c r="L4612" i="7"/>
  <c r="L4613" i="7"/>
  <c r="L4614" i="7"/>
  <c r="L4615" i="7"/>
  <c r="L4616" i="7"/>
  <c r="L4617" i="7"/>
  <c r="L4618" i="7"/>
  <c r="L4619" i="7"/>
  <c r="L4620" i="7"/>
  <c r="L4621" i="7"/>
  <c r="L4622" i="7"/>
  <c r="L4623" i="7"/>
  <c r="L4624" i="7"/>
  <c r="L4625" i="7"/>
  <c r="L4626" i="7"/>
  <c r="L4627" i="7"/>
  <c r="L4628" i="7"/>
  <c r="L4629" i="7"/>
  <c r="L4630" i="7"/>
  <c r="L4631" i="7"/>
  <c r="L4632" i="7"/>
  <c r="L4633" i="7"/>
  <c r="L4634" i="7"/>
  <c r="L4635" i="7"/>
  <c r="L4636" i="7"/>
  <c r="L4637" i="7"/>
  <c r="L4638" i="7"/>
  <c r="L4639" i="7"/>
  <c r="L4640" i="7"/>
  <c r="L4641" i="7"/>
  <c r="L4642" i="7"/>
  <c r="L4643" i="7"/>
  <c r="L4644" i="7"/>
  <c r="L4645" i="7"/>
  <c r="L4646" i="7"/>
  <c r="L4647" i="7"/>
  <c r="L4648" i="7"/>
  <c r="L4649" i="7"/>
  <c r="L4650" i="7"/>
  <c r="L4651" i="7"/>
  <c r="L4652" i="7"/>
  <c r="L4653" i="7"/>
  <c r="L4654" i="7"/>
  <c r="L4655" i="7"/>
  <c r="L4656" i="7"/>
  <c r="L4657" i="7"/>
  <c r="L4658" i="7"/>
  <c r="L4659" i="7"/>
  <c r="L4660" i="7"/>
  <c r="L4667" i="7"/>
  <c r="N4667" i="7" s="1"/>
  <c r="L4668" i="7"/>
  <c r="N4668" i="7" s="1"/>
  <c r="L4669" i="7"/>
  <c r="N4669" i="7" s="1"/>
  <c r="L4670" i="7"/>
  <c r="N4670" i="7" s="1"/>
  <c r="L4671" i="7"/>
  <c r="N4671" i="7" s="1"/>
  <c r="L4672" i="7"/>
  <c r="N4672" i="7" s="1"/>
  <c r="L4673" i="7"/>
  <c r="N4673" i="7" s="1"/>
  <c r="L4674" i="7"/>
  <c r="N4674" i="7" s="1"/>
  <c r="L4675" i="7"/>
  <c r="N4675" i="7" s="1"/>
  <c r="L4676" i="7"/>
  <c r="N4676" i="7" s="1"/>
  <c r="L4677" i="7"/>
  <c r="N4677" i="7" s="1"/>
  <c r="L4678" i="7"/>
  <c r="N4678" i="7" s="1"/>
  <c r="L4679" i="7"/>
  <c r="N4679" i="7" s="1"/>
  <c r="L4680" i="7"/>
  <c r="N4680" i="7" s="1"/>
  <c r="L4681" i="7"/>
  <c r="N4681" i="7" s="1"/>
  <c r="L4682" i="7"/>
  <c r="N4682" i="7" s="1"/>
  <c r="L4683" i="7"/>
  <c r="N4683" i="7" s="1"/>
  <c r="L4684" i="7"/>
  <c r="N4684" i="7" s="1"/>
  <c r="L4685" i="7"/>
  <c r="N4685" i="7" s="1"/>
  <c r="L4686" i="7"/>
  <c r="N4686" i="7" s="1"/>
  <c r="L4687" i="7"/>
  <c r="N4687" i="7" s="1"/>
  <c r="L4688" i="7"/>
  <c r="N4688" i="7" s="1"/>
  <c r="L4689" i="7"/>
  <c r="N4689" i="7" s="1"/>
  <c r="L4690" i="7"/>
  <c r="N4690" i="7" s="1"/>
  <c r="L4691" i="7"/>
  <c r="N4691" i="7" s="1"/>
  <c r="L4692" i="7"/>
  <c r="N4692" i="7" s="1"/>
  <c r="L4693" i="7"/>
  <c r="N4693" i="7" s="1"/>
  <c r="L4696" i="7"/>
  <c r="N4696" i="7" s="1"/>
  <c r="L4697" i="7"/>
  <c r="N4697" i="7" s="1"/>
  <c r="L4698" i="7"/>
  <c r="N4698" i="7" s="1"/>
  <c r="L4699" i="7"/>
  <c r="N4699" i="7" s="1"/>
  <c r="L4700" i="7"/>
  <c r="N4700" i="7" s="1"/>
  <c r="L4701" i="7"/>
  <c r="N4701" i="7" s="1"/>
  <c r="L4702" i="7"/>
  <c r="N4702" i="7" s="1"/>
  <c r="L4703" i="7"/>
  <c r="N4703" i="7" s="1"/>
  <c r="L4704" i="7"/>
  <c r="N4704" i="7" s="1"/>
  <c r="L4705" i="7"/>
  <c r="N4705" i="7" s="1"/>
  <c r="L4706" i="7"/>
  <c r="N4706" i="7" s="1"/>
  <c r="L4707" i="7"/>
  <c r="N4707" i="7" s="1"/>
  <c r="L4708" i="7"/>
  <c r="N4708" i="7" s="1"/>
  <c r="L4709" i="7"/>
  <c r="N4709" i="7" s="1"/>
  <c r="L4710" i="7"/>
  <c r="N4710" i="7" s="1"/>
  <c r="L4711" i="7"/>
  <c r="N4711" i="7" s="1"/>
  <c r="L4712" i="7"/>
  <c r="N4712" i="7" s="1"/>
  <c r="L4713" i="7"/>
  <c r="N4713" i="7" s="1"/>
  <c r="L4714" i="7"/>
  <c r="N4714" i="7" s="1"/>
  <c r="L4715" i="7"/>
  <c r="N4715" i="7" s="1"/>
  <c r="L4716" i="7"/>
  <c r="N4716" i="7" s="1"/>
  <c r="L4717" i="7"/>
  <c r="N4717" i="7" s="1"/>
  <c r="L4718" i="7"/>
  <c r="N4718" i="7" s="1"/>
  <c r="L4719" i="7"/>
  <c r="N4719" i="7" s="1"/>
  <c r="L4720" i="7"/>
  <c r="N4720" i="7" s="1"/>
  <c r="L4721" i="7"/>
  <c r="N4721" i="7" s="1"/>
  <c r="L4722" i="7"/>
  <c r="N4722" i="7" s="1"/>
  <c r="L4723" i="7"/>
  <c r="N4723" i="7" s="1"/>
  <c r="L4724" i="7"/>
  <c r="N4724" i="7" s="1"/>
  <c r="L4725" i="7"/>
  <c r="N4725" i="7" s="1"/>
  <c r="L4726" i="7"/>
  <c r="N4726" i="7" s="1"/>
  <c r="L4727" i="7"/>
  <c r="N4727" i="7" s="1"/>
  <c r="L4728" i="7"/>
  <c r="N4728" i="7" s="1"/>
  <c r="L4729" i="7"/>
  <c r="N4729" i="7" s="1"/>
  <c r="L4730" i="7"/>
  <c r="N4730" i="7" s="1"/>
  <c r="L4731" i="7"/>
  <c r="N4731" i="7" s="1"/>
  <c r="L4732" i="7"/>
  <c r="N4732" i="7" s="1"/>
  <c r="L4733" i="7"/>
  <c r="N4733" i="7" s="1"/>
  <c r="L4734" i="7"/>
  <c r="N4734" i="7" s="1"/>
  <c r="L4735" i="7"/>
  <c r="N4735" i="7" s="1"/>
  <c r="L4736" i="7"/>
  <c r="N4736" i="7" s="1"/>
  <c r="L4737" i="7"/>
  <c r="N4737" i="7" s="1"/>
  <c r="L4738" i="7"/>
  <c r="N4738" i="7" s="1"/>
  <c r="L4739" i="7"/>
  <c r="N4739" i="7" s="1"/>
  <c r="L4740" i="7"/>
  <c r="N4740" i="7" s="1"/>
  <c r="L4741" i="7"/>
  <c r="N4741" i="7" s="1"/>
  <c r="L4742" i="7"/>
  <c r="N4742" i="7" s="1"/>
  <c r="L4743" i="7"/>
  <c r="N4743" i="7" s="1"/>
  <c r="L4744" i="7"/>
  <c r="N4744" i="7" s="1"/>
  <c r="L4745" i="7"/>
  <c r="N4745" i="7" s="1"/>
  <c r="L4746" i="7"/>
  <c r="N4746" i="7" s="1"/>
  <c r="L4747" i="7"/>
  <c r="N4747" i="7" s="1"/>
  <c r="L4748" i="7"/>
  <c r="N4748" i="7" s="1"/>
  <c r="L4749" i="7"/>
  <c r="N4749" i="7" s="1"/>
  <c r="L4750" i="7"/>
  <c r="N4750" i="7" s="1"/>
  <c r="L4751" i="7"/>
  <c r="N4751" i="7" s="1"/>
  <c r="L4752" i="7"/>
  <c r="N4752" i="7" s="1"/>
  <c r="L4753" i="7"/>
  <c r="N4753" i="7" s="1"/>
  <c r="L4754" i="7"/>
  <c r="N4754" i="7" s="1"/>
  <c r="L4755" i="7"/>
  <c r="N4755" i="7" s="1"/>
  <c r="L4756" i="7"/>
  <c r="N4756" i="7" s="1"/>
  <c r="L4757" i="7"/>
  <c r="N4757" i="7" s="1"/>
  <c r="L4758" i="7"/>
  <c r="N4758" i="7" s="1"/>
  <c r="L4759" i="7"/>
  <c r="N4759" i="7" s="1"/>
  <c r="L4760" i="7"/>
  <c r="N4760" i="7" s="1"/>
  <c r="L4761" i="7"/>
  <c r="N4761" i="7" s="1"/>
  <c r="L4762" i="7"/>
  <c r="N4762" i="7" s="1"/>
  <c r="L4763" i="7"/>
  <c r="N4763" i="7" s="1"/>
  <c r="L4764" i="7"/>
  <c r="N4764" i="7" s="1"/>
  <c r="L4765" i="7"/>
  <c r="N4765" i="7" s="1"/>
  <c r="L4766" i="7"/>
  <c r="N4766" i="7" s="1"/>
  <c r="L4767" i="7"/>
  <c r="N4767" i="7" s="1"/>
  <c r="L4768" i="7"/>
  <c r="N4768" i="7" s="1"/>
  <c r="L4769" i="7"/>
  <c r="N4769" i="7" s="1"/>
  <c r="L4770" i="7"/>
  <c r="N4770" i="7" s="1"/>
  <c r="L4771" i="7"/>
  <c r="N4771" i="7" s="1"/>
  <c r="L4772" i="7"/>
  <c r="N4772" i="7" s="1"/>
  <c r="L4773" i="7"/>
  <c r="N4773" i="7" s="1"/>
  <c r="L4774" i="7"/>
  <c r="N4774" i="7" s="1"/>
  <c r="L4775" i="7"/>
  <c r="N4775" i="7" s="1"/>
  <c r="L4776" i="7"/>
  <c r="N4776" i="7" s="1"/>
  <c r="L4777" i="7"/>
  <c r="N4777" i="7" s="1"/>
  <c r="L4778" i="7"/>
  <c r="N4778" i="7" s="1"/>
  <c r="L4779" i="7"/>
  <c r="N4779" i="7" s="1"/>
  <c r="L4780" i="7"/>
  <c r="N4780" i="7" s="1"/>
  <c r="L4781" i="7"/>
  <c r="N4781" i="7" s="1"/>
  <c r="L4782" i="7"/>
  <c r="N4782" i="7" s="1"/>
  <c r="L4783" i="7"/>
  <c r="N4783" i="7" s="1"/>
  <c r="L4784" i="7"/>
  <c r="N4784" i="7" s="1"/>
  <c r="L4785" i="7"/>
  <c r="N4785" i="7" s="1"/>
  <c r="L4786" i="7"/>
  <c r="N4786" i="7" s="1"/>
  <c r="L4787" i="7"/>
  <c r="N4787" i="7" s="1"/>
  <c r="L4788" i="7"/>
  <c r="N4788" i="7" s="1"/>
  <c r="L4789" i="7"/>
  <c r="N4789" i="7" s="1"/>
  <c r="L4790" i="7"/>
  <c r="N4790" i="7" s="1"/>
  <c r="L4791" i="7"/>
  <c r="N4791" i="7" s="1"/>
  <c r="L4792" i="7"/>
  <c r="N4792" i="7" s="1"/>
  <c r="L4793" i="7"/>
  <c r="N4793" i="7" s="1"/>
  <c r="L4794" i="7"/>
  <c r="N4794" i="7" s="1"/>
  <c r="L4795" i="7"/>
  <c r="N4795" i="7" s="1"/>
  <c r="L4796" i="7"/>
  <c r="N4796" i="7" s="1"/>
  <c r="L4797" i="7"/>
  <c r="N4797" i="7" s="1"/>
  <c r="L4798" i="7"/>
  <c r="N4798" i="7" s="1"/>
  <c r="L4799" i="7"/>
  <c r="N4799" i="7" s="1"/>
  <c r="L4800" i="7"/>
  <c r="N4800" i="7" s="1"/>
  <c r="L4801" i="7"/>
  <c r="N4801" i="7" s="1"/>
  <c r="L4802" i="7"/>
  <c r="N4802" i="7" s="1"/>
  <c r="L4803" i="7"/>
  <c r="N4803" i="7" s="1"/>
  <c r="L4804" i="7"/>
  <c r="N4804" i="7" s="1"/>
  <c r="L4805" i="7"/>
  <c r="N4805" i="7" s="1"/>
  <c r="L4806" i="7"/>
  <c r="N4806" i="7" s="1"/>
  <c r="L4807" i="7"/>
  <c r="N4807" i="7" s="1"/>
  <c r="L4808" i="7"/>
  <c r="N4808" i="7" s="1"/>
  <c r="L4809" i="7"/>
  <c r="N4809" i="7" s="1"/>
  <c r="L4810" i="7"/>
  <c r="N4810" i="7" s="1"/>
  <c r="L4811" i="7"/>
  <c r="N4811" i="7" s="1"/>
  <c r="L4812" i="7"/>
  <c r="N4812" i="7" s="1"/>
  <c r="L4813" i="7"/>
  <c r="N4813" i="7" s="1"/>
  <c r="L4814" i="7"/>
  <c r="N4814" i="7" s="1"/>
  <c r="L4815" i="7"/>
  <c r="N4815" i="7" s="1"/>
  <c r="L4816" i="7"/>
  <c r="N4816" i="7" s="1"/>
  <c r="L4817" i="7"/>
  <c r="N4817" i="7" s="1"/>
  <c r="L4818" i="7"/>
  <c r="N4818" i="7" s="1"/>
  <c r="L4819" i="7"/>
  <c r="N4819" i="7" s="1"/>
  <c r="L4820" i="7"/>
  <c r="N4820" i="7" s="1"/>
  <c r="L4821" i="7"/>
  <c r="N4821" i="7" s="1"/>
  <c r="L4822" i="7"/>
  <c r="N4822" i="7" s="1"/>
  <c r="L4823" i="7"/>
  <c r="N4823" i="7" s="1"/>
  <c r="L4824" i="7"/>
  <c r="N4824" i="7" s="1"/>
  <c r="L4825" i="7"/>
  <c r="N4825" i="7" s="1"/>
  <c r="L4826" i="7"/>
  <c r="N4826" i="7" s="1"/>
  <c r="L4827" i="7"/>
  <c r="N4827" i="7" s="1"/>
  <c r="L4828" i="7"/>
  <c r="N4828" i="7" s="1"/>
  <c r="L4829" i="7"/>
  <c r="N4829" i="7" s="1"/>
  <c r="L4830" i="7"/>
  <c r="N4830" i="7" s="1"/>
  <c r="L4831" i="7"/>
  <c r="N4831" i="7" s="1"/>
  <c r="L4832" i="7"/>
  <c r="N4832" i="7" s="1"/>
  <c r="L4833" i="7"/>
  <c r="N4833" i="7" s="1"/>
  <c r="L4834" i="7"/>
  <c r="N4834" i="7" s="1"/>
  <c r="L4835" i="7"/>
  <c r="N4835" i="7" s="1"/>
  <c r="L4836" i="7"/>
  <c r="N4836" i="7" s="1"/>
  <c r="L4837" i="7"/>
  <c r="N4837" i="7" s="1"/>
  <c r="L4838" i="7"/>
  <c r="N4838" i="7" s="1"/>
  <c r="L4839" i="7"/>
  <c r="N4839" i="7" s="1"/>
  <c r="L4840" i="7"/>
  <c r="N4840" i="7" s="1"/>
  <c r="L4841" i="7"/>
  <c r="N4841" i="7" s="1"/>
  <c r="L4842" i="7"/>
  <c r="N4842" i="7" s="1"/>
  <c r="L4843" i="7"/>
  <c r="N4843" i="7" s="1"/>
  <c r="L4844" i="7"/>
  <c r="N4844" i="7" s="1"/>
  <c r="L4845" i="7"/>
  <c r="N4845" i="7" s="1"/>
  <c r="L4846" i="7"/>
  <c r="N4846" i="7" s="1"/>
  <c r="L4847" i="7"/>
  <c r="N4847" i="7" s="1"/>
  <c r="L4848" i="7"/>
  <c r="N4848" i="7" s="1"/>
  <c r="L4849" i="7"/>
  <c r="N4849" i="7" s="1"/>
  <c r="L4850" i="7"/>
  <c r="N4850" i="7" s="1"/>
  <c r="L4851" i="7"/>
  <c r="N4851" i="7" s="1"/>
  <c r="L4852" i="7"/>
  <c r="N4852" i="7" s="1"/>
  <c r="L4853" i="7"/>
  <c r="N4853" i="7" s="1"/>
  <c r="L4854" i="7"/>
  <c r="N4854" i="7" s="1"/>
  <c r="L4855" i="7"/>
  <c r="N4855" i="7" s="1"/>
  <c r="L4856" i="7"/>
  <c r="N4856" i="7" s="1"/>
  <c r="L4857" i="7"/>
  <c r="N4857" i="7" s="1"/>
  <c r="L4866" i="7"/>
  <c r="N4866" i="7" s="1"/>
  <c r="L4867" i="7"/>
  <c r="N4867" i="7" s="1"/>
  <c r="L4868" i="7"/>
  <c r="N4868" i="7" s="1"/>
  <c r="L4869" i="7"/>
  <c r="N4869" i="7" s="1"/>
  <c r="L4870" i="7"/>
  <c r="N4870" i="7" s="1"/>
  <c r="L4871" i="7"/>
  <c r="N4871" i="7" s="1"/>
  <c r="L4872" i="7"/>
  <c r="N4872" i="7" s="1"/>
  <c r="L4873" i="7"/>
  <c r="N4873" i="7" s="1"/>
  <c r="L4874" i="7"/>
  <c r="N4874" i="7" s="1"/>
  <c r="L4875" i="7"/>
  <c r="N4875" i="7" s="1"/>
  <c r="L4876" i="7"/>
  <c r="N4876" i="7" s="1"/>
  <c r="L4877" i="7"/>
  <c r="N4877" i="7" s="1"/>
  <c r="L4878" i="7"/>
  <c r="N4878" i="7" s="1"/>
  <c r="L4879" i="7"/>
  <c r="N4879" i="7" s="1"/>
  <c r="L4880" i="7"/>
  <c r="N4880" i="7" s="1"/>
  <c r="L4881" i="7"/>
  <c r="N4881" i="7" s="1"/>
  <c r="L4882" i="7"/>
  <c r="N4882" i="7" s="1"/>
  <c r="L4883" i="7"/>
  <c r="N4883" i="7" s="1"/>
  <c r="L4884" i="7"/>
  <c r="N4884" i="7" s="1"/>
  <c r="L4885" i="7"/>
  <c r="N4885" i="7" s="1"/>
  <c r="L4886" i="7"/>
  <c r="N4886" i="7" s="1"/>
  <c r="L4887" i="7"/>
  <c r="N4887" i="7" s="1"/>
  <c r="L4888" i="7"/>
  <c r="N4888" i="7" s="1"/>
  <c r="L4889" i="7"/>
  <c r="N4889" i="7" s="1"/>
  <c r="L4890" i="7"/>
  <c r="N4890" i="7" s="1"/>
  <c r="L4891" i="7"/>
  <c r="N4891" i="7" s="1"/>
  <c r="L4892" i="7"/>
  <c r="N4892" i="7" s="1"/>
  <c r="L4893" i="7"/>
  <c r="N4893" i="7" s="1"/>
  <c r="L4894" i="7"/>
  <c r="N4894" i="7" s="1"/>
  <c r="L4895" i="7"/>
  <c r="N4895" i="7" s="1"/>
  <c r="L4896" i="7"/>
  <c r="N4896" i="7" s="1"/>
  <c r="L4897" i="7"/>
  <c r="N4897" i="7" s="1"/>
  <c r="L4898" i="7"/>
  <c r="N4898" i="7" s="1"/>
  <c r="L4899" i="7"/>
  <c r="N4899" i="7" s="1"/>
  <c r="L4900" i="7"/>
  <c r="N4900" i="7" s="1"/>
  <c r="L4901" i="7"/>
  <c r="N4901" i="7" s="1"/>
  <c r="L4902" i="7"/>
  <c r="N4902" i="7" s="1"/>
  <c r="L4903" i="7"/>
  <c r="N4903" i="7" s="1"/>
  <c r="L4904" i="7"/>
  <c r="N4904" i="7" s="1"/>
  <c r="L4905" i="7"/>
  <c r="N4905" i="7" s="1"/>
  <c r="L4906" i="7"/>
  <c r="N4906" i="7" s="1"/>
  <c r="T3451" i="7"/>
  <c r="T3452" i="7"/>
  <c r="T3546" i="7"/>
  <c r="T3357" i="7"/>
  <c r="T3865" i="7"/>
  <c r="X3626" i="7"/>
  <c r="V3626" i="7"/>
  <c r="X3167" i="7"/>
  <c r="V3167" i="7"/>
  <c r="Q4907" i="7"/>
  <c r="Q4906" i="7"/>
  <c r="R4907" i="7"/>
  <c r="O3036" i="7" l="1"/>
  <c r="R4857" i="7"/>
  <c r="R4856" i="7"/>
  <c r="E4857" i="7"/>
  <c r="E4856" i="7"/>
  <c r="E4585" i="7" l="1"/>
  <c r="E4584" i="7"/>
  <c r="R4504" i="7"/>
  <c r="Q4504" i="7"/>
  <c r="E4504" i="7"/>
  <c r="E4503" i="7"/>
  <c r="E4502" i="7"/>
  <c r="E4469" i="7" l="1"/>
  <c r="E4468" i="7"/>
  <c r="E4467" i="7"/>
  <c r="E4441" i="7"/>
  <c r="E4440" i="7"/>
  <c r="Q4418" i="7"/>
  <c r="Q4417" i="7"/>
  <c r="Q4660" i="7" l="1"/>
  <c r="F3706" i="7"/>
  <c r="F3626" i="7"/>
  <c r="F3167" i="7"/>
  <c r="F3049" i="7"/>
  <c r="F3043" i="7"/>
  <c r="F3046" i="7"/>
  <c r="F3040" i="7"/>
  <c r="L3046" i="7"/>
  <c r="N3046" i="7" s="1"/>
  <c r="O3046" i="7" s="1"/>
  <c r="L3040" i="7"/>
  <c r="N3040" i="7" s="1"/>
  <c r="O3040" i="7" s="1"/>
  <c r="D3040" i="7"/>
  <c r="D3046" i="7"/>
  <c r="F1375" i="7"/>
  <c r="AG3047" i="7" l="1"/>
  <c r="AG3046" i="7"/>
  <c r="AG3041" i="7"/>
  <c r="AG3040" i="7"/>
  <c r="F382" i="7"/>
  <c r="R4692" i="7"/>
  <c r="E4692" i="7"/>
  <c r="X4196" i="7"/>
  <c r="V4196" i="7"/>
  <c r="Q4196" i="7"/>
  <c r="E4196" i="7"/>
  <c r="E4706" i="7" l="1"/>
  <c r="E4705" i="7"/>
  <c r="E4704" i="7"/>
  <c r="E4703" i="7"/>
  <c r="O207" i="14" l="1"/>
  <c r="O213" i="14"/>
  <c r="AF3" i="13"/>
  <c r="AF5" i="13" s="1"/>
  <c r="AG3" i="13"/>
  <c r="AG5" i="13" s="1"/>
  <c r="AH3" i="13"/>
  <c r="AH5" i="13" s="1"/>
  <c r="AI3" i="13"/>
  <c r="AI5" i="13"/>
  <c r="U65" i="17" l="1"/>
  <c r="V65" i="17" s="1"/>
  <c r="U66" i="17"/>
  <c r="V66" i="17" s="1"/>
  <c r="S65" i="17"/>
  <c r="S66" i="17"/>
  <c r="S64" i="17"/>
  <c r="Y218" i="14" l="1"/>
  <c r="X218" i="14"/>
  <c r="W218" i="14"/>
  <c r="V218" i="14"/>
  <c r="U218" i="14"/>
  <c r="T218" i="14"/>
  <c r="S218" i="14"/>
  <c r="R218" i="14"/>
  <c r="Q218" i="14"/>
  <c r="P218" i="14"/>
  <c r="O218" i="14"/>
  <c r="N218" i="14"/>
  <c r="M218" i="14"/>
  <c r="L218" i="14"/>
  <c r="Y215" i="14"/>
  <c r="L215" i="14"/>
  <c r="K215" i="14"/>
  <c r="J215" i="14"/>
  <c r="I215" i="14"/>
  <c r="F215" i="14"/>
  <c r="E215" i="14"/>
  <c r="D215" i="14"/>
  <c r="C215" i="14"/>
  <c r="B215" i="14"/>
  <c r="AF3" i="7"/>
  <c r="AG3" i="7"/>
  <c r="U70" i="17" l="1"/>
  <c r="V70" i="17" s="1"/>
  <c r="U69" i="17"/>
  <c r="V69" i="17" s="1"/>
  <c r="U64" i="17"/>
  <c r="V64" i="17" s="1"/>
  <c r="AJ3" i="7" l="1"/>
  <c r="X4142" i="7" l="1"/>
  <c r="V4142" i="7"/>
  <c r="R4502" i="7" l="1"/>
  <c r="Q4502" i="7"/>
  <c r="E4583" i="7"/>
  <c r="Q4538" i="7"/>
  <c r="E4538" i="7"/>
  <c r="R4855" i="7" l="1"/>
  <c r="E4855" i="7"/>
  <c r="E4439" i="7"/>
  <c r="R4400" i="7"/>
  <c r="Q4400" i="7"/>
  <c r="E4400" i="7"/>
  <c r="R4691" i="7" l="1"/>
  <c r="E4691" i="7"/>
  <c r="X4195" i="7"/>
  <c r="V4195" i="7"/>
  <c r="Q4195" i="7"/>
  <c r="E4195" i="7"/>
  <c r="X3625" i="7"/>
  <c r="V3625" i="7"/>
  <c r="F3704" i="7"/>
  <c r="F3625" i="7"/>
  <c r="X3166" i="7"/>
  <c r="V3166" i="7"/>
  <c r="F3166" i="7"/>
  <c r="D1649" i="7"/>
  <c r="F1374" i="7"/>
  <c r="F381" i="7"/>
  <c r="AG1649" i="7" l="1"/>
  <c r="AG1650" i="7"/>
  <c r="Q1218" i="7"/>
  <c r="F10" i="11" l="1"/>
  <c r="N2563" i="7" l="1"/>
  <c r="O2563" i="7" s="1"/>
  <c r="H200" i="14" l="1"/>
  <c r="H199" i="14"/>
  <c r="A206" i="14"/>
  <c r="AH3" i="7" l="1"/>
  <c r="AI3" i="7"/>
  <c r="E4905" i="7" l="1"/>
  <c r="E4693" i="7"/>
  <c r="R4905" i="7" l="1"/>
  <c r="Q4905" i="7"/>
  <c r="R4693" i="7"/>
  <c r="Q4416" i="7"/>
  <c r="E4416" i="7"/>
  <c r="E4415" i="7"/>
  <c r="X4197" i="7"/>
  <c r="V4197" i="7"/>
  <c r="X4194" i="7"/>
  <c r="V4194" i="7"/>
  <c r="Q4194" i="7"/>
  <c r="E4194" i="7"/>
  <c r="E4438" i="7"/>
  <c r="V4141" i="7" l="1"/>
  <c r="X4141" i="7"/>
  <c r="X3624" i="7"/>
  <c r="V3624" i="7"/>
  <c r="F3624" i="7"/>
  <c r="F3705" i="7"/>
  <c r="D3624" i="7"/>
  <c r="X3165" i="7"/>
  <c r="V3165" i="7"/>
  <c r="F3165" i="7"/>
  <c r="D3165" i="7"/>
  <c r="D380" i="7"/>
  <c r="F380" i="7"/>
  <c r="D1373" i="7"/>
  <c r="F1373" i="7"/>
  <c r="AG3166" i="7" l="1"/>
  <c r="AG3165" i="7"/>
  <c r="AG3625" i="7"/>
  <c r="AG3624" i="7"/>
  <c r="AG1374" i="7"/>
  <c r="AG1373" i="7"/>
  <c r="AG381" i="7"/>
  <c r="AG380" i="7"/>
  <c r="E318" i="7"/>
  <c r="Q318" i="7"/>
  <c r="R318" i="7"/>
  <c r="E650" i="7"/>
  <c r="R4399" i="7"/>
  <c r="Q4399" i="7"/>
  <c r="E4399" i="7"/>
  <c r="I18" i="11" l="1"/>
  <c r="I28" i="11" l="1"/>
  <c r="I22" i="11"/>
  <c r="I21" i="11"/>
  <c r="I10" i="11"/>
  <c r="I8" i="11"/>
  <c r="R1219" i="7"/>
  <c r="R1325" i="7"/>
  <c r="R1273" i="7"/>
  <c r="R1115" i="7"/>
  <c r="R1891" i="7"/>
  <c r="R1011" i="7"/>
  <c r="R953" i="7"/>
  <c r="R895" i="7"/>
  <c r="R1775" i="7"/>
  <c r="R779" i="7"/>
  <c r="R715" i="7"/>
  <c r="R649" i="7"/>
  <c r="R583" i="7"/>
  <c r="Q4359" i="7" l="1"/>
  <c r="Q4140" i="7"/>
  <c r="X4140" i="7"/>
  <c r="V4140" i="7"/>
  <c r="D4140" i="7"/>
  <c r="AG4194" i="7" s="1"/>
  <c r="X3623" i="7"/>
  <c r="V3623" i="7"/>
  <c r="X3164" i="7"/>
  <c r="V3164" i="7"/>
  <c r="AG4141" i="7" l="1"/>
  <c r="E4904" i="7"/>
  <c r="E4903" i="7"/>
  <c r="E4501" i="7"/>
  <c r="E4500" i="7"/>
  <c r="E4690" i="7"/>
  <c r="E4582" i="7"/>
  <c r="E4581" i="7"/>
  <c r="E4537" i="7"/>
  <c r="E4854" i="7"/>
  <c r="E4853" i="7"/>
  <c r="E4466" i="7"/>
  <c r="E4465" i="7"/>
  <c r="D4359" i="7"/>
  <c r="AG4399" i="7" s="1"/>
  <c r="E4020" i="7"/>
  <c r="E4019" i="7"/>
  <c r="E3941" i="7"/>
  <c r="E3940" i="7"/>
  <c r="E3862" i="7"/>
  <c r="E3861" i="7"/>
  <c r="E3783" i="7"/>
  <c r="E3782" i="7"/>
  <c r="E3703" i="7"/>
  <c r="E3702" i="7"/>
  <c r="E3623" i="7"/>
  <c r="E3622" i="7"/>
  <c r="E3543" i="7"/>
  <c r="E3542" i="7"/>
  <c r="E3449" i="7"/>
  <c r="E3448" i="7"/>
  <c r="E3354" i="7"/>
  <c r="E3353" i="7"/>
  <c r="E3259" i="7"/>
  <c r="E3258" i="7"/>
  <c r="E3164" i="7"/>
  <c r="E1938" i="7"/>
  <c r="E1937" i="7"/>
  <c r="E1892" i="7"/>
  <c r="E1891" i="7"/>
  <c r="E1834" i="7"/>
  <c r="E1833" i="7"/>
  <c r="E1776" i="7"/>
  <c r="E1775" i="7"/>
  <c r="E1712" i="7"/>
  <c r="E1711" i="7"/>
  <c r="E1648" i="7"/>
  <c r="E1647" i="7"/>
  <c r="E1602" i="7"/>
  <c r="E1601" i="7"/>
  <c r="E1556" i="7"/>
  <c r="E1555" i="7"/>
  <c r="E1510" i="7"/>
  <c r="E1509" i="7"/>
  <c r="E1464" i="7"/>
  <c r="E1463" i="7"/>
  <c r="E1418" i="7"/>
  <c r="E1417" i="7"/>
  <c r="E1372" i="7"/>
  <c r="E1371" i="7"/>
  <c r="E1326" i="7"/>
  <c r="E1325" i="7"/>
  <c r="E1274" i="7"/>
  <c r="E1273" i="7"/>
  <c r="E1220" i="7"/>
  <c r="E1219" i="7"/>
  <c r="E1168" i="7"/>
  <c r="E1167" i="7"/>
  <c r="E1116" i="7"/>
  <c r="E1115" i="7"/>
  <c r="E1064" i="7"/>
  <c r="E1063" i="7"/>
  <c r="E1012" i="7"/>
  <c r="E1011" i="7"/>
  <c r="E954" i="7"/>
  <c r="E953" i="7"/>
  <c r="E896" i="7"/>
  <c r="E895" i="7"/>
  <c r="E838" i="7"/>
  <c r="E837" i="7"/>
  <c r="E780" i="7"/>
  <c r="E779" i="7"/>
  <c r="E716" i="7"/>
  <c r="E715" i="7"/>
  <c r="E649" i="7"/>
  <c r="E584" i="7"/>
  <c r="E583" i="7"/>
  <c r="E511" i="7"/>
  <c r="E510" i="7"/>
  <c r="E445" i="7"/>
  <c r="E444" i="7"/>
  <c r="E379" i="7"/>
  <c r="E378" i="7"/>
  <c r="E317" i="7"/>
  <c r="AG4360" i="7" l="1"/>
  <c r="Q4904" i="7"/>
  <c r="R4904" i="7"/>
  <c r="Q4501" i="7" l="1"/>
  <c r="R4501" i="7"/>
  <c r="R4903" i="7"/>
  <c r="M2961" i="7"/>
  <c r="M514" i="7"/>
  <c r="M2549" i="7"/>
  <c r="M2277" i="7"/>
  <c r="M2761" i="7"/>
  <c r="M2393" i="7"/>
  <c r="M2638" i="7"/>
  <c r="M789" i="7"/>
  <c r="M2274" i="7"/>
  <c r="M124" i="7"/>
  <c r="M2425" i="7"/>
  <c r="M2208" i="7"/>
  <c r="M2615" i="7"/>
  <c r="M2094" i="7"/>
  <c r="M214" i="7"/>
  <c r="M2755" i="7"/>
  <c r="M2619" i="7"/>
  <c r="M2142" i="7"/>
  <c r="M2771" i="7"/>
  <c r="M3864" i="7"/>
  <c r="M2240" i="7"/>
  <c r="M2924" i="7"/>
  <c r="M170" i="7"/>
  <c r="M4401" i="7"/>
  <c r="M2183" i="7"/>
  <c r="M2325" i="7"/>
  <c r="M2131" i="7"/>
  <c r="M2663" i="7"/>
  <c r="M1895" i="7"/>
  <c r="M2214" i="7"/>
  <c r="M4207" i="7"/>
  <c r="M2209" i="7"/>
  <c r="M175" i="7"/>
  <c r="M2676" i="7"/>
  <c r="M104" i="7"/>
  <c r="M957" i="7"/>
  <c r="M2228" i="7"/>
  <c r="M2554" i="7"/>
  <c r="M26" i="7"/>
  <c r="M2624" i="7"/>
  <c r="M2170" i="7"/>
  <c r="M2591" i="7"/>
  <c r="M2751" i="7"/>
  <c r="M204" i="7"/>
  <c r="M2259" i="7"/>
  <c r="M182" i="7"/>
  <c r="M132" i="7"/>
  <c r="M2527" i="7"/>
  <c r="M37" i="7"/>
  <c r="M1715" i="7"/>
  <c r="M2885" i="7"/>
  <c r="M2212" i="7"/>
  <c r="M4439" i="7"/>
  <c r="M4656" i="7"/>
  <c r="M2807" i="7"/>
  <c r="M1947" i="7"/>
  <c r="M2884" i="7"/>
  <c r="M2933" i="7"/>
  <c r="M1970" i="7"/>
  <c r="M2294" i="7"/>
  <c r="M2158" i="7"/>
  <c r="M2522" i="7"/>
  <c r="M3625" i="7"/>
  <c r="M1603" i="7"/>
  <c r="M2448" i="7"/>
  <c r="M208" i="7"/>
  <c r="M2985" i="7"/>
  <c r="M2392" i="7"/>
  <c r="M2193" i="7"/>
  <c r="M5" i="7"/>
  <c r="M2607" i="7"/>
  <c r="M2640" i="7"/>
  <c r="M2714" i="7"/>
  <c r="M6" i="7"/>
  <c r="M2203" i="7"/>
  <c r="M2839" i="7"/>
  <c r="M2293" i="7"/>
  <c r="M2835" i="7"/>
  <c r="M25" i="7"/>
  <c r="M2442" i="7"/>
  <c r="M1119" i="7"/>
  <c r="M2140" i="7"/>
  <c r="M166" i="7"/>
  <c r="M2028" i="7"/>
  <c r="M2133" i="7"/>
  <c r="M2283" i="7"/>
  <c r="M2977" i="7"/>
  <c r="M2704" i="7"/>
  <c r="M840" i="7"/>
  <c r="M1014" i="7"/>
  <c r="M2379" i="7"/>
  <c r="M1955" i="7"/>
  <c r="M2150" i="7"/>
  <c r="M2246" i="7"/>
  <c r="M1951" i="7"/>
  <c r="M4504" i="7"/>
  <c r="M2178" i="7"/>
  <c r="M2944" i="7"/>
  <c r="M2273" i="7"/>
  <c r="M13" i="7"/>
  <c r="M2414" i="7"/>
  <c r="M653" i="7"/>
  <c r="M2422" i="7"/>
  <c r="M2776" i="7"/>
  <c r="M2912" i="7"/>
  <c r="M3007" i="7"/>
  <c r="M2601" i="7"/>
  <c r="M1999" i="7"/>
  <c r="M3356" i="7"/>
  <c r="M2304" i="7"/>
  <c r="M2480" i="7"/>
  <c r="M2300" i="7"/>
  <c r="M512" i="7"/>
  <c r="M2998" i="7"/>
  <c r="M2143" i="7"/>
  <c r="M4659" i="7"/>
  <c r="M27" i="7"/>
  <c r="M2796" i="7"/>
  <c r="M2307" i="7"/>
  <c r="M2571" i="7"/>
  <c r="M4468" i="7"/>
  <c r="M2074" i="7"/>
  <c r="M76" i="7"/>
  <c r="M110" i="7"/>
  <c r="M2968" i="7"/>
  <c r="M92" i="7"/>
  <c r="M2105" i="7"/>
  <c r="M2112" i="7"/>
  <c r="M717" i="7"/>
  <c r="M2049" i="7"/>
  <c r="M148" i="7"/>
  <c r="M72" i="7"/>
  <c r="M193" i="7"/>
  <c r="M70" i="7"/>
  <c r="M2948" i="7"/>
  <c r="M4657" i="7"/>
  <c r="M78" i="7"/>
  <c r="M4660" i="7"/>
  <c r="M1557" i="7"/>
  <c r="M2859" i="7"/>
  <c r="M2660" i="7"/>
  <c r="M2355" i="7"/>
  <c r="M2544" i="7"/>
  <c r="M189" i="7"/>
  <c r="M783" i="7"/>
  <c r="M3028" i="7"/>
  <c r="M2593" i="7"/>
  <c r="M62" i="7"/>
  <c r="M128" i="7"/>
  <c r="M2205" i="7"/>
  <c r="M3034" i="7"/>
  <c r="M2239" i="7"/>
  <c r="M2210" i="7"/>
  <c r="M2890" i="7"/>
  <c r="M2702" i="7"/>
  <c r="M196" i="7"/>
  <c r="M2896" i="7"/>
  <c r="M513" i="7"/>
  <c r="M2428" i="7"/>
  <c r="M127" i="7"/>
  <c r="M2211" i="7"/>
  <c r="M188" i="7"/>
  <c r="M4584" i="7"/>
  <c r="M2005" i="7"/>
  <c r="M192" i="7"/>
  <c r="M2997" i="7"/>
  <c r="M2075" i="7"/>
  <c r="M2582" i="7"/>
  <c r="M176" i="7"/>
  <c r="M2270" i="7"/>
  <c r="M2644" i="7"/>
  <c r="M1558" i="7"/>
  <c r="M1982" i="7"/>
  <c r="M2759" i="7"/>
  <c r="M2190" i="7"/>
  <c r="M2321" i="7"/>
  <c r="M2062" i="7"/>
  <c r="M1966" i="7"/>
  <c r="M2023" i="7"/>
  <c r="M1977" i="7"/>
  <c r="M2894" i="7"/>
  <c r="M2579" i="7"/>
  <c r="M2687" i="7"/>
  <c r="M2906" i="7"/>
  <c r="M141" i="7"/>
  <c r="M2340" i="7"/>
  <c r="M3055" i="7"/>
  <c r="M44" i="7"/>
  <c r="M2555" i="7"/>
  <c r="M1559" i="7"/>
  <c r="AH4" i="13"/>
  <c r="M207" i="7"/>
  <c r="M2396" i="7"/>
  <c r="M2691" i="7"/>
  <c r="M2344" i="7"/>
  <c r="M2752" i="7"/>
  <c r="M3019" i="7"/>
  <c r="M2145" i="7"/>
  <c r="M2251" i="7"/>
  <c r="M1990" i="7"/>
  <c r="M2361" i="7"/>
  <c r="M2034" i="7"/>
  <c r="M2520" i="7"/>
  <c r="M107" i="7"/>
  <c r="M2356" i="7"/>
  <c r="M2030" i="7"/>
  <c r="M2149" i="7"/>
  <c r="M2563" i="7"/>
  <c r="M2086" i="7"/>
  <c r="M122" i="7"/>
  <c r="M2185" i="7"/>
  <c r="M34" i="7"/>
  <c r="M2063" i="7"/>
  <c r="M2842" i="7"/>
  <c r="M1997" i="7"/>
  <c r="M2635" i="7"/>
  <c r="M448" i="7"/>
  <c r="M1941" i="7"/>
  <c r="M67" i="7"/>
  <c r="M2788" i="7"/>
  <c r="M3023" i="7"/>
  <c r="M2139" i="7"/>
  <c r="M2069" i="7"/>
  <c r="M2056" i="7"/>
  <c r="M1419" i="7"/>
  <c r="M129" i="7"/>
  <c r="M81" i="7"/>
  <c r="M1894" i="7"/>
  <c r="M2418" i="7"/>
  <c r="M2287" i="7"/>
  <c r="M43" i="7"/>
  <c r="M2286" i="7"/>
  <c r="M2826" i="7"/>
  <c r="M2920" i="7"/>
  <c r="M52" i="7"/>
  <c r="M3015" i="7"/>
  <c r="M2736" i="7"/>
  <c r="M2723" i="7"/>
  <c r="M3784" i="7"/>
  <c r="M2351" i="7"/>
  <c r="M2678" i="7"/>
  <c r="M2641" i="7"/>
  <c r="M2306" i="7"/>
  <c r="M2786" i="7"/>
  <c r="M839" i="7"/>
  <c r="M2992" i="7"/>
  <c r="M2568" i="7"/>
  <c r="M2603" i="7"/>
  <c r="M213" i="7"/>
  <c r="M2144" i="7"/>
  <c r="M2090" i="7"/>
  <c r="M2854" i="7"/>
  <c r="M4855" i="7"/>
  <c r="M2271" i="7"/>
  <c r="M139" i="7"/>
  <c r="M180" i="7"/>
  <c r="M136" i="7"/>
  <c r="M4359" i="7"/>
  <c r="M2521" i="7"/>
  <c r="M1974" i="7"/>
  <c r="M101" i="7"/>
  <c r="M2870" i="7"/>
  <c r="M3262" i="7"/>
  <c r="M46" i="7"/>
  <c r="M2468" i="7"/>
  <c r="M2724" i="7"/>
  <c r="M2204" i="7"/>
  <c r="M2590" i="7"/>
  <c r="M2652" i="7"/>
  <c r="M2467" i="7"/>
  <c r="M2378" i="7"/>
  <c r="M86" i="7"/>
  <c r="M2016" i="7"/>
  <c r="M114" i="7"/>
  <c r="M2376" i="7"/>
  <c r="M2285" i="7"/>
  <c r="M2412" i="7"/>
  <c r="M3016" i="7"/>
  <c r="M195" i="7"/>
  <c r="M4355" i="7"/>
  <c r="M2109" i="7"/>
  <c r="M2224" i="7"/>
  <c r="M2879" i="7"/>
  <c r="M4353" i="7"/>
  <c r="M149" i="7"/>
  <c r="M1961" i="7"/>
  <c r="M2135" i="7"/>
  <c r="M2196" i="7"/>
  <c r="M2728" i="7"/>
  <c r="M2516" i="7"/>
  <c r="M4137" i="7"/>
  <c r="M2509" i="7"/>
  <c r="M2206" i="7"/>
  <c r="M2217" i="7"/>
  <c r="M22" i="7"/>
  <c r="M2548" i="7"/>
  <c r="M2200" i="7"/>
  <c r="M23" i="7"/>
  <c r="M65" i="7"/>
  <c r="M2302" i="7"/>
  <c r="M2695" i="7"/>
  <c r="M2938" i="7"/>
  <c r="M2965" i="7"/>
  <c r="M79" i="7"/>
  <c r="M9" i="7"/>
  <c r="M4502" i="7"/>
  <c r="M2457" i="7"/>
  <c r="M2504" i="7"/>
  <c r="M2070" i="7"/>
  <c r="M4358" i="7"/>
  <c r="M2275" i="7"/>
  <c r="M2007" i="7"/>
  <c r="M319" i="7"/>
  <c r="M12" i="7"/>
  <c r="M3624" i="7"/>
  <c r="M21" i="7"/>
  <c r="M47" i="7"/>
  <c r="M2004" i="7"/>
  <c r="M178" i="7"/>
  <c r="M2889" i="7"/>
  <c r="M2181" i="7"/>
  <c r="M2632" i="7"/>
  <c r="M2479" i="7"/>
  <c r="M2779" i="7"/>
  <c r="M2157" i="7"/>
  <c r="M3026" i="7"/>
  <c r="M2122" i="7"/>
  <c r="M2959" i="7"/>
  <c r="M2117" i="7"/>
  <c r="M2446" i="7"/>
  <c r="M382" i="7"/>
  <c r="M206" i="7"/>
  <c r="M2311" i="7"/>
  <c r="M77" i="7"/>
  <c r="M2875" i="7"/>
  <c r="M2794" i="7"/>
  <c r="M2455" i="7"/>
  <c r="M2102" i="7"/>
  <c r="M2738" i="7"/>
  <c r="M146" i="7"/>
  <c r="M100" i="7"/>
  <c r="M50" i="7"/>
  <c r="M123" i="7"/>
  <c r="M4856" i="7"/>
  <c r="M3054" i="7"/>
  <c r="M2136" i="7"/>
  <c r="M2502" i="7"/>
  <c r="M185" i="7"/>
  <c r="M130" i="7"/>
  <c r="M1779" i="7"/>
  <c r="M2686" i="7"/>
  <c r="M2656" i="7"/>
  <c r="M2431" i="7"/>
  <c r="M1651" i="7"/>
  <c r="M3048" i="7"/>
  <c r="M32" i="7"/>
  <c r="M446" i="7"/>
  <c r="M1979" i="7"/>
  <c r="M144" i="7"/>
  <c r="M2041" i="7"/>
  <c r="M2762" i="7"/>
  <c r="M2986" i="7"/>
  <c r="M2064" i="7"/>
  <c r="M2780" i="7"/>
  <c r="M2973" i="7"/>
  <c r="M142" i="7"/>
  <c r="M2877" i="7"/>
  <c r="M2625" i="7"/>
  <c r="M2238" i="7"/>
  <c r="M1421" i="7"/>
  <c r="M194" i="7"/>
  <c r="M2060" i="7"/>
  <c r="M2677" i="7"/>
  <c r="M55" i="7"/>
  <c r="M2215" i="7"/>
  <c r="M4585" i="7"/>
  <c r="M33" i="7"/>
  <c r="M2600" i="7"/>
  <c r="M2804" i="7"/>
  <c r="M2184" i="7"/>
  <c r="M2623" i="7"/>
  <c r="M2971" i="7"/>
  <c r="M2671" i="7"/>
  <c r="M57" i="7"/>
  <c r="M2510" i="7"/>
  <c r="M2617" i="7"/>
  <c r="M2057" i="7"/>
  <c r="M2858" i="7"/>
  <c r="M2154" i="7"/>
  <c r="M14" i="7"/>
  <c r="M2983" i="7"/>
  <c r="M2416" i="7"/>
  <c r="M4651" i="7"/>
  <c r="M171" i="7"/>
  <c r="M1994" i="7"/>
  <c r="M2953" i="7"/>
  <c r="M2486" i="7"/>
  <c r="M186" i="7"/>
  <c r="M2923" i="7"/>
  <c r="M2921" i="7"/>
  <c r="M2491" i="7"/>
  <c r="M2726" i="7"/>
  <c r="M2699" i="7"/>
  <c r="M58" i="7"/>
  <c r="M2536" i="7"/>
  <c r="M179" i="7"/>
  <c r="M3260" i="7"/>
  <c r="M60" i="7"/>
  <c r="M2390" i="7"/>
  <c r="M2439" i="7"/>
  <c r="M1975" i="7"/>
  <c r="M2557" i="7"/>
  <c r="M2055" i="7"/>
  <c r="M585" i="7"/>
  <c r="M2308" i="7"/>
  <c r="M2484" i="7"/>
  <c r="M2362" i="7"/>
  <c r="M2834" i="7"/>
  <c r="M4418" i="7"/>
  <c r="M2417" i="7"/>
  <c r="M99" i="7"/>
  <c r="M2350" i="7"/>
  <c r="M2721" i="7"/>
  <c r="M2091" i="7"/>
  <c r="M11" i="7"/>
  <c r="M2039" i="7"/>
  <c r="M4021" i="7"/>
  <c r="M2551" i="7"/>
  <c r="M2880" i="7"/>
  <c r="M586" i="7"/>
  <c r="M10" i="7"/>
  <c r="M2027" i="7"/>
  <c r="M56" i="7"/>
  <c r="M2488" i="7"/>
  <c r="M1223" i="7"/>
  <c r="M2680" i="7"/>
  <c r="M2535" i="7"/>
  <c r="M2692" i="7"/>
  <c r="M118" i="7"/>
  <c r="M651" i="7"/>
  <c r="M116" i="7"/>
  <c r="M2980" i="7"/>
  <c r="M3042" i="7"/>
  <c r="M215" i="7"/>
  <c r="M1960" i="7"/>
  <c r="M4400" i="7"/>
  <c r="M2851" i="7"/>
  <c r="M2118" i="7"/>
  <c r="M2974" i="7"/>
  <c r="M2096" i="7"/>
  <c r="M2382" i="7"/>
  <c r="M2827" i="7"/>
  <c r="M2995" i="7"/>
  <c r="M4692" i="7"/>
  <c r="M1954" i="7"/>
  <c r="M1986" i="7"/>
  <c r="M2897" i="7"/>
  <c r="M75" i="7"/>
  <c r="M4417" i="7"/>
  <c r="M8" i="7"/>
  <c r="M2373" i="7"/>
  <c r="M212" i="7"/>
  <c r="M106" i="7"/>
  <c r="M181" i="7"/>
  <c r="M63" i="7"/>
  <c r="M2583" i="7"/>
  <c r="M2315" i="7"/>
  <c r="M2358" i="7"/>
  <c r="M2103" i="7"/>
  <c r="M134" i="7"/>
  <c r="M1968" i="7"/>
  <c r="M2333" i="7"/>
  <c r="M2430" i="7"/>
  <c r="M2284" i="7"/>
  <c r="M115" i="7"/>
  <c r="M2775" i="7"/>
  <c r="M2339" i="7"/>
  <c r="M1953" i="7"/>
  <c r="M2309" i="7"/>
  <c r="M2423" i="7"/>
  <c r="M2599" i="7"/>
  <c r="M2642" i="7"/>
  <c r="M2279" i="7"/>
  <c r="M2565" i="7"/>
  <c r="M210" i="7"/>
  <c r="M2124" i="7"/>
  <c r="M2104" i="7"/>
  <c r="M113" i="7"/>
  <c r="M2242" i="7"/>
  <c r="M2402" i="7"/>
  <c r="M2120" i="7"/>
  <c r="M2406" i="7"/>
  <c r="M2816" i="7"/>
  <c r="M2292" i="7"/>
  <c r="M3071" i="7"/>
  <c r="M4706" i="7"/>
  <c r="M2160" i="7"/>
  <c r="M2651" i="7"/>
  <c r="M2784" i="7"/>
  <c r="M2035" i="7"/>
  <c r="M2793" i="7"/>
  <c r="M2395" i="7"/>
  <c r="M2081" i="7"/>
  <c r="M2218" i="7"/>
  <c r="M145" i="7"/>
  <c r="M3024" i="7"/>
  <c r="M2452" i="7"/>
  <c r="M2354" i="7"/>
  <c r="M2708" i="7"/>
  <c r="M782" i="7"/>
  <c r="M103" i="7"/>
  <c r="M82" i="7"/>
  <c r="M2397" i="7"/>
  <c r="M2415" i="7"/>
  <c r="M3046" i="7"/>
  <c r="M2106" i="7"/>
  <c r="M2932" i="7"/>
  <c r="M24" i="7"/>
  <c r="M2493" i="7"/>
  <c r="M2958" i="7"/>
  <c r="M2326" i="7"/>
  <c r="M2769" i="7"/>
  <c r="M2605" i="7"/>
  <c r="M2757" i="7"/>
  <c r="M2405" i="7"/>
  <c r="M2763" i="7"/>
  <c r="M2413" i="7"/>
  <c r="M2435" i="7"/>
  <c r="M2553" i="7"/>
  <c r="M49" i="7"/>
  <c r="M2175" i="7"/>
  <c r="M2841" i="7"/>
  <c r="M3786" i="7"/>
  <c r="M2137" i="7"/>
  <c r="M1329" i="7"/>
  <c r="M447" i="7"/>
  <c r="M2052" i="7"/>
  <c r="M2221" i="7"/>
  <c r="M2922" i="7"/>
  <c r="M4540" i="7"/>
  <c r="M718" i="7"/>
  <c r="M2123" i="7"/>
  <c r="M2523" i="7"/>
  <c r="M1978" i="7"/>
  <c r="M126" i="7"/>
  <c r="M138" i="7"/>
  <c r="M2852" i="7"/>
  <c r="M2148" i="7"/>
  <c r="M3027" i="7"/>
  <c r="M2037" i="7"/>
  <c r="M197" i="7"/>
  <c r="M2822" i="7"/>
  <c r="M2269" i="7"/>
  <c r="M1959" i="7"/>
  <c r="M4402" i="7"/>
  <c r="M2673" i="7"/>
  <c r="M2020" i="7"/>
  <c r="M2576" i="7"/>
  <c r="M4653" i="7"/>
  <c r="M2849" i="7"/>
  <c r="M2931" i="7"/>
  <c r="M3040" i="7"/>
  <c r="M2926" i="7"/>
  <c r="M2002" i="7"/>
  <c r="M3003" i="7"/>
  <c r="M2244" i="7"/>
  <c r="M2746" i="7"/>
  <c r="M2443" i="7"/>
  <c r="M140" i="7"/>
  <c r="M2236" i="7"/>
  <c r="M167" i="7"/>
  <c r="M1963" i="7"/>
  <c r="M2665" i="7"/>
  <c r="M2257" i="7"/>
  <c r="M3043" i="7"/>
  <c r="M2664" i="7"/>
  <c r="M202" i="7"/>
  <c r="M2791" i="7"/>
  <c r="M2299" i="7"/>
  <c r="M2731" i="7"/>
  <c r="M2089" i="7"/>
  <c r="M19" i="7"/>
  <c r="M2297" i="7"/>
  <c r="M2305" i="7"/>
  <c r="M2241" i="7"/>
  <c r="M2025" i="7"/>
  <c r="M2675" i="7"/>
  <c r="M1467" i="7"/>
  <c r="M2951" i="7"/>
  <c r="M2744" i="7"/>
  <c r="M2015" i="7"/>
  <c r="M2234" i="7"/>
  <c r="M2250" i="7"/>
  <c r="M2282" i="7"/>
  <c r="M112" i="7"/>
  <c r="M2186" i="7"/>
  <c r="M2667" i="7"/>
  <c r="M2824" i="7"/>
  <c r="M2329" i="7"/>
  <c r="M40" i="7"/>
  <c r="M2501" i="7"/>
  <c r="M4022" i="7"/>
  <c r="M2823" i="7"/>
  <c r="M2445" i="7"/>
  <c r="M3049" i="7"/>
  <c r="M2732" i="7"/>
  <c r="M2871" i="7"/>
  <c r="M2957" i="7"/>
  <c r="M2711" i="7"/>
  <c r="M2612" i="7"/>
  <c r="M2324" i="7"/>
  <c r="M150" i="7"/>
  <c r="M2243" i="7"/>
  <c r="M2747" i="7"/>
  <c r="M2821" i="7"/>
  <c r="M1118" i="7"/>
  <c r="M2349" i="7"/>
  <c r="M2989" i="7"/>
  <c r="M2492" i="7"/>
  <c r="M2899" i="7"/>
  <c r="M2797" i="7"/>
  <c r="M2843" i="7"/>
  <c r="M1277" i="7"/>
  <c r="M2962" i="7"/>
  <c r="M1067" i="7"/>
  <c r="M1949" i="7"/>
  <c r="M117" i="7"/>
  <c r="M80" i="7"/>
  <c r="M2054" i="7"/>
  <c r="M2477" i="7"/>
  <c r="M2768" i="7"/>
  <c r="M2256" i="7"/>
  <c r="M2701" i="7"/>
  <c r="M119" i="7"/>
  <c r="M3036" i="7"/>
  <c r="M2252" i="7"/>
  <c r="M2815" i="7"/>
  <c r="M2637" i="7"/>
  <c r="M2674" i="7"/>
  <c r="M2067" i="7"/>
  <c r="M2278" i="7"/>
  <c r="M1958" i="7"/>
  <c r="M2526" i="7"/>
  <c r="M84" i="7"/>
  <c r="M211" i="7"/>
  <c r="M2195" i="7"/>
  <c r="M2748" i="7"/>
  <c r="AI4" i="13"/>
  <c r="M120" i="7"/>
  <c r="M2903" i="7"/>
  <c r="M2432" i="7"/>
  <c r="M2831" i="7"/>
  <c r="M2668" i="7"/>
  <c r="M3010" i="7"/>
  <c r="M2764" i="7"/>
  <c r="M2265" i="7"/>
  <c r="M109" i="7"/>
  <c r="M90" i="7"/>
  <c r="M2888" i="7"/>
  <c r="M2029" i="7"/>
  <c r="M2539" i="7"/>
  <c r="M2346" i="7"/>
  <c r="M4857" i="7"/>
  <c r="M97" i="7"/>
  <c r="M2935" i="7"/>
  <c r="M4195" i="7"/>
  <c r="M2381" i="7"/>
  <c r="M1171" i="7"/>
  <c r="M2383" i="7"/>
  <c r="M2336" i="7"/>
  <c r="M587" i="7"/>
  <c r="M2268" i="7"/>
  <c r="M2138" i="7"/>
  <c r="M2372" i="7"/>
  <c r="M4196" i="7"/>
  <c r="M2116" i="7"/>
  <c r="M2991" i="7"/>
  <c r="M2266" i="7"/>
  <c r="M2048" i="7"/>
  <c r="M2352" i="7"/>
  <c r="M4140" i="7"/>
  <c r="M2272" i="7"/>
  <c r="M177" i="7"/>
  <c r="M2363" i="7"/>
  <c r="M2559" i="7"/>
  <c r="M2868" i="7"/>
  <c r="M2159" i="7"/>
  <c r="M199" i="7"/>
  <c r="M2979" i="7"/>
  <c r="M519" i="7"/>
  <c r="M2264" i="7"/>
  <c r="M2022" i="7"/>
  <c r="M2472" i="7"/>
  <c r="M15" i="7"/>
  <c r="M2261" i="7"/>
  <c r="M2092" i="7"/>
  <c r="M320" i="7"/>
  <c r="M2495" i="7"/>
  <c r="M2197" i="7"/>
  <c r="M3033" i="7"/>
  <c r="M173" i="7"/>
  <c r="M2578" i="7"/>
  <c r="M71" i="7"/>
  <c r="M2914" i="7"/>
  <c r="M2320" i="7"/>
  <c r="M2588" i="7"/>
  <c r="M85" i="7"/>
  <c r="M2630" i="7"/>
  <c r="M4538" i="7"/>
  <c r="M1995" i="7"/>
  <c r="M2348" i="7"/>
  <c r="M3261" i="7"/>
  <c r="M2727" i="7"/>
  <c r="M2470" i="7"/>
  <c r="M1222" i="7"/>
  <c r="M3166" i="7"/>
  <c r="M1996" i="7"/>
  <c r="M2818" i="7"/>
  <c r="M2620" i="7"/>
  <c r="M147" i="7"/>
  <c r="M64" i="7"/>
  <c r="M2770" i="7"/>
  <c r="M2424" i="7"/>
  <c r="M2429" i="7"/>
  <c r="M7" i="7"/>
  <c r="M4438" i="7"/>
  <c r="M2290" i="7"/>
  <c r="M2552" i="7"/>
  <c r="M2370" i="7"/>
  <c r="M2036" i="7"/>
  <c r="M2840" i="7"/>
  <c r="M2511" i="7"/>
  <c r="M2173" i="7"/>
  <c r="M2014" i="7"/>
  <c r="M2772" i="7"/>
  <c r="M2008" i="7"/>
  <c r="M2745" i="7"/>
  <c r="M1976" i="7"/>
  <c r="M3706" i="7"/>
  <c r="M2441" i="7"/>
  <c r="M2917" i="7"/>
  <c r="M2155" i="7"/>
  <c r="M2353" i="7"/>
  <c r="M2401" i="7"/>
  <c r="AF4" i="13"/>
  <c r="M2507" i="7"/>
  <c r="M2128" i="7"/>
  <c r="M2163" i="7"/>
  <c r="M83" i="7"/>
  <c r="M2317" i="7"/>
  <c r="M2575" i="7"/>
  <c r="M2613" i="7"/>
  <c r="M2626" i="7"/>
  <c r="M2499" i="7"/>
  <c r="M3001" i="7"/>
  <c r="M2628" i="7"/>
  <c r="M4705" i="7"/>
  <c r="M2038" i="7"/>
  <c r="M2316" i="7"/>
  <c r="M94" i="7"/>
  <c r="M2781" i="7"/>
  <c r="M1939" i="7"/>
  <c r="M2787" i="7"/>
  <c r="M3944" i="7"/>
  <c r="M2878" i="7"/>
  <c r="M2863" i="7"/>
  <c r="M1967" i="7"/>
  <c r="M2941" i="7"/>
  <c r="M2845" i="7"/>
  <c r="M190" i="7"/>
  <c r="M2540" i="7"/>
  <c r="M898" i="7"/>
  <c r="M2494" i="7"/>
  <c r="M2750" i="7"/>
  <c r="M3355" i="7"/>
  <c r="M2474" i="7"/>
  <c r="M168" i="7"/>
  <c r="M1221" i="7"/>
  <c r="M4135" i="7"/>
  <c r="M2156" i="7"/>
  <c r="M131" i="7"/>
  <c r="M1948" i="7"/>
  <c r="M2712" i="7"/>
  <c r="M2538" i="7"/>
  <c r="M2385" i="7"/>
  <c r="M2506" i="7"/>
  <c r="M2380" i="7"/>
  <c r="M2760" i="7"/>
  <c r="M2213" i="7"/>
  <c r="M2369" i="7"/>
  <c r="M2907" i="7"/>
  <c r="M2672" i="7"/>
  <c r="M2792" i="7"/>
  <c r="M42" i="7"/>
  <c r="M4654" i="7"/>
  <c r="M521" i="7"/>
  <c r="M2440" i="7"/>
  <c r="M1513" i="7"/>
  <c r="M200" i="7"/>
  <c r="M2825" i="7"/>
  <c r="M68" i="7"/>
  <c r="M2773" i="7"/>
  <c r="M2629" i="7"/>
  <c r="M2298" i="7"/>
  <c r="M2541" i="7"/>
  <c r="M2331" i="7"/>
  <c r="M2201" i="7"/>
  <c r="M1066" i="7"/>
  <c r="M2223" i="7"/>
  <c r="M2740" i="7"/>
  <c r="M2832" i="7"/>
  <c r="M2177" i="7"/>
  <c r="M3865" i="7"/>
  <c r="M2082" i="7"/>
  <c r="M2262" i="7"/>
  <c r="M4691" i="7"/>
  <c r="M4141" i="7"/>
  <c r="M1375" i="7"/>
  <c r="M133" i="7"/>
  <c r="M2174" i="7"/>
  <c r="M3017" i="7"/>
  <c r="M2485" i="7"/>
  <c r="M187" i="7"/>
  <c r="M2916" i="7"/>
  <c r="M2627" i="7"/>
  <c r="M2949" i="7"/>
  <c r="M2384" i="7"/>
  <c r="M2648" i="7"/>
  <c r="M2614" i="7"/>
  <c r="M2066" i="7"/>
  <c r="M2113" i="7"/>
  <c r="M652" i="7"/>
  <c r="M2176" i="7"/>
  <c r="M2068" i="7"/>
  <c r="M2534" i="7"/>
  <c r="M2662" i="7"/>
  <c r="M1962" i="7"/>
  <c r="M2083" i="7"/>
  <c r="M4" i="7"/>
  <c r="M2758" i="7"/>
  <c r="M2473" i="7"/>
  <c r="M2469" i="7"/>
  <c r="M66" i="7"/>
  <c r="M2594" i="7"/>
  <c r="M2042" i="7"/>
  <c r="M2164" i="7"/>
  <c r="M3165" i="7"/>
  <c r="M3785" i="7"/>
  <c r="M1983" i="7"/>
  <c r="M2044" i="7"/>
  <c r="M2710" i="7"/>
  <c r="M3025" i="7"/>
  <c r="M2377" i="7"/>
  <c r="M2782" i="7"/>
  <c r="M2696" i="7"/>
  <c r="M2813" i="7"/>
  <c r="M2814" i="7"/>
  <c r="M2310" i="7"/>
  <c r="M2967" i="7"/>
  <c r="M2454" i="7"/>
  <c r="M2848" i="7"/>
  <c r="M1713" i="7"/>
  <c r="M2649" i="7"/>
  <c r="M2199" i="7"/>
  <c r="M39" i="7"/>
  <c r="M2003" i="7"/>
  <c r="M2013" i="7"/>
  <c r="M41" i="7"/>
  <c r="M2950" i="7"/>
  <c r="M2460" i="7"/>
  <c r="M2895" i="7"/>
  <c r="M2528" i="7"/>
  <c r="M2661" i="7"/>
  <c r="M36" i="7"/>
  <c r="M2872" i="7"/>
  <c r="M897" i="7"/>
  <c r="M2886" i="7"/>
  <c r="M2323" i="7"/>
  <c r="M2245" i="7"/>
  <c r="M2893" i="7"/>
  <c r="M2463" i="7"/>
  <c r="M1957" i="7"/>
  <c r="M1971" i="7"/>
  <c r="M1998" i="7"/>
  <c r="M956" i="7"/>
  <c r="M2167" i="7"/>
  <c r="M59" i="7"/>
  <c r="M1835" i="7"/>
  <c r="M2505" i="7"/>
  <c r="M151" i="7"/>
  <c r="M2795" i="7"/>
  <c r="M1420" i="7"/>
  <c r="M2725" i="7"/>
  <c r="M2453" i="7"/>
  <c r="M2141" i="7"/>
  <c r="M108" i="7"/>
  <c r="M2119" i="7"/>
  <c r="M152" i="7"/>
  <c r="M2367" i="7"/>
  <c r="M2643" i="7"/>
  <c r="M2394" i="7"/>
  <c r="M2180" i="7"/>
  <c r="M1065" i="7"/>
  <c r="M2072" i="7"/>
  <c r="M198" i="7"/>
  <c r="M2587" i="7"/>
  <c r="M31" i="7"/>
  <c r="M2580" i="7"/>
  <c r="M2343" i="7"/>
  <c r="M4354" i="7"/>
  <c r="M2716" i="7"/>
  <c r="M2437" i="7"/>
  <c r="M1013" i="7"/>
  <c r="M2518" i="7"/>
  <c r="M1466" i="7"/>
  <c r="M2097" i="7"/>
  <c r="M2232" i="7"/>
  <c r="M2360" i="7"/>
  <c r="M172" i="7"/>
  <c r="M2447" i="7"/>
  <c r="M2558" i="7"/>
  <c r="M2018" i="7"/>
  <c r="M16" i="7"/>
  <c r="M35" i="7"/>
  <c r="M2833" i="7"/>
  <c r="M2461" i="7"/>
  <c r="M2420" i="7"/>
  <c r="M2126" i="7"/>
  <c r="M2800" i="7"/>
  <c r="M2462" i="7"/>
  <c r="M2076" i="7"/>
  <c r="M2216" i="7"/>
  <c r="M1465" i="7"/>
  <c r="M3037" i="7"/>
  <c r="M2596" i="7"/>
  <c r="M2905" i="7"/>
  <c r="M381" i="7"/>
  <c r="M2021" i="7"/>
  <c r="M2611" i="7"/>
  <c r="M4905" i="7"/>
  <c r="M2785" i="7"/>
  <c r="M2464" i="7"/>
  <c r="M2237" i="7"/>
  <c r="M2569" i="7"/>
  <c r="M2679" i="7"/>
  <c r="M2947" i="7"/>
  <c r="M1987" i="7"/>
  <c r="M2375" i="7"/>
  <c r="M2844" i="7"/>
  <c r="M2898" i="7"/>
  <c r="M2235" i="7"/>
  <c r="M1992" i="7"/>
  <c r="M1373" i="7"/>
  <c r="M2733" i="7"/>
  <c r="M2165" i="7"/>
  <c r="M201" i="7"/>
  <c r="M1169" i="7"/>
  <c r="M2608" i="7"/>
  <c r="M203" i="7"/>
  <c r="M2556" i="7"/>
  <c r="M2088" i="7"/>
  <c r="M30" i="7"/>
  <c r="M54" i="7"/>
  <c r="M2774" i="7"/>
  <c r="M98" i="7"/>
  <c r="M2169" i="7"/>
  <c r="M2618" i="7"/>
  <c r="M2589" i="7"/>
  <c r="M4508" i="7"/>
  <c r="M2130" i="7"/>
  <c r="M2915" i="7"/>
  <c r="M2606" i="7"/>
  <c r="M3863" i="7"/>
  <c r="M2861" i="7"/>
  <c r="M2260" i="7"/>
  <c r="M3022" i="7"/>
  <c r="M2121" i="7"/>
  <c r="M2739" i="7"/>
  <c r="M2389" i="7"/>
  <c r="M3544" i="7"/>
  <c r="M2386" i="7"/>
  <c r="M2000" i="7"/>
  <c r="M2636" i="7"/>
  <c r="M2943" i="7"/>
  <c r="M1946" i="7"/>
  <c r="M2537" i="7"/>
  <c r="M2327" i="7"/>
  <c r="M2071" i="7"/>
  <c r="M1893" i="7"/>
  <c r="M2207" i="7"/>
  <c r="M91" i="7"/>
  <c r="M2960" i="7"/>
  <c r="M2799" i="7"/>
  <c r="M28" i="7"/>
  <c r="M2012" i="7"/>
  <c r="M1015" i="7"/>
  <c r="M2456" i="7"/>
  <c r="M2230" i="7"/>
  <c r="M2512" i="7"/>
  <c r="M2019" i="7"/>
  <c r="M2334" i="7"/>
  <c r="M4360" i="7"/>
  <c r="M2026" i="7"/>
  <c r="M38" i="7"/>
  <c r="M2047" i="7"/>
  <c r="M2749" i="7"/>
  <c r="M2956" i="7"/>
  <c r="M2332" i="7"/>
  <c r="M2581" i="7"/>
  <c r="M4139" i="7"/>
  <c r="M4023" i="7"/>
  <c r="M2803" i="7"/>
  <c r="M2805" i="7"/>
  <c r="M2489" i="7"/>
  <c r="M2939" i="7"/>
  <c r="M2107" i="7"/>
  <c r="M2647" i="7"/>
  <c r="M2515" i="7"/>
  <c r="M2330" i="7"/>
  <c r="M2908" i="7"/>
  <c r="M2407" i="7"/>
  <c r="M2715" i="7"/>
  <c r="M2862" i="7"/>
  <c r="M2296" i="7"/>
  <c r="M2168" i="7"/>
  <c r="M2836" i="7"/>
  <c r="M2719" i="7"/>
  <c r="M2314" i="7"/>
  <c r="M3032" i="7"/>
  <c r="M3626" i="7"/>
  <c r="M3452" i="7"/>
  <c r="M2560" i="7"/>
  <c r="M2476" i="7"/>
  <c r="M2399" i="7"/>
  <c r="M4658" i="7"/>
  <c r="M2111" i="7"/>
  <c r="M1605" i="7"/>
  <c r="M2357" i="7"/>
  <c r="M2722" i="7"/>
  <c r="M4143" i="7"/>
  <c r="M3031" i="7"/>
  <c r="M2697" i="7"/>
  <c r="M2616" i="7"/>
  <c r="M143" i="7"/>
  <c r="M2258" i="7"/>
  <c r="M1836" i="7"/>
  <c r="M45" i="7"/>
  <c r="M4440" i="7"/>
  <c r="M2147" i="7"/>
  <c r="M2198" i="7"/>
  <c r="M1328" i="7"/>
  <c r="M2053" i="7"/>
  <c r="M2153" i="7"/>
  <c r="M2166" i="7"/>
  <c r="M3013" i="7"/>
  <c r="M380" i="7"/>
  <c r="M2192" i="7"/>
  <c r="M2225" i="7"/>
  <c r="M1276" i="7"/>
  <c r="M2812" i="7"/>
  <c r="M2408" i="7"/>
  <c r="M2808" i="7"/>
  <c r="M2172" i="7"/>
  <c r="M2061" i="7"/>
  <c r="M2085" i="7"/>
  <c r="M2503" i="7"/>
  <c r="M2222" i="7"/>
  <c r="M2403" i="7"/>
  <c r="M2659" i="7"/>
  <c r="M1993" i="7"/>
  <c r="M2517" i="7"/>
  <c r="M2301" i="7"/>
  <c r="M2419" i="7"/>
  <c r="M105" i="7"/>
  <c r="M2698" i="7"/>
  <c r="M4357" i="7"/>
  <c r="M4415" i="7"/>
  <c r="M1711" i="7"/>
  <c r="M3014" i="7"/>
  <c r="M2409" i="7"/>
  <c r="M1464" i="7"/>
  <c r="M4500" i="7"/>
  <c r="M2531" i="7"/>
  <c r="M3353" i="7"/>
  <c r="M1601" i="7"/>
  <c r="M3782" i="7"/>
  <c r="M2500" i="7"/>
  <c r="M511" i="7"/>
  <c r="M649" i="7"/>
  <c r="M2604" i="7"/>
  <c r="M1833" i="7"/>
  <c r="M4020" i="7"/>
  <c r="M3704" i="7"/>
  <c r="M1012" i="7"/>
  <c r="M3035" i="7"/>
  <c r="M1417" i="7"/>
  <c r="M379" i="7"/>
  <c r="M3941" i="7"/>
  <c r="M2809" i="7"/>
  <c r="M1648" i="7"/>
  <c r="M719" i="7"/>
  <c r="M954" i="7"/>
  <c r="M4194" i="7"/>
  <c r="M1937" i="7"/>
  <c r="M1168" i="7"/>
  <c r="M445" i="7"/>
  <c r="M1555" i="7"/>
  <c r="M2040" i="7"/>
  <c r="M2359" i="7"/>
  <c r="M3783" i="7"/>
  <c r="M4853" i="7"/>
  <c r="M3259" i="7"/>
  <c r="M3623" i="7"/>
  <c r="M2876" i="7"/>
  <c r="M1219" i="7"/>
  <c r="M1167" i="7"/>
  <c r="M4581" i="7"/>
  <c r="M1509" i="7"/>
  <c r="M3942" i="7"/>
  <c r="M779" i="7"/>
  <c r="M2543" i="7"/>
  <c r="M2703" i="7"/>
  <c r="M1714" i="7"/>
  <c r="M1275" i="7"/>
  <c r="M2737" i="7"/>
  <c r="M1973" i="7"/>
  <c r="M4142" i="7"/>
  <c r="M2011" i="7"/>
  <c r="M2532" i="7"/>
  <c r="M650" i="7"/>
  <c r="M1964" i="7"/>
  <c r="M2079" i="7"/>
  <c r="M205" i="7"/>
  <c r="M2817" i="7"/>
  <c r="M2720" i="7"/>
  <c r="M2046" i="7"/>
  <c r="M3705" i="7"/>
  <c r="M88" i="7"/>
  <c r="M2010" i="7"/>
  <c r="M2567" i="7"/>
  <c r="M2338" i="7"/>
  <c r="M87" i="7"/>
  <c r="M2024" i="7"/>
  <c r="M61" i="7"/>
  <c r="M2550" i="7"/>
  <c r="M74" i="7"/>
  <c r="M2860" i="7"/>
  <c r="M1991" i="7"/>
  <c r="M2735" i="7"/>
  <c r="M102" i="7"/>
  <c r="M2934" i="7"/>
  <c r="M48" i="7"/>
  <c r="M2108" i="7"/>
  <c r="M2653" i="7"/>
  <c r="M2684" i="7"/>
  <c r="M2690" i="7"/>
  <c r="M53" i="7"/>
  <c r="M2471" i="7"/>
  <c r="M2328" i="7"/>
  <c r="M2248" i="7"/>
  <c r="M1952" i="7"/>
  <c r="M2688" i="7"/>
  <c r="M184" i="7"/>
  <c r="M1649" i="7"/>
  <c r="M4704" i="7"/>
  <c r="M2685" i="7"/>
  <c r="M2233" i="7"/>
  <c r="M2436" i="7"/>
  <c r="M2400" i="7"/>
  <c r="M111" i="7"/>
  <c r="M2065" i="7"/>
  <c r="M2683" i="7"/>
  <c r="M2490" i="7"/>
  <c r="M2162" i="7"/>
  <c r="M1327" i="7"/>
  <c r="M2487" i="7"/>
  <c r="M2006" i="7"/>
  <c r="M2017" i="7"/>
  <c r="M51" i="7"/>
  <c r="M2335" i="7"/>
  <c r="M1512" i="7"/>
  <c r="M4356" i="7"/>
  <c r="M2857" i="7"/>
  <c r="M2191" i="7"/>
  <c r="M89" i="7"/>
  <c r="M2713" i="7"/>
  <c r="M2101" i="7"/>
  <c r="M2099" i="7"/>
  <c r="M2592" i="7"/>
  <c r="M2255" i="7"/>
  <c r="M2045" i="7"/>
  <c r="M2368" i="7"/>
  <c r="M2783" i="7"/>
  <c r="M2881" i="7"/>
  <c r="M2374" i="7"/>
  <c r="M2709" i="7"/>
  <c r="M1938" i="7"/>
  <c r="M4019" i="7"/>
  <c r="M1326" i="7"/>
  <c r="M2564" i="7"/>
  <c r="M1063" i="7"/>
  <c r="M1776" i="7"/>
  <c r="M780" i="7"/>
  <c r="M584" i="7"/>
  <c r="M1371" i="7"/>
  <c r="M583" i="7"/>
  <c r="M2171" i="7"/>
  <c r="M4904" i="7"/>
  <c r="M2707" i="7"/>
  <c r="M1778" i="7"/>
  <c r="M1115" i="7"/>
  <c r="M1463" i="7"/>
  <c r="M3448" i="7"/>
  <c r="M1325" i="7"/>
  <c r="M2887" i="7"/>
  <c r="M444" i="7"/>
  <c r="M3164" i="7"/>
  <c r="M510" i="7"/>
  <c r="M4466" i="7"/>
  <c r="M2451" i="7"/>
  <c r="M2508" i="7"/>
  <c r="M2524" i="7"/>
  <c r="M4537" i="7"/>
  <c r="M838" i="7"/>
  <c r="M2572" i="7"/>
  <c r="M2366" i="7"/>
  <c r="M3862" i="7"/>
  <c r="M1274" i="7"/>
  <c r="M1891" i="7"/>
  <c r="M2295" i="7"/>
  <c r="M2267" i="7"/>
  <c r="M1777" i="7"/>
  <c r="M2219" i="7"/>
  <c r="M2110" i="7"/>
  <c r="M2483" i="7"/>
  <c r="M3450" i="7"/>
  <c r="M2263" i="7"/>
  <c r="M69" i="7"/>
  <c r="M2291" i="7"/>
  <c r="M174" i="7"/>
  <c r="M4693" i="7"/>
  <c r="M2458" i="7"/>
  <c r="M2570" i="7"/>
  <c r="M3357" i="7"/>
  <c r="M318" i="7"/>
  <c r="M2391" i="7"/>
  <c r="M2655" i="7"/>
  <c r="M2398" i="7"/>
  <c r="M2533" i="7"/>
  <c r="M2084" i="7"/>
  <c r="M2853" i="7"/>
  <c r="M2547" i="7"/>
  <c r="M125" i="7"/>
  <c r="M2542" i="7"/>
  <c r="M2595" i="7"/>
  <c r="M2073" i="7"/>
  <c r="M1511" i="7"/>
  <c r="M955" i="7"/>
  <c r="M2631" i="7"/>
  <c r="M73" i="7"/>
  <c r="M1969" i="7"/>
  <c r="M3546" i="7"/>
  <c r="AG4" i="13"/>
  <c r="M2031" i="7"/>
  <c r="M2798" i="7"/>
  <c r="M2080" i="7"/>
  <c r="M96" i="7"/>
  <c r="M2303" i="7"/>
  <c r="M2426" i="7"/>
  <c r="M4503" i="7"/>
  <c r="M2830" i="7"/>
  <c r="M4441" i="7"/>
  <c r="M2161" i="7"/>
  <c r="M2806" i="7"/>
  <c r="M841" i="7"/>
  <c r="M3943" i="7"/>
  <c r="M2475" i="7"/>
  <c r="M2459" i="7"/>
  <c r="M2087" i="7"/>
  <c r="M3009" i="7"/>
  <c r="M2952" i="7"/>
  <c r="M93" i="7"/>
  <c r="M4906" i="7"/>
  <c r="M2734" i="7"/>
  <c r="M2427" i="7"/>
  <c r="M2009" i="7"/>
  <c r="M2371" i="7"/>
  <c r="M1981" i="7"/>
  <c r="M4138" i="7"/>
  <c r="M1170" i="7"/>
  <c r="M2043" i="7"/>
  <c r="M2602" i="7"/>
  <c r="M4703" i="7"/>
  <c r="M2312" i="7"/>
  <c r="M1950" i="7"/>
  <c r="M2925" i="7"/>
  <c r="M2444" i="7"/>
  <c r="M18" i="7"/>
  <c r="M2478" i="7"/>
  <c r="M183" i="7"/>
  <c r="M2756" i="7"/>
  <c r="M2051" i="7"/>
  <c r="M1985" i="7"/>
  <c r="M2134" i="7"/>
  <c r="M2125" i="7"/>
  <c r="M895" i="7"/>
  <c r="M1775" i="7"/>
  <c r="M4465" i="7"/>
  <c r="M1510" i="7"/>
  <c r="M1372" i="7"/>
  <c r="M2650" i="7"/>
  <c r="M3543" i="7"/>
  <c r="M2289" i="7"/>
  <c r="M1064" i="7"/>
  <c r="M4652" i="7"/>
  <c r="M317" i="7"/>
  <c r="M4854" i="7"/>
  <c r="M378" i="7"/>
  <c r="M2132" i="7"/>
  <c r="M896" i="7"/>
  <c r="M2050" i="7"/>
  <c r="M715" i="7"/>
  <c r="M1556" i="7"/>
  <c r="M2276" i="7"/>
  <c r="M1834" i="7"/>
  <c r="M4903" i="7"/>
  <c r="M2519" i="7"/>
  <c r="M1892" i="7"/>
  <c r="M1011" i="7"/>
  <c r="M4416" i="7"/>
  <c r="M2347" i="7"/>
  <c r="M2913" i="7"/>
  <c r="M2930" i="7"/>
  <c r="M3167" i="7"/>
  <c r="M3004" i="7"/>
  <c r="M4362" i="7"/>
  <c r="M20" i="7"/>
  <c r="M2095" i="7"/>
  <c r="M1650" i="7"/>
  <c r="M4361" i="7"/>
  <c r="M2001" i="7"/>
  <c r="M4399" i="7"/>
  <c r="M4583" i="7"/>
  <c r="M2911" i="7"/>
  <c r="M2127" i="7"/>
  <c r="M191" i="7"/>
  <c r="M2100" i="7"/>
  <c r="M2866" i="7"/>
  <c r="M4469" i="7"/>
  <c r="M4539" i="7"/>
  <c r="M2202" i="7"/>
  <c r="M2421" i="7"/>
  <c r="M2404" i="7"/>
  <c r="M2220" i="7"/>
  <c r="M2767" i="7"/>
  <c r="M2496" i="7"/>
  <c r="M2187" i="7"/>
  <c r="M2345" i="7"/>
  <c r="M2093" i="7"/>
  <c r="M781" i="7"/>
  <c r="M95" i="7"/>
  <c r="M2666" i="7"/>
  <c r="M3451" i="7"/>
  <c r="M2850" i="7"/>
  <c r="M2229" i="7"/>
  <c r="M2940" i="7"/>
  <c r="M2288" i="7"/>
  <c r="M2654" i="7"/>
  <c r="M2247" i="7"/>
  <c r="M2438" i="7"/>
  <c r="M2182" i="7"/>
  <c r="M2904" i="7"/>
  <c r="M2584" i="7"/>
  <c r="M3018" i="7"/>
  <c r="M2322" i="7"/>
  <c r="M169" i="7"/>
  <c r="M2249" i="7"/>
  <c r="M2902" i="7"/>
  <c r="M899" i="7"/>
  <c r="M1837" i="7"/>
  <c r="M1980" i="7"/>
  <c r="M2689" i="7"/>
  <c r="M1374" i="7"/>
  <c r="M2639" i="7"/>
  <c r="M1984" i="7"/>
  <c r="M137" i="7"/>
  <c r="M135" i="7"/>
  <c r="M121" i="7"/>
  <c r="M2577" i="7"/>
  <c r="M2337" i="7"/>
  <c r="M4655" i="7"/>
  <c r="M2059" i="7"/>
  <c r="M2194" i="7"/>
  <c r="M2869" i="7"/>
  <c r="M4136" i="7"/>
  <c r="M2942" i="7"/>
  <c r="M3545" i="7"/>
  <c r="M2231" i="7"/>
  <c r="M520" i="7"/>
  <c r="M2146" i="7"/>
  <c r="M2313" i="7"/>
  <c r="M1965" i="7"/>
  <c r="M2179" i="7"/>
  <c r="M4467" i="7"/>
  <c r="M1972" i="7"/>
  <c r="M2098" i="7"/>
  <c r="M1602" i="7"/>
  <c r="M3258" i="7"/>
  <c r="M1940" i="7"/>
  <c r="M3702" i="7"/>
  <c r="M2525" i="7"/>
  <c r="M2700" i="7"/>
  <c r="M837" i="7"/>
  <c r="M1647" i="7"/>
  <c r="M1956" i="7"/>
  <c r="M2129" i="7"/>
  <c r="M4690" i="7"/>
  <c r="M953" i="7"/>
  <c r="M4582" i="7"/>
  <c r="M3542" i="7"/>
  <c r="M3052" i="7"/>
  <c r="M2743" i="7"/>
  <c r="M1220" i="7"/>
  <c r="M3622" i="7"/>
  <c r="M1712" i="7"/>
  <c r="M3861" i="7"/>
  <c r="M2867" i="7"/>
  <c r="M29" i="7"/>
  <c r="M3449" i="7"/>
  <c r="M3354" i="7"/>
  <c r="M1273" i="7"/>
  <c r="M1117" i="7"/>
  <c r="M716" i="7"/>
  <c r="M3703" i="7"/>
  <c r="M1116" i="7"/>
  <c r="M2058" i="7"/>
  <c r="M1418" i="7"/>
  <c r="M1604" i="7"/>
  <c r="M3940" i="7"/>
  <c r="M2929" i="7"/>
  <c r="M4501" i="7"/>
  <c r="N29" i="7" l="1"/>
  <c r="N4136" i="7"/>
  <c r="N4655" i="7"/>
  <c r="N121" i="7"/>
  <c r="N135" i="7"/>
  <c r="N137" i="7"/>
  <c r="N169" i="7"/>
  <c r="N95" i="7"/>
  <c r="N191" i="7"/>
  <c r="N4361" i="7"/>
  <c r="N20" i="7"/>
  <c r="N4362" i="7"/>
  <c r="N4652" i="7"/>
  <c r="N183" i="7"/>
  <c r="N18" i="7"/>
  <c r="N4138" i="7"/>
  <c r="N93" i="7"/>
  <c r="N96" i="7"/>
  <c r="N73" i="7"/>
  <c r="N125" i="7"/>
  <c r="N174" i="7"/>
  <c r="N69" i="7"/>
  <c r="N89" i="7"/>
  <c r="N4356" i="7"/>
  <c r="N51" i="7"/>
  <c r="N111" i="7"/>
  <c r="N184" i="7"/>
  <c r="N53" i="7"/>
  <c r="N48" i="7"/>
  <c r="N102" i="7"/>
  <c r="N74" i="7"/>
  <c r="N61" i="7"/>
  <c r="N87" i="7"/>
  <c r="N88" i="7"/>
  <c r="N205" i="7"/>
  <c r="N4142" i="7"/>
  <c r="N4357" i="7"/>
  <c r="N105" i="7"/>
  <c r="N45" i="7"/>
  <c r="N143" i="7"/>
  <c r="N4143" i="7"/>
  <c r="N4658" i="7"/>
  <c r="N4139" i="7"/>
  <c r="N38" i="7"/>
  <c r="N4360" i="7"/>
  <c r="N28" i="7"/>
  <c r="N91" i="7"/>
  <c r="N98" i="7"/>
  <c r="N54" i="7"/>
  <c r="N30" i="7"/>
  <c r="N203" i="7"/>
  <c r="N201" i="7"/>
  <c r="N35" i="7"/>
  <c r="N172" i="7"/>
  <c r="N4354" i="7"/>
  <c r="N31" i="7"/>
  <c r="N198" i="7"/>
  <c r="N152" i="7"/>
  <c r="N108" i="7"/>
  <c r="N151" i="7"/>
  <c r="N59" i="7"/>
  <c r="N36" i="7"/>
  <c r="N41" i="7"/>
  <c r="N39" i="7"/>
  <c r="N66" i="7"/>
  <c r="N187" i="7"/>
  <c r="N133" i="7"/>
  <c r="N4141" i="7"/>
  <c r="N68" i="7"/>
  <c r="N200" i="7"/>
  <c r="N4654" i="7"/>
  <c r="N42" i="7"/>
  <c r="N131" i="7"/>
  <c r="N4135" i="7"/>
  <c r="N168" i="7"/>
  <c r="N190" i="7"/>
  <c r="N94" i="7"/>
  <c r="N83" i="7"/>
  <c r="N64" i="7"/>
  <c r="N147" i="7"/>
  <c r="N85" i="7"/>
  <c r="N71" i="7"/>
  <c r="N173" i="7"/>
  <c r="N199" i="7"/>
  <c r="N177" i="7"/>
  <c r="N4140" i="7"/>
  <c r="N97" i="7"/>
  <c r="N90" i="7"/>
  <c r="N109" i="7"/>
  <c r="N120" i="7"/>
  <c r="N211" i="7"/>
  <c r="N84" i="7"/>
  <c r="N119" i="7"/>
  <c r="N80" i="7"/>
  <c r="N117" i="7"/>
  <c r="N150" i="7"/>
  <c r="N40" i="7"/>
  <c r="N112" i="7"/>
  <c r="N19" i="7"/>
  <c r="N202" i="7"/>
  <c r="N167" i="7"/>
  <c r="N140" i="7"/>
  <c r="N4653" i="7"/>
  <c r="N197" i="7"/>
  <c r="N138" i="7"/>
  <c r="N126" i="7"/>
  <c r="N49" i="7"/>
  <c r="N24" i="7"/>
  <c r="N82" i="7"/>
  <c r="N103" i="7"/>
  <c r="N145" i="7"/>
  <c r="N113" i="7"/>
  <c r="N210" i="7"/>
  <c r="N115" i="7"/>
  <c r="N134" i="7"/>
  <c r="N63" i="7"/>
  <c r="N181" i="7"/>
  <c r="N106" i="7"/>
  <c r="N212" i="7"/>
  <c r="N75" i="7"/>
  <c r="N215" i="7"/>
  <c r="N116" i="7"/>
  <c r="N118" i="7"/>
  <c r="N56" i="7"/>
  <c r="N99" i="7"/>
  <c r="N60" i="7"/>
  <c r="N179" i="7"/>
  <c r="N58" i="7"/>
  <c r="N186" i="7"/>
  <c r="N171" i="7"/>
  <c r="N4651" i="7"/>
  <c r="N57" i="7"/>
  <c r="N33" i="7"/>
  <c r="N55" i="7"/>
  <c r="N194" i="7"/>
  <c r="N142" i="7"/>
  <c r="N144" i="7"/>
  <c r="N32" i="7"/>
  <c r="N130" i="7"/>
  <c r="N185" i="7"/>
  <c r="N123" i="7"/>
  <c r="N50" i="7"/>
  <c r="N100" i="7"/>
  <c r="N146" i="7"/>
  <c r="N77" i="7"/>
  <c r="N206" i="7"/>
  <c r="N178" i="7"/>
  <c r="N47" i="7"/>
  <c r="N21" i="7"/>
  <c r="N4358" i="7"/>
  <c r="N79" i="7"/>
  <c r="N65" i="7"/>
  <c r="N23" i="7"/>
  <c r="N22" i="7"/>
  <c r="N4137" i="7"/>
  <c r="N149" i="7"/>
  <c r="N4353" i="7"/>
  <c r="N4355" i="7"/>
  <c r="N195" i="7"/>
  <c r="N114" i="7"/>
  <c r="N86" i="7"/>
  <c r="N46" i="7"/>
  <c r="N101" i="7"/>
  <c r="N4359" i="7"/>
  <c r="N136" i="7"/>
  <c r="N180" i="7"/>
  <c r="N139" i="7"/>
  <c r="N213" i="7"/>
  <c r="N52" i="7"/>
  <c r="N43" i="7"/>
  <c r="N81" i="7"/>
  <c r="N129" i="7"/>
  <c r="N67" i="7"/>
  <c r="N34" i="7"/>
  <c r="N122" i="7"/>
  <c r="N107" i="7"/>
  <c r="N207" i="7"/>
  <c r="N44" i="7"/>
  <c r="N141" i="7"/>
  <c r="N176" i="7"/>
  <c r="N192" i="7"/>
  <c r="N188" i="7"/>
  <c r="N127" i="7"/>
  <c r="N196" i="7"/>
  <c r="N128" i="7"/>
  <c r="N62" i="7"/>
  <c r="N189" i="7"/>
  <c r="N4660" i="7"/>
  <c r="N78" i="7"/>
  <c r="N4657" i="7"/>
  <c r="N70" i="7"/>
  <c r="N193" i="7"/>
  <c r="N72" i="7"/>
  <c r="N148" i="7"/>
  <c r="N92" i="7"/>
  <c r="N110" i="7"/>
  <c r="N76" i="7"/>
  <c r="N27" i="7"/>
  <c r="N4659" i="7"/>
  <c r="N166" i="7"/>
  <c r="N25" i="7"/>
  <c r="N208" i="7"/>
  <c r="N4656" i="7"/>
  <c r="N37" i="7"/>
  <c r="N132" i="7"/>
  <c r="N182" i="7"/>
  <c r="N204" i="7"/>
  <c r="N26" i="7"/>
  <c r="N104" i="7"/>
  <c r="N175" i="7"/>
  <c r="N170" i="7"/>
  <c r="N214" i="7"/>
  <c r="N124" i="7"/>
  <c r="R4690" i="7"/>
  <c r="D4657" i="7"/>
  <c r="AG4690" i="7" s="1"/>
  <c r="Q4537" i="7"/>
  <c r="AG4658" i="7" l="1"/>
  <c r="R4854" i="7"/>
  <c r="Q4413" i="7" l="1"/>
  <c r="R4411" i="7"/>
  <c r="Q4411" i="7"/>
  <c r="Q4412" i="7"/>
  <c r="Q4414" i="7"/>
  <c r="Q4415" i="7"/>
  <c r="S4193" i="7"/>
  <c r="Q4197" i="7"/>
  <c r="E4197" i="7"/>
  <c r="R317" i="7"/>
  <c r="Q317" i="7"/>
  <c r="D212" i="7"/>
  <c r="AG317" i="7" s="1"/>
  <c r="M4197" i="7"/>
  <c r="AG213" i="7" l="1"/>
  <c r="K213" i="14"/>
  <c r="K207" i="14"/>
  <c r="Q4500" i="7" l="1"/>
  <c r="R4500" i="7"/>
  <c r="E4579" i="7" l="1"/>
  <c r="M4579" i="7"/>
  <c r="R4414" i="7" l="1"/>
  <c r="R4413" i="7"/>
  <c r="R4412" i="7"/>
  <c r="X4193" i="7"/>
  <c r="V4193" i="7"/>
  <c r="Q4193" i="7"/>
  <c r="R316" i="7"/>
  <c r="R4398" i="7"/>
  <c r="Q4398" i="7"/>
  <c r="V4139" i="7" l="1"/>
  <c r="X3622" i="7"/>
  <c r="V3622" i="7"/>
  <c r="X3163" i="7"/>
  <c r="V3163" i="7"/>
  <c r="Q4656" i="7"/>
  <c r="H196" i="14" l="1"/>
  <c r="H195" i="14"/>
  <c r="Q4903" i="7" l="1"/>
  <c r="R4689" i="7"/>
  <c r="E4689" i="7"/>
  <c r="D4656" i="7"/>
  <c r="AG4689" i="7" s="1"/>
  <c r="Q4536" i="7"/>
  <c r="E4536" i="7"/>
  <c r="R4853" i="7"/>
  <c r="E4414" i="7"/>
  <c r="D4358" i="7"/>
  <c r="AG4398" i="7" s="1"/>
  <c r="E4206" i="7"/>
  <c r="E4193" i="7"/>
  <c r="E4437" i="7"/>
  <c r="X4139" i="7"/>
  <c r="D4139" i="7"/>
  <c r="AG4193" i="7" s="1"/>
  <c r="E3163" i="7"/>
  <c r="Q316" i="7"/>
  <c r="E316" i="7"/>
  <c r="D211" i="7"/>
  <c r="AG316" i="7" s="1"/>
  <c r="E4398" i="7"/>
  <c r="R4498" i="7"/>
  <c r="M4689" i="7"/>
  <c r="M4437" i="7"/>
  <c r="M3163" i="7"/>
  <c r="M316" i="7"/>
  <c r="M4206" i="7"/>
  <c r="M4193" i="7"/>
  <c r="M4398" i="7"/>
  <c r="M4536" i="7"/>
  <c r="M4414" i="7"/>
  <c r="AG4657" i="7" l="1"/>
  <c r="AG4140" i="7"/>
  <c r="AG212" i="7"/>
  <c r="AG4359" i="7"/>
  <c r="E4702" i="7"/>
  <c r="M4702" i="7"/>
  <c r="R4902" i="7" l="1"/>
  <c r="R4499" i="7" l="1"/>
  <c r="Q4499" i="7"/>
  <c r="X4192" i="7" l="1"/>
  <c r="V4192" i="7"/>
  <c r="R4397" i="7" l="1"/>
  <c r="Q4397" i="7"/>
  <c r="V3621" i="7" l="1"/>
  <c r="X3621" i="7"/>
  <c r="X3162" i="7"/>
  <c r="V3162" i="7"/>
  <c r="D4655" i="7"/>
  <c r="AG4688" i="7" s="1"/>
  <c r="Q4902" i="7"/>
  <c r="E4902" i="7"/>
  <c r="I4499" i="7"/>
  <c r="AG4499" i="7" s="1"/>
  <c r="E4499" i="7"/>
  <c r="R4688" i="7"/>
  <c r="E4688" i="7"/>
  <c r="Q4655" i="7"/>
  <c r="E4580" i="7"/>
  <c r="Q4535" i="7"/>
  <c r="E4535" i="7"/>
  <c r="R4852" i="7"/>
  <c r="E4852" i="7"/>
  <c r="E4464" i="7"/>
  <c r="E4413" i="7"/>
  <c r="D4357" i="7"/>
  <c r="AG4397" i="7" s="1"/>
  <c r="I4205" i="7"/>
  <c r="AG4205" i="7" s="1"/>
  <c r="E4205" i="7"/>
  <c r="S4192" i="7"/>
  <c r="Q4192" i="7"/>
  <c r="E4192" i="7"/>
  <c r="E4436" i="7"/>
  <c r="X4138" i="7"/>
  <c r="V4138" i="7"/>
  <c r="D4138" i="7"/>
  <c r="AG4192" i="7" s="1"/>
  <c r="E4018" i="7"/>
  <c r="E3939" i="7"/>
  <c r="E3860" i="7"/>
  <c r="E3781" i="7"/>
  <c r="E3701" i="7"/>
  <c r="E3621" i="7"/>
  <c r="E3541" i="7"/>
  <c r="E3447" i="7"/>
  <c r="E3352" i="7"/>
  <c r="E3257" i="7"/>
  <c r="E3162" i="7"/>
  <c r="E1936" i="7"/>
  <c r="E1890" i="7"/>
  <c r="E1832" i="7"/>
  <c r="E1774" i="7"/>
  <c r="E1710" i="7"/>
  <c r="E1646" i="7"/>
  <c r="E1600" i="7"/>
  <c r="E1554" i="7"/>
  <c r="E1508" i="7"/>
  <c r="E1462" i="7"/>
  <c r="E1416" i="7"/>
  <c r="E1370" i="7"/>
  <c r="E1324" i="7"/>
  <c r="E1272" i="7"/>
  <c r="E1218" i="7"/>
  <c r="E1166" i="7"/>
  <c r="E1114" i="7"/>
  <c r="E1062" i="7"/>
  <c r="E1010" i="7"/>
  <c r="E952" i="7"/>
  <c r="E894" i="7"/>
  <c r="E836" i="7"/>
  <c r="E778" i="7"/>
  <c r="E714" i="7"/>
  <c r="E648" i="7"/>
  <c r="E582" i="7"/>
  <c r="E509" i="7"/>
  <c r="E443" i="7"/>
  <c r="E377" i="7"/>
  <c r="R315" i="7"/>
  <c r="Q315" i="7"/>
  <c r="I315" i="7"/>
  <c r="E315" i="7"/>
  <c r="D210" i="7"/>
  <c r="E4397" i="7"/>
  <c r="M952" i="7"/>
  <c r="M1324" i="7"/>
  <c r="M1554" i="7"/>
  <c r="M1832" i="7"/>
  <c r="M1600" i="7"/>
  <c r="M582" i="7"/>
  <c r="M1370" i="7"/>
  <c r="M778" i="7"/>
  <c r="M1936" i="7"/>
  <c r="M4688" i="7"/>
  <c r="M3860" i="7"/>
  <c r="M3781" i="7"/>
  <c r="M4902" i="7"/>
  <c r="M509" i="7"/>
  <c r="M4535" i="7"/>
  <c r="M4580" i="7"/>
  <c r="M1508" i="7"/>
  <c r="M1710" i="7"/>
  <c r="M1646" i="7"/>
  <c r="M3162" i="7"/>
  <c r="M4436" i="7"/>
  <c r="M315" i="7"/>
  <c r="M1114" i="7"/>
  <c r="M4499" i="7"/>
  <c r="M3701" i="7"/>
  <c r="M4192" i="7"/>
  <c r="M377" i="7"/>
  <c r="M3257" i="7"/>
  <c r="M4413" i="7"/>
  <c r="M1166" i="7"/>
  <c r="M1218" i="7"/>
  <c r="M4018" i="7"/>
  <c r="M3621" i="7"/>
  <c r="M1416" i="7"/>
  <c r="M3939" i="7"/>
  <c r="M3352" i="7"/>
  <c r="M1462" i="7"/>
  <c r="M4464" i="7"/>
  <c r="M3541" i="7"/>
  <c r="M648" i="7"/>
  <c r="M3447" i="7"/>
  <c r="M894" i="7"/>
  <c r="M1272" i="7"/>
  <c r="M1062" i="7"/>
  <c r="M4852" i="7"/>
  <c r="M4205" i="7"/>
  <c r="M443" i="7"/>
  <c r="M1774" i="7"/>
  <c r="M714" i="7"/>
  <c r="M1890" i="7"/>
  <c r="M4397" i="7"/>
  <c r="M836" i="7"/>
  <c r="M1010" i="7"/>
  <c r="AG315" i="7" l="1"/>
  <c r="AG4358" i="7"/>
  <c r="AG211" i="7"/>
  <c r="AG4139" i="7"/>
  <c r="AG4656" i="7"/>
  <c r="L315" i="7"/>
  <c r="N315" i="7" s="1"/>
  <c r="L4499" i="7"/>
  <c r="N4499" i="7" s="1"/>
  <c r="L4205" i="7"/>
  <c r="N4205" i="7" s="1"/>
  <c r="X4191" i="7" l="1"/>
  <c r="V4191" i="7"/>
  <c r="Q4901" i="7"/>
  <c r="R4497" i="7" l="1"/>
  <c r="Q4498" i="7"/>
  <c r="R4687" i="7" l="1"/>
  <c r="V4137" i="7"/>
  <c r="D4137" i="7"/>
  <c r="AG4191" i="7" s="1"/>
  <c r="X3161" i="7"/>
  <c r="V3161" i="7"/>
  <c r="AG4138" i="7" l="1"/>
  <c r="E1709" i="7"/>
  <c r="M1709" i="7"/>
  <c r="R314" i="7" l="1"/>
  <c r="I314" i="7"/>
  <c r="I313" i="7"/>
  <c r="I209" i="7"/>
  <c r="D209" i="7"/>
  <c r="R4396" i="7"/>
  <c r="Q4396" i="7"/>
  <c r="M209" i="7"/>
  <c r="AG314" i="7" l="1"/>
  <c r="AG210" i="7"/>
  <c r="N209" i="7"/>
  <c r="L209" i="7"/>
  <c r="L313" i="7"/>
  <c r="N313" i="7" s="1"/>
  <c r="L314" i="7"/>
  <c r="N314" i="7" s="1"/>
  <c r="R4901" i="7"/>
  <c r="E4901" i="7"/>
  <c r="I4498" i="7"/>
  <c r="AG4498" i="7" s="1"/>
  <c r="E4498" i="7"/>
  <c r="E4701" i="7"/>
  <c r="E4687" i="7"/>
  <c r="Q4654" i="7"/>
  <c r="D4654" i="7"/>
  <c r="AG4687" i="7" s="1"/>
  <c r="Q4534" i="7"/>
  <c r="E4534" i="7"/>
  <c r="R4851" i="7"/>
  <c r="E4851" i="7"/>
  <c r="E4463" i="7"/>
  <c r="E4412" i="7"/>
  <c r="D4356" i="7"/>
  <c r="AG4396" i="7" s="1"/>
  <c r="I4204" i="7"/>
  <c r="AG4204" i="7" s="1"/>
  <c r="E4204" i="7"/>
  <c r="S4191" i="7"/>
  <c r="Q4191" i="7"/>
  <c r="E4191" i="7"/>
  <c r="E4435" i="7"/>
  <c r="X4137" i="7"/>
  <c r="E4017" i="7"/>
  <c r="E3938" i="7"/>
  <c r="E3859" i="7"/>
  <c r="E3780" i="7"/>
  <c r="E3700" i="7"/>
  <c r="E3620" i="7"/>
  <c r="E3540" i="7"/>
  <c r="E3446" i="7"/>
  <c r="E3351" i="7"/>
  <c r="E3256" i="7"/>
  <c r="E3161" i="7"/>
  <c r="E1935" i="7"/>
  <c r="E1889" i="7"/>
  <c r="E1831" i="7"/>
  <c r="E1773" i="7"/>
  <c r="E1645" i="7"/>
  <c r="E1599" i="7"/>
  <c r="E1553" i="7"/>
  <c r="E1507" i="7"/>
  <c r="E1461" i="7"/>
  <c r="E1415" i="7"/>
  <c r="E1369" i="7"/>
  <c r="E1323" i="7"/>
  <c r="E1271" i="7"/>
  <c r="E1217" i="7"/>
  <c r="E1165" i="7"/>
  <c r="E1113" i="7"/>
  <c r="E1061" i="7"/>
  <c r="E1009" i="7"/>
  <c r="E951" i="7"/>
  <c r="E893" i="7"/>
  <c r="E835" i="7"/>
  <c r="E777" i="7"/>
  <c r="E713" i="7"/>
  <c r="E647" i="7"/>
  <c r="E581" i="7"/>
  <c r="E508" i="7"/>
  <c r="E442" i="7"/>
  <c r="E376" i="7"/>
  <c r="Q314" i="7"/>
  <c r="E314" i="7"/>
  <c r="E4396" i="7"/>
  <c r="M1271" i="7"/>
  <c r="M1113" i="7"/>
  <c r="M4191" i="7"/>
  <c r="M4017" i="7"/>
  <c r="M1831" i="7"/>
  <c r="M3620" i="7"/>
  <c r="M4204" i="7"/>
  <c r="M1415" i="7"/>
  <c r="M3938" i="7"/>
  <c r="M1935" i="7"/>
  <c r="M4687" i="7"/>
  <c r="M4701" i="7"/>
  <c r="M1369" i="7"/>
  <c r="M3446" i="7"/>
  <c r="M4435" i="7"/>
  <c r="M1217" i="7"/>
  <c r="M4851" i="7"/>
  <c r="M508" i="7"/>
  <c r="M1009" i="7"/>
  <c r="M713" i="7"/>
  <c r="M951" i="7"/>
  <c r="M3351" i="7"/>
  <c r="M4901" i="7"/>
  <c r="M3540" i="7"/>
  <c r="M376" i="7"/>
  <c r="M1889" i="7"/>
  <c r="M835" i="7"/>
  <c r="M1165" i="7"/>
  <c r="M581" i="7"/>
  <c r="M893" i="7"/>
  <c r="M4396" i="7"/>
  <c r="M3256" i="7"/>
  <c r="M1645" i="7"/>
  <c r="M1323" i="7"/>
  <c r="M1599" i="7"/>
  <c r="M442" i="7"/>
  <c r="M1507" i="7"/>
  <c r="M4463" i="7"/>
  <c r="M647" i="7"/>
  <c r="M314" i="7"/>
  <c r="M1461" i="7"/>
  <c r="M3700" i="7"/>
  <c r="M1061" i="7"/>
  <c r="M4534" i="7"/>
  <c r="M4412" i="7"/>
  <c r="M3780" i="7"/>
  <c r="M3859" i="7"/>
  <c r="M777" i="7"/>
  <c r="M1553" i="7"/>
  <c r="M4498" i="7"/>
  <c r="M3161" i="7"/>
  <c r="M1773" i="7"/>
  <c r="AG4655" i="7" l="1"/>
  <c r="AG4357" i="7"/>
  <c r="L4204" i="7"/>
  <c r="N4204" i="7" s="1"/>
  <c r="L4498" i="7"/>
  <c r="N4498" i="7" s="1"/>
  <c r="Q4356" i="7"/>
  <c r="D2" i="15" l="1"/>
  <c r="R4900" i="7" l="1"/>
  <c r="Q4497" i="7"/>
  <c r="Q4395" i="7" l="1"/>
  <c r="I3619" i="7"/>
  <c r="AG3619" i="7" s="1"/>
  <c r="X3160" i="7"/>
  <c r="V3160" i="7"/>
  <c r="Q4900" i="7"/>
  <c r="E4900" i="7"/>
  <c r="X4136" i="7"/>
  <c r="V4136" i="7"/>
  <c r="Q4136" i="7"/>
  <c r="D4136" i="7"/>
  <c r="AG4190" i="7" s="1"/>
  <c r="I4497" i="7"/>
  <c r="AG4497" i="7" s="1"/>
  <c r="E4497" i="7"/>
  <c r="E4700" i="7"/>
  <c r="R4686" i="7"/>
  <c r="E4686" i="7"/>
  <c r="AB4653" i="7"/>
  <c r="Z4653" i="7"/>
  <c r="V4653" i="7"/>
  <c r="Q4653" i="7"/>
  <c r="D4653" i="7"/>
  <c r="AG4686" i="7" s="1"/>
  <c r="E4578" i="7"/>
  <c r="Q4533" i="7"/>
  <c r="E4533" i="7"/>
  <c r="R4850" i="7"/>
  <c r="E4850" i="7"/>
  <c r="E4462" i="7"/>
  <c r="E4411" i="7"/>
  <c r="D4355" i="7"/>
  <c r="AG4395" i="7" s="1"/>
  <c r="I4203" i="7"/>
  <c r="AG4203" i="7" s="1"/>
  <c r="E4203" i="7"/>
  <c r="X4190" i="7"/>
  <c r="V4190" i="7"/>
  <c r="S4190" i="7"/>
  <c r="Q4190" i="7"/>
  <c r="E4190" i="7"/>
  <c r="E4434" i="7"/>
  <c r="E4016" i="7"/>
  <c r="E3937" i="7"/>
  <c r="E3858" i="7"/>
  <c r="E3779" i="7"/>
  <c r="E3699" i="7"/>
  <c r="E3619" i="7"/>
  <c r="E3539" i="7"/>
  <c r="E3445" i="7"/>
  <c r="E3350" i="7"/>
  <c r="E3255" i="7"/>
  <c r="E3160" i="7"/>
  <c r="E1934" i="7"/>
  <c r="E1888" i="7"/>
  <c r="E1830" i="7"/>
  <c r="E1772" i="7"/>
  <c r="E1708" i="7"/>
  <c r="E1644" i="7"/>
  <c r="E1598" i="7"/>
  <c r="E1552" i="7"/>
  <c r="E1506" i="7"/>
  <c r="E1460" i="7"/>
  <c r="E1414" i="7"/>
  <c r="E1368" i="7"/>
  <c r="E1322" i="7"/>
  <c r="E1270" i="7"/>
  <c r="E1216" i="7"/>
  <c r="E1164" i="7"/>
  <c r="E1112" i="7"/>
  <c r="E1060" i="7"/>
  <c r="E1008" i="7"/>
  <c r="E950" i="7"/>
  <c r="E892" i="7"/>
  <c r="E834" i="7"/>
  <c r="E776" i="7"/>
  <c r="E712" i="7"/>
  <c r="E646" i="7"/>
  <c r="E580" i="7"/>
  <c r="E507" i="7"/>
  <c r="E441" i="7"/>
  <c r="E375" i="7"/>
  <c r="R313" i="7"/>
  <c r="Q313" i="7"/>
  <c r="E313" i="7"/>
  <c r="D208" i="7"/>
  <c r="AG313" i="7" s="1"/>
  <c r="E4395" i="7"/>
  <c r="M1414" i="7"/>
  <c r="M892" i="7"/>
  <c r="M1598" i="7"/>
  <c r="M4533" i="7"/>
  <c r="M3255" i="7"/>
  <c r="M4497" i="7"/>
  <c r="M3619" i="7"/>
  <c r="M1460" i="7"/>
  <c r="M1934" i="7"/>
  <c r="M4395" i="7"/>
  <c r="M1112" i="7"/>
  <c r="M4900" i="7"/>
  <c r="M1060" i="7"/>
  <c r="M4434" i="7"/>
  <c r="M712" i="7"/>
  <c r="M580" i="7"/>
  <c r="M4203" i="7"/>
  <c r="M4411" i="7"/>
  <c r="M4016" i="7"/>
  <c r="M1644" i="7"/>
  <c r="M1322" i="7"/>
  <c r="M375" i="7"/>
  <c r="M3445" i="7"/>
  <c r="M776" i="7"/>
  <c r="M3350" i="7"/>
  <c r="M1552" i="7"/>
  <c r="M3779" i="7"/>
  <c r="M3858" i="7"/>
  <c r="M1008" i="7"/>
  <c r="M3160" i="7"/>
  <c r="M1270" i="7"/>
  <c r="M950" i="7"/>
  <c r="M507" i="7"/>
  <c r="M4462" i="7"/>
  <c r="M4578" i="7"/>
  <c r="M441" i="7"/>
  <c r="M4190" i="7"/>
  <c r="M3539" i="7"/>
  <c r="M4686" i="7"/>
  <c r="M1506" i="7"/>
  <c r="M1888" i="7"/>
  <c r="M1830" i="7"/>
  <c r="M1772" i="7"/>
  <c r="M4850" i="7"/>
  <c r="M4700" i="7"/>
  <c r="M3699" i="7"/>
  <c r="M1368" i="7"/>
  <c r="M3937" i="7"/>
  <c r="M1216" i="7"/>
  <c r="M1708" i="7"/>
  <c r="M1164" i="7"/>
  <c r="M834" i="7"/>
  <c r="M313" i="7"/>
  <c r="M646" i="7"/>
  <c r="AG4356" i="7" l="1"/>
  <c r="AG4654" i="7"/>
  <c r="AG4137" i="7"/>
  <c r="AG209" i="7"/>
  <c r="L4497" i="7"/>
  <c r="N4497" i="7" s="1"/>
  <c r="L3619" i="7"/>
  <c r="N3619" i="7" s="1"/>
  <c r="O3619" i="7" s="1"/>
  <c r="L4203" i="7"/>
  <c r="N4203" i="7" s="1"/>
  <c r="Q4355" i="7"/>
  <c r="AG1" i="14" l="1"/>
  <c r="Y213" i="14"/>
  <c r="X213" i="14"/>
  <c r="T213" i="14"/>
  <c r="S213" i="14"/>
  <c r="R213" i="14"/>
  <c r="P213" i="14"/>
  <c r="N213" i="14"/>
  <c r="M213" i="14"/>
  <c r="L213" i="14"/>
  <c r="J213" i="14"/>
  <c r="I213" i="14"/>
  <c r="H213" i="14"/>
  <c r="G213" i="14"/>
  <c r="F213" i="14"/>
  <c r="E213" i="14"/>
  <c r="D213" i="14"/>
  <c r="C213" i="14"/>
  <c r="B213" i="14"/>
  <c r="Y207" i="14"/>
  <c r="X207" i="14"/>
  <c r="T207" i="14"/>
  <c r="S207" i="14"/>
  <c r="R207" i="14"/>
  <c r="P207" i="14"/>
  <c r="N207" i="14"/>
  <c r="M207" i="14"/>
  <c r="L207" i="14"/>
  <c r="J207" i="14"/>
  <c r="I207" i="14"/>
  <c r="H207" i="14"/>
  <c r="G207" i="14"/>
  <c r="F207" i="14"/>
  <c r="E207" i="14"/>
  <c r="D207" i="14"/>
  <c r="C207" i="14"/>
  <c r="B207" i="14"/>
  <c r="K220" i="14" l="1"/>
  <c r="AD10" i="11"/>
  <c r="L217" i="14"/>
  <c r="Y217" i="14"/>
  <c r="AD28" i="11" l="1"/>
  <c r="L220" i="14"/>
  <c r="AK231" i="14" l="1"/>
  <c r="AJ231" i="14"/>
  <c r="AI231" i="14"/>
  <c r="AH231" i="14"/>
  <c r="AK230" i="14"/>
  <c r="AJ230" i="14"/>
  <c r="AI230" i="14"/>
  <c r="AH230" i="14"/>
  <c r="F220" i="14"/>
  <c r="C220" i="14"/>
  <c r="AD9" i="11"/>
  <c r="AD8" i="11"/>
  <c r="AD22" i="11"/>
  <c r="AD21" i="11"/>
  <c r="AD14" i="11"/>
  <c r="AD13" i="11"/>
  <c r="AD12" i="11"/>
  <c r="H194" i="14"/>
  <c r="H193" i="14"/>
  <c r="H192" i="14"/>
  <c r="G192" i="14"/>
  <c r="H191" i="14"/>
  <c r="G191" i="14"/>
  <c r="H190" i="14"/>
  <c r="G190" i="14"/>
  <c r="H189" i="14"/>
  <c r="G189" i="14"/>
  <c r="H188" i="14"/>
  <c r="G188" i="14"/>
  <c r="H187" i="14"/>
  <c r="G187" i="14"/>
  <c r="H186" i="14"/>
  <c r="G186" i="14"/>
  <c r="H185" i="14"/>
  <c r="G185" i="14"/>
  <c r="H184" i="14"/>
  <c r="G184" i="14"/>
  <c r="H183" i="14"/>
  <c r="G183" i="14"/>
  <c r="H182" i="14"/>
  <c r="G182" i="14"/>
  <c r="H181" i="14"/>
  <c r="G181" i="14"/>
  <c r="H180" i="14"/>
  <c r="G180" i="14"/>
  <c r="H179" i="14"/>
  <c r="G179" i="14"/>
  <c r="H178" i="14"/>
  <c r="G178" i="14"/>
  <c r="H177" i="14"/>
  <c r="G177" i="14"/>
  <c r="H176" i="14"/>
  <c r="G176" i="14"/>
  <c r="H175" i="14"/>
  <c r="G175" i="14"/>
  <c r="H174" i="14"/>
  <c r="G174" i="14"/>
  <c r="H173" i="14"/>
  <c r="G173" i="14"/>
  <c r="H172" i="14"/>
  <c r="G172" i="14"/>
  <c r="H171" i="14"/>
  <c r="G171" i="14"/>
  <c r="H170" i="14"/>
  <c r="G170" i="14"/>
  <c r="H169" i="14"/>
  <c r="G169" i="14"/>
  <c r="H168" i="14"/>
  <c r="G168" i="14"/>
  <c r="H167" i="14"/>
  <c r="G167" i="14"/>
  <c r="H166" i="14"/>
  <c r="G166" i="14"/>
  <c r="H165" i="14"/>
  <c r="G165" i="14"/>
  <c r="H164" i="14"/>
  <c r="G164" i="14"/>
  <c r="H163" i="14"/>
  <c r="G163" i="14"/>
  <c r="H162" i="14"/>
  <c r="G162" i="14"/>
  <c r="H161" i="14"/>
  <c r="G161" i="14"/>
  <c r="H160" i="14"/>
  <c r="G160" i="14"/>
  <c r="H159" i="14"/>
  <c r="G159" i="14"/>
  <c r="H158" i="14"/>
  <c r="G158" i="14"/>
  <c r="H157" i="14"/>
  <c r="G157" i="14"/>
  <c r="H156" i="14"/>
  <c r="G156" i="14"/>
  <c r="H155" i="14"/>
  <c r="G155" i="14"/>
  <c r="H154" i="14"/>
  <c r="G154" i="14"/>
  <c r="H153" i="14"/>
  <c r="G153" i="14"/>
  <c r="H152" i="14"/>
  <c r="G152" i="14"/>
  <c r="G151" i="14"/>
  <c r="G150" i="14"/>
  <c r="G149" i="14"/>
  <c r="G148" i="14"/>
  <c r="G147" i="14"/>
  <c r="G146" i="14"/>
  <c r="G145" i="14"/>
  <c r="G144" i="14"/>
  <c r="G143" i="14"/>
  <c r="G142" i="14"/>
  <c r="G141" i="14"/>
  <c r="G140" i="14"/>
  <c r="G139" i="14"/>
  <c r="G138" i="14"/>
  <c r="G137" i="14"/>
  <c r="G136" i="14"/>
  <c r="G135" i="14"/>
  <c r="G134" i="14"/>
  <c r="G133" i="14"/>
  <c r="G132" i="14"/>
  <c r="D231" i="14"/>
  <c r="B231" i="14"/>
  <c r="B230" i="14"/>
  <c r="D230" i="14"/>
  <c r="C229" i="14"/>
  <c r="C231" i="14"/>
  <c r="E231" i="14"/>
  <c r="C230" i="14"/>
  <c r="E230" i="14"/>
  <c r="D229" i="14"/>
  <c r="B229" i="14"/>
  <c r="E229" i="14"/>
  <c r="H211" i="14" l="1"/>
  <c r="H209" i="14"/>
  <c r="H210" i="14"/>
  <c r="G209" i="14"/>
  <c r="AD16" i="11" s="1"/>
  <c r="G210" i="14"/>
  <c r="G211" i="14"/>
  <c r="H215" i="14"/>
  <c r="G215" i="14"/>
  <c r="AC12" i="11"/>
  <c r="I220" i="14"/>
  <c r="AC8" i="11" s="1"/>
  <c r="J220" i="14"/>
  <c r="D220" i="14"/>
  <c r="AC14" i="11" s="1"/>
  <c r="AC13" i="11"/>
  <c r="E220" i="14"/>
  <c r="AD17" i="11"/>
  <c r="G220" i="14" l="1"/>
  <c r="AC16" i="11" s="1"/>
  <c r="AC9" i="11"/>
  <c r="AC10" i="11"/>
  <c r="H220" i="14"/>
  <c r="AC17" i="11" s="1"/>
  <c r="B2" i="13"/>
  <c r="D3" i="13"/>
  <c r="D5" i="13" s="1"/>
  <c r="E3" i="13"/>
  <c r="E5" i="13" s="1"/>
  <c r="F3" i="13"/>
  <c r="F5" i="13" s="1"/>
  <c r="G3" i="13"/>
  <c r="G5" i="13" s="1"/>
  <c r="H3" i="13"/>
  <c r="H5" i="13" s="1"/>
  <c r="I3" i="13"/>
  <c r="I5" i="13" s="1"/>
  <c r="J3" i="13"/>
  <c r="J5" i="13" s="1"/>
  <c r="K3" i="13"/>
  <c r="K5" i="13" s="1"/>
  <c r="L3" i="13"/>
  <c r="L5" i="13" s="1"/>
  <c r="M3" i="13"/>
  <c r="M5" i="13" s="1"/>
  <c r="N3" i="13"/>
  <c r="N5" i="13" s="1"/>
  <c r="O3" i="13"/>
  <c r="O5" i="13" s="1"/>
  <c r="P3" i="13"/>
  <c r="P5" i="13" s="1"/>
  <c r="Q3" i="13"/>
  <c r="Q5" i="13" s="1"/>
  <c r="R3" i="13"/>
  <c r="R5" i="13" s="1"/>
  <c r="S3" i="13"/>
  <c r="S5" i="13" s="1"/>
  <c r="T3" i="13"/>
  <c r="T5" i="13" s="1"/>
  <c r="U3" i="13"/>
  <c r="U5" i="13" s="1"/>
  <c r="V3" i="13"/>
  <c r="V5" i="13" s="1"/>
  <c r="W3" i="13"/>
  <c r="W5" i="13" s="1"/>
  <c r="X3" i="13"/>
  <c r="X5" i="13" s="1"/>
  <c r="Y3" i="13"/>
  <c r="Y5" i="13" s="1"/>
  <c r="Z3" i="13"/>
  <c r="Z5" i="13" s="1"/>
  <c r="AA3" i="13"/>
  <c r="AA5" i="13" s="1"/>
  <c r="AB3" i="13"/>
  <c r="AB5" i="13" s="1"/>
  <c r="AC3" i="13"/>
  <c r="AC5" i="13" s="1"/>
  <c r="AD3" i="13"/>
  <c r="AD5" i="13" s="1"/>
  <c r="AE3" i="13"/>
  <c r="AE5" i="13" s="1"/>
  <c r="C3" i="13"/>
  <c r="C5" i="13" s="1"/>
  <c r="AD2" i="13"/>
  <c r="N4" i="13"/>
  <c r="I2" i="13"/>
  <c r="I4" i="13"/>
  <c r="AF2" i="13"/>
  <c r="Q4" i="13"/>
  <c r="X2" i="13"/>
  <c r="AG2" i="13"/>
  <c r="E4" i="13"/>
  <c r="U2" i="13"/>
  <c r="AH2" i="13"/>
  <c r="X4" i="13"/>
  <c r="W2" i="13"/>
  <c r="P4" i="13"/>
  <c r="S2" i="13"/>
  <c r="N2" i="13"/>
  <c r="C4" i="13"/>
  <c r="W4" i="13"/>
  <c r="T2" i="13"/>
  <c r="AB2" i="13"/>
  <c r="AB4" i="13"/>
  <c r="O4" i="13"/>
  <c r="T4" i="13"/>
  <c r="V4" i="13"/>
  <c r="M2" i="13"/>
  <c r="AI2" i="13"/>
  <c r="AE4" i="13"/>
  <c r="C2" i="13"/>
  <c r="AC2" i="13"/>
  <c r="Z4" i="13"/>
  <c r="S4" i="13"/>
  <c r="D2" i="13"/>
  <c r="H2" i="13"/>
  <c r="J2" i="13"/>
  <c r="L4" i="13"/>
  <c r="J4" i="13"/>
  <c r="V2" i="13"/>
  <c r="AD4" i="13"/>
  <c r="P2" i="13"/>
  <c r="D4" i="13"/>
  <c r="Y2" i="13"/>
  <c r="R2" i="13"/>
  <c r="F4" i="13"/>
  <c r="F2" i="13"/>
  <c r="Y4" i="13"/>
  <c r="Z2" i="13"/>
  <c r="Q2" i="13"/>
  <c r="O2" i="13"/>
  <c r="AA4" i="13"/>
  <c r="G2" i="13"/>
  <c r="L2" i="13"/>
  <c r="AE2" i="13"/>
  <c r="G4" i="13"/>
  <c r="U4" i="13"/>
  <c r="H4" i="13"/>
  <c r="AC4" i="13"/>
  <c r="M4" i="13"/>
  <c r="K4" i="13"/>
  <c r="AA2" i="13"/>
  <c r="R4" i="13"/>
  <c r="E2" i="13"/>
  <c r="K2" i="13"/>
  <c r="M33" i="11" l="1"/>
  <c r="L32" i="11"/>
  <c r="M32" i="11"/>
  <c r="L33" i="11"/>
  <c r="M20" i="11"/>
  <c r="L10" i="11"/>
  <c r="M24" i="11"/>
  <c r="M26" i="11"/>
  <c r="M18" i="11"/>
  <c r="M9" i="11"/>
  <c r="M14" i="11"/>
  <c r="L29" i="11"/>
  <c r="L27" i="11"/>
  <c r="L20" i="11"/>
  <c r="L8" i="11"/>
  <c r="L16" i="11"/>
  <c r="M13" i="11"/>
  <c r="L23" i="11"/>
  <c r="L22" i="11"/>
  <c r="M23" i="11"/>
  <c r="M28" i="11"/>
  <c r="M12" i="11"/>
  <c r="L31" i="11"/>
  <c r="L28" i="11"/>
  <c r="M29" i="11"/>
  <c r="M16" i="11"/>
  <c r="L25" i="11"/>
  <c r="L30" i="11"/>
  <c r="L9" i="11"/>
  <c r="L21" i="11"/>
  <c r="L12" i="11"/>
  <c r="M10" i="11"/>
  <c r="M27" i="11"/>
  <c r="M30" i="11"/>
  <c r="M17" i="11"/>
  <c r="M8" i="11"/>
  <c r="L24" i="11"/>
  <c r="L18" i="11"/>
  <c r="L14" i="11"/>
  <c r="M34" i="11"/>
  <c r="M25" i="11"/>
  <c r="M22" i="11"/>
  <c r="L26" i="11"/>
  <c r="L17" i="11"/>
  <c r="L13" i="11"/>
  <c r="M31" i="11"/>
  <c r="M21" i="11"/>
  <c r="L34" i="11"/>
  <c r="L36" i="11" l="1"/>
  <c r="E3251" i="7" l="1"/>
  <c r="M3251" i="7"/>
  <c r="E4433" i="7" l="1"/>
  <c r="M4433" i="7"/>
  <c r="Y220" i="14" l="1"/>
  <c r="X3618" i="7"/>
  <c r="V3618" i="7"/>
  <c r="X3159" i="7"/>
  <c r="V3159" i="7"/>
  <c r="R4496" i="7"/>
  <c r="I4202" i="7" l="1"/>
  <c r="AG4202" i="7" s="1"/>
  <c r="L4202" i="7" l="1"/>
  <c r="N4202" i="7" s="1"/>
  <c r="R4410" i="7"/>
  <c r="I4496" i="7" l="1"/>
  <c r="AG4496" i="7" s="1"/>
  <c r="Q4496" i="7"/>
  <c r="L4496" i="7" l="1"/>
  <c r="N4496" i="7" s="1"/>
  <c r="R312" i="7"/>
  <c r="R4849" i="7"/>
  <c r="Q312" i="7"/>
  <c r="Q4899" i="7"/>
  <c r="R4899" i="7"/>
  <c r="R4685" i="7"/>
  <c r="Q4532" i="7"/>
  <c r="Q4189" i="7"/>
  <c r="Q4135" i="7"/>
  <c r="Q4652" i="7"/>
  <c r="X4189" i="7" l="1"/>
  <c r="V4189" i="7"/>
  <c r="S4189" i="7"/>
  <c r="X4135" i="7" l="1"/>
  <c r="V4135" i="7"/>
  <c r="D4135" i="7"/>
  <c r="AG4189" i="7" s="1"/>
  <c r="AB4652" i="7"/>
  <c r="Z4652" i="7"/>
  <c r="V4652" i="7"/>
  <c r="AG4135" i="7" l="1"/>
  <c r="AG4136" i="7"/>
  <c r="E4699" i="7"/>
  <c r="E4202" i="7"/>
  <c r="E4410" i="7"/>
  <c r="E4461" i="7"/>
  <c r="E4496" i="7"/>
  <c r="E4849" i="7"/>
  <c r="E312" i="7"/>
  <c r="E4899" i="7"/>
  <c r="E4394" i="7"/>
  <c r="E4577" i="7"/>
  <c r="E4015" i="7"/>
  <c r="E3698" i="7"/>
  <c r="E3618" i="7"/>
  <c r="E3936" i="7"/>
  <c r="E3857" i="7"/>
  <c r="E3778" i="7"/>
  <c r="E3254" i="7"/>
  <c r="E3159" i="7"/>
  <c r="E3538" i="7"/>
  <c r="E3444" i="7"/>
  <c r="E3349" i="7"/>
  <c r="E374" i="7"/>
  <c r="E1933" i="7"/>
  <c r="E1643" i="7"/>
  <c r="E1597" i="7"/>
  <c r="E1551" i="7"/>
  <c r="E1505" i="7"/>
  <c r="E1459" i="7"/>
  <c r="E1367" i="7"/>
  <c r="E1413" i="7"/>
  <c r="E1163" i="7"/>
  <c r="E1215" i="7"/>
  <c r="E1321" i="7"/>
  <c r="E1269" i="7"/>
  <c r="E1111" i="7"/>
  <c r="E1059" i="7"/>
  <c r="E1887" i="7"/>
  <c r="E1829" i="7"/>
  <c r="E1007" i="7"/>
  <c r="E949" i="7"/>
  <c r="E891" i="7"/>
  <c r="E833" i="7"/>
  <c r="E1771" i="7"/>
  <c r="E1707" i="7"/>
  <c r="E775" i="7"/>
  <c r="E440" i="7"/>
  <c r="E711" i="7"/>
  <c r="E645" i="7"/>
  <c r="E579" i="7"/>
  <c r="E506" i="7"/>
  <c r="E4685" i="7"/>
  <c r="E4189" i="7"/>
  <c r="D4652" i="7"/>
  <c r="AG4685" i="7" s="1"/>
  <c r="D4354" i="7"/>
  <c r="AG4394" i="7" s="1"/>
  <c r="D207" i="7"/>
  <c r="AG312" i="7" s="1"/>
  <c r="M1321" i="7"/>
  <c r="M4202" i="7"/>
  <c r="M4685" i="7"/>
  <c r="M645" i="7"/>
  <c r="M1367" i="7"/>
  <c r="M3778" i="7"/>
  <c r="M1163" i="7"/>
  <c r="M374" i="7"/>
  <c r="M1933" i="7"/>
  <c r="M3698" i="7"/>
  <c r="M1829" i="7"/>
  <c r="M1007" i="7"/>
  <c r="M4410" i="7"/>
  <c r="M4577" i="7"/>
  <c r="M3857" i="7"/>
  <c r="M1111" i="7"/>
  <c r="M1643" i="7"/>
  <c r="M833" i="7"/>
  <c r="M1215" i="7"/>
  <c r="M3936" i="7"/>
  <c r="M1413" i="7"/>
  <c r="M711" i="7"/>
  <c r="M1887" i="7"/>
  <c r="M1771" i="7"/>
  <c r="M1269" i="7"/>
  <c r="M506" i="7"/>
  <c r="M579" i="7"/>
  <c r="M4189" i="7"/>
  <c r="M1459" i="7"/>
  <c r="M3618" i="7"/>
  <c r="M1597" i="7"/>
  <c r="M4394" i="7"/>
  <c r="M1707" i="7"/>
  <c r="M775" i="7"/>
  <c r="M3349" i="7"/>
  <c r="M4461" i="7"/>
  <c r="M3159" i="7"/>
  <c r="M4015" i="7"/>
  <c r="M3254" i="7"/>
  <c r="M891" i="7"/>
  <c r="M4899" i="7"/>
  <c r="M3538" i="7"/>
  <c r="M3444" i="7"/>
  <c r="M4699" i="7"/>
  <c r="M4849" i="7"/>
  <c r="M312" i="7"/>
  <c r="M1551" i="7"/>
  <c r="M440" i="7"/>
  <c r="M949" i="7"/>
  <c r="M4496" i="7"/>
  <c r="M1505" i="7"/>
  <c r="M1059" i="7"/>
  <c r="AG4355" i="7" l="1"/>
  <c r="AG4653" i="7"/>
  <c r="AG208" i="7"/>
  <c r="Q4354" i="7"/>
  <c r="E4697" i="7" l="1"/>
  <c r="E4698" i="7"/>
  <c r="E4696" i="7"/>
  <c r="D4651" i="7"/>
  <c r="AG4684" i="7" s="1"/>
  <c r="M4698" i="7"/>
  <c r="M4697" i="7"/>
  <c r="M4696" i="7"/>
  <c r="AG4651" i="7" l="1"/>
  <c r="AG4652" i="7"/>
  <c r="D4353" i="7"/>
  <c r="AG4393" i="7" s="1"/>
  <c r="D206" i="7"/>
  <c r="AG311" i="7" s="1"/>
  <c r="AG4353" i="7" l="1"/>
  <c r="AG4354" i="7"/>
  <c r="AG206" i="7"/>
  <c r="AG207" i="7"/>
  <c r="E4200" i="7"/>
  <c r="E4575" i="7"/>
  <c r="E4576" i="7"/>
  <c r="E4574" i="7"/>
  <c r="M4200" i="7"/>
  <c r="M4575" i="7"/>
  <c r="M4576" i="7"/>
  <c r="M4574" i="7"/>
  <c r="E4201" i="7" l="1"/>
  <c r="M4201" i="7"/>
  <c r="E4508" i="7" l="1"/>
  <c r="E4187" i="7"/>
  <c r="E4188" i="7"/>
  <c r="E4186" i="7"/>
  <c r="E4134" i="7"/>
  <c r="E4132" i="7"/>
  <c r="E4133" i="7"/>
  <c r="M4187" i="7"/>
  <c r="M4188" i="7"/>
  <c r="M4133" i="7"/>
  <c r="M4134" i="7"/>
  <c r="M4186" i="7"/>
  <c r="M4132" i="7"/>
  <c r="N4133" i="7" l="1"/>
  <c r="N4132" i="7"/>
  <c r="N4134" i="7"/>
  <c r="E4509" i="7"/>
  <c r="M4509" i="7"/>
  <c r="E4649" i="7" l="1"/>
  <c r="E4650" i="7"/>
  <c r="M4649" i="7"/>
  <c r="M4650" i="7"/>
  <c r="N4650" i="7" l="1"/>
  <c r="N4649" i="7"/>
  <c r="E4352" i="7"/>
  <c r="E4351" i="7"/>
  <c r="E205" i="7"/>
  <c r="E204" i="7"/>
  <c r="M4352" i="7"/>
  <c r="M4351" i="7"/>
  <c r="N4351" i="7" l="1"/>
  <c r="N4352" i="7"/>
  <c r="N1" i="7"/>
  <c r="AM6" i="11" l="1"/>
  <c r="AO6" i="11" l="1"/>
  <c r="AN6" i="11"/>
  <c r="O321" i="7" l="1"/>
  <c r="E4158" i="7" l="1"/>
  <c r="M4158" i="7"/>
  <c r="E221" i="7" l="1"/>
  <c r="E223" i="7"/>
  <c r="E225" i="7"/>
  <c r="E226" i="7"/>
  <c r="E227" i="7"/>
  <c r="E228" i="7"/>
  <c r="E229" i="7"/>
  <c r="E231" i="7"/>
  <c r="E233" i="7"/>
  <c r="M231" i="7"/>
  <c r="M227" i="7"/>
  <c r="M225" i="7"/>
  <c r="M228" i="7"/>
  <c r="M226" i="7"/>
  <c r="M223" i="7"/>
  <c r="M229" i="7"/>
  <c r="M221" i="7"/>
  <c r="E219" i="7" l="1"/>
  <c r="L3" i="7"/>
  <c r="N3" i="7" s="1"/>
  <c r="E4646" i="7"/>
  <c r="E4331" i="7"/>
  <c r="E4265" i="7"/>
  <c r="E4255" i="7"/>
  <c r="E4221" i="7"/>
  <c r="E4217" i="7"/>
  <c r="E4127" i="7"/>
  <c r="E4115" i="7"/>
  <c r="E56" i="7"/>
  <c r="E4147" i="7"/>
  <c r="E203" i="7"/>
  <c r="E4312" i="7"/>
  <c r="E4113" i="7"/>
  <c r="E4079" i="7"/>
  <c r="E4341" i="7"/>
  <c r="E4298" i="7"/>
  <c r="E4599" i="7"/>
  <c r="E4294" i="7"/>
  <c r="E4269" i="7"/>
  <c r="E4223" i="7"/>
  <c r="E18" i="7"/>
  <c r="E4114" i="7"/>
  <c r="E4077" i="7"/>
  <c r="E4182" i="7"/>
  <c r="E4166" i="7"/>
  <c r="E4146" i="7"/>
  <c r="E4121" i="7"/>
  <c r="E4155" i="7"/>
  <c r="E4131" i="7"/>
  <c r="E4630" i="7"/>
  <c r="E4300" i="7"/>
  <c r="E4259" i="7"/>
  <c r="E4215" i="7"/>
  <c r="E4126" i="7"/>
  <c r="E4329" i="7"/>
  <c r="E4318" i="7"/>
  <c r="E4251" i="7"/>
  <c r="E4249" i="7"/>
  <c r="E4245" i="7"/>
  <c r="E4237" i="7"/>
  <c r="E4333" i="7"/>
  <c r="E4405" i="7"/>
  <c r="E4149" i="7"/>
  <c r="E4123" i="7"/>
  <c r="E4081" i="7"/>
  <c r="E4033" i="7"/>
  <c r="E3360" i="7"/>
  <c r="E1842" i="7"/>
  <c r="E4117" i="7"/>
  <c r="E4109" i="7"/>
  <c r="E4107" i="7"/>
  <c r="E4106" i="7"/>
  <c r="E4103" i="7"/>
  <c r="E4080" i="7"/>
  <c r="E4591" i="7"/>
  <c r="E4328" i="7"/>
  <c r="E4304" i="7"/>
  <c r="E4225" i="7"/>
  <c r="E1610" i="7"/>
  <c r="E1334" i="7"/>
  <c r="E1656" i="7"/>
  <c r="E4302" i="7"/>
  <c r="E1380" i="7"/>
  <c r="E1124" i="7"/>
  <c r="E4108" i="7"/>
  <c r="E4096" i="7"/>
  <c r="E4095" i="7"/>
  <c r="E4093" i="7"/>
  <c r="E4082" i="7"/>
  <c r="E4320" i="7"/>
  <c r="E4241" i="7"/>
  <c r="E3709" i="7"/>
  <c r="E1072" i="7"/>
  <c r="E389" i="7"/>
  <c r="E592" i="7"/>
  <c r="E3071" i="7"/>
  <c r="E3789" i="7"/>
  <c r="E846" i="7"/>
  <c r="E4179" i="7"/>
  <c r="E4148" i="7"/>
  <c r="E4129" i="7"/>
  <c r="E4091" i="7"/>
  <c r="E4327" i="7"/>
  <c r="E4310" i="7"/>
  <c r="E4290" i="7"/>
  <c r="E724" i="7"/>
  <c r="E4183" i="7"/>
  <c r="E4120" i="7"/>
  <c r="E4112" i="7"/>
  <c r="E4316" i="7"/>
  <c r="E4213" i="7"/>
  <c r="E1176" i="7"/>
  <c r="E1020" i="7"/>
  <c r="E1784" i="7"/>
  <c r="E904" i="7"/>
  <c r="E4231" i="7"/>
  <c r="E4543" i="7"/>
  <c r="E4162" i="7"/>
  <c r="E4152" i="7"/>
  <c r="E4151" i="7"/>
  <c r="E4128" i="7"/>
  <c r="E4122" i="7"/>
  <c r="E4116" i="7"/>
  <c r="E4110" i="7"/>
  <c r="E4102" i="7"/>
  <c r="E4100" i="7"/>
  <c r="E4092" i="7"/>
  <c r="E4086" i="7"/>
  <c r="E4083" i="7"/>
  <c r="E4335" i="7"/>
  <c r="E4334" i="7"/>
  <c r="E4325" i="7"/>
  <c r="E4324" i="7"/>
  <c r="E4296" i="7"/>
  <c r="E4280" i="7"/>
  <c r="E4276" i="7"/>
  <c r="E4263" i="7"/>
  <c r="E4261" i="7"/>
  <c r="E4253" i="7"/>
  <c r="E4247" i="7"/>
  <c r="E4111" i="7"/>
  <c r="E4099" i="7"/>
  <c r="E4336" i="7"/>
  <c r="E4267" i="7"/>
  <c r="E4156" i="7"/>
  <c r="E4153" i="7"/>
  <c r="E4119" i="7"/>
  <c r="E4089" i="7"/>
  <c r="E4087" i="7"/>
  <c r="E4085" i="7"/>
  <c r="E4339" i="7"/>
  <c r="E4337" i="7"/>
  <c r="E4326" i="7"/>
  <c r="E4323" i="7"/>
  <c r="E4322" i="7"/>
  <c r="E4308" i="7"/>
  <c r="E4273" i="7"/>
  <c r="E4257" i="7"/>
  <c r="E4118" i="7"/>
  <c r="E4101" i="7"/>
  <c r="E4097" i="7"/>
  <c r="E4094" i="7"/>
  <c r="E4088" i="7"/>
  <c r="E4084" i="7"/>
  <c r="E4589" i="7"/>
  <c r="E4314" i="7"/>
  <c r="E4243" i="7"/>
  <c r="E35" i="7"/>
  <c r="E23" i="7"/>
  <c r="E4472" i="7"/>
  <c r="E4150" i="7"/>
  <c r="E4098" i="7"/>
  <c r="E4078" i="7"/>
  <c r="E4076" i="7"/>
  <c r="E4643" i="7"/>
  <c r="E4597" i="7"/>
  <c r="E4292" i="7"/>
  <c r="E4288" i="7"/>
  <c r="E4229" i="7"/>
  <c r="E4211" i="7"/>
  <c r="E4167" i="7"/>
  <c r="E4163" i="7"/>
  <c r="E4160" i="7"/>
  <c r="E4130" i="7"/>
  <c r="E4031" i="7"/>
  <c r="E4632" i="7"/>
  <c r="E4330" i="7"/>
  <c r="E4282" i="7"/>
  <c r="E4227" i="7"/>
  <c r="E4219" i="7"/>
  <c r="E4209" i="7"/>
  <c r="E4154" i="7"/>
  <c r="E4125" i="7"/>
  <c r="E4124" i="7"/>
  <c r="E4105" i="7"/>
  <c r="E4104" i="7"/>
  <c r="E4090" i="7"/>
  <c r="E4062" i="7"/>
  <c r="E4026" i="7"/>
  <c r="E4605" i="7"/>
  <c r="E4343" i="7"/>
  <c r="E4332" i="7"/>
  <c r="E4306" i="7"/>
  <c r="E4286" i="7"/>
  <c r="E4174" i="7"/>
  <c r="E4647" i="7"/>
  <c r="E4640" i="7"/>
  <c r="E4607" i="7"/>
  <c r="E4284" i="7"/>
  <c r="E4278" i="7"/>
  <c r="E4171" i="7"/>
  <c r="E4164" i="7"/>
  <c r="E4168" i="7"/>
  <c r="E4165" i="7"/>
  <c r="E4159" i="7"/>
  <c r="E4175" i="7"/>
  <c r="E4161" i="7"/>
  <c r="E4157" i="7"/>
  <c r="E232" i="7"/>
  <c r="E230" i="7"/>
  <c r="E222" i="7"/>
  <c r="E218" i="7"/>
  <c r="E224" i="7"/>
  <c r="E220" i="7"/>
  <c r="E248" i="7"/>
  <c r="E4365" i="7"/>
  <c r="E3058" i="7"/>
  <c r="E4421" i="7"/>
  <c r="E4444" i="7"/>
  <c r="E4866" i="7"/>
  <c r="E4600" i="7"/>
  <c r="E202" i="7"/>
  <c r="E4185" i="7"/>
  <c r="E4177" i="7"/>
  <c r="E4169" i="7"/>
  <c r="E4178" i="7"/>
  <c r="E4170" i="7"/>
  <c r="E4184" i="7"/>
  <c r="E4176" i="7"/>
  <c r="E4072" i="7"/>
  <c r="E4068" i="7"/>
  <c r="E4064" i="7"/>
  <c r="E4061" i="7"/>
  <c r="E4032" i="7"/>
  <c r="E4181" i="7"/>
  <c r="E4180" i="7"/>
  <c r="E4173" i="7"/>
  <c r="E4172" i="7"/>
  <c r="E4074" i="7"/>
  <c r="E4070" i="7"/>
  <c r="E4066" i="7"/>
  <c r="E4042" i="7"/>
  <c r="E4075" i="7"/>
  <c r="E4073" i="7"/>
  <c r="E4071" i="7"/>
  <c r="E4069" i="7"/>
  <c r="E4067" i="7"/>
  <c r="E4065" i="7"/>
  <c r="E4063" i="7"/>
  <c r="E4054" i="7"/>
  <c r="E4053" i="7"/>
  <c r="E4034" i="7"/>
  <c r="E4345" i="7"/>
  <c r="E4058" i="7"/>
  <c r="E4057" i="7"/>
  <c r="E4046" i="7"/>
  <c r="E4648" i="7"/>
  <c r="E4638" i="7"/>
  <c r="E4050" i="7"/>
  <c r="E4049" i="7"/>
  <c r="E4038" i="7"/>
  <c r="E4060" i="7"/>
  <c r="E4056" i="7"/>
  <c r="E4052" i="7"/>
  <c r="E4048" i="7"/>
  <c r="E4044" i="7"/>
  <c r="E4040" i="7"/>
  <c r="E4036" i="7"/>
  <c r="E4028" i="7"/>
  <c r="E4027" i="7"/>
  <c r="E4644" i="7"/>
  <c r="E4347" i="7"/>
  <c r="E4059" i="7"/>
  <c r="E4055" i="7"/>
  <c r="E4051" i="7"/>
  <c r="E4047" i="7"/>
  <c r="E4043" i="7"/>
  <c r="E4039" i="7"/>
  <c r="E4035" i="7"/>
  <c r="E4030" i="7"/>
  <c r="E4029" i="7"/>
  <c r="E4645" i="7"/>
  <c r="E4637" i="7"/>
  <c r="E4621" i="7"/>
  <c r="E4617" i="7"/>
  <c r="E4613" i="7"/>
  <c r="E4592" i="7"/>
  <c r="E4045" i="7"/>
  <c r="E4041" i="7"/>
  <c r="E4037" i="7"/>
  <c r="E4629" i="7"/>
  <c r="E4608" i="7"/>
  <c r="E4642" i="7"/>
  <c r="E4641" i="7"/>
  <c r="E4634" i="7"/>
  <c r="E4633" i="7"/>
  <c r="E4626" i="7"/>
  <c r="E4625" i="7"/>
  <c r="E4623" i="7"/>
  <c r="E4619" i="7"/>
  <c r="E4615" i="7"/>
  <c r="E4611" i="7"/>
  <c r="E4604" i="7"/>
  <c r="E4603" i="7"/>
  <c r="E4596" i="7"/>
  <c r="E4595" i="7"/>
  <c r="E4588" i="7"/>
  <c r="E4350" i="7"/>
  <c r="E4262" i="7"/>
  <c r="E4636" i="7"/>
  <c r="E4635" i="7"/>
  <c r="E4628" i="7"/>
  <c r="E4627" i="7"/>
  <c r="E4622" i="7"/>
  <c r="E4618" i="7"/>
  <c r="E4614" i="7"/>
  <c r="E4606" i="7"/>
  <c r="E4598" i="7"/>
  <c r="E4590" i="7"/>
  <c r="E4342" i="7"/>
  <c r="E4639" i="7"/>
  <c r="E4631" i="7"/>
  <c r="E4624" i="7"/>
  <c r="E4620" i="7"/>
  <c r="E4616" i="7"/>
  <c r="E4612" i="7"/>
  <c r="E4610" i="7"/>
  <c r="E4609" i="7"/>
  <c r="E4602" i="7"/>
  <c r="E4601" i="7"/>
  <c r="E4594" i="7"/>
  <c r="E4593" i="7"/>
  <c r="E4349" i="7"/>
  <c r="E4348" i="7"/>
  <c r="E4346" i="7"/>
  <c r="E4338" i="7"/>
  <c r="E4246" i="7"/>
  <c r="E4224" i="7"/>
  <c r="E4344" i="7"/>
  <c r="E4270" i="7"/>
  <c r="E4340" i="7"/>
  <c r="E4254" i="7"/>
  <c r="E4222" i="7"/>
  <c r="E4208" i="7"/>
  <c r="E4266" i="7"/>
  <c r="E4258" i="7"/>
  <c r="E4250" i="7"/>
  <c r="E4242" i="7"/>
  <c r="E4230" i="7"/>
  <c r="E4216" i="7"/>
  <c r="E4214" i="7"/>
  <c r="E4321" i="7"/>
  <c r="E4264" i="7"/>
  <c r="E4256" i="7"/>
  <c r="E4248" i="7"/>
  <c r="E4240" i="7"/>
  <c r="E4319" i="7"/>
  <c r="E4317" i="7"/>
  <c r="E4315" i="7"/>
  <c r="E4313" i="7"/>
  <c r="E4311" i="7"/>
  <c r="E4309" i="7"/>
  <c r="E4307" i="7"/>
  <c r="E4305" i="7"/>
  <c r="E4303" i="7"/>
  <c r="E4301" i="7"/>
  <c r="E4299" i="7"/>
  <c r="E4297" i="7"/>
  <c r="E4295" i="7"/>
  <c r="E4293" i="7"/>
  <c r="E4291" i="7"/>
  <c r="E4289" i="7"/>
  <c r="E4287" i="7"/>
  <c r="E4285" i="7"/>
  <c r="E4283" i="7"/>
  <c r="E4281" i="7"/>
  <c r="E4279" i="7"/>
  <c r="E4277" i="7"/>
  <c r="E4275" i="7"/>
  <c r="E4268" i="7"/>
  <c r="E4260" i="7"/>
  <c r="E4252" i="7"/>
  <c r="E4244" i="7"/>
  <c r="E4235" i="7"/>
  <c r="E4271" i="7"/>
  <c r="E4234" i="7"/>
  <c r="E4233" i="7"/>
  <c r="E4228" i="7"/>
  <c r="E4220" i="7"/>
  <c r="E4212" i="7"/>
  <c r="E4274" i="7"/>
  <c r="E4272" i="7"/>
  <c r="E4236" i="7"/>
  <c r="E4226" i="7"/>
  <c r="E4218" i="7"/>
  <c r="E4210" i="7"/>
  <c r="E4239" i="7"/>
  <c r="E4238" i="7"/>
  <c r="E4232" i="7"/>
  <c r="E44" i="7"/>
  <c r="E36" i="7"/>
  <c r="E32" i="7"/>
  <c r="E24" i="7"/>
  <c r="E65" i="7"/>
  <c r="E57" i="7"/>
  <c r="E53" i="7"/>
  <c r="E45" i="7"/>
  <c r="E63" i="7"/>
  <c r="E48" i="7"/>
  <c r="E40" i="7"/>
  <c r="E192" i="7"/>
  <c r="E190" i="7"/>
  <c r="E188" i="7"/>
  <c r="E186" i="7"/>
  <c r="E184" i="7"/>
  <c r="E182" i="7"/>
  <c r="E180" i="7"/>
  <c r="E178" i="7"/>
  <c r="E176" i="7"/>
  <c r="E118" i="7"/>
  <c r="E116" i="7"/>
  <c r="E112" i="7"/>
  <c r="E110" i="7"/>
  <c r="E108" i="7"/>
  <c r="E106" i="7"/>
  <c r="E104" i="7"/>
  <c r="E102" i="7"/>
  <c r="E100" i="7"/>
  <c r="E98" i="7"/>
  <c r="E96" i="7"/>
  <c r="E94" i="7"/>
  <c r="E92" i="7"/>
  <c r="E90" i="7"/>
  <c r="E86" i="7"/>
  <c r="E84" i="7"/>
  <c r="E64" i="7"/>
  <c r="E60" i="7"/>
  <c r="E41" i="7"/>
  <c r="E37" i="7"/>
  <c r="E29" i="7"/>
  <c r="E25" i="7"/>
  <c r="E51" i="7"/>
  <c r="E39" i="7"/>
  <c r="E27" i="7"/>
  <c r="E67" i="7"/>
  <c r="E55" i="7"/>
  <c r="E43" i="7"/>
  <c r="E61" i="7"/>
  <c r="E59" i="7"/>
  <c r="E52" i="7"/>
  <c r="E49" i="7"/>
  <c r="E47" i="7"/>
  <c r="E33" i="7"/>
  <c r="E31" i="7"/>
  <c r="E28" i="7"/>
  <c r="E21" i="7"/>
  <c r="E194" i="7"/>
  <c r="E173" i="7"/>
  <c r="E171" i="7"/>
  <c r="E169" i="7"/>
  <c r="E167" i="7"/>
  <c r="E165" i="7"/>
  <c r="E163" i="7"/>
  <c r="E161" i="7"/>
  <c r="E135" i="7"/>
  <c r="E133" i="7"/>
  <c r="E131" i="7"/>
  <c r="E129" i="7"/>
  <c r="E127" i="7"/>
  <c r="E81" i="7"/>
  <c r="E69" i="7"/>
  <c r="E66" i="7"/>
  <c r="E62" i="7"/>
  <c r="E58" i="7"/>
  <c r="E54" i="7"/>
  <c r="E50" i="7"/>
  <c r="E46" i="7"/>
  <c r="E42" i="7"/>
  <c r="E38" i="7"/>
  <c r="E34" i="7"/>
  <c r="E30" i="7"/>
  <c r="E26" i="7"/>
  <c r="E22" i="7"/>
  <c r="E200" i="7"/>
  <c r="E197" i="7"/>
  <c r="E196" i="7"/>
  <c r="E189" i="7"/>
  <c r="E174" i="7"/>
  <c r="E159" i="7"/>
  <c r="E157" i="7"/>
  <c r="E155" i="7"/>
  <c r="E153" i="7"/>
  <c r="E151" i="7"/>
  <c r="E149" i="7"/>
  <c r="E147" i="7"/>
  <c r="E145" i="7"/>
  <c r="E143" i="7"/>
  <c r="E141" i="7"/>
  <c r="E139" i="7"/>
  <c r="E137" i="7"/>
  <c r="E125" i="7"/>
  <c r="E123" i="7"/>
  <c r="E121" i="7"/>
  <c r="E119" i="7"/>
  <c r="E115" i="7"/>
  <c r="E113" i="7"/>
  <c r="E111" i="7"/>
  <c r="E109" i="7"/>
  <c r="E107" i="7"/>
  <c r="E105" i="7"/>
  <c r="E103" i="7"/>
  <c r="E101" i="7"/>
  <c r="E99" i="7"/>
  <c r="E97" i="7"/>
  <c r="E95" i="7"/>
  <c r="E93" i="7"/>
  <c r="E91" i="7"/>
  <c r="E89" i="7"/>
  <c r="E87" i="7"/>
  <c r="E85" i="7"/>
  <c r="E83" i="7"/>
  <c r="E82" i="7"/>
  <c r="E80" i="7"/>
  <c r="E79" i="7"/>
  <c r="E78" i="7"/>
  <c r="E77" i="7"/>
  <c r="E76" i="7"/>
  <c r="E75" i="7"/>
  <c r="E74" i="7"/>
  <c r="E73" i="7"/>
  <c r="E72" i="7"/>
  <c r="E71" i="7"/>
  <c r="E70" i="7"/>
  <c r="E68" i="7"/>
  <c r="E201" i="7"/>
  <c r="E199" i="7"/>
  <c r="E198" i="7"/>
  <c r="E187" i="7"/>
  <c r="E185" i="7"/>
  <c r="E183" i="7"/>
  <c r="E181" i="7"/>
  <c r="E179" i="7"/>
  <c r="E177" i="7"/>
  <c r="E175" i="7"/>
  <c r="E172" i="7"/>
  <c r="E170" i="7"/>
  <c r="E168" i="7"/>
  <c r="E166" i="7"/>
  <c r="E164" i="7"/>
  <c r="E162" i="7"/>
  <c r="E160" i="7"/>
  <c r="E158" i="7"/>
  <c r="E156" i="7"/>
  <c r="E154" i="7"/>
  <c r="E152" i="7"/>
  <c r="E150" i="7"/>
  <c r="E148" i="7"/>
  <c r="E146" i="7"/>
  <c r="E144" i="7"/>
  <c r="E142" i="7"/>
  <c r="E140" i="7"/>
  <c r="E138" i="7"/>
  <c r="E136" i="7"/>
  <c r="E134" i="7"/>
  <c r="E132" i="7"/>
  <c r="E130" i="7"/>
  <c r="E128" i="7"/>
  <c r="E126" i="7"/>
  <c r="E124" i="7"/>
  <c r="E122" i="7"/>
  <c r="E120" i="7"/>
  <c r="E117" i="7"/>
  <c r="E114" i="7"/>
  <c r="E88" i="7"/>
  <c r="E195" i="7"/>
  <c r="E193" i="7"/>
  <c r="E191" i="7"/>
  <c r="E3" i="7" l="1"/>
  <c r="E321" i="7" l="1"/>
  <c r="E3170" i="7"/>
  <c r="E4507" i="7"/>
  <c r="E3868" i="7"/>
  <c r="E3265" i="7"/>
  <c r="E3455" i="7"/>
  <c r="E1900" i="7"/>
  <c r="E3947" i="7"/>
  <c r="E1230" i="7"/>
  <c r="E1282" i="7"/>
  <c r="E1564" i="7"/>
  <c r="E658" i="7"/>
  <c r="E1518" i="7"/>
  <c r="E1720" i="7"/>
  <c r="E3075" i="7"/>
  <c r="E788" i="7"/>
  <c r="E453" i="7"/>
  <c r="E3629" i="7"/>
  <c r="E962" i="7"/>
  <c r="E3549" i="7"/>
  <c r="E1426" i="7"/>
  <c r="E4667" i="7"/>
  <c r="E1472" i="7"/>
  <c r="E322" i="7" l="1"/>
  <c r="E3059" i="7"/>
  <c r="E3072" i="7"/>
  <c r="E4473" i="7"/>
  <c r="E4445" i="7"/>
  <c r="E4422" i="7"/>
  <c r="E4406" i="7"/>
  <c r="E4" i="7"/>
  <c r="E1427" i="7"/>
  <c r="E3076" i="7"/>
  <c r="E4366" i="7"/>
  <c r="E4867" i="7"/>
  <c r="E1565" i="7"/>
  <c r="E249" i="7"/>
  <c r="E3361" i="7"/>
  <c r="E390" i="7"/>
  <c r="E1021" i="7"/>
  <c r="E725" i="7"/>
  <c r="E3710" i="7"/>
  <c r="E963" i="7"/>
  <c r="E789" i="7"/>
  <c r="E1519" i="7"/>
  <c r="E1381" i="7"/>
  <c r="E905" i="7"/>
  <c r="E1843" i="7"/>
  <c r="E1177" i="7"/>
  <c r="E1611" i="7"/>
  <c r="E1721" i="7"/>
  <c r="E3790" i="7"/>
  <c r="E1335" i="7"/>
  <c r="E1473" i="7"/>
  <c r="E1657" i="7"/>
  <c r="E847" i="7"/>
  <c r="E1785" i="7"/>
  <c r="E1125" i="7"/>
  <c r="E593" i="7"/>
  <c r="E1073" i="7"/>
  <c r="F2" i="9"/>
  <c r="F3" i="9"/>
  <c r="O46" i="11" l="1"/>
  <c r="R46" i="11"/>
  <c r="E4407" i="7"/>
  <c r="E4668" i="7"/>
  <c r="E454" i="7"/>
  <c r="E4707" i="7"/>
  <c r="E3060" i="7"/>
  <c r="E4868" i="7"/>
  <c r="E3630" i="7"/>
  <c r="E3550" i="7"/>
  <c r="E3266" i="7"/>
  <c r="E3948" i="7"/>
  <c r="E1283" i="7"/>
  <c r="E1901" i="7"/>
  <c r="E3171" i="7"/>
  <c r="E3869" i="7"/>
  <c r="E659" i="7"/>
  <c r="E3456" i="7"/>
  <c r="E1231" i="7"/>
  <c r="M4123" i="7"/>
  <c r="M1785" i="7"/>
  <c r="M4338" i="7"/>
  <c r="M4616" i="7"/>
  <c r="M4235" i="7"/>
  <c r="M4290" i="7"/>
  <c r="M4300" i="7"/>
  <c r="M1124" i="7"/>
  <c r="M4335" i="7"/>
  <c r="M4215" i="7"/>
  <c r="M4181" i="7"/>
  <c r="M1656" i="7"/>
  <c r="M4619" i="7"/>
  <c r="M4030" i="7"/>
  <c r="M4246" i="7"/>
  <c r="M4147" i="7"/>
  <c r="M4227" i="7"/>
  <c r="M4236" i="7"/>
  <c r="M4256" i="7"/>
  <c r="M4301" i="7"/>
  <c r="M4595" i="7"/>
  <c r="M4257" i="7"/>
  <c r="M4051" i="7"/>
  <c r="M4166" i="7"/>
  <c r="M4590" i="7"/>
  <c r="M4638" i="7"/>
  <c r="M4626" i="7"/>
  <c r="M4040" i="7"/>
  <c r="M3790" i="7"/>
  <c r="M4406" i="7"/>
  <c r="M4250" i="7"/>
  <c r="M4280" i="7"/>
  <c r="M249" i="7"/>
  <c r="M4116" i="7"/>
  <c r="M390" i="7"/>
  <c r="M4293" i="7"/>
  <c r="M4640" i="7"/>
  <c r="M4248" i="7"/>
  <c r="M4240" i="7"/>
  <c r="M4165" i="7"/>
  <c r="M4258" i="7"/>
  <c r="M4243" i="7"/>
  <c r="M4228" i="7"/>
  <c r="M4347" i="7"/>
  <c r="M4320" i="7"/>
  <c r="M4636" i="7"/>
  <c r="M4326" i="7"/>
  <c r="M4130" i="7"/>
  <c r="M4037" i="7"/>
  <c r="M4272" i="7"/>
  <c r="M4050" i="7"/>
  <c r="M4299" i="7"/>
  <c r="M4297" i="7"/>
  <c r="M4052" i="7"/>
  <c r="M4329" i="7"/>
  <c r="M4644" i="7"/>
  <c r="M4282" i="7"/>
  <c r="M222" i="7"/>
  <c r="M4317" i="7"/>
  <c r="M4152" i="7"/>
  <c r="M4085" i="7"/>
  <c r="M4295" i="7"/>
  <c r="M4096" i="7"/>
  <c r="M4617" i="7"/>
  <c r="M1176" i="7"/>
  <c r="M3947" i="7"/>
  <c r="M4322" i="7"/>
  <c r="M846" i="7"/>
  <c r="M4146" i="7"/>
  <c r="M4325" i="7"/>
  <c r="M4162" i="7"/>
  <c r="M4091" i="7"/>
  <c r="M4124" i="7"/>
  <c r="M4605" i="7"/>
  <c r="M4170" i="7"/>
  <c r="M4283" i="7"/>
  <c r="M4267" i="7"/>
  <c r="M1335" i="7"/>
  <c r="M163" i="7"/>
  <c r="M1842" i="7"/>
  <c r="M3455" i="7"/>
  <c r="M4118" i="7"/>
  <c r="M4057" i="7"/>
  <c r="M4177" i="7"/>
  <c r="M4259" i="7"/>
  <c r="M4238" i="7"/>
  <c r="M4175" i="7"/>
  <c r="M4049" i="7"/>
  <c r="M4623" i="7"/>
  <c r="M4092" i="7"/>
  <c r="M1072" i="7"/>
  <c r="M4291" i="7"/>
  <c r="M4034" i="7"/>
  <c r="M153" i="7"/>
  <c r="M4222" i="7"/>
  <c r="M4098" i="7"/>
  <c r="M4645" i="7"/>
  <c r="M4593" i="7"/>
  <c r="M4101" i="7"/>
  <c r="M4341" i="7"/>
  <c r="M3265" i="7"/>
  <c r="M4120" i="7"/>
  <c r="M4260" i="7"/>
  <c r="M4078" i="7"/>
  <c r="M4179" i="7"/>
  <c r="M4365" i="7"/>
  <c r="M4318" i="7"/>
  <c r="M1021" i="7"/>
  <c r="M4231" i="7"/>
  <c r="M4422" i="7"/>
  <c r="M4342" i="7"/>
  <c r="M165" i="7"/>
  <c r="M4603" i="7"/>
  <c r="M3075" i="7"/>
  <c r="M4044" i="7"/>
  <c r="M4169" i="7"/>
  <c r="M4043" i="7"/>
  <c r="M724" i="7"/>
  <c r="M788" i="7"/>
  <c r="M4602" i="7"/>
  <c r="M4067" i="7"/>
  <c r="M4254" i="7"/>
  <c r="M4126" i="7"/>
  <c r="M4632" i="7"/>
  <c r="M4082" i="7"/>
  <c r="M4588" i="7"/>
  <c r="M4606" i="7"/>
  <c r="M4164" i="7"/>
  <c r="M4633" i="7"/>
  <c r="M4348" i="7"/>
  <c r="M4171" i="7"/>
  <c r="M4062" i="7"/>
  <c r="M4151" i="7"/>
  <c r="M219" i="7"/>
  <c r="M4109" i="7"/>
  <c r="M4117" i="7"/>
  <c r="M963" i="7"/>
  <c r="M161" i="7"/>
  <c r="M4032" i="7"/>
  <c r="M4046" i="7"/>
  <c r="M4149" i="7"/>
  <c r="M4270" i="7"/>
  <c r="M4327" i="7"/>
  <c r="M4229" i="7"/>
  <c r="M4053" i="7"/>
  <c r="M4609" i="7"/>
  <c r="M4286" i="7"/>
  <c r="M4081" i="7"/>
  <c r="M4076" i="7"/>
  <c r="M4343" i="7"/>
  <c r="M1426" i="7"/>
  <c r="M4077" i="7"/>
  <c r="M4276" i="7"/>
  <c r="M4622" i="7"/>
  <c r="M4208" i="7"/>
  <c r="M4324" i="7"/>
  <c r="M4629" i="7"/>
  <c r="M4340" i="7"/>
  <c r="M4113" i="7"/>
  <c r="M4154" i="7"/>
  <c r="M4275" i="7"/>
  <c r="M4161" i="7"/>
  <c r="M1720" i="7"/>
  <c r="M4247" i="7"/>
  <c r="M4178" i="7"/>
  <c r="M4421" i="7"/>
  <c r="M4630" i="7"/>
  <c r="M3789" i="7"/>
  <c r="M4104" i="7"/>
  <c r="M4122" i="7"/>
  <c r="M4625" i="7"/>
  <c r="M4598" i="7"/>
  <c r="M4271" i="7"/>
  <c r="M4088" i="7"/>
  <c r="M4176" i="7"/>
  <c r="M4153" i="7"/>
  <c r="M157" i="7"/>
  <c r="M4287" i="7"/>
  <c r="M4042" i="7"/>
  <c r="M4075" i="7"/>
  <c r="M4607" i="7"/>
  <c r="M4647" i="7"/>
  <c r="M4045" i="7"/>
  <c r="M4027" i="7"/>
  <c r="M4599" i="7"/>
  <c r="M4266" i="7"/>
  <c r="M1472" i="7"/>
  <c r="M4223" i="7"/>
  <c r="M4344" i="7"/>
  <c r="M3361" i="7"/>
  <c r="M155" i="7"/>
  <c r="M4444" i="7"/>
  <c r="M4148" i="7"/>
  <c r="M658" i="7"/>
  <c r="M4063" i="7"/>
  <c r="M4212" i="7"/>
  <c r="M962" i="7"/>
  <c r="M3059" i="7"/>
  <c r="M321" i="7"/>
  <c r="M1611" i="7"/>
  <c r="M4155" i="7"/>
  <c r="M4330" i="7"/>
  <c r="M4087" i="7"/>
  <c r="M4156" i="7"/>
  <c r="M4242" i="7"/>
  <c r="M230" i="7"/>
  <c r="M4070" i="7"/>
  <c r="M4121" i="7"/>
  <c r="M1843" i="7"/>
  <c r="M158" i="7"/>
  <c r="M4627" i="7"/>
  <c r="M4472" i="7"/>
  <c r="M4251" i="7"/>
  <c r="M4249" i="7"/>
  <c r="M4029" i="7"/>
  <c r="M4592" i="7"/>
  <c r="M4094" i="7"/>
  <c r="M4334" i="7"/>
  <c r="M4615" i="7"/>
  <c r="M3868" i="7"/>
  <c r="M4339" i="7"/>
  <c r="M4323" i="7"/>
  <c r="M4473" i="7"/>
  <c r="M4610" i="7"/>
  <c r="M4634" i="7"/>
  <c r="M4313" i="7"/>
  <c r="M4628" i="7"/>
  <c r="M4643" i="7"/>
  <c r="M4274" i="7"/>
  <c r="M4184" i="7"/>
  <c r="M4089" i="7"/>
  <c r="M4173" i="7"/>
  <c r="M1380" i="7"/>
  <c r="M4345" i="7"/>
  <c r="M4217" i="7"/>
  <c r="M4265" i="7"/>
  <c r="M3549" i="7"/>
  <c r="M4172" i="7"/>
  <c r="M160" i="7"/>
  <c r="M4183" i="7"/>
  <c r="M4611" i="7"/>
  <c r="M4168" i="7"/>
  <c r="M4041" i="7"/>
  <c r="M4332" i="7"/>
  <c r="M592" i="7"/>
  <c r="M4036" i="7"/>
  <c r="M4216" i="7"/>
  <c r="M4604" i="7"/>
  <c r="M4180" i="7"/>
  <c r="M4614" i="7"/>
  <c r="M4071" i="7"/>
  <c r="M4289" i="7"/>
  <c r="M4225" i="7"/>
  <c r="M3072" i="7"/>
  <c r="M905" i="7"/>
  <c r="M4621" i="7"/>
  <c r="M4106" i="7"/>
  <c r="M4224" i="7"/>
  <c r="M4058" i="7"/>
  <c r="M4048" i="7"/>
  <c r="M4097" i="7"/>
  <c r="M4405" i="7"/>
  <c r="M4245" i="7"/>
  <c r="M1610" i="7"/>
  <c r="M4624" i="7"/>
  <c r="M4160" i="7"/>
  <c r="M248" i="7"/>
  <c r="M4095" i="7"/>
  <c r="M4241" i="7"/>
  <c r="M4594" i="7"/>
  <c r="M4108" i="7"/>
  <c r="M3058" i="7"/>
  <c r="M4639" i="7"/>
  <c r="M4069" i="7"/>
  <c r="M4239" i="7"/>
  <c r="M4600" i="7"/>
  <c r="M4112" i="7"/>
  <c r="M4211" i="7"/>
  <c r="M4102" i="7"/>
  <c r="M4321" i="7"/>
  <c r="M4278" i="7"/>
  <c r="M3710" i="7"/>
  <c r="M4074" i="7"/>
  <c r="M4083" i="7"/>
  <c r="M4597" i="7"/>
  <c r="M3360" i="7"/>
  <c r="M4296" i="7"/>
  <c r="M4601" i="7"/>
  <c r="M4093" i="7"/>
  <c r="M4279" i="7"/>
  <c r="M4167" i="7"/>
  <c r="M4244" i="7"/>
  <c r="M4174" i="7"/>
  <c r="M4346" i="7"/>
  <c r="M4309" i="7"/>
  <c r="M4039" i="7"/>
  <c r="M232" i="7"/>
  <c r="M4073" i="7"/>
  <c r="M4646" i="7"/>
  <c r="M4302" i="7"/>
  <c r="M4234" i="7"/>
  <c r="M4253" i="7"/>
  <c r="M4111" i="7"/>
  <c r="M4233" i="7"/>
  <c r="M4331" i="7"/>
  <c r="M4237" i="7"/>
  <c r="M4635" i="7"/>
  <c r="M1427" i="7"/>
  <c r="M4311" i="7"/>
  <c r="M4221" i="7"/>
  <c r="M4226" i="7"/>
  <c r="M4596" i="7"/>
  <c r="M4129" i="7"/>
  <c r="M4298" i="7"/>
  <c r="M4150" i="7"/>
  <c r="M4035" i="7"/>
  <c r="M4079" i="7"/>
  <c r="M3629" i="7"/>
  <c r="M4055" i="7"/>
  <c r="M4026" i="7"/>
  <c r="M1657" i="7"/>
  <c r="M4612" i="7"/>
  <c r="M4185" i="7"/>
  <c r="M4312" i="7"/>
  <c r="M4107" i="7"/>
  <c r="M4159" i="7"/>
  <c r="M4099" i="7"/>
  <c r="M4214" i="7"/>
  <c r="M4608" i="7"/>
  <c r="M4086" i="7"/>
  <c r="M1230" i="7"/>
  <c r="M4105" i="7"/>
  <c r="M4507" i="7"/>
  <c r="M4637" i="7"/>
  <c r="M4305" i="7"/>
  <c r="M322" i="7"/>
  <c r="M4219" i="7"/>
  <c r="M4319" i="7"/>
  <c r="M4084" i="7"/>
  <c r="M1784" i="7"/>
  <c r="M1519" i="7"/>
  <c r="M4061" i="7"/>
  <c r="M4445" i="7"/>
  <c r="M4350" i="7"/>
  <c r="M4294" i="7"/>
  <c r="M4047" i="7"/>
  <c r="M4264" i="7"/>
  <c r="M4543" i="7"/>
  <c r="M3170" i="7"/>
  <c r="M4110" i="7"/>
  <c r="M4068" i="7"/>
  <c r="M4613" i="7"/>
  <c r="M4268" i="7"/>
  <c r="M4114" i="7"/>
  <c r="M4591" i="7"/>
  <c r="M4337" i="7"/>
  <c r="M4054" i="7"/>
  <c r="M389" i="7"/>
  <c r="M4209" i="7"/>
  <c r="M4261" i="7"/>
  <c r="M4316" i="7"/>
  <c r="M4307" i="7"/>
  <c r="M4303" i="7"/>
  <c r="M154" i="7"/>
  <c r="M1565" i="7"/>
  <c r="M4284" i="7"/>
  <c r="M4328" i="7"/>
  <c r="M3709" i="7"/>
  <c r="M1473" i="7"/>
  <c r="M593" i="7"/>
  <c r="M220" i="7"/>
  <c r="M4866" i="7"/>
  <c r="M4642" i="7"/>
  <c r="M1177" i="7"/>
  <c r="M4667" i="7"/>
  <c r="M4333" i="7"/>
  <c r="M4336" i="7"/>
  <c r="M4230" i="7"/>
  <c r="M156" i="7"/>
  <c r="M1125" i="7"/>
  <c r="M1334" i="7"/>
  <c r="M4131" i="7"/>
  <c r="M3076" i="7"/>
  <c r="M725" i="7"/>
  <c r="M4028" i="7"/>
  <c r="M4056" i="7"/>
  <c r="M4210" i="7"/>
  <c r="M847" i="7"/>
  <c r="M4064" i="7"/>
  <c r="M4115" i="7"/>
  <c r="M1564" i="7"/>
  <c r="M4125" i="7"/>
  <c r="M4255" i="7"/>
  <c r="M4060" i="7"/>
  <c r="M4867" i="7"/>
  <c r="M4090" i="7"/>
  <c r="M4218" i="7"/>
  <c r="M4314" i="7"/>
  <c r="M4308" i="7"/>
  <c r="M4182" i="7"/>
  <c r="M4103" i="7"/>
  <c r="M4038" i="7"/>
  <c r="M1381" i="7"/>
  <c r="M4157" i="7"/>
  <c r="M164" i="7"/>
  <c r="M1073" i="7"/>
  <c r="M4277" i="7"/>
  <c r="M4220" i="7"/>
  <c r="M4273" i="7"/>
  <c r="M4080" i="7"/>
  <c r="M4031" i="7"/>
  <c r="M4119" i="7"/>
  <c r="M4349" i="7"/>
  <c r="M218" i="7"/>
  <c r="M4066" i="7"/>
  <c r="M4620" i="7"/>
  <c r="M4315" i="7"/>
  <c r="M1282" i="7"/>
  <c r="M4310" i="7"/>
  <c r="M4232" i="7"/>
  <c r="M162" i="7"/>
  <c r="M4252" i="7"/>
  <c r="M4269" i="7"/>
  <c r="M4127" i="7"/>
  <c r="M1900" i="7"/>
  <c r="M4033" i="7"/>
  <c r="M4618" i="7"/>
  <c r="M4306" i="7"/>
  <c r="M1518" i="7"/>
  <c r="M453" i="7"/>
  <c r="M4292" i="7"/>
  <c r="M4128" i="7"/>
  <c r="M4065" i="7"/>
  <c r="M4285" i="7"/>
  <c r="M4163" i="7"/>
  <c r="M4288" i="7"/>
  <c r="M4631" i="7"/>
  <c r="M4589" i="7"/>
  <c r="M159" i="7"/>
  <c r="M224" i="7"/>
  <c r="M904" i="7"/>
  <c r="M4262" i="7"/>
  <c r="M4213" i="7"/>
  <c r="M4641" i="7"/>
  <c r="M1721" i="7"/>
  <c r="M4648" i="7"/>
  <c r="M4059" i="7"/>
  <c r="M4281" i="7"/>
  <c r="M1020" i="7"/>
  <c r="M4304" i="7"/>
  <c r="M4366" i="7"/>
  <c r="M4263" i="7"/>
  <c r="M4100" i="7"/>
  <c r="M4072" i="7"/>
  <c r="M3060" i="7"/>
  <c r="M4407" i="7"/>
  <c r="M3948" i="7"/>
  <c r="M4668" i="7"/>
  <c r="M3266" i="7"/>
  <c r="M4868" i="7"/>
  <c r="M454" i="7"/>
  <c r="M1901" i="7"/>
  <c r="M4707" i="7"/>
  <c r="M3869" i="7"/>
  <c r="M3456" i="7"/>
  <c r="M1231" i="7"/>
  <c r="M3550" i="7"/>
  <c r="M1283" i="7"/>
  <c r="M3630" i="7"/>
  <c r="M659" i="7"/>
  <c r="M3171" i="7"/>
  <c r="N4072" i="7" l="1"/>
  <c r="N4100" i="7"/>
  <c r="N4263" i="7"/>
  <c r="N4304" i="7"/>
  <c r="N4281" i="7"/>
  <c r="N4059" i="7"/>
  <c r="N4648" i="7"/>
  <c r="N4641" i="7"/>
  <c r="N4213" i="7"/>
  <c r="N4262" i="7"/>
  <c r="N159" i="7"/>
  <c r="N4589" i="7"/>
  <c r="N4631" i="7"/>
  <c r="N4288" i="7"/>
  <c r="N4285" i="7"/>
  <c r="N4065" i="7"/>
  <c r="N4128" i="7"/>
  <c r="N4292" i="7"/>
  <c r="N4306" i="7"/>
  <c r="N4618" i="7"/>
  <c r="N4033" i="7"/>
  <c r="N4127" i="7"/>
  <c r="N4269" i="7"/>
  <c r="N4252" i="7"/>
  <c r="N162" i="7"/>
  <c r="N4232" i="7"/>
  <c r="N4310" i="7"/>
  <c r="N4315" i="7"/>
  <c r="N4620" i="7"/>
  <c r="N4066" i="7"/>
  <c r="N4349" i="7"/>
  <c r="N4119" i="7"/>
  <c r="N4031" i="7"/>
  <c r="N4080" i="7"/>
  <c r="N4273" i="7"/>
  <c r="N4220" i="7"/>
  <c r="N4277" i="7"/>
  <c r="N164" i="7"/>
  <c r="N4038" i="7"/>
  <c r="N4103" i="7"/>
  <c r="N4308" i="7"/>
  <c r="N4314" i="7"/>
  <c r="N4218" i="7"/>
  <c r="N4090" i="7"/>
  <c r="N4060" i="7"/>
  <c r="N4255" i="7"/>
  <c r="N4125" i="7"/>
  <c r="N4115" i="7"/>
  <c r="N4064" i="7"/>
  <c r="N4210" i="7"/>
  <c r="N4056" i="7"/>
  <c r="N4028" i="7"/>
  <c r="N4131" i="7"/>
  <c r="N156" i="7"/>
  <c r="N4230" i="7"/>
  <c r="N4336" i="7"/>
  <c r="N4333" i="7"/>
  <c r="N4642" i="7"/>
  <c r="N4328" i="7"/>
  <c r="N4284" i="7"/>
  <c r="N154" i="7"/>
  <c r="N4303" i="7"/>
  <c r="N4307" i="7"/>
  <c r="N4316" i="7"/>
  <c r="N4261" i="7"/>
  <c r="N4209" i="7"/>
  <c r="N4054" i="7"/>
  <c r="N4337" i="7"/>
  <c r="N4591" i="7"/>
  <c r="N4114" i="7"/>
  <c r="N4268" i="7"/>
  <c r="N4613" i="7"/>
  <c r="N4068" i="7"/>
  <c r="N4110" i="7"/>
  <c r="N4264" i="7"/>
  <c r="N4047" i="7"/>
  <c r="N4294" i="7"/>
  <c r="N4350" i="7"/>
  <c r="N4061" i="7"/>
  <c r="N4084" i="7"/>
  <c r="N4319" i="7"/>
  <c r="N4219" i="7"/>
  <c r="N4305" i="7"/>
  <c r="N4637" i="7"/>
  <c r="N4105" i="7"/>
  <c r="N4086" i="7"/>
  <c r="N4608" i="7"/>
  <c r="N4214" i="7"/>
  <c r="N4099" i="7"/>
  <c r="N4107" i="7"/>
  <c r="N4312" i="7"/>
  <c r="N4612" i="7"/>
  <c r="N4026" i="7"/>
  <c r="N4055" i="7"/>
  <c r="N4079" i="7"/>
  <c r="N4035" i="7"/>
  <c r="N4298" i="7"/>
  <c r="N4129" i="7"/>
  <c r="N4596" i="7"/>
  <c r="N4226" i="7"/>
  <c r="N4221" i="7"/>
  <c r="N4311" i="7"/>
  <c r="N4635" i="7"/>
  <c r="N4237" i="7"/>
  <c r="N4331" i="7"/>
  <c r="N4233" i="7"/>
  <c r="N4111" i="7"/>
  <c r="N4253" i="7"/>
  <c r="N4234" i="7"/>
  <c r="N4302" i="7"/>
  <c r="N4646" i="7"/>
  <c r="N4073" i="7"/>
  <c r="N4039" i="7"/>
  <c r="N4309" i="7"/>
  <c r="N4346" i="7"/>
  <c r="N4244" i="7"/>
  <c r="N4279" i="7"/>
  <c r="N4093" i="7"/>
  <c r="N4601" i="7"/>
  <c r="N4296" i="7"/>
  <c r="N4597" i="7"/>
  <c r="N4083" i="7"/>
  <c r="N4074" i="7"/>
  <c r="N4278" i="7"/>
  <c r="N4321" i="7"/>
  <c r="N4102" i="7"/>
  <c r="N4211" i="7"/>
  <c r="N4112" i="7"/>
  <c r="N4600" i="7"/>
  <c r="N4239" i="7"/>
  <c r="N4069" i="7"/>
  <c r="N4639" i="7"/>
  <c r="N4108" i="7"/>
  <c r="N4594" i="7"/>
  <c r="N4241" i="7"/>
  <c r="N4095" i="7"/>
  <c r="N4624" i="7"/>
  <c r="N4245" i="7"/>
  <c r="N4097" i="7"/>
  <c r="N4048" i="7"/>
  <c r="N4058" i="7"/>
  <c r="N4224" i="7"/>
  <c r="N4106" i="7"/>
  <c r="N4621" i="7"/>
  <c r="N4225" i="7"/>
  <c r="N4289" i="7"/>
  <c r="N4071" i="7"/>
  <c r="N4614" i="7"/>
  <c r="N4604" i="7"/>
  <c r="N4216" i="7"/>
  <c r="N4036" i="7"/>
  <c r="N4332" i="7"/>
  <c r="N4041" i="7"/>
  <c r="N4611" i="7"/>
  <c r="N160" i="7"/>
  <c r="N4265" i="7"/>
  <c r="N4217" i="7"/>
  <c r="N4345" i="7"/>
  <c r="N4089" i="7"/>
  <c r="N4274" i="7"/>
  <c r="N4643" i="7"/>
  <c r="N4628" i="7"/>
  <c r="N4313" i="7"/>
  <c r="N4634" i="7"/>
  <c r="N4610" i="7"/>
  <c r="N4323" i="7"/>
  <c r="N4339" i="7"/>
  <c r="N4615" i="7"/>
  <c r="N4334" i="7"/>
  <c r="N4094" i="7"/>
  <c r="N4592" i="7"/>
  <c r="N4029" i="7"/>
  <c r="N4249" i="7"/>
  <c r="N4251" i="7"/>
  <c r="N4627" i="7"/>
  <c r="N158" i="7"/>
  <c r="N4121" i="7"/>
  <c r="N4070" i="7"/>
  <c r="N4242" i="7"/>
  <c r="N4087" i="7"/>
  <c r="N4330" i="7"/>
  <c r="N4212" i="7"/>
  <c r="N4063" i="7"/>
  <c r="N155" i="7"/>
  <c r="N4344" i="7"/>
  <c r="N4223" i="7"/>
  <c r="N4266" i="7"/>
  <c r="N4599" i="7"/>
  <c r="N4027" i="7"/>
  <c r="N4045" i="7"/>
  <c r="N4647" i="7"/>
  <c r="N4607" i="7"/>
  <c r="N4075" i="7"/>
  <c r="N4042" i="7"/>
  <c r="N4287" i="7"/>
  <c r="N157" i="7"/>
  <c r="N4088" i="7"/>
  <c r="N4271" i="7"/>
  <c r="N4598" i="7"/>
  <c r="N4625" i="7"/>
  <c r="N4122" i="7"/>
  <c r="N4104" i="7"/>
  <c r="N4630" i="7"/>
  <c r="N4247" i="7"/>
  <c r="N4275" i="7"/>
  <c r="N4113" i="7"/>
  <c r="N4340" i="7"/>
  <c r="N4629" i="7"/>
  <c r="N4324" i="7"/>
  <c r="N4208" i="7"/>
  <c r="N4622" i="7"/>
  <c r="N4276" i="7"/>
  <c r="N4077" i="7"/>
  <c r="N4343" i="7"/>
  <c r="N4076" i="7"/>
  <c r="N4081" i="7"/>
  <c r="N4286" i="7"/>
  <c r="N4609" i="7"/>
  <c r="N4053" i="7"/>
  <c r="N4229" i="7"/>
  <c r="N4327" i="7"/>
  <c r="N4270" i="7"/>
  <c r="N4046" i="7"/>
  <c r="N4032" i="7"/>
  <c r="N161" i="7"/>
  <c r="N4117" i="7"/>
  <c r="N4109" i="7"/>
  <c r="N4062" i="7"/>
  <c r="N4348" i="7"/>
  <c r="N4633" i="7"/>
  <c r="N4606" i="7"/>
  <c r="N4588" i="7"/>
  <c r="N4082" i="7"/>
  <c r="N4632" i="7"/>
  <c r="N4126" i="7"/>
  <c r="N4254" i="7"/>
  <c r="N4067" i="7"/>
  <c r="N4602" i="7"/>
  <c r="N4043" i="7"/>
  <c r="N4044" i="7"/>
  <c r="N4603" i="7"/>
  <c r="N165" i="7"/>
  <c r="N4342" i="7"/>
  <c r="N4231" i="7"/>
  <c r="N4318" i="7"/>
  <c r="N4078" i="7"/>
  <c r="N4260" i="7"/>
  <c r="N4120" i="7"/>
  <c r="N4341" i="7"/>
  <c r="N4101" i="7"/>
  <c r="N4593" i="7"/>
  <c r="N4645" i="7"/>
  <c r="N4098" i="7"/>
  <c r="N4222" i="7"/>
  <c r="N153" i="7"/>
  <c r="N4034" i="7"/>
  <c r="N4291" i="7"/>
  <c r="N4092" i="7"/>
  <c r="N4623" i="7"/>
  <c r="N4049" i="7"/>
  <c r="N4238" i="7"/>
  <c r="N4259" i="7"/>
  <c r="N4057" i="7"/>
  <c r="N4118" i="7"/>
  <c r="N163" i="7"/>
  <c r="N4267" i="7"/>
  <c r="N4283" i="7"/>
  <c r="N4605" i="7"/>
  <c r="N4124" i="7"/>
  <c r="N4091" i="7"/>
  <c r="N4325" i="7"/>
  <c r="N4322" i="7"/>
  <c r="N4617" i="7"/>
  <c r="N4096" i="7"/>
  <c r="N4295" i="7"/>
  <c r="N4085" i="7"/>
  <c r="N4317" i="7"/>
  <c r="N4282" i="7"/>
  <c r="N4644" i="7"/>
  <c r="N4329" i="7"/>
  <c r="N4052" i="7"/>
  <c r="N4297" i="7"/>
  <c r="N4299" i="7"/>
  <c r="N4050" i="7"/>
  <c r="N4272" i="7"/>
  <c r="N4037" i="7"/>
  <c r="N4130" i="7"/>
  <c r="N4326" i="7"/>
  <c r="N4636" i="7"/>
  <c r="N4320" i="7"/>
  <c r="N4347" i="7"/>
  <c r="N4228" i="7"/>
  <c r="N4243" i="7"/>
  <c r="N4258" i="7"/>
  <c r="N4240" i="7"/>
  <c r="N4248" i="7"/>
  <c r="N4640" i="7"/>
  <c r="N4293" i="7"/>
  <c r="N4116" i="7"/>
  <c r="N4280" i="7"/>
  <c r="N4250" i="7"/>
  <c r="N4040" i="7"/>
  <c r="N4626" i="7"/>
  <c r="N4638" i="7"/>
  <c r="N4590" i="7"/>
  <c r="N4051" i="7"/>
  <c r="N4257" i="7"/>
  <c r="N4595" i="7"/>
  <c r="N4301" i="7"/>
  <c r="N4256" i="7"/>
  <c r="N4236" i="7"/>
  <c r="N4227" i="7"/>
  <c r="N4246" i="7"/>
  <c r="N4030" i="7"/>
  <c r="N4619" i="7"/>
  <c r="N4215" i="7"/>
  <c r="N4335" i="7"/>
  <c r="N4300" i="7"/>
  <c r="N4290" i="7"/>
  <c r="N4235" i="7"/>
  <c r="N4616" i="7"/>
  <c r="N4338" i="7"/>
  <c r="N4123" i="7"/>
  <c r="E323" i="7"/>
  <c r="E455" i="7"/>
  <c r="E4669" i="7"/>
  <c r="E790" i="7"/>
  <c r="E391" i="7"/>
  <c r="E1612" i="7"/>
  <c r="E1074" i="7"/>
  <c r="E1566" i="7"/>
  <c r="E3791" i="7"/>
  <c r="E1022" i="7"/>
  <c r="E1786" i="7"/>
  <c r="E964" i="7"/>
  <c r="E726" i="7"/>
  <c r="E1722" i="7"/>
  <c r="E848" i="7"/>
  <c r="E3077" i="7"/>
  <c r="E4510" i="7"/>
  <c r="E1658" i="7"/>
  <c r="E1126" i="7"/>
  <c r="E1336" i="7"/>
  <c r="E594" i="7"/>
  <c r="E1178" i="7"/>
  <c r="E1520" i="7"/>
  <c r="E3073" i="7"/>
  <c r="E3061" i="7"/>
  <c r="E4446" i="7"/>
  <c r="E4423" i="7"/>
  <c r="E5" i="7"/>
  <c r="E4474" i="7"/>
  <c r="E3362" i="7"/>
  <c r="E3711" i="7"/>
  <c r="E1428" i="7"/>
  <c r="E1474" i="7"/>
  <c r="E906" i="7"/>
  <c r="E1844" i="7"/>
  <c r="E4367" i="7"/>
  <c r="E250" i="7"/>
  <c r="E1382" i="7"/>
  <c r="E19" i="7"/>
  <c r="E20" i="7"/>
  <c r="E17" i="7"/>
  <c r="M906" i="7"/>
  <c r="M3362" i="7"/>
  <c r="M3073" i="7"/>
  <c r="M1336" i="7"/>
  <c r="M1474" i="7"/>
  <c r="M1612" i="7"/>
  <c r="M3077" i="7"/>
  <c r="M1022" i="7"/>
  <c r="M3791" i="7"/>
  <c r="M594" i="7"/>
  <c r="M4474" i="7"/>
  <c r="M1566" i="7"/>
  <c r="M1520" i="7"/>
  <c r="M1178" i="7"/>
  <c r="M1658" i="7"/>
  <c r="M4446" i="7"/>
  <c r="M455" i="7"/>
  <c r="M726" i="7"/>
  <c r="M250" i="7"/>
  <c r="M4423" i="7"/>
  <c r="M3061" i="7"/>
  <c r="M1722" i="7"/>
  <c r="M1428" i="7"/>
  <c r="M790" i="7"/>
  <c r="M1382" i="7"/>
  <c r="M964" i="7"/>
  <c r="M3711" i="7"/>
  <c r="M17" i="7"/>
  <c r="M848" i="7"/>
  <c r="M323" i="7"/>
  <c r="M391" i="7"/>
  <c r="M4669" i="7"/>
  <c r="M1074" i="7"/>
  <c r="M1786" i="7"/>
  <c r="M4510" i="7"/>
  <c r="M1126" i="7"/>
  <c r="M1844" i="7"/>
  <c r="M4367" i="7"/>
  <c r="N17" i="7" l="1"/>
  <c r="E4670" i="7"/>
  <c r="M4670" i="7"/>
  <c r="E4408" i="7" l="1"/>
  <c r="E1567" i="7"/>
  <c r="E4511" i="7"/>
  <c r="E4671" i="7"/>
  <c r="E1902" i="7"/>
  <c r="E3267" i="7"/>
  <c r="E456" i="7"/>
  <c r="E4708" i="7"/>
  <c r="E3062" i="7"/>
  <c r="E3949" i="7"/>
  <c r="E3870" i="7"/>
  <c r="E660" i="7"/>
  <c r="E3631" i="7"/>
  <c r="E1232" i="7"/>
  <c r="E3172" i="7"/>
  <c r="E3457" i="7"/>
  <c r="E1284" i="7"/>
  <c r="E3551" i="7"/>
  <c r="E4869" i="7"/>
  <c r="M3267" i="7"/>
  <c r="M4671" i="7"/>
  <c r="M3631" i="7"/>
  <c r="M3062" i="7"/>
  <c r="M4869" i="7"/>
  <c r="M3949" i="7"/>
  <c r="M1902" i="7"/>
  <c r="M4708" i="7"/>
  <c r="M3457" i="7"/>
  <c r="M456" i="7"/>
  <c r="M1567" i="7"/>
  <c r="M4511" i="7"/>
  <c r="M3870" i="7"/>
  <c r="M1232" i="7"/>
  <c r="M1284" i="7"/>
  <c r="M4408" i="7"/>
  <c r="M3551" i="7"/>
  <c r="M3172" i="7"/>
  <c r="M660" i="7"/>
  <c r="E324" i="7" l="1"/>
  <c r="E4672" i="7"/>
  <c r="E3078" i="7"/>
  <c r="E727" i="7"/>
  <c r="E1723" i="7"/>
  <c r="E1787" i="7"/>
  <c r="E4512" i="7"/>
  <c r="E392" i="7"/>
  <c r="E1659" i="7"/>
  <c r="E1613" i="7"/>
  <c r="E457" i="7"/>
  <c r="E791" i="7"/>
  <c r="E965" i="7"/>
  <c r="E1179" i="7"/>
  <c r="E1075" i="7"/>
  <c r="E1023" i="7"/>
  <c r="E1429" i="7"/>
  <c r="E1845" i="7"/>
  <c r="E1521" i="7"/>
  <c r="E849" i="7"/>
  <c r="E595" i="7"/>
  <c r="E3792" i="7"/>
  <c r="E1127" i="7"/>
  <c r="E1337" i="7"/>
  <c r="E3712" i="7"/>
  <c r="E907" i="7"/>
  <c r="E1475" i="7"/>
  <c r="E3074" i="7"/>
  <c r="E3363" i="7"/>
  <c r="E4475" i="7"/>
  <c r="E4447" i="7"/>
  <c r="E3063" i="7"/>
  <c r="E4424" i="7"/>
  <c r="E6" i="7"/>
  <c r="E251" i="7"/>
  <c r="E4368" i="7"/>
  <c r="E1383" i="7"/>
  <c r="M3078" i="7"/>
  <c r="M1429" i="7"/>
  <c r="M1127" i="7"/>
  <c r="M1023" i="7"/>
  <c r="M324" i="7"/>
  <c r="M4672" i="7"/>
  <c r="M1787" i="7"/>
  <c r="M3712" i="7"/>
  <c r="M907" i="7"/>
  <c r="M4475" i="7"/>
  <c r="M1845" i="7"/>
  <c r="M4424" i="7"/>
  <c r="M791" i="7"/>
  <c r="M1075" i="7"/>
  <c r="M3792" i="7"/>
  <c r="M849" i="7"/>
  <c r="M4447" i="7"/>
  <c r="M595" i="7"/>
  <c r="M1337" i="7"/>
  <c r="M1383" i="7"/>
  <c r="M1613" i="7"/>
  <c r="M3363" i="7"/>
  <c r="M1521" i="7"/>
  <c r="M392" i="7"/>
  <c r="M1475" i="7"/>
  <c r="M457" i="7"/>
  <c r="M4512" i="7"/>
  <c r="M1179" i="7"/>
  <c r="M965" i="7"/>
  <c r="M1659" i="7"/>
  <c r="M3063" i="7"/>
  <c r="M251" i="7"/>
  <c r="M4368" i="7"/>
  <c r="M1723" i="7"/>
  <c r="M3074" i="7"/>
  <c r="M727" i="7"/>
  <c r="E4673" i="7" l="1"/>
  <c r="E4409" i="7"/>
  <c r="E1903" i="7"/>
  <c r="E4513" i="7"/>
  <c r="E1568" i="7"/>
  <c r="E1788" i="7"/>
  <c r="E458" i="7"/>
  <c r="E1846" i="7"/>
  <c r="E3268" i="7"/>
  <c r="E1285" i="7"/>
  <c r="E4870" i="7"/>
  <c r="E3871" i="7"/>
  <c r="E3632" i="7"/>
  <c r="E3064" i="7"/>
  <c r="E4709" i="7"/>
  <c r="E1233" i="7"/>
  <c r="E3950" i="7"/>
  <c r="E3458" i="7"/>
  <c r="E3552" i="7"/>
  <c r="E661" i="7"/>
  <c r="E3173" i="7"/>
  <c r="M1568" i="7"/>
  <c r="M4673" i="7"/>
  <c r="M3552" i="7"/>
  <c r="M1233" i="7"/>
  <c r="M3064" i="7"/>
  <c r="M1285" i="7"/>
  <c r="M1903" i="7"/>
  <c r="M4409" i="7"/>
  <c r="M3632" i="7"/>
  <c r="M3950" i="7"/>
  <c r="M661" i="7"/>
  <c r="M4870" i="7"/>
  <c r="M1846" i="7"/>
  <c r="M3458" i="7"/>
  <c r="M1788" i="7"/>
  <c r="M4513" i="7"/>
  <c r="M4709" i="7"/>
  <c r="M458" i="7"/>
  <c r="M3173" i="7"/>
  <c r="M3268" i="7"/>
  <c r="M3871" i="7"/>
  <c r="E4674" i="7" l="1"/>
  <c r="E325" i="7"/>
  <c r="E3079" i="7"/>
  <c r="E1724" i="7"/>
  <c r="E728" i="7"/>
  <c r="E4514" i="7"/>
  <c r="E459" i="7"/>
  <c r="E1614" i="7"/>
  <c r="E393" i="7"/>
  <c r="E1522" i="7"/>
  <c r="E7" i="7"/>
  <c r="E596" i="7"/>
  <c r="E1430" i="7"/>
  <c r="E966" i="7"/>
  <c r="E1660" i="7"/>
  <c r="E1024" i="7"/>
  <c r="E792" i="7"/>
  <c r="E1180" i="7"/>
  <c r="E850" i="7"/>
  <c r="E3793" i="7"/>
  <c r="E908" i="7"/>
  <c r="E1128" i="7"/>
  <c r="E1384" i="7"/>
  <c r="E1076" i="7"/>
  <c r="E3713" i="7"/>
  <c r="E1338" i="7"/>
  <c r="E4476" i="7"/>
  <c r="E1476" i="7"/>
  <c r="E4425" i="7"/>
  <c r="E3364" i="7"/>
  <c r="E4448" i="7"/>
  <c r="E3065" i="7"/>
  <c r="E4369" i="7"/>
  <c r="E252" i="7"/>
  <c r="E4675" i="7"/>
  <c r="M459" i="7"/>
  <c r="M850" i="7"/>
  <c r="M252" i="7"/>
  <c r="M1180" i="7"/>
  <c r="M3713" i="7"/>
  <c r="M3364" i="7"/>
  <c r="M1660" i="7"/>
  <c r="M1384" i="7"/>
  <c r="M4369" i="7"/>
  <c r="M4476" i="7"/>
  <c r="M3079" i="7"/>
  <c r="M1614" i="7"/>
  <c r="M1476" i="7"/>
  <c r="M4674" i="7"/>
  <c r="M596" i="7"/>
  <c r="M4675" i="7"/>
  <c r="M1724" i="7"/>
  <c r="M908" i="7"/>
  <c r="M393" i="7"/>
  <c r="M1430" i="7"/>
  <c r="M4425" i="7"/>
  <c r="M1024" i="7"/>
  <c r="M1128" i="7"/>
  <c r="M966" i="7"/>
  <c r="M4448" i="7"/>
  <c r="M3065" i="7"/>
  <c r="M1076" i="7"/>
  <c r="M792" i="7"/>
  <c r="M3793" i="7"/>
  <c r="M1522" i="7"/>
  <c r="M728" i="7"/>
  <c r="M1338" i="7"/>
  <c r="M4514" i="7"/>
  <c r="M325" i="7"/>
  <c r="E4515" i="7" l="1"/>
  <c r="E1286" i="7"/>
  <c r="E1569" i="7"/>
  <c r="E394" i="7"/>
  <c r="E1904" i="7"/>
  <c r="E460" i="7"/>
  <c r="E1847" i="7"/>
  <c r="E3269" i="7"/>
  <c r="E1789" i="7"/>
  <c r="E1077" i="7"/>
  <c r="E326" i="7"/>
  <c r="E1234" i="7"/>
  <c r="E3872" i="7"/>
  <c r="E597" i="7"/>
  <c r="E4871" i="7"/>
  <c r="E4477" i="7"/>
  <c r="E3633" i="7"/>
  <c r="E3080" i="7"/>
  <c r="E662" i="7"/>
  <c r="E4710" i="7"/>
  <c r="E3066" i="7"/>
  <c r="E4676" i="7"/>
  <c r="E3459" i="7"/>
  <c r="E3553" i="7"/>
  <c r="E3174" i="7"/>
  <c r="E3951" i="7"/>
  <c r="M3080" i="7"/>
  <c r="M4676" i="7"/>
  <c r="M3459" i="7"/>
  <c r="M3174" i="7"/>
  <c r="M4477" i="7"/>
  <c r="M1286" i="7"/>
  <c r="M3066" i="7"/>
  <c r="M3872" i="7"/>
  <c r="M1569" i="7"/>
  <c r="M1789" i="7"/>
  <c r="M394" i="7"/>
  <c r="M3269" i="7"/>
  <c r="M4515" i="7"/>
  <c r="M662" i="7"/>
  <c r="M3553" i="7"/>
  <c r="M4710" i="7"/>
  <c r="M1847" i="7"/>
  <c r="M1234" i="7"/>
  <c r="M326" i="7"/>
  <c r="M3633" i="7"/>
  <c r="M460" i="7"/>
  <c r="M3951" i="7"/>
  <c r="M1904" i="7"/>
  <c r="M597" i="7"/>
  <c r="M1077" i="7"/>
  <c r="M4871" i="7"/>
  <c r="E4516" i="7" l="1"/>
  <c r="E1725" i="7"/>
  <c r="E729" i="7"/>
  <c r="E1431" i="7"/>
  <c r="E461" i="7"/>
  <c r="E967" i="7"/>
  <c r="E3714" i="7"/>
  <c r="E1181" i="7"/>
  <c r="E8" i="7"/>
  <c r="E1615" i="7"/>
  <c r="E1523" i="7"/>
  <c r="E851" i="7"/>
  <c r="E1385" i="7"/>
  <c r="E909" i="7"/>
  <c r="E1025" i="7"/>
  <c r="E1661" i="7"/>
  <c r="E793" i="7"/>
  <c r="E1129" i="7"/>
  <c r="E3794" i="7"/>
  <c r="E1339" i="7"/>
  <c r="E4426" i="7"/>
  <c r="E4478" i="7"/>
  <c r="E1477" i="7"/>
  <c r="E3365" i="7"/>
  <c r="E4449" i="7"/>
  <c r="E3067" i="7"/>
  <c r="E253" i="7"/>
  <c r="E4370" i="7"/>
  <c r="E4677" i="7"/>
  <c r="M1431" i="7"/>
  <c r="M4478" i="7"/>
  <c r="M729" i="7"/>
  <c r="M1385" i="7"/>
  <c r="M253" i="7"/>
  <c r="M1129" i="7"/>
  <c r="M461" i="7"/>
  <c r="M1725" i="7"/>
  <c r="M909" i="7"/>
  <c r="M1025" i="7"/>
  <c r="M4426" i="7"/>
  <c r="M4370" i="7"/>
  <c r="M3794" i="7"/>
  <c r="M1477" i="7"/>
  <c r="M4677" i="7"/>
  <c r="M3067" i="7"/>
  <c r="M4516" i="7"/>
  <c r="M793" i="7"/>
  <c r="M1615" i="7"/>
  <c r="M3365" i="7"/>
  <c r="M851" i="7"/>
  <c r="M1181" i="7"/>
  <c r="M3714" i="7"/>
  <c r="M1661" i="7"/>
  <c r="M967" i="7"/>
  <c r="M1339" i="7"/>
  <c r="M4449" i="7"/>
  <c r="M1523" i="7"/>
  <c r="E1570" i="7" l="1"/>
  <c r="E1726" i="7"/>
  <c r="E1287" i="7"/>
  <c r="M1726" i="7"/>
  <c r="M1287" i="7"/>
  <c r="M1570" i="7"/>
  <c r="E462" i="7" l="1"/>
  <c r="E1905" i="7"/>
  <c r="E1790" i="7"/>
  <c r="E1848" i="7"/>
  <c r="E3715" i="7"/>
  <c r="E1235" i="7"/>
  <c r="E327" i="7"/>
  <c r="E3270" i="7"/>
  <c r="E3873" i="7"/>
  <c r="E4872" i="7"/>
  <c r="E1130" i="7"/>
  <c r="E395" i="7"/>
  <c r="E1078" i="7"/>
  <c r="E3634" i="7"/>
  <c r="E4517" i="7"/>
  <c r="M3634" i="7"/>
  <c r="M3715" i="7"/>
  <c r="M327" i="7"/>
  <c r="M1790" i="7"/>
  <c r="M3270" i="7"/>
  <c r="M1078" i="7"/>
  <c r="M1848" i="7"/>
  <c r="M4872" i="7"/>
  <c r="M462" i="7"/>
  <c r="M1235" i="7"/>
  <c r="M1905" i="7"/>
  <c r="M1130" i="7"/>
  <c r="M4517" i="7"/>
  <c r="M395" i="7"/>
  <c r="M3873" i="7"/>
  <c r="E910" i="7" l="1"/>
  <c r="E1727" i="7"/>
  <c r="E852" i="7"/>
  <c r="E794" i="7"/>
  <c r="E1079" i="7"/>
  <c r="E1662" i="7"/>
  <c r="E3795" i="7"/>
  <c r="E1340" i="7"/>
  <c r="E598" i="7"/>
  <c r="E730" i="7"/>
  <c r="E1616" i="7"/>
  <c r="E3554" i="7"/>
  <c r="E968" i="7"/>
  <c r="E3081" i="7"/>
  <c r="E1432" i="7"/>
  <c r="E4711" i="7"/>
  <c r="E3366" i="7"/>
  <c r="E663" i="7"/>
  <c r="E1524" i="7"/>
  <c r="E1182" i="7"/>
  <c r="E9" i="7"/>
  <c r="E4371" i="7"/>
  <c r="E3068" i="7"/>
  <c r="E1386" i="7"/>
  <c r="E4678" i="7"/>
  <c r="E3175" i="7"/>
  <c r="E3460" i="7"/>
  <c r="E3952" i="7"/>
  <c r="E396" i="7"/>
  <c r="E1026" i="7"/>
  <c r="E4518" i="7"/>
  <c r="M730" i="7"/>
  <c r="M3952" i="7"/>
  <c r="M1662" i="7"/>
  <c r="M3554" i="7"/>
  <c r="M794" i="7"/>
  <c r="M3068" i="7"/>
  <c r="M3795" i="7"/>
  <c r="M663" i="7"/>
  <c r="M3366" i="7"/>
  <c r="M396" i="7"/>
  <c r="M852" i="7"/>
  <c r="M4678" i="7"/>
  <c r="M598" i="7"/>
  <c r="M1340" i="7"/>
  <c r="M4711" i="7"/>
  <c r="M3175" i="7"/>
  <c r="M3081" i="7"/>
  <c r="M968" i="7"/>
  <c r="M1727" i="7"/>
  <c r="M1386" i="7"/>
  <c r="M4371" i="7"/>
  <c r="M1432" i="7"/>
  <c r="M910" i="7"/>
  <c r="M1079" i="7"/>
  <c r="M4518" i="7"/>
  <c r="M1524" i="7"/>
  <c r="M1616" i="7"/>
  <c r="M1182" i="7"/>
  <c r="M1026" i="7"/>
  <c r="M3460" i="7"/>
  <c r="E254" i="7" l="1"/>
  <c r="E1080" i="7"/>
  <c r="E3082" i="7"/>
  <c r="E1791" i="7"/>
  <c r="E1131" i="7"/>
  <c r="E1849" i="7"/>
  <c r="E3271" i="7"/>
  <c r="E1478" i="7"/>
  <c r="E4427" i="7"/>
  <c r="E911" i="7"/>
  <c r="E1236" i="7"/>
  <c r="E1288" i="7"/>
  <c r="E4712" i="7"/>
  <c r="E4450" i="7"/>
  <c r="E1571" i="7"/>
  <c r="E4479" i="7"/>
  <c r="E3069" i="7"/>
  <c r="E3635" i="7"/>
  <c r="E1906" i="7"/>
  <c r="E4873" i="7"/>
  <c r="E3874" i="7"/>
  <c r="E3716" i="7"/>
  <c r="E463" i="7"/>
  <c r="E328" i="7"/>
  <c r="E4679" i="7"/>
  <c r="E4519" i="7"/>
  <c r="M1080" i="7"/>
  <c r="M328" i="7"/>
  <c r="M4427" i="7"/>
  <c r="M1571" i="7"/>
  <c r="M4679" i="7"/>
  <c r="M1288" i="7"/>
  <c r="M3069" i="7"/>
  <c r="M3635" i="7"/>
  <c r="M1131" i="7"/>
  <c r="M254" i="7"/>
  <c r="M3082" i="7"/>
  <c r="M1849" i="7"/>
  <c r="M4712" i="7"/>
  <c r="M3271" i="7"/>
  <c r="M4450" i="7"/>
  <c r="M1791" i="7"/>
  <c r="M3874" i="7"/>
  <c r="M463" i="7"/>
  <c r="M3716" i="7"/>
  <c r="M911" i="7"/>
  <c r="M1236" i="7"/>
  <c r="M4479" i="7"/>
  <c r="M4873" i="7"/>
  <c r="M1478" i="7"/>
  <c r="M4519" i="7"/>
  <c r="M1906" i="7"/>
  <c r="E1728" i="7" l="1"/>
  <c r="E795" i="7"/>
  <c r="E853" i="7"/>
  <c r="E255" i="7"/>
  <c r="E1663" i="7"/>
  <c r="E1850" i="7"/>
  <c r="E3796" i="7"/>
  <c r="E1027" i="7"/>
  <c r="E1617" i="7"/>
  <c r="E1525" i="7"/>
  <c r="E969" i="7"/>
  <c r="E1341" i="7"/>
  <c r="E599" i="7"/>
  <c r="E731" i="7"/>
  <c r="E1433" i="7"/>
  <c r="E4372" i="7"/>
  <c r="E3555" i="7"/>
  <c r="E3176" i="7"/>
  <c r="E4451" i="7"/>
  <c r="E664" i="7"/>
  <c r="E3367" i="7"/>
  <c r="E1183" i="7"/>
  <c r="E3070" i="7"/>
  <c r="E10" i="7"/>
  <c r="E3461" i="7"/>
  <c r="E1387" i="7"/>
  <c r="E464" i="7"/>
  <c r="E4680" i="7"/>
  <c r="E3953" i="7"/>
  <c r="E4874" i="7"/>
  <c r="E397" i="7"/>
  <c r="E4520" i="7"/>
  <c r="M1728" i="7"/>
  <c r="M1850" i="7"/>
  <c r="M4372" i="7"/>
  <c r="M3176" i="7"/>
  <c r="M599" i="7"/>
  <c r="M853" i="7"/>
  <c r="M1341" i="7"/>
  <c r="M3367" i="7"/>
  <c r="M664" i="7"/>
  <c r="M795" i="7"/>
  <c r="M397" i="7"/>
  <c r="M4520" i="7"/>
  <c r="M4874" i="7"/>
  <c r="M1663" i="7"/>
  <c r="M4680" i="7"/>
  <c r="M1183" i="7"/>
  <c r="M255" i="7"/>
  <c r="M1525" i="7"/>
  <c r="M3953" i="7"/>
  <c r="M3070" i="7"/>
  <c r="M1387" i="7"/>
  <c r="M731" i="7"/>
  <c r="M4451" i="7"/>
  <c r="M3796" i="7"/>
  <c r="M464" i="7"/>
  <c r="M969" i="7"/>
  <c r="M1617" i="7"/>
  <c r="M3461" i="7"/>
  <c r="M1027" i="7"/>
  <c r="M3555" i="7"/>
  <c r="M1433" i="7"/>
  <c r="E1792" i="7" l="1"/>
  <c r="E3272" i="7"/>
  <c r="E1479" i="7"/>
  <c r="E1289" i="7"/>
  <c r="E1132" i="7"/>
  <c r="E3083" i="7"/>
  <c r="E465" i="7"/>
  <c r="E1237" i="7"/>
  <c r="E1729" i="7"/>
  <c r="E1081" i="7"/>
  <c r="E4428" i="7"/>
  <c r="E912" i="7"/>
  <c r="E1907" i="7"/>
  <c r="E1342" i="7"/>
  <c r="E4713" i="7"/>
  <c r="E1572" i="7"/>
  <c r="E3636" i="7"/>
  <c r="E4480" i="7"/>
  <c r="E3717" i="7"/>
  <c r="E3875" i="7"/>
  <c r="E329" i="7"/>
  <c r="E4521" i="7"/>
  <c r="M4428" i="7"/>
  <c r="M1289" i="7"/>
  <c r="M465" i="7"/>
  <c r="M1237" i="7"/>
  <c r="M4713" i="7"/>
  <c r="M3875" i="7"/>
  <c r="M1572" i="7"/>
  <c r="M1342" i="7"/>
  <c r="M329" i="7"/>
  <c r="M3083" i="7"/>
  <c r="M1792" i="7"/>
  <c r="M1132" i="7"/>
  <c r="M3717" i="7"/>
  <c r="M912" i="7"/>
  <c r="M4480" i="7"/>
  <c r="M1907" i="7"/>
  <c r="M3272" i="7"/>
  <c r="M3636" i="7"/>
  <c r="M1081" i="7"/>
  <c r="M1729" i="7"/>
  <c r="M4521" i="7"/>
  <c r="M1479" i="7"/>
  <c r="E256" i="7" l="1"/>
  <c r="M256" i="7"/>
  <c r="E796" i="7" l="1"/>
  <c r="E854" i="7"/>
  <c r="E1664" i="7"/>
  <c r="E1028" i="7"/>
  <c r="E3273" i="7"/>
  <c r="E1526" i="7"/>
  <c r="E11" i="7"/>
  <c r="E970" i="7"/>
  <c r="E1851" i="7"/>
  <c r="E1618" i="7"/>
  <c r="E1082" i="7"/>
  <c r="E4681" i="7"/>
  <c r="E3797" i="7"/>
  <c r="E3556" i="7"/>
  <c r="E732" i="7"/>
  <c r="E600" i="7"/>
  <c r="E1434" i="7"/>
  <c r="E4373" i="7"/>
  <c r="E3177" i="7"/>
  <c r="E1184" i="7"/>
  <c r="E3954" i="7"/>
  <c r="E3462" i="7"/>
  <c r="E3368" i="7"/>
  <c r="E4714" i="7"/>
  <c r="E665" i="7"/>
  <c r="E4481" i="7"/>
  <c r="E4452" i="7"/>
  <c r="E4875" i="7"/>
  <c r="E1388" i="7"/>
  <c r="E466" i="7"/>
  <c r="E398" i="7"/>
  <c r="E4522" i="7"/>
  <c r="M796" i="7"/>
  <c r="M1664" i="7"/>
  <c r="M3797" i="7"/>
  <c r="M4452" i="7"/>
  <c r="M3462" i="7"/>
  <c r="M665" i="7"/>
  <c r="M1851" i="7"/>
  <c r="M1082" i="7"/>
  <c r="M854" i="7"/>
  <c r="M1526" i="7"/>
  <c r="M1184" i="7"/>
  <c r="M466" i="7"/>
  <c r="M4714" i="7"/>
  <c r="M600" i="7"/>
  <c r="M3556" i="7"/>
  <c r="M1028" i="7"/>
  <c r="M4681" i="7"/>
  <c r="M4481" i="7"/>
  <c r="M4373" i="7"/>
  <c r="M1388" i="7"/>
  <c r="M4522" i="7"/>
  <c r="M970" i="7"/>
  <c r="M3177" i="7"/>
  <c r="M3368" i="7"/>
  <c r="M4875" i="7"/>
  <c r="M398" i="7"/>
  <c r="M1618" i="7"/>
  <c r="M3273" i="7"/>
  <c r="M732" i="7"/>
  <c r="M1434" i="7"/>
  <c r="M3954" i="7"/>
  <c r="E1290" i="7" l="1"/>
  <c r="E4682" i="7"/>
  <c r="E4429" i="7"/>
  <c r="E1793" i="7"/>
  <c r="E1480" i="7"/>
  <c r="E1238" i="7"/>
  <c r="E1730" i="7"/>
  <c r="E1133" i="7"/>
  <c r="E3084" i="7"/>
  <c r="E1908" i="7"/>
  <c r="E913" i="7"/>
  <c r="E1665" i="7"/>
  <c r="E4715" i="7"/>
  <c r="E1343" i="7"/>
  <c r="E1573" i="7"/>
  <c r="E3637" i="7"/>
  <c r="E3718" i="7"/>
  <c r="E330" i="7"/>
  <c r="E467" i="7"/>
  <c r="E3876" i="7"/>
  <c r="E257" i="7"/>
  <c r="E3178" i="7"/>
  <c r="E4523" i="7"/>
  <c r="M1343" i="7"/>
  <c r="M4682" i="7"/>
  <c r="M257" i="7"/>
  <c r="M1730" i="7"/>
  <c r="M467" i="7"/>
  <c r="M330" i="7"/>
  <c r="M4715" i="7"/>
  <c r="M1573" i="7"/>
  <c r="M913" i="7"/>
  <c r="M1290" i="7"/>
  <c r="M3084" i="7"/>
  <c r="M1133" i="7"/>
  <c r="M4429" i="7"/>
  <c r="M1908" i="7"/>
  <c r="M3637" i="7"/>
  <c r="M4523" i="7"/>
  <c r="M3876" i="7"/>
  <c r="M1480" i="7"/>
  <c r="M3718" i="7"/>
  <c r="M1793" i="7"/>
  <c r="M3178" i="7"/>
  <c r="M1665" i="7"/>
  <c r="M1238" i="7"/>
  <c r="E855" i="7" l="1"/>
  <c r="E1029" i="7"/>
  <c r="E797" i="7"/>
  <c r="E4683" i="7"/>
  <c r="E1794" i="7"/>
  <c r="E3557" i="7"/>
  <c r="E1527" i="7"/>
  <c r="E1852" i="7"/>
  <c r="E1619" i="7"/>
  <c r="E12" i="7"/>
  <c r="E1134" i="7"/>
  <c r="E971" i="7"/>
  <c r="E3274" i="7"/>
  <c r="E3463" i="7"/>
  <c r="E1435" i="7"/>
  <c r="E1083" i="7"/>
  <c r="E3955" i="7"/>
  <c r="E3798" i="7"/>
  <c r="E733" i="7"/>
  <c r="E601" i="7"/>
  <c r="E666" i="7"/>
  <c r="E4374" i="7"/>
  <c r="E1185" i="7"/>
  <c r="E3369" i="7"/>
  <c r="E4482" i="7"/>
  <c r="E4876" i="7"/>
  <c r="E4453" i="7"/>
  <c r="E1389" i="7"/>
  <c r="E468" i="7"/>
  <c r="E399" i="7"/>
  <c r="E4524" i="7"/>
  <c r="M399" i="7"/>
  <c r="M4453" i="7"/>
  <c r="M3274" i="7"/>
  <c r="M1852" i="7"/>
  <c r="M1029" i="7"/>
  <c r="M1185" i="7"/>
  <c r="M4524" i="7"/>
  <c r="M4683" i="7"/>
  <c r="M797" i="7"/>
  <c r="M3955" i="7"/>
  <c r="M1389" i="7"/>
  <c r="M1134" i="7"/>
  <c r="M468" i="7"/>
  <c r="M1794" i="7"/>
  <c r="M1527" i="7"/>
  <c r="M855" i="7"/>
  <c r="M4482" i="7"/>
  <c r="M3557" i="7"/>
  <c r="M1435" i="7"/>
  <c r="M3369" i="7"/>
  <c r="M1083" i="7"/>
  <c r="M4876" i="7"/>
  <c r="M733" i="7"/>
  <c r="M3463" i="7"/>
  <c r="M601" i="7"/>
  <c r="M3798" i="7"/>
  <c r="M666" i="7"/>
  <c r="M971" i="7"/>
  <c r="M4374" i="7"/>
  <c r="M1619" i="7"/>
  <c r="E856" i="7" l="1"/>
  <c r="E4430" i="7"/>
  <c r="E1291" i="7"/>
  <c r="E4684" i="7"/>
  <c r="E1731" i="7"/>
  <c r="E1481" i="7"/>
  <c r="E1239" i="7"/>
  <c r="E1853" i="7"/>
  <c r="E3464" i="7"/>
  <c r="E1909" i="7"/>
  <c r="E469" i="7"/>
  <c r="E3179" i="7"/>
  <c r="E1666" i="7"/>
  <c r="E331" i="7"/>
  <c r="E3085" i="7"/>
  <c r="E914" i="7"/>
  <c r="E602" i="7"/>
  <c r="E1344" i="7"/>
  <c r="E3638" i="7"/>
  <c r="E4716" i="7"/>
  <c r="E3370" i="7"/>
  <c r="E1436" i="7"/>
  <c r="E1574" i="7"/>
  <c r="E3719" i="7"/>
  <c r="E3877" i="7"/>
  <c r="E258" i="7"/>
  <c r="E4525" i="7"/>
  <c r="M1291" i="7"/>
  <c r="M1574" i="7"/>
  <c r="M1481" i="7"/>
  <c r="M1853" i="7"/>
  <c r="M914" i="7"/>
  <c r="M1239" i="7"/>
  <c r="M3370" i="7"/>
  <c r="M258" i="7"/>
  <c r="M1666" i="7"/>
  <c r="M4430" i="7"/>
  <c r="M4716" i="7"/>
  <c r="M4684" i="7"/>
  <c r="M1731" i="7"/>
  <c r="M1436" i="7"/>
  <c r="M1909" i="7"/>
  <c r="M3464" i="7"/>
  <c r="M469" i="7"/>
  <c r="M3179" i="7"/>
  <c r="M4525" i="7"/>
  <c r="M331" i="7"/>
  <c r="M602" i="7"/>
  <c r="M1344" i="7"/>
  <c r="M3719" i="7"/>
  <c r="M3638" i="7"/>
  <c r="M3085" i="7"/>
  <c r="M3877" i="7"/>
  <c r="M856" i="7"/>
  <c r="E1030" i="7" l="1"/>
  <c r="E13" i="7"/>
  <c r="E1528" i="7"/>
  <c r="E798" i="7"/>
  <c r="E3275" i="7"/>
  <c r="E3558" i="7"/>
  <c r="E1620" i="7"/>
  <c r="E1795" i="7"/>
  <c r="E1135" i="7"/>
  <c r="E972" i="7"/>
  <c r="E4877" i="7"/>
  <c r="E3799" i="7"/>
  <c r="E3956" i="7"/>
  <c r="E1186" i="7"/>
  <c r="E1084" i="7"/>
  <c r="E734" i="7"/>
  <c r="M1030" i="7"/>
  <c r="M1620" i="7"/>
  <c r="M3275" i="7"/>
  <c r="M798" i="7"/>
  <c r="M3558" i="7"/>
  <c r="M972" i="7"/>
  <c r="M1135" i="7"/>
  <c r="M1084" i="7"/>
  <c r="M4877" i="7"/>
  <c r="M734" i="7"/>
  <c r="M1528" i="7"/>
  <c r="M3956" i="7"/>
  <c r="M1186" i="7"/>
  <c r="M3799" i="7"/>
  <c r="M1795" i="7"/>
  <c r="E4431" i="7" l="1"/>
  <c r="E1240" i="7"/>
  <c r="E3180" i="7"/>
  <c r="E3086" i="7"/>
  <c r="E667" i="7"/>
  <c r="E4375" i="7"/>
  <c r="E4717" i="7"/>
  <c r="E1292" i="7"/>
  <c r="E1031" i="7"/>
  <c r="E1667" i="7"/>
  <c r="E4483" i="7"/>
  <c r="E1482" i="7"/>
  <c r="E332" i="7"/>
  <c r="E1854" i="7"/>
  <c r="E400" i="7"/>
  <c r="E4454" i="7"/>
  <c r="E14" i="7"/>
  <c r="E3465" i="7"/>
  <c r="E1390" i="7"/>
  <c r="E857" i="7"/>
  <c r="E1732" i="7"/>
  <c r="E470" i="7"/>
  <c r="E1910" i="7"/>
  <c r="E4526" i="7"/>
  <c r="M4431" i="7"/>
  <c r="M4454" i="7"/>
  <c r="M3465" i="7"/>
  <c r="M1482" i="7"/>
  <c r="M1667" i="7"/>
  <c r="M1292" i="7"/>
  <c r="M4375" i="7"/>
  <c r="M857" i="7"/>
  <c r="M1910" i="7"/>
  <c r="M667" i="7"/>
  <c r="M4526" i="7"/>
  <c r="M400" i="7"/>
  <c r="M1240" i="7"/>
  <c r="M1390" i="7"/>
  <c r="M4483" i="7"/>
  <c r="M1732" i="7"/>
  <c r="M1031" i="7"/>
  <c r="M3086" i="7"/>
  <c r="M3180" i="7"/>
  <c r="M4717" i="7"/>
  <c r="M470" i="7"/>
  <c r="M332" i="7"/>
  <c r="M1854" i="7"/>
  <c r="E1241" i="7" l="1"/>
  <c r="E799" i="7"/>
  <c r="E1621" i="7"/>
  <c r="E973" i="7"/>
  <c r="E4878" i="7"/>
  <c r="E1085" i="7"/>
  <c r="E3087" i="7"/>
  <c r="E3800" i="7"/>
  <c r="E3957" i="7"/>
  <c r="E1345" i="7"/>
  <c r="E3878" i="7"/>
  <c r="E1187" i="7"/>
  <c r="E735" i="7"/>
  <c r="E3639" i="7"/>
  <c r="E915" i="7"/>
  <c r="E603" i="7"/>
  <c r="E4484" i="7"/>
  <c r="E3559" i="7"/>
  <c r="E4718" i="7"/>
  <c r="E1668" i="7"/>
  <c r="E1529" i="7"/>
  <c r="E1136" i="7"/>
  <c r="E1796" i="7"/>
  <c r="E3371" i="7"/>
  <c r="E1437" i="7"/>
  <c r="E1575" i="7"/>
  <c r="E4455" i="7"/>
  <c r="E3720" i="7"/>
  <c r="E3276" i="7"/>
  <c r="E471" i="7"/>
  <c r="E259" i="7"/>
  <c r="E4527" i="7"/>
  <c r="M1241" i="7"/>
  <c r="M3800" i="7"/>
  <c r="M4718" i="7"/>
  <c r="M1575" i="7"/>
  <c r="M3957" i="7"/>
  <c r="M1136" i="7"/>
  <c r="M1187" i="7"/>
  <c r="M4878" i="7"/>
  <c r="M603" i="7"/>
  <c r="M4455" i="7"/>
  <c r="M3087" i="7"/>
  <c r="M735" i="7"/>
  <c r="M1437" i="7"/>
  <c r="M3878" i="7"/>
  <c r="M973" i="7"/>
  <c r="M1529" i="7"/>
  <c r="M4527" i="7"/>
  <c r="M3276" i="7"/>
  <c r="M915" i="7"/>
  <c r="M3639" i="7"/>
  <c r="M3720" i="7"/>
  <c r="M1085" i="7"/>
  <c r="M3559" i="7"/>
  <c r="M259" i="7"/>
  <c r="M1345" i="7"/>
  <c r="M471" i="7"/>
  <c r="M4484" i="7"/>
  <c r="M1668" i="7"/>
  <c r="M1621" i="7"/>
  <c r="M799" i="7"/>
  <c r="M1796" i="7"/>
  <c r="M3371" i="7"/>
  <c r="E4432" i="7" l="1"/>
  <c r="E3181" i="7"/>
  <c r="E15" i="7"/>
  <c r="E4376" i="7"/>
  <c r="E1346" i="7"/>
  <c r="E1483" i="7"/>
  <c r="E668" i="7"/>
  <c r="E472" i="7"/>
  <c r="E1391" i="7"/>
  <c r="M1391" i="7"/>
  <c r="M668" i="7"/>
  <c r="M4432" i="7"/>
  <c r="M3181" i="7"/>
  <c r="M472" i="7"/>
  <c r="M4376" i="7"/>
  <c r="M1346" i="7"/>
  <c r="M1483" i="7"/>
  <c r="E1622" i="7" l="1"/>
  <c r="E800" i="7"/>
  <c r="E974" i="7"/>
  <c r="E1086" i="7"/>
  <c r="E3958" i="7"/>
  <c r="E3801" i="7"/>
  <c r="E3088" i="7"/>
  <c r="E1293" i="7"/>
  <c r="E4485" i="7"/>
  <c r="E401" i="7"/>
  <c r="E736" i="7"/>
  <c r="E1911" i="7"/>
  <c r="E1032" i="7"/>
  <c r="E4879" i="7"/>
  <c r="E1188" i="7"/>
  <c r="E1855" i="7"/>
  <c r="E3466" i="7"/>
  <c r="E333" i="7"/>
  <c r="E858" i="7"/>
  <c r="E1733" i="7"/>
  <c r="E1242" i="7"/>
  <c r="E3879" i="7"/>
  <c r="M1188" i="7"/>
  <c r="M3466" i="7"/>
  <c r="M1911" i="7"/>
  <c r="M800" i="7"/>
  <c r="M858" i="7"/>
  <c r="M3088" i="7"/>
  <c r="M1293" i="7"/>
  <c r="M4879" i="7"/>
  <c r="M1733" i="7"/>
  <c r="M1032" i="7"/>
  <c r="M1855" i="7"/>
  <c r="M736" i="7"/>
  <c r="M1622" i="7"/>
  <c r="M974" i="7"/>
  <c r="M4485" i="7"/>
  <c r="M3958" i="7"/>
  <c r="M3801" i="7"/>
  <c r="M401" i="7"/>
  <c r="M3879" i="7"/>
  <c r="M1242" i="7"/>
  <c r="M333" i="7"/>
  <c r="M1086" i="7"/>
  <c r="E801" i="7" l="1"/>
  <c r="E975" i="7"/>
  <c r="E3959" i="7"/>
  <c r="E4377" i="7"/>
  <c r="E669" i="7"/>
  <c r="E473" i="7"/>
  <c r="E3182" i="7"/>
  <c r="E3640" i="7"/>
  <c r="E604" i="7"/>
  <c r="E1347" i="7"/>
  <c r="E916" i="7"/>
  <c r="E3560" i="7"/>
  <c r="E4719" i="7"/>
  <c r="E4528" i="7"/>
  <c r="E1484" i="7"/>
  <c r="E1576" i="7"/>
  <c r="E1530" i="7"/>
  <c r="E1669" i="7"/>
  <c r="E1392" i="7"/>
  <c r="E1137" i="7"/>
  <c r="E3277" i="7"/>
  <c r="E3372" i="7"/>
  <c r="E1797" i="7"/>
  <c r="E1438" i="7"/>
  <c r="E4456" i="7"/>
  <c r="E260" i="7"/>
  <c r="E16" i="7"/>
  <c r="E3721" i="7"/>
  <c r="M801" i="7"/>
  <c r="M1576" i="7"/>
  <c r="M1669" i="7"/>
  <c r="M3640" i="7"/>
  <c r="M1347" i="7"/>
  <c r="M3959" i="7"/>
  <c r="M3721" i="7"/>
  <c r="M916" i="7"/>
  <c r="M3277" i="7"/>
  <c r="M4377" i="7"/>
  <c r="M1530" i="7"/>
  <c r="M4719" i="7"/>
  <c r="M1797" i="7"/>
  <c r="M1392" i="7"/>
  <c r="M3182" i="7"/>
  <c r="M1484" i="7"/>
  <c r="M3372" i="7"/>
  <c r="M1137" i="7"/>
  <c r="M604" i="7"/>
  <c r="M260" i="7"/>
  <c r="M473" i="7"/>
  <c r="M975" i="7"/>
  <c r="M669" i="7"/>
  <c r="M3560" i="7"/>
  <c r="M4528" i="7"/>
  <c r="M4456" i="7"/>
  <c r="M1438" i="7"/>
  <c r="E1623" i="7" l="1"/>
  <c r="E3802" i="7"/>
  <c r="E4529" i="7"/>
  <c r="E1087" i="7"/>
  <c r="E3089" i="7"/>
  <c r="E1856" i="7"/>
  <c r="E1912" i="7"/>
  <c r="E402" i="7"/>
  <c r="E737" i="7"/>
  <c r="E1294" i="7"/>
  <c r="E1033" i="7"/>
  <c r="E4720" i="7"/>
  <c r="E605" i="7"/>
  <c r="E4880" i="7"/>
  <c r="E1189" i="7"/>
  <c r="E3467" i="7"/>
  <c r="E334" i="7"/>
  <c r="E1577" i="7"/>
  <c r="E3880" i="7"/>
  <c r="E4486" i="7"/>
  <c r="E859" i="7"/>
  <c r="E1734" i="7"/>
  <c r="E1243" i="7"/>
  <c r="E474" i="7"/>
  <c r="E3183" i="7"/>
  <c r="M1912" i="7"/>
  <c r="M1623" i="7"/>
  <c r="M3802" i="7"/>
  <c r="M1189" i="7"/>
  <c r="M334" i="7"/>
  <c r="M402" i="7"/>
  <c r="M1243" i="7"/>
  <c r="M1734" i="7"/>
  <c r="M4486" i="7"/>
  <c r="M1033" i="7"/>
  <c r="M859" i="7"/>
  <c r="M737" i="7"/>
  <c r="M1856" i="7"/>
  <c r="M3089" i="7"/>
  <c r="M1294" i="7"/>
  <c r="M3880" i="7"/>
  <c r="M4529" i="7"/>
  <c r="M4880" i="7"/>
  <c r="M3467" i="7"/>
  <c r="M605" i="7"/>
  <c r="M1577" i="7"/>
  <c r="M1087" i="7"/>
  <c r="M474" i="7"/>
  <c r="M3183" i="7"/>
  <c r="M4720" i="7"/>
  <c r="E3803" i="7" l="1"/>
  <c r="E4378" i="7"/>
  <c r="E4530" i="7"/>
  <c r="E3960" i="7"/>
  <c r="E403" i="7"/>
  <c r="E3090" i="7"/>
  <c r="E670" i="7"/>
  <c r="E976" i="7"/>
  <c r="E802" i="7"/>
  <c r="E3641" i="7"/>
  <c r="E1670" i="7"/>
  <c r="E1485" i="7"/>
  <c r="E1348" i="7"/>
  <c r="E1798" i="7"/>
  <c r="E3561" i="7"/>
  <c r="E4721" i="7"/>
  <c r="E917" i="7"/>
  <c r="E3278" i="7"/>
  <c r="E3373" i="7"/>
  <c r="E1393" i="7"/>
  <c r="E3722" i="7"/>
  <c r="E1531" i="7"/>
  <c r="E1138" i="7"/>
  <c r="E1624" i="7"/>
  <c r="E1439" i="7"/>
  <c r="E4457" i="7"/>
  <c r="E261" i="7"/>
  <c r="E475" i="7"/>
  <c r="M3803" i="7"/>
  <c r="M261" i="7"/>
  <c r="M1138" i="7"/>
  <c r="M1670" i="7"/>
  <c r="M3641" i="7"/>
  <c r="M1531" i="7"/>
  <c r="M1485" i="7"/>
  <c r="M1393" i="7"/>
  <c r="M3561" i="7"/>
  <c r="M917" i="7"/>
  <c r="M4378" i="7"/>
  <c r="M670" i="7"/>
  <c r="M1624" i="7"/>
  <c r="M802" i="7"/>
  <c r="M475" i="7"/>
  <c r="M1439" i="7"/>
  <c r="M403" i="7"/>
  <c r="M4457" i="7"/>
  <c r="M3278" i="7"/>
  <c r="M1348" i="7"/>
  <c r="M976" i="7"/>
  <c r="M3960" i="7"/>
  <c r="M1798" i="7"/>
  <c r="M3722" i="7"/>
  <c r="M4721" i="7"/>
  <c r="M3373" i="7"/>
  <c r="M3090" i="7"/>
  <c r="M4530" i="7"/>
  <c r="E4458" i="7" l="1"/>
  <c r="E3804" i="7"/>
  <c r="E4379" i="7"/>
  <c r="E1088" i="7"/>
  <c r="E4531" i="7"/>
  <c r="E671" i="7"/>
  <c r="E4881" i="7"/>
  <c r="E1857" i="7"/>
  <c r="E738" i="7"/>
  <c r="E1913" i="7"/>
  <c r="E3881" i="7"/>
  <c r="E1190" i="7"/>
  <c r="E3562" i="7"/>
  <c r="E1295" i="7"/>
  <c r="E1034" i="7"/>
  <c r="E606" i="7"/>
  <c r="E860" i="7"/>
  <c r="E3468" i="7"/>
  <c r="E335" i="7"/>
  <c r="E1578" i="7"/>
  <c r="E4487" i="7"/>
  <c r="E1735" i="7"/>
  <c r="E476" i="7"/>
  <c r="E1244" i="7"/>
  <c r="E3184" i="7"/>
  <c r="M860" i="7"/>
  <c r="M3562" i="7"/>
  <c r="M4487" i="7"/>
  <c r="M1244" i="7"/>
  <c r="M4531" i="7"/>
  <c r="M671" i="7"/>
  <c r="M606" i="7"/>
  <c r="M1913" i="7"/>
  <c r="M3468" i="7"/>
  <c r="M3184" i="7"/>
  <c r="M1190" i="7"/>
  <c r="M4379" i="7"/>
  <c r="M476" i="7"/>
  <c r="M1034" i="7"/>
  <c r="M335" i="7"/>
  <c r="M3881" i="7"/>
  <c r="M1735" i="7"/>
  <c r="M4881" i="7"/>
  <c r="M738" i="7"/>
  <c r="M1295" i="7"/>
  <c r="M3804" i="7"/>
  <c r="M4458" i="7"/>
  <c r="M1578" i="7"/>
  <c r="M1857" i="7"/>
  <c r="M1088" i="7"/>
  <c r="E977" i="7" l="1"/>
  <c r="E3805" i="7"/>
  <c r="E1089" i="7"/>
  <c r="E3961" i="7"/>
  <c r="E1349" i="7"/>
  <c r="E3091" i="7"/>
  <c r="E803" i="7"/>
  <c r="E1486" i="7"/>
  <c r="E3642" i="7"/>
  <c r="E1799" i="7"/>
  <c r="E1671" i="7"/>
  <c r="E404" i="7"/>
  <c r="E3723" i="7"/>
  <c r="E4722" i="7"/>
  <c r="E918" i="7"/>
  <c r="E3374" i="7"/>
  <c r="E1394" i="7"/>
  <c r="E3279" i="7"/>
  <c r="E1532" i="7"/>
  <c r="E1139" i="7"/>
  <c r="E1625" i="7"/>
  <c r="E1440" i="7"/>
  <c r="E262" i="7"/>
  <c r="E477" i="7"/>
  <c r="M977" i="7"/>
  <c r="M3805" i="7"/>
  <c r="M1625" i="7"/>
  <c r="M3091" i="7"/>
  <c r="M1440" i="7"/>
  <c r="M1089" i="7"/>
  <c r="M3374" i="7"/>
  <c r="M3723" i="7"/>
  <c r="M1349" i="7"/>
  <c r="M1139" i="7"/>
  <c r="M3279" i="7"/>
  <c r="M262" i="7"/>
  <c r="M1486" i="7"/>
  <c r="M1532" i="7"/>
  <c r="M803" i="7"/>
  <c r="M1799" i="7"/>
  <c r="M918" i="7"/>
  <c r="M477" i="7"/>
  <c r="M1671" i="7"/>
  <c r="M1394" i="7"/>
  <c r="M3961" i="7"/>
  <c r="M4722" i="7"/>
  <c r="M404" i="7"/>
  <c r="M3642" i="7"/>
  <c r="E4459" i="7" l="1"/>
  <c r="M4459" i="7"/>
  <c r="E978" i="7" l="1"/>
  <c r="E804" i="7"/>
  <c r="E1858" i="7"/>
  <c r="E3882" i="7"/>
  <c r="E4882" i="7"/>
  <c r="E739" i="7"/>
  <c r="E1914" i="7"/>
  <c r="E1191" i="7"/>
  <c r="E672" i="7"/>
  <c r="E1296" i="7"/>
  <c r="E3563" i="7"/>
  <c r="E478" i="7"/>
  <c r="E861" i="7"/>
  <c r="E4380" i="7"/>
  <c r="E1035" i="7"/>
  <c r="E1350" i="7"/>
  <c r="E4723" i="7"/>
  <c r="E607" i="7"/>
  <c r="E3469" i="7"/>
  <c r="E336" i="7"/>
  <c r="E1487" i="7"/>
  <c r="E1579" i="7"/>
  <c r="E3185" i="7"/>
  <c r="E4488" i="7"/>
  <c r="E1736" i="7"/>
  <c r="E1245" i="7"/>
  <c r="M4380" i="7"/>
  <c r="M478" i="7"/>
  <c r="M978" i="7"/>
  <c r="M1487" i="7"/>
  <c r="M1858" i="7"/>
  <c r="M1350" i="7"/>
  <c r="M3882" i="7"/>
  <c r="M804" i="7"/>
  <c r="M1579" i="7"/>
  <c r="M4488" i="7"/>
  <c r="M1191" i="7"/>
  <c r="M3185" i="7"/>
  <c r="M3469" i="7"/>
  <c r="M336" i="7"/>
  <c r="M1245" i="7"/>
  <c r="M672" i="7"/>
  <c r="M1296" i="7"/>
  <c r="M607" i="7"/>
  <c r="M4723" i="7"/>
  <c r="M861" i="7"/>
  <c r="M4882" i="7"/>
  <c r="M1736" i="7"/>
  <c r="M1035" i="7"/>
  <c r="M739" i="7"/>
  <c r="M3563" i="7"/>
  <c r="M1914" i="7"/>
  <c r="E4460" i="7" l="1"/>
  <c r="E3962" i="7"/>
  <c r="E3092" i="7"/>
  <c r="E1800" i="7"/>
  <c r="E1090" i="7"/>
  <c r="E4883" i="7"/>
  <c r="E405" i="7"/>
  <c r="E3643" i="7"/>
  <c r="E3724" i="7"/>
  <c r="E1672" i="7"/>
  <c r="E3806" i="7"/>
  <c r="E479" i="7"/>
  <c r="E1395" i="7"/>
  <c r="E4724" i="7"/>
  <c r="E3375" i="7"/>
  <c r="E919" i="7"/>
  <c r="E3280" i="7"/>
  <c r="E4381" i="7"/>
  <c r="E740" i="7"/>
  <c r="E1533" i="7"/>
  <c r="E1140" i="7"/>
  <c r="E1626" i="7"/>
  <c r="E1580" i="7"/>
  <c r="E1441" i="7"/>
  <c r="E263" i="7"/>
  <c r="M1395" i="7"/>
  <c r="M3375" i="7"/>
  <c r="M1800" i="7"/>
  <c r="M3962" i="7"/>
  <c r="M4724" i="7"/>
  <c r="M1580" i="7"/>
  <c r="M263" i="7"/>
  <c r="M1140" i="7"/>
  <c r="M3280" i="7"/>
  <c r="M4883" i="7"/>
  <c r="M3092" i="7"/>
  <c r="M1090" i="7"/>
  <c r="M919" i="7"/>
  <c r="M405" i="7"/>
  <c r="M3724" i="7"/>
  <c r="M1626" i="7"/>
  <c r="M740" i="7"/>
  <c r="M1672" i="7"/>
  <c r="M1533" i="7"/>
  <c r="M4460" i="7"/>
  <c r="M4381" i="7"/>
  <c r="M3806" i="7"/>
  <c r="M1441" i="7"/>
  <c r="M479" i="7"/>
  <c r="M3643" i="7"/>
  <c r="E979" i="7" l="1"/>
  <c r="E1859" i="7"/>
  <c r="E1091" i="7"/>
  <c r="E3883" i="7"/>
  <c r="E1192" i="7"/>
  <c r="E1297" i="7"/>
  <c r="E805" i="7"/>
  <c r="E3564" i="7"/>
  <c r="E1915" i="7"/>
  <c r="E862" i="7"/>
  <c r="E673" i="7"/>
  <c r="E480" i="7"/>
  <c r="E1488" i="7"/>
  <c r="M1915" i="7"/>
  <c r="M1091" i="7"/>
  <c r="M979" i="7"/>
  <c r="M480" i="7"/>
  <c r="M1297" i="7"/>
  <c r="M805" i="7"/>
  <c r="M862" i="7"/>
  <c r="M3564" i="7"/>
  <c r="M673" i="7"/>
  <c r="M1488" i="7"/>
  <c r="M3883" i="7"/>
  <c r="M1192" i="7"/>
  <c r="M1859" i="7"/>
  <c r="E1673" i="7" l="1"/>
  <c r="E3644" i="7"/>
  <c r="E3807" i="7"/>
  <c r="E1351" i="7"/>
  <c r="E1036" i="7"/>
  <c r="E406" i="7"/>
  <c r="E3470" i="7"/>
  <c r="E608" i="7"/>
  <c r="E3186" i="7"/>
  <c r="E1801" i="7"/>
  <c r="E3963" i="7"/>
  <c r="E337" i="7"/>
  <c r="E3725" i="7"/>
  <c r="E3093" i="7"/>
  <c r="E1396" i="7"/>
  <c r="E4489" i="7"/>
  <c r="E1737" i="7"/>
  <c r="E4884" i="7"/>
  <c r="E980" i="7"/>
  <c r="E1246" i="7"/>
  <c r="M1673" i="7"/>
  <c r="G4" i="9"/>
  <c r="AI48" i="11" l="1"/>
  <c r="AI49" i="11" s="1"/>
  <c r="AI46" i="11"/>
  <c r="AI47" i="11" s="1"/>
  <c r="E47" i="11"/>
  <c r="F47" i="11" s="1"/>
  <c r="P46" i="11"/>
  <c r="P47" i="11" s="1"/>
  <c r="G48" i="11"/>
  <c r="J48" i="11" s="1"/>
  <c r="O47" i="11"/>
  <c r="AR46" i="11"/>
  <c r="AR47" i="11" s="1"/>
  <c r="AO46" i="11"/>
  <c r="AP46" i="11" s="1"/>
  <c r="AW46" i="11"/>
  <c r="AX46" i="11" s="1"/>
  <c r="W47" i="11"/>
  <c r="X47" i="11" s="1"/>
  <c r="O57" i="11"/>
  <c r="P57" i="11" s="1"/>
  <c r="AJ46" i="11"/>
  <c r="AK46" i="11" s="1"/>
  <c r="Q57" i="11"/>
  <c r="R57" i="11" s="1"/>
  <c r="S46" i="11"/>
  <c r="S47" i="11" s="1"/>
  <c r="R47" i="11"/>
  <c r="AJ47" i="11"/>
  <c r="AK47" i="11" s="1"/>
  <c r="AU46" i="11"/>
  <c r="AU47" i="11" s="1"/>
  <c r="E48" i="11"/>
  <c r="F48" i="11" s="1"/>
  <c r="W46" i="11"/>
  <c r="G47" i="11"/>
  <c r="J47" i="11" s="1"/>
  <c r="W48" i="11"/>
  <c r="X48" i="11" s="1"/>
  <c r="AZ46" i="11"/>
  <c r="BA46" i="11" s="1"/>
  <c r="G46" i="11"/>
  <c r="J46" i="11" s="1"/>
  <c r="AL46" i="11"/>
  <c r="AM46" i="11" s="1"/>
  <c r="E49" i="11"/>
  <c r="F49" i="11" s="1"/>
  <c r="AT46" i="11"/>
  <c r="AT47" i="11" s="1"/>
  <c r="E46" i="11"/>
  <c r="F46" i="11" s="1"/>
  <c r="AS46" i="11"/>
  <c r="AS47" i="11" s="1"/>
  <c r="AV46" i="11"/>
  <c r="AV47" i="11" s="1"/>
  <c r="AK168" i="11"/>
  <c r="AK177" i="11"/>
  <c r="AI156" i="11" a="1"/>
  <c r="AK140" i="11"/>
  <c r="AK121" i="11"/>
  <c r="M406" i="7"/>
  <c r="AK153" i="11"/>
  <c r="AK106" i="11"/>
  <c r="AI126" i="11" a="1"/>
  <c r="AK159" i="11"/>
  <c r="AK151" i="11"/>
  <c r="AK152" i="11"/>
  <c r="AK114" i="11"/>
  <c r="AK96" i="11"/>
  <c r="AK144" i="11"/>
  <c r="AK137" i="11"/>
  <c r="AI145" i="11" a="1"/>
  <c r="AK125" i="11"/>
  <c r="AK104" i="11"/>
  <c r="AI133" i="11" a="1"/>
  <c r="AI168" i="11" a="1"/>
  <c r="AK111" i="11"/>
  <c r="AI33" i="11"/>
  <c r="AI132" i="11" a="1"/>
  <c r="AK132" i="11"/>
  <c r="AK126" i="11"/>
  <c r="M3186" i="7"/>
  <c r="AK107" i="11"/>
  <c r="AK128" i="11"/>
  <c r="M3093" i="7"/>
  <c r="AK99" i="11"/>
  <c r="AI144" i="11" a="1"/>
  <c r="AK118" i="11"/>
  <c r="AI163" i="11" a="1"/>
  <c r="AK108" i="11"/>
  <c r="AK164" i="11"/>
  <c r="AI165" i="11" a="1"/>
  <c r="AK166" i="11"/>
  <c r="AI32" i="11"/>
  <c r="AK150" i="11"/>
  <c r="M1801" i="7"/>
  <c r="AK124" i="11"/>
  <c r="M4884" i="7"/>
  <c r="AK100" i="11"/>
  <c r="AK156" i="11"/>
  <c r="AI137" i="11" a="1"/>
  <c r="M337" i="7"/>
  <c r="AK165" i="11"/>
  <c r="AK142" i="11"/>
  <c r="AI154" i="11" a="1"/>
  <c r="AI173" i="11" a="1"/>
  <c r="AI159" i="11" a="1"/>
  <c r="M3725" i="7"/>
  <c r="M3807" i="7"/>
  <c r="AK134" i="11"/>
  <c r="AK101" i="11"/>
  <c r="AI153" i="11" a="1"/>
  <c r="AI141" i="11" a="1"/>
  <c r="AI130" i="11" a="1"/>
  <c r="AK95" i="11"/>
  <c r="AK129" i="11"/>
  <c r="M1246" i="7"/>
  <c r="AK138" i="11"/>
  <c r="AI160" i="11" a="1"/>
  <c r="AK116" i="11"/>
  <c r="AK127" i="11"/>
  <c r="AK136" i="11"/>
  <c r="AI152" i="11" a="1"/>
  <c r="AK130" i="11"/>
  <c r="AI175" i="11" a="1"/>
  <c r="AI128" i="11" a="1"/>
  <c r="AK133" i="11"/>
  <c r="AK115" i="11"/>
  <c r="AI143" i="11" a="1"/>
  <c r="AK103" i="11"/>
  <c r="M3470" i="7"/>
  <c r="AI169" i="11" a="1"/>
  <c r="AI176" i="11" a="1"/>
  <c r="AK155" i="11"/>
  <c r="AI147" i="11" a="1"/>
  <c r="M1396" i="7"/>
  <c r="AK120" i="11"/>
  <c r="AI140" i="11" a="1"/>
  <c r="AI129" i="11" a="1"/>
  <c r="AK160" i="11"/>
  <c r="M608" i="7"/>
  <c r="AI162" i="11" a="1"/>
  <c r="M1351" i="7"/>
  <c r="AK105" i="11"/>
  <c r="AK173" i="11"/>
  <c r="AI171" i="11" a="1"/>
  <c r="AK143" i="11"/>
  <c r="AK147" i="11"/>
  <c r="AI158" i="11" a="1"/>
  <c r="AI161" i="11" a="1"/>
  <c r="AK123" i="11"/>
  <c r="M3644" i="7"/>
  <c r="AI127" i="11" a="1"/>
  <c r="AI149" i="11" a="1"/>
  <c r="AK162" i="11"/>
  <c r="M1737" i="7"/>
  <c r="AK139" i="11"/>
  <c r="M980" i="7"/>
  <c r="M3963" i="7"/>
  <c r="AK112" i="11"/>
  <c r="AK157" i="11"/>
  <c r="AI148" i="11" a="1"/>
  <c r="AK176" i="11"/>
  <c r="AK161" i="11"/>
  <c r="AK148" i="11"/>
  <c r="AI142" i="11" a="1"/>
  <c r="AK102" i="11"/>
  <c r="AK170" i="11"/>
  <c r="AI37" i="11"/>
  <c r="AK117" i="11"/>
  <c r="AK33" i="11"/>
  <c r="AK146" i="11"/>
  <c r="AI146" i="11" a="1"/>
  <c r="AK37" i="11"/>
  <c r="AI135" i="11" a="1"/>
  <c r="AK167" i="11"/>
  <c r="AK113" i="11"/>
  <c r="AK171" i="11"/>
  <c r="AK98" i="11"/>
  <c r="M1036" i="7"/>
  <c r="AK149" i="11"/>
  <c r="AK169" i="11"/>
  <c r="AK141" i="11"/>
  <c r="AI164" i="11" a="1"/>
  <c r="AI174" i="11" a="1"/>
  <c r="AI134" i="11" a="1"/>
  <c r="AI167" i="11" a="1"/>
  <c r="AI170" i="11" a="1"/>
  <c r="AI136" i="11" a="1"/>
  <c r="AI139" i="11" a="1"/>
  <c r="AK158" i="11"/>
  <c r="AK97" i="11"/>
  <c r="AI166" i="11" a="1"/>
  <c r="AK163" i="11"/>
  <c r="AK172" i="11"/>
  <c r="AK135" i="11"/>
  <c r="AK119" i="11"/>
  <c r="AK154" i="11"/>
  <c r="AK110" i="11"/>
  <c r="AK131" i="11"/>
  <c r="AI151" i="11" a="1"/>
  <c r="AI138" i="11" a="1"/>
  <c r="AK32" i="11"/>
  <c r="AI131" i="11" a="1"/>
  <c r="AK122" i="11"/>
  <c r="AI150" i="11" a="1"/>
  <c r="AK145" i="11"/>
  <c r="AI157" i="11" a="1"/>
  <c r="AK175" i="11"/>
  <c r="AK174" i="11"/>
  <c r="AI177" i="11" a="1"/>
  <c r="AI155" i="11" a="1"/>
  <c r="AK109" i="11"/>
  <c r="AI172" i="11" a="1"/>
  <c r="AJ32" i="11" l="1"/>
  <c r="AJ33" i="11"/>
  <c r="AJ37" i="11"/>
  <c r="AI177" i="11"/>
  <c r="AI176" i="11"/>
  <c r="AI175" i="11"/>
  <c r="AI174" i="11"/>
  <c r="AI173" i="11"/>
  <c r="AI172" i="11"/>
  <c r="AI168" i="11"/>
  <c r="AI164" i="11"/>
  <c r="AI171" i="11"/>
  <c r="AI167" i="11"/>
  <c r="AI166" i="11"/>
  <c r="AI170" i="11"/>
  <c r="AI169" i="11"/>
  <c r="AI165" i="11"/>
  <c r="AI163" i="11"/>
  <c r="AI162" i="11"/>
  <c r="AI161" i="11"/>
  <c r="AI160" i="11"/>
  <c r="AI159" i="11"/>
  <c r="AI158" i="11"/>
  <c r="AI157" i="11"/>
  <c r="AI156" i="11"/>
  <c r="AI155" i="11"/>
  <c r="AI154" i="11"/>
  <c r="AI153" i="11"/>
  <c r="AI152" i="11"/>
  <c r="AI151" i="11"/>
  <c r="AI150" i="11"/>
  <c r="AI149" i="11"/>
  <c r="AI148" i="11"/>
  <c r="AI147" i="11"/>
  <c r="AI146" i="11"/>
  <c r="AI145" i="11"/>
  <c r="AI144" i="11"/>
  <c r="AI143" i="11"/>
  <c r="AI142" i="11"/>
  <c r="AI141" i="11"/>
  <c r="AI140" i="11"/>
  <c r="AI139" i="11"/>
  <c r="AI138" i="11"/>
  <c r="AI137" i="11"/>
  <c r="AI136" i="11"/>
  <c r="AI135" i="11"/>
  <c r="AI134" i="11"/>
  <c r="AI133" i="11"/>
  <c r="AI129" i="11"/>
  <c r="AI126" i="11"/>
  <c r="AI132" i="11"/>
  <c r="AI131" i="11"/>
  <c r="AI130" i="11"/>
  <c r="AI128" i="11"/>
  <c r="AI127" i="11"/>
  <c r="AA46" i="11"/>
  <c r="X46" i="11"/>
  <c r="AI77" i="11" a="1"/>
  <c r="AI13" i="11"/>
  <c r="AO32" i="11"/>
  <c r="AK93" i="11"/>
  <c r="AI20" i="11"/>
  <c r="AK20" i="11"/>
  <c r="AK67" i="11"/>
  <c r="AK72" i="11"/>
  <c r="AI25" i="11"/>
  <c r="AI21" i="11"/>
  <c r="AI119" i="11" a="1"/>
  <c r="C145" i="11"/>
  <c r="AI113" i="11" a="1"/>
  <c r="AK82" i="11"/>
  <c r="AK85" i="11"/>
  <c r="C137" i="11"/>
  <c r="AI99" i="11" a="1"/>
  <c r="AK31" i="11"/>
  <c r="AK74" i="11"/>
  <c r="C33" i="11"/>
  <c r="C160" i="11"/>
  <c r="AI81" i="11" a="1"/>
  <c r="AK75" i="11"/>
  <c r="AK79" i="11"/>
  <c r="AI82" i="11" a="1"/>
  <c r="C129" i="11"/>
  <c r="AI103" i="11" a="1"/>
  <c r="AI68" i="11" a="1"/>
  <c r="AI83" i="11" a="1"/>
  <c r="C156" i="11"/>
  <c r="C136" i="11"/>
  <c r="AI65" i="11" a="1"/>
  <c r="AI124" i="11" a="1"/>
  <c r="AK14" i="11"/>
  <c r="AI104" i="11" a="1"/>
  <c r="AK80" i="11"/>
  <c r="AK34" i="11"/>
  <c r="C158" i="11"/>
  <c r="C134" i="11"/>
  <c r="AI125" i="11" a="1"/>
  <c r="AI92" i="11" a="1"/>
  <c r="AI28" i="11"/>
  <c r="AS33" i="11"/>
  <c r="AK78" i="11"/>
  <c r="AI109" i="11" a="1"/>
  <c r="AK73" i="11"/>
  <c r="AI78" i="11" a="1"/>
  <c r="C153" i="11"/>
  <c r="C154" i="11"/>
  <c r="AI106" i="11" a="1"/>
  <c r="AI66" i="11" a="1"/>
  <c r="C170" i="11"/>
  <c r="C127" i="11"/>
  <c r="AI59" i="11" a="1"/>
  <c r="AI116" i="11" a="1"/>
  <c r="AA33" i="11"/>
  <c r="AI96" i="11" a="1"/>
  <c r="AI69" i="11" a="1"/>
  <c r="Z204" i="14"/>
  <c r="AK68" i="11"/>
  <c r="AI62" i="11" a="1"/>
  <c r="AK66" i="11"/>
  <c r="AI67" i="11" a="1"/>
  <c r="AO33" i="11"/>
  <c r="AK83" i="11"/>
  <c r="AK84" i="11"/>
  <c r="AI114" i="11" a="1"/>
  <c r="AI73" i="11" a="1"/>
  <c r="AI74" i="11" a="1"/>
  <c r="AI79" i="11" a="1"/>
  <c r="AI98" i="11" a="1"/>
  <c r="C152" i="11"/>
  <c r="C172" i="11"/>
  <c r="AI105" i="11" a="1"/>
  <c r="AI93" i="11" a="1"/>
  <c r="C132" i="11"/>
  <c r="C173" i="11"/>
  <c r="C161" i="11"/>
  <c r="AI80" i="11" a="1"/>
  <c r="AI108" i="11" a="1"/>
  <c r="AI76" i="11" a="1"/>
  <c r="AA32" i="11"/>
  <c r="AI121" i="11" a="1"/>
  <c r="AI85" i="11" a="1"/>
  <c r="AI102" i="11" a="1"/>
  <c r="C32" i="11"/>
  <c r="C167" i="11"/>
  <c r="C165" i="11"/>
  <c r="AI123" i="11" a="1"/>
  <c r="C177" i="11"/>
  <c r="M4489" i="7"/>
  <c r="AI115" i="11" a="1"/>
  <c r="AN33" i="11"/>
  <c r="AI84" i="11" a="1"/>
  <c r="AK77" i="11"/>
  <c r="C130" i="11"/>
  <c r="C157" i="11"/>
  <c r="AI107" i="11" a="1"/>
  <c r="AI27" i="11"/>
  <c r="X32" i="11"/>
  <c r="AK60" i="11"/>
  <c r="AI120" i="11" a="1"/>
  <c r="C140" i="11"/>
  <c r="P33" i="11"/>
  <c r="AI71" i="11" a="1"/>
  <c r="AI87" i="11" a="1"/>
  <c r="AI101" i="11" a="1"/>
  <c r="C148" i="11"/>
  <c r="C146" i="11"/>
  <c r="C149" i="11"/>
  <c r="AI111" i="11" a="1"/>
  <c r="AI97" i="11" a="1"/>
  <c r="AK76" i="11"/>
  <c r="C141" i="11"/>
  <c r="C131" i="11"/>
  <c r="C169" i="11"/>
  <c r="AI112" i="11" a="1"/>
  <c r="AI70" i="11" a="1"/>
  <c r="AI64" i="11" a="1"/>
  <c r="AI63" i="11" a="1"/>
  <c r="C171" i="11"/>
  <c r="AK70" i="11"/>
  <c r="AI60" i="11" a="1"/>
  <c r="AK86" i="11"/>
  <c r="S32" i="11"/>
  <c r="F32" i="11"/>
  <c r="AK92" i="11"/>
  <c r="AK81" i="11"/>
  <c r="AK65" i="11"/>
  <c r="AI94" i="11" a="1"/>
  <c r="AI86" i="11" a="1"/>
  <c r="AI17" i="11"/>
  <c r="AI110" i="11" a="1"/>
  <c r="AI117" i="11" a="1"/>
  <c r="AK64" i="11"/>
  <c r="AK61" i="11"/>
  <c r="AK69" i="11"/>
  <c r="AI118" i="11" a="1"/>
  <c r="AM32" i="11"/>
  <c r="AI95" i="11" a="1"/>
  <c r="AK71" i="11"/>
  <c r="AK62" i="11"/>
  <c r="AI75" i="11" a="1"/>
  <c r="C176" i="11"/>
  <c r="AI122" i="11" a="1"/>
  <c r="C142" i="11"/>
  <c r="AK59" i="11"/>
  <c r="AI10" i="11"/>
  <c r="C162" i="11"/>
  <c r="C138" i="11"/>
  <c r="C150" i="11"/>
  <c r="AK63" i="11"/>
  <c r="C159" i="11"/>
  <c r="C139" i="11"/>
  <c r="AI61" i="11" a="1"/>
  <c r="C133" i="11"/>
  <c r="P32" i="11"/>
  <c r="AK87" i="11"/>
  <c r="AK23" i="11"/>
  <c r="C174" i="11"/>
  <c r="AI23" i="11"/>
  <c r="AI100" i="11" a="1"/>
  <c r="AI72" i="11" a="1"/>
  <c r="AK94" i="11"/>
  <c r="C164" i="11"/>
  <c r="R33" i="11"/>
  <c r="Z209" i="14" l="1"/>
  <c r="AD32" i="11" s="1"/>
  <c r="Z210" i="14"/>
  <c r="Z215" i="14"/>
  <c r="AB32" i="11"/>
  <c r="AB33" i="11"/>
  <c r="AJ177" i="11"/>
  <c r="AJ127" i="11"/>
  <c r="AJ132" i="11"/>
  <c r="AJ134" i="11"/>
  <c r="AJ138" i="11"/>
  <c r="AJ142" i="11"/>
  <c r="AJ146" i="11"/>
  <c r="AJ150" i="11"/>
  <c r="AJ154" i="11"/>
  <c r="AJ158" i="11"/>
  <c r="AJ162" i="11"/>
  <c r="AJ170" i="11"/>
  <c r="AJ164" i="11"/>
  <c r="AJ174" i="11" a="1"/>
  <c r="AJ174" i="11" s="1"/>
  <c r="AJ128" i="11"/>
  <c r="AJ126" i="11"/>
  <c r="AJ135" i="11"/>
  <c r="AJ139" i="11"/>
  <c r="AJ143" i="11"/>
  <c r="AJ147" i="11"/>
  <c r="AJ151" i="11"/>
  <c r="AJ155" i="11"/>
  <c r="AJ159" i="11"/>
  <c r="AJ163" i="11"/>
  <c r="AJ166" i="11"/>
  <c r="AJ168" i="11"/>
  <c r="AJ175" i="11"/>
  <c r="AJ130" i="11"/>
  <c r="AJ129" i="11"/>
  <c r="AJ136" i="11"/>
  <c r="AJ140" i="11"/>
  <c r="AJ144" i="11"/>
  <c r="AJ148" i="11"/>
  <c r="AJ152" i="11"/>
  <c r="AJ156" i="11"/>
  <c r="AJ160" i="11"/>
  <c r="AJ165" i="11"/>
  <c r="AJ167" i="11"/>
  <c r="AJ172" i="11"/>
  <c r="AJ176" i="11"/>
  <c r="AJ131" i="11"/>
  <c r="AJ133" i="11"/>
  <c r="AJ137" i="11"/>
  <c r="AJ141" i="11"/>
  <c r="AJ145" i="11"/>
  <c r="AJ149" i="11"/>
  <c r="AJ153" i="11"/>
  <c r="AJ157" i="11"/>
  <c r="AJ161" i="11"/>
  <c r="AJ169" i="11"/>
  <c r="AJ171" i="11"/>
  <c r="AJ173" i="11"/>
  <c r="AI60" i="11"/>
  <c r="AI109" i="11"/>
  <c r="AI99" i="11"/>
  <c r="AI77" i="11"/>
  <c r="AI82" i="11"/>
  <c r="AI94" i="11"/>
  <c r="AI105" i="11"/>
  <c r="AI112" i="11"/>
  <c r="AI93" i="11"/>
  <c r="AI120" i="11"/>
  <c r="AI78" i="11"/>
  <c r="AI104" i="11"/>
  <c r="AI86" i="11"/>
  <c r="AI70" i="11"/>
  <c r="AI67" i="11"/>
  <c r="AI110" i="11"/>
  <c r="AI79" i="11"/>
  <c r="AI95" i="11"/>
  <c r="AI83" i="11"/>
  <c r="AI103" i="11"/>
  <c r="AI101" i="11"/>
  <c r="AI74" i="11"/>
  <c r="AI102" i="11"/>
  <c r="AI61" i="11"/>
  <c r="AI71" i="11"/>
  <c r="AI87" i="11"/>
  <c r="AI121" i="11"/>
  <c r="AI106" i="11"/>
  <c r="AI75" i="11"/>
  <c r="AI62" i="11"/>
  <c r="AI119" i="11"/>
  <c r="AI113" i="11"/>
  <c r="AI69" i="11"/>
  <c r="AI81" i="11"/>
  <c r="AI64" i="11"/>
  <c r="AI66" i="11"/>
  <c r="AI111" i="11"/>
  <c r="AI108" i="11"/>
  <c r="AI124" i="11"/>
  <c r="AI73" i="11"/>
  <c r="AI65" i="11"/>
  <c r="AI72" i="11"/>
  <c r="AI85" i="11"/>
  <c r="AI114" i="11"/>
  <c r="AI116" i="11"/>
  <c r="AI117" i="11"/>
  <c r="AI80" i="11"/>
  <c r="AI84" i="11"/>
  <c r="AI97" i="11"/>
  <c r="AI96" i="11"/>
  <c r="AI123" i="11"/>
  <c r="AI59" i="11"/>
  <c r="AI92" i="11"/>
  <c r="AI76" i="11"/>
  <c r="AI125" i="11"/>
  <c r="AI115" i="11"/>
  <c r="AI63" i="11"/>
  <c r="AI107" i="11"/>
  <c r="AI100" i="11"/>
  <c r="AI98" i="11"/>
  <c r="AI68" i="11"/>
  <c r="AI122" i="11"/>
  <c r="AI118" i="11"/>
  <c r="AJ23" i="11"/>
  <c r="AJ20" i="11"/>
  <c r="E1298" i="7"/>
  <c r="E806" i="7"/>
  <c r="E863" i="7"/>
  <c r="E4382" i="7"/>
  <c r="E1916" i="7"/>
  <c r="E3376" i="7"/>
  <c r="E3884" i="7"/>
  <c r="E1141" i="7"/>
  <c r="E1442" i="7"/>
  <c r="E674" i="7"/>
  <c r="E4725" i="7"/>
  <c r="E1092" i="7"/>
  <c r="E920" i="7"/>
  <c r="E3281" i="7"/>
  <c r="E1489" i="7"/>
  <c r="E1193" i="7"/>
  <c r="E338" i="7"/>
  <c r="E741" i="7"/>
  <c r="E3565" i="7"/>
  <c r="E1534" i="7"/>
  <c r="E1860" i="7"/>
  <c r="E1627" i="7"/>
  <c r="E1581" i="7"/>
  <c r="E264" i="7"/>
  <c r="E481" i="7"/>
  <c r="AA204" i="14"/>
  <c r="M1298" i="7"/>
  <c r="AS142" i="11"/>
  <c r="C166" i="11"/>
  <c r="AS146" i="11"/>
  <c r="AO175" i="11"/>
  <c r="AS137" i="11"/>
  <c r="AS162" i="11"/>
  <c r="AN141" i="11"/>
  <c r="AM133" i="11"/>
  <c r="AS170" i="11"/>
  <c r="AS141" i="11"/>
  <c r="C126" i="11"/>
  <c r="AO152" i="11"/>
  <c r="O32" i="11"/>
  <c r="AO134" i="11"/>
  <c r="AM140" i="11"/>
  <c r="M920" i="7"/>
  <c r="AM147" i="11"/>
  <c r="M1193" i="7"/>
  <c r="C151" i="11"/>
  <c r="C128" i="11"/>
  <c r="C135" i="11"/>
  <c r="M863" i="7"/>
  <c r="AN145" i="11"/>
  <c r="AO170" i="11"/>
  <c r="AS160" i="11"/>
  <c r="M1627" i="7"/>
  <c r="AO149" i="11"/>
  <c r="F33" i="11"/>
  <c r="AN127" i="11"/>
  <c r="AS154" i="11"/>
  <c r="AO148" i="11"/>
  <c r="AN158" i="11"/>
  <c r="AM168" i="11"/>
  <c r="AS169" i="11"/>
  <c r="AS175" i="11"/>
  <c r="AS136" i="11"/>
  <c r="AO133" i="11"/>
  <c r="AS133" i="11"/>
  <c r="AM132" i="11"/>
  <c r="M338" i="7"/>
  <c r="AM135" i="11"/>
  <c r="AS173" i="11"/>
  <c r="AO150" i="11"/>
  <c r="AS32" i="11"/>
  <c r="C143" i="11"/>
  <c r="AN176" i="11"/>
  <c r="AS138" i="11"/>
  <c r="AS174" i="11"/>
  <c r="AO136" i="11"/>
  <c r="M674" i="7"/>
  <c r="AS128" i="11"/>
  <c r="AO171" i="11"/>
  <c r="M481" i="7"/>
  <c r="AS149" i="11"/>
  <c r="AO127" i="11"/>
  <c r="AO164" i="11"/>
  <c r="AN135" i="11"/>
  <c r="AS144" i="11"/>
  <c r="C163" i="11"/>
  <c r="AT32" i="11"/>
  <c r="AN162" i="11"/>
  <c r="AS151" i="11"/>
  <c r="AN146" i="11"/>
  <c r="S33" i="11"/>
  <c r="X172" i="11"/>
  <c r="AM136" i="11"/>
  <c r="AS132" i="11"/>
  <c r="M4725" i="7"/>
  <c r="AS139" i="11"/>
  <c r="O33" i="11"/>
  <c r="AO130" i="11"/>
  <c r="AM137" i="11"/>
  <c r="AO126" i="11"/>
  <c r="M3281" i="7"/>
  <c r="AM174" i="11"/>
  <c r="AS130" i="11"/>
  <c r="AM152" i="11"/>
  <c r="AN177" i="11"/>
  <c r="M1581" i="7"/>
  <c r="C147" i="11"/>
  <c r="M1141" i="7"/>
  <c r="M1916" i="7"/>
  <c r="AN157" i="11"/>
  <c r="AS165" i="11"/>
  <c r="M1442" i="7"/>
  <c r="M806" i="7"/>
  <c r="AM33" i="11"/>
  <c r="AO129" i="11"/>
  <c r="AS143" i="11"/>
  <c r="AM128" i="11"/>
  <c r="AD177" i="11"/>
  <c r="O204" i="14"/>
  <c r="AS166" i="11"/>
  <c r="AS127" i="11"/>
  <c r="AN139" i="11"/>
  <c r="AS152" i="11"/>
  <c r="AO143" i="11"/>
  <c r="AM156" i="11"/>
  <c r="C175" i="11"/>
  <c r="AN32" i="11"/>
  <c r="AO154" i="11"/>
  <c r="AN165" i="11"/>
  <c r="AN161" i="11"/>
  <c r="AS140" i="11"/>
  <c r="AS147" i="11"/>
  <c r="AM163" i="11"/>
  <c r="M4382" i="7"/>
  <c r="M741" i="7"/>
  <c r="AN173" i="11"/>
  <c r="AN174" i="11"/>
  <c r="M1092" i="7"/>
  <c r="M1860" i="7"/>
  <c r="AP32" i="11"/>
  <c r="AM172" i="11"/>
  <c r="AS156" i="11"/>
  <c r="AS155" i="11"/>
  <c r="AO139" i="11"/>
  <c r="X33" i="11"/>
  <c r="C155" i="11"/>
  <c r="M3376" i="7"/>
  <c r="AM149" i="11"/>
  <c r="AS157" i="11"/>
  <c r="AS126" i="11"/>
  <c r="AN144" i="11"/>
  <c r="AS163" i="11"/>
  <c r="M3884" i="7"/>
  <c r="C144" i="11"/>
  <c r="R32" i="11"/>
  <c r="AS129" i="11"/>
  <c r="AN160" i="11"/>
  <c r="M3565" i="7"/>
  <c r="AS145" i="11"/>
  <c r="AS150" i="11"/>
  <c r="AN155" i="11"/>
  <c r="C168" i="11"/>
  <c r="AS135" i="11"/>
  <c r="Z217" i="14"/>
  <c r="AO138" i="11"/>
  <c r="AN129" i="11"/>
  <c r="AM142" i="11"/>
  <c r="AO155" i="11"/>
  <c r="AS167" i="11"/>
  <c r="AS159" i="11"/>
  <c r="AS153" i="11"/>
  <c r="M264" i="7"/>
  <c r="M1489" i="7"/>
  <c r="M1534" i="7"/>
  <c r="AS134" i="11"/>
  <c r="AV32" i="11"/>
  <c r="AO161" i="11"/>
  <c r="AS177" i="11"/>
  <c r="AS164" i="11"/>
  <c r="AN148" i="11"/>
  <c r="AS131" i="11"/>
  <c r="AM151" i="11"/>
  <c r="AO145" i="11"/>
  <c r="AA215" i="14" l="1"/>
  <c r="AA209" i="14"/>
  <c r="AD33" i="11" s="1"/>
  <c r="AA210" i="14"/>
  <c r="AJ104" i="11"/>
  <c r="AJ118" i="11"/>
  <c r="AJ125" i="11"/>
  <c r="AJ123" i="11"/>
  <c r="AJ124" i="11"/>
  <c r="AJ119" i="11"/>
  <c r="AJ121" i="11"/>
  <c r="AJ105" i="11"/>
  <c r="AJ114" i="11"/>
  <c r="AJ113" i="11"/>
  <c r="AJ103" i="11"/>
  <c r="AJ112" i="11"/>
  <c r="AJ122" i="11"/>
  <c r="AJ107" i="11"/>
  <c r="AJ117" i="11"/>
  <c r="AJ108" i="11"/>
  <c r="AJ120" i="11"/>
  <c r="AJ109" i="11"/>
  <c r="AJ115" i="11"/>
  <c r="AJ106" i="11"/>
  <c r="AJ110" i="11"/>
  <c r="AJ116" i="11"/>
  <c r="AJ111" i="11"/>
  <c r="AJ75" i="11"/>
  <c r="AJ76" i="11"/>
  <c r="AJ72" i="11"/>
  <c r="AJ62" i="11"/>
  <c r="AU32" i="11"/>
  <c r="S210" i="14"/>
  <c r="S209" i="14"/>
  <c r="AD23" i="11" s="1"/>
  <c r="Z220" i="14"/>
  <c r="O210" i="14"/>
  <c r="O209" i="14"/>
  <c r="AD20" i="11" s="1"/>
  <c r="Z32" i="11"/>
  <c r="E32" i="11"/>
  <c r="AJ68" i="11"/>
  <c r="AJ82" i="11"/>
  <c r="AJ87" i="11"/>
  <c r="AJ66" i="11"/>
  <c r="AJ63" i="11"/>
  <c r="AJ71" i="11"/>
  <c r="AJ80" i="11"/>
  <c r="AJ77" i="11"/>
  <c r="AJ67" i="11"/>
  <c r="AJ83" i="11"/>
  <c r="AJ64" i="11"/>
  <c r="AJ81" i="11"/>
  <c r="AJ100" i="11"/>
  <c r="AJ65" i="11"/>
  <c r="AJ85" i="11"/>
  <c r="AJ60" i="11"/>
  <c r="AJ92" i="11"/>
  <c r="AJ70" i="11"/>
  <c r="AJ59" i="11"/>
  <c r="AJ79" i="11"/>
  <c r="AJ84" i="11"/>
  <c r="AJ69" i="11"/>
  <c r="AJ78" i="11"/>
  <c r="AJ73" i="11"/>
  <c r="AJ61" i="11"/>
  <c r="AJ74" i="11"/>
  <c r="AJ86" i="11"/>
  <c r="E3645" i="7"/>
  <c r="E1674" i="7"/>
  <c r="E3808" i="7"/>
  <c r="E1738" i="7"/>
  <c r="E609" i="7"/>
  <c r="E1802" i="7"/>
  <c r="E1352" i="7"/>
  <c r="E1247" i="7"/>
  <c r="E1037" i="7"/>
  <c r="AA217" i="14"/>
  <c r="AO177" i="11"/>
  <c r="AM158" i="11"/>
  <c r="AO144" i="11"/>
  <c r="AM131" i="11"/>
  <c r="AO111" i="11"/>
  <c r="AO72" i="11"/>
  <c r="AA177" i="11"/>
  <c r="AM157" i="11"/>
  <c r="AN69" i="11"/>
  <c r="AO159" i="11"/>
  <c r="AM175" i="11"/>
  <c r="AO109" i="11"/>
  <c r="AM162" i="11"/>
  <c r="AO115" i="11"/>
  <c r="AS176" i="11"/>
  <c r="AM104" i="11"/>
  <c r="AO142" i="11"/>
  <c r="AN78" i="11"/>
  <c r="AN85" i="11"/>
  <c r="AO163" i="11"/>
  <c r="AO103" i="11"/>
  <c r="AO83" i="11"/>
  <c r="AC177" i="11"/>
  <c r="AN164" i="11"/>
  <c r="AM79" i="11"/>
  <c r="AN149" i="11"/>
  <c r="AN153" i="11"/>
  <c r="AO116" i="11"/>
  <c r="AM105" i="11"/>
  <c r="AO64" i="11"/>
  <c r="AM78" i="11"/>
  <c r="AO157" i="11"/>
  <c r="AM113" i="11"/>
  <c r="AM84" i="11"/>
  <c r="AN171" i="11"/>
  <c r="AO137" i="11"/>
  <c r="AN75" i="11"/>
  <c r="AS161" i="11"/>
  <c r="AN81" i="11"/>
  <c r="AO86" i="11"/>
  <c r="AO165" i="11"/>
  <c r="AN170" i="11"/>
  <c r="AN143" i="11"/>
  <c r="AM160" i="11"/>
  <c r="M1037" i="7"/>
  <c r="AO173" i="11"/>
  <c r="M3645" i="7"/>
  <c r="AT33" i="11"/>
  <c r="AM126" i="11"/>
  <c r="AN136" i="11"/>
  <c r="M1802" i="7"/>
  <c r="AO124" i="11"/>
  <c r="AN118" i="11"/>
  <c r="AO67" i="11"/>
  <c r="AV33" i="11"/>
  <c r="AS148" i="11"/>
  <c r="AO166" i="11"/>
  <c r="AM146" i="11"/>
  <c r="AM171" i="11"/>
  <c r="AN172" i="11"/>
  <c r="AN64" i="11"/>
  <c r="AM122" i="11"/>
  <c r="AN159" i="11"/>
  <c r="AN154" i="11"/>
  <c r="AO167" i="11"/>
  <c r="AN152" i="11"/>
  <c r="AO158" i="11"/>
  <c r="AM127" i="11"/>
  <c r="AO76" i="11"/>
  <c r="AO92" i="11"/>
  <c r="AO107" i="11"/>
  <c r="AN110" i="11"/>
  <c r="AM76" i="11"/>
  <c r="AN134" i="11"/>
  <c r="AM164" i="11"/>
  <c r="AO73" i="11"/>
  <c r="M609" i="7"/>
  <c r="AO85" i="11"/>
  <c r="AM130" i="11"/>
  <c r="AS158" i="11"/>
  <c r="AM111" i="11"/>
  <c r="AM67" i="11"/>
  <c r="AN122" i="11"/>
  <c r="AO122" i="11"/>
  <c r="AN73" i="11"/>
  <c r="AM138" i="11"/>
  <c r="AO141" i="11"/>
  <c r="AN66" i="11"/>
  <c r="X177" i="11"/>
  <c r="AN116" i="11"/>
  <c r="AN126" i="11"/>
  <c r="AM66" i="11"/>
  <c r="AN128" i="11"/>
  <c r="AS168" i="11"/>
  <c r="AO118" i="11"/>
  <c r="AM118" i="11"/>
  <c r="AO140" i="11"/>
  <c r="AM62" i="11"/>
  <c r="AN71" i="11"/>
  <c r="AM85" i="11"/>
  <c r="AN168" i="11"/>
  <c r="AN120" i="11"/>
  <c r="AM134" i="11"/>
  <c r="AN130" i="11"/>
  <c r="AM141" i="11"/>
  <c r="AN147" i="11"/>
  <c r="AO169" i="11"/>
  <c r="AO146" i="11"/>
  <c r="AN114" i="11"/>
  <c r="AN169" i="11"/>
  <c r="AN109" i="11"/>
  <c r="AO78" i="11"/>
  <c r="AM63" i="11"/>
  <c r="AN104" i="11"/>
  <c r="AM107" i="11"/>
  <c r="AN142" i="11"/>
  <c r="AN111" i="11"/>
  <c r="AM143" i="11"/>
  <c r="AO147" i="11"/>
  <c r="AO79" i="11"/>
  <c r="AS171" i="11"/>
  <c r="AM144" i="11"/>
  <c r="AM92" i="11"/>
  <c r="AP33" i="11"/>
  <c r="AN156" i="11"/>
  <c r="AM159" i="11"/>
  <c r="AN87" i="11"/>
  <c r="AO135" i="11"/>
  <c r="AO104" i="11"/>
  <c r="AN80" i="11"/>
  <c r="AM169" i="11"/>
  <c r="AM176" i="11"/>
  <c r="M3808" i="7"/>
  <c r="AO128" i="11"/>
  <c r="AN106" i="11"/>
  <c r="M1247" i="7"/>
  <c r="AM173" i="11"/>
  <c r="AO162" i="11"/>
  <c r="AO87" i="11"/>
  <c r="AM117" i="11"/>
  <c r="AM139" i="11"/>
  <c r="AM86" i="11"/>
  <c r="AM80" i="11"/>
  <c r="AM154" i="11"/>
  <c r="AM177" i="11"/>
  <c r="AN70" i="11"/>
  <c r="AN131" i="11"/>
  <c r="AM153" i="11"/>
  <c r="AO132" i="11"/>
  <c r="AN163" i="11"/>
  <c r="AM125" i="11"/>
  <c r="AN82" i="11"/>
  <c r="AN138" i="11"/>
  <c r="M1352" i="7"/>
  <c r="AM167" i="11"/>
  <c r="AM129" i="11"/>
  <c r="AM116" i="11"/>
  <c r="AO156" i="11"/>
  <c r="AN175" i="11"/>
  <c r="AN133" i="11"/>
  <c r="AO172" i="11"/>
  <c r="AO160" i="11"/>
  <c r="AO75" i="11"/>
  <c r="AM108" i="11"/>
  <c r="AO81" i="11"/>
  <c r="AO168" i="11"/>
  <c r="AM120" i="11"/>
  <c r="AO131" i="11"/>
  <c r="AM148" i="11"/>
  <c r="AM60" i="11"/>
  <c r="AU33" i="11"/>
  <c r="AO174" i="11"/>
  <c r="AO151" i="11"/>
  <c r="AM87" i="11"/>
  <c r="AM72" i="11"/>
  <c r="AM165" i="11"/>
  <c r="AM112" i="11"/>
  <c r="AN74" i="11"/>
  <c r="AM161" i="11"/>
  <c r="AN132" i="11"/>
  <c r="AN167" i="11"/>
  <c r="AM170" i="11"/>
  <c r="AN151" i="11"/>
  <c r="AM150" i="11"/>
  <c r="AM77" i="11"/>
  <c r="AS172" i="11"/>
  <c r="AN137" i="11"/>
  <c r="AN140" i="11"/>
  <c r="AM81" i="11"/>
  <c r="AM64" i="11"/>
  <c r="AO120" i="11"/>
  <c r="AM100" i="11"/>
  <c r="AM68" i="11"/>
  <c r="AO153" i="11"/>
  <c r="AN150" i="11"/>
  <c r="AO65" i="11"/>
  <c r="AN62" i="11"/>
  <c r="AM145" i="11"/>
  <c r="AN86" i="11"/>
  <c r="AN107" i="11"/>
  <c r="AN92" i="11"/>
  <c r="AO60" i="11"/>
  <c r="AO80" i="11"/>
  <c r="AN166" i="11"/>
  <c r="AO105" i="11"/>
  <c r="AO62" i="11"/>
  <c r="AM121" i="11"/>
  <c r="AM155" i="11"/>
  <c r="AM75" i="11"/>
  <c r="AN60" i="11"/>
  <c r="AM166" i="11"/>
  <c r="AO119" i="11"/>
  <c r="AN76" i="11"/>
  <c r="AN72" i="11"/>
  <c r="AO176" i="11"/>
  <c r="AO66" i="11"/>
  <c r="AO77" i="11"/>
  <c r="AO123" i="11"/>
  <c r="AN105" i="11"/>
  <c r="AM61" i="11"/>
  <c r="AA220" i="14" l="1"/>
  <c r="AS10" i="11"/>
  <c r="Y33" i="11"/>
  <c r="E33" i="11"/>
  <c r="D33" i="11" s="1"/>
  <c r="Z33" i="11"/>
  <c r="D32" i="11"/>
  <c r="G32" i="11"/>
  <c r="Y32" i="11"/>
  <c r="E1299" i="7"/>
  <c r="E864" i="7"/>
  <c r="E3885" i="7"/>
  <c r="E675" i="7"/>
  <c r="AN125" i="11"/>
  <c r="AN119" i="11"/>
  <c r="AN77" i="11"/>
  <c r="AM110" i="11"/>
  <c r="AN121" i="11"/>
  <c r="AO125" i="11"/>
  <c r="AM82" i="11"/>
  <c r="AO71" i="11"/>
  <c r="AM71" i="11"/>
  <c r="M1738" i="7"/>
  <c r="AO121" i="11"/>
  <c r="AQ177" i="11"/>
  <c r="AM123" i="11"/>
  <c r="AO108" i="11"/>
  <c r="AN113" i="11"/>
  <c r="AO70" i="11"/>
  <c r="AO84" i="11"/>
  <c r="M1674" i="7"/>
  <c r="AO106" i="11"/>
  <c r="AN117" i="11"/>
  <c r="AM74" i="11"/>
  <c r="AN123" i="11"/>
  <c r="AM106" i="11"/>
  <c r="AN63" i="11"/>
  <c r="AM73" i="11"/>
  <c r="AM83" i="11"/>
  <c r="AO112" i="11"/>
  <c r="AN67" i="11"/>
  <c r="AM70" i="11"/>
  <c r="AM109" i="11"/>
  <c r="AN84" i="11"/>
  <c r="AM65" i="11"/>
  <c r="AM69" i="11"/>
  <c r="AO114" i="11"/>
  <c r="AO100" i="11"/>
  <c r="AP177" i="11"/>
  <c r="AM114" i="11"/>
  <c r="AM119" i="11"/>
  <c r="AM115" i="11"/>
  <c r="AM103" i="11"/>
  <c r="AT177" i="11"/>
  <c r="AN115" i="11"/>
  <c r="AO69" i="11"/>
  <c r="AO74" i="11"/>
  <c r="AO68" i="11"/>
  <c r="AO61" i="11"/>
  <c r="AN108" i="11"/>
  <c r="AR177" i="11"/>
  <c r="AO110" i="11"/>
  <c r="AN83" i="11"/>
  <c r="AN100" i="11"/>
  <c r="AN68" i="11"/>
  <c r="AO117" i="11"/>
  <c r="AN103" i="11"/>
  <c r="AN79" i="11"/>
  <c r="AN61" i="11"/>
  <c r="AN112" i="11"/>
  <c r="AN124" i="11"/>
  <c r="AN65" i="11"/>
  <c r="AM124" i="11"/>
  <c r="AO63" i="11"/>
  <c r="AV177" i="11"/>
  <c r="AU177" i="11"/>
  <c r="AO82" i="11"/>
  <c r="AO113" i="11"/>
  <c r="G33" i="11" l="1"/>
  <c r="Z177" i="11"/>
  <c r="Y177" i="11"/>
  <c r="E1675" i="7"/>
  <c r="E3809" i="7"/>
  <c r="AJ93" i="11"/>
  <c r="E407" i="7"/>
  <c r="E3377" i="7"/>
  <c r="E3471" i="7"/>
  <c r="E3187" i="7"/>
  <c r="E3964" i="7"/>
  <c r="E3726" i="7"/>
  <c r="E3094" i="7"/>
  <c r="E4383" i="7"/>
  <c r="E1142" i="7"/>
  <c r="E1490" i="7"/>
  <c r="E3646" i="7"/>
  <c r="E807" i="7"/>
  <c r="E1443" i="7"/>
  <c r="E1397" i="7"/>
  <c r="E4490" i="7"/>
  <c r="E482" i="7"/>
  <c r="E981" i="7"/>
  <c r="E4885" i="7"/>
  <c r="E1917" i="7"/>
  <c r="M1443" i="7"/>
  <c r="M864" i="7"/>
  <c r="M3471" i="7"/>
  <c r="M3964" i="7"/>
  <c r="M1917" i="7"/>
  <c r="M1142" i="7"/>
  <c r="M4490" i="7"/>
  <c r="M3885" i="7"/>
  <c r="M3187" i="7"/>
  <c r="M3094" i="7"/>
  <c r="M3646" i="7"/>
  <c r="M1490" i="7"/>
  <c r="M1299" i="7"/>
  <c r="M3726" i="7"/>
  <c r="M3809" i="7"/>
  <c r="M981" i="7"/>
  <c r="M675" i="7"/>
  <c r="M482" i="7"/>
  <c r="M3377" i="7"/>
  <c r="M4885" i="7"/>
  <c r="M1675" i="7"/>
  <c r="M1397" i="7"/>
  <c r="M4383" i="7"/>
  <c r="M807" i="7"/>
  <c r="M407" i="7"/>
  <c r="E1803" i="7" l="1"/>
  <c r="E1248" i="7"/>
  <c r="E676" i="7"/>
  <c r="AJ94" i="11"/>
  <c r="E1353" i="7"/>
  <c r="E1038" i="7"/>
  <c r="E4726" i="7"/>
  <c r="E1093" i="7"/>
  <c r="E1194" i="7"/>
  <c r="E921" i="7"/>
  <c r="E865" i="7"/>
  <c r="E610" i="7"/>
  <c r="E3282" i="7"/>
  <c r="E339" i="7"/>
  <c r="E265" i="7"/>
  <c r="E1582" i="7"/>
  <c r="E742" i="7"/>
  <c r="E3886" i="7"/>
  <c r="E3566" i="7"/>
  <c r="E1300" i="7"/>
  <c r="E1535" i="7"/>
  <c r="E1143" i="7"/>
  <c r="E1861" i="7"/>
  <c r="E1628" i="7"/>
  <c r="E1739" i="7"/>
  <c r="E483" i="7"/>
  <c r="M265" i="7"/>
  <c r="M1739" i="7"/>
  <c r="M742" i="7"/>
  <c r="M1353" i="7"/>
  <c r="M865" i="7"/>
  <c r="M3886" i="7"/>
  <c r="M483" i="7"/>
  <c r="M1038" i="7"/>
  <c r="M3566" i="7"/>
  <c r="M339" i="7"/>
  <c r="M676" i="7"/>
  <c r="M1582" i="7"/>
  <c r="M1194" i="7"/>
  <c r="M1143" i="7"/>
  <c r="M1535" i="7"/>
  <c r="AO93" i="11"/>
  <c r="AM93" i="11"/>
  <c r="M1300" i="7"/>
  <c r="M3282" i="7"/>
  <c r="AN93" i="11"/>
  <c r="M921" i="7"/>
  <c r="M1248" i="7"/>
  <c r="E1676" i="7" l="1"/>
  <c r="E266" i="7"/>
  <c r="E3810" i="7"/>
  <c r="E1491" i="7"/>
  <c r="E1918" i="7"/>
  <c r="E3647" i="7"/>
  <c r="E3727" i="7"/>
  <c r="E3188" i="7"/>
  <c r="E3378" i="7"/>
  <c r="AJ95" i="11"/>
  <c r="E408" i="7"/>
  <c r="E3472" i="7"/>
  <c r="E1444" i="7"/>
  <c r="E4384" i="7"/>
  <c r="E3965" i="7"/>
  <c r="E3095" i="7"/>
  <c r="E808" i="7"/>
  <c r="E1398" i="7"/>
  <c r="E4491" i="7"/>
  <c r="E982" i="7"/>
  <c r="E4886" i="7"/>
  <c r="E484" i="7"/>
  <c r="M1093" i="7"/>
  <c r="M1491" i="7"/>
  <c r="M3472" i="7"/>
  <c r="M3727" i="7"/>
  <c r="M982" i="7"/>
  <c r="AO94" i="11"/>
  <c r="M3378" i="7"/>
  <c r="M610" i="7"/>
  <c r="M484" i="7"/>
  <c r="M1918" i="7"/>
  <c r="M4726" i="7"/>
  <c r="M4384" i="7"/>
  <c r="M3647" i="7"/>
  <c r="AN94" i="11"/>
  <c r="M808" i="7"/>
  <c r="M408" i="7"/>
  <c r="M1861" i="7"/>
  <c r="M3810" i="7"/>
  <c r="M1628" i="7"/>
  <c r="M1398" i="7"/>
  <c r="M1444" i="7"/>
  <c r="M1803" i="7"/>
  <c r="M266" i="7"/>
  <c r="M3095" i="7"/>
  <c r="AM94" i="11"/>
  <c r="E267" i="7" l="1"/>
  <c r="E1249" i="7"/>
  <c r="E1804" i="7"/>
  <c r="E677" i="7"/>
  <c r="E1677" i="7"/>
  <c r="E1354" i="7"/>
  <c r="E4727" i="7"/>
  <c r="AJ96" i="11"/>
  <c r="E1094" i="7"/>
  <c r="E1195" i="7"/>
  <c r="E1039" i="7"/>
  <c r="E922" i="7"/>
  <c r="E866" i="7"/>
  <c r="E611" i="7"/>
  <c r="E3283" i="7"/>
  <c r="E1583" i="7"/>
  <c r="E340" i="7"/>
  <c r="E3887" i="7"/>
  <c r="E743" i="7"/>
  <c r="E3567" i="7"/>
  <c r="E1301" i="7"/>
  <c r="E1536" i="7"/>
  <c r="E3648" i="7"/>
  <c r="E1144" i="7"/>
  <c r="E1862" i="7"/>
  <c r="E1629" i="7"/>
  <c r="E1445" i="7"/>
  <c r="E1740" i="7"/>
  <c r="E485" i="7"/>
  <c r="M1144" i="7"/>
  <c r="M1445" i="7"/>
  <c r="M743" i="7"/>
  <c r="M1629" i="7"/>
  <c r="M1354" i="7"/>
  <c r="AN95" i="11"/>
  <c r="M677" i="7"/>
  <c r="M3567" i="7"/>
  <c r="M3648" i="7"/>
  <c r="M4727" i="7"/>
  <c r="M3188" i="7"/>
  <c r="M1195" i="7"/>
  <c r="M3965" i="7"/>
  <c r="M1677" i="7"/>
  <c r="AO95" i="11"/>
  <c r="M866" i="7"/>
  <c r="M1676" i="7"/>
  <c r="M1301" i="7"/>
  <c r="M4491" i="7"/>
  <c r="AM95" i="11"/>
  <c r="M1039" i="7"/>
  <c r="M611" i="7"/>
  <c r="M4886" i="7"/>
  <c r="M3887" i="7"/>
  <c r="M1249" i="7"/>
  <c r="M1536" i="7"/>
  <c r="M267" i="7"/>
  <c r="M1740" i="7"/>
  <c r="M3283" i="7"/>
  <c r="E3728" i="7" l="1"/>
  <c r="E3189" i="7"/>
  <c r="E1805" i="7"/>
  <c r="E1919" i="7"/>
  <c r="E3811" i="7"/>
  <c r="E409" i="7"/>
  <c r="E3473" i="7"/>
  <c r="E1492" i="7"/>
  <c r="E3379" i="7"/>
  <c r="M1492" i="7"/>
  <c r="M3811" i="7"/>
  <c r="M3189" i="7"/>
  <c r="M1805" i="7"/>
  <c r="AM96" i="11"/>
  <c r="AN96" i="11"/>
  <c r="M3728" i="7"/>
  <c r="M340" i="7"/>
  <c r="M1583" i="7"/>
  <c r="M3379" i="7"/>
  <c r="M1094" i="7"/>
  <c r="M485" i="7"/>
  <c r="M409" i="7"/>
  <c r="M1862" i="7"/>
  <c r="M922" i="7"/>
  <c r="M1804" i="7"/>
  <c r="AO96" i="11"/>
  <c r="E1355" i="7" l="1"/>
  <c r="AJ97" i="11"/>
  <c r="E809" i="7"/>
  <c r="E4385" i="7"/>
  <c r="E3966" i="7"/>
  <c r="E3096" i="7"/>
  <c r="E3729" i="7"/>
  <c r="E4728" i="7"/>
  <c r="E1399" i="7"/>
  <c r="E4492" i="7"/>
  <c r="E268" i="7"/>
  <c r="E1250" i="7"/>
  <c r="E486" i="7"/>
  <c r="E983" i="7"/>
  <c r="E1678" i="7"/>
  <c r="E678" i="7"/>
  <c r="E4887" i="7"/>
  <c r="M678" i="7"/>
  <c r="M4728" i="7"/>
  <c r="M4492" i="7"/>
  <c r="M1399" i="7"/>
  <c r="M268" i="7"/>
  <c r="M4385" i="7"/>
  <c r="M983" i="7"/>
  <c r="M1250" i="7"/>
  <c r="M4887" i="7"/>
  <c r="M486" i="7"/>
  <c r="M1919" i="7"/>
  <c r="M1355" i="7"/>
  <c r="M3729" i="7"/>
  <c r="M809" i="7"/>
  <c r="M3096" i="7"/>
  <c r="M1678" i="7"/>
  <c r="M3473" i="7"/>
  <c r="M3966" i="7"/>
  <c r="E3812" i="7" l="1"/>
  <c r="E1493" i="7"/>
  <c r="E3380" i="7"/>
  <c r="E1806" i="7"/>
  <c r="E1863" i="7"/>
  <c r="E1920" i="7"/>
  <c r="E1095" i="7"/>
  <c r="AJ98" i="11"/>
  <c r="E1196" i="7"/>
  <c r="E1040" i="7"/>
  <c r="E923" i="7"/>
  <c r="E867" i="7"/>
  <c r="E1584" i="7"/>
  <c r="E3474" i="7"/>
  <c r="E612" i="7"/>
  <c r="E3888" i="7"/>
  <c r="E3284" i="7"/>
  <c r="E3190" i="7"/>
  <c r="E341" i="7"/>
  <c r="E744" i="7"/>
  <c r="E1537" i="7"/>
  <c r="E1630" i="7"/>
  <c r="E3649" i="7"/>
  <c r="E3568" i="7"/>
  <c r="E1302" i="7"/>
  <c r="E1145" i="7"/>
  <c r="E410" i="7"/>
  <c r="E1446" i="7"/>
  <c r="E1741" i="7"/>
  <c r="E487" i="7"/>
  <c r="M3568" i="7"/>
  <c r="M1537" i="7"/>
  <c r="M1630" i="7"/>
  <c r="M3888" i="7"/>
  <c r="M487" i="7"/>
  <c r="M1302" i="7"/>
  <c r="M1584" i="7"/>
  <c r="M1145" i="7"/>
  <c r="M3474" i="7"/>
  <c r="M1040" i="7"/>
  <c r="AO97" i="11"/>
  <c r="M3284" i="7"/>
  <c r="M923" i="7"/>
  <c r="M867" i="7"/>
  <c r="M1741" i="7"/>
  <c r="M1095" i="7"/>
  <c r="M744" i="7"/>
  <c r="M3649" i="7"/>
  <c r="M3190" i="7"/>
  <c r="M1196" i="7"/>
  <c r="M3380" i="7"/>
  <c r="M1863" i="7"/>
  <c r="M1493" i="7"/>
  <c r="AM97" i="11"/>
  <c r="AN97" i="11"/>
  <c r="E4493" i="7" l="1"/>
  <c r="E1356" i="7"/>
  <c r="E3097" i="7"/>
  <c r="AJ99" i="11"/>
  <c r="E810" i="7"/>
  <c r="E4386" i="7"/>
  <c r="E3967" i="7"/>
  <c r="E3730" i="7"/>
  <c r="E4729" i="7"/>
  <c r="E1400" i="7"/>
  <c r="E1679" i="7"/>
  <c r="E1251" i="7"/>
  <c r="E269" i="7"/>
  <c r="E488" i="7"/>
  <c r="E984" i="7"/>
  <c r="E679" i="7"/>
  <c r="E4888" i="7"/>
  <c r="M3097" i="7"/>
  <c r="AM98" i="11"/>
  <c r="M1806" i="7"/>
  <c r="AN98" i="11"/>
  <c r="M984" i="7"/>
  <c r="M3967" i="7"/>
  <c r="M4888" i="7"/>
  <c r="M612" i="7"/>
  <c r="M4493" i="7"/>
  <c r="M810" i="7"/>
  <c r="M3812" i="7"/>
  <c r="M1251" i="7"/>
  <c r="M3730" i="7"/>
  <c r="M1400" i="7"/>
  <c r="M341" i="7"/>
  <c r="M4386" i="7"/>
  <c r="M1446" i="7"/>
  <c r="M410" i="7"/>
  <c r="M1356" i="7"/>
  <c r="M488" i="7"/>
  <c r="M1920" i="7"/>
  <c r="AO98" i="11"/>
  <c r="E1494" i="7" l="1"/>
  <c r="E3813" i="7"/>
  <c r="E1807" i="7"/>
  <c r="E3191" i="7"/>
  <c r="E1921" i="7"/>
  <c r="E1864" i="7"/>
  <c r="E1096" i="7"/>
  <c r="E3381" i="7"/>
  <c r="E868" i="7"/>
  <c r="E1041" i="7"/>
  <c r="E3889" i="7"/>
  <c r="E1631" i="7"/>
  <c r="E3650" i="7"/>
  <c r="E1585" i="7"/>
  <c r="E924" i="7"/>
  <c r="E1197" i="7"/>
  <c r="E3475" i="7"/>
  <c r="E613" i="7"/>
  <c r="E3569" i="7"/>
  <c r="E3285" i="7"/>
  <c r="E1538" i="7"/>
  <c r="E342" i="7"/>
  <c r="E745" i="7"/>
  <c r="E1303" i="7"/>
  <c r="E1146" i="7"/>
  <c r="E411" i="7"/>
  <c r="E1447" i="7"/>
  <c r="E1742" i="7"/>
  <c r="E489" i="7"/>
  <c r="M3889" i="7"/>
  <c r="M3191" i="7"/>
  <c r="M1197" i="7"/>
  <c r="M269" i="7"/>
  <c r="M924" i="7"/>
  <c r="M4729" i="7"/>
  <c r="M3475" i="7"/>
  <c r="M3285" i="7"/>
  <c r="M1679" i="7"/>
  <c r="M1447" i="7"/>
  <c r="AM99" i="11"/>
  <c r="AN99" i="11"/>
  <c r="M1538" i="7"/>
  <c r="M342" i="7"/>
  <c r="M679" i="7"/>
  <c r="M3569" i="7"/>
  <c r="M3381" i="7"/>
  <c r="M613" i="7"/>
  <c r="M411" i="7"/>
  <c r="M1631" i="7"/>
  <c r="M1807" i="7"/>
  <c r="M1041" i="7"/>
  <c r="M1742" i="7"/>
  <c r="M1096" i="7"/>
  <c r="M1585" i="7"/>
  <c r="M1303" i="7"/>
  <c r="M1146" i="7"/>
  <c r="AO99" i="11"/>
  <c r="M3650" i="7"/>
  <c r="E4494" i="7" l="1"/>
  <c r="E1357" i="7"/>
  <c r="E3098" i="7"/>
  <c r="E1808" i="7"/>
  <c r="E4387" i="7"/>
  <c r="E1922" i="7"/>
  <c r="E4889" i="7"/>
  <c r="E270" i="7"/>
  <c r="E1252" i="7"/>
  <c r="E490" i="7"/>
  <c r="E680" i="7"/>
  <c r="E811" i="7"/>
  <c r="AJ101" i="11"/>
  <c r="E3968" i="7"/>
  <c r="E1680" i="7"/>
  <c r="E3731" i="7"/>
  <c r="E1865" i="7"/>
  <c r="E1539" i="7"/>
  <c r="E4730" i="7"/>
  <c r="E1401" i="7"/>
  <c r="E985" i="7"/>
  <c r="M1808" i="7"/>
  <c r="M1357" i="7"/>
  <c r="M1252" i="7"/>
  <c r="M489" i="7"/>
  <c r="M811" i="7"/>
  <c r="M1401" i="7"/>
  <c r="M1680" i="7"/>
  <c r="M3731" i="7"/>
  <c r="M3813" i="7"/>
  <c r="M4889" i="7"/>
  <c r="M1922" i="7"/>
  <c r="M270" i="7"/>
  <c r="M680" i="7"/>
  <c r="M745" i="7"/>
  <c r="M3968" i="7"/>
  <c r="M1539" i="7"/>
  <c r="M985" i="7"/>
  <c r="M490" i="7"/>
  <c r="M1921" i="7"/>
  <c r="M3098" i="7"/>
  <c r="M1494" i="7"/>
  <c r="M1865" i="7"/>
  <c r="M4494" i="7"/>
  <c r="M1864" i="7"/>
  <c r="M4730" i="7"/>
  <c r="M868" i="7"/>
  <c r="M4387" i="7"/>
  <c r="O215" i="14" l="1"/>
  <c r="S215" i="14"/>
  <c r="E1495" i="7"/>
  <c r="E4495" i="7"/>
  <c r="E3814" i="7"/>
  <c r="E3382" i="7"/>
  <c r="E3192" i="7"/>
  <c r="E1586" i="7"/>
  <c r="E3651" i="7"/>
  <c r="E1042" i="7"/>
  <c r="E1632" i="7"/>
  <c r="E3890" i="7"/>
  <c r="E491" i="7"/>
  <c r="E1198" i="7"/>
  <c r="E1097" i="7"/>
  <c r="E869" i="7"/>
  <c r="E925" i="7"/>
  <c r="AJ102" i="11"/>
  <c r="E3570" i="7"/>
  <c r="E3286" i="7"/>
  <c r="E3476" i="7"/>
  <c r="E614" i="7"/>
  <c r="E343" i="7"/>
  <c r="E746" i="7"/>
  <c r="E1147" i="7"/>
  <c r="E412" i="7"/>
  <c r="E1304" i="7"/>
  <c r="E1448" i="7"/>
  <c r="E1743" i="7"/>
  <c r="M1042" i="7"/>
  <c r="M3890" i="7"/>
  <c r="M1586" i="7"/>
  <c r="M3286" i="7"/>
  <c r="M4495" i="7"/>
  <c r="M1097" i="7"/>
  <c r="AO101" i="11"/>
  <c r="M3814" i="7"/>
  <c r="AN101" i="11"/>
  <c r="M1632" i="7"/>
  <c r="M1198" i="7"/>
  <c r="M3476" i="7"/>
  <c r="M614" i="7"/>
  <c r="M3382" i="7"/>
  <c r="M746" i="7"/>
  <c r="M925" i="7"/>
  <c r="M412" i="7"/>
  <c r="M1448" i="7"/>
  <c r="AM101" i="11"/>
  <c r="M3651" i="7"/>
  <c r="M3570" i="7"/>
  <c r="M1495" i="7"/>
  <c r="M1743" i="7"/>
  <c r="E1358" i="7" l="1"/>
  <c r="E4388" i="7"/>
  <c r="E3099" i="7"/>
  <c r="E4890" i="7"/>
  <c r="E1923" i="7"/>
  <c r="E1043" i="7"/>
  <c r="E812" i="7"/>
  <c r="E271" i="7"/>
  <c r="E1809" i="7"/>
  <c r="E681" i="7"/>
  <c r="E1866" i="7"/>
  <c r="E986" i="7"/>
  <c r="E1681" i="7"/>
  <c r="E1253" i="7"/>
  <c r="E3732" i="7"/>
  <c r="E3969" i="7"/>
  <c r="E1402" i="7"/>
  <c r="E1540" i="7"/>
  <c r="E4731" i="7"/>
  <c r="E1148" i="7"/>
  <c r="E1496" i="7"/>
  <c r="E492" i="7"/>
  <c r="M869" i="7"/>
  <c r="AN102" i="11"/>
  <c r="M3192" i="7"/>
  <c r="M343" i="7"/>
  <c r="AM102" i="11"/>
  <c r="M1304" i="7"/>
  <c r="M1147" i="7"/>
  <c r="M491" i="7"/>
  <c r="AO102" i="11"/>
  <c r="E1587" i="7" l="1"/>
  <c r="E3815" i="7"/>
  <c r="E3193" i="7"/>
  <c r="E3383" i="7"/>
  <c r="E1633" i="7"/>
  <c r="E3652" i="7"/>
  <c r="E3891" i="7"/>
  <c r="E1682" i="7"/>
  <c r="E870" i="7"/>
  <c r="E1867" i="7"/>
  <c r="E1199" i="7"/>
  <c r="E493" i="7"/>
  <c r="E3571" i="7"/>
  <c r="E1098" i="7"/>
  <c r="E1044" i="7"/>
  <c r="E926" i="7"/>
  <c r="E344" i="7"/>
  <c r="E615" i="7"/>
  <c r="E3287" i="7"/>
  <c r="E3477" i="7"/>
  <c r="E1254" i="7"/>
  <c r="E413" i="7"/>
  <c r="E747" i="7"/>
  <c r="E3733" i="7"/>
  <c r="E1449" i="7"/>
  <c r="E1305" i="7"/>
  <c r="E4732" i="7"/>
  <c r="E1924" i="7"/>
  <c r="E1744" i="7"/>
  <c r="E3100" i="7" l="1"/>
  <c r="E813" i="7"/>
  <c r="E4389" i="7"/>
  <c r="E1359" i="7"/>
  <c r="E4891" i="7"/>
  <c r="E1634" i="7"/>
  <c r="E1810" i="7"/>
  <c r="E1200" i="7"/>
  <c r="E682" i="7"/>
  <c r="E272" i="7"/>
  <c r="E1868" i="7"/>
  <c r="E987" i="7"/>
  <c r="E1403" i="7"/>
  <c r="E494" i="7"/>
  <c r="E3970" i="7"/>
  <c r="E345" i="7"/>
  <c r="E1541" i="7"/>
  <c r="E1149" i="7"/>
  <c r="E1450" i="7"/>
  <c r="E1497" i="7"/>
  <c r="E3816" i="7" l="1"/>
  <c r="E3101" i="7"/>
  <c r="E1588" i="7"/>
  <c r="E4390" i="7"/>
  <c r="E3194" i="7"/>
  <c r="E3384" i="7"/>
  <c r="E3653" i="7"/>
  <c r="E3892" i="7"/>
  <c r="E871" i="7"/>
  <c r="E683" i="7"/>
  <c r="E1045" i="7"/>
  <c r="E1683" i="7"/>
  <c r="E1589" i="7"/>
  <c r="E927" i="7"/>
  <c r="E3572" i="7"/>
  <c r="E988" i="7"/>
  <c r="E616" i="7"/>
  <c r="E1306" i="7"/>
  <c r="E495" i="7"/>
  <c r="E748" i="7"/>
  <c r="E1099" i="7"/>
  <c r="E3478" i="7"/>
  <c r="E3288" i="7"/>
  <c r="E1255" i="7"/>
  <c r="E414" i="7"/>
  <c r="E3734" i="7"/>
  <c r="E1925" i="7"/>
  <c r="E4733" i="7"/>
  <c r="E1745" i="7"/>
  <c r="E814" i="7" l="1"/>
  <c r="E1360" i="7"/>
  <c r="E4892" i="7"/>
  <c r="E1811" i="7"/>
  <c r="E1201" i="7"/>
  <c r="E3817" i="7"/>
  <c r="E872" i="7"/>
  <c r="E1869" i="7"/>
  <c r="E273" i="7"/>
  <c r="E617" i="7"/>
  <c r="E1404" i="7"/>
  <c r="E1635" i="7"/>
  <c r="E496" i="7"/>
  <c r="E1150" i="7"/>
  <c r="E928" i="7"/>
  <c r="E3971" i="7"/>
  <c r="E1542" i="7"/>
  <c r="E346" i="7"/>
  <c r="E415" i="7"/>
  <c r="E3573" i="7"/>
  <c r="E1498" i="7"/>
  <c r="E1451" i="7"/>
  <c r="E3195" i="7" l="1"/>
  <c r="E4893" i="7"/>
  <c r="E4391" i="7"/>
  <c r="E3893" i="7"/>
  <c r="E3385" i="7"/>
  <c r="E815" i="7"/>
  <c r="E3654" i="7"/>
  <c r="E1046" i="7"/>
  <c r="E1684" i="7"/>
  <c r="E749" i="7"/>
  <c r="E989" i="7"/>
  <c r="E1307" i="7"/>
  <c r="E3102" i="7"/>
  <c r="E3479" i="7"/>
  <c r="E3735" i="7"/>
  <c r="E1590" i="7"/>
  <c r="E684" i="7"/>
  <c r="E1100" i="7"/>
  <c r="E1926" i="7"/>
  <c r="E1256" i="7"/>
  <c r="E3289" i="7"/>
  <c r="E618" i="7"/>
  <c r="E4734" i="7"/>
  <c r="E1746" i="7"/>
  <c r="E497" i="7"/>
  <c r="E1361" i="7" l="1"/>
  <c r="E1812" i="7"/>
  <c r="E4894" i="7"/>
  <c r="E1202" i="7"/>
  <c r="E3196" i="7"/>
  <c r="E1405" i="7"/>
  <c r="E3818" i="7"/>
  <c r="E750" i="7"/>
  <c r="E274" i="7"/>
  <c r="E873" i="7"/>
  <c r="E1870" i="7"/>
  <c r="E1636" i="7"/>
  <c r="E685" i="7"/>
  <c r="E1151" i="7"/>
  <c r="E929" i="7"/>
  <c r="E1543" i="7"/>
  <c r="E3972" i="7"/>
  <c r="E347" i="7"/>
  <c r="E816" i="7"/>
  <c r="E416" i="7"/>
  <c r="E3574" i="7"/>
  <c r="E1499" i="7"/>
  <c r="E1452" i="7"/>
  <c r="E498" i="7"/>
  <c r="E3386" i="7" l="1"/>
  <c r="E1813" i="7"/>
  <c r="E4392" i="7"/>
  <c r="E3894" i="7"/>
  <c r="E3655" i="7"/>
  <c r="E1406" i="7"/>
  <c r="E1047" i="7"/>
  <c r="E3819" i="7"/>
  <c r="E990" i="7"/>
  <c r="E1685" i="7"/>
  <c r="E3103" i="7"/>
  <c r="E3736" i="7"/>
  <c r="E3480" i="7"/>
  <c r="E1591" i="7"/>
  <c r="E275" i="7"/>
  <c r="E1308" i="7"/>
  <c r="E499" i="7"/>
  <c r="E1101" i="7"/>
  <c r="E1257" i="7"/>
  <c r="E3197" i="7"/>
  <c r="E1927" i="7"/>
  <c r="E3290" i="7"/>
  <c r="E619" i="7"/>
  <c r="E1544" i="7"/>
  <c r="E4735" i="7"/>
  <c r="E1747" i="7"/>
  <c r="E1362" i="7" l="1"/>
  <c r="E1203" i="7"/>
  <c r="E1637" i="7"/>
  <c r="E3656" i="7"/>
  <c r="E1152" i="7"/>
  <c r="E1871" i="7"/>
  <c r="E4895" i="7"/>
  <c r="E3104" i="7"/>
  <c r="E874" i="7"/>
  <c r="E1592" i="7"/>
  <c r="E686" i="7"/>
  <c r="E930" i="7"/>
  <c r="E751" i="7"/>
  <c r="E3973" i="7"/>
  <c r="E1500" i="7"/>
  <c r="E500" i="7"/>
  <c r="E1258" i="7"/>
  <c r="E1048" i="7"/>
  <c r="E4736" i="7"/>
  <c r="E3481" i="7"/>
  <c r="E817" i="7"/>
  <c r="E348" i="7"/>
  <c r="E417" i="7"/>
  <c r="E3575" i="7"/>
  <c r="E1545" i="7"/>
  <c r="E1453" i="7"/>
  <c r="E991" i="7"/>
  <c r="X209" i="14" l="1"/>
  <c r="AD34" i="11" s="1"/>
  <c r="X210" i="14"/>
  <c r="X215" i="14"/>
  <c r="E1872" i="7"/>
  <c r="E3387" i="7"/>
  <c r="E4393" i="7"/>
  <c r="E3895" i="7"/>
  <c r="E1204" i="7"/>
  <c r="E1686" i="7"/>
  <c r="E1363" i="7"/>
  <c r="E3737" i="7"/>
  <c r="E3820" i="7"/>
  <c r="E1407" i="7"/>
  <c r="E276" i="7"/>
  <c r="E1309" i="7"/>
  <c r="E501" i="7"/>
  <c r="E1102" i="7"/>
  <c r="E1814" i="7"/>
  <c r="E1928" i="7"/>
  <c r="E3198" i="7"/>
  <c r="E3291" i="7"/>
  <c r="E620" i="7"/>
  <c r="E818" i="7"/>
  <c r="E3105" i="7"/>
  <c r="E1748" i="7"/>
  <c r="E4896" i="7" l="1"/>
  <c r="E1638" i="7"/>
  <c r="E1153" i="7"/>
  <c r="E3657" i="7"/>
  <c r="E687" i="7"/>
  <c r="E1873" i="7"/>
  <c r="E1501" i="7"/>
  <c r="E931" i="7"/>
  <c r="E875" i="7"/>
  <c r="E752" i="7"/>
  <c r="E502" i="7"/>
  <c r="E3974" i="7"/>
  <c r="E1593" i="7"/>
  <c r="E1049" i="7"/>
  <c r="E3482" i="7"/>
  <c r="E349" i="7"/>
  <c r="E418" i="7"/>
  <c r="E3738" i="7"/>
  <c r="E3388" i="7"/>
  <c r="E4737" i="7"/>
  <c r="E3576" i="7"/>
  <c r="E1546" i="7"/>
  <c r="E1454" i="7"/>
  <c r="E1259" i="7"/>
  <c r="E992" i="7"/>
  <c r="E4897" i="7" l="1"/>
  <c r="E1205" i="7"/>
  <c r="E3896" i="7"/>
  <c r="E1502" i="7"/>
  <c r="E1364" i="7"/>
  <c r="E503" i="7"/>
  <c r="E1687" i="7"/>
  <c r="E1408" i="7"/>
  <c r="E3821" i="7"/>
  <c r="E277" i="7"/>
  <c r="E1310" i="7"/>
  <c r="E1103" i="7"/>
  <c r="E1929" i="7"/>
  <c r="E1815" i="7"/>
  <c r="E3199" i="7"/>
  <c r="E3292" i="7"/>
  <c r="E621" i="7"/>
  <c r="E1749" i="7"/>
  <c r="E3106" i="7"/>
  <c r="E819" i="7"/>
  <c r="E1594" i="7" l="1"/>
  <c r="E1639" i="7"/>
  <c r="E1206" i="7"/>
  <c r="E1154" i="7"/>
  <c r="E688" i="7"/>
  <c r="E3658" i="7"/>
  <c r="E504" i="7"/>
  <c r="E932" i="7"/>
  <c r="E753" i="7"/>
  <c r="E1874" i="7"/>
  <c r="E1816" i="7"/>
  <c r="E876" i="7"/>
  <c r="E1050" i="7"/>
  <c r="E3975" i="7"/>
  <c r="E3483" i="7"/>
  <c r="E993" i="7"/>
  <c r="E419" i="7"/>
  <c r="E350" i="7"/>
  <c r="E3739" i="7"/>
  <c r="E3389" i="7"/>
  <c r="E4738" i="7"/>
  <c r="E3577" i="7"/>
  <c r="E1547" i="7"/>
  <c r="E1455" i="7"/>
  <c r="E1260" i="7"/>
  <c r="E4898" i="7" l="1"/>
  <c r="E3897" i="7"/>
  <c r="E1503" i="7"/>
  <c r="E1640" i="7"/>
  <c r="E1930" i="7"/>
  <c r="E1365" i="7"/>
  <c r="E1548" i="7"/>
  <c r="E1456" i="7"/>
  <c r="E505" i="7"/>
  <c r="E1409" i="7"/>
  <c r="E1688" i="7"/>
  <c r="E3822" i="7"/>
  <c r="E278" i="7"/>
  <c r="E1311" i="7"/>
  <c r="E1104" i="7"/>
  <c r="E3484" i="7"/>
  <c r="E1750" i="7"/>
  <c r="E3200" i="7"/>
  <c r="E1051" i="7"/>
  <c r="E3293" i="7"/>
  <c r="E622" i="7"/>
  <c r="E1875" i="7"/>
  <c r="E3107" i="7"/>
  <c r="E820" i="7"/>
  <c r="E4739" i="7"/>
  <c r="E1207" i="7"/>
  <c r="E933" i="7" l="1"/>
  <c r="E1641" i="7"/>
  <c r="E1457" i="7"/>
  <c r="E1595" i="7"/>
  <c r="E689" i="7"/>
  <c r="E3659" i="7"/>
  <c r="E1155" i="7"/>
  <c r="E754" i="7"/>
  <c r="E877" i="7"/>
  <c r="E1312" i="7"/>
  <c r="E994" i="7"/>
  <c r="E420" i="7"/>
  <c r="E1817" i="7"/>
  <c r="E3976" i="7"/>
  <c r="E351" i="7"/>
  <c r="E3740" i="7"/>
  <c r="E3390" i="7"/>
  <c r="E3578" i="7"/>
  <c r="E1261" i="7"/>
  <c r="O157" i="11"/>
  <c r="P114" i="11"/>
  <c r="AC167" i="11"/>
  <c r="M1683" i="7"/>
  <c r="P128" i="11"/>
  <c r="S112" i="11"/>
  <c r="R162" i="11"/>
  <c r="AA164" i="11"/>
  <c r="M615" i="7"/>
  <c r="M1541" i="7"/>
  <c r="O167" i="11"/>
  <c r="O127" i="11"/>
  <c r="O144" i="11"/>
  <c r="F130" i="11"/>
  <c r="M1253" i="7"/>
  <c r="C120" i="11"/>
  <c r="R152" i="11"/>
  <c r="M345" i="7"/>
  <c r="P109" i="11"/>
  <c r="AK12" i="11"/>
  <c r="O134" i="11"/>
  <c r="S129" i="11"/>
  <c r="S121" i="11"/>
  <c r="AA159" i="11"/>
  <c r="AC136" i="11"/>
  <c r="R133" i="11"/>
  <c r="AI31" i="11"/>
  <c r="O111" i="11"/>
  <c r="R159" i="11"/>
  <c r="P172" i="11"/>
  <c r="C119" i="11"/>
  <c r="M1866" i="7"/>
  <c r="F165" i="11"/>
  <c r="R146" i="11"/>
  <c r="AD158" i="11"/>
  <c r="P157" i="11"/>
  <c r="P139" i="11"/>
  <c r="R119" i="11"/>
  <c r="R113" i="11"/>
  <c r="M1257" i="7"/>
  <c r="P110" i="11"/>
  <c r="F122" i="11"/>
  <c r="M1405" i="7"/>
  <c r="M1256" i="7"/>
  <c r="AQ165" i="11"/>
  <c r="M1306" i="7"/>
  <c r="C105" i="11"/>
  <c r="O109" i="11"/>
  <c r="M3479" i="7"/>
  <c r="R158" i="11"/>
  <c r="F160" i="11"/>
  <c r="M1305" i="7"/>
  <c r="AC144" i="11"/>
  <c r="C121" i="11"/>
  <c r="AA132" i="11"/>
  <c r="X168" i="11"/>
  <c r="AD143" i="11"/>
  <c r="AD170" i="11"/>
  <c r="M1811" i="7"/>
  <c r="M3103" i="7"/>
  <c r="O110" i="11"/>
  <c r="P105" i="11"/>
  <c r="AC175" i="11"/>
  <c r="O128" i="11"/>
  <c r="M1403" i="7"/>
  <c r="F137" i="11"/>
  <c r="AC137" i="11"/>
  <c r="O130" i="11"/>
  <c r="X169" i="11"/>
  <c r="M1200" i="7"/>
  <c r="S158" i="11"/>
  <c r="S131" i="11"/>
  <c r="P175" i="11"/>
  <c r="P107" i="11"/>
  <c r="M1924" i="7"/>
  <c r="F117" i="11"/>
  <c r="R161" i="11"/>
  <c r="X118" i="11"/>
  <c r="P117" i="11"/>
  <c r="AA162" i="11"/>
  <c r="F155" i="11"/>
  <c r="M3195" i="7"/>
  <c r="M272" i="7"/>
  <c r="AT170" i="11"/>
  <c r="O116" i="11"/>
  <c r="M348" i="7"/>
  <c r="O124" i="11"/>
  <c r="AC176" i="11"/>
  <c r="M4891" i="7"/>
  <c r="F126" i="11"/>
  <c r="M3477" i="7"/>
  <c r="AS103" i="11"/>
  <c r="M4392" i="7"/>
  <c r="M1744" i="7"/>
  <c r="AA130" i="11"/>
  <c r="AD174" i="11"/>
  <c r="AA131" i="11"/>
  <c r="M1587" i="7"/>
  <c r="M4893" i="7"/>
  <c r="F115" i="11"/>
  <c r="AD141" i="11"/>
  <c r="R138" i="11"/>
  <c r="P153" i="11"/>
  <c r="F157" i="11"/>
  <c r="S144" i="11"/>
  <c r="M4890" i="7"/>
  <c r="M1810" i="7"/>
  <c r="R116" i="11"/>
  <c r="P173" i="11"/>
  <c r="O123" i="11"/>
  <c r="P147" i="11"/>
  <c r="AI12" i="11"/>
  <c r="M271" i="7"/>
  <c r="P165" i="11"/>
  <c r="R121" i="11"/>
  <c r="R128" i="11"/>
  <c r="F108" i="11"/>
  <c r="R153" i="11"/>
  <c r="P108" i="11"/>
  <c r="AD119" i="11"/>
  <c r="X167" i="11"/>
  <c r="R164" i="11"/>
  <c r="M3732" i="7"/>
  <c r="M1684" i="7"/>
  <c r="AA129" i="11"/>
  <c r="M493" i="7"/>
  <c r="AT136" i="11"/>
  <c r="P160" i="11"/>
  <c r="M1544" i="7"/>
  <c r="AD142" i="11"/>
  <c r="AT142" i="11"/>
  <c r="AC132" i="11"/>
  <c r="S108" i="11"/>
  <c r="C115" i="11"/>
  <c r="AA175" i="11"/>
  <c r="AS114" i="11"/>
  <c r="AK29" i="11"/>
  <c r="M870" i="7"/>
  <c r="S106" i="11"/>
  <c r="AI16" i="11"/>
  <c r="AT153" i="11"/>
  <c r="M1255" i="7"/>
  <c r="P113" i="11"/>
  <c r="O138" i="11"/>
  <c r="M3100" i="7"/>
  <c r="M992" i="7"/>
  <c r="O112" i="11"/>
  <c r="M492" i="7"/>
  <c r="M1361" i="7"/>
  <c r="P140" i="11"/>
  <c r="S217" i="14"/>
  <c r="AD167" i="11"/>
  <c r="M1593" i="7"/>
  <c r="AP124" i="11"/>
  <c r="AV133" i="11"/>
  <c r="AR113" i="11"/>
  <c r="P141" i="11"/>
  <c r="AA126" i="11"/>
  <c r="F173" i="11"/>
  <c r="AT138" i="11"/>
  <c r="M1307" i="7"/>
  <c r="M4389" i="7"/>
  <c r="AC153" i="11"/>
  <c r="R105" i="11"/>
  <c r="M3821" i="7"/>
  <c r="AD164" i="11"/>
  <c r="AT137" i="11"/>
  <c r="X176" i="11"/>
  <c r="M1452" i="7"/>
  <c r="AC164" i="11"/>
  <c r="AD139" i="11"/>
  <c r="M1309" i="7"/>
  <c r="O141" i="11"/>
  <c r="P106" i="11"/>
  <c r="S138" i="11"/>
  <c r="AD151" i="11"/>
  <c r="M816" i="7"/>
  <c r="P171" i="11"/>
  <c r="AC150" i="11"/>
  <c r="M3480" i="7"/>
  <c r="AT151" i="11"/>
  <c r="AT163" i="11"/>
  <c r="M1203" i="7"/>
  <c r="AC119" i="11"/>
  <c r="M413" i="7"/>
  <c r="F141" i="11"/>
  <c r="M1048" i="7"/>
  <c r="P155" i="11"/>
  <c r="F104" i="11"/>
  <c r="M4737" i="7"/>
  <c r="M1748" i="7"/>
  <c r="F151" i="11"/>
  <c r="M1360" i="7"/>
  <c r="S107" i="11"/>
  <c r="M749" i="7"/>
  <c r="AD157" i="11"/>
  <c r="O155" i="11"/>
  <c r="O217" i="14"/>
  <c r="M3193" i="7"/>
  <c r="P124" i="11"/>
  <c r="X217" i="14"/>
  <c r="M4736" i="7"/>
  <c r="O125" i="11"/>
  <c r="M875" i="7"/>
  <c r="M1258" i="7"/>
  <c r="M1923" i="7"/>
  <c r="P154" i="11"/>
  <c r="O121" i="11"/>
  <c r="M1540" i="7"/>
  <c r="M4734" i="7"/>
  <c r="M752" i="7"/>
  <c r="AP111" i="11"/>
  <c r="M3577" i="7"/>
  <c r="AD153" i="11"/>
  <c r="C117" i="11"/>
  <c r="P133" i="11"/>
  <c r="M1746" i="7"/>
  <c r="O137" i="11"/>
  <c r="M1407" i="7"/>
  <c r="M1500" i="7"/>
  <c r="M276" i="7"/>
  <c r="M1497" i="7"/>
  <c r="F133" i="11"/>
  <c r="F123" i="11"/>
  <c r="M617" i="7"/>
  <c r="AT174" i="11"/>
  <c r="C112" i="11"/>
  <c r="M3482" i="7"/>
  <c r="AS118" i="11"/>
  <c r="AA118" i="11"/>
  <c r="AS107" i="11"/>
  <c r="R168" i="11"/>
  <c r="AD155" i="11"/>
  <c r="M3197" i="7"/>
  <c r="M686" i="7"/>
  <c r="P162" i="11"/>
  <c r="M1406" i="7"/>
  <c r="M3654" i="7"/>
  <c r="M3385" i="7"/>
  <c r="M1589" i="7"/>
  <c r="R150" i="11"/>
  <c r="M349" i="7"/>
  <c r="AU107" i="11"/>
  <c r="AU106" i="11"/>
  <c r="AV122" i="11"/>
  <c r="M3738" i="7"/>
  <c r="AU132" i="11"/>
  <c r="AR147" i="11"/>
  <c r="AV167" i="11"/>
  <c r="AR131" i="11"/>
  <c r="AQ115" i="11"/>
  <c r="AR163" i="11"/>
  <c r="M3739" i="7"/>
  <c r="AU119" i="11"/>
  <c r="AP109" i="11"/>
  <c r="AD145" i="11"/>
  <c r="R151" i="11"/>
  <c r="P152" i="11"/>
  <c r="F114" i="11"/>
  <c r="AD134" i="11"/>
  <c r="S111" i="11"/>
  <c r="M682" i="7"/>
  <c r="AK30" i="11"/>
  <c r="M871" i="7"/>
  <c r="S137" i="11"/>
  <c r="AD129" i="11"/>
  <c r="P125" i="11"/>
  <c r="F143" i="11"/>
  <c r="AD128" i="11"/>
  <c r="F170" i="11"/>
  <c r="M3104" i="7"/>
  <c r="AT160" i="11"/>
  <c r="M3386" i="7"/>
  <c r="AT128" i="11"/>
  <c r="R166" i="11"/>
  <c r="F135" i="11"/>
  <c r="AT165" i="11"/>
  <c r="O162" i="11"/>
  <c r="AA169" i="11"/>
  <c r="AA134" i="11"/>
  <c r="M1100" i="7"/>
  <c r="C106" i="11"/>
  <c r="S140" i="11"/>
  <c r="P123" i="11"/>
  <c r="M814" i="7"/>
  <c r="P170" i="11"/>
  <c r="S149" i="11"/>
  <c r="AA174" i="11"/>
  <c r="F176" i="11"/>
  <c r="O151" i="11"/>
  <c r="AD168" i="11"/>
  <c r="P116" i="11"/>
  <c r="AC130" i="11"/>
  <c r="R122" i="11"/>
  <c r="R144" i="11"/>
  <c r="M415" i="7"/>
  <c r="AA146" i="11"/>
  <c r="M500" i="7"/>
  <c r="O120" i="11"/>
  <c r="M1045" i="7"/>
  <c r="AA148" i="11"/>
  <c r="R114" i="11"/>
  <c r="R165" i="11"/>
  <c r="AA150" i="11"/>
  <c r="M3817" i="7"/>
  <c r="S126" i="11"/>
  <c r="M1151" i="7"/>
  <c r="S168" i="11"/>
  <c r="AC170" i="11"/>
  <c r="C110" i="11"/>
  <c r="AT135" i="11"/>
  <c r="AA143" i="11"/>
  <c r="M1199" i="7"/>
  <c r="P121" i="11"/>
  <c r="AA142" i="11"/>
  <c r="AT176" i="11"/>
  <c r="M498" i="7"/>
  <c r="S173" i="11"/>
  <c r="P120" i="11"/>
  <c r="M1046" i="7"/>
  <c r="AA173" i="11"/>
  <c r="F152" i="11"/>
  <c r="F111" i="11"/>
  <c r="R175" i="11"/>
  <c r="O172" i="11"/>
  <c r="M1152" i="7"/>
  <c r="R110" i="11"/>
  <c r="AC172" i="11"/>
  <c r="S110" i="11"/>
  <c r="O104" i="11"/>
  <c r="F174" i="11"/>
  <c r="M1496" i="7"/>
  <c r="AA170" i="11"/>
  <c r="M1747" i="7"/>
  <c r="R169" i="11"/>
  <c r="F148" i="11"/>
  <c r="S161" i="11"/>
  <c r="R123" i="11"/>
  <c r="P161" i="11"/>
  <c r="O143" i="11"/>
  <c r="AC171" i="11"/>
  <c r="O170" i="11"/>
  <c r="O148" i="11"/>
  <c r="R107" i="11"/>
  <c r="P111" i="11"/>
  <c r="O158" i="11"/>
  <c r="R149" i="11"/>
  <c r="AQ168" i="11"/>
  <c r="AD133" i="11"/>
  <c r="S163" i="11"/>
  <c r="O152" i="11"/>
  <c r="R171" i="11"/>
  <c r="P149" i="11"/>
  <c r="AC165" i="11"/>
  <c r="M1925" i="7"/>
  <c r="F131" i="11"/>
  <c r="M929" i="7"/>
  <c r="F166" i="11"/>
  <c r="AQ175" i="11"/>
  <c r="S113" i="11"/>
  <c r="AD132" i="11"/>
  <c r="O168" i="11"/>
  <c r="AT158" i="11"/>
  <c r="P146" i="11"/>
  <c r="R118" i="11"/>
  <c r="AK16" i="11"/>
  <c r="S103" i="11"/>
  <c r="M416" i="7"/>
  <c r="AD171" i="11"/>
  <c r="AA136" i="11"/>
  <c r="S169" i="11"/>
  <c r="M1681" i="7"/>
  <c r="R139" i="11"/>
  <c r="M4388" i="7"/>
  <c r="AC163" i="11"/>
  <c r="F129" i="11"/>
  <c r="C113" i="11"/>
  <c r="AK9" i="11"/>
  <c r="O156" i="11"/>
  <c r="S141" i="11"/>
  <c r="AC168" i="11"/>
  <c r="AK21" i="11"/>
  <c r="C103" i="11"/>
  <c r="AT147" i="11"/>
  <c r="AC157" i="11"/>
  <c r="F161" i="11"/>
  <c r="M931" i="7"/>
  <c r="F149" i="11"/>
  <c r="P156" i="11"/>
  <c r="M3196" i="7"/>
  <c r="AC152" i="11"/>
  <c r="AK25" i="11"/>
  <c r="AC146" i="11"/>
  <c r="M1364" i="7"/>
  <c r="AK10" i="11"/>
  <c r="F172" i="11"/>
  <c r="F171" i="11"/>
  <c r="M495" i="7"/>
  <c r="AT155" i="11"/>
  <c r="M1590" i="7"/>
  <c r="M3198" i="7"/>
  <c r="AA157" i="11"/>
  <c r="C118" i="11"/>
  <c r="P168" i="11"/>
  <c r="M3288" i="7"/>
  <c r="F120" i="11"/>
  <c r="M4894" i="7"/>
  <c r="M277" i="7"/>
  <c r="AR114" i="11"/>
  <c r="AU139" i="11"/>
  <c r="AR151" i="11"/>
  <c r="AS124" i="11"/>
  <c r="R170" i="11"/>
  <c r="M3652" i="7"/>
  <c r="S172" i="11"/>
  <c r="AI8" i="11"/>
  <c r="AA151" i="11"/>
  <c r="M1201" i="7"/>
  <c r="M685" i="7"/>
  <c r="M3657" i="7"/>
  <c r="AK8" i="11"/>
  <c r="M1636" i="7"/>
  <c r="M1363" i="7"/>
  <c r="AC118" i="11"/>
  <c r="AT144" i="11"/>
  <c r="AT148" i="11"/>
  <c r="M494" i="7"/>
  <c r="S160" i="11"/>
  <c r="M1867" i="7"/>
  <c r="S174" i="11"/>
  <c r="M813" i="7"/>
  <c r="M928" i="7"/>
  <c r="AD137" i="11"/>
  <c r="AA163" i="11"/>
  <c r="P134" i="11"/>
  <c r="M3816" i="7"/>
  <c r="F168" i="11"/>
  <c r="M1202" i="7"/>
  <c r="R176" i="11"/>
  <c r="F144" i="11"/>
  <c r="M812" i="7"/>
  <c r="M3289" i="7"/>
  <c r="M4393" i="7"/>
  <c r="AD130" i="11"/>
  <c r="M1638" i="7"/>
  <c r="P126" i="11"/>
  <c r="F103" i="11"/>
  <c r="F136" i="11"/>
  <c r="AA141" i="11"/>
  <c r="AA156" i="11"/>
  <c r="M1814" i="7"/>
  <c r="M418" i="7"/>
  <c r="AA160" i="11"/>
  <c r="F175" i="11"/>
  <c r="R142" i="11"/>
  <c r="P129" i="11"/>
  <c r="M1926" i="7"/>
  <c r="M3655" i="7"/>
  <c r="M1592" i="7"/>
  <c r="C104" i="11"/>
  <c r="P148" i="11"/>
  <c r="R130" i="11"/>
  <c r="R145" i="11"/>
  <c r="F140" i="11"/>
  <c r="M1745" i="7"/>
  <c r="M1103" i="7"/>
  <c r="AU125" i="11"/>
  <c r="AU117" i="11"/>
  <c r="P169" i="11"/>
  <c r="AA144" i="11"/>
  <c r="M3575" i="7"/>
  <c r="AD135" i="11"/>
  <c r="F121" i="11"/>
  <c r="M1402" i="7"/>
  <c r="O166" i="11"/>
  <c r="M3388" i="7"/>
  <c r="M1362" i="7"/>
  <c r="AA176" i="11"/>
  <c r="F158" i="11"/>
  <c r="AC161" i="11"/>
  <c r="AC133" i="11"/>
  <c r="AA165" i="11"/>
  <c r="M1049" i="7"/>
  <c r="M4895" i="7"/>
  <c r="AT168" i="11"/>
  <c r="O122" i="11"/>
  <c r="S150" i="11"/>
  <c r="AT156" i="11"/>
  <c r="AC145" i="11"/>
  <c r="M1153" i="7"/>
  <c r="AI9" i="11"/>
  <c r="P159" i="11"/>
  <c r="M417" i="7"/>
  <c r="S165" i="11"/>
  <c r="O136" i="11"/>
  <c r="M497" i="7"/>
  <c r="M3106" i="7"/>
  <c r="AQ123" i="11"/>
  <c r="AV131" i="11"/>
  <c r="F167" i="11"/>
  <c r="AR107" i="11"/>
  <c r="AQ120" i="11"/>
  <c r="AP146" i="11"/>
  <c r="AR129" i="11"/>
  <c r="AU109" i="11"/>
  <c r="AR126" i="11"/>
  <c r="AV147" i="11"/>
  <c r="AP145" i="11"/>
  <c r="AR108" i="11"/>
  <c r="AS116" i="11"/>
  <c r="AQ166" i="11"/>
  <c r="F169" i="11"/>
  <c r="M4390" i="7"/>
  <c r="S115" i="11"/>
  <c r="F163" i="11"/>
  <c r="M1451" i="7"/>
  <c r="AA152" i="11"/>
  <c r="M1044" i="7"/>
  <c r="M1633" i="7"/>
  <c r="AT164" i="11"/>
  <c r="R115" i="11"/>
  <c r="F153" i="11"/>
  <c r="M4733" i="7"/>
  <c r="F142" i="11"/>
  <c r="M616" i="7"/>
  <c r="O176" i="11"/>
  <c r="F124" i="11"/>
  <c r="M3572" i="7"/>
  <c r="X166" i="11"/>
  <c r="M346" i="7"/>
  <c r="AS104" i="11"/>
  <c r="M987" i="7"/>
  <c r="AD147" i="11"/>
  <c r="M1545" i="7"/>
  <c r="M1453" i="7"/>
  <c r="M986" i="7"/>
  <c r="M3574" i="7"/>
  <c r="M4892" i="7"/>
  <c r="R148" i="11"/>
  <c r="AI34" i="11"/>
  <c r="F162" i="11"/>
  <c r="O153" i="11"/>
  <c r="M1358" i="7"/>
  <c r="O163" i="11"/>
  <c r="R147" i="11"/>
  <c r="AA153" i="11"/>
  <c r="F110" i="11"/>
  <c r="R126" i="11"/>
  <c r="P119" i="11"/>
  <c r="AS125" i="11"/>
  <c r="O171" i="11"/>
  <c r="O103" i="11"/>
  <c r="M273" i="7"/>
  <c r="AA154" i="11"/>
  <c r="AI14" i="11"/>
  <c r="M748" i="7"/>
  <c r="AD131" i="11"/>
  <c r="M3818" i="7"/>
  <c r="M3735" i="7"/>
  <c r="S146" i="11"/>
  <c r="P104" i="11"/>
  <c r="O142" i="11"/>
  <c r="X170" i="11"/>
  <c r="AT173" i="11"/>
  <c r="S166" i="11"/>
  <c r="F119" i="11"/>
  <c r="AT134" i="11"/>
  <c r="AC155" i="11"/>
  <c r="AA172" i="11"/>
  <c r="M1150" i="7"/>
  <c r="M3734" i="7"/>
  <c r="AC159" i="11"/>
  <c r="R157" i="11"/>
  <c r="R163" i="11"/>
  <c r="F116" i="11"/>
  <c r="P115" i="11"/>
  <c r="AD165" i="11"/>
  <c r="AD176" i="11"/>
  <c r="O175" i="11"/>
  <c r="S164" i="11"/>
  <c r="R117" i="11"/>
  <c r="F106" i="11"/>
  <c r="F145" i="11"/>
  <c r="AC154" i="11"/>
  <c r="O132" i="11"/>
  <c r="M1149" i="7"/>
  <c r="AT130" i="11"/>
  <c r="AC134" i="11"/>
  <c r="R137" i="11"/>
  <c r="M1098" i="7"/>
  <c r="AA119" i="11"/>
  <c r="AD159" i="11"/>
  <c r="P150" i="11"/>
  <c r="AA155" i="11"/>
  <c r="P127" i="11"/>
  <c r="F112" i="11"/>
  <c r="M681" i="7"/>
  <c r="M4391" i="7"/>
  <c r="AA158" i="11"/>
  <c r="F154" i="11"/>
  <c r="AQ169" i="11"/>
  <c r="X165" i="11"/>
  <c r="AC135" i="11"/>
  <c r="R155" i="11"/>
  <c r="S175" i="11"/>
  <c r="AA171" i="11"/>
  <c r="R112" i="11"/>
  <c r="AC166" i="11"/>
  <c r="M3895" i="7"/>
  <c r="O174" i="11"/>
  <c r="S128" i="11"/>
  <c r="M1869" i="7"/>
  <c r="AD138" i="11"/>
  <c r="AK13" i="11"/>
  <c r="S142" i="11"/>
  <c r="O129" i="11"/>
  <c r="AK24" i="11"/>
  <c r="S153" i="11"/>
  <c r="M618" i="7"/>
  <c r="AD154" i="11"/>
  <c r="S170" i="11"/>
  <c r="M815" i="7"/>
  <c r="R127" i="11"/>
  <c r="AS121" i="11"/>
  <c r="AC140" i="11"/>
  <c r="M874" i="7"/>
  <c r="O114" i="11"/>
  <c r="F138" i="11"/>
  <c r="M1499" i="7"/>
  <c r="AC151" i="11"/>
  <c r="M274" i="7"/>
  <c r="R156" i="11"/>
  <c r="AT140" i="11"/>
  <c r="S105" i="11"/>
  <c r="AS109" i="11"/>
  <c r="M3653" i="7"/>
  <c r="S143" i="11"/>
  <c r="S171" i="11"/>
  <c r="F159" i="11"/>
  <c r="AC139" i="11"/>
  <c r="S134" i="11"/>
  <c r="M687" i="7"/>
  <c r="M1043" i="7"/>
  <c r="AD166" i="11"/>
  <c r="M1635" i="7"/>
  <c r="AA147" i="11"/>
  <c r="O117" i="11"/>
  <c r="M1449" i="7"/>
  <c r="M1685" i="7"/>
  <c r="P164" i="11"/>
  <c r="O107" i="11"/>
  <c r="S157" i="11"/>
  <c r="AT145" i="11"/>
  <c r="AD175" i="11"/>
  <c r="AD172" i="11"/>
  <c r="AT126" i="11"/>
  <c r="C109" i="11"/>
  <c r="M3656" i="7"/>
  <c r="X119" i="11"/>
  <c r="M3387" i="7"/>
  <c r="M1308" i="7"/>
  <c r="O161" i="11"/>
  <c r="M3820" i="7"/>
  <c r="AP162" i="11"/>
  <c r="AR120" i="11"/>
  <c r="AT121" i="11"/>
  <c r="M619" i="7"/>
  <c r="R124" i="11"/>
  <c r="C107" i="11"/>
  <c r="AC127" i="11"/>
  <c r="S136" i="11"/>
  <c r="AS117" i="11"/>
  <c r="AD169" i="11"/>
  <c r="AD127" i="11"/>
  <c r="AC162" i="11"/>
  <c r="AA127" i="11"/>
  <c r="S125" i="11"/>
  <c r="M499" i="7"/>
  <c r="AK26" i="11"/>
  <c r="R109" i="11"/>
  <c r="M3973" i="7"/>
  <c r="AD161" i="11"/>
  <c r="M1254" i="7"/>
  <c r="F105" i="11"/>
  <c r="P143" i="11"/>
  <c r="S147" i="11"/>
  <c r="AC173" i="11"/>
  <c r="M4897" i="7"/>
  <c r="O165" i="11"/>
  <c r="S156" i="11"/>
  <c r="M1588" i="7"/>
  <c r="P174" i="11"/>
  <c r="AK17" i="11"/>
  <c r="M3737" i="7"/>
  <c r="AA128" i="11"/>
  <c r="S176" i="11"/>
  <c r="AT131" i="11"/>
  <c r="M1813" i="7"/>
  <c r="AC160" i="11"/>
  <c r="M620" i="7"/>
  <c r="M818" i="7"/>
  <c r="P135" i="11"/>
  <c r="O118" i="11"/>
  <c r="AS112" i="11"/>
  <c r="AA139" i="11"/>
  <c r="S124" i="11"/>
  <c r="M3481" i="7"/>
  <c r="AS106" i="11"/>
  <c r="O115" i="11"/>
  <c r="AA135" i="11"/>
  <c r="AC141" i="11"/>
  <c r="AT172" i="11"/>
  <c r="O145" i="11"/>
  <c r="AQ164" i="11"/>
  <c r="M1871" i="7"/>
  <c r="F127" i="11"/>
  <c r="O139" i="11"/>
  <c r="C116" i="11"/>
  <c r="AT150" i="11"/>
  <c r="AK27" i="11"/>
  <c r="AP139" i="11"/>
  <c r="AV176" i="11"/>
  <c r="M3384" i="7"/>
  <c r="AT169" i="11"/>
  <c r="AS113" i="11"/>
  <c r="F125" i="11"/>
  <c r="AC147" i="11"/>
  <c r="O126" i="11"/>
  <c r="AT133" i="11"/>
  <c r="M3815" i="7"/>
  <c r="M4896" i="7"/>
  <c r="S162" i="11"/>
  <c r="AD148" i="11"/>
  <c r="M1450" i="7"/>
  <c r="P167" i="11"/>
  <c r="AI26" i="11"/>
  <c r="AT139" i="11"/>
  <c r="M3972" i="7"/>
  <c r="M3478" i="7"/>
  <c r="S123" i="11"/>
  <c r="AC174" i="11"/>
  <c r="AC148" i="11"/>
  <c r="M1101" i="7"/>
  <c r="P122" i="11"/>
  <c r="O146" i="11"/>
  <c r="M275" i="7"/>
  <c r="M3736" i="7"/>
  <c r="O164" i="11"/>
  <c r="M3819" i="7"/>
  <c r="X171" i="11"/>
  <c r="C108" i="11"/>
  <c r="AV162" i="11"/>
  <c r="AQ121" i="11"/>
  <c r="AV105" i="11"/>
  <c r="O135" i="11"/>
  <c r="M3199" i="7"/>
  <c r="AU115" i="11"/>
  <c r="AU140" i="11"/>
  <c r="S145" i="11"/>
  <c r="M1404" i="7"/>
  <c r="P136" i="11"/>
  <c r="AC142" i="11"/>
  <c r="P103" i="11"/>
  <c r="P166" i="11"/>
  <c r="P137" i="11"/>
  <c r="AC156" i="11"/>
  <c r="R129" i="11"/>
  <c r="O119" i="11"/>
  <c r="M3573" i="7"/>
  <c r="M3733" i="7"/>
  <c r="S152" i="11"/>
  <c r="P144" i="11"/>
  <c r="P130" i="11"/>
  <c r="S104" i="11"/>
  <c r="S133" i="11"/>
  <c r="S155" i="11"/>
  <c r="S151" i="11"/>
  <c r="M873" i="7"/>
  <c r="C114" i="11"/>
  <c r="O105" i="11"/>
  <c r="AD144" i="11"/>
  <c r="M926" i="7"/>
  <c r="O113" i="11"/>
  <c r="P132" i="11"/>
  <c r="R108" i="11"/>
  <c r="AA138" i="11"/>
  <c r="R173" i="11"/>
  <c r="AA137" i="11"/>
  <c r="M747" i="7"/>
  <c r="M990" i="7"/>
  <c r="R134" i="11"/>
  <c r="M1634" i="7"/>
  <c r="M872" i="7"/>
  <c r="P163" i="11"/>
  <c r="AI18" i="11"/>
  <c r="AC129" i="11"/>
  <c r="M988" i="7"/>
  <c r="M1359" i="7"/>
  <c r="AD163" i="11"/>
  <c r="S130" i="11"/>
  <c r="M927" i="7"/>
  <c r="S132" i="11"/>
  <c r="R131" i="11"/>
  <c r="AC138" i="11"/>
  <c r="AK22" i="11"/>
  <c r="AS120" i="11"/>
  <c r="S116" i="11"/>
  <c r="AD126" i="11"/>
  <c r="AD149" i="11"/>
  <c r="C122" i="11"/>
  <c r="R143" i="11"/>
  <c r="M3102" i="7"/>
  <c r="O140" i="11"/>
  <c r="R140" i="11"/>
  <c r="AI24" i="11"/>
  <c r="AC158" i="11"/>
  <c r="P138" i="11"/>
  <c r="AD162" i="11"/>
  <c r="AT159" i="11"/>
  <c r="AD118" i="11"/>
  <c r="AD173" i="11"/>
  <c r="M3969" i="7"/>
  <c r="S117" i="11"/>
  <c r="O106" i="11"/>
  <c r="M1591" i="7"/>
  <c r="M4732" i="7"/>
  <c r="M414" i="7"/>
  <c r="O154" i="11"/>
  <c r="M3101" i="7"/>
  <c r="F113" i="11"/>
  <c r="M1868" i="7"/>
  <c r="R111" i="11"/>
  <c r="F118" i="11"/>
  <c r="S127" i="11"/>
  <c r="S159" i="11"/>
  <c r="S167" i="11"/>
  <c r="P131" i="11"/>
  <c r="M1099" i="7"/>
  <c r="AT171" i="11"/>
  <c r="AD146" i="11"/>
  <c r="P176" i="11"/>
  <c r="R167" i="11"/>
  <c r="F139" i="11"/>
  <c r="AA140" i="11"/>
  <c r="M4735" i="7"/>
  <c r="F128" i="11"/>
  <c r="M1927" i="7"/>
  <c r="O133" i="11"/>
  <c r="AA168" i="11"/>
  <c r="C124" i="11"/>
  <c r="M1148" i="7"/>
  <c r="R174" i="11"/>
  <c r="P145" i="11"/>
  <c r="M684" i="7"/>
  <c r="AD140" i="11"/>
  <c r="O160" i="11"/>
  <c r="C111" i="11"/>
  <c r="O173" i="11"/>
  <c r="AS119" i="11"/>
  <c r="AS110" i="11"/>
  <c r="X164" i="11"/>
  <c r="M1682" i="7"/>
  <c r="F132" i="11"/>
  <c r="M3891" i="7"/>
  <c r="AT146" i="11"/>
  <c r="M1542" i="7"/>
  <c r="M1102" i="7"/>
  <c r="S139" i="11"/>
  <c r="AS105" i="11"/>
  <c r="AD152" i="11"/>
  <c r="R132" i="11"/>
  <c r="F134" i="11"/>
  <c r="R141" i="11"/>
  <c r="O169" i="11"/>
  <c r="AT129" i="11"/>
  <c r="AQ167" i="11"/>
  <c r="AA167" i="11"/>
  <c r="AQ161" i="11"/>
  <c r="AI29" i="11"/>
  <c r="O131" i="11"/>
  <c r="AS108" i="11"/>
  <c r="P112" i="11"/>
  <c r="M496" i="7"/>
  <c r="AT154" i="11"/>
  <c r="AC126" i="11"/>
  <c r="M3893" i="7"/>
  <c r="M3970" i="7"/>
  <c r="M3105" i="7"/>
  <c r="M3291" i="7"/>
  <c r="AT143" i="11"/>
  <c r="M503" i="7"/>
  <c r="S119" i="11"/>
  <c r="M3194" i="7"/>
  <c r="M3290" i="7"/>
  <c r="M3971" i="7"/>
  <c r="R106" i="11"/>
  <c r="M1928" i="7"/>
  <c r="M3974" i="7"/>
  <c r="AD160" i="11"/>
  <c r="R125" i="11"/>
  <c r="AT167" i="11"/>
  <c r="M1637" i="7"/>
  <c r="O150" i="11"/>
  <c r="AC143" i="11"/>
  <c r="M3099" i="7"/>
  <c r="AS111" i="11"/>
  <c r="AT152" i="11"/>
  <c r="X175" i="11"/>
  <c r="R135" i="11"/>
  <c r="P142" i="11"/>
  <c r="M1454" i="7"/>
  <c r="AQ107" i="11"/>
  <c r="AR150" i="11"/>
  <c r="AU111" i="11"/>
  <c r="AR148" i="11"/>
  <c r="S154" i="11"/>
  <c r="M3892" i="7"/>
  <c r="AA161" i="11"/>
  <c r="R154" i="11"/>
  <c r="F107" i="11"/>
  <c r="AT141" i="11"/>
  <c r="C123" i="11"/>
  <c r="M1812" i="7"/>
  <c r="AC128" i="11"/>
  <c r="M3287" i="7"/>
  <c r="M1498" i="7"/>
  <c r="AT175" i="11"/>
  <c r="M1204" i="7"/>
  <c r="S118" i="11"/>
  <c r="M502" i="7"/>
  <c r="O149" i="11"/>
  <c r="M751" i="7"/>
  <c r="AK28" i="11"/>
  <c r="M930" i="7"/>
  <c r="F150" i="11"/>
  <c r="AQ176" i="11"/>
  <c r="M817" i="7"/>
  <c r="F146" i="11"/>
  <c r="AI30" i="11"/>
  <c r="AT132" i="11"/>
  <c r="M750" i="7"/>
  <c r="R160" i="11"/>
  <c r="AQ170" i="11"/>
  <c r="AA133" i="11"/>
  <c r="AT166" i="11"/>
  <c r="AA166" i="11"/>
  <c r="S109" i="11"/>
  <c r="M1870" i="7"/>
  <c r="AI22" i="11"/>
  <c r="M3571" i="7"/>
  <c r="R172" i="11"/>
  <c r="AD136" i="11"/>
  <c r="AC131" i="11"/>
  <c r="M1872" i="7"/>
  <c r="AT161" i="11"/>
  <c r="M1546" i="7"/>
  <c r="AS122" i="11"/>
  <c r="M4731" i="7"/>
  <c r="AS115" i="11"/>
  <c r="P118" i="11"/>
  <c r="AT162" i="11"/>
  <c r="M347" i="7"/>
  <c r="F164" i="11"/>
  <c r="R103" i="11"/>
  <c r="F109" i="11"/>
  <c r="M1686" i="7"/>
  <c r="F147" i="11"/>
  <c r="S135" i="11"/>
  <c r="M1501" i="7"/>
  <c r="AQ112" i="11"/>
  <c r="AQ124" i="11"/>
  <c r="AQ171" i="11"/>
  <c r="P151" i="11"/>
  <c r="AC149" i="11"/>
  <c r="R104" i="11"/>
  <c r="M1809" i="7"/>
  <c r="M3383" i="7"/>
  <c r="AC169" i="11"/>
  <c r="AT149" i="11"/>
  <c r="M991" i="7"/>
  <c r="AT157" i="11"/>
  <c r="M3894" i="7"/>
  <c r="M344" i="7"/>
  <c r="AD150" i="11"/>
  <c r="AT127" i="11"/>
  <c r="M1047" i="7"/>
  <c r="C125" i="11"/>
  <c r="F156" i="11"/>
  <c r="R136" i="11"/>
  <c r="S122" i="11"/>
  <c r="O147" i="11"/>
  <c r="P158" i="11"/>
  <c r="M1259" i="7"/>
  <c r="AS123" i="11"/>
  <c r="AK18" i="11"/>
  <c r="S148" i="11"/>
  <c r="AA145" i="11"/>
  <c r="M501" i="7"/>
  <c r="M1543" i="7"/>
  <c r="M3576" i="7"/>
  <c r="AP153" i="11"/>
  <c r="AR117" i="11"/>
  <c r="AR110" i="11"/>
  <c r="R120" i="11"/>
  <c r="AV129" i="11"/>
  <c r="AV163" i="11"/>
  <c r="AV148" i="11"/>
  <c r="AQ128" i="11"/>
  <c r="AP157" i="11"/>
  <c r="AU163" i="11"/>
  <c r="AP140" i="11"/>
  <c r="AQ155" i="11"/>
  <c r="AQ109" i="11"/>
  <c r="AV139" i="11"/>
  <c r="AV136" i="11"/>
  <c r="AV135" i="11"/>
  <c r="AU108" i="11"/>
  <c r="AP141" i="11"/>
  <c r="AU166" i="11"/>
  <c r="AU158" i="11"/>
  <c r="AU174" i="11"/>
  <c r="M350" i="7"/>
  <c r="AP176" i="11"/>
  <c r="AU144" i="11"/>
  <c r="AT117" i="11"/>
  <c r="AU170" i="11"/>
  <c r="AV121" i="11"/>
  <c r="M504" i="7"/>
  <c r="AU155" i="11"/>
  <c r="AV112" i="11"/>
  <c r="AR165" i="11"/>
  <c r="M3483" i="7"/>
  <c r="M1815" i="7"/>
  <c r="AV150" i="11"/>
  <c r="AQ162" i="11"/>
  <c r="AQ130" i="11"/>
  <c r="AV132" i="11"/>
  <c r="AP149" i="11"/>
  <c r="AP104" i="11"/>
  <c r="AR143" i="11"/>
  <c r="AP159" i="11"/>
  <c r="AQ140" i="11"/>
  <c r="AP113" i="11"/>
  <c r="AV125" i="11"/>
  <c r="AP121" i="11"/>
  <c r="M1154" i="7"/>
  <c r="AT106" i="11"/>
  <c r="AP171" i="11"/>
  <c r="AV128" i="11"/>
  <c r="M683" i="7"/>
  <c r="AQ113" i="11"/>
  <c r="AV138" i="11"/>
  <c r="AP134" i="11"/>
  <c r="AP155" i="11"/>
  <c r="AQ125" i="11"/>
  <c r="AR155" i="11"/>
  <c r="AR145" i="11"/>
  <c r="AP126" i="11"/>
  <c r="AU133" i="11"/>
  <c r="AU146" i="11"/>
  <c r="AP173" i="11"/>
  <c r="AV144" i="11"/>
  <c r="AP114" i="11"/>
  <c r="AQ139" i="11"/>
  <c r="AT118" i="11"/>
  <c r="AU157" i="11"/>
  <c r="AR122" i="11"/>
  <c r="AR132" i="11"/>
  <c r="AQ172" i="11"/>
  <c r="AQ103" i="11"/>
  <c r="AU148" i="11"/>
  <c r="AQ163" i="11"/>
  <c r="M819" i="7"/>
  <c r="AP120" i="11"/>
  <c r="AR135" i="11"/>
  <c r="M1873" i="7"/>
  <c r="AT109" i="11"/>
  <c r="AQ144" i="11"/>
  <c r="AP115" i="11"/>
  <c r="AR144" i="11"/>
  <c r="AR128" i="11"/>
  <c r="AR160" i="11"/>
  <c r="AV126" i="11"/>
  <c r="AR146" i="11"/>
  <c r="AP144" i="11"/>
  <c r="AV118" i="11"/>
  <c r="AU114" i="11"/>
  <c r="AQ148" i="11"/>
  <c r="AV158" i="11"/>
  <c r="AU138" i="11"/>
  <c r="AU152" i="11"/>
  <c r="AQ134" i="11"/>
  <c r="AQ127" i="11"/>
  <c r="AP174" i="11"/>
  <c r="AP133" i="11"/>
  <c r="AR170" i="11"/>
  <c r="AQ160" i="11"/>
  <c r="M3896" i="7"/>
  <c r="AQ143" i="11"/>
  <c r="AV157" i="11"/>
  <c r="AU175" i="11"/>
  <c r="AP103" i="11"/>
  <c r="M1365" i="7"/>
  <c r="M1750" i="7"/>
  <c r="M1875" i="7"/>
  <c r="M3107" i="7"/>
  <c r="M876" i="7"/>
  <c r="AP138" i="11"/>
  <c r="AP136" i="11"/>
  <c r="AP161" i="11"/>
  <c r="AQ156" i="11"/>
  <c r="AU159" i="11"/>
  <c r="M1930" i="7"/>
  <c r="AR174" i="11"/>
  <c r="AR161" i="11"/>
  <c r="AU137" i="11"/>
  <c r="AP151" i="11"/>
  <c r="AV117" i="11"/>
  <c r="M688" i="7"/>
  <c r="AQ138" i="11"/>
  <c r="AU130" i="11"/>
  <c r="AP119" i="11"/>
  <c r="AR140" i="11"/>
  <c r="AQ116" i="11"/>
  <c r="AU162" i="11"/>
  <c r="AR175" i="11"/>
  <c r="AQ173" i="11"/>
  <c r="AU165" i="11"/>
  <c r="AU176" i="11"/>
  <c r="AR104" i="11"/>
  <c r="AU128" i="11"/>
  <c r="AQ142" i="11"/>
  <c r="AQ136" i="11"/>
  <c r="AR176" i="11"/>
  <c r="M1594" i="7"/>
  <c r="M621" i="7"/>
  <c r="M1929" i="7"/>
  <c r="AV143" i="11"/>
  <c r="AT105" i="11"/>
  <c r="M989" i="7"/>
  <c r="AU105" i="11"/>
  <c r="M932" i="7"/>
  <c r="AU123" i="11"/>
  <c r="AT123" i="11"/>
  <c r="AU154" i="11"/>
  <c r="M1455" i="7"/>
  <c r="AP143" i="11"/>
  <c r="AT120" i="11"/>
  <c r="AR171" i="11"/>
  <c r="AQ122" i="11"/>
  <c r="AP122" i="11"/>
  <c r="M1749" i="7"/>
  <c r="AP167" i="11"/>
  <c r="AV106" i="11"/>
  <c r="AQ158" i="11"/>
  <c r="AV159" i="11"/>
  <c r="M1260" i="7"/>
  <c r="AD156" i="11"/>
  <c r="AV146" i="11"/>
  <c r="AP158" i="11"/>
  <c r="AU113" i="11"/>
  <c r="AQ131" i="11"/>
  <c r="AV119" i="11"/>
  <c r="AU153" i="11"/>
  <c r="AU134" i="11"/>
  <c r="AU167" i="11"/>
  <c r="AQ147" i="11"/>
  <c r="AV149" i="11"/>
  <c r="AU161" i="11"/>
  <c r="AR138" i="11"/>
  <c r="AP110" i="11"/>
  <c r="AP108" i="11"/>
  <c r="AV166" i="11"/>
  <c r="AP147" i="11"/>
  <c r="AP128" i="11"/>
  <c r="AR116" i="11"/>
  <c r="AV142" i="11"/>
  <c r="AR141" i="11"/>
  <c r="AP169" i="11"/>
  <c r="M1687" i="7"/>
  <c r="AR111" i="11"/>
  <c r="AU147" i="11"/>
  <c r="M3975" i="7"/>
  <c r="AP163" i="11"/>
  <c r="AP164" i="11"/>
  <c r="AR109" i="11"/>
  <c r="AU126" i="11"/>
  <c r="AV172" i="11"/>
  <c r="AP142" i="11"/>
  <c r="AT112" i="11"/>
  <c r="AP156" i="11"/>
  <c r="AQ119" i="11"/>
  <c r="AP107" i="11"/>
  <c r="AP137" i="11"/>
  <c r="AR103" i="11"/>
  <c r="AV156" i="11"/>
  <c r="AU127" i="11"/>
  <c r="AV151" i="11"/>
  <c r="AU136" i="11"/>
  <c r="AU121" i="11"/>
  <c r="M1874" i="7"/>
  <c r="AQ157" i="11"/>
  <c r="AQ151" i="11"/>
  <c r="AR121" i="11"/>
  <c r="AU118" i="11"/>
  <c r="AR164" i="11"/>
  <c r="AR159" i="11"/>
  <c r="AQ106" i="11"/>
  <c r="AR112" i="11"/>
  <c r="M1205" i="7"/>
  <c r="M3484" i="7"/>
  <c r="M4898" i="7"/>
  <c r="AU172" i="11"/>
  <c r="AU141" i="11"/>
  <c r="AT103" i="11"/>
  <c r="M1547" i="7"/>
  <c r="AU156" i="11"/>
  <c r="AU142" i="11"/>
  <c r="AR134" i="11"/>
  <c r="AR139" i="11"/>
  <c r="M1104" i="7"/>
  <c r="M1456" i="7"/>
  <c r="AQ146" i="11"/>
  <c r="AR154" i="11"/>
  <c r="AT119" i="11"/>
  <c r="AV109" i="11"/>
  <c r="AR106" i="11"/>
  <c r="AR125" i="11"/>
  <c r="AQ132" i="11"/>
  <c r="AT104" i="11"/>
  <c r="AV115" i="11"/>
  <c r="AV153" i="11"/>
  <c r="AU124" i="11"/>
  <c r="M1408" i="7"/>
  <c r="AP160" i="11"/>
  <c r="AR157" i="11"/>
  <c r="AV173" i="11"/>
  <c r="AQ110" i="11"/>
  <c r="AQ152" i="11"/>
  <c r="AU122" i="11"/>
  <c r="AU131" i="11"/>
  <c r="AR158" i="11"/>
  <c r="S120" i="11"/>
  <c r="AR115" i="11"/>
  <c r="AR167" i="11"/>
  <c r="AV111" i="11"/>
  <c r="AQ154" i="11"/>
  <c r="AT113" i="11"/>
  <c r="AP127" i="11"/>
  <c r="AR119" i="11"/>
  <c r="AV107" i="11"/>
  <c r="AQ129" i="11"/>
  <c r="AV141" i="11"/>
  <c r="AV110" i="11"/>
  <c r="AR118" i="11"/>
  <c r="AR169" i="11"/>
  <c r="AV123" i="11"/>
  <c r="AP117" i="11"/>
  <c r="AQ133" i="11"/>
  <c r="AP123" i="11"/>
  <c r="AT125" i="11"/>
  <c r="AQ159" i="11"/>
  <c r="AU129" i="11"/>
  <c r="AV160" i="11"/>
  <c r="AU151" i="11"/>
  <c r="AU110" i="11"/>
  <c r="AP130" i="11"/>
  <c r="AR162" i="11"/>
  <c r="AV130" i="11"/>
  <c r="AV116" i="11"/>
  <c r="AQ145" i="11"/>
  <c r="AU120" i="11"/>
  <c r="AP135" i="11"/>
  <c r="AQ153" i="11"/>
  <c r="AV124" i="11"/>
  <c r="AP154" i="11"/>
  <c r="AV127" i="11"/>
  <c r="M3292" i="7"/>
  <c r="AP105" i="11"/>
  <c r="AP148" i="11"/>
  <c r="AP112" i="11"/>
  <c r="AU168" i="11"/>
  <c r="AV170" i="11"/>
  <c r="M3389" i="7"/>
  <c r="AP175" i="11"/>
  <c r="AA149" i="11"/>
  <c r="AP116" i="11"/>
  <c r="AV104" i="11"/>
  <c r="AP132" i="11"/>
  <c r="AQ111" i="11"/>
  <c r="AR123" i="11"/>
  <c r="AR149" i="11"/>
  <c r="AQ117" i="11"/>
  <c r="AR168" i="11"/>
  <c r="AQ135" i="11"/>
  <c r="AP125" i="11"/>
  <c r="AU135" i="11"/>
  <c r="M4738" i="7"/>
  <c r="AP129" i="11"/>
  <c r="AQ114" i="11"/>
  <c r="AR173" i="11"/>
  <c r="AP118" i="11"/>
  <c r="AU112" i="11"/>
  <c r="M1816" i="7"/>
  <c r="M1050" i="7"/>
  <c r="M3897" i="7"/>
  <c r="AT116" i="11"/>
  <c r="AV145" i="11"/>
  <c r="AT124" i="11"/>
  <c r="AQ150" i="11"/>
  <c r="AP172" i="11"/>
  <c r="AV108" i="11"/>
  <c r="AT107" i="11"/>
  <c r="AV154" i="11"/>
  <c r="AP165" i="11"/>
  <c r="AR172" i="11"/>
  <c r="AV168" i="11"/>
  <c r="AU164" i="11"/>
  <c r="AQ137" i="11"/>
  <c r="AV155" i="11"/>
  <c r="AU103" i="11"/>
  <c r="AR156" i="11"/>
  <c r="M1639" i="7"/>
  <c r="M1310" i="7"/>
  <c r="AR105" i="11"/>
  <c r="AV140" i="11"/>
  <c r="AR127" i="11"/>
  <c r="AU116" i="11"/>
  <c r="O108" i="11"/>
  <c r="AQ149" i="11"/>
  <c r="AU104" i="11"/>
  <c r="AT115" i="11"/>
  <c r="AT108" i="11"/>
  <c r="AR124" i="11"/>
  <c r="AQ104" i="11"/>
  <c r="AT111" i="11"/>
  <c r="AT114" i="11"/>
  <c r="AV120" i="11"/>
  <c r="AU171" i="11"/>
  <c r="AR152" i="11"/>
  <c r="AQ174" i="11"/>
  <c r="AV171" i="11"/>
  <c r="AQ118" i="11"/>
  <c r="AQ108" i="11"/>
  <c r="AP106" i="11"/>
  <c r="S114" i="11"/>
  <c r="AR130" i="11"/>
  <c r="AU150" i="11"/>
  <c r="AR153" i="11"/>
  <c r="AV114" i="11"/>
  <c r="AV137" i="11"/>
  <c r="M1502" i="7"/>
  <c r="AU160" i="11"/>
  <c r="AP152" i="11"/>
  <c r="AV103" i="11"/>
  <c r="AV113" i="11"/>
  <c r="AU169" i="11"/>
  <c r="M993" i="7"/>
  <c r="AU173" i="11"/>
  <c r="AR166" i="11"/>
  <c r="AV134" i="11"/>
  <c r="AT110" i="11"/>
  <c r="AP168" i="11"/>
  <c r="AP150" i="11"/>
  <c r="AP166" i="11"/>
  <c r="AQ141" i="11"/>
  <c r="AR142" i="11"/>
  <c r="AV152" i="11"/>
  <c r="AQ126" i="11"/>
  <c r="AU149" i="11"/>
  <c r="AV161" i="11"/>
  <c r="O159" i="11"/>
  <c r="AV175" i="11"/>
  <c r="AR136" i="11"/>
  <c r="AR133" i="11"/>
  <c r="AT122" i="11"/>
  <c r="AV165" i="11"/>
  <c r="AU145" i="11"/>
  <c r="AV164" i="11"/>
  <c r="AR137" i="11"/>
  <c r="AV174" i="11"/>
  <c r="AV169" i="11"/>
  <c r="AP170" i="11"/>
  <c r="AQ105" i="11"/>
  <c r="AP131" i="11"/>
  <c r="AU143" i="11"/>
  <c r="M419" i="7"/>
  <c r="M622" i="7"/>
  <c r="M753" i="7"/>
  <c r="M3822" i="7"/>
  <c r="M1503" i="7"/>
  <c r="M1155" i="7"/>
  <c r="M1206" i="7"/>
  <c r="M3578" i="7"/>
  <c r="M820" i="7"/>
  <c r="M754" i="7"/>
  <c r="M4739" i="7"/>
  <c r="M1640" i="7"/>
  <c r="M1457" i="7"/>
  <c r="M3659" i="7"/>
  <c r="M278" i="7"/>
  <c r="M1688" i="7"/>
  <c r="M1051" i="7"/>
  <c r="M3390" i="7"/>
  <c r="M1548" i="7"/>
  <c r="M505" i="7"/>
  <c r="M1312" i="7"/>
  <c r="M933" i="7"/>
  <c r="M1311" i="7"/>
  <c r="M1409" i="7"/>
  <c r="M994" i="7"/>
  <c r="M3293" i="7"/>
  <c r="M1641" i="7"/>
  <c r="M1207" i="7"/>
  <c r="M877" i="7"/>
  <c r="M3658" i="7"/>
  <c r="M3200" i="7"/>
  <c r="E131" i="11" l="1"/>
  <c r="Z131" i="11"/>
  <c r="Y131" i="11"/>
  <c r="Z170" i="11"/>
  <c r="E170" i="11"/>
  <c r="Y170" i="11"/>
  <c r="AQ10" i="11"/>
  <c r="E166" i="11"/>
  <c r="Z166" i="11"/>
  <c r="Y166" i="11"/>
  <c r="E150" i="11"/>
  <c r="Z150" i="11"/>
  <c r="Y150" i="11"/>
  <c r="Y168" i="11"/>
  <c r="Z168" i="11"/>
  <c r="E168" i="11"/>
  <c r="AV9" i="11"/>
  <c r="Z152" i="11"/>
  <c r="E152" i="11"/>
  <c r="Y152" i="11"/>
  <c r="E106" i="11"/>
  <c r="Z106" i="11"/>
  <c r="Y106" i="11"/>
  <c r="AU9" i="11"/>
  <c r="E165" i="11"/>
  <c r="Z165" i="11"/>
  <c r="Y165" i="11"/>
  <c r="Z172" i="11"/>
  <c r="Y172" i="11"/>
  <c r="E172" i="11"/>
  <c r="Z118" i="11"/>
  <c r="Y118" i="11"/>
  <c r="E118" i="11"/>
  <c r="Z129" i="11"/>
  <c r="E129" i="11"/>
  <c r="Y129" i="11"/>
  <c r="Z125" i="11"/>
  <c r="Y125" i="11"/>
  <c r="E125" i="11"/>
  <c r="Y132" i="11"/>
  <c r="Z132" i="11"/>
  <c r="E132" i="11"/>
  <c r="Y116" i="11"/>
  <c r="Z116" i="11"/>
  <c r="E116" i="11"/>
  <c r="AB149" i="11"/>
  <c r="Y175" i="11"/>
  <c r="Z175" i="11"/>
  <c r="E175" i="11"/>
  <c r="E112" i="11"/>
  <c r="Z112" i="11"/>
  <c r="Y112" i="11"/>
  <c r="Z148" i="11"/>
  <c r="E148" i="11"/>
  <c r="Y148" i="11"/>
  <c r="E105" i="11"/>
  <c r="Y105" i="11"/>
  <c r="Z105" i="11"/>
  <c r="Z154" i="11"/>
  <c r="E154" i="11"/>
  <c r="Y154" i="11"/>
  <c r="Y135" i="11"/>
  <c r="Z135" i="11"/>
  <c r="E135" i="11"/>
  <c r="E130" i="11"/>
  <c r="Z130" i="11"/>
  <c r="Y130" i="11"/>
  <c r="Y123" i="11"/>
  <c r="Z123" i="11"/>
  <c r="E123" i="11"/>
  <c r="Y117" i="11"/>
  <c r="Z117" i="11"/>
  <c r="E117" i="11"/>
  <c r="E127" i="11"/>
  <c r="Z127" i="11"/>
  <c r="Y127" i="11"/>
  <c r="Y160" i="11"/>
  <c r="E160" i="11"/>
  <c r="Z160" i="11"/>
  <c r="AT9" i="11"/>
  <c r="AR9" i="11"/>
  <c r="E137" i="11"/>
  <c r="Y137" i="11"/>
  <c r="Z137" i="11"/>
  <c r="E107" i="11"/>
  <c r="Z107" i="11"/>
  <c r="Y107" i="11"/>
  <c r="Z156" i="11"/>
  <c r="Y156" i="11"/>
  <c r="E156" i="11"/>
  <c r="Y142" i="11"/>
  <c r="Z142" i="11"/>
  <c r="E142" i="11"/>
  <c r="AU10" i="11"/>
  <c r="Y164" i="11"/>
  <c r="Z164" i="11"/>
  <c r="E164" i="11"/>
  <c r="Z163" i="11"/>
  <c r="Y163" i="11"/>
  <c r="E163" i="11"/>
  <c r="Z169" i="11"/>
  <c r="E169" i="11"/>
  <c r="Y169" i="11"/>
  <c r="E128" i="11"/>
  <c r="Z128" i="11"/>
  <c r="Y128" i="11"/>
  <c r="Z147" i="11"/>
  <c r="Y147" i="11"/>
  <c r="E147" i="11"/>
  <c r="E108" i="11"/>
  <c r="Y108" i="11"/>
  <c r="Z108" i="11"/>
  <c r="Z110" i="11"/>
  <c r="E110" i="11"/>
  <c r="Y110" i="11"/>
  <c r="E158" i="11"/>
  <c r="Z158" i="11"/>
  <c r="Y158" i="11"/>
  <c r="Y167" i="11"/>
  <c r="E167" i="11"/>
  <c r="Z167" i="11"/>
  <c r="Z122" i="11"/>
  <c r="Y122" i="11"/>
  <c r="E122" i="11"/>
  <c r="Z143" i="11"/>
  <c r="Y143" i="11"/>
  <c r="E143" i="11"/>
  <c r="Z119" i="11"/>
  <c r="Y119" i="11"/>
  <c r="E119" i="11"/>
  <c r="E151" i="11"/>
  <c r="Y151" i="11"/>
  <c r="Z151" i="11"/>
  <c r="E161" i="11"/>
  <c r="Y161" i="11"/>
  <c r="Z161" i="11"/>
  <c r="E136" i="11"/>
  <c r="Y136" i="11"/>
  <c r="Z136" i="11"/>
  <c r="Y138" i="11"/>
  <c r="Z138" i="11"/>
  <c r="E138" i="11"/>
  <c r="E103" i="11"/>
  <c r="AX9" i="11"/>
  <c r="Y103" i="11"/>
  <c r="Z103" i="11"/>
  <c r="AP9" i="11"/>
  <c r="Y133" i="11"/>
  <c r="Z133" i="11"/>
  <c r="E133" i="11"/>
  <c r="E174" i="11"/>
  <c r="Z174" i="11"/>
  <c r="Y174" i="11"/>
  <c r="Z144" i="11"/>
  <c r="E144" i="11"/>
  <c r="Y144" i="11"/>
  <c r="AV10" i="11"/>
  <c r="E115" i="11"/>
  <c r="Y115" i="11"/>
  <c r="Z115" i="11"/>
  <c r="Z120" i="11"/>
  <c r="Y120" i="11"/>
  <c r="E120" i="11"/>
  <c r="AQ9" i="11"/>
  <c r="E114" i="11"/>
  <c r="Z114" i="11"/>
  <c r="Y114" i="11"/>
  <c r="Z173" i="11"/>
  <c r="E173" i="11"/>
  <c r="Y173" i="11"/>
  <c r="Z126" i="11"/>
  <c r="E126" i="11"/>
  <c r="AX10" i="11"/>
  <c r="Y126" i="11"/>
  <c r="AP10" i="11"/>
  <c r="Y10" i="11" s="1"/>
  <c r="Z155" i="11"/>
  <c r="E155" i="11"/>
  <c r="Y155" i="11"/>
  <c r="Z134" i="11"/>
  <c r="Y134" i="11"/>
  <c r="E134" i="11"/>
  <c r="Z171" i="11"/>
  <c r="E171" i="11"/>
  <c r="Y171" i="11"/>
  <c r="Z121" i="11"/>
  <c r="Y121" i="11"/>
  <c r="E121" i="11"/>
  <c r="E113" i="11"/>
  <c r="Y113" i="11"/>
  <c r="Z113" i="11"/>
  <c r="Z159" i="11"/>
  <c r="E159" i="11"/>
  <c r="Y159" i="11"/>
  <c r="Y104" i="11"/>
  <c r="E104" i="11"/>
  <c r="Z104" i="11"/>
  <c r="Y149" i="11"/>
  <c r="E149" i="11"/>
  <c r="Z149" i="11"/>
  <c r="Z176" i="11"/>
  <c r="E176" i="11"/>
  <c r="Y176" i="11"/>
  <c r="E141" i="11"/>
  <c r="Y141" i="11"/>
  <c r="Z141" i="11"/>
  <c r="Z140" i="11"/>
  <c r="E140" i="11"/>
  <c r="Y140" i="11"/>
  <c r="Y157" i="11"/>
  <c r="E157" i="11"/>
  <c r="Z157" i="11"/>
  <c r="E153" i="11"/>
  <c r="Z153" i="11"/>
  <c r="Y153" i="11"/>
  <c r="AB145" i="11"/>
  <c r="R9" i="11"/>
  <c r="AJ22" i="11"/>
  <c r="AB166" i="11"/>
  <c r="AB133" i="11"/>
  <c r="AJ30" i="11"/>
  <c r="AJ28" i="11"/>
  <c r="AB161" i="11"/>
  <c r="AJ29" i="11"/>
  <c r="AB167" i="11"/>
  <c r="AB168" i="11"/>
  <c r="AB140" i="11"/>
  <c r="AJ24" i="11"/>
  <c r="AJ18" i="11"/>
  <c r="AB137" i="11"/>
  <c r="AB138" i="11"/>
  <c r="P9" i="11"/>
  <c r="AJ26" i="11"/>
  <c r="O10" i="11"/>
  <c r="Z139" i="11"/>
  <c r="Y139" i="11"/>
  <c r="E139" i="11"/>
  <c r="AJ27" i="11"/>
  <c r="AB135" i="11"/>
  <c r="AB139" i="11"/>
  <c r="AB128" i="11"/>
  <c r="AJ17" i="11"/>
  <c r="AB127" i="11"/>
  <c r="E162" i="11"/>
  <c r="Z162" i="11"/>
  <c r="Y162" i="11"/>
  <c r="AT10" i="11"/>
  <c r="AB147" i="11"/>
  <c r="AJ13" i="11"/>
  <c r="AB171" i="11"/>
  <c r="AB158" i="11"/>
  <c r="AB155" i="11"/>
  <c r="AB119" i="11"/>
  <c r="AB172" i="11"/>
  <c r="AJ14" i="11"/>
  <c r="AB154" i="11"/>
  <c r="O9" i="11"/>
  <c r="R10" i="11"/>
  <c r="AB153" i="11"/>
  <c r="AJ34" i="11"/>
  <c r="AB152" i="11"/>
  <c r="Z145" i="11"/>
  <c r="E145" i="11"/>
  <c r="Y145" i="11"/>
  <c r="AR10" i="11"/>
  <c r="Z146" i="11"/>
  <c r="Y146" i="11"/>
  <c r="E146" i="11"/>
  <c r="AJ9" i="11"/>
  <c r="AB165" i="11"/>
  <c r="AB176" i="11"/>
  <c r="AB144" i="11"/>
  <c r="AB160" i="11"/>
  <c r="AB156" i="11"/>
  <c r="AB141" i="11"/>
  <c r="F9" i="11"/>
  <c r="P10" i="11"/>
  <c r="AB163" i="11"/>
  <c r="AB151" i="11"/>
  <c r="AJ8" i="11"/>
  <c r="AB157" i="11"/>
  <c r="AJ10" i="11"/>
  <c r="AJ25" i="11"/>
  <c r="AJ21" i="11"/>
  <c r="AB136" i="11"/>
  <c r="S9" i="11"/>
  <c r="AB170" i="11"/>
  <c r="AB173" i="11"/>
  <c r="AB142" i="11"/>
  <c r="AB143" i="11"/>
  <c r="S10" i="11"/>
  <c r="AB150" i="11"/>
  <c r="AB148" i="11"/>
  <c r="AB146" i="11"/>
  <c r="AB174" i="11"/>
  <c r="AB134" i="11"/>
  <c r="AB169" i="11"/>
  <c r="Y109" i="11"/>
  <c r="E109" i="11"/>
  <c r="Z109" i="11"/>
  <c r="AB118" i="11"/>
  <c r="Y111" i="11"/>
  <c r="E111" i="11"/>
  <c r="Z111" i="11"/>
  <c r="X220" i="14"/>
  <c r="O220" i="14"/>
  <c r="AB126" i="11"/>
  <c r="Y124" i="11"/>
  <c r="E124" i="11"/>
  <c r="Z124" i="11"/>
  <c r="S220" i="14"/>
  <c r="AJ16" i="11"/>
  <c r="AB175" i="11"/>
  <c r="AB129" i="11"/>
  <c r="AJ12" i="11"/>
  <c r="AB131" i="11"/>
  <c r="AB130" i="11"/>
  <c r="AS9" i="11"/>
  <c r="AB162" i="11"/>
  <c r="AB132" i="11"/>
  <c r="AJ31" i="11"/>
  <c r="AB159" i="11"/>
  <c r="AB164" i="11"/>
  <c r="E1549" i="7"/>
  <c r="E1504" i="7"/>
  <c r="E3660" i="7"/>
  <c r="E3898" i="7"/>
  <c r="E1596" i="7"/>
  <c r="E1410" i="7"/>
  <c r="E1931" i="7"/>
  <c r="E1366" i="7"/>
  <c r="E755" i="7"/>
  <c r="E1751" i="7"/>
  <c r="E1689" i="7"/>
  <c r="E3823" i="7"/>
  <c r="E279" i="7"/>
  <c r="E3485" i="7"/>
  <c r="E3294" i="7"/>
  <c r="E1105" i="7"/>
  <c r="E3201" i="7"/>
  <c r="E1052" i="7"/>
  <c r="E623" i="7"/>
  <c r="E1876" i="7"/>
  <c r="E4740" i="7"/>
  <c r="E821" i="7"/>
  <c r="E3108" i="7"/>
  <c r="E1208" i="7"/>
  <c r="T204" i="14"/>
  <c r="M204" i="14"/>
  <c r="M279" i="7"/>
  <c r="M755" i="7"/>
  <c r="M1751" i="7"/>
  <c r="M1931" i="7"/>
  <c r="M1596" i="7"/>
  <c r="M1549" i="7"/>
  <c r="M689" i="7"/>
  <c r="M3294" i="7"/>
  <c r="R204" i="14"/>
  <c r="U204" i="14"/>
  <c r="P204" i="14"/>
  <c r="I16" i="11"/>
  <c r="M351" i="7"/>
  <c r="M3201" i="7"/>
  <c r="M1817" i="7"/>
  <c r="M1504" i="7"/>
  <c r="V204" i="14"/>
  <c r="N204" i="14"/>
  <c r="Q204" i="14"/>
  <c r="W204" i="14"/>
  <c r="M3485" i="7"/>
  <c r="M1366" i="7"/>
  <c r="M1595" i="7"/>
  <c r="M3898" i="7"/>
  <c r="M420" i="7"/>
  <c r="M1876" i="7"/>
  <c r="M3823" i="7"/>
  <c r="M1052" i="7"/>
  <c r="M623" i="7"/>
  <c r="M821" i="7"/>
  <c r="M1105" i="7"/>
  <c r="M4740" i="7"/>
  <c r="M1208" i="7"/>
  <c r="M1689" i="7"/>
  <c r="M3740" i="7"/>
  <c r="M3660" i="7"/>
  <c r="M1410" i="7"/>
  <c r="M3976" i="7"/>
  <c r="M3108" i="7"/>
  <c r="M1261" i="7"/>
  <c r="W215" i="14" l="1"/>
  <c r="W209" i="14"/>
  <c r="AD31" i="11" s="1"/>
  <c r="W210" i="14"/>
  <c r="Q215" i="14"/>
  <c r="Q209" i="14"/>
  <c r="AD26" i="11" s="1"/>
  <c r="Q210" i="14"/>
  <c r="N210" i="14"/>
  <c r="N209" i="14"/>
  <c r="AD18" i="11" s="1"/>
  <c r="N215" i="14"/>
  <c r="V215" i="14"/>
  <c r="V210" i="14"/>
  <c r="V209" i="14"/>
  <c r="AD30" i="11" s="1"/>
  <c r="P210" i="14"/>
  <c r="P209" i="14"/>
  <c r="AD24" i="11" s="1"/>
  <c r="P215" i="14"/>
  <c r="U210" i="14"/>
  <c r="U209" i="14"/>
  <c r="AD29" i="11" s="1"/>
  <c r="U215" i="14"/>
  <c r="R210" i="14"/>
  <c r="R209" i="14"/>
  <c r="AD25" i="11" s="1"/>
  <c r="R215" i="14"/>
  <c r="M210" i="14"/>
  <c r="M209" i="14"/>
  <c r="M215" i="14"/>
  <c r="T209" i="14"/>
  <c r="AD27" i="11" s="1"/>
  <c r="T210" i="14"/>
  <c r="T215" i="14"/>
  <c r="E934" i="7"/>
  <c r="E1550" i="7"/>
  <c r="E1642" i="7"/>
  <c r="E1458" i="7"/>
  <c r="E690" i="7"/>
  <c r="E1156" i="7"/>
  <c r="E995" i="7"/>
  <c r="E1690" i="7"/>
  <c r="E1313" i="7"/>
  <c r="E3661" i="7"/>
  <c r="E878" i="7"/>
  <c r="E421" i="7"/>
  <c r="E3741" i="7"/>
  <c r="E3977" i="7"/>
  <c r="E1818" i="7"/>
  <c r="E4741" i="7"/>
  <c r="E352" i="7"/>
  <c r="E3391" i="7"/>
  <c r="E3579" i="7"/>
  <c r="E1262" i="7"/>
  <c r="W217" i="14"/>
  <c r="N217" i="14"/>
  <c r="R217" i="14"/>
  <c r="M1262" i="7"/>
  <c r="M690" i="7"/>
  <c r="M1818" i="7"/>
  <c r="M4741" i="7"/>
  <c r="V217" i="14"/>
  <c r="U217" i="14"/>
  <c r="P217" i="14"/>
  <c r="T217" i="14"/>
  <c r="M1156" i="7"/>
  <c r="M1550" i="7"/>
  <c r="M352" i="7"/>
  <c r="M1313" i="7"/>
  <c r="Q217" i="14"/>
  <c r="M217" i="14"/>
  <c r="M1642" i="7"/>
  <c r="M1458" i="7"/>
  <c r="M3741" i="7"/>
  <c r="M934" i="7"/>
  <c r="M421" i="7"/>
  <c r="M3579" i="7"/>
  <c r="M3977" i="7"/>
  <c r="M3391" i="7"/>
  <c r="M995" i="7"/>
  <c r="M1690" i="7"/>
  <c r="M878" i="7"/>
  <c r="M3661" i="7"/>
  <c r="M220" i="14" l="1"/>
  <c r="Q220" i="14"/>
  <c r="T220" i="14"/>
  <c r="P220" i="14"/>
  <c r="U220" i="14"/>
  <c r="V220" i="14"/>
  <c r="R220" i="14"/>
  <c r="N220" i="14"/>
  <c r="AC18" i="11" s="1"/>
  <c r="W220" i="14"/>
  <c r="E3899" i="7"/>
  <c r="E756" i="7"/>
  <c r="E1752" i="7"/>
  <c r="E1157" i="7"/>
  <c r="E1932" i="7"/>
  <c r="E1411" i="7"/>
  <c r="E935" i="7"/>
  <c r="E3824" i="7"/>
  <c r="E3742" i="7"/>
  <c r="E3486" i="7"/>
  <c r="E280" i="7"/>
  <c r="E3295" i="7"/>
  <c r="E1106" i="7"/>
  <c r="E1209" i="7"/>
  <c r="E3202" i="7"/>
  <c r="E624" i="7"/>
  <c r="E1053" i="7"/>
  <c r="E1877" i="7"/>
  <c r="E4742" i="7"/>
  <c r="E822" i="7"/>
  <c r="E3109" i="7"/>
  <c r="M1877" i="7"/>
  <c r="M3899" i="7"/>
  <c r="M3295" i="7"/>
  <c r="M4742" i="7"/>
  <c r="M1157" i="7"/>
  <c r="M822" i="7"/>
  <c r="M3109" i="7"/>
  <c r="M280" i="7"/>
  <c r="M1053" i="7"/>
  <c r="M3486" i="7"/>
  <c r="M1932" i="7"/>
  <c r="M3742" i="7"/>
  <c r="M3202" i="7"/>
  <c r="M1752" i="7"/>
  <c r="M624" i="7"/>
  <c r="M1209" i="7"/>
  <c r="M756" i="7"/>
  <c r="M3824" i="7"/>
  <c r="M1411" i="7"/>
  <c r="M935" i="7"/>
  <c r="M1106" i="7"/>
  <c r="E691" i="7" l="1"/>
  <c r="E757" i="7"/>
  <c r="E1412" i="7"/>
  <c r="E996" i="7"/>
  <c r="E1314" i="7"/>
  <c r="E1691" i="7"/>
  <c r="E3662" i="7"/>
  <c r="E281" i="7"/>
  <c r="E879" i="7"/>
  <c r="E422" i="7"/>
  <c r="E3978" i="7"/>
  <c r="E3203" i="7"/>
  <c r="E1819" i="7"/>
  <c r="E4743" i="7"/>
  <c r="E353" i="7"/>
  <c r="E3392" i="7"/>
  <c r="E3580" i="7"/>
  <c r="E1263" i="7"/>
  <c r="M757" i="7"/>
  <c r="M691" i="7"/>
  <c r="M1691" i="7"/>
  <c r="M1263" i="7"/>
  <c r="M3392" i="7"/>
  <c r="M879" i="7"/>
  <c r="M422" i="7"/>
  <c r="M281" i="7"/>
  <c r="M4743" i="7"/>
  <c r="M1314" i="7"/>
  <c r="M3662" i="7"/>
  <c r="M1412" i="7"/>
  <c r="M353" i="7"/>
  <c r="M3580" i="7"/>
  <c r="M3203" i="7"/>
  <c r="M1819" i="7"/>
  <c r="M996" i="7"/>
  <c r="M3978" i="7"/>
  <c r="E758" i="7" l="1"/>
  <c r="E3825" i="7"/>
  <c r="E1753" i="7"/>
  <c r="E3900" i="7"/>
  <c r="E1158" i="7"/>
  <c r="E936" i="7"/>
  <c r="E3296" i="7"/>
  <c r="E3487" i="7"/>
  <c r="E3743" i="7"/>
  <c r="E1210" i="7"/>
  <c r="E1820" i="7"/>
  <c r="E692" i="7"/>
  <c r="E1107" i="7"/>
  <c r="E1054" i="7"/>
  <c r="E625" i="7"/>
  <c r="E1878" i="7"/>
  <c r="E823" i="7"/>
  <c r="E423" i="7"/>
  <c r="E3110" i="7"/>
  <c r="M1158" i="7"/>
  <c r="M1210" i="7"/>
  <c r="M423" i="7"/>
  <c r="M936" i="7"/>
  <c r="M3110" i="7"/>
  <c r="M692" i="7"/>
  <c r="M3487" i="7"/>
  <c r="M3900" i="7"/>
  <c r="M758" i="7"/>
  <c r="M3825" i="7"/>
  <c r="M823" i="7"/>
  <c r="M1878" i="7"/>
  <c r="M3296" i="7"/>
  <c r="M625" i="7"/>
  <c r="M1107" i="7"/>
  <c r="M1753" i="7"/>
  <c r="M3743" i="7"/>
  <c r="M1054" i="7"/>
  <c r="M1820" i="7"/>
  <c r="E1692" i="7" l="1"/>
  <c r="E997" i="7"/>
  <c r="E1315" i="7"/>
  <c r="E3663" i="7"/>
  <c r="E880" i="7"/>
  <c r="E282" i="7"/>
  <c r="E3204" i="7"/>
  <c r="E1264" i="7"/>
  <c r="E3979" i="7"/>
  <c r="E3581" i="7"/>
  <c r="E4744" i="7"/>
  <c r="E354" i="7"/>
  <c r="E3393" i="7"/>
  <c r="E759" i="7"/>
  <c r="M282" i="7"/>
  <c r="M3393" i="7"/>
  <c r="M3979" i="7"/>
  <c r="M1315" i="7"/>
  <c r="M1692" i="7"/>
  <c r="M997" i="7"/>
  <c r="M4744" i="7"/>
  <c r="M3663" i="7"/>
  <c r="M3581" i="7"/>
  <c r="M880" i="7"/>
  <c r="M3204" i="7"/>
  <c r="M354" i="7"/>
  <c r="M759" i="7"/>
  <c r="M1264" i="7"/>
  <c r="E1754" i="7" l="1"/>
  <c r="E3826" i="7"/>
  <c r="E937" i="7"/>
  <c r="E3901" i="7"/>
  <c r="E1159" i="7"/>
  <c r="E1108" i="7"/>
  <c r="E1316" i="7"/>
  <c r="E3297" i="7"/>
  <c r="E1211" i="7"/>
  <c r="E3744" i="7"/>
  <c r="E3488" i="7"/>
  <c r="E3664" i="7"/>
  <c r="E626" i="7"/>
  <c r="E1821" i="7"/>
  <c r="E693" i="7"/>
  <c r="E1055" i="7"/>
  <c r="E1879" i="7"/>
  <c r="E824" i="7"/>
  <c r="E3111" i="7"/>
  <c r="E424" i="7"/>
  <c r="E3582" i="7"/>
  <c r="M1055" i="7"/>
  <c r="M1754" i="7"/>
  <c r="M424" i="7"/>
  <c r="M937" i="7"/>
  <c r="M3744" i="7"/>
  <c r="M693" i="7"/>
  <c r="M824" i="7"/>
  <c r="M3664" i="7"/>
  <c r="M1159" i="7"/>
  <c r="M3111" i="7"/>
  <c r="M1211" i="7"/>
  <c r="M1316" i="7"/>
  <c r="M3488" i="7"/>
  <c r="M1879" i="7"/>
  <c r="M1108" i="7"/>
  <c r="M3826" i="7"/>
  <c r="M3297" i="7"/>
  <c r="M626" i="7"/>
  <c r="M1821" i="7"/>
  <c r="M3582" i="7"/>
  <c r="M3901" i="7"/>
  <c r="E3827" i="7" l="1"/>
  <c r="E1693" i="7"/>
  <c r="E998" i="7"/>
  <c r="E1212" i="7"/>
  <c r="E1265" i="7"/>
  <c r="E3298" i="7"/>
  <c r="E3205" i="7"/>
  <c r="E3745" i="7"/>
  <c r="E1755" i="7"/>
  <c r="E627" i="7"/>
  <c r="E881" i="7"/>
  <c r="E283" i="7"/>
  <c r="E3980" i="7"/>
  <c r="E4745" i="7"/>
  <c r="E355" i="7"/>
  <c r="E425" i="7"/>
  <c r="E3394" i="7"/>
  <c r="E3112" i="7"/>
  <c r="E760" i="7"/>
  <c r="M3745" i="7"/>
  <c r="M627" i="7"/>
  <c r="M1212" i="7"/>
  <c r="M3394" i="7"/>
  <c r="M3298" i="7"/>
  <c r="M425" i="7"/>
  <c r="M283" i="7"/>
  <c r="M3205" i="7"/>
  <c r="M1693" i="7"/>
  <c r="M4745" i="7"/>
  <c r="M3827" i="7"/>
  <c r="M3980" i="7"/>
  <c r="M881" i="7"/>
  <c r="M760" i="7"/>
  <c r="M1265" i="7"/>
  <c r="M998" i="7"/>
  <c r="M355" i="7"/>
  <c r="M3112" i="7"/>
  <c r="M1755" i="7"/>
  <c r="E938" i="7" l="1"/>
  <c r="E1694" i="7"/>
  <c r="E3902" i="7"/>
  <c r="E1160" i="7"/>
  <c r="E1213" i="7"/>
  <c r="E1109" i="7"/>
  <c r="E1266" i="7"/>
  <c r="E1056" i="7"/>
  <c r="E3489" i="7"/>
  <c r="E3828" i="7"/>
  <c r="E694" i="7"/>
  <c r="E1317" i="7"/>
  <c r="E1880" i="7"/>
  <c r="E882" i="7"/>
  <c r="E3665" i="7"/>
  <c r="E1822" i="7"/>
  <c r="E4746" i="7"/>
  <c r="E3206" i="7"/>
  <c r="E825" i="7"/>
  <c r="E3583" i="7"/>
  <c r="M882" i="7"/>
  <c r="M694" i="7"/>
  <c r="M938" i="7"/>
  <c r="M1694" i="7"/>
  <c r="M4746" i="7"/>
  <c r="M3583" i="7"/>
  <c r="M3206" i="7"/>
  <c r="M1213" i="7"/>
  <c r="M1109" i="7"/>
  <c r="M1160" i="7"/>
  <c r="M1266" i="7"/>
  <c r="M825" i="7"/>
  <c r="M1880" i="7"/>
  <c r="M3489" i="7"/>
  <c r="M3902" i="7"/>
  <c r="M1056" i="7"/>
  <c r="M1317" i="7"/>
  <c r="M3665" i="7"/>
  <c r="M1822" i="7"/>
  <c r="M3828" i="7"/>
  <c r="E1161" i="7" l="1"/>
  <c r="E999" i="7"/>
  <c r="E3299" i="7"/>
  <c r="E1214" i="7"/>
  <c r="E1695" i="7"/>
  <c r="E628" i="7"/>
  <c r="E3746" i="7"/>
  <c r="E1756" i="7"/>
  <c r="E284" i="7"/>
  <c r="E3981" i="7"/>
  <c r="E1823" i="7"/>
  <c r="E939" i="7"/>
  <c r="E426" i="7"/>
  <c r="E356" i="7"/>
  <c r="E3395" i="7"/>
  <c r="E3113" i="7"/>
  <c r="E761" i="7"/>
  <c r="M3113" i="7"/>
  <c r="M628" i="7"/>
  <c r="M1823" i="7"/>
  <c r="M426" i="7"/>
  <c r="M1161" i="7"/>
  <c r="M3395" i="7"/>
  <c r="M284" i="7"/>
  <c r="M1756" i="7"/>
  <c r="M3299" i="7"/>
  <c r="M999" i="7"/>
  <c r="M761" i="7"/>
  <c r="M3981" i="7"/>
  <c r="M1695" i="7"/>
  <c r="M3746" i="7"/>
  <c r="M1214" i="7"/>
  <c r="M939" i="7"/>
  <c r="M356" i="7"/>
  <c r="E1000" i="7" l="1"/>
  <c r="E3903" i="7"/>
  <c r="E3829" i="7"/>
  <c r="E1267" i="7"/>
  <c r="E695" i="7"/>
  <c r="E1110" i="7"/>
  <c r="E1318" i="7"/>
  <c r="E1057" i="7"/>
  <c r="E3490" i="7"/>
  <c r="E1881" i="7"/>
  <c r="E883" i="7"/>
  <c r="E3666" i="7"/>
  <c r="E3207" i="7"/>
  <c r="E4747" i="7"/>
  <c r="E826" i="7"/>
  <c r="E3584" i="7"/>
  <c r="M1318" i="7"/>
  <c r="M3829" i="7"/>
  <c r="M3490" i="7"/>
  <c r="M1267" i="7"/>
  <c r="M883" i="7"/>
  <c r="M695" i="7"/>
  <c r="M3903" i="7"/>
  <c r="M3584" i="7"/>
  <c r="M826" i="7"/>
  <c r="M1057" i="7"/>
  <c r="M1881" i="7"/>
  <c r="M1110" i="7"/>
  <c r="M3666" i="7"/>
  <c r="M3207" i="7"/>
  <c r="M1000" i="7"/>
  <c r="M4747" i="7"/>
  <c r="E1162" i="7" l="1"/>
  <c r="E3830" i="7"/>
  <c r="E3300" i="7"/>
  <c r="E696" i="7"/>
  <c r="E629" i="7"/>
  <c r="E1696" i="7"/>
  <c r="E1319" i="7"/>
  <c r="E1058" i="7"/>
  <c r="E1757" i="7"/>
  <c r="E3747" i="7"/>
  <c r="E285" i="7"/>
  <c r="E3982" i="7"/>
  <c r="E1824" i="7"/>
  <c r="E4748" i="7"/>
  <c r="E3396" i="7"/>
  <c r="E940" i="7"/>
  <c r="E427" i="7"/>
  <c r="E357" i="7"/>
  <c r="E3114" i="7"/>
  <c r="E762" i="7"/>
  <c r="E3585" i="7"/>
  <c r="M357" i="7"/>
  <c r="M1757" i="7"/>
  <c r="M4748" i="7"/>
  <c r="M1696" i="7"/>
  <c r="M696" i="7"/>
  <c r="M3830" i="7"/>
  <c r="M762" i="7"/>
  <c r="M940" i="7"/>
  <c r="M1319" i="7"/>
  <c r="M427" i="7"/>
  <c r="M3396" i="7"/>
  <c r="M1162" i="7"/>
  <c r="M3300" i="7"/>
  <c r="M3585" i="7"/>
  <c r="M3114" i="7"/>
  <c r="M3747" i="7"/>
  <c r="M1824" i="7"/>
  <c r="M629" i="7"/>
  <c r="M285" i="7"/>
  <c r="M1058" i="7"/>
  <c r="M3982" i="7"/>
  <c r="E3301" i="7" l="1"/>
  <c r="E3904" i="7"/>
  <c r="E1268" i="7"/>
  <c r="E1882" i="7"/>
  <c r="E3491" i="7"/>
  <c r="E884" i="7"/>
  <c r="E3667" i="7"/>
  <c r="E1001" i="7"/>
  <c r="E3208" i="7"/>
  <c r="E428" i="7"/>
  <c r="E827" i="7"/>
  <c r="M3667" i="7"/>
  <c r="M1001" i="7"/>
  <c r="M827" i="7"/>
  <c r="M3301" i="7"/>
  <c r="M3904" i="7"/>
  <c r="M1882" i="7"/>
  <c r="M3208" i="7"/>
  <c r="M1268" i="7"/>
  <c r="M428" i="7"/>
  <c r="M3491" i="7"/>
  <c r="M884" i="7"/>
  <c r="E3831" i="7" l="1"/>
  <c r="E3302" i="7"/>
  <c r="E630" i="7"/>
  <c r="E1697" i="7"/>
  <c r="E697" i="7"/>
  <c r="E1758" i="7"/>
  <c r="E1320" i="7"/>
  <c r="E286" i="7"/>
  <c r="E1883" i="7"/>
  <c r="E3748" i="7"/>
  <c r="E3983" i="7"/>
  <c r="E358" i="7"/>
  <c r="E941" i="7"/>
  <c r="E1825" i="7"/>
  <c r="E3397" i="7"/>
  <c r="E4749" i="7"/>
  <c r="E3115" i="7"/>
  <c r="E763" i="7"/>
  <c r="E3586" i="7"/>
  <c r="M4749" i="7"/>
  <c r="M3586" i="7"/>
  <c r="M3397" i="7"/>
  <c r="M697" i="7"/>
  <c r="M1883" i="7"/>
  <c r="M1825" i="7"/>
  <c r="M763" i="7"/>
  <c r="M358" i="7"/>
  <c r="M1758" i="7"/>
  <c r="M630" i="7"/>
  <c r="M3831" i="7"/>
  <c r="M3302" i="7"/>
  <c r="M3983" i="7"/>
  <c r="M3748" i="7"/>
  <c r="M286" i="7"/>
  <c r="M1320" i="7"/>
  <c r="M1697" i="7"/>
  <c r="M941" i="7"/>
  <c r="M3115" i="7"/>
  <c r="E3905" i="7" l="1"/>
  <c r="E3832" i="7"/>
  <c r="E3492" i="7"/>
  <c r="E3984" i="7"/>
  <c r="E885" i="7"/>
  <c r="E3668" i="7"/>
  <c r="E287" i="7"/>
  <c r="E828" i="7"/>
  <c r="E1002" i="7"/>
  <c r="E429" i="7"/>
  <c r="E3398" i="7"/>
  <c r="E3209" i="7"/>
  <c r="E4750" i="7"/>
  <c r="E1759" i="7"/>
  <c r="M287" i="7"/>
  <c r="M1002" i="7"/>
  <c r="M3832" i="7"/>
  <c r="M3492" i="7"/>
  <c r="M3668" i="7"/>
  <c r="M3209" i="7"/>
  <c r="M885" i="7"/>
  <c r="M3398" i="7"/>
  <c r="M3984" i="7"/>
  <c r="M4750" i="7"/>
  <c r="M1759" i="7"/>
  <c r="M3905" i="7"/>
  <c r="M828" i="7"/>
  <c r="M429" i="7"/>
  <c r="V10" i="11" l="1"/>
  <c r="V9" i="11"/>
  <c r="U10" i="11"/>
  <c r="E10" i="11"/>
  <c r="E9" i="11"/>
  <c r="G9" i="11" s="1"/>
  <c r="U9" i="11"/>
  <c r="D9" i="11" l="1"/>
  <c r="Z9" i="11"/>
  <c r="Y9" i="11"/>
  <c r="D10" i="11"/>
  <c r="G10" i="11"/>
  <c r="E631" i="7"/>
  <c r="E3303" i="7"/>
  <c r="E698" i="7"/>
  <c r="E1698" i="7"/>
  <c r="E3749" i="7"/>
  <c r="E1884" i="7"/>
  <c r="E1826" i="7"/>
  <c r="E942" i="7"/>
  <c r="E359" i="7"/>
  <c r="E3116" i="7"/>
  <c r="E764" i="7"/>
  <c r="E3587" i="7"/>
  <c r="M3303" i="7"/>
  <c r="M1826" i="7"/>
  <c r="M3116" i="7"/>
  <c r="M764" i="7"/>
  <c r="M1698" i="7"/>
  <c r="M698" i="7"/>
  <c r="M631" i="7"/>
  <c r="M1884" i="7"/>
  <c r="M3587" i="7"/>
  <c r="M942" i="7"/>
  <c r="M3749" i="7"/>
  <c r="M359" i="7"/>
  <c r="Z10" i="11" l="1"/>
  <c r="E3906" i="7"/>
  <c r="E3304" i="7"/>
  <c r="E632" i="7"/>
  <c r="E3833" i="7"/>
  <c r="E1885" i="7"/>
  <c r="E886" i="7"/>
  <c r="E3493" i="7"/>
  <c r="E829" i="7"/>
  <c r="E3985" i="7"/>
  <c r="E3669" i="7"/>
  <c r="E288" i="7"/>
  <c r="E3399" i="7"/>
  <c r="E1003" i="7"/>
  <c r="E430" i="7"/>
  <c r="E3210" i="7"/>
  <c r="E4751" i="7"/>
  <c r="E1760" i="7"/>
  <c r="M1760" i="7"/>
  <c r="M3304" i="7"/>
  <c r="M3906" i="7"/>
  <c r="M1885" i="7"/>
  <c r="M632" i="7"/>
  <c r="M829" i="7"/>
  <c r="M3210" i="7"/>
  <c r="M886" i="7"/>
  <c r="M288" i="7"/>
  <c r="M3985" i="7"/>
  <c r="M3493" i="7"/>
  <c r="M3833" i="7"/>
  <c r="M4751" i="7"/>
  <c r="M3669" i="7"/>
  <c r="M430" i="7"/>
  <c r="M1003" i="7"/>
  <c r="M3399" i="7"/>
  <c r="E3834" i="7" l="1"/>
  <c r="E3750" i="7"/>
  <c r="E699" i="7"/>
  <c r="E1699" i="7"/>
  <c r="E1827" i="7"/>
  <c r="E1886" i="7"/>
  <c r="E943" i="7"/>
  <c r="E360" i="7"/>
  <c r="E3986" i="7"/>
  <c r="E765" i="7"/>
  <c r="E3117" i="7"/>
  <c r="E431" i="7"/>
  <c r="E633" i="7"/>
  <c r="E3588" i="7"/>
  <c r="M3750" i="7"/>
  <c r="M3986" i="7"/>
  <c r="M765" i="7"/>
  <c r="M1886" i="7"/>
  <c r="M1699" i="7"/>
  <c r="M699" i="7"/>
  <c r="M3588" i="7"/>
  <c r="M3117" i="7"/>
  <c r="M431" i="7"/>
  <c r="M633" i="7"/>
  <c r="M943" i="7"/>
  <c r="M3834" i="7"/>
  <c r="M1827" i="7"/>
  <c r="M360" i="7"/>
  <c r="E3907" i="7" l="1"/>
  <c r="E3305" i="7"/>
  <c r="E289" i="7"/>
  <c r="E1828" i="7"/>
  <c r="E887" i="7"/>
  <c r="E1004" i="7"/>
  <c r="E830" i="7"/>
  <c r="E3494" i="7"/>
  <c r="E3670" i="7"/>
  <c r="E766" i="7"/>
  <c r="E3400" i="7"/>
  <c r="E3211" i="7"/>
  <c r="E4752" i="7"/>
  <c r="E1761" i="7"/>
  <c r="M830" i="7"/>
  <c r="M4752" i="7"/>
  <c r="M887" i="7"/>
  <c r="M1828" i="7"/>
  <c r="M3907" i="7"/>
  <c r="M1004" i="7"/>
  <c r="M3670" i="7"/>
  <c r="M766" i="7"/>
  <c r="M3400" i="7"/>
  <c r="M289" i="7"/>
  <c r="M1761" i="7"/>
  <c r="M3494" i="7"/>
  <c r="M3211" i="7"/>
  <c r="M3305" i="7"/>
  <c r="E3751" i="7" l="1"/>
  <c r="E3908" i="7"/>
  <c r="E290" i="7"/>
  <c r="E700" i="7"/>
  <c r="E1700" i="7"/>
  <c r="E944" i="7"/>
  <c r="E888" i="7"/>
  <c r="E3306" i="7"/>
  <c r="E831" i="7"/>
  <c r="E361" i="7"/>
  <c r="E3401" i="7"/>
  <c r="E3835" i="7"/>
  <c r="E432" i="7"/>
  <c r="E3987" i="7"/>
  <c r="E3118" i="7"/>
  <c r="E634" i="7"/>
  <c r="E3589" i="7"/>
  <c r="M831" i="7"/>
  <c r="M3118" i="7"/>
  <c r="M3589" i="7"/>
  <c r="M361" i="7"/>
  <c r="M3908" i="7"/>
  <c r="M1700" i="7"/>
  <c r="M3401" i="7"/>
  <c r="M944" i="7"/>
  <c r="M432" i="7"/>
  <c r="M3987" i="7"/>
  <c r="M3306" i="7"/>
  <c r="M3835" i="7"/>
  <c r="M290" i="7"/>
  <c r="M700" i="7"/>
  <c r="M888" i="7"/>
  <c r="M3751" i="7"/>
  <c r="M634" i="7"/>
  <c r="E3752" i="7" l="1"/>
  <c r="E1701" i="7"/>
  <c r="E945" i="7"/>
  <c r="E1005" i="7"/>
  <c r="E832" i="7"/>
  <c r="E362" i="7"/>
  <c r="E3495" i="7"/>
  <c r="E3671" i="7"/>
  <c r="E767" i="7"/>
  <c r="E3212" i="7"/>
  <c r="E4753" i="7"/>
  <c r="E3836" i="7"/>
  <c r="E1762" i="7"/>
  <c r="M1005" i="7"/>
  <c r="M1762" i="7"/>
  <c r="M3212" i="7"/>
  <c r="M4753" i="7"/>
  <c r="M1701" i="7"/>
  <c r="M767" i="7"/>
  <c r="M362" i="7"/>
  <c r="M3836" i="7"/>
  <c r="M3671" i="7"/>
  <c r="M832" i="7"/>
  <c r="M945" i="7"/>
  <c r="M3752" i="7"/>
  <c r="M3495" i="7"/>
  <c r="E3909" i="7" l="1"/>
  <c r="E701" i="7"/>
  <c r="E3307" i="7"/>
  <c r="E889" i="7"/>
  <c r="E1006" i="7"/>
  <c r="E433" i="7"/>
  <c r="E3402" i="7"/>
  <c r="E3753" i="7"/>
  <c r="E291" i="7"/>
  <c r="E3988" i="7"/>
  <c r="E3119" i="7"/>
  <c r="E635" i="7"/>
  <c r="E3590" i="7"/>
  <c r="M3988" i="7"/>
  <c r="M701" i="7"/>
  <c r="M1006" i="7"/>
  <c r="M3909" i="7"/>
  <c r="M3307" i="7"/>
  <c r="M635" i="7"/>
  <c r="M433" i="7"/>
  <c r="M3590" i="7"/>
  <c r="M291" i="7"/>
  <c r="M3753" i="7"/>
  <c r="M3402" i="7"/>
  <c r="M3119" i="7"/>
  <c r="M889" i="7"/>
  <c r="E3910" i="7" l="1"/>
  <c r="E1702" i="7"/>
  <c r="E946" i="7"/>
  <c r="E363" i="7"/>
  <c r="E3496" i="7"/>
  <c r="E3672" i="7"/>
  <c r="E3213" i="7"/>
  <c r="E768" i="7"/>
  <c r="E4754" i="7"/>
  <c r="E3837" i="7"/>
  <c r="E1763" i="7"/>
  <c r="M363" i="7"/>
  <c r="M3672" i="7"/>
  <c r="M946" i="7"/>
  <c r="M1702" i="7"/>
  <c r="M1763" i="7"/>
  <c r="M3496" i="7"/>
  <c r="M3910" i="7"/>
  <c r="M768" i="7"/>
  <c r="M4754" i="7"/>
  <c r="M3837" i="7"/>
  <c r="M3213" i="7"/>
  <c r="E3308" i="7" l="1"/>
  <c r="E702" i="7"/>
  <c r="E890" i="7"/>
  <c r="E434" i="7"/>
  <c r="E3754" i="7"/>
  <c r="E3403" i="7"/>
  <c r="E292" i="7"/>
  <c r="E3989" i="7"/>
  <c r="E3120" i="7"/>
  <c r="E4755" i="7"/>
  <c r="E636" i="7"/>
  <c r="E3591" i="7"/>
  <c r="M3308" i="7"/>
  <c r="M3120" i="7"/>
  <c r="M434" i="7"/>
  <c r="M702" i="7"/>
  <c r="M3989" i="7"/>
  <c r="M890" i="7"/>
  <c r="M4755" i="7"/>
  <c r="M292" i="7"/>
  <c r="M3591" i="7"/>
  <c r="M3403" i="7"/>
  <c r="M3754" i="7"/>
  <c r="M636" i="7"/>
  <c r="E3911" i="7" l="1"/>
  <c r="E1703" i="7"/>
  <c r="E3309" i="7"/>
  <c r="E364" i="7"/>
  <c r="E3214" i="7"/>
  <c r="E947" i="7"/>
  <c r="E3755" i="7"/>
  <c r="E3497" i="7"/>
  <c r="E3673" i="7"/>
  <c r="E769" i="7"/>
  <c r="E3838" i="7"/>
  <c r="E1764" i="7"/>
  <c r="M3911" i="7"/>
  <c r="M3309" i="7"/>
  <c r="M3673" i="7"/>
  <c r="M947" i="7"/>
  <c r="M364" i="7"/>
  <c r="M3214" i="7"/>
  <c r="M1764" i="7"/>
  <c r="M3755" i="7"/>
  <c r="M3497" i="7"/>
  <c r="M769" i="7"/>
  <c r="M3838" i="7"/>
  <c r="M1703" i="7"/>
  <c r="E1704" i="7" l="1"/>
  <c r="E435" i="7"/>
  <c r="E703" i="7"/>
  <c r="E3404" i="7"/>
  <c r="E293" i="7"/>
  <c r="E3990" i="7"/>
  <c r="E3121" i="7"/>
  <c r="E637" i="7"/>
  <c r="E4756" i="7"/>
  <c r="E3592" i="7"/>
  <c r="E365" i="7"/>
  <c r="M365" i="7"/>
  <c r="M3990" i="7"/>
  <c r="M637" i="7"/>
  <c r="M1704" i="7"/>
  <c r="M435" i="7"/>
  <c r="M703" i="7"/>
  <c r="M3404" i="7"/>
  <c r="M4756" i="7"/>
  <c r="M3592" i="7"/>
  <c r="M3121" i="7"/>
  <c r="M293" i="7"/>
  <c r="E3912" i="7" l="1"/>
  <c r="E3310" i="7"/>
  <c r="E3215" i="7"/>
  <c r="E1705" i="7"/>
  <c r="E948" i="7"/>
  <c r="E3498" i="7"/>
  <c r="E770" i="7"/>
  <c r="E3674" i="7"/>
  <c r="E3756" i="7"/>
  <c r="E3122" i="7"/>
  <c r="E1765" i="7"/>
  <c r="E4757" i="7"/>
  <c r="E3839" i="7"/>
  <c r="M3839" i="7"/>
  <c r="M948" i="7"/>
  <c r="M770" i="7"/>
  <c r="M3674" i="7"/>
  <c r="M3912" i="7"/>
  <c r="M3498" i="7"/>
  <c r="M3215" i="7"/>
  <c r="M3310" i="7"/>
  <c r="M3756" i="7"/>
  <c r="M1765" i="7"/>
  <c r="M3122" i="7"/>
  <c r="M1705" i="7"/>
  <c r="M4757" i="7"/>
  <c r="E436" i="7" l="1"/>
  <c r="E3913" i="7"/>
  <c r="E704" i="7"/>
  <c r="E3405" i="7"/>
  <c r="E3757" i="7"/>
  <c r="E3675" i="7"/>
  <c r="E294" i="7"/>
  <c r="E3991" i="7"/>
  <c r="E638" i="7"/>
  <c r="E3311" i="7"/>
  <c r="E3593" i="7"/>
  <c r="E366" i="7"/>
  <c r="E771" i="7"/>
  <c r="M704" i="7"/>
  <c r="M436" i="7"/>
  <c r="M294" i="7"/>
  <c r="M366" i="7"/>
  <c r="M3991" i="7"/>
  <c r="M771" i="7"/>
  <c r="M3311" i="7"/>
  <c r="M638" i="7"/>
  <c r="M3675" i="7"/>
  <c r="M3757" i="7"/>
  <c r="M3405" i="7"/>
  <c r="M3913" i="7"/>
  <c r="M3593" i="7"/>
  <c r="E437" i="7" l="1"/>
  <c r="E3216" i="7"/>
  <c r="E1706" i="7"/>
  <c r="E3406" i="7"/>
  <c r="E772" i="7"/>
  <c r="E3499" i="7"/>
  <c r="E1766" i="7"/>
  <c r="E3123" i="7"/>
  <c r="E4758" i="7"/>
  <c r="E3840" i="7"/>
  <c r="M3123" i="7"/>
  <c r="M4758" i="7"/>
  <c r="M3840" i="7"/>
  <c r="M3406" i="7"/>
  <c r="M772" i="7"/>
  <c r="M3216" i="7"/>
  <c r="M437" i="7"/>
  <c r="M1766" i="7"/>
  <c r="M3499" i="7"/>
  <c r="M1706" i="7"/>
  <c r="E3914" i="7" l="1"/>
  <c r="E705" i="7"/>
  <c r="E3758" i="7"/>
  <c r="E438" i="7"/>
  <c r="E3676" i="7"/>
  <c r="E295" i="7"/>
  <c r="E639" i="7"/>
  <c r="E3992" i="7"/>
  <c r="E3217" i="7"/>
  <c r="E3312" i="7"/>
  <c r="E367" i="7"/>
  <c r="E3594" i="7"/>
  <c r="M295" i="7"/>
  <c r="M367" i="7"/>
  <c r="M3758" i="7"/>
  <c r="M3992" i="7"/>
  <c r="M3914" i="7"/>
  <c r="M3312" i="7"/>
  <c r="M3676" i="7"/>
  <c r="M705" i="7"/>
  <c r="M438" i="7"/>
  <c r="M639" i="7"/>
  <c r="M3594" i="7"/>
  <c r="M3217" i="7"/>
  <c r="E773" i="7" l="1"/>
  <c r="E3500" i="7"/>
  <c r="E1767" i="7"/>
  <c r="E3407" i="7"/>
  <c r="E3124" i="7"/>
  <c r="E4759" i="7"/>
  <c r="E368" i="7"/>
  <c r="E3841" i="7"/>
  <c r="M368" i="7"/>
  <c r="M1767" i="7"/>
  <c r="M4759" i="7"/>
  <c r="M3124" i="7"/>
  <c r="M3407" i="7"/>
  <c r="M773" i="7"/>
  <c r="M3841" i="7"/>
  <c r="M3500" i="7"/>
  <c r="E3915" i="7" l="1"/>
  <c r="E3759" i="7"/>
  <c r="E706" i="7"/>
  <c r="E774" i="7"/>
  <c r="E439" i="7"/>
  <c r="E3677" i="7"/>
  <c r="E640" i="7"/>
  <c r="E296" i="7"/>
  <c r="E3993" i="7"/>
  <c r="E3218" i="7"/>
  <c r="E3595" i="7"/>
  <c r="E3313" i="7"/>
  <c r="M3313" i="7"/>
  <c r="M3218" i="7"/>
  <c r="M774" i="7"/>
  <c r="M3759" i="7"/>
  <c r="M439" i="7"/>
  <c r="M3595" i="7"/>
  <c r="M640" i="7"/>
  <c r="M706" i="7"/>
  <c r="M3993" i="7"/>
  <c r="M3677" i="7"/>
  <c r="M3915" i="7"/>
  <c r="M296" i="7"/>
  <c r="E1768" i="7" l="1"/>
  <c r="E3501" i="7"/>
  <c r="E3408" i="7"/>
  <c r="E3125" i="7"/>
  <c r="E3842" i="7"/>
  <c r="E4760" i="7"/>
  <c r="E369" i="7"/>
  <c r="M3501" i="7"/>
  <c r="M1768" i="7"/>
  <c r="M4760" i="7"/>
  <c r="M369" i="7"/>
  <c r="M3842" i="7"/>
  <c r="M3408" i="7"/>
  <c r="M3125" i="7"/>
  <c r="E3760" i="7" l="1"/>
  <c r="E3916" i="7"/>
  <c r="E707" i="7"/>
  <c r="E1769" i="7"/>
  <c r="E641" i="7"/>
  <c r="E3678" i="7"/>
  <c r="E3994" i="7"/>
  <c r="E297" i="7"/>
  <c r="E3596" i="7"/>
  <c r="E3219" i="7"/>
  <c r="E3314" i="7"/>
  <c r="E3843" i="7"/>
  <c r="M3760" i="7"/>
  <c r="M641" i="7"/>
  <c r="M707" i="7"/>
  <c r="M3314" i="7"/>
  <c r="M3678" i="7"/>
  <c r="M297" i="7"/>
  <c r="M3994" i="7"/>
  <c r="M1769" i="7"/>
  <c r="M3916" i="7"/>
  <c r="M3219" i="7"/>
  <c r="M3843" i="7"/>
  <c r="M3596" i="7"/>
  <c r="E1770" i="7" l="1"/>
  <c r="E3502" i="7"/>
  <c r="E642" i="7"/>
  <c r="E3995" i="7"/>
  <c r="E3409" i="7"/>
  <c r="E3220" i="7"/>
  <c r="E3126" i="7"/>
  <c r="E4761" i="7"/>
  <c r="E3761" i="7"/>
  <c r="E370" i="7"/>
  <c r="M642" i="7"/>
  <c r="M3995" i="7"/>
  <c r="M4761" i="7"/>
  <c r="M3409" i="7"/>
  <c r="M1770" i="7"/>
  <c r="M3502" i="7"/>
  <c r="M3126" i="7"/>
  <c r="M370" i="7"/>
  <c r="M3761" i="7"/>
  <c r="M3220" i="7"/>
  <c r="E3917" i="7" l="1"/>
  <c r="E708" i="7"/>
  <c r="E643" i="7"/>
  <c r="E3679" i="7"/>
  <c r="E298" i="7"/>
  <c r="E3597" i="7"/>
  <c r="E3410" i="7"/>
  <c r="E3315" i="7"/>
  <c r="E3844" i="7"/>
  <c r="E3762" i="7"/>
  <c r="M708" i="7"/>
  <c r="M3917" i="7"/>
  <c r="M3315" i="7"/>
  <c r="M3679" i="7"/>
  <c r="M3410" i="7"/>
  <c r="M3762" i="7"/>
  <c r="M643" i="7"/>
  <c r="M3844" i="7"/>
  <c r="M3597" i="7"/>
  <c r="M298" i="7"/>
  <c r="E371" i="7" l="1"/>
  <c r="E3503" i="7"/>
  <c r="E3221" i="7"/>
  <c r="E3996" i="7"/>
  <c r="E3127" i="7"/>
  <c r="E4762" i="7"/>
  <c r="E3763" i="7"/>
  <c r="M3763" i="7"/>
  <c r="M3127" i="7"/>
  <c r="M3503" i="7"/>
  <c r="M3996" i="7"/>
  <c r="M371" i="7"/>
  <c r="M3221" i="7"/>
  <c r="M4762" i="7"/>
  <c r="E709" i="7" l="1"/>
  <c r="E3918" i="7"/>
  <c r="E372" i="7"/>
  <c r="E299" i="7"/>
  <c r="E644" i="7"/>
  <c r="E3680" i="7"/>
  <c r="E3128" i="7"/>
  <c r="E3598" i="7"/>
  <c r="E3411" i="7"/>
  <c r="E3316" i="7"/>
  <c r="E3845" i="7"/>
  <c r="M3128" i="7"/>
  <c r="M3845" i="7"/>
  <c r="M709" i="7"/>
  <c r="M299" i="7"/>
  <c r="M3918" i="7"/>
  <c r="M3680" i="7"/>
  <c r="M3316" i="7"/>
  <c r="M644" i="7"/>
  <c r="M3411" i="7"/>
  <c r="M372" i="7"/>
  <c r="M3598" i="7"/>
  <c r="E710" i="7" l="1"/>
  <c r="E373" i="7"/>
  <c r="E3504" i="7"/>
  <c r="E3222" i="7"/>
  <c r="E3997" i="7"/>
  <c r="E3129" i="7"/>
  <c r="E4763" i="7"/>
  <c r="E3764" i="7"/>
  <c r="M710" i="7"/>
  <c r="M3222" i="7"/>
  <c r="M3504" i="7"/>
  <c r="M3129" i="7"/>
  <c r="M3764" i="7"/>
  <c r="M4763" i="7"/>
  <c r="M3997" i="7"/>
  <c r="M373" i="7"/>
  <c r="E3919" i="7" l="1"/>
  <c r="E300" i="7"/>
  <c r="E3681" i="7"/>
  <c r="E3317" i="7"/>
  <c r="E3998" i="7"/>
  <c r="E3599" i="7"/>
  <c r="E3412" i="7"/>
  <c r="E4764" i="7"/>
  <c r="E3846" i="7"/>
  <c r="M3681" i="7"/>
  <c r="M3599" i="7"/>
  <c r="M3317" i="7"/>
  <c r="M300" i="7"/>
  <c r="M3998" i="7"/>
  <c r="M3919" i="7"/>
  <c r="M3846" i="7"/>
  <c r="M3412" i="7"/>
  <c r="M4764" i="7"/>
  <c r="E3505" i="7" l="1"/>
  <c r="E3318" i="7"/>
  <c r="E3223" i="7"/>
  <c r="E3682" i="7"/>
  <c r="E3130" i="7"/>
  <c r="E3847" i="7"/>
  <c r="E3765" i="7"/>
  <c r="S101" i="11"/>
  <c r="AS83" i="11"/>
  <c r="AS97" i="11"/>
  <c r="F26" i="11"/>
  <c r="P76" i="11"/>
  <c r="P99" i="11"/>
  <c r="F14" i="11"/>
  <c r="C68" i="11"/>
  <c r="F94" i="11"/>
  <c r="F68" i="11"/>
  <c r="R29" i="11"/>
  <c r="AS12" i="11"/>
  <c r="AN27" i="11"/>
  <c r="R86" i="11"/>
  <c r="O71" i="11"/>
  <c r="R30" i="11"/>
  <c r="C96" i="11"/>
  <c r="S97" i="11"/>
  <c r="S75" i="11"/>
  <c r="F80" i="11"/>
  <c r="F95" i="11"/>
  <c r="S24" i="11"/>
  <c r="F66" i="11"/>
  <c r="AO29" i="11"/>
  <c r="C87" i="11"/>
  <c r="AO30" i="11"/>
  <c r="R59" i="11"/>
  <c r="P60" i="11"/>
  <c r="C93" i="11"/>
  <c r="AS62" i="11"/>
  <c r="F101" i="11"/>
  <c r="F87" i="11"/>
  <c r="C80" i="11"/>
  <c r="C72" i="11"/>
  <c r="AS34" i="11"/>
  <c r="AS26" i="11"/>
  <c r="R18" i="11"/>
  <c r="AS14" i="11"/>
  <c r="AS24" i="11"/>
  <c r="O12" i="11"/>
  <c r="R82" i="11"/>
  <c r="AS70" i="11"/>
  <c r="S72" i="11"/>
  <c r="C21" i="11"/>
  <c r="AN14" i="11"/>
  <c r="S16" i="11"/>
  <c r="AM31" i="11"/>
  <c r="F28" i="11"/>
  <c r="O78" i="11"/>
  <c r="F96" i="11"/>
  <c r="C14" i="11"/>
  <c r="S79" i="11"/>
  <c r="S73" i="11"/>
  <c r="AS28" i="11"/>
  <c r="P13" i="11"/>
  <c r="R66" i="11"/>
  <c r="AN25" i="11"/>
  <c r="O25" i="11"/>
  <c r="P70" i="11"/>
  <c r="P98" i="11"/>
  <c r="R69" i="11"/>
  <c r="AN9" i="11"/>
  <c r="F23" i="11"/>
  <c r="AO24" i="11"/>
  <c r="C92" i="11"/>
  <c r="R17" i="11"/>
  <c r="P80" i="11"/>
  <c r="AS99" i="11"/>
  <c r="F31" i="11"/>
  <c r="O81" i="11"/>
  <c r="O96" i="11"/>
  <c r="R97" i="11"/>
  <c r="AO16" i="11"/>
  <c r="S99" i="11"/>
  <c r="R95" i="11"/>
  <c r="P63" i="11"/>
  <c r="R99" i="11"/>
  <c r="F16" i="11"/>
  <c r="S34" i="11"/>
  <c r="R71" i="11"/>
  <c r="O86" i="11"/>
  <c r="C66" i="11"/>
  <c r="AO8" i="11"/>
  <c r="R62" i="11"/>
  <c r="C60" i="11"/>
  <c r="O67" i="11"/>
  <c r="S86" i="11"/>
  <c r="F67" i="11"/>
  <c r="S12" i="11"/>
  <c r="R96" i="11"/>
  <c r="AO22" i="11"/>
  <c r="AM27" i="11"/>
  <c r="AS84" i="11"/>
  <c r="R85" i="11"/>
  <c r="C8" i="11"/>
  <c r="P78" i="11"/>
  <c r="F74" i="11"/>
  <c r="M3505" i="7"/>
  <c r="O24" i="11"/>
  <c r="AN34" i="11"/>
  <c r="F75" i="11"/>
  <c r="AM59" i="11"/>
  <c r="O95" i="11"/>
  <c r="AS81" i="11"/>
  <c r="AN23" i="11"/>
  <c r="AM9" i="11"/>
  <c r="AS85" i="11"/>
  <c r="R67" i="11"/>
  <c r="R12" i="11"/>
  <c r="P27" i="11"/>
  <c r="S13" i="11"/>
  <c r="AN18" i="11"/>
  <c r="F18" i="11"/>
  <c r="R80" i="11"/>
  <c r="AS75" i="11"/>
  <c r="AM26" i="11"/>
  <c r="C77" i="11"/>
  <c r="P84" i="11"/>
  <c r="S100" i="11"/>
  <c r="F102" i="11"/>
  <c r="S80" i="11"/>
  <c r="J28" i="11"/>
  <c r="AO14" i="11"/>
  <c r="R75" i="11"/>
  <c r="S30" i="11"/>
  <c r="F29" i="11"/>
  <c r="R64" i="11"/>
  <c r="O65" i="11"/>
  <c r="P77" i="11"/>
  <c r="C76" i="11"/>
  <c r="P81" i="11"/>
  <c r="O82" i="11"/>
  <c r="S82" i="11"/>
  <c r="C99" i="11"/>
  <c r="AS98" i="11"/>
  <c r="C65" i="11"/>
  <c r="P65" i="11"/>
  <c r="AS13" i="11"/>
  <c r="F64" i="11"/>
  <c r="O97" i="11"/>
  <c r="S62" i="11"/>
  <c r="AM8" i="11"/>
  <c r="AN20" i="11"/>
  <c r="R78" i="11"/>
  <c r="F71" i="11"/>
  <c r="O74" i="11"/>
  <c r="O83" i="11"/>
  <c r="C23" i="11"/>
  <c r="R13" i="11"/>
  <c r="AS63" i="11"/>
  <c r="F25" i="11"/>
  <c r="AM12" i="11"/>
  <c r="P26" i="11"/>
  <c r="C71" i="11"/>
  <c r="O75" i="11"/>
  <c r="F27" i="11"/>
  <c r="AS30" i="11"/>
  <c r="P96" i="11"/>
  <c r="C10" i="11"/>
  <c r="C12" i="11"/>
  <c r="X27" i="11"/>
  <c r="P79" i="11"/>
  <c r="R87" i="11"/>
  <c r="C9" i="11"/>
  <c r="F61" i="11"/>
  <c r="R65" i="11"/>
  <c r="C28" i="11"/>
  <c r="X25" i="11"/>
  <c r="C86" i="11"/>
  <c r="C70" i="11"/>
  <c r="AN31" i="11"/>
  <c r="AO26" i="11"/>
  <c r="C82" i="11"/>
  <c r="AS73" i="11"/>
  <c r="C67" i="11"/>
  <c r="P92" i="11"/>
  <c r="O69" i="11"/>
  <c r="S76" i="11"/>
  <c r="AM20" i="11"/>
  <c r="P31" i="11"/>
  <c r="F78" i="11"/>
  <c r="AS94" i="11"/>
  <c r="O18" i="11"/>
  <c r="F98" i="11"/>
  <c r="C84" i="11"/>
  <c r="P25" i="11"/>
  <c r="P100" i="11"/>
  <c r="O31" i="11"/>
  <c r="M3" i="7"/>
  <c r="C95" i="11"/>
  <c r="M3847" i="7"/>
  <c r="O100" i="11"/>
  <c r="O73" i="11"/>
  <c r="R77" i="11"/>
  <c r="O68" i="11"/>
  <c r="AO18" i="11"/>
  <c r="C59" i="11"/>
  <c r="R84" i="11"/>
  <c r="AN13" i="11"/>
  <c r="P30" i="11"/>
  <c r="F79" i="11"/>
  <c r="P94" i="11"/>
  <c r="S31" i="11"/>
  <c r="AS16" i="11"/>
  <c r="AN24" i="11"/>
  <c r="AS92" i="11"/>
  <c r="O79" i="11"/>
  <c r="O17" i="11"/>
  <c r="F93" i="11"/>
  <c r="P73" i="11"/>
  <c r="AO59" i="11"/>
  <c r="C27" i="11"/>
  <c r="S14" i="11"/>
  <c r="F72" i="11"/>
  <c r="F13" i="11"/>
  <c r="AS65" i="11"/>
  <c r="R24" i="11"/>
  <c r="C62" i="11"/>
  <c r="AS64" i="11"/>
  <c r="O34" i="11"/>
  <c r="AS77" i="11"/>
  <c r="S18" i="11"/>
  <c r="O85" i="11"/>
  <c r="S28" i="11"/>
  <c r="F30" i="11"/>
  <c r="O16" i="11"/>
  <c r="S94" i="11"/>
  <c r="AM10" i="11"/>
  <c r="AO17" i="11"/>
  <c r="P101" i="11"/>
  <c r="AS93" i="11"/>
  <c r="AS80" i="11"/>
  <c r="O84" i="11"/>
  <c r="AN12" i="11"/>
  <c r="M3765" i="7"/>
  <c r="P66" i="11"/>
  <c r="F24" i="11"/>
  <c r="S87" i="11"/>
  <c r="O80" i="11"/>
  <c r="AO25" i="11"/>
  <c r="AS61" i="11"/>
  <c r="AS71" i="11"/>
  <c r="F73" i="11"/>
  <c r="P29" i="11"/>
  <c r="AN10" i="11"/>
  <c r="C69" i="11"/>
  <c r="O72" i="11"/>
  <c r="R79" i="11"/>
  <c r="S96" i="11"/>
  <c r="AO23" i="11"/>
  <c r="R60" i="11"/>
  <c r="F65" i="11"/>
  <c r="S68" i="11"/>
  <c r="O23" i="11"/>
  <c r="O27" i="11"/>
  <c r="P17" i="11"/>
  <c r="AS25" i="11"/>
  <c r="O62" i="11"/>
  <c r="S27" i="11"/>
  <c r="C85" i="11"/>
  <c r="O14" i="11"/>
  <c r="AO20" i="11"/>
  <c r="S98" i="11"/>
  <c r="AM16" i="11"/>
  <c r="AM14" i="11"/>
  <c r="F20" i="11"/>
  <c r="R81" i="11"/>
  <c r="R26" i="11"/>
  <c r="G6" i="9"/>
  <c r="AN28" i="11"/>
  <c r="O99" i="11"/>
  <c r="F85" i="11"/>
  <c r="C29" i="11"/>
  <c r="M3223" i="7"/>
  <c r="P72" i="11"/>
  <c r="S69" i="11"/>
  <c r="R98" i="11"/>
  <c r="AO34" i="11"/>
  <c r="C31" i="11"/>
  <c r="R68" i="11"/>
  <c r="S65" i="11"/>
  <c r="O26" i="11"/>
  <c r="P69" i="11"/>
  <c r="AO27" i="11"/>
  <c r="S29" i="11"/>
  <c r="AA27" i="11"/>
  <c r="O30" i="11"/>
  <c r="O59" i="11"/>
  <c r="AS67" i="11"/>
  <c r="AS86" i="11"/>
  <c r="S95" i="11"/>
  <c r="AS18" i="11"/>
  <c r="M3682" i="7"/>
  <c r="S78" i="11"/>
  <c r="AN26" i="11"/>
  <c r="S85" i="11"/>
  <c r="AN21" i="11"/>
  <c r="R94" i="11"/>
  <c r="S20" i="11"/>
  <c r="S66" i="11"/>
  <c r="P93" i="11"/>
  <c r="R28" i="11"/>
  <c r="AM24" i="11"/>
  <c r="AS74" i="11"/>
  <c r="R76" i="11"/>
  <c r="O98" i="11"/>
  <c r="R83" i="11"/>
  <c r="P83" i="11"/>
  <c r="AS95" i="11"/>
  <c r="AO31" i="11"/>
  <c r="AM13" i="11"/>
  <c r="P97" i="11"/>
  <c r="R27" i="11"/>
  <c r="C18" i="11"/>
  <c r="AS100" i="11"/>
  <c r="G5" i="9"/>
  <c r="P34" i="11"/>
  <c r="C24" i="11"/>
  <c r="C100" i="11"/>
  <c r="F100" i="11"/>
  <c r="O102" i="11"/>
  <c r="C97" i="11"/>
  <c r="O60" i="11"/>
  <c r="C73" i="11"/>
  <c r="C20" i="11"/>
  <c r="AS96" i="11"/>
  <c r="F69" i="11"/>
  <c r="P24" i="11"/>
  <c r="C61" i="11"/>
  <c r="S70" i="11"/>
  <c r="O101" i="11"/>
  <c r="R16" i="11"/>
  <c r="S102" i="11"/>
  <c r="AS27" i="11"/>
  <c r="P102" i="11"/>
  <c r="AM34" i="11"/>
  <c r="P12" i="11"/>
  <c r="R20" i="11"/>
  <c r="AS29" i="11"/>
  <c r="R34" i="11"/>
  <c r="R101" i="11"/>
  <c r="R70" i="11"/>
  <c r="C25" i="11"/>
  <c r="AO10" i="11"/>
  <c r="S71" i="11"/>
  <c r="R74" i="11"/>
  <c r="AS72" i="11"/>
  <c r="AO21" i="11"/>
  <c r="R73" i="11"/>
  <c r="P86" i="11"/>
  <c r="R72" i="11"/>
  <c r="AS101" i="11"/>
  <c r="S26" i="11"/>
  <c r="O92" i="11"/>
  <c r="F60" i="11"/>
  <c r="AN8" i="11"/>
  <c r="O76" i="11"/>
  <c r="F86" i="11"/>
  <c r="S64" i="11"/>
  <c r="AO13" i="11"/>
  <c r="C22" i="11"/>
  <c r="S59" i="11"/>
  <c r="P64" i="11"/>
  <c r="AS60" i="11"/>
  <c r="F70" i="11"/>
  <c r="F99" i="11"/>
  <c r="M3318" i="7"/>
  <c r="F97" i="11"/>
  <c r="O70" i="11"/>
  <c r="AN22" i="11"/>
  <c r="AS66" i="11"/>
  <c r="P75" i="11"/>
  <c r="AS76" i="11"/>
  <c r="AS59" i="11"/>
  <c r="P14" i="11"/>
  <c r="S67" i="11"/>
  <c r="AS79" i="11"/>
  <c r="AS69" i="11"/>
  <c r="O64" i="11"/>
  <c r="AN30" i="11"/>
  <c r="AM21" i="11"/>
  <c r="F62" i="11"/>
  <c r="R100" i="11"/>
  <c r="F84" i="11"/>
  <c r="P61" i="11"/>
  <c r="C30" i="11"/>
  <c r="AS82" i="11"/>
  <c r="R63" i="11"/>
  <c r="O13" i="11"/>
  <c r="C79" i="11"/>
  <c r="F63" i="11"/>
  <c r="P62" i="11"/>
  <c r="O29" i="11"/>
  <c r="P28" i="11"/>
  <c r="AS20" i="11"/>
  <c r="P87" i="11"/>
  <c r="O66" i="11"/>
  <c r="AS102" i="11"/>
  <c r="S25" i="11"/>
  <c r="AA25" i="11"/>
  <c r="AS78" i="11"/>
  <c r="AS31" i="11"/>
  <c r="C83" i="11"/>
  <c r="C78" i="11"/>
  <c r="F59" i="11"/>
  <c r="F77" i="11"/>
  <c r="F34" i="11"/>
  <c r="O93" i="11"/>
  <c r="AM29" i="11"/>
  <c r="C81" i="11"/>
  <c r="AM23" i="11"/>
  <c r="AN17" i="11"/>
  <c r="O77" i="11"/>
  <c r="C34" i="11"/>
  <c r="AN16" i="11"/>
  <c r="S92" i="11"/>
  <c r="AS17" i="11"/>
  <c r="F92" i="11"/>
  <c r="R23" i="11"/>
  <c r="O63" i="11"/>
  <c r="F12" i="11"/>
  <c r="C16" i="11"/>
  <c r="O94" i="11"/>
  <c r="C64" i="11"/>
  <c r="S84" i="11"/>
  <c r="P16" i="11"/>
  <c r="C74" i="11"/>
  <c r="R25" i="11"/>
  <c r="S83" i="11"/>
  <c r="R31" i="11"/>
  <c r="P18" i="11"/>
  <c r="O61" i="11"/>
  <c r="AM17" i="11"/>
  <c r="S23" i="11"/>
  <c r="AS68" i="11"/>
  <c r="F17" i="11"/>
  <c r="C63" i="11"/>
  <c r="S77" i="11"/>
  <c r="S61" i="11"/>
  <c r="F76" i="11"/>
  <c r="R102" i="11"/>
  <c r="S81" i="11"/>
  <c r="S60" i="11"/>
  <c r="P74" i="11"/>
  <c r="C98" i="11"/>
  <c r="P85" i="11"/>
  <c r="M3130" i="7"/>
  <c r="R93" i="11"/>
  <c r="AM22" i="11"/>
  <c r="C17" i="11"/>
  <c r="AO12" i="11"/>
  <c r="S17" i="11"/>
  <c r="P67" i="11"/>
  <c r="C94" i="11"/>
  <c r="S93" i="11"/>
  <c r="P95" i="11"/>
  <c r="R61" i="11"/>
  <c r="C102" i="11"/>
  <c r="AS87" i="11"/>
  <c r="C26" i="11"/>
  <c r="AM18" i="11"/>
  <c r="S74" i="11"/>
  <c r="S63" i="11"/>
  <c r="AN29" i="11"/>
  <c r="AN59" i="11"/>
  <c r="AO28" i="11"/>
  <c r="P20" i="11"/>
  <c r="AM28" i="11"/>
  <c r="C75" i="11"/>
  <c r="AO9" i="11"/>
  <c r="AM30" i="11"/>
  <c r="AM25" i="11"/>
  <c r="O87" i="11"/>
  <c r="F83" i="11"/>
  <c r="R92" i="11"/>
  <c r="P82" i="11"/>
  <c r="R14" i="11"/>
  <c r="P68" i="11"/>
  <c r="P59" i="11"/>
  <c r="O20" i="11"/>
  <c r="P23" i="11"/>
  <c r="C13" i="11"/>
  <c r="O28" i="11"/>
  <c r="F82" i="11"/>
  <c r="C101" i="11"/>
  <c r="P71" i="11"/>
  <c r="AS8" i="11" l="1"/>
  <c r="P21" i="11"/>
  <c r="O21" i="11"/>
  <c r="U18" i="11"/>
  <c r="S21" i="11"/>
  <c r="R8" i="11"/>
  <c r="S22" i="11"/>
  <c r="F22" i="11"/>
  <c r="F21" i="11"/>
  <c r="O22" i="11"/>
  <c r="AS22" i="11"/>
  <c r="G7" i="9"/>
  <c r="AB27" i="11"/>
  <c r="O8" i="11"/>
  <c r="R22" i="11"/>
  <c r="U16" i="11"/>
  <c r="P8" i="11"/>
  <c r="U17" i="11"/>
  <c r="U14" i="11"/>
  <c r="S8" i="11"/>
  <c r="AB25" i="11"/>
  <c r="AS21" i="11"/>
  <c r="P22" i="11"/>
  <c r="R21" i="11"/>
  <c r="U13" i="11"/>
  <c r="AQ100" i="11"/>
  <c r="AV67" i="11"/>
  <c r="AV74" i="11"/>
  <c r="AR82" i="11"/>
  <c r="AR83" i="11"/>
  <c r="AQ85" i="11"/>
  <c r="AQ25" i="11"/>
  <c r="AP71" i="11"/>
  <c r="AQ84" i="11"/>
  <c r="AR85" i="11"/>
  <c r="AQ75" i="11"/>
  <c r="AQ73" i="11"/>
  <c r="AR59" i="11"/>
  <c r="AQ26" i="11"/>
  <c r="AQ98" i="11"/>
  <c r="AR96" i="11"/>
  <c r="AP64" i="11"/>
  <c r="AP82" i="11"/>
  <c r="AQ68" i="11"/>
  <c r="AT68" i="11"/>
  <c r="AP74" i="11"/>
  <c r="AU78" i="11"/>
  <c r="AT25" i="11"/>
  <c r="AT61" i="11"/>
  <c r="AP72" i="11"/>
  <c r="F81" i="11"/>
  <c r="AQ101" i="11"/>
  <c r="AQ60" i="11"/>
  <c r="AV16" i="11"/>
  <c r="AT12" i="11"/>
  <c r="AQ24" i="11"/>
  <c r="AU59" i="11"/>
  <c r="AQ95" i="11"/>
  <c r="AV92" i="11"/>
  <c r="AR81" i="11"/>
  <c r="AR80" i="11"/>
  <c r="AA12" i="11"/>
  <c r="AT66" i="11"/>
  <c r="AW14" i="11"/>
  <c r="F8" i="11" l="1"/>
  <c r="P36" i="11"/>
  <c r="AB12" i="11"/>
  <c r="AP81" i="11"/>
  <c r="AP66" i="11"/>
  <c r="AR60" i="11"/>
  <c r="AT16" i="11"/>
  <c r="AU76" i="11"/>
  <c r="AA79" i="11"/>
  <c r="AQ71" i="11"/>
  <c r="AU27" i="11"/>
  <c r="AU24" i="11"/>
  <c r="AR69" i="11"/>
  <c r="AP18" i="11"/>
  <c r="AT14" i="11"/>
  <c r="AZ13" i="11"/>
  <c r="AP76" i="11"/>
  <c r="AP68" i="11"/>
  <c r="AT101" i="11"/>
  <c r="AP62" i="11"/>
  <c r="AY14" i="11"/>
  <c r="AP78" i="11"/>
  <c r="AQ93" i="11"/>
  <c r="AR73" i="11"/>
  <c r="AZ16" i="11"/>
  <c r="AU68" i="11"/>
  <c r="AR25" i="11"/>
  <c r="AR68" i="11"/>
  <c r="AT98" i="11"/>
  <c r="AT60" i="11"/>
  <c r="AQ12" i="11"/>
  <c r="AP84" i="11"/>
  <c r="AQ72" i="11"/>
  <c r="AQ78" i="11"/>
  <c r="AT80" i="11"/>
  <c r="AP100" i="11"/>
  <c r="AU92" i="11"/>
  <c r="AP92" i="11"/>
  <c r="AA13" i="11"/>
  <c r="AQ29" i="11"/>
  <c r="AU16" i="11"/>
  <c r="AQ94" i="11"/>
  <c r="AR98" i="11"/>
  <c r="AW13" i="11"/>
  <c r="AQ16" i="11"/>
  <c r="AT92" i="11"/>
  <c r="AV26" i="11"/>
  <c r="AP12" i="11"/>
  <c r="AQ17" i="11"/>
  <c r="AQ63" i="11"/>
  <c r="AQ76" i="11"/>
  <c r="AQ70" i="11"/>
  <c r="AT96" i="11"/>
  <c r="AV27" i="11"/>
  <c r="AT75" i="11"/>
  <c r="AR77" i="11"/>
  <c r="AR67" i="11"/>
  <c r="AU97" i="11"/>
  <c r="AT81" i="11"/>
  <c r="AU81" i="11"/>
  <c r="AV31" i="11"/>
  <c r="AZ14" i="11"/>
  <c r="AT95" i="11"/>
  <c r="AQ64" i="11"/>
  <c r="AU96" i="11"/>
  <c r="AR99" i="11"/>
  <c r="AR74" i="11"/>
  <c r="AP20" i="11"/>
  <c r="AU72" i="11"/>
  <c r="AQ77" i="11"/>
  <c r="AV101" i="11"/>
  <c r="AR101" i="11"/>
  <c r="AT99" i="11"/>
  <c r="AV94" i="11"/>
  <c r="AV28" i="11"/>
  <c r="AV97" i="11"/>
  <c r="AT64" i="11"/>
  <c r="AP29" i="11"/>
  <c r="AU83" i="11"/>
  <c r="AR62" i="11"/>
  <c r="AU71" i="11"/>
  <c r="AR102" i="11"/>
  <c r="AV14" i="11"/>
  <c r="AP86" i="11"/>
  <c r="AU80" i="11"/>
  <c r="AT62" i="11"/>
  <c r="AT93" i="11"/>
  <c r="AR12" i="11"/>
  <c r="AR63" i="11"/>
  <c r="AV12" i="11"/>
  <c r="AT71" i="11"/>
  <c r="AU13" i="11"/>
  <c r="AR24" i="11"/>
  <c r="AU26" i="11"/>
  <c r="AQ34" i="11"/>
  <c r="AU65" i="11"/>
  <c r="AR65" i="11"/>
  <c r="AP24" i="11"/>
  <c r="AP79" i="11"/>
  <c r="AQ79" i="11"/>
  <c r="AQ13" i="11"/>
  <c r="AQ31" i="11"/>
  <c r="BA12" i="11"/>
  <c r="AT65" i="11"/>
  <c r="AP59" i="11"/>
  <c r="AT27" i="11"/>
  <c r="BA16" i="11"/>
  <c r="AU12" i="11"/>
  <c r="AV69" i="11"/>
  <c r="AU30" i="11"/>
  <c r="AR20" i="11"/>
  <c r="AU100" i="11"/>
  <c r="AP70" i="11"/>
  <c r="AR18" i="11"/>
  <c r="AP27" i="11"/>
  <c r="AR70" i="11"/>
  <c r="AU102" i="11"/>
  <c r="AQ74" i="11"/>
  <c r="AT74" i="11"/>
  <c r="AV86" i="11"/>
  <c r="AV20" i="11"/>
  <c r="AV102" i="11"/>
  <c r="AQ81" i="11"/>
  <c r="AY13" i="11"/>
  <c r="AT13" i="11"/>
  <c r="AP101" i="11"/>
  <c r="AP67" i="11"/>
  <c r="AU28" i="11"/>
  <c r="AT63" i="11"/>
  <c r="AT76" i="11"/>
  <c r="AX13" i="11"/>
  <c r="AV60" i="11"/>
  <c r="AU98" i="11"/>
  <c r="AT94" i="11"/>
  <c r="AU94" i="11"/>
  <c r="AP69" i="11"/>
  <c r="AV71" i="11"/>
  <c r="AU62" i="11"/>
  <c r="AT34" i="11"/>
  <c r="AU69" i="11"/>
  <c r="AP34" i="11"/>
  <c r="AT86" i="11"/>
  <c r="AR30" i="11"/>
  <c r="AR64" i="11"/>
  <c r="AQ80" i="11"/>
  <c r="AV98" i="11"/>
  <c r="AU34" i="11"/>
  <c r="AV29" i="11"/>
  <c r="AQ96" i="11"/>
  <c r="AV77" i="11"/>
  <c r="AP26" i="11"/>
  <c r="AP14" i="11"/>
  <c r="AQ62" i="11"/>
  <c r="AP93" i="11"/>
  <c r="AT72" i="11"/>
  <c r="AR61" i="11"/>
  <c r="AU79" i="11"/>
  <c r="AV72" i="11"/>
  <c r="AQ14" i="11"/>
  <c r="AV96" i="11"/>
  <c r="AV34" i="11"/>
  <c r="AT69" i="11"/>
  <c r="AQ28" i="11"/>
  <c r="AV85" i="11"/>
  <c r="AW12" i="11"/>
  <c r="AQ30" i="11"/>
  <c r="AV25" i="11"/>
  <c r="AP23" i="11"/>
  <c r="AU20" i="11"/>
  <c r="AU64" i="11"/>
  <c r="AR26" i="11"/>
  <c r="AV63" i="11"/>
  <c r="X79" i="11"/>
  <c r="AP16" i="11"/>
  <c r="AU17" i="11"/>
  <c r="AQ87" i="11"/>
  <c r="AP98" i="11"/>
  <c r="AP80" i="11"/>
  <c r="AP30" i="11"/>
  <c r="AQ83" i="11"/>
  <c r="AV59" i="11"/>
  <c r="AU101" i="11"/>
  <c r="AT73" i="11"/>
  <c r="AP25" i="11"/>
  <c r="AR76" i="11"/>
  <c r="AT20" i="11"/>
  <c r="AT67" i="11"/>
  <c r="AT83" i="11"/>
  <c r="AT70" i="11"/>
  <c r="AQ18" i="11"/>
  <c r="AR100" i="11"/>
  <c r="AT59" i="11"/>
  <c r="AT24" i="11"/>
  <c r="AT85" i="11"/>
  <c r="BA13" i="11"/>
  <c r="AX14" i="11"/>
  <c r="AR66" i="11"/>
  <c r="AT100" i="11"/>
  <c r="AU74" i="11"/>
  <c r="AV61" i="11"/>
  <c r="AU84" i="11"/>
  <c r="AP28" i="11"/>
  <c r="AR17" i="11"/>
  <c r="AU66" i="11"/>
  <c r="AR94" i="11"/>
  <c r="AP61" i="11"/>
  <c r="AV76" i="11"/>
  <c r="AY12" i="11"/>
  <c r="AU63" i="11"/>
  <c r="AQ65" i="11"/>
  <c r="AT78" i="11"/>
  <c r="AV83" i="11"/>
  <c r="AP83" i="11"/>
  <c r="AP73" i="11"/>
  <c r="AQ99" i="11"/>
  <c r="AU23" i="11"/>
  <c r="AU29" i="11"/>
  <c r="AV13" i="11"/>
  <c r="AT102" i="11"/>
  <c r="AR71" i="11"/>
  <c r="AR29" i="11"/>
  <c r="AP65" i="11"/>
  <c r="AU86" i="11"/>
  <c r="AP31" i="11"/>
  <c r="AR28" i="11"/>
  <c r="AV75" i="11"/>
  <c r="AQ69" i="11"/>
  <c r="AU31" i="11"/>
  <c r="AQ97" i="11"/>
  <c r="AP94" i="11"/>
  <c r="AX12" i="11"/>
  <c r="AU18" i="11"/>
  <c r="AU95" i="11"/>
  <c r="AQ23" i="11"/>
  <c r="AR87" i="11"/>
  <c r="AP60" i="11"/>
  <c r="AU25" i="11"/>
  <c r="AV70" i="11"/>
  <c r="AU14" i="11"/>
  <c r="AR78" i="11"/>
  <c r="AP102" i="11"/>
  <c r="AU67" i="11"/>
  <c r="AR86" i="11"/>
  <c r="AU77" i="11"/>
  <c r="AP77" i="11"/>
  <c r="AR97" i="11"/>
  <c r="AR79" i="11"/>
  <c r="AP13" i="11"/>
  <c r="AR84" i="11"/>
  <c r="AV93" i="11"/>
  <c r="AR93" i="11"/>
  <c r="AV73" i="11"/>
  <c r="AT31" i="11"/>
  <c r="AT84" i="11"/>
  <c r="AT30" i="11"/>
  <c r="AU85" i="11"/>
  <c r="AV23" i="11"/>
  <c r="AP85" i="11"/>
  <c r="AU61" i="11"/>
  <c r="AT82" i="11"/>
  <c r="AR75" i="11"/>
  <c r="AU87" i="11"/>
  <c r="AR27" i="11"/>
  <c r="AT18" i="11"/>
  <c r="AV66" i="11"/>
  <c r="AV24" i="11"/>
  <c r="AQ59" i="11"/>
  <c r="AQ86" i="11"/>
  <c r="AV99" i="11"/>
  <c r="AU75" i="11"/>
  <c r="AP95" i="11"/>
  <c r="AT28" i="11"/>
  <c r="AW16" i="11"/>
  <c r="AP99" i="11"/>
  <c r="AU73" i="11"/>
  <c r="AV65" i="11"/>
  <c r="AQ66" i="11"/>
  <c r="AQ102" i="11"/>
  <c r="AQ82" i="11"/>
  <c r="AV80" i="11"/>
  <c r="AV87" i="11"/>
  <c r="AV100" i="11"/>
  <c r="AT26" i="11"/>
  <c r="AV78" i="11"/>
  <c r="AQ67" i="11"/>
  <c r="AR95" i="11"/>
  <c r="AU70" i="11"/>
  <c r="AT79" i="11"/>
  <c r="AV79" i="11"/>
  <c r="AR72" i="11"/>
  <c r="AQ20" i="11"/>
  <c r="AV82" i="11"/>
  <c r="AP63" i="11"/>
  <c r="AR92" i="11"/>
  <c r="AP17" i="11"/>
  <c r="AU99" i="11"/>
  <c r="AT77" i="11"/>
  <c r="AD79" i="11"/>
  <c r="AV17" i="11"/>
  <c r="AV18" i="11"/>
  <c r="AV95" i="11"/>
  <c r="AQ27" i="11"/>
  <c r="AP97" i="11"/>
  <c r="AP96" i="11"/>
  <c r="AR23" i="11"/>
  <c r="AR31" i="11"/>
  <c r="AT97" i="11"/>
  <c r="AR14" i="11"/>
  <c r="AQ61" i="11"/>
  <c r="AZ12" i="11"/>
  <c r="AY16" i="11"/>
  <c r="AU82" i="11"/>
  <c r="AU60" i="11"/>
  <c r="AP87" i="11"/>
  <c r="AU93" i="11"/>
  <c r="AP75" i="11"/>
  <c r="AV62" i="11"/>
  <c r="AT17" i="11"/>
  <c r="AV68" i="11"/>
  <c r="AC79" i="11"/>
  <c r="AV81" i="11"/>
  <c r="AV84" i="11"/>
  <c r="AR16" i="11"/>
  <c r="AR13" i="11"/>
  <c r="AX16" i="11"/>
  <c r="AQ92" i="11"/>
  <c r="AT87" i="11"/>
  <c r="AV30" i="11"/>
  <c r="AV64" i="11"/>
  <c r="AR34" i="11"/>
  <c r="AT29" i="11"/>
  <c r="O36" i="11" l="1"/>
  <c r="S36" i="11"/>
  <c r="R36" i="11"/>
  <c r="Z86" i="11"/>
  <c r="E86" i="11"/>
  <c r="Y86" i="11"/>
  <c r="AQ22" i="11"/>
  <c r="AU22" i="11"/>
  <c r="Z96" i="11"/>
  <c r="E96" i="11"/>
  <c r="Y96" i="11"/>
  <c r="Z68" i="11"/>
  <c r="E68" i="11"/>
  <c r="Y68" i="11"/>
  <c r="E100" i="11"/>
  <c r="Z100" i="11"/>
  <c r="Y100" i="11"/>
  <c r="AP22" i="11"/>
  <c r="Z97" i="11"/>
  <c r="Y97" i="11"/>
  <c r="E97" i="11"/>
  <c r="AX22" i="11"/>
  <c r="E22" i="11" s="1"/>
  <c r="D22" i="11" s="1"/>
  <c r="Z73" i="11"/>
  <c r="E73" i="11"/>
  <c r="Y73" i="11"/>
  <c r="E18" i="11"/>
  <c r="G18" i="11" s="1"/>
  <c r="Y18" i="11"/>
  <c r="Z18" i="11"/>
  <c r="Z62" i="11"/>
  <c r="E62" i="11"/>
  <c r="Y62" i="11"/>
  <c r="Z28" i="11"/>
  <c r="E28" i="11"/>
  <c r="D28" i="11" s="1"/>
  <c r="Y28" i="11"/>
  <c r="Y77" i="11"/>
  <c r="E77" i="11"/>
  <c r="Z77" i="11"/>
  <c r="Z66" i="11"/>
  <c r="Y66" i="11"/>
  <c r="E66" i="11"/>
  <c r="E94" i="11"/>
  <c r="Y94" i="11"/>
  <c r="Z94" i="11"/>
  <c r="AT22" i="11"/>
  <c r="Y69" i="11"/>
  <c r="Z69" i="11"/>
  <c r="E69" i="11"/>
  <c r="E81" i="11"/>
  <c r="Z81" i="11"/>
  <c r="Y81" i="11"/>
  <c r="Y63" i="11"/>
  <c r="E63" i="11"/>
  <c r="Z63" i="11"/>
  <c r="E61" i="11"/>
  <c r="Y61" i="11"/>
  <c r="Z61" i="11"/>
  <c r="Z13" i="11"/>
  <c r="Y13" i="11"/>
  <c r="AT8" i="11"/>
  <c r="Z95" i="11"/>
  <c r="Y95" i="11"/>
  <c r="E95" i="11"/>
  <c r="E65" i="11"/>
  <c r="Y65" i="11"/>
  <c r="Z65" i="11"/>
  <c r="Z30" i="11"/>
  <c r="Y30" i="11"/>
  <c r="E30" i="11"/>
  <c r="D30" i="11" s="1"/>
  <c r="E34" i="11"/>
  <c r="D34" i="11" s="1"/>
  <c r="Z34" i="11"/>
  <c r="Y34" i="11"/>
  <c r="E23" i="11"/>
  <c r="D23" i="11" s="1"/>
  <c r="Y83" i="11"/>
  <c r="E83" i="11"/>
  <c r="Z83" i="11"/>
  <c r="Z85" i="11"/>
  <c r="Y85" i="11"/>
  <c r="E85" i="11"/>
  <c r="Y92" i="11"/>
  <c r="AP21" i="11"/>
  <c r="E92" i="11"/>
  <c r="Z92" i="11"/>
  <c r="AX21" i="11"/>
  <c r="E21" i="11" s="1"/>
  <c r="D21" i="11" s="1"/>
  <c r="Z67" i="11"/>
  <c r="E67" i="11"/>
  <c r="Y67" i="11"/>
  <c r="Y27" i="11"/>
  <c r="E27" i="11"/>
  <c r="G27" i="11" s="1"/>
  <c r="Z27" i="11"/>
  <c r="Z70" i="11"/>
  <c r="Y70" i="11"/>
  <c r="E70" i="11"/>
  <c r="Z31" i="11"/>
  <c r="E31" i="11"/>
  <c r="D31" i="11" s="1"/>
  <c r="Y31" i="11"/>
  <c r="E78" i="11"/>
  <c r="Z78" i="11"/>
  <c r="Y78" i="11"/>
  <c r="AR22" i="11"/>
  <c r="E87" i="11"/>
  <c r="Y87" i="11"/>
  <c r="Z87" i="11"/>
  <c r="AT21" i="11"/>
  <c r="Y102" i="11"/>
  <c r="E102" i="11"/>
  <c r="Z102" i="11"/>
  <c r="E26" i="11"/>
  <c r="Y26" i="11"/>
  <c r="Z26" i="11"/>
  <c r="AR8" i="11"/>
  <c r="E25" i="11"/>
  <c r="G25" i="11" s="1"/>
  <c r="Z25" i="11"/>
  <c r="Y25" i="11"/>
  <c r="Y12" i="11"/>
  <c r="Z12" i="11"/>
  <c r="E14" i="11"/>
  <c r="D14" i="11" s="1"/>
  <c r="AB13" i="11"/>
  <c r="Y80" i="11"/>
  <c r="Z80" i="11"/>
  <c r="E80" i="11"/>
  <c r="Z84" i="11"/>
  <c r="Y84" i="11"/>
  <c r="E84" i="11"/>
  <c r="E76" i="11"/>
  <c r="Z76" i="11"/>
  <c r="Y76" i="11"/>
  <c r="Z82" i="11"/>
  <c r="E82" i="11"/>
  <c r="Y82" i="11"/>
  <c r="Z99" i="11"/>
  <c r="E99" i="11"/>
  <c r="Y99" i="11"/>
  <c r="Z60" i="11"/>
  <c r="Y60" i="11"/>
  <c r="E60" i="11"/>
  <c r="AP8" i="11"/>
  <c r="AU21" i="11"/>
  <c r="Z17" i="11"/>
  <c r="E17" i="11"/>
  <c r="D17" i="11" s="1"/>
  <c r="Y17" i="11"/>
  <c r="AQ21" i="11"/>
  <c r="E72" i="11"/>
  <c r="Z72" i="11"/>
  <c r="Y72" i="11"/>
  <c r="Y98" i="11"/>
  <c r="Z98" i="11"/>
  <c r="E98" i="11"/>
  <c r="AV21" i="11"/>
  <c r="E16" i="11"/>
  <c r="D16" i="11" s="1"/>
  <c r="E13" i="11"/>
  <c r="Z24" i="11"/>
  <c r="Y24" i="11"/>
  <c r="E24" i="11"/>
  <c r="E71" i="11"/>
  <c r="Z71" i="11"/>
  <c r="Y71" i="11"/>
  <c r="E12" i="11"/>
  <c r="G12" i="11" s="1"/>
  <c r="Z93" i="11"/>
  <c r="Y93" i="11"/>
  <c r="E93" i="11"/>
  <c r="Y64" i="11"/>
  <c r="Z64" i="11"/>
  <c r="E64" i="11"/>
  <c r="AQ8" i="11"/>
  <c r="Z79" i="11"/>
  <c r="Y79" i="11"/>
  <c r="E79" i="11"/>
  <c r="E74" i="11"/>
  <c r="Z74" i="11"/>
  <c r="Y74" i="11"/>
  <c r="AV22" i="11"/>
  <c r="Z101" i="11"/>
  <c r="Y101" i="11"/>
  <c r="E101" i="11"/>
  <c r="AR21" i="11"/>
  <c r="Y20" i="11"/>
  <c r="Z20" i="11"/>
  <c r="E20" i="11"/>
  <c r="D20" i="11" s="1"/>
  <c r="Y75" i="11"/>
  <c r="Z75" i="11"/>
  <c r="E75" i="11"/>
  <c r="Z16" i="11"/>
  <c r="Y16" i="11"/>
  <c r="AV8" i="11"/>
  <c r="AU8" i="11" s="1"/>
  <c r="Z59" i="11"/>
  <c r="E59" i="11"/>
  <c r="AX8" i="11"/>
  <c r="E8" i="11" s="1"/>
  <c r="G8" i="11" s="1"/>
  <c r="G7" i="11" s="1"/>
  <c r="Y59" i="11"/>
  <c r="E29" i="11"/>
  <c r="D29" i="11" s="1"/>
  <c r="Y29" i="11"/>
  <c r="Z29" i="11"/>
  <c r="Y14" i="11"/>
  <c r="G34" i="11"/>
  <c r="G31" i="11"/>
  <c r="AB79" i="11"/>
  <c r="E3920" i="7"/>
  <c r="E3506" i="7"/>
  <c r="E301" i="7"/>
  <c r="E3413" i="7"/>
  <c r="E3999" i="7"/>
  <c r="E3600" i="7"/>
  <c r="E4765" i="7"/>
  <c r="M3999" i="7"/>
  <c r="M3413" i="7"/>
  <c r="M3920" i="7"/>
  <c r="M3506" i="7"/>
  <c r="M301" i="7"/>
  <c r="M4765" i="7"/>
  <c r="M3600" i="7"/>
  <c r="G28" i="11" l="1"/>
  <c r="AF22" i="11"/>
  <c r="U22" i="11" s="1"/>
  <c r="D27" i="11"/>
  <c r="Z22" i="11"/>
  <c r="G30" i="11"/>
  <c r="G16" i="11"/>
  <c r="AF21" i="11"/>
  <c r="U21" i="11" s="1"/>
  <c r="D12" i="11"/>
  <c r="G29" i="11"/>
  <c r="Z21" i="11"/>
  <c r="G21" i="11"/>
  <c r="E15" i="11"/>
  <c r="AG21" i="11"/>
  <c r="V21" i="11" s="1"/>
  <c r="E7" i="11"/>
  <c r="AG22" i="11"/>
  <c r="V22" i="11" s="1"/>
  <c r="G22" i="11"/>
  <c r="G20" i="11"/>
  <c r="Y8" i="11"/>
  <c r="E11" i="11"/>
  <c r="D18" i="11"/>
  <c r="G14" i="11"/>
  <c r="G23" i="11"/>
  <c r="Z8" i="11"/>
  <c r="AF8" i="11"/>
  <c r="U8" i="11" s="1"/>
  <c r="D8" i="11"/>
  <c r="G26" i="11"/>
  <c r="D26" i="11"/>
  <c r="E19" i="11"/>
  <c r="AG8" i="11"/>
  <c r="V8" i="11" s="1"/>
  <c r="D13" i="11"/>
  <c r="G13" i="11"/>
  <c r="Y22" i="11"/>
  <c r="G17" i="11"/>
  <c r="D25" i="11"/>
  <c r="G24" i="11"/>
  <c r="D24" i="11"/>
  <c r="Y21" i="11"/>
  <c r="E3224" i="7"/>
  <c r="E3414" i="7"/>
  <c r="E3319" i="7"/>
  <c r="E3683" i="7"/>
  <c r="E4000" i="7"/>
  <c r="E3766" i="7"/>
  <c r="E3131" i="7"/>
  <c r="E3848" i="7"/>
  <c r="M3766" i="7"/>
  <c r="M3414" i="7"/>
  <c r="M3848" i="7"/>
  <c r="M4000" i="7"/>
  <c r="M3683" i="7"/>
  <c r="M3319" i="7"/>
  <c r="M3131" i="7"/>
  <c r="M3224" i="7"/>
  <c r="G42" i="11" l="1"/>
  <c r="G15" i="11"/>
  <c r="G19" i="11"/>
  <c r="G11" i="11"/>
  <c r="E3921" i="7"/>
  <c r="E302" i="7"/>
  <c r="E3507" i="7"/>
  <c r="E4766" i="7"/>
  <c r="E3601" i="7"/>
  <c r="E3415" i="7"/>
  <c r="M3921" i="7"/>
  <c r="M4766" i="7"/>
  <c r="M3601" i="7"/>
  <c r="M3507" i="7"/>
  <c r="M302" i="7"/>
  <c r="M3415" i="7"/>
  <c r="G36" i="11" l="1"/>
  <c r="E3922" i="7"/>
  <c r="E3225" i="7"/>
  <c r="E3508" i="7"/>
  <c r="E3320" i="7"/>
  <c r="E3684" i="7"/>
  <c r="E3767" i="7"/>
  <c r="E4001" i="7"/>
  <c r="E3849" i="7"/>
  <c r="E3132" i="7"/>
  <c r="BA14" i="11"/>
  <c r="AA14" i="11"/>
  <c r="AB14" i="11" l="1"/>
  <c r="Z14" i="11"/>
  <c r="E303" i="7"/>
  <c r="E4767" i="7"/>
  <c r="E3602" i="7"/>
  <c r="E3416" i="7"/>
  <c r="M4767" i="7"/>
  <c r="M3416" i="7"/>
  <c r="M3602" i="7"/>
  <c r="M3684" i="7"/>
  <c r="M3767" i="7"/>
  <c r="M3849" i="7"/>
  <c r="M3922" i="7"/>
  <c r="M303" i="7"/>
  <c r="M3508" i="7"/>
  <c r="M3225" i="7"/>
  <c r="M4001" i="7"/>
  <c r="M3132" i="7"/>
  <c r="M3320" i="7"/>
  <c r="E3923" i="7" l="1"/>
  <c r="E3226" i="7"/>
  <c r="E3321" i="7"/>
  <c r="E3509" i="7"/>
  <c r="E3768" i="7"/>
  <c r="E3850" i="7"/>
  <c r="E3685" i="7"/>
  <c r="E4002" i="7"/>
  <c r="E3133" i="7"/>
  <c r="M3685" i="7"/>
  <c r="M3850" i="7"/>
  <c r="M3923" i="7"/>
  <c r="M3133" i="7"/>
  <c r="M3226" i="7"/>
  <c r="M3768" i="7"/>
  <c r="M3321" i="7"/>
  <c r="M3509" i="7"/>
  <c r="M4002" i="7"/>
  <c r="E304" i="7" l="1"/>
  <c r="E3417" i="7"/>
  <c r="E4768" i="7"/>
  <c r="E3227" i="7"/>
  <c r="E3603" i="7"/>
  <c r="E3769" i="7"/>
  <c r="M3227" i="7"/>
  <c r="M3417" i="7"/>
  <c r="M3769" i="7"/>
  <c r="M3603" i="7"/>
  <c r="M4768" i="7"/>
  <c r="M304" i="7"/>
  <c r="E3924" i="7" l="1"/>
  <c r="E3322" i="7"/>
  <c r="E3851" i="7"/>
  <c r="E3510" i="7"/>
  <c r="E3686" i="7"/>
  <c r="E3418" i="7"/>
  <c r="E3604" i="7"/>
  <c r="E4003" i="7"/>
  <c r="E3134" i="7"/>
  <c r="M3686" i="7"/>
  <c r="M4003" i="7"/>
  <c r="M3418" i="7"/>
  <c r="M3924" i="7"/>
  <c r="M3322" i="7"/>
  <c r="M3134" i="7"/>
  <c r="M3510" i="7"/>
  <c r="M3604" i="7"/>
  <c r="M3851" i="7"/>
  <c r="E305" i="7" l="1"/>
  <c r="E4769" i="7"/>
  <c r="E4004" i="7"/>
  <c r="E3228" i="7"/>
  <c r="E3770" i="7"/>
  <c r="M4769" i="7"/>
  <c r="M3228" i="7"/>
  <c r="M305" i="7"/>
  <c r="M4004" i="7"/>
  <c r="M3770" i="7"/>
  <c r="E3323" i="7" l="1"/>
  <c r="E3687" i="7"/>
  <c r="E3925" i="7"/>
  <c r="E3852" i="7"/>
  <c r="E3419" i="7"/>
  <c r="E3511" i="7"/>
  <c r="E3605" i="7"/>
  <c r="E3135" i="7"/>
  <c r="M3687" i="7"/>
  <c r="M3511" i="7"/>
  <c r="M3419" i="7"/>
  <c r="M3605" i="7"/>
  <c r="M3852" i="7"/>
  <c r="M3323" i="7"/>
  <c r="M3135" i="7"/>
  <c r="M3925" i="7"/>
  <c r="E306" i="7" l="1"/>
  <c r="E3688" i="7"/>
  <c r="E3853" i="7"/>
  <c r="E4770" i="7"/>
  <c r="E3229" i="7"/>
  <c r="E3136" i="7"/>
  <c r="E4005" i="7"/>
  <c r="E3324" i="7"/>
  <c r="E3771" i="7"/>
  <c r="M3229" i="7"/>
  <c r="M306" i="7"/>
  <c r="M3324" i="7"/>
  <c r="M3771" i="7"/>
  <c r="M4005" i="7"/>
  <c r="M3853" i="7"/>
  <c r="M3688" i="7"/>
  <c r="M3136" i="7"/>
  <c r="M4770" i="7"/>
  <c r="E3420" i="7" l="1"/>
  <c r="E3926" i="7"/>
  <c r="E3512" i="7"/>
  <c r="E3606" i="7"/>
  <c r="M3606" i="7"/>
  <c r="AA86" i="11"/>
  <c r="X86" i="11"/>
  <c r="M3512" i="7"/>
  <c r="AC86" i="11"/>
  <c r="AD86" i="11"/>
  <c r="AB86" i="11" l="1"/>
  <c r="E307" i="7"/>
  <c r="E3854" i="7"/>
  <c r="E3421" i="7"/>
  <c r="E3689" i="7"/>
  <c r="E3325" i="7"/>
  <c r="E4771" i="7"/>
  <c r="E3230" i="7"/>
  <c r="E4006" i="7"/>
  <c r="E3137" i="7"/>
  <c r="E3772" i="7"/>
  <c r="M3772" i="7"/>
  <c r="M3926" i="7"/>
  <c r="M3854" i="7"/>
  <c r="M3421" i="7"/>
  <c r="M3325" i="7"/>
  <c r="M3230" i="7"/>
  <c r="M3420" i="7"/>
  <c r="M307" i="7"/>
  <c r="M3137" i="7"/>
  <c r="M4006" i="7"/>
  <c r="M3689" i="7"/>
  <c r="M4771" i="7"/>
  <c r="E3927" i="7" l="1"/>
  <c r="E308" i="7"/>
  <c r="E3513" i="7"/>
  <c r="E3607" i="7"/>
  <c r="M3513" i="7"/>
  <c r="M3927" i="7"/>
  <c r="M3607" i="7"/>
  <c r="M308" i="7"/>
  <c r="E4772" i="7" l="1"/>
  <c r="E3855" i="7"/>
  <c r="E3422" i="7"/>
  <c r="E3690" i="7"/>
  <c r="E3326" i="7"/>
  <c r="E3231" i="7"/>
  <c r="E4007" i="7"/>
  <c r="E3138" i="7"/>
  <c r="E3773" i="7"/>
  <c r="M3422" i="7"/>
  <c r="AD81" i="11"/>
  <c r="M3773" i="7"/>
  <c r="AA81" i="11"/>
  <c r="M3326" i="7"/>
  <c r="M4007" i="7"/>
  <c r="AC81" i="11"/>
  <c r="M3690" i="7"/>
  <c r="X81" i="11"/>
  <c r="AB81" i="11" l="1"/>
  <c r="E4773" i="7"/>
  <c r="E3928" i="7"/>
  <c r="E309" i="7"/>
  <c r="E3423" i="7"/>
  <c r="E3514" i="7"/>
  <c r="E3608" i="7"/>
  <c r="M3928" i="7"/>
  <c r="M4773" i="7"/>
  <c r="M3514" i="7"/>
  <c r="M3423" i="7"/>
  <c r="M4772" i="7"/>
  <c r="M3138" i="7"/>
  <c r="M3855" i="7"/>
  <c r="M3608" i="7"/>
  <c r="M309" i="7"/>
  <c r="M3231" i="7"/>
  <c r="E3856" i="7" l="1"/>
  <c r="E3327" i="7"/>
  <c r="E3691" i="7"/>
  <c r="E3609" i="7"/>
  <c r="E3139" i="7"/>
  <c r="E3232" i="7"/>
  <c r="E4008" i="7"/>
  <c r="E3774" i="7"/>
  <c r="E4774" i="7"/>
  <c r="AD121" i="11"/>
  <c r="AC121" i="11"/>
  <c r="M3691" i="7"/>
  <c r="M3327" i="7"/>
  <c r="X121" i="11"/>
  <c r="X120" i="11"/>
  <c r="AD120" i="11"/>
  <c r="AA120" i="11"/>
  <c r="M3232" i="7"/>
  <c r="AA121" i="11"/>
  <c r="AC120" i="11"/>
  <c r="AB120" i="11" l="1"/>
  <c r="AB121" i="11"/>
  <c r="E3929" i="7"/>
  <c r="E310" i="7"/>
  <c r="E3424" i="7"/>
  <c r="E3515" i="7"/>
  <c r="E3140" i="7"/>
  <c r="E3692" i="7"/>
  <c r="E3328" i="7"/>
  <c r="E4775" i="7"/>
  <c r="M3139" i="7"/>
  <c r="M3609" i="7"/>
  <c r="M3692" i="7"/>
  <c r="M3929" i="7"/>
  <c r="M3856" i="7"/>
  <c r="M310" i="7"/>
  <c r="M3140" i="7"/>
  <c r="M3774" i="7"/>
  <c r="M4008" i="7"/>
  <c r="M3424" i="7"/>
  <c r="M3515" i="7"/>
  <c r="M4775" i="7"/>
  <c r="M3328" i="7"/>
  <c r="M4774" i="7"/>
  <c r="E3775" i="7" l="1"/>
  <c r="E3516" i="7"/>
  <c r="E3233" i="7"/>
  <c r="E4009" i="7"/>
  <c r="E3610" i="7"/>
  <c r="M3775" i="7"/>
  <c r="M3516" i="7"/>
  <c r="M4009" i="7"/>
  <c r="M3233" i="7"/>
  <c r="M3610" i="7"/>
  <c r="E3930" i="7" l="1"/>
  <c r="E311" i="7"/>
  <c r="E3425" i="7"/>
  <c r="E3776" i="7"/>
  <c r="E3329" i="7"/>
  <c r="E3693" i="7"/>
  <c r="E3141" i="7"/>
  <c r="E4776" i="7"/>
  <c r="M3776" i="7"/>
  <c r="M3425" i="7"/>
  <c r="M3930" i="7"/>
  <c r="M3329" i="7"/>
  <c r="M4776" i="7"/>
  <c r="M311" i="7"/>
  <c r="M3141" i="7"/>
  <c r="M3693" i="7"/>
  <c r="E3517" i="7" l="1"/>
  <c r="E3234" i="7"/>
  <c r="E4010" i="7"/>
  <c r="E3611" i="7"/>
  <c r="E4777" i="7"/>
  <c r="E3330" i="7"/>
  <c r="E3426" i="7"/>
  <c r="M4010" i="7"/>
  <c r="M3234" i="7"/>
  <c r="M4777" i="7"/>
  <c r="M3426" i="7"/>
  <c r="M3611" i="7"/>
  <c r="M3517" i="7"/>
  <c r="M3330" i="7"/>
  <c r="E3931" i="7" l="1"/>
  <c r="E3777" i="7"/>
  <c r="E3694" i="7"/>
  <c r="E3142" i="7"/>
  <c r="E4778" i="7"/>
  <c r="M3694" i="7"/>
  <c r="M3142" i="7"/>
  <c r="M4778" i="7"/>
  <c r="M3777" i="7"/>
  <c r="M3931" i="7"/>
  <c r="E3518" i="7" l="1"/>
  <c r="E3235" i="7"/>
  <c r="E3612" i="7"/>
  <c r="E4011" i="7"/>
  <c r="E3331" i="7"/>
  <c r="E3427" i="7"/>
  <c r="M3612" i="7"/>
  <c r="M4011" i="7"/>
  <c r="M3235" i="7"/>
  <c r="M3331" i="7"/>
  <c r="M3427" i="7"/>
  <c r="M3518" i="7"/>
  <c r="E3932" i="7" l="1"/>
  <c r="E3695" i="7"/>
  <c r="E3143" i="7"/>
  <c r="E4779" i="7"/>
  <c r="M4779" i="7"/>
  <c r="M3143" i="7"/>
  <c r="M3695" i="7"/>
  <c r="M3932" i="7"/>
  <c r="E3933" i="7" l="1"/>
  <c r="E3519" i="7"/>
  <c r="E4012" i="7"/>
  <c r="E3236" i="7"/>
  <c r="E3613" i="7"/>
  <c r="E3428" i="7"/>
  <c r="E3332" i="7"/>
  <c r="E4780" i="7"/>
  <c r="M3332" i="7"/>
  <c r="M3933" i="7"/>
  <c r="M3428" i="7"/>
  <c r="M4780" i="7"/>
  <c r="M3613" i="7"/>
  <c r="M3519" i="7"/>
  <c r="M4012" i="7"/>
  <c r="M3236" i="7"/>
  <c r="E3696" i="7" l="1"/>
  <c r="E3144" i="7"/>
  <c r="E3333" i="7"/>
  <c r="E3429" i="7"/>
  <c r="M3333" i="7"/>
  <c r="M3144" i="7"/>
  <c r="M3429" i="7"/>
  <c r="M3696" i="7"/>
  <c r="E3934" i="7" l="1"/>
  <c r="E3520" i="7"/>
  <c r="E4013" i="7"/>
  <c r="E3237" i="7"/>
  <c r="E3614" i="7"/>
  <c r="E4781" i="7"/>
  <c r="M3934" i="7"/>
  <c r="M4781" i="7"/>
  <c r="M3237" i="7"/>
  <c r="M4013" i="7"/>
  <c r="M3520" i="7"/>
  <c r="M3614" i="7"/>
  <c r="E3521" i="7" l="1"/>
  <c r="E3697" i="7"/>
  <c r="E3145" i="7"/>
  <c r="E3238" i="7"/>
  <c r="E3334" i="7"/>
  <c r="E3430" i="7"/>
  <c r="M3430" i="7"/>
  <c r="M3145" i="7"/>
  <c r="M3697" i="7"/>
  <c r="M3521" i="7"/>
  <c r="M3334" i="7"/>
  <c r="M3238" i="7"/>
  <c r="E3935" i="7" l="1"/>
  <c r="E4014" i="7"/>
  <c r="E3615" i="7"/>
  <c r="E3146" i="7"/>
  <c r="E4782" i="7"/>
  <c r="M3146" i="7"/>
  <c r="M3935" i="7"/>
  <c r="M3615" i="7"/>
  <c r="M4782" i="7"/>
  <c r="M4014" i="7"/>
  <c r="E3522" i="7" l="1"/>
  <c r="E3239" i="7"/>
  <c r="E3147" i="7"/>
  <c r="E3335" i="7"/>
  <c r="E3431" i="7"/>
  <c r="M3147" i="7"/>
  <c r="M3239" i="7"/>
  <c r="M3335" i="7"/>
  <c r="M3431" i="7"/>
  <c r="M3522" i="7"/>
  <c r="E3616" i="7" l="1"/>
  <c r="E4783" i="7"/>
  <c r="M3616" i="7"/>
  <c r="M4783" i="7"/>
  <c r="E3523" i="7" l="1"/>
  <c r="E3240" i="7"/>
  <c r="E3336" i="7"/>
  <c r="E3148" i="7"/>
  <c r="E3432" i="7"/>
  <c r="M3240" i="7"/>
  <c r="M3148" i="7"/>
  <c r="M3432" i="7"/>
  <c r="M3523" i="7"/>
  <c r="M3336" i="7"/>
  <c r="E3617" i="7" l="1"/>
  <c r="E4784" i="7"/>
  <c r="M3617" i="7"/>
  <c r="M4784" i="7"/>
  <c r="E3524" i="7" l="1"/>
  <c r="E3241" i="7"/>
  <c r="E3337" i="7"/>
  <c r="E3149" i="7"/>
  <c r="E4785" i="7"/>
  <c r="E3433" i="7"/>
  <c r="M3149" i="7"/>
  <c r="AD101" i="11"/>
  <c r="AA101" i="11"/>
  <c r="AC101" i="11"/>
  <c r="X101" i="11"/>
  <c r="M3433" i="7"/>
  <c r="AB101" i="11" l="1"/>
  <c r="E3525" i="7"/>
  <c r="E4786" i="7"/>
  <c r="M4785" i="7"/>
  <c r="M4786" i="7"/>
  <c r="M3525" i="7"/>
  <c r="AA102" i="11"/>
  <c r="X102" i="11"/>
  <c r="AD102" i="11"/>
  <c r="AC99" i="11"/>
  <c r="AD99" i="11"/>
  <c r="AC102" i="11"/>
  <c r="M3337" i="7"/>
  <c r="AA99" i="11"/>
  <c r="M3241" i="7"/>
  <c r="M3524" i="7"/>
  <c r="X99" i="11"/>
  <c r="AB102" i="11" l="1"/>
  <c r="AB99" i="11"/>
  <c r="E3338" i="7"/>
  <c r="E3242" i="7"/>
  <c r="E3150" i="7"/>
  <c r="E3434" i="7"/>
  <c r="M3434" i="7"/>
  <c r="M3338" i="7"/>
  <c r="M3242" i="7"/>
  <c r="M3150" i="7"/>
  <c r="E3526" i="7" l="1"/>
  <c r="E4787" i="7"/>
  <c r="M4787" i="7"/>
  <c r="M3526" i="7"/>
  <c r="E3339" i="7" l="1"/>
  <c r="E3243" i="7"/>
  <c r="E3151" i="7"/>
  <c r="E3435" i="7"/>
  <c r="M3339" i="7"/>
  <c r="M3435" i="7"/>
  <c r="M3151" i="7"/>
  <c r="M3243" i="7"/>
  <c r="E3527" i="7" l="1"/>
  <c r="E4788" i="7"/>
  <c r="M3527" i="7"/>
  <c r="M4788" i="7"/>
  <c r="E3340" i="7" l="1"/>
  <c r="E3244" i="7"/>
  <c r="E3436" i="7"/>
  <c r="E3152" i="7"/>
  <c r="M3340" i="7"/>
  <c r="AA26" i="11"/>
  <c r="X26" i="11"/>
  <c r="AB26" i="11" l="1"/>
  <c r="E3528" i="7"/>
  <c r="E3245" i="7"/>
  <c r="E4789" i="7"/>
  <c r="M3436" i="7"/>
  <c r="M4789" i="7"/>
  <c r="M3244" i="7"/>
  <c r="M3152" i="7"/>
  <c r="M3245" i="7"/>
  <c r="M3528" i="7"/>
  <c r="E3341" i="7" l="1"/>
  <c r="E3437" i="7"/>
  <c r="E3153" i="7"/>
  <c r="AA16" i="11"/>
  <c r="AB16" i="11" l="1"/>
  <c r="E3529" i="7"/>
  <c r="E3438" i="7"/>
  <c r="E3246" i="7"/>
  <c r="E4790" i="7"/>
  <c r="AC100" i="11"/>
  <c r="X100" i="11"/>
  <c r="AA100" i="11"/>
  <c r="AD100" i="11"/>
  <c r="AB100" i="11" l="1"/>
  <c r="E3342" i="7"/>
  <c r="E3154" i="7"/>
  <c r="M3246" i="7"/>
  <c r="M3529" i="7"/>
  <c r="M3437" i="7"/>
  <c r="M3153" i="7"/>
  <c r="M3154" i="7"/>
  <c r="M3342" i="7"/>
  <c r="M3341" i="7"/>
  <c r="M4790" i="7"/>
  <c r="M3438" i="7"/>
  <c r="E3343" i="7" l="1"/>
  <c r="E3530" i="7"/>
  <c r="E3247" i="7"/>
  <c r="E3439" i="7"/>
  <c r="E4791" i="7"/>
  <c r="M3343" i="7"/>
  <c r="M3439" i="7"/>
  <c r="M3247" i="7"/>
  <c r="M3530" i="7"/>
  <c r="M4791" i="7"/>
  <c r="E3440" i="7" l="1"/>
  <c r="E3248" i="7"/>
  <c r="E3155" i="7"/>
  <c r="M3440" i="7"/>
  <c r="M3155" i="7"/>
  <c r="M3248" i="7"/>
  <c r="E3344" i="7" l="1"/>
  <c r="E3531" i="7"/>
  <c r="E4792" i="7"/>
  <c r="M3344" i="7"/>
  <c r="M3531" i="7"/>
  <c r="M4792" i="7"/>
  <c r="E3345" i="7" l="1"/>
  <c r="E3532" i="7"/>
  <c r="E3156" i="7"/>
  <c r="E3441" i="7"/>
  <c r="E3249" i="7"/>
  <c r="M3532" i="7"/>
  <c r="M3441" i="7"/>
  <c r="M3156" i="7"/>
  <c r="M3249" i="7"/>
  <c r="M3345" i="7"/>
  <c r="E3157" i="7" l="1"/>
  <c r="E3250" i="7"/>
  <c r="E4793" i="7"/>
  <c r="AD115" i="11"/>
  <c r="AD116" i="11"/>
  <c r="AC115" i="11"/>
  <c r="AA115" i="11"/>
  <c r="X116" i="11"/>
  <c r="X115" i="11"/>
  <c r="AA116" i="11"/>
  <c r="AC116" i="11"/>
  <c r="AB116" i="11" l="1"/>
  <c r="AB115" i="11"/>
  <c r="E3346" i="7"/>
  <c r="E3158" i="7"/>
  <c r="E3533" i="7"/>
  <c r="E3442" i="7"/>
  <c r="E4794" i="7"/>
  <c r="M4794" i="7"/>
  <c r="M3533" i="7"/>
  <c r="M3157" i="7"/>
  <c r="M3442" i="7"/>
  <c r="M3250" i="7"/>
  <c r="M3346" i="7"/>
  <c r="M3158" i="7"/>
  <c r="M4793" i="7"/>
  <c r="E4795" i="7" l="1"/>
  <c r="E526" i="7"/>
  <c r="M4795" i="7"/>
  <c r="AD80" i="11"/>
  <c r="AA98" i="11"/>
  <c r="AD97" i="11"/>
  <c r="AA80" i="11"/>
  <c r="AC97" i="11"/>
  <c r="X98" i="11"/>
  <c r="X97" i="11"/>
  <c r="AC98" i="11"/>
  <c r="AC80" i="11"/>
  <c r="AD98" i="11"/>
  <c r="AA97" i="11"/>
  <c r="X80" i="11"/>
  <c r="AB80" i="11" l="1"/>
  <c r="AB98" i="11"/>
  <c r="AA22" i="11"/>
  <c r="AB97" i="11"/>
  <c r="E3347" i="7"/>
  <c r="E3534" i="7"/>
  <c r="E3443" i="7"/>
  <c r="E4796" i="7"/>
  <c r="E527" i="7"/>
  <c r="M3534" i="7"/>
  <c r="M3443" i="7"/>
  <c r="M3347" i="7"/>
  <c r="M527" i="7"/>
  <c r="M4796" i="7"/>
  <c r="M526" i="7"/>
  <c r="E3252" i="7" l="1"/>
  <c r="E3348" i="7"/>
  <c r="E4797" i="7"/>
  <c r="E528" i="7"/>
  <c r="M3252" i="7"/>
  <c r="X93" i="11"/>
  <c r="M528" i="7"/>
  <c r="AD93" i="11"/>
  <c r="AC93" i="11"/>
  <c r="AA93" i="11"/>
  <c r="AB93" i="11" l="1"/>
  <c r="E3535" i="7"/>
  <c r="E529" i="7"/>
  <c r="X61" i="11"/>
  <c r="AC62" i="11"/>
  <c r="AA61" i="11"/>
  <c r="X59" i="11"/>
  <c r="AA62" i="11"/>
  <c r="AA59" i="11"/>
  <c r="X87" i="11"/>
  <c r="AC61" i="11"/>
  <c r="M3348" i="7"/>
  <c r="X92" i="11"/>
  <c r="AD59" i="11"/>
  <c r="AA87" i="11"/>
  <c r="M3535" i="7"/>
  <c r="AD62" i="11"/>
  <c r="M529" i="7"/>
  <c r="AC59" i="11"/>
  <c r="AD61" i="11"/>
  <c r="X62" i="11"/>
  <c r="AC92" i="11"/>
  <c r="AC87" i="11"/>
  <c r="AD87" i="11"/>
  <c r="AB87" i="11" l="1"/>
  <c r="AB62" i="11"/>
  <c r="AB61" i="11"/>
  <c r="AB59" i="11"/>
  <c r="M4797" i="7"/>
  <c r="AD92" i="11"/>
  <c r="AA92" i="11"/>
  <c r="AB92" i="11" l="1"/>
  <c r="E3253" i="7"/>
  <c r="E4798" i="7"/>
  <c r="E530" i="7"/>
  <c r="AA113" i="11"/>
  <c r="AD113" i="11"/>
  <c r="AC113" i="11"/>
  <c r="X113" i="11"/>
  <c r="AA10" i="11" l="1"/>
  <c r="AB10" i="11" s="1"/>
  <c r="AB113" i="11"/>
  <c r="E3536" i="7"/>
  <c r="AC95" i="11"/>
  <c r="M4798" i="7"/>
  <c r="M3253" i="7"/>
  <c r="AA96" i="11"/>
  <c r="AC96" i="11"/>
  <c r="AD96" i="11"/>
  <c r="X95" i="11"/>
  <c r="M530" i="7"/>
  <c r="X96" i="11"/>
  <c r="AA95" i="11"/>
  <c r="AD95" i="11"/>
  <c r="AB95" i="11" l="1"/>
  <c r="AB96" i="11"/>
  <c r="E3537" i="7"/>
  <c r="E4799" i="7"/>
  <c r="E531" i="7"/>
  <c r="M531" i="7"/>
  <c r="M3536" i="7"/>
  <c r="M3537" i="7"/>
  <c r="M4799" i="7"/>
  <c r="E532" i="7" l="1"/>
  <c r="AD94" i="11"/>
  <c r="X83" i="11"/>
  <c r="AD83" i="11"/>
  <c r="M532" i="7"/>
  <c r="X82" i="11"/>
  <c r="X64" i="11"/>
  <c r="AD64" i="11"/>
  <c r="AA83" i="11"/>
  <c r="AC94" i="11"/>
  <c r="AA64" i="11"/>
  <c r="AC63" i="11"/>
  <c r="AD63" i="11"/>
  <c r="X94" i="11"/>
  <c r="AD82" i="11"/>
  <c r="AA82" i="11"/>
  <c r="AA94" i="11"/>
  <c r="AC83" i="11"/>
  <c r="AC64" i="11"/>
  <c r="AA63" i="11"/>
  <c r="AC82" i="11"/>
  <c r="X63" i="11"/>
  <c r="AB83" i="11" l="1"/>
  <c r="AB63" i="11"/>
  <c r="AB64" i="11"/>
  <c r="AB82" i="11"/>
  <c r="AA21" i="11" l="1"/>
  <c r="AB21" i="11" s="1"/>
  <c r="AB94" i="11"/>
  <c r="E4800" i="7"/>
  <c r="E533" i="7"/>
  <c r="M533" i="7"/>
  <c r="M4800" i="7"/>
  <c r="E4801" i="7" l="1"/>
  <c r="E534" i="7"/>
  <c r="M4801" i="7"/>
  <c r="M534" i="7"/>
  <c r="E4802" i="7" l="1"/>
  <c r="E535" i="7"/>
  <c r="M4802" i="7"/>
  <c r="M535" i="7"/>
  <c r="E536" i="7" l="1"/>
  <c r="M536" i="7"/>
  <c r="E4803" i="7" l="1"/>
  <c r="E537" i="7"/>
  <c r="M537" i="7"/>
  <c r="M4803" i="7"/>
  <c r="E538" i="7" l="1"/>
  <c r="M538" i="7"/>
  <c r="E4804" i="7" l="1"/>
  <c r="E539" i="7"/>
  <c r="M4804" i="7"/>
  <c r="M539" i="7"/>
  <c r="E540" i="7" l="1"/>
  <c r="M540" i="7"/>
  <c r="E4805" i="7" l="1"/>
  <c r="E541" i="7"/>
  <c r="M541" i="7"/>
  <c r="M4805" i="7"/>
  <c r="E542" i="7" l="1"/>
  <c r="M542" i="7"/>
  <c r="E4806" i="7" l="1"/>
  <c r="E543" i="7"/>
  <c r="M4806" i="7"/>
  <c r="M543" i="7"/>
  <c r="E544" i="7" l="1"/>
  <c r="X84" i="11"/>
  <c r="AA67" i="11"/>
  <c r="AD84" i="11"/>
  <c r="X67" i="11"/>
  <c r="X66" i="11"/>
  <c r="AC85" i="11"/>
  <c r="AC66" i="11"/>
  <c r="AD67" i="11"/>
  <c r="AC67" i="11"/>
  <c r="X85" i="11"/>
  <c r="AA84" i="11"/>
  <c r="AA85" i="11"/>
  <c r="AC84" i="11"/>
  <c r="AD85" i="11"/>
  <c r="AA66" i="11"/>
  <c r="AD66" i="11"/>
  <c r="AB85" i="11" l="1"/>
  <c r="AB84" i="11"/>
  <c r="AB67" i="11"/>
  <c r="AB66" i="11"/>
  <c r="E4807" i="7"/>
  <c r="E545" i="7"/>
  <c r="M545" i="7"/>
  <c r="M544" i="7"/>
  <c r="M4807" i="7"/>
  <c r="E4808" i="7" l="1"/>
  <c r="AA17" i="11"/>
  <c r="X17" i="11"/>
  <c r="AB17" i="11" l="1"/>
  <c r="E546" i="7"/>
  <c r="M546" i="7"/>
  <c r="M4808" i="7"/>
  <c r="E4809" i="7" l="1"/>
  <c r="E547" i="7"/>
  <c r="M4809" i="7"/>
  <c r="M547" i="7"/>
  <c r="E4810" i="7" l="1"/>
  <c r="E548" i="7"/>
  <c r="M4810" i="7"/>
  <c r="M548" i="7"/>
  <c r="E4811" i="7" l="1"/>
  <c r="E549" i="7"/>
  <c r="M549" i="7"/>
  <c r="M4811" i="7"/>
  <c r="E4812" i="7" l="1"/>
  <c r="E550" i="7"/>
  <c r="AD71" i="11"/>
  <c r="M550" i="7"/>
  <c r="AC74" i="11"/>
  <c r="X77" i="11"/>
  <c r="AC76" i="11"/>
  <c r="AA72" i="11"/>
  <c r="AC78" i="11"/>
  <c r="AD77" i="11"/>
  <c r="AA74" i="11"/>
  <c r="X72" i="11"/>
  <c r="X73" i="11"/>
  <c r="AA78" i="11"/>
  <c r="AD73" i="11"/>
  <c r="AA73" i="11"/>
  <c r="AC77" i="11"/>
  <c r="AD78" i="11"/>
  <c r="AA71" i="11"/>
  <c r="AD75" i="11"/>
  <c r="X71" i="11"/>
  <c r="AA76" i="11"/>
  <c r="X76" i="11"/>
  <c r="AC72" i="11"/>
  <c r="AD74" i="11"/>
  <c r="X78" i="11"/>
  <c r="AD72" i="11"/>
  <c r="AC75" i="11"/>
  <c r="AD76" i="11"/>
  <c r="AC71" i="11"/>
  <c r="AA77" i="11"/>
  <c r="X74" i="11"/>
  <c r="AA75" i="11"/>
  <c r="M4812" i="7"/>
  <c r="AC73" i="11"/>
  <c r="X75" i="11"/>
  <c r="AB77" i="11" l="1"/>
  <c r="AB78" i="11"/>
  <c r="AB76" i="11"/>
  <c r="AB75" i="11"/>
  <c r="AB74" i="11"/>
  <c r="AB73" i="11"/>
  <c r="AB71" i="11"/>
  <c r="AB72" i="11"/>
  <c r="E4813" i="7"/>
  <c r="E551" i="7"/>
  <c r="M551" i="7"/>
  <c r="M4813" i="7"/>
  <c r="E552" i="7" l="1"/>
  <c r="M552" i="7"/>
  <c r="E4814" i="7" l="1"/>
  <c r="E553" i="7"/>
  <c r="M553" i="7"/>
  <c r="M4814" i="7"/>
  <c r="E554" i="7" l="1"/>
  <c r="M554" i="7"/>
  <c r="E4815" i="7" l="1"/>
  <c r="E555" i="7"/>
  <c r="M4815" i="7"/>
  <c r="M555" i="7"/>
  <c r="E556" i="7" l="1"/>
  <c r="M556" i="7"/>
  <c r="E4816" i="7" l="1"/>
  <c r="E557" i="7"/>
  <c r="M4816" i="7"/>
  <c r="M557" i="7"/>
  <c r="E4817" i="7" l="1"/>
  <c r="E558" i="7"/>
  <c r="M558" i="7"/>
  <c r="M4817" i="7"/>
  <c r="E559" i="7" l="1"/>
  <c r="M559" i="7"/>
  <c r="E4818" i="7" l="1"/>
  <c r="M4818" i="7"/>
  <c r="E560" i="7" l="1"/>
  <c r="M560" i="7"/>
  <c r="E4819" i="7" l="1"/>
  <c r="X105" i="11"/>
  <c r="X104" i="11"/>
  <c r="AD103" i="11"/>
  <c r="M4819" i="7"/>
  <c r="AA103" i="11"/>
  <c r="AC105" i="11"/>
  <c r="X103" i="11"/>
  <c r="AD105" i="11"/>
  <c r="AA104" i="11"/>
  <c r="AA105" i="11"/>
  <c r="AC104" i="11"/>
  <c r="AD104" i="11"/>
  <c r="AC103" i="11"/>
  <c r="AB104" i="11" l="1"/>
  <c r="AB103" i="11"/>
  <c r="AB105" i="11"/>
  <c r="E561" i="7"/>
  <c r="M561" i="7"/>
  <c r="E4820" i="7" l="1"/>
  <c r="M4820" i="7"/>
  <c r="E4821" i="7" l="1"/>
  <c r="E562" i="7"/>
  <c r="M562" i="7"/>
  <c r="M4821" i="7"/>
  <c r="E563" i="7" l="1"/>
  <c r="M563" i="7"/>
  <c r="E4822" i="7" l="1"/>
  <c r="X107" i="11"/>
  <c r="X108" i="11"/>
  <c r="AA107" i="11"/>
  <c r="X112" i="11"/>
  <c r="X109" i="11"/>
  <c r="AA108" i="11"/>
  <c r="AC107" i="11"/>
  <c r="AD112" i="11"/>
  <c r="M4822" i="7"/>
  <c r="X29" i="11"/>
  <c r="AC109" i="11"/>
  <c r="AD109" i="11"/>
  <c r="AC108" i="11"/>
  <c r="AC112" i="11"/>
  <c r="AA109" i="11"/>
  <c r="AD107" i="11"/>
  <c r="AA29" i="11"/>
  <c r="AD108" i="11"/>
  <c r="AA112" i="11"/>
  <c r="AB109" i="11" l="1"/>
  <c r="AB112" i="11"/>
  <c r="AB108" i="11"/>
  <c r="AB107" i="11"/>
  <c r="AB29" i="11"/>
  <c r="E4823" i="7"/>
  <c r="E564" i="7"/>
  <c r="M4823" i="7"/>
  <c r="M564" i="7"/>
  <c r="E4824" i="7" l="1"/>
  <c r="E565" i="7"/>
  <c r="M4824" i="7"/>
  <c r="M565" i="7"/>
  <c r="E4825" i="7" l="1"/>
  <c r="E566" i="7"/>
  <c r="M4825" i="7"/>
  <c r="M566" i="7"/>
  <c r="E4826" i="7" l="1"/>
  <c r="E567" i="7"/>
  <c r="M567" i="7"/>
  <c r="M4826" i="7"/>
  <c r="E4827" i="7" l="1"/>
  <c r="M4827" i="7"/>
  <c r="E568" i="7" l="1"/>
  <c r="M568" i="7"/>
  <c r="E4828" i="7" l="1"/>
  <c r="E569" i="7"/>
  <c r="M4828" i="7"/>
  <c r="M569" i="7"/>
  <c r="E4829" i="7" l="1"/>
  <c r="E4830" i="7"/>
  <c r="M4830" i="7"/>
  <c r="X111" i="11"/>
  <c r="AA110" i="11"/>
  <c r="X110" i="11"/>
  <c r="AC111" i="11"/>
  <c r="AA111" i="11"/>
  <c r="AD111" i="11"/>
  <c r="AC110" i="11"/>
  <c r="AD110" i="11"/>
  <c r="AB110" i="11" l="1"/>
  <c r="AB111" i="11"/>
  <c r="E570" i="7"/>
  <c r="M4829" i="7"/>
  <c r="M570" i="7"/>
  <c r="E4831" i="7" l="1"/>
  <c r="E571" i="7"/>
  <c r="M571" i="7"/>
  <c r="M4831" i="7"/>
  <c r="E4832" i="7" l="1"/>
  <c r="E572" i="7"/>
  <c r="X28" i="11"/>
  <c r="AA28" i="11"/>
  <c r="AB28" i="11" l="1"/>
  <c r="AC68" i="11"/>
  <c r="X68" i="11"/>
  <c r="AA68" i="11"/>
  <c r="AD68" i="11"/>
  <c r="AB68" i="11" l="1"/>
  <c r="E4833" i="7"/>
  <c r="E573" i="7"/>
  <c r="X69" i="11"/>
  <c r="AA69" i="11"/>
  <c r="AD69" i="11"/>
  <c r="AC69" i="11"/>
  <c r="M4832" i="7"/>
  <c r="M572" i="7"/>
  <c r="M573" i="7"/>
  <c r="AB69" i="11" l="1"/>
  <c r="E4834" i="7"/>
  <c r="E574" i="7"/>
  <c r="AC106" i="11"/>
  <c r="AA65" i="11"/>
  <c r="AC65" i="11"/>
  <c r="AD114" i="11"/>
  <c r="AC114" i="11"/>
  <c r="M4834" i="7"/>
  <c r="X114" i="11"/>
  <c r="AA106" i="11"/>
  <c r="X65" i="11"/>
  <c r="AD106" i="11"/>
  <c r="AD65" i="11"/>
  <c r="AC70" i="11"/>
  <c r="AA114" i="11"/>
  <c r="AD70" i="11"/>
  <c r="X70" i="11"/>
  <c r="AA70" i="11"/>
  <c r="M574" i="7"/>
  <c r="AB65" i="11" l="1"/>
  <c r="AB106" i="11"/>
  <c r="AB114" i="11"/>
  <c r="AB70" i="11"/>
  <c r="E4835" i="7"/>
  <c r="E575" i="7"/>
  <c r="X10" i="11"/>
  <c r="M4833" i="7"/>
  <c r="X21" i="11"/>
  <c r="E4836" i="7" l="1"/>
  <c r="E576" i="7"/>
  <c r="E4569" i="7"/>
  <c r="E4564" i="7"/>
  <c r="E4561" i="7"/>
  <c r="E4557" i="7"/>
  <c r="E4553" i="7"/>
  <c r="E4549" i="7"/>
  <c r="E4572" i="7"/>
  <c r="E4568" i="7"/>
  <c r="E4556" i="7"/>
  <c r="E4552" i="7"/>
  <c r="E4548" i="7"/>
  <c r="E4571" i="7"/>
  <c r="E4563" i="7"/>
  <c r="E4555" i="7"/>
  <c r="E4567" i="7"/>
  <c r="E4559" i="7"/>
  <c r="E4551" i="7"/>
  <c r="E4550" i="7"/>
  <c r="E4562" i="7"/>
  <c r="E4558" i="7"/>
  <c r="E4554" i="7"/>
  <c r="E4570" i="7"/>
  <c r="E4560" i="7"/>
  <c r="E4546" i="7"/>
  <c r="E4565" i="7"/>
  <c r="E4545" i="7"/>
  <c r="E4547" i="7"/>
  <c r="E4566" i="7"/>
  <c r="M4557" i="7"/>
  <c r="M4545" i="7"/>
  <c r="M4563" i="7"/>
  <c r="M4560" i="7"/>
  <c r="M4554" i="7"/>
  <c r="M4558" i="7"/>
  <c r="M4562" i="7"/>
  <c r="M4572" i="7"/>
  <c r="M4555" i="7"/>
  <c r="M4552" i="7"/>
  <c r="M4566" i="7"/>
  <c r="M4565" i="7"/>
  <c r="M4551" i="7"/>
  <c r="M4571" i="7"/>
  <c r="M4569" i="7"/>
  <c r="M4568" i="7"/>
  <c r="M4835" i="7"/>
  <c r="M4553" i="7"/>
  <c r="M4550" i="7"/>
  <c r="M4559" i="7"/>
  <c r="M4561" i="7"/>
  <c r="M4570" i="7"/>
  <c r="M4836" i="7"/>
  <c r="M4564" i="7"/>
  <c r="M576" i="7"/>
  <c r="M575" i="7"/>
  <c r="M4546" i="7"/>
  <c r="M4556" i="7"/>
  <c r="M4567" i="7"/>
  <c r="M4548" i="7"/>
  <c r="M4549" i="7"/>
  <c r="M4547" i="7"/>
  <c r="E4837" i="7" l="1"/>
  <c r="E577" i="7"/>
  <c r="X123" i="11"/>
  <c r="AC123" i="11"/>
  <c r="AD122" i="11"/>
  <c r="M4837" i="7"/>
  <c r="AD125" i="11"/>
  <c r="AC124" i="11"/>
  <c r="AA125" i="11"/>
  <c r="AA124" i="11"/>
  <c r="AA122" i="11"/>
  <c r="AC122" i="11"/>
  <c r="X124" i="11"/>
  <c r="AD124" i="11"/>
  <c r="X122" i="11"/>
  <c r="M577" i="7"/>
  <c r="AD123" i="11"/>
  <c r="AC125" i="11"/>
  <c r="X125" i="11"/>
  <c r="AA123" i="11"/>
  <c r="AB123" i="11" l="1"/>
  <c r="AB124" i="11"/>
  <c r="AA9" i="11"/>
  <c r="AB9" i="11" s="1"/>
  <c r="AB122" i="11"/>
  <c r="AB125" i="11"/>
  <c r="AC117" i="11"/>
  <c r="AA30" i="11"/>
  <c r="AD117" i="11"/>
  <c r="AA117" i="11"/>
  <c r="X117" i="11"/>
  <c r="X30" i="11"/>
  <c r="AB117" i="11" l="1"/>
  <c r="AB30" i="11"/>
  <c r="E4838" i="7"/>
  <c r="E578" i="7"/>
  <c r="E4839" i="7"/>
  <c r="M578" i="7"/>
  <c r="M4839" i="7"/>
  <c r="M4838" i="7"/>
  <c r="E4840" i="7" l="1"/>
  <c r="E4573" i="7"/>
  <c r="AC60" i="11"/>
  <c r="AA60" i="11"/>
  <c r="AD60" i="11"/>
  <c r="X60" i="11"/>
  <c r="AA8" i="11" l="1"/>
  <c r="AB60" i="11"/>
  <c r="E4841" i="7"/>
  <c r="E4544" i="7"/>
  <c r="M4544" i="7"/>
  <c r="X8" i="11"/>
  <c r="X9" i="11"/>
  <c r="X22" i="11"/>
  <c r="E4842" i="7" l="1"/>
  <c r="AA23" i="11"/>
  <c r="X24" i="11"/>
  <c r="AT23" i="11"/>
  <c r="M4842" i="7"/>
  <c r="AS23" i="11"/>
  <c r="M4840" i="7"/>
  <c r="X23" i="11"/>
  <c r="AA24" i="11"/>
  <c r="M4573" i="7"/>
  <c r="Z23" i="11" l="1"/>
  <c r="Y23" i="11"/>
  <c r="AB24" i="11"/>
  <c r="AB8" i="11"/>
  <c r="AB22" i="11"/>
  <c r="AB23" i="11"/>
  <c r="E4843" i="7"/>
  <c r="M4843" i="7"/>
  <c r="M4841" i="7"/>
  <c r="E4844" i="7" l="1"/>
  <c r="X31" i="11"/>
  <c r="AA31" i="11"/>
  <c r="AB31" i="11" l="1"/>
  <c r="E4845" i="7"/>
  <c r="M4845" i="7"/>
  <c r="M4844" i="7"/>
  <c r="E4846" i="7" l="1"/>
  <c r="X12" i="11"/>
  <c r="X13" i="11"/>
  <c r="X16" i="11"/>
  <c r="E4847" i="7" l="1"/>
  <c r="AA34" i="11"/>
  <c r="X34" i="11"/>
  <c r="AB34" i="11" l="1"/>
  <c r="E4848" i="7"/>
  <c r="X20" i="11"/>
  <c r="AA20" i="11"/>
  <c r="M4846" i="7"/>
  <c r="AB20" i="11" l="1"/>
  <c r="E4532" i="7"/>
  <c r="M4848" i="7"/>
  <c r="X18" i="11"/>
  <c r="M4847" i="7"/>
  <c r="AA18" i="11"/>
  <c r="AB18" i="11" l="1"/>
  <c r="X106" i="11"/>
  <c r="X128" i="11"/>
  <c r="X131" i="11"/>
  <c r="X129" i="11"/>
  <c r="X151" i="11"/>
  <c r="M4532" i="7"/>
  <c r="X143" i="11"/>
  <c r="X149" i="11"/>
  <c r="X174" i="11"/>
  <c r="X126" i="11"/>
  <c r="X146" i="11"/>
  <c r="X162" i="11"/>
  <c r="X140" i="11"/>
  <c r="X144" i="11"/>
  <c r="X154" i="11"/>
  <c r="X133" i="11"/>
  <c r="X148" i="11"/>
  <c r="X138" i="11"/>
  <c r="X136" i="11"/>
  <c r="X153" i="11"/>
  <c r="X157" i="11"/>
  <c r="X147" i="11"/>
  <c r="X127" i="11"/>
  <c r="X130" i="11"/>
  <c r="X141" i="11"/>
  <c r="X160" i="11"/>
  <c r="X156" i="11"/>
  <c r="X159" i="11"/>
  <c r="X142" i="11"/>
  <c r="X134" i="11"/>
  <c r="X135" i="11"/>
  <c r="X158" i="11"/>
  <c r="X137" i="11"/>
  <c r="X155" i="11"/>
  <c r="X161" i="11"/>
  <c r="X14" i="11"/>
  <c r="X145" i="11"/>
  <c r="X150" i="11"/>
  <c r="X152" i="11"/>
  <c r="X173" i="11"/>
  <c r="X139" i="11"/>
  <c r="X132" i="11"/>
  <c r="X163" i="11"/>
</calcChain>
</file>

<file path=xl/comments1.xml><?xml version="1.0" encoding="utf-8"?>
<comments xmlns="http://schemas.openxmlformats.org/spreadsheetml/2006/main">
  <authors>
    <author>Alice Wong</author>
  </authors>
  <commentList>
    <comment ref="AF12" authorId="0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0% after CRE starts</t>
        </r>
      </text>
    </comment>
  </commentList>
</comments>
</file>

<file path=xl/comments2.xml><?xml version="1.0" encoding="utf-8"?>
<comments xmlns="http://schemas.openxmlformats.org/spreadsheetml/2006/main">
  <authors>
    <author>Jason Wah</author>
    <author>Alice Wong</author>
    <author>Adam Kong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Jason Wah:</t>
        </r>
        <r>
          <rPr>
            <sz val="9"/>
            <color indexed="81"/>
            <rFont val="Tahoma"/>
            <family val="2"/>
          </rPr>
          <t xml:space="preserve">
Sorting 1) Fund 2) Fund_Series 3) Monthend</t>
        </r>
      </text>
    </comment>
    <comment ref="R31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Update when there is distribution
(Distribution+NAV)*5%</t>
        </r>
      </text>
    </comment>
    <comment ref="R313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Update when there is distribution
(Distribution+NAV)*5%</t>
        </r>
      </text>
    </comment>
    <comment ref="B319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Change ownership to albany road in Oct 2018</t>
        </r>
      </text>
    </comment>
    <comment ref="C51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GP</t>
        </r>
      </text>
    </comment>
    <comment ref="C513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GP</t>
        </r>
      </text>
    </comment>
    <comment ref="C3260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GP</t>
        </r>
      </text>
    </comment>
    <comment ref="C3261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GP</t>
        </r>
      </text>
    </comment>
    <comment ref="C3704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GP</t>
        </r>
      </text>
    </comment>
    <comment ref="C3705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GP</t>
        </r>
      </text>
    </comment>
    <comment ref="C4021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GP</t>
        </r>
      </text>
    </comment>
    <comment ref="G4185" authorId="2">
      <text>
        <r>
          <rPr>
            <b/>
            <sz val="9"/>
            <color indexed="81"/>
            <rFont val="Tahoma"/>
            <family val="2"/>
          </rPr>
          <t>Adam Kong:</t>
        </r>
        <r>
          <rPr>
            <sz val="9"/>
            <color indexed="81"/>
            <rFont val="Tahoma"/>
            <family val="2"/>
          </rPr>
          <t xml:space="preserve">
Deleted due to wrong iuput
</t>
        </r>
      </text>
    </comment>
    <comment ref="D4189" authorId="1">
      <text>
        <r>
          <rPr>
            <sz val="9"/>
            <color indexed="81"/>
            <rFont val="Tahoma"/>
            <family val="2"/>
          </rPr>
          <t xml:space="preserve">2017 09
</t>
        </r>
      </text>
    </comment>
    <comment ref="V4189" authorId="1">
      <text>
        <r>
          <rPr>
            <b/>
            <sz val="9"/>
            <color indexed="81"/>
            <rFont val="Tahoma"/>
            <family val="2"/>
          </rPr>
          <t>Chathaburi</t>
        </r>
      </text>
    </comment>
    <comment ref="X4189" authorId="1">
      <text>
        <r>
          <rPr>
            <b/>
            <sz val="9"/>
            <color indexed="81"/>
            <rFont val="Tahoma"/>
            <family val="2"/>
          </rPr>
          <t>Chathaburi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190" authorId="1">
      <text>
        <r>
          <rPr>
            <sz val="9"/>
            <color indexed="81"/>
            <rFont val="Tahoma"/>
            <family val="2"/>
          </rPr>
          <t xml:space="preserve">2017 09
</t>
        </r>
      </text>
    </comment>
    <comment ref="V4190" authorId="1">
      <text>
        <r>
          <rPr>
            <b/>
            <sz val="9"/>
            <color indexed="81"/>
            <rFont val="Tahoma"/>
            <family val="2"/>
          </rPr>
          <t>Chathaburi</t>
        </r>
      </text>
    </comment>
    <comment ref="X4190" authorId="1">
      <text>
        <r>
          <rPr>
            <b/>
            <sz val="9"/>
            <color indexed="81"/>
            <rFont val="Tahoma"/>
            <family val="2"/>
          </rPr>
          <t>Chathaburi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191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2017 12</t>
        </r>
      </text>
    </comment>
    <comment ref="V4191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Chathaburi</t>
        </r>
      </text>
    </comment>
    <comment ref="X4191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Chathaburi</t>
        </r>
      </text>
    </comment>
    <comment ref="D419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2017 12</t>
        </r>
      </text>
    </comment>
    <comment ref="V419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Chathaburi</t>
        </r>
      </text>
    </comment>
    <comment ref="X419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Chathaburi</t>
        </r>
      </text>
    </comment>
    <comment ref="D4193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2017 12</t>
        </r>
      </text>
    </comment>
    <comment ref="D4194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2017 12</t>
        </r>
      </text>
    </comment>
    <comment ref="D4195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196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197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198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199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Q4394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BTS not included?</t>
        </r>
      </text>
    </comment>
    <comment ref="Q4396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Update Monthly</t>
        </r>
      </text>
    </comment>
    <comment ref="R4396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BTS PF</t>
        </r>
      </text>
    </comment>
    <comment ref="Q4397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Update Monthly</t>
        </r>
      </text>
    </comment>
    <comment ref="R4397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BTS PF</t>
        </r>
      </text>
    </comment>
    <comment ref="G4530" authorId="2">
      <text>
        <r>
          <rPr>
            <b/>
            <sz val="9"/>
            <color indexed="81"/>
            <rFont val="Tahoma"/>
            <family val="2"/>
          </rPr>
          <t>Adam Kong:</t>
        </r>
        <r>
          <rPr>
            <sz val="9"/>
            <color indexed="81"/>
            <rFont val="Tahoma"/>
            <family val="2"/>
          </rPr>
          <t xml:space="preserve">
Added in Oct2018 due to miss input</t>
        </r>
      </text>
    </comment>
    <comment ref="G4531" authorId="2">
      <text>
        <r>
          <rPr>
            <b/>
            <sz val="9"/>
            <color indexed="81"/>
            <rFont val="Tahoma"/>
            <family val="2"/>
          </rPr>
          <t>Adam Kong:</t>
        </r>
        <r>
          <rPr>
            <sz val="9"/>
            <color indexed="81"/>
            <rFont val="Tahoma"/>
            <family val="2"/>
          </rPr>
          <t xml:space="preserve">
Added in Oct2018 due to miss input</t>
        </r>
      </text>
    </comment>
    <comment ref="D4534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2018 03</t>
        </r>
      </text>
    </comment>
    <comment ref="D4535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2018 06</t>
        </r>
      </text>
    </comment>
    <comment ref="D4536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2018 06</t>
        </r>
      </text>
    </comment>
    <comment ref="D4537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2018 06</t>
        </r>
      </text>
    </comment>
    <comment ref="D4538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539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540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541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54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12 (est)</t>
        </r>
      </text>
    </comment>
    <comment ref="K454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12 (est)</t>
        </r>
      </text>
    </comment>
    <comment ref="D4689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Jun 18 Figure</t>
        </r>
      </text>
    </comment>
    <comment ref="D4690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Jun 18 Figure</t>
        </r>
      </text>
    </comment>
    <comment ref="D4691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692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693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694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2018 09</t>
        </r>
      </text>
    </comment>
    <comment ref="D4695" authorId="1">
      <text>
        <r>
          <rPr>
            <b/>
            <sz val="9"/>
            <color indexed="81"/>
            <rFont val="Tahoma"/>
            <family val="2"/>
          </rPr>
          <t>Alice Wong:</t>
        </r>
        <r>
          <rPr>
            <sz val="9"/>
            <color indexed="81"/>
            <rFont val="Tahoma"/>
            <family val="2"/>
          </rPr>
          <t xml:space="preserve">
2018 12</t>
        </r>
      </text>
    </comment>
  </commentList>
</comments>
</file>

<file path=xl/comments3.xml><?xml version="1.0" encoding="utf-8"?>
<comments xmlns="http://schemas.openxmlformats.org/spreadsheetml/2006/main">
  <authors>
    <author>Justin Poon</author>
  </authors>
  <commentList>
    <comment ref="AF2" authorId="0">
      <text>
        <r>
          <rPr>
            <b/>
            <sz val="9"/>
            <color indexed="81"/>
            <rFont val="Tahoma"/>
            <family val="2"/>
          </rPr>
          <t>Justin Poon:</t>
        </r>
        <r>
          <rPr>
            <sz val="9"/>
            <color indexed="81"/>
            <rFont val="Tahoma"/>
            <family val="2"/>
          </rPr>
          <t xml:space="preserve">
BofA Merrill Lynch Asia Dollar High Yield Index</t>
        </r>
      </text>
    </comment>
    <comment ref="D227" authorId="0">
      <text>
        <r>
          <rPr>
            <b/>
            <sz val="9"/>
            <color indexed="81"/>
            <rFont val="Tahoma"/>
            <family val="2"/>
          </rPr>
          <t>Justin Poon:</t>
        </r>
        <r>
          <rPr>
            <sz val="9"/>
            <color indexed="81"/>
            <rFont val="Tahoma"/>
            <family val="2"/>
          </rPr>
          <t xml:space="preserve">
BofA Merrill Lynch Asia Dollar High Yield Index</t>
        </r>
      </text>
    </comment>
  </commentList>
</comments>
</file>

<file path=xl/sharedStrings.xml><?xml version="1.0" encoding="utf-8"?>
<sst xmlns="http://schemas.openxmlformats.org/spreadsheetml/2006/main" count="18660" uniqueCount="445">
  <si>
    <t>ARF</t>
  </si>
  <si>
    <t>Monthend</t>
  </si>
  <si>
    <t>Fund_Series</t>
  </si>
  <si>
    <t>NAV</t>
  </si>
  <si>
    <t>nav_ps</t>
  </si>
  <si>
    <t>div_ps</t>
  </si>
  <si>
    <t>Commitment</t>
  </si>
  <si>
    <t>Drawn</t>
  </si>
  <si>
    <t>Distribution</t>
  </si>
  <si>
    <t>CF</t>
  </si>
  <si>
    <t>MF</t>
  </si>
  <si>
    <t>PF</t>
  </si>
  <si>
    <t>MF Rebate</t>
  </si>
  <si>
    <t>PF Rebate</t>
  </si>
  <si>
    <t>GNAV</t>
  </si>
  <si>
    <t>HRF</t>
  </si>
  <si>
    <t>Total no. of shr</t>
  </si>
  <si>
    <t>Chg in no. of shr</t>
  </si>
  <si>
    <t>Cash Flow ps</t>
  </si>
  <si>
    <t>SKK</t>
  </si>
  <si>
    <t>ARFNAV</t>
  </si>
  <si>
    <t>HRFNAV</t>
  </si>
  <si>
    <t>COP2T NAV</t>
  </si>
  <si>
    <t>COTT NAV</t>
  </si>
  <si>
    <t>Total Overlapping</t>
  </si>
  <si>
    <t>Cashflow</t>
  </si>
  <si>
    <t>TT</t>
  </si>
  <si>
    <t>NAV_Adjusted</t>
  </si>
  <si>
    <t>Total</t>
  </si>
  <si>
    <t>Total_Overlap</t>
  </si>
  <si>
    <t>Cashflows</t>
  </si>
  <si>
    <t>PERFORMANCE</t>
  </si>
  <si>
    <t>DTK</t>
  </si>
  <si>
    <t>RR</t>
  </si>
  <si>
    <t>CHF2_S1GP</t>
  </si>
  <si>
    <t>SuperA</t>
  </si>
  <si>
    <t>CHF_S1GP</t>
  </si>
  <si>
    <t>CHF_S2</t>
  </si>
  <si>
    <t>CHF_S2a</t>
  </si>
  <si>
    <t>CHF_S2b</t>
  </si>
  <si>
    <t>CHF_S1b</t>
  </si>
  <si>
    <t>CHF_S3</t>
  </si>
  <si>
    <t>CHF_SUSf1GP</t>
  </si>
  <si>
    <t>CHF_SUSf1a</t>
  </si>
  <si>
    <t>CHF_S4</t>
  </si>
  <si>
    <t>CHF_S5</t>
  </si>
  <si>
    <t>CHF_S5c</t>
  </si>
  <si>
    <t>CHF_S5d</t>
  </si>
  <si>
    <t>CHF_USf4</t>
  </si>
  <si>
    <t>CHF_USf5c</t>
  </si>
  <si>
    <t>CHF_S6</t>
  </si>
  <si>
    <t>CHF_S7</t>
  </si>
  <si>
    <t>CHF_S7d</t>
  </si>
  <si>
    <t>CHF_S7e</t>
  </si>
  <si>
    <t>CHF_S7c</t>
  </si>
  <si>
    <t>CHF_S7a</t>
  </si>
  <si>
    <t>CHF_S8GP</t>
  </si>
  <si>
    <t>CHF_S8</t>
  </si>
  <si>
    <t>CHF_S9</t>
  </si>
  <si>
    <t>CHF_S9b</t>
  </si>
  <si>
    <t>CHF_S9c</t>
  </si>
  <si>
    <t>CHF_S9e</t>
  </si>
  <si>
    <t>CHF_S9WF</t>
  </si>
  <si>
    <t>CHF_USf9</t>
  </si>
  <si>
    <t>CHF_S1a</t>
  </si>
  <si>
    <t>COPT_S2</t>
  </si>
  <si>
    <t>COPT_S3</t>
  </si>
  <si>
    <t>COPT_S4</t>
  </si>
  <si>
    <t>COPT_S1</t>
  </si>
  <si>
    <t xml:space="preserve">Drawn </t>
  </si>
  <si>
    <t xml:space="preserve">Distribution </t>
  </si>
  <si>
    <t>COPT_S1GP</t>
  </si>
  <si>
    <t>COP2T_S2</t>
  </si>
  <si>
    <t>COP2T_S3</t>
  </si>
  <si>
    <t>COP2T_S4</t>
  </si>
  <si>
    <t>COP2T_S1</t>
  </si>
  <si>
    <t>COP2T_S1GP</t>
  </si>
  <si>
    <t>COP2T_S5GP</t>
  </si>
  <si>
    <t>SamSen</t>
  </si>
  <si>
    <t>AAA</t>
  </si>
  <si>
    <t>ASM Ratio</t>
  </si>
  <si>
    <t>ABS ret</t>
  </si>
  <si>
    <t>William</t>
  </si>
  <si>
    <t>BMTR4</t>
  </si>
  <si>
    <t>OPL</t>
  </si>
  <si>
    <t>Dividend</t>
  </si>
  <si>
    <t>Subscription</t>
  </si>
  <si>
    <t>PF paid during the month</t>
  </si>
  <si>
    <t>Televisi</t>
  </si>
  <si>
    <t>Mercury</t>
  </si>
  <si>
    <t>Donald</t>
  </si>
  <si>
    <t>Leopark 2</t>
  </si>
  <si>
    <t>Conrex</t>
  </si>
  <si>
    <t>New BMTR</t>
  </si>
  <si>
    <t>COL</t>
  </si>
  <si>
    <t>Amsteel</t>
  </si>
  <si>
    <t>ASM Equities</t>
  </si>
  <si>
    <t>CHF_SUSf1</t>
  </si>
  <si>
    <t>Total No. of shr</t>
    <phoneticPr fontId="11" type="noConversion"/>
  </si>
  <si>
    <t>NAV_ps</t>
    <phoneticPr fontId="11" type="noConversion"/>
  </si>
  <si>
    <t>NAV</t>
    <phoneticPr fontId="11" type="noConversion"/>
  </si>
  <si>
    <t>Cashflow_ps</t>
    <phoneticPr fontId="11" type="noConversion"/>
  </si>
  <si>
    <t>Row Labels</t>
  </si>
  <si>
    <t>IRR</t>
  </si>
  <si>
    <t>Net CF</t>
  </si>
  <si>
    <t>Gross outflow</t>
  </si>
  <si>
    <t>Sum of Cashflow (IRR)</t>
  </si>
  <si>
    <t>Absolute Gain</t>
    <phoneticPr fontId="11" type="noConversion"/>
  </si>
  <si>
    <t>Cashflow (IRR)</t>
    <phoneticPr fontId="11" type="noConversion"/>
  </si>
  <si>
    <t>Date</t>
  </si>
  <si>
    <t>Fee</t>
  </si>
  <si>
    <t>Rebate</t>
  </si>
  <si>
    <t>Effective Fee Rate Net Rebate</t>
  </si>
  <si>
    <t>Fund</t>
  </si>
  <si>
    <t>Inception</t>
  </si>
  <si>
    <t>Overlap</t>
  </si>
  <si>
    <t>Monthly MF</t>
  </si>
  <si>
    <t>PF Accrual</t>
  </si>
  <si>
    <t>ABS Return</t>
    <phoneticPr fontId="11" type="noConversion"/>
  </si>
  <si>
    <t>GNAV (M)</t>
    <phoneticPr fontId="11" type="noConversion"/>
  </si>
  <si>
    <t>NAV (M)</t>
    <phoneticPr fontId="11" type="noConversion"/>
  </si>
  <si>
    <t>Subscription / Drawdown</t>
  </si>
  <si>
    <t>Redemption</t>
  </si>
  <si>
    <t>Net_Cashflow</t>
  </si>
  <si>
    <t>source data - blue</t>
    <phoneticPr fontId="11" type="noConversion"/>
  </si>
  <si>
    <t>COP2T_S1GP, COPT_S1GP, ASM Equities, SuperA</t>
  </si>
  <si>
    <t xml:space="preserve"> </t>
    <phoneticPr fontId="11" type="noConversion"/>
  </si>
  <si>
    <t>Initial row</t>
    <phoneticPr fontId="11" type="noConversion"/>
  </si>
  <si>
    <t>Final row</t>
    <phoneticPr fontId="11" type="noConversion"/>
  </si>
  <si>
    <t>Total no of row</t>
    <phoneticPr fontId="11" type="noConversion"/>
  </si>
  <si>
    <t>TD</t>
    <phoneticPr fontId="11" type="noConversion"/>
  </si>
  <si>
    <t>MTD</t>
    <phoneticPr fontId="11" type="noConversion"/>
  </si>
  <si>
    <t>YTD</t>
    <phoneticPr fontId="11" type="noConversion"/>
  </si>
  <si>
    <t>NAV (TD)</t>
    <phoneticPr fontId="11" type="noConversion"/>
  </si>
  <si>
    <t>NAV (MTD)</t>
    <phoneticPr fontId="11" type="noConversion"/>
  </si>
  <si>
    <t>NAV (YTD)</t>
    <phoneticPr fontId="11" type="noConversion"/>
  </si>
  <si>
    <t>CHF</t>
  </si>
  <si>
    <t>COP2</t>
  </si>
  <si>
    <t>Structure</t>
  </si>
  <si>
    <t>Hedge Fund</t>
  </si>
  <si>
    <t>Data!A</t>
  </si>
  <si>
    <t>Overlap_fund1</t>
  </si>
  <si>
    <t>Overlap_NAV1</t>
  </si>
  <si>
    <t>Overlap_fund2</t>
  </si>
  <si>
    <t>Overlap_NAV2</t>
  </si>
  <si>
    <t>Overlap_fund3</t>
  </si>
  <si>
    <t>Overlap_NAV4</t>
  </si>
  <si>
    <t>Overlap_NAV3</t>
  </si>
  <si>
    <t>Overlap_fund4</t>
  </si>
  <si>
    <t>COTT</t>
  </si>
  <si>
    <t>o/s accrued MF</t>
  </si>
  <si>
    <t>o/s accrued PF</t>
  </si>
  <si>
    <t>Weighted Average</t>
  </si>
  <si>
    <t>For Fee Weighted Average Calculation</t>
  </si>
  <si>
    <t>CHFC3</t>
  </si>
  <si>
    <t>Private Equity Fund</t>
  </si>
  <si>
    <t>Distribution (MTD)</t>
  </si>
  <si>
    <t>Distribution (YTD)</t>
  </si>
  <si>
    <t>Drawn (MTD)</t>
  </si>
  <si>
    <t>Drawn (YTD)</t>
  </si>
  <si>
    <t>COPT_S1ex-GP</t>
  </si>
  <si>
    <t>COP2T_S1ex-GP</t>
  </si>
  <si>
    <t>CHF</t>
    <phoneticPr fontId="11" type="noConversion"/>
  </si>
  <si>
    <t>Gloves</t>
  </si>
  <si>
    <t>Cashflow_ex-GP (IRR)</t>
  </si>
  <si>
    <t>Tanker</t>
  </si>
  <si>
    <t>Cashflow (IRR)</t>
  </si>
  <si>
    <t>NAV ps (TD)</t>
  </si>
  <si>
    <t>NAV ps (MTD)</t>
  </si>
  <si>
    <t>NAV ps (YTD)</t>
  </si>
  <si>
    <t>Distribution ps (MTD)</t>
  </si>
  <si>
    <t>Distribution ps (YTD)</t>
  </si>
  <si>
    <t>CHF_SUSf4</t>
  </si>
  <si>
    <t>CHF_SUSf5c</t>
  </si>
  <si>
    <t>CHF_SUSf9</t>
  </si>
  <si>
    <t>CHF2</t>
  </si>
  <si>
    <t>CHF2ex-GP</t>
  </si>
  <si>
    <t>CHF2GP</t>
  </si>
  <si>
    <t>Total NAV</t>
  </si>
  <si>
    <t>GP</t>
  </si>
  <si>
    <t>non-GP</t>
  </si>
  <si>
    <t>ex-GP data for Performance calculation</t>
  </si>
  <si>
    <t>Grand Total</t>
  </si>
  <si>
    <t>Column Labels</t>
  </si>
  <si>
    <t>Sum of NAV</t>
  </si>
  <si>
    <t>Peak NAV (M)</t>
  </si>
  <si>
    <t>Peak NAV Date</t>
  </si>
  <si>
    <t>Correlation and Sharpe Ratio</t>
  </si>
  <si>
    <t>COPT1</t>
  </si>
  <si>
    <t>COPT2</t>
  </si>
  <si>
    <t>S&amp;P</t>
  </si>
  <si>
    <t>MSCI AP</t>
  </si>
  <si>
    <t>ADHY</t>
  </si>
  <si>
    <t>10yr Bond</t>
  </si>
  <si>
    <t>SKK (NAV)</t>
  </si>
  <si>
    <t>Correlation with Indices</t>
  </si>
  <si>
    <t>Correlation w/S&amp;P500</t>
  </si>
  <si>
    <t>Correlation w/MSCI Asia Pacific</t>
  </si>
  <si>
    <t>Correlation w/BOAML Asia High-yield</t>
  </si>
  <si>
    <t>Sharpe Ratio</t>
  </si>
  <si>
    <t>&lt;&lt;&lt; need manual input</t>
  </si>
  <si>
    <t>Average risk-free rate</t>
  </si>
  <si>
    <t>&lt;&lt;&lt; need to define range manually</t>
  </si>
  <si>
    <t>Annualized standard deviation</t>
  </si>
  <si>
    <t>Annualized S&amp;P standard deviation</t>
  </si>
  <si>
    <t>last price</t>
    <phoneticPr fontId="9" type="noConversion"/>
  </si>
  <si>
    <t>bid yield</t>
  </si>
  <si>
    <t>SPX</t>
  </si>
  <si>
    <t>MXAP</t>
  </si>
  <si>
    <t>USGG10YR</t>
  </si>
  <si>
    <t>#N/A N/A</t>
  </si>
  <si>
    <t>S:\ASM\Investor Related\MARKETING &amp; REPORTS\Manager Reports\Monthly Reports_backup (check before use)\Calculation of Sharpe Ratio and Correlation.xlsx</t>
  </si>
  <si>
    <t>Number of rows</t>
  </si>
  <si>
    <t>Update numbers in Tab"SharpR"</t>
  </si>
  <si>
    <t>Co-investment</t>
  </si>
  <si>
    <t>ASM Connaught House (Master) Fund II LP</t>
  </si>
  <si>
    <t>ASM Connaught House Fund LP</t>
  </si>
  <si>
    <t>SuperAsianova Capital LP</t>
  </si>
  <si>
    <t>ASM Asia Recovery (Master) Fund</t>
  </si>
  <si>
    <t>ASM Hudson River Fund</t>
  </si>
  <si>
    <t>ASM Co-Investment Term Trust I</t>
  </si>
  <si>
    <t>Orchard Partners Limited</t>
  </si>
  <si>
    <t>SKK Special Situation Fund</t>
  </si>
  <si>
    <t>DTK Opportunity Fund</t>
  </si>
  <si>
    <t>Venturra Capital Fund I LP</t>
  </si>
  <si>
    <t>AUM</t>
  </si>
  <si>
    <t>As at date</t>
  </si>
  <si>
    <t>Co-Investment Opportunity Trust I</t>
  </si>
  <si>
    <t>Co-Investment Opportunity Trust II</t>
  </si>
  <si>
    <t>Borobudur Holding Limited (BMTR4)</t>
  </si>
  <si>
    <t>Alpha Plus Venture Limited (William)</t>
  </si>
  <si>
    <t>Sungei Road Limited (Televisi)</t>
  </si>
  <si>
    <t>Marymount Road Limited (Mercury)</t>
  </si>
  <si>
    <t>Sam Sen Road Limited (SamSen)</t>
  </si>
  <si>
    <t>Bowen Road Limited (AAA)</t>
  </si>
  <si>
    <t>Morse Road Limited (Donald)</t>
  </si>
  <si>
    <t>Anila Park Limited (Gloves)</t>
  </si>
  <si>
    <t>Bishan Street Limited (Leopark2)</t>
  </si>
  <si>
    <t>Co-investments</t>
  </si>
  <si>
    <t>Unique Strategy Vehicles</t>
  </si>
  <si>
    <t>Hedge Funds</t>
  </si>
  <si>
    <t>Private Equity Funds</t>
  </si>
  <si>
    <t>NAV
 US$ mm</t>
  </si>
  <si>
    <t>Name of fund or vehicle</t>
  </si>
  <si>
    <t>IRR since inception</t>
  </si>
  <si>
    <t>Multiple since inception</t>
  </si>
  <si>
    <t>Sharpe Ratio since inception</t>
  </si>
  <si>
    <t>Correlation with S&amp;P500 since inception</t>
  </si>
  <si>
    <t>MTD return</t>
  </si>
  <si>
    <t>YTD return</t>
  </si>
  <si>
    <t>-</t>
  </si>
  <si>
    <t>Total AUM of ASM</t>
  </si>
  <si>
    <t>NAV 
 US$ mm</t>
  </si>
  <si>
    <t>Overlap
 US$ mm</t>
  </si>
  <si>
    <t>Performance*</t>
  </si>
  <si>
    <t>Changes allowance</t>
  </si>
  <si>
    <t>Current month (yyyy/mm)</t>
    <phoneticPr fontId="11" type="noConversion"/>
  </si>
  <si>
    <t>Check unchg?</t>
    <phoneticPr fontId="11" type="noConversion"/>
  </si>
  <si>
    <t>Yes</t>
    <phoneticPr fontId="11" type="noConversion"/>
  </si>
  <si>
    <t>No</t>
    <phoneticPr fontId="11" type="noConversion"/>
  </si>
  <si>
    <t>Yes</t>
    <phoneticPr fontId="11" type="noConversion"/>
  </si>
  <si>
    <t>No</t>
    <phoneticPr fontId="11" type="noConversion"/>
  </si>
  <si>
    <t>Check missing?</t>
    <phoneticPr fontId="11" type="noConversion"/>
  </si>
  <si>
    <t>No</t>
    <phoneticPr fontId="11" type="noConversion"/>
  </si>
  <si>
    <t>Yes</t>
    <phoneticPr fontId="11" type="noConversion"/>
  </si>
  <si>
    <t>3% diff?</t>
    <phoneticPr fontId="11" type="noConversion"/>
  </si>
  <si>
    <t>Table start at</t>
    <phoneticPr fontId="11" type="noConversion"/>
  </si>
  <si>
    <t>A</t>
    <phoneticPr fontId="11" type="noConversion"/>
  </si>
  <si>
    <t>Same date for two entries?</t>
  </si>
  <si>
    <t>Check missing entry?</t>
  </si>
  <si>
    <t>Entered more than 2?</t>
  </si>
  <si>
    <t>Yes</t>
  </si>
  <si>
    <t>No</t>
  </si>
  <si>
    <t>CHF3</t>
  </si>
  <si>
    <t>CHF3GP</t>
  </si>
  <si>
    <t>CHF3ex-GP</t>
  </si>
  <si>
    <t>ASM Connaught House (Master) Fund III LP</t>
  </si>
  <si>
    <t>NAV change more then 3%</t>
  </si>
  <si>
    <t>(New NAV + Distribution + Redemption + Drawdown / Old NAV) - 1</t>
  </si>
  <si>
    <t>Cash inflow</t>
  </si>
  <si>
    <t>Cash outflow</t>
  </si>
  <si>
    <t xml:space="preserve">                                       -  </t>
  </si>
  <si>
    <t>Sum of o/s accrued MF</t>
  </si>
  <si>
    <t>Sum of o/s accrued PF</t>
  </si>
  <si>
    <t>Sum of MF Rebate</t>
  </si>
  <si>
    <t>Sum of PF Rebate</t>
  </si>
  <si>
    <t>FdMgt1</t>
  </si>
  <si>
    <t>FdMgt2</t>
  </si>
  <si>
    <t>Coinv</t>
  </si>
  <si>
    <t>FdMgtRGE</t>
  </si>
  <si>
    <t>aaa</t>
  </si>
  <si>
    <t>bbb</t>
  </si>
  <si>
    <t>ccc</t>
  </si>
  <si>
    <t>ddd</t>
  </si>
  <si>
    <t>eee</t>
  </si>
  <si>
    <t>FdType</t>
  </si>
  <si>
    <t>* Fund performance data are net of fees.</t>
  </si>
  <si>
    <t>NA</t>
  </si>
  <si>
    <t>Series 1</t>
  </si>
  <si>
    <t>Series 1a</t>
  </si>
  <si>
    <t>Series 1b</t>
  </si>
  <si>
    <t>Series 2</t>
  </si>
  <si>
    <t>Series 2a</t>
  </si>
  <si>
    <t>Series 2b</t>
  </si>
  <si>
    <t>Series 3</t>
  </si>
  <si>
    <t>Series 4</t>
  </si>
  <si>
    <t>Series 5</t>
  </si>
  <si>
    <t>Series 5c</t>
  </si>
  <si>
    <t>Series 5d</t>
  </si>
  <si>
    <t>Series 6</t>
  </si>
  <si>
    <t>Series 7</t>
  </si>
  <si>
    <t>Series 7a</t>
  </si>
  <si>
    <t>Series 7c</t>
  </si>
  <si>
    <t>Series 7d</t>
  </si>
  <si>
    <t>Series 7e</t>
  </si>
  <si>
    <t>Series 8</t>
  </si>
  <si>
    <t>Series 9</t>
  </si>
  <si>
    <t>Series 9b</t>
  </si>
  <si>
    <t>Series 9c</t>
  </si>
  <si>
    <t>Series 9e</t>
  </si>
  <si>
    <t>Series USf1</t>
  </si>
  <si>
    <t>Series USf1a</t>
  </si>
  <si>
    <t>Series USf4</t>
  </si>
  <si>
    <t>Series USf5c</t>
  </si>
  <si>
    <t>Series USf9</t>
  </si>
  <si>
    <t>Series 2c</t>
  </si>
  <si>
    <t>Series 2d</t>
  </si>
  <si>
    <t>Series 2e</t>
  </si>
  <si>
    <t>Series 2f</t>
  </si>
  <si>
    <t>Series 3a</t>
  </si>
  <si>
    <t>Series 3b</t>
  </si>
  <si>
    <t>Series 3c</t>
  </si>
  <si>
    <t>Series 3d</t>
  </si>
  <si>
    <t>Series 4a</t>
  </si>
  <si>
    <t>Series 4b</t>
  </si>
  <si>
    <t>Series 4c</t>
  </si>
  <si>
    <t>Series 4d</t>
  </si>
  <si>
    <t>Series 4e</t>
  </si>
  <si>
    <t>Series 4f</t>
  </si>
  <si>
    <t>Series 4g</t>
  </si>
  <si>
    <t>Series 9WF</t>
  </si>
  <si>
    <t>Series 1LASM</t>
  </si>
  <si>
    <t>Series 8LASM</t>
  </si>
  <si>
    <t>Series 1GP</t>
  </si>
  <si>
    <t>Series 5GP</t>
  </si>
  <si>
    <t>Drawn Capital
US$ mm</t>
  </si>
  <si>
    <t>Undrawn 
Capital
US$ mm</t>
  </si>
  <si>
    <t>Series 2GP</t>
  </si>
  <si>
    <t>Series 3GP</t>
  </si>
  <si>
    <t>Series 4GP</t>
  </si>
  <si>
    <t>Series 8GP</t>
  </si>
  <si>
    <t>Total Sum of o/s accrued MF</t>
  </si>
  <si>
    <t>Total Sum of MF Rebate</t>
  </si>
  <si>
    <t>Total Sum of o/s accrued PF</t>
  </si>
  <si>
    <t>Total Sum of PF Rebate</t>
  </si>
  <si>
    <t>xyz</t>
  </si>
  <si>
    <t>pqr</t>
  </si>
  <si>
    <t>Total Sum of NAV</t>
  </si>
  <si>
    <t>Series 1c</t>
  </si>
  <si>
    <t>Series 1d</t>
  </si>
  <si>
    <t>Series 1e</t>
  </si>
  <si>
    <t>Series 1f</t>
  </si>
  <si>
    <t>Series 1g</t>
  </si>
  <si>
    <t>Series 1h</t>
  </si>
  <si>
    <t>Series 1i</t>
  </si>
  <si>
    <t>Series 1j</t>
  </si>
  <si>
    <t>Series 1k</t>
  </si>
  <si>
    <t>Series 1l</t>
  </si>
  <si>
    <t>Series 1m</t>
  </si>
  <si>
    <t>Series 1n</t>
  </si>
  <si>
    <t>Series 1o</t>
  </si>
  <si>
    <t>Series 1p</t>
  </si>
  <si>
    <t>Series 1q</t>
  </si>
  <si>
    <t>Series 1r</t>
  </si>
  <si>
    <t>Series 1s</t>
  </si>
  <si>
    <t>Series 2g</t>
  </si>
  <si>
    <t>Series 2h</t>
  </si>
  <si>
    <t>Series 2i</t>
  </si>
  <si>
    <t>Series 2j</t>
  </si>
  <si>
    <t>Series 2k</t>
  </si>
  <si>
    <t>Series 2l</t>
  </si>
  <si>
    <t>Series 2m</t>
  </si>
  <si>
    <t>Series 2n</t>
  </si>
  <si>
    <t>Series 2o</t>
  </si>
  <si>
    <t>Series 2p</t>
  </si>
  <si>
    <t>Series 2q</t>
  </si>
  <si>
    <t>Series 2r</t>
  </si>
  <si>
    <t>Series US1a</t>
  </si>
  <si>
    <t>Series US1b</t>
  </si>
  <si>
    <t>Series US1GP</t>
  </si>
  <si>
    <t>Sum of monthly MF</t>
  </si>
  <si>
    <t>Total Sum of monthly MF</t>
  </si>
  <si>
    <t>BMTR2</t>
  </si>
  <si>
    <t>Indomaret</t>
  </si>
  <si>
    <t>Mediacom_Donald</t>
  </si>
  <si>
    <t>Mediacom_Mercury</t>
  </si>
  <si>
    <t xml:space="preserve">Mediacom_Televisi </t>
  </si>
  <si>
    <t>TIH</t>
  </si>
  <si>
    <t>Committed Capital</t>
  </si>
  <si>
    <t>Total No. of shr</t>
  </si>
  <si>
    <t/>
  </si>
  <si>
    <t>Series 3e</t>
  </si>
  <si>
    <t>Series 3f</t>
  </si>
  <si>
    <t>Series 3g</t>
  </si>
  <si>
    <t>Series 3h</t>
  </si>
  <si>
    <t>Oct</t>
  </si>
  <si>
    <t>Jan - Sep</t>
  </si>
  <si>
    <t>Leopark2</t>
  </si>
  <si>
    <t>Mediacom_Televisi</t>
  </si>
  <si>
    <t>Monthend update</t>
  </si>
  <si>
    <t>Tab "Summary" cell "AB3" to update the month end date</t>
  </si>
  <si>
    <t>Tab "Data", press button "Update" that located in the top left concer</t>
  </si>
  <si>
    <t>Amend the light blue numbers. i.e. NAV, cash movement, fee and overlaps</t>
  </si>
  <si>
    <t>Sort by "Fund", "Fund_Series", "monthend"</t>
  </si>
  <si>
    <t>Refresh Tab"Peak NAV"</t>
  </si>
  <si>
    <t>Input month end data in the pop-up box</t>
  </si>
  <si>
    <t>*SPV's MF and PF are not updated</t>
  </si>
  <si>
    <t>ATTI</t>
  </si>
  <si>
    <t>Series US2b</t>
  </si>
  <si>
    <t>Series US2a</t>
  </si>
  <si>
    <t>Series US2c</t>
  </si>
  <si>
    <t>For computing COTT IRR (ATTI)</t>
  </si>
  <si>
    <t>** Fund performance data are based on estimate figures.</t>
  </si>
  <si>
    <t>*** Include USD 9.7M new commitment comes after December 2018.</t>
  </si>
  <si>
    <t>West</t>
  </si>
  <si>
    <t>Solar2</t>
  </si>
  <si>
    <t>Dalvey Road Limited (West)</t>
  </si>
  <si>
    <t>Purvis Street Limited (Solar2)</t>
  </si>
  <si>
    <t>O:\Adam\Fund Valuation Model\Data manager.xlsm</t>
  </si>
  <si>
    <t>Step 1: (Update the IRR path)</t>
  </si>
  <si>
    <t>**</t>
  </si>
  <si>
    <t>*** Co-investors' figures only includes which ASML charges management fee or performance fee.</t>
  </si>
  <si>
    <t>Total AUM for form PF</t>
  </si>
  <si>
    <t>Series US1</t>
  </si>
  <si>
    <t>Series US3a</t>
  </si>
  <si>
    <t>Series US3b</t>
  </si>
  <si>
    <t>Series US3c</t>
  </si>
  <si>
    <t>Series US3d</t>
  </si>
  <si>
    <t>Series US3e</t>
  </si>
  <si>
    <t>Series US3f</t>
  </si>
  <si>
    <t>Series US3g</t>
  </si>
  <si>
    <t>Series US3h</t>
  </si>
  <si>
    <t>Series US3i</t>
  </si>
  <si>
    <t>Series US3j</t>
  </si>
  <si>
    <t>Series US3k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</si>
</sst>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1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[Red]\-&quot;$&quot;#,##0"/>
    <numFmt numFmtId="165" formatCode="&quot;$&quot;#,##0.00;[Red]\-&quot;$&quot;#,##0.00"/>
    <numFmt numFmtId="166" formatCode="_-* #,##0_-;\-* #,##0_-;_-* &quot;-&quot;_-;_-@_-"/>
    <numFmt numFmtId="167" formatCode="_-&quot;$&quot;* #,##0.00_-;\-&quot;$&quot;* #,##0.00_-;_-&quot;$&quot;* &quot;-&quot;??_-;_-@_-"/>
    <numFmt numFmtId="168" formatCode="_-* #,##0.00_-;\-* #,##0.00_-;_-* &quot;-&quot;??_-;_-@_-"/>
    <numFmt numFmtId="169" formatCode="_(&quot;HK$&quot;* #,##0.00_);_(&quot;HK$&quot;* \(#,##0.00\);_(&quot;HK$&quot;* &quot;-&quot;??_);_(@_)"/>
    <numFmt numFmtId="170" formatCode="_(* #,##0.0000_);_(* \(#,##0.0000\);_(* &quot;-&quot;??_);_(@_)"/>
    <numFmt numFmtId="171" formatCode="0.0%"/>
    <numFmt numFmtId="172" formatCode="_(* #,##0.0000_);_(* \(#,##0.0000\);_(* &quot;-&quot;????_);_(@_)"/>
    <numFmt numFmtId="173" formatCode="General_)"/>
    <numFmt numFmtId="174" formatCode="_ * #,##0_ ;_ * \-#,##0_ ;_ * &quot;-&quot;_ ;_ @_ "/>
    <numFmt numFmtId="175" formatCode="_ * #,##0.00_ ;_ * \-#,##0.00_ ;_ * &quot;-&quot;??_ ;_ @_ "/>
    <numFmt numFmtId="176" formatCode="#,##0;\(#,##0\)"/>
    <numFmt numFmtId="177" formatCode="0###0"/>
    <numFmt numFmtId="178" formatCode="\$#,##0.00;\(\$#,##0.00\)"/>
    <numFmt numFmtId="179" formatCode="#,##0_);[Red]\(#,##0\);;@"/>
    <numFmt numFmtId="180" formatCode="\$#,##0;\(\$#,##0\)"/>
    <numFmt numFmtId="181" formatCode="_-[$€-2]* #,##0.00_-;\-[$€-2]* #,##0.00_-;_-[$€-2]* &quot;-&quot;??_-"/>
    <numFmt numFmtId="182" formatCode="#,##0\ &quot;F&quot;;\-#,##0\ &quot;F&quot;"/>
    <numFmt numFmtId="183" formatCode="0.00_)"/>
    <numFmt numFmtId="184" formatCode=";;;"/>
    <numFmt numFmtId="185" formatCode="m/d"/>
    <numFmt numFmtId="186" formatCode="_ &quot;ㄓ&quot;* #,##0_ ;_ &quot;ㄓ&quot;* \-#,##0_ ;_ &quot;ㄓ&quot;* &quot;-&quot;_ ;_ @_ "/>
    <numFmt numFmtId="187" formatCode="_ &quot;ㄓ&quot;* #,##0.00_ ;_ &quot;ㄓ&quot;* \-#,##0.00_ ;_ &quot;ㄓ&quot;* &quot;-&quot;??_ ;_ @_ "/>
    <numFmt numFmtId="188" formatCode="mm/dd/yy;@"/>
    <numFmt numFmtId="189" formatCode="0.00\x"/>
    <numFmt numFmtId="190" formatCode="[$-409]d\-mmm\-yy;@"/>
    <numFmt numFmtId="191" formatCode="0.000"/>
    <numFmt numFmtId="192" formatCode="#,##0.0000_);[Red]\(#,##0.0000\)"/>
    <numFmt numFmtId="193" formatCode="_(* #,##0_);_(* \(#,##0\);_(* &quot;-&quot;??_);_(@_)"/>
    <numFmt numFmtId="194" formatCode="0.0_)\%;\(0.0\)\%;0.0_)\%;@_)_%"/>
    <numFmt numFmtId="195" formatCode="#,##0.0_)_%;\(#,##0.0\)_%;0.0_)_%;@_)_%"/>
    <numFmt numFmtId="196" formatCode="#,##0.0_);\(#,##0.0\);#,##0.0_);@_)"/>
    <numFmt numFmtId="197" formatCode="&quot;$&quot;_(#,##0.00_);&quot;$&quot;\(#,##0.00\);&quot;$&quot;_(0.00_);@_)"/>
    <numFmt numFmtId="198" formatCode="#,##0.00_);\(#,##0.00\);0.00_);@_)"/>
    <numFmt numFmtId="199" formatCode="\€_(#,##0.00_);\€\(#,##0.00\);\€_(0.00_);@_)"/>
    <numFmt numFmtId="200" formatCode="&quot;€&quot;_(#,##0.00_);&quot;€&quot;\(#,##0.00\);&quot;€&quot;_(0.00_);@_)"/>
    <numFmt numFmtId="201" formatCode="#,##0_)\x;\(#,##0\)\x;0_)\x;@_)_x"/>
    <numFmt numFmtId="202" formatCode="#,##0.0_)\x;\(#,##0.0\)\x;0.0_)\x;@_)_x"/>
    <numFmt numFmtId="203" formatCode="#,##0_)_x;\(#,##0\)_x;0_)_x;@_)_x"/>
    <numFmt numFmtId="204" formatCode="#,##0.0_)_x;\(#,##0.0\)_x;0.0_)_x;@_)_x"/>
    <numFmt numFmtId="205" formatCode="000"/>
    <numFmt numFmtId="206" formatCode="_(* #,##0.0_);_(* \(#,##0.0\);_(* &quot;-&quot;?_);_(@_)"/>
    <numFmt numFmtId="207" formatCode="0.0%_);\(0.0%\)"/>
    <numFmt numFmtId="208" formatCode="#,##0.0_);\(#,##0.0\);&quot;-&quot;_)"/>
    <numFmt numFmtId="209" formatCode="_(* #,##0.0_);_(* \(#,##0.0\);_(* &quot;-&quot;?_);@_)"/>
    <numFmt numFmtId="210" formatCode="0.000_)"/>
    <numFmt numFmtId="211" formatCode="#,##0.0_);[Red]\(#,##0.0\)"/>
    <numFmt numFmtId="212" formatCode="&quot;$&quot;#,##0_);[Red]&quot;$&quot;\(#,##0\)"/>
    <numFmt numFmtId="213" formatCode="0&quot;E &quot;;_(@_)"/>
    <numFmt numFmtId="214" formatCode="_([$€-2]* #,##0.00_);_([$€-2]* \(#,##0.00\);_([$€-2]* &quot;-&quot;??_)"/>
    <numFmt numFmtId="215" formatCode="_([$€]* #,##0.00_);_([$€]* \(#,##0.00\);_([$€]* &quot;-&quot;??_);_(@_)"/>
    <numFmt numFmtId="216" formatCode="&quot;$&quot;____#########0_);[Red]\(&quot;$&quot;____#######0\)"/>
    <numFmt numFmtId="217" formatCode="#,##0;\(#,##0\);\-"/>
    <numFmt numFmtId="218" formatCode="#,##0.0_);\(#,##0.0\)"/>
    <numFmt numFmtId="219" formatCode="#,##0_);\(#,##0\);_(@_)"/>
    <numFmt numFmtId="220" formatCode="#,##0.0_);\(#,##0.0\);_(@_)"/>
    <numFmt numFmtId="221" formatCode="#,##0.00_);\(#,##0.00\);_(@_)"/>
    <numFmt numFmtId="222" formatCode="#,##0.000_);\(#,##0.000\);_(@_)"/>
    <numFmt numFmtId="223" formatCode="_-[$£-809]* #,##0.00_-;\-[$£-809]* #,##0.00_-;_-[$£-809]* &quot;-&quot;??_-;_-@_-"/>
    <numFmt numFmtId="224" formatCode="#,##0.0_);\(#,##0.0\);\-_)"/>
    <numFmt numFmtId="225" formatCode="0%;\(0%\);_(@_)"/>
    <numFmt numFmtId="226" formatCode="0.0%;\(0.0%\);_(@_)"/>
    <numFmt numFmtId="227" formatCode="0%_);\(0%\)"/>
    <numFmt numFmtId="228" formatCode="0.0%;@_)"/>
    <numFmt numFmtId="229" formatCode="0.0&quot;x&quot;;@_)"/>
    <numFmt numFmtId="230" formatCode="\+0;[Red]\-0;[Red]0"/>
    <numFmt numFmtId="231" formatCode="_(* #,##0_);_(* \(#,##0\);_(* &quot;-&quot;_);@_)"/>
    <numFmt numFmtId="232" formatCode="#,##0.000;\(#,##0.000\)"/>
    <numFmt numFmtId="233" formatCode="#,##0.0;\(#,##0.0\)"/>
    <numFmt numFmtId="234" formatCode="0%;\(0\)%"/>
    <numFmt numFmtId="235" formatCode="0.0\x_);\(0.0\x\);_(@_)"/>
    <numFmt numFmtId="236" formatCode="0_);_(@_)"/>
    <numFmt numFmtId="237" formatCode="[$-409]d/mmm/yy;@"/>
    <numFmt numFmtId="238" formatCode="_(&quot;£&quot;* #,##0_);_(&quot;£&quot;* \(#,##0\);_(&quot;£&quot;* &quot;-&quot;_);_(@_)"/>
    <numFmt numFmtId="239" formatCode="#,##0.00\ &quot;F&quot;;\-#,##0.00\ &quot;F&quot;"/>
    <numFmt numFmtId="240" formatCode="dd\-mmm\-yy_)"/>
    <numFmt numFmtId="241" formatCode="[$-409]mmm\-yy;@"/>
    <numFmt numFmtId="242" formatCode="_(* #,##0.0_);_(* \(#,##0.0\);_(* &quot;-&quot;??_);_(@_)"/>
    <numFmt numFmtId="243" formatCode="0_);[Red]\(0\)"/>
    <numFmt numFmtId="244" formatCode="_(* #,##0.00_);_(* \(#,##0.00\);_(* &quot;-&quot;????_);_(@_)"/>
    <numFmt numFmtId="245" formatCode="dd/mm/yyyy"/>
    <numFmt numFmtId="246" formatCode="_(&quot;£&quot;* #,##0.00_);_(&quot;£&quot;* \(#,##0.00\);_(&quot;£&quot;* &quot;-&quot;??_);_(@_)"/>
    <numFmt numFmtId="247" formatCode="_(* #,##0.0_)&quot;***&quot;;_(* \(#,##0.0\)&quot;***&quot;;_(* &quot;-&quot;??_);_(@_)&quot;***&quot;"/>
  </numFmts>
  <fonts count="335"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Unicode MS"/>
      <family val="2"/>
      <charset val="136"/>
    </font>
    <font>
      <sz val="9"/>
      <name val="Calibri"/>
      <family val="2"/>
      <charset val="136"/>
      <scheme val="minor"/>
    </font>
    <font>
      <sz val="10"/>
      <name val="Arial"/>
      <family val="2"/>
    </font>
    <font>
      <u/>
      <sz val="10"/>
      <color indexed="12"/>
      <name val="MS Sans Serif"/>
      <family val="2"/>
    </font>
    <font>
      <sz val="12"/>
      <name val="?¡¤????"/>
      <charset val="134"/>
    </font>
    <font>
      <sz val="12"/>
      <name val="Times New Roman"/>
      <family val="1"/>
    </font>
    <font>
      <u/>
      <sz val="10"/>
      <color indexed="14"/>
      <name val="MS Sans Serif"/>
      <family val="2"/>
    </font>
    <font>
      <u/>
      <sz val="10"/>
      <color indexed="12"/>
      <name val="Footlight MT Light"/>
      <family val="1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2"/>
      <name val="Courier"/>
      <family val="3"/>
    </font>
    <font>
      <u/>
      <sz val="12"/>
      <color indexed="12"/>
      <name val="ËÎÌå"/>
      <charset val="134"/>
    </font>
    <font>
      <sz val="12"/>
      <name val="?Ia"/>
      <family val="1"/>
    </font>
    <font>
      <sz val="11"/>
      <color indexed="9"/>
      <name val="Calibri"/>
      <family val="2"/>
    </font>
    <font>
      <sz val="12"/>
      <name val="â·ö ¸þ"/>
      <charset val="134"/>
    </font>
    <font>
      <u/>
      <sz val="7.5"/>
      <color indexed="36"/>
      <name val="Arial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新細明體"/>
      <family val="1"/>
      <charset val="136"/>
    </font>
    <font>
      <sz val="10"/>
      <name val="Times New Roman"/>
      <family val="1"/>
    </font>
    <font>
      <b/>
      <u/>
      <sz val="11"/>
      <name val="Times New Roman"/>
      <family val="1"/>
    </font>
    <font>
      <sz val="10"/>
      <name val="Century Gothic"/>
      <family val="2"/>
    </font>
    <font>
      <sz val="12"/>
      <name val="Tms Rm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</font>
    <font>
      <u/>
      <sz val="12"/>
      <color indexed="12"/>
      <name val="新細明體"/>
      <family val="1"/>
      <charset val="136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sz val="12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  <family val="2"/>
    </font>
    <font>
      <i/>
      <sz val="10"/>
      <color indexed="18"/>
      <name val="Century Gothic"/>
      <family val="2"/>
    </font>
    <font>
      <sz val="12"/>
      <name val="ÐÂ¼šÃ÷ów"/>
      <family val="3"/>
      <charset val="134"/>
    </font>
    <font>
      <sz val="8"/>
      <name val="Times New Roman"/>
      <family val="1"/>
    </font>
    <font>
      <u/>
      <sz val="12"/>
      <color indexed="36"/>
      <name val="ËÎÌå"/>
      <charset val="134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b/>
      <sz val="12"/>
      <color indexed="10"/>
      <name val="Swis721 Cn BT"/>
      <family val="2"/>
    </font>
    <font>
      <b/>
      <sz val="12"/>
      <color indexed="10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絡遺"/>
      <charset val="134"/>
    </font>
    <font>
      <sz val="11"/>
      <name val="篌朡"/>
      <family val="1"/>
      <charset val="136"/>
    </font>
    <font>
      <u/>
      <sz val="12"/>
      <color indexed="36"/>
      <name val="宋体"/>
      <family val="3"/>
      <charset val="136"/>
    </font>
    <font>
      <sz val="12"/>
      <name val="新細明體"/>
      <family val="1"/>
      <charset val="134"/>
    </font>
    <font>
      <u/>
      <sz val="12"/>
      <color indexed="12"/>
      <name val="Times New Roman"/>
      <family val="1"/>
    </font>
    <font>
      <u/>
      <sz val="12"/>
      <color indexed="12"/>
      <name val="宋体"/>
      <charset val="136"/>
    </font>
    <font>
      <sz val="12"/>
      <name val="夥鰻羹"/>
      <family val="3"/>
      <charset val="134"/>
    </font>
    <font>
      <u/>
      <sz val="12"/>
      <color indexed="36"/>
      <name val="Times New Roman"/>
      <family val="1"/>
    </font>
    <font>
      <u/>
      <sz val="12"/>
      <color indexed="36"/>
      <name val="新細明體"/>
      <family val="1"/>
      <charset val="136"/>
    </font>
    <font>
      <sz val="12"/>
      <name val="漞?輊"/>
      <family val="3"/>
      <charset val="136"/>
    </font>
    <font>
      <u/>
      <sz val="7.5"/>
      <color indexed="12"/>
      <name val="Arial"/>
      <family val="2"/>
    </font>
    <font>
      <sz val="10"/>
      <color theme="1"/>
      <name val="Arial"/>
      <family val="2"/>
    </font>
    <font>
      <sz val="11"/>
      <color theme="0"/>
      <name val="Calibri"/>
      <family val="2"/>
      <charset val="136"/>
      <scheme val="minor"/>
    </font>
    <font>
      <b/>
      <sz val="8"/>
      <name val="Arial Unicode MS"/>
      <family val="2"/>
      <charset val="136"/>
    </font>
    <font>
      <sz val="8"/>
      <name val="Arial Unicode MS"/>
      <family val="2"/>
      <charset val="136"/>
    </font>
    <font>
      <b/>
      <i/>
      <sz val="8"/>
      <name val="Arial Unicode MS"/>
      <family val="2"/>
      <charset val="136"/>
    </font>
    <font>
      <sz val="8"/>
      <color theme="1"/>
      <name val="Arial Unicode MS"/>
      <family val="2"/>
      <charset val="136"/>
    </font>
    <font>
      <b/>
      <u val="singleAccounting"/>
      <sz val="8"/>
      <name val="Arial Unicode MS"/>
      <family val="2"/>
      <charset val="136"/>
    </font>
    <font>
      <sz val="10"/>
      <color theme="1"/>
      <name val="Arial Unicode MS"/>
      <family val="2"/>
      <charset val="136"/>
    </font>
    <font>
      <sz val="10"/>
      <color rgb="FF00B0F0"/>
      <name val="Arial"/>
      <family val="2"/>
    </font>
    <font>
      <sz val="10"/>
      <color theme="8"/>
      <name val="Arial"/>
      <family val="2"/>
    </font>
    <font>
      <sz val="10"/>
      <color rgb="FFFF0000"/>
      <name val="Arial"/>
      <family val="2"/>
    </font>
    <font>
      <sz val="10"/>
      <color rgb="FFFF0000"/>
      <name val="Arial Unicode MS"/>
      <family val="2"/>
      <charset val="136"/>
    </font>
    <font>
      <sz val="8"/>
      <color rgb="FF0070C0"/>
      <name val="Arial Unicode MS"/>
      <family val="2"/>
      <charset val="136"/>
    </font>
    <font>
      <b/>
      <sz val="8"/>
      <color theme="1"/>
      <name val="Arial Unicode MS"/>
      <family val="2"/>
      <charset val="136"/>
    </font>
    <font>
      <sz val="8"/>
      <color rgb="FF00B0F0"/>
      <name val="Arial Unicode MS"/>
      <family val="2"/>
      <charset val="136"/>
    </font>
    <font>
      <sz val="8"/>
      <name val="Century Gothic"/>
      <family val="2"/>
    </font>
    <font>
      <b/>
      <sz val="8"/>
      <color rgb="FFFFFF00"/>
      <name val="Arial Unicode MS"/>
      <family val="2"/>
    </font>
    <font>
      <sz val="10"/>
      <color indexed="12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1"/>
      <scheme val="minor"/>
    </font>
    <font>
      <b/>
      <sz val="11"/>
      <color rgb="FFFFFF00"/>
      <name val="Calibri"/>
      <family val="2"/>
      <scheme val="minor"/>
    </font>
    <font>
      <sz val="8"/>
      <color rgb="FF00B050"/>
      <name val="Arial Unicode MS"/>
      <family val="2"/>
      <charset val="136"/>
    </font>
    <font>
      <b/>
      <sz val="10"/>
      <color rgb="FF00B0F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charset val="136"/>
      <scheme val="minor"/>
    </font>
    <font>
      <b/>
      <sz val="11"/>
      <color theme="3"/>
      <name val="Calibri"/>
      <family val="2"/>
      <scheme val="minor"/>
    </font>
    <font>
      <sz val="11"/>
      <name val="Arial"/>
      <family val="2"/>
    </font>
    <font>
      <b/>
      <sz val="10"/>
      <name val="Arial"/>
      <family val="2"/>
    </font>
    <font>
      <u/>
      <sz val="12"/>
      <color indexed="36"/>
      <name val="宋体"/>
      <charset val="136"/>
    </font>
    <font>
      <sz val="9"/>
      <name val="Arial"/>
      <family val="2"/>
    </font>
    <font>
      <sz val="10"/>
      <name val="Frutiger 45 Light"/>
      <family val="2"/>
    </font>
    <font>
      <sz val="10"/>
      <color indexed="16"/>
      <name val="Credit Suisse Type Roman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b/>
      <sz val="22"/>
      <color indexed="18"/>
      <name val="Arial"/>
      <family val="2"/>
    </font>
    <font>
      <sz val="14"/>
      <name val="System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4"/>
      <name val="AngsanaUPC"/>
      <family val="1"/>
      <charset val="222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4"/>
      <color indexed="10"/>
      <name val="Wingdings"/>
      <charset val="2"/>
    </font>
    <font>
      <sz val="10"/>
      <color indexed="53"/>
      <name val="Arial"/>
      <family val="2"/>
    </font>
    <font>
      <sz val="9"/>
      <color rgb="FF9C0006"/>
      <name val="Calibri"/>
      <family val="2"/>
      <scheme val="minor"/>
    </font>
    <font>
      <b/>
      <sz val="18"/>
      <color indexed="58"/>
      <name val="Arial"/>
      <family val="2"/>
    </font>
    <font>
      <sz val="10"/>
      <color indexed="21"/>
      <name val="Arial"/>
      <family val="2"/>
    </font>
    <font>
      <b/>
      <sz val="12"/>
      <name val="Times New Roman"/>
      <family val="1"/>
    </font>
    <font>
      <b/>
      <sz val="10"/>
      <name val="Times New Roman"/>
      <family val="1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sz val="10"/>
      <color indexed="22"/>
      <name val="Arial"/>
      <family val="2"/>
    </font>
    <font>
      <b/>
      <sz val="9"/>
      <color rgb="FFFA7D00"/>
      <name val="Calibri"/>
      <family val="2"/>
      <scheme val="minor"/>
    </font>
    <font>
      <sz val="10"/>
      <color indexed="8"/>
      <name val="Arial"/>
      <family val="2"/>
    </font>
    <font>
      <b/>
      <sz val="9"/>
      <color theme="0"/>
      <name val="Calibri"/>
      <family val="2"/>
      <scheme val="minor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1"/>
      <name val="Tms Rmn"/>
      <family val="1"/>
    </font>
    <font>
      <sz val="11"/>
      <color indexed="8"/>
      <name val="Calibri"/>
      <family val="2"/>
      <charset val="1"/>
    </font>
    <font>
      <sz val="11"/>
      <color theme="1"/>
      <name val="Calibri"/>
      <family val="2"/>
      <charset val="1"/>
      <scheme val="minor"/>
    </font>
    <font>
      <b/>
      <sz val="9.9499999999999993"/>
      <color indexed="8"/>
      <name val="Tahoma"/>
      <family val="2"/>
    </font>
    <font>
      <sz val="11"/>
      <color indexed="8"/>
      <name val="Calibri"/>
      <family val="2"/>
      <charset val="222"/>
    </font>
    <font>
      <sz val="11"/>
      <color theme="1"/>
      <name val="Calibri"/>
      <family val="2"/>
      <charset val="222"/>
      <scheme val="minor"/>
    </font>
    <font>
      <b/>
      <sz val="12"/>
      <color indexed="62"/>
      <name val="Arial"/>
      <family val="2"/>
    </font>
    <font>
      <sz val="10"/>
      <name val="Helv"/>
    </font>
    <font>
      <b/>
      <sz val="10"/>
      <name val="Tms Rmn"/>
    </font>
    <font>
      <sz val="10"/>
      <name val="Goudy SSi"/>
      <family val="1"/>
    </font>
    <font>
      <i/>
      <sz val="9"/>
      <color rgb="FF7F7F7F"/>
      <name val="Calibri"/>
      <family val="2"/>
      <scheme val="minor"/>
    </font>
    <font>
      <u/>
      <sz val="9"/>
      <color theme="7"/>
      <name val="Calibri"/>
      <family val="2"/>
      <scheme val="minor"/>
    </font>
    <font>
      <sz val="8"/>
      <color indexed="12"/>
      <name val="Arial"/>
      <family val="2"/>
    </font>
    <font>
      <sz val="9"/>
      <color rgb="FF006100"/>
      <name val="Calibri"/>
      <family val="2"/>
      <scheme val="minor"/>
    </font>
    <font>
      <b/>
      <sz val="12"/>
      <name val="Helv"/>
    </font>
    <font>
      <b/>
      <sz val="12"/>
      <color indexed="54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theme="3"/>
      <name val="Arial"/>
      <family val="2"/>
    </font>
    <font>
      <sz val="9"/>
      <color theme="3"/>
      <name val="Calibri"/>
      <family val="2"/>
      <scheme val="minor"/>
    </font>
    <font>
      <sz val="9"/>
      <color theme="3"/>
      <name val="Cambria"/>
      <family val="2"/>
      <scheme val="major"/>
    </font>
    <font>
      <b/>
      <i/>
      <sz val="18"/>
      <color indexed="12"/>
      <name val="Goudy SSi"/>
      <family val="1"/>
    </font>
    <font>
      <b/>
      <sz val="16"/>
      <color indexed="12"/>
      <name val="Goudy SSi"/>
      <family val="1"/>
    </font>
    <font>
      <u/>
      <sz val="10"/>
      <color theme="10"/>
      <name val="Arial"/>
      <family val="2"/>
    </font>
    <font>
      <u/>
      <sz val="9"/>
      <color indexed="12"/>
      <name val="Calibri"/>
      <family val="2"/>
      <scheme val="minor"/>
    </font>
    <font>
      <sz val="9"/>
      <color rgb="FF3F3F76"/>
      <name val="Calibri"/>
      <family val="2"/>
      <scheme val="minor"/>
    </font>
    <font>
      <sz val="12"/>
      <name val="Helv"/>
    </font>
    <font>
      <sz val="1"/>
      <color indexed="9"/>
      <name val="Symbol"/>
      <family val="1"/>
      <charset val="2"/>
    </font>
    <font>
      <sz val="9"/>
      <color rgb="FFFA7D00"/>
      <name val="Calibri"/>
      <family val="2"/>
      <scheme val="minor"/>
    </font>
    <font>
      <sz val="9"/>
      <color rgb="FF9C6500"/>
      <name val="Calibri"/>
      <family val="2"/>
      <scheme val="minor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sz val="14"/>
      <name val="Cordia New"/>
      <family val="2"/>
    </font>
    <font>
      <sz val="11"/>
      <color indexed="8"/>
      <name val="Calibri"/>
      <family val="2"/>
      <charset val="1"/>
      <scheme val="minor"/>
    </font>
    <font>
      <sz val="10"/>
      <color theme="1"/>
      <name val="Trebuchet MS"/>
      <family val="2"/>
      <charset val="1"/>
    </font>
    <font>
      <sz val="11"/>
      <color indexed="8"/>
      <name val="Calibri"/>
      <family val="2"/>
      <scheme val="minor"/>
    </font>
    <font>
      <b/>
      <sz val="14"/>
      <name val="Times New Roman"/>
      <family val="1"/>
    </font>
    <font>
      <sz val="9"/>
      <name val="Frutiger 45 Light"/>
      <family val="2"/>
    </font>
    <font>
      <b/>
      <sz val="9"/>
      <color rgb="FF3F3F3F"/>
      <name val="Calibri"/>
      <family val="2"/>
      <scheme val="minor"/>
    </font>
    <font>
      <sz val="22"/>
      <name val="UBSHeadline"/>
      <family val="1"/>
    </font>
    <font>
      <u/>
      <sz val="10"/>
      <name val="Arial"/>
      <family val="2"/>
      <charset val="1"/>
    </font>
    <font>
      <b/>
      <sz val="18"/>
      <color indexed="54"/>
      <name val="Tahoma"/>
      <family val="2"/>
    </font>
    <font>
      <b/>
      <sz val="8"/>
      <color indexed="9"/>
      <name val="Verdana"/>
      <family val="2"/>
    </font>
    <font>
      <b/>
      <sz val="9"/>
      <color theme="4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indexed="56"/>
      <name val="Arial"/>
      <family val="2"/>
    </font>
    <font>
      <b/>
      <sz val="9"/>
      <color theme="1"/>
      <name val="Arial"/>
      <family val="2"/>
    </font>
    <font>
      <sz val="10"/>
      <name val="Genev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8"/>
      <color indexed="8"/>
      <name val="Arial"/>
      <family val="2"/>
    </font>
    <font>
      <b/>
      <sz val="14"/>
      <color indexed="11"/>
      <name val="Wingdings"/>
      <charset val="2"/>
    </font>
    <font>
      <b/>
      <sz val="14"/>
      <color indexed="62"/>
      <name val="Arial"/>
      <family val="2"/>
    </font>
    <font>
      <b/>
      <sz val="13"/>
      <color indexed="8"/>
      <name val="Verdana"/>
      <family val="2"/>
    </font>
    <font>
      <sz val="9"/>
      <color rgb="FFFF0000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MS Sans Serif"/>
      <family val="2"/>
    </font>
    <font>
      <sz val="11"/>
      <color indexed="8"/>
      <name val="新細明體"/>
      <family val="1"/>
    </font>
    <font>
      <sz val="11"/>
      <color indexed="8"/>
      <name val="Tahoma"/>
      <family val="2"/>
    </font>
    <font>
      <sz val="12"/>
      <color indexed="8"/>
      <name val="新細明體"/>
      <family val="1"/>
    </font>
    <font>
      <sz val="11"/>
      <color indexed="9"/>
      <name val="新細明體"/>
      <family val="1"/>
    </font>
    <font>
      <sz val="11"/>
      <color indexed="9"/>
      <name val="Tahoma"/>
      <family val="2"/>
    </font>
    <font>
      <sz val="12"/>
      <color indexed="9"/>
      <name val="新細明體"/>
      <family val="1"/>
    </font>
    <font>
      <sz val="11"/>
      <color indexed="20"/>
      <name val="新細明體"/>
      <family val="1"/>
    </font>
    <font>
      <sz val="11"/>
      <color indexed="20"/>
      <name val="Tahoma"/>
      <family val="2"/>
    </font>
    <font>
      <sz val="10"/>
      <color indexed="20"/>
      <name val="Calibri"/>
      <family val="2"/>
    </font>
    <font>
      <b/>
      <sz val="11"/>
      <color indexed="52"/>
      <name val="新細明體"/>
      <family val="1"/>
    </font>
    <font>
      <b/>
      <sz val="11"/>
      <color indexed="52"/>
      <name val="Tahoma"/>
      <family val="2"/>
    </font>
    <font>
      <b/>
      <sz val="10"/>
      <color indexed="52"/>
      <name val="Calibri"/>
      <family val="2"/>
    </font>
    <font>
      <b/>
      <sz val="11"/>
      <color indexed="9"/>
      <name val="新細明體"/>
      <family val="1"/>
    </font>
    <font>
      <b/>
      <sz val="11"/>
      <color indexed="9"/>
      <name val="Tahoma"/>
      <family val="2"/>
    </font>
    <font>
      <b/>
      <sz val="10"/>
      <color indexed="9"/>
      <name val="Calibri"/>
      <family val="2"/>
    </font>
    <font>
      <sz val="16"/>
      <color indexed="8"/>
      <name val="Cordia New"/>
      <family val="2"/>
    </font>
    <font>
      <sz val="12"/>
      <color indexed="8"/>
      <name val="Arial"/>
      <family val="2"/>
    </font>
    <font>
      <sz val="14"/>
      <name val="AngsanaUPC"/>
      <family val="1"/>
    </font>
    <font>
      <sz val="14"/>
      <name val="Palatino"/>
      <family val="1"/>
    </font>
    <font>
      <sz val="16"/>
      <name val="Palatino"/>
      <family val="1"/>
    </font>
    <font>
      <sz val="32"/>
      <name val="Helvetica-Black"/>
      <family val="2"/>
      <charset val="222"/>
    </font>
    <font>
      <i/>
      <sz val="11"/>
      <color indexed="23"/>
      <name val="新細明體"/>
      <family val="1"/>
    </font>
    <font>
      <i/>
      <sz val="11"/>
      <color indexed="23"/>
      <name val="Tahoma"/>
      <family val="2"/>
    </font>
    <font>
      <i/>
      <sz val="10"/>
      <color indexed="23"/>
      <name val="Calibri"/>
      <family val="2"/>
    </font>
    <font>
      <sz val="6"/>
      <color indexed="23"/>
      <name val="Helvetica-Black"/>
      <family val="2"/>
      <charset val="222"/>
    </font>
    <font>
      <sz val="9.5"/>
      <color indexed="23"/>
      <name val="Helvetica-Black"/>
      <family val="2"/>
      <charset val="222"/>
    </font>
    <font>
      <sz val="7"/>
      <name val="Palatino"/>
      <family val="1"/>
    </font>
    <font>
      <sz val="11"/>
      <color indexed="17"/>
      <name val="新細明體"/>
      <family val="1"/>
    </font>
    <font>
      <sz val="11"/>
      <color indexed="17"/>
      <name val="Tahoma"/>
      <family val="2"/>
    </font>
    <font>
      <sz val="10"/>
      <color indexed="17"/>
      <name val="Calibri"/>
      <family val="2"/>
    </font>
    <font>
      <sz val="6"/>
      <name val="Palatino"/>
      <family val="1"/>
    </font>
    <font>
      <b/>
      <sz val="15"/>
      <color indexed="56"/>
      <name val="新細明體"/>
      <family val="1"/>
    </font>
    <font>
      <b/>
      <sz val="15"/>
      <color indexed="56"/>
      <name val="Tahoma"/>
      <family val="2"/>
    </font>
    <font>
      <b/>
      <sz val="10"/>
      <name val="Calibri"/>
      <family val="2"/>
    </font>
    <font>
      <sz val="10"/>
      <name val="Helvetica-Black"/>
      <family val="2"/>
      <charset val="222"/>
    </font>
    <font>
      <sz val="28"/>
      <name val="Helvetica-Black"/>
      <family val="2"/>
      <charset val="222"/>
    </font>
    <font>
      <b/>
      <sz val="13"/>
      <color indexed="56"/>
      <name val="新細明體"/>
      <family val="1"/>
    </font>
    <font>
      <b/>
      <sz val="13"/>
      <color indexed="56"/>
      <name val="Tahoma"/>
      <family val="2"/>
    </font>
    <font>
      <b/>
      <sz val="10"/>
      <color indexed="55"/>
      <name val="Calibri"/>
      <family val="2"/>
    </font>
    <font>
      <sz val="10"/>
      <name val="Palatino"/>
      <family val="1"/>
    </font>
    <font>
      <sz val="18"/>
      <name val="Palatino"/>
      <family val="1"/>
    </font>
    <font>
      <b/>
      <sz val="11"/>
      <color indexed="56"/>
      <name val="新細明體"/>
      <family val="1"/>
    </font>
    <font>
      <b/>
      <sz val="11"/>
      <color indexed="56"/>
      <name val="Tahoma"/>
      <family val="2"/>
    </font>
    <font>
      <i/>
      <sz val="14"/>
      <name val="Palatino"/>
      <family val="1"/>
    </font>
    <font>
      <u/>
      <sz val="12"/>
      <color indexed="12"/>
      <name val="新細明體"/>
      <family val="1"/>
    </font>
    <font>
      <sz val="11"/>
      <color indexed="62"/>
      <name val="新細明體"/>
      <family val="1"/>
    </font>
    <font>
      <sz val="11"/>
      <color indexed="62"/>
      <name val="Tahoma"/>
      <family val="2"/>
    </font>
    <font>
      <sz val="10"/>
      <color indexed="62"/>
      <name val="Calibri"/>
      <family val="2"/>
    </font>
    <font>
      <i/>
      <sz val="10"/>
      <name val="Helv"/>
      <family val="2"/>
    </font>
    <font>
      <sz val="11"/>
      <color indexed="52"/>
      <name val="新細明體"/>
      <family val="1"/>
    </font>
    <font>
      <sz val="11"/>
      <color indexed="52"/>
      <name val="Tahoma"/>
      <family val="2"/>
    </font>
    <font>
      <sz val="10"/>
      <color indexed="52"/>
      <name val="Calibri"/>
      <family val="2"/>
    </font>
    <font>
      <sz val="11"/>
      <color indexed="60"/>
      <name val="新細明體"/>
      <family val="1"/>
    </font>
    <font>
      <sz val="11"/>
      <color indexed="60"/>
      <name val="Tahoma"/>
      <family val="2"/>
    </font>
    <font>
      <sz val="10"/>
      <color indexed="60"/>
      <name val="Calibri"/>
      <family val="2"/>
    </font>
    <font>
      <sz val="12"/>
      <name val="宋体"/>
      <family val="3"/>
      <charset val="136"/>
    </font>
    <font>
      <sz val="10"/>
      <color indexed="8"/>
      <name val="Calibri"/>
      <family val="2"/>
    </font>
    <font>
      <sz val="11"/>
      <color theme="0"/>
      <name val="Calibri"/>
      <family val="1"/>
      <scheme val="minor"/>
    </font>
    <font>
      <sz val="11"/>
      <color theme="0"/>
      <name val="Calibri"/>
      <family val="2"/>
    </font>
    <font>
      <sz val="11"/>
      <color rgb="FF9C0006"/>
      <name val="Calibri"/>
      <family val="1"/>
      <scheme val="minor"/>
    </font>
    <font>
      <sz val="11"/>
      <color rgb="FF9C0006"/>
      <name val="Calibri"/>
      <family val="2"/>
    </font>
    <font>
      <b/>
      <sz val="11"/>
      <color rgb="FFFA7D00"/>
      <name val="Calibri"/>
      <family val="1"/>
      <scheme val="minor"/>
    </font>
    <font>
      <b/>
      <sz val="11"/>
      <color rgb="FFFA7D00"/>
      <name val="Calibri"/>
      <family val="2"/>
    </font>
    <font>
      <b/>
      <sz val="11"/>
      <color theme="0"/>
      <name val="Calibri"/>
      <family val="1"/>
      <scheme val="minor"/>
    </font>
    <font>
      <b/>
      <sz val="11"/>
      <color theme="0"/>
      <name val="Calibri"/>
      <family val="2"/>
    </font>
    <font>
      <i/>
      <sz val="11"/>
      <color rgb="FF7F7F7F"/>
      <name val="Calibri"/>
      <family val="1"/>
      <scheme val="minor"/>
    </font>
    <font>
      <i/>
      <sz val="11"/>
      <color rgb="FF7F7F7F"/>
      <name val="Calibri"/>
      <family val="2"/>
    </font>
    <font>
      <sz val="11"/>
      <color rgb="FF006100"/>
      <name val="Calibri"/>
      <family val="1"/>
      <scheme val="minor"/>
    </font>
    <font>
      <sz val="11"/>
      <color rgb="FF006100"/>
      <name val="Calibri"/>
      <family val="2"/>
    </font>
    <font>
      <b/>
      <sz val="15"/>
      <color theme="3"/>
      <name val="Calibri"/>
      <family val="1"/>
      <scheme val="minor"/>
    </font>
    <font>
      <b/>
      <sz val="15"/>
      <color theme="3"/>
      <name val="Calibri"/>
      <family val="2"/>
    </font>
    <font>
      <b/>
      <sz val="13"/>
      <color theme="3"/>
      <name val="Calibri"/>
      <family val="1"/>
      <scheme val="minor"/>
    </font>
    <font>
      <b/>
      <sz val="13"/>
      <color theme="3"/>
      <name val="Calibri"/>
      <family val="2"/>
    </font>
    <font>
      <b/>
      <sz val="11"/>
      <color theme="3"/>
      <name val="Calibri"/>
      <family val="1"/>
      <scheme val="minor"/>
    </font>
    <font>
      <b/>
      <sz val="11"/>
      <color theme="3"/>
      <name val="Calibri"/>
      <family val="2"/>
    </font>
    <font>
      <sz val="11"/>
      <color rgb="FF3F3F76"/>
      <name val="Calibri"/>
      <family val="1"/>
      <scheme val="minor"/>
    </font>
    <font>
      <sz val="11"/>
      <color rgb="FF3F3F76"/>
      <name val="Calibri"/>
      <family val="2"/>
    </font>
    <font>
      <sz val="11"/>
      <color rgb="FFFA7D00"/>
      <name val="Calibri"/>
      <family val="1"/>
      <scheme val="minor"/>
    </font>
    <font>
      <sz val="11"/>
      <color rgb="FFFA7D00"/>
      <name val="Calibri"/>
      <family val="2"/>
    </font>
    <font>
      <sz val="11"/>
      <color rgb="FF9C6500"/>
      <name val="Calibri"/>
      <family val="1"/>
      <scheme val="minor"/>
    </font>
    <font>
      <sz val="11"/>
      <color rgb="FF9C6500"/>
      <name val="Calibri"/>
      <family val="2"/>
    </font>
    <font>
      <sz val="11"/>
      <color theme="1"/>
      <name val="新細明體"/>
      <family val="1"/>
    </font>
    <font>
      <b/>
      <sz val="12"/>
      <color indexed="10"/>
      <name val="Swis721 Cn BT"/>
    </font>
    <font>
      <b/>
      <sz val="12"/>
      <color indexed="10"/>
      <name val="Helv"/>
    </font>
    <font>
      <u/>
      <sz val="12"/>
      <color indexed="12"/>
      <name val="ËÎÌå"/>
      <family val="2"/>
      <charset val="134"/>
    </font>
    <font>
      <sz val="12"/>
      <name val="?Ia"/>
      <family val="2"/>
      <charset val="134"/>
    </font>
    <font>
      <u/>
      <sz val="12"/>
      <color indexed="36"/>
      <name val="ËÎÌå"/>
      <family val="2"/>
      <charset val="134"/>
    </font>
    <font>
      <u/>
      <sz val="12"/>
      <color indexed="36"/>
      <name val="宋体"/>
      <charset val="136"/>
    </font>
    <font>
      <u/>
      <sz val="12"/>
      <color indexed="12"/>
      <name val="宋体"/>
      <charset val="136"/>
    </font>
    <font>
      <u/>
      <sz val="12"/>
      <color indexed="12"/>
      <name val="ËÎÌå"/>
      <family val="2"/>
    </font>
    <font>
      <u/>
      <sz val="12"/>
      <color indexed="36"/>
      <name val="ËÎÌå"/>
      <family val="2"/>
    </font>
    <font>
      <sz val="8"/>
      <color rgb="FFFF0000"/>
      <name val="Arial Unicode MS"/>
      <family val="2"/>
      <charset val="136"/>
    </font>
    <font>
      <b/>
      <sz val="8"/>
      <color rgb="FFFF0000"/>
      <name val="Arial Unicode MS"/>
      <family val="2"/>
      <charset val="136"/>
    </font>
    <font>
      <sz val="8"/>
      <color rgb="FFFF0000"/>
      <name val="Arial Unicode MS"/>
      <family val="2"/>
    </font>
    <font>
      <b/>
      <u/>
      <sz val="8"/>
      <name val="Arial Unicode MS"/>
      <family val="2"/>
      <charset val="136"/>
    </font>
    <font>
      <b/>
      <sz val="24"/>
      <color indexed="9"/>
      <name val="Calibri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i/>
      <sz val="11"/>
      <name val="Calibri"/>
      <family val="2"/>
    </font>
    <font>
      <i/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136"/>
      <scheme val="minor"/>
    </font>
    <font>
      <b/>
      <sz val="16"/>
      <color indexed="9"/>
      <name val="Calibri"/>
      <family val="2"/>
    </font>
    <font>
      <sz val="11"/>
      <color rgb="FF00B0F0"/>
      <name val="Calibri"/>
      <family val="2"/>
      <scheme val="minor"/>
    </font>
    <font>
      <b/>
      <i/>
      <sz val="11"/>
      <color rgb="FF00B0F0"/>
      <name val="Calibri"/>
      <family val="2"/>
    </font>
    <font>
      <sz val="11"/>
      <color rgb="FF00B0F0"/>
      <name val="Calibri"/>
      <family val="2"/>
    </font>
    <font>
      <i/>
      <sz val="11"/>
      <color rgb="FF00B0F0"/>
      <name val="Calibri"/>
      <family val="2"/>
    </font>
    <font>
      <b/>
      <sz val="8"/>
      <name val="Arial Unicode MS"/>
      <family val="2"/>
    </font>
    <font>
      <b/>
      <sz val="8"/>
      <color theme="4" tint="-0.249977111117893"/>
      <name val="Arial Unicode MS"/>
      <family val="2"/>
    </font>
    <font>
      <b/>
      <i/>
      <sz val="8"/>
      <name val="Arial"/>
      <family val="2"/>
    </font>
    <font>
      <b/>
      <u val="singleAccounting"/>
      <sz val="8"/>
      <name val="Arial"/>
      <family val="2"/>
    </font>
    <font>
      <b/>
      <u val="singleAccounting"/>
      <sz val="7"/>
      <name val="Arial"/>
      <family val="2"/>
    </font>
    <font>
      <b/>
      <sz val="8"/>
      <name val="Arial"/>
      <family val="2"/>
    </font>
    <font>
      <b/>
      <i/>
      <sz val="8"/>
      <color theme="1"/>
      <name val="Arial"/>
      <family val="2"/>
    </font>
    <font>
      <sz val="8"/>
      <color theme="1"/>
      <name val="Arial"/>
      <family val="2"/>
    </font>
    <font>
      <sz val="8"/>
      <color rgb="FF00B0F0"/>
      <name val="Arial"/>
      <family val="2"/>
    </font>
    <font>
      <b/>
      <u val="singleAccounting"/>
      <sz val="12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1"/>
      <charset val="136"/>
      <scheme val="minor"/>
    </font>
    <font>
      <sz val="11"/>
      <color rgb="FF000000"/>
      <name val="新細明體"/>
    </font>
    <font>
      <sz val="10"/>
      <color theme="5" tint="-0.249977111117893"/>
      <name val="Arial"/>
      <family val="2"/>
    </font>
    <font>
      <sz val="14"/>
      <color rgb="FF000000"/>
      <name val="Calibri"/>
      <family val="2"/>
    </font>
    <font>
      <sz val="11"/>
      <color theme="0"/>
      <name val="Calibri"/>
      <family val="1"/>
      <charset val="136"/>
      <scheme val="minor"/>
    </font>
    <font>
      <sz val="11"/>
      <color rgb="FF9C0006"/>
      <name val="Calibri"/>
      <family val="1"/>
      <charset val="136"/>
      <scheme val="minor"/>
    </font>
    <font>
      <b/>
      <sz val="11"/>
      <color rgb="FFFA7D00"/>
      <name val="Calibri"/>
      <family val="1"/>
      <charset val="136"/>
      <scheme val="minor"/>
    </font>
    <font>
      <b/>
      <sz val="11"/>
      <color theme="0"/>
      <name val="Calibri"/>
      <family val="1"/>
      <charset val="136"/>
      <scheme val="minor"/>
    </font>
    <font>
      <i/>
      <sz val="11"/>
      <color rgb="FF7F7F7F"/>
      <name val="Calibri"/>
      <family val="1"/>
      <charset val="136"/>
      <scheme val="minor"/>
    </font>
    <font>
      <sz val="11"/>
      <color rgb="FF006100"/>
      <name val="Calibri"/>
      <family val="1"/>
      <charset val="136"/>
      <scheme val="minor"/>
    </font>
    <font>
      <b/>
      <sz val="15"/>
      <color theme="3"/>
      <name val="Calibri"/>
      <family val="1"/>
      <charset val="136"/>
      <scheme val="minor"/>
    </font>
    <font>
      <b/>
      <sz val="13"/>
      <color theme="3"/>
      <name val="Calibri"/>
      <family val="1"/>
      <charset val="136"/>
      <scheme val="minor"/>
    </font>
    <font>
      <b/>
      <sz val="11"/>
      <color theme="3"/>
      <name val="Calibri"/>
      <family val="1"/>
      <charset val="136"/>
      <scheme val="minor"/>
    </font>
    <font>
      <sz val="11"/>
      <color rgb="FF3F3F76"/>
      <name val="Calibri"/>
      <family val="1"/>
      <charset val="136"/>
      <scheme val="minor"/>
    </font>
    <font>
      <sz val="11"/>
      <color rgb="FFFA7D00"/>
      <name val="Calibri"/>
      <family val="1"/>
      <charset val="136"/>
      <scheme val="minor"/>
    </font>
    <font>
      <sz val="11"/>
      <color rgb="FF9C6500"/>
      <name val="Calibri"/>
      <family val="1"/>
      <charset val="136"/>
      <scheme val="minor"/>
    </font>
    <font>
      <sz val="12"/>
      <color theme="1"/>
      <name val="Calibri"/>
      <family val="1"/>
      <charset val="136"/>
      <scheme val="minor"/>
    </font>
    <font>
      <b/>
      <sz val="11"/>
      <color rgb="FF3F3F3F"/>
      <name val="Calibri"/>
      <family val="1"/>
      <charset val="136"/>
      <scheme val="minor"/>
    </font>
    <font>
      <b/>
      <sz val="18"/>
      <color theme="3"/>
      <name val="Cambria"/>
      <family val="1"/>
      <charset val="136"/>
      <scheme val="major"/>
    </font>
    <font>
      <sz val="11"/>
      <color rgb="FFFF0000"/>
      <name val="Calibri"/>
      <family val="1"/>
      <charset val="136"/>
      <scheme val="minor"/>
    </font>
    <font>
      <sz val="10"/>
      <name val="Calibri"/>
      <family val="2"/>
    </font>
    <font>
      <sz val="8"/>
      <color theme="0" tint="-4.9989318521683403E-2"/>
      <name val="Arial Unicode MS"/>
      <family val="2"/>
      <charset val="136"/>
    </font>
  </fonts>
  <fills count="10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lightGray">
        <fgColor indexed="13"/>
        <bgColor indexed="9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1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1"/>
        <bgColor indexed="64"/>
      </patternFill>
    </fill>
    <fill>
      <patternFill patternType="gray125">
        <fgColor indexed="8"/>
      </patternFill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CC"/>
      </patternFill>
    </fill>
  </fills>
  <borders count="5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24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/>
      <right/>
      <top style="hair">
        <color indexed="47"/>
      </top>
      <bottom style="hair">
        <color indexed="47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/>
      <bottom style="medium">
        <color theme="3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3"/>
      </bottom>
      <diagonal/>
    </border>
    <border>
      <left style="thick">
        <color indexed="9"/>
      </left>
      <right style="thick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3"/>
      </top>
      <bottom/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3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5186">
    <xf numFmtId="0" fontId="0" fillId="0" borderId="0">
      <alignment vertical="center"/>
    </xf>
    <xf numFmtId="0" fontId="12" fillId="0" borderId="0"/>
    <xf numFmtId="0" fontId="13" fillId="0" borderId="0" applyNumberFormat="0" applyFill="0" applyBorder="0" applyAlignment="0" applyProtection="0"/>
    <xf numFmtId="167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166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2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173" fontId="20" fillId="0" borderId="0"/>
    <xf numFmtId="0" fontId="21" fillId="0" borderId="0" applyNumberFormat="0" applyFill="0" applyBorder="0" applyAlignment="0" applyProtection="0">
      <alignment vertical="top"/>
      <protection locked="0"/>
    </xf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15" fillId="0" borderId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12" fillId="21" borderId="0" applyNumberFormat="0" applyProtection="0">
      <alignment horizontal="center"/>
      <protection locked="0" hidden="1"/>
    </xf>
    <xf numFmtId="9" fontId="24" fillId="0" borderId="0" applyFon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174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176" fontId="30" fillId="0" borderId="0"/>
    <xf numFmtId="177" fontId="31" fillId="24" borderId="0" applyFill="0">
      <alignment horizontal="left" vertical="top"/>
      <protection locked="0"/>
    </xf>
    <xf numFmtId="178" fontId="30" fillId="0" borderId="0"/>
    <xf numFmtId="179" fontId="32" fillId="0" borderId="0" applyFont="0" applyFill="0" applyBorder="0">
      <alignment horizontal="left" vertical="top" wrapText="1"/>
      <protection locked="0"/>
    </xf>
    <xf numFmtId="180" fontId="30" fillId="0" borderId="0"/>
    <xf numFmtId="0" fontId="33" fillId="0" borderId="0" applyNumberFormat="0" applyFill="0" applyBorder="0" applyAlignment="0" applyProtection="0"/>
    <xf numFmtId="181" fontId="12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38" fontId="36" fillId="25" borderId="0" applyNumberFormat="0" applyBorder="0" applyAlignment="0" applyProtection="0"/>
    <xf numFmtId="0" fontId="37" fillId="0" borderId="3" applyNumberFormat="0" applyAlignment="0" applyProtection="0">
      <alignment horizontal="left" vertical="center"/>
    </xf>
    <xf numFmtId="0" fontId="37" fillId="0" borderId="4">
      <alignment horizontal="left" vertical="center"/>
    </xf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>
      <alignment vertical="top"/>
      <protection locked="0"/>
    </xf>
    <xf numFmtId="0" fontId="42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0" fontId="36" fillId="26" borderId="8" applyNumberFormat="0" applyBorder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38" fontId="45" fillId="0" borderId="0" applyFont="0" applyFill="0" applyBorder="0" applyAlignment="0" applyProtection="0"/>
    <xf numFmtId="40" fontId="45" fillId="0" borderId="0" applyFont="0" applyFill="0" applyBorder="0" applyAlignment="0" applyProtection="0"/>
    <xf numFmtId="38" fontId="46" fillId="0" borderId="0"/>
    <xf numFmtId="164" fontId="45" fillId="0" borderId="0" applyFont="0" applyFill="0" applyBorder="0" applyAlignment="0" applyProtection="0"/>
    <xf numFmtId="165" fontId="45" fillId="0" borderId="0" applyFont="0" applyFill="0" applyBorder="0" applyAlignment="0" applyProtection="0"/>
    <xf numFmtId="164" fontId="45" fillId="0" borderId="0" applyFont="0" applyFill="0" applyBorder="0" applyAlignment="0" applyProtection="0"/>
    <xf numFmtId="165" fontId="45" fillId="0" borderId="0" applyFont="0" applyFill="0" applyBorder="0" applyAlignment="0" applyProtection="0"/>
    <xf numFmtId="164" fontId="45" fillId="0" borderId="0" applyFont="0" applyFill="0" applyBorder="0" applyAlignment="0" applyProtection="0"/>
    <xf numFmtId="165" fontId="45" fillId="0" borderId="0" applyFont="0" applyFill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37" fontId="48" fillId="0" borderId="0"/>
    <xf numFmtId="182" fontId="12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183" fontId="4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184" fontId="50" fillId="0" borderId="0" applyFont="0">
      <alignment horizontal="right"/>
      <protection locked="0"/>
    </xf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15" fillId="0" borderId="0"/>
    <xf numFmtId="0" fontId="52" fillId="0" borderId="0"/>
    <xf numFmtId="43" fontId="52" fillId="0" borderId="0" applyFont="0" applyFill="0" applyBorder="0" applyAlignment="0" applyProtection="0"/>
    <xf numFmtId="0" fontId="53" fillId="0" borderId="0" applyNumberFormat="0" applyFill="0" applyBorder="0" applyAlignment="0" applyProtection="0">
      <alignment vertical="top"/>
      <protection locked="0"/>
    </xf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10" fontId="12" fillId="0" borderId="0" applyFont="0" applyFill="0" applyBorder="0" applyAlignment="0" applyProtection="0"/>
    <xf numFmtId="9" fontId="29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45" fillId="0" borderId="12" applyNumberFormat="0" applyBorder="0"/>
    <xf numFmtId="0" fontId="45" fillId="0" borderId="0" applyNumberFormat="0" applyFont="0" applyFill="0" applyBorder="0" applyAlignment="0" applyProtection="0">
      <alignment horizontal="left"/>
    </xf>
    <xf numFmtId="15" fontId="45" fillId="0" borderId="0" applyFont="0" applyFill="0" applyBorder="0" applyAlignment="0" applyProtection="0"/>
    <xf numFmtId="0" fontId="55" fillId="0" borderId="13">
      <alignment horizontal="center"/>
    </xf>
    <xf numFmtId="0" fontId="45" fillId="29" borderId="0" applyNumberFormat="0" applyFont="0" applyBorder="0" applyAlignment="0" applyProtection="0"/>
    <xf numFmtId="40" fontId="32" fillId="0" borderId="0" applyFont="0">
      <protection locked="0"/>
    </xf>
    <xf numFmtId="0" fontId="46" fillId="0" borderId="14"/>
    <xf numFmtId="0" fontId="46" fillId="0" borderId="14"/>
    <xf numFmtId="0" fontId="46" fillId="0" borderId="14"/>
    <xf numFmtId="0" fontId="46" fillId="0" borderId="14"/>
    <xf numFmtId="0" fontId="46" fillId="0" borderId="14"/>
    <xf numFmtId="0" fontId="46" fillId="0" borderId="14"/>
    <xf numFmtId="0" fontId="46" fillId="0" borderId="14"/>
    <xf numFmtId="0" fontId="46" fillId="0" borderId="14"/>
    <xf numFmtId="0" fontId="46" fillId="0" borderId="14"/>
    <xf numFmtId="0" fontId="46" fillId="0" borderId="14"/>
    <xf numFmtId="0" fontId="46" fillId="0" borderId="14"/>
    <xf numFmtId="0" fontId="37" fillId="30" borderId="0"/>
    <xf numFmtId="0" fontId="56" fillId="30" borderId="0"/>
    <xf numFmtId="0" fontId="57" fillId="0" borderId="15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179" fontId="32" fillId="0" borderId="0" applyFont="0">
      <protection locked="0"/>
    </xf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46" fillId="0" borderId="16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179" fontId="32" fillId="0" borderId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179" fontId="32" fillId="0" borderId="0" applyFont="0">
      <alignment horizontal="center"/>
      <protection locked="0"/>
    </xf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52" fillId="0" borderId="0"/>
    <xf numFmtId="0" fontId="12" fillId="0" borderId="0"/>
    <xf numFmtId="0" fontId="61" fillId="0" borderId="0" applyFont="0" applyFill="0" applyBorder="0" applyAlignment="0" applyProtection="0"/>
    <xf numFmtId="185" fontId="15" fillId="0" borderId="0" applyFont="0" applyFill="0" applyBorder="0" applyAlignment="0" applyProtection="0"/>
    <xf numFmtId="41" fontId="52" fillId="0" borderId="0" applyFont="0" applyFill="0" applyBorder="0" applyAlignment="0" applyProtection="0"/>
    <xf numFmtId="43" fontId="52" fillId="0" borderId="0" applyFont="0" applyFill="0" applyBorder="0" applyAlignment="0" applyProtection="0"/>
    <xf numFmtId="0" fontId="12" fillId="0" borderId="0"/>
    <xf numFmtId="37" fontId="20" fillId="0" borderId="0"/>
    <xf numFmtId="41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0" fontId="15" fillId="0" borderId="0"/>
    <xf numFmtId="0" fontId="62" fillId="0" borderId="0" applyFont="0" applyFill="0" applyBorder="0" applyAlignment="0" applyProtection="0"/>
    <xf numFmtId="185" fontId="15" fillId="0" borderId="0" applyFont="0" applyFill="0" applyBorder="0" applyAlignment="0" applyProtection="0"/>
    <xf numFmtId="41" fontId="52" fillId="0" borderId="0" applyFont="0" applyFill="0" applyBorder="0" applyAlignment="0" applyProtection="0"/>
    <xf numFmtId="43" fontId="52" fillId="0" borderId="0" applyFont="0" applyFill="0" applyBorder="0" applyAlignment="0" applyProtection="0"/>
    <xf numFmtId="0" fontId="12" fillId="0" borderId="0"/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5" fillId="0" borderId="0"/>
    <xf numFmtId="42" fontId="52" fillId="0" borderId="0" applyFont="0" applyFill="0" applyBorder="0" applyAlignment="0" applyProtection="0"/>
    <xf numFmtId="42" fontId="12" fillId="0" borderId="0" applyFont="0" applyFill="0" applyBorder="0" applyAlignment="0" applyProtection="0"/>
    <xf numFmtId="44" fontId="52" fillId="0" borderId="0" applyFont="0" applyFill="0" applyBorder="0" applyAlignment="0" applyProtection="0"/>
    <xf numFmtId="0" fontId="12" fillId="0" borderId="0"/>
    <xf numFmtId="0" fontId="64" fillId="0" borderId="0" applyFont="0" applyFill="0" applyBorder="0" applyAlignment="0" applyProtection="0"/>
    <xf numFmtId="0" fontId="15" fillId="0" borderId="0"/>
    <xf numFmtId="0" fontId="65" fillId="0" borderId="0" applyNumberFormat="0" applyFill="0" applyBorder="0" applyAlignment="0" applyProtection="0">
      <alignment vertical="top"/>
      <protection locked="0"/>
    </xf>
    <xf numFmtId="37" fontId="20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6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9" fontId="67" fillId="0" borderId="0" applyFont="0" applyFill="0" applyBorder="0" applyAlignment="0" applyProtection="0"/>
    <xf numFmtId="0" fontId="68" fillId="0" borderId="0" applyNumberFormat="0" applyFill="0" applyBorder="0" applyAlignment="0" applyProtection="0">
      <alignment vertical="top"/>
      <protection locked="0"/>
    </xf>
    <xf numFmtId="186" fontId="15" fillId="0" borderId="0" applyFont="0" applyFill="0" applyBorder="0" applyAlignment="0" applyProtection="0"/>
    <xf numFmtId="187" fontId="15" fillId="0" borderId="0" applyFont="0" applyFill="0" applyBorder="0" applyAlignment="0" applyProtection="0"/>
    <xf numFmtId="0" fontId="69" fillId="0" borderId="0" applyNumberFormat="0" applyFill="0" applyBorder="0" applyAlignment="0" applyProtection="0">
      <alignment vertical="top"/>
      <protection locked="0"/>
    </xf>
    <xf numFmtId="9" fontId="70" fillId="0" borderId="0" applyFont="0" applyFill="0" applyBorder="0" applyAlignment="0" applyProtection="0"/>
    <xf numFmtId="0" fontId="71" fillId="0" borderId="0" applyNumberFormat="0" applyFill="0" applyBorder="0" applyAlignment="0" applyProtection="0">
      <alignment vertical="top"/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45" fillId="0" borderId="0" applyFont="0" applyFill="0" applyBorder="0" applyAlignment="0" applyProtection="0"/>
    <xf numFmtId="0" fontId="15" fillId="0" borderId="0" applyFont="0" applyFill="0" applyBorder="0" applyAlignment="0" applyProtection="0"/>
    <xf numFmtId="0" fontId="45" fillId="0" borderId="0" applyFont="0" applyFill="0" applyBorder="0" applyAlignment="0" applyProtection="0"/>
    <xf numFmtId="42" fontId="52" fillId="0" borderId="0" applyFont="0" applyFill="0" applyBorder="0" applyAlignment="0" applyProtection="0"/>
    <xf numFmtId="44" fontId="5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43" fontId="29" fillId="0" borderId="0" applyFont="0" applyFill="0" applyBorder="0" applyAlignment="0" applyProtection="0">
      <alignment vertical="center"/>
    </xf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90" fillId="0" borderId="0"/>
    <xf numFmtId="0" fontId="12" fillId="0" borderId="0"/>
    <xf numFmtId="0" fontId="91" fillId="0" borderId="0"/>
    <xf numFmtId="0" fontId="91" fillId="0" borderId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192" fontId="89" fillId="0" borderId="0">
      <alignment horizontal="right"/>
    </xf>
    <xf numFmtId="43" fontId="97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0" fillId="0" borderId="0"/>
    <xf numFmtId="0" fontId="19" fillId="0" borderId="0"/>
    <xf numFmtId="0" fontId="224" fillId="0" borderId="24" applyNumberFormat="0" applyFill="0" applyAlignment="0" applyProtection="0"/>
    <xf numFmtId="0" fontId="260" fillId="0" borderId="25" applyNumberFormat="0" applyFill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3" fillId="8" borderId="1" applyNumberFormat="0" applyAlignment="0" applyProtection="0"/>
    <xf numFmtId="0" fontId="267" fillId="43" borderId="28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91" fillId="0" borderId="0"/>
    <xf numFmtId="0" fontId="19" fillId="0" borderId="0"/>
    <xf numFmtId="0" fontId="91" fillId="0" borderId="0"/>
    <xf numFmtId="0" fontId="1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12" fillId="0" borderId="0"/>
    <xf numFmtId="0" fontId="247" fillId="0" borderId="0"/>
    <xf numFmtId="0" fontId="163" fillId="0" borderId="0"/>
    <xf numFmtId="0" fontId="247" fillId="0" borderId="0"/>
    <xf numFmtId="0" fontId="12" fillId="0" borderId="0"/>
    <xf numFmtId="0" fontId="163" fillId="0" borderId="0"/>
    <xf numFmtId="0" fontId="9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223" fillId="0" borderId="5" applyNumberFormat="0" applyFill="0" applyAlignment="0" applyProtection="0"/>
    <xf numFmtId="0" fontId="29" fillId="0" borderId="0">
      <alignment vertical="center"/>
    </xf>
    <xf numFmtId="0" fontId="219" fillId="5" borderId="0" applyNumberFormat="0" applyBorder="0" applyAlignment="0" applyProtection="0"/>
    <xf numFmtId="0" fontId="210" fillId="0" borderId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3" fillId="0" borderId="0" applyFont="0" applyFill="0" applyBorder="0" applyAlignment="0" applyProtection="0">
      <alignment vertical="center"/>
    </xf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91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70" fontId="191" fillId="0" borderId="0" applyFont="0" applyFill="0" applyBorder="0" applyAlignment="0" applyProtection="0"/>
    <xf numFmtId="170" fontId="191" fillId="0" borderId="0" applyFont="0" applyFill="0" applyBorder="0" applyAlignment="0" applyProtection="0"/>
    <xf numFmtId="170" fontId="191" fillId="0" borderId="0" applyFont="0" applyFill="0" applyBorder="0" applyAlignment="0" applyProtection="0"/>
    <xf numFmtId="166" fontId="19" fillId="0" borderId="0" applyFont="0" applyFill="0" applyBorder="0" applyAlignment="0" applyProtection="0"/>
    <xf numFmtId="0" fontId="204" fillId="23" borderId="2" applyNumberFormat="0" applyAlignment="0" applyProtection="0"/>
    <xf numFmtId="0" fontId="204" fillId="23" borderId="2" applyNumberFormat="0" applyAlignment="0" applyProtection="0"/>
    <xf numFmtId="0" fontId="204" fillId="23" borderId="2" applyNumberFormat="0" applyAlignment="0" applyProtection="0"/>
    <xf numFmtId="0" fontId="204" fillId="23" borderId="2" applyNumberFormat="0" applyAlignment="0" applyProtection="0"/>
    <xf numFmtId="0" fontId="254" fillId="45" borderId="31" applyNumberFormat="0" applyAlignment="0" applyProtection="0"/>
    <xf numFmtId="0" fontId="204" fillId="23" borderId="2" applyNumberFormat="0" applyAlignment="0" applyProtection="0"/>
    <xf numFmtId="0" fontId="205" fillId="23" borderId="2" applyNumberFormat="0" applyAlignment="0" applyProtection="0"/>
    <xf numFmtId="0" fontId="254" fillId="45" borderId="3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52" fillId="44" borderId="28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53" fillId="44" borderId="28" applyNumberFormat="0" applyAlignment="0" applyProtection="0"/>
    <xf numFmtId="0" fontId="253" fillId="44" borderId="28" applyNumberFormat="0" applyAlignment="0" applyProtection="0"/>
    <xf numFmtId="0" fontId="27" fillId="22" borderId="1" applyNumberFormat="0" applyAlignment="0" applyProtection="0"/>
    <xf numFmtId="0" fontId="200" fillId="22" borderId="1" applyNumberFormat="0" applyAlignment="0" applyProtection="0">
      <alignment vertical="center"/>
    </xf>
    <xf numFmtId="0" fontId="252" fillId="44" borderId="28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9" fontId="29" fillId="0" borderId="0" applyFont="0" applyFill="0" applyBorder="0" applyAlignment="0" applyProtection="0">
      <alignment vertical="center"/>
    </xf>
    <xf numFmtId="0" fontId="105" fillId="0" borderId="0" applyNumberFormat="0">
      <protection locked="0"/>
    </xf>
    <xf numFmtId="0" fontId="198" fillId="4" borderId="0" applyNumberFormat="0" applyBorder="0" applyAlignment="0" applyProtection="0"/>
    <xf numFmtId="0" fontId="198" fillId="4" borderId="0" applyNumberFormat="0" applyBorder="0" applyAlignment="0" applyProtection="0"/>
    <xf numFmtId="0" fontId="198" fillId="4" borderId="0" applyNumberFormat="0" applyBorder="0" applyAlignment="0" applyProtection="0"/>
    <xf numFmtId="0" fontId="198" fillId="4" borderId="0" applyNumberFormat="0" applyBorder="0" applyAlignment="0" applyProtection="0"/>
    <xf numFmtId="0" fontId="250" fillId="41" borderId="0" applyNumberFormat="0" applyBorder="0" applyAlignment="0" applyProtection="0"/>
    <xf numFmtId="0" fontId="198" fillId="4" borderId="0" applyNumberFormat="0" applyBorder="0" applyAlignment="0" applyProtection="0"/>
    <xf numFmtId="0" fontId="199" fillId="4" borderId="0" applyNumberFormat="0" applyBorder="0" applyAlignment="0" applyProtection="0"/>
    <xf numFmtId="0" fontId="250" fillId="41" borderId="0" applyNumberFormat="0" applyBorder="0" applyAlignment="0" applyProtection="0"/>
    <xf numFmtId="0" fontId="197" fillId="4" borderId="0" applyNumberFormat="0" applyBorder="0" applyAlignment="0" applyProtection="0">
      <alignment vertical="center"/>
    </xf>
    <xf numFmtId="0" fontId="277" fillId="0" borderId="0" applyNumberFormat="0" applyFill="0" applyBorder="0" applyAlignment="0" applyProtection="0">
      <alignment vertical="top"/>
      <protection locked="0"/>
    </xf>
    <xf numFmtId="0" fontId="12" fillId="21" borderId="0" applyNumberFormat="0" applyProtection="0">
      <alignment horizontal="center"/>
      <protection locked="0" hidden="1"/>
    </xf>
    <xf numFmtId="0" fontId="280" fillId="0" borderId="0" applyNumberFormat="0" applyFill="0" applyBorder="0" applyAlignment="0" applyProtection="0">
      <alignment vertical="top"/>
      <protection locked="0"/>
    </xf>
    <xf numFmtId="0" fontId="280" fillId="0" borderId="0" applyNumberFormat="0" applyFill="0" applyBorder="0" applyAlignment="0" applyProtection="0">
      <alignment vertical="top"/>
      <protection locked="0"/>
    </xf>
    <xf numFmtId="0" fontId="195" fillId="20" borderId="0" applyNumberFormat="0" applyBorder="0" applyAlignment="0" applyProtection="0"/>
    <xf numFmtId="0" fontId="195" fillId="20" borderId="0" applyNumberFormat="0" applyBorder="0" applyAlignment="0" applyProtection="0"/>
    <xf numFmtId="0" fontId="249" fillId="66" borderId="0" applyNumberFormat="0" applyBorder="0" applyAlignment="0" applyProtection="0"/>
    <xf numFmtId="0" fontId="249" fillId="66" borderId="0" applyNumberFormat="0" applyBorder="0" applyAlignment="0" applyProtection="0"/>
    <xf numFmtId="0" fontId="194" fillId="20" borderId="0" applyNumberFormat="0" applyBorder="0" applyAlignment="0" applyProtection="0">
      <alignment vertical="center"/>
    </xf>
    <xf numFmtId="0" fontId="248" fillId="66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249" fillId="62" borderId="0" applyNumberFormat="0" applyBorder="0" applyAlignment="0" applyProtection="0"/>
    <xf numFmtId="0" fontId="249" fillId="62" borderId="0" applyNumberFormat="0" applyBorder="0" applyAlignment="0" applyProtection="0"/>
    <xf numFmtId="0" fontId="195" fillId="14" borderId="0" applyNumberFormat="0" applyBorder="0" applyAlignment="0" applyProtection="0"/>
    <xf numFmtId="0" fontId="195" fillId="14" borderId="0" applyNumberFormat="0" applyBorder="0" applyAlignment="0" applyProtection="0"/>
    <xf numFmtId="0" fontId="248" fillId="58" borderId="0" applyNumberFormat="0" applyBorder="0" applyAlignment="0" applyProtection="0"/>
    <xf numFmtId="0" fontId="249" fillId="58" borderId="0" applyNumberFormat="0" applyBorder="0" applyAlignment="0" applyProtection="0"/>
    <xf numFmtId="0" fontId="248" fillId="58" borderId="0" applyNumberFormat="0" applyBorder="0" applyAlignment="0" applyProtection="0"/>
    <xf numFmtId="0" fontId="248" fillId="58" borderId="0" applyNumberFormat="0" applyBorder="0" applyAlignment="0" applyProtection="0"/>
    <xf numFmtId="0" fontId="248" fillId="58" borderId="0" applyNumberFormat="0" applyBorder="0" applyAlignment="0" applyProtection="0"/>
    <xf numFmtId="0" fontId="195" fillId="19" borderId="0" applyNumberFormat="0" applyBorder="0" applyAlignment="0" applyProtection="0"/>
    <xf numFmtId="0" fontId="195" fillId="19" borderId="0" applyNumberFormat="0" applyBorder="0" applyAlignment="0" applyProtection="0"/>
    <xf numFmtId="0" fontId="195" fillId="19" borderId="0" applyNumberFormat="0" applyBorder="0" applyAlignment="0" applyProtection="0"/>
    <xf numFmtId="0" fontId="249" fillId="54" borderId="0" applyNumberFormat="0" applyBorder="0" applyAlignment="0" applyProtection="0"/>
    <xf numFmtId="0" fontId="248" fillId="54" borderId="0" applyNumberFormat="0" applyBorder="0" applyAlignment="0" applyProtection="0"/>
    <xf numFmtId="0" fontId="248" fillId="54" borderId="0" applyNumberFormat="0" applyBorder="0" applyAlignment="0" applyProtection="0"/>
    <xf numFmtId="0" fontId="248" fillId="54" borderId="0" applyNumberFormat="0" applyBorder="0" applyAlignment="0" applyProtection="0"/>
    <xf numFmtId="0" fontId="195" fillId="18" borderId="0" applyNumberFormat="0" applyBorder="0" applyAlignment="0" applyProtection="0"/>
    <xf numFmtId="0" fontId="195" fillId="18" borderId="0" applyNumberFormat="0" applyBorder="0" applyAlignment="0" applyProtection="0"/>
    <xf numFmtId="0" fontId="248" fillId="50" borderId="0" applyNumberFormat="0" applyBorder="0" applyAlignment="0" applyProtection="0"/>
    <xf numFmtId="0" fontId="195" fillId="18" borderId="0" applyNumberFormat="0" applyBorder="0" applyAlignment="0" applyProtection="0"/>
    <xf numFmtId="0" fontId="249" fillId="50" borderId="0" applyNumberFormat="0" applyBorder="0" applyAlignment="0" applyProtection="0"/>
    <xf numFmtId="0" fontId="249" fillId="50" borderId="0" applyNumberFormat="0" applyBorder="0" applyAlignment="0" applyProtection="0"/>
    <xf numFmtId="0" fontId="248" fillId="50" borderId="0" applyNumberFormat="0" applyBorder="0" applyAlignment="0" applyProtection="0"/>
    <xf numFmtId="0" fontId="248" fillId="50" borderId="0" applyNumberFormat="0" applyBorder="0" applyAlignment="0" applyProtection="0"/>
    <xf numFmtId="0" fontId="195" fillId="17" borderId="0" applyNumberFormat="0" applyBorder="0" applyAlignment="0" applyProtection="0"/>
    <xf numFmtId="0" fontId="195" fillId="17" borderId="0" applyNumberFormat="0" applyBorder="0" applyAlignment="0" applyProtection="0"/>
    <xf numFmtId="0" fontId="195" fillId="17" borderId="0" applyNumberFormat="0" applyBorder="0" applyAlignment="0" applyProtection="0"/>
    <xf numFmtId="0" fontId="195" fillId="17" borderId="0" applyNumberFormat="0" applyBorder="0" applyAlignment="0" applyProtection="0"/>
    <xf numFmtId="0" fontId="195" fillId="17" borderId="0" applyNumberFormat="0" applyBorder="0" applyAlignment="0" applyProtection="0"/>
    <xf numFmtId="0" fontId="248" fillId="46" borderId="0" applyNumberFormat="0" applyBorder="0" applyAlignment="0" applyProtection="0"/>
    <xf numFmtId="0" fontId="194" fillId="17" borderId="0" applyNumberFormat="0" applyBorder="0" applyAlignment="0" applyProtection="0">
      <alignment vertical="center"/>
    </xf>
    <xf numFmtId="0" fontId="196" fillId="16" borderId="0" applyNumberFormat="0" applyBorder="0" applyAlignment="0" applyProtection="0">
      <alignment vertical="center"/>
    </xf>
    <xf numFmtId="0" fontId="196" fillId="15" borderId="0" applyNumberFormat="0" applyBorder="0" applyAlignment="0" applyProtection="0">
      <alignment vertical="center"/>
    </xf>
    <xf numFmtId="0" fontId="196" fillId="14" borderId="0" applyNumberFormat="0" applyBorder="0" applyAlignment="0" applyProtection="0">
      <alignment vertical="center"/>
    </xf>
    <xf numFmtId="0" fontId="196" fillId="14" borderId="0" applyNumberFormat="0" applyBorder="0" applyAlignment="0" applyProtection="0">
      <alignment vertical="center"/>
    </xf>
    <xf numFmtId="0" fontId="196" fillId="11" borderId="0" applyNumberFormat="0" applyBorder="0" applyAlignment="0" applyProtection="0">
      <alignment vertical="center"/>
    </xf>
    <xf numFmtId="0" fontId="196" fillId="10" borderId="0" applyNumberFormat="0" applyBorder="0" applyAlignment="0" applyProtection="0">
      <alignment vertical="center"/>
    </xf>
    <xf numFmtId="0" fontId="196" fillId="13" borderId="0" applyNumberFormat="0" applyBorder="0" applyAlignment="0" applyProtection="0">
      <alignment vertical="center"/>
    </xf>
    <xf numFmtId="0" fontId="196" fillId="13" borderId="0" applyNumberFormat="0" applyBorder="0" applyAlignment="0" applyProtection="0">
      <alignment vertical="center"/>
    </xf>
    <xf numFmtId="0" fontId="195" fillId="16" borderId="0" applyNumberFormat="0" applyBorder="0" applyAlignment="0" applyProtection="0"/>
    <xf numFmtId="0" fontId="195" fillId="16" borderId="0" applyNumberFormat="0" applyBorder="0" applyAlignment="0" applyProtection="0"/>
    <xf numFmtId="0" fontId="248" fillId="69" borderId="0" applyNumberFormat="0" applyBorder="0" applyAlignment="0" applyProtection="0"/>
    <xf numFmtId="0" fontId="195" fillId="16" borderId="0" applyNumberFormat="0" applyBorder="0" applyAlignment="0" applyProtection="0"/>
    <xf numFmtId="0" fontId="249" fillId="69" borderId="0" applyNumberFormat="0" applyBorder="0" applyAlignment="0" applyProtection="0"/>
    <xf numFmtId="0" fontId="249" fillId="69" borderId="0" applyNumberFormat="0" applyBorder="0" applyAlignment="0" applyProtection="0"/>
    <xf numFmtId="0" fontId="248" fillId="69" borderId="0" applyNumberFormat="0" applyBorder="0" applyAlignment="0" applyProtection="0"/>
    <xf numFmtId="0" fontId="248" fillId="69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248" fillId="65" borderId="0" applyNumberFormat="0" applyBorder="0" applyAlignment="0" applyProtection="0"/>
    <xf numFmtId="0" fontId="194" fillId="15" borderId="0" applyNumberFormat="0" applyBorder="0" applyAlignment="0" applyProtection="0">
      <alignment vertical="center"/>
    </xf>
    <xf numFmtId="0" fontId="195" fillId="14" borderId="0" applyNumberFormat="0" applyBorder="0" applyAlignment="0" applyProtection="0"/>
    <xf numFmtId="0" fontId="195" fillId="14" borderId="0" applyNumberFormat="0" applyBorder="0" applyAlignment="0" applyProtection="0"/>
    <xf numFmtId="0" fontId="195" fillId="14" borderId="0" applyNumberFormat="0" applyBorder="0" applyAlignment="0" applyProtection="0"/>
    <xf numFmtId="0" fontId="195" fillId="14" borderId="0" applyNumberFormat="0" applyBorder="0" applyAlignment="0" applyProtection="0"/>
    <xf numFmtId="0" fontId="248" fillId="61" borderId="0" applyNumberFormat="0" applyBorder="0" applyAlignment="0" applyProtection="0"/>
    <xf numFmtId="0" fontId="195" fillId="14" borderId="0" applyNumberFormat="0" applyBorder="0" applyAlignment="0" applyProtection="0"/>
    <xf numFmtId="43" fontId="29" fillId="0" borderId="0" applyFont="0" applyFill="0" applyBorder="0" applyAlignment="0" applyProtection="0">
      <alignment vertical="center"/>
    </xf>
    <xf numFmtId="0" fontId="195" fillId="14" borderId="0" applyNumberFormat="0" applyBorder="0" applyAlignment="0" applyProtection="0"/>
    <xf numFmtId="0" fontId="249" fillId="61" borderId="0" applyNumberFormat="0" applyBorder="0" applyAlignment="0" applyProtection="0"/>
    <xf numFmtId="0" fontId="249" fillId="61" borderId="0" applyNumberFormat="0" applyBorder="0" applyAlignment="0" applyProtection="0"/>
    <xf numFmtId="0" fontId="248" fillId="61" borderId="0" applyNumberFormat="0" applyBorder="0" applyAlignment="0" applyProtection="0"/>
    <xf numFmtId="0" fontId="248" fillId="61" borderId="0" applyNumberFormat="0" applyBorder="0" applyAlignment="0" applyProtection="0"/>
    <xf numFmtId="0" fontId="195" fillId="11" borderId="0" applyNumberFormat="0" applyBorder="0" applyAlignment="0" applyProtection="0"/>
    <xf numFmtId="0" fontId="195" fillId="11" borderId="0" applyNumberFormat="0" applyBorder="0" applyAlignment="0" applyProtection="0"/>
    <xf numFmtId="0" fontId="195" fillId="11" borderId="0" applyNumberFormat="0" applyBorder="0" applyAlignment="0" applyProtection="0"/>
    <xf numFmtId="0" fontId="8" fillId="0" borderId="0"/>
    <xf numFmtId="0" fontId="195" fillId="11" borderId="0" applyNumberFormat="0" applyBorder="0" applyAlignment="0" applyProtection="0"/>
    <xf numFmtId="0" fontId="248" fillId="57" borderId="0" applyNumberFormat="0" applyBorder="0" applyAlignment="0" applyProtection="0"/>
    <xf numFmtId="0" fontId="195" fillId="11" borderId="0" applyNumberFormat="0" applyBorder="0" applyAlignment="0" applyProtection="0"/>
    <xf numFmtId="0" fontId="195" fillId="11" borderId="0" applyNumberFormat="0" applyBorder="0" applyAlignment="0" applyProtection="0"/>
    <xf numFmtId="0" fontId="249" fillId="57" borderId="0" applyNumberFormat="0" applyBorder="0" applyAlignment="0" applyProtection="0"/>
    <xf numFmtId="0" fontId="248" fillId="57" borderId="0" applyNumberFormat="0" applyBorder="0" applyAlignment="0" applyProtection="0"/>
    <xf numFmtId="0" fontId="194" fillId="11" borderId="0" applyNumberFormat="0" applyBorder="0" applyAlignment="0" applyProtection="0">
      <alignment vertical="center"/>
    </xf>
    <xf numFmtId="0" fontId="195" fillId="10" borderId="0" applyNumberFormat="0" applyBorder="0" applyAlignment="0" applyProtection="0"/>
    <xf numFmtId="0" fontId="248" fillId="53" borderId="0" applyNumberFormat="0" applyBorder="0" applyAlignment="0" applyProtection="0"/>
    <xf numFmtId="0" fontId="195" fillId="10" borderId="0" applyNumberFormat="0" applyBorder="0" applyAlignment="0" applyProtection="0"/>
    <xf numFmtId="0" fontId="195" fillId="10" borderId="0" applyNumberFormat="0" applyBorder="0" applyAlignment="0" applyProtection="0"/>
    <xf numFmtId="0" fontId="249" fillId="53" borderId="0" applyNumberFormat="0" applyBorder="0" applyAlignment="0" applyProtection="0"/>
    <xf numFmtId="0" fontId="248" fillId="53" borderId="0" applyNumberFormat="0" applyBorder="0" applyAlignment="0" applyProtection="0"/>
    <xf numFmtId="0" fontId="194" fillId="10" borderId="0" applyNumberFormat="0" applyBorder="0" applyAlignment="0" applyProtection="0">
      <alignment vertical="center"/>
    </xf>
    <xf numFmtId="0" fontId="248" fillId="53" borderId="0" applyNumberFormat="0" applyBorder="0" applyAlignment="0" applyProtection="0"/>
    <xf numFmtId="0" fontId="195" fillId="13" borderId="0" applyNumberFormat="0" applyBorder="0" applyAlignment="0" applyProtection="0"/>
    <xf numFmtId="0" fontId="195" fillId="13" borderId="0" applyNumberFormat="0" applyBorder="0" applyAlignment="0" applyProtection="0"/>
    <xf numFmtId="0" fontId="195" fillId="13" borderId="0" applyNumberFormat="0" applyBorder="0" applyAlignment="0" applyProtection="0"/>
    <xf numFmtId="0" fontId="248" fillId="49" borderId="0" applyNumberFormat="0" applyBorder="0" applyAlignment="0" applyProtection="0"/>
    <xf numFmtId="0" fontId="195" fillId="13" borderId="0" applyNumberFormat="0" applyBorder="0" applyAlignment="0" applyProtection="0"/>
    <xf numFmtId="0" fontId="195" fillId="13" borderId="0" applyNumberFormat="0" applyBorder="0" applyAlignment="0" applyProtection="0"/>
    <xf numFmtId="0" fontId="249" fillId="49" borderId="0" applyNumberFormat="0" applyBorder="0" applyAlignment="0" applyProtection="0"/>
    <xf numFmtId="0" fontId="248" fillId="49" borderId="0" applyNumberFormat="0" applyBorder="0" applyAlignment="0" applyProtection="0"/>
    <xf numFmtId="0" fontId="194" fillId="13" borderId="0" applyNumberFormat="0" applyBorder="0" applyAlignment="0" applyProtection="0">
      <alignment vertical="center"/>
    </xf>
    <xf numFmtId="0" fontId="248" fillId="49" borderId="0" applyNumberFormat="0" applyBorder="0" applyAlignment="0" applyProtection="0"/>
    <xf numFmtId="0" fontId="193" fillId="12" borderId="0" applyNumberFormat="0" applyBorder="0" applyAlignment="0" applyProtection="0">
      <alignment vertical="center"/>
    </xf>
    <xf numFmtId="0" fontId="193" fillId="12" borderId="0" applyNumberFormat="0" applyBorder="0" applyAlignment="0" applyProtection="0">
      <alignment vertical="center"/>
    </xf>
    <xf numFmtId="0" fontId="193" fillId="6" borderId="0" applyNumberFormat="0" applyBorder="0" applyAlignment="0" applyProtection="0">
      <alignment vertical="center"/>
    </xf>
    <xf numFmtId="0" fontId="193" fillId="6" borderId="0" applyNumberFormat="0" applyBorder="0" applyAlignment="0" applyProtection="0">
      <alignment vertical="center"/>
    </xf>
    <xf numFmtId="0" fontId="193" fillId="10" borderId="0" applyNumberFormat="0" applyBorder="0" applyAlignment="0" applyProtection="0">
      <alignment vertical="center"/>
    </xf>
    <xf numFmtId="0" fontId="193" fillId="10" borderId="0" applyNumberFormat="0" applyBorder="0" applyAlignment="0" applyProtection="0">
      <alignment vertical="center"/>
    </xf>
    <xf numFmtId="0" fontId="192" fillId="12" borderId="0" applyNumberFormat="0" applyBorder="0" applyAlignment="0" applyProtection="0"/>
    <xf numFmtId="0" fontId="192" fillId="12" borderId="0" applyNumberFormat="0" applyBorder="0" applyAlignment="0" applyProtection="0"/>
    <xf numFmtId="0" fontId="192" fillId="12" borderId="0" applyNumberFormat="0" applyBorder="0" applyAlignment="0" applyProtection="0"/>
    <xf numFmtId="0" fontId="192" fillId="12" borderId="0" applyNumberFormat="0" applyBorder="0" applyAlignment="0" applyProtection="0"/>
    <xf numFmtId="0" fontId="91" fillId="68" borderId="0" applyNumberFormat="0" applyBorder="0" applyAlignment="0" applyProtection="0"/>
    <xf numFmtId="0" fontId="192" fillId="12" borderId="0" applyNumberFormat="0" applyBorder="0" applyAlignment="0" applyProtection="0"/>
    <xf numFmtId="0" fontId="192" fillId="12" borderId="0" applyNumberFormat="0" applyBorder="0" applyAlignment="0" applyProtection="0"/>
    <xf numFmtId="0" fontId="90" fillId="68" borderId="0" applyNumberFormat="0" applyBorder="0" applyAlignment="0" applyProtection="0"/>
    <xf numFmtId="0" fontId="91" fillId="68" borderId="0" applyNumberFormat="0" applyBorder="0" applyAlignment="0" applyProtection="0"/>
    <xf numFmtId="0" fontId="191" fillId="12" borderId="0" applyNumberFormat="0" applyBorder="0" applyAlignment="0" applyProtection="0">
      <alignment vertical="center"/>
    </xf>
    <xf numFmtId="0" fontId="91" fillId="68" borderId="0" applyNumberFormat="0" applyBorder="0" applyAlignment="0" applyProtection="0"/>
    <xf numFmtId="0" fontId="192" fillId="9" borderId="0" applyNumberFormat="0" applyBorder="0" applyAlignment="0" applyProtection="0"/>
    <xf numFmtId="0" fontId="192" fillId="9" borderId="0" applyNumberFormat="0" applyBorder="0" applyAlignment="0" applyProtection="0"/>
    <xf numFmtId="0" fontId="192" fillId="9" borderId="0" applyNumberFormat="0" applyBorder="0" applyAlignment="0" applyProtection="0"/>
    <xf numFmtId="0" fontId="91" fillId="64" borderId="0" applyNumberFormat="0" applyBorder="0" applyAlignment="0" applyProtection="0"/>
    <xf numFmtId="0" fontId="192" fillId="9" borderId="0" applyNumberFormat="0" applyBorder="0" applyAlignment="0" applyProtection="0"/>
    <xf numFmtId="0" fontId="192" fillId="9" borderId="0" applyNumberFormat="0" applyBorder="0" applyAlignment="0" applyProtection="0"/>
    <xf numFmtId="0" fontId="90" fillId="64" borderId="0" applyNumberFormat="0" applyBorder="0" applyAlignment="0" applyProtection="0"/>
    <xf numFmtId="0" fontId="91" fillId="64" borderId="0" applyNumberFormat="0" applyBorder="0" applyAlignment="0" applyProtection="0"/>
    <xf numFmtId="0" fontId="191" fillId="9" borderId="0" applyNumberFormat="0" applyBorder="0" applyAlignment="0" applyProtection="0">
      <alignment vertical="center"/>
    </xf>
    <xf numFmtId="0" fontId="91" fillId="64" borderId="0" applyNumberFormat="0" applyBorder="0" applyAlignment="0" applyProtection="0"/>
    <xf numFmtId="0" fontId="192" fillId="6" borderId="0" applyNumberFormat="0" applyBorder="0" applyAlignment="0" applyProtection="0"/>
    <xf numFmtId="0" fontId="192" fillId="6" borderId="0" applyNumberFormat="0" applyBorder="0" applyAlignment="0" applyProtection="0"/>
    <xf numFmtId="0" fontId="91" fillId="60" borderId="0" applyNumberFormat="0" applyBorder="0" applyAlignment="0" applyProtection="0"/>
    <xf numFmtId="0" fontId="192" fillId="6" borderId="0" applyNumberFormat="0" applyBorder="0" applyAlignment="0" applyProtection="0"/>
    <xf numFmtId="0" fontId="192" fillId="6" borderId="0" applyNumberFormat="0" applyBorder="0" applyAlignment="0" applyProtection="0"/>
    <xf numFmtId="0" fontId="90" fillId="60" borderId="0" applyNumberFormat="0" applyBorder="0" applyAlignment="0" applyProtection="0"/>
    <xf numFmtId="0" fontId="91" fillId="60" borderId="0" applyNumberFormat="0" applyBorder="0" applyAlignment="0" applyProtection="0"/>
    <xf numFmtId="0" fontId="191" fillId="6" borderId="0" applyNumberFormat="0" applyBorder="0" applyAlignment="0" applyProtection="0">
      <alignment vertical="center"/>
    </xf>
    <xf numFmtId="0" fontId="91" fillId="60" borderId="0" applyNumberFormat="0" applyBorder="0" applyAlignment="0" applyProtection="0"/>
    <xf numFmtId="0" fontId="192" fillId="11" borderId="0" applyNumberFormat="0" applyBorder="0" applyAlignment="0" applyProtection="0"/>
    <xf numFmtId="0" fontId="192" fillId="11" borderId="0" applyNumberFormat="0" applyBorder="0" applyAlignment="0" applyProtection="0"/>
    <xf numFmtId="0" fontId="91" fillId="56" borderId="0" applyNumberFormat="0" applyBorder="0" applyAlignment="0" applyProtection="0"/>
    <xf numFmtId="0" fontId="191" fillId="11" borderId="0" applyNumberFormat="0" applyBorder="0" applyAlignment="0" applyProtection="0">
      <alignment vertical="center"/>
    </xf>
    <xf numFmtId="0" fontId="192" fillId="10" borderId="0" applyNumberFormat="0" applyBorder="0" applyAlignment="0" applyProtection="0"/>
    <xf numFmtId="0" fontId="192" fillId="10" borderId="0" applyNumberFormat="0" applyBorder="0" applyAlignment="0" applyProtection="0"/>
    <xf numFmtId="0" fontId="90" fillId="52" borderId="0" applyNumberFormat="0" applyBorder="0" applyAlignment="0" applyProtection="0"/>
    <xf numFmtId="0" fontId="90" fillId="52" borderId="0" applyNumberFormat="0" applyBorder="0" applyAlignment="0" applyProtection="0"/>
    <xf numFmtId="0" fontId="91" fillId="52" borderId="0" applyNumberFormat="0" applyBorder="0" applyAlignment="0" applyProtection="0"/>
    <xf numFmtId="0" fontId="91" fillId="52" borderId="0" applyNumberFormat="0" applyBorder="0" applyAlignment="0" applyProtection="0"/>
    <xf numFmtId="0" fontId="192" fillId="9" borderId="0" applyNumberFormat="0" applyBorder="0" applyAlignment="0" applyProtection="0"/>
    <xf numFmtId="0" fontId="192" fillId="9" borderId="0" applyNumberFormat="0" applyBorder="0" applyAlignment="0" applyProtection="0"/>
    <xf numFmtId="0" fontId="90" fillId="48" borderId="0" applyNumberFormat="0" applyBorder="0" applyAlignment="0" applyProtection="0"/>
    <xf numFmtId="0" fontId="90" fillId="48" borderId="0" applyNumberFormat="0" applyBorder="0" applyAlignment="0" applyProtection="0"/>
    <xf numFmtId="0" fontId="191" fillId="9" borderId="0" applyNumberFormat="0" applyBorder="0" applyAlignment="0" applyProtection="0">
      <alignment vertical="center"/>
    </xf>
    <xf numFmtId="0" fontId="91" fillId="48" borderId="0" applyNumberFormat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193" fillId="8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7" borderId="0" applyNumberFormat="0" applyBorder="0" applyAlignment="0" applyProtection="0">
      <alignment vertical="center"/>
    </xf>
    <xf numFmtId="0" fontId="193" fillId="6" borderId="0" applyNumberFormat="0" applyBorder="0" applyAlignment="0" applyProtection="0">
      <alignment vertical="center"/>
    </xf>
    <xf numFmtId="0" fontId="193" fillId="5" borderId="0" applyNumberFormat="0" applyBorder="0" applyAlignment="0" applyProtection="0">
      <alignment vertical="center"/>
    </xf>
    <xf numFmtId="0" fontId="193" fillId="4" borderId="0" applyNumberFormat="0" applyBorder="0" applyAlignment="0" applyProtection="0">
      <alignment vertical="center"/>
    </xf>
    <xf numFmtId="0" fontId="193" fillId="4" borderId="0" applyNumberFormat="0" applyBorder="0" applyAlignment="0" applyProtection="0">
      <alignment vertical="center"/>
    </xf>
    <xf numFmtId="0" fontId="193" fillId="3" borderId="0" applyNumberFormat="0" applyBorder="0" applyAlignment="0" applyProtection="0">
      <alignment vertical="center"/>
    </xf>
    <xf numFmtId="0" fontId="192" fillId="8" borderId="0" applyNumberFormat="0" applyBorder="0" applyAlignment="0" applyProtection="0"/>
    <xf numFmtId="0" fontId="90" fillId="67" borderId="0" applyNumberFormat="0" applyBorder="0" applyAlignment="0" applyProtection="0"/>
    <xf numFmtId="0" fontId="91" fillId="67" borderId="0" applyNumberFormat="0" applyBorder="0" applyAlignment="0" applyProtection="0"/>
    <xf numFmtId="0" fontId="191" fillId="8" borderId="0" applyNumberFormat="0" applyBorder="0" applyAlignment="0" applyProtection="0">
      <alignment vertical="center"/>
    </xf>
    <xf numFmtId="0" fontId="91" fillId="67" borderId="0" applyNumberFormat="0" applyBorder="0" applyAlignment="0" applyProtection="0"/>
    <xf numFmtId="0" fontId="192" fillId="7" borderId="0" applyNumberFormat="0" applyBorder="0" applyAlignment="0" applyProtection="0"/>
    <xf numFmtId="0" fontId="91" fillId="63" borderId="0" applyNumberFormat="0" applyBorder="0" applyAlignment="0" applyProtection="0"/>
    <xf numFmtId="0" fontId="192" fillId="7" borderId="0" applyNumberFormat="0" applyBorder="0" applyAlignment="0" applyProtection="0"/>
    <xf numFmtId="0" fontId="192" fillId="7" borderId="0" applyNumberFormat="0" applyBorder="0" applyAlignment="0" applyProtection="0"/>
    <xf numFmtId="0" fontId="90" fillId="63" borderId="0" applyNumberFormat="0" applyBorder="0" applyAlignment="0" applyProtection="0"/>
    <xf numFmtId="0" fontId="91" fillId="63" borderId="0" applyNumberFormat="0" applyBorder="0" applyAlignment="0" applyProtection="0"/>
    <xf numFmtId="0" fontId="91" fillId="63" borderId="0" applyNumberFormat="0" applyBorder="0" applyAlignment="0" applyProtection="0"/>
    <xf numFmtId="43" fontId="29" fillId="0" borderId="0" applyFont="0" applyFill="0" applyBorder="0" applyAlignment="0" applyProtection="0">
      <alignment vertical="center"/>
    </xf>
    <xf numFmtId="0" fontId="90" fillId="59" borderId="0" applyNumberFormat="0" applyBorder="0" applyAlignment="0" applyProtection="0"/>
    <xf numFmtId="0" fontId="191" fillId="6" borderId="0" applyNumberFormat="0" applyBorder="0" applyAlignment="0" applyProtection="0">
      <alignment vertical="center"/>
    </xf>
    <xf numFmtId="0" fontId="91" fillId="59" borderId="0" applyNumberFormat="0" applyBorder="0" applyAlignment="0" applyProtection="0"/>
    <xf numFmtId="0" fontId="12" fillId="0" borderId="0"/>
    <xf numFmtId="0" fontId="43" fillId="8" borderId="1" applyNumberFormat="0" applyAlignment="0" applyProtection="0"/>
    <xf numFmtId="0" fontId="43" fillId="8" borderId="1" applyNumberFormat="0" applyAlignment="0" applyProtection="0"/>
    <xf numFmtId="0" fontId="12" fillId="0" borderId="0"/>
    <xf numFmtId="0" fontId="276" fillId="0" borderId="0" applyFont="0" applyFill="0" applyBorder="0" applyAlignment="0" applyProtection="0"/>
    <xf numFmtId="0" fontId="90" fillId="55" borderId="0" applyNumberFormat="0" applyBorder="0" applyAlignment="0" applyProtection="0"/>
    <xf numFmtId="0" fontId="12" fillId="0" borderId="0"/>
    <xf numFmtId="0" fontId="12" fillId="0" borderId="0"/>
    <xf numFmtId="0" fontId="255" fillId="45" borderId="31" applyNumberFormat="0" applyAlignment="0" applyProtection="0"/>
    <xf numFmtId="0" fontId="204" fillId="23" borderId="2" applyNumberFormat="0" applyAlignment="0" applyProtection="0"/>
    <xf numFmtId="0" fontId="255" fillId="45" borderId="31" applyNumberFormat="0" applyAlignment="0" applyProtection="0"/>
    <xf numFmtId="0" fontId="254" fillId="45" borderId="3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01" fillId="22" borderId="1" applyNumberFormat="0" applyAlignment="0" applyProtection="0"/>
    <xf numFmtId="0" fontId="195" fillId="10" borderId="0" applyNumberFormat="0" applyBorder="0" applyAlignment="0" applyProtection="0"/>
    <xf numFmtId="0" fontId="195" fillId="10" borderId="0" applyNumberFormat="0" applyBorder="0" applyAlignment="0" applyProtection="0"/>
    <xf numFmtId="0" fontId="195" fillId="10" borderId="0" applyNumberFormat="0" applyBorder="0" applyAlignment="0" applyProtection="0"/>
    <xf numFmtId="0" fontId="192" fillId="8" borderId="0" applyNumberFormat="0" applyBorder="0" applyAlignment="0" applyProtection="0"/>
    <xf numFmtId="0" fontId="29" fillId="0" borderId="0">
      <alignment vertical="center"/>
    </xf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1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9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3" fillId="20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6" fillId="4" borderId="0" applyNumberFormat="0" applyBorder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28" fillId="23" borderId="2" applyNumberFormat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4" fillId="0" borderId="9" applyNumberFormat="0" applyFill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184" fontId="50" fillId="0" borderId="0" applyFont="0">
      <alignment horizontal="right"/>
      <protection locked="0"/>
    </xf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15" fillId="28" borderId="10" applyNumberFormat="0" applyFont="0" applyAlignment="0" applyProtection="0"/>
    <xf numFmtId="0" fontId="53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9" fontId="29" fillId="0" borderId="0" applyFont="0" applyFill="0" applyBorder="0" applyAlignment="0" applyProtection="0">
      <alignment vertical="center"/>
    </xf>
    <xf numFmtId="0" fontId="56" fillId="30" borderId="0"/>
    <xf numFmtId="0" fontId="56" fillId="30" borderId="0"/>
    <xf numFmtId="0" fontId="57" fillId="0" borderId="15"/>
    <xf numFmtId="0" fontId="57" fillId="0" borderId="15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59" fillId="0" borderId="17" applyNumberFormat="0" applyFill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3" fillId="0" borderId="0" applyNumberFormat="0" applyFill="0" applyBorder="0" applyAlignment="0" applyProtection="0">
      <alignment vertical="top"/>
      <protection locked="0"/>
    </xf>
    <xf numFmtId="0" fontId="56" fillId="30" borderId="0"/>
    <xf numFmtId="0" fontId="57" fillId="0" borderId="15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2" fillId="0" borderId="0"/>
    <xf numFmtId="0" fontId="12" fillId="0" borderId="0"/>
    <xf numFmtId="190" fontId="99" fillId="0" borderId="0"/>
    <xf numFmtId="0" fontId="103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190" fontId="55" fillId="0" borderId="0" applyNumberFormat="0" applyFill="0" applyBorder="0" applyAlignment="0" applyProtection="0"/>
    <xf numFmtId="190" fontId="99" fillId="0" borderId="0"/>
    <xf numFmtId="190" fontId="12" fillId="0" borderId="0"/>
    <xf numFmtId="190" fontId="12" fillId="0" borderId="0"/>
    <xf numFmtId="190" fontId="12" fillId="0" borderId="0"/>
    <xf numFmtId="190" fontId="104" fillId="0" borderId="0"/>
    <xf numFmtId="194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95" fontId="12" fillId="0" borderId="0" applyFont="0" applyFill="0" applyBorder="0" applyAlignment="0" applyProtection="0"/>
    <xf numFmtId="195" fontId="12" fillId="0" borderId="0" applyFont="0" applyFill="0" applyBorder="0" applyAlignment="0" applyProtection="0"/>
    <xf numFmtId="190" fontId="105" fillId="0" borderId="0"/>
    <xf numFmtId="196" fontId="12" fillId="0" borderId="0" applyFont="0" applyFill="0" applyBorder="0" applyAlignment="0" applyProtection="0"/>
    <xf numFmtId="196" fontId="12" fillId="0" borderId="0" applyFont="0" applyFill="0" applyBorder="0" applyAlignment="0" applyProtection="0"/>
    <xf numFmtId="197" fontId="12" fillId="0" borderId="0" applyFont="0" applyFill="0" applyBorder="0" applyAlignment="0" applyProtection="0"/>
    <xf numFmtId="197" fontId="12" fillId="0" borderId="0" applyFont="0" applyFill="0" applyBorder="0" applyAlignment="0" applyProtection="0"/>
    <xf numFmtId="198" fontId="12" fillId="0" borderId="0" applyFont="0" applyFill="0" applyBorder="0" applyAlignment="0" applyProtection="0"/>
    <xf numFmtId="198" fontId="12" fillId="0" borderId="0" applyFont="0" applyFill="0" applyBorder="0" applyAlignment="0" applyProtection="0"/>
    <xf numFmtId="190" fontId="106" fillId="0" borderId="0" applyNumberFormat="0" applyFill="0" applyBorder="0" applyAlignment="0" applyProtection="0"/>
    <xf numFmtId="199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200" fontId="12" fillId="0" borderId="0" applyFont="0" applyFill="0" applyBorder="0" applyAlignment="0" applyProtection="0"/>
    <xf numFmtId="200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200" fontId="12" fillId="0" borderId="0" applyFont="0" applyFill="0" applyBorder="0" applyAlignment="0" applyProtection="0"/>
    <xf numFmtId="200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199" fontId="12" fillId="0" borderId="0" applyFon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07" fillId="0" borderId="0" applyNumberFormat="0" applyFill="0" applyBorder="0" applyAlignment="0" applyProtection="0"/>
    <xf numFmtId="0" fontId="12" fillId="27" borderId="0" applyNumberFormat="0" applyFont="0" applyAlignment="0" applyProtection="0"/>
    <xf numFmtId="0" fontId="12" fillId="27" borderId="0" applyNumberFormat="0" applyFont="0" applyAlignment="0" applyProtection="0"/>
    <xf numFmtId="190" fontId="108" fillId="0" borderId="0"/>
    <xf numFmtId="190" fontId="12" fillId="0" borderId="0"/>
    <xf numFmtId="190" fontId="12" fillId="0" borderId="0"/>
    <xf numFmtId="201" fontId="12" fillId="0" borderId="0" applyFont="0" applyFill="0" applyBorder="0" applyAlignment="0" applyProtection="0"/>
    <xf numFmtId="201" fontId="12" fillId="0" borderId="0" applyFont="0" applyFill="0" applyBorder="0" applyAlignment="0" applyProtection="0"/>
    <xf numFmtId="202" fontId="12" fillId="0" borderId="0" applyFont="0" applyFill="0" applyBorder="0" applyAlignment="0" applyProtection="0"/>
    <xf numFmtId="202" fontId="12" fillId="0" borderId="0" applyFont="0" applyFill="0" applyBorder="0" applyAlignment="0" applyProtection="0"/>
    <xf numFmtId="203" fontId="12" fillId="0" borderId="0" applyFont="0" applyFill="0" applyBorder="0" applyProtection="0">
      <alignment horizontal="right"/>
    </xf>
    <xf numFmtId="203" fontId="12" fillId="0" borderId="0" applyFont="0" applyFill="0" applyBorder="0" applyProtection="0">
      <alignment horizontal="right"/>
    </xf>
    <xf numFmtId="204" fontId="12" fillId="0" borderId="0" applyFont="0" applyFill="0" applyBorder="0" applyProtection="0">
      <alignment horizontal="right"/>
    </xf>
    <xf numFmtId="204" fontId="12" fillId="0" borderId="0" applyFont="0" applyFill="0" applyBorder="0" applyProtection="0">
      <alignment horizontal="right"/>
    </xf>
    <xf numFmtId="190" fontId="12" fillId="0" borderId="0"/>
    <xf numFmtId="190" fontId="12" fillId="0" borderId="0"/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09" fillId="0" borderId="0" applyNumberFormat="0" applyFill="0" applyBorder="0" applyProtection="0">
      <alignment vertical="top"/>
    </xf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0" fillId="0" borderId="34" applyNumberFormat="0" applyFill="0" applyAlignment="0" applyProtection="0"/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35" applyNumberFormat="0" applyFill="0" applyProtection="0">
      <alignment horizontal="center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1" fillId="0" borderId="0" applyNumberFormat="0" applyFill="0" applyBorder="0" applyProtection="0">
      <alignment horizontal="left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0" fontId="112" fillId="0" borderId="0" applyNumberFormat="0" applyFill="0" applyBorder="0" applyProtection="0">
      <alignment horizontal="centerContinuous"/>
    </xf>
    <xf numFmtId="190" fontId="15" fillId="0" borderId="0" applyFont="0" applyFill="0" applyBorder="0" applyAlignment="0" applyProtection="0"/>
    <xf numFmtId="190" fontId="15" fillId="0" borderId="0" applyFont="0" applyFill="0" applyBorder="0" applyAlignment="0" applyProtection="0"/>
    <xf numFmtId="0" fontId="12" fillId="0" borderId="0"/>
    <xf numFmtId="190" fontId="12" fillId="0" borderId="0"/>
    <xf numFmtId="0" fontId="12" fillId="0" borderId="0"/>
    <xf numFmtId="0" fontId="15" fillId="0" borderId="0"/>
    <xf numFmtId="0" fontId="15" fillId="0" borderId="0"/>
    <xf numFmtId="190" fontId="15" fillId="0" borderId="0"/>
    <xf numFmtId="0" fontId="12" fillId="0" borderId="0"/>
    <xf numFmtId="205" fontId="113" fillId="0" borderId="0"/>
    <xf numFmtId="190" fontId="114" fillId="47" borderId="0" applyNumberFormat="0" applyBorder="0" applyAlignment="0" applyProtection="0"/>
    <xf numFmtId="190" fontId="114" fillId="47" borderId="0" applyNumberFormat="0" applyBorder="0" applyAlignment="0" applyProtection="0"/>
    <xf numFmtId="190" fontId="114" fillId="47" borderId="0" applyNumberFormat="0" applyBorder="0" applyAlignment="0" applyProtection="0"/>
    <xf numFmtId="190" fontId="114" fillId="47" borderId="0" applyNumberFormat="0" applyBorder="0" applyAlignment="0" applyProtection="0"/>
    <xf numFmtId="190" fontId="114" fillId="47" borderId="0" applyNumberFormat="0" applyBorder="0" applyAlignment="0" applyProtection="0"/>
    <xf numFmtId="190" fontId="114" fillId="51" borderId="0" applyNumberFormat="0" applyBorder="0" applyAlignment="0" applyProtection="0"/>
    <xf numFmtId="190" fontId="114" fillId="51" borderId="0" applyNumberFormat="0" applyBorder="0" applyAlignment="0" applyProtection="0"/>
    <xf numFmtId="190" fontId="114" fillId="51" borderId="0" applyNumberFormat="0" applyBorder="0" applyAlignment="0" applyProtection="0"/>
    <xf numFmtId="190" fontId="114" fillId="51" borderId="0" applyNumberFormat="0" applyBorder="0" applyAlignment="0" applyProtection="0"/>
    <xf numFmtId="190" fontId="114" fillId="51" borderId="0" applyNumberFormat="0" applyBorder="0" applyAlignment="0" applyProtection="0"/>
    <xf numFmtId="190" fontId="114" fillId="55" borderId="0" applyNumberFormat="0" applyBorder="0" applyAlignment="0" applyProtection="0"/>
    <xf numFmtId="190" fontId="114" fillId="55" borderId="0" applyNumberFormat="0" applyBorder="0" applyAlignment="0" applyProtection="0"/>
    <xf numFmtId="190" fontId="114" fillId="55" borderId="0" applyNumberFormat="0" applyBorder="0" applyAlignment="0" applyProtection="0"/>
    <xf numFmtId="190" fontId="114" fillId="55" borderId="0" applyNumberFormat="0" applyBorder="0" applyAlignment="0" applyProtection="0"/>
    <xf numFmtId="190" fontId="114" fillId="55" borderId="0" applyNumberFormat="0" applyBorder="0" applyAlignment="0" applyProtection="0"/>
    <xf numFmtId="190" fontId="114" fillId="59" borderId="0" applyNumberFormat="0" applyBorder="0" applyAlignment="0" applyProtection="0"/>
    <xf numFmtId="190" fontId="114" fillId="59" borderId="0" applyNumberFormat="0" applyBorder="0" applyAlignment="0" applyProtection="0"/>
    <xf numFmtId="190" fontId="114" fillId="59" borderId="0" applyNumberFormat="0" applyBorder="0" applyAlignment="0" applyProtection="0"/>
    <xf numFmtId="190" fontId="114" fillId="59" borderId="0" applyNumberFormat="0" applyBorder="0" applyAlignment="0" applyProtection="0"/>
    <xf numFmtId="190" fontId="114" fillId="59" borderId="0" applyNumberFormat="0" applyBorder="0" applyAlignment="0" applyProtection="0"/>
    <xf numFmtId="190" fontId="114" fillId="63" borderId="0" applyNumberFormat="0" applyBorder="0" applyAlignment="0" applyProtection="0"/>
    <xf numFmtId="190" fontId="114" fillId="63" borderId="0" applyNumberFormat="0" applyBorder="0" applyAlignment="0" applyProtection="0"/>
    <xf numFmtId="190" fontId="114" fillId="63" borderId="0" applyNumberFormat="0" applyBorder="0" applyAlignment="0" applyProtection="0"/>
    <xf numFmtId="190" fontId="114" fillId="63" borderId="0" applyNumberFormat="0" applyBorder="0" applyAlignment="0" applyProtection="0"/>
    <xf numFmtId="190" fontId="114" fillId="63" borderId="0" applyNumberFormat="0" applyBorder="0" applyAlignment="0" applyProtection="0"/>
    <xf numFmtId="190" fontId="114" fillId="67" borderId="0" applyNumberFormat="0" applyBorder="0" applyAlignment="0" applyProtection="0"/>
    <xf numFmtId="190" fontId="114" fillId="67" borderId="0" applyNumberFormat="0" applyBorder="0" applyAlignment="0" applyProtection="0"/>
    <xf numFmtId="190" fontId="114" fillId="67" borderId="0" applyNumberFormat="0" applyBorder="0" applyAlignment="0" applyProtection="0"/>
    <xf numFmtId="190" fontId="114" fillId="67" borderId="0" applyNumberFormat="0" applyBorder="0" applyAlignment="0" applyProtection="0"/>
    <xf numFmtId="190" fontId="114" fillId="67" borderId="0" applyNumberFormat="0" applyBorder="0" applyAlignment="0" applyProtection="0"/>
    <xf numFmtId="190" fontId="114" fillId="48" borderId="0" applyNumberFormat="0" applyBorder="0" applyAlignment="0" applyProtection="0"/>
    <xf numFmtId="190" fontId="114" fillId="48" borderId="0" applyNumberFormat="0" applyBorder="0" applyAlignment="0" applyProtection="0"/>
    <xf numFmtId="190" fontId="114" fillId="48" borderId="0" applyNumberFormat="0" applyBorder="0" applyAlignment="0" applyProtection="0"/>
    <xf numFmtId="190" fontId="114" fillId="48" borderId="0" applyNumberFormat="0" applyBorder="0" applyAlignment="0" applyProtection="0"/>
    <xf numFmtId="190" fontId="114" fillId="48" borderId="0" applyNumberFormat="0" applyBorder="0" applyAlignment="0" applyProtection="0"/>
    <xf numFmtId="190" fontId="114" fillId="52" borderId="0" applyNumberFormat="0" applyBorder="0" applyAlignment="0" applyProtection="0"/>
    <xf numFmtId="190" fontId="114" fillId="52" borderId="0" applyNumberFormat="0" applyBorder="0" applyAlignment="0" applyProtection="0"/>
    <xf numFmtId="190" fontId="114" fillId="52" borderId="0" applyNumberFormat="0" applyBorder="0" applyAlignment="0" applyProtection="0"/>
    <xf numFmtId="190" fontId="114" fillId="52" borderId="0" applyNumberFormat="0" applyBorder="0" applyAlignment="0" applyProtection="0"/>
    <xf numFmtId="190" fontId="114" fillId="52" borderId="0" applyNumberFormat="0" applyBorder="0" applyAlignment="0" applyProtection="0"/>
    <xf numFmtId="190" fontId="114" fillId="56" borderId="0" applyNumberFormat="0" applyBorder="0" applyAlignment="0" applyProtection="0"/>
    <xf numFmtId="190" fontId="114" fillId="56" borderId="0" applyNumberFormat="0" applyBorder="0" applyAlignment="0" applyProtection="0"/>
    <xf numFmtId="190" fontId="114" fillId="56" borderId="0" applyNumberFormat="0" applyBorder="0" applyAlignment="0" applyProtection="0"/>
    <xf numFmtId="190" fontId="114" fillId="56" borderId="0" applyNumberFormat="0" applyBorder="0" applyAlignment="0" applyProtection="0"/>
    <xf numFmtId="190" fontId="114" fillId="56" borderId="0" applyNumberFormat="0" applyBorder="0" applyAlignment="0" applyProtection="0"/>
    <xf numFmtId="190" fontId="114" fillId="60" borderId="0" applyNumberFormat="0" applyBorder="0" applyAlignment="0" applyProtection="0"/>
    <xf numFmtId="190" fontId="114" fillId="60" borderId="0" applyNumberFormat="0" applyBorder="0" applyAlignment="0" applyProtection="0"/>
    <xf numFmtId="190" fontId="114" fillId="60" borderId="0" applyNumberFormat="0" applyBorder="0" applyAlignment="0" applyProtection="0"/>
    <xf numFmtId="190" fontId="114" fillId="60" borderId="0" applyNumberFormat="0" applyBorder="0" applyAlignment="0" applyProtection="0"/>
    <xf numFmtId="190" fontId="114" fillId="60" borderId="0" applyNumberFormat="0" applyBorder="0" applyAlignment="0" applyProtection="0"/>
    <xf numFmtId="190" fontId="114" fillId="64" borderId="0" applyNumberFormat="0" applyBorder="0" applyAlignment="0" applyProtection="0"/>
    <xf numFmtId="190" fontId="114" fillId="64" borderId="0" applyNumberFormat="0" applyBorder="0" applyAlignment="0" applyProtection="0"/>
    <xf numFmtId="190" fontId="114" fillId="64" borderId="0" applyNumberFormat="0" applyBorder="0" applyAlignment="0" applyProtection="0"/>
    <xf numFmtId="190" fontId="114" fillId="64" borderId="0" applyNumberFormat="0" applyBorder="0" applyAlignment="0" applyProtection="0"/>
    <xf numFmtId="190" fontId="114" fillId="64" borderId="0" applyNumberFormat="0" applyBorder="0" applyAlignment="0" applyProtection="0"/>
    <xf numFmtId="190" fontId="114" fillId="68" borderId="0" applyNumberFormat="0" applyBorder="0" applyAlignment="0" applyProtection="0"/>
    <xf numFmtId="190" fontId="114" fillId="68" borderId="0" applyNumberFormat="0" applyBorder="0" applyAlignment="0" applyProtection="0"/>
    <xf numFmtId="190" fontId="114" fillId="68" borderId="0" applyNumberFormat="0" applyBorder="0" applyAlignment="0" applyProtection="0"/>
    <xf numFmtId="190" fontId="114" fillId="68" borderId="0" applyNumberFormat="0" applyBorder="0" applyAlignment="0" applyProtection="0"/>
    <xf numFmtId="190" fontId="114" fillId="68" borderId="0" applyNumberFormat="0" applyBorder="0" applyAlignment="0" applyProtection="0"/>
    <xf numFmtId="190" fontId="115" fillId="49" borderId="0" applyNumberFormat="0" applyBorder="0" applyAlignment="0" applyProtection="0"/>
    <xf numFmtId="190" fontId="115" fillId="49" borderId="0" applyNumberFormat="0" applyBorder="0" applyAlignment="0" applyProtection="0"/>
    <xf numFmtId="190" fontId="115" fillId="49" borderId="0" applyNumberFormat="0" applyBorder="0" applyAlignment="0" applyProtection="0"/>
    <xf numFmtId="190" fontId="115" fillId="49" borderId="0" applyNumberFormat="0" applyBorder="0" applyAlignment="0" applyProtection="0"/>
    <xf numFmtId="190" fontId="115" fillId="49" borderId="0" applyNumberFormat="0" applyBorder="0" applyAlignment="0" applyProtection="0"/>
    <xf numFmtId="190" fontId="115" fillId="53" borderId="0" applyNumberFormat="0" applyBorder="0" applyAlignment="0" applyProtection="0"/>
    <xf numFmtId="190" fontId="115" fillId="53" borderId="0" applyNumberFormat="0" applyBorder="0" applyAlignment="0" applyProtection="0"/>
    <xf numFmtId="190" fontId="115" fillId="53" borderId="0" applyNumberFormat="0" applyBorder="0" applyAlignment="0" applyProtection="0"/>
    <xf numFmtId="190" fontId="115" fillId="53" borderId="0" applyNumberFormat="0" applyBorder="0" applyAlignment="0" applyProtection="0"/>
    <xf numFmtId="190" fontId="115" fillId="53" borderId="0" applyNumberFormat="0" applyBorder="0" applyAlignment="0" applyProtection="0"/>
    <xf numFmtId="190" fontId="115" fillId="57" borderId="0" applyNumberFormat="0" applyBorder="0" applyAlignment="0" applyProtection="0"/>
    <xf numFmtId="190" fontId="115" fillId="57" borderId="0" applyNumberFormat="0" applyBorder="0" applyAlignment="0" applyProtection="0"/>
    <xf numFmtId="190" fontId="115" fillId="57" borderId="0" applyNumberFormat="0" applyBorder="0" applyAlignment="0" applyProtection="0"/>
    <xf numFmtId="190" fontId="115" fillId="57" borderId="0" applyNumberFormat="0" applyBorder="0" applyAlignment="0" applyProtection="0"/>
    <xf numFmtId="190" fontId="115" fillId="57" borderId="0" applyNumberFormat="0" applyBorder="0" applyAlignment="0" applyProtection="0"/>
    <xf numFmtId="190" fontId="115" fillId="61" borderId="0" applyNumberFormat="0" applyBorder="0" applyAlignment="0" applyProtection="0"/>
    <xf numFmtId="190" fontId="115" fillId="61" borderId="0" applyNumberFormat="0" applyBorder="0" applyAlignment="0" applyProtection="0"/>
    <xf numFmtId="190" fontId="115" fillId="61" borderId="0" applyNumberFormat="0" applyBorder="0" applyAlignment="0" applyProtection="0"/>
    <xf numFmtId="190" fontId="115" fillId="61" borderId="0" applyNumberFormat="0" applyBorder="0" applyAlignment="0" applyProtection="0"/>
    <xf numFmtId="190" fontId="115" fillId="61" borderId="0" applyNumberFormat="0" applyBorder="0" applyAlignment="0" applyProtection="0"/>
    <xf numFmtId="190" fontId="115" fillId="65" borderId="0" applyNumberFormat="0" applyBorder="0" applyAlignment="0" applyProtection="0"/>
    <xf numFmtId="190" fontId="115" fillId="65" borderId="0" applyNumberFormat="0" applyBorder="0" applyAlignment="0" applyProtection="0"/>
    <xf numFmtId="190" fontId="115" fillId="65" borderId="0" applyNumberFormat="0" applyBorder="0" applyAlignment="0" applyProtection="0"/>
    <xf numFmtId="190" fontId="115" fillId="65" borderId="0" applyNumberFormat="0" applyBorder="0" applyAlignment="0" applyProtection="0"/>
    <xf numFmtId="190" fontId="115" fillId="65" borderId="0" applyNumberFormat="0" applyBorder="0" applyAlignment="0" applyProtection="0"/>
    <xf numFmtId="190" fontId="115" fillId="69" borderId="0" applyNumberFormat="0" applyBorder="0" applyAlignment="0" applyProtection="0"/>
    <xf numFmtId="190" fontId="115" fillId="69" borderId="0" applyNumberFormat="0" applyBorder="0" applyAlignment="0" applyProtection="0"/>
    <xf numFmtId="190" fontId="115" fillId="69" borderId="0" applyNumberFormat="0" applyBorder="0" applyAlignment="0" applyProtection="0"/>
    <xf numFmtId="190" fontId="115" fillId="69" borderId="0" applyNumberFormat="0" applyBorder="0" applyAlignment="0" applyProtection="0"/>
    <xf numFmtId="190" fontId="115" fillId="69" borderId="0" applyNumberFormat="0" applyBorder="0" applyAlignment="0" applyProtection="0"/>
    <xf numFmtId="206" fontId="12" fillId="0" borderId="0" applyFont="0" applyFill="0" applyBorder="0" applyProtection="0">
      <alignment horizontal="right" vertical="center"/>
    </xf>
    <xf numFmtId="206" fontId="12" fillId="0" borderId="0" applyFont="0" applyFill="0" applyBorder="0" applyProtection="0">
      <alignment horizontal="right" vertical="center"/>
    </xf>
    <xf numFmtId="41" fontId="12" fillId="0" borderId="0" applyFont="0" applyFill="0" applyBorder="0" applyProtection="0">
      <alignment horizontal="right" vertical="center"/>
    </xf>
    <xf numFmtId="41" fontId="12" fillId="0" borderId="0" applyFont="0" applyFill="0" applyBorder="0" applyProtection="0">
      <alignment horizontal="right" vertical="center"/>
    </xf>
    <xf numFmtId="190" fontId="115" fillId="46" borderId="0" applyNumberFormat="0" applyBorder="0" applyAlignment="0" applyProtection="0"/>
    <xf numFmtId="190" fontId="115" fillId="46" borderId="0" applyNumberFormat="0" applyBorder="0" applyAlignment="0" applyProtection="0"/>
    <xf numFmtId="190" fontId="115" fillId="46" borderId="0" applyNumberFormat="0" applyBorder="0" applyAlignment="0" applyProtection="0"/>
    <xf numFmtId="190" fontId="115" fillId="46" borderId="0" applyNumberFormat="0" applyBorder="0" applyAlignment="0" applyProtection="0"/>
    <xf numFmtId="190" fontId="115" fillId="46" borderId="0" applyNumberFormat="0" applyBorder="0" applyAlignment="0" applyProtection="0"/>
    <xf numFmtId="190" fontId="115" fillId="50" borderId="0" applyNumberFormat="0" applyBorder="0" applyAlignment="0" applyProtection="0"/>
    <xf numFmtId="190" fontId="115" fillId="50" borderId="0" applyNumberFormat="0" applyBorder="0" applyAlignment="0" applyProtection="0"/>
    <xf numFmtId="190" fontId="115" fillId="50" borderId="0" applyNumberFormat="0" applyBorder="0" applyAlignment="0" applyProtection="0"/>
    <xf numFmtId="190" fontId="115" fillId="50" borderId="0" applyNumberFormat="0" applyBorder="0" applyAlignment="0" applyProtection="0"/>
    <xf numFmtId="190" fontId="115" fillId="50" borderId="0" applyNumberFormat="0" applyBorder="0" applyAlignment="0" applyProtection="0"/>
    <xf numFmtId="190" fontId="115" fillId="54" borderId="0" applyNumberFormat="0" applyBorder="0" applyAlignment="0" applyProtection="0"/>
    <xf numFmtId="190" fontId="115" fillId="54" borderId="0" applyNumberFormat="0" applyBorder="0" applyAlignment="0" applyProtection="0"/>
    <xf numFmtId="190" fontId="115" fillId="54" borderId="0" applyNumberFormat="0" applyBorder="0" applyAlignment="0" applyProtection="0"/>
    <xf numFmtId="190" fontId="115" fillId="54" borderId="0" applyNumberFormat="0" applyBorder="0" applyAlignment="0" applyProtection="0"/>
    <xf numFmtId="190" fontId="115" fillId="54" borderId="0" applyNumberFormat="0" applyBorder="0" applyAlignment="0" applyProtection="0"/>
    <xf numFmtId="190" fontId="115" fillId="58" borderId="0" applyNumberFormat="0" applyBorder="0" applyAlignment="0" applyProtection="0"/>
    <xf numFmtId="190" fontId="115" fillId="58" borderId="0" applyNumberFormat="0" applyBorder="0" applyAlignment="0" applyProtection="0"/>
    <xf numFmtId="190" fontId="115" fillId="58" borderId="0" applyNumberFormat="0" applyBorder="0" applyAlignment="0" applyProtection="0"/>
    <xf numFmtId="190" fontId="115" fillId="58" borderId="0" applyNumberFormat="0" applyBorder="0" applyAlignment="0" applyProtection="0"/>
    <xf numFmtId="190" fontId="115" fillId="58" borderId="0" applyNumberFormat="0" applyBorder="0" applyAlignment="0" applyProtection="0"/>
    <xf numFmtId="190" fontId="115" fillId="62" borderId="0" applyNumberFormat="0" applyBorder="0" applyAlignment="0" applyProtection="0"/>
    <xf numFmtId="190" fontId="115" fillId="62" borderId="0" applyNumberFormat="0" applyBorder="0" applyAlignment="0" applyProtection="0"/>
    <xf numFmtId="190" fontId="115" fillId="62" borderId="0" applyNumberFormat="0" applyBorder="0" applyAlignment="0" applyProtection="0"/>
    <xf numFmtId="190" fontId="115" fillId="62" borderId="0" applyNumberFormat="0" applyBorder="0" applyAlignment="0" applyProtection="0"/>
    <xf numFmtId="190" fontId="115" fillId="62" borderId="0" applyNumberFormat="0" applyBorder="0" applyAlignment="0" applyProtection="0"/>
    <xf numFmtId="190" fontId="115" fillId="66" borderId="0" applyNumberFormat="0" applyBorder="0" applyAlignment="0" applyProtection="0"/>
    <xf numFmtId="190" fontId="115" fillId="66" borderId="0" applyNumberFormat="0" applyBorder="0" applyAlignment="0" applyProtection="0"/>
    <xf numFmtId="190" fontId="115" fillId="66" borderId="0" applyNumberFormat="0" applyBorder="0" applyAlignment="0" applyProtection="0"/>
    <xf numFmtId="190" fontId="115" fillId="66" borderId="0" applyNumberFormat="0" applyBorder="0" applyAlignment="0" applyProtection="0"/>
    <xf numFmtId="190" fontId="115" fillId="66" borderId="0" applyNumberFormat="0" applyBorder="0" applyAlignment="0" applyProtection="0"/>
    <xf numFmtId="0" fontId="52" fillId="0" borderId="0">
      <alignment horizontal="center" wrapText="1"/>
      <protection locked="0"/>
    </xf>
    <xf numFmtId="38" fontId="116" fillId="0" borderId="0">
      <alignment horizontal="center"/>
    </xf>
    <xf numFmtId="207" fontId="117" fillId="71" borderId="0" applyNumberFormat="0" applyFill="0" applyBorder="0" applyAlignment="0" applyProtection="0"/>
    <xf numFmtId="190" fontId="12" fillId="72" borderId="0"/>
    <xf numFmtId="190" fontId="118" fillId="41" borderId="0" applyNumberFormat="0" applyBorder="0" applyAlignment="0" applyProtection="0"/>
    <xf numFmtId="190" fontId="118" fillId="41" borderId="0" applyNumberFormat="0" applyBorder="0" applyAlignment="0" applyProtection="0"/>
    <xf numFmtId="190" fontId="118" fillId="41" borderId="0" applyNumberFormat="0" applyBorder="0" applyAlignment="0" applyProtection="0"/>
    <xf numFmtId="190" fontId="118" fillId="41" borderId="0" applyNumberFormat="0" applyBorder="0" applyAlignment="0" applyProtection="0"/>
    <xf numFmtId="190" fontId="118" fillId="41" borderId="0" applyNumberFormat="0" applyBorder="0" applyAlignment="0" applyProtection="0"/>
    <xf numFmtId="190" fontId="119" fillId="70" borderId="8">
      <alignment horizontal="center" vertical="center" shrinkToFit="1"/>
      <protection hidden="1"/>
    </xf>
    <xf numFmtId="208" fontId="120" fillId="0" borderId="0" applyNumberFormat="0" applyFill="0" applyBorder="0" applyAlignment="0" applyProtection="0"/>
    <xf numFmtId="190" fontId="121" fillId="0" borderId="0" applyNumberFormat="0" applyFill="0" applyBorder="0" applyAlignment="0" applyProtection="0"/>
    <xf numFmtId="190" fontId="122" fillId="0" borderId="36" applyNumberFormat="0" applyBorder="0">
      <alignment horizontal="center"/>
    </xf>
    <xf numFmtId="190" fontId="122" fillId="0" borderId="0" applyNumberFormat="0" applyFill="0" applyBorder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190" fontId="121" fillId="0" borderId="24" applyNumberFormat="0" applyFill="0" applyAlignment="0" applyProtection="0"/>
    <xf numFmtId="209" fontId="102" fillId="0" borderId="0" applyAlignment="0" applyProtection="0"/>
    <xf numFmtId="209" fontId="102" fillId="0" borderId="0" applyAlignment="0" applyProtection="0"/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37" applyNumberFormat="0" applyAlignment="0" applyProtection="0">
      <alignment horizontal="left" wrapText="1"/>
    </xf>
    <xf numFmtId="49" fontId="123" fillId="0" borderId="0" applyNumberFormat="0" applyAlignment="0" applyProtection="0">
      <alignment horizontal="left" wrapText="1"/>
    </xf>
    <xf numFmtId="49" fontId="124" fillId="0" borderId="0" applyAlignment="0" applyProtection="0">
      <alignment horizontal="left"/>
    </xf>
    <xf numFmtId="190" fontId="15" fillId="0" borderId="0" applyFont="0" applyFill="0" applyBorder="0" applyAlignment="0" applyProtection="0"/>
    <xf numFmtId="5" fontId="12" fillId="0" borderId="0" applyFont="0" applyFill="0" applyBorder="0" applyProtection="0">
      <alignment horizontal="right" vertical="center"/>
    </xf>
    <xf numFmtId="5" fontId="12" fillId="0" borderId="0" applyFont="0" applyFill="0" applyBorder="0" applyProtection="0">
      <alignment horizontal="right" vertical="center"/>
    </xf>
    <xf numFmtId="0" fontId="125" fillId="0" borderId="0" applyNumberFormat="0" applyFont="0" applyFill="0" applyBorder="0" applyProtection="0">
      <alignment horizontal="centerContinuous"/>
    </xf>
    <xf numFmtId="190" fontId="126" fillId="44" borderId="28" applyNumberFormat="0" applyAlignment="0" applyProtection="0"/>
    <xf numFmtId="190" fontId="126" fillId="44" borderId="28" applyNumberFormat="0" applyAlignment="0" applyProtection="0"/>
    <xf numFmtId="190" fontId="126" fillId="44" borderId="28" applyNumberFormat="0" applyAlignment="0" applyProtection="0"/>
    <xf numFmtId="190" fontId="126" fillId="44" borderId="28" applyNumberFormat="0" applyAlignment="0" applyProtection="0"/>
    <xf numFmtId="190" fontId="126" fillId="44" borderId="28" applyNumberFormat="0" applyAlignment="0" applyProtection="0"/>
    <xf numFmtId="0" fontId="127" fillId="0" borderId="0" applyAlignment="0"/>
    <xf numFmtId="190" fontId="128" fillId="45" borderId="31" applyNumberFormat="0" applyAlignment="0" applyProtection="0"/>
    <xf numFmtId="190" fontId="128" fillId="45" borderId="31" applyNumberFormat="0" applyAlignment="0" applyProtection="0"/>
    <xf numFmtId="190" fontId="128" fillId="45" borderId="31" applyNumberFormat="0" applyAlignment="0" applyProtection="0"/>
    <xf numFmtId="190" fontId="128" fillId="45" borderId="31" applyNumberFormat="0" applyAlignment="0" applyProtection="0"/>
    <xf numFmtId="190" fontId="128" fillId="45" borderId="31" applyNumberFormat="0" applyAlignment="0" applyProtection="0"/>
    <xf numFmtId="0" fontId="129" fillId="0" borderId="0" applyAlignment="0"/>
    <xf numFmtId="0" fontId="129" fillId="0" borderId="0" applyAlignment="0"/>
    <xf numFmtId="0" fontId="129" fillId="0" borderId="0" applyAlignment="0"/>
    <xf numFmtId="0" fontId="129" fillId="0" borderId="0" applyAlignment="0"/>
    <xf numFmtId="0" fontId="130" fillId="73" borderId="0" applyAlignment="0"/>
    <xf numFmtId="210" fontId="131" fillId="0" borderId="0"/>
    <xf numFmtId="210" fontId="131" fillId="0" borderId="0"/>
    <xf numFmtId="210" fontId="131" fillId="0" borderId="0"/>
    <xf numFmtId="210" fontId="131" fillId="0" borderId="0"/>
    <xf numFmtId="210" fontId="131" fillId="0" borderId="0"/>
    <xf numFmtId="210" fontId="131" fillId="0" borderId="0"/>
    <xf numFmtId="210" fontId="131" fillId="0" borderId="0"/>
    <xf numFmtId="210" fontId="131" fillId="0" borderId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190" fontId="36" fillId="0" borderId="0" applyFont="0" applyFill="0" applyBorder="0" applyAlignment="0" applyProtection="0"/>
    <xf numFmtId="41" fontId="114" fillId="0" borderId="0" applyFill="0" applyBorder="0" applyAlignment="0" applyProtection="0"/>
    <xf numFmtId="41" fontId="133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33" fillId="0" borderId="0" applyFont="0" applyFill="0" applyBorder="0" applyAlignment="0" applyProtection="0"/>
    <xf numFmtId="41" fontId="134" fillId="0" borderId="0" applyFont="0" applyFill="0" applyBorder="0" applyAlignment="0" applyProtection="0"/>
    <xf numFmtId="41" fontId="114" fillId="0" borderId="0" applyFill="0" applyBorder="0" applyAlignment="0" applyProtection="0"/>
    <xf numFmtId="41" fontId="99" fillId="0" borderId="0" applyFont="0" applyFill="0" applyBorder="0" applyAlignment="0" applyProtection="0"/>
    <xf numFmtId="41" fontId="114" fillId="0" borderId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14" fillId="0" borderId="0" applyFill="0" applyBorder="0" applyAlignment="0" applyProtection="0"/>
    <xf numFmtId="41" fontId="8" fillId="0" borderId="0" applyFont="0" applyFill="0" applyBorder="0" applyAlignment="0" applyProtection="0"/>
    <xf numFmtId="41" fontId="133" fillId="0" borderId="0" applyFont="0" applyFill="0" applyBorder="0" applyAlignment="0" applyProtection="0"/>
    <xf numFmtId="41" fontId="133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3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14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114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8" fillId="0" borderId="0" applyFont="0" applyFill="0" applyBorder="0" applyAlignment="0" applyProtection="0"/>
    <xf numFmtId="171" fontId="12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168" fontId="135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33" fillId="0" borderId="0" applyFont="0" applyFill="0" applyBorder="0" applyAlignment="0" applyProtection="0"/>
    <xf numFmtId="168" fontId="135" fillId="0" borderId="0" applyFont="0" applyFill="0" applyBorder="0" applyAlignment="0" applyProtection="0"/>
    <xf numFmtId="43" fontId="133" fillId="0" borderId="0" applyFont="0" applyFill="0" applyBorder="0" applyAlignment="0" applyProtection="0"/>
    <xf numFmtId="168" fontId="136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168" fontId="136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33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33" fillId="0" borderId="0" applyFont="0" applyFill="0" applyBorder="0" applyAlignment="0" applyProtection="0"/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190" fontId="137" fillId="74" borderId="23">
      <alignment horizontal="left" vertical="center" shrinkToFit="1"/>
      <protection hidden="1"/>
    </xf>
    <xf numFmtId="211" fontId="116" fillId="0" borderId="0">
      <alignment horizontal="center"/>
    </xf>
    <xf numFmtId="0" fontId="138" fillId="0" borderId="0"/>
    <xf numFmtId="190" fontId="139" fillId="0" borderId="0"/>
    <xf numFmtId="190" fontId="139" fillId="0" borderId="0"/>
    <xf numFmtId="42" fontId="114" fillId="0" borderId="0" applyFill="0" applyBorder="0" applyAlignment="0" applyProtection="0"/>
    <xf numFmtId="42" fontId="114" fillId="0" borderId="0" applyFill="0" applyBorder="0" applyAlignment="0" applyProtection="0"/>
    <xf numFmtId="44" fontId="72" fillId="0" borderId="0" applyFont="0" applyFill="0" applyBorder="0" applyAlignment="0" applyProtection="0"/>
    <xf numFmtId="44" fontId="72" fillId="0" borderId="0" applyFont="0" applyFill="0" applyBorder="0" applyAlignment="0" applyProtection="0"/>
    <xf numFmtId="44" fontId="114" fillId="0" borderId="0" applyFill="0" applyBorder="0" applyAlignment="0" applyProtection="0"/>
    <xf numFmtId="190" fontId="15" fillId="0" borderId="0" applyFont="0" applyFill="0" applyBorder="0" applyAlignment="0" applyProtection="0"/>
    <xf numFmtId="212" fontId="140" fillId="0" borderId="0">
      <protection locked="0"/>
    </xf>
    <xf numFmtId="213" fontId="12" fillId="0" borderId="0" applyFont="0" applyFill="0" applyBorder="0" applyProtection="0">
      <alignment horizontal="right" vertical="center"/>
    </xf>
    <xf numFmtId="213" fontId="12" fillId="0" borderId="0" applyFont="0" applyFill="0" applyBorder="0" applyProtection="0">
      <alignment horizontal="right" vertical="center"/>
    </xf>
    <xf numFmtId="214" fontId="12" fillId="0" borderId="0" applyFont="0" applyFill="0" applyBorder="0" applyAlignment="0" applyProtection="0"/>
    <xf numFmtId="214" fontId="12" fillId="0" borderId="0" applyFont="0" applyFill="0" applyBorder="0" applyAlignment="0" applyProtection="0"/>
    <xf numFmtId="215" fontId="29" fillId="0" borderId="0" applyFont="0" applyFill="0" applyBorder="0" applyAlignment="0" applyProtection="0">
      <alignment vertical="center"/>
    </xf>
    <xf numFmtId="190" fontId="141" fillId="0" borderId="0" applyNumberFormat="0" applyFill="0" applyBorder="0" applyAlignment="0" applyProtection="0"/>
    <xf numFmtId="190" fontId="141" fillId="0" borderId="0" applyNumberFormat="0" applyFill="0" applyBorder="0" applyAlignment="0" applyProtection="0"/>
    <xf numFmtId="190" fontId="141" fillId="0" borderId="0" applyNumberFormat="0" applyFill="0" applyBorder="0" applyAlignment="0" applyProtection="0"/>
    <xf numFmtId="190" fontId="141" fillId="0" borderId="0" applyNumberFormat="0" applyFill="0" applyBorder="0" applyAlignment="0" applyProtection="0"/>
    <xf numFmtId="190" fontId="141" fillId="0" borderId="0" applyNumberFormat="0" applyFill="0" applyBorder="0" applyAlignment="0" applyProtection="0"/>
    <xf numFmtId="216" fontId="140" fillId="0" borderId="0">
      <protection locked="0"/>
    </xf>
    <xf numFmtId="190" fontId="142" fillId="0" borderId="0" applyNumberFormat="0" applyFill="0" applyBorder="0" applyAlignment="0" applyProtection="0">
      <alignment vertical="top"/>
      <protection locked="0"/>
    </xf>
    <xf numFmtId="190" fontId="142" fillId="0" borderId="0" applyNumberFormat="0" applyFill="0" applyBorder="0" applyAlignment="0" applyProtection="0">
      <alignment vertical="top"/>
      <protection locked="0"/>
    </xf>
    <xf numFmtId="190" fontId="142" fillId="0" borderId="0" applyNumberFormat="0" applyFill="0" applyBorder="0" applyAlignment="0" applyProtection="0">
      <alignment vertical="top"/>
      <protection locked="0"/>
    </xf>
    <xf numFmtId="190" fontId="142" fillId="0" borderId="0" applyNumberFormat="0" applyFill="0" applyBorder="0" applyAlignment="0" applyProtection="0">
      <alignment vertical="top"/>
      <protection locked="0"/>
    </xf>
    <xf numFmtId="190" fontId="137" fillId="75" borderId="38">
      <alignment horizontal="center" vertical="center" wrapText="1" shrinkToFit="1"/>
      <protection hidden="1"/>
    </xf>
    <xf numFmtId="217" fontId="143" fillId="76" borderId="39" applyFont="0" applyFill="0" applyBorder="0" applyProtection="0">
      <alignment horizontal="right" vertical="center"/>
      <protection locked="0"/>
    </xf>
    <xf numFmtId="190" fontId="144" fillId="40" borderId="0" applyNumberFormat="0" applyBorder="0" applyAlignment="0" applyProtection="0"/>
    <xf numFmtId="190" fontId="144" fillId="40" borderId="0" applyNumberFormat="0" applyBorder="0" applyAlignment="0" applyProtection="0"/>
    <xf numFmtId="190" fontId="144" fillId="40" borderId="0" applyNumberFormat="0" applyBorder="0" applyAlignment="0" applyProtection="0"/>
    <xf numFmtId="190" fontId="144" fillId="40" borderId="0" applyNumberFormat="0" applyBorder="0" applyAlignment="0" applyProtection="0"/>
    <xf numFmtId="190" fontId="144" fillId="40" borderId="0" applyNumberFormat="0" applyBorder="0" applyAlignment="0" applyProtection="0"/>
    <xf numFmtId="190" fontId="145" fillId="77" borderId="40"/>
    <xf numFmtId="0" fontId="37" fillId="0" borderId="3" applyNumberFormat="0" applyAlignment="0" applyProtection="0">
      <alignment horizontal="left" vertical="center"/>
    </xf>
    <xf numFmtId="0" fontId="37" fillId="0" borderId="4">
      <alignment horizontal="left" vertical="center"/>
    </xf>
    <xf numFmtId="190" fontId="146" fillId="75" borderId="8" applyBorder="0">
      <alignment horizontal="center" vertical="center" shrinkToFit="1"/>
      <protection hidden="1"/>
    </xf>
    <xf numFmtId="49" fontId="147" fillId="0" borderId="41" applyProtection="0">
      <alignment horizontal="right" wrapText="1"/>
    </xf>
    <xf numFmtId="49" fontId="147" fillId="0" borderId="41" applyProtection="0">
      <alignment horizontal="right" wrapText="1"/>
    </xf>
    <xf numFmtId="49" fontId="148" fillId="0" borderId="42" applyFill="0" applyProtection="0">
      <alignment horizontal="right" wrapText="1"/>
    </xf>
    <xf numFmtId="49" fontId="147" fillId="0" borderId="0" applyProtection="0">
      <alignment wrapText="1"/>
    </xf>
    <xf numFmtId="49" fontId="147" fillId="0" borderId="0" applyProtection="0">
      <alignment wrapText="1"/>
    </xf>
    <xf numFmtId="49" fontId="149" fillId="0" borderId="43" applyProtection="0">
      <alignment horizontal="right" wrapText="1"/>
    </xf>
    <xf numFmtId="49" fontId="150" fillId="0" borderId="43" applyProtection="0">
      <alignment horizontal="right" wrapText="1"/>
    </xf>
    <xf numFmtId="49" fontId="149" fillId="0" borderId="0" applyProtection="0">
      <alignment wrapText="1"/>
    </xf>
    <xf numFmtId="49" fontId="149" fillId="0" borderId="0" applyProtection="0">
      <alignment wrapText="1"/>
    </xf>
    <xf numFmtId="193" fontId="151" fillId="0" borderId="0"/>
    <xf numFmtId="193" fontId="152" fillId="0" borderId="0"/>
    <xf numFmtId="0" fontId="153" fillId="0" borderId="0" applyNumberFormat="0" applyFill="0" applyBorder="0" applyAlignment="0" applyProtection="0"/>
    <xf numFmtId="190" fontId="154" fillId="0" borderId="0" applyNumberFormat="0" applyFill="0" applyBorder="0" applyAlignment="0" applyProtection="0">
      <alignment vertical="top"/>
      <protection locked="0"/>
    </xf>
    <xf numFmtId="190" fontId="154" fillId="0" borderId="0" applyNumberFormat="0" applyFill="0" applyBorder="0" applyAlignment="0" applyProtection="0">
      <alignment vertical="top"/>
      <protection locked="0"/>
    </xf>
    <xf numFmtId="190" fontId="154" fillId="0" borderId="0" applyNumberFormat="0" applyFill="0" applyBorder="0" applyAlignment="0" applyProtection="0">
      <alignment vertical="top"/>
      <protection locked="0"/>
    </xf>
    <xf numFmtId="190" fontId="154" fillId="0" borderId="0" applyNumberFormat="0" applyFill="0" applyBorder="0" applyAlignment="0" applyProtection="0">
      <alignment vertical="top"/>
      <protection locked="0"/>
    </xf>
    <xf numFmtId="190" fontId="154" fillId="0" borderId="0" applyNumberFormat="0" applyFill="0" applyBorder="0" applyAlignment="0" applyProtection="0">
      <alignment vertical="top"/>
      <protection locked="0"/>
    </xf>
    <xf numFmtId="208" fontId="117" fillId="78" borderId="8" applyNumberFormat="0" applyAlignment="0" applyProtection="0"/>
    <xf numFmtId="190" fontId="155" fillId="43" borderId="28" applyNumberFormat="0" applyAlignment="0" applyProtection="0"/>
    <xf numFmtId="190" fontId="155" fillId="43" borderId="28" applyNumberFormat="0" applyAlignment="0" applyProtection="0"/>
    <xf numFmtId="190" fontId="155" fillId="43" borderId="28" applyNumberFormat="0" applyAlignment="0" applyProtection="0"/>
    <xf numFmtId="190" fontId="155" fillId="43" borderId="28" applyNumberFormat="0" applyAlignment="0" applyProtection="0"/>
    <xf numFmtId="190" fontId="155" fillId="43" borderId="28" applyNumberFormat="0" applyAlignment="0" applyProtection="0"/>
    <xf numFmtId="218" fontId="156" fillId="30" borderId="0"/>
    <xf numFmtId="0" fontId="157" fillId="0" borderId="0" applyAlignment="0"/>
    <xf numFmtId="0" fontId="157" fillId="0" borderId="0" applyAlignment="0"/>
    <xf numFmtId="0" fontId="157" fillId="0" borderId="0" applyAlignment="0"/>
    <xf numFmtId="190" fontId="138" fillId="0" borderId="8">
      <alignment horizontal="left" vertical="center" wrapText="1"/>
    </xf>
    <xf numFmtId="0" fontId="12" fillId="0" borderId="44" applyNumberFormat="0" applyFont="0" applyFill="0" applyAlignment="0" applyProtection="0">
      <alignment horizontal="right"/>
    </xf>
    <xf numFmtId="0" fontId="12" fillId="0" borderId="44" applyNumberFormat="0" applyFont="0" applyFill="0" applyAlignment="0" applyProtection="0">
      <alignment horizontal="right"/>
    </xf>
    <xf numFmtId="0" fontId="12" fillId="0" borderId="44" applyNumberFormat="0" applyFont="0" applyFill="0" applyAlignment="0" applyProtection="0">
      <alignment horizontal="right"/>
    </xf>
    <xf numFmtId="0" fontId="12" fillId="0" borderId="44" applyNumberFormat="0" applyFont="0" applyFill="0" applyAlignment="0" applyProtection="0">
      <alignment horizontal="right"/>
    </xf>
    <xf numFmtId="190" fontId="12" fillId="0" borderId="0"/>
    <xf numFmtId="190" fontId="158" fillId="0" borderId="30" applyNumberFormat="0" applyFill="0" applyAlignment="0" applyProtection="0"/>
    <xf numFmtId="190" fontId="158" fillId="0" borderId="30" applyNumberFormat="0" applyFill="0" applyAlignment="0" applyProtection="0"/>
    <xf numFmtId="190" fontId="158" fillId="0" borderId="30" applyNumberFormat="0" applyFill="0" applyAlignment="0" applyProtection="0"/>
    <xf numFmtId="190" fontId="158" fillId="0" borderId="30" applyNumberFormat="0" applyFill="0" applyAlignment="0" applyProtection="0"/>
    <xf numFmtId="190" fontId="158" fillId="0" borderId="30" applyNumberFormat="0" applyFill="0" applyAlignment="0" applyProtection="0"/>
    <xf numFmtId="37" fontId="12" fillId="0" borderId="0" applyFont="0" applyFill="0" applyBorder="0" applyAlignment="0" applyProtection="0"/>
    <xf numFmtId="6" fontId="45" fillId="0" borderId="0" applyFont="0" applyFill="0" applyBorder="0" applyAlignment="0" applyProtection="0"/>
    <xf numFmtId="8" fontId="45" fillId="0" borderId="0" applyFont="0" applyFill="0" applyBorder="0" applyAlignment="0" applyProtection="0"/>
    <xf numFmtId="219" fontId="12" fillId="0" borderId="0" applyFont="0" applyFill="0" applyBorder="0" applyProtection="0">
      <alignment horizontal="right" vertical="center"/>
    </xf>
    <xf numFmtId="219" fontId="12" fillId="0" borderId="0" applyFont="0" applyFill="0" applyBorder="0" applyProtection="0">
      <alignment horizontal="right" vertical="center"/>
    </xf>
    <xf numFmtId="220" fontId="12" fillId="0" borderId="0" applyFont="0" applyFill="0" applyBorder="0" applyProtection="0">
      <alignment horizontal="right" vertical="center"/>
    </xf>
    <xf numFmtId="220" fontId="12" fillId="0" borderId="0" applyFont="0" applyFill="0" applyBorder="0" applyProtection="0">
      <alignment horizontal="right" vertical="center"/>
    </xf>
    <xf numFmtId="221" fontId="12" fillId="0" borderId="0" applyFont="0" applyFill="0" applyBorder="0" applyProtection="0">
      <alignment horizontal="right" vertical="center"/>
    </xf>
    <xf numFmtId="221" fontId="12" fillId="0" borderId="0" applyFont="0" applyFill="0" applyBorder="0" applyProtection="0">
      <alignment horizontal="right" vertical="center"/>
    </xf>
    <xf numFmtId="222" fontId="12" fillId="0" borderId="0" applyFont="0" applyFill="0" applyBorder="0" applyProtection="0">
      <alignment horizontal="right" vertical="center"/>
    </xf>
    <xf numFmtId="222" fontId="12" fillId="0" borderId="0" applyFont="0" applyFill="0" applyBorder="0" applyProtection="0">
      <alignment horizontal="right" vertical="center"/>
    </xf>
    <xf numFmtId="190" fontId="159" fillId="42" borderId="0" applyNumberFormat="0" applyBorder="0" applyAlignment="0" applyProtection="0"/>
    <xf numFmtId="190" fontId="159" fillId="42" borderId="0" applyNumberFormat="0" applyBorder="0" applyAlignment="0" applyProtection="0"/>
    <xf numFmtId="190" fontId="159" fillId="42" borderId="0" applyNumberFormat="0" applyBorder="0" applyAlignment="0" applyProtection="0"/>
    <xf numFmtId="190" fontId="159" fillId="42" borderId="0" applyNumberFormat="0" applyBorder="0" applyAlignment="0" applyProtection="0"/>
    <xf numFmtId="190" fontId="159" fillId="42" borderId="0" applyNumberFormat="0" applyBorder="0" applyAlignment="0" applyProtection="0"/>
    <xf numFmtId="0" fontId="160" fillId="79" borderId="0" applyAlignment="0"/>
    <xf numFmtId="0" fontId="161" fillId="78" borderId="0" applyAlignment="0"/>
    <xf numFmtId="0" fontId="162" fillId="0" borderId="0" applyAlignment="0"/>
    <xf numFmtId="190" fontId="139" fillId="0" borderId="0"/>
    <xf numFmtId="190" fontId="30" fillId="0" borderId="0" applyNumberFormat="0" applyAlignment="0">
      <alignment horizontal="center"/>
    </xf>
    <xf numFmtId="0" fontId="163" fillId="0" borderId="0"/>
    <xf numFmtId="190" fontId="164" fillId="0" borderId="0"/>
    <xf numFmtId="0" fontId="163" fillId="0" borderId="0"/>
    <xf numFmtId="190" fontId="8" fillId="0" borderId="0"/>
    <xf numFmtId="0" fontId="8" fillId="0" borderId="0"/>
    <xf numFmtId="0" fontId="12" fillId="0" borderId="0"/>
    <xf numFmtId="190" fontId="12" fillId="0" borderId="0"/>
    <xf numFmtId="0" fontId="12" fillId="0" borderId="0"/>
    <xf numFmtId="190" fontId="8" fillId="0" borderId="0"/>
    <xf numFmtId="0" fontId="12" fillId="0" borderId="0"/>
    <xf numFmtId="0" fontId="12" fillId="0" borderId="0"/>
    <xf numFmtId="190" fontId="133" fillId="0" borderId="0"/>
    <xf numFmtId="190" fontId="12" fillId="0" borderId="0"/>
    <xf numFmtId="190" fontId="12" fillId="0" borderId="0"/>
    <xf numFmtId="190" fontId="12" fillId="0" borderId="0"/>
    <xf numFmtId="190" fontId="12" fillId="0" borderId="0"/>
    <xf numFmtId="190" fontId="12" fillId="0" borderId="0"/>
    <xf numFmtId="190" fontId="12" fillId="0" borderId="0"/>
    <xf numFmtId="190" fontId="36" fillId="0" borderId="0"/>
    <xf numFmtId="190" fontId="133" fillId="0" borderId="0"/>
    <xf numFmtId="0" fontId="12" fillId="0" borderId="0"/>
    <xf numFmtId="190" fontId="164" fillId="0" borderId="0"/>
    <xf numFmtId="0" fontId="12" fillId="0" borderId="0"/>
    <xf numFmtId="190" fontId="8" fillId="0" borderId="0"/>
    <xf numFmtId="0" fontId="12" fillId="0" borderId="0"/>
    <xf numFmtId="190" fontId="164" fillId="0" borderId="0"/>
    <xf numFmtId="0" fontId="12" fillId="0" borderId="0"/>
    <xf numFmtId="190" fontId="8" fillId="0" borderId="0"/>
    <xf numFmtId="0" fontId="12" fillId="0" borderId="0"/>
    <xf numFmtId="190" fontId="12" fillId="0" borderId="0">
      <alignment vertical="top"/>
    </xf>
    <xf numFmtId="0" fontId="12" fillId="0" borderId="0"/>
    <xf numFmtId="190" fontId="8" fillId="0" borderId="0"/>
    <xf numFmtId="190" fontId="12" fillId="0" borderId="0"/>
    <xf numFmtId="0" fontId="8" fillId="0" borderId="0"/>
    <xf numFmtId="0" fontId="8" fillId="0" borderId="0"/>
    <xf numFmtId="0" fontId="8" fillId="0" borderId="0"/>
    <xf numFmtId="190" fontId="12" fillId="0" borderId="0"/>
    <xf numFmtId="0" fontId="8" fillId="0" borderId="0"/>
    <xf numFmtId="190" fontId="8" fillId="0" borderId="0"/>
    <xf numFmtId="0" fontId="12" fillId="0" borderId="0"/>
    <xf numFmtId="190" fontId="12" fillId="0" borderId="0">
      <alignment vertical="top"/>
    </xf>
    <xf numFmtId="0" fontId="12" fillId="0" borderId="0"/>
    <xf numFmtId="190" fontId="8" fillId="0" borderId="0"/>
    <xf numFmtId="190" fontId="12" fillId="0" borderId="0"/>
    <xf numFmtId="0" fontId="12" fillId="0" borderId="0"/>
    <xf numFmtId="190" fontId="8" fillId="0" borderId="0"/>
    <xf numFmtId="190" fontId="12" fillId="0" borderId="0"/>
    <xf numFmtId="0" fontId="12" fillId="0" borderId="0"/>
    <xf numFmtId="190" fontId="8" fillId="0" borderId="0"/>
    <xf numFmtId="190" fontId="12" fillId="0" borderId="0"/>
    <xf numFmtId="190" fontId="12" fillId="0" borderId="0"/>
    <xf numFmtId="190" fontId="12" fillId="0" borderId="0"/>
    <xf numFmtId="190" fontId="12" fillId="0" borderId="0"/>
    <xf numFmtId="0" fontId="12" fillId="0" borderId="0"/>
    <xf numFmtId="223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90" fontId="8" fillId="0" borderId="0"/>
    <xf numFmtId="0" fontId="163" fillId="0" borderId="0"/>
    <xf numFmtId="0" fontId="163" fillId="0" borderId="0"/>
    <xf numFmtId="190" fontId="12" fillId="0" borderId="0"/>
    <xf numFmtId="0" fontId="8" fillId="0" borderId="0"/>
    <xf numFmtId="0" fontId="8" fillId="0" borderId="0"/>
    <xf numFmtId="190" fontId="8" fillId="0" borderId="0"/>
    <xf numFmtId="0" fontId="8" fillId="0" borderId="0"/>
    <xf numFmtId="190" fontId="12" fillId="0" borderId="0"/>
    <xf numFmtId="0" fontId="8" fillId="0" borderId="0"/>
    <xf numFmtId="0" fontId="8" fillId="0" borderId="0"/>
    <xf numFmtId="190" fontId="12" fillId="0" borderId="0"/>
    <xf numFmtId="0" fontId="8" fillId="0" borderId="0"/>
    <xf numFmtId="190" fontId="165" fillId="0" borderId="0"/>
    <xf numFmtId="0" fontId="113" fillId="0" borderId="0"/>
    <xf numFmtId="190" fontId="12" fillId="0" borderId="0"/>
    <xf numFmtId="0" fontId="113" fillId="0" borderId="0"/>
    <xf numFmtId="190" fontId="19" fillId="0" borderId="0"/>
    <xf numFmtId="0" fontId="136" fillId="0" borderId="0"/>
    <xf numFmtId="0" fontId="136" fillId="0" borderId="0"/>
    <xf numFmtId="190" fontId="12" fillId="0" borderId="0"/>
    <xf numFmtId="0" fontId="8" fillId="0" borderId="0"/>
    <xf numFmtId="0" fontId="8" fillId="0" borderId="0"/>
    <xf numFmtId="190" fontId="12" fillId="0" borderId="0"/>
    <xf numFmtId="190" fontId="12" fillId="0" borderId="0"/>
    <xf numFmtId="190" fontId="12" fillId="0" borderId="0"/>
    <xf numFmtId="190" fontId="12" fillId="0" borderId="0"/>
    <xf numFmtId="0" fontId="19" fillId="0" borderId="0"/>
    <xf numFmtId="0" fontId="12" fillId="0" borderId="0"/>
    <xf numFmtId="190" fontId="12" fillId="0" borderId="0"/>
    <xf numFmtId="0" fontId="12" fillId="0" borderId="0"/>
    <xf numFmtId="190" fontId="8" fillId="0" borderId="0"/>
    <xf numFmtId="0" fontId="8" fillId="0" borderId="0"/>
    <xf numFmtId="0" fontId="8" fillId="0" borderId="0"/>
    <xf numFmtId="0" fontId="8" fillId="0" borderId="0"/>
    <xf numFmtId="190" fontId="8" fillId="0" borderId="0"/>
    <xf numFmtId="0" fontId="8" fillId="0" borderId="0"/>
    <xf numFmtId="0" fontId="8" fillId="0" borderId="0"/>
    <xf numFmtId="0" fontId="8" fillId="0" borderId="0"/>
    <xf numFmtId="190" fontId="8" fillId="0" borderId="0"/>
    <xf numFmtId="190" fontId="8" fillId="0" borderId="0"/>
    <xf numFmtId="190" fontId="164" fillId="0" borderId="0"/>
    <xf numFmtId="0" fontId="72" fillId="0" borderId="0"/>
    <xf numFmtId="190" fontId="8" fillId="0" borderId="0"/>
    <xf numFmtId="190" fontId="8" fillId="0" borderId="0"/>
    <xf numFmtId="190" fontId="8" fillId="0" borderId="0"/>
    <xf numFmtId="190" fontId="8" fillId="0" borderId="0"/>
    <xf numFmtId="190" fontId="8" fillId="0" borderId="0"/>
    <xf numFmtId="190" fontId="164" fillId="0" borderId="0"/>
    <xf numFmtId="190" fontId="8" fillId="0" borderId="0"/>
    <xf numFmtId="190" fontId="8" fillId="0" borderId="0"/>
    <xf numFmtId="0" fontId="133" fillId="0" borderId="0"/>
    <xf numFmtId="0" fontId="133" fillId="0" borderId="0"/>
    <xf numFmtId="0" fontId="133" fillId="0" borderId="0"/>
    <xf numFmtId="0" fontId="12" fillId="0" borderId="0"/>
    <xf numFmtId="0" fontId="133" fillId="0" borderId="0"/>
    <xf numFmtId="0" fontId="132" fillId="0" borderId="0"/>
    <xf numFmtId="0" fontId="132" fillId="0" borderId="0"/>
    <xf numFmtId="0" fontId="132" fillId="0" borderId="0"/>
    <xf numFmtId="0" fontId="72" fillId="0" borderId="0"/>
    <xf numFmtId="190" fontId="8" fillId="0" borderId="0"/>
    <xf numFmtId="0" fontId="8" fillId="0" borderId="0"/>
    <xf numFmtId="0" fontId="133" fillId="0" borderId="0"/>
    <xf numFmtId="0" fontId="133" fillId="0" borderId="0"/>
    <xf numFmtId="0" fontId="8" fillId="0" borderId="0"/>
    <xf numFmtId="0" fontId="8" fillId="0" borderId="0"/>
    <xf numFmtId="0" fontId="8" fillId="0" borderId="0"/>
    <xf numFmtId="0" fontId="8" fillId="0" borderId="0"/>
    <xf numFmtId="190" fontId="133" fillId="0" borderId="0"/>
    <xf numFmtId="0" fontId="8" fillId="0" borderId="0"/>
    <xf numFmtId="190" fontId="133" fillId="0" borderId="0"/>
    <xf numFmtId="0" fontId="8" fillId="0" borderId="0"/>
    <xf numFmtId="0" fontId="8" fillId="0" borderId="0"/>
    <xf numFmtId="190" fontId="12" fillId="0" borderId="0"/>
    <xf numFmtId="0" fontId="133" fillId="0" borderId="0"/>
    <xf numFmtId="0" fontId="133" fillId="0" borderId="0"/>
    <xf numFmtId="0" fontId="133" fillId="0" borderId="0"/>
    <xf numFmtId="0" fontId="8" fillId="0" borderId="0"/>
    <xf numFmtId="0" fontId="133" fillId="0" borderId="0"/>
    <xf numFmtId="0" fontId="8" fillId="0" borderId="0"/>
    <xf numFmtId="0" fontId="8" fillId="0" borderId="0"/>
    <xf numFmtId="0" fontId="8" fillId="0" borderId="0"/>
    <xf numFmtId="19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90" fontId="164" fillId="0" borderId="0"/>
    <xf numFmtId="0" fontId="8" fillId="0" borderId="0"/>
    <xf numFmtId="190" fontId="8" fillId="0" borderId="0"/>
    <xf numFmtId="190" fontId="8" fillId="0" borderId="0"/>
    <xf numFmtId="0" fontId="8" fillId="0" borderId="0"/>
    <xf numFmtId="190" fontId="164" fillId="0" borderId="0"/>
    <xf numFmtId="190" fontId="8" fillId="0" borderId="0"/>
    <xf numFmtId="190" fontId="8" fillId="0" borderId="0"/>
    <xf numFmtId="190" fontId="133" fillId="0" borderId="0"/>
    <xf numFmtId="0" fontId="8" fillId="0" borderId="0"/>
    <xf numFmtId="190" fontId="133" fillId="0" borderId="0"/>
    <xf numFmtId="0" fontId="8" fillId="0" borderId="0"/>
    <xf numFmtId="0" fontId="8" fillId="0" borderId="0"/>
    <xf numFmtId="190" fontId="8" fillId="0" borderId="0"/>
    <xf numFmtId="0" fontId="8" fillId="0" borderId="0"/>
    <xf numFmtId="190" fontId="8" fillId="0" borderId="0"/>
    <xf numFmtId="190" fontId="8" fillId="0" borderId="0"/>
    <xf numFmtId="190" fontId="166" fillId="0" borderId="0"/>
    <xf numFmtId="0" fontId="8" fillId="0" borderId="0"/>
    <xf numFmtId="190" fontId="99" fillId="0" borderId="0"/>
    <xf numFmtId="0" fontId="132" fillId="0" borderId="0"/>
    <xf numFmtId="190" fontId="8" fillId="0" borderId="0"/>
    <xf numFmtId="190" fontId="164" fillId="0" borderId="0"/>
    <xf numFmtId="0" fontId="12" fillId="0" borderId="0"/>
    <xf numFmtId="190" fontId="8" fillId="0" borderId="0"/>
    <xf numFmtId="0" fontId="12" fillId="0" borderId="0"/>
    <xf numFmtId="0" fontId="12" fillId="0" borderId="0"/>
    <xf numFmtId="190" fontId="8" fillId="0" borderId="0"/>
    <xf numFmtId="190" fontId="167" fillId="0" borderId="0"/>
    <xf numFmtId="190" fontId="30" fillId="0" borderId="45" applyAlignment="0" applyProtection="0">
      <alignment horizontal="center"/>
    </xf>
    <xf numFmtId="190" fontId="122" fillId="0" borderId="0" applyFill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224" fontId="168" fillId="0" borderId="0" applyFill="0" applyBorder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0" fontId="54" fillId="22" borderId="11" applyNumberFormat="0" applyAlignment="0" applyProtection="0"/>
    <xf numFmtId="190" fontId="169" fillId="44" borderId="29" applyNumberFormat="0" applyAlignment="0" applyProtection="0"/>
    <xf numFmtId="190" fontId="169" fillId="44" borderId="29" applyNumberFormat="0" applyAlignment="0" applyProtection="0"/>
    <xf numFmtId="190" fontId="169" fillId="44" borderId="29" applyNumberFormat="0" applyAlignment="0" applyProtection="0"/>
    <xf numFmtId="190" fontId="169" fillId="44" borderId="29" applyNumberFormat="0" applyAlignment="0" applyProtection="0"/>
    <xf numFmtId="225" fontId="12" fillId="0" borderId="0" applyFont="0" applyFill="0" applyBorder="0" applyProtection="0">
      <alignment horizontal="right" vertical="center"/>
    </xf>
    <xf numFmtId="225" fontId="12" fillId="0" borderId="0" applyFont="0" applyFill="0" applyBorder="0" applyProtection="0">
      <alignment horizontal="right" vertical="center"/>
    </xf>
    <xf numFmtId="226" fontId="12" fillId="0" borderId="0" applyFont="0" applyFill="0" applyBorder="0" applyProtection="0">
      <alignment horizontal="right" vertical="center"/>
    </xf>
    <xf numFmtId="226" fontId="12" fillId="0" borderId="0" applyFont="0" applyFill="0" applyBorder="0" applyProtection="0">
      <alignment horizontal="right" vertical="center"/>
    </xf>
    <xf numFmtId="49" fontId="170" fillId="0" borderId="24" applyFill="0" applyProtection="0">
      <alignment vertical="center"/>
    </xf>
    <xf numFmtId="14" fontId="52" fillId="0" borderId="0">
      <alignment horizontal="center" wrapText="1"/>
      <protection locked="0"/>
    </xf>
    <xf numFmtId="0" fontId="138" fillId="0" borderId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14" fillId="0" borderId="0" applyFill="0" applyBorder="0" applyAlignment="0" applyProtection="0"/>
    <xf numFmtId="9" fontId="12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14" fillId="0" borderId="0" applyFill="0" applyBorder="0" applyAlignment="0" applyProtection="0"/>
    <xf numFmtId="9" fontId="133" fillId="0" borderId="0" applyFont="0" applyFill="0" applyBorder="0" applyAlignment="0" applyProtection="0"/>
    <xf numFmtId="227" fontId="114" fillId="0" borderId="0" applyFill="0" applyBorder="0" applyAlignment="0" applyProtection="0"/>
    <xf numFmtId="9" fontId="12" fillId="0" borderId="0" applyFont="0" applyFill="0" applyBorder="0" applyAlignment="0" applyProtection="0"/>
    <xf numFmtId="9" fontId="133" fillId="0" borderId="0" applyFont="0" applyFill="0" applyBorder="0" applyAlignment="0" applyProtection="0"/>
    <xf numFmtId="227" fontId="114" fillId="0" borderId="0" applyFill="0" applyBorder="0" applyAlignment="0" applyProtection="0"/>
    <xf numFmtId="9" fontId="133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13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>
      <alignment vertical="center"/>
    </xf>
    <xf numFmtId="9" fontId="135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8" fillId="0" borderId="0" applyFont="0" applyFill="0" applyBorder="0" applyAlignment="0" applyProtection="0"/>
    <xf numFmtId="227" fontId="114" fillId="0" borderId="0" applyFill="0" applyBorder="0" applyAlignment="0" applyProtection="0"/>
    <xf numFmtId="227" fontId="114" fillId="0" borderId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228" fontId="12" fillId="0" borderId="0" applyFont="0" applyFill="0" applyBorder="0" applyAlignment="0" applyProtection="0"/>
    <xf numFmtId="229" fontId="46" fillId="70" borderId="0" applyFont="0" applyFill="0" applyBorder="0" applyAlignment="0" applyProtection="0"/>
    <xf numFmtId="190" fontId="171" fillId="0" borderId="0" applyNumberFormat="0" applyFill="0" applyBorder="0" applyAlignment="0" applyProtection="0"/>
    <xf numFmtId="190" fontId="171" fillId="0" borderId="0" applyNumberFormat="0" applyFill="0" applyBorder="0" applyAlignment="0" applyProtection="0"/>
    <xf numFmtId="230" fontId="172" fillId="75" borderId="33" applyBorder="0">
      <alignment horizontal="center" vertical="center" wrapText="1"/>
      <protection hidden="1"/>
    </xf>
    <xf numFmtId="0" fontId="173" fillId="80" borderId="0" applyAlignment="0"/>
    <xf numFmtId="231" fontId="147" fillId="0" borderId="0" applyNumberFormat="0" applyFill="0" applyBorder="0" applyAlignment="0" applyProtection="0"/>
    <xf numFmtId="231" fontId="174" fillId="0" borderId="0" applyNumberFormat="0" applyFill="0" applyBorder="0" applyAlignment="0" applyProtection="0"/>
    <xf numFmtId="231" fontId="114" fillId="81" borderId="0" applyNumberFormat="0" applyFont="0" applyBorder="0" applyAlignment="0" applyProtection="0"/>
    <xf numFmtId="231" fontId="114" fillId="81" borderId="0" applyNumberFormat="0" applyFont="0" applyBorder="0" applyAlignment="0" applyProtection="0"/>
    <xf numFmtId="231" fontId="114" fillId="82" borderId="0" applyNumberFormat="0" applyFont="0" applyBorder="0" applyAlignment="0" applyProtection="0"/>
    <xf numFmtId="190" fontId="114" fillId="0" borderId="0" applyFill="0" applyBorder="0" applyProtection="0"/>
    <xf numFmtId="190" fontId="114" fillId="0" borderId="0" applyFill="0" applyBorder="0" applyProtection="0"/>
    <xf numFmtId="190" fontId="114" fillId="0" borderId="0" applyFill="0" applyBorder="0" applyProtection="0"/>
    <xf numFmtId="190" fontId="114" fillId="0" borderId="0" applyFill="0" applyBorder="0" applyProtection="0"/>
    <xf numFmtId="190" fontId="114" fillId="0" borderId="0" applyFill="0" applyBorder="0" applyProtection="0"/>
    <xf numFmtId="190" fontId="114" fillId="0" borderId="0" applyFill="0" applyBorder="0" applyProtection="0"/>
    <xf numFmtId="231" fontId="114" fillId="83" borderId="0" applyNumberFormat="0" applyFont="0" applyBorder="0" applyAlignment="0" applyProtection="0"/>
    <xf numFmtId="231" fontId="114" fillId="39" borderId="0" applyNumberFormat="0" applyFont="0" applyBorder="0" applyAlignment="0" applyProtection="0"/>
    <xf numFmtId="231" fontId="114" fillId="84" borderId="0" applyNumberFormat="0" applyFont="0" applyBorder="0" applyAlignment="0" applyProtection="0"/>
    <xf numFmtId="227" fontId="114" fillId="0" borderId="0" applyFill="0" applyBorder="0" applyAlignment="0" applyProtection="0"/>
    <xf numFmtId="207" fontId="114" fillId="0" borderId="0" applyFill="0" applyBorder="0" applyAlignment="0" applyProtection="0"/>
    <xf numFmtId="227" fontId="114" fillId="0" borderId="0" applyFill="0" applyBorder="0" applyAlignment="0" applyProtection="0"/>
    <xf numFmtId="190" fontId="175" fillId="0" borderId="0" applyNumberFormat="0" applyAlignment="0" applyProtection="0"/>
    <xf numFmtId="190" fontId="175" fillId="0" borderId="0" applyNumberFormat="0" applyAlignment="0" applyProtection="0"/>
    <xf numFmtId="190" fontId="175" fillId="0" borderId="0" applyNumberFormat="0" applyAlignment="0" applyProtection="0"/>
    <xf numFmtId="231" fontId="175" fillId="0" borderId="0" applyNumberFormat="0" applyAlignment="0" applyProtection="0"/>
    <xf numFmtId="0" fontId="175" fillId="0" borderId="0" applyNumberFormat="0" applyAlignment="0" applyProtection="0"/>
    <xf numFmtId="190" fontId="147" fillId="0" borderId="42" applyFill="0" applyProtection="0">
      <alignment horizontal="right" wrapText="1"/>
    </xf>
    <xf numFmtId="0" fontId="147" fillId="0" borderId="42" applyFill="0" applyProtection="0">
      <alignment horizontal="right" wrapText="1"/>
    </xf>
    <xf numFmtId="190" fontId="147" fillId="0" borderId="42" applyFill="0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2" applyFill="0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1" applyProtection="0">
      <alignment horizontal="right" wrapText="1"/>
    </xf>
    <xf numFmtId="190" fontId="147" fillId="0" borderId="42" applyFill="0" applyProtection="0">
      <alignment horizontal="right" wrapText="1"/>
    </xf>
    <xf numFmtId="190" fontId="147" fillId="0" borderId="0" applyFill="0" applyProtection="0">
      <alignment wrapText="1"/>
    </xf>
    <xf numFmtId="190" fontId="147" fillId="0" borderId="0" applyFill="0" applyProtection="0">
      <alignment wrapText="1"/>
    </xf>
    <xf numFmtId="190" fontId="147" fillId="0" borderId="0" applyProtection="0">
      <alignment wrapText="1"/>
    </xf>
    <xf numFmtId="190" fontId="147" fillId="0" borderId="0" applyProtection="0">
      <alignment wrapText="1"/>
    </xf>
    <xf numFmtId="190" fontId="147" fillId="0" borderId="0" applyFill="0" applyProtection="0">
      <alignment wrapText="1"/>
    </xf>
    <xf numFmtId="190" fontId="147" fillId="0" borderId="0" applyProtection="0">
      <alignment wrapText="1"/>
    </xf>
    <xf numFmtId="190" fontId="147" fillId="0" borderId="0" applyProtection="0">
      <alignment wrapText="1"/>
    </xf>
    <xf numFmtId="190" fontId="147" fillId="0" borderId="0" applyProtection="0">
      <alignment wrapText="1"/>
    </xf>
    <xf numFmtId="190" fontId="147" fillId="0" borderId="0" applyProtection="0">
      <alignment wrapText="1"/>
    </xf>
    <xf numFmtId="190" fontId="147" fillId="0" borderId="0" applyProtection="0">
      <alignment wrapText="1"/>
    </xf>
    <xf numFmtId="231" fontId="176" fillId="0" borderId="46" applyNumberFormat="0" applyFill="0" applyAlignment="0" applyProtection="0"/>
    <xf numFmtId="231" fontId="176" fillId="0" borderId="47" applyNumberFormat="0" applyFill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98" fillId="0" borderId="0" applyAlignment="0" applyProtection="0"/>
    <xf numFmtId="190" fontId="177" fillId="0" borderId="0" applyAlignment="0" applyProtection="0"/>
    <xf numFmtId="190" fontId="176" fillId="0" borderId="48" applyNumberFormat="0" applyFill="0" applyAlignment="0" applyProtection="0"/>
    <xf numFmtId="190" fontId="176" fillId="0" borderId="48" applyNumberFormat="0" applyFill="0" applyAlignment="0" applyProtection="0"/>
    <xf numFmtId="231" fontId="176" fillId="0" borderId="49" applyNumberFormat="0" applyFill="0" applyAlignment="0" applyProtection="0"/>
    <xf numFmtId="231" fontId="178" fillId="0" borderId="49" applyNumberFormat="0" applyFill="0" applyAlignment="0" applyProtection="0"/>
    <xf numFmtId="190" fontId="176" fillId="0" borderId="48" applyNumberFormat="0" applyFill="0" applyAlignment="0" applyProtection="0"/>
    <xf numFmtId="231" fontId="176" fillId="0" borderId="49" applyNumberFormat="0" applyFill="0" applyAlignment="0" applyProtection="0"/>
    <xf numFmtId="190" fontId="176" fillId="0" borderId="48" applyNumberFormat="0" applyFill="0" applyAlignment="0" applyProtection="0"/>
    <xf numFmtId="0" fontId="176" fillId="0" borderId="48" applyNumberFormat="0" applyFill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190" fontId="179" fillId="0" borderId="0"/>
    <xf numFmtId="0" fontId="12" fillId="0" borderId="0">
      <alignment vertical="top"/>
    </xf>
    <xf numFmtId="190" fontId="15" fillId="0" borderId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190" fontId="100" fillId="0" borderId="0" applyNumberFormat="0" applyFill="0" applyBorder="0" applyProtection="0">
      <alignment horizontal="left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232" fontId="36" fillId="0" borderId="0" applyFill="0" applyBorder="0" applyProtection="0">
      <alignment horizontal="right"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14" fontId="36" fillId="0" borderId="0" applyFill="0" applyBorder="0" applyProtection="0">
      <alignment horizontal="left"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233" fontId="36" fillId="0" borderId="0" applyFill="0" applyBorder="0" applyProtection="0">
      <alignment horizontal="left" vertical="top" wrapText="1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80" fillId="0" borderId="0" applyAlignment="0"/>
    <xf numFmtId="0" fontId="181" fillId="0" borderId="0" applyAlignment="0"/>
    <xf numFmtId="3" fontId="12" fillId="0" borderId="8" applyNumberFormat="0" applyFont="0" applyFill="0" applyAlignment="0" applyProtection="0">
      <alignment vertical="center"/>
    </xf>
    <xf numFmtId="0" fontId="182" fillId="0" borderId="0" applyAlignment="0"/>
    <xf numFmtId="0" fontId="183" fillId="0" borderId="0" applyAlignment="0"/>
    <xf numFmtId="0" fontId="184" fillId="0" borderId="0" applyAlignment="0"/>
    <xf numFmtId="38" fontId="185" fillId="0" borderId="0">
      <alignment horizontal="center"/>
    </xf>
    <xf numFmtId="49" fontId="98" fillId="0" borderId="0" applyAlignment="0" applyProtection="0"/>
    <xf numFmtId="49" fontId="98" fillId="0" borderId="0" applyAlignment="0" applyProtection="0"/>
    <xf numFmtId="190" fontId="186" fillId="74" borderId="8">
      <alignment horizontal="center" vertical="center" wrapText="1"/>
    </xf>
    <xf numFmtId="0" fontId="187" fillId="0" borderId="0" applyAlignment="0"/>
    <xf numFmtId="234" fontId="140" fillId="0" borderId="32">
      <protection locked="0"/>
    </xf>
    <xf numFmtId="190" fontId="176" fillId="0" borderId="49" applyNumberFormat="0" applyFill="0" applyAlignment="0" applyProtection="0"/>
    <xf numFmtId="190" fontId="176" fillId="0" borderId="49" applyNumberFormat="0" applyFill="0" applyAlignment="0" applyProtection="0"/>
    <xf numFmtId="190" fontId="176" fillId="0" borderId="49" applyNumberFormat="0" applyFill="0" applyAlignment="0" applyProtection="0"/>
    <xf numFmtId="190" fontId="176" fillId="0" borderId="49" applyNumberFormat="0" applyFill="0" applyAlignment="0" applyProtection="0"/>
    <xf numFmtId="234" fontId="140" fillId="0" borderId="32">
      <protection locked="0"/>
    </xf>
    <xf numFmtId="4" fontId="138" fillId="0" borderId="0" applyFont="0" applyFill="0" applyBorder="0" applyAlignment="0" applyProtection="0"/>
    <xf numFmtId="190" fontId="100" fillId="85" borderId="8">
      <alignment vertical="center" wrapText="1"/>
      <protection locked="0"/>
    </xf>
    <xf numFmtId="8" fontId="138" fillId="0" borderId="0" applyFont="0" applyFill="0" applyBorder="0" applyAlignment="0" applyProtection="0"/>
    <xf numFmtId="190" fontId="36" fillId="85" borderId="0" applyFill="0" applyBorder="0"/>
    <xf numFmtId="190" fontId="36" fillId="0" borderId="0" applyFill="0" applyBorder="0"/>
    <xf numFmtId="190" fontId="36" fillId="85" borderId="0" applyFill="0" applyBorder="0"/>
    <xf numFmtId="190" fontId="188" fillId="0" borderId="0" applyNumberFormat="0" applyFill="0" applyBorder="0" applyAlignment="0" applyProtection="0"/>
    <xf numFmtId="190" fontId="188" fillId="0" borderId="0" applyNumberFormat="0" applyFill="0" applyBorder="0" applyAlignment="0" applyProtection="0"/>
    <xf numFmtId="190" fontId="188" fillId="0" borderId="0" applyNumberFormat="0" applyFill="0" applyBorder="0" applyAlignment="0" applyProtection="0"/>
    <xf numFmtId="190" fontId="188" fillId="0" borderId="0" applyNumberFormat="0" applyFill="0" applyBorder="0" applyAlignment="0" applyProtection="0"/>
    <xf numFmtId="190" fontId="188" fillId="0" borderId="0" applyNumberFormat="0" applyFill="0" applyBorder="0" applyAlignment="0" applyProtection="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190" fontId="156" fillId="0" borderId="50"/>
    <xf numFmtId="235" fontId="12" fillId="0" borderId="0" applyFont="0" applyFill="0" applyBorder="0" applyProtection="0">
      <alignment horizontal="right" vertical="center"/>
    </xf>
    <xf numFmtId="235" fontId="12" fillId="0" borderId="0" applyFont="0" applyFill="0" applyBorder="0" applyProtection="0">
      <alignment horizontal="right" vertical="center"/>
    </xf>
    <xf numFmtId="236" fontId="12" fillId="0" borderId="0" applyFont="0" applyFill="0" applyBorder="0" applyProtection="0">
      <alignment horizontal="right" vertical="center"/>
    </xf>
    <xf numFmtId="236" fontId="12" fillId="0" borderId="0" applyFont="0" applyFill="0" applyBorder="0" applyProtection="0">
      <alignment horizontal="right" vertical="center"/>
    </xf>
    <xf numFmtId="0" fontId="189" fillId="0" borderId="0"/>
    <xf numFmtId="43" fontId="189" fillId="0" borderId="0" applyFont="0" applyFill="0" applyBorder="0" applyAlignment="0" applyProtection="0"/>
    <xf numFmtId="9" fontId="189" fillId="0" borderId="0" applyFont="0" applyFill="0" applyBorder="0" applyAlignment="0" applyProtection="0"/>
    <xf numFmtId="43" fontId="12" fillId="0" borderId="0" applyFont="0" applyFill="0" applyBorder="0" applyAlignment="0" applyProtection="0"/>
    <xf numFmtId="237" fontId="12" fillId="0" borderId="0"/>
    <xf numFmtId="43" fontId="190" fillId="0" borderId="0" applyFont="0" applyFill="0" applyBorder="0" applyAlignment="0" applyProtection="0"/>
    <xf numFmtId="0" fontId="189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168" fontId="12" fillId="0" borderId="0" applyFont="0" applyFill="0" applyBorder="0" applyAlignment="0" applyProtection="0"/>
    <xf numFmtId="0" fontId="12" fillId="0" borderId="0"/>
    <xf numFmtId="168" fontId="12" fillId="0" borderId="0" applyFont="0" applyFill="0" applyBorder="0" applyAlignment="0" applyProtection="0"/>
    <xf numFmtId="0" fontId="12" fillId="0" borderId="0"/>
    <xf numFmtId="0" fontId="12" fillId="0" borderId="0"/>
    <xf numFmtId="0" fontId="192" fillId="5" borderId="0" applyNumberFormat="0" applyBorder="0" applyAlignment="0" applyProtection="0"/>
    <xf numFmtId="0" fontId="192" fillId="5" borderId="0" applyNumberFormat="0" applyBorder="0" applyAlignment="0" applyProtection="0"/>
    <xf numFmtId="0" fontId="192" fillId="5" borderId="0" applyNumberFormat="0" applyBorder="0" applyAlignment="0" applyProtection="0"/>
    <xf numFmtId="0" fontId="91" fillId="59" borderId="0" applyNumberFormat="0" applyBorder="0" applyAlignment="0" applyProtection="0"/>
    <xf numFmtId="0" fontId="192" fillId="6" borderId="0" applyNumberFormat="0" applyBorder="0" applyAlignment="0" applyProtection="0"/>
    <xf numFmtId="0" fontId="192" fillId="6" borderId="0" applyNumberFormat="0" applyBorder="0" applyAlignment="0" applyProtection="0"/>
    <xf numFmtId="0" fontId="192" fillId="6" borderId="0" applyNumberFormat="0" applyBorder="0" applyAlignment="0" applyProtection="0"/>
    <xf numFmtId="0" fontId="192" fillId="6" borderId="0" applyNumberFormat="0" applyBorder="0" applyAlignment="0" applyProtection="0"/>
    <xf numFmtId="0" fontId="192" fillId="6" borderId="0" applyNumberFormat="0" applyBorder="0" applyAlignment="0" applyProtection="0"/>
    <xf numFmtId="0" fontId="91" fillId="63" borderId="0" applyNumberFormat="0" applyBorder="0" applyAlignment="0" applyProtection="0"/>
    <xf numFmtId="0" fontId="90" fillId="63" borderId="0" applyNumberFormat="0" applyBorder="0" applyAlignment="0" applyProtection="0"/>
    <xf numFmtId="9" fontId="29" fillId="0" borderId="0" applyFont="0" applyFill="0" applyBorder="0" applyAlignment="0" applyProtection="0">
      <alignment vertical="center"/>
    </xf>
    <xf numFmtId="0" fontId="192" fillId="7" borderId="0" applyNumberFormat="0" applyBorder="0" applyAlignment="0" applyProtection="0"/>
    <xf numFmtId="0" fontId="192" fillId="7" borderId="0" applyNumberFormat="0" applyBorder="0" applyAlignment="0" applyProtection="0"/>
    <xf numFmtId="0" fontId="91" fillId="67" borderId="0" applyNumberFormat="0" applyBorder="0" applyAlignment="0" applyProtection="0"/>
    <xf numFmtId="0" fontId="90" fillId="67" borderId="0" applyNumberFormat="0" applyBorder="0" applyAlignment="0" applyProtection="0"/>
    <xf numFmtId="0" fontId="192" fillId="8" borderId="0" applyNumberFormat="0" applyBorder="0" applyAlignment="0" applyProtection="0"/>
    <xf numFmtId="0" fontId="192" fillId="8" borderId="0" applyNumberFormat="0" applyBorder="0" applyAlignment="0" applyProtection="0"/>
    <xf numFmtId="0" fontId="193" fillId="3" borderId="0" applyNumberFormat="0" applyBorder="0" applyAlignment="0" applyProtection="0">
      <alignment vertical="center"/>
    </xf>
    <xf numFmtId="0" fontId="193" fillId="5" borderId="0" applyNumberFormat="0" applyBorder="0" applyAlignment="0" applyProtection="0">
      <alignment vertical="center"/>
    </xf>
    <xf numFmtId="0" fontId="193" fillId="6" borderId="0" applyNumberFormat="0" applyBorder="0" applyAlignment="0" applyProtection="0">
      <alignment vertical="center"/>
    </xf>
    <xf numFmtId="0" fontId="193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2" fillId="0" borderId="0" applyFont="0" applyFill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91" fillId="48" borderId="0" applyNumberFormat="0" applyBorder="0" applyAlignment="0" applyProtection="0"/>
    <xf numFmtId="0" fontId="192" fillId="9" borderId="0" applyNumberFormat="0" applyBorder="0" applyAlignment="0" applyProtection="0"/>
    <xf numFmtId="0" fontId="192" fillId="9" borderId="0" applyNumberFormat="0" applyBorder="0" applyAlignment="0" applyProtection="0"/>
    <xf numFmtId="0" fontId="192" fillId="9" borderId="0" applyNumberFormat="0" applyBorder="0" applyAlignment="0" applyProtection="0"/>
    <xf numFmtId="0" fontId="192" fillId="9" borderId="0" applyNumberFormat="0" applyBorder="0" applyAlignment="0" applyProtection="0"/>
    <xf numFmtId="0" fontId="191" fillId="10" borderId="0" applyNumberFormat="0" applyBorder="0" applyAlignment="0" applyProtection="0">
      <alignment vertical="center"/>
    </xf>
    <xf numFmtId="0" fontId="91" fillId="52" borderId="0" applyNumberFormat="0" applyBorder="0" applyAlignment="0" applyProtection="0"/>
    <xf numFmtId="0" fontId="192" fillId="10" borderId="0" applyNumberFormat="0" applyBorder="0" applyAlignment="0" applyProtection="0"/>
    <xf numFmtId="0" fontId="192" fillId="10" borderId="0" applyNumberFormat="0" applyBorder="0" applyAlignment="0" applyProtection="0"/>
    <xf numFmtId="0" fontId="192" fillId="10" borderId="0" applyNumberFormat="0" applyBorder="0" applyAlignment="0" applyProtection="0"/>
    <xf numFmtId="0" fontId="192" fillId="10" borderId="0" applyNumberFormat="0" applyBorder="0" applyAlignment="0" applyProtection="0"/>
    <xf numFmtId="0" fontId="91" fillId="56" borderId="0" applyNumberFormat="0" applyBorder="0" applyAlignment="0" applyProtection="0"/>
    <xf numFmtId="0" fontId="90" fillId="56" borderId="0" applyNumberFormat="0" applyBorder="0" applyAlignment="0" applyProtection="0"/>
    <xf numFmtId="0" fontId="192" fillId="11" borderId="0" applyNumberFormat="0" applyBorder="0" applyAlignment="0" applyProtection="0"/>
    <xf numFmtId="0" fontId="91" fillId="56" borderId="0" applyNumberFormat="0" applyBorder="0" applyAlignment="0" applyProtection="0"/>
    <xf numFmtId="0" fontId="192" fillId="11" borderId="0" applyNumberFormat="0" applyBorder="0" applyAlignment="0" applyProtection="0"/>
    <xf numFmtId="0" fontId="192" fillId="11" borderId="0" applyNumberFormat="0" applyBorder="0" applyAlignment="0" applyProtection="0"/>
    <xf numFmtId="0" fontId="192" fillId="11" borderId="0" applyNumberFormat="0" applyBorder="0" applyAlignment="0" applyProtection="0"/>
    <xf numFmtId="0" fontId="91" fillId="60" borderId="0" applyNumberFormat="0" applyBorder="0" applyAlignment="0" applyProtection="0"/>
    <xf numFmtId="0" fontId="90" fillId="60" borderId="0" applyNumberFormat="0" applyBorder="0" applyAlignment="0" applyProtection="0"/>
    <xf numFmtId="0" fontId="192" fillId="6" borderId="0" applyNumberFormat="0" applyBorder="0" applyAlignment="0" applyProtection="0"/>
    <xf numFmtId="0" fontId="91" fillId="64" borderId="0" applyNumberFormat="0" applyBorder="0" applyAlignment="0" applyProtection="0"/>
    <xf numFmtId="0" fontId="90" fillId="64" borderId="0" applyNumberFormat="0" applyBorder="0" applyAlignment="0" applyProtection="0"/>
    <xf numFmtId="0" fontId="91" fillId="68" borderId="0" applyNumberFormat="0" applyBorder="0" applyAlignment="0" applyProtection="0"/>
    <xf numFmtId="0" fontId="90" fillId="68" borderId="0" applyNumberFormat="0" applyBorder="0" applyAlignment="0" applyProtection="0"/>
    <xf numFmtId="0" fontId="193" fillId="9" borderId="0" applyNumberFormat="0" applyBorder="0" applyAlignment="0" applyProtection="0">
      <alignment vertical="center"/>
    </xf>
    <xf numFmtId="0" fontId="193" fillId="11" borderId="0" applyNumberFormat="0" applyBorder="0" applyAlignment="0" applyProtection="0">
      <alignment vertical="center"/>
    </xf>
    <xf numFmtId="0" fontId="193" fillId="9" borderId="0" applyNumberFormat="0" applyBorder="0" applyAlignment="0" applyProtection="0">
      <alignment vertical="center"/>
    </xf>
    <xf numFmtId="0" fontId="248" fillId="49" borderId="0" applyNumberFormat="0" applyBorder="0" applyAlignment="0" applyProtection="0"/>
    <xf numFmtId="0" fontId="249" fillId="49" borderId="0" applyNumberFormat="0" applyBorder="0" applyAlignment="0" applyProtection="0"/>
    <xf numFmtId="0" fontId="248" fillId="53" borderId="0" applyNumberFormat="0" applyBorder="0" applyAlignment="0" applyProtection="0"/>
    <xf numFmtId="0" fontId="249" fillId="53" borderId="0" applyNumberFormat="0" applyBorder="0" applyAlignment="0" applyProtection="0"/>
    <xf numFmtId="0" fontId="248" fillId="57" borderId="0" applyNumberFormat="0" applyBorder="0" applyAlignment="0" applyProtection="0"/>
    <xf numFmtId="0" fontId="249" fillId="57" borderId="0" applyNumberFormat="0" applyBorder="0" applyAlignment="0" applyProtection="0"/>
    <xf numFmtId="0" fontId="194" fillId="14" borderId="0" applyNumberFormat="0" applyBorder="0" applyAlignment="0" applyProtection="0">
      <alignment vertical="center"/>
    </xf>
    <xf numFmtId="168" fontId="8" fillId="0" borderId="0" applyFont="0" applyFill="0" applyBorder="0" applyAlignment="0" applyProtection="0"/>
    <xf numFmtId="0" fontId="248" fillId="65" borderId="0" applyNumberFormat="0" applyBorder="0" applyAlignment="0" applyProtection="0"/>
    <xf numFmtId="0" fontId="249" fillId="65" borderId="0" applyNumberFormat="0" applyBorder="0" applyAlignment="0" applyProtection="0"/>
    <xf numFmtId="0" fontId="195" fillId="15" borderId="0" applyNumberFormat="0" applyBorder="0" applyAlignment="0" applyProtection="0"/>
    <xf numFmtId="0" fontId="248" fillId="65" borderId="0" applyNumberFormat="0" applyBorder="0" applyAlignment="0" applyProtection="0"/>
    <xf numFmtId="0" fontId="194" fillId="16" borderId="0" applyNumberFormat="0" applyBorder="0" applyAlignment="0" applyProtection="0">
      <alignment vertical="center"/>
    </xf>
    <xf numFmtId="0" fontId="195" fillId="16" borderId="0" applyNumberFormat="0" applyBorder="0" applyAlignment="0" applyProtection="0"/>
    <xf numFmtId="0" fontId="196" fillId="10" borderId="0" applyNumberFormat="0" applyBorder="0" applyAlignment="0" applyProtection="0">
      <alignment vertical="center"/>
    </xf>
    <xf numFmtId="0" fontId="196" fillId="11" borderId="0" applyNumberFormat="0" applyBorder="0" applyAlignment="0" applyProtection="0">
      <alignment vertical="center"/>
    </xf>
    <xf numFmtId="0" fontId="196" fillId="15" borderId="0" applyNumberFormat="0" applyBorder="0" applyAlignment="0" applyProtection="0">
      <alignment vertical="center"/>
    </xf>
    <xf numFmtId="0" fontId="196" fillId="16" borderId="0" applyNumberFormat="0" applyBorder="0" applyAlignment="0" applyProtection="0">
      <alignment vertical="center"/>
    </xf>
    <xf numFmtId="0" fontId="248" fillId="46" borderId="0" applyNumberFormat="0" applyBorder="0" applyAlignment="0" applyProtection="0"/>
    <xf numFmtId="0" fontId="249" fillId="46" borderId="0" applyNumberFormat="0" applyBorder="0" applyAlignment="0" applyProtection="0"/>
    <xf numFmtId="0" fontId="195" fillId="17" borderId="0" applyNumberFormat="0" applyBorder="0" applyAlignment="0" applyProtection="0"/>
    <xf numFmtId="0" fontId="248" fillId="46" borderId="0" applyNumberFormat="0" applyBorder="0" applyAlignment="0" applyProtection="0"/>
    <xf numFmtId="0" fontId="194" fillId="18" borderId="0" applyNumberFormat="0" applyBorder="0" applyAlignment="0" applyProtection="0">
      <alignment vertical="center"/>
    </xf>
    <xf numFmtId="0" fontId="195" fillId="18" borderId="0" applyNumberFormat="0" applyBorder="0" applyAlignment="0" applyProtection="0"/>
    <xf numFmtId="0" fontId="194" fillId="19" borderId="0" applyNumberFormat="0" applyBorder="0" applyAlignment="0" applyProtection="0">
      <alignment vertical="center"/>
    </xf>
    <xf numFmtId="0" fontId="249" fillId="54" borderId="0" applyNumberFormat="0" applyBorder="0" applyAlignment="0" applyProtection="0"/>
    <xf numFmtId="0" fontId="195" fillId="19" borderId="0" applyNumberFormat="0" applyBorder="0" applyAlignment="0" applyProtection="0"/>
    <xf numFmtId="0" fontId="248" fillId="54" borderId="0" applyNumberFormat="0" applyBorder="0" applyAlignment="0" applyProtection="0"/>
    <xf numFmtId="0" fontId="195" fillId="19" borderId="0" applyNumberFormat="0" applyBorder="0" applyAlignment="0" applyProtection="0"/>
    <xf numFmtId="0" fontId="194" fillId="14" borderId="0" applyNumberFormat="0" applyBorder="0" applyAlignment="0" applyProtection="0">
      <alignment vertical="center"/>
    </xf>
    <xf numFmtId="0" fontId="249" fillId="58" borderId="0" applyNumberFormat="0" applyBorder="0" applyAlignment="0" applyProtection="0"/>
    <xf numFmtId="0" fontId="195" fillId="14" borderId="0" applyNumberFormat="0" applyBorder="0" applyAlignment="0" applyProtection="0"/>
    <xf numFmtId="0" fontId="195" fillId="14" borderId="0" applyNumberFormat="0" applyBorder="0" applyAlignment="0" applyProtection="0"/>
    <xf numFmtId="0" fontId="195" fillId="14" borderId="0" applyNumberFormat="0" applyBorder="0" applyAlignment="0" applyProtection="0"/>
    <xf numFmtId="0" fontId="248" fillId="62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195" fillId="15" borderId="0" applyNumberFormat="0" applyBorder="0" applyAlignment="0" applyProtection="0"/>
    <xf numFmtId="0" fontId="248" fillId="66" borderId="0" applyNumberFormat="0" applyBorder="0" applyAlignment="0" applyProtection="0"/>
    <xf numFmtId="0" fontId="248" fillId="66" borderId="0" applyNumberFormat="0" applyBorder="0" applyAlignment="0" applyProtection="0"/>
    <xf numFmtId="0" fontId="195" fillId="20" borderId="0" applyNumberFormat="0" applyBorder="0" applyAlignment="0" applyProtection="0"/>
    <xf numFmtId="0" fontId="195" fillId="20" borderId="0" applyNumberFormat="0" applyBorder="0" applyAlignment="0" applyProtection="0"/>
    <xf numFmtId="0" fontId="195" fillId="20" borderId="0" applyNumberFormat="0" applyBorder="0" applyAlignment="0" applyProtection="0"/>
    <xf numFmtId="0" fontId="195" fillId="20" borderId="0" applyNumberFormat="0" applyBorder="0" applyAlignment="0" applyProtection="0"/>
    <xf numFmtId="0" fontId="250" fillId="41" borderId="0" applyNumberFormat="0" applyBorder="0" applyAlignment="0" applyProtection="0"/>
    <xf numFmtId="0" fontId="251" fillId="41" borderId="0" applyNumberFormat="0" applyBorder="0" applyAlignment="0" applyProtection="0"/>
    <xf numFmtId="0" fontId="198" fillId="4" borderId="0" applyNumberFormat="0" applyBorder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52" fillId="44" borderId="28" applyNumberFormat="0" applyAlignment="0" applyProtection="0"/>
    <xf numFmtId="0" fontId="252" fillId="44" borderId="28" applyNumberFormat="0" applyAlignment="0" applyProtection="0"/>
    <xf numFmtId="0" fontId="200" fillId="22" borderId="1" applyNumberFormat="0" applyAlignment="0" applyProtection="0">
      <alignment vertical="center"/>
    </xf>
    <xf numFmtId="0" fontId="27" fillId="22" borderId="1" applyNumberFormat="0" applyAlignment="0" applyProtection="0"/>
    <xf numFmtId="0" fontId="201" fillId="22" borderId="1" applyNumberFormat="0" applyAlignment="0" applyProtection="0"/>
    <xf numFmtId="0" fontId="202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3" fillId="30" borderId="0"/>
    <xf numFmtId="0" fontId="274" fillId="0" borderId="15"/>
    <xf numFmtId="0" fontId="203" fillId="23" borderId="2" applyNumberFormat="0" applyAlignment="0" applyProtection="0">
      <alignment vertical="center"/>
    </xf>
    <xf numFmtId="170" fontId="191" fillId="0" borderId="0" applyFont="0" applyFill="0" applyBorder="0" applyAlignment="0" applyProtection="0"/>
    <xf numFmtId="170" fontId="1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175" fontId="19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91" fillId="0" borderId="0"/>
    <xf numFmtId="0" fontId="163" fillId="0" borderId="0"/>
    <xf numFmtId="0" fontId="12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90" fillId="0" borderId="0"/>
    <xf numFmtId="0" fontId="9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61" fillId="0" borderId="25" applyNumberFormat="0" applyFill="0" applyAlignment="0" applyProtection="0"/>
    <xf numFmtId="0" fontId="12" fillId="0" borderId="0"/>
    <xf numFmtId="0" fontId="12" fillId="0" borderId="0"/>
    <xf numFmtId="0" fontId="266" fillId="43" borderId="28" applyNumberFormat="0" applyAlignment="0" applyProtection="0"/>
    <xf numFmtId="0" fontId="12" fillId="0" borderId="0"/>
    <xf numFmtId="0" fontId="43" fillId="8" borderId="1" applyNumberFormat="0" applyAlignment="0" applyProtection="0"/>
    <xf numFmtId="0" fontId="12" fillId="0" borderId="0"/>
    <xf numFmtId="0" fontId="43" fillId="8" borderId="1" applyNumberFormat="0" applyAlignment="0" applyProtection="0"/>
    <xf numFmtId="0" fontId="267" fillId="43" borderId="28" applyNumberFormat="0" applyAlignment="0" applyProtection="0"/>
    <xf numFmtId="0" fontId="12" fillId="0" borderId="0"/>
    <xf numFmtId="0" fontId="43" fillId="8" borderId="1" applyNumberFormat="0" applyAlignment="0" applyProtection="0"/>
    <xf numFmtId="184" fontId="50" fillId="0" borderId="0" applyFont="0">
      <alignment horizontal="right"/>
      <protection locked="0"/>
    </xf>
    <xf numFmtId="0" fontId="8" fillId="0" borderId="0"/>
    <xf numFmtId="184" fontId="50" fillId="0" borderId="0" applyFont="0">
      <alignment horizontal="right"/>
      <protection locked="0"/>
    </xf>
    <xf numFmtId="0" fontId="280" fillId="0" borderId="0" applyNumberFormat="0" applyFill="0" applyBorder="0" applyAlignment="0" applyProtection="0">
      <alignment vertical="top"/>
      <protection locked="0"/>
    </xf>
    <xf numFmtId="179" fontId="32" fillId="0" borderId="0"/>
    <xf numFmtId="0" fontId="29" fillId="0" borderId="0">
      <alignment vertical="center"/>
    </xf>
    <xf numFmtId="0" fontId="91" fillId="47" borderId="0" applyNumberFormat="0" applyBorder="0" applyAlignment="0" applyProtection="0"/>
    <xf numFmtId="0" fontId="91" fillId="47" borderId="0" applyNumberFormat="0" applyBorder="0" applyAlignment="0" applyProtection="0"/>
    <xf numFmtId="0" fontId="191" fillId="3" borderId="0" applyNumberFormat="0" applyBorder="0" applyAlignment="0" applyProtection="0">
      <alignment vertical="center"/>
    </xf>
    <xf numFmtId="0" fontId="91" fillId="47" borderId="0" applyNumberFormat="0" applyBorder="0" applyAlignment="0" applyProtection="0"/>
    <xf numFmtId="0" fontId="90" fillId="47" borderId="0" applyNumberFormat="0" applyBorder="0" applyAlignment="0" applyProtection="0"/>
    <xf numFmtId="0" fontId="90" fillId="47" borderId="0" applyNumberFormat="0" applyBorder="0" applyAlignment="0" applyProtection="0"/>
    <xf numFmtId="0" fontId="192" fillId="3" borderId="0" applyNumberFormat="0" applyBorder="0" applyAlignment="0" applyProtection="0"/>
    <xf numFmtId="0" fontId="192" fillId="3" borderId="0" applyNumberFormat="0" applyBorder="0" applyAlignment="0" applyProtection="0"/>
    <xf numFmtId="0" fontId="91" fillId="47" borderId="0" applyNumberFormat="0" applyBorder="0" applyAlignment="0" applyProtection="0"/>
    <xf numFmtId="0" fontId="192" fillId="3" borderId="0" applyNumberFormat="0" applyBorder="0" applyAlignment="0" applyProtection="0"/>
    <xf numFmtId="0" fontId="192" fillId="3" borderId="0" applyNumberFormat="0" applyBorder="0" applyAlignment="0" applyProtection="0"/>
    <xf numFmtId="0" fontId="192" fillId="3" borderId="0" applyNumberFormat="0" applyBorder="0" applyAlignment="0" applyProtection="0"/>
    <xf numFmtId="0" fontId="192" fillId="3" borderId="0" applyNumberFormat="0" applyBorder="0" applyAlignment="0" applyProtection="0"/>
    <xf numFmtId="179" fontId="32" fillId="0" borderId="0"/>
    <xf numFmtId="0" fontId="91" fillId="51" borderId="0" applyNumberFormat="0" applyBorder="0" applyAlignment="0" applyProtection="0"/>
    <xf numFmtId="0" fontId="91" fillId="51" borderId="0" applyNumberFormat="0" applyBorder="0" applyAlignment="0" applyProtection="0"/>
    <xf numFmtId="0" fontId="191" fillId="4" borderId="0" applyNumberFormat="0" applyBorder="0" applyAlignment="0" applyProtection="0">
      <alignment vertical="center"/>
    </xf>
    <xf numFmtId="0" fontId="91" fillId="51" borderId="0" applyNumberFormat="0" applyBorder="0" applyAlignment="0" applyProtection="0"/>
    <xf numFmtId="0" fontId="90" fillId="51" borderId="0" applyNumberFormat="0" applyBorder="0" applyAlignment="0" applyProtection="0"/>
    <xf numFmtId="0" fontId="90" fillId="51" borderId="0" applyNumberFormat="0" applyBorder="0" applyAlignment="0" applyProtection="0"/>
    <xf numFmtId="0" fontId="192" fillId="4" borderId="0" applyNumberFormat="0" applyBorder="0" applyAlignment="0" applyProtection="0"/>
    <xf numFmtId="0" fontId="192" fillId="4" borderId="0" applyNumberFormat="0" applyBorder="0" applyAlignment="0" applyProtection="0"/>
    <xf numFmtId="0" fontId="91" fillId="51" borderId="0" applyNumberFormat="0" applyBorder="0" applyAlignment="0" applyProtection="0"/>
    <xf numFmtId="0" fontId="192" fillId="4" borderId="0" applyNumberFormat="0" applyBorder="0" applyAlignment="0" applyProtection="0"/>
    <xf numFmtId="0" fontId="192" fillId="4" borderId="0" applyNumberFormat="0" applyBorder="0" applyAlignment="0" applyProtection="0"/>
    <xf numFmtId="0" fontId="192" fillId="4" borderId="0" applyNumberFormat="0" applyBorder="0" applyAlignment="0" applyProtection="0"/>
    <xf numFmtId="0" fontId="192" fillId="4" borderId="0" applyNumberFormat="0" applyBorder="0" applyAlignment="0" applyProtection="0"/>
    <xf numFmtId="0" fontId="91" fillId="55" borderId="0" applyNumberFormat="0" applyBorder="0" applyAlignment="0" applyProtection="0"/>
    <xf numFmtId="0" fontId="91" fillId="55" borderId="0" applyNumberFormat="0" applyBorder="0" applyAlignment="0" applyProtection="0"/>
    <xf numFmtId="0" fontId="191" fillId="5" borderId="0" applyNumberFormat="0" applyBorder="0" applyAlignment="0" applyProtection="0">
      <alignment vertical="center"/>
    </xf>
    <xf numFmtId="0" fontId="91" fillId="55" borderId="0" applyNumberFormat="0" applyBorder="0" applyAlignment="0" applyProtection="0"/>
    <xf numFmtId="0" fontId="90" fillId="55" borderId="0" applyNumberFormat="0" applyBorder="0" applyAlignment="0" applyProtection="0"/>
    <xf numFmtId="0" fontId="192" fillId="5" borderId="0" applyNumberFormat="0" applyBorder="0" applyAlignment="0" applyProtection="0"/>
    <xf numFmtId="0" fontId="192" fillId="5" borderId="0" applyNumberFormat="0" applyBorder="0" applyAlignment="0" applyProtection="0"/>
    <xf numFmtId="0" fontId="91" fillId="55" borderId="0" applyNumberFormat="0" applyBorder="0" applyAlignment="0" applyProtection="0"/>
    <xf numFmtId="0" fontId="192" fillId="5" borderId="0" applyNumberFormat="0" applyBorder="0" applyAlignment="0" applyProtection="0"/>
    <xf numFmtId="0" fontId="91" fillId="59" borderId="0" applyNumberFormat="0" applyBorder="0" applyAlignment="0" applyProtection="0"/>
    <xf numFmtId="0" fontId="90" fillId="59" borderId="0" applyNumberFormat="0" applyBorder="0" applyAlignment="0" applyProtection="0"/>
    <xf numFmtId="0" fontId="192" fillId="6" borderId="0" applyNumberFormat="0" applyBorder="0" applyAlignment="0" applyProtection="0"/>
    <xf numFmtId="0" fontId="91" fillId="59" borderId="0" applyNumberFormat="0" applyBorder="0" applyAlignment="0" applyProtection="0"/>
    <xf numFmtId="0" fontId="191" fillId="7" borderId="0" applyNumberFormat="0" applyBorder="0" applyAlignment="0" applyProtection="0">
      <alignment vertical="center"/>
    </xf>
    <xf numFmtId="0" fontId="192" fillId="7" borderId="0" applyNumberFormat="0" applyBorder="0" applyAlignment="0" applyProtection="0"/>
    <xf numFmtId="0" fontId="192" fillId="8" borderId="0" applyNumberFormat="0" applyBorder="0" applyAlignment="0" applyProtection="0"/>
    <xf numFmtId="0" fontId="91" fillId="67" borderId="0" applyNumberFormat="0" applyBorder="0" applyAlignment="0" applyProtection="0"/>
    <xf numFmtId="0" fontId="192" fillId="8" borderId="0" applyNumberFormat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91" fillId="52" borderId="0" applyNumberFormat="0" applyBorder="0" applyAlignment="0" applyProtection="0"/>
    <xf numFmtId="0" fontId="91" fillId="56" borderId="0" applyNumberFormat="0" applyBorder="0" applyAlignment="0" applyProtection="0"/>
    <xf numFmtId="0" fontId="90" fillId="56" borderId="0" applyNumberFormat="0" applyBorder="0" applyAlignment="0" applyProtection="0"/>
    <xf numFmtId="0" fontId="192" fillId="6" borderId="0" applyNumberFormat="0" applyBorder="0" applyAlignment="0" applyProtection="0"/>
    <xf numFmtId="0" fontId="192" fillId="9" borderId="0" applyNumberFormat="0" applyBorder="0" applyAlignment="0" applyProtection="0"/>
    <xf numFmtId="0" fontId="193" fillId="9" borderId="0" applyNumberFormat="0" applyBorder="0" applyAlignment="0" applyProtection="0">
      <alignment vertical="center"/>
    </xf>
    <xf numFmtId="0" fontId="193" fillId="11" borderId="0" applyNumberFormat="0" applyBorder="0" applyAlignment="0" applyProtection="0">
      <alignment vertical="center"/>
    </xf>
    <xf numFmtId="0" fontId="193" fillId="9" borderId="0" applyNumberFormat="0" applyBorder="0" applyAlignment="0" applyProtection="0">
      <alignment vertical="center"/>
    </xf>
    <xf numFmtId="0" fontId="195" fillId="13" borderId="0" applyNumberFormat="0" applyBorder="0" applyAlignment="0" applyProtection="0"/>
    <xf numFmtId="0" fontId="248" fillId="57" borderId="0" applyNumberFormat="0" applyBorder="0" applyAlignment="0" applyProtection="0"/>
    <xf numFmtId="0" fontId="248" fillId="61" borderId="0" applyNumberFormat="0" applyBorder="0" applyAlignment="0" applyProtection="0"/>
    <xf numFmtId="0" fontId="248" fillId="65" borderId="0" applyNumberFormat="0" applyBorder="0" applyAlignment="0" applyProtection="0"/>
    <xf numFmtId="0" fontId="249" fillId="65" borderId="0" applyNumberFormat="0" applyBorder="0" applyAlignment="0" applyProtection="0"/>
    <xf numFmtId="0" fontId="248" fillId="69" borderId="0" applyNumberFormat="0" applyBorder="0" applyAlignment="0" applyProtection="0"/>
    <xf numFmtId="0" fontId="195" fillId="16" borderId="0" applyNumberFormat="0" applyBorder="0" applyAlignment="0" applyProtection="0"/>
    <xf numFmtId="0" fontId="195" fillId="16" borderId="0" applyNumberFormat="0" applyBorder="0" applyAlignment="0" applyProtection="0"/>
    <xf numFmtId="43" fontId="29" fillId="0" borderId="0" applyFont="0" applyFill="0" applyBorder="0" applyAlignment="0" applyProtection="0">
      <alignment vertical="center"/>
    </xf>
    <xf numFmtId="0" fontId="248" fillId="46" borderId="0" applyNumberFormat="0" applyBorder="0" applyAlignment="0" applyProtection="0"/>
    <xf numFmtId="0" fontId="249" fillId="46" borderId="0" applyNumberFormat="0" applyBorder="0" applyAlignment="0" applyProtection="0"/>
    <xf numFmtId="0" fontId="248" fillId="50" borderId="0" applyNumberFormat="0" applyBorder="0" applyAlignment="0" applyProtection="0"/>
    <xf numFmtId="0" fontId="195" fillId="18" borderId="0" applyNumberFormat="0" applyBorder="0" applyAlignment="0" applyProtection="0"/>
    <xf numFmtId="0" fontId="195" fillId="18" borderId="0" applyNumberFormat="0" applyBorder="0" applyAlignment="0" applyProtection="0"/>
    <xf numFmtId="0" fontId="195" fillId="19" borderId="0" applyNumberFormat="0" applyBorder="0" applyAlignment="0" applyProtection="0"/>
    <xf numFmtId="0" fontId="195" fillId="14" borderId="0" applyNumberFormat="0" applyBorder="0" applyAlignment="0" applyProtection="0"/>
    <xf numFmtId="0" fontId="248" fillId="62" borderId="0" applyNumberFormat="0" applyBorder="0" applyAlignment="0" applyProtection="0"/>
    <xf numFmtId="0" fontId="248" fillId="62" borderId="0" applyNumberFormat="0" applyBorder="0" applyAlignment="0" applyProtection="0"/>
    <xf numFmtId="0" fontId="194" fillId="15" borderId="0" applyNumberFormat="0" applyBorder="0" applyAlignment="0" applyProtection="0">
      <alignment vertical="center"/>
    </xf>
    <xf numFmtId="0" fontId="248" fillId="62" borderId="0" applyNumberFormat="0" applyBorder="0" applyAlignment="0" applyProtection="0"/>
    <xf numFmtId="0" fontId="248" fillId="66" borderId="0" applyNumberFormat="0" applyBorder="0" applyAlignment="0" applyProtection="0"/>
    <xf numFmtId="0" fontId="250" fillId="41" borderId="0" applyNumberFormat="0" applyBorder="0" applyAlignment="0" applyProtection="0"/>
    <xf numFmtId="0" fontId="251" fillId="41" borderId="0" applyNumberFormat="0" applyBorder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7" fillId="22" borderId="1" applyNumberFormat="0" applyAlignment="0" applyProtection="0"/>
    <xf numFmtId="0" fontId="201" fillId="22" borderId="1" applyNumberFormat="0" applyAlignment="0" applyProtection="0"/>
    <xf numFmtId="0" fontId="201" fillId="22" borderId="1" applyNumberFormat="0" applyAlignment="0" applyProtection="0"/>
    <xf numFmtId="0" fontId="27" fillId="22" borderId="1" applyNumberFormat="0" applyAlignment="0" applyProtection="0"/>
    <xf numFmtId="0" fontId="254" fillId="45" borderId="31" applyNumberFormat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23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91" fillId="0" borderId="0" applyFont="0" applyFill="0" applyBorder="0" applyAlignment="0" applyProtection="0"/>
    <xf numFmtId="168" fontId="163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168" fontId="163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68" fontId="127" fillId="0" borderId="0" applyFont="0" applyFill="0" applyBorder="0" applyAlignment="0" applyProtection="0"/>
    <xf numFmtId="168" fontId="127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7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3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93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168" fontId="206" fillId="0" borderId="0" applyFont="0" applyFill="0" applyBorder="0" applyAlignment="0" applyProtection="0"/>
    <xf numFmtId="43" fontId="12" fillId="0" borderId="0" applyFont="0" applyFill="0" applyBorder="0" applyAlignment="0" applyProtection="0"/>
    <xf numFmtId="175" fontId="191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207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169" fontId="29" fillId="0" borderId="0" applyFont="0" applyFill="0" applyBorder="0" applyAlignment="0" applyProtection="0"/>
    <xf numFmtId="0" fontId="219" fillId="5" borderId="0" applyNumberFormat="0" applyBorder="0" applyAlignment="0" applyProtection="0"/>
    <xf numFmtId="38" fontId="36" fillId="25" borderId="0" applyNumberFormat="0" applyBorder="0" applyAlignment="0" applyProtection="0"/>
    <xf numFmtId="0" fontId="221" fillId="0" borderId="0">
      <alignment horizontal="left"/>
    </xf>
    <xf numFmtId="0" fontId="221" fillId="0" borderId="0">
      <alignment horizontal="left"/>
    </xf>
    <xf numFmtId="0" fontId="260" fillId="0" borderId="25" applyNumberFormat="0" applyFill="0" applyAlignment="0" applyProtection="0"/>
    <xf numFmtId="0" fontId="222" fillId="0" borderId="5" applyNumberFormat="0" applyFill="0" applyAlignment="0" applyProtection="0">
      <alignment vertical="center"/>
    </xf>
    <xf numFmtId="0" fontId="260" fillId="0" borderId="25" applyNumberFormat="0" applyFill="0" applyAlignment="0" applyProtection="0"/>
    <xf numFmtId="0" fontId="223" fillId="0" borderId="5" applyNumberFormat="0" applyFill="0" applyAlignment="0" applyProtection="0"/>
    <xf numFmtId="0" fontId="260" fillId="0" borderId="25" applyNumberFormat="0" applyFill="0" applyAlignment="0" applyProtection="0"/>
    <xf numFmtId="0" fontId="223" fillId="0" borderId="5" applyNumberFormat="0" applyFill="0" applyAlignment="0" applyProtection="0"/>
    <xf numFmtId="0" fontId="223" fillId="0" borderId="5" applyNumberFormat="0" applyFill="0" applyAlignment="0" applyProtection="0"/>
    <xf numFmtId="0" fontId="223" fillId="0" borderId="5" applyNumberFormat="0" applyFill="0" applyAlignment="0" applyProtection="0"/>
    <xf numFmtId="0" fontId="223" fillId="0" borderId="5" applyNumberFormat="0" applyFill="0" applyAlignment="0" applyProtection="0"/>
    <xf numFmtId="0" fontId="225" fillId="0" borderId="0">
      <alignment horizontal="left"/>
    </xf>
    <xf numFmtId="0" fontId="226" fillId="0" borderId="21">
      <alignment horizontal="left" vertical="top"/>
    </xf>
    <xf numFmtId="0" fontId="262" fillId="0" borderId="26" applyNumberFormat="0" applyFill="0" applyAlignment="0" applyProtection="0"/>
    <xf numFmtId="0" fontId="262" fillId="0" borderId="26" applyNumberFormat="0" applyFill="0" applyAlignment="0" applyProtection="0"/>
    <xf numFmtId="0" fontId="227" fillId="0" borderId="6" applyNumberFormat="0" applyFill="0" applyAlignment="0" applyProtection="0">
      <alignment vertical="center"/>
    </xf>
    <xf numFmtId="0" fontId="262" fillId="0" borderId="26" applyNumberFormat="0" applyFill="0" applyAlignment="0" applyProtection="0"/>
    <xf numFmtId="0" fontId="263" fillId="0" borderId="26" applyNumberFormat="0" applyFill="0" applyAlignment="0" applyProtection="0"/>
    <xf numFmtId="0" fontId="263" fillId="0" borderId="26" applyNumberFormat="0" applyFill="0" applyAlignment="0" applyProtection="0"/>
    <xf numFmtId="0" fontId="228" fillId="0" borderId="6" applyNumberFormat="0" applyFill="0" applyAlignment="0" applyProtection="0"/>
    <xf numFmtId="0" fontId="229" fillId="0" borderId="51" applyNumberFormat="0" applyFill="0" applyAlignment="0" applyProtection="0"/>
    <xf numFmtId="0" fontId="228" fillId="0" borderId="6" applyNumberFormat="0" applyFill="0" applyAlignment="0" applyProtection="0"/>
    <xf numFmtId="0" fontId="262" fillId="0" borderId="26" applyNumberFormat="0" applyFill="0" applyAlignment="0" applyProtection="0"/>
    <xf numFmtId="0" fontId="228" fillId="0" borderId="6" applyNumberFormat="0" applyFill="0" applyAlignment="0" applyProtection="0"/>
    <xf numFmtId="0" fontId="228" fillId="0" borderId="6" applyNumberFormat="0" applyFill="0" applyAlignment="0" applyProtection="0"/>
    <xf numFmtId="0" fontId="228" fillId="0" borderId="6" applyNumberFormat="0" applyFill="0" applyAlignment="0" applyProtection="0"/>
    <xf numFmtId="0" fontId="228" fillId="0" borderId="6" applyNumberFormat="0" applyFill="0" applyAlignment="0" applyProtection="0"/>
    <xf numFmtId="0" fontId="230" fillId="0" borderId="0">
      <alignment horizontal="left"/>
    </xf>
    <xf numFmtId="0" fontId="231" fillId="0" borderId="21">
      <alignment horizontal="left" vertical="top"/>
    </xf>
    <xf numFmtId="0" fontId="264" fillId="0" borderId="0" applyNumberFormat="0" applyFill="0" applyBorder="0" applyAlignment="0" applyProtection="0"/>
    <xf numFmtId="0" fontId="264" fillId="0" borderId="0" applyNumberFormat="0" applyFill="0" applyBorder="0" applyAlignment="0" applyProtection="0"/>
    <xf numFmtId="0" fontId="232" fillId="0" borderId="0" applyNumberFormat="0" applyFill="0" applyBorder="0" applyAlignment="0" applyProtection="0">
      <alignment vertical="center"/>
    </xf>
    <xf numFmtId="0" fontId="264" fillId="0" borderId="0" applyNumberFormat="0" applyFill="0" applyBorder="0" applyAlignment="0" applyProtection="0"/>
    <xf numFmtId="0" fontId="265" fillId="0" borderId="0" applyNumberFormat="0" applyFill="0" applyBorder="0" applyAlignment="0" applyProtection="0"/>
    <xf numFmtId="0" fontId="265" fillId="0" borderId="0" applyNumberFormat="0" applyFill="0" applyBorder="0" applyAlignment="0" applyProtection="0"/>
    <xf numFmtId="0" fontId="233" fillId="0" borderId="0" applyNumberFormat="0" applyFill="0" applyBorder="0" applyAlignment="0" applyProtection="0"/>
    <xf numFmtId="0" fontId="229" fillId="0" borderId="0" applyNumberFormat="0" applyFill="0" applyBorder="0" applyAlignment="0" applyProtection="0"/>
    <xf numFmtId="0" fontId="233" fillId="0" borderId="0" applyNumberFormat="0" applyFill="0" applyBorder="0" applyAlignment="0" applyProtection="0"/>
    <xf numFmtId="0" fontId="264" fillId="0" borderId="0" applyNumberFormat="0" applyFill="0" applyBorder="0" applyAlignment="0" applyProtection="0"/>
    <xf numFmtId="0" fontId="233" fillId="0" borderId="0" applyNumberFormat="0" applyFill="0" applyBorder="0" applyAlignment="0" applyProtection="0"/>
    <xf numFmtId="0" fontId="233" fillId="0" borderId="0" applyNumberFormat="0" applyFill="0" applyBorder="0" applyAlignment="0" applyProtection="0"/>
    <xf numFmtId="0" fontId="233" fillId="0" borderId="0" applyNumberFormat="0" applyFill="0" applyBorder="0" applyAlignment="0" applyProtection="0"/>
    <xf numFmtId="0" fontId="233" fillId="0" borderId="0" applyNumberFormat="0" applyFill="0" applyBorder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235" fillId="0" borderId="0" applyNumberFormat="0" applyFill="0" applyBorder="0" applyAlignment="0" applyProtection="0">
      <alignment vertical="top"/>
      <protection locked="0"/>
    </xf>
    <xf numFmtId="0" fontId="235" fillId="0" borderId="0" applyNumberFormat="0" applyFill="0" applyBorder="0" applyAlignment="0" applyProtection="0">
      <alignment vertical="top"/>
      <protection locked="0"/>
    </xf>
    <xf numFmtId="0" fontId="235" fillId="0" borderId="0" applyNumberFormat="0" applyFill="0" applyBorder="0" applyAlignment="0" applyProtection="0">
      <alignment vertical="top"/>
      <protection locked="0"/>
    </xf>
    <xf numFmtId="0" fontId="235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10" fontId="36" fillId="26" borderId="8" applyNumberFormat="0" applyBorder="0" applyAlignment="0" applyProtection="0"/>
    <xf numFmtId="10" fontId="36" fillId="26" borderId="8" applyNumberFormat="0" applyBorder="0" applyAlignment="0" applyProtection="0"/>
    <xf numFmtId="10" fontId="36" fillId="26" borderId="8" applyNumberFormat="0" applyBorder="0" applyAlignment="0" applyProtection="0"/>
    <xf numFmtId="10" fontId="36" fillId="26" borderId="8" applyNumberFormat="0" applyBorder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12" fillId="0" borderId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36" fillId="8" borderId="1" applyNumberFormat="0" applyAlignment="0" applyProtection="0">
      <alignment vertical="center"/>
    </xf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36" fillId="8" borderId="1" applyNumberFormat="0" applyAlignment="0" applyProtection="0">
      <alignment vertical="center"/>
    </xf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238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36" fillId="8" borderId="1" applyNumberFormat="0" applyAlignment="0" applyProtection="0">
      <alignment vertical="center"/>
    </xf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36" fillId="8" borderId="1" applyNumberFormat="0" applyAlignment="0" applyProtection="0">
      <alignment vertical="center"/>
    </xf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36" fillId="8" borderId="1" applyNumberFormat="0" applyAlignment="0" applyProtection="0">
      <alignment vertical="center"/>
    </xf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36" fillId="8" borderId="1" applyNumberFormat="0" applyAlignment="0" applyProtection="0">
      <alignment vertical="center"/>
    </xf>
    <xf numFmtId="0" fontId="266" fillId="43" borderId="28" applyNumberFormat="0" applyAlignment="0" applyProtection="0"/>
    <xf numFmtId="0" fontId="268" fillId="0" borderId="30" applyNumberFormat="0" applyFill="0" applyAlignment="0" applyProtection="0"/>
    <xf numFmtId="0" fontId="270" fillId="42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272" fillId="0" borderId="0"/>
    <xf numFmtId="0" fontId="272" fillId="0" borderId="0"/>
    <xf numFmtId="0" fontId="12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90" fillId="0" borderId="0"/>
    <xf numFmtId="0" fontId="90" fillId="0" borderId="0"/>
    <xf numFmtId="0" fontId="91" fillId="0" borderId="0"/>
    <xf numFmtId="0" fontId="12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1" fillId="0" borderId="0"/>
    <xf numFmtId="0" fontId="19" fillId="0" borderId="0"/>
    <xf numFmtId="0" fontId="91" fillId="0" borderId="0"/>
    <xf numFmtId="0" fontId="90" fillId="0" borderId="0"/>
    <xf numFmtId="0" fontId="90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90" fillId="0" borderId="0"/>
    <xf numFmtId="0" fontId="91" fillId="0" borderId="0"/>
    <xf numFmtId="0" fontId="19" fillId="0" borderId="0"/>
    <xf numFmtId="0" fontId="91" fillId="0" borderId="0"/>
    <xf numFmtId="0" fontId="90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91" fillId="0" borderId="0"/>
    <xf numFmtId="0" fontId="90" fillId="0" borderId="0"/>
    <xf numFmtId="0" fontId="91" fillId="0" borderId="0"/>
    <xf numFmtId="0" fontId="19" fillId="0" borderId="0"/>
    <xf numFmtId="0" fontId="91" fillId="0" borderId="0"/>
    <xf numFmtId="0" fontId="90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91" fillId="0" borderId="0"/>
    <xf numFmtId="0" fontId="90" fillId="0" borderId="0"/>
    <xf numFmtId="0" fontId="91" fillId="0" borderId="0"/>
    <xf numFmtId="0" fontId="19" fillId="0" borderId="0"/>
    <xf numFmtId="0" fontId="91" fillId="0" borderId="0"/>
    <xf numFmtId="0" fontId="90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91" fillId="0" borderId="0"/>
    <xf numFmtId="0" fontId="90" fillId="0" borderId="0"/>
    <xf numFmtId="0" fontId="91" fillId="0" borderId="0"/>
    <xf numFmtId="0" fontId="1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19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61" fillId="0" borderId="25" applyNumberFormat="0" applyFill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3" fillId="8" borderId="1" applyNumberFormat="0" applyAlignment="0" applyProtection="0"/>
    <xf numFmtId="0" fontId="12" fillId="0" borderId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68" fontId="163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9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168" fontId="163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0" fontId="211" fillId="0" borderId="0">
      <alignment horizontal="left"/>
    </xf>
    <xf numFmtId="167" fontId="12" fillId="0" borderId="0" applyFont="0" applyFill="0" applyBorder="0" applyAlignment="0" applyProtection="0"/>
    <xf numFmtId="215" fontId="29" fillId="0" borderId="0" applyFont="0" applyFill="0" applyBorder="0" applyAlignment="0" applyProtection="0"/>
    <xf numFmtId="0" fontId="256" fillId="0" borderId="0" applyNumberFormat="0" applyFill="0" applyBorder="0" applyAlignment="0" applyProtection="0"/>
    <xf numFmtId="0" fontId="213" fillId="0" borderId="0" applyNumberFormat="0" applyFill="0" applyBorder="0" applyAlignment="0" applyProtection="0"/>
    <xf numFmtId="0" fontId="213" fillId="0" borderId="0" applyNumberFormat="0" applyFill="0" applyBorder="0" applyAlignment="0" applyProtection="0"/>
    <xf numFmtId="0" fontId="213" fillId="0" borderId="0" applyNumberFormat="0" applyFill="0" applyBorder="0" applyAlignment="0" applyProtection="0"/>
    <xf numFmtId="0" fontId="213" fillId="0" borderId="0" applyNumberFormat="0" applyFill="0" applyBorder="0" applyAlignment="0" applyProtection="0"/>
    <xf numFmtId="0" fontId="216" fillId="0" borderId="0">
      <alignment horizontal="left"/>
    </xf>
    <xf numFmtId="0" fontId="278" fillId="0" borderId="0" applyNumberFormat="0" applyFill="0" applyBorder="0" applyAlignment="0" applyProtection="0">
      <alignment vertical="top"/>
      <protection locked="0"/>
    </xf>
    <xf numFmtId="0" fontId="218" fillId="5" borderId="0" applyNumberFormat="0" applyBorder="0" applyAlignment="0" applyProtection="0">
      <alignment vertical="center"/>
    </xf>
    <xf numFmtId="0" fontId="259" fillId="40" borderId="0" applyNumberFormat="0" applyBorder="0" applyAlignment="0" applyProtection="0"/>
    <xf numFmtId="0" fontId="219" fillId="5" borderId="0" applyNumberFormat="0" applyBorder="0" applyAlignment="0" applyProtection="0"/>
    <xf numFmtId="0" fontId="279" fillId="0" borderId="0" applyNumberFormat="0" applyFill="0" applyBorder="0" applyAlignment="0" applyProtection="0">
      <alignment vertical="top"/>
      <protection locked="0"/>
    </xf>
    <xf numFmtId="0" fontId="233" fillId="0" borderId="7" applyNumberFormat="0" applyFill="0" applyAlignment="0" applyProtection="0"/>
    <xf numFmtId="0" fontId="264" fillId="0" borderId="27" applyNumberFormat="0" applyFill="0" applyAlignment="0" applyProtection="0"/>
    <xf numFmtId="0" fontId="233" fillId="0" borderId="7" applyNumberFormat="0" applyFill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36" fillId="8" borderId="1" applyNumberFormat="0" applyAlignment="0" applyProtection="0">
      <alignment vertical="center"/>
    </xf>
    <xf numFmtId="0" fontId="240" fillId="0" borderId="9" applyNumberFormat="0" applyFill="0" applyAlignment="0" applyProtection="0">
      <alignment vertical="center"/>
    </xf>
    <xf numFmtId="0" fontId="269" fillId="0" borderId="30" applyNumberFormat="0" applyFill="0" applyAlignment="0" applyProtection="0"/>
    <xf numFmtId="0" fontId="241" fillId="0" borderId="9" applyNumberFormat="0" applyFill="0" applyAlignment="0" applyProtection="0"/>
    <xf numFmtId="0" fontId="270" fillId="42" borderId="0" applyNumberFormat="0" applyBorder="0" applyAlignment="0" applyProtection="0"/>
    <xf numFmtId="0" fontId="271" fillId="42" borderId="0" applyNumberFormat="0" applyBorder="0" applyAlignment="0" applyProtection="0"/>
    <xf numFmtId="182" fontId="12" fillId="0" borderId="0"/>
    <xf numFmtId="0" fontId="91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127" fillId="0" borderId="0">
      <alignment vertical="top"/>
    </xf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46" fillId="0" borderId="0">
      <alignment vertical="center"/>
    </xf>
    <xf numFmtId="0" fontId="246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91" fillId="0" borderId="0"/>
    <xf numFmtId="0" fontId="12" fillId="0" borderId="0"/>
    <xf numFmtId="0" fontId="90" fillId="0" borderId="0"/>
    <xf numFmtId="0" fontId="91" fillId="0" borderId="0"/>
    <xf numFmtId="0" fontId="12" fillId="0" borderId="0"/>
    <xf numFmtId="0" fontId="19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66" fillId="43" borderId="28" applyNumberFormat="0" applyAlignment="0" applyProtection="0"/>
    <xf numFmtId="43" fontId="29" fillId="0" borderId="0" applyFont="0" applyFill="0" applyBorder="0" applyAlignment="0" applyProtection="0">
      <alignment vertical="center"/>
    </xf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91" fillId="0" borderId="0"/>
    <xf numFmtId="0" fontId="19" fillId="0" borderId="0"/>
    <xf numFmtId="0" fontId="9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43" fontId="29" fillId="0" borderId="0" applyFont="0" applyFill="0" applyBorder="0" applyAlignment="0" applyProtection="0">
      <alignment vertical="center"/>
    </xf>
    <xf numFmtId="0" fontId="12" fillId="0" borderId="0"/>
    <xf numFmtId="43" fontId="12" fillId="0" borderId="0" applyFont="0" applyFill="0" applyBorder="0" applyAlignment="0" applyProtection="0"/>
    <xf numFmtId="0" fontId="29" fillId="0" borderId="0">
      <alignment vertical="center"/>
    </xf>
    <xf numFmtId="9" fontId="12" fillId="0" borderId="0" applyFont="0" applyFill="0" applyBorder="0" applyAlignment="0" applyProtection="0"/>
    <xf numFmtId="0" fontId="275" fillId="0" borderId="0" applyNumberFormat="0" applyFill="0" applyBorder="0" applyAlignment="0" applyProtection="0">
      <alignment vertical="top"/>
      <protection locked="0"/>
    </xf>
    <xf numFmtId="0" fontId="276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75" fontId="191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29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239" fontId="208" fillId="0" borderId="0"/>
    <xf numFmtId="0" fontId="209" fillId="0" borderId="0">
      <alignment horizontal="left"/>
    </xf>
    <xf numFmtId="167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240" fontId="208" fillId="0" borderId="0"/>
    <xf numFmtId="171" fontId="208" fillId="0" borderId="0"/>
    <xf numFmtId="0" fontId="33" fillId="0" borderId="0" applyNumberFormat="0" applyFill="0" applyBorder="0" applyAlignment="0" applyProtection="0"/>
    <xf numFmtId="0" fontId="256" fillId="0" borderId="0" applyNumberFormat="0" applyFill="0" applyBorder="0" applyAlignment="0" applyProtection="0"/>
    <xf numFmtId="0" fontId="212" fillId="0" borderId="0" applyNumberFormat="0" applyFill="0" applyBorder="0" applyAlignment="0" applyProtection="0">
      <alignment vertical="center"/>
    </xf>
    <xf numFmtId="0" fontId="256" fillId="0" borderId="0" applyNumberFormat="0" applyFill="0" applyBorder="0" applyAlignment="0" applyProtection="0"/>
    <xf numFmtId="0" fontId="257" fillId="0" borderId="0" applyNumberFormat="0" applyFill="0" applyBorder="0" applyAlignment="0" applyProtection="0"/>
    <xf numFmtId="0" fontId="257" fillId="0" borderId="0" applyNumberFormat="0" applyFill="0" applyBorder="0" applyAlignment="0" applyProtection="0"/>
    <xf numFmtId="0" fontId="213" fillId="0" borderId="0" applyNumberFormat="0" applyFill="0" applyBorder="0" applyAlignment="0" applyProtection="0"/>
    <xf numFmtId="0" fontId="214" fillId="0" borderId="0" applyNumberFormat="0" applyFill="0" applyBorder="0" applyAlignment="0" applyProtection="0"/>
    <xf numFmtId="0" fontId="213" fillId="0" borderId="0" applyNumberFormat="0" applyFill="0" applyBorder="0" applyAlignment="0" applyProtection="0"/>
    <xf numFmtId="0" fontId="256" fillId="0" borderId="0" applyNumberFormat="0" applyFill="0" applyBorder="0" applyAlignment="0" applyProtection="0"/>
    <xf numFmtId="0" fontId="215" fillId="0" borderId="0">
      <alignment horizontal="left"/>
    </xf>
    <xf numFmtId="0" fontId="217" fillId="0" borderId="0">
      <alignment horizontal="left"/>
    </xf>
    <xf numFmtId="0" fontId="217" fillId="0" borderId="0">
      <alignment horizontal="left"/>
    </xf>
    <xf numFmtId="0" fontId="258" fillId="40" borderId="0" applyNumberFormat="0" applyBorder="0" applyAlignment="0" applyProtection="0"/>
    <xf numFmtId="0" fontId="258" fillId="40" borderId="0" applyNumberFormat="0" applyBorder="0" applyAlignment="0" applyProtection="0"/>
    <xf numFmtId="0" fontId="258" fillId="40" borderId="0" applyNumberFormat="0" applyBorder="0" applyAlignment="0" applyProtection="0"/>
    <xf numFmtId="0" fontId="259" fillId="40" borderId="0" applyNumberFormat="0" applyBorder="0" applyAlignment="0" applyProtection="0"/>
    <xf numFmtId="0" fontId="220" fillId="5" borderId="0" applyNumberFormat="0" applyBorder="0" applyAlignment="0" applyProtection="0"/>
    <xf numFmtId="0" fontId="219" fillId="5" borderId="0" applyNumberFormat="0" applyBorder="0" applyAlignment="0" applyProtection="0"/>
    <xf numFmtId="0" fontId="258" fillId="40" borderId="0" applyNumberFormat="0" applyBorder="0" applyAlignment="0" applyProtection="0"/>
    <xf numFmtId="0" fontId="219" fillId="5" borderId="0" applyNumberFormat="0" applyBorder="0" applyAlignment="0" applyProtection="0"/>
    <xf numFmtId="0" fontId="219" fillId="5" borderId="0" applyNumberFormat="0" applyBorder="0" applyAlignment="0" applyProtection="0"/>
    <xf numFmtId="38" fontId="36" fillId="25" borderId="0" applyNumberFormat="0" applyBorder="0" applyAlignment="0" applyProtection="0"/>
    <xf numFmtId="38" fontId="36" fillId="25" borderId="0" applyNumberFormat="0" applyBorder="0" applyAlignment="0" applyProtection="0"/>
    <xf numFmtId="38" fontId="36" fillId="25" borderId="0" applyNumberFormat="0" applyBorder="0" applyAlignment="0" applyProtection="0"/>
    <xf numFmtId="0" fontId="264" fillId="0" borderId="27" applyNumberFormat="0" applyFill="0" applyAlignment="0" applyProtection="0"/>
    <xf numFmtId="0" fontId="264" fillId="0" borderId="27" applyNumberFormat="0" applyFill="0" applyAlignment="0" applyProtection="0"/>
    <xf numFmtId="0" fontId="232" fillId="0" borderId="7" applyNumberFormat="0" applyFill="0" applyAlignment="0" applyProtection="0">
      <alignment vertical="center"/>
    </xf>
    <xf numFmtId="0" fontId="264" fillId="0" borderId="27" applyNumberFormat="0" applyFill="0" applyAlignment="0" applyProtection="0"/>
    <xf numFmtId="0" fontId="265" fillId="0" borderId="27" applyNumberFormat="0" applyFill="0" applyAlignment="0" applyProtection="0"/>
    <xf numFmtId="0" fontId="265" fillId="0" borderId="27" applyNumberFormat="0" applyFill="0" applyAlignment="0" applyProtection="0"/>
    <xf numFmtId="0" fontId="233" fillId="0" borderId="7" applyNumberFormat="0" applyFill="0" applyAlignment="0" applyProtection="0"/>
    <xf numFmtId="0" fontId="224" fillId="0" borderId="0" applyNumberFormat="0" applyFill="0" applyBorder="0" applyAlignment="0" applyProtection="0"/>
    <xf numFmtId="0" fontId="233" fillId="0" borderId="7" applyNumberFormat="0" applyFill="0" applyAlignment="0" applyProtection="0"/>
    <xf numFmtId="0" fontId="233" fillId="0" borderId="7" applyNumberFormat="0" applyFill="0" applyAlignment="0" applyProtection="0"/>
    <xf numFmtId="0" fontId="233" fillId="0" borderId="7" applyNumberFormat="0" applyFill="0" applyAlignment="0" applyProtection="0"/>
    <xf numFmtId="0" fontId="234" fillId="0" borderId="0">
      <alignment horizontal="left"/>
    </xf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37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6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267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36" fillId="8" borderId="1" applyNumberFormat="0" applyAlignment="0" applyProtection="0">
      <alignment vertical="center"/>
    </xf>
    <xf numFmtId="0" fontId="43" fillId="8" borderId="1" applyNumberFormat="0" applyAlignment="0" applyProtection="0"/>
    <xf numFmtId="0" fontId="43" fillId="8" borderId="1" applyNumberFormat="0" applyAlignment="0" applyProtection="0"/>
    <xf numFmtId="0" fontId="237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43" fillId="8" borderId="1" applyNumberFormat="0" applyAlignment="0" applyProtection="0"/>
    <xf numFmtId="0" fontId="266" fillId="43" borderId="28" applyNumberFormat="0" applyAlignment="0" applyProtection="0"/>
    <xf numFmtId="0" fontId="266" fillId="43" borderId="28" applyNumberFormat="0" applyAlignment="0" applyProtection="0"/>
    <xf numFmtId="0" fontId="239" fillId="0" borderId="0" applyNumberFormat="0">
      <protection locked="0"/>
    </xf>
    <xf numFmtId="0" fontId="268" fillId="0" borderId="30" applyNumberFormat="0" applyFill="0" applyAlignment="0" applyProtection="0"/>
    <xf numFmtId="0" fontId="268" fillId="0" borderId="30" applyNumberFormat="0" applyFill="0" applyAlignment="0" applyProtection="0"/>
    <xf numFmtId="0" fontId="269" fillId="0" borderId="30" applyNumberFormat="0" applyFill="0" applyAlignment="0" applyProtection="0"/>
    <xf numFmtId="0" fontId="242" fillId="0" borderId="9" applyNumberFormat="0" applyFill="0" applyAlignment="0" applyProtection="0"/>
    <xf numFmtId="0" fontId="241" fillId="0" borderId="9" applyNumberFormat="0" applyFill="0" applyAlignment="0" applyProtection="0"/>
    <xf numFmtId="0" fontId="268" fillId="0" borderId="30" applyNumberFormat="0" applyFill="0" applyAlignment="0" applyProtection="0"/>
    <xf numFmtId="0" fontId="241" fillId="0" borderId="9" applyNumberFormat="0" applyFill="0" applyAlignment="0" applyProtection="0"/>
    <xf numFmtId="0" fontId="241" fillId="0" borderId="9" applyNumberFormat="0" applyFill="0" applyAlignment="0" applyProtection="0"/>
    <xf numFmtId="0" fontId="241" fillId="0" borderId="9" applyNumberFormat="0" applyFill="0" applyAlignment="0" applyProtection="0"/>
    <xf numFmtId="0" fontId="241" fillId="0" borderId="9" applyNumberFormat="0" applyFill="0" applyAlignment="0" applyProtection="0"/>
    <xf numFmtId="0" fontId="270" fillId="42" borderId="0" applyNumberFormat="0" applyBorder="0" applyAlignment="0" applyProtection="0"/>
    <xf numFmtId="0" fontId="243" fillId="27" borderId="0" applyNumberFormat="0" applyBorder="0" applyAlignment="0" applyProtection="0">
      <alignment vertical="center"/>
    </xf>
    <xf numFmtId="0" fontId="270" fillId="42" borderId="0" applyNumberFormat="0" applyBorder="0" applyAlignment="0" applyProtection="0"/>
    <xf numFmtId="0" fontId="271" fillId="42" borderId="0" applyNumberFormat="0" applyBorder="0" applyAlignment="0" applyProtection="0"/>
    <xf numFmtId="0" fontId="244" fillId="27" borderId="0" applyNumberFormat="0" applyBorder="0" applyAlignment="0" applyProtection="0"/>
    <xf numFmtId="0" fontId="245" fillId="27" borderId="0" applyNumberFormat="0" applyBorder="0" applyAlignment="0" applyProtection="0"/>
    <xf numFmtId="0" fontId="244" fillId="27" borderId="0" applyNumberFormat="0" applyBorder="0" applyAlignment="0" applyProtection="0"/>
    <xf numFmtId="0" fontId="244" fillId="27" borderId="0" applyNumberFormat="0" applyBorder="0" applyAlignment="0" applyProtection="0"/>
    <xf numFmtId="0" fontId="244" fillId="27" borderId="0" applyNumberFormat="0" applyBorder="0" applyAlignment="0" applyProtection="0"/>
    <xf numFmtId="0" fontId="244" fillId="27" borderId="0" applyNumberFormat="0" applyBorder="0" applyAlignment="0" applyProtection="0"/>
    <xf numFmtId="0" fontId="244" fillId="27" borderId="0" applyNumberFormat="0" applyBorder="0" applyAlignment="0" applyProtection="0"/>
    <xf numFmtId="182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7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7" fillId="0" borderId="0">
      <alignment vertical="top"/>
    </xf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7" fillId="0" borderId="0">
      <alignment vertical="top"/>
    </xf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7" fillId="0" borderId="0">
      <alignment vertical="top"/>
    </xf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 applyNumberFormat="0" applyFill="0" applyBorder="0" applyAlignment="0" applyProtection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29" fillId="0" borderId="0"/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12" fillId="0" borderId="0"/>
    <xf numFmtId="0" fontId="12" fillId="0" borderId="0"/>
    <xf numFmtId="0" fontId="29" fillId="0" borderId="0">
      <alignment vertical="center"/>
    </xf>
    <xf numFmtId="0" fontId="12" fillId="0" borderId="0"/>
    <xf numFmtId="0" fontId="29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163" fillId="0" borderId="0"/>
    <xf numFmtId="0" fontId="12" fillId="0" borderId="0"/>
    <xf numFmtId="0" fontId="12" fillId="0" borderId="0"/>
    <xf numFmtId="0" fontId="1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91" fillId="0" borderId="0"/>
    <xf numFmtId="0" fontId="19" fillId="0" borderId="0"/>
    <xf numFmtId="0" fontId="91" fillId="0" borderId="0"/>
    <xf numFmtId="0" fontId="12" fillId="0" borderId="0"/>
    <xf numFmtId="0" fontId="12" fillId="0" borderId="0"/>
    <xf numFmtId="0" fontId="19" fillId="0" borderId="0"/>
    <xf numFmtId="0" fontId="91" fillId="0" borderId="0"/>
    <xf numFmtId="0" fontId="91" fillId="0" borderId="0"/>
    <xf numFmtId="0" fontId="19" fillId="0" borderId="0"/>
    <xf numFmtId="0" fontId="90" fillId="0" borderId="0"/>
    <xf numFmtId="0" fontId="91" fillId="0" borderId="0"/>
    <xf numFmtId="0" fontId="12" fillId="0" borderId="0"/>
    <xf numFmtId="0" fontId="12" fillId="0" borderId="0"/>
    <xf numFmtId="0" fontId="91" fillId="0" borderId="0"/>
    <xf numFmtId="0" fontId="90" fillId="0" borderId="0"/>
    <xf numFmtId="0" fontId="19" fillId="0" borderId="0"/>
    <xf numFmtId="0" fontId="91" fillId="0" borderId="0"/>
    <xf numFmtId="0" fontId="19" fillId="0" borderId="0"/>
    <xf numFmtId="0" fontId="91" fillId="0" borderId="0"/>
    <xf numFmtId="0" fontId="19" fillId="0" borderId="0"/>
    <xf numFmtId="0" fontId="91" fillId="0" borderId="0"/>
    <xf numFmtId="0" fontId="12" fillId="0" borderId="0"/>
    <xf numFmtId="0" fontId="19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3" fontId="29" fillId="0" borderId="0" applyFont="0" applyFill="0" applyBorder="0" applyAlignment="0" applyProtection="0">
      <alignment vertical="center"/>
    </xf>
    <xf numFmtId="0" fontId="12" fillId="0" borderId="0"/>
    <xf numFmtId="43" fontId="12" fillId="0" borderId="0" applyFont="0" applyFill="0" applyBorder="0" applyAlignment="0" applyProtection="0">
      <alignment vertical="center"/>
    </xf>
    <xf numFmtId="0" fontId="12" fillId="0" borderId="0"/>
    <xf numFmtId="168" fontId="19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29" fillId="0" borderId="0" applyFont="0" applyFill="0" applyBorder="0" applyAlignment="0" applyProtection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9" fillId="0" borderId="0">
      <alignment vertical="center"/>
    </xf>
    <xf numFmtId="0" fontId="42" fillId="0" borderId="0" applyNumberFormat="0" applyFill="0" applyBorder="0" applyAlignment="0" applyProtection="0">
      <alignment vertical="top"/>
      <protection locked="0"/>
    </xf>
    <xf numFmtId="184" fontId="50" fillId="0" borderId="0" applyFont="0">
      <alignment horizontal="right"/>
      <protection locked="0"/>
    </xf>
    <xf numFmtId="0" fontId="281" fillId="0" borderId="0" applyNumberFormat="0" applyFill="0" applyBorder="0" applyAlignment="0" applyProtection="0">
      <alignment vertical="top"/>
      <protection locked="0"/>
    </xf>
    <xf numFmtId="0" fontId="281" fillId="0" borderId="0" applyNumberFormat="0" applyFill="0" applyBorder="0" applyAlignment="0" applyProtection="0">
      <alignment vertical="top"/>
      <protection locked="0"/>
    </xf>
    <xf numFmtId="0" fontId="281" fillId="0" borderId="0" applyNumberFormat="0" applyFill="0" applyBorder="0" applyAlignment="0" applyProtection="0">
      <alignment vertical="top"/>
      <protection locked="0"/>
    </xf>
    <xf numFmtId="9" fontId="29" fillId="0" borderId="0" applyFont="0" applyFill="0" applyBorder="0" applyAlignment="0" applyProtection="0">
      <alignment vertical="center"/>
    </xf>
    <xf numFmtId="179" fontId="32" fillId="0" borderId="0"/>
    <xf numFmtId="0" fontId="280" fillId="0" borderId="0" applyNumberFormat="0" applyFill="0" applyBorder="0" applyAlignment="0" applyProtection="0">
      <alignment vertical="top"/>
      <protection locked="0"/>
    </xf>
    <xf numFmtId="0" fontId="281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294" fillId="0" borderId="0" applyNumberFormat="0" applyFill="0" applyBorder="0" applyAlignment="0" applyProtection="0">
      <alignment vertical="center"/>
    </xf>
    <xf numFmtId="0" fontId="6" fillId="0" borderId="0"/>
    <xf numFmtId="43" fontId="19" fillId="0" borderId="0" applyFont="0" applyFill="0" applyBorder="0" applyAlignment="0" applyProtection="0"/>
    <xf numFmtId="0" fontId="6" fillId="0" borderId="0"/>
    <xf numFmtId="43" fontId="19" fillId="0" borderId="0" applyFont="0" applyFill="0" applyBorder="0" applyAlignment="0" applyProtection="0"/>
    <xf numFmtId="0" fontId="6" fillId="0" borderId="0"/>
    <xf numFmtId="43" fontId="19" fillId="0" borderId="0" applyFont="0" applyFill="0" applyBorder="0" applyAlignment="0" applyProtection="0"/>
    <xf numFmtId="0" fontId="5" fillId="0" borderId="0"/>
    <xf numFmtId="43" fontId="19" fillId="0" borderId="0" applyFont="0" applyFill="0" applyBorder="0" applyAlignment="0" applyProtection="0"/>
    <xf numFmtId="0" fontId="5" fillId="0" borderId="0"/>
    <xf numFmtId="43" fontId="19" fillId="0" borderId="0" applyFont="0" applyFill="0" applyBorder="0" applyAlignment="0" applyProtection="0"/>
    <xf numFmtId="0" fontId="4" fillId="0" borderId="0"/>
    <xf numFmtId="0" fontId="97" fillId="0" borderId="0">
      <alignment vertical="center"/>
    </xf>
    <xf numFmtId="0" fontId="5" fillId="0" borderId="0"/>
    <xf numFmtId="0" fontId="4" fillId="0" borderId="0"/>
    <xf numFmtId="43" fontId="97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90" fontId="5" fillId="0" borderId="0"/>
    <xf numFmtId="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223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0" fontId="5" fillId="0" borderId="0"/>
    <xf numFmtId="0" fontId="5" fillId="0" borderId="0"/>
    <xf numFmtId="19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19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190" fontId="5" fillId="0" borderId="0"/>
    <xf numFmtId="0" fontId="5" fillId="0" borderId="0"/>
    <xf numFmtId="190" fontId="5" fillId="0" borderId="0"/>
    <xf numFmtId="190" fontId="5" fillId="0" borderId="0"/>
    <xf numFmtId="0" fontId="5" fillId="0" borderId="0"/>
    <xf numFmtId="0" fontId="5" fillId="0" borderId="0"/>
    <xf numFmtId="0" fontId="5" fillId="0" borderId="0"/>
    <xf numFmtId="190" fontId="5" fillId="0" borderId="0"/>
    <xf numFmtId="0" fontId="5" fillId="0" borderId="0"/>
    <xf numFmtId="190" fontId="5" fillId="0" borderId="0"/>
    <xf numFmtId="190" fontId="5" fillId="0" borderId="0"/>
    <xf numFmtId="0" fontId="5" fillId="0" borderId="0"/>
    <xf numFmtId="190" fontId="5" fillId="0" borderId="0"/>
    <xf numFmtId="190" fontId="5" fillId="0" borderId="0"/>
    <xf numFmtId="19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168" fontId="5" fillId="0" borderId="0" applyFont="0" applyFill="0" applyBorder="0" applyAlignment="0" applyProtection="0"/>
    <xf numFmtId="0" fontId="5" fillId="0" borderId="0"/>
    <xf numFmtId="0" fontId="101" fillId="0" borderId="0" applyNumberFormat="0" applyFill="0" applyBorder="0" applyAlignment="0" applyProtection="0">
      <alignment vertical="top"/>
      <protection locked="0"/>
    </xf>
    <xf numFmtId="0" fontId="66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12" fillId="0" borderId="0"/>
    <xf numFmtId="43" fontId="12" fillId="0" borderId="0" applyFont="0" applyFill="0" applyBorder="0" applyAlignment="0" applyProtection="0"/>
    <xf numFmtId="168" fontId="5" fillId="0" borderId="0" applyFont="0" applyFill="0" applyBorder="0" applyAlignment="0" applyProtection="0"/>
    <xf numFmtId="246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0" fontId="3" fillId="0" borderId="0"/>
    <xf numFmtId="0" fontId="97" fillId="0" borderId="0">
      <alignment vertical="center"/>
    </xf>
    <xf numFmtId="43" fontId="9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12" fillId="0" borderId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68" fontId="19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0" fontId="12" fillId="0" borderId="0"/>
    <xf numFmtId="9" fontId="97" fillId="0" borderId="0" applyFont="0" applyFill="0" applyBorder="0" applyAlignment="0" applyProtection="0"/>
    <xf numFmtId="0" fontId="12" fillId="0" borderId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313" fillId="0" borderId="0" applyFont="0" applyFill="0" applyBorder="0" applyAlignment="0" applyProtection="0"/>
    <xf numFmtId="0" fontId="313" fillId="0" borderId="0"/>
    <xf numFmtId="0" fontId="313" fillId="0" borderId="0"/>
    <xf numFmtId="0" fontId="313" fillId="0" borderId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13" fillId="47" borderId="0" applyNumberFormat="0" applyBorder="0" applyAlignment="0" applyProtection="0"/>
    <xf numFmtId="0" fontId="313" fillId="51" borderId="0" applyNumberFormat="0" applyBorder="0" applyAlignment="0" applyProtection="0"/>
    <xf numFmtId="0" fontId="313" fillId="55" borderId="0" applyNumberFormat="0" applyBorder="0" applyAlignment="0" applyProtection="0"/>
    <xf numFmtId="0" fontId="313" fillId="59" borderId="0" applyNumberFormat="0" applyBorder="0" applyAlignment="0" applyProtection="0"/>
    <xf numFmtId="0" fontId="313" fillId="63" borderId="0" applyNumberFormat="0" applyBorder="0" applyAlignment="0" applyProtection="0"/>
    <xf numFmtId="0" fontId="313" fillId="67" borderId="0" applyNumberFormat="0" applyBorder="0" applyAlignment="0" applyProtection="0"/>
    <xf numFmtId="0" fontId="313" fillId="48" borderId="0" applyNumberFormat="0" applyBorder="0" applyAlignment="0" applyProtection="0"/>
    <xf numFmtId="0" fontId="313" fillId="52" borderId="0" applyNumberFormat="0" applyBorder="0" applyAlignment="0" applyProtection="0"/>
    <xf numFmtId="0" fontId="313" fillId="56" borderId="0" applyNumberFormat="0" applyBorder="0" applyAlignment="0" applyProtection="0"/>
    <xf numFmtId="0" fontId="313" fillId="60" borderId="0" applyNumberFormat="0" applyBorder="0" applyAlignment="0" applyProtection="0"/>
    <xf numFmtId="0" fontId="313" fillId="64" borderId="0" applyNumberFormat="0" applyBorder="0" applyAlignment="0" applyProtection="0"/>
    <xf numFmtId="0" fontId="313" fillId="68" borderId="0" applyNumberFormat="0" applyBorder="0" applyAlignment="0" applyProtection="0"/>
    <xf numFmtId="0" fontId="317" fillId="49" borderId="0" applyNumberFormat="0" applyBorder="0" applyAlignment="0" applyProtection="0"/>
    <xf numFmtId="0" fontId="317" fillId="53" borderId="0" applyNumberFormat="0" applyBorder="0" applyAlignment="0" applyProtection="0"/>
    <xf numFmtId="0" fontId="317" fillId="57" borderId="0" applyNumberFormat="0" applyBorder="0" applyAlignment="0" applyProtection="0"/>
    <xf numFmtId="0" fontId="317" fillId="61" borderId="0" applyNumberFormat="0" applyBorder="0" applyAlignment="0" applyProtection="0"/>
    <xf numFmtId="0" fontId="317" fillId="65" borderId="0" applyNumberFormat="0" applyBorder="0" applyAlignment="0" applyProtection="0"/>
    <xf numFmtId="0" fontId="317" fillId="69" borderId="0" applyNumberFormat="0" applyBorder="0" applyAlignment="0" applyProtection="0"/>
    <xf numFmtId="0" fontId="317" fillId="46" borderId="0" applyNumberFormat="0" applyBorder="0" applyAlignment="0" applyProtection="0"/>
    <xf numFmtId="0" fontId="317" fillId="50" borderId="0" applyNumberFormat="0" applyBorder="0" applyAlignment="0" applyProtection="0"/>
    <xf numFmtId="0" fontId="317" fillId="54" borderId="0" applyNumberFormat="0" applyBorder="0" applyAlignment="0" applyProtection="0"/>
    <xf numFmtId="0" fontId="317" fillId="58" borderId="0" applyNumberFormat="0" applyBorder="0" applyAlignment="0" applyProtection="0"/>
    <xf numFmtId="0" fontId="317" fillId="62" borderId="0" applyNumberFormat="0" applyBorder="0" applyAlignment="0" applyProtection="0"/>
    <xf numFmtId="0" fontId="317" fillId="66" borderId="0" applyNumberFormat="0" applyBorder="0" applyAlignment="0" applyProtection="0"/>
    <xf numFmtId="0" fontId="318" fillId="41" borderId="0" applyNumberFormat="0" applyBorder="0" applyAlignment="0" applyProtection="0"/>
    <xf numFmtId="22" fontId="12" fillId="0" borderId="0"/>
    <xf numFmtId="0" fontId="319" fillId="44" borderId="28" applyNumberFormat="0" applyAlignment="0" applyProtection="0"/>
    <xf numFmtId="0" fontId="320" fillId="45" borderId="31" applyNumberFormat="0" applyAlignment="0" applyProtection="0"/>
    <xf numFmtId="43" fontId="12" fillId="0" borderId="0" applyFont="0" applyFill="0" applyBorder="0" applyAlignment="0" applyProtection="0"/>
    <xf numFmtId="168" fontId="31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246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321" fillId="0" borderId="0" applyNumberFormat="0" applyFill="0" applyBorder="0" applyAlignment="0" applyProtection="0"/>
    <xf numFmtId="0" fontId="322" fillId="40" borderId="0" applyNumberFormat="0" applyBorder="0" applyAlignment="0" applyProtection="0"/>
    <xf numFmtId="0" fontId="323" fillId="0" borderId="25" applyNumberFormat="0" applyFill="0" applyAlignment="0" applyProtection="0"/>
    <xf numFmtId="0" fontId="324" fillId="0" borderId="26" applyNumberFormat="0" applyFill="0" applyAlignment="0" applyProtection="0"/>
    <xf numFmtId="0" fontId="325" fillId="0" borderId="27" applyNumberFormat="0" applyFill="0" applyAlignment="0" applyProtection="0"/>
    <xf numFmtId="0" fontId="325" fillId="0" borderId="0" applyNumberFormat="0" applyFill="0" applyBorder="0" applyAlignment="0" applyProtection="0"/>
    <xf numFmtId="0" fontId="326" fillId="43" borderId="28" applyNumberFormat="0" applyAlignment="0" applyProtection="0"/>
    <xf numFmtId="0" fontId="327" fillId="0" borderId="30" applyNumberFormat="0" applyFill="0" applyAlignment="0" applyProtection="0"/>
    <xf numFmtId="0" fontId="328" fillId="42" borderId="0" applyNumberFormat="0" applyBorder="0" applyAlignment="0" applyProtection="0"/>
    <xf numFmtId="0" fontId="329" fillId="0" borderId="0">
      <alignment vertical="center"/>
    </xf>
    <xf numFmtId="0" fontId="313" fillId="0" borderId="0"/>
    <xf numFmtId="0" fontId="313" fillId="0" borderId="0"/>
    <xf numFmtId="0" fontId="313" fillId="0" borderId="0"/>
    <xf numFmtId="0" fontId="313" fillId="0" borderId="0"/>
    <xf numFmtId="0" fontId="313" fillId="100" borderId="54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2" fillId="28" borderId="10" applyNumberFormat="0" applyFont="0" applyAlignment="0" applyProtection="0"/>
    <xf numFmtId="0" fontId="19" fillId="28" borderId="10" applyNumberFormat="0" applyFont="0" applyAlignment="0" applyProtection="0"/>
    <xf numFmtId="0" fontId="330" fillId="44" borderId="29" applyNumberFormat="0" applyAlignment="0" applyProtection="0"/>
    <xf numFmtId="9" fontId="12" fillId="0" borderId="0" applyFont="0" applyFill="0" applyBorder="0" applyAlignment="0" applyProtection="0"/>
    <xf numFmtId="0" fontId="331" fillId="0" borderId="0" applyNumberFormat="0" applyFill="0" applyBorder="0" applyAlignment="0" applyProtection="0"/>
    <xf numFmtId="0" fontId="312" fillId="0" borderId="55" applyNumberFormat="0" applyFill="0" applyAlignment="0" applyProtection="0"/>
    <xf numFmtId="0" fontId="332" fillId="0" borderId="0" applyNumberFormat="0" applyFill="0" applyBorder="0" applyAlignment="0" applyProtection="0"/>
  </cellStyleXfs>
  <cellXfs count="388">
    <xf numFmtId="0" fontId="0" fillId="0" borderId="0" xfId="0">
      <alignment vertical="center"/>
    </xf>
    <xf numFmtId="0" fontId="10" fillId="0" borderId="0" xfId="0" applyFont="1" applyAlignment="1">
      <alignment horizontal="right" vertical="center"/>
    </xf>
    <xf numFmtId="0" fontId="0" fillId="0" borderId="0" xfId="0" applyAlignment="1"/>
    <xf numFmtId="0" fontId="10" fillId="2" borderId="0" xfId="0" applyFont="1" applyFill="1" applyAlignment="1">
      <alignment horizontal="right" vertical="center"/>
    </xf>
    <xf numFmtId="0" fontId="0" fillId="2" borderId="0" xfId="0" applyFill="1" applyAlignment="1"/>
    <xf numFmtId="0" fontId="0" fillId="2" borderId="0" xfId="0" applyFill="1">
      <alignment vertical="center"/>
    </xf>
    <xf numFmtId="0" fontId="12" fillId="0" borderId="0" xfId="1105" applyFont="1"/>
    <xf numFmtId="43" fontId="12" fillId="0" borderId="0" xfId="1105" applyNumberFormat="1" applyFont="1"/>
    <xf numFmtId="14" fontId="12" fillId="0" borderId="0" xfId="1105" applyNumberFormat="1" applyFont="1"/>
    <xf numFmtId="172" fontId="12" fillId="0" borderId="0" xfId="1105" applyNumberFormat="1" applyFont="1"/>
    <xf numFmtId="0" fontId="12" fillId="0" borderId="0" xfId="1105" applyFont="1" applyFill="1"/>
    <xf numFmtId="0" fontId="10" fillId="31" borderId="0" xfId="0" applyFont="1" applyFill="1" applyAlignment="1">
      <alignment horizontal="right" vertical="center"/>
    </xf>
    <xf numFmtId="0" fontId="10" fillId="32" borderId="0" xfId="0" applyFont="1" applyFill="1" applyAlignment="1">
      <alignment horizontal="right" vertical="center"/>
    </xf>
    <xf numFmtId="0" fontId="0" fillId="0" borderId="0" xfId="0" pivotButton="1">
      <alignment vertical="center"/>
    </xf>
    <xf numFmtId="14" fontId="0" fillId="0" borderId="0" xfId="0" applyNumberFormat="1" applyAlignment="1">
      <alignment horizontal="left" vertical="center"/>
    </xf>
    <xf numFmtId="0" fontId="12" fillId="31" borderId="0" xfId="1105" applyFont="1" applyFill="1"/>
    <xf numFmtId="0" fontId="0" fillId="0" borderId="0" xfId="0" applyNumberFormat="1">
      <alignment vertical="center"/>
    </xf>
    <xf numFmtId="0" fontId="0" fillId="0" borderId="0" xfId="0" applyBorder="1">
      <alignment vertical="center"/>
    </xf>
    <xf numFmtId="171" fontId="0" fillId="0" borderId="0" xfId="0" applyNumberFormat="1" applyBorder="1">
      <alignment vertical="center"/>
    </xf>
    <xf numFmtId="3" fontId="0" fillId="0" borderId="0" xfId="0" applyNumberFormat="1" applyBorder="1">
      <alignment vertical="center"/>
    </xf>
    <xf numFmtId="9" fontId="0" fillId="0" borderId="0" xfId="0" applyNumberFormat="1" applyBorder="1">
      <alignment vertical="center"/>
    </xf>
    <xf numFmtId="4" fontId="0" fillId="0" borderId="0" xfId="0" applyNumberFormat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71" fontId="0" fillId="0" borderId="8" xfId="0" applyNumberFormat="1" applyBorder="1" applyAlignment="1">
      <alignment horizontal="right" vertical="center"/>
    </xf>
    <xf numFmtId="3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9" fontId="0" fillId="0" borderId="8" xfId="0" applyNumberFormat="1" applyBorder="1" applyAlignment="1">
      <alignment horizontal="right" vertical="center"/>
    </xf>
    <xf numFmtId="4" fontId="0" fillId="34" borderId="8" xfId="0" applyNumberFormat="1" applyFill="1" applyBorder="1" applyAlignment="1">
      <alignment horizontal="left" vertical="center"/>
    </xf>
    <xf numFmtId="0" fontId="12" fillId="0" borderId="0" xfId="1105" applyFont="1" applyAlignment="1">
      <alignment horizontal="center"/>
    </xf>
    <xf numFmtId="43" fontId="72" fillId="31" borderId="0" xfId="0" applyNumberFormat="1" applyFont="1" applyFill="1" applyAlignment="1">
      <alignment horizontal="center"/>
    </xf>
    <xf numFmtId="172" fontId="72" fillId="33" borderId="0" xfId="0" applyNumberFormat="1" applyFont="1" applyFill="1" applyAlignment="1">
      <alignment horizontal="center"/>
    </xf>
    <xf numFmtId="43" fontId="72" fillId="33" borderId="0" xfId="0" applyNumberFormat="1" applyFont="1" applyFill="1" applyAlignment="1">
      <alignment horizontal="center"/>
    </xf>
    <xf numFmtId="0" fontId="74" fillId="0" borderId="0" xfId="0" applyFont="1" applyAlignment="1"/>
    <xf numFmtId="0" fontId="75" fillId="0" borderId="0" xfId="0" applyFont="1" applyAlignment="1"/>
    <xf numFmtId="0" fontId="77" fillId="0" borderId="0" xfId="0" applyFont="1">
      <alignment vertical="center"/>
    </xf>
    <xf numFmtId="0" fontId="78" fillId="36" borderId="0" xfId="0" applyFont="1" applyFill="1" applyAlignment="1">
      <alignment horizontal="left"/>
    </xf>
    <xf numFmtId="0" fontId="78" fillId="36" borderId="0" xfId="0" applyFont="1" applyFill="1" applyAlignment="1">
      <alignment horizontal="center"/>
    </xf>
    <xf numFmtId="0" fontId="78" fillId="36" borderId="0" xfId="0" applyFont="1" applyFill="1" applyAlignment="1">
      <alignment horizontal="center" wrapText="1"/>
    </xf>
    <xf numFmtId="43" fontId="77" fillId="0" borderId="0" xfId="0" applyNumberFormat="1" applyFont="1">
      <alignment vertical="center"/>
    </xf>
    <xf numFmtId="0" fontId="73" fillId="0" borderId="0" xfId="0" applyFont="1" applyFill="1">
      <alignment vertical="center"/>
    </xf>
    <xf numFmtId="0" fontId="79" fillId="0" borderId="0" xfId="0" applyFont="1" applyAlignment="1"/>
    <xf numFmtId="10" fontId="79" fillId="0" borderId="0" xfId="0" applyNumberFormat="1" applyFont="1" applyAlignment="1"/>
    <xf numFmtId="0" fontId="79" fillId="0" borderId="0" xfId="0" applyFont="1" applyFill="1" applyAlignment="1"/>
    <xf numFmtId="0" fontId="0" fillId="31" borderId="8" xfId="0" applyFill="1" applyBorder="1" applyAlignment="1">
      <alignment horizontal="left" vertical="center"/>
    </xf>
    <xf numFmtId="190" fontId="77" fillId="0" borderId="0" xfId="0" applyNumberFormat="1" applyFont="1">
      <alignment vertical="center"/>
    </xf>
    <xf numFmtId="43" fontId="80" fillId="0" borderId="0" xfId="1105" applyNumberFormat="1" applyFont="1"/>
    <xf numFmtId="10" fontId="83" fillId="0" borderId="0" xfId="0" applyNumberFormat="1" applyFont="1" applyAlignment="1"/>
    <xf numFmtId="0" fontId="83" fillId="0" borderId="0" xfId="0" applyFont="1" applyAlignment="1"/>
    <xf numFmtId="189" fontId="79" fillId="0" borderId="0" xfId="0" applyNumberFormat="1" applyFont="1" applyAlignment="1"/>
    <xf numFmtId="10" fontId="79" fillId="0" borderId="0" xfId="0" applyNumberFormat="1" applyFont="1" applyFill="1" applyAlignment="1"/>
    <xf numFmtId="14" fontId="77" fillId="0" borderId="0" xfId="0" applyNumberFormat="1" applyFont="1">
      <alignment vertical="center"/>
    </xf>
    <xf numFmtId="0" fontId="74" fillId="0" borderId="0" xfId="0" applyFont="1" applyFill="1" applyAlignment="1">
      <alignment horizontal="left"/>
    </xf>
    <xf numFmtId="0" fontId="84" fillId="0" borderId="0" xfId="0" applyFont="1" applyBorder="1" applyAlignment="1"/>
    <xf numFmtId="0" fontId="77" fillId="0" borderId="0" xfId="0" applyFont="1" applyAlignment="1"/>
    <xf numFmtId="0" fontId="74" fillId="37" borderId="0" xfId="0" applyFont="1" applyFill="1" applyAlignment="1"/>
    <xf numFmtId="0" fontId="77" fillId="37" borderId="0" xfId="0" applyFont="1" applyFill="1">
      <alignment vertical="center"/>
    </xf>
    <xf numFmtId="3" fontId="77" fillId="0" borderId="0" xfId="0" applyNumberFormat="1" applyFont="1" applyAlignment="1"/>
    <xf numFmtId="4" fontId="77" fillId="0" borderId="0" xfId="0" applyNumberFormat="1" applyFont="1">
      <alignment vertical="center"/>
    </xf>
    <xf numFmtId="0" fontId="78" fillId="35" borderId="0" xfId="0" applyFont="1" applyFill="1" applyAlignment="1">
      <alignment horizontal="centerContinuous"/>
    </xf>
    <xf numFmtId="0" fontId="78" fillId="35" borderId="0" xfId="0" applyFont="1" applyFill="1" applyAlignment="1">
      <alignment horizontal="centerContinuous" wrapText="1"/>
    </xf>
    <xf numFmtId="0" fontId="78" fillId="0" borderId="0" xfId="0" applyFont="1" applyFill="1" applyAlignment="1">
      <alignment horizontal="center"/>
    </xf>
    <xf numFmtId="171" fontId="77" fillId="0" borderId="0" xfId="0" applyNumberFormat="1" applyFont="1">
      <alignment vertical="center"/>
    </xf>
    <xf numFmtId="0" fontId="88" fillId="38" borderId="0" xfId="0" applyFont="1" applyFill="1">
      <alignment vertical="center"/>
    </xf>
    <xf numFmtId="10" fontId="87" fillId="0" borderId="0" xfId="0" applyNumberFormat="1" applyFont="1" applyAlignment="1"/>
    <xf numFmtId="171" fontId="87" fillId="0" borderId="0" xfId="0" applyNumberFormat="1" applyFont="1" applyAlignment="1"/>
    <xf numFmtId="0" fontId="74" fillId="0" borderId="20" xfId="0" applyFont="1" applyBorder="1" applyAlignment="1">
      <alignment vertical="center" wrapText="1"/>
    </xf>
    <xf numFmtId="0" fontId="75" fillId="0" borderId="22" xfId="0" applyFont="1" applyBorder="1">
      <alignment vertical="center"/>
    </xf>
    <xf numFmtId="0" fontId="75" fillId="0" borderId="0" xfId="0" applyFont="1" applyBorder="1" applyAlignment="1"/>
    <xf numFmtId="0" fontId="75" fillId="0" borderId="22" xfId="0" applyFont="1" applyBorder="1" applyAlignment="1"/>
    <xf numFmtId="15" fontId="12" fillId="0" borderId="0" xfId="1105" applyNumberFormat="1" applyFont="1"/>
    <xf numFmtId="190" fontId="77" fillId="31" borderId="0" xfId="0" applyNumberFormat="1" applyFont="1" applyFill="1">
      <alignment vertical="center"/>
    </xf>
    <xf numFmtId="0" fontId="77" fillId="31" borderId="0" xfId="0" applyFont="1" applyFill="1">
      <alignment vertical="center"/>
    </xf>
    <xf numFmtId="43" fontId="77" fillId="31" borderId="0" xfId="0" applyNumberFormat="1" applyFont="1" applyFill="1">
      <alignment vertical="center"/>
    </xf>
    <xf numFmtId="10" fontId="87" fillId="31" borderId="0" xfId="0" applyNumberFormat="1" applyFont="1" applyFill="1" applyAlignment="1"/>
    <xf numFmtId="171" fontId="87" fillId="31" borderId="0" xfId="0" applyNumberFormat="1" applyFont="1" applyFill="1" applyAlignment="1"/>
    <xf numFmtId="0" fontId="84" fillId="31" borderId="0" xfId="0" applyFont="1" applyFill="1" applyBorder="1" applyAlignment="1"/>
    <xf numFmtId="0" fontId="84" fillId="31" borderId="22" xfId="0" applyFont="1" applyFill="1" applyBorder="1" applyAlignment="1"/>
    <xf numFmtId="0" fontId="77" fillId="31" borderId="0" xfId="0" applyFont="1" applyFill="1" applyAlignment="1"/>
    <xf numFmtId="3" fontId="77" fillId="31" borderId="0" xfId="0" applyNumberFormat="1" applyFont="1" applyFill="1" applyAlignment="1"/>
    <xf numFmtId="14" fontId="85" fillId="0" borderId="0" xfId="0" applyNumberFormat="1" applyFont="1" applyAlignment="1">
      <alignment vertical="center" wrapText="1"/>
    </xf>
    <xf numFmtId="43" fontId="77" fillId="0" borderId="0" xfId="0" applyNumberFormat="1" applyFont="1" applyAlignment="1"/>
    <xf numFmtId="3" fontId="74" fillId="0" borderId="0" xfId="0" applyNumberFormat="1" applyFont="1" applyAlignment="1"/>
    <xf numFmtId="3" fontId="75" fillId="0" borderId="0" xfId="0" applyNumberFormat="1" applyFont="1" applyAlignment="1"/>
    <xf numFmtId="3" fontId="77" fillId="0" borderId="0" xfId="0" applyNumberFormat="1" applyFont="1">
      <alignment vertical="center"/>
    </xf>
    <xf numFmtId="3" fontId="85" fillId="0" borderId="0" xfId="0" applyNumberFormat="1" applyFont="1" applyAlignment="1">
      <alignment vertical="center" wrapText="1"/>
    </xf>
    <xf numFmtId="3" fontId="77" fillId="37" borderId="0" xfId="0" applyNumberFormat="1" applyFont="1" applyFill="1">
      <alignment vertical="center"/>
    </xf>
    <xf numFmtId="3" fontId="77" fillId="31" borderId="0" xfId="0" applyNumberFormat="1" applyFont="1" applyFill="1">
      <alignment vertical="center"/>
    </xf>
    <xf numFmtId="172" fontId="80" fillId="0" borderId="0" xfId="1105" applyNumberFormat="1" applyFont="1"/>
    <xf numFmtId="0" fontId="73" fillId="38" borderId="0" xfId="0" applyFont="1" applyFill="1">
      <alignment vertical="center"/>
    </xf>
    <xf numFmtId="0" fontId="92" fillId="38" borderId="0" xfId="0" applyFont="1" applyFill="1">
      <alignment vertical="center"/>
    </xf>
    <xf numFmtId="0" fontId="12" fillId="0" borderId="0" xfId="1105" applyFont="1"/>
    <xf numFmtId="43" fontId="12" fillId="0" borderId="0" xfId="1105" applyNumberFormat="1" applyFont="1"/>
    <xf numFmtId="14" fontId="12" fillId="0" borderId="0" xfId="1105" applyNumberFormat="1" applyFont="1"/>
    <xf numFmtId="172" fontId="12" fillId="0" borderId="0" xfId="1105" applyNumberFormat="1" applyFont="1"/>
    <xf numFmtId="0" fontId="12" fillId="0" borderId="0" xfId="1105" applyFont="1" applyFill="1"/>
    <xf numFmtId="14" fontId="12" fillId="0" borderId="0" xfId="1105" applyNumberFormat="1" applyFont="1" applyFill="1"/>
    <xf numFmtId="43" fontId="80" fillId="0" borderId="0" xfId="1105" applyNumberFormat="1" applyFont="1"/>
    <xf numFmtId="172" fontId="81" fillId="0" borderId="0" xfId="1105" applyNumberFormat="1" applyFont="1"/>
    <xf numFmtId="43" fontId="81" fillId="0" borderId="0" xfId="1105" applyNumberFormat="1" applyFont="1"/>
    <xf numFmtId="14" fontId="12" fillId="32" borderId="0" xfId="1105" applyNumberFormat="1" applyFont="1" applyFill="1"/>
    <xf numFmtId="43" fontId="80" fillId="32" borderId="0" xfId="1105" applyNumberFormat="1" applyFont="1" applyFill="1"/>
    <xf numFmtId="43" fontId="82" fillId="0" borderId="0" xfId="1105" applyNumberFormat="1" applyFont="1"/>
    <xf numFmtId="172" fontId="82" fillId="0" borderId="0" xfId="1105" applyNumberFormat="1" applyFont="1"/>
    <xf numFmtId="43" fontId="80" fillId="0" borderId="0" xfId="1105" applyNumberFormat="1" applyFont="1" applyFill="1"/>
    <xf numFmtId="14" fontId="12" fillId="0" borderId="0" xfId="0" applyNumberFormat="1" applyFont="1" applyBorder="1" applyAlignment="1"/>
    <xf numFmtId="172" fontId="80" fillId="0" borderId="0" xfId="1105" applyNumberFormat="1" applyFont="1"/>
    <xf numFmtId="172" fontId="80" fillId="32" borderId="0" xfId="1105" applyNumberFormat="1" applyFont="1" applyFill="1"/>
    <xf numFmtId="172" fontId="94" fillId="0" borderId="0" xfId="1105" applyNumberFormat="1" applyFont="1"/>
    <xf numFmtId="43" fontId="94" fillId="0" borderId="0" xfId="1105" applyNumberFormat="1" applyFont="1"/>
    <xf numFmtId="170" fontId="94" fillId="0" borderId="0" xfId="1105" applyNumberFormat="1" applyFont="1"/>
    <xf numFmtId="43" fontId="77" fillId="0" borderId="0" xfId="1466" applyFont="1" applyAlignment="1">
      <alignment vertical="center"/>
    </xf>
    <xf numFmtId="3" fontId="93" fillId="0" borderId="0" xfId="0" applyNumberFormat="1" applyFont="1" applyAlignment="1"/>
    <xf numFmtId="4" fontId="77" fillId="31" borderId="0" xfId="0" applyNumberFormat="1" applyFont="1" applyFill="1">
      <alignment vertical="center"/>
    </xf>
    <xf numFmtId="0" fontId="75" fillId="0" borderId="21" xfId="0" applyFont="1" applyBorder="1" applyAlignment="1"/>
    <xf numFmtId="0" fontId="86" fillId="0" borderId="0" xfId="0" applyFont="1">
      <alignment vertical="center"/>
    </xf>
    <xf numFmtId="0" fontId="86" fillId="31" borderId="0" xfId="0" applyFont="1" applyFill="1">
      <alignment vertical="center"/>
    </xf>
    <xf numFmtId="0" fontId="282" fillId="0" borderId="0" xfId="0" applyFont="1" applyAlignment="1"/>
    <xf numFmtId="0" fontId="282" fillId="0" borderId="0" xfId="0" applyFont="1">
      <alignment vertical="center"/>
    </xf>
    <xf numFmtId="43" fontId="77" fillId="31" borderId="0" xfId="1466" applyFont="1" applyFill="1" applyAlignment="1">
      <alignment vertical="center"/>
    </xf>
    <xf numFmtId="9" fontId="87" fillId="31" borderId="0" xfId="1204" applyFont="1" applyFill="1"/>
    <xf numFmtId="0" fontId="283" fillId="0" borderId="0" xfId="0" applyFont="1" applyAlignment="1"/>
    <xf numFmtId="171" fontId="77" fillId="31" borderId="0" xfId="0" applyNumberFormat="1" applyFont="1" applyFill="1">
      <alignment vertical="center"/>
    </xf>
    <xf numFmtId="0" fontId="284" fillId="0" borderId="0" xfId="0" applyFont="1" applyAlignment="1"/>
    <xf numFmtId="3" fontId="93" fillId="0" borderId="0" xfId="0" applyNumberFormat="1" applyFont="1">
      <alignment vertical="center"/>
    </xf>
    <xf numFmtId="0" fontId="285" fillId="35" borderId="0" xfId="0" applyFont="1" applyFill="1" applyAlignment="1">
      <alignment horizontal="center"/>
    </xf>
    <xf numFmtId="4" fontId="0" fillId="0" borderId="0" xfId="0" applyNumberFormat="1">
      <alignment vertical="center"/>
    </xf>
    <xf numFmtId="3" fontId="0" fillId="0" borderId="0" xfId="0" pivotButton="1" applyNumberFormat="1">
      <alignment vertical="center"/>
    </xf>
    <xf numFmtId="3" fontId="0" fillId="0" borderId="0" xfId="0" applyNumberFormat="1">
      <alignment vertical="center"/>
    </xf>
    <xf numFmtId="15" fontId="0" fillId="0" borderId="0" xfId="0" applyNumberFormat="1">
      <alignment vertical="center"/>
    </xf>
    <xf numFmtId="15" fontId="286" fillId="87" borderId="0" xfId="14858" applyNumberFormat="1" applyFont="1" applyFill="1" applyAlignment="1">
      <alignment horizontal="left"/>
    </xf>
    <xf numFmtId="10" fontId="286" fillId="87" borderId="0" xfId="14858" applyNumberFormat="1" applyFont="1" applyFill="1" applyAlignment="1">
      <alignment horizontal="right"/>
    </xf>
    <xf numFmtId="4" fontId="286" fillId="87" borderId="0" xfId="14858" applyNumberFormat="1" applyFont="1" applyFill="1" applyAlignment="1">
      <alignment horizontal="right"/>
    </xf>
    <xf numFmtId="0" fontId="286" fillId="87" borderId="0" xfId="14858" applyFont="1" applyFill="1" applyAlignment="1">
      <alignment horizontal="right"/>
    </xf>
    <xf numFmtId="0" fontId="286" fillId="87" borderId="0" xfId="14858" applyFont="1" applyFill="1"/>
    <xf numFmtId="15" fontId="59" fillId="0" borderId="0" xfId="14858" applyNumberFormat="1" applyFont="1" applyAlignment="1">
      <alignment horizontal="left"/>
    </xf>
    <xf numFmtId="10" fontId="59" fillId="0" borderId="0" xfId="14858" applyNumberFormat="1" applyFont="1" applyAlignment="1">
      <alignment horizontal="right"/>
    </xf>
    <xf numFmtId="10" fontId="59" fillId="0" borderId="0" xfId="14858" applyNumberFormat="1" applyFont="1" applyFill="1" applyAlignment="1">
      <alignment horizontal="right"/>
    </xf>
    <xf numFmtId="4" fontId="59" fillId="0" borderId="0" xfId="14858" applyNumberFormat="1" applyFont="1" applyAlignment="1">
      <alignment horizontal="right"/>
    </xf>
    <xf numFmtId="0" fontId="59" fillId="0" borderId="0" xfId="14858" applyFont="1" applyAlignment="1">
      <alignment horizontal="right"/>
    </xf>
    <xf numFmtId="0" fontId="59" fillId="0" borderId="0" xfId="14858" applyFont="1"/>
    <xf numFmtId="10" fontId="7" fillId="0" borderId="0" xfId="14858" applyNumberFormat="1" applyAlignment="1">
      <alignment horizontal="right"/>
    </xf>
    <xf numFmtId="10" fontId="7" fillId="0" borderId="0" xfId="14858" applyNumberFormat="1" applyFill="1" applyAlignment="1">
      <alignment horizontal="right"/>
    </xf>
    <xf numFmtId="4" fontId="7" fillId="0" borderId="0" xfId="14858" applyNumberFormat="1" applyAlignment="1">
      <alignment horizontal="right"/>
    </xf>
    <xf numFmtId="0" fontId="7" fillId="0" borderId="0" xfId="14858" applyAlignment="1">
      <alignment horizontal="right"/>
    </xf>
    <xf numFmtId="0" fontId="7" fillId="0" borderId="0" xfId="14858"/>
    <xf numFmtId="9" fontId="7" fillId="0" borderId="0" xfId="14858" applyNumberFormat="1"/>
    <xf numFmtId="10" fontId="7" fillId="0" borderId="0" xfId="14858" applyNumberFormat="1"/>
    <xf numFmtId="10" fontId="287" fillId="0" borderId="0" xfId="14858" applyNumberFormat="1" applyFont="1" applyFill="1" applyAlignment="1">
      <alignment horizontal="right"/>
    </xf>
    <xf numFmtId="15" fontId="288" fillId="0" borderId="0" xfId="14858" applyNumberFormat="1" applyFont="1" applyAlignment="1">
      <alignment horizontal="left"/>
    </xf>
    <xf numFmtId="10" fontId="289" fillId="0" borderId="0" xfId="14858" applyNumberFormat="1" applyFont="1" applyFill="1" applyAlignment="1">
      <alignment horizontal="right"/>
    </xf>
    <xf numFmtId="10" fontId="290" fillId="0" borderId="0" xfId="14858" applyNumberFormat="1" applyFont="1" applyAlignment="1">
      <alignment horizontal="right"/>
    </xf>
    <xf numFmtId="10" fontId="7" fillId="0" borderId="0" xfId="14858" applyNumberFormat="1" applyFont="1" applyAlignment="1">
      <alignment horizontal="right"/>
    </xf>
    <xf numFmtId="4" fontId="290" fillId="0" borderId="0" xfId="14858" applyNumberFormat="1" applyFont="1" applyAlignment="1">
      <alignment horizontal="right"/>
    </xf>
    <xf numFmtId="0" fontId="290" fillId="0" borderId="0" xfId="14858" applyFont="1" applyAlignment="1">
      <alignment horizontal="right"/>
    </xf>
    <xf numFmtId="0" fontId="290" fillId="0" borderId="0" xfId="14858" applyFont="1"/>
    <xf numFmtId="9" fontId="290" fillId="0" borderId="0" xfId="14858" applyNumberFormat="1" applyFont="1"/>
    <xf numFmtId="10" fontId="290" fillId="0" borderId="0" xfId="14858" applyNumberFormat="1" applyFont="1"/>
    <xf numFmtId="10" fontId="19" fillId="0" borderId="0" xfId="14858" applyNumberFormat="1" applyFont="1" applyAlignment="1">
      <alignment horizontal="right"/>
    </xf>
    <xf numFmtId="10" fontId="19" fillId="0" borderId="0" xfId="14858" applyNumberFormat="1" applyFont="1" applyFill="1" applyAlignment="1">
      <alignment horizontal="right"/>
    </xf>
    <xf numFmtId="4" fontId="19" fillId="0" borderId="0" xfId="14858" applyNumberFormat="1" applyFont="1" applyAlignment="1">
      <alignment horizontal="right"/>
    </xf>
    <xf numFmtId="0" fontId="7" fillId="0" borderId="0" xfId="14858" applyFont="1" applyAlignment="1">
      <alignment horizontal="right"/>
    </xf>
    <xf numFmtId="0" fontId="7" fillId="0" borderId="0" xfId="14858" applyFont="1"/>
    <xf numFmtId="0" fontId="291" fillId="88" borderId="0" xfId="14858" applyFont="1" applyFill="1" applyAlignment="1">
      <alignment horizontal="right"/>
    </xf>
    <xf numFmtId="0" fontId="291" fillId="88" borderId="0" xfId="14858" applyFont="1" applyFill="1"/>
    <xf numFmtId="15" fontId="292" fillId="88" borderId="0" xfId="14858" applyNumberFormat="1" applyFont="1" applyFill="1" applyAlignment="1">
      <alignment horizontal="left"/>
    </xf>
    <xf numFmtId="10" fontId="293" fillId="88" borderId="0" xfId="14858" applyNumberFormat="1" applyFont="1" applyFill="1" applyAlignment="1">
      <alignment horizontal="right"/>
    </xf>
    <xf numFmtId="10" fontId="291" fillId="88" borderId="0" xfId="14858" applyNumberFormat="1" applyFont="1" applyFill="1" applyAlignment="1">
      <alignment horizontal="right"/>
    </xf>
    <xf numFmtId="4" fontId="291" fillId="88" borderId="0" xfId="14858" applyNumberFormat="1" applyFont="1" applyFill="1" applyAlignment="1">
      <alignment horizontal="right"/>
    </xf>
    <xf numFmtId="10" fontId="290" fillId="0" borderId="0" xfId="14858" applyNumberFormat="1" applyFont="1" applyAlignment="1">
      <alignment horizontal="left"/>
    </xf>
    <xf numFmtId="43" fontId="0" fillId="0" borderId="0" xfId="4486" applyFont="1" applyAlignment="1">
      <alignment horizontal="right"/>
    </xf>
    <xf numFmtId="15" fontId="59" fillId="86" borderId="52" xfId="14858" applyNumberFormat="1" applyFont="1" applyFill="1" applyBorder="1" applyAlignment="1">
      <alignment horizontal="left"/>
    </xf>
    <xf numFmtId="4" fontId="7" fillId="86" borderId="4" xfId="14858" applyNumberFormat="1" applyFill="1" applyBorder="1" applyAlignment="1">
      <alignment horizontal="right"/>
    </xf>
    <xf numFmtId="4" fontId="7" fillId="86" borderId="53" xfId="14858" applyNumberFormat="1" applyFill="1" applyBorder="1" applyAlignment="1">
      <alignment horizontal="right"/>
    </xf>
    <xf numFmtId="10" fontId="59" fillId="0" borderId="0" xfId="0" applyNumberFormat="1" applyFont="1" applyAlignment="1">
      <alignment horizontal="right"/>
    </xf>
    <xf numFmtId="0" fontId="0" fillId="25" borderId="0" xfId="0" applyFill="1" applyAlignment="1"/>
    <xf numFmtId="16" fontId="0" fillId="0" borderId="0" xfId="0" applyNumberFormat="1" applyAlignment="1"/>
    <xf numFmtId="10" fontId="0" fillId="0" borderId="0" xfId="5593" applyNumberFormat="1" applyFont="1"/>
    <xf numFmtId="0" fontId="294" fillId="0" borderId="0" xfId="14859">
      <alignment vertical="center"/>
    </xf>
    <xf numFmtId="0" fontId="77" fillId="0" borderId="0" xfId="0" applyFont="1" applyAlignment="1">
      <alignment vertical="center" wrapText="1"/>
    </xf>
    <xf numFmtId="0" fontId="74" fillId="0" borderId="18" xfId="0" applyFont="1" applyBorder="1" applyAlignment="1">
      <alignment vertical="center" wrapText="1"/>
    </xf>
    <xf numFmtId="0" fontId="74" fillId="0" borderId="19" xfId="0" applyFont="1" applyBorder="1" applyAlignment="1">
      <alignment vertical="center" wrapText="1"/>
    </xf>
    <xf numFmtId="14" fontId="77" fillId="0" borderId="0" xfId="0" applyNumberFormat="1" applyFont="1" applyAlignment="1">
      <alignment vertical="center" wrapText="1"/>
    </xf>
    <xf numFmtId="4" fontId="7" fillId="86" borderId="0" xfId="14858" applyNumberFormat="1" applyFill="1" applyBorder="1" applyAlignment="1">
      <alignment horizontal="right"/>
    </xf>
    <xf numFmtId="9" fontId="12" fillId="0" borderId="0" xfId="1105" applyNumberFormat="1" applyFont="1" applyFill="1"/>
    <xf numFmtId="4" fontId="59" fillId="0" borderId="0" xfId="14858" applyNumberFormat="1" applyFont="1" applyAlignment="1">
      <alignment horizontal="left"/>
    </xf>
    <xf numFmtId="0" fontId="295" fillId="87" borderId="0" xfId="14858" applyNumberFormat="1" applyFont="1" applyFill="1" applyAlignment="1">
      <alignment horizontal="right"/>
    </xf>
    <xf numFmtId="10" fontId="296" fillId="0" borderId="0" xfId="14858" applyNumberFormat="1" applyFont="1" applyAlignment="1">
      <alignment horizontal="right"/>
    </xf>
    <xf numFmtId="10" fontId="296" fillId="0" borderId="0" xfId="14858" applyNumberFormat="1" applyFont="1" applyFill="1" applyAlignment="1">
      <alignment horizontal="right"/>
    </xf>
    <xf numFmtId="15" fontId="297" fillId="0" borderId="0" xfId="14858" applyNumberFormat="1" applyFont="1" applyAlignment="1">
      <alignment horizontal="left"/>
    </xf>
    <xf numFmtId="10" fontId="298" fillId="0" borderId="0" xfId="14858" applyNumberFormat="1" applyFont="1" applyAlignment="1">
      <alignment horizontal="right"/>
    </xf>
    <xf numFmtId="10" fontId="298" fillId="0" borderId="0" xfId="14858" applyNumberFormat="1" applyFont="1" applyFill="1" applyAlignment="1">
      <alignment horizontal="right"/>
    </xf>
    <xf numFmtId="10" fontId="299" fillId="0" borderId="0" xfId="14858" applyNumberFormat="1" applyFont="1" applyFill="1" applyAlignment="1">
      <alignment horizontal="right"/>
    </xf>
    <xf numFmtId="10" fontId="299" fillId="0" borderId="0" xfId="14858" applyNumberFormat="1" applyFont="1" applyAlignment="1">
      <alignment horizontal="right"/>
    </xf>
    <xf numFmtId="0" fontId="77" fillId="89" borderId="0" xfId="0" applyFont="1" applyFill="1">
      <alignment vertical="center"/>
    </xf>
    <xf numFmtId="43" fontId="77" fillId="89" borderId="0" xfId="0" applyNumberFormat="1" applyFont="1" applyFill="1">
      <alignment vertical="center"/>
    </xf>
    <xf numFmtId="191" fontId="77" fillId="89" borderId="0" xfId="0" applyNumberFormat="1" applyFont="1" applyFill="1">
      <alignment vertical="center"/>
    </xf>
    <xf numFmtId="0" fontId="86" fillId="89" borderId="0" xfId="0" applyFont="1" applyFill="1" applyAlignment="1">
      <alignment horizontal="left" indent="1"/>
    </xf>
    <xf numFmtId="189" fontId="77" fillId="89" borderId="0" xfId="0" applyNumberFormat="1" applyFont="1" applyFill="1">
      <alignment vertical="center"/>
    </xf>
    <xf numFmtId="10" fontId="77" fillId="89" borderId="0" xfId="0" applyNumberFormat="1" applyFont="1" applyFill="1">
      <alignment vertical="center"/>
    </xf>
    <xf numFmtId="4" fontId="77" fillId="89" borderId="0" xfId="0" applyNumberFormat="1" applyFont="1" applyFill="1">
      <alignment vertical="center"/>
    </xf>
    <xf numFmtId="190" fontId="77" fillId="89" borderId="0" xfId="0" applyNumberFormat="1" applyFont="1" applyFill="1">
      <alignment vertical="center"/>
    </xf>
    <xf numFmtId="0" fontId="75" fillId="89" borderId="0" xfId="0" applyFont="1" applyFill="1" applyAlignment="1"/>
    <xf numFmtId="0" fontId="74" fillId="89" borderId="0" xfId="0" applyFont="1" applyFill="1" applyAlignment="1"/>
    <xf numFmtId="0" fontId="74" fillId="89" borderId="52" xfId="0" applyFont="1" applyFill="1" applyBorder="1" applyAlignment="1">
      <alignment horizontal="left" indent="1"/>
    </xf>
    <xf numFmtId="188" fontId="76" fillId="89" borderId="0" xfId="0" applyNumberFormat="1" applyFont="1" applyFill="1" applyBorder="1" applyAlignment="1"/>
    <xf numFmtId="0" fontId="74" fillId="89" borderId="0" xfId="0" applyFont="1" applyFill="1" applyAlignment="1">
      <alignment horizontal="center"/>
    </xf>
    <xf numFmtId="0" fontId="75" fillId="89" borderId="0" xfId="0" applyFont="1" applyFill="1" applyAlignment="1">
      <alignment horizontal="center"/>
    </xf>
    <xf numFmtId="0" fontId="77" fillId="89" borderId="0" xfId="0" applyFont="1" applyFill="1" applyAlignment="1">
      <alignment vertical="center" wrapText="1"/>
    </xf>
    <xf numFmtId="0" fontId="300" fillId="89" borderId="52" xfId="0" applyFont="1" applyFill="1" applyBorder="1" applyAlignment="1">
      <alignment horizontal="left" indent="1"/>
    </xf>
    <xf numFmtId="0" fontId="75" fillId="89" borderId="0" xfId="0" applyFont="1" applyFill="1" applyAlignment="1">
      <alignment horizontal="left" indent="1"/>
    </xf>
    <xf numFmtId="0" fontId="75" fillId="89" borderId="0" xfId="0" applyFont="1" applyFill="1" applyBorder="1" applyAlignment="1">
      <alignment horizontal="left" indent="1"/>
    </xf>
    <xf numFmtId="14" fontId="301" fillId="2" borderId="8" xfId="0" applyNumberFormat="1" applyFont="1" applyFill="1" applyBorder="1" applyAlignment="1">
      <alignment horizontal="center"/>
    </xf>
    <xf numFmtId="0" fontId="74" fillId="83" borderId="52" xfId="0" applyFont="1" applyFill="1" applyBorder="1" applyAlignment="1">
      <alignment horizontal="left" indent="1"/>
    </xf>
    <xf numFmtId="0" fontId="36" fillId="89" borderId="0" xfId="0" applyFont="1" applyFill="1" applyAlignment="1">
      <alignment horizontal="left" indent="1"/>
    </xf>
    <xf numFmtId="190" fontId="36" fillId="89" borderId="0" xfId="0" applyNumberFormat="1" applyFont="1" applyFill="1">
      <alignment vertical="center"/>
    </xf>
    <xf numFmtId="43" fontId="36" fillId="89" borderId="0" xfId="0" applyNumberFormat="1" applyFont="1" applyFill="1">
      <alignment vertical="center"/>
    </xf>
    <xf numFmtId="242" fontId="36" fillId="89" borderId="0" xfId="0" applyNumberFormat="1" applyFont="1" applyFill="1">
      <alignment vertical="center"/>
    </xf>
    <xf numFmtId="242" fontId="36" fillId="89" borderId="0" xfId="1466" applyNumberFormat="1" applyFont="1" applyFill="1" applyAlignment="1">
      <alignment vertical="center"/>
    </xf>
    <xf numFmtId="241" fontId="36" fillId="89" borderId="0" xfId="0" applyNumberFormat="1" applyFont="1" applyFill="1">
      <alignment vertical="center"/>
    </xf>
    <xf numFmtId="0" fontId="36" fillId="89" borderId="0" xfId="0" applyFont="1" applyFill="1">
      <alignment vertical="center"/>
    </xf>
    <xf numFmtId="4" fontId="36" fillId="89" borderId="0" xfId="0" applyNumberFormat="1" applyFont="1" applyFill="1">
      <alignment vertical="center"/>
    </xf>
    <xf numFmtId="191" fontId="36" fillId="89" borderId="0" xfId="0" applyNumberFormat="1" applyFont="1" applyFill="1">
      <alignment vertical="center"/>
    </xf>
    <xf numFmtId="10" fontId="36" fillId="89" borderId="0" xfId="1204" applyNumberFormat="1" applyFont="1" applyFill="1" applyAlignment="1">
      <alignment horizontal="center"/>
    </xf>
    <xf numFmtId="171" fontId="36" fillId="89" borderId="0" xfId="0" applyNumberFormat="1" applyFont="1" applyFill="1" applyAlignment="1">
      <alignment horizontal="center" vertical="center"/>
    </xf>
    <xf numFmtId="189" fontId="36" fillId="89" borderId="0" xfId="0" applyNumberFormat="1" applyFont="1" applyFill="1" applyAlignment="1">
      <alignment horizontal="center" vertical="center"/>
    </xf>
    <xf numFmtId="10" fontId="36" fillId="89" borderId="0" xfId="0" applyNumberFormat="1" applyFont="1" applyFill="1" applyAlignment="1">
      <alignment horizontal="center" vertical="center"/>
    </xf>
    <xf numFmtId="4" fontId="36" fillId="89" borderId="0" xfId="0" applyNumberFormat="1" applyFont="1" applyFill="1" applyAlignment="1">
      <alignment horizontal="center" vertical="center"/>
    </xf>
    <xf numFmtId="0" fontId="36" fillId="89" borderId="0" xfId="0" applyFont="1" applyFill="1" applyBorder="1" applyAlignment="1">
      <alignment horizontal="left" indent="1"/>
    </xf>
    <xf numFmtId="0" fontId="308" fillId="89" borderId="0" xfId="0" applyFont="1" applyFill="1" applyAlignment="1">
      <alignment horizontal="left" indent="1"/>
    </xf>
    <xf numFmtId="190" fontId="307" fillId="89" borderId="0" xfId="0" applyNumberFormat="1" applyFont="1" applyFill="1">
      <alignment vertical="center"/>
    </xf>
    <xf numFmtId="43" fontId="307" fillId="89" borderId="0" xfId="0" applyNumberFormat="1" applyFont="1" applyFill="1">
      <alignment vertical="center"/>
    </xf>
    <xf numFmtId="242" fontId="307" fillId="89" borderId="0" xfId="0" applyNumberFormat="1" applyFont="1" applyFill="1">
      <alignment vertical="center"/>
    </xf>
    <xf numFmtId="0" fontId="307" fillId="89" borderId="0" xfId="0" applyFont="1" applyFill="1">
      <alignment vertical="center"/>
    </xf>
    <xf numFmtId="4" fontId="307" fillId="89" borderId="0" xfId="0" applyNumberFormat="1" applyFont="1" applyFill="1">
      <alignment vertical="center"/>
    </xf>
    <xf numFmtId="191" fontId="307" fillId="89" borderId="0" xfId="0" applyNumberFormat="1" applyFont="1" applyFill="1">
      <alignment vertical="center"/>
    </xf>
    <xf numFmtId="10" fontId="307" fillId="89" borderId="0" xfId="0" applyNumberFormat="1" applyFont="1" applyFill="1">
      <alignment vertical="center"/>
    </xf>
    <xf numFmtId="189" fontId="307" fillId="89" borderId="0" xfId="0" applyNumberFormat="1" applyFont="1" applyFill="1">
      <alignment vertical="center"/>
    </xf>
    <xf numFmtId="0" fontId="305" fillId="83" borderId="52" xfId="0" applyFont="1" applyFill="1" applyBorder="1" applyAlignment="1">
      <alignment horizontal="left" indent="1"/>
    </xf>
    <xf numFmtId="190" fontId="36" fillId="83" borderId="4" xfId="0" applyNumberFormat="1" applyFont="1" applyFill="1" applyBorder="1">
      <alignment vertical="center"/>
    </xf>
    <xf numFmtId="43" fontId="36" fillId="83" borderId="4" xfId="0" applyNumberFormat="1" applyFont="1" applyFill="1" applyBorder="1">
      <alignment vertical="center"/>
    </xf>
    <xf numFmtId="242" fontId="306" fillId="83" borderId="4" xfId="0" applyNumberFormat="1" applyFont="1" applyFill="1" applyBorder="1">
      <alignment vertical="center"/>
    </xf>
    <xf numFmtId="242" fontId="36" fillId="83" borderId="4" xfId="1466" applyNumberFormat="1" applyFont="1" applyFill="1" applyBorder="1" applyAlignment="1">
      <alignment vertical="center"/>
    </xf>
    <xf numFmtId="242" fontId="36" fillId="83" borderId="4" xfId="0" applyNumberFormat="1" applyFont="1" applyFill="1" applyBorder="1">
      <alignment vertical="center"/>
    </xf>
    <xf numFmtId="0" fontId="36" fillId="83" borderId="4" xfId="0" applyFont="1" applyFill="1" applyBorder="1">
      <alignment vertical="center"/>
    </xf>
    <xf numFmtId="4" fontId="36" fillId="83" borderId="4" xfId="0" applyNumberFormat="1" applyFont="1" applyFill="1" applyBorder="1">
      <alignment vertical="center"/>
    </xf>
    <xf numFmtId="191" fontId="36" fillId="83" borderId="4" xfId="0" applyNumberFormat="1" applyFont="1" applyFill="1" applyBorder="1">
      <alignment vertical="center"/>
    </xf>
    <xf numFmtId="10" fontId="36" fillId="83" borderId="4" xfId="1204" applyNumberFormat="1" applyFont="1" applyFill="1" applyBorder="1" applyAlignment="1">
      <alignment horizontal="center"/>
    </xf>
    <xf numFmtId="10" fontId="36" fillId="83" borderId="4" xfId="0" applyNumberFormat="1" applyFont="1" applyFill="1" applyBorder="1" applyAlignment="1">
      <alignment horizontal="center" vertical="center"/>
    </xf>
    <xf numFmtId="189" fontId="307" fillId="83" borderId="4" xfId="0" applyNumberFormat="1" applyFont="1" applyFill="1" applyBorder="1" applyAlignment="1">
      <alignment horizontal="center" vertical="center"/>
    </xf>
    <xf numFmtId="10" fontId="307" fillId="83" borderId="4" xfId="0" applyNumberFormat="1" applyFont="1" applyFill="1" applyBorder="1" applyAlignment="1">
      <alignment horizontal="center" vertical="center"/>
    </xf>
    <xf numFmtId="10" fontId="307" fillId="83" borderId="53" xfId="0" applyNumberFormat="1" applyFont="1" applyFill="1" applyBorder="1" applyAlignment="1">
      <alignment horizontal="center" vertical="center"/>
    </xf>
    <xf numFmtId="242" fontId="302" fillId="83" borderId="4" xfId="0" applyNumberFormat="1" applyFont="1" applyFill="1" applyBorder="1">
      <alignment vertical="center"/>
    </xf>
    <xf numFmtId="171" fontId="36" fillId="83" borderId="4" xfId="0" applyNumberFormat="1" applyFont="1" applyFill="1" applyBorder="1" applyAlignment="1">
      <alignment horizontal="center" vertical="center"/>
    </xf>
    <xf numFmtId="0" fontId="36" fillId="83" borderId="4" xfId="0" applyFont="1" applyFill="1" applyBorder="1" applyAlignment="1">
      <alignment horizontal="center" vertical="center"/>
    </xf>
    <xf numFmtId="0" fontId="36" fillId="83" borderId="53" xfId="0" applyFont="1" applyFill="1" applyBorder="1" applyAlignment="1">
      <alignment horizontal="center" vertical="center"/>
    </xf>
    <xf numFmtId="189" fontId="36" fillId="83" borderId="4" xfId="0" applyNumberFormat="1" applyFont="1" applyFill="1" applyBorder="1" applyAlignment="1">
      <alignment horizontal="center" vertical="center"/>
    </xf>
    <xf numFmtId="10" fontId="36" fillId="83" borderId="53" xfId="0" applyNumberFormat="1" applyFont="1" applyFill="1" applyBorder="1" applyAlignment="1">
      <alignment horizontal="center" vertical="center"/>
    </xf>
    <xf numFmtId="0" fontId="77" fillId="90" borderId="0" xfId="0" applyFont="1" applyFill="1">
      <alignment vertical="center"/>
    </xf>
    <xf numFmtId="0" fontId="302" fillId="90" borderId="0" xfId="0" applyFont="1" applyFill="1" applyAlignment="1">
      <alignment horizontal="left"/>
    </xf>
    <xf numFmtId="0" fontId="78" fillId="90" borderId="0" xfId="0" applyFont="1" applyFill="1" applyAlignment="1">
      <alignment horizontal="left" wrapText="1"/>
    </xf>
    <xf numFmtId="0" fontId="303" fillId="90" borderId="0" xfId="0" applyFont="1" applyFill="1" applyAlignment="1">
      <alignment horizontal="left" wrapText="1"/>
    </xf>
    <xf numFmtId="0" fontId="303" fillId="90" borderId="0" xfId="0" applyFont="1" applyFill="1" applyAlignment="1">
      <alignment horizontal="center" wrapText="1"/>
    </xf>
    <xf numFmtId="0" fontId="304" fillId="90" borderId="0" xfId="0" applyFont="1" applyFill="1" applyAlignment="1">
      <alignment horizontal="center" wrapText="1"/>
    </xf>
    <xf numFmtId="0" fontId="309" fillId="90" borderId="0" xfId="0" applyFont="1" applyFill="1" applyAlignment="1">
      <alignment horizontal="centerContinuous"/>
    </xf>
    <xf numFmtId="0" fontId="46" fillId="90" borderId="0" xfId="0" applyFont="1" applyFill="1" applyAlignment="1"/>
    <xf numFmtId="0" fontId="309" fillId="90" borderId="0" xfId="0" applyFont="1" applyFill="1" applyAlignment="1">
      <alignment horizontal="center"/>
    </xf>
    <xf numFmtId="0" fontId="309" fillId="90" borderId="0" xfId="0" applyFont="1" applyFill="1" applyAlignment="1">
      <alignment horizontal="centerContinuous" wrapText="1"/>
    </xf>
    <xf numFmtId="0" fontId="36" fillId="91" borderId="0" xfId="0" applyFont="1" applyFill="1" applyBorder="1" applyAlignment="1">
      <alignment horizontal="left" indent="1"/>
    </xf>
    <xf numFmtId="190" fontId="36" fillId="91" borderId="0" xfId="0" applyNumberFormat="1" applyFont="1" applyFill="1">
      <alignment vertical="center"/>
    </xf>
    <xf numFmtId="43" fontId="36" fillId="91" borderId="0" xfId="0" applyNumberFormat="1" applyFont="1" applyFill="1">
      <alignment vertical="center"/>
    </xf>
    <xf numFmtId="242" fontId="36" fillId="91" borderId="0" xfId="0" applyNumberFormat="1" applyFont="1" applyFill="1">
      <alignment vertical="center"/>
    </xf>
    <xf numFmtId="242" fontId="36" fillId="91" borderId="0" xfId="1466" applyNumberFormat="1" applyFont="1" applyFill="1" applyAlignment="1">
      <alignment vertical="center"/>
    </xf>
    <xf numFmtId="241" fontId="36" fillId="91" borderId="0" xfId="0" applyNumberFormat="1" applyFont="1" applyFill="1">
      <alignment vertical="center"/>
    </xf>
    <xf numFmtId="0" fontId="36" fillId="91" borderId="0" xfId="0" applyFont="1" applyFill="1">
      <alignment vertical="center"/>
    </xf>
    <xf numFmtId="4" fontId="36" fillId="91" borderId="0" xfId="0" applyNumberFormat="1" applyFont="1" applyFill="1">
      <alignment vertical="center"/>
    </xf>
    <xf numFmtId="191" fontId="36" fillId="91" borderId="0" xfId="0" applyNumberFormat="1" applyFont="1" applyFill="1">
      <alignment vertical="center"/>
    </xf>
    <xf numFmtId="10" fontId="36" fillId="91" borderId="0" xfId="1204" applyNumberFormat="1" applyFont="1" applyFill="1" applyAlignment="1">
      <alignment horizontal="center"/>
    </xf>
    <xf numFmtId="171" fontId="36" fillId="91" borderId="0" xfId="0" applyNumberFormat="1" applyFont="1" applyFill="1" applyAlignment="1">
      <alignment horizontal="center" vertical="center"/>
    </xf>
    <xf numFmtId="189" fontId="36" fillId="91" borderId="0" xfId="0" applyNumberFormat="1" applyFont="1" applyFill="1" applyAlignment="1">
      <alignment horizontal="center" vertical="center"/>
    </xf>
    <xf numFmtId="10" fontId="36" fillId="91" borderId="0" xfId="0" applyNumberFormat="1" applyFont="1" applyFill="1" applyAlignment="1">
      <alignment horizontal="center" vertical="center"/>
    </xf>
    <xf numFmtId="4" fontId="36" fillId="91" borderId="0" xfId="0" applyNumberFormat="1" applyFont="1" applyFill="1" applyAlignment="1">
      <alignment horizontal="center" vertical="center"/>
    </xf>
    <xf numFmtId="0" fontId="36" fillId="91" borderId="0" xfId="0" applyFont="1" applyFill="1" applyAlignment="1">
      <alignment horizontal="left" indent="1"/>
    </xf>
    <xf numFmtId="43" fontId="36" fillId="91" borderId="0" xfId="1466" applyFont="1" applyFill="1" applyAlignment="1">
      <alignment vertical="center"/>
    </xf>
    <xf numFmtId="0" fontId="310" fillId="89" borderId="52" xfId="0" applyFont="1" applyFill="1" applyBorder="1" applyAlignment="1">
      <alignment horizontal="left" indent="1"/>
    </xf>
    <xf numFmtId="190" fontId="311" fillId="89" borderId="4" xfId="0" applyNumberFormat="1" applyFont="1" applyFill="1" applyBorder="1">
      <alignment vertical="center"/>
    </xf>
    <xf numFmtId="43" fontId="311" fillId="89" borderId="4" xfId="0" applyNumberFormat="1" applyFont="1" applyFill="1" applyBorder="1">
      <alignment vertical="center"/>
    </xf>
    <xf numFmtId="242" fontId="311" fillId="89" borderId="4" xfId="0" applyNumberFormat="1" applyFont="1" applyFill="1" applyBorder="1">
      <alignment vertical="center"/>
    </xf>
    <xf numFmtId="0" fontId="311" fillId="89" borderId="4" xfId="0" applyFont="1" applyFill="1" applyBorder="1">
      <alignment vertical="center"/>
    </xf>
    <xf numFmtId="191" fontId="311" fillId="89" borderId="4" xfId="0" applyNumberFormat="1" applyFont="1" applyFill="1" applyBorder="1">
      <alignment vertical="center"/>
    </xf>
    <xf numFmtId="10" fontId="311" fillId="89" borderId="4" xfId="0" applyNumberFormat="1" applyFont="1" applyFill="1" applyBorder="1">
      <alignment vertical="center"/>
    </xf>
    <xf numFmtId="189" fontId="311" fillId="89" borderId="4" xfId="0" applyNumberFormat="1" applyFont="1" applyFill="1" applyBorder="1">
      <alignment vertical="center"/>
    </xf>
    <xf numFmtId="10" fontId="311" fillId="89" borderId="53" xfId="0" applyNumberFormat="1" applyFont="1" applyFill="1" applyBorder="1">
      <alignment vertical="center"/>
    </xf>
    <xf numFmtId="242" fontId="306" fillId="83" borderId="4" xfId="0" applyNumberFormat="1" applyFont="1" applyFill="1" applyBorder="1" applyAlignment="1">
      <alignment horizontal="center" vertical="center"/>
    </xf>
    <xf numFmtId="242" fontId="36" fillId="89" borderId="0" xfId="0" applyNumberFormat="1" applyFont="1" applyFill="1" applyAlignment="1">
      <alignment horizontal="center" vertical="center"/>
    </xf>
    <xf numFmtId="242" fontId="36" fillId="91" borderId="0" xfId="0" applyNumberFormat="1" applyFont="1" applyFill="1" applyAlignment="1">
      <alignment horizontal="center" vertical="center"/>
    </xf>
    <xf numFmtId="242" fontId="302" fillId="83" borderId="4" xfId="0" applyNumberFormat="1" applyFont="1" applyFill="1" applyBorder="1" applyAlignment="1">
      <alignment horizontal="center" vertical="center"/>
    </xf>
    <xf numFmtId="242" fontId="307" fillId="89" borderId="0" xfId="0" applyNumberFormat="1" applyFont="1" applyFill="1" applyAlignment="1">
      <alignment horizontal="center" vertical="center"/>
    </xf>
    <xf numFmtId="242" fontId="311" fillId="89" borderId="4" xfId="0" applyNumberFormat="1" applyFont="1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37" borderId="0" xfId="0" applyFill="1">
      <alignment vertical="center"/>
    </xf>
    <xf numFmtId="243" fontId="0" fillId="92" borderId="0" xfId="0" applyNumberFormat="1" applyFill="1">
      <alignment vertical="center"/>
    </xf>
    <xf numFmtId="0" fontId="0" fillId="0" borderId="0" xfId="0" applyFill="1">
      <alignment vertical="center"/>
    </xf>
    <xf numFmtId="0" fontId="313" fillId="92" borderId="0" xfId="0" applyFont="1" applyFill="1" applyAlignment="1">
      <alignment horizontal="right" vertical="center"/>
    </xf>
    <xf numFmtId="9" fontId="312" fillId="0" borderId="0" xfId="0" applyNumberFormat="1" applyFont="1" applyFill="1" applyAlignment="1">
      <alignment horizontal="center" vertical="center"/>
    </xf>
    <xf numFmtId="0" fontId="0" fillId="94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0" borderId="24" xfId="0" applyBorder="1">
      <alignment vertical="center"/>
    </xf>
    <xf numFmtId="4" fontId="0" fillId="0" borderId="24" xfId="0" applyNumberFormat="1" applyBorder="1">
      <alignment vertical="center"/>
    </xf>
    <xf numFmtId="4" fontId="0" fillId="93" borderId="24" xfId="0" applyNumberFormat="1" applyFill="1" applyBorder="1">
      <alignment vertical="center"/>
    </xf>
    <xf numFmtId="4" fontId="0" fillId="95" borderId="24" xfId="0" applyNumberFormat="1" applyFill="1" applyBorder="1">
      <alignment vertical="center"/>
    </xf>
    <xf numFmtId="4" fontId="0" fillId="95" borderId="0" xfId="0" applyNumberFormat="1" applyFill="1">
      <alignment vertical="center"/>
    </xf>
    <xf numFmtId="4" fontId="0" fillId="98" borderId="24" xfId="0" applyNumberFormat="1" applyFill="1" applyBorder="1">
      <alignment vertical="center"/>
    </xf>
    <xf numFmtId="4" fontId="0" fillId="98" borderId="0" xfId="0" applyNumberFormat="1" applyFill="1">
      <alignment vertical="center"/>
    </xf>
    <xf numFmtId="3" fontId="86" fillId="31" borderId="0" xfId="0" applyNumberFormat="1" applyFont="1" applyFill="1">
      <alignment vertical="center"/>
    </xf>
    <xf numFmtId="0" fontId="75" fillId="91" borderId="0" xfId="0" applyFont="1" applyFill="1" applyAlignment="1">
      <alignment horizontal="left" indent="1"/>
    </xf>
    <xf numFmtId="0" fontId="77" fillId="91" borderId="0" xfId="0" applyFont="1" applyFill="1">
      <alignment vertical="center"/>
    </xf>
    <xf numFmtId="0" fontId="75" fillId="91" borderId="21" xfId="0" applyFont="1" applyFill="1" applyBorder="1" applyAlignment="1"/>
    <xf numFmtId="0" fontId="75" fillId="91" borderId="0" xfId="0" applyFont="1" applyFill="1" applyBorder="1" applyAlignment="1"/>
    <xf numFmtId="0" fontId="75" fillId="91" borderId="22" xfId="0" applyFont="1" applyFill="1" applyBorder="1" applyAlignment="1"/>
    <xf numFmtId="0" fontId="77" fillId="91" borderId="0" xfId="0" applyFont="1" applyFill="1" applyAlignment="1"/>
    <xf numFmtId="3" fontId="93" fillId="91" borderId="0" xfId="0" applyNumberFormat="1" applyFont="1" applyFill="1" applyAlignment="1"/>
    <xf numFmtId="3" fontId="93" fillId="91" borderId="0" xfId="0" applyNumberFormat="1" applyFont="1" applyFill="1">
      <alignment vertical="center"/>
    </xf>
    <xf numFmtId="3" fontId="77" fillId="91" borderId="0" xfId="0" applyNumberFormat="1" applyFont="1" applyFill="1" applyAlignment="1"/>
    <xf numFmtId="0" fontId="79" fillId="91" borderId="0" xfId="0" applyFont="1" applyFill="1" applyAlignment="1"/>
    <xf numFmtId="10" fontId="79" fillId="91" borderId="0" xfId="0" applyNumberFormat="1" applyFont="1" applyFill="1" applyAlignment="1"/>
    <xf numFmtId="189" fontId="79" fillId="91" borderId="0" xfId="0" applyNumberFormat="1" applyFont="1" applyFill="1" applyAlignment="1"/>
    <xf numFmtId="0" fontId="75" fillId="89" borderId="0" xfId="0" applyFont="1" applyFill="1">
      <alignment vertical="center"/>
    </xf>
    <xf numFmtId="171" fontId="75" fillId="89" borderId="0" xfId="0" applyNumberFormat="1" applyFont="1" applyFill="1">
      <alignment vertical="center"/>
    </xf>
    <xf numFmtId="171" fontId="75" fillId="91" borderId="0" xfId="0" applyNumberFormat="1" applyFont="1" applyFill="1">
      <alignment vertical="center"/>
    </xf>
    <xf numFmtId="0" fontId="75" fillId="0" borderId="0" xfId="0" applyFont="1">
      <alignment vertical="center"/>
    </xf>
    <xf numFmtId="0" fontId="75" fillId="37" borderId="0" xfId="0" applyFont="1" applyFill="1">
      <alignment vertical="center"/>
    </xf>
    <xf numFmtId="0" fontId="75" fillId="31" borderId="0" xfId="0" applyFont="1" applyFill="1">
      <alignment vertical="center"/>
    </xf>
    <xf numFmtId="244" fontId="12" fillId="0" borderId="0" xfId="1105" applyNumberFormat="1" applyFon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0" fontId="315" fillId="0" borderId="0" xfId="1105" applyFont="1"/>
    <xf numFmtId="0" fontId="315" fillId="0" borderId="0" xfId="1105" applyFont="1" applyAlignment="1">
      <alignment horizontal="center"/>
    </xf>
    <xf numFmtId="15" fontId="288" fillId="0" borderId="0" xfId="0" applyNumberFormat="1" applyFont="1" applyAlignment="1">
      <alignment horizontal="left"/>
    </xf>
    <xf numFmtId="10" fontId="0" fillId="0" borderId="0" xfId="0" applyNumberFormat="1" applyAlignment="1">
      <alignment horizontal="right"/>
    </xf>
    <xf numFmtId="10" fontId="0" fillId="0" borderId="0" xfId="0" applyNumberFormat="1" applyFill="1" applyAlignment="1">
      <alignment horizontal="right"/>
    </xf>
    <xf numFmtId="10" fontId="19" fillId="0" borderId="0" xfId="0" applyNumberFormat="1" applyFont="1" applyAlignment="1">
      <alignment horizontal="right"/>
    </xf>
    <xf numFmtId="10" fontId="19" fillId="0" borderId="0" xfId="0" applyNumberFormat="1" applyFont="1" applyFill="1" applyAlignment="1">
      <alignment horizontal="right"/>
    </xf>
    <xf numFmtId="4" fontId="0" fillId="0" borderId="0" xfId="0" applyNumberFormat="1" applyAlignment="1">
      <alignment horizontal="right"/>
    </xf>
    <xf numFmtId="0" fontId="59" fillId="0" borderId="0" xfId="0" applyFont="1" applyAlignment="1"/>
    <xf numFmtId="4" fontId="0" fillId="99" borderId="24" xfId="0" applyNumberFormat="1" applyFill="1" applyBorder="1">
      <alignment vertical="center"/>
    </xf>
    <xf numFmtId="4" fontId="0" fillId="99" borderId="0" xfId="0" applyNumberFormat="1" applyFill="1">
      <alignment vertical="center"/>
    </xf>
    <xf numFmtId="43" fontId="94" fillId="0" borderId="0" xfId="1105" applyNumberFormat="1" applyFont="1" applyFill="1"/>
    <xf numFmtId="245" fontId="0" fillId="0" borderId="0" xfId="0" applyNumberFormat="1">
      <alignment vertical="center"/>
    </xf>
    <xf numFmtId="245" fontId="0" fillId="0" borderId="24" xfId="0" applyNumberFormat="1" applyBorder="1">
      <alignment vertical="center"/>
    </xf>
    <xf numFmtId="172" fontId="12" fillId="0" borderId="0" xfId="1105" applyNumberFormat="1" applyFont="1" applyFill="1"/>
    <xf numFmtId="43" fontId="12" fillId="0" borderId="0" xfId="1105" applyNumberFormat="1" applyFont="1" applyFill="1"/>
    <xf numFmtId="0" fontId="12" fillId="0" borderId="0" xfId="1105" applyFont="1"/>
    <xf numFmtId="14" fontId="0" fillId="0" borderId="0" xfId="0" applyNumberFormat="1">
      <alignment vertical="center"/>
    </xf>
    <xf numFmtId="0" fontId="0" fillId="0" borderId="0" xfId="0" applyAlignment="1">
      <alignment horizontal="left" vertical="center" indent="2"/>
    </xf>
    <xf numFmtId="0" fontId="12" fillId="0" borderId="0" xfId="1105" applyFont="1"/>
    <xf numFmtId="0" fontId="0" fillId="32" borderId="0" xfId="0" applyFill="1">
      <alignment vertical="center"/>
    </xf>
    <xf numFmtId="170" fontId="12" fillId="0" borderId="0" xfId="1105" applyNumberFormat="1" applyFont="1"/>
    <xf numFmtId="172" fontId="94" fillId="0" borderId="0" xfId="1105" applyNumberFormat="1" applyFont="1" applyFill="1"/>
    <xf numFmtId="0" fontId="93" fillId="0" borderId="0" xfId="0" applyFont="1">
      <alignment vertical="center"/>
    </xf>
    <xf numFmtId="43" fontId="12" fillId="0" borderId="0" xfId="1105" applyNumberFormat="1" applyFont="1" applyAlignment="1">
      <alignment horizontal="center"/>
    </xf>
    <xf numFmtId="0" fontId="282" fillId="89" borderId="0" xfId="0" applyFont="1" applyFill="1" applyAlignment="1"/>
    <xf numFmtId="170" fontId="12" fillId="0" borderId="0" xfId="2238" applyNumberFormat="1" applyFont="1" applyFill="1">
      <alignment vertical="center"/>
    </xf>
    <xf numFmtId="43" fontId="12" fillId="0" borderId="0" xfId="15085" applyNumberFormat="1"/>
    <xf numFmtId="43" fontId="12" fillId="0" borderId="0" xfId="15111" applyNumberFormat="1"/>
    <xf numFmtId="43" fontId="12" fillId="0" borderId="0" xfId="15121" applyNumberFormat="1"/>
    <xf numFmtId="43" fontId="12" fillId="0" borderId="0" xfId="15122" applyNumberFormat="1"/>
    <xf numFmtId="43" fontId="12" fillId="0" borderId="0" xfId="15123" applyNumberFormat="1"/>
    <xf numFmtId="10" fontId="12" fillId="0" borderId="0" xfId="15084" applyNumberFormat="1" applyFont="1"/>
    <xf numFmtId="43" fontId="94" fillId="2" borderId="0" xfId="1105" applyNumberFormat="1" applyFont="1" applyFill="1"/>
    <xf numFmtId="43" fontId="12" fillId="0" borderId="0" xfId="15124" applyNumberFormat="1"/>
    <xf numFmtId="43" fontId="36" fillId="0" borderId="0" xfId="784" applyFont="1" applyFill="1" applyBorder="1"/>
    <xf numFmtId="0" fontId="75" fillId="2" borderId="21" xfId="0" applyFont="1" applyFill="1" applyBorder="1" applyAlignment="1"/>
    <xf numFmtId="0" fontId="75" fillId="2" borderId="0" xfId="0" applyFont="1" applyFill="1" applyBorder="1" applyAlignment="1"/>
    <xf numFmtId="0" fontId="77" fillId="2" borderId="0" xfId="0" applyFont="1" applyFill="1" applyAlignment="1"/>
    <xf numFmtId="247" fontId="36" fillId="89" borderId="0" xfId="0" applyNumberFormat="1" applyFont="1" applyFill="1">
      <alignment vertical="center"/>
    </xf>
    <xf numFmtId="43" fontId="12" fillId="0" borderId="0" xfId="787" applyFont="1" applyFill="1" applyAlignment="1">
      <alignment vertical="center"/>
    </xf>
    <xf numFmtId="170" fontId="12" fillId="0" borderId="0" xfId="1466" applyNumberFormat="1" applyFont="1"/>
    <xf numFmtId="193" fontId="333" fillId="0" borderId="0" xfId="4487" applyNumberFormat="1" applyFont="1"/>
    <xf numFmtId="4" fontId="247" fillId="0" borderId="0" xfId="0" applyNumberFormat="1" applyFont="1" applyFill="1" applyAlignment="1"/>
    <xf numFmtId="3" fontId="282" fillId="0" borderId="0" xfId="0" applyNumberFormat="1" applyFont="1" applyAlignment="1"/>
    <xf numFmtId="0" fontId="12" fillId="2" borderId="0" xfId="1105" applyFont="1" applyFill="1"/>
    <xf numFmtId="0" fontId="294" fillId="2" borderId="0" xfId="14859" applyFill="1" applyAlignment="1"/>
    <xf numFmtId="0" fontId="12" fillId="2" borderId="0" xfId="1105" applyFont="1" applyFill="1" applyAlignment="1">
      <alignment wrapText="1"/>
    </xf>
    <xf numFmtId="0" fontId="334" fillId="0" borderId="0" xfId="0" applyFont="1" applyAlignment="1"/>
  </cellXfs>
  <cellStyles count="15186">
    <cellStyle name="_x0013_" xfId="3120"/>
    <cellStyle name="_x0013_ 2" xfId="3121"/>
    <cellStyle name="_x000a__x000a_JournalTemplate=C:\COMFO\CTALK\JOURSTD.TPL_x000a__x000a_LbStateAddress=3 3 0 251 1 89 2 311_x000a__x000a_LbStateJou" xfId="3122"/>
    <cellStyle name="_x000a_386grabber=M" xfId="3123"/>
    <cellStyle name="_x000a_386grabber=M 2" xfId="3124"/>
    <cellStyle name="_x000a_386grabber=M 3" xfId="3125"/>
    <cellStyle name="_x000d__x000a_JournalTemplate=C:\COMFO\CTALK\JOURSTD.TPL_x000d__x000a_LbStateAddress=3 3 0 251 1 89 2 311_x000d__x000a_LbStateJou" xfId="3126"/>
    <cellStyle name="%" xfId="3127"/>
    <cellStyle name="% 6" xfId="3128"/>
    <cellStyle name="????????" xfId="2"/>
    <cellStyle name="????_Book3 ?D¡À¨ª 1" xfId="3"/>
    <cellStyle name="???¨¢ [0]_95" xfId="4"/>
    <cellStyle name="???¨¢_95" xfId="5"/>
    <cellStyle name="???¨²??_95" xfId="6"/>
    <cellStyle name="??¡ã?_?¨®¡À¨ª??¡À¨ª" xfId="7"/>
    <cellStyle name="?¡ì¡¤???[0]_Book3 ?D¡À¨ª 1" xfId="8"/>
    <cellStyle name="?¡ì¡¤???_Book3 ?D¡À¨ª 1" xfId="9"/>
    <cellStyle name="?¨®??????????" xfId="10"/>
    <cellStyle name="?Q\?1@" xfId="3129"/>
    <cellStyle name="]_x000d__x000a_Zoomed=1_x000d__x000a_Row=0_x000d__x000a_Column=0_x000d__x000a_Height=0_x000d__x000a_Width=0_x000d__x000a_FontName=FoxFont_x000d__x000a_FontStyle=0_x000d__x000a_FontSize=9_x000d__x000a_PrtFontName=FoxPrin" xfId="3130"/>
    <cellStyle name="_%(SignOnly)" xfId="3131"/>
    <cellStyle name="_%(SignOnly) 2" xfId="3132"/>
    <cellStyle name="_%(SignSpaceOnly)" xfId="3133"/>
    <cellStyle name="_%(SignSpaceOnly) 2" xfId="3134"/>
    <cellStyle name="_Book2 (4)" xfId="3135"/>
    <cellStyle name="_Comma" xfId="3136"/>
    <cellStyle name="_Comma 2" xfId="3137"/>
    <cellStyle name="_Currency" xfId="3138"/>
    <cellStyle name="_Currency 2" xfId="3139"/>
    <cellStyle name="_CurrencySpace" xfId="3140"/>
    <cellStyle name="_CurrencySpace 2" xfId="3141"/>
    <cellStyle name="_DCN Implementation-Schedule install LAN hub 040408_batch1" xfId="3142"/>
    <cellStyle name="_Euro" xfId="3143"/>
    <cellStyle name="_Euro 2" xfId="3144"/>
    <cellStyle name="_Euro_Asiafig2002 - IBES Book value per share" xfId="3145"/>
    <cellStyle name="_Euro_Asiafig2002 - IBES Book value per share 2" xfId="3146"/>
    <cellStyle name="_Euro_Financial Summary of BII, Danamon, Mandiri, BRI" xfId="3147"/>
    <cellStyle name="_Euro_Indo Banks CSC 9 May 2005 (2)" xfId="3148"/>
    <cellStyle name="_Euro_Indo Banks CSC 9 May 2005 (2) 2" xfId="3149"/>
    <cellStyle name="_Euro_Sarawak Data v2" xfId="3150"/>
    <cellStyle name="_Euro_Sarawak Data v3" xfId="3151"/>
    <cellStyle name="_Euro_Sarawak Data v4" xfId="3152"/>
    <cellStyle name="_Euro_Sarawak Data v6 (with June 04 results for Niaga)" xfId="3153"/>
    <cellStyle name="_Euro_Sarawak Data v7" xfId="3154"/>
    <cellStyle name="_Heading" xfId="3155"/>
    <cellStyle name="_Heading_Financial Summary of BII, Danamon, Mandiri, BRI" xfId="3156"/>
    <cellStyle name="_Heading_Financial Summary of BII, Danamon, Mandiri, BRI 2" xfId="3157"/>
    <cellStyle name="_Heading_Sarawak Data v2" xfId="3158"/>
    <cellStyle name="_Heading_Sarawak Data v2 2" xfId="3159"/>
    <cellStyle name="_Heading_Sarawak Data v3" xfId="3160"/>
    <cellStyle name="_Heading_Sarawak Data v3 2" xfId="3161"/>
    <cellStyle name="_Heading_Sarawak Data v4" xfId="3162"/>
    <cellStyle name="_Heading_Sarawak Data v4 2" xfId="3163"/>
    <cellStyle name="_Heading_Sarawak Data v6 (with June 04 results for Niaga)" xfId="3164"/>
    <cellStyle name="_Heading_Sarawak Data v6 (with June 04 results for Niaga) 2" xfId="3165"/>
    <cellStyle name="_Heading_Sarawak Data v7" xfId="3166"/>
    <cellStyle name="_Heading_Sarawak Data v7 2" xfId="3167"/>
    <cellStyle name="_Highlight" xfId="3168"/>
    <cellStyle name="_Highlight 2" xfId="3169"/>
    <cellStyle name="_Jabodetabek" xfId="3170"/>
    <cellStyle name="_KENDARAAN TAF" xfId="3171"/>
    <cellStyle name="_Master Funding Via TAF" xfId="3172"/>
    <cellStyle name="_Multiple" xfId="3173"/>
    <cellStyle name="_Multiple 2" xfId="3174"/>
    <cellStyle name="_Multiple_csc" xfId="3175"/>
    <cellStyle name="_Multiple_csc 2" xfId="3176"/>
    <cellStyle name="_MultipleSpace" xfId="3177"/>
    <cellStyle name="_MultipleSpace 2" xfId="3178"/>
    <cellStyle name="_MultipleSpace_csc" xfId="3179"/>
    <cellStyle name="_MultipleSpace_csc 2" xfId="3180"/>
    <cellStyle name="_SLS--bdg- Jan'07 (Comment)" xfId="3181"/>
    <cellStyle name="_SP Funding  Lampiran Batch 17 KI" xfId="3182"/>
    <cellStyle name="_SubHeading" xfId="3183"/>
    <cellStyle name="_SubHeading_Financial Summary of BII, Danamon, Mandiri, BRI" xfId="3184"/>
    <cellStyle name="_SubHeading_Financial Summary of BII, Danamon, Mandiri, BRI 2" xfId="3185"/>
    <cellStyle name="_SubHeading_Sarawak Data v2" xfId="3186"/>
    <cellStyle name="_SubHeading_Sarawak Data v2 2" xfId="3187"/>
    <cellStyle name="_SubHeading_Sarawak Data v3" xfId="3188"/>
    <cellStyle name="_SubHeading_Sarawak Data v3 2" xfId="3189"/>
    <cellStyle name="_SubHeading_Sarawak Data v4" xfId="3190"/>
    <cellStyle name="_SubHeading_Sarawak Data v4 2" xfId="3191"/>
    <cellStyle name="_SubHeading_Sarawak Data v6 (with June 04 results for Niaga)" xfId="3192"/>
    <cellStyle name="_SubHeading_Sarawak Data v6 (with June 04 results for Niaga) 2" xfId="3193"/>
    <cellStyle name="_SubHeading_Sarawak Data v7" xfId="3194"/>
    <cellStyle name="_SubHeading_Sarawak Data v7 2" xfId="3195"/>
    <cellStyle name="_Table" xfId="3196"/>
    <cellStyle name="_Table_Financial Summary of BII, Danamon, Mandiri, BRI" xfId="3197"/>
    <cellStyle name="_Table_Financial Summary of BII, Danamon, Mandiri, BRI 2" xfId="3198"/>
    <cellStyle name="_Table_Sarawak Data v2" xfId="3199"/>
    <cellStyle name="_Table_Sarawak Data v2 2" xfId="3200"/>
    <cellStyle name="_Table_Sarawak Data v3" xfId="3201"/>
    <cellStyle name="_Table_Sarawak Data v3 2" xfId="3202"/>
    <cellStyle name="_Table_Sarawak Data v4" xfId="3203"/>
    <cellStyle name="_Table_Sarawak Data v4 2" xfId="3204"/>
    <cellStyle name="_Table_Sarawak Data v6 (with June 04 results for Niaga)" xfId="3205"/>
    <cellStyle name="_Table_Sarawak Data v6 (with June 04 results for Niaga) 2" xfId="3206"/>
    <cellStyle name="_Table_Sarawak Data v7" xfId="3207"/>
    <cellStyle name="_Table_Sarawak Data v7 2" xfId="3208"/>
    <cellStyle name="_TableHead" xfId="3209"/>
    <cellStyle name="_TableHead 10" xfId="3210"/>
    <cellStyle name="_TableHead 2" xfId="3211"/>
    <cellStyle name="_TableHead 2 2" xfId="3212"/>
    <cellStyle name="_TableHead 2 2 2" xfId="3213"/>
    <cellStyle name="_TableHead 2 2 2 2" xfId="3214"/>
    <cellStyle name="_TableHead 2 2 3" xfId="3215"/>
    <cellStyle name="_TableHead 2 2 4" xfId="3216"/>
    <cellStyle name="_TableHead 2 3" xfId="3217"/>
    <cellStyle name="_TableHead 2 3 2" xfId="3218"/>
    <cellStyle name="_TableHead 2 3 2 2" xfId="3219"/>
    <cellStyle name="_TableHead 2 3 3" xfId="3220"/>
    <cellStyle name="_TableHead 2 3 4" xfId="3221"/>
    <cellStyle name="_TableHead 2 4" xfId="3222"/>
    <cellStyle name="_TableHead 2 4 2" xfId="3223"/>
    <cellStyle name="_TableHead 2 4 2 2" xfId="3224"/>
    <cellStyle name="_TableHead 2 4 3" xfId="3225"/>
    <cellStyle name="_TableHead 2 4 4" xfId="3226"/>
    <cellStyle name="_TableHead 2 5" xfId="3227"/>
    <cellStyle name="_TableHead 2 5 2" xfId="3228"/>
    <cellStyle name="_TableHead 2 5 2 2" xfId="3229"/>
    <cellStyle name="_TableHead 2 5 3" xfId="3230"/>
    <cellStyle name="_TableHead 2 5 4" xfId="3231"/>
    <cellStyle name="_TableHead 2 6" xfId="3232"/>
    <cellStyle name="_TableHead 2 6 2" xfId="3233"/>
    <cellStyle name="_TableHead 2 6 2 2" xfId="3234"/>
    <cellStyle name="_TableHead 2 6 3" xfId="3235"/>
    <cellStyle name="_TableHead 2 6 4" xfId="3236"/>
    <cellStyle name="_TableHead 2 7" xfId="3237"/>
    <cellStyle name="_TableHead 2 7 2" xfId="3238"/>
    <cellStyle name="_TableHead 2 8" xfId="3239"/>
    <cellStyle name="_TableHead 2 9" xfId="3240"/>
    <cellStyle name="_TableHead 3" xfId="3241"/>
    <cellStyle name="_TableHead 3 2" xfId="3242"/>
    <cellStyle name="_TableHead 3 2 2" xfId="3243"/>
    <cellStyle name="_TableHead 3 3" xfId="3244"/>
    <cellStyle name="_TableHead 3 4" xfId="3245"/>
    <cellStyle name="_TableHead 4" xfId="3246"/>
    <cellStyle name="_TableHead 4 2" xfId="3247"/>
    <cellStyle name="_TableHead 4 2 2" xfId="3248"/>
    <cellStyle name="_TableHead 4 3" xfId="3249"/>
    <cellStyle name="_TableHead 4 4" xfId="3250"/>
    <cellStyle name="_TableHead 5" xfId="3251"/>
    <cellStyle name="_TableHead 5 2" xfId="3252"/>
    <cellStyle name="_TableHead 5 2 2" xfId="3253"/>
    <cellStyle name="_TableHead 5 3" xfId="3254"/>
    <cellStyle name="_TableHead 5 4" xfId="3255"/>
    <cellStyle name="_TableHead 6" xfId="3256"/>
    <cellStyle name="_TableHead 6 2" xfId="3257"/>
    <cellStyle name="_TableHead 6 2 2" xfId="3258"/>
    <cellStyle name="_TableHead 6 3" xfId="3259"/>
    <cellStyle name="_TableHead 6 4" xfId="3260"/>
    <cellStyle name="_TableHead 7" xfId="3261"/>
    <cellStyle name="_TableHead 7 2" xfId="3262"/>
    <cellStyle name="_TableHead 7 2 2" xfId="3263"/>
    <cellStyle name="_TableHead 7 3" xfId="3264"/>
    <cellStyle name="_TableHead 7 4" xfId="3265"/>
    <cellStyle name="_TableHead 8" xfId="3266"/>
    <cellStyle name="_TableHead 8 2" xfId="3267"/>
    <cellStyle name="_TableHead 9" xfId="3268"/>
    <cellStyle name="_TableHead_Financial Summary of BII, Danamon, Mandiri, BRI" xfId="3269"/>
    <cellStyle name="_TableHead_Financial Summary of BII, Danamon, Mandiri, BRI 10" xfId="3270"/>
    <cellStyle name="_TableHead_Financial Summary of BII, Danamon, Mandiri, BRI 11" xfId="3271"/>
    <cellStyle name="_TableHead_Financial Summary of BII, Danamon, Mandiri, BRI 2" xfId="3272"/>
    <cellStyle name="_TableHead_Financial Summary of BII, Danamon, Mandiri, BRI 2 10" xfId="3273"/>
    <cellStyle name="_TableHead_Financial Summary of BII, Danamon, Mandiri, BRI 2 2" xfId="3274"/>
    <cellStyle name="_TableHead_Financial Summary of BII, Danamon, Mandiri, BRI 2 2 2" xfId="3275"/>
    <cellStyle name="_TableHead_Financial Summary of BII, Danamon, Mandiri, BRI 2 2 2 2" xfId="3276"/>
    <cellStyle name="_TableHead_Financial Summary of BII, Danamon, Mandiri, BRI 2 2 2 2 2" xfId="3277"/>
    <cellStyle name="_TableHead_Financial Summary of BII, Danamon, Mandiri, BRI 2 2 2 3" xfId="3278"/>
    <cellStyle name="_TableHead_Financial Summary of BII, Danamon, Mandiri, BRI 2 2 2 4" xfId="3279"/>
    <cellStyle name="_TableHead_Financial Summary of BII, Danamon, Mandiri, BRI 2 2 3" xfId="3280"/>
    <cellStyle name="_TableHead_Financial Summary of BII, Danamon, Mandiri, BRI 2 2 3 2" xfId="3281"/>
    <cellStyle name="_TableHead_Financial Summary of BII, Danamon, Mandiri, BRI 2 2 3 2 2" xfId="3282"/>
    <cellStyle name="_TableHead_Financial Summary of BII, Danamon, Mandiri, BRI 2 2 3 3" xfId="3283"/>
    <cellStyle name="_TableHead_Financial Summary of BII, Danamon, Mandiri, BRI 2 2 3 4" xfId="3284"/>
    <cellStyle name="_TableHead_Financial Summary of BII, Danamon, Mandiri, BRI 2 2 4" xfId="3285"/>
    <cellStyle name="_TableHead_Financial Summary of BII, Danamon, Mandiri, BRI 2 2 4 2" xfId="3286"/>
    <cellStyle name="_TableHead_Financial Summary of BII, Danamon, Mandiri, BRI 2 2 4 2 2" xfId="3287"/>
    <cellStyle name="_TableHead_Financial Summary of BII, Danamon, Mandiri, BRI 2 2 4 3" xfId="3288"/>
    <cellStyle name="_TableHead_Financial Summary of BII, Danamon, Mandiri, BRI 2 2 4 4" xfId="3289"/>
    <cellStyle name="_TableHead_Financial Summary of BII, Danamon, Mandiri, BRI 2 2 5" xfId="3290"/>
    <cellStyle name="_TableHead_Financial Summary of BII, Danamon, Mandiri, BRI 2 2 5 2" xfId="3291"/>
    <cellStyle name="_TableHead_Financial Summary of BII, Danamon, Mandiri, BRI 2 2 5 2 2" xfId="3292"/>
    <cellStyle name="_TableHead_Financial Summary of BII, Danamon, Mandiri, BRI 2 2 5 3" xfId="3293"/>
    <cellStyle name="_TableHead_Financial Summary of BII, Danamon, Mandiri, BRI 2 2 5 4" xfId="3294"/>
    <cellStyle name="_TableHead_Financial Summary of BII, Danamon, Mandiri, BRI 2 2 6" xfId="3295"/>
    <cellStyle name="_TableHead_Financial Summary of BII, Danamon, Mandiri, BRI 2 2 6 2" xfId="3296"/>
    <cellStyle name="_TableHead_Financial Summary of BII, Danamon, Mandiri, BRI 2 2 6 2 2" xfId="3297"/>
    <cellStyle name="_TableHead_Financial Summary of BII, Danamon, Mandiri, BRI 2 2 6 3" xfId="3298"/>
    <cellStyle name="_TableHead_Financial Summary of BII, Danamon, Mandiri, BRI 2 2 6 4" xfId="3299"/>
    <cellStyle name="_TableHead_Financial Summary of BII, Danamon, Mandiri, BRI 2 2 7" xfId="3300"/>
    <cellStyle name="_TableHead_Financial Summary of BII, Danamon, Mandiri, BRI 2 2 7 2" xfId="3301"/>
    <cellStyle name="_TableHead_Financial Summary of BII, Danamon, Mandiri, BRI 2 2 8" xfId="3302"/>
    <cellStyle name="_TableHead_Financial Summary of BII, Danamon, Mandiri, BRI 2 2 9" xfId="3303"/>
    <cellStyle name="_TableHead_Financial Summary of BII, Danamon, Mandiri, BRI 2 3" xfId="3304"/>
    <cellStyle name="_TableHead_Financial Summary of BII, Danamon, Mandiri, BRI 2 3 2" xfId="3305"/>
    <cellStyle name="_TableHead_Financial Summary of BII, Danamon, Mandiri, BRI 2 3 2 2" xfId="3306"/>
    <cellStyle name="_TableHead_Financial Summary of BII, Danamon, Mandiri, BRI 2 3 3" xfId="3307"/>
    <cellStyle name="_TableHead_Financial Summary of BII, Danamon, Mandiri, BRI 2 3 4" xfId="3308"/>
    <cellStyle name="_TableHead_Financial Summary of BII, Danamon, Mandiri, BRI 2 4" xfId="3309"/>
    <cellStyle name="_TableHead_Financial Summary of BII, Danamon, Mandiri, BRI 2 4 2" xfId="3310"/>
    <cellStyle name="_TableHead_Financial Summary of BII, Danamon, Mandiri, BRI 2 4 2 2" xfId="3311"/>
    <cellStyle name="_TableHead_Financial Summary of BII, Danamon, Mandiri, BRI 2 4 3" xfId="3312"/>
    <cellStyle name="_TableHead_Financial Summary of BII, Danamon, Mandiri, BRI 2 4 4" xfId="3313"/>
    <cellStyle name="_TableHead_Financial Summary of BII, Danamon, Mandiri, BRI 2 5" xfId="3314"/>
    <cellStyle name="_TableHead_Financial Summary of BII, Danamon, Mandiri, BRI 2 5 2" xfId="3315"/>
    <cellStyle name="_TableHead_Financial Summary of BII, Danamon, Mandiri, BRI 2 5 2 2" xfId="3316"/>
    <cellStyle name="_TableHead_Financial Summary of BII, Danamon, Mandiri, BRI 2 5 3" xfId="3317"/>
    <cellStyle name="_TableHead_Financial Summary of BII, Danamon, Mandiri, BRI 2 5 4" xfId="3318"/>
    <cellStyle name="_TableHead_Financial Summary of BII, Danamon, Mandiri, BRI 2 6" xfId="3319"/>
    <cellStyle name="_TableHead_Financial Summary of BII, Danamon, Mandiri, BRI 2 6 2" xfId="3320"/>
    <cellStyle name="_TableHead_Financial Summary of BII, Danamon, Mandiri, BRI 2 6 2 2" xfId="3321"/>
    <cellStyle name="_TableHead_Financial Summary of BII, Danamon, Mandiri, BRI 2 6 3" xfId="3322"/>
    <cellStyle name="_TableHead_Financial Summary of BII, Danamon, Mandiri, BRI 2 6 4" xfId="3323"/>
    <cellStyle name="_TableHead_Financial Summary of BII, Danamon, Mandiri, BRI 2 7" xfId="3324"/>
    <cellStyle name="_TableHead_Financial Summary of BII, Danamon, Mandiri, BRI 2 7 2" xfId="3325"/>
    <cellStyle name="_TableHead_Financial Summary of BII, Danamon, Mandiri, BRI 2 7 2 2" xfId="3326"/>
    <cellStyle name="_TableHead_Financial Summary of BII, Danamon, Mandiri, BRI 2 7 3" xfId="3327"/>
    <cellStyle name="_TableHead_Financial Summary of BII, Danamon, Mandiri, BRI 2 7 4" xfId="3328"/>
    <cellStyle name="_TableHead_Financial Summary of BII, Danamon, Mandiri, BRI 2 8" xfId="3329"/>
    <cellStyle name="_TableHead_Financial Summary of BII, Danamon, Mandiri, BRI 2 8 2" xfId="3330"/>
    <cellStyle name="_TableHead_Financial Summary of BII, Danamon, Mandiri, BRI 2 9" xfId="3331"/>
    <cellStyle name="_TableHead_Financial Summary of BII, Danamon, Mandiri, BRI 3" xfId="3332"/>
    <cellStyle name="_TableHead_Financial Summary of BII, Danamon, Mandiri, BRI 3 2" xfId="3333"/>
    <cellStyle name="_TableHead_Financial Summary of BII, Danamon, Mandiri, BRI 3 2 2" xfId="3334"/>
    <cellStyle name="_TableHead_Financial Summary of BII, Danamon, Mandiri, BRI 3 2 2 2" xfId="3335"/>
    <cellStyle name="_TableHead_Financial Summary of BII, Danamon, Mandiri, BRI 3 2 3" xfId="3336"/>
    <cellStyle name="_TableHead_Financial Summary of BII, Danamon, Mandiri, BRI 3 2 4" xfId="3337"/>
    <cellStyle name="_TableHead_Financial Summary of BII, Danamon, Mandiri, BRI 3 3" xfId="3338"/>
    <cellStyle name="_TableHead_Financial Summary of BII, Danamon, Mandiri, BRI 3 3 2" xfId="3339"/>
    <cellStyle name="_TableHead_Financial Summary of BII, Danamon, Mandiri, BRI 3 3 2 2" xfId="3340"/>
    <cellStyle name="_TableHead_Financial Summary of BII, Danamon, Mandiri, BRI 3 3 3" xfId="3341"/>
    <cellStyle name="_TableHead_Financial Summary of BII, Danamon, Mandiri, BRI 3 3 4" xfId="3342"/>
    <cellStyle name="_TableHead_Financial Summary of BII, Danamon, Mandiri, BRI 3 4" xfId="3343"/>
    <cellStyle name="_TableHead_Financial Summary of BII, Danamon, Mandiri, BRI 3 4 2" xfId="3344"/>
    <cellStyle name="_TableHead_Financial Summary of BII, Danamon, Mandiri, BRI 3 4 2 2" xfId="3345"/>
    <cellStyle name="_TableHead_Financial Summary of BII, Danamon, Mandiri, BRI 3 4 3" xfId="3346"/>
    <cellStyle name="_TableHead_Financial Summary of BII, Danamon, Mandiri, BRI 3 4 4" xfId="3347"/>
    <cellStyle name="_TableHead_Financial Summary of BII, Danamon, Mandiri, BRI 3 5" xfId="3348"/>
    <cellStyle name="_TableHead_Financial Summary of BII, Danamon, Mandiri, BRI 3 5 2" xfId="3349"/>
    <cellStyle name="_TableHead_Financial Summary of BII, Danamon, Mandiri, BRI 3 5 2 2" xfId="3350"/>
    <cellStyle name="_TableHead_Financial Summary of BII, Danamon, Mandiri, BRI 3 5 3" xfId="3351"/>
    <cellStyle name="_TableHead_Financial Summary of BII, Danamon, Mandiri, BRI 3 5 4" xfId="3352"/>
    <cellStyle name="_TableHead_Financial Summary of BII, Danamon, Mandiri, BRI 3 6" xfId="3353"/>
    <cellStyle name="_TableHead_Financial Summary of BII, Danamon, Mandiri, BRI 3 6 2" xfId="3354"/>
    <cellStyle name="_TableHead_Financial Summary of BII, Danamon, Mandiri, BRI 3 6 2 2" xfId="3355"/>
    <cellStyle name="_TableHead_Financial Summary of BII, Danamon, Mandiri, BRI 3 6 3" xfId="3356"/>
    <cellStyle name="_TableHead_Financial Summary of BII, Danamon, Mandiri, BRI 3 6 4" xfId="3357"/>
    <cellStyle name="_TableHead_Financial Summary of BII, Danamon, Mandiri, BRI 3 7" xfId="3358"/>
    <cellStyle name="_TableHead_Financial Summary of BII, Danamon, Mandiri, BRI 3 7 2" xfId="3359"/>
    <cellStyle name="_TableHead_Financial Summary of BII, Danamon, Mandiri, BRI 3 8" xfId="3360"/>
    <cellStyle name="_TableHead_Financial Summary of BII, Danamon, Mandiri, BRI 3 9" xfId="3361"/>
    <cellStyle name="_TableHead_Financial Summary of BII, Danamon, Mandiri, BRI 4" xfId="3362"/>
    <cellStyle name="_TableHead_Financial Summary of BII, Danamon, Mandiri, BRI 4 2" xfId="3363"/>
    <cellStyle name="_TableHead_Financial Summary of BII, Danamon, Mandiri, BRI 4 2 2" xfId="3364"/>
    <cellStyle name="_TableHead_Financial Summary of BII, Danamon, Mandiri, BRI 4 3" xfId="3365"/>
    <cellStyle name="_TableHead_Financial Summary of BII, Danamon, Mandiri, BRI 4 4" xfId="3366"/>
    <cellStyle name="_TableHead_Financial Summary of BII, Danamon, Mandiri, BRI 5" xfId="3367"/>
    <cellStyle name="_TableHead_Financial Summary of BII, Danamon, Mandiri, BRI 5 2" xfId="3368"/>
    <cellStyle name="_TableHead_Financial Summary of BII, Danamon, Mandiri, BRI 5 2 2" xfId="3369"/>
    <cellStyle name="_TableHead_Financial Summary of BII, Danamon, Mandiri, BRI 5 3" xfId="3370"/>
    <cellStyle name="_TableHead_Financial Summary of BII, Danamon, Mandiri, BRI 5 4" xfId="3371"/>
    <cellStyle name="_TableHead_Financial Summary of BII, Danamon, Mandiri, BRI 6" xfId="3372"/>
    <cellStyle name="_TableHead_Financial Summary of BII, Danamon, Mandiri, BRI 6 2" xfId="3373"/>
    <cellStyle name="_TableHead_Financial Summary of BII, Danamon, Mandiri, BRI 6 2 2" xfId="3374"/>
    <cellStyle name="_TableHead_Financial Summary of BII, Danamon, Mandiri, BRI 6 3" xfId="3375"/>
    <cellStyle name="_TableHead_Financial Summary of BII, Danamon, Mandiri, BRI 6 4" xfId="3376"/>
    <cellStyle name="_TableHead_Financial Summary of BII, Danamon, Mandiri, BRI 7" xfId="3377"/>
    <cellStyle name="_TableHead_Financial Summary of BII, Danamon, Mandiri, BRI 7 2" xfId="3378"/>
    <cellStyle name="_TableHead_Financial Summary of BII, Danamon, Mandiri, BRI 7 2 2" xfId="3379"/>
    <cellStyle name="_TableHead_Financial Summary of BII, Danamon, Mandiri, BRI 7 3" xfId="3380"/>
    <cellStyle name="_TableHead_Financial Summary of BII, Danamon, Mandiri, BRI 7 4" xfId="3381"/>
    <cellStyle name="_TableHead_Financial Summary of BII, Danamon, Mandiri, BRI 8" xfId="3382"/>
    <cellStyle name="_TableHead_Financial Summary of BII, Danamon, Mandiri, BRI 8 2" xfId="3383"/>
    <cellStyle name="_TableHead_Financial Summary of BII, Danamon, Mandiri, BRI 8 2 2" xfId="3384"/>
    <cellStyle name="_TableHead_Financial Summary of BII, Danamon, Mandiri, BRI 8 3" xfId="3385"/>
    <cellStyle name="_TableHead_Financial Summary of BII, Danamon, Mandiri, BRI 8 4" xfId="3386"/>
    <cellStyle name="_TableHead_Financial Summary of BII, Danamon, Mandiri, BRI 9" xfId="3387"/>
    <cellStyle name="_TableHead_Financial Summary of BII, Danamon, Mandiri, BRI 9 2" xfId="3388"/>
    <cellStyle name="_TableHead_Sarawak Data v2" xfId="3389"/>
    <cellStyle name="_TableHead_Sarawak Data v2 10" xfId="3390"/>
    <cellStyle name="_TableHead_Sarawak Data v2 11" xfId="3391"/>
    <cellStyle name="_TableHead_Sarawak Data v2 2" xfId="3392"/>
    <cellStyle name="_TableHead_Sarawak Data v2 2 10" xfId="3393"/>
    <cellStyle name="_TableHead_Sarawak Data v2 2 2" xfId="3394"/>
    <cellStyle name="_TableHead_Sarawak Data v2 2 2 2" xfId="3395"/>
    <cellStyle name="_TableHead_Sarawak Data v2 2 2 2 2" xfId="3396"/>
    <cellStyle name="_TableHead_Sarawak Data v2 2 2 2 2 2" xfId="3397"/>
    <cellStyle name="_TableHead_Sarawak Data v2 2 2 2 3" xfId="3398"/>
    <cellStyle name="_TableHead_Sarawak Data v2 2 2 2 4" xfId="3399"/>
    <cellStyle name="_TableHead_Sarawak Data v2 2 2 3" xfId="3400"/>
    <cellStyle name="_TableHead_Sarawak Data v2 2 2 3 2" xfId="3401"/>
    <cellStyle name="_TableHead_Sarawak Data v2 2 2 3 2 2" xfId="3402"/>
    <cellStyle name="_TableHead_Sarawak Data v2 2 2 3 3" xfId="3403"/>
    <cellStyle name="_TableHead_Sarawak Data v2 2 2 3 4" xfId="3404"/>
    <cellStyle name="_TableHead_Sarawak Data v2 2 2 4" xfId="3405"/>
    <cellStyle name="_TableHead_Sarawak Data v2 2 2 4 2" xfId="3406"/>
    <cellStyle name="_TableHead_Sarawak Data v2 2 2 4 2 2" xfId="3407"/>
    <cellStyle name="_TableHead_Sarawak Data v2 2 2 4 3" xfId="3408"/>
    <cellStyle name="_TableHead_Sarawak Data v2 2 2 4 4" xfId="3409"/>
    <cellStyle name="_TableHead_Sarawak Data v2 2 2 5" xfId="3410"/>
    <cellStyle name="_TableHead_Sarawak Data v2 2 2 5 2" xfId="3411"/>
    <cellStyle name="_TableHead_Sarawak Data v2 2 2 5 2 2" xfId="3412"/>
    <cellStyle name="_TableHead_Sarawak Data v2 2 2 5 3" xfId="3413"/>
    <cellStyle name="_TableHead_Sarawak Data v2 2 2 5 4" xfId="3414"/>
    <cellStyle name="_TableHead_Sarawak Data v2 2 2 6" xfId="3415"/>
    <cellStyle name="_TableHead_Sarawak Data v2 2 2 6 2" xfId="3416"/>
    <cellStyle name="_TableHead_Sarawak Data v2 2 2 6 2 2" xfId="3417"/>
    <cellStyle name="_TableHead_Sarawak Data v2 2 2 6 3" xfId="3418"/>
    <cellStyle name="_TableHead_Sarawak Data v2 2 2 6 4" xfId="3419"/>
    <cellStyle name="_TableHead_Sarawak Data v2 2 2 7" xfId="3420"/>
    <cellStyle name="_TableHead_Sarawak Data v2 2 2 7 2" xfId="3421"/>
    <cellStyle name="_TableHead_Sarawak Data v2 2 2 8" xfId="3422"/>
    <cellStyle name="_TableHead_Sarawak Data v2 2 2 9" xfId="3423"/>
    <cellStyle name="_TableHead_Sarawak Data v2 2 3" xfId="3424"/>
    <cellStyle name="_TableHead_Sarawak Data v2 2 3 2" xfId="3425"/>
    <cellStyle name="_TableHead_Sarawak Data v2 2 3 2 2" xfId="3426"/>
    <cellStyle name="_TableHead_Sarawak Data v2 2 3 3" xfId="3427"/>
    <cellStyle name="_TableHead_Sarawak Data v2 2 3 4" xfId="3428"/>
    <cellStyle name="_TableHead_Sarawak Data v2 2 4" xfId="3429"/>
    <cellStyle name="_TableHead_Sarawak Data v2 2 4 2" xfId="3430"/>
    <cellStyle name="_TableHead_Sarawak Data v2 2 4 2 2" xfId="3431"/>
    <cellStyle name="_TableHead_Sarawak Data v2 2 4 3" xfId="3432"/>
    <cellStyle name="_TableHead_Sarawak Data v2 2 4 4" xfId="3433"/>
    <cellStyle name="_TableHead_Sarawak Data v2 2 5" xfId="3434"/>
    <cellStyle name="_TableHead_Sarawak Data v2 2 5 2" xfId="3435"/>
    <cellStyle name="_TableHead_Sarawak Data v2 2 5 2 2" xfId="3436"/>
    <cellStyle name="_TableHead_Sarawak Data v2 2 5 3" xfId="3437"/>
    <cellStyle name="_TableHead_Sarawak Data v2 2 5 4" xfId="3438"/>
    <cellStyle name="_TableHead_Sarawak Data v2 2 6" xfId="3439"/>
    <cellStyle name="_TableHead_Sarawak Data v2 2 6 2" xfId="3440"/>
    <cellStyle name="_TableHead_Sarawak Data v2 2 6 2 2" xfId="3441"/>
    <cellStyle name="_TableHead_Sarawak Data v2 2 6 3" xfId="3442"/>
    <cellStyle name="_TableHead_Sarawak Data v2 2 6 4" xfId="3443"/>
    <cellStyle name="_TableHead_Sarawak Data v2 2 7" xfId="3444"/>
    <cellStyle name="_TableHead_Sarawak Data v2 2 7 2" xfId="3445"/>
    <cellStyle name="_TableHead_Sarawak Data v2 2 7 2 2" xfId="3446"/>
    <cellStyle name="_TableHead_Sarawak Data v2 2 7 3" xfId="3447"/>
    <cellStyle name="_TableHead_Sarawak Data v2 2 7 4" xfId="3448"/>
    <cellStyle name="_TableHead_Sarawak Data v2 2 8" xfId="3449"/>
    <cellStyle name="_TableHead_Sarawak Data v2 2 8 2" xfId="3450"/>
    <cellStyle name="_TableHead_Sarawak Data v2 2 9" xfId="3451"/>
    <cellStyle name="_TableHead_Sarawak Data v2 3" xfId="3452"/>
    <cellStyle name="_TableHead_Sarawak Data v2 3 2" xfId="3453"/>
    <cellStyle name="_TableHead_Sarawak Data v2 3 2 2" xfId="3454"/>
    <cellStyle name="_TableHead_Sarawak Data v2 3 2 2 2" xfId="3455"/>
    <cellStyle name="_TableHead_Sarawak Data v2 3 2 3" xfId="3456"/>
    <cellStyle name="_TableHead_Sarawak Data v2 3 2 4" xfId="3457"/>
    <cellStyle name="_TableHead_Sarawak Data v2 3 3" xfId="3458"/>
    <cellStyle name="_TableHead_Sarawak Data v2 3 3 2" xfId="3459"/>
    <cellStyle name="_TableHead_Sarawak Data v2 3 3 2 2" xfId="3460"/>
    <cellStyle name="_TableHead_Sarawak Data v2 3 3 3" xfId="3461"/>
    <cellStyle name="_TableHead_Sarawak Data v2 3 3 4" xfId="3462"/>
    <cellStyle name="_TableHead_Sarawak Data v2 3 4" xfId="3463"/>
    <cellStyle name="_TableHead_Sarawak Data v2 3 4 2" xfId="3464"/>
    <cellStyle name="_TableHead_Sarawak Data v2 3 4 2 2" xfId="3465"/>
    <cellStyle name="_TableHead_Sarawak Data v2 3 4 3" xfId="3466"/>
    <cellStyle name="_TableHead_Sarawak Data v2 3 4 4" xfId="3467"/>
    <cellStyle name="_TableHead_Sarawak Data v2 3 5" xfId="3468"/>
    <cellStyle name="_TableHead_Sarawak Data v2 3 5 2" xfId="3469"/>
    <cellStyle name="_TableHead_Sarawak Data v2 3 5 2 2" xfId="3470"/>
    <cellStyle name="_TableHead_Sarawak Data v2 3 5 3" xfId="3471"/>
    <cellStyle name="_TableHead_Sarawak Data v2 3 5 4" xfId="3472"/>
    <cellStyle name="_TableHead_Sarawak Data v2 3 6" xfId="3473"/>
    <cellStyle name="_TableHead_Sarawak Data v2 3 6 2" xfId="3474"/>
    <cellStyle name="_TableHead_Sarawak Data v2 3 6 2 2" xfId="3475"/>
    <cellStyle name="_TableHead_Sarawak Data v2 3 6 3" xfId="3476"/>
    <cellStyle name="_TableHead_Sarawak Data v2 3 6 4" xfId="3477"/>
    <cellStyle name="_TableHead_Sarawak Data v2 3 7" xfId="3478"/>
    <cellStyle name="_TableHead_Sarawak Data v2 3 7 2" xfId="3479"/>
    <cellStyle name="_TableHead_Sarawak Data v2 3 8" xfId="3480"/>
    <cellStyle name="_TableHead_Sarawak Data v2 3 9" xfId="3481"/>
    <cellStyle name="_TableHead_Sarawak Data v2 4" xfId="3482"/>
    <cellStyle name="_TableHead_Sarawak Data v2 4 2" xfId="3483"/>
    <cellStyle name="_TableHead_Sarawak Data v2 4 2 2" xfId="3484"/>
    <cellStyle name="_TableHead_Sarawak Data v2 4 3" xfId="3485"/>
    <cellStyle name="_TableHead_Sarawak Data v2 4 4" xfId="3486"/>
    <cellStyle name="_TableHead_Sarawak Data v2 5" xfId="3487"/>
    <cellStyle name="_TableHead_Sarawak Data v2 5 2" xfId="3488"/>
    <cellStyle name="_TableHead_Sarawak Data v2 5 2 2" xfId="3489"/>
    <cellStyle name="_TableHead_Sarawak Data v2 5 3" xfId="3490"/>
    <cellStyle name="_TableHead_Sarawak Data v2 5 4" xfId="3491"/>
    <cellStyle name="_TableHead_Sarawak Data v2 6" xfId="3492"/>
    <cellStyle name="_TableHead_Sarawak Data v2 6 2" xfId="3493"/>
    <cellStyle name="_TableHead_Sarawak Data v2 6 2 2" xfId="3494"/>
    <cellStyle name="_TableHead_Sarawak Data v2 6 3" xfId="3495"/>
    <cellStyle name="_TableHead_Sarawak Data v2 6 4" xfId="3496"/>
    <cellStyle name="_TableHead_Sarawak Data v2 7" xfId="3497"/>
    <cellStyle name="_TableHead_Sarawak Data v2 7 2" xfId="3498"/>
    <cellStyle name="_TableHead_Sarawak Data v2 7 2 2" xfId="3499"/>
    <cellStyle name="_TableHead_Sarawak Data v2 7 3" xfId="3500"/>
    <cellStyle name="_TableHead_Sarawak Data v2 7 4" xfId="3501"/>
    <cellStyle name="_TableHead_Sarawak Data v2 8" xfId="3502"/>
    <cellStyle name="_TableHead_Sarawak Data v2 8 2" xfId="3503"/>
    <cellStyle name="_TableHead_Sarawak Data v2 8 2 2" xfId="3504"/>
    <cellStyle name="_TableHead_Sarawak Data v2 8 3" xfId="3505"/>
    <cellStyle name="_TableHead_Sarawak Data v2 8 4" xfId="3506"/>
    <cellStyle name="_TableHead_Sarawak Data v2 9" xfId="3507"/>
    <cellStyle name="_TableHead_Sarawak Data v2 9 2" xfId="3508"/>
    <cellStyle name="_TableHead_Sarawak Data v3" xfId="3509"/>
    <cellStyle name="_TableHead_Sarawak Data v3 10" xfId="3510"/>
    <cellStyle name="_TableHead_Sarawak Data v3 11" xfId="3511"/>
    <cellStyle name="_TableHead_Sarawak Data v3 2" xfId="3512"/>
    <cellStyle name="_TableHead_Sarawak Data v3 2 10" xfId="3513"/>
    <cellStyle name="_TableHead_Sarawak Data v3 2 2" xfId="3514"/>
    <cellStyle name="_TableHead_Sarawak Data v3 2 2 2" xfId="3515"/>
    <cellStyle name="_TableHead_Sarawak Data v3 2 2 2 2" xfId="3516"/>
    <cellStyle name="_TableHead_Sarawak Data v3 2 2 2 2 2" xfId="3517"/>
    <cellStyle name="_TableHead_Sarawak Data v3 2 2 2 3" xfId="3518"/>
    <cellStyle name="_TableHead_Sarawak Data v3 2 2 2 4" xfId="3519"/>
    <cellStyle name="_TableHead_Sarawak Data v3 2 2 3" xfId="3520"/>
    <cellStyle name="_TableHead_Sarawak Data v3 2 2 3 2" xfId="3521"/>
    <cellStyle name="_TableHead_Sarawak Data v3 2 2 3 2 2" xfId="3522"/>
    <cellStyle name="_TableHead_Sarawak Data v3 2 2 3 3" xfId="3523"/>
    <cellStyle name="_TableHead_Sarawak Data v3 2 2 3 4" xfId="3524"/>
    <cellStyle name="_TableHead_Sarawak Data v3 2 2 4" xfId="3525"/>
    <cellStyle name="_TableHead_Sarawak Data v3 2 2 4 2" xfId="3526"/>
    <cellStyle name="_TableHead_Sarawak Data v3 2 2 4 2 2" xfId="3527"/>
    <cellStyle name="_TableHead_Sarawak Data v3 2 2 4 3" xfId="3528"/>
    <cellStyle name="_TableHead_Sarawak Data v3 2 2 4 4" xfId="3529"/>
    <cellStyle name="_TableHead_Sarawak Data v3 2 2 5" xfId="3530"/>
    <cellStyle name="_TableHead_Sarawak Data v3 2 2 5 2" xfId="3531"/>
    <cellStyle name="_TableHead_Sarawak Data v3 2 2 5 2 2" xfId="3532"/>
    <cellStyle name="_TableHead_Sarawak Data v3 2 2 5 3" xfId="3533"/>
    <cellStyle name="_TableHead_Sarawak Data v3 2 2 5 4" xfId="3534"/>
    <cellStyle name="_TableHead_Sarawak Data v3 2 2 6" xfId="3535"/>
    <cellStyle name="_TableHead_Sarawak Data v3 2 2 6 2" xfId="3536"/>
    <cellStyle name="_TableHead_Sarawak Data v3 2 2 6 2 2" xfId="3537"/>
    <cellStyle name="_TableHead_Sarawak Data v3 2 2 6 3" xfId="3538"/>
    <cellStyle name="_TableHead_Sarawak Data v3 2 2 6 4" xfId="3539"/>
    <cellStyle name="_TableHead_Sarawak Data v3 2 2 7" xfId="3540"/>
    <cellStyle name="_TableHead_Sarawak Data v3 2 2 7 2" xfId="3541"/>
    <cellStyle name="_TableHead_Sarawak Data v3 2 2 8" xfId="3542"/>
    <cellStyle name="_TableHead_Sarawak Data v3 2 2 9" xfId="3543"/>
    <cellStyle name="_TableHead_Sarawak Data v3 2 3" xfId="3544"/>
    <cellStyle name="_TableHead_Sarawak Data v3 2 3 2" xfId="3545"/>
    <cellStyle name="_TableHead_Sarawak Data v3 2 3 2 2" xfId="3546"/>
    <cellStyle name="_TableHead_Sarawak Data v3 2 3 3" xfId="3547"/>
    <cellStyle name="_TableHead_Sarawak Data v3 2 3 4" xfId="3548"/>
    <cellStyle name="_TableHead_Sarawak Data v3 2 4" xfId="3549"/>
    <cellStyle name="_TableHead_Sarawak Data v3 2 4 2" xfId="3550"/>
    <cellStyle name="_TableHead_Sarawak Data v3 2 4 2 2" xfId="3551"/>
    <cellStyle name="_TableHead_Sarawak Data v3 2 4 3" xfId="3552"/>
    <cellStyle name="_TableHead_Sarawak Data v3 2 4 4" xfId="3553"/>
    <cellStyle name="_TableHead_Sarawak Data v3 2 5" xfId="3554"/>
    <cellStyle name="_TableHead_Sarawak Data v3 2 5 2" xfId="3555"/>
    <cellStyle name="_TableHead_Sarawak Data v3 2 5 2 2" xfId="3556"/>
    <cellStyle name="_TableHead_Sarawak Data v3 2 5 3" xfId="3557"/>
    <cellStyle name="_TableHead_Sarawak Data v3 2 5 4" xfId="3558"/>
    <cellStyle name="_TableHead_Sarawak Data v3 2 6" xfId="3559"/>
    <cellStyle name="_TableHead_Sarawak Data v3 2 6 2" xfId="3560"/>
    <cellStyle name="_TableHead_Sarawak Data v3 2 6 2 2" xfId="3561"/>
    <cellStyle name="_TableHead_Sarawak Data v3 2 6 3" xfId="3562"/>
    <cellStyle name="_TableHead_Sarawak Data v3 2 6 4" xfId="3563"/>
    <cellStyle name="_TableHead_Sarawak Data v3 2 7" xfId="3564"/>
    <cellStyle name="_TableHead_Sarawak Data v3 2 7 2" xfId="3565"/>
    <cellStyle name="_TableHead_Sarawak Data v3 2 7 2 2" xfId="3566"/>
    <cellStyle name="_TableHead_Sarawak Data v3 2 7 3" xfId="3567"/>
    <cellStyle name="_TableHead_Sarawak Data v3 2 7 4" xfId="3568"/>
    <cellStyle name="_TableHead_Sarawak Data v3 2 8" xfId="3569"/>
    <cellStyle name="_TableHead_Sarawak Data v3 2 8 2" xfId="3570"/>
    <cellStyle name="_TableHead_Sarawak Data v3 2 9" xfId="3571"/>
    <cellStyle name="_TableHead_Sarawak Data v3 3" xfId="3572"/>
    <cellStyle name="_TableHead_Sarawak Data v3 3 2" xfId="3573"/>
    <cellStyle name="_TableHead_Sarawak Data v3 3 2 2" xfId="3574"/>
    <cellStyle name="_TableHead_Sarawak Data v3 3 2 2 2" xfId="3575"/>
    <cellStyle name="_TableHead_Sarawak Data v3 3 2 3" xfId="3576"/>
    <cellStyle name="_TableHead_Sarawak Data v3 3 2 4" xfId="3577"/>
    <cellStyle name="_TableHead_Sarawak Data v3 3 3" xfId="3578"/>
    <cellStyle name="_TableHead_Sarawak Data v3 3 3 2" xfId="3579"/>
    <cellStyle name="_TableHead_Sarawak Data v3 3 3 2 2" xfId="3580"/>
    <cellStyle name="_TableHead_Sarawak Data v3 3 3 3" xfId="3581"/>
    <cellStyle name="_TableHead_Sarawak Data v3 3 3 4" xfId="3582"/>
    <cellStyle name="_TableHead_Sarawak Data v3 3 4" xfId="3583"/>
    <cellStyle name="_TableHead_Sarawak Data v3 3 4 2" xfId="3584"/>
    <cellStyle name="_TableHead_Sarawak Data v3 3 4 2 2" xfId="3585"/>
    <cellStyle name="_TableHead_Sarawak Data v3 3 4 3" xfId="3586"/>
    <cellStyle name="_TableHead_Sarawak Data v3 3 4 4" xfId="3587"/>
    <cellStyle name="_TableHead_Sarawak Data v3 3 5" xfId="3588"/>
    <cellStyle name="_TableHead_Sarawak Data v3 3 5 2" xfId="3589"/>
    <cellStyle name="_TableHead_Sarawak Data v3 3 5 2 2" xfId="3590"/>
    <cellStyle name="_TableHead_Sarawak Data v3 3 5 3" xfId="3591"/>
    <cellStyle name="_TableHead_Sarawak Data v3 3 5 4" xfId="3592"/>
    <cellStyle name="_TableHead_Sarawak Data v3 3 6" xfId="3593"/>
    <cellStyle name="_TableHead_Sarawak Data v3 3 6 2" xfId="3594"/>
    <cellStyle name="_TableHead_Sarawak Data v3 3 6 2 2" xfId="3595"/>
    <cellStyle name="_TableHead_Sarawak Data v3 3 6 3" xfId="3596"/>
    <cellStyle name="_TableHead_Sarawak Data v3 3 6 4" xfId="3597"/>
    <cellStyle name="_TableHead_Sarawak Data v3 3 7" xfId="3598"/>
    <cellStyle name="_TableHead_Sarawak Data v3 3 7 2" xfId="3599"/>
    <cellStyle name="_TableHead_Sarawak Data v3 3 8" xfId="3600"/>
    <cellStyle name="_TableHead_Sarawak Data v3 3 9" xfId="3601"/>
    <cellStyle name="_TableHead_Sarawak Data v3 4" xfId="3602"/>
    <cellStyle name="_TableHead_Sarawak Data v3 4 2" xfId="3603"/>
    <cellStyle name="_TableHead_Sarawak Data v3 4 2 2" xfId="3604"/>
    <cellStyle name="_TableHead_Sarawak Data v3 4 3" xfId="3605"/>
    <cellStyle name="_TableHead_Sarawak Data v3 4 4" xfId="3606"/>
    <cellStyle name="_TableHead_Sarawak Data v3 5" xfId="3607"/>
    <cellStyle name="_TableHead_Sarawak Data v3 5 2" xfId="3608"/>
    <cellStyle name="_TableHead_Sarawak Data v3 5 2 2" xfId="3609"/>
    <cellStyle name="_TableHead_Sarawak Data v3 5 3" xfId="3610"/>
    <cellStyle name="_TableHead_Sarawak Data v3 5 4" xfId="3611"/>
    <cellStyle name="_TableHead_Sarawak Data v3 6" xfId="3612"/>
    <cellStyle name="_TableHead_Sarawak Data v3 6 2" xfId="3613"/>
    <cellStyle name="_TableHead_Sarawak Data v3 6 2 2" xfId="3614"/>
    <cellStyle name="_TableHead_Sarawak Data v3 6 3" xfId="3615"/>
    <cellStyle name="_TableHead_Sarawak Data v3 6 4" xfId="3616"/>
    <cellStyle name="_TableHead_Sarawak Data v3 7" xfId="3617"/>
    <cellStyle name="_TableHead_Sarawak Data v3 7 2" xfId="3618"/>
    <cellStyle name="_TableHead_Sarawak Data v3 7 2 2" xfId="3619"/>
    <cellStyle name="_TableHead_Sarawak Data v3 7 3" xfId="3620"/>
    <cellStyle name="_TableHead_Sarawak Data v3 7 4" xfId="3621"/>
    <cellStyle name="_TableHead_Sarawak Data v3 8" xfId="3622"/>
    <cellStyle name="_TableHead_Sarawak Data v3 8 2" xfId="3623"/>
    <cellStyle name="_TableHead_Sarawak Data v3 8 2 2" xfId="3624"/>
    <cellStyle name="_TableHead_Sarawak Data v3 8 3" xfId="3625"/>
    <cellStyle name="_TableHead_Sarawak Data v3 8 4" xfId="3626"/>
    <cellStyle name="_TableHead_Sarawak Data v3 9" xfId="3627"/>
    <cellStyle name="_TableHead_Sarawak Data v3 9 2" xfId="3628"/>
    <cellStyle name="_TableHead_Sarawak Data v4" xfId="3629"/>
    <cellStyle name="_TableHead_Sarawak Data v4 10" xfId="3630"/>
    <cellStyle name="_TableHead_Sarawak Data v4 11" xfId="3631"/>
    <cellStyle name="_TableHead_Sarawak Data v4 2" xfId="3632"/>
    <cellStyle name="_TableHead_Sarawak Data v4 2 10" xfId="3633"/>
    <cellStyle name="_TableHead_Sarawak Data v4 2 2" xfId="3634"/>
    <cellStyle name="_TableHead_Sarawak Data v4 2 2 2" xfId="3635"/>
    <cellStyle name="_TableHead_Sarawak Data v4 2 2 2 2" xfId="3636"/>
    <cellStyle name="_TableHead_Sarawak Data v4 2 2 2 2 2" xfId="3637"/>
    <cellStyle name="_TableHead_Sarawak Data v4 2 2 2 3" xfId="3638"/>
    <cellStyle name="_TableHead_Sarawak Data v4 2 2 2 4" xfId="3639"/>
    <cellStyle name="_TableHead_Sarawak Data v4 2 2 3" xfId="3640"/>
    <cellStyle name="_TableHead_Sarawak Data v4 2 2 3 2" xfId="3641"/>
    <cellStyle name="_TableHead_Sarawak Data v4 2 2 3 2 2" xfId="3642"/>
    <cellStyle name="_TableHead_Sarawak Data v4 2 2 3 3" xfId="3643"/>
    <cellStyle name="_TableHead_Sarawak Data v4 2 2 3 4" xfId="3644"/>
    <cellStyle name="_TableHead_Sarawak Data v4 2 2 4" xfId="3645"/>
    <cellStyle name="_TableHead_Sarawak Data v4 2 2 4 2" xfId="3646"/>
    <cellStyle name="_TableHead_Sarawak Data v4 2 2 4 2 2" xfId="3647"/>
    <cellStyle name="_TableHead_Sarawak Data v4 2 2 4 3" xfId="3648"/>
    <cellStyle name="_TableHead_Sarawak Data v4 2 2 4 4" xfId="3649"/>
    <cellStyle name="_TableHead_Sarawak Data v4 2 2 5" xfId="3650"/>
    <cellStyle name="_TableHead_Sarawak Data v4 2 2 5 2" xfId="3651"/>
    <cellStyle name="_TableHead_Sarawak Data v4 2 2 5 2 2" xfId="3652"/>
    <cellStyle name="_TableHead_Sarawak Data v4 2 2 5 3" xfId="3653"/>
    <cellStyle name="_TableHead_Sarawak Data v4 2 2 5 4" xfId="3654"/>
    <cellStyle name="_TableHead_Sarawak Data v4 2 2 6" xfId="3655"/>
    <cellStyle name="_TableHead_Sarawak Data v4 2 2 6 2" xfId="3656"/>
    <cellStyle name="_TableHead_Sarawak Data v4 2 2 6 2 2" xfId="3657"/>
    <cellStyle name="_TableHead_Sarawak Data v4 2 2 6 3" xfId="3658"/>
    <cellStyle name="_TableHead_Sarawak Data v4 2 2 6 4" xfId="3659"/>
    <cellStyle name="_TableHead_Sarawak Data v4 2 2 7" xfId="3660"/>
    <cellStyle name="_TableHead_Sarawak Data v4 2 2 7 2" xfId="3661"/>
    <cellStyle name="_TableHead_Sarawak Data v4 2 2 8" xfId="3662"/>
    <cellStyle name="_TableHead_Sarawak Data v4 2 2 9" xfId="3663"/>
    <cellStyle name="_TableHead_Sarawak Data v4 2 3" xfId="3664"/>
    <cellStyle name="_TableHead_Sarawak Data v4 2 3 2" xfId="3665"/>
    <cellStyle name="_TableHead_Sarawak Data v4 2 3 2 2" xfId="3666"/>
    <cellStyle name="_TableHead_Sarawak Data v4 2 3 3" xfId="3667"/>
    <cellStyle name="_TableHead_Sarawak Data v4 2 3 4" xfId="3668"/>
    <cellStyle name="_TableHead_Sarawak Data v4 2 4" xfId="3669"/>
    <cellStyle name="_TableHead_Sarawak Data v4 2 4 2" xfId="3670"/>
    <cellStyle name="_TableHead_Sarawak Data v4 2 4 2 2" xfId="3671"/>
    <cellStyle name="_TableHead_Sarawak Data v4 2 4 3" xfId="3672"/>
    <cellStyle name="_TableHead_Sarawak Data v4 2 4 4" xfId="3673"/>
    <cellStyle name="_TableHead_Sarawak Data v4 2 5" xfId="3674"/>
    <cellStyle name="_TableHead_Sarawak Data v4 2 5 2" xfId="3675"/>
    <cellStyle name="_TableHead_Sarawak Data v4 2 5 2 2" xfId="3676"/>
    <cellStyle name="_TableHead_Sarawak Data v4 2 5 3" xfId="3677"/>
    <cellStyle name="_TableHead_Sarawak Data v4 2 5 4" xfId="3678"/>
    <cellStyle name="_TableHead_Sarawak Data v4 2 6" xfId="3679"/>
    <cellStyle name="_TableHead_Sarawak Data v4 2 6 2" xfId="3680"/>
    <cellStyle name="_TableHead_Sarawak Data v4 2 6 2 2" xfId="3681"/>
    <cellStyle name="_TableHead_Sarawak Data v4 2 6 3" xfId="3682"/>
    <cellStyle name="_TableHead_Sarawak Data v4 2 6 4" xfId="3683"/>
    <cellStyle name="_TableHead_Sarawak Data v4 2 7" xfId="3684"/>
    <cellStyle name="_TableHead_Sarawak Data v4 2 7 2" xfId="3685"/>
    <cellStyle name="_TableHead_Sarawak Data v4 2 7 2 2" xfId="3686"/>
    <cellStyle name="_TableHead_Sarawak Data v4 2 7 3" xfId="3687"/>
    <cellStyle name="_TableHead_Sarawak Data v4 2 7 4" xfId="3688"/>
    <cellStyle name="_TableHead_Sarawak Data v4 2 8" xfId="3689"/>
    <cellStyle name="_TableHead_Sarawak Data v4 2 8 2" xfId="3690"/>
    <cellStyle name="_TableHead_Sarawak Data v4 2 9" xfId="3691"/>
    <cellStyle name="_TableHead_Sarawak Data v4 3" xfId="3692"/>
    <cellStyle name="_TableHead_Sarawak Data v4 3 2" xfId="3693"/>
    <cellStyle name="_TableHead_Sarawak Data v4 3 2 2" xfId="3694"/>
    <cellStyle name="_TableHead_Sarawak Data v4 3 2 2 2" xfId="3695"/>
    <cellStyle name="_TableHead_Sarawak Data v4 3 2 3" xfId="3696"/>
    <cellStyle name="_TableHead_Sarawak Data v4 3 2 4" xfId="3697"/>
    <cellStyle name="_TableHead_Sarawak Data v4 3 3" xfId="3698"/>
    <cellStyle name="_TableHead_Sarawak Data v4 3 3 2" xfId="3699"/>
    <cellStyle name="_TableHead_Sarawak Data v4 3 3 2 2" xfId="3700"/>
    <cellStyle name="_TableHead_Sarawak Data v4 3 3 3" xfId="3701"/>
    <cellStyle name="_TableHead_Sarawak Data v4 3 3 4" xfId="3702"/>
    <cellStyle name="_TableHead_Sarawak Data v4 3 4" xfId="3703"/>
    <cellStyle name="_TableHead_Sarawak Data v4 3 4 2" xfId="3704"/>
    <cellStyle name="_TableHead_Sarawak Data v4 3 4 2 2" xfId="3705"/>
    <cellStyle name="_TableHead_Sarawak Data v4 3 4 3" xfId="3706"/>
    <cellStyle name="_TableHead_Sarawak Data v4 3 4 4" xfId="3707"/>
    <cellStyle name="_TableHead_Sarawak Data v4 3 5" xfId="3708"/>
    <cellStyle name="_TableHead_Sarawak Data v4 3 5 2" xfId="3709"/>
    <cellStyle name="_TableHead_Sarawak Data v4 3 5 2 2" xfId="3710"/>
    <cellStyle name="_TableHead_Sarawak Data v4 3 5 3" xfId="3711"/>
    <cellStyle name="_TableHead_Sarawak Data v4 3 5 4" xfId="3712"/>
    <cellStyle name="_TableHead_Sarawak Data v4 3 6" xfId="3713"/>
    <cellStyle name="_TableHead_Sarawak Data v4 3 6 2" xfId="3714"/>
    <cellStyle name="_TableHead_Sarawak Data v4 3 6 2 2" xfId="3715"/>
    <cellStyle name="_TableHead_Sarawak Data v4 3 6 3" xfId="3716"/>
    <cellStyle name="_TableHead_Sarawak Data v4 3 6 4" xfId="3717"/>
    <cellStyle name="_TableHead_Sarawak Data v4 3 7" xfId="3718"/>
    <cellStyle name="_TableHead_Sarawak Data v4 3 7 2" xfId="3719"/>
    <cellStyle name="_TableHead_Sarawak Data v4 3 8" xfId="3720"/>
    <cellStyle name="_TableHead_Sarawak Data v4 3 9" xfId="3721"/>
    <cellStyle name="_TableHead_Sarawak Data v4 4" xfId="3722"/>
    <cellStyle name="_TableHead_Sarawak Data v4 4 2" xfId="3723"/>
    <cellStyle name="_TableHead_Sarawak Data v4 4 2 2" xfId="3724"/>
    <cellStyle name="_TableHead_Sarawak Data v4 4 3" xfId="3725"/>
    <cellStyle name="_TableHead_Sarawak Data v4 4 4" xfId="3726"/>
    <cellStyle name="_TableHead_Sarawak Data v4 5" xfId="3727"/>
    <cellStyle name="_TableHead_Sarawak Data v4 5 2" xfId="3728"/>
    <cellStyle name="_TableHead_Sarawak Data v4 5 2 2" xfId="3729"/>
    <cellStyle name="_TableHead_Sarawak Data v4 5 3" xfId="3730"/>
    <cellStyle name="_TableHead_Sarawak Data v4 5 4" xfId="3731"/>
    <cellStyle name="_TableHead_Sarawak Data v4 6" xfId="3732"/>
    <cellStyle name="_TableHead_Sarawak Data v4 6 2" xfId="3733"/>
    <cellStyle name="_TableHead_Sarawak Data v4 6 2 2" xfId="3734"/>
    <cellStyle name="_TableHead_Sarawak Data v4 6 3" xfId="3735"/>
    <cellStyle name="_TableHead_Sarawak Data v4 6 4" xfId="3736"/>
    <cellStyle name="_TableHead_Sarawak Data v4 7" xfId="3737"/>
    <cellStyle name="_TableHead_Sarawak Data v4 7 2" xfId="3738"/>
    <cellStyle name="_TableHead_Sarawak Data v4 7 2 2" xfId="3739"/>
    <cellStyle name="_TableHead_Sarawak Data v4 7 3" xfId="3740"/>
    <cellStyle name="_TableHead_Sarawak Data v4 7 4" xfId="3741"/>
    <cellStyle name="_TableHead_Sarawak Data v4 8" xfId="3742"/>
    <cellStyle name="_TableHead_Sarawak Data v4 8 2" xfId="3743"/>
    <cellStyle name="_TableHead_Sarawak Data v4 8 2 2" xfId="3744"/>
    <cellStyle name="_TableHead_Sarawak Data v4 8 3" xfId="3745"/>
    <cellStyle name="_TableHead_Sarawak Data v4 8 4" xfId="3746"/>
    <cellStyle name="_TableHead_Sarawak Data v4 9" xfId="3747"/>
    <cellStyle name="_TableHead_Sarawak Data v4 9 2" xfId="3748"/>
    <cellStyle name="_TableHead_Sarawak Data v6 (with June 04 results for Niaga)" xfId="3749"/>
    <cellStyle name="_TableHead_Sarawak Data v6 (with June 04 results for Niaga) 10" xfId="3750"/>
    <cellStyle name="_TableHead_Sarawak Data v6 (with June 04 results for Niaga) 11" xfId="3751"/>
    <cellStyle name="_TableHead_Sarawak Data v6 (with June 04 results for Niaga) 2" xfId="3752"/>
    <cellStyle name="_TableHead_Sarawak Data v6 (with June 04 results for Niaga) 2 10" xfId="3753"/>
    <cellStyle name="_TableHead_Sarawak Data v6 (with June 04 results for Niaga) 2 2" xfId="3754"/>
    <cellStyle name="_TableHead_Sarawak Data v6 (with June 04 results for Niaga) 2 2 2" xfId="3755"/>
    <cellStyle name="_TableHead_Sarawak Data v6 (with June 04 results for Niaga) 2 2 2 2" xfId="3756"/>
    <cellStyle name="_TableHead_Sarawak Data v6 (with June 04 results for Niaga) 2 2 2 2 2" xfId="3757"/>
    <cellStyle name="_TableHead_Sarawak Data v6 (with June 04 results for Niaga) 2 2 2 3" xfId="3758"/>
    <cellStyle name="_TableHead_Sarawak Data v6 (with June 04 results for Niaga) 2 2 2 4" xfId="3759"/>
    <cellStyle name="_TableHead_Sarawak Data v6 (with June 04 results for Niaga) 2 2 3" xfId="3760"/>
    <cellStyle name="_TableHead_Sarawak Data v6 (with June 04 results for Niaga) 2 2 3 2" xfId="3761"/>
    <cellStyle name="_TableHead_Sarawak Data v6 (with June 04 results for Niaga) 2 2 3 2 2" xfId="3762"/>
    <cellStyle name="_TableHead_Sarawak Data v6 (with June 04 results for Niaga) 2 2 3 3" xfId="3763"/>
    <cellStyle name="_TableHead_Sarawak Data v6 (with June 04 results for Niaga) 2 2 3 4" xfId="3764"/>
    <cellStyle name="_TableHead_Sarawak Data v6 (with June 04 results for Niaga) 2 2 4" xfId="3765"/>
    <cellStyle name="_TableHead_Sarawak Data v6 (with June 04 results for Niaga) 2 2 4 2" xfId="3766"/>
    <cellStyle name="_TableHead_Sarawak Data v6 (with June 04 results for Niaga) 2 2 4 2 2" xfId="3767"/>
    <cellStyle name="_TableHead_Sarawak Data v6 (with June 04 results for Niaga) 2 2 4 3" xfId="3768"/>
    <cellStyle name="_TableHead_Sarawak Data v6 (with June 04 results for Niaga) 2 2 4 4" xfId="3769"/>
    <cellStyle name="_TableHead_Sarawak Data v6 (with June 04 results for Niaga) 2 2 5" xfId="3770"/>
    <cellStyle name="_TableHead_Sarawak Data v6 (with June 04 results for Niaga) 2 2 5 2" xfId="3771"/>
    <cellStyle name="_TableHead_Sarawak Data v6 (with June 04 results for Niaga) 2 2 5 2 2" xfId="3772"/>
    <cellStyle name="_TableHead_Sarawak Data v6 (with June 04 results for Niaga) 2 2 5 3" xfId="3773"/>
    <cellStyle name="_TableHead_Sarawak Data v6 (with June 04 results for Niaga) 2 2 5 4" xfId="3774"/>
    <cellStyle name="_TableHead_Sarawak Data v6 (with June 04 results for Niaga) 2 2 6" xfId="3775"/>
    <cellStyle name="_TableHead_Sarawak Data v6 (with June 04 results for Niaga) 2 2 6 2" xfId="3776"/>
    <cellStyle name="_TableHead_Sarawak Data v6 (with June 04 results for Niaga) 2 2 6 2 2" xfId="3777"/>
    <cellStyle name="_TableHead_Sarawak Data v6 (with June 04 results for Niaga) 2 2 6 3" xfId="3778"/>
    <cellStyle name="_TableHead_Sarawak Data v6 (with June 04 results for Niaga) 2 2 6 4" xfId="3779"/>
    <cellStyle name="_TableHead_Sarawak Data v6 (with June 04 results for Niaga) 2 2 7" xfId="3780"/>
    <cellStyle name="_TableHead_Sarawak Data v6 (with June 04 results for Niaga) 2 2 7 2" xfId="3781"/>
    <cellStyle name="_TableHead_Sarawak Data v6 (with June 04 results for Niaga) 2 2 8" xfId="3782"/>
    <cellStyle name="_TableHead_Sarawak Data v6 (with June 04 results for Niaga) 2 2 9" xfId="3783"/>
    <cellStyle name="_TableHead_Sarawak Data v6 (with June 04 results for Niaga) 2 3" xfId="3784"/>
    <cellStyle name="_TableHead_Sarawak Data v6 (with June 04 results for Niaga) 2 3 2" xfId="3785"/>
    <cellStyle name="_TableHead_Sarawak Data v6 (with June 04 results for Niaga) 2 3 2 2" xfId="3786"/>
    <cellStyle name="_TableHead_Sarawak Data v6 (with June 04 results for Niaga) 2 3 3" xfId="3787"/>
    <cellStyle name="_TableHead_Sarawak Data v6 (with June 04 results for Niaga) 2 3 4" xfId="3788"/>
    <cellStyle name="_TableHead_Sarawak Data v6 (with June 04 results for Niaga) 2 4" xfId="3789"/>
    <cellStyle name="_TableHead_Sarawak Data v6 (with June 04 results for Niaga) 2 4 2" xfId="3790"/>
    <cellStyle name="_TableHead_Sarawak Data v6 (with June 04 results for Niaga) 2 4 2 2" xfId="3791"/>
    <cellStyle name="_TableHead_Sarawak Data v6 (with June 04 results for Niaga) 2 4 3" xfId="3792"/>
    <cellStyle name="_TableHead_Sarawak Data v6 (with June 04 results for Niaga) 2 4 4" xfId="3793"/>
    <cellStyle name="_TableHead_Sarawak Data v6 (with June 04 results for Niaga) 2 5" xfId="3794"/>
    <cellStyle name="_TableHead_Sarawak Data v6 (with June 04 results for Niaga) 2 5 2" xfId="3795"/>
    <cellStyle name="_TableHead_Sarawak Data v6 (with June 04 results for Niaga) 2 5 2 2" xfId="3796"/>
    <cellStyle name="_TableHead_Sarawak Data v6 (with June 04 results for Niaga) 2 5 3" xfId="3797"/>
    <cellStyle name="_TableHead_Sarawak Data v6 (with June 04 results for Niaga) 2 5 4" xfId="3798"/>
    <cellStyle name="_TableHead_Sarawak Data v6 (with June 04 results for Niaga) 2 6" xfId="3799"/>
    <cellStyle name="_TableHead_Sarawak Data v6 (with June 04 results for Niaga) 2 6 2" xfId="3800"/>
    <cellStyle name="_TableHead_Sarawak Data v6 (with June 04 results for Niaga) 2 6 2 2" xfId="3801"/>
    <cellStyle name="_TableHead_Sarawak Data v6 (with June 04 results for Niaga) 2 6 3" xfId="3802"/>
    <cellStyle name="_TableHead_Sarawak Data v6 (with June 04 results for Niaga) 2 6 4" xfId="3803"/>
    <cellStyle name="_TableHead_Sarawak Data v6 (with June 04 results for Niaga) 2 7" xfId="3804"/>
    <cellStyle name="_TableHead_Sarawak Data v6 (with June 04 results for Niaga) 2 7 2" xfId="3805"/>
    <cellStyle name="_TableHead_Sarawak Data v6 (with June 04 results for Niaga) 2 7 2 2" xfId="3806"/>
    <cellStyle name="_TableHead_Sarawak Data v6 (with June 04 results for Niaga) 2 7 3" xfId="3807"/>
    <cellStyle name="_TableHead_Sarawak Data v6 (with June 04 results for Niaga) 2 7 4" xfId="3808"/>
    <cellStyle name="_TableHead_Sarawak Data v6 (with June 04 results for Niaga) 2 8" xfId="3809"/>
    <cellStyle name="_TableHead_Sarawak Data v6 (with June 04 results for Niaga) 2 8 2" xfId="3810"/>
    <cellStyle name="_TableHead_Sarawak Data v6 (with June 04 results for Niaga) 2 9" xfId="3811"/>
    <cellStyle name="_TableHead_Sarawak Data v6 (with June 04 results for Niaga) 3" xfId="3812"/>
    <cellStyle name="_TableHead_Sarawak Data v6 (with June 04 results for Niaga) 3 2" xfId="3813"/>
    <cellStyle name="_TableHead_Sarawak Data v6 (with June 04 results for Niaga) 3 2 2" xfId="3814"/>
    <cellStyle name="_TableHead_Sarawak Data v6 (with June 04 results for Niaga) 3 2 2 2" xfId="3815"/>
    <cellStyle name="_TableHead_Sarawak Data v6 (with June 04 results for Niaga) 3 2 3" xfId="3816"/>
    <cellStyle name="_TableHead_Sarawak Data v6 (with June 04 results for Niaga) 3 2 4" xfId="3817"/>
    <cellStyle name="_TableHead_Sarawak Data v6 (with June 04 results for Niaga) 3 3" xfId="3818"/>
    <cellStyle name="_TableHead_Sarawak Data v6 (with June 04 results for Niaga) 3 3 2" xfId="3819"/>
    <cellStyle name="_TableHead_Sarawak Data v6 (with June 04 results for Niaga) 3 3 2 2" xfId="3820"/>
    <cellStyle name="_TableHead_Sarawak Data v6 (with June 04 results for Niaga) 3 3 3" xfId="3821"/>
    <cellStyle name="_TableHead_Sarawak Data v6 (with June 04 results for Niaga) 3 3 4" xfId="3822"/>
    <cellStyle name="_TableHead_Sarawak Data v6 (with June 04 results for Niaga) 3 4" xfId="3823"/>
    <cellStyle name="_TableHead_Sarawak Data v6 (with June 04 results for Niaga) 3 4 2" xfId="3824"/>
    <cellStyle name="_TableHead_Sarawak Data v6 (with June 04 results for Niaga) 3 4 2 2" xfId="3825"/>
    <cellStyle name="_TableHead_Sarawak Data v6 (with June 04 results for Niaga) 3 4 3" xfId="3826"/>
    <cellStyle name="_TableHead_Sarawak Data v6 (with June 04 results for Niaga) 3 4 4" xfId="3827"/>
    <cellStyle name="_TableHead_Sarawak Data v6 (with June 04 results for Niaga) 3 5" xfId="3828"/>
    <cellStyle name="_TableHead_Sarawak Data v6 (with June 04 results for Niaga) 3 5 2" xfId="3829"/>
    <cellStyle name="_TableHead_Sarawak Data v6 (with June 04 results for Niaga) 3 5 2 2" xfId="3830"/>
    <cellStyle name="_TableHead_Sarawak Data v6 (with June 04 results for Niaga) 3 5 3" xfId="3831"/>
    <cellStyle name="_TableHead_Sarawak Data v6 (with June 04 results for Niaga) 3 5 4" xfId="3832"/>
    <cellStyle name="_TableHead_Sarawak Data v6 (with June 04 results for Niaga) 3 6" xfId="3833"/>
    <cellStyle name="_TableHead_Sarawak Data v6 (with June 04 results for Niaga) 3 6 2" xfId="3834"/>
    <cellStyle name="_TableHead_Sarawak Data v6 (with June 04 results for Niaga) 3 6 2 2" xfId="3835"/>
    <cellStyle name="_TableHead_Sarawak Data v6 (with June 04 results for Niaga) 3 6 3" xfId="3836"/>
    <cellStyle name="_TableHead_Sarawak Data v6 (with June 04 results for Niaga) 3 6 4" xfId="3837"/>
    <cellStyle name="_TableHead_Sarawak Data v6 (with June 04 results for Niaga) 3 7" xfId="3838"/>
    <cellStyle name="_TableHead_Sarawak Data v6 (with June 04 results for Niaga) 3 7 2" xfId="3839"/>
    <cellStyle name="_TableHead_Sarawak Data v6 (with June 04 results for Niaga) 3 8" xfId="3840"/>
    <cellStyle name="_TableHead_Sarawak Data v6 (with June 04 results for Niaga) 3 9" xfId="3841"/>
    <cellStyle name="_TableHead_Sarawak Data v6 (with June 04 results for Niaga) 4" xfId="3842"/>
    <cellStyle name="_TableHead_Sarawak Data v6 (with June 04 results for Niaga) 4 2" xfId="3843"/>
    <cellStyle name="_TableHead_Sarawak Data v6 (with June 04 results for Niaga) 4 2 2" xfId="3844"/>
    <cellStyle name="_TableHead_Sarawak Data v6 (with June 04 results for Niaga) 4 3" xfId="3845"/>
    <cellStyle name="_TableHead_Sarawak Data v6 (with June 04 results for Niaga) 4 4" xfId="3846"/>
    <cellStyle name="_TableHead_Sarawak Data v6 (with June 04 results for Niaga) 5" xfId="3847"/>
    <cellStyle name="_TableHead_Sarawak Data v6 (with June 04 results for Niaga) 5 2" xfId="3848"/>
    <cellStyle name="_TableHead_Sarawak Data v6 (with June 04 results for Niaga) 5 2 2" xfId="3849"/>
    <cellStyle name="_TableHead_Sarawak Data v6 (with June 04 results for Niaga) 5 3" xfId="3850"/>
    <cellStyle name="_TableHead_Sarawak Data v6 (with June 04 results for Niaga) 5 4" xfId="3851"/>
    <cellStyle name="_TableHead_Sarawak Data v6 (with June 04 results for Niaga) 6" xfId="3852"/>
    <cellStyle name="_TableHead_Sarawak Data v6 (with June 04 results for Niaga) 6 2" xfId="3853"/>
    <cellStyle name="_TableHead_Sarawak Data v6 (with June 04 results for Niaga) 6 2 2" xfId="3854"/>
    <cellStyle name="_TableHead_Sarawak Data v6 (with June 04 results for Niaga) 6 3" xfId="3855"/>
    <cellStyle name="_TableHead_Sarawak Data v6 (with June 04 results for Niaga) 6 4" xfId="3856"/>
    <cellStyle name="_TableHead_Sarawak Data v6 (with June 04 results for Niaga) 7" xfId="3857"/>
    <cellStyle name="_TableHead_Sarawak Data v6 (with June 04 results for Niaga) 7 2" xfId="3858"/>
    <cellStyle name="_TableHead_Sarawak Data v6 (with June 04 results for Niaga) 7 2 2" xfId="3859"/>
    <cellStyle name="_TableHead_Sarawak Data v6 (with June 04 results for Niaga) 7 3" xfId="3860"/>
    <cellStyle name="_TableHead_Sarawak Data v6 (with June 04 results for Niaga) 7 4" xfId="3861"/>
    <cellStyle name="_TableHead_Sarawak Data v6 (with June 04 results for Niaga) 8" xfId="3862"/>
    <cellStyle name="_TableHead_Sarawak Data v6 (with June 04 results for Niaga) 8 2" xfId="3863"/>
    <cellStyle name="_TableHead_Sarawak Data v6 (with June 04 results for Niaga) 8 2 2" xfId="3864"/>
    <cellStyle name="_TableHead_Sarawak Data v6 (with June 04 results for Niaga) 8 3" xfId="3865"/>
    <cellStyle name="_TableHead_Sarawak Data v6 (with June 04 results for Niaga) 8 4" xfId="3866"/>
    <cellStyle name="_TableHead_Sarawak Data v6 (with June 04 results for Niaga) 9" xfId="3867"/>
    <cellStyle name="_TableHead_Sarawak Data v6 (with June 04 results for Niaga) 9 2" xfId="3868"/>
    <cellStyle name="_TableHead_Sarawak Data v7" xfId="3869"/>
    <cellStyle name="_TableHead_Sarawak Data v7 10" xfId="3870"/>
    <cellStyle name="_TableHead_Sarawak Data v7 11" xfId="3871"/>
    <cellStyle name="_TableHead_Sarawak Data v7 2" xfId="3872"/>
    <cellStyle name="_TableHead_Sarawak Data v7 2 10" xfId="3873"/>
    <cellStyle name="_TableHead_Sarawak Data v7 2 2" xfId="3874"/>
    <cellStyle name="_TableHead_Sarawak Data v7 2 2 2" xfId="3875"/>
    <cellStyle name="_TableHead_Sarawak Data v7 2 2 2 2" xfId="3876"/>
    <cellStyle name="_TableHead_Sarawak Data v7 2 2 2 2 2" xfId="3877"/>
    <cellStyle name="_TableHead_Sarawak Data v7 2 2 2 3" xfId="3878"/>
    <cellStyle name="_TableHead_Sarawak Data v7 2 2 2 4" xfId="3879"/>
    <cellStyle name="_TableHead_Sarawak Data v7 2 2 3" xfId="3880"/>
    <cellStyle name="_TableHead_Sarawak Data v7 2 2 3 2" xfId="3881"/>
    <cellStyle name="_TableHead_Sarawak Data v7 2 2 3 2 2" xfId="3882"/>
    <cellStyle name="_TableHead_Sarawak Data v7 2 2 3 3" xfId="3883"/>
    <cellStyle name="_TableHead_Sarawak Data v7 2 2 3 4" xfId="3884"/>
    <cellStyle name="_TableHead_Sarawak Data v7 2 2 4" xfId="3885"/>
    <cellStyle name="_TableHead_Sarawak Data v7 2 2 4 2" xfId="3886"/>
    <cellStyle name="_TableHead_Sarawak Data v7 2 2 4 2 2" xfId="3887"/>
    <cellStyle name="_TableHead_Sarawak Data v7 2 2 4 3" xfId="3888"/>
    <cellStyle name="_TableHead_Sarawak Data v7 2 2 4 4" xfId="3889"/>
    <cellStyle name="_TableHead_Sarawak Data v7 2 2 5" xfId="3890"/>
    <cellStyle name="_TableHead_Sarawak Data v7 2 2 5 2" xfId="3891"/>
    <cellStyle name="_TableHead_Sarawak Data v7 2 2 5 2 2" xfId="3892"/>
    <cellStyle name="_TableHead_Sarawak Data v7 2 2 5 3" xfId="3893"/>
    <cellStyle name="_TableHead_Sarawak Data v7 2 2 5 4" xfId="3894"/>
    <cellStyle name="_TableHead_Sarawak Data v7 2 2 6" xfId="3895"/>
    <cellStyle name="_TableHead_Sarawak Data v7 2 2 6 2" xfId="3896"/>
    <cellStyle name="_TableHead_Sarawak Data v7 2 2 6 2 2" xfId="3897"/>
    <cellStyle name="_TableHead_Sarawak Data v7 2 2 6 3" xfId="3898"/>
    <cellStyle name="_TableHead_Sarawak Data v7 2 2 6 4" xfId="3899"/>
    <cellStyle name="_TableHead_Sarawak Data v7 2 2 7" xfId="3900"/>
    <cellStyle name="_TableHead_Sarawak Data v7 2 2 7 2" xfId="3901"/>
    <cellStyle name="_TableHead_Sarawak Data v7 2 2 8" xfId="3902"/>
    <cellStyle name="_TableHead_Sarawak Data v7 2 2 9" xfId="3903"/>
    <cellStyle name="_TableHead_Sarawak Data v7 2 3" xfId="3904"/>
    <cellStyle name="_TableHead_Sarawak Data v7 2 3 2" xfId="3905"/>
    <cellStyle name="_TableHead_Sarawak Data v7 2 3 2 2" xfId="3906"/>
    <cellStyle name="_TableHead_Sarawak Data v7 2 3 3" xfId="3907"/>
    <cellStyle name="_TableHead_Sarawak Data v7 2 3 4" xfId="3908"/>
    <cellStyle name="_TableHead_Sarawak Data v7 2 4" xfId="3909"/>
    <cellStyle name="_TableHead_Sarawak Data v7 2 4 2" xfId="3910"/>
    <cellStyle name="_TableHead_Sarawak Data v7 2 4 2 2" xfId="3911"/>
    <cellStyle name="_TableHead_Sarawak Data v7 2 4 3" xfId="3912"/>
    <cellStyle name="_TableHead_Sarawak Data v7 2 4 4" xfId="3913"/>
    <cellStyle name="_TableHead_Sarawak Data v7 2 5" xfId="3914"/>
    <cellStyle name="_TableHead_Sarawak Data v7 2 5 2" xfId="3915"/>
    <cellStyle name="_TableHead_Sarawak Data v7 2 5 2 2" xfId="3916"/>
    <cellStyle name="_TableHead_Sarawak Data v7 2 5 3" xfId="3917"/>
    <cellStyle name="_TableHead_Sarawak Data v7 2 5 4" xfId="3918"/>
    <cellStyle name="_TableHead_Sarawak Data v7 2 6" xfId="3919"/>
    <cellStyle name="_TableHead_Sarawak Data v7 2 6 2" xfId="3920"/>
    <cellStyle name="_TableHead_Sarawak Data v7 2 6 2 2" xfId="3921"/>
    <cellStyle name="_TableHead_Sarawak Data v7 2 6 3" xfId="3922"/>
    <cellStyle name="_TableHead_Sarawak Data v7 2 6 4" xfId="3923"/>
    <cellStyle name="_TableHead_Sarawak Data v7 2 7" xfId="3924"/>
    <cellStyle name="_TableHead_Sarawak Data v7 2 7 2" xfId="3925"/>
    <cellStyle name="_TableHead_Sarawak Data v7 2 7 2 2" xfId="3926"/>
    <cellStyle name="_TableHead_Sarawak Data v7 2 7 3" xfId="3927"/>
    <cellStyle name="_TableHead_Sarawak Data v7 2 7 4" xfId="3928"/>
    <cellStyle name="_TableHead_Sarawak Data v7 2 8" xfId="3929"/>
    <cellStyle name="_TableHead_Sarawak Data v7 2 8 2" xfId="3930"/>
    <cellStyle name="_TableHead_Sarawak Data v7 2 9" xfId="3931"/>
    <cellStyle name="_TableHead_Sarawak Data v7 3" xfId="3932"/>
    <cellStyle name="_TableHead_Sarawak Data v7 3 2" xfId="3933"/>
    <cellStyle name="_TableHead_Sarawak Data v7 3 2 2" xfId="3934"/>
    <cellStyle name="_TableHead_Sarawak Data v7 3 2 2 2" xfId="3935"/>
    <cellStyle name="_TableHead_Sarawak Data v7 3 2 3" xfId="3936"/>
    <cellStyle name="_TableHead_Sarawak Data v7 3 2 4" xfId="3937"/>
    <cellStyle name="_TableHead_Sarawak Data v7 3 3" xfId="3938"/>
    <cellStyle name="_TableHead_Sarawak Data v7 3 3 2" xfId="3939"/>
    <cellStyle name="_TableHead_Sarawak Data v7 3 3 2 2" xfId="3940"/>
    <cellStyle name="_TableHead_Sarawak Data v7 3 3 3" xfId="3941"/>
    <cellStyle name="_TableHead_Sarawak Data v7 3 3 4" xfId="3942"/>
    <cellStyle name="_TableHead_Sarawak Data v7 3 4" xfId="3943"/>
    <cellStyle name="_TableHead_Sarawak Data v7 3 4 2" xfId="3944"/>
    <cellStyle name="_TableHead_Sarawak Data v7 3 4 2 2" xfId="3945"/>
    <cellStyle name="_TableHead_Sarawak Data v7 3 4 3" xfId="3946"/>
    <cellStyle name="_TableHead_Sarawak Data v7 3 4 4" xfId="3947"/>
    <cellStyle name="_TableHead_Sarawak Data v7 3 5" xfId="3948"/>
    <cellStyle name="_TableHead_Sarawak Data v7 3 5 2" xfId="3949"/>
    <cellStyle name="_TableHead_Sarawak Data v7 3 5 2 2" xfId="3950"/>
    <cellStyle name="_TableHead_Sarawak Data v7 3 5 3" xfId="3951"/>
    <cellStyle name="_TableHead_Sarawak Data v7 3 5 4" xfId="3952"/>
    <cellStyle name="_TableHead_Sarawak Data v7 3 6" xfId="3953"/>
    <cellStyle name="_TableHead_Sarawak Data v7 3 6 2" xfId="3954"/>
    <cellStyle name="_TableHead_Sarawak Data v7 3 6 2 2" xfId="3955"/>
    <cellStyle name="_TableHead_Sarawak Data v7 3 6 3" xfId="3956"/>
    <cellStyle name="_TableHead_Sarawak Data v7 3 6 4" xfId="3957"/>
    <cellStyle name="_TableHead_Sarawak Data v7 3 7" xfId="3958"/>
    <cellStyle name="_TableHead_Sarawak Data v7 3 7 2" xfId="3959"/>
    <cellStyle name="_TableHead_Sarawak Data v7 3 8" xfId="3960"/>
    <cellStyle name="_TableHead_Sarawak Data v7 3 9" xfId="3961"/>
    <cellStyle name="_TableHead_Sarawak Data v7 4" xfId="3962"/>
    <cellStyle name="_TableHead_Sarawak Data v7 4 2" xfId="3963"/>
    <cellStyle name="_TableHead_Sarawak Data v7 4 2 2" xfId="3964"/>
    <cellStyle name="_TableHead_Sarawak Data v7 4 3" xfId="3965"/>
    <cellStyle name="_TableHead_Sarawak Data v7 4 4" xfId="3966"/>
    <cellStyle name="_TableHead_Sarawak Data v7 5" xfId="3967"/>
    <cellStyle name="_TableHead_Sarawak Data v7 5 2" xfId="3968"/>
    <cellStyle name="_TableHead_Sarawak Data v7 5 2 2" xfId="3969"/>
    <cellStyle name="_TableHead_Sarawak Data v7 5 3" xfId="3970"/>
    <cellStyle name="_TableHead_Sarawak Data v7 5 4" xfId="3971"/>
    <cellStyle name="_TableHead_Sarawak Data v7 6" xfId="3972"/>
    <cellStyle name="_TableHead_Sarawak Data v7 6 2" xfId="3973"/>
    <cellStyle name="_TableHead_Sarawak Data v7 6 2 2" xfId="3974"/>
    <cellStyle name="_TableHead_Sarawak Data v7 6 3" xfId="3975"/>
    <cellStyle name="_TableHead_Sarawak Data v7 6 4" xfId="3976"/>
    <cellStyle name="_TableHead_Sarawak Data v7 7" xfId="3977"/>
    <cellStyle name="_TableHead_Sarawak Data v7 7 2" xfId="3978"/>
    <cellStyle name="_TableHead_Sarawak Data v7 7 2 2" xfId="3979"/>
    <cellStyle name="_TableHead_Sarawak Data v7 7 3" xfId="3980"/>
    <cellStyle name="_TableHead_Sarawak Data v7 7 4" xfId="3981"/>
    <cellStyle name="_TableHead_Sarawak Data v7 8" xfId="3982"/>
    <cellStyle name="_TableHead_Sarawak Data v7 8 2" xfId="3983"/>
    <cellStyle name="_TableHead_Sarawak Data v7 8 2 2" xfId="3984"/>
    <cellStyle name="_TableHead_Sarawak Data v7 8 3" xfId="3985"/>
    <cellStyle name="_TableHead_Sarawak Data v7 8 4" xfId="3986"/>
    <cellStyle name="_TableHead_Sarawak Data v7 9" xfId="3987"/>
    <cellStyle name="_TableHead_Sarawak Data v7 9 2" xfId="3988"/>
    <cellStyle name="_TableRowHead" xfId="3989"/>
    <cellStyle name="_TableRowHead_Financial Summary of BII, Danamon, Mandiri, BRI" xfId="3990"/>
    <cellStyle name="_TableRowHead_Financial Summary of BII, Danamon, Mandiri, BRI 2" xfId="3991"/>
    <cellStyle name="_TableRowHead_Sarawak Data v2" xfId="3992"/>
    <cellStyle name="_TableRowHead_Sarawak Data v2 2" xfId="3993"/>
    <cellStyle name="_TableRowHead_Sarawak Data v3" xfId="3994"/>
    <cellStyle name="_TableRowHead_Sarawak Data v3 2" xfId="3995"/>
    <cellStyle name="_TableRowHead_Sarawak Data v4" xfId="3996"/>
    <cellStyle name="_TableRowHead_Sarawak Data v4 2" xfId="3997"/>
    <cellStyle name="_TableRowHead_Sarawak Data v6 (with June 04 results for Niaga)" xfId="3998"/>
    <cellStyle name="_TableRowHead_Sarawak Data v6 (with June 04 results for Niaga) 2" xfId="3999"/>
    <cellStyle name="_TableRowHead_Sarawak Data v7" xfId="4000"/>
    <cellStyle name="_TableRowHead_Sarawak Data v7 2" xfId="4001"/>
    <cellStyle name="_TableSuperHead" xfId="4002"/>
    <cellStyle name="_TableSuperHead_Financial Summary of BII, Danamon, Mandiri, BRI" xfId="4003"/>
    <cellStyle name="_TableSuperHead_Financial Summary of BII, Danamon, Mandiri, BRI 2" xfId="4004"/>
    <cellStyle name="_TableSuperHead_Sarawak Data v2" xfId="4005"/>
    <cellStyle name="_TableSuperHead_Sarawak Data v2 2" xfId="4006"/>
    <cellStyle name="_TableSuperHead_Sarawak Data v3" xfId="4007"/>
    <cellStyle name="_TableSuperHead_Sarawak Data v3 2" xfId="4008"/>
    <cellStyle name="_TableSuperHead_Sarawak Data v4" xfId="4009"/>
    <cellStyle name="_TableSuperHead_Sarawak Data v4 2" xfId="4010"/>
    <cellStyle name="_TableSuperHead_Sarawak Data v6 (with June 04 results for Niaga)" xfId="4011"/>
    <cellStyle name="_TableSuperHead_Sarawak Data v6 (with June 04 results for Niaga) 2" xfId="4012"/>
    <cellStyle name="_TableSuperHead_Sarawak Data v7" xfId="4013"/>
    <cellStyle name="_TableSuperHead_Sarawak Data v7 2" xfId="4014"/>
    <cellStyle name="£ BP" xfId="4015"/>
    <cellStyle name="¤@¯ë_ptcomp_2" xfId="11"/>
    <cellStyle name="¥ JY" xfId="4016"/>
    <cellStyle name="¥Vn¥VC¥Vp[¥V¥A¥V¡°¥VN" xfId="12"/>
    <cellStyle name="¶W³sµ²" xfId="13"/>
    <cellStyle name="0,0_x000a__x000a_NA_x000a__x000a_" xfId="4017"/>
    <cellStyle name="0,0_x000a__x000a_NA_x000a__x000a_ 2" xfId="4018"/>
    <cellStyle name="0,0_x000a__x000a_NA_x000a__x000a_ 4" xfId="4019"/>
    <cellStyle name="0,0_x000d__x000a_NA_x000d__x000a_" xfId="4020"/>
    <cellStyle name="0,0_x000d__x000a_NA_x000d__x000a_ 2" xfId="4021"/>
    <cellStyle name="0,0_x000d__x000a_NA_x000d__x000a_ 3" xfId="4022"/>
    <cellStyle name="_x0005_0&gt;឴Ǵ" xfId="4023"/>
    <cellStyle name="000" xfId="4024"/>
    <cellStyle name="20% - Accent1 10" xfId="14"/>
    <cellStyle name="20% - Accent1 10 2" xfId="15"/>
    <cellStyle name="20% - Accent1 10 3" xfId="2507"/>
    <cellStyle name="20% - Accent1 11" xfId="16"/>
    <cellStyle name="20% - Accent1 11 2" xfId="17"/>
    <cellStyle name="20% - Accent1 11 3" xfId="2508"/>
    <cellStyle name="20% - Accent1 12" xfId="18"/>
    <cellStyle name="20% - Accent1 12 2" xfId="19"/>
    <cellStyle name="20% - Accent1 12 3" xfId="2509"/>
    <cellStyle name="20% - Accent1 13" xfId="20"/>
    <cellStyle name="20% - Accent1 13 2" xfId="21"/>
    <cellStyle name="20% - Accent1 13 3" xfId="2510"/>
    <cellStyle name="20% - Accent1 14" xfId="22"/>
    <cellStyle name="20% - Accent1 14 2" xfId="23"/>
    <cellStyle name="20% - Accent1 14 3" xfId="2511"/>
    <cellStyle name="20% - Accent1 15" xfId="24"/>
    <cellStyle name="20% - Accent1 15 2" xfId="25"/>
    <cellStyle name="20% - Accent1 15 3" xfId="2512"/>
    <cellStyle name="20% - Accent1 16" xfId="8910"/>
    <cellStyle name="20% - Accent1 16 2" xfId="8911"/>
    <cellStyle name="20% - Accent1 16 3" xfId="8912"/>
    <cellStyle name="20% - Accent1 17" xfId="8913"/>
    <cellStyle name="20% - Accent1 17 2" xfId="8914"/>
    <cellStyle name="20% - Accent1 18" xfId="8915"/>
    <cellStyle name="20% - Accent1 2" xfId="26"/>
    <cellStyle name="20% - Accent1 2 2" xfId="27"/>
    <cellStyle name="20% - Accent1 2 2 2" xfId="15126"/>
    <cellStyle name="20% - Accent1 2 3" xfId="2513"/>
    <cellStyle name="20% - Accent1 2 4" xfId="4025"/>
    <cellStyle name="20% - Accent1 2 4 2" xfId="8916"/>
    <cellStyle name="20% - Accent1 3" xfId="28"/>
    <cellStyle name="20% - Accent1 3 2" xfId="29"/>
    <cellStyle name="20% - Accent1 3 3" xfId="2514"/>
    <cellStyle name="20% - Accent1 3 4" xfId="4026"/>
    <cellStyle name="20% - Accent1 3 4 2" xfId="8917"/>
    <cellStyle name="20% - Accent1 3 5" xfId="8918"/>
    <cellStyle name="20% - Accent1 4" xfId="30"/>
    <cellStyle name="20% - Accent1 4 2" xfId="31"/>
    <cellStyle name="20% - Accent1 4 3" xfId="2515"/>
    <cellStyle name="20% - Accent1 4 4" xfId="4027"/>
    <cellStyle name="20% - Accent1 4 4 2" xfId="8919"/>
    <cellStyle name="20% - Accent1 5" xfId="32"/>
    <cellStyle name="20% - Accent1 5 2" xfId="33"/>
    <cellStyle name="20% - Accent1 5 3" xfId="2516"/>
    <cellStyle name="20% - Accent1 5 4" xfId="4028"/>
    <cellStyle name="20% - Accent1 5 4 2" xfId="8920"/>
    <cellStyle name="20% - Accent1 6" xfId="34"/>
    <cellStyle name="20% - Accent1 6 2" xfId="35"/>
    <cellStyle name="20% - Accent1 6 3" xfId="2517"/>
    <cellStyle name="20% - Accent1 6 4" xfId="4029"/>
    <cellStyle name="20% - Accent1 6 4 2" xfId="8921"/>
    <cellStyle name="20% - Accent1 7" xfId="36"/>
    <cellStyle name="20% - Accent1 7 2" xfId="37"/>
    <cellStyle name="20% - Accent1 7 3" xfId="2518"/>
    <cellStyle name="20% - Accent1 7 4" xfId="8922"/>
    <cellStyle name="20% - Accent1 8" xfId="38"/>
    <cellStyle name="20% - Accent1 8 2" xfId="39"/>
    <cellStyle name="20% - Accent1 8 3" xfId="2519"/>
    <cellStyle name="20% - Accent1 9" xfId="40"/>
    <cellStyle name="20% - Accent1 9 2" xfId="41"/>
    <cellStyle name="20% - Accent1 9 3" xfId="2520"/>
    <cellStyle name="20% - Accent2 10" xfId="42"/>
    <cellStyle name="20% - Accent2 10 2" xfId="43"/>
    <cellStyle name="20% - Accent2 10 3" xfId="2521"/>
    <cellStyle name="20% - Accent2 11" xfId="44"/>
    <cellStyle name="20% - Accent2 11 2" xfId="45"/>
    <cellStyle name="20% - Accent2 11 3" xfId="2522"/>
    <cellStyle name="20% - Accent2 12" xfId="46"/>
    <cellStyle name="20% - Accent2 12 2" xfId="47"/>
    <cellStyle name="20% - Accent2 12 3" xfId="2523"/>
    <cellStyle name="20% - Accent2 13" xfId="48"/>
    <cellStyle name="20% - Accent2 13 2" xfId="49"/>
    <cellStyle name="20% - Accent2 13 3" xfId="2524"/>
    <cellStyle name="20% - Accent2 14" xfId="50"/>
    <cellStyle name="20% - Accent2 14 2" xfId="51"/>
    <cellStyle name="20% - Accent2 14 3" xfId="2525"/>
    <cellStyle name="20% - Accent2 15" xfId="52"/>
    <cellStyle name="20% - Accent2 15 2" xfId="53"/>
    <cellStyle name="20% - Accent2 15 3" xfId="2526"/>
    <cellStyle name="20% - Accent2 16" xfId="8924"/>
    <cellStyle name="20% - Accent2 16 2" xfId="8925"/>
    <cellStyle name="20% - Accent2 16 3" xfId="8926"/>
    <cellStyle name="20% - Accent2 17" xfId="8927"/>
    <cellStyle name="20% - Accent2 17 2" xfId="8928"/>
    <cellStyle name="20% - Accent2 18" xfId="8929"/>
    <cellStyle name="20% - Accent2 2" xfId="54"/>
    <cellStyle name="20% - Accent2 2 2" xfId="55"/>
    <cellStyle name="20% - Accent2 2 2 2" xfId="15127"/>
    <cellStyle name="20% - Accent2 2 3" xfId="2527"/>
    <cellStyle name="20% - Accent2 2 4" xfId="4030"/>
    <cellStyle name="20% - Accent2 2 4 2" xfId="8930"/>
    <cellStyle name="20% - Accent2 3" xfId="56"/>
    <cellStyle name="20% - Accent2 3 2" xfId="57"/>
    <cellStyle name="20% - Accent2 3 3" xfId="2528"/>
    <cellStyle name="20% - Accent2 3 4" xfId="4031"/>
    <cellStyle name="20% - Accent2 3 4 2" xfId="8931"/>
    <cellStyle name="20% - Accent2 3 5" xfId="8932"/>
    <cellStyle name="20% - Accent2 4" xfId="58"/>
    <cellStyle name="20% - Accent2 4 2" xfId="59"/>
    <cellStyle name="20% - Accent2 4 3" xfId="2529"/>
    <cellStyle name="20% - Accent2 4 4" xfId="4032"/>
    <cellStyle name="20% - Accent2 4 4 2" xfId="8933"/>
    <cellStyle name="20% - Accent2 5" xfId="60"/>
    <cellStyle name="20% - Accent2 5 2" xfId="61"/>
    <cellStyle name="20% - Accent2 5 3" xfId="2530"/>
    <cellStyle name="20% - Accent2 5 4" xfId="4033"/>
    <cellStyle name="20% - Accent2 5 4 2" xfId="8934"/>
    <cellStyle name="20% - Accent2 6" xfId="62"/>
    <cellStyle name="20% - Accent2 6 2" xfId="63"/>
    <cellStyle name="20% - Accent2 6 3" xfId="2531"/>
    <cellStyle name="20% - Accent2 6 4" xfId="4034"/>
    <cellStyle name="20% - Accent2 6 4 2" xfId="8935"/>
    <cellStyle name="20% - Accent2 7" xfId="64"/>
    <cellStyle name="20% - Accent2 7 2" xfId="65"/>
    <cellStyle name="20% - Accent2 7 3" xfId="2532"/>
    <cellStyle name="20% - Accent2 7 4" xfId="8936"/>
    <cellStyle name="20% - Accent2 8" xfId="66"/>
    <cellStyle name="20% - Accent2 8 2" xfId="67"/>
    <cellStyle name="20% - Accent2 8 3" xfId="2533"/>
    <cellStyle name="20% - Accent2 9" xfId="68"/>
    <cellStyle name="20% - Accent2 9 2" xfId="69"/>
    <cellStyle name="20% - Accent2 9 3" xfId="2534"/>
    <cellStyle name="20% - Accent3 10" xfId="70"/>
    <cellStyle name="20% - Accent3 10 2" xfId="71"/>
    <cellStyle name="20% - Accent3 10 3" xfId="2535"/>
    <cellStyle name="20% - Accent3 11" xfId="72"/>
    <cellStyle name="20% - Accent3 11 2" xfId="73"/>
    <cellStyle name="20% - Accent3 11 3" xfId="2536"/>
    <cellStyle name="20% - Accent3 12" xfId="74"/>
    <cellStyle name="20% - Accent3 12 2" xfId="75"/>
    <cellStyle name="20% - Accent3 12 3" xfId="2537"/>
    <cellStyle name="20% - Accent3 13" xfId="76"/>
    <cellStyle name="20% - Accent3 13 2" xfId="77"/>
    <cellStyle name="20% - Accent3 13 3" xfId="2538"/>
    <cellStyle name="20% - Accent3 14" xfId="78"/>
    <cellStyle name="20% - Accent3 14 2" xfId="79"/>
    <cellStyle name="20% - Accent3 14 3" xfId="2539"/>
    <cellStyle name="20% - Accent3 15" xfId="80"/>
    <cellStyle name="20% - Accent3 15 2" xfId="81"/>
    <cellStyle name="20% - Accent3 15 3" xfId="2540"/>
    <cellStyle name="20% - Accent3 16" xfId="8937"/>
    <cellStyle name="20% - Accent3 16 2" xfId="8938"/>
    <cellStyle name="20% - Accent3 16 3" xfId="8939"/>
    <cellStyle name="20% - Accent3 17" xfId="8940"/>
    <cellStyle name="20% - Accent3 17 2" xfId="2491"/>
    <cellStyle name="20% - Accent3 18" xfId="8941"/>
    <cellStyle name="20% - Accent3 2" xfId="82"/>
    <cellStyle name="20% - Accent3 2 2" xfId="83"/>
    <cellStyle name="20% - Accent3 2 2 2" xfId="15128"/>
    <cellStyle name="20% - Accent3 2 3" xfId="2541"/>
    <cellStyle name="20% - Accent3 2 4" xfId="4035"/>
    <cellStyle name="20% - Accent3 2 4 2" xfId="8942"/>
    <cellStyle name="20% - Accent3 3" xfId="84"/>
    <cellStyle name="20% - Accent3 3 2" xfId="85"/>
    <cellStyle name="20% - Accent3 3 3" xfId="2542"/>
    <cellStyle name="20% - Accent3 3 4" xfId="4036"/>
    <cellStyle name="20% - Accent3 3 4 2" xfId="8943"/>
    <cellStyle name="20% - Accent3 3 5" xfId="8944"/>
    <cellStyle name="20% - Accent3 4" xfId="86"/>
    <cellStyle name="20% - Accent3 4 2" xfId="87"/>
    <cellStyle name="20% - Accent3 4 3" xfId="2543"/>
    <cellStyle name="20% - Accent3 4 4" xfId="4037"/>
    <cellStyle name="20% - Accent3 4 4 2" xfId="8945"/>
    <cellStyle name="20% - Accent3 5" xfId="88"/>
    <cellStyle name="20% - Accent3 5 2" xfId="89"/>
    <cellStyle name="20% - Accent3 5 3" xfId="2544"/>
    <cellStyle name="20% - Accent3 5 4" xfId="4038"/>
    <cellStyle name="20% - Accent3 5 4 2" xfId="8493"/>
    <cellStyle name="20% - Accent3 6" xfId="90"/>
    <cellStyle name="20% - Accent3 6 2" xfId="91"/>
    <cellStyle name="20% - Accent3 6 3" xfId="2545"/>
    <cellStyle name="20% - Accent3 6 4" xfId="4039"/>
    <cellStyle name="20% - Accent3 6 4 2" xfId="8494"/>
    <cellStyle name="20% - Accent3 7" xfId="92"/>
    <cellStyle name="20% - Accent3 7 2" xfId="93"/>
    <cellStyle name="20% - Accent3 7 3" xfId="2546"/>
    <cellStyle name="20% - Accent3 7 4" xfId="8495"/>
    <cellStyle name="20% - Accent3 8" xfId="94"/>
    <cellStyle name="20% - Accent3 8 2" xfId="95"/>
    <cellStyle name="20% - Accent3 8 3" xfId="2547"/>
    <cellStyle name="20% - Accent3 9" xfId="96"/>
    <cellStyle name="20% - Accent3 9 2" xfId="97"/>
    <cellStyle name="20% - Accent3 9 3" xfId="2548"/>
    <cellStyle name="20% - Accent4 10" xfId="98"/>
    <cellStyle name="20% - Accent4 10 2" xfId="99"/>
    <cellStyle name="20% - Accent4 10 3" xfId="2549"/>
    <cellStyle name="20% - Accent4 11" xfId="100"/>
    <cellStyle name="20% - Accent4 11 2" xfId="101"/>
    <cellStyle name="20% - Accent4 11 3" xfId="2550"/>
    <cellStyle name="20% - Accent4 12" xfId="102"/>
    <cellStyle name="20% - Accent4 12 2" xfId="103"/>
    <cellStyle name="20% - Accent4 12 3" xfId="2551"/>
    <cellStyle name="20% - Accent4 13" xfId="104"/>
    <cellStyle name="20% - Accent4 13 2" xfId="105"/>
    <cellStyle name="20% - Accent4 13 3" xfId="2552"/>
    <cellStyle name="20% - Accent4 14" xfId="106"/>
    <cellStyle name="20% - Accent4 14 2" xfId="107"/>
    <cellStyle name="20% - Accent4 14 3" xfId="2553"/>
    <cellStyle name="20% - Accent4 15" xfId="108"/>
    <cellStyle name="20% - Accent4 15 2" xfId="109"/>
    <cellStyle name="20% - Accent4 15 3" xfId="2554"/>
    <cellStyle name="20% - Accent4 16" xfId="8946"/>
    <cellStyle name="20% - Accent4 16 2" xfId="2485"/>
    <cellStyle name="20% - Accent4 16 3" xfId="2484"/>
    <cellStyle name="20% - Accent4 17" xfId="8496"/>
    <cellStyle name="20% - Accent4 17 2" xfId="8947"/>
    <cellStyle name="20% - Accent4 18" xfId="2483"/>
    <cellStyle name="20% - Accent4 2" xfId="110"/>
    <cellStyle name="20% - Accent4 2 2" xfId="111"/>
    <cellStyle name="20% - Accent4 2 2 2" xfId="15129"/>
    <cellStyle name="20% - Accent4 2 3" xfId="2555"/>
    <cellStyle name="20% - Accent4 2 4" xfId="4040"/>
    <cellStyle name="20% - Accent4 2 4 2" xfId="8948"/>
    <cellStyle name="20% - Accent4 3" xfId="112"/>
    <cellStyle name="20% - Accent4 3 2" xfId="113"/>
    <cellStyle name="20% - Accent4 3 3" xfId="2556"/>
    <cellStyle name="20% - Accent4 3 4" xfId="4041"/>
    <cellStyle name="20% - Accent4 3 4 2" xfId="8497"/>
    <cellStyle name="20% - Accent4 3 5" xfId="8949"/>
    <cellStyle name="20% - Accent4 4" xfId="114"/>
    <cellStyle name="20% - Accent4 4 2" xfId="115"/>
    <cellStyle name="20% - Accent4 4 3" xfId="2557"/>
    <cellStyle name="20% - Accent4 4 4" xfId="4042"/>
    <cellStyle name="20% - Accent4 4 4 2" xfId="8498"/>
    <cellStyle name="20% - Accent4 5" xfId="116"/>
    <cellStyle name="20% - Accent4 5 2" xfId="117"/>
    <cellStyle name="20% - Accent4 5 3" xfId="2558"/>
    <cellStyle name="20% - Accent4 5 4" xfId="4043"/>
    <cellStyle name="20% - Accent4 5 4 2" xfId="8499"/>
    <cellStyle name="20% - Accent4 6" xfId="118"/>
    <cellStyle name="20% - Accent4 6 2" xfId="119"/>
    <cellStyle name="20% - Accent4 6 3" xfId="2559"/>
    <cellStyle name="20% - Accent4 6 4" xfId="4044"/>
    <cellStyle name="20% - Accent4 6 4 2" xfId="8500"/>
    <cellStyle name="20% - Accent4 7" xfId="120"/>
    <cellStyle name="20% - Accent4 7 2" xfId="121"/>
    <cellStyle name="20% - Accent4 7 3" xfId="2560"/>
    <cellStyle name="20% - Accent4 7 4" xfId="8501"/>
    <cellStyle name="20% - Accent4 8" xfId="122"/>
    <cellStyle name="20% - Accent4 8 2" xfId="123"/>
    <cellStyle name="20% - Accent4 8 3" xfId="2561"/>
    <cellStyle name="20% - Accent4 9" xfId="124"/>
    <cellStyle name="20% - Accent4 9 2" xfId="125"/>
    <cellStyle name="20% - Accent4 9 3" xfId="2562"/>
    <cellStyle name="20% - Accent5 10" xfId="126"/>
    <cellStyle name="20% - Accent5 10 2" xfId="127"/>
    <cellStyle name="20% - Accent5 10 3" xfId="2563"/>
    <cellStyle name="20% - Accent5 11" xfId="128"/>
    <cellStyle name="20% - Accent5 11 2" xfId="129"/>
    <cellStyle name="20% - Accent5 11 3" xfId="2564"/>
    <cellStyle name="20% - Accent5 12" xfId="130"/>
    <cellStyle name="20% - Accent5 12 2" xfId="131"/>
    <cellStyle name="20% - Accent5 12 3" xfId="2565"/>
    <cellStyle name="20% - Accent5 13" xfId="132"/>
    <cellStyle name="20% - Accent5 13 2" xfId="133"/>
    <cellStyle name="20% - Accent5 13 3" xfId="2566"/>
    <cellStyle name="20% - Accent5 14" xfId="134"/>
    <cellStyle name="20% - Accent5 14 2" xfId="135"/>
    <cellStyle name="20% - Accent5 14 3" xfId="2567"/>
    <cellStyle name="20% - Accent5 15" xfId="136"/>
    <cellStyle name="20% - Accent5 15 2" xfId="137"/>
    <cellStyle name="20% - Accent5 15 3" xfId="2568"/>
    <cellStyle name="20% - Accent5 16" xfId="2481"/>
    <cellStyle name="20% - Accent5 16 2" xfId="8502"/>
    <cellStyle name="20% - Accent5 16 3" xfId="8950"/>
    <cellStyle name="20% - Accent5 17" xfId="2480"/>
    <cellStyle name="20% - Accent5 17 2" xfId="2479"/>
    <cellStyle name="20% - Accent5 18" xfId="8503"/>
    <cellStyle name="20% - Accent5 2" xfId="138"/>
    <cellStyle name="20% - Accent5 2 2" xfId="139"/>
    <cellStyle name="20% - Accent5 2 2 2" xfId="15130"/>
    <cellStyle name="20% - Accent5 2 3" xfId="2569"/>
    <cellStyle name="20% - Accent5 2 4" xfId="4045"/>
    <cellStyle name="20% - Accent5 2 4 2" xfId="2478"/>
    <cellStyle name="20% - Accent5 3" xfId="140"/>
    <cellStyle name="20% - Accent5 3 2" xfId="141"/>
    <cellStyle name="20% - Accent5 3 3" xfId="2570"/>
    <cellStyle name="20% - Accent5 3 4" xfId="4046"/>
    <cellStyle name="20% - Accent5 3 4 2" xfId="2477"/>
    <cellStyle name="20% - Accent5 3 5" xfId="2476"/>
    <cellStyle name="20% - Accent5 4" xfId="142"/>
    <cellStyle name="20% - Accent5 4 2" xfId="143"/>
    <cellStyle name="20% - Accent5 4 3" xfId="2571"/>
    <cellStyle name="20% - Accent5 4 4" xfId="4047"/>
    <cellStyle name="20% - Accent5 4 4 2" xfId="2475"/>
    <cellStyle name="20% - Accent5 5" xfId="144"/>
    <cellStyle name="20% - Accent5 5 2" xfId="145"/>
    <cellStyle name="20% - Accent5 5 3" xfId="2572"/>
    <cellStyle name="20% - Accent5 5 4" xfId="4048"/>
    <cellStyle name="20% - Accent5 5 4 2" xfId="8951"/>
    <cellStyle name="20% - Accent5 6" xfId="146"/>
    <cellStyle name="20% - Accent5 6 2" xfId="147"/>
    <cellStyle name="20% - Accent5 6 3" xfId="2573"/>
    <cellStyle name="20% - Accent5 6 4" xfId="4049"/>
    <cellStyle name="20% - Accent5 6 4 2" xfId="8505"/>
    <cellStyle name="20% - Accent5 7" xfId="148"/>
    <cellStyle name="20% - Accent5 7 2" xfId="149"/>
    <cellStyle name="20% - Accent5 7 3" xfId="2574"/>
    <cellStyle name="20% - Accent5 7 4" xfId="8506"/>
    <cellStyle name="20% - Accent5 8" xfId="150"/>
    <cellStyle name="20% - Accent5 8 2" xfId="151"/>
    <cellStyle name="20% - Accent5 8 3" xfId="2575"/>
    <cellStyle name="20% - Accent5 9" xfId="152"/>
    <cellStyle name="20% - Accent5 9 2" xfId="153"/>
    <cellStyle name="20% - Accent5 9 3" xfId="2576"/>
    <cellStyle name="20% - Accent6 10" xfId="154"/>
    <cellStyle name="20% - Accent6 10 2" xfId="155"/>
    <cellStyle name="20% - Accent6 10 3" xfId="2577"/>
    <cellStyle name="20% - Accent6 11" xfId="156"/>
    <cellStyle name="20% - Accent6 11 2" xfId="157"/>
    <cellStyle name="20% - Accent6 11 3" xfId="2578"/>
    <cellStyle name="20% - Accent6 12" xfId="158"/>
    <cellStyle name="20% - Accent6 12 2" xfId="159"/>
    <cellStyle name="20% - Accent6 12 3" xfId="2579"/>
    <cellStyle name="20% - Accent6 13" xfId="160"/>
    <cellStyle name="20% - Accent6 13 2" xfId="161"/>
    <cellStyle name="20% - Accent6 13 3" xfId="2580"/>
    <cellStyle name="20% - Accent6 14" xfId="162"/>
    <cellStyle name="20% - Accent6 14 2" xfId="163"/>
    <cellStyle name="20% - Accent6 14 3" xfId="2581"/>
    <cellStyle name="20% - Accent6 15" xfId="164"/>
    <cellStyle name="20% - Accent6 15 2" xfId="165"/>
    <cellStyle name="20% - Accent6 15 3" xfId="2582"/>
    <cellStyle name="20% - Accent6 16" xfId="2474"/>
    <cellStyle name="20% - Accent6 16 2" xfId="8507"/>
    <cellStyle name="20% - Accent6 16 3" xfId="2473"/>
    <cellStyle name="20% - Accent6 17" xfId="2472"/>
    <cellStyle name="20% - Accent6 17 2" xfId="8508"/>
    <cellStyle name="20% - Accent6 18" xfId="2471"/>
    <cellStyle name="20% - Accent6 2" xfId="166"/>
    <cellStyle name="20% - Accent6 2 2" xfId="167"/>
    <cellStyle name="20% - Accent6 2 2 2" xfId="15131"/>
    <cellStyle name="20% - Accent6 2 3" xfId="2583"/>
    <cellStyle name="20% - Accent6 2 4" xfId="4050"/>
    <cellStyle name="20% - Accent6 2 4 2" xfId="8952"/>
    <cellStyle name="20% - Accent6 3" xfId="168"/>
    <cellStyle name="20% - Accent6 3 2" xfId="169"/>
    <cellStyle name="20% - Accent6 3 3" xfId="2584"/>
    <cellStyle name="20% - Accent6 3 4" xfId="4051"/>
    <cellStyle name="20% - Accent6 3 4 2" xfId="8509"/>
    <cellStyle name="20% - Accent6 3 5" xfId="8953"/>
    <cellStyle name="20% - Accent6 4" xfId="170"/>
    <cellStyle name="20% - Accent6 4 2" xfId="171"/>
    <cellStyle name="20% - Accent6 4 3" xfId="2585"/>
    <cellStyle name="20% - Accent6 4 4" xfId="4052"/>
    <cellStyle name="20% - Accent6 4 4 2" xfId="8510"/>
    <cellStyle name="20% - Accent6 5" xfId="172"/>
    <cellStyle name="20% - Accent6 5 2" xfId="173"/>
    <cellStyle name="20% - Accent6 5 3" xfId="2586"/>
    <cellStyle name="20% - Accent6 5 4" xfId="4053"/>
    <cellStyle name="20% - Accent6 5 4 2" xfId="2470"/>
    <cellStyle name="20% - Accent6 6" xfId="174"/>
    <cellStyle name="20% - Accent6 6 2" xfId="175"/>
    <cellStyle name="20% - Accent6 6 3" xfId="2587"/>
    <cellStyle name="20% - Accent6 6 4" xfId="4054"/>
    <cellStyle name="20% - Accent6 6 4 2" xfId="2505"/>
    <cellStyle name="20% - Accent6 7" xfId="176"/>
    <cellStyle name="20% - Accent6 7 2" xfId="177"/>
    <cellStyle name="20% - Accent6 7 3" xfId="2588"/>
    <cellStyle name="20% - Accent6 7 4" xfId="8954"/>
    <cellStyle name="20% - Accent6 8" xfId="178"/>
    <cellStyle name="20% - Accent6 8 2" xfId="179"/>
    <cellStyle name="20% - Accent6 8 3" xfId="2589"/>
    <cellStyle name="20% - Accent6 9" xfId="180"/>
    <cellStyle name="20% - Accent6 9 2" xfId="181"/>
    <cellStyle name="20% - Accent6 9 3" xfId="2590"/>
    <cellStyle name="20% - 輔色1" xfId="2469"/>
    <cellStyle name="20% - 輔色1 2" xfId="8511"/>
    <cellStyle name="20% - 輔色2" xfId="2468"/>
    <cellStyle name="20% - 輔色2 2" xfId="2467"/>
    <cellStyle name="20% - 輔色3" xfId="8512"/>
    <cellStyle name="20% - 輔色3 2" xfId="2466"/>
    <cellStyle name="20% - 輔色4" xfId="2465"/>
    <cellStyle name="20% - 輔色4 2" xfId="8513"/>
    <cellStyle name="20% - 輔色5" xfId="2464"/>
    <cellStyle name="20% - 輔色5 2" xfId="2463"/>
    <cellStyle name="20% - 輔色6" xfId="8514"/>
    <cellStyle name="20% - 輔色6 2" xfId="2462"/>
    <cellStyle name="³£¹æ_Book1" xfId="182"/>
    <cellStyle name="³¬¼¶Á´½Ó" xfId="183"/>
    <cellStyle name="³¬¼¶Á´½Ó 2" xfId="2591"/>
    <cellStyle name="³¬¼¶Á´½Ó 2 2" xfId="8515"/>
    <cellStyle name="³¬¼¶Á´½Ó 2 3" xfId="8907"/>
    <cellStyle name="³¬¼¶Á´½Ó 2_Sanwani Street_201602" xfId="2461"/>
    <cellStyle name="³¬¼¶Á´½Ó 3" xfId="2592"/>
    <cellStyle name="³¬¼¶Á´½Ó 3 2" xfId="8516"/>
    <cellStyle name="³¬¼¶Á´½Ó 3 3" xfId="2300"/>
    <cellStyle name="³¬¼¶Á´½Ó 3_Sanwani Street_201602" xfId="2460"/>
    <cellStyle name="³¬¼¶Á´½Ó 4" xfId="3096"/>
    <cellStyle name="³¬¼¶Á´½Ó 4 2" xfId="8517"/>
    <cellStyle name="³¬¼¶Á´½Ó 4 3" xfId="14856"/>
    <cellStyle name="³¬¼¶Á´½Ó 4_Sanwani Street_201602" xfId="2459"/>
    <cellStyle name="³¬¼¶Á´½Ó 5" xfId="11786"/>
    <cellStyle name="³¬¼¶Á´½Ó 6" xfId="2299"/>
    <cellStyle name="3f1?0]_assumption(tj))" xfId="184"/>
    <cellStyle name="3f1?assumption(tj)t" xfId="185"/>
    <cellStyle name="3f1?assumption(tj)t 2" xfId="2593"/>
    <cellStyle name="3f1?assumption(tj)t 2 2" xfId="8518"/>
    <cellStyle name="3f1?assumption(tj)t 3" xfId="2594"/>
    <cellStyle name="3f1?assumption(tj)t 3 2" xfId="2458"/>
    <cellStyle name="3f1?assumption(tj)t 4" xfId="3097"/>
    <cellStyle name="3f1?assumption(tj)t 4 2" xfId="8955"/>
    <cellStyle name="3f1?assumption(tj)t 5" xfId="2490"/>
    <cellStyle name="3f1?p&amp;l(tj)i" xfId="186"/>
    <cellStyle name="3f1?p&amp;l(tj)i 2" xfId="2595"/>
    <cellStyle name="3f1?p&amp;l(tj)i 2 2" xfId="2457"/>
    <cellStyle name="3f1?p&amp;l(tj)i 3" xfId="2596"/>
    <cellStyle name="3f1?p&amp;l(tj)i 3 2" xfId="8956"/>
    <cellStyle name="3f1?p&amp;l(tj)i 4" xfId="3098"/>
    <cellStyle name="3f1?p&amp;l(tj)i 4 2" xfId="2456"/>
    <cellStyle name="3f1?p&amp;l(tj)i 5" xfId="11787"/>
    <cellStyle name="3L1a_assumption(tj)" xfId="187"/>
    <cellStyle name="40% - Accent1 10" xfId="188"/>
    <cellStyle name="40% - Accent1 10 2" xfId="189"/>
    <cellStyle name="40% - Accent1 10 3" xfId="2597"/>
    <cellStyle name="40% - Accent1 11" xfId="190"/>
    <cellStyle name="40% - Accent1 11 2" xfId="191"/>
    <cellStyle name="40% - Accent1 11 3" xfId="2598"/>
    <cellStyle name="40% - Accent1 12" xfId="192"/>
    <cellStyle name="40% - Accent1 12 2" xfId="193"/>
    <cellStyle name="40% - Accent1 12 3" xfId="2599"/>
    <cellStyle name="40% - Accent1 13" xfId="194"/>
    <cellStyle name="40% - Accent1 13 2" xfId="195"/>
    <cellStyle name="40% - Accent1 13 3" xfId="2600"/>
    <cellStyle name="40% - Accent1 14" xfId="196"/>
    <cellStyle name="40% - Accent1 14 2" xfId="197"/>
    <cellStyle name="40% - Accent1 14 3" xfId="2601"/>
    <cellStyle name="40% - Accent1 15" xfId="198"/>
    <cellStyle name="40% - Accent1 15 2" xfId="199"/>
    <cellStyle name="40% - Accent1 15 3" xfId="2602"/>
    <cellStyle name="40% - Accent1 16" xfId="8519"/>
    <cellStyle name="40% - Accent1 16 2" xfId="2455"/>
    <cellStyle name="40% - Accent1 16 3" xfId="2454"/>
    <cellStyle name="40% - Accent1 17" xfId="8520"/>
    <cellStyle name="40% - Accent1 17 2" xfId="2453"/>
    <cellStyle name="40% - Accent1 18" xfId="2452"/>
    <cellStyle name="40% - Accent1 2" xfId="200"/>
    <cellStyle name="40% - Accent1 2 2" xfId="201"/>
    <cellStyle name="40% - Accent1 2 2 2" xfId="15132"/>
    <cellStyle name="40% - Accent1 2 3" xfId="2603"/>
    <cellStyle name="40% - Accent1 2 4" xfId="4055"/>
    <cellStyle name="40% - Accent1 2 4 2" xfId="2451"/>
    <cellStyle name="40% - Accent1 3" xfId="202"/>
    <cellStyle name="40% - Accent1 3 2" xfId="203"/>
    <cellStyle name="40% - Accent1 3 3" xfId="2604"/>
    <cellStyle name="40% - Accent1 3 4" xfId="4056"/>
    <cellStyle name="40% - Accent1 3 4 2" xfId="2450"/>
    <cellStyle name="40% - Accent1 3 5" xfId="8521"/>
    <cellStyle name="40% - Accent1 4" xfId="204"/>
    <cellStyle name="40% - Accent1 4 2" xfId="205"/>
    <cellStyle name="40% - Accent1 4 3" xfId="2605"/>
    <cellStyle name="40% - Accent1 4 4" xfId="4057"/>
    <cellStyle name="40% - Accent1 4 4 2" xfId="8522"/>
    <cellStyle name="40% - Accent1 5" xfId="206"/>
    <cellStyle name="40% - Accent1 5 2" xfId="207"/>
    <cellStyle name="40% - Accent1 5 3" xfId="2606"/>
    <cellStyle name="40% - Accent1 5 4" xfId="4058"/>
    <cellStyle name="40% - Accent1 5 4 2" xfId="8523"/>
    <cellStyle name="40% - Accent1 6" xfId="208"/>
    <cellStyle name="40% - Accent1 6 2" xfId="209"/>
    <cellStyle name="40% - Accent1 6 3" xfId="2607"/>
    <cellStyle name="40% - Accent1 6 4" xfId="4059"/>
    <cellStyle name="40% - Accent1 6 4 2" xfId="8524"/>
    <cellStyle name="40% - Accent1 7" xfId="210"/>
    <cellStyle name="40% - Accent1 7 2" xfId="211"/>
    <cellStyle name="40% - Accent1 7 3" xfId="2608"/>
    <cellStyle name="40% - Accent1 7 4" xfId="8525"/>
    <cellStyle name="40% - Accent1 8" xfId="212"/>
    <cellStyle name="40% - Accent1 8 2" xfId="213"/>
    <cellStyle name="40% - Accent1 8 3" xfId="2609"/>
    <cellStyle name="40% - Accent1 9" xfId="214"/>
    <cellStyle name="40% - Accent1 9 2" xfId="215"/>
    <cellStyle name="40% - Accent1 9 3" xfId="2610"/>
    <cellStyle name="40% - Accent2 10" xfId="216"/>
    <cellStyle name="40% - Accent2 10 2" xfId="217"/>
    <cellStyle name="40% - Accent2 10 3" xfId="2611"/>
    <cellStyle name="40% - Accent2 11" xfId="218"/>
    <cellStyle name="40% - Accent2 11 2" xfId="219"/>
    <cellStyle name="40% - Accent2 11 3" xfId="2612"/>
    <cellStyle name="40% - Accent2 12" xfId="220"/>
    <cellStyle name="40% - Accent2 12 2" xfId="221"/>
    <cellStyle name="40% - Accent2 12 3" xfId="2613"/>
    <cellStyle name="40% - Accent2 13" xfId="222"/>
    <cellStyle name="40% - Accent2 13 2" xfId="223"/>
    <cellStyle name="40% - Accent2 13 3" xfId="2614"/>
    <cellStyle name="40% - Accent2 14" xfId="224"/>
    <cellStyle name="40% - Accent2 14 2" xfId="225"/>
    <cellStyle name="40% - Accent2 14 3" xfId="2615"/>
    <cellStyle name="40% - Accent2 15" xfId="226"/>
    <cellStyle name="40% - Accent2 15 2" xfId="227"/>
    <cellStyle name="40% - Accent2 15 3" xfId="2616"/>
    <cellStyle name="40% - Accent2 16" xfId="2449"/>
    <cellStyle name="40% - Accent2 16 2" xfId="2448"/>
    <cellStyle name="40% - Accent2 16 3" xfId="8526"/>
    <cellStyle name="40% - Accent2 17" xfId="8957"/>
    <cellStyle name="40% - Accent2 17 2" xfId="2447"/>
    <cellStyle name="40% - Accent2 18" xfId="2446"/>
    <cellStyle name="40% - Accent2 2" xfId="228"/>
    <cellStyle name="40% - Accent2 2 2" xfId="229"/>
    <cellStyle name="40% - Accent2 2 2 2" xfId="15133"/>
    <cellStyle name="40% - Accent2 2 3" xfId="2617"/>
    <cellStyle name="40% - Accent2 2 4" xfId="4060"/>
    <cellStyle name="40% - Accent2 2 4 2" xfId="2445"/>
    <cellStyle name="40% - Accent2 3" xfId="230"/>
    <cellStyle name="40% - Accent2 3 2" xfId="231"/>
    <cellStyle name="40% - Accent2 3 3" xfId="2618"/>
    <cellStyle name="40% - Accent2 3 4" xfId="4061"/>
    <cellStyle name="40% - Accent2 3 4 2" xfId="2444"/>
    <cellStyle name="40% - Accent2 3 5" xfId="8527"/>
    <cellStyle name="40% - Accent2 4" xfId="232"/>
    <cellStyle name="40% - Accent2 4 2" xfId="233"/>
    <cellStyle name="40% - Accent2 4 3" xfId="2619"/>
    <cellStyle name="40% - Accent2 4 4" xfId="4062"/>
    <cellStyle name="40% - Accent2 4 4 2" xfId="8528"/>
    <cellStyle name="40% - Accent2 5" xfId="234"/>
    <cellStyle name="40% - Accent2 5 2" xfId="235"/>
    <cellStyle name="40% - Accent2 5 3" xfId="2620"/>
    <cellStyle name="40% - Accent2 5 4" xfId="4063"/>
    <cellStyle name="40% - Accent2 5 4 2" xfId="8529"/>
    <cellStyle name="40% - Accent2 6" xfId="236"/>
    <cellStyle name="40% - Accent2 6 2" xfId="237"/>
    <cellStyle name="40% - Accent2 6 3" xfId="2621"/>
    <cellStyle name="40% - Accent2 6 4" xfId="4064"/>
    <cellStyle name="40% - Accent2 6 4 2" xfId="8530"/>
    <cellStyle name="40% - Accent2 7" xfId="238"/>
    <cellStyle name="40% - Accent2 7 2" xfId="239"/>
    <cellStyle name="40% - Accent2 7 3" xfId="2622"/>
    <cellStyle name="40% - Accent2 7 4" xfId="8531"/>
    <cellStyle name="40% - Accent2 8" xfId="240"/>
    <cellStyle name="40% - Accent2 8 2" xfId="241"/>
    <cellStyle name="40% - Accent2 8 3" xfId="2623"/>
    <cellStyle name="40% - Accent2 9" xfId="242"/>
    <cellStyle name="40% - Accent2 9 2" xfId="243"/>
    <cellStyle name="40% - Accent2 9 3" xfId="2624"/>
    <cellStyle name="40% - Accent3 10" xfId="244"/>
    <cellStyle name="40% - Accent3 10 2" xfId="245"/>
    <cellStyle name="40% - Accent3 10 3" xfId="2625"/>
    <cellStyle name="40% - Accent3 11" xfId="246"/>
    <cellStyle name="40% - Accent3 11 2" xfId="247"/>
    <cellStyle name="40% - Accent3 11 3" xfId="2626"/>
    <cellStyle name="40% - Accent3 12" xfId="248"/>
    <cellStyle name="40% - Accent3 12 2" xfId="249"/>
    <cellStyle name="40% - Accent3 12 3" xfId="2627"/>
    <cellStyle name="40% - Accent3 13" xfId="250"/>
    <cellStyle name="40% - Accent3 13 2" xfId="251"/>
    <cellStyle name="40% - Accent3 13 3" xfId="2628"/>
    <cellStyle name="40% - Accent3 14" xfId="252"/>
    <cellStyle name="40% - Accent3 14 2" xfId="253"/>
    <cellStyle name="40% - Accent3 14 3" xfId="2629"/>
    <cellStyle name="40% - Accent3 15" xfId="254"/>
    <cellStyle name="40% - Accent3 15 2" xfId="255"/>
    <cellStyle name="40% - Accent3 15 3" xfId="2630"/>
    <cellStyle name="40% - Accent3 16" xfId="8532"/>
    <cellStyle name="40% - Accent3 16 2" xfId="8958"/>
    <cellStyle name="40% - Accent3 16 3" xfId="2443"/>
    <cellStyle name="40% - Accent3 17" xfId="2442"/>
    <cellStyle name="40% - Accent3 17 2" xfId="8533"/>
    <cellStyle name="40% - Accent3 18" xfId="8959"/>
    <cellStyle name="40% - Accent3 2" xfId="256"/>
    <cellStyle name="40% - Accent3 2 2" xfId="257"/>
    <cellStyle name="40% - Accent3 2 2 2" xfId="15134"/>
    <cellStyle name="40% - Accent3 2 3" xfId="2631"/>
    <cellStyle name="40% - Accent3 2 4" xfId="4065"/>
    <cellStyle name="40% - Accent3 2 4 2" xfId="8534"/>
    <cellStyle name="40% - Accent3 3" xfId="258"/>
    <cellStyle name="40% - Accent3 3 2" xfId="259"/>
    <cellStyle name="40% - Accent3 3 3" xfId="2632"/>
    <cellStyle name="40% - Accent3 3 4" xfId="4066"/>
    <cellStyle name="40% - Accent3 3 4 2" xfId="2441"/>
    <cellStyle name="40% - Accent3 3 5" xfId="8535"/>
    <cellStyle name="40% - Accent3 4" xfId="260"/>
    <cellStyle name="40% - Accent3 4 2" xfId="261"/>
    <cellStyle name="40% - Accent3 4 3" xfId="2633"/>
    <cellStyle name="40% - Accent3 4 4" xfId="4067"/>
    <cellStyle name="40% - Accent3 4 4 2" xfId="8536"/>
    <cellStyle name="40% - Accent3 5" xfId="262"/>
    <cellStyle name="40% - Accent3 5 2" xfId="263"/>
    <cellStyle name="40% - Accent3 5 3" xfId="2634"/>
    <cellStyle name="40% - Accent3 5 4" xfId="4068"/>
    <cellStyle name="40% - Accent3 5 4 2" xfId="8537"/>
    <cellStyle name="40% - Accent3 6" xfId="264"/>
    <cellStyle name="40% - Accent3 6 2" xfId="265"/>
    <cellStyle name="40% - Accent3 6 3" xfId="2635"/>
    <cellStyle name="40% - Accent3 6 4" xfId="4069"/>
    <cellStyle name="40% - Accent3 6 4 2" xfId="8538"/>
    <cellStyle name="40% - Accent3 7" xfId="266"/>
    <cellStyle name="40% - Accent3 7 2" xfId="267"/>
    <cellStyle name="40% - Accent3 7 3" xfId="2636"/>
    <cellStyle name="40% - Accent3 7 4" xfId="2440"/>
    <cellStyle name="40% - Accent3 8" xfId="268"/>
    <cellStyle name="40% - Accent3 8 2" xfId="269"/>
    <cellStyle name="40% - Accent3 8 3" xfId="2637"/>
    <cellStyle name="40% - Accent3 9" xfId="270"/>
    <cellStyle name="40% - Accent3 9 2" xfId="271"/>
    <cellStyle name="40% - Accent3 9 3" xfId="2638"/>
    <cellStyle name="40% - Accent4 10" xfId="272"/>
    <cellStyle name="40% - Accent4 10 2" xfId="273"/>
    <cellStyle name="40% - Accent4 10 3" xfId="2639"/>
    <cellStyle name="40% - Accent4 11" xfId="274"/>
    <cellStyle name="40% - Accent4 11 2" xfId="275"/>
    <cellStyle name="40% - Accent4 11 3" xfId="2640"/>
    <cellStyle name="40% - Accent4 12" xfId="276"/>
    <cellStyle name="40% - Accent4 12 2" xfId="277"/>
    <cellStyle name="40% - Accent4 12 3" xfId="2641"/>
    <cellStyle name="40% - Accent4 13" xfId="278"/>
    <cellStyle name="40% - Accent4 13 2" xfId="279"/>
    <cellStyle name="40% - Accent4 13 3" xfId="2642"/>
    <cellStyle name="40% - Accent4 14" xfId="280"/>
    <cellStyle name="40% - Accent4 14 2" xfId="281"/>
    <cellStyle name="40% - Accent4 14 3" xfId="2643"/>
    <cellStyle name="40% - Accent4 15" xfId="282"/>
    <cellStyle name="40% - Accent4 15 2" xfId="283"/>
    <cellStyle name="40% - Accent4 15 3" xfId="2644"/>
    <cellStyle name="40% - Accent4 16" xfId="2439"/>
    <cellStyle name="40% - Accent4 16 2" xfId="8539"/>
    <cellStyle name="40% - Accent4 16 3" xfId="2438"/>
    <cellStyle name="40% - Accent4 17" xfId="2437"/>
    <cellStyle name="40% - Accent4 17 2" xfId="8540"/>
    <cellStyle name="40% - Accent4 18" xfId="2436"/>
    <cellStyle name="40% - Accent4 2" xfId="284"/>
    <cellStyle name="40% - Accent4 2 2" xfId="285"/>
    <cellStyle name="40% - Accent4 2 2 2" xfId="15135"/>
    <cellStyle name="40% - Accent4 2 3" xfId="2645"/>
    <cellStyle name="40% - Accent4 2 4" xfId="4070"/>
    <cellStyle name="40% - Accent4 2 4 2" xfId="2435"/>
    <cellStyle name="40% - Accent4 3" xfId="286"/>
    <cellStyle name="40% - Accent4 3 2" xfId="287"/>
    <cellStyle name="40% - Accent4 3 3" xfId="2646"/>
    <cellStyle name="40% - Accent4 3 4" xfId="4071"/>
    <cellStyle name="40% - Accent4 3 4 2" xfId="2434"/>
    <cellStyle name="40% - Accent4 3 5" xfId="2433"/>
    <cellStyle name="40% - Accent4 4" xfId="288"/>
    <cellStyle name="40% - Accent4 4 2" xfId="289"/>
    <cellStyle name="40% - Accent4 4 3" xfId="2647"/>
    <cellStyle name="40% - Accent4 4 4" xfId="4072"/>
    <cellStyle name="40% - Accent4 4 4 2" xfId="2432"/>
    <cellStyle name="40% - Accent4 5" xfId="290"/>
    <cellStyle name="40% - Accent4 5 2" xfId="291"/>
    <cellStyle name="40% - Accent4 5 3" xfId="2648"/>
    <cellStyle name="40% - Accent4 5 4" xfId="4073"/>
    <cellStyle name="40% - Accent4 5 4 2" xfId="8960"/>
    <cellStyle name="40% - Accent4 6" xfId="292"/>
    <cellStyle name="40% - Accent4 6 2" xfId="293"/>
    <cellStyle name="40% - Accent4 6 3" xfId="2649"/>
    <cellStyle name="40% - Accent4 6 4" xfId="4074"/>
    <cellStyle name="40% - Accent4 6 4 2" xfId="8541"/>
    <cellStyle name="40% - Accent4 7" xfId="294"/>
    <cellStyle name="40% - Accent4 7 2" xfId="295"/>
    <cellStyle name="40% - Accent4 7 3" xfId="2650"/>
    <cellStyle name="40% - Accent4 7 4" xfId="2431"/>
    <cellStyle name="40% - Accent4 8" xfId="296"/>
    <cellStyle name="40% - Accent4 8 2" xfId="297"/>
    <cellStyle name="40% - Accent4 8 3" xfId="2651"/>
    <cellStyle name="40% - Accent4 9" xfId="298"/>
    <cellStyle name="40% - Accent4 9 2" xfId="299"/>
    <cellStyle name="40% - Accent4 9 3" xfId="2652"/>
    <cellStyle name="40% - Accent5 10" xfId="300"/>
    <cellStyle name="40% - Accent5 10 2" xfId="301"/>
    <cellStyle name="40% - Accent5 10 3" xfId="2653"/>
    <cellStyle name="40% - Accent5 11" xfId="302"/>
    <cellStyle name="40% - Accent5 11 2" xfId="303"/>
    <cellStyle name="40% - Accent5 11 3" xfId="2654"/>
    <cellStyle name="40% - Accent5 12" xfId="304"/>
    <cellStyle name="40% - Accent5 12 2" xfId="305"/>
    <cellStyle name="40% - Accent5 12 3" xfId="2655"/>
    <cellStyle name="40% - Accent5 13" xfId="306"/>
    <cellStyle name="40% - Accent5 13 2" xfId="307"/>
    <cellStyle name="40% - Accent5 13 3" xfId="2656"/>
    <cellStyle name="40% - Accent5 14" xfId="308"/>
    <cellStyle name="40% - Accent5 14 2" xfId="309"/>
    <cellStyle name="40% - Accent5 14 3" xfId="2657"/>
    <cellStyle name="40% - Accent5 15" xfId="310"/>
    <cellStyle name="40% - Accent5 15 2" xfId="311"/>
    <cellStyle name="40% - Accent5 15 3" xfId="2658"/>
    <cellStyle name="40% - Accent5 16" xfId="2430"/>
    <cellStyle name="40% - Accent5 16 2" xfId="8542"/>
    <cellStyle name="40% - Accent5 16 3" xfId="2429"/>
    <cellStyle name="40% - Accent5 17" xfId="2428"/>
    <cellStyle name="40% - Accent5 17 2" xfId="8543"/>
    <cellStyle name="40% - Accent5 18" xfId="2427"/>
    <cellStyle name="40% - Accent5 2" xfId="312"/>
    <cellStyle name="40% - Accent5 2 2" xfId="313"/>
    <cellStyle name="40% - Accent5 2 2 2" xfId="15136"/>
    <cellStyle name="40% - Accent5 2 3" xfId="2659"/>
    <cellStyle name="40% - Accent5 2 4" xfId="4075"/>
    <cellStyle name="40% - Accent5 2 4 2" xfId="2426"/>
    <cellStyle name="40% - Accent5 3" xfId="314"/>
    <cellStyle name="40% - Accent5 3 2" xfId="315"/>
    <cellStyle name="40% - Accent5 3 3" xfId="2660"/>
    <cellStyle name="40% - Accent5 3 4" xfId="4076"/>
    <cellStyle name="40% - Accent5 3 4 2" xfId="2425"/>
    <cellStyle name="40% - Accent5 3 5" xfId="2424"/>
    <cellStyle name="40% - Accent5 4" xfId="316"/>
    <cellStyle name="40% - Accent5 4 2" xfId="317"/>
    <cellStyle name="40% - Accent5 4 3" xfId="2661"/>
    <cellStyle name="40% - Accent5 4 4" xfId="4077"/>
    <cellStyle name="40% - Accent5 4 4 2" xfId="2423"/>
    <cellStyle name="40% - Accent5 5" xfId="318"/>
    <cellStyle name="40% - Accent5 5 2" xfId="319"/>
    <cellStyle name="40% - Accent5 5 3" xfId="2662"/>
    <cellStyle name="40% - Accent5 5 4" xfId="4078"/>
    <cellStyle name="40% - Accent5 5 4 2" xfId="2422"/>
    <cellStyle name="40% - Accent5 6" xfId="320"/>
    <cellStyle name="40% - Accent5 6 2" xfId="321"/>
    <cellStyle name="40% - Accent5 6 3" xfId="2663"/>
    <cellStyle name="40% - Accent5 6 4" xfId="4079"/>
    <cellStyle name="40% - Accent5 6 4 2" xfId="2421"/>
    <cellStyle name="40% - Accent5 7" xfId="322"/>
    <cellStyle name="40% - Accent5 7 2" xfId="323"/>
    <cellStyle name="40% - Accent5 7 3" xfId="2664"/>
    <cellStyle name="40% - Accent5 7 4" xfId="8961"/>
    <cellStyle name="40% - Accent5 8" xfId="324"/>
    <cellStyle name="40% - Accent5 8 2" xfId="325"/>
    <cellStyle name="40% - Accent5 8 3" xfId="2665"/>
    <cellStyle name="40% - Accent5 9" xfId="326"/>
    <cellStyle name="40% - Accent5 9 2" xfId="327"/>
    <cellStyle name="40% - Accent5 9 3" xfId="2666"/>
    <cellStyle name="40% - Accent6 10" xfId="328"/>
    <cellStyle name="40% - Accent6 10 2" xfId="329"/>
    <cellStyle name="40% - Accent6 10 3" xfId="2667"/>
    <cellStyle name="40% - Accent6 11" xfId="330"/>
    <cellStyle name="40% - Accent6 11 2" xfId="331"/>
    <cellStyle name="40% - Accent6 11 3" xfId="2668"/>
    <cellStyle name="40% - Accent6 12" xfId="332"/>
    <cellStyle name="40% - Accent6 12 2" xfId="333"/>
    <cellStyle name="40% - Accent6 12 3" xfId="2669"/>
    <cellStyle name="40% - Accent6 13" xfId="334"/>
    <cellStyle name="40% - Accent6 13 2" xfId="335"/>
    <cellStyle name="40% - Accent6 13 3" xfId="2670"/>
    <cellStyle name="40% - Accent6 14" xfId="336"/>
    <cellStyle name="40% - Accent6 14 2" xfId="337"/>
    <cellStyle name="40% - Accent6 14 3" xfId="2671"/>
    <cellStyle name="40% - Accent6 15" xfId="338"/>
    <cellStyle name="40% - Accent6 15 2" xfId="339"/>
    <cellStyle name="40% - Accent6 15 3" xfId="2672"/>
    <cellStyle name="40% - Accent6 16" xfId="2420"/>
    <cellStyle name="40% - Accent6 16 2" xfId="8544"/>
    <cellStyle name="40% - Accent6 16 3" xfId="2419"/>
    <cellStyle name="40% - Accent6 17" xfId="2418"/>
    <cellStyle name="40% - Accent6 17 2" xfId="8545"/>
    <cellStyle name="40% - Accent6 18" xfId="2417"/>
    <cellStyle name="40% - Accent6 2" xfId="340"/>
    <cellStyle name="40% - Accent6 2 2" xfId="341"/>
    <cellStyle name="40% - Accent6 2 2 2" xfId="15137"/>
    <cellStyle name="40% - Accent6 2 3" xfId="2673"/>
    <cellStyle name="40% - Accent6 2 4" xfId="4080"/>
    <cellStyle name="40% - Accent6 2 4 2" xfId="2416"/>
    <cellStyle name="40% - Accent6 3" xfId="342"/>
    <cellStyle name="40% - Accent6 3 2" xfId="343"/>
    <cellStyle name="40% - Accent6 3 3" xfId="2674"/>
    <cellStyle name="40% - Accent6 3 4" xfId="4081"/>
    <cellStyle name="40% - Accent6 3 4 2" xfId="2415"/>
    <cellStyle name="40% - Accent6 3 5" xfId="2414"/>
    <cellStyle name="40% - Accent6 4" xfId="344"/>
    <cellStyle name="40% - Accent6 4 2" xfId="345"/>
    <cellStyle name="40% - Accent6 4 3" xfId="2675"/>
    <cellStyle name="40% - Accent6 4 4" xfId="4082"/>
    <cellStyle name="40% - Accent6 4 4 2" xfId="2413"/>
    <cellStyle name="40% - Accent6 5" xfId="346"/>
    <cellStyle name="40% - Accent6 5 2" xfId="347"/>
    <cellStyle name="40% - Accent6 5 3" xfId="2676"/>
    <cellStyle name="40% - Accent6 5 4" xfId="4083"/>
    <cellStyle name="40% - Accent6 5 4 2" xfId="2412"/>
    <cellStyle name="40% - Accent6 6" xfId="348"/>
    <cellStyle name="40% - Accent6 6 2" xfId="349"/>
    <cellStyle name="40% - Accent6 6 3" xfId="2677"/>
    <cellStyle name="40% - Accent6 6 4" xfId="4084"/>
    <cellStyle name="40% - Accent6 6 4 2" xfId="2411"/>
    <cellStyle name="40% - Accent6 7" xfId="350"/>
    <cellStyle name="40% - Accent6 7 2" xfId="351"/>
    <cellStyle name="40% - Accent6 7 3" xfId="2678"/>
    <cellStyle name="40% - Accent6 7 4" xfId="2410"/>
    <cellStyle name="40% - Accent6 8" xfId="352"/>
    <cellStyle name="40% - Accent6 8 2" xfId="353"/>
    <cellStyle name="40% - Accent6 8 3" xfId="2679"/>
    <cellStyle name="40% - Accent6 9" xfId="354"/>
    <cellStyle name="40% - Accent6 9 2" xfId="355"/>
    <cellStyle name="40% - Accent6 9 3" xfId="2680"/>
    <cellStyle name="40% - 輔色1" xfId="8546"/>
    <cellStyle name="40% - 輔色1 2" xfId="8962"/>
    <cellStyle name="40% - 輔色2" xfId="2409"/>
    <cellStyle name="40% - 輔色2 2" xfId="2408"/>
    <cellStyle name="40% - 輔色3" xfId="8547"/>
    <cellStyle name="40% - 輔色3 2" xfId="8963"/>
    <cellStyle name="40% - 輔色4" xfId="2407"/>
    <cellStyle name="40% - 輔色4 2" xfId="2406"/>
    <cellStyle name="40% - 輔色5" xfId="8548"/>
    <cellStyle name="40% - 輔色5 2" xfId="8964"/>
    <cellStyle name="40% - 輔色6" xfId="2405"/>
    <cellStyle name="40% - 輔色6 2" xfId="2404"/>
    <cellStyle name="60% - Accent1 10" xfId="356"/>
    <cellStyle name="60% - Accent1 10 2" xfId="357"/>
    <cellStyle name="60% - Accent1 10 3" xfId="2681"/>
    <cellStyle name="60% - Accent1 11" xfId="358"/>
    <cellStyle name="60% - Accent1 11 2" xfId="359"/>
    <cellStyle name="60% - Accent1 11 3" xfId="2682"/>
    <cellStyle name="60% - Accent1 12" xfId="360"/>
    <cellStyle name="60% - Accent1 12 2" xfId="361"/>
    <cellStyle name="60% - Accent1 12 3" xfId="2683"/>
    <cellStyle name="60% - Accent1 13" xfId="362"/>
    <cellStyle name="60% - Accent1 13 2" xfId="363"/>
    <cellStyle name="60% - Accent1 13 3" xfId="2684"/>
    <cellStyle name="60% - Accent1 14" xfId="364"/>
    <cellStyle name="60% - Accent1 14 2" xfId="365"/>
    <cellStyle name="60% - Accent1 14 3" xfId="2685"/>
    <cellStyle name="60% - Accent1 15" xfId="366"/>
    <cellStyle name="60% - Accent1 15 2" xfId="367"/>
    <cellStyle name="60% - Accent1 15 3" xfId="2686"/>
    <cellStyle name="60% - Accent1 16" xfId="2403"/>
    <cellStyle name="60% - Accent1 16 2" xfId="8549"/>
    <cellStyle name="60% - Accent1 16 3" xfId="2402"/>
    <cellStyle name="60% - Accent1 17" xfId="2401"/>
    <cellStyle name="60% - Accent1 17 2" xfId="8550"/>
    <cellStyle name="60% - Accent1 18" xfId="2400"/>
    <cellStyle name="60% - Accent1 2" xfId="368"/>
    <cellStyle name="60% - Accent1 2 2" xfId="369"/>
    <cellStyle name="60% - Accent1 2 2 2" xfId="15138"/>
    <cellStyle name="60% - Accent1 2 3" xfId="2687"/>
    <cellStyle name="60% - Accent1 2 4" xfId="4085"/>
    <cellStyle name="60% - Accent1 2 4 2" xfId="2399"/>
    <cellStyle name="60% - Accent1 3" xfId="370"/>
    <cellStyle name="60% - Accent1 3 2" xfId="371"/>
    <cellStyle name="60% - Accent1 3 3" xfId="2688"/>
    <cellStyle name="60% - Accent1 3 4" xfId="4086"/>
    <cellStyle name="60% - Accent1 3 4 2" xfId="2398"/>
    <cellStyle name="60% - Accent1 3 5" xfId="2397"/>
    <cellStyle name="60% - Accent1 4" xfId="372"/>
    <cellStyle name="60% - Accent1 4 2" xfId="373"/>
    <cellStyle name="60% - Accent1 4 3" xfId="2689"/>
    <cellStyle name="60% - Accent1 4 4" xfId="4087"/>
    <cellStyle name="60% - Accent1 4 4 2" xfId="2396"/>
    <cellStyle name="60% - Accent1 5" xfId="374"/>
    <cellStyle name="60% - Accent1 5 2" xfId="375"/>
    <cellStyle name="60% - Accent1 5 3" xfId="2690"/>
    <cellStyle name="60% - Accent1 5 4" xfId="4088"/>
    <cellStyle name="60% - Accent1 5 4 2" xfId="2395"/>
    <cellStyle name="60% - Accent1 6" xfId="376"/>
    <cellStyle name="60% - Accent1 6 2" xfId="377"/>
    <cellStyle name="60% - Accent1 6 3" xfId="2691"/>
    <cellStyle name="60% - Accent1 6 4" xfId="4089"/>
    <cellStyle name="60% - Accent1 6 4 2" xfId="2394"/>
    <cellStyle name="60% - Accent1 7" xfId="378"/>
    <cellStyle name="60% - Accent1 7 2" xfId="379"/>
    <cellStyle name="60% - Accent1 7 3" xfId="2692"/>
    <cellStyle name="60% - Accent1 7 4" xfId="8965"/>
    <cellStyle name="60% - Accent1 8" xfId="380"/>
    <cellStyle name="60% - Accent1 8 2" xfId="381"/>
    <cellStyle name="60% - Accent1 8 3" xfId="2693"/>
    <cellStyle name="60% - Accent1 9" xfId="382"/>
    <cellStyle name="60% - Accent1 9 2" xfId="383"/>
    <cellStyle name="60% - Accent1 9 3" xfId="2694"/>
    <cellStyle name="60% - Accent2 10" xfId="384"/>
    <cellStyle name="60% - Accent2 10 2" xfId="385"/>
    <cellStyle name="60% - Accent2 10 3" xfId="2695"/>
    <cellStyle name="60% - Accent2 11" xfId="386"/>
    <cellStyle name="60% - Accent2 11 2" xfId="387"/>
    <cellStyle name="60% - Accent2 11 3" xfId="2696"/>
    <cellStyle name="60% - Accent2 12" xfId="388"/>
    <cellStyle name="60% - Accent2 12 2" xfId="389"/>
    <cellStyle name="60% - Accent2 12 3" xfId="2697"/>
    <cellStyle name="60% - Accent2 13" xfId="390"/>
    <cellStyle name="60% - Accent2 13 2" xfId="391"/>
    <cellStyle name="60% - Accent2 13 3" xfId="2698"/>
    <cellStyle name="60% - Accent2 14" xfId="392"/>
    <cellStyle name="60% - Accent2 14 2" xfId="393"/>
    <cellStyle name="60% - Accent2 14 3" xfId="2699"/>
    <cellStyle name="60% - Accent2 15" xfId="394"/>
    <cellStyle name="60% - Accent2 15 2" xfId="395"/>
    <cellStyle name="60% - Accent2 15 3" xfId="2700"/>
    <cellStyle name="60% - Accent2 16" xfId="2393"/>
    <cellStyle name="60% - Accent2 16 2" xfId="8551"/>
    <cellStyle name="60% - Accent2 16 3" xfId="2392"/>
    <cellStyle name="60% - Accent2 17" xfId="2391"/>
    <cellStyle name="60% - Accent2 17 2" xfId="8552"/>
    <cellStyle name="60% - Accent2 18" xfId="2390"/>
    <cellStyle name="60% - Accent2 2" xfId="396"/>
    <cellStyle name="60% - Accent2 2 2" xfId="397"/>
    <cellStyle name="60% - Accent2 2 2 2" xfId="15139"/>
    <cellStyle name="60% - Accent2 2 3" xfId="2701"/>
    <cellStyle name="60% - Accent2 2 4" xfId="4090"/>
    <cellStyle name="60% - Accent2 2 4 2" xfId="2389"/>
    <cellStyle name="60% - Accent2 3" xfId="398"/>
    <cellStyle name="60% - Accent2 3 2" xfId="399"/>
    <cellStyle name="60% - Accent2 3 3" xfId="2702"/>
    <cellStyle name="60% - Accent2 3 4" xfId="4091"/>
    <cellStyle name="60% - Accent2 3 4 2" xfId="2388"/>
    <cellStyle name="60% - Accent2 3 5" xfId="2387"/>
    <cellStyle name="60% - Accent2 4" xfId="400"/>
    <cellStyle name="60% - Accent2 4 2" xfId="401"/>
    <cellStyle name="60% - Accent2 4 3" xfId="2703"/>
    <cellStyle name="60% - Accent2 4 4" xfId="4092"/>
    <cellStyle name="60% - Accent2 4 4 2" xfId="2386"/>
    <cellStyle name="60% - Accent2 5" xfId="402"/>
    <cellStyle name="60% - Accent2 5 2" xfId="403"/>
    <cellStyle name="60% - Accent2 5 3" xfId="2704"/>
    <cellStyle name="60% - Accent2 5 4" xfId="4093"/>
    <cellStyle name="60% - Accent2 5 4 2" xfId="2504"/>
    <cellStyle name="60% - Accent2 6" xfId="404"/>
    <cellStyle name="60% - Accent2 6 2" xfId="405"/>
    <cellStyle name="60% - Accent2 6 3" xfId="2705"/>
    <cellStyle name="60% - Accent2 6 4" xfId="4094"/>
    <cellStyle name="60% - Accent2 6 4 2" xfId="2503"/>
    <cellStyle name="60% - Accent2 7" xfId="406"/>
    <cellStyle name="60% - Accent2 7 2" xfId="407"/>
    <cellStyle name="60% - Accent2 7 3" xfId="2706"/>
    <cellStyle name="60% - Accent2 7 4" xfId="2502"/>
    <cellStyle name="60% - Accent2 8" xfId="408"/>
    <cellStyle name="60% - Accent2 8 2" xfId="409"/>
    <cellStyle name="60% - Accent2 8 3" xfId="2707"/>
    <cellStyle name="60% - Accent2 9" xfId="410"/>
    <cellStyle name="60% - Accent2 9 2" xfId="411"/>
    <cellStyle name="60% - Accent2 9 3" xfId="2708"/>
    <cellStyle name="60% - Accent3 10" xfId="412"/>
    <cellStyle name="60% - Accent3 10 2" xfId="413"/>
    <cellStyle name="60% - Accent3 10 3" xfId="2709"/>
    <cellStyle name="60% - Accent3 11" xfId="414"/>
    <cellStyle name="60% - Accent3 11 2" xfId="415"/>
    <cellStyle name="60% - Accent3 11 3" xfId="2710"/>
    <cellStyle name="60% - Accent3 12" xfId="416"/>
    <cellStyle name="60% - Accent3 12 2" xfId="417"/>
    <cellStyle name="60% - Accent3 12 3" xfId="2711"/>
    <cellStyle name="60% - Accent3 13" xfId="418"/>
    <cellStyle name="60% - Accent3 13 2" xfId="419"/>
    <cellStyle name="60% - Accent3 13 3" xfId="2712"/>
    <cellStyle name="60% - Accent3 14" xfId="420"/>
    <cellStyle name="60% - Accent3 14 2" xfId="421"/>
    <cellStyle name="60% - Accent3 14 3" xfId="2713"/>
    <cellStyle name="60% - Accent3 15" xfId="422"/>
    <cellStyle name="60% - Accent3 15 2" xfId="423"/>
    <cellStyle name="60% - Accent3 15 3" xfId="2714"/>
    <cellStyle name="60% - Accent3 16" xfId="8553"/>
    <cellStyle name="60% - Accent3 16 2" xfId="8966"/>
    <cellStyle name="60% - Accent3 16 3" xfId="2385"/>
    <cellStyle name="60% - Accent3 17" xfId="2384"/>
    <cellStyle name="60% - Accent3 17 2" xfId="8554"/>
    <cellStyle name="60% - Accent3 18" xfId="2383"/>
    <cellStyle name="60% - Accent3 2" xfId="424"/>
    <cellStyle name="60% - Accent3 2 2" xfId="425"/>
    <cellStyle name="60% - Accent3 2 2 2" xfId="15140"/>
    <cellStyle name="60% - Accent3 2 3" xfId="2715"/>
    <cellStyle name="60% - Accent3 2 4" xfId="4095"/>
    <cellStyle name="60% - Accent3 2 4 2" xfId="2382"/>
    <cellStyle name="60% - Accent3 3" xfId="426"/>
    <cellStyle name="60% - Accent3 3 2" xfId="427"/>
    <cellStyle name="60% - Accent3 3 3" xfId="2716"/>
    <cellStyle name="60% - Accent3 3 4" xfId="4096"/>
    <cellStyle name="60% - Accent3 3 4 2" xfId="2381"/>
    <cellStyle name="60% - Accent3 3 5" xfId="2380"/>
    <cellStyle name="60% - Accent3 4" xfId="428"/>
    <cellStyle name="60% - Accent3 4 2" xfId="429"/>
    <cellStyle name="60% - Accent3 4 3" xfId="2717"/>
    <cellStyle name="60% - Accent3 4 4" xfId="4097"/>
    <cellStyle name="60% - Accent3 4 4 2" xfId="2379"/>
    <cellStyle name="60% - Accent3 5" xfId="430"/>
    <cellStyle name="60% - Accent3 5 2" xfId="431"/>
    <cellStyle name="60% - Accent3 5 3" xfId="2718"/>
    <cellStyle name="60% - Accent3 5 4" xfId="4098"/>
    <cellStyle name="60% - Accent3 5 4 2" xfId="2377"/>
    <cellStyle name="60% - Accent3 6" xfId="432"/>
    <cellStyle name="60% - Accent3 6 2" xfId="433"/>
    <cellStyle name="60% - Accent3 6 3" xfId="2719"/>
    <cellStyle name="60% - Accent3 6 4" xfId="4099"/>
    <cellStyle name="60% - Accent3 6 4 2" xfId="2376"/>
    <cellStyle name="60% - Accent3 7" xfId="434"/>
    <cellStyle name="60% - Accent3 7 2" xfId="435"/>
    <cellStyle name="60% - Accent3 7 3" xfId="2720"/>
    <cellStyle name="60% - Accent3 7 4" xfId="2375"/>
    <cellStyle name="60% - Accent3 8" xfId="436"/>
    <cellStyle name="60% - Accent3 8 2" xfId="437"/>
    <cellStyle name="60% - Accent3 8 3" xfId="2721"/>
    <cellStyle name="60% - Accent3 9" xfId="438"/>
    <cellStyle name="60% - Accent3 9 2" xfId="439"/>
    <cellStyle name="60% - Accent3 9 3" xfId="2722"/>
    <cellStyle name="60% - Accent4 10" xfId="440"/>
    <cellStyle name="60% - Accent4 10 2" xfId="441"/>
    <cellStyle name="60% - Accent4 10 3" xfId="2723"/>
    <cellStyle name="60% - Accent4 11" xfId="442"/>
    <cellStyle name="60% - Accent4 11 2" xfId="443"/>
    <cellStyle name="60% - Accent4 11 3" xfId="2724"/>
    <cellStyle name="60% - Accent4 12" xfId="444"/>
    <cellStyle name="60% - Accent4 12 2" xfId="445"/>
    <cellStyle name="60% - Accent4 12 3" xfId="2725"/>
    <cellStyle name="60% - Accent4 13" xfId="446"/>
    <cellStyle name="60% - Accent4 13 2" xfId="447"/>
    <cellStyle name="60% - Accent4 13 3" xfId="2726"/>
    <cellStyle name="60% - Accent4 14" xfId="448"/>
    <cellStyle name="60% - Accent4 14 2" xfId="449"/>
    <cellStyle name="60% - Accent4 14 3" xfId="2727"/>
    <cellStyle name="60% - Accent4 15" xfId="450"/>
    <cellStyle name="60% - Accent4 15 2" xfId="451"/>
    <cellStyle name="60% - Accent4 15 3" xfId="2728"/>
    <cellStyle name="60% - Accent4 16" xfId="2374"/>
    <cellStyle name="60% - Accent4 16 2" xfId="2373"/>
    <cellStyle name="60% - Accent4 16 3" xfId="8555"/>
    <cellStyle name="60% - Accent4 17" xfId="8967"/>
    <cellStyle name="60% - Accent4 17 2" xfId="2372"/>
    <cellStyle name="60% - Accent4 18" xfId="2371"/>
    <cellStyle name="60% - Accent4 2" xfId="452"/>
    <cellStyle name="60% - Accent4 2 2" xfId="453"/>
    <cellStyle name="60% - Accent4 2 2 2" xfId="15141"/>
    <cellStyle name="60% - Accent4 2 3" xfId="2729"/>
    <cellStyle name="60% - Accent4 2 4" xfId="4100"/>
    <cellStyle name="60% - Accent4 2 4 2" xfId="2370"/>
    <cellStyle name="60% - Accent4 3" xfId="454"/>
    <cellStyle name="60% - Accent4 3 2" xfId="455"/>
    <cellStyle name="60% - Accent4 3 3" xfId="2730"/>
    <cellStyle name="60% - Accent4 3 4" xfId="4101"/>
    <cellStyle name="60% - Accent4 3 4 2" xfId="2368"/>
    <cellStyle name="60% - Accent4 3 5" xfId="2367"/>
    <cellStyle name="60% - Accent4 4" xfId="456"/>
    <cellStyle name="60% - Accent4 4 2" xfId="457"/>
    <cellStyle name="60% - Accent4 4 3" xfId="2731"/>
    <cellStyle name="60% - Accent4 4 4" xfId="4102"/>
    <cellStyle name="60% - Accent4 4 4 2" xfId="2366"/>
    <cellStyle name="60% - Accent4 5" xfId="458"/>
    <cellStyle name="60% - Accent4 5 2" xfId="459"/>
    <cellStyle name="60% - Accent4 5 3" xfId="2732"/>
    <cellStyle name="60% - Accent4 5 4" xfId="4103"/>
    <cellStyle name="60% - Accent4 5 4 2" xfId="2365"/>
    <cellStyle name="60% - Accent4 6" xfId="460"/>
    <cellStyle name="60% - Accent4 6 2" xfId="461"/>
    <cellStyle name="60% - Accent4 6 3" xfId="2733"/>
    <cellStyle name="60% - Accent4 6 4" xfId="4104"/>
    <cellStyle name="60% - Accent4 6 4 2" xfId="2364"/>
    <cellStyle name="60% - Accent4 7" xfId="462"/>
    <cellStyle name="60% - Accent4 7 2" xfId="463"/>
    <cellStyle name="60% - Accent4 7 3" xfId="2734"/>
    <cellStyle name="60% - Accent4 7 4" xfId="2363"/>
    <cellStyle name="60% - Accent4 8" xfId="464"/>
    <cellStyle name="60% - Accent4 8 2" xfId="465"/>
    <cellStyle name="60% - Accent4 8 3" xfId="2735"/>
    <cellStyle name="60% - Accent4 9" xfId="466"/>
    <cellStyle name="60% - Accent4 9 2" xfId="467"/>
    <cellStyle name="60% - Accent4 9 3" xfId="2736"/>
    <cellStyle name="60% - Accent5 10" xfId="468"/>
    <cellStyle name="60% - Accent5 10 2" xfId="469"/>
    <cellStyle name="60% - Accent5 10 3" xfId="2737"/>
    <cellStyle name="60% - Accent5 11" xfId="470"/>
    <cellStyle name="60% - Accent5 11 2" xfId="471"/>
    <cellStyle name="60% - Accent5 11 3" xfId="2738"/>
    <cellStyle name="60% - Accent5 12" xfId="472"/>
    <cellStyle name="60% - Accent5 12 2" xfId="473"/>
    <cellStyle name="60% - Accent5 12 3" xfId="2739"/>
    <cellStyle name="60% - Accent5 13" xfId="474"/>
    <cellStyle name="60% - Accent5 13 2" xfId="475"/>
    <cellStyle name="60% - Accent5 13 3" xfId="2740"/>
    <cellStyle name="60% - Accent5 14" xfId="476"/>
    <cellStyle name="60% - Accent5 14 2" xfId="477"/>
    <cellStyle name="60% - Accent5 14 3" xfId="2741"/>
    <cellStyle name="60% - Accent5 15" xfId="478"/>
    <cellStyle name="60% - Accent5 15 2" xfId="479"/>
    <cellStyle name="60% - Accent5 15 3" xfId="2742"/>
    <cellStyle name="60% - Accent5 16" xfId="8557"/>
    <cellStyle name="60% - Accent5 16 2" xfId="8968"/>
    <cellStyle name="60% - Accent5 16 3" xfId="2362"/>
    <cellStyle name="60% - Accent5 17" xfId="2361"/>
    <cellStyle name="60% - Accent5 17 2" xfId="8558"/>
    <cellStyle name="60% - Accent5 18" xfId="8969"/>
    <cellStyle name="60% - Accent5 2" xfId="480"/>
    <cellStyle name="60% - Accent5 2 2" xfId="481"/>
    <cellStyle name="60% - Accent5 2 2 2" xfId="15142"/>
    <cellStyle name="60% - Accent5 2 3" xfId="2743"/>
    <cellStyle name="60% - Accent5 2 4" xfId="4105"/>
    <cellStyle name="60% - Accent5 2 4 2" xfId="8559"/>
    <cellStyle name="60% - Accent5 3" xfId="482"/>
    <cellStyle name="60% - Accent5 3 2" xfId="483"/>
    <cellStyle name="60% - Accent5 3 3" xfId="2744"/>
    <cellStyle name="60% - Accent5 3 4" xfId="4106"/>
    <cellStyle name="60% - Accent5 3 4 2" xfId="2360"/>
    <cellStyle name="60% - Accent5 3 5" xfId="8560"/>
    <cellStyle name="60% - Accent5 4" xfId="484"/>
    <cellStyle name="60% - Accent5 4 2" xfId="485"/>
    <cellStyle name="60% - Accent5 4 3" xfId="2745"/>
    <cellStyle name="60% - Accent5 4 4" xfId="4107"/>
    <cellStyle name="60% - Accent5 4 4 2" xfId="2359"/>
    <cellStyle name="60% - Accent5 5" xfId="486"/>
    <cellStyle name="60% - Accent5 5 2" xfId="487"/>
    <cellStyle name="60% - Accent5 5 3" xfId="2746"/>
    <cellStyle name="60% - Accent5 5 4" xfId="4108"/>
    <cellStyle name="60% - Accent5 5 4 2" xfId="2358"/>
    <cellStyle name="60% - Accent5 6" xfId="488"/>
    <cellStyle name="60% - Accent5 6 2" xfId="489"/>
    <cellStyle name="60% - Accent5 6 3" xfId="2747"/>
    <cellStyle name="60% - Accent5 6 4" xfId="4109"/>
    <cellStyle name="60% - Accent5 6 4 2" xfId="2357"/>
    <cellStyle name="60% - Accent5 7" xfId="490"/>
    <cellStyle name="60% - Accent5 7 2" xfId="491"/>
    <cellStyle name="60% - Accent5 7 3" xfId="2748"/>
    <cellStyle name="60% - Accent5 7 4" xfId="2356"/>
    <cellStyle name="60% - Accent5 8" xfId="492"/>
    <cellStyle name="60% - Accent5 8 2" xfId="493"/>
    <cellStyle name="60% - Accent5 8 3" xfId="2749"/>
    <cellStyle name="60% - Accent5 9" xfId="494"/>
    <cellStyle name="60% - Accent5 9 2" xfId="495"/>
    <cellStyle name="60% - Accent5 9 3" xfId="2750"/>
    <cellStyle name="60% - Accent6 10" xfId="496"/>
    <cellStyle name="60% - Accent6 10 2" xfId="497"/>
    <cellStyle name="60% - Accent6 10 3" xfId="2751"/>
    <cellStyle name="60% - Accent6 11" xfId="498"/>
    <cellStyle name="60% - Accent6 11 2" xfId="499"/>
    <cellStyle name="60% - Accent6 11 3" xfId="2752"/>
    <cellStyle name="60% - Accent6 12" xfId="500"/>
    <cellStyle name="60% - Accent6 12 2" xfId="501"/>
    <cellStyle name="60% - Accent6 12 3" xfId="2753"/>
    <cellStyle name="60% - Accent6 13" xfId="502"/>
    <cellStyle name="60% - Accent6 13 2" xfId="503"/>
    <cellStyle name="60% - Accent6 13 3" xfId="2754"/>
    <cellStyle name="60% - Accent6 14" xfId="504"/>
    <cellStyle name="60% - Accent6 14 2" xfId="505"/>
    <cellStyle name="60% - Accent6 14 3" xfId="2755"/>
    <cellStyle name="60% - Accent6 15" xfId="506"/>
    <cellStyle name="60% - Accent6 15 2" xfId="507"/>
    <cellStyle name="60% - Accent6 15 3" xfId="2756"/>
    <cellStyle name="60% - Accent6 16" xfId="2355"/>
    <cellStyle name="60% - Accent6 16 2" xfId="2354"/>
    <cellStyle name="60% - Accent6 16 3" xfId="8561"/>
    <cellStyle name="60% - Accent6 17" xfId="8970"/>
    <cellStyle name="60% - Accent6 17 2" xfId="2353"/>
    <cellStyle name="60% - Accent6 18" xfId="2352"/>
    <cellStyle name="60% - Accent6 2" xfId="508"/>
    <cellStyle name="60% - Accent6 2 2" xfId="509"/>
    <cellStyle name="60% - Accent6 2 2 2" xfId="15143"/>
    <cellStyle name="60% - Accent6 2 3" xfId="2757"/>
    <cellStyle name="60% - Accent6 2 4" xfId="4110"/>
    <cellStyle name="60% - Accent6 2 4 2" xfId="2351"/>
    <cellStyle name="60% - Accent6 3" xfId="510"/>
    <cellStyle name="60% - Accent6 3 2" xfId="511"/>
    <cellStyle name="60% - Accent6 3 3" xfId="2758"/>
    <cellStyle name="60% - Accent6 3 4" xfId="4111"/>
    <cellStyle name="60% - Accent6 3 4 2" xfId="8971"/>
    <cellStyle name="60% - Accent6 3 5" xfId="2350"/>
    <cellStyle name="60% - Accent6 4" xfId="512"/>
    <cellStyle name="60% - Accent6 4 2" xfId="513"/>
    <cellStyle name="60% - Accent6 4 3" xfId="2759"/>
    <cellStyle name="60% - Accent6 4 4" xfId="4112"/>
    <cellStyle name="60% - Accent6 4 4 2" xfId="8972"/>
    <cellStyle name="60% - Accent6 5" xfId="514"/>
    <cellStyle name="60% - Accent6 5 2" xfId="515"/>
    <cellStyle name="60% - Accent6 5 3" xfId="2760"/>
    <cellStyle name="60% - Accent6 5 4" xfId="4113"/>
    <cellStyle name="60% - Accent6 5 4 2" xfId="8562"/>
    <cellStyle name="60% - Accent6 6" xfId="516"/>
    <cellStyle name="60% - Accent6 6 2" xfId="517"/>
    <cellStyle name="60% - Accent6 6 3" xfId="2761"/>
    <cellStyle name="60% - Accent6 6 4" xfId="4114"/>
    <cellStyle name="60% - Accent6 6 4 2" xfId="2349"/>
    <cellStyle name="60% - Accent6 7" xfId="518"/>
    <cellStyle name="60% - Accent6 7 2" xfId="519"/>
    <cellStyle name="60% - Accent6 7 3" xfId="2762"/>
    <cellStyle name="60% - Accent6 7 4" xfId="2348"/>
    <cellStyle name="60% - Accent6 8" xfId="520"/>
    <cellStyle name="60% - Accent6 8 2" xfId="521"/>
    <cellStyle name="60% - Accent6 8 3" xfId="2763"/>
    <cellStyle name="60% - Accent6 9" xfId="522"/>
    <cellStyle name="60% - Accent6 9 2" xfId="523"/>
    <cellStyle name="60% - Accent6 9 3" xfId="2764"/>
    <cellStyle name="60% - 輔色1" xfId="2347"/>
    <cellStyle name="60% - 輔色1 2" xfId="2346"/>
    <cellStyle name="60% - 輔色2" xfId="8563"/>
    <cellStyle name="60% - 輔色2 2" xfId="2345"/>
    <cellStyle name="60% - 輔色3" xfId="2344"/>
    <cellStyle name="60% - 輔色3 2" xfId="8564"/>
    <cellStyle name="60% - 輔色4" xfId="2343"/>
    <cellStyle name="60% - 輔色4 2" xfId="2342"/>
    <cellStyle name="60% - 輔色5" xfId="8565"/>
    <cellStyle name="60% - 輔色5 2" xfId="2341"/>
    <cellStyle name="60% - 輔色6" xfId="2340"/>
    <cellStyle name="60% - 輔色6 2" xfId="8566"/>
    <cellStyle name="a1" xfId="4115"/>
    <cellStyle name="a1 2" xfId="4116"/>
    <cellStyle name="aa" xfId="4117"/>
    <cellStyle name="aa 2" xfId="4118"/>
    <cellStyle name="Accent1 10" xfId="524"/>
    <cellStyle name="Accent1 10 2" xfId="525"/>
    <cellStyle name="Accent1 10 3" xfId="2765"/>
    <cellStyle name="Accent1 11" xfId="526"/>
    <cellStyle name="Accent1 11 2" xfId="527"/>
    <cellStyle name="Accent1 11 3" xfId="2766"/>
    <cellStyle name="Accent1 12" xfId="528"/>
    <cellStyle name="Accent1 12 2" xfId="529"/>
    <cellStyle name="Accent1 12 3" xfId="2767"/>
    <cellStyle name="Accent1 13" xfId="530"/>
    <cellStyle name="Accent1 13 2" xfId="531"/>
    <cellStyle name="Accent1 13 3" xfId="2768"/>
    <cellStyle name="Accent1 14" xfId="532"/>
    <cellStyle name="Accent1 14 2" xfId="533"/>
    <cellStyle name="Accent1 14 3" xfId="2769"/>
    <cellStyle name="Accent1 15" xfId="534"/>
    <cellStyle name="Accent1 15 2" xfId="535"/>
    <cellStyle name="Accent1 15 3" xfId="2770"/>
    <cellStyle name="Accent1 16" xfId="8567"/>
    <cellStyle name="Accent1 16 2" xfId="8974"/>
    <cellStyle name="Accent1 16 3" xfId="2339"/>
    <cellStyle name="Accent1 17" xfId="2338"/>
    <cellStyle name="Accent1 17 2" xfId="8568"/>
    <cellStyle name="Accent1 18" xfId="8975"/>
    <cellStyle name="Accent1 2" xfId="536"/>
    <cellStyle name="Accent1 2 2" xfId="537"/>
    <cellStyle name="Accent1 2 2 2" xfId="15144"/>
    <cellStyle name="Accent1 2 3" xfId="2771"/>
    <cellStyle name="Accent1 2 4" xfId="4119"/>
    <cellStyle name="Accent1 2 4 2" xfId="8569"/>
    <cellStyle name="Accent1 3" xfId="538"/>
    <cellStyle name="Accent1 3 2" xfId="539"/>
    <cellStyle name="Accent1 3 3" xfId="2772"/>
    <cellStyle name="Accent1 3 4" xfId="4120"/>
    <cellStyle name="Accent1 3 4 2" xfId="2337"/>
    <cellStyle name="Accent1 3 5" xfId="8570"/>
    <cellStyle name="Accent1 4" xfId="540"/>
    <cellStyle name="Accent1 4 2" xfId="541"/>
    <cellStyle name="Accent1 4 3" xfId="2773"/>
    <cellStyle name="Accent1 4 4" xfId="4121"/>
    <cellStyle name="Accent1 4 4 2" xfId="2336"/>
    <cellStyle name="Accent1 5" xfId="542"/>
    <cellStyle name="Accent1 5 2" xfId="543"/>
    <cellStyle name="Accent1 5 3" xfId="2774"/>
    <cellStyle name="Accent1 5 4" xfId="4122"/>
    <cellStyle name="Accent1 5 4 2" xfId="2335"/>
    <cellStyle name="Accent1 6" xfId="544"/>
    <cellStyle name="Accent1 6 2" xfId="545"/>
    <cellStyle name="Accent1 6 3" xfId="2775"/>
    <cellStyle name="Accent1 6 4" xfId="4123"/>
    <cellStyle name="Accent1 6 4 2" xfId="2334"/>
    <cellStyle name="Accent1 7" xfId="546"/>
    <cellStyle name="Accent1 7 2" xfId="547"/>
    <cellStyle name="Accent1 7 3" xfId="2776"/>
    <cellStyle name="Accent1 7 4" xfId="2333"/>
    <cellStyle name="Accent1 8" xfId="548"/>
    <cellStyle name="Accent1 8 2" xfId="549"/>
    <cellStyle name="Accent1 8 3" xfId="2777"/>
    <cellStyle name="Accent1 9" xfId="550"/>
    <cellStyle name="Accent1 9 2" xfId="551"/>
    <cellStyle name="Accent1 9 3" xfId="2778"/>
    <cellStyle name="Accent2 10" xfId="552"/>
    <cellStyle name="Accent2 10 2" xfId="553"/>
    <cellStyle name="Accent2 10 3" xfId="2779"/>
    <cellStyle name="Accent2 11" xfId="554"/>
    <cellStyle name="Accent2 11 2" xfId="555"/>
    <cellStyle name="Accent2 11 3" xfId="2780"/>
    <cellStyle name="Accent2 12" xfId="556"/>
    <cellStyle name="Accent2 12 2" xfId="557"/>
    <cellStyle name="Accent2 12 3" xfId="2781"/>
    <cellStyle name="Accent2 13" xfId="558"/>
    <cellStyle name="Accent2 13 2" xfId="559"/>
    <cellStyle name="Accent2 13 3" xfId="2782"/>
    <cellStyle name="Accent2 14" xfId="560"/>
    <cellStyle name="Accent2 14 2" xfId="561"/>
    <cellStyle name="Accent2 14 3" xfId="2783"/>
    <cellStyle name="Accent2 15" xfId="562"/>
    <cellStyle name="Accent2 15 2" xfId="563"/>
    <cellStyle name="Accent2 15 3" xfId="2784"/>
    <cellStyle name="Accent2 16" xfId="2332"/>
    <cellStyle name="Accent2 16 2" xfId="2331"/>
    <cellStyle name="Accent2 16 3" xfId="8571"/>
    <cellStyle name="Accent2 17" xfId="8976"/>
    <cellStyle name="Accent2 17 2" xfId="2330"/>
    <cellStyle name="Accent2 18" xfId="2329"/>
    <cellStyle name="Accent2 2" xfId="564"/>
    <cellStyle name="Accent2 2 2" xfId="565"/>
    <cellStyle name="Accent2 2 2 2" xfId="15145"/>
    <cellStyle name="Accent2 2 3" xfId="2785"/>
    <cellStyle name="Accent2 2 4" xfId="4124"/>
    <cellStyle name="Accent2 2 4 2" xfId="2328"/>
    <cellStyle name="Accent2 3" xfId="566"/>
    <cellStyle name="Accent2 3 2" xfId="567"/>
    <cellStyle name="Accent2 3 3" xfId="2786"/>
    <cellStyle name="Accent2 3 4" xfId="4125"/>
    <cellStyle name="Accent2 3 4 2" xfId="8977"/>
    <cellStyle name="Accent2 3 5" xfId="2327"/>
    <cellStyle name="Accent2 4" xfId="568"/>
    <cellStyle name="Accent2 4 2" xfId="569"/>
    <cellStyle name="Accent2 4 3" xfId="2787"/>
    <cellStyle name="Accent2 4 4" xfId="4126"/>
    <cellStyle name="Accent2 4 4 2" xfId="8978"/>
    <cellStyle name="Accent2 5" xfId="570"/>
    <cellStyle name="Accent2 5 2" xfId="571"/>
    <cellStyle name="Accent2 5 3" xfId="2788"/>
    <cellStyle name="Accent2 5 4" xfId="4127"/>
    <cellStyle name="Accent2 5 4 2" xfId="8572"/>
    <cellStyle name="Accent2 6" xfId="572"/>
    <cellStyle name="Accent2 6 2" xfId="573"/>
    <cellStyle name="Accent2 6 3" xfId="2789"/>
    <cellStyle name="Accent2 6 4" xfId="4128"/>
    <cellStyle name="Accent2 6 4 2" xfId="2326"/>
    <cellStyle name="Accent2 7" xfId="574"/>
    <cellStyle name="Accent2 7 2" xfId="575"/>
    <cellStyle name="Accent2 7 3" xfId="2790"/>
    <cellStyle name="Accent2 7 4" xfId="2325"/>
    <cellStyle name="Accent2 8" xfId="576"/>
    <cellStyle name="Accent2 8 2" xfId="577"/>
    <cellStyle name="Accent2 8 3" xfId="2791"/>
    <cellStyle name="Accent2 9" xfId="578"/>
    <cellStyle name="Accent2 9 2" xfId="579"/>
    <cellStyle name="Accent2 9 3" xfId="2792"/>
    <cellStyle name="Accent3 10" xfId="580"/>
    <cellStyle name="Accent3 10 2" xfId="581"/>
    <cellStyle name="Accent3 10 3" xfId="2793"/>
    <cellStyle name="Accent3 11" xfId="582"/>
    <cellStyle name="Accent3 11 2" xfId="583"/>
    <cellStyle name="Accent3 11 3" xfId="2794"/>
    <cellStyle name="Accent3 12" xfId="584"/>
    <cellStyle name="Accent3 12 2" xfId="585"/>
    <cellStyle name="Accent3 12 3" xfId="2795"/>
    <cellStyle name="Accent3 13" xfId="586"/>
    <cellStyle name="Accent3 13 2" xfId="587"/>
    <cellStyle name="Accent3 13 3" xfId="2796"/>
    <cellStyle name="Accent3 14" xfId="588"/>
    <cellStyle name="Accent3 14 2" xfId="589"/>
    <cellStyle name="Accent3 14 3" xfId="2797"/>
    <cellStyle name="Accent3 15" xfId="590"/>
    <cellStyle name="Accent3 15 2" xfId="591"/>
    <cellStyle name="Accent3 15 3" xfId="2798"/>
    <cellStyle name="Accent3 16" xfId="2324"/>
    <cellStyle name="Accent3 16 2" xfId="2323"/>
    <cellStyle name="Accent3 16 3" xfId="8573"/>
    <cellStyle name="Accent3 17" xfId="2322"/>
    <cellStyle name="Accent3 17 2" xfId="2321"/>
    <cellStyle name="Accent3 18" xfId="8574"/>
    <cellStyle name="Accent3 2" xfId="592"/>
    <cellStyle name="Accent3 2 2" xfId="593"/>
    <cellStyle name="Accent3 2 2 2" xfId="15146"/>
    <cellStyle name="Accent3 2 3" xfId="2799"/>
    <cellStyle name="Accent3 2 4" xfId="4129"/>
    <cellStyle name="Accent3 2 4 2" xfId="8575"/>
    <cellStyle name="Accent3 3" xfId="594"/>
    <cellStyle name="Accent3 3 2" xfId="595"/>
    <cellStyle name="Accent3 3 3" xfId="2800"/>
    <cellStyle name="Accent3 3 4" xfId="4130"/>
    <cellStyle name="Accent3 3 4 2" xfId="2320"/>
    <cellStyle name="Accent3 3 5" xfId="8576"/>
    <cellStyle name="Accent3 4" xfId="596"/>
    <cellStyle name="Accent3 4 2" xfId="597"/>
    <cellStyle name="Accent3 4 3" xfId="2801"/>
    <cellStyle name="Accent3 4 4" xfId="4131"/>
    <cellStyle name="Accent3 4 4 2" xfId="2319"/>
    <cellStyle name="Accent3 5" xfId="598"/>
    <cellStyle name="Accent3 5 2" xfId="599"/>
    <cellStyle name="Accent3 5 3" xfId="2802"/>
    <cellStyle name="Accent3 5 4" xfId="4132"/>
    <cellStyle name="Accent3 5 4 2" xfId="2318"/>
    <cellStyle name="Accent3 6" xfId="600"/>
    <cellStyle name="Accent3 6 2" xfId="601"/>
    <cellStyle name="Accent3 6 3" xfId="2803"/>
    <cellStyle name="Accent3 6 4" xfId="4133"/>
    <cellStyle name="Accent3 6 4 2" xfId="8979"/>
    <cellStyle name="Accent3 7" xfId="602"/>
    <cellStyle name="Accent3 7 2" xfId="603"/>
    <cellStyle name="Accent3 7 3" xfId="2804"/>
    <cellStyle name="Accent3 7 4" xfId="8577"/>
    <cellStyle name="Accent3 8" xfId="604"/>
    <cellStyle name="Accent3 8 2" xfId="605"/>
    <cellStyle name="Accent3 8 3" xfId="2805"/>
    <cellStyle name="Accent3 9" xfId="606"/>
    <cellStyle name="Accent3 9 2" xfId="607"/>
    <cellStyle name="Accent3 9 3" xfId="2806"/>
    <cellStyle name="Accent4 10" xfId="608"/>
    <cellStyle name="Accent4 10 2" xfId="609"/>
    <cellStyle name="Accent4 10 3" xfId="2807"/>
    <cellStyle name="Accent4 11" xfId="610"/>
    <cellStyle name="Accent4 11 2" xfId="611"/>
    <cellStyle name="Accent4 11 3" xfId="2808"/>
    <cellStyle name="Accent4 12" xfId="612"/>
    <cellStyle name="Accent4 12 2" xfId="613"/>
    <cellStyle name="Accent4 12 3" xfId="2809"/>
    <cellStyle name="Accent4 13" xfId="614"/>
    <cellStyle name="Accent4 13 2" xfId="615"/>
    <cellStyle name="Accent4 13 3" xfId="2810"/>
    <cellStyle name="Accent4 14" xfId="616"/>
    <cellStyle name="Accent4 14 2" xfId="617"/>
    <cellStyle name="Accent4 14 3" xfId="2811"/>
    <cellStyle name="Accent4 15" xfId="618"/>
    <cellStyle name="Accent4 15 2" xfId="619"/>
    <cellStyle name="Accent4 15 3" xfId="2812"/>
    <cellStyle name="Accent4 16" xfId="2317"/>
    <cellStyle name="Accent4 16 2" xfId="2316"/>
    <cellStyle name="Accent4 16 3" xfId="8578"/>
    <cellStyle name="Accent4 17" xfId="2315"/>
    <cellStyle name="Accent4 17 2" xfId="2314"/>
    <cellStyle name="Accent4 18" xfId="8579"/>
    <cellStyle name="Accent4 2" xfId="620"/>
    <cellStyle name="Accent4 2 2" xfId="621"/>
    <cellStyle name="Accent4 2 2 2" xfId="15147"/>
    <cellStyle name="Accent4 2 3" xfId="2813"/>
    <cellStyle name="Accent4 2 4" xfId="4134"/>
    <cellStyle name="Accent4 2 4 2" xfId="8580"/>
    <cellStyle name="Accent4 3" xfId="622"/>
    <cellStyle name="Accent4 3 2" xfId="623"/>
    <cellStyle name="Accent4 3 3" xfId="2814"/>
    <cellStyle name="Accent4 3 4" xfId="4135"/>
    <cellStyle name="Accent4 3 4 2" xfId="8581"/>
    <cellStyle name="Accent4 3 5" xfId="2313"/>
    <cellStyle name="Accent4 4" xfId="624"/>
    <cellStyle name="Accent4 4 2" xfId="625"/>
    <cellStyle name="Accent4 4 3" xfId="2815"/>
    <cellStyle name="Accent4 4 4" xfId="4136"/>
    <cellStyle name="Accent4 4 4 2" xfId="8980"/>
    <cellStyle name="Accent4 5" xfId="626"/>
    <cellStyle name="Accent4 5 2" xfId="627"/>
    <cellStyle name="Accent4 5 3" xfId="2816"/>
    <cellStyle name="Accent4 5 4" xfId="4137"/>
    <cellStyle name="Accent4 5 4 2" xfId="8582"/>
    <cellStyle name="Accent4 6" xfId="628"/>
    <cellStyle name="Accent4 6 2" xfId="629"/>
    <cellStyle name="Accent4 6 3" xfId="2817"/>
    <cellStyle name="Accent4 6 4" xfId="4138"/>
    <cellStyle name="Accent4 6 4 2" xfId="2312"/>
    <cellStyle name="Accent4 7" xfId="630"/>
    <cellStyle name="Accent4 7 2" xfId="631"/>
    <cellStyle name="Accent4 7 3" xfId="2818"/>
    <cellStyle name="Accent4 7 4" xfId="2311"/>
    <cellStyle name="Accent4 8" xfId="632"/>
    <cellStyle name="Accent4 8 2" xfId="633"/>
    <cellStyle name="Accent4 8 3" xfId="2819"/>
    <cellStyle name="Accent4 9" xfId="634"/>
    <cellStyle name="Accent4 9 2" xfId="635"/>
    <cellStyle name="Accent4 9 3" xfId="2820"/>
    <cellStyle name="Accent5 10" xfId="636"/>
    <cellStyle name="Accent5 10 2" xfId="637"/>
    <cellStyle name="Accent5 10 3" xfId="2821"/>
    <cellStyle name="Accent5 11" xfId="638"/>
    <cellStyle name="Accent5 11 2" xfId="639"/>
    <cellStyle name="Accent5 11 3" xfId="2822"/>
    <cellStyle name="Accent5 12" xfId="640"/>
    <cellStyle name="Accent5 12 2" xfId="641"/>
    <cellStyle name="Accent5 12 3" xfId="2823"/>
    <cellStyle name="Accent5 13" xfId="642"/>
    <cellStyle name="Accent5 13 2" xfId="643"/>
    <cellStyle name="Accent5 13 3" xfId="2824"/>
    <cellStyle name="Accent5 14" xfId="644"/>
    <cellStyle name="Accent5 14 2" xfId="645"/>
    <cellStyle name="Accent5 14 3" xfId="2825"/>
    <cellStyle name="Accent5 15" xfId="646"/>
    <cellStyle name="Accent5 15 2" xfId="647"/>
    <cellStyle name="Accent5 15 3" xfId="2826"/>
    <cellStyle name="Accent5 16" xfId="8981"/>
    <cellStyle name="Accent5 16 2" xfId="8982"/>
    <cellStyle name="Accent5 16 3" xfId="8983"/>
    <cellStyle name="Accent5 17" xfId="8984"/>
    <cellStyle name="Accent5 17 2" xfId="2310"/>
    <cellStyle name="Accent5 18" xfId="2309"/>
    <cellStyle name="Accent5 2" xfId="648"/>
    <cellStyle name="Accent5 2 2" xfId="649"/>
    <cellStyle name="Accent5 2 2 2" xfId="15148"/>
    <cellStyle name="Accent5 2 3" xfId="2827"/>
    <cellStyle name="Accent5 2 4" xfId="4139"/>
    <cellStyle name="Accent5 2 4 2" xfId="2308"/>
    <cellStyle name="Accent5 3" xfId="650"/>
    <cellStyle name="Accent5 3 2" xfId="651"/>
    <cellStyle name="Accent5 3 3" xfId="2828"/>
    <cellStyle name="Accent5 3 4" xfId="4140"/>
    <cellStyle name="Accent5 3 4 2" xfId="2307"/>
    <cellStyle name="Accent5 3 5" xfId="8583"/>
    <cellStyle name="Accent5 4" xfId="652"/>
    <cellStyle name="Accent5 4 2" xfId="653"/>
    <cellStyle name="Accent5 4 3" xfId="2829"/>
    <cellStyle name="Accent5 4 4" xfId="4141"/>
    <cellStyle name="Accent5 4 4 2" xfId="8584"/>
    <cellStyle name="Accent5 5" xfId="654"/>
    <cellStyle name="Accent5 5 2" xfId="655"/>
    <cellStyle name="Accent5 5 3" xfId="2830"/>
    <cellStyle name="Accent5 5 4" xfId="4142"/>
    <cellStyle name="Accent5 5 4 2" xfId="8585"/>
    <cellStyle name="Accent5 6" xfId="656"/>
    <cellStyle name="Accent5 6 2" xfId="657"/>
    <cellStyle name="Accent5 6 3" xfId="2831"/>
    <cellStyle name="Accent5 6 4" xfId="4143"/>
    <cellStyle name="Accent5 6 4 2" xfId="8586"/>
    <cellStyle name="Accent5 7" xfId="658"/>
    <cellStyle name="Accent5 7 2" xfId="659"/>
    <cellStyle name="Accent5 7 3" xfId="2832"/>
    <cellStyle name="Accent5 7 4" xfId="8587"/>
    <cellStyle name="Accent5 8" xfId="660"/>
    <cellStyle name="Accent5 8 2" xfId="661"/>
    <cellStyle name="Accent5 8 3" xfId="2833"/>
    <cellStyle name="Accent5 9" xfId="662"/>
    <cellStyle name="Accent5 9 2" xfId="663"/>
    <cellStyle name="Accent5 9 3" xfId="2834"/>
    <cellStyle name="Accent6 10" xfId="664"/>
    <cellStyle name="Accent6 10 2" xfId="665"/>
    <cellStyle name="Accent6 10 3" xfId="2835"/>
    <cellStyle name="Accent6 11" xfId="666"/>
    <cellStyle name="Accent6 11 2" xfId="667"/>
    <cellStyle name="Accent6 11 3" xfId="2836"/>
    <cellStyle name="Accent6 12" xfId="668"/>
    <cellStyle name="Accent6 12 2" xfId="669"/>
    <cellStyle name="Accent6 12 3" xfId="2837"/>
    <cellStyle name="Accent6 13" xfId="670"/>
    <cellStyle name="Accent6 13 2" xfId="671"/>
    <cellStyle name="Accent6 13 3" xfId="2838"/>
    <cellStyle name="Accent6 14" xfId="672"/>
    <cellStyle name="Accent6 14 2" xfId="673"/>
    <cellStyle name="Accent6 14 3" xfId="2839"/>
    <cellStyle name="Accent6 15" xfId="674"/>
    <cellStyle name="Accent6 15 2" xfId="675"/>
    <cellStyle name="Accent6 15 3" xfId="2840"/>
    <cellStyle name="Accent6 16" xfId="8985"/>
    <cellStyle name="Accent6 16 2" xfId="2306"/>
    <cellStyle name="Accent6 16 3" xfId="2305"/>
    <cellStyle name="Accent6 17" xfId="8588"/>
    <cellStyle name="Accent6 17 2" xfId="2304"/>
    <cellStyle name="Accent6 18" xfId="2303"/>
    <cellStyle name="Accent6 2" xfId="676"/>
    <cellStyle name="Accent6 2 2" xfId="677"/>
    <cellStyle name="Accent6 2 2 2" xfId="15149"/>
    <cellStyle name="Accent6 2 3" xfId="2841"/>
    <cellStyle name="Accent6 2 4" xfId="4144"/>
    <cellStyle name="Accent6 2 4 2" xfId="2302"/>
    <cellStyle name="Accent6 3" xfId="678"/>
    <cellStyle name="Accent6 3 2" xfId="679"/>
    <cellStyle name="Accent6 3 3" xfId="2842"/>
    <cellStyle name="Accent6 3 4" xfId="4145"/>
    <cellStyle name="Accent6 3 4 2" xfId="2301"/>
    <cellStyle name="Accent6 3 5" xfId="8589"/>
    <cellStyle name="Accent6 4" xfId="680"/>
    <cellStyle name="Accent6 4 2" xfId="681"/>
    <cellStyle name="Accent6 4 3" xfId="2843"/>
    <cellStyle name="Accent6 4 4" xfId="4146"/>
    <cellStyle name="Accent6 4 4 2" xfId="8590"/>
    <cellStyle name="Accent6 5" xfId="682"/>
    <cellStyle name="Accent6 5 2" xfId="683"/>
    <cellStyle name="Accent6 5 3" xfId="2844"/>
    <cellStyle name="Accent6 5 4" xfId="4147"/>
    <cellStyle name="Accent6 5 4 2" xfId="8591"/>
    <cellStyle name="Accent6 6" xfId="684"/>
    <cellStyle name="Accent6 6 2" xfId="685"/>
    <cellStyle name="Accent6 6 3" xfId="2845"/>
    <cellStyle name="Accent6 6 4" xfId="4148"/>
    <cellStyle name="Accent6 6 4 2" xfId="8592"/>
    <cellStyle name="Accent6 7" xfId="686"/>
    <cellStyle name="Accent6 7 2" xfId="687"/>
    <cellStyle name="Accent6 7 3" xfId="2846"/>
    <cellStyle name="Accent6 7 4" xfId="8593"/>
    <cellStyle name="Accent6 8" xfId="688"/>
    <cellStyle name="Accent6 8 2" xfId="689"/>
    <cellStyle name="Accent6 8 3" xfId="2847"/>
    <cellStyle name="Accent6 9" xfId="690"/>
    <cellStyle name="Accent6 9 2" xfId="691"/>
    <cellStyle name="Accent6 9 3" xfId="2848"/>
    <cellStyle name="add" xfId="692"/>
    <cellStyle name="add 2" xfId="2298"/>
    <cellStyle name="ÁÈµú»Õ_95" xfId="693"/>
    <cellStyle name="ÀH«áªº¶W³sµ²" xfId="694"/>
    <cellStyle name="args.style" xfId="4149"/>
    <cellStyle name="Arrow" xfId="4150"/>
    <cellStyle name="b" xfId="4151"/>
    <cellStyle name="back" xfId="4152"/>
    <cellStyle name="Bad 10" xfId="695"/>
    <cellStyle name="Bad 10 2" xfId="696"/>
    <cellStyle name="Bad 10 3" xfId="2849"/>
    <cellStyle name="Bad 11" xfId="697"/>
    <cellStyle name="Bad 11 2" xfId="698"/>
    <cellStyle name="Bad 11 3" xfId="2850"/>
    <cellStyle name="Bad 12" xfId="699"/>
    <cellStyle name="Bad 12 2" xfId="700"/>
    <cellStyle name="Bad 12 3" xfId="2851"/>
    <cellStyle name="Bad 13" xfId="701"/>
    <cellStyle name="Bad 13 2" xfId="702"/>
    <cellStyle name="Bad 13 3" xfId="2852"/>
    <cellStyle name="Bad 14" xfId="703"/>
    <cellStyle name="Bad 14 2" xfId="704"/>
    <cellStyle name="Bad 14 3" xfId="2853"/>
    <cellStyle name="Bad 15" xfId="705"/>
    <cellStyle name="Bad 15 2" xfId="706"/>
    <cellStyle name="Bad 15 3" xfId="2854"/>
    <cellStyle name="Bad 16" xfId="8594"/>
    <cellStyle name="Bad 16 2" xfId="8986"/>
    <cellStyle name="Bad 16 3" xfId="2296"/>
    <cellStyle name="Bad 17" xfId="2295"/>
    <cellStyle name="Bad 17 2" xfId="8595"/>
    <cellStyle name="Bad 18" xfId="8987"/>
    <cellStyle name="Bad 2" xfId="707"/>
    <cellStyle name="Bad 2 2" xfId="708"/>
    <cellStyle name="Bad 2 2 2" xfId="15150"/>
    <cellStyle name="Bad 2 3" xfId="2855"/>
    <cellStyle name="Bad 2 4" xfId="4153"/>
    <cellStyle name="Bad 2 4 2" xfId="8596"/>
    <cellStyle name="Bad 2 5" xfId="2294"/>
    <cellStyle name="Bad 3" xfId="709"/>
    <cellStyle name="Bad 3 2" xfId="710"/>
    <cellStyle name="Bad 3 3" xfId="2856"/>
    <cellStyle name="Bad 3 4" xfId="4154"/>
    <cellStyle name="Bad 3 4 2" xfId="2293"/>
    <cellStyle name="Bad 3 5" xfId="2292"/>
    <cellStyle name="Bad 4" xfId="711"/>
    <cellStyle name="Bad 4 2" xfId="712"/>
    <cellStyle name="Bad 4 3" xfId="2857"/>
    <cellStyle name="Bad 4 4" xfId="4155"/>
    <cellStyle name="Bad 4 4 2" xfId="2291"/>
    <cellStyle name="Bad 5" xfId="713"/>
    <cellStyle name="Bad 5 2" xfId="714"/>
    <cellStyle name="Bad 5 3" xfId="2858"/>
    <cellStyle name="Bad 5 4" xfId="4156"/>
    <cellStyle name="Bad 5 4 2" xfId="2290"/>
    <cellStyle name="Bad 6" xfId="715"/>
    <cellStyle name="Bad 6 2" xfId="716"/>
    <cellStyle name="Bad 6 3" xfId="2859"/>
    <cellStyle name="Bad 6 4" xfId="4157"/>
    <cellStyle name="Bad 6 4 2" xfId="2289"/>
    <cellStyle name="Bad 7" xfId="717"/>
    <cellStyle name="Bad 7 2" xfId="718"/>
    <cellStyle name="Bad 7 3" xfId="2860"/>
    <cellStyle name="Bad 7 4" xfId="2288"/>
    <cellStyle name="Bad 8" xfId="719"/>
    <cellStyle name="Bad 8 2" xfId="720"/>
    <cellStyle name="Bad 8 3" xfId="2861"/>
    <cellStyle name="Bad 9" xfId="721"/>
    <cellStyle name="Bad 9 2" xfId="722"/>
    <cellStyle name="Bad 9 3" xfId="2862"/>
    <cellStyle name="big" xfId="4158"/>
    <cellStyle name="bl" xfId="4159"/>
    <cellStyle name="blp_datetime" xfId="15151"/>
    <cellStyle name="body" xfId="2287"/>
    <cellStyle name="bol" xfId="4160"/>
    <cellStyle name="Bol 1" xfId="4161"/>
    <cellStyle name="bol1" xfId="4162"/>
    <cellStyle name="Bold/Border" xfId="4163"/>
    <cellStyle name="Bold/Border 2" xfId="4164"/>
    <cellStyle name="Bold/Border 2 10" xfId="4165"/>
    <cellStyle name="Bold/Border 2 2" xfId="4166"/>
    <cellStyle name="Bold/Border 2 2 2" xfId="4167"/>
    <cellStyle name="Bold/Border 2 2 2 2" xfId="4168"/>
    <cellStyle name="Bold/Border 2 2 3" xfId="4169"/>
    <cellStyle name="Bold/Border 2 2 4" xfId="4170"/>
    <cellStyle name="Bold/Border 2 3" xfId="4171"/>
    <cellStyle name="Bold/Border 2 3 2" xfId="4172"/>
    <cellStyle name="Bold/Border 2 3 2 2" xfId="4173"/>
    <cellStyle name="Bold/Border 2 3 3" xfId="4174"/>
    <cellStyle name="Bold/Border 2 3 4" xfId="4175"/>
    <cellStyle name="Bold/Border 2 4" xfId="4176"/>
    <cellStyle name="Bold/Border 2 4 2" xfId="4177"/>
    <cellStyle name="Bold/Border 2 4 2 2" xfId="4178"/>
    <cellStyle name="Bold/Border 2 4 3" xfId="4179"/>
    <cellStyle name="Bold/Border 2 4 4" xfId="4180"/>
    <cellStyle name="Bold/Border 2 5" xfId="4181"/>
    <cellStyle name="Bold/Border 2 5 2" xfId="4182"/>
    <cellStyle name="Bold/Border 2 5 2 2" xfId="4183"/>
    <cellStyle name="Bold/Border 2 5 3" xfId="4184"/>
    <cellStyle name="Bold/Border 2 5 4" xfId="4185"/>
    <cellStyle name="Bold/Border 2 6" xfId="4186"/>
    <cellStyle name="Bold/Border 2 6 2" xfId="4187"/>
    <cellStyle name="Bold/Border 2 6 2 2" xfId="4188"/>
    <cellStyle name="Bold/Border 2 6 3" xfId="4189"/>
    <cellStyle name="Bold/Border 2 6 4" xfId="4190"/>
    <cellStyle name="Bold/Border 2 7" xfId="4191"/>
    <cellStyle name="Bold/Border 2 7 2" xfId="4192"/>
    <cellStyle name="Bold/Border 2 8" xfId="4193"/>
    <cellStyle name="Bold/Border 2 8 2" xfId="4194"/>
    <cellStyle name="Bold/Border 2 9" xfId="4195"/>
    <cellStyle name="Bold/Border 3" xfId="4196"/>
    <cellStyle name="Bold/Border 3 10" xfId="4197"/>
    <cellStyle name="Bold/Border 3 2" xfId="4198"/>
    <cellStyle name="Bold/Border 3 2 2" xfId="4199"/>
    <cellStyle name="Bold/Border 3 2 2 2" xfId="4200"/>
    <cellStyle name="Bold/Border 3 2 3" xfId="4201"/>
    <cellStyle name="Bold/Border 3 2 4" xfId="4202"/>
    <cellStyle name="Bold/Border 3 3" xfId="4203"/>
    <cellStyle name="Bold/Border 3 3 2" xfId="4204"/>
    <cellStyle name="Bold/Border 3 3 2 2" xfId="4205"/>
    <cellStyle name="Bold/Border 3 3 3" xfId="4206"/>
    <cellStyle name="Bold/Border 3 3 4" xfId="4207"/>
    <cellStyle name="Bold/Border 3 4" xfId="4208"/>
    <cellStyle name="Bold/Border 3 4 2" xfId="4209"/>
    <cellStyle name="Bold/Border 3 4 2 2" xfId="4210"/>
    <cellStyle name="Bold/Border 3 4 3" xfId="4211"/>
    <cellStyle name="Bold/Border 3 4 4" xfId="4212"/>
    <cellStyle name="Bold/Border 3 5" xfId="4213"/>
    <cellStyle name="Bold/Border 3 5 2" xfId="4214"/>
    <cellStyle name="Bold/Border 3 5 2 2" xfId="4215"/>
    <cellStyle name="Bold/Border 3 5 3" xfId="4216"/>
    <cellStyle name="Bold/Border 3 5 4" xfId="4217"/>
    <cellStyle name="Bold/Border 3 6" xfId="4218"/>
    <cellStyle name="Bold/Border 3 6 2" xfId="4219"/>
    <cellStyle name="Bold/Border 3 6 2 2" xfId="4220"/>
    <cellStyle name="Bold/Border 3 6 3" xfId="4221"/>
    <cellStyle name="Bold/Border 3 6 4" xfId="4222"/>
    <cellStyle name="Bold/Border 3 7" xfId="4223"/>
    <cellStyle name="Bold/Border 3 7 2" xfId="4224"/>
    <cellStyle name="Bold/Border 3 8" xfId="4225"/>
    <cellStyle name="Bold/Border 3 8 2" xfId="4226"/>
    <cellStyle name="Bold/Border 3 9" xfId="4227"/>
    <cellStyle name="Bold/Border 4" xfId="4228"/>
    <cellStyle name="Bold/Border 4 10" xfId="4229"/>
    <cellStyle name="Bold/Border 4 2" xfId="4230"/>
    <cellStyle name="Bold/Border 4 2 2" xfId="4231"/>
    <cellStyle name="Bold/Border 4 2 2 2" xfId="4232"/>
    <cellStyle name="Bold/Border 4 2 3" xfId="4233"/>
    <cellStyle name="Bold/Border 4 2 4" xfId="4234"/>
    <cellStyle name="Bold/Border 4 3" xfId="4235"/>
    <cellStyle name="Bold/Border 4 3 2" xfId="4236"/>
    <cellStyle name="Bold/Border 4 3 2 2" xfId="4237"/>
    <cellStyle name="Bold/Border 4 3 3" xfId="4238"/>
    <cellStyle name="Bold/Border 4 3 4" xfId="4239"/>
    <cellStyle name="Bold/Border 4 4" xfId="4240"/>
    <cellStyle name="Bold/Border 4 4 2" xfId="4241"/>
    <cellStyle name="Bold/Border 4 4 2 2" xfId="4242"/>
    <cellStyle name="Bold/Border 4 4 3" xfId="4243"/>
    <cellStyle name="Bold/Border 4 4 4" xfId="4244"/>
    <cellStyle name="Bold/Border 4 5" xfId="4245"/>
    <cellStyle name="Bold/Border 4 5 2" xfId="4246"/>
    <cellStyle name="Bold/Border 4 5 2 2" xfId="4247"/>
    <cellStyle name="Bold/Border 4 5 3" xfId="4248"/>
    <cellStyle name="Bold/Border 4 5 4" xfId="4249"/>
    <cellStyle name="Bold/Border 4 6" xfId="4250"/>
    <cellStyle name="Bold/Border 4 6 2" xfId="4251"/>
    <cellStyle name="Bold/Border 4 6 2 2" xfId="4252"/>
    <cellStyle name="Bold/Border 4 6 3" xfId="4253"/>
    <cellStyle name="Bold/Border 4 6 4" xfId="4254"/>
    <cellStyle name="Bold/Border 4 7" xfId="4255"/>
    <cellStyle name="Bold/Border 4 7 2" xfId="4256"/>
    <cellStyle name="Bold/Border 4 8" xfId="4257"/>
    <cellStyle name="Bold/Border 4 8 2" xfId="4258"/>
    <cellStyle name="Bold/Border 4 9" xfId="4259"/>
    <cellStyle name="Bold/Border 5" xfId="4260"/>
    <cellStyle name="Bold/Border 5 10" xfId="4261"/>
    <cellStyle name="Bold/Border 5 2" xfId="4262"/>
    <cellStyle name="Bold/Border 5 2 2" xfId="4263"/>
    <cellStyle name="Bold/Border 5 2 2 2" xfId="4264"/>
    <cellStyle name="Bold/Border 5 2 3" xfId="4265"/>
    <cellStyle name="Bold/Border 5 2 4" xfId="4266"/>
    <cellStyle name="Bold/Border 5 3" xfId="4267"/>
    <cellStyle name="Bold/Border 5 3 2" xfId="4268"/>
    <cellStyle name="Bold/Border 5 3 2 2" xfId="4269"/>
    <cellStyle name="Bold/Border 5 3 3" xfId="4270"/>
    <cellStyle name="Bold/Border 5 3 4" xfId="4271"/>
    <cellStyle name="Bold/Border 5 4" xfId="4272"/>
    <cellStyle name="Bold/Border 5 4 2" xfId="4273"/>
    <cellStyle name="Bold/Border 5 4 2 2" xfId="4274"/>
    <cellStyle name="Bold/Border 5 4 3" xfId="4275"/>
    <cellStyle name="Bold/Border 5 4 4" xfId="4276"/>
    <cellStyle name="Bold/Border 5 5" xfId="4277"/>
    <cellStyle name="Bold/Border 5 5 2" xfId="4278"/>
    <cellStyle name="Bold/Border 5 5 2 2" xfId="4279"/>
    <cellStyle name="Bold/Border 5 5 3" xfId="4280"/>
    <cellStyle name="Bold/Border 5 5 4" xfId="4281"/>
    <cellStyle name="Bold/Border 5 6" xfId="4282"/>
    <cellStyle name="Bold/Border 5 6 2" xfId="4283"/>
    <cellStyle name="Bold/Border 5 6 2 2" xfId="4284"/>
    <cellStyle name="Bold/Border 5 6 3" xfId="4285"/>
    <cellStyle name="Bold/Border 5 6 4" xfId="4286"/>
    <cellStyle name="Bold/Border 5 7" xfId="4287"/>
    <cellStyle name="Bold/Border 5 7 2" xfId="4288"/>
    <cellStyle name="Bold/Border 5 8" xfId="4289"/>
    <cellStyle name="Bold/Border 5 8 2" xfId="4290"/>
    <cellStyle name="Bold/Border 5 9" xfId="4291"/>
    <cellStyle name="Bold/Border 6" xfId="4292"/>
    <cellStyle name="Bold/Border 6 10" xfId="4293"/>
    <cellStyle name="Bold/Border 6 2" xfId="4294"/>
    <cellStyle name="Bold/Border 6 2 2" xfId="4295"/>
    <cellStyle name="Bold/Border 6 2 2 2" xfId="4296"/>
    <cellStyle name="Bold/Border 6 2 3" xfId="4297"/>
    <cellStyle name="Bold/Border 6 2 4" xfId="4298"/>
    <cellStyle name="Bold/Border 6 3" xfId="4299"/>
    <cellStyle name="Bold/Border 6 3 2" xfId="4300"/>
    <cellStyle name="Bold/Border 6 3 2 2" xfId="4301"/>
    <cellStyle name="Bold/Border 6 3 3" xfId="4302"/>
    <cellStyle name="Bold/Border 6 3 4" xfId="4303"/>
    <cellStyle name="Bold/Border 6 4" xfId="4304"/>
    <cellStyle name="Bold/Border 6 4 2" xfId="4305"/>
    <cellStyle name="Bold/Border 6 4 2 2" xfId="4306"/>
    <cellStyle name="Bold/Border 6 4 3" xfId="4307"/>
    <cellStyle name="Bold/Border 6 4 4" xfId="4308"/>
    <cellStyle name="Bold/Border 6 5" xfId="4309"/>
    <cellStyle name="Bold/Border 6 5 2" xfId="4310"/>
    <cellStyle name="Bold/Border 6 5 2 2" xfId="4311"/>
    <cellStyle name="Bold/Border 6 5 3" xfId="4312"/>
    <cellStyle name="Bold/Border 6 5 4" xfId="4313"/>
    <cellStyle name="Bold/Border 6 6" xfId="4314"/>
    <cellStyle name="Bold/Border 6 6 2" xfId="4315"/>
    <cellStyle name="Bold/Border 6 6 2 2" xfId="4316"/>
    <cellStyle name="Bold/Border 6 6 3" xfId="4317"/>
    <cellStyle name="Bold/Border 6 6 4" xfId="4318"/>
    <cellStyle name="Bold/Border 6 7" xfId="4319"/>
    <cellStyle name="Bold/Border 6 7 2" xfId="4320"/>
    <cellStyle name="Bold/Border 6 8" xfId="4321"/>
    <cellStyle name="Bold/Border 6 8 2" xfId="4322"/>
    <cellStyle name="Bold/Border 6 9" xfId="4323"/>
    <cellStyle name="Bold/Border 7" xfId="4324"/>
    <cellStyle name="Bold/Border 7 10" xfId="4325"/>
    <cellStyle name="Bold/Border 7 2" xfId="4326"/>
    <cellStyle name="Bold/Border 7 2 2" xfId="4327"/>
    <cellStyle name="Bold/Border 7 2 2 2" xfId="4328"/>
    <cellStyle name="Bold/Border 7 2 3" xfId="4329"/>
    <cellStyle name="Bold/Border 7 2 4" xfId="4330"/>
    <cellStyle name="Bold/Border 7 3" xfId="4331"/>
    <cellStyle name="Bold/Border 7 3 2" xfId="4332"/>
    <cellStyle name="Bold/Border 7 3 2 2" xfId="4333"/>
    <cellStyle name="Bold/Border 7 3 3" xfId="4334"/>
    <cellStyle name="Bold/Border 7 3 4" xfId="4335"/>
    <cellStyle name="Bold/Border 7 4" xfId="4336"/>
    <cellStyle name="Bold/Border 7 4 2" xfId="4337"/>
    <cellStyle name="Bold/Border 7 4 2 2" xfId="4338"/>
    <cellStyle name="Bold/Border 7 4 3" xfId="4339"/>
    <cellStyle name="Bold/Border 7 4 4" xfId="4340"/>
    <cellStyle name="Bold/Border 7 5" xfId="4341"/>
    <cellStyle name="Bold/Border 7 5 2" xfId="4342"/>
    <cellStyle name="Bold/Border 7 5 2 2" xfId="4343"/>
    <cellStyle name="Bold/Border 7 5 3" xfId="4344"/>
    <cellStyle name="Bold/Border 7 5 4" xfId="4345"/>
    <cellStyle name="Bold/Border 7 6" xfId="4346"/>
    <cellStyle name="Bold/Border 7 6 2" xfId="4347"/>
    <cellStyle name="Bold/Border 7 6 2 2" xfId="4348"/>
    <cellStyle name="Bold/Border 7 6 3" xfId="4349"/>
    <cellStyle name="Bold/Border 7 6 4" xfId="4350"/>
    <cellStyle name="Bold/Border 7 7" xfId="4351"/>
    <cellStyle name="Bold/Border 7 7 2" xfId="4352"/>
    <cellStyle name="Bold/Border 7 8" xfId="4353"/>
    <cellStyle name="Bold/Border 7 8 2" xfId="4354"/>
    <cellStyle name="Bold/Border 7 9" xfId="4355"/>
    <cellStyle name="Bold/Border 8" xfId="4356"/>
    <cellStyle name="Bold/Border 8 2" xfId="4357"/>
    <cellStyle name="Bold/Border 8 2 2" xfId="4358"/>
    <cellStyle name="Bold/Border 8 3" xfId="4359"/>
    <cellStyle name="Bold/Border 8 4" xfId="4360"/>
    <cellStyle name="Brand Default" xfId="4361"/>
    <cellStyle name="Brand Default 3" xfId="4362"/>
    <cellStyle name="Brand Subtitle with Underline" xfId="4363"/>
    <cellStyle name="Brand Subtitle with Underline 10" xfId="4364"/>
    <cellStyle name="Brand Subtitle with Underline 2" xfId="4365"/>
    <cellStyle name="Brand Subtitle with Underline 2 2" xfId="4366"/>
    <cellStyle name="Brand Subtitle with Underline 2 2 2" xfId="4367"/>
    <cellStyle name="Brand Subtitle with Underline 2 2 2 2" xfId="4368"/>
    <cellStyle name="Brand Subtitle with Underline 2 2 3" xfId="4369"/>
    <cellStyle name="Brand Subtitle with Underline 2 2 4" xfId="4370"/>
    <cellStyle name="Brand Subtitle with Underline 2 3" xfId="4371"/>
    <cellStyle name="Brand Subtitle with Underline 2 3 2" xfId="4372"/>
    <cellStyle name="Brand Subtitle with Underline 2 3 2 2" xfId="4373"/>
    <cellStyle name="Brand Subtitle with Underline 2 3 3" xfId="4374"/>
    <cellStyle name="Brand Subtitle with Underline 2 3 4" xfId="4375"/>
    <cellStyle name="Brand Subtitle with Underline 2 4" xfId="4376"/>
    <cellStyle name="Brand Subtitle with Underline 2 4 2" xfId="4377"/>
    <cellStyle name="Brand Subtitle with Underline 2 4 2 2" xfId="4378"/>
    <cellStyle name="Brand Subtitle with Underline 2 4 3" xfId="4379"/>
    <cellStyle name="Brand Subtitle with Underline 2 4 4" xfId="4380"/>
    <cellStyle name="Brand Subtitle with Underline 2 5" xfId="4381"/>
    <cellStyle name="Brand Subtitle with Underline 2 5 2" xfId="4382"/>
    <cellStyle name="Brand Subtitle with Underline 2 5 2 2" xfId="4383"/>
    <cellStyle name="Brand Subtitle with Underline 2 5 3" xfId="4384"/>
    <cellStyle name="Brand Subtitle with Underline 2 5 4" xfId="4385"/>
    <cellStyle name="Brand Subtitle with Underline 2 6" xfId="4386"/>
    <cellStyle name="Brand Subtitle with Underline 2 6 2" xfId="4387"/>
    <cellStyle name="Brand Subtitle with Underline 2 6 2 2" xfId="4388"/>
    <cellStyle name="Brand Subtitle with Underline 2 6 3" xfId="4389"/>
    <cellStyle name="Brand Subtitle with Underline 2 6 4" xfId="4390"/>
    <cellStyle name="Brand Subtitle with Underline 2 7" xfId="4391"/>
    <cellStyle name="Brand Subtitle with Underline 2 7 2" xfId="4392"/>
    <cellStyle name="Brand Subtitle with Underline 2 8" xfId="4393"/>
    <cellStyle name="Brand Subtitle with Underline 2 9" xfId="4394"/>
    <cellStyle name="Brand Subtitle with Underline 3" xfId="4395"/>
    <cellStyle name="Brand Subtitle with Underline 3 2" xfId="4396"/>
    <cellStyle name="Brand Subtitle with Underline 3 2 2" xfId="4397"/>
    <cellStyle name="Brand Subtitle with Underline 3 3" xfId="4398"/>
    <cellStyle name="Brand Subtitle with Underline 3 4" xfId="4399"/>
    <cellStyle name="Brand Subtitle with Underline 4" xfId="4400"/>
    <cellStyle name="Brand Subtitle with Underline 4 2" xfId="4401"/>
    <cellStyle name="Brand Subtitle with Underline 4 2 2" xfId="4402"/>
    <cellStyle name="Brand Subtitle with Underline 4 3" xfId="4403"/>
    <cellStyle name="Brand Subtitle with Underline 4 4" xfId="4404"/>
    <cellStyle name="Brand Subtitle with Underline 5" xfId="4405"/>
    <cellStyle name="Brand Subtitle with Underline 5 2" xfId="4406"/>
    <cellStyle name="Brand Subtitle with Underline 5 2 2" xfId="4407"/>
    <cellStyle name="Brand Subtitle with Underline 5 3" xfId="4408"/>
    <cellStyle name="Brand Subtitle with Underline 5 4" xfId="4409"/>
    <cellStyle name="Brand Subtitle with Underline 6" xfId="4410"/>
    <cellStyle name="Brand Subtitle with Underline 6 2" xfId="4411"/>
    <cellStyle name="Brand Subtitle with Underline 6 2 2" xfId="4412"/>
    <cellStyle name="Brand Subtitle with Underline 6 3" xfId="4413"/>
    <cellStyle name="Brand Subtitle with Underline 6 4" xfId="4414"/>
    <cellStyle name="Brand Subtitle with Underline 7" xfId="4415"/>
    <cellStyle name="Brand Subtitle with Underline 7 2" xfId="4416"/>
    <cellStyle name="Brand Subtitle with Underline 7 2 2" xfId="4417"/>
    <cellStyle name="Brand Subtitle with Underline 7 3" xfId="4418"/>
    <cellStyle name="Brand Subtitle with Underline 7 4" xfId="4419"/>
    <cellStyle name="Brand Subtitle with Underline 8" xfId="4420"/>
    <cellStyle name="Brand Subtitle with Underline 8 2" xfId="4421"/>
    <cellStyle name="Brand Subtitle with Underline 9" xfId="4422"/>
    <cellStyle name="Brand Subtitle without Underline" xfId="4423"/>
    <cellStyle name="Brand Title" xfId="4424"/>
    <cellStyle name="Bullet" xfId="4425"/>
    <cellStyle name="c" xfId="4426"/>
    <cellStyle name="c 2" xfId="4427"/>
    <cellStyle name="Ç§·ÖÎ»[0]_06" xfId="723"/>
    <cellStyle name="Ç§·ÖÎ»_06" xfId="724"/>
    <cellStyle name="ca" xfId="4428"/>
    <cellStyle name="Calculation 10" xfId="725"/>
    <cellStyle name="Calculation 10 2" xfId="726"/>
    <cellStyle name="Calculation 10 2 2" xfId="8597"/>
    <cellStyle name="Calculation 10 3" xfId="2863"/>
    <cellStyle name="Calculation 10 3 2" xfId="2285"/>
    <cellStyle name="Calculation 10 4" xfId="8598"/>
    <cellStyle name="Calculation 11" xfId="727"/>
    <cellStyle name="Calculation 11 2" xfId="728"/>
    <cellStyle name="Calculation 11 2 2" xfId="2284"/>
    <cellStyle name="Calculation 11 3" xfId="2864"/>
    <cellStyle name="Calculation 11 3 2" xfId="8599"/>
    <cellStyle name="Calculation 11 4" xfId="8988"/>
    <cellStyle name="Calculation 12" xfId="729"/>
    <cellStyle name="Calculation 12 2" xfId="730"/>
    <cellStyle name="Calculation 12 2 2" xfId="2283"/>
    <cellStyle name="Calculation 12 3" xfId="2865"/>
    <cellStyle name="Calculation 12 3 2" xfId="8989"/>
    <cellStyle name="Calculation 12 4" xfId="2282"/>
    <cellStyle name="Calculation 13" xfId="731"/>
    <cellStyle name="Calculation 13 2" xfId="732"/>
    <cellStyle name="Calculation 13 2 2" xfId="8600"/>
    <cellStyle name="Calculation 13 3" xfId="2866"/>
    <cellStyle name="Calculation 13 3 2" xfId="2281"/>
    <cellStyle name="Calculation 13 4" xfId="2280"/>
    <cellStyle name="Calculation 14" xfId="733"/>
    <cellStyle name="Calculation 14 2" xfId="734"/>
    <cellStyle name="Calculation 14 2 2" xfId="8990"/>
    <cellStyle name="Calculation 14 3" xfId="2867"/>
    <cellStyle name="Calculation 14 3 2" xfId="2279"/>
    <cellStyle name="Calculation 14 4" xfId="8601"/>
    <cellStyle name="Calculation 15" xfId="735"/>
    <cellStyle name="Calculation 15 2" xfId="736"/>
    <cellStyle name="Calculation 15 2 2" xfId="2278"/>
    <cellStyle name="Calculation 15 3" xfId="2868"/>
    <cellStyle name="Calculation 15 3 2" xfId="2277"/>
    <cellStyle name="Calculation 15 4" xfId="2276"/>
    <cellStyle name="Calculation 16" xfId="8602"/>
    <cellStyle name="Calculation 16 2" xfId="2275"/>
    <cellStyle name="Calculation 16 3" xfId="2274"/>
    <cellStyle name="Calculation 17" xfId="8603"/>
    <cellStyle name="Calculation 17 2" xfId="2273"/>
    <cellStyle name="Calculation 18" xfId="2272"/>
    <cellStyle name="Calculation 18 2" xfId="8604"/>
    <cellStyle name="Calculation 19" xfId="2271"/>
    <cellStyle name="Calculation 2" xfId="737"/>
    <cellStyle name="Calculation 2 2" xfId="738"/>
    <cellStyle name="Calculation 2 2 2" xfId="8605"/>
    <cellStyle name="Calculation 2 2 3" xfId="15152"/>
    <cellStyle name="Calculation 2 3" xfId="2869"/>
    <cellStyle name="Calculation 2 3 2" xfId="2270"/>
    <cellStyle name="Calculation 2 4" xfId="4429"/>
    <cellStyle name="Calculation 2 4 2" xfId="2269"/>
    <cellStyle name="Calculation 2 4 3" xfId="8606"/>
    <cellStyle name="Calculation 2 5" xfId="2268"/>
    <cellStyle name="Calculation 2 6" xfId="8607"/>
    <cellStyle name="Calculation 3" xfId="739"/>
    <cellStyle name="Calculation 3 2" xfId="740"/>
    <cellStyle name="Calculation 3 2 2" xfId="2267"/>
    <cellStyle name="Calculation 3 3" xfId="2870"/>
    <cellStyle name="Calculation 3 3 2" xfId="2266"/>
    <cellStyle name="Calculation 3 4" xfId="4430"/>
    <cellStyle name="Calculation 3 4 2" xfId="8608"/>
    <cellStyle name="Calculation 3 4 3" xfId="2265"/>
    <cellStyle name="Calculation 3 5" xfId="8991"/>
    <cellStyle name="Calculation 3 6" xfId="2264"/>
    <cellStyle name="Calculation 4" xfId="741"/>
    <cellStyle name="Calculation 4 2" xfId="742"/>
    <cellStyle name="Calculation 4 2 2" xfId="8609"/>
    <cellStyle name="Calculation 4 3" xfId="2871"/>
    <cellStyle name="Calculation 4 3 2" xfId="2263"/>
    <cellStyle name="Calculation 4 4" xfId="4431"/>
    <cellStyle name="Calculation 4 4 2" xfId="8610"/>
    <cellStyle name="Calculation 4 4 3" xfId="2262"/>
    <cellStyle name="Calculation 4 5" xfId="8992"/>
    <cellStyle name="Calculation 5" xfId="743"/>
    <cellStyle name="Calculation 5 2" xfId="744"/>
    <cellStyle name="Calculation 5 2 2" xfId="2261"/>
    <cellStyle name="Calculation 5 3" xfId="2872"/>
    <cellStyle name="Calculation 5 3 2" xfId="8993"/>
    <cellStyle name="Calculation 5 4" xfId="4432"/>
    <cellStyle name="Calculation 5 4 2" xfId="2259"/>
    <cellStyle name="Calculation 5 4 3" xfId="2260"/>
    <cellStyle name="Calculation 5 5" xfId="8611"/>
    <cellStyle name="Calculation 6" xfId="745"/>
    <cellStyle name="Calculation 6 2" xfId="746"/>
    <cellStyle name="Calculation 6 2 2" xfId="2258"/>
    <cellStyle name="Calculation 6 3" xfId="2873"/>
    <cellStyle name="Calculation 6 3 2" xfId="8612"/>
    <cellStyle name="Calculation 6 4" xfId="4433"/>
    <cellStyle name="Calculation 6 4 2" xfId="2256"/>
    <cellStyle name="Calculation 6 4 3" xfId="2257"/>
    <cellStyle name="Calculation 6 5" xfId="8613"/>
    <cellStyle name="Calculation 7" xfId="747"/>
    <cellStyle name="Calculation 7 2" xfId="748"/>
    <cellStyle name="Calculation 7 2 2" xfId="2255"/>
    <cellStyle name="Calculation 7 3" xfId="2874"/>
    <cellStyle name="Calculation 7 3 2" xfId="2254"/>
    <cellStyle name="Calculation 7 4" xfId="2501"/>
    <cellStyle name="Calculation 7 4 2" xfId="8614"/>
    <cellStyle name="Calculation 7 5" xfId="2500"/>
    <cellStyle name="Calculation 8" xfId="749"/>
    <cellStyle name="Calculation 8 2" xfId="750"/>
    <cellStyle name="Calculation 8 2 2" xfId="8615"/>
    <cellStyle name="Calculation 8 3" xfId="2875"/>
    <cellStyle name="Calculation 8 3 2" xfId="2253"/>
    <cellStyle name="Calculation 8 4" xfId="8616"/>
    <cellStyle name="Calculation 9" xfId="751"/>
    <cellStyle name="Calculation 9 2" xfId="752"/>
    <cellStyle name="Calculation 9 2 2" xfId="2252"/>
    <cellStyle name="Calculation 9 3" xfId="2876"/>
    <cellStyle name="Calculation 9 3 2" xfId="2499"/>
    <cellStyle name="Calculation 9 4" xfId="2498"/>
    <cellStyle name="ChartingText" xfId="4434"/>
    <cellStyle name="Check Cell 10" xfId="753"/>
    <cellStyle name="Check Cell 10 2" xfId="754"/>
    <cellStyle name="Check Cell 10 3" xfId="2877"/>
    <cellStyle name="Check Cell 11" xfId="755"/>
    <cellStyle name="Check Cell 11 2" xfId="756"/>
    <cellStyle name="Check Cell 11 3" xfId="2878"/>
    <cellStyle name="Check Cell 12" xfId="757"/>
    <cellStyle name="Check Cell 12 2" xfId="758"/>
    <cellStyle name="Check Cell 12 3" xfId="2879"/>
    <cellStyle name="Check Cell 13" xfId="759"/>
    <cellStyle name="Check Cell 13 2" xfId="760"/>
    <cellStyle name="Check Cell 13 3" xfId="2880"/>
    <cellStyle name="Check Cell 14" xfId="761"/>
    <cellStyle name="Check Cell 14 2" xfId="762"/>
    <cellStyle name="Check Cell 14 3" xfId="2881"/>
    <cellStyle name="Check Cell 15" xfId="763"/>
    <cellStyle name="Check Cell 15 2" xfId="764"/>
    <cellStyle name="Check Cell 15 3" xfId="2882"/>
    <cellStyle name="Check Cell 16" xfId="2497"/>
    <cellStyle name="Check Cell 16 2" xfId="2251"/>
    <cellStyle name="Check Cell 16 3" xfId="8619"/>
    <cellStyle name="Check Cell 17" xfId="8994"/>
    <cellStyle name="Check Cell 17 2" xfId="2494"/>
    <cellStyle name="Check Cell 18" xfId="2496"/>
    <cellStyle name="Check Cell 2" xfId="765"/>
    <cellStyle name="Check Cell 2 2" xfId="766"/>
    <cellStyle name="Check Cell 2 2 2" xfId="15153"/>
    <cellStyle name="Check Cell 2 3" xfId="2883"/>
    <cellStyle name="Check Cell 2 4" xfId="4435"/>
    <cellStyle name="Check Cell 2 4 2" xfId="2495"/>
    <cellStyle name="Check Cell 2 5" xfId="2250"/>
    <cellStyle name="Check Cell 3" xfId="767"/>
    <cellStyle name="Check Cell 3 2" xfId="768"/>
    <cellStyle name="Check Cell 3 3" xfId="2884"/>
    <cellStyle name="Check Cell 3 4" xfId="4436"/>
    <cellStyle name="Check Cell 3 4 2" xfId="2249"/>
    <cellStyle name="Check Cell 3 5" xfId="2248"/>
    <cellStyle name="Check Cell 4" xfId="769"/>
    <cellStyle name="Check Cell 4 2" xfId="770"/>
    <cellStyle name="Check Cell 4 3" xfId="2885"/>
    <cellStyle name="Check Cell 4 4" xfId="4437"/>
    <cellStyle name="Check Cell 4 4 2" xfId="2247"/>
    <cellStyle name="Check Cell 5" xfId="771"/>
    <cellStyle name="Check Cell 5 2" xfId="772"/>
    <cellStyle name="Check Cell 5 3" xfId="2886"/>
    <cellStyle name="Check Cell 5 4" xfId="4438"/>
    <cellStyle name="Check Cell 5 4 2" xfId="2246"/>
    <cellStyle name="Check Cell 6" xfId="773"/>
    <cellStyle name="Check Cell 6 2" xfId="774"/>
    <cellStyle name="Check Cell 6 3" xfId="2887"/>
    <cellStyle name="Check Cell 6 4" xfId="4439"/>
    <cellStyle name="Check Cell 6 4 2" xfId="2245"/>
    <cellStyle name="Check Cell 7" xfId="775"/>
    <cellStyle name="Check Cell 7 2" xfId="776"/>
    <cellStyle name="Check Cell 7 3" xfId="2888"/>
    <cellStyle name="Check Cell 7 4" xfId="2244"/>
    <cellStyle name="Check Cell 8" xfId="777"/>
    <cellStyle name="Check Cell 8 2" xfId="778"/>
    <cellStyle name="Check Cell 8 3" xfId="2889"/>
    <cellStyle name="Check Cell 9" xfId="779"/>
    <cellStyle name="Check Cell 9 2" xfId="780"/>
    <cellStyle name="Check Cell 9 3" xfId="2890"/>
    <cellStyle name="CHPAboveAverage" xfId="4440"/>
    <cellStyle name="CHPBelowAverage" xfId="4441"/>
    <cellStyle name="CHPBottom" xfId="4442"/>
    <cellStyle name="CHPTop" xfId="4443"/>
    <cellStyle name="ColumnHeaderNormal" xfId="4444"/>
    <cellStyle name="Comma" xfId="1466" builtinId="3"/>
    <cellStyle name="Comma  - Style1" xfId="4445"/>
    <cellStyle name="Comma  - Style2" xfId="4446"/>
    <cellStyle name="Comma  - Style3" xfId="4447"/>
    <cellStyle name="Comma  - Style4" xfId="4448"/>
    <cellStyle name="Comma  - Style5" xfId="4449"/>
    <cellStyle name="Comma  - Style6" xfId="4450"/>
    <cellStyle name="Comma  - Style7" xfId="4451"/>
    <cellStyle name="Comma  - Style8" xfId="4452"/>
    <cellStyle name="Comma [0] 11" xfId="4453"/>
    <cellStyle name="Comma [0] 11 2" xfId="4454"/>
    <cellStyle name="Comma [0] 13" xfId="4455"/>
    <cellStyle name="Comma [0] 13 2" xfId="4456"/>
    <cellStyle name="Comma [0] 13 2 2" xfId="4457"/>
    <cellStyle name="Comma [0] 13 3" xfId="4458"/>
    <cellStyle name="Comma [0] 13 3 2" xfId="4459"/>
    <cellStyle name="Comma [0] 13 4" xfId="4460"/>
    <cellStyle name="Comma [0] 13 4 2" xfId="4461"/>
    <cellStyle name="Comma [0] 13 5" xfId="4462"/>
    <cellStyle name="Comma [0] 13 5 2" xfId="4463"/>
    <cellStyle name="Comma [0] 13 6" xfId="4464"/>
    <cellStyle name="Comma [0] 13 6 2" xfId="4465"/>
    <cellStyle name="Comma [0] 14" xfId="4466"/>
    <cellStyle name="Comma [0] 2" xfId="4467"/>
    <cellStyle name="Comma [0] 2 2" xfId="4468"/>
    <cellStyle name="Comma [0] 2 2 2" xfId="4469"/>
    <cellStyle name="Comma [0] 2 2 2 2" xfId="8620"/>
    <cellStyle name="Comma [0] 2 2 3" xfId="4470"/>
    <cellStyle name="Comma [0] 2 2 3 2" xfId="2241"/>
    <cellStyle name="Comma [0] 2 2 4" xfId="2242"/>
    <cellStyle name="Comma [0] 2 3" xfId="4471"/>
    <cellStyle name="Comma [0] 2 3 2" xfId="2240"/>
    <cellStyle name="Comma [0] 2 4" xfId="4472"/>
    <cellStyle name="Comma [0] 2 5" xfId="4473"/>
    <cellStyle name="Comma [0] 2 6" xfId="2243"/>
    <cellStyle name="Comma [0] 2_Financials Consolidated Dec'14 to SH" xfId="8621"/>
    <cellStyle name="Comma [0] 3" xfId="4474"/>
    <cellStyle name="Comma [0] 3 2" xfId="4475"/>
    <cellStyle name="Comma [0] 3 2 2" xfId="4476"/>
    <cellStyle name="Comma [0] 3 3" xfId="4477"/>
    <cellStyle name="Comma [0] 3 4" xfId="4478"/>
    <cellStyle name="Comma [0] 3 4 2" xfId="14879"/>
    <cellStyle name="Comma [0] 4" xfId="4479"/>
    <cellStyle name="Comma [0] 4 2" xfId="4480"/>
    <cellStyle name="Comma [0] 5" xfId="4481"/>
    <cellStyle name="Comma [0] 6" xfId="4482"/>
    <cellStyle name="Comma [0] 6 2" xfId="4483"/>
    <cellStyle name="Comma [0] 7" xfId="4484"/>
    <cellStyle name="Comma [0] 7 2" xfId="4485"/>
    <cellStyle name="Comma 10" xfId="4486"/>
    <cellStyle name="Comma 10 2" xfId="4487"/>
    <cellStyle name="Comma 10 3" xfId="4488"/>
    <cellStyle name="Comma 10 3 2" xfId="8622"/>
    <cellStyle name="Comma 10 4" xfId="4489"/>
    <cellStyle name="Comma 10 4 2" xfId="2239"/>
    <cellStyle name="Comma 10 5" xfId="4490"/>
    <cellStyle name="Comma 100" xfId="2238"/>
    <cellStyle name="Comma 101" xfId="8623"/>
    <cellStyle name="Comma 102" xfId="8995"/>
    <cellStyle name="Comma 103" xfId="2237"/>
    <cellStyle name="Comma 104" xfId="2236"/>
    <cellStyle name="Comma 105" xfId="8624"/>
    <cellStyle name="Comma 106" xfId="8996"/>
    <cellStyle name="Comma 107" xfId="2235"/>
    <cellStyle name="Comma 108" xfId="2234"/>
    <cellStyle name="Comma 109" xfId="8625"/>
    <cellStyle name="Comma 11" xfId="4491"/>
    <cellStyle name="Comma 11 2" xfId="4492"/>
    <cellStyle name="Comma 11 2 2" xfId="4493"/>
    <cellStyle name="Comma 11 2 2 2" xfId="14882"/>
    <cellStyle name="Comma 11 2 3" xfId="4494"/>
    <cellStyle name="Comma 11 2 4" xfId="14881"/>
    <cellStyle name="Comma 11 3" xfId="14880"/>
    <cellStyle name="Comma 110" xfId="2233"/>
    <cellStyle name="Comma 111" xfId="8626"/>
    <cellStyle name="Comma 112" xfId="8997"/>
    <cellStyle name="Comma 113" xfId="2232"/>
    <cellStyle name="Comma 114" xfId="2231"/>
    <cellStyle name="Comma 115" xfId="8627"/>
    <cellStyle name="Comma 116" xfId="8998"/>
    <cellStyle name="Comma 117" xfId="2230"/>
    <cellStyle name="Comma 118" xfId="2229"/>
    <cellStyle name="Comma 119" xfId="8628"/>
    <cellStyle name="Comma 12" xfId="4495"/>
    <cellStyle name="Comma 12 2" xfId="4496"/>
    <cellStyle name="Comma 12 2 2" xfId="2228"/>
    <cellStyle name="Comma 12 3" xfId="4497"/>
    <cellStyle name="Comma 12 4" xfId="2227"/>
    <cellStyle name="Comma 120" xfId="2226"/>
    <cellStyle name="Comma 121" xfId="8629"/>
    <cellStyle name="Comma 122" xfId="2225"/>
    <cellStyle name="Comma 123" xfId="2224"/>
    <cellStyle name="Comma 124" xfId="2223"/>
    <cellStyle name="Comma 125" xfId="8999"/>
    <cellStyle name="Comma 126" xfId="9000"/>
    <cellStyle name="Comma 127" xfId="9001"/>
    <cellStyle name="Comma 128" xfId="9002"/>
    <cellStyle name="Comma 129" xfId="2222"/>
    <cellStyle name="Comma 13" xfId="4498"/>
    <cellStyle name="Comma 13 2" xfId="4499"/>
    <cellStyle name="Comma 13 2 2" xfId="8630"/>
    <cellStyle name="Comma 13 2 3" xfId="14883"/>
    <cellStyle name="Comma 13 3" xfId="4500"/>
    <cellStyle name="Comma 13 3 2" xfId="2220"/>
    <cellStyle name="Comma 13 4" xfId="4501"/>
    <cellStyle name="Comma 13 4 2" xfId="14884"/>
    <cellStyle name="Comma 13 5" xfId="2221"/>
    <cellStyle name="Comma 130" xfId="2219"/>
    <cellStyle name="Comma 131" xfId="8631"/>
    <cellStyle name="Comma 132" xfId="2218"/>
    <cellStyle name="Comma 133" xfId="2217"/>
    <cellStyle name="Comma 134" xfId="8632"/>
    <cellStyle name="Comma 135" xfId="2216"/>
    <cellStyle name="Comma 136" xfId="2215"/>
    <cellStyle name="Comma 137" xfId="8633"/>
    <cellStyle name="Comma 138" xfId="2214"/>
    <cellStyle name="Comma 139" xfId="2213"/>
    <cellStyle name="Comma 14" xfId="4502"/>
    <cellStyle name="Comma 14 2" xfId="4503"/>
    <cellStyle name="Comma 14 2 2" xfId="2212"/>
    <cellStyle name="Comma 14 2 3" xfId="14886"/>
    <cellStyle name="Comma 14 3" xfId="8479"/>
    <cellStyle name="Comma 14 3 2" xfId="2211"/>
    <cellStyle name="Comma 14 3 3" xfId="15020"/>
    <cellStyle name="Comma 14 3 3 2" xfId="15053"/>
    <cellStyle name="Comma 14 3 4" xfId="15047"/>
    <cellStyle name="Comma 14 4" xfId="8634"/>
    <cellStyle name="Comma 14 5" xfId="14885"/>
    <cellStyle name="Comma 140" xfId="8635"/>
    <cellStyle name="Comma 141" xfId="2210"/>
    <cellStyle name="Comma 142" xfId="2209"/>
    <cellStyle name="Comma 143" xfId="8636"/>
    <cellStyle name="Comma 144" xfId="9003"/>
    <cellStyle name="Comma 145" xfId="2208"/>
    <cellStyle name="Comma 146" xfId="2207"/>
    <cellStyle name="Comma 147" xfId="8637"/>
    <cellStyle name="Comma 148" xfId="9004"/>
    <cellStyle name="Comma 149" xfId="2206"/>
    <cellStyle name="Comma 15" xfId="4504"/>
    <cellStyle name="Comma 15 2" xfId="4505"/>
    <cellStyle name="Comma 15 2 2" xfId="8638"/>
    <cellStyle name="Comma 15 2 3" xfId="14888"/>
    <cellStyle name="Comma 15 3" xfId="4506"/>
    <cellStyle name="Comma 15 3 2" xfId="9005"/>
    <cellStyle name="Comma 15 3 3" xfId="14889"/>
    <cellStyle name="Comma 15 4" xfId="4507"/>
    <cellStyle name="Comma 15 4 2" xfId="2204"/>
    <cellStyle name="Comma 15 5" xfId="2205"/>
    <cellStyle name="Comma 15 6" xfId="14887"/>
    <cellStyle name="Comma 150" xfId="2203"/>
    <cellStyle name="Comma 151" xfId="8483"/>
    <cellStyle name="Comma 151 2" xfId="8639"/>
    <cellStyle name="Comma 152" xfId="9006"/>
    <cellStyle name="Comma 153" xfId="2202"/>
    <cellStyle name="Comma 154" xfId="2201"/>
    <cellStyle name="Comma 155" xfId="8640"/>
    <cellStyle name="Comma 156" xfId="9007"/>
    <cellStyle name="Comma 157" xfId="2200"/>
    <cellStyle name="Comma 158" xfId="2199"/>
    <cellStyle name="Comma 159" xfId="8641"/>
    <cellStyle name="Comma 16" xfId="4508"/>
    <cellStyle name="Comma 16 2" xfId="2197"/>
    <cellStyle name="Comma 16 3" xfId="8642"/>
    <cellStyle name="Comma 16 4" xfId="2198"/>
    <cellStyle name="Comma 160" xfId="2196"/>
    <cellStyle name="Comma 161" xfId="2195"/>
    <cellStyle name="Comma 162" xfId="8643"/>
    <cellStyle name="Comma 163" xfId="9008"/>
    <cellStyle name="Comma 164" xfId="9009"/>
    <cellStyle name="Comma 165" xfId="9010"/>
    <cellStyle name="Comma 166" xfId="9011"/>
    <cellStyle name="Comma 167" xfId="9012"/>
    <cellStyle name="Comma 168" xfId="9013"/>
    <cellStyle name="Comma 169" xfId="9014"/>
    <cellStyle name="Comma 17" xfId="4509"/>
    <cellStyle name="Comma 17 2" xfId="9015"/>
    <cellStyle name="Comma 17 3" xfId="9016"/>
    <cellStyle name="Comma 17 4" xfId="9017"/>
    <cellStyle name="Comma 170" xfId="9018"/>
    <cellStyle name="Comma 171" xfId="9019"/>
    <cellStyle name="Comma 172" xfId="9020"/>
    <cellStyle name="Comma 173" xfId="9021"/>
    <cellStyle name="Comma 174" xfId="9022"/>
    <cellStyle name="Comma 175" xfId="9023"/>
    <cellStyle name="Comma 176" xfId="9024"/>
    <cellStyle name="Comma 177" xfId="9025"/>
    <cellStyle name="Comma 178" xfId="9026"/>
    <cellStyle name="Comma 179" xfId="9027"/>
    <cellStyle name="Comma 18" xfId="781"/>
    <cellStyle name="Comma 18 2" xfId="782"/>
    <cellStyle name="Comma 18 3" xfId="9029"/>
    <cellStyle name="Comma 18 4" xfId="9028"/>
    <cellStyle name="Comma 18 5" xfId="8556"/>
    <cellStyle name="Comma 18 5 2" xfId="15026"/>
    <cellStyle name="Comma 180" xfId="9030"/>
    <cellStyle name="Comma 181" xfId="9031"/>
    <cellStyle name="Comma 182" xfId="9032"/>
    <cellStyle name="Comma 183" xfId="9033"/>
    <cellStyle name="Comma 184" xfId="9034"/>
    <cellStyle name="Comma 185" xfId="9035"/>
    <cellStyle name="Comma 186" xfId="9036"/>
    <cellStyle name="Comma 187" xfId="9037"/>
    <cellStyle name="Comma 188" xfId="9038"/>
    <cellStyle name="Comma 189" xfId="9039"/>
    <cellStyle name="Comma 19" xfId="4510"/>
    <cellStyle name="Comma 19 2" xfId="9040"/>
    <cellStyle name="Comma 19 2 2" xfId="9041"/>
    <cellStyle name="Comma 19 3" xfId="9042"/>
    <cellStyle name="Comma 19 3 2" xfId="9043"/>
    <cellStyle name="Comma 19 4" xfId="9044"/>
    <cellStyle name="Comma 19 5" xfId="9045"/>
    <cellStyle name="Comma 19 6" xfId="9046"/>
    <cellStyle name="Comma 190" xfId="9047"/>
    <cellStyle name="Comma 191" xfId="9048"/>
    <cellStyle name="Comma 192" xfId="9049"/>
    <cellStyle name="Comma 193" xfId="9050"/>
    <cellStyle name="Comma 194" xfId="9051"/>
    <cellStyle name="Comma 195" xfId="9052"/>
    <cellStyle name="Comma 196" xfId="9053"/>
    <cellStyle name="Comma 197" xfId="9054"/>
    <cellStyle name="Comma 198" xfId="9055"/>
    <cellStyle name="Comma 199" xfId="9056"/>
    <cellStyle name="Comma 2" xfId="783"/>
    <cellStyle name="Comma 2 10" xfId="784"/>
    <cellStyle name="Comma 2 10 2" xfId="4511"/>
    <cellStyle name="Comma 2 10 2 2" xfId="9057"/>
    <cellStyle name="Comma 2 10 3" xfId="9058"/>
    <cellStyle name="Comma 2 10 4" xfId="9059"/>
    <cellStyle name="Comma 2 10_Consol financials Sch VI - Mar 2014-S&amp;H" xfId="9060"/>
    <cellStyle name="Comma 2 11" xfId="785"/>
    <cellStyle name="Comma 2 11 2" xfId="9061"/>
    <cellStyle name="Comma 2 12" xfId="786"/>
    <cellStyle name="Comma 2 12 2" xfId="9062"/>
    <cellStyle name="Comma 2 13" xfId="9063"/>
    <cellStyle name="Comma 2 13 2" xfId="9064"/>
    <cellStyle name="Comma 2 14" xfId="9065"/>
    <cellStyle name="Comma 2 14 2" xfId="9066"/>
    <cellStyle name="Comma 2 15" xfId="9067"/>
    <cellStyle name="Comma 2 15 2" xfId="9068"/>
    <cellStyle name="Comma 2 16" xfId="9069"/>
    <cellStyle name="Comma 2 16 2" xfId="9070"/>
    <cellStyle name="Comma 2 17" xfId="9071"/>
    <cellStyle name="Comma 2 17 2" xfId="9072"/>
    <cellStyle name="Comma 2 18" xfId="9073"/>
    <cellStyle name="Comma 2 18 2" xfId="9074"/>
    <cellStyle name="Comma 2 19" xfId="9075"/>
    <cellStyle name="Comma 2 19 2" xfId="9076"/>
    <cellStyle name="Comma 2 2" xfId="787"/>
    <cellStyle name="Comma 2 2 2" xfId="3099"/>
    <cellStyle name="Comma 2 2 3" xfId="4512"/>
    <cellStyle name="Comma 2 2 3 2" xfId="9078"/>
    <cellStyle name="Comma 2 2 3 3" xfId="9079"/>
    <cellStyle name="Comma 2 2 3 4" xfId="9077"/>
    <cellStyle name="Comma 2 2 4" xfId="9080"/>
    <cellStyle name="Comma 2 2 4 2" xfId="9081"/>
    <cellStyle name="Comma 2 2 5" xfId="9082"/>
    <cellStyle name="Comma 2 20" xfId="9083"/>
    <cellStyle name="Comma 2 20 2" xfId="9084"/>
    <cellStyle name="Comma 2 21" xfId="9085"/>
    <cellStyle name="Comma 2 21 2" xfId="9086"/>
    <cellStyle name="Comma 2 22" xfId="9087"/>
    <cellStyle name="Comma 2 22 2" xfId="9088"/>
    <cellStyle name="Comma 2 23" xfId="9089"/>
    <cellStyle name="Comma 2 23 2" xfId="9090"/>
    <cellStyle name="Comma 2 24" xfId="9091"/>
    <cellStyle name="Comma 2 24 2" xfId="9092"/>
    <cellStyle name="Comma 2 25" xfId="9093"/>
    <cellStyle name="Comma 2 25 2" xfId="9094"/>
    <cellStyle name="Comma 2 26" xfId="9095"/>
    <cellStyle name="Comma 2 26 2" xfId="9096"/>
    <cellStyle name="Comma 2 27" xfId="9097"/>
    <cellStyle name="Comma 2 27 2" xfId="9098"/>
    <cellStyle name="Comma 2 28" xfId="9099"/>
    <cellStyle name="Comma 2 28 2" xfId="9100"/>
    <cellStyle name="Comma 2 29" xfId="9101"/>
    <cellStyle name="Comma 2 29 2" xfId="9102"/>
    <cellStyle name="Comma 2 3" xfId="788"/>
    <cellStyle name="Comma 2 3 2" xfId="4514"/>
    <cellStyle name="Comma 2 3 2 2" xfId="9103"/>
    <cellStyle name="Comma 2 3 3" xfId="4515"/>
    <cellStyle name="Comma 2 3 3 2" xfId="9104"/>
    <cellStyle name="Comma 2 3 4" xfId="4516"/>
    <cellStyle name="Comma 2 3 5" xfId="4513"/>
    <cellStyle name="Comma 2 30" xfId="9105"/>
    <cellStyle name="Comma 2 30 2" xfId="9106"/>
    <cellStyle name="Comma 2 31" xfId="9107"/>
    <cellStyle name="Comma 2 32" xfId="9108"/>
    <cellStyle name="Comma 2 33" xfId="9109"/>
    <cellStyle name="Comma 2 34" xfId="9110"/>
    <cellStyle name="Comma 2 35" xfId="9111"/>
    <cellStyle name="Comma 2 36" xfId="11781"/>
    <cellStyle name="Comma 2 4" xfId="789"/>
    <cellStyle name="Comma 2 4 2" xfId="4518"/>
    <cellStyle name="Comma 2 4 2 2" xfId="9113"/>
    <cellStyle name="Comma 2 4 2 3" xfId="9112"/>
    <cellStyle name="Comma 2 4 3" xfId="4517"/>
    <cellStyle name="Comma 2 4 3 2" xfId="9114"/>
    <cellStyle name="Comma 2 4 4" xfId="9115"/>
    <cellStyle name="Comma 2 4 5" xfId="9116"/>
    <cellStyle name="Comma 2 5" xfId="790"/>
    <cellStyle name="Comma 2 5 2" xfId="4520"/>
    <cellStyle name="Comma 2 5 2 2" xfId="9117"/>
    <cellStyle name="Comma 2 5 3" xfId="4519"/>
    <cellStyle name="Comma 2 5 3 2" xfId="9118"/>
    <cellStyle name="Comma 2 6" xfId="791"/>
    <cellStyle name="Comma 2 6 2" xfId="4521"/>
    <cellStyle name="Comma 2 6 2 2" xfId="9119"/>
    <cellStyle name="Comma 2 6 3" xfId="9120"/>
    <cellStyle name="Comma 2 7" xfId="792"/>
    <cellStyle name="Comma 2 7 2" xfId="4523"/>
    <cellStyle name="Comma 2 7 2 2" xfId="9121"/>
    <cellStyle name="Comma 2 7 3" xfId="4522"/>
    <cellStyle name="Comma 2 7 3 2" xfId="9122"/>
    <cellStyle name="Comma 2 8" xfId="793"/>
    <cellStyle name="Comma 2 8 2" xfId="4524"/>
    <cellStyle name="Comma 2 8 2 2" xfId="9123"/>
    <cellStyle name="Comma 2 8 2 3" xfId="14890"/>
    <cellStyle name="Comma 2 9" xfId="794"/>
    <cellStyle name="Comma 2 9 2" xfId="4525"/>
    <cellStyle name="Comma 2 9 2 2" xfId="9124"/>
    <cellStyle name="Comma 20" xfId="4526"/>
    <cellStyle name="Comma 20 2" xfId="9125"/>
    <cellStyle name="Comma 20 2 2" xfId="9126"/>
    <cellStyle name="Comma 20 3" xfId="9127"/>
    <cellStyle name="Comma 20 3 2" xfId="9128"/>
    <cellStyle name="Comma 20 4" xfId="9129"/>
    <cellStyle name="Comma 200" xfId="9130"/>
    <cellStyle name="Comma 201" xfId="9131"/>
    <cellStyle name="Comma 202" xfId="9132"/>
    <cellStyle name="Comma 203" xfId="9133"/>
    <cellStyle name="Comma 204" xfId="9134"/>
    <cellStyle name="Comma 205" xfId="9135"/>
    <cellStyle name="Comma 206" xfId="9136"/>
    <cellStyle name="Comma 207" xfId="9137"/>
    <cellStyle name="Comma 208" xfId="9138"/>
    <cellStyle name="Comma 209" xfId="9139"/>
    <cellStyle name="Comma 21" xfId="4527"/>
    <cellStyle name="Comma 21 2" xfId="9140"/>
    <cellStyle name="Comma 210" xfId="9141"/>
    <cellStyle name="Comma 211" xfId="9142"/>
    <cellStyle name="Comma 212" xfId="9143"/>
    <cellStyle name="Comma 213" xfId="9144"/>
    <cellStyle name="Comma 214" xfId="9145"/>
    <cellStyle name="Comma 215" xfId="9146"/>
    <cellStyle name="Comma 216" xfId="9147"/>
    <cellStyle name="Comma 217" xfId="9148"/>
    <cellStyle name="Comma 218" xfId="9149"/>
    <cellStyle name="Comma 219" xfId="9150"/>
    <cellStyle name="Comma 22" xfId="4528"/>
    <cellStyle name="Comma 22 2" xfId="9151"/>
    <cellStyle name="Comma 220" xfId="9152"/>
    <cellStyle name="Comma 221" xfId="9153"/>
    <cellStyle name="Comma 222" xfId="9154"/>
    <cellStyle name="Comma 223" xfId="9155"/>
    <cellStyle name="Comma 224" xfId="9156"/>
    <cellStyle name="Comma 225" xfId="9157"/>
    <cellStyle name="Comma 226" xfId="9158"/>
    <cellStyle name="Comma 227" xfId="9159"/>
    <cellStyle name="Comma 228" xfId="9160"/>
    <cellStyle name="Comma 229" xfId="9161"/>
    <cellStyle name="Comma 23" xfId="4529"/>
    <cellStyle name="Comma 23 2" xfId="9162"/>
    <cellStyle name="Comma 230" xfId="9163"/>
    <cellStyle name="Comma 231" xfId="9164"/>
    <cellStyle name="Comma 232" xfId="9165"/>
    <cellStyle name="Comma 233" xfId="9166"/>
    <cellStyle name="Comma 234" xfId="9167"/>
    <cellStyle name="Comma 235" xfId="9168"/>
    <cellStyle name="Comma 236" xfId="9169"/>
    <cellStyle name="Comma 237" xfId="9170"/>
    <cellStyle name="Comma 238" xfId="9171"/>
    <cellStyle name="Comma 239" xfId="9172"/>
    <cellStyle name="Comma 24" xfId="4530"/>
    <cellStyle name="Comma 24 2" xfId="9173"/>
    <cellStyle name="Comma 240" xfId="9174"/>
    <cellStyle name="Comma 241" xfId="9175"/>
    <cellStyle name="Comma 242" xfId="9176"/>
    <cellStyle name="Comma 243" xfId="9177"/>
    <cellStyle name="Comma 244" xfId="9178"/>
    <cellStyle name="Comma 245" xfId="9179"/>
    <cellStyle name="Comma 246" xfId="9180"/>
    <cellStyle name="Comma 247" xfId="9181"/>
    <cellStyle name="Comma 248" xfId="9182"/>
    <cellStyle name="Comma 249" xfId="9183"/>
    <cellStyle name="Comma 25" xfId="4531"/>
    <cellStyle name="Comma 25 2" xfId="9184"/>
    <cellStyle name="Comma 250" xfId="9185"/>
    <cellStyle name="Comma 251" xfId="9186"/>
    <cellStyle name="Comma 252" xfId="9187"/>
    <cellStyle name="Comma 253" xfId="9188"/>
    <cellStyle name="Comma 254" xfId="9189"/>
    <cellStyle name="Comma 255" xfId="9190"/>
    <cellStyle name="Comma 256" xfId="9191"/>
    <cellStyle name="Comma 257" xfId="9192"/>
    <cellStyle name="Comma 258" xfId="9193"/>
    <cellStyle name="Comma 259" xfId="9194"/>
    <cellStyle name="Comma 26" xfId="4532"/>
    <cellStyle name="Comma 26 2" xfId="9195"/>
    <cellStyle name="Comma 260" xfId="9196"/>
    <cellStyle name="Comma 261" xfId="9197"/>
    <cellStyle name="Comma 262" xfId="9198"/>
    <cellStyle name="Comma 263" xfId="9199"/>
    <cellStyle name="Comma 264" xfId="9200"/>
    <cellStyle name="Comma 265" xfId="9201"/>
    <cellStyle name="Comma 266" xfId="9202"/>
    <cellStyle name="Comma 267" xfId="9203"/>
    <cellStyle name="Comma 268" xfId="9204"/>
    <cellStyle name="Comma 269" xfId="9205"/>
    <cellStyle name="Comma 27" xfId="4533"/>
    <cellStyle name="Comma 27 2" xfId="9207"/>
    <cellStyle name="Comma 27 3" xfId="9206"/>
    <cellStyle name="Comma 270" xfId="9208"/>
    <cellStyle name="Comma 271" xfId="9209"/>
    <cellStyle name="Comma 272" xfId="9210"/>
    <cellStyle name="Comma 273" xfId="9211"/>
    <cellStyle name="Comma 274" xfId="9212"/>
    <cellStyle name="Comma 275" xfId="9213"/>
    <cellStyle name="Comma 276" xfId="11783"/>
    <cellStyle name="Comma 277" xfId="8973"/>
    <cellStyle name="Comma 278" xfId="2369"/>
    <cellStyle name="Comma 279" xfId="2482"/>
    <cellStyle name="Comma 28" xfId="4534"/>
    <cellStyle name="Comma 28 2" xfId="9215"/>
    <cellStyle name="Comma 28 3" xfId="9214"/>
    <cellStyle name="Comma 280" xfId="14861"/>
    <cellStyle name="Comma 281" xfId="14863"/>
    <cellStyle name="Comma 282" xfId="14865"/>
    <cellStyle name="Comma 283" xfId="14867"/>
    <cellStyle name="Comma 284" xfId="14869"/>
    <cellStyle name="Comma 285" xfId="14874"/>
    <cellStyle name="Comma 286" xfId="15035"/>
    <cellStyle name="Comma 287" xfId="15045"/>
    <cellStyle name="Comma 288" xfId="15057"/>
    <cellStyle name="Comma 289" xfId="15059"/>
    <cellStyle name="Comma 29" xfId="4535"/>
    <cellStyle name="Comma 29 2" xfId="9217"/>
    <cellStyle name="Comma 29 3" xfId="9216"/>
    <cellStyle name="Comma 290" xfId="15061"/>
    <cellStyle name="Comma 291" xfId="15067"/>
    <cellStyle name="Comma 292" xfId="15065"/>
    <cellStyle name="Comma 293" xfId="15066"/>
    <cellStyle name="Comma 294" xfId="15094"/>
    <cellStyle name="Comma 295" xfId="15091"/>
    <cellStyle name="Comma 296" xfId="15092"/>
    <cellStyle name="Comma 297" xfId="15090"/>
    <cellStyle name="Comma 298" xfId="15093"/>
    <cellStyle name="Comma 299" xfId="15089"/>
    <cellStyle name="Comma 3" xfId="795"/>
    <cellStyle name="Comma 3 10" xfId="796"/>
    <cellStyle name="Comma 3 10 2" xfId="9218"/>
    <cellStyle name="Comma 3 11" xfId="797"/>
    <cellStyle name="Comma 3 11 2" xfId="9219"/>
    <cellStyle name="Comma 3 12" xfId="798"/>
    <cellStyle name="Comma 3 12 2" xfId="9220"/>
    <cellStyle name="Comma 3 13" xfId="799"/>
    <cellStyle name="Comma 3 13 2" xfId="4536"/>
    <cellStyle name="Comma 3 13 2 2" xfId="9222"/>
    <cellStyle name="Comma 3 13 2 3" xfId="14891"/>
    <cellStyle name="Comma 3 13 3" xfId="9223"/>
    <cellStyle name="Comma 3 13 4" xfId="9221"/>
    <cellStyle name="Comma 3 14" xfId="8488"/>
    <cellStyle name="Comma 3 14 2" xfId="9225"/>
    <cellStyle name="Comma 3 14 3" xfId="9226"/>
    <cellStyle name="Comma 3 14 4" xfId="9227"/>
    <cellStyle name="Comma 3 14 5" xfId="9224"/>
    <cellStyle name="Comma 3 15" xfId="9228"/>
    <cellStyle name="Comma 3 15 2" xfId="9229"/>
    <cellStyle name="Comma 3 15 3" xfId="9230"/>
    <cellStyle name="Comma 3 15 4" xfId="9231"/>
    <cellStyle name="Comma 3 16" xfId="9232"/>
    <cellStyle name="Comma 3 16 2" xfId="9233"/>
    <cellStyle name="Comma 3 17" xfId="9234"/>
    <cellStyle name="Comma 3 17 2" xfId="9235"/>
    <cellStyle name="Comma 3 18" xfId="9236"/>
    <cellStyle name="Comma 3 18 2" xfId="9237"/>
    <cellStyle name="Comma 3 19" xfId="9238"/>
    <cellStyle name="Comma 3 19 2" xfId="9239"/>
    <cellStyle name="Comma 3 2" xfId="800"/>
    <cellStyle name="Comma 3 2 2" xfId="3100"/>
    <cellStyle name="Comma 3 2 2 2" xfId="4539"/>
    <cellStyle name="Comma 3 2 2 2 2" xfId="9241"/>
    <cellStyle name="Comma 3 2 2 2 3" xfId="14894"/>
    <cellStyle name="Comma 3 2 2 3" xfId="4538"/>
    <cellStyle name="Comma 3 2 2 3 2" xfId="14893"/>
    <cellStyle name="Comma 3 2 2 4" xfId="9240"/>
    <cellStyle name="Comma 3 2 3" xfId="3101"/>
    <cellStyle name="Comma 3 2 3 2" xfId="4540"/>
    <cellStyle name="Comma 3 2 3 2 2" xfId="14895"/>
    <cellStyle name="Comma 3 2 4" xfId="8481"/>
    <cellStyle name="Comma 3 2 5" xfId="4537"/>
    <cellStyle name="Comma 3 2 5 2" xfId="14892"/>
    <cellStyle name="Comma 3 20" xfId="9242"/>
    <cellStyle name="Comma 3 20 2" xfId="9243"/>
    <cellStyle name="Comma 3 21" xfId="9244"/>
    <cellStyle name="Comma 3 21 2" xfId="9245"/>
    <cellStyle name="Comma 3 22" xfId="9246"/>
    <cellStyle name="Comma 3 22 2" xfId="9247"/>
    <cellStyle name="Comma 3 23" xfId="9248"/>
    <cellStyle name="Comma 3 24" xfId="9249"/>
    <cellStyle name="Comma 3 25" xfId="9250"/>
    <cellStyle name="Comma 3 26" xfId="9251"/>
    <cellStyle name="Comma 3 27" xfId="9252"/>
    <cellStyle name="Comma 3 27 2" xfId="9253"/>
    <cellStyle name="Comma 3 28" xfId="9254"/>
    <cellStyle name="Comma 3 28 2" xfId="9255"/>
    <cellStyle name="Comma 3 29" xfId="9256"/>
    <cellStyle name="Comma 3 29 2" xfId="9257"/>
    <cellStyle name="Comma 3 3" xfId="801"/>
    <cellStyle name="Comma 3 3 10" xfId="9258"/>
    <cellStyle name="Comma 3 3 10 2" xfId="9259"/>
    <cellStyle name="Comma 3 3 11" xfId="9260"/>
    <cellStyle name="Comma 3 3 11 2" xfId="9261"/>
    <cellStyle name="Comma 3 3 12" xfId="9262"/>
    <cellStyle name="Comma 3 3 12 2" xfId="9263"/>
    <cellStyle name="Comma 3 3 13" xfId="9264"/>
    <cellStyle name="Comma 3 3 13 2" xfId="2194"/>
    <cellStyle name="Comma 3 3 14" xfId="2193"/>
    <cellStyle name="Comma 3 3 14 2" xfId="9265"/>
    <cellStyle name="Comma 3 3 15" xfId="2192"/>
    <cellStyle name="Comma 3 3 15 2" xfId="2191"/>
    <cellStyle name="Comma 3 3 16" xfId="8644"/>
    <cellStyle name="Comma 3 3 16 2" xfId="2190"/>
    <cellStyle name="Comma 3 3 17" xfId="2189"/>
    <cellStyle name="Comma 3 3 17 2" xfId="8645"/>
    <cellStyle name="Comma 3 3 18" xfId="2188"/>
    <cellStyle name="Comma 3 3 18 2" xfId="2187"/>
    <cellStyle name="Comma 3 3 19" xfId="8646"/>
    <cellStyle name="Comma 3 3 19 2" xfId="2186"/>
    <cellStyle name="Comma 3 3 2" xfId="4542"/>
    <cellStyle name="Comma 3 3 2 2" xfId="8647"/>
    <cellStyle name="Comma 3 3 2 3" xfId="2185"/>
    <cellStyle name="Comma 3 3 2 4" xfId="14897"/>
    <cellStyle name="Comma 3 3 20" xfId="2184"/>
    <cellStyle name="Comma 3 3 20 2" xfId="2183"/>
    <cellStyle name="Comma 3 3 21" xfId="8648"/>
    <cellStyle name="Comma 3 3 21 2" xfId="2182"/>
    <cellStyle name="Comma 3 3 22" xfId="2181"/>
    <cellStyle name="Comma 3 3 23" xfId="8649"/>
    <cellStyle name="Comma 3 3 24" xfId="2180"/>
    <cellStyle name="Comma 3 3 3" xfId="4543"/>
    <cellStyle name="Comma 3 3 3 2" xfId="8650"/>
    <cellStyle name="Comma 3 3 3 3" xfId="2179"/>
    <cellStyle name="Comma 3 3 3 4" xfId="14898"/>
    <cellStyle name="Comma 3 3 4" xfId="4544"/>
    <cellStyle name="Comma 3 3 4 2" xfId="2178"/>
    <cellStyle name="Comma 3 3 4 3" xfId="9266"/>
    <cellStyle name="Comma 3 3 4 4" xfId="14899"/>
    <cellStyle name="Comma 3 3 5" xfId="4541"/>
    <cellStyle name="Comma 3 3 5 2" xfId="8651"/>
    <cellStyle name="Comma 3 3 5 3" xfId="2177"/>
    <cellStyle name="Comma 3 3 5 4" xfId="14896"/>
    <cellStyle name="Comma 3 3 6" xfId="9267"/>
    <cellStyle name="Comma 3 3 6 2" xfId="2176"/>
    <cellStyle name="Comma 3 3 7" xfId="2175"/>
    <cellStyle name="Comma 3 3 7 2" xfId="8652"/>
    <cellStyle name="Comma 3 3 8" xfId="9268"/>
    <cellStyle name="Comma 3 3 8 2" xfId="2174"/>
    <cellStyle name="Comma 3 3 9" xfId="2173"/>
    <cellStyle name="Comma 3 3 9 2" xfId="8653"/>
    <cellStyle name="Comma 3 30" xfId="9269"/>
    <cellStyle name="Comma 3 30 2" xfId="2172"/>
    <cellStyle name="Comma 3 31" xfId="2171"/>
    <cellStyle name="Comma 3 31 2" xfId="8654"/>
    <cellStyle name="Comma 3 32" xfId="9270"/>
    <cellStyle name="Comma 3 32 2" xfId="2170"/>
    <cellStyle name="Comma 3 33" xfId="2169"/>
    <cellStyle name="Comma 3 33 2" xfId="8655"/>
    <cellStyle name="Comma 3 34" xfId="2168"/>
    <cellStyle name="Comma 3 34 2" xfId="2167"/>
    <cellStyle name="Comma 3 35" xfId="8656"/>
    <cellStyle name="Comma 3 35 2" xfId="2166"/>
    <cellStyle name="Comma 3 36" xfId="2165"/>
    <cellStyle name="Comma 3 36 2" xfId="8657"/>
    <cellStyle name="Comma 3 37" xfId="9271"/>
    <cellStyle name="Comma 3 38" xfId="2164"/>
    <cellStyle name="Comma 3 4" xfId="802"/>
    <cellStyle name="Comma 3 4 10" xfId="2163"/>
    <cellStyle name="Comma 3 4 10 2" xfId="8658"/>
    <cellStyle name="Comma 3 4 11" xfId="2162"/>
    <cellStyle name="Comma 3 4 11 2" xfId="2161"/>
    <cellStyle name="Comma 3 4 12" xfId="8659"/>
    <cellStyle name="Comma 3 4 12 2" xfId="2160"/>
    <cellStyle name="Comma 3 4 13" xfId="2159"/>
    <cellStyle name="Comma 3 4 13 2" xfId="8660"/>
    <cellStyle name="Comma 3 4 14" xfId="2158"/>
    <cellStyle name="Comma 3 4 14 2" xfId="2157"/>
    <cellStyle name="Comma 3 4 15" xfId="8661"/>
    <cellStyle name="Comma 3 4 15 2" xfId="2156"/>
    <cellStyle name="Comma 3 4 16" xfId="2155"/>
    <cellStyle name="Comma 3 4 16 2" xfId="8662"/>
    <cellStyle name="Comma 3 4 17" xfId="2154"/>
    <cellStyle name="Comma 3 4 17 2" xfId="2153"/>
    <cellStyle name="Comma 3 4 18" xfId="8663"/>
    <cellStyle name="Comma 3 4 18 2" xfId="2152"/>
    <cellStyle name="Comma 3 4 19" xfId="2151"/>
    <cellStyle name="Comma 3 4 19 2" xfId="8664"/>
    <cellStyle name="Comma 3 4 2" xfId="4545"/>
    <cellStyle name="Comma 3 4 2 2" xfId="2150"/>
    <cellStyle name="Comma 3 4 2 3" xfId="9272"/>
    <cellStyle name="Comma 3 4 2 4" xfId="14900"/>
    <cellStyle name="Comma 3 4 20" xfId="2149"/>
    <cellStyle name="Comma 3 4 20 2" xfId="8665"/>
    <cellStyle name="Comma 3 4 21" xfId="9273"/>
    <cellStyle name="Comma 3 4 21 2" xfId="2148"/>
    <cellStyle name="Comma 3 4 22" xfId="2147"/>
    <cellStyle name="Comma 3 4 23" xfId="8666"/>
    <cellStyle name="Comma 3 4 3" xfId="9274"/>
    <cellStyle name="Comma 3 4 3 2" xfId="2146"/>
    <cellStyle name="Comma 3 4 4" xfId="2145"/>
    <cellStyle name="Comma 3 4 4 2" xfId="8667"/>
    <cellStyle name="Comma 3 4 5" xfId="9275"/>
    <cellStyle name="Comma 3 4 5 2" xfId="2144"/>
    <cellStyle name="Comma 3 4 6" xfId="2143"/>
    <cellStyle name="Comma 3 4 6 2" xfId="8668"/>
    <cellStyle name="Comma 3 4 7" xfId="9276"/>
    <cellStyle name="Comma 3 4 7 2" xfId="2142"/>
    <cellStyle name="Comma 3 4 8" xfId="2141"/>
    <cellStyle name="Comma 3 4 8 2" xfId="8669"/>
    <cellStyle name="Comma 3 4 9" xfId="2140"/>
    <cellStyle name="Comma 3 4 9 2" xfId="2139"/>
    <cellStyle name="Comma 3 5" xfId="803"/>
    <cellStyle name="Comma 3 5 10" xfId="8670"/>
    <cellStyle name="Comma 3 5 10 2" xfId="2138"/>
    <cellStyle name="Comma 3 5 11" xfId="2137"/>
    <cellStyle name="Comma 3 5 11 2" xfId="8671"/>
    <cellStyle name="Comma 3 5 12" xfId="9277"/>
    <cellStyle name="Comma 3 5 12 2" xfId="9278"/>
    <cellStyle name="Comma 3 5 13" xfId="9279"/>
    <cellStyle name="Comma 3 5 13 2" xfId="9280"/>
    <cellStyle name="Comma 3 5 14" xfId="9281"/>
    <cellStyle name="Comma 3 5 14 2" xfId="9282"/>
    <cellStyle name="Comma 3 5 15" xfId="9283"/>
    <cellStyle name="Comma 3 5 15 2" xfId="9284"/>
    <cellStyle name="Comma 3 5 16" xfId="9285"/>
    <cellStyle name="Comma 3 5 16 2" xfId="9286"/>
    <cellStyle name="Comma 3 5 17" xfId="9287"/>
    <cellStyle name="Comma 3 5 17 2" xfId="9288"/>
    <cellStyle name="Comma 3 5 18" xfId="9289"/>
    <cellStyle name="Comma 3 5 18 2" xfId="9290"/>
    <cellStyle name="Comma 3 5 19" xfId="9291"/>
    <cellStyle name="Comma 3 5 19 2" xfId="9292"/>
    <cellStyle name="Comma 3 5 2" xfId="9293"/>
    <cellStyle name="Comma 3 5 2 2" xfId="9294"/>
    <cellStyle name="Comma 3 5 20" xfId="9295"/>
    <cellStyle name="Comma 3 5 20 2" xfId="9296"/>
    <cellStyle name="Comma 3 5 21" xfId="9297"/>
    <cellStyle name="Comma 3 5 21 2" xfId="9298"/>
    <cellStyle name="Comma 3 5 22" xfId="9299"/>
    <cellStyle name="Comma 3 5 23" xfId="9300"/>
    <cellStyle name="Comma 3 5 3" xfId="9301"/>
    <cellStyle name="Comma 3 5 3 2" xfId="9302"/>
    <cellStyle name="Comma 3 5 4" xfId="9303"/>
    <cellStyle name="Comma 3 5 4 2" xfId="9304"/>
    <cellStyle name="Comma 3 5 5" xfId="9305"/>
    <cellStyle name="Comma 3 5 5 2" xfId="9306"/>
    <cellStyle name="Comma 3 5 6" xfId="9307"/>
    <cellStyle name="Comma 3 5 6 2" xfId="9308"/>
    <cellStyle name="Comma 3 5 7" xfId="9309"/>
    <cellStyle name="Comma 3 5 7 2" xfId="9310"/>
    <cellStyle name="Comma 3 5 8" xfId="9311"/>
    <cellStyle name="Comma 3 5 8 2" xfId="9312"/>
    <cellStyle name="Comma 3 5 9" xfId="9313"/>
    <cellStyle name="Comma 3 5 9 2" xfId="9314"/>
    <cellStyle name="Comma 3 6" xfId="804"/>
    <cellStyle name="Comma 3 6 2" xfId="9315"/>
    <cellStyle name="Comma 3 6 3" xfId="9316"/>
    <cellStyle name="Comma 3 6 4" xfId="9317"/>
    <cellStyle name="Comma 3 7" xfId="805"/>
    <cellStyle name="Comma 3 7 2" xfId="9318"/>
    <cellStyle name="Comma 3 7 3" xfId="9319"/>
    <cellStyle name="Comma 3 7 4" xfId="9320"/>
    <cellStyle name="Comma 3 8" xfId="806"/>
    <cellStyle name="Comma 3 8 2" xfId="9321"/>
    <cellStyle name="Comma 3 9" xfId="807"/>
    <cellStyle name="Comma 3 9 2" xfId="9322"/>
    <cellStyle name="Comma 30" xfId="4546"/>
    <cellStyle name="Comma 30 2" xfId="9324"/>
    <cellStyle name="Comma 30 3" xfId="9323"/>
    <cellStyle name="Comma 300" xfId="15154"/>
    <cellStyle name="Comma 31" xfId="4547"/>
    <cellStyle name="Comma 31 2" xfId="9325"/>
    <cellStyle name="Comma 32" xfId="4548"/>
    <cellStyle name="Comma 32 2" xfId="9326"/>
    <cellStyle name="Comma 32 3" xfId="14901"/>
    <cellStyle name="Comma 33" xfId="4549"/>
    <cellStyle name="Comma 33 2" xfId="4550"/>
    <cellStyle name="Comma 33 2 2" xfId="14903"/>
    <cellStyle name="Comma 33 3" xfId="9327"/>
    <cellStyle name="Comma 33 4" xfId="14902"/>
    <cellStyle name="Comma 34" xfId="4551"/>
    <cellStyle name="Comma 34 2" xfId="9328"/>
    <cellStyle name="Comma 35" xfId="4552"/>
    <cellStyle name="Comma 35 2" xfId="9330"/>
    <cellStyle name="Comma 35 3" xfId="9329"/>
    <cellStyle name="Comma 36" xfId="4553"/>
    <cellStyle name="Comma 36 2" xfId="9332"/>
    <cellStyle name="Comma 36 3" xfId="9331"/>
    <cellStyle name="Comma 37" xfId="4554"/>
    <cellStyle name="Comma 37 2" xfId="9334"/>
    <cellStyle name="Comma 37 3" xfId="9333"/>
    <cellStyle name="Comma 38" xfId="4555"/>
    <cellStyle name="Comma 38 2" xfId="9336"/>
    <cellStyle name="Comma 38 3" xfId="9335"/>
    <cellStyle name="Comma 39" xfId="4556"/>
    <cellStyle name="Comma 39 2" xfId="9338"/>
    <cellStyle name="Comma 39 3" xfId="9337"/>
    <cellStyle name="Comma 4" xfId="808"/>
    <cellStyle name="Comma 4 2" xfId="809"/>
    <cellStyle name="Comma 4 2 2" xfId="1444"/>
    <cellStyle name="Comma 4 2 2 2" xfId="4557"/>
    <cellStyle name="Comma 4 2 2 2 2" xfId="12980"/>
    <cellStyle name="Comma 4 2 3" xfId="4558"/>
    <cellStyle name="Comma 4 2 3 2" xfId="9339"/>
    <cellStyle name="Comma 4 2 3 3" xfId="14904"/>
    <cellStyle name="Comma 4 3" xfId="1445"/>
    <cellStyle name="Comma 4 3 2" xfId="9340"/>
    <cellStyle name="Comma 4 4" xfId="1443"/>
    <cellStyle name="Comma 4 4 2" xfId="4559"/>
    <cellStyle name="Comma 4 5" xfId="4560"/>
    <cellStyle name="Comma 4 5 2" xfId="9342"/>
    <cellStyle name="Comma 4 5 3" xfId="9341"/>
    <cellStyle name="Comma 4 5 4" xfId="14905"/>
    <cellStyle name="Comma 4 6" xfId="12984"/>
    <cellStyle name="Comma 4 7" xfId="9343"/>
    <cellStyle name="Comma 4 8" xfId="9344"/>
    <cellStyle name="Comma 4 9" xfId="2136"/>
    <cellStyle name="Comma 4_Data Base 2009" xfId="4561"/>
    <cellStyle name="Comma 40" xfId="3118"/>
    <cellStyle name="Comma 40 2" xfId="9345"/>
    <cellStyle name="Comma 40 3" xfId="2135"/>
    <cellStyle name="Comma 40 4" xfId="14877"/>
    <cellStyle name="Comma 41" xfId="5643"/>
    <cellStyle name="Comma 41 2" xfId="2133"/>
    <cellStyle name="Comma 41 3" xfId="2134"/>
    <cellStyle name="Comma 41 4" xfId="15009"/>
    <cellStyle name="Comma 42" xfId="8486"/>
    <cellStyle name="Comma 42 2" xfId="2132"/>
    <cellStyle name="Comma 42 3" xfId="9346"/>
    <cellStyle name="Comma 42 4" xfId="15024"/>
    <cellStyle name="Comma 43" xfId="8490"/>
    <cellStyle name="Comma 43 2" xfId="2130"/>
    <cellStyle name="Comma 43 3" xfId="2131"/>
    <cellStyle name="Comma 44" xfId="8876"/>
    <cellStyle name="Comma 44 2" xfId="9347"/>
    <cellStyle name="Comma 45" xfId="2129"/>
    <cellStyle name="Comma 45 2" xfId="9349"/>
    <cellStyle name="Comma 46" xfId="9350"/>
    <cellStyle name="Comma 46 2" xfId="9351"/>
    <cellStyle name="Comma 47" xfId="9348"/>
    <cellStyle name="Comma 47 2" xfId="2128"/>
    <cellStyle name="Comma 48" xfId="9353"/>
    <cellStyle name="Comma 48 2" xfId="9352"/>
    <cellStyle name="Comma 49" xfId="2127"/>
    <cellStyle name="Comma 49 2" xfId="9354"/>
    <cellStyle name="Comma 5" xfId="810"/>
    <cellStyle name="Comma 5 2" xfId="1446"/>
    <cellStyle name="Comma 5 2 2" xfId="3102"/>
    <cellStyle name="Comma 5 2 2 2" xfId="3103"/>
    <cellStyle name="Comma 5 2 2 3" xfId="4564"/>
    <cellStyle name="Comma 5 2 2 3 2" xfId="14908"/>
    <cellStyle name="Comma 5 2 3" xfId="4563"/>
    <cellStyle name="Comma 5 2 3 2" xfId="9356"/>
    <cellStyle name="Comma 5 2 3 3" xfId="14907"/>
    <cellStyle name="Comma 5 2 4" xfId="2126"/>
    <cellStyle name="Comma 5 3" xfId="4565"/>
    <cellStyle name="Comma 5 3 2" xfId="4566"/>
    <cellStyle name="Comma 5 3 2 2" xfId="2125"/>
    <cellStyle name="Comma 5 3 2 3" xfId="14910"/>
    <cellStyle name="Comma 5 3 3" xfId="4567"/>
    <cellStyle name="Comma 5 3 4" xfId="9355"/>
    <cellStyle name="Comma 5 3 5" xfId="14909"/>
    <cellStyle name="Comma 5 4" xfId="4568"/>
    <cellStyle name="Comma 5 4 2" xfId="9357"/>
    <cellStyle name="Comma 5 5" xfId="4569"/>
    <cellStyle name="Comma 5 5 2" xfId="2124"/>
    <cellStyle name="Comma 5 6" xfId="4562"/>
    <cellStyle name="Comma 5 6 2" xfId="9358"/>
    <cellStyle name="Comma 5 6 3" xfId="14906"/>
    <cellStyle name="Comma 50" xfId="9359"/>
    <cellStyle name="Comma 50 2" xfId="9360"/>
    <cellStyle name="Comma 51" xfId="9361"/>
    <cellStyle name="Comma 51 2" xfId="9362"/>
    <cellStyle name="Comma 52" xfId="9363"/>
    <cellStyle name="Comma 52 2" xfId="9364"/>
    <cellStyle name="Comma 53" xfId="9365"/>
    <cellStyle name="Comma 53 2" xfId="9366"/>
    <cellStyle name="Comma 54" xfId="9367"/>
    <cellStyle name="Comma 54 2" xfId="9368"/>
    <cellStyle name="Comma 55" xfId="2123"/>
    <cellStyle name="Comma 55 2" xfId="11202"/>
    <cellStyle name="Comma 56" xfId="11788"/>
    <cellStyle name="Comma 56 2" xfId="11789"/>
    <cellStyle name="Comma 57" xfId="11203"/>
    <cellStyle name="Comma 57 2" xfId="11790"/>
    <cellStyle name="Comma 58" xfId="11791"/>
    <cellStyle name="Comma 58 2" xfId="11204"/>
    <cellStyle name="Comma 59" xfId="11792"/>
    <cellStyle name="Comma 59 2" xfId="11793"/>
    <cellStyle name="Comma 6" xfId="1447"/>
    <cellStyle name="Comma 6 2" xfId="4571"/>
    <cellStyle name="Comma 6 2 2" xfId="11205"/>
    <cellStyle name="Comma 6 3" xfId="4572"/>
    <cellStyle name="Comma 6 3 2" xfId="11794"/>
    <cellStyle name="Comma 6 4" xfId="4573"/>
    <cellStyle name="Comma 6 4 2" xfId="11795"/>
    <cellStyle name="Comma 6 5" xfId="4574"/>
    <cellStyle name="Comma 6 5 2" xfId="2122"/>
    <cellStyle name="Comma 6 6" xfId="4570"/>
    <cellStyle name="Comma 6 6 2" xfId="11206"/>
    <cellStyle name="Comma 60" xfId="11796"/>
    <cellStyle name="Comma 60 2" xfId="11797"/>
    <cellStyle name="Comma 61" xfId="2121"/>
    <cellStyle name="Comma 61 2" xfId="11207"/>
    <cellStyle name="Comma 62" xfId="11798"/>
    <cellStyle name="Comma 62 2" xfId="11799"/>
    <cellStyle name="Comma 63" xfId="2120"/>
    <cellStyle name="Comma 63 2" xfId="11208"/>
    <cellStyle name="Comma 64" xfId="11800"/>
    <cellStyle name="Comma 64 2" xfId="11801"/>
    <cellStyle name="Comma 65" xfId="9369"/>
    <cellStyle name="Comma 65 2" xfId="11209"/>
    <cellStyle name="Comma 66" xfId="11802"/>
    <cellStyle name="Comma 67" xfId="11803"/>
    <cellStyle name="Comma 68" xfId="11210"/>
    <cellStyle name="Comma 69" xfId="11804"/>
    <cellStyle name="Comma 7" xfId="4575"/>
    <cellStyle name="Comma 7 2" xfId="4576"/>
    <cellStyle name="Comma 7 2 2" xfId="4577"/>
    <cellStyle name="Comma 7 2 3" xfId="4578"/>
    <cellStyle name="Comma 7 2 4" xfId="11211"/>
    <cellStyle name="Comma 7 3" xfId="4579"/>
    <cellStyle name="Comma 7 3 2" xfId="11805"/>
    <cellStyle name="Comma 7 4" xfId="4580"/>
    <cellStyle name="Comma 70" xfId="11212"/>
    <cellStyle name="Comma 71" xfId="11806"/>
    <cellStyle name="Comma 72" xfId="11807"/>
    <cellStyle name="Comma 73" xfId="11213"/>
    <cellStyle name="Comma 74" xfId="11808"/>
    <cellStyle name="Comma 75" xfId="11809"/>
    <cellStyle name="Comma 76" xfId="11214"/>
    <cellStyle name="Comma 77" xfId="11810"/>
    <cellStyle name="Comma 78" xfId="11811"/>
    <cellStyle name="Comma 79" xfId="11215"/>
    <cellStyle name="Comma 8" xfId="4581"/>
    <cellStyle name="Comma 8 2" xfId="4582"/>
    <cellStyle name="Comma 8 2 2" xfId="11812"/>
    <cellStyle name="Comma 8 2 3" xfId="15156"/>
    <cellStyle name="Comma 8 3" xfId="4583"/>
    <cellStyle name="Comma 8 3 2" xfId="15157"/>
    <cellStyle name="Comma 8 4" xfId="4584"/>
    <cellStyle name="Comma 8 4 2" xfId="14911"/>
    <cellStyle name="Comma 8 4 3" xfId="15158"/>
    <cellStyle name="Comma 8 5" xfId="15036"/>
    <cellStyle name="Comma 8 6" xfId="15068"/>
    <cellStyle name="Comma 8 7" xfId="15155"/>
    <cellStyle name="Comma 80" xfId="12988"/>
    <cellStyle name="Comma 81" xfId="2119"/>
    <cellStyle name="Comma 82" xfId="8877"/>
    <cellStyle name="Comma 83" xfId="9372"/>
    <cellStyle name="Comma 84" xfId="11757"/>
    <cellStyle name="Comma 85" xfId="9371"/>
    <cellStyle name="Comma 86" xfId="11813"/>
    <cellStyle name="Comma 87" xfId="8878"/>
    <cellStyle name="Comma 88" xfId="11216"/>
    <cellStyle name="Comma 89" xfId="11814"/>
    <cellStyle name="Comma 9" xfId="4585"/>
    <cellStyle name="Comma 9 2" xfId="4586"/>
    <cellStyle name="Comma 9 2 2" xfId="11217"/>
    <cellStyle name="Comma 9 3" xfId="4587"/>
    <cellStyle name="Comma 9 3 2" xfId="11816"/>
    <cellStyle name="Comma 9 4" xfId="4588"/>
    <cellStyle name="Comma 9 4 2" xfId="11817"/>
    <cellStyle name="Comma 9 5" xfId="4589"/>
    <cellStyle name="Comma 9 6" xfId="11815"/>
    <cellStyle name="Comma 9 7" xfId="15069"/>
    <cellStyle name="Comma 9 8" xfId="15095"/>
    <cellStyle name="Comma 90" xfId="9373"/>
    <cellStyle name="Comma 91" xfId="11218"/>
    <cellStyle name="Comma 92" xfId="11818"/>
    <cellStyle name="Comma 93" xfId="11819"/>
    <cellStyle name="Comma 94" xfId="12982"/>
    <cellStyle name="Comma 95" xfId="11219"/>
    <cellStyle name="Comma 96" xfId="11820"/>
    <cellStyle name="Comma 97" xfId="11821"/>
    <cellStyle name="Comma 98" xfId="9370"/>
    <cellStyle name="Comma 99" xfId="11220"/>
    <cellStyle name="comma zerodec" xfId="811"/>
    <cellStyle name="comma zerodec 2" xfId="11822"/>
    <cellStyle name="competitor" xfId="4590"/>
    <cellStyle name="competitor 10" xfId="4591"/>
    <cellStyle name="competitor 10 2" xfId="4592"/>
    <cellStyle name="competitor 10 2 2" xfId="4593"/>
    <cellStyle name="competitor 10 2 2 2" xfId="4594"/>
    <cellStyle name="competitor 10 2 3" xfId="4595"/>
    <cellStyle name="competitor 10 3" xfId="4596"/>
    <cellStyle name="competitor 10 3 2" xfId="4597"/>
    <cellStyle name="competitor 10 3 2 2" xfId="4598"/>
    <cellStyle name="competitor 10 3 3" xfId="4599"/>
    <cellStyle name="competitor 10 4" xfId="4600"/>
    <cellStyle name="competitor 10 4 2" xfId="4601"/>
    <cellStyle name="competitor 10 4 2 2" xfId="4602"/>
    <cellStyle name="competitor 10 4 3" xfId="4603"/>
    <cellStyle name="competitor 10 5" xfId="4604"/>
    <cellStyle name="competitor 10 5 2" xfId="4605"/>
    <cellStyle name="competitor 10 5 2 2" xfId="4606"/>
    <cellStyle name="competitor 10 5 3" xfId="4607"/>
    <cellStyle name="competitor 10 6" xfId="4608"/>
    <cellStyle name="competitor 10 6 2" xfId="4609"/>
    <cellStyle name="competitor 10 7" xfId="4610"/>
    <cellStyle name="competitor 11" xfId="4611"/>
    <cellStyle name="competitor 11 2" xfId="4612"/>
    <cellStyle name="competitor 11 2 2" xfId="4613"/>
    <cellStyle name="competitor 11 2 2 2" xfId="4614"/>
    <cellStyle name="competitor 11 2 3" xfId="4615"/>
    <cellStyle name="competitor 11 3" xfId="4616"/>
    <cellStyle name="competitor 11 3 2" xfId="4617"/>
    <cellStyle name="competitor 11 3 2 2" xfId="4618"/>
    <cellStyle name="competitor 11 3 3" xfId="4619"/>
    <cellStyle name="competitor 11 4" xfId="4620"/>
    <cellStyle name="competitor 11 4 2" xfId="4621"/>
    <cellStyle name="competitor 11 4 2 2" xfId="4622"/>
    <cellStyle name="competitor 11 4 3" xfId="4623"/>
    <cellStyle name="competitor 11 5" xfId="4624"/>
    <cellStyle name="competitor 11 5 2" xfId="4625"/>
    <cellStyle name="competitor 11 5 2 2" xfId="4626"/>
    <cellStyle name="competitor 11 5 3" xfId="4627"/>
    <cellStyle name="competitor 11 6" xfId="4628"/>
    <cellStyle name="competitor 11 6 2" xfId="4629"/>
    <cellStyle name="competitor 11 7" xfId="4630"/>
    <cellStyle name="competitor 12" xfId="4631"/>
    <cellStyle name="competitor 12 2" xfId="4632"/>
    <cellStyle name="competitor 12 2 2" xfId="4633"/>
    <cellStyle name="competitor 12 2 2 2" xfId="4634"/>
    <cellStyle name="competitor 12 2 3" xfId="4635"/>
    <cellStyle name="competitor 12 3" xfId="4636"/>
    <cellStyle name="competitor 12 3 2" xfId="4637"/>
    <cellStyle name="competitor 12 3 2 2" xfId="4638"/>
    <cellStyle name="competitor 12 3 3" xfId="4639"/>
    <cellStyle name="competitor 12 4" xfId="4640"/>
    <cellStyle name="competitor 12 4 2" xfId="4641"/>
    <cellStyle name="competitor 12 4 2 2" xfId="4642"/>
    <cellStyle name="competitor 12 4 3" xfId="4643"/>
    <cellStyle name="competitor 12 5" xfId="4644"/>
    <cellStyle name="competitor 12 5 2" xfId="4645"/>
    <cellStyle name="competitor 12 5 2 2" xfId="4646"/>
    <cellStyle name="competitor 12 5 3" xfId="4647"/>
    <cellStyle name="competitor 12 6" xfId="4648"/>
    <cellStyle name="competitor 12 6 2" xfId="4649"/>
    <cellStyle name="competitor 12 7" xfId="4650"/>
    <cellStyle name="competitor 13" xfId="4651"/>
    <cellStyle name="competitor 13 2" xfId="4652"/>
    <cellStyle name="competitor 13 2 2" xfId="4653"/>
    <cellStyle name="competitor 13 2 2 2" xfId="4654"/>
    <cellStyle name="competitor 13 2 3" xfId="4655"/>
    <cellStyle name="competitor 13 3" xfId="4656"/>
    <cellStyle name="competitor 13 3 2" xfId="4657"/>
    <cellStyle name="competitor 13 3 2 2" xfId="4658"/>
    <cellStyle name="competitor 13 3 3" xfId="4659"/>
    <cellStyle name="competitor 13 4" xfId="4660"/>
    <cellStyle name="competitor 13 4 2" xfId="4661"/>
    <cellStyle name="competitor 13 4 2 2" xfId="4662"/>
    <cellStyle name="competitor 13 4 3" xfId="4663"/>
    <cellStyle name="competitor 13 5" xfId="4664"/>
    <cellStyle name="competitor 13 5 2" xfId="4665"/>
    <cellStyle name="competitor 13 5 2 2" xfId="4666"/>
    <cellStyle name="competitor 13 5 3" xfId="4667"/>
    <cellStyle name="competitor 13 6" xfId="4668"/>
    <cellStyle name="competitor 13 6 2" xfId="4669"/>
    <cellStyle name="competitor 13 7" xfId="4670"/>
    <cellStyle name="competitor 14" xfId="4671"/>
    <cellStyle name="competitor 14 2" xfId="4672"/>
    <cellStyle name="competitor 14 2 2" xfId="4673"/>
    <cellStyle name="competitor 14 2 2 2" xfId="4674"/>
    <cellStyle name="competitor 14 2 3" xfId="4675"/>
    <cellStyle name="competitor 14 3" xfId="4676"/>
    <cellStyle name="competitor 14 3 2" xfId="4677"/>
    <cellStyle name="competitor 14 3 2 2" xfId="4678"/>
    <cellStyle name="competitor 14 3 3" xfId="4679"/>
    <cellStyle name="competitor 14 4" xfId="4680"/>
    <cellStyle name="competitor 14 4 2" xfId="4681"/>
    <cellStyle name="competitor 14 4 2 2" xfId="4682"/>
    <cellStyle name="competitor 14 4 3" xfId="4683"/>
    <cellStyle name="competitor 14 5" xfId="4684"/>
    <cellStyle name="competitor 14 5 2" xfId="4685"/>
    <cellStyle name="competitor 14 5 2 2" xfId="4686"/>
    <cellStyle name="competitor 14 5 3" xfId="4687"/>
    <cellStyle name="competitor 14 6" xfId="4688"/>
    <cellStyle name="competitor 14 6 2" xfId="4689"/>
    <cellStyle name="competitor 14 7" xfId="4690"/>
    <cellStyle name="competitor 15" xfId="4691"/>
    <cellStyle name="competitor 15 2" xfId="4692"/>
    <cellStyle name="competitor 15 2 2" xfId="4693"/>
    <cellStyle name="competitor 15 2 2 2" xfId="4694"/>
    <cellStyle name="competitor 15 2 3" xfId="4695"/>
    <cellStyle name="competitor 15 3" xfId="4696"/>
    <cellStyle name="competitor 15 3 2" xfId="4697"/>
    <cellStyle name="competitor 15 3 2 2" xfId="4698"/>
    <cellStyle name="competitor 15 3 3" xfId="4699"/>
    <cellStyle name="competitor 15 4" xfId="4700"/>
    <cellStyle name="competitor 15 4 2" xfId="4701"/>
    <cellStyle name="competitor 15 4 2 2" xfId="4702"/>
    <cellStyle name="competitor 15 4 3" xfId="4703"/>
    <cellStyle name="competitor 15 5" xfId="4704"/>
    <cellStyle name="competitor 15 5 2" xfId="4705"/>
    <cellStyle name="competitor 15 5 2 2" xfId="4706"/>
    <cellStyle name="competitor 15 5 3" xfId="4707"/>
    <cellStyle name="competitor 15 6" xfId="4708"/>
    <cellStyle name="competitor 15 6 2" xfId="4709"/>
    <cellStyle name="competitor 15 7" xfId="4710"/>
    <cellStyle name="competitor 16" xfId="4711"/>
    <cellStyle name="competitor 16 2" xfId="4712"/>
    <cellStyle name="competitor 16 2 2" xfId="4713"/>
    <cellStyle name="competitor 16 2 2 2" xfId="4714"/>
    <cellStyle name="competitor 16 2 3" xfId="4715"/>
    <cellStyle name="competitor 16 3" xfId="4716"/>
    <cellStyle name="competitor 16 3 2" xfId="4717"/>
    <cellStyle name="competitor 16 3 2 2" xfId="4718"/>
    <cellStyle name="competitor 16 3 3" xfId="4719"/>
    <cellStyle name="competitor 16 4" xfId="4720"/>
    <cellStyle name="competitor 16 4 2" xfId="4721"/>
    <cellStyle name="competitor 16 4 2 2" xfId="4722"/>
    <cellStyle name="competitor 16 4 3" xfId="4723"/>
    <cellStyle name="competitor 16 5" xfId="4724"/>
    <cellStyle name="competitor 16 5 2" xfId="4725"/>
    <cellStyle name="competitor 16 5 2 2" xfId="4726"/>
    <cellStyle name="competitor 16 5 3" xfId="4727"/>
    <cellStyle name="competitor 16 6" xfId="4728"/>
    <cellStyle name="competitor 16 6 2" xfId="4729"/>
    <cellStyle name="competitor 16 7" xfId="4730"/>
    <cellStyle name="competitor 17" xfId="4731"/>
    <cellStyle name="competitor 17 2" xfId="4732"/>
    <cellStyle name="competitor 17 2 2" xfId="4733"/>
    <cellStyle name="competitor 17 2 2 2" xfId="4734"/>
    <cellStyle name="competitor 17 2 3" xfId="4735"/>
    <cellStyle name="competitor 17 3" xfId="4736"/>
    <cellStyle name="competitor 17 3 2" xfId="4737"/>
    <cellStyle name="competitor 17 3 2 2" xfId="4738"/>
    <cellStyle name="competitor 17 3 3" xfId="4739"/>
    <cellStyle name="competitor 17 4" xfId="4740"/>
    <cellStyle name="competitor 17 4 2" xfId="4741"/>
    <cellStyle name="competitor 17 4 2 2" xfId="4742"/>
    <cellStyle name="competitor 17 4 3" xfId="4743"/>
    <cellStyle name="competitor 17 5" xfId="4744"/>
    <cellStyle name="competitor 17 5 2" xfId="4745"/>
    <cellStyle name="competitor 17 5 2 2" xfId="4746"/>
    <cellStyle name="competitor 17 5 3" xfId="4747"/>
    <cellStyle name="competitor 17 6" xfId="4748"/>
    <cellStyle name="competitor 17 6 2" xfId="4749"/>
    <cellStyle name="competitor 17 7" xfId="4750"/>
    <cellStyle name="competitor 18" xfId="4751"/>
    <cellStyle name="competitor 18 2" xfId="4752"/>
    <cellStyle name="competitor 18 2 2" xfId="4753"/>
    <cellStyle name="competitor 18 2 2 2" xfId="4754"/>
    <cellStyle name="competitor 18 2 3" xfId="4755"/>
    <cellStyle name="competitor 18 3" xfId="4756"/>
    <cellStyle name="competitor 18 3 2" xfId="4757"/>
    <cellStyle name="competitor 18 3 2 2" xfId="4758"/>
    <cellStyle name="competitor 18 3 3" xfId="4759"/>
    <cellStyle name="competitor 18 4" xfId="4760"/>
    <cellStyle name="competitor 18 4 2" xfId="4761"/>
    <cellStyle name="competitor 18 4 2 2" xfId="4762"/>
    <cellStyle name="competitor 18 4 3" xfId="4763"/>
    <cellStyle name="competitor 18 5" xfId="4764"/>
    <cellStyle name="competitor 18 5 2" xfId="4765"/>
    <cellStyle name="competitor 18 5 2 2" xfId="4766"/>
    <cellStyle name="competitor 18 5 3" xfId="4767"/>
    <cellStyle name="competitor 18 6" xfId="4768"/>
    <cellStyle name="competitor 18 6 2" xfId="4769"/>
    <cellStyle name="competitor 18 7" xfId="4770"/>
    <cellStyle name="competitor 19" xfId="4771"/>
    <cellStyle name="competitor 19 2" xfId="4772"/>
    <cellStyle name="competitor 19 2 2" xfId="4773"/>
    <cellStyle name="competitor 19 2 2 2" xfId="4774"/>
    <cellStyle name="competitor 19 2 3" xfId="4775"/>
    <cellStyle name="competitor 19 3" xfId="4776"/>
    <cellStyle name="competitor 19 3 2" xfId="4777"/>
    <cellStyle name="competitor 19 3 2 2" xfId="4778"/>
    <cellStyle name="competitor 19 3 3" xfId="4779"/>
    <cellStyle name="competitor 19 4" xfId="4780"/>
    <cellStyle name="competitor 19 4 2" xfId="4781"/>
    <cellStyle name="competitor 19 4 2 2" xfId="4782"/>
    <cellStyle name="competitor 19 4 3" xfId="4783"/>
    <cellStyle name="competitor 19 5" xfId="4784"/>
    <cellStyle name="competitor 19 5 2" xfId="4785"/>
    <cellStyle name="competitor 19 5 2 2" xfId="4786"/>
    <cellStyle name="competitor 19 5 3" xfId="4787"/>
    <cellStyle name="competitor 19 6" xfId="4788"/>
    <cellStyle name="competitor 19 6 2" xfId="4789"/>
    <cellStyle name="competitor 19 7" xfId="4790"/>
    <cellStyle name="competitor 2" xfId="4791"/>
    <cellStyle name="competitor 2 2" xfId="4792"/>
    <cellStyle name="competitor 2 2 2" xfId="4793"/>
    <cellStyle name="competitor 2 2 2 2" xfId="4794"/>
    <cellStyle name="competitor 2 2 2 2 2" xfId="4795"/>
    <cellStyle name="competitor 2 2 2 3" xfId="4796"/>
    <cellStyle name="competitor 2 2 3" xfId="4797"/>
    <cellStyle name="competitor 2 2 3 2" xfId="4798"/>
    <cellStyle name="competitor 2 2 3 2 2" xfId="4799"/>
    <cellStyle name="competitor 2 2 3 3" xfId="4800"/>
    <cellStyle name="competitor 2 2 4" xfId="4801"/>
    <cellStyle name="competitor 2 2 4 2" xfId="4802"/>
    <cellStyle name="competitor 2 2 4 2 2" xfId="4803"/>
    <cellStyle name="competitor 2 2 4 3" xfId="4804"/>
    <cellStyle name="competitor 2 2 5" xfId="4805"/>
    <cellStyle name="competitor 2 2 5 2" xfId="4806"/>
    <cellStyle name="competitor 2 2 5 2 2" xfId="4807"/>
    <cellStyle name="competitor 2 2 5 3" xfId="4808"/>
    <cellStyle name="competitor 2 2 6" xfId="4809"/>
    <cellStyle name="competitor 2 2 6 2" xfId="4810"/>
    <cellStyle name="competitor 2 2 7" xfId="4811"/>
    <cellStyle name="competitor 2 3" xfId="4812"/>
    <cellStyle name="competitor 2 3 2" xfId="4813"/>
    <cellStyle name="competitor 2 3 2 2" xfId="4814"/>
    <cellStyle name="competitor 2 3 2 2 2" xfId="4815"/>
    <cellStyle name="competitor 2 3 2 3" xfId="4816"/>
    <cellStyle name="competitor 2 3 3" xfId="4817"/>
    <cellStyle name="competitor 2 3 3 2" xfId="4818"/>
    <cellStyle name="competitor 2 3 3 2 2" xfId="4819"/>
    <cellStyle name="competitor 2 3 3 3" xfId="4820"/>
    <cellStyle name="competitor 2 3 4" xfId="4821"/>
    <cellStyle name="competitor 2 3 4 2" xfId="4822"/>
    <cellStyle name="competitor 2 3 4 2 2" xfId="4823"/>
    <cellStyle name="competitor 2 3 4 3" xfId="4824"/>
    <cellStyle name="competitor 2 3 5" xfId="4825"/>
    <cellStyle name="competitor 2 3 5 2" xfId="4826"/>
    <cellStyle name="competitor 2 3 5 2 2" xfId="4827"/>
    <cellStyle name="competitor 2 3 5 3" xfId="4828"/>
    <cellStyle name="competitor 2 3 6" xfId="4829"/>
    <cellStyle name="competitor 2 3 6 2" xfId="4830"/>
    <cellStyle name="competitor 2 3 7" xfId="4831"/>
    <cellStyle name="competitor 2 4" xfId="4832"/>
    <cellStyle name="competitor 2 4 2" xfId="4833"/>
    <cellStyle name="competitor 2 4 2 2" xfId="4834"/>
    <cellStyle name="competitor 2 4 2 2 2" xfId="4835"/>
    <cellStyle name="competitor 2 4 2 3" xfId="4836"/>
    <cellStyle name="competitor 2 4 3" xfId="4837"/>
    <cellStyle name="competitor 2 4 3 2" xfId="4838"/>
    <cellStyle name="competitor 2 4 3 2 2" xfId="4839"/>
    <cellStyle name="competitor 2 4 3 3" xfId="4840"/>
    <cellStyle name="competitor 2 4 4" xfId="4841"/>
    <cellStyle name="competitor 2 4 4 2" xfId="4842"/>
    <cellStyle name="competitor 2 4 4 2 2" xfId="4843"/>
    <cellStyle name="competitor 2 4 4 3" xfId="4844"/>
    <cellStyle name="competitor 2 4 5" xfId="4845"/>
    <cellStyle name="competitor 2 4 5 2" xfId="4846"/>
    <cellStyle name="competitor 2 4 5 2 2" xfId="4847"/>
    <cellStyle name="competitor 2 4 5 3" xfId="4848"/>
    <cellStyle name="competitor 2 4 6" xfId="4849"/>
    <cellStyle name="competitor 2 4 6 2" xfId="4850"/>
    <cellStyle name="competitor 2 4 7" xfId="4851"/>
    <cellStyle name="competitor 2 5" xfId="4852"/>
    <cellStyle name="competitor 2 5 2" xfId="4853"/>
    <cellStyle name="competitor 2 5 2 2" xfId="4854"/>
    <cellStyle name="competitor 2 5 2 2 2" xfId="4855"/>
    <cellStyle name="competitor 2 5 2 3" xfId="4856"/>
    <cellStyle name="competitor 2 5 3" xfId="4857"/>
    <cellStyle name="competitor 2 5 3 2" xfId="4858"/>
    <cellStyle name="competitor 2 5 3 2 2" xfId="4859"/>
    <cellStyle name="competitor 2 5 3 3" xfId="4860"/>
    <cellStyle name="competitor 2 5 4" xfId="4861"/>
    <cellStyle name="competitor 2 5 4 2" xfId="4862"/>
    <cellStyle name="competitor 2 5 4 2 2" xfId="4863"/>
    <cellStyle name="competitor 2 5 4 3" xfId="4864"/>
    <cellStyle name="competitor 2 5 5" xfId="4865"/>
    <cellStyle name="competitor 2 5 5 2" xfId="4866"/>
    <cellStyle name="competitor 2 5 5 2 2" xfId="4867"/>
    <cellStyle name="competitor 2 5 5 3" xfId="4868"/>
    <cellStyle name="competitor 2 5 6" xfId="4869"/>
    <cellStyle name="competitor 2 5 6 2" xfId="4870"/>
    <cellStyle name="competitor 2 5 7" xfId="4871"/>
    <cellStyle name="competitor 2 6" xfId="4872"/>
    <cellStyle name="competitor 2 6 2" xfId="4873"/>
    <cellStyle name="competitor 2 6 2 2" xfId="4874"/>
    <cellStyle name="competitor 2 6 3" xfId="4875"/>
    <cellStyle name="competitor 2 7" xfId="4876"/>
    <cellStyle name="competitor 2 7 2" xfId="4877"/>
    <cellStyle name="competitor 2 7 2 2" xfId="4878"/>
    <cellStyle name="competitor 2 7 3" xfId="4879"/>
    <cellStyle name="competitor 2 8" xfId="4880"/>
    <cellStyle name="competitor 2 8 2" xfId="4881"/>
    <cellStyle name="competitor 2 8 2 2" xfId="4882"/>
    <cellStyle name="competitor 2 8 3" xfId="4883"/>
    <cellStyle name="competitor 2 9" xfId="4884"/>
    <cellStyle name="competitor 2 9 2" xfId="4885"/>
    <cellStyle name="competitor 2 9 2 2" xfId="4886"/>
    <cellStyle name="competitor 2 9 3" xfId="4887"/>
    <cellStyle name="competitor 20" xfId="4888"/>
    <cellStyle name="competitor 20 2" xfId="4889"/>
    <cellStyle name="competitor 20 2 2" xfId="4890"/>
    <cellStyle name="competitor 20 2 2 2" xfId="4891"/>
    <cellStyle name="competitor 20 2 3" xfId="4892"/>
    <cellStyle name="competitor 20 3" xfId="4893"/>
    <cellStyle name="competitor 20 3 2" xfId="4894"/>
    <cellStyle name="competitor 20 3 2 2" xfId="4895"/>
    <cellStyle name="competitor 20 3 3" xfId="4896"/>
    <cellStyle name="competitor 20 4" xfId="4897"/>
    <cellStyle name="competitor 20 4 2" xfId="4898"/>
    <cellStyle name="competitor 20 4 2 2" xfId="4899"/>
    <cellStyle name="competitor 20 4 3" xfId="4900"/>
    <cellStyle name="competitor 20 5" xfId="4901"/>
    <cellStyle name="competitor 20 5 2" xfId="4902"/>
    <cellStyle name="competitor 20 5 2 2" xfId="4903"/>
    <cellStyle name="competitor 20 5 3" xfId="4904"/>
    <cellStyle name="competitor 20 6" xfId="4905"/>
    <cellStyle name="competitor 20 6 2" xfId="4906"/>
    <cellStyle name="competitor 20 7" xfId="4907"/>
    <cellStyle name="competitor 21" xfId="4908"/>
    <cellStyle name="competitor 21 2" xfId="4909"/>
    <cellStyle name="competitor 21 2 2" xfId="4910"/>
    <cellStyle name="competitor 21 2 2 2" xfId="4911"/>
    <cellStyle name="competitor 21 2 3" xfId="4912"/>
    <cellStyle name="competitor 21 3" xfId="4913"/>
    <cellStyle name="competitor 21 3 2" xfId="4914"/>
    <cellStyle name="competitor 21 3 2 2" xfId="4915"/>
    <cellStyle name="competitor 21 3 3" xfId="4916"/>
    <cellStyle name="competitor 21 4" xfId="4917"/>
    <cellStyle name="competitor 21 4 2" xfId="4918"/>
    <cellStyle name="competitor 21 4 2 2" xfId="4919"/>
    <cellStyle name="competitor 21 4 3" xfId="4920"/>
    <cellStyle name="competitor 21 5" xfId="4921"/>
    <cellStyle name="competitor 21 5 2" xfId="4922"/>
    <cellStyle name="competitor 21 5 2 2" xfId="4923"/>
    <cellStyle name="competitor 21 5 3" xfId="4924"/>
    <cellStyle name="competitor 21 6" xfId="4925"/>
    <cellStyle name="competitor 21 6 2" xfId="4926"/>
    <cellStyle name="competitor 21 7" xfId="4927"/>
    <cellStyle name="competitor 22" xfId="4928"/>
    <cellStyle name="competitor 22 2" xfId="4929"/>
    <cellStyle name="competitor 22 2 2" xfId="4930"/>
    <cellStyle name="competitor 22 2 2 2" xfId="4931"/>
    <cellStyle name="competitor 22 2 3" xfId="4932"/>
    <cellStyle name="competitor 22 3" xfId="4933"/>
    <cellStyle name="competitor 22 3 2" xfId="4934"/>
    <cellStyle name="competitor 22 3 2 2" xfId="4935"/>
    <cellStyle name="competitor 22 3 3" xfId="4936"/>
    <cellStyle name="competitor 22 4" xfId="4937"/>
    <cellStyle name="competitor 22 4 2" xfId="4938"/>
    <cellStyle name="competitor 22 4 2 2" xfId="4939"/>
    <cellStyle name="competitor 22 4 3" xfId="4940"/>
    <cellStyle name="competitor 22 5" xfId="4941"/>
    <cellStyle name="competitor 22 5 2" xfId="4942"/>
    <cellStyle name="competitor 22 5 2 2" xfId="4943"/>
    <cellStyle name="competitor 22 5 3" xfId="4944"/>
    <cellStyle name="competitor 22 6" xfId="4945"/>
    <cellStyle name="competitor 22 6 2" xfId="4946"/>
    <cellStyle name="competitor 22 7" xfId="4947"/>
    <cellStyle name="competitor 23" xfId="4948"/>
    <cellStyle name="competitor 23 2" xfId="4949"/>
    <cellStyle name="competitor 23 2 2" xfId="4950"/>
    <cellStyle name="competitor 23 2 2 2" xfId="4951"/>
    <cellStyle name="competitor 23 2 3" xfId="4952"/>
    <cellStyle name="competitor 23 3" xfId="4953"/>
    <cellStyle name="competitor 23 3 2" xfId="4954"/>
    <cellStyle name="competitor 23 3 2 2" xfId="4955"/>
    <cellStyle name="competitor 23 3 3" xfId="4956"/>
    <cellStyle name="competitor 23 4" xfId="4957"/>
    <cellStyle name="competitor 23 4 2" xfId="4958"/>
    <cellStyle name="competitor 23 4 2 2" xfId="4959"/>
    <cellStyle name="competitor 23 4 3" xfId="4960"/>
    <cellStyle name="competitor 23 5" xfId="4961"/>
    <cellStyle name="competitor 23 5 2" xfId="4962"/>
    <cellStyle name="competitor 23 5 2 2" xfId="4963"/>
    <cellStyle name="competitor 23 5 3" xfId="4964"/>
    <cellStyle name="competitor 23 6" xfId="4965"/>
    <cellStyle name="competitor 23 6 2" xfId="4966"/>
    <cellStyle name="competitor 23 7" xfId="4967"/>
    <cellStyle name="competitor 24" xfId="4968"/>
    <cellStyle name="competitor 24 2" xfId="4969"/>
    <cellStyle name="competitor 24 2 2" xfId="4970"/>
    <cellStyle name="competitor 24 2 2 2" xfId="4971"/>
    <cellStyle name="competitor 24 2 3" xfId="4972"/>
    <cellStyle name="competitor 24 3" xfId="4973"/>
    <cellStyle name="competitor 24 3 2" xfId="4974"/>
    <cellStyle name="competitor 24 3 2 2" xfId="4975"/>
    <cellStyle name="competitor 24 3 3" xfId="4976"/>
    <cellStyle name="competitor 24 4" xfId="4977"/>
    <cellStyle name="competitor 24 4 2" xfId="4978"/>
    <cellStyle name="competitor 24 4 2 2" xfId="4979"/>
    <cellStyle name="competitor 24 4 3" xfId="4980"/>
    <cellStyle name="competitor 24 5" xfId="4981"/>
    <cellStyle name="competitor 24 5 2" xfId="4982"/>
    <cellStyle name="competitor 24 5 2 2" xfId="4983"/>
    <cellStyle name="competitor 24 5 3" xfId="4984"/>
    <cellStyle name="competitor 24 6" xfId="4985"/>
    <cellStyle name="competitor 24 6 2" xfId="4986"/>
    <cellStyle name="competitor 24 7" xfId="4987"/>
    <cellStyle name="competitor 25" xfId="4988"/>
    <cellStyle name="competitor 25 2" xfId="4989"/>
    <cellStyle name="competitor 25 2 2" xfId="4990"/>
    <cellStyle name="competitor 25 3" xfId="4991"/>
    <cellStyle name="competitor 26" xfId="4992"/>
    <cellStyle name="competitor 26 2" xfId="4993"/>
    <cellStyle name="competitor 26 2 2" xfId="4994"/>
    <cellStyle name="competitor 26 3" xfId="4995"/>
    <cellStyle name="competitor 27" xfId="4996"/>
    <cellStyle name="competitor 27 2" xfId="4997"/>
    <cellStyle name="competitor 27 2 2" xfId="4998"/>
    <cellStyle name="competitor 27 3" xfId="4999"/>
    <cellStyle name="competitor 28" xfId="5000"/>
    <cellStyle name="competitor 28 2" xfId="5001"/>
    <cellStyle name="competitor 28 2 2" xfId="5002"/>
    <cellStyle name="competitor 28 3" xfId="5003"/>
    <cellStyle name="competitor 3" xfId="5004"/>
    <cellStyle name="competitor 3 2" xfId="5005"/>
    <cellStyle name="competitor 3 2 2" xfId="5006"/>
    <cellStyle name="competitor 3 2 2 2" xfId="5007"/>
    <cellStyle name="competitor 3 2 2 2 2" xfId="5008"/>
    <cellStyle name="competitor 3 2 2 3" xfId="5009"/>
    <cellStyle name="competitor 3 2 3" xfId="5010"/>
    <cellStyle name="competitor 3 2 3 2" xfId="5011"/>
    <cellStyle name="competitor 3 2 3 2 2" xfId="5012"/>
    <cellStyle name="competitor 3 2 3 3" xfId="5013"/>
    <cellStyle name="competitor 3 2 4" xfId="5014"/>
    <cellStyle name="competitor 3 2 4 2" xfId="5015"/>
    <cellStyle name="competitor 3 2 4 2 2" xfId="5016"/>
    <cellStyle name="competitor 3 2 4 3" xfId="5017"/>
    <cellStyle name="competitor 3 2 5" xfId="5018"/>
    <cellStyle name="competitor 3 2 5 2" xfId="5019"/>
    <cellStyle name="competitor 3 2 5 2 2" xfId="5020"/>
    <cellStyle name="competitor 3 2 5 3" xfId="5021"/>
    <cellStyle name="competitor 3 2 6" xfId="5022"/>
    <cellStyle name="competitor 3 2 6 2" xfId="5023"/>
    <cellStyle name="competitor 3 2 7" xfId="5024"/>
    <cellStyle name="competitor 3 3" xfId="5025"/>
    <cellStyle name="competitor 3 3 2" xfId="5026"/>
    <cellStyle name="competitor 3 3 2 2" xfId="5027"/>
    <cellStyle name="competitor 3 3 2 2 2" xfId="5028"/>
    <cellStyle name="competitor 3 3 2 3" xfId="5029"/>
    <cellStyle name="competitor 3 3 3" xfId="5030"/>
    <cellStyle name="competitor 3 3 3 2" xfId="5031"/>
    <cellStyle name="competitor 3 3 3 2 2" xfId="5032"/>
    <cellStyle name="competitor 3 3 3 3" xfId="5033"/>
    <cellStyle name="competitor 3 3 4" xfId="5034"/>
    <cellStyle name="competitor 3 3 4 2" xfId="5035"/>
    <cellStyle name="competitor 3 3 4 2 2" xfId="5036"/>
    <cellStyle name="competitor 3 3 4 3" xfId="5037"/>
    <cellStyle name="competitor 3 3 5" xfId="5038"/>
    <cellStyle name="competitor 3 3 5 2" xfId="5039"/>
    <cellStyle name="competitor 3 3 5 2 2" xfId="5040"/>
    <cellStyle name="competitor 3 3 5 3" xfId="5041"/>
    <cellStyle name="competitor 3 3 6" xfId="5042"/>
    <cellStyle name="competitor 3 3 6 2" xfId="5043"/>
    <cellStyle name="competitor 3 3 7" xfId="5044"/>
    <cellStyle name="competitor 3 4" xfId="5045"/>
    <cellStyle name="competitor 3 4 2" xfId="5046"/>
    <cellStyle name="competitor 3 4 2 2" xfId="5047"/>
    <cellStyle name="competitor 3 4 2 2 2" xfId="5048"/>
    <cellStyle name="competitor 3 4 2 3" xfId="5049"/>
    <cellStyle name="competitor 3 4 3" xfId="5050"/>
    <cellStyle name="competitor 3 4 3 2" xfId="5051"/>
    <cellStyle name="competitor 3 4 3 2 2" xfId="5052"/>
    <cellStyle name="competitor 3 4 3 3" xfId="5053"/>
    <cellStyle name="competitor 3 4 4" xfId="5054"/>
    <cellStyle name="competitor 3 4 4 2" xfId="5055"/>
    <cellStyle name="competitor 3 4 4 2 2" xfId="5056"/>
    <cellStyle name="competitor 3 4 4 3" xfId="5057"/>
    <cellStyle name="competitor 3 4 5" xfId="5058"/>
    <cellStyle name="competitor 3 4 5 2" xfId="5059"/>
    <cellStyle name="competitor 3 4 5 2 2" xfId="5060"/>
    <cellStyle name="competitor 3 4 5 3" xfId="5061"/>
    <cellStyle name="competitor 3 4 6" xfId="5062"/>
    <cellStyle name="competitor 3 4 6 2" xfId="5063"/>
    <cellStyle name="competitor 3 4 7" xfId="5064"/>
    <cellStyle name="competitor 3 5" xfId="5065"/>
    <cellStyle name="competitor 3 5 2" xfId="5066"/>
    <cellStyle name="competitor 3 5 2 2" xfId="5067"/>
    <cellStyle name="competitor 3 5 2 2 2" xfId="5068"/>
    <cellStyle name="competitor 3 5 2 3" xfId="5069"/>
    <cellStyle name="competitor 3 5 3" xfId="5070"/>
    <cellStyle name="competitor 3 5 3 2" xfId="5071"/>
    <cellStyle name="competitor 3 5 3 2 2" xfId="5072"/>
    <cellStyle name="competitor 3 5 3 3" xfId="5073"/>
    <cellStyle name="competitor 3 5 4" xfId="5074"/>
    <cellStyle name="competitor 3 5 4 2" xfId="5075"/>
    <cellStyle name="competitor 3 5 4 2 2" xfId="5076"/>
    <cellStyle name="competitor 3 5 4 3" xfId="5077"/>
    <cellStyle name="competitor 3 5 5" xfId="5078"/>
    <cellStyle name="competitor 3 5 5 2" xfId="5079"/>
    <cellStyle name="competitor 3 5 5 2 2" xfId="5080"/>
    <cellStyle name="competitor 3 5 5 3" xfId="5081"/>
    <cellStyle name="competitor 3 5 6" xfId="5082"/>
    <cellStyle name="competitor 3 5 6 2" xfId="5083"/>
    <cellStyle name="competitor 3 5 7" xfId="5084"/>
    <cellStyle name="competitor 3 6" xfId="5085"/>
    <cellStyle name="competitor 3 6 2" xfId="5086"/>
    <cellStyle name="competitor 3 6 2 2" xfId="5087"/>
    <cellStyle name="competitor 3 6 3" xfId="5088"/>
    <cellStyle name="competitor 3 7" xfId="5089"/>
    <cellStyle name="competitor 3 7 2" xfId="5090"/>
    <cellStyle name="competitor 3 7 2 2" xfId="5091"/>
    <cellStyle name="competitor 3 7 3" xfId="5092"/>
    <cellStyle name="competitor 3 8" xfId="5093"/>
    <cellStyle name="competitor 3 8 2" xfId="5094"/>
    <cellStyle name="competitor 3 8 2 2" xfId="5095"/>
    <cellStyle name="competitor 3 8 3" xfId="5096"/>
    <cellStyle name="competitor 3 9" xfId="5097"/>
    <cellStyle name="competitor 3 9 2" xfId="5098"/>
    <cellStyle name="competitor 3 9 2 2" xfId="5099"/>
    <cellStyle name="competitor 3 9 3" xfId="5100"/>
    <cellStyle name="competitor 4" xfId="5101"/>
    <cellStyle name="competitor 4 2" xfId="5102"/>
    <cellStyle name="competitor 4 2 2" xfId="5103"/>
    <cellStyle name="competitor 4 2 2 2" xfId="5104"/>
    <cellStyle name="competitor 4 2 3" xfId="5105"/>
    <cellStyle name="competitor 4 3" xfId="5106"/>
    <cellStyle name="competitor 4 3 2" xfId="5107"/>
    <cellStyle name="competitor 4 3 2 2" xfId="5108"/>
    <cellStyle name="competitor 4 3 3" xfId="5109"/>
    <cellStyle name="competitor 4 4" xfId="5110"/>
    <cellStyle name="competitor 4 4 2" xfId="5111"/>
    <cellStyle name="competitor 4 4 2 2" xfId="5112"/>
    <cellStyle name="competitor 4 4 3" xfId="5113"/>
    <cellStyle name="competitor 4 5" xfId="5114"/>
    <cellStyle name="competitor 4 5 2" xfId="5115"/>
    <cellStyle name="competitor 4 5 2 2" xfId="5116"/>
    <cellStyle name="competitor 4 5 3" xfId="5117"/>
    <cellStyle name="competitor 4 6" xfId="5118"/>
    <cellStyle name="competitor 4 6 2" xfId="5119"/>
    <cellStyle name="competitor 4 7" xfId="5120"/>
    <cellStyle name="competitor 5" xfId="5121"/>
    <cellStyle name="competitor 5 2" xfId="5122"/>
    <cellStyle name="competitor 5 2 2" xfId="5123"/>
    <cellStyle name="competitor 5 2 2 2" xfId="5124"/>
    <cellStyle name="competitor 5 2 3" xfId="5125"/>
    <cellStyle name="competitor 5 3" xfId="5126"/>
    <cellStyle name="competitor 5 3 2" xfId="5127"/>
    <cellStyle name="competitor 5 3 2 2" xfId="5128"/>
    <cellStyle name="competitor 5 3 3" xfId="5129"/>
    <cellStyle name="competitor 5 4" xfId="5130"/>
    <cellStyle name="competitor 5 4 2" xfId="5131"/>
    <cellStyle name="competitor 5 4 2 2" xfId="5132"/>
    <cellStyle name="competitor 5 4 3" xfId="5133"/>
    <cellStyle name="competitor 5 5" xfId="5134"/>
    <cellStyle name="competitor 5 5 2" xfId="5135"/>
    <cellStyle name="competitor 5 5 2 2" xfId="5136"/>
    <cellStyle name="competitor 5 5 3" xfId="5137"/>
    <cellStyle name="competitor 5 6" xfId="5138"/>
    <cellStyle name="competitor 5 6 2" xfId="5139"/>
    <cellStyle name="competitor 5 7" xfId="5140"/>
    <cellStyle name="competitor 6" xfId="5141"/>
    <cellStyle name="competitor 6 2" xfId="5142"/>
    <cellStyle name="competitor 6 2 2" xfId="5143"/>
    <cellStyle name="competitor 6 2 2 2" xfId="5144"/>
    <cellStyle name="competitor 6 2 3" xfId="5145"/>
    <cellStyle name="competitor 6 3" xfId="5146"/>
    <cellStyle name="competitor 6 3 2" xfId="5147"/>
    <cellStyle name="competitor 6 3 2 2" xfId="5148"/>
    <cellStyle name="competitor 6 3 3" xfId="5149"/>
    <cellStyle name="competitor 6 4" xfId="5150"/>
    <cellStyle name="competitor 6 4 2" xfId="5151"/>
    <cellStyle name="competitor 6 4 2 2" xfId="5152"/>
    <cellStyle name="competitor 6 4 3" xfId="5153"/>
    <cellStyle name="competitor 6 5" xfId="5154"/>
    <cellStyle name="competitor 6 5 2" xfId="5155"/>
    <cellStyle name="competitor 6 5 2 2" xfId="5156"/>
    <cellStyle name="competitor 6 5 3" xfId="5157"/>
    <cellStyle name="competitor 6 6" xfId="5158"/>
    <cellStyle name="competitor 6 6 2" xfId="5159"/>
    <cellStyle name="competitor 6 7" xfId="5160"/>
    <cellStyle name="competitor 7" xfId="5161"/>
    <cellStyle name="competitor 7 2" xfId="5162"/>
    <cellStyle name="competitor 7 2 2" xfId="5163"/>
    <cellStyle name="competitor 7 2 2 2" xfId="5164"/>
    <cellStyle name="competitor 7 2 3" xfId="5165"/>
    <cellStyle name="competitor 7 3" xfId="5166"/>
    <cellStyle name="competitor 7 3 2" xfId="5167"/>
    <cellStyle name="competitor 7 3 2 2" xfId="5168"/>
    <cellStyle name="competitor 7 3 3" xfId="5169"/>
    <cellStyle name="competitor 7 4" xfId="5170"/>
    <cellStyle name="competitor 7 4 2" xfId="5171"/>
    <cellStyle name="competitor 7 4 2 2" xfId="5172"/>
    <cellStyle name="competitor 7 4 3" xfId="5173"/>
    <cellStyle name="competitor 7 5" xfId="5174"/>
    <cellStyle name="competitor 7 5 2" xfId="5175"/>
    <cellStyle name="competitor 7 5 2 2" xfId="5176"/>
    <cellStyle name="competitor 7 5 3" xfId="5177"/>
    <cellStyle name="competitor 7 6" xfId="5178"/>
    <cellStyle name="competitor 7 6 2" xfId="5179"/>
    <cellStyle name="competitor 7 7" xfId="5180"/>
    <cellStyle name="competitor 8" xfId="5181"/>
    <cellStyle name="competitor 8 2" xfId="5182"/>
    <cellStyle name="competitor 8 2 2" xfId="5183"/>
    <cellStyle name="competitor 8 2 2 2" xfId="5184"/>
    <cellStyle name="competitor 8 2 3" xfId="5185"/>
    <cellStyle name="competitor 8 3" xfId="5186"/>
    <cellStyle name="competitor 8 3 2" xfId="5187"/>
    <cellStyle name="competitor 8 3 2 2" xfId="5188"/>
    <cellStyle name="competitor 8 3 3" xfId="5189"/>
    <cellStyle name="competitor 8 4" xfId="5190"/>
    <cellStyle name="competitor 8 4 2" xfId="5191"/>
    <cellStyle name="competitor 8 4 2 2" xfId="5192"/>
    <cellStyle name="competitor 8 4 3" xfId="5193"/>
    <cellStyle name="competitor 8 5" xfId="5194"/>
    <cellStyle name="competitor 8 5 2" xfId="5195"/>
    <cellStyle name="competitor 8 5 2 2" xfId="5196"/>
    <cellStyle name="competitor 8 5 3" xfId="5197"/>
    <cellStyle name="competitor 8 6" xfId="5198"/>
    <cellStyle name="competitor 8 6 2" xfId="5199"/>
    <cellStyle name="competitor 8 7" xfId="5200"/>
    <cellStyle name="competitor 9" xfId="5201"/>
    <cellStyle name="competitor 9 2" xfId="5202"/>
    <cellStyle name="competitor 9 2 2" xfId="5203"/>
    <cellStyle name="competitor 9 2 2 2" xfId="5204"/>
    <cellStyle name="competitor 9 2 3" xfId="5205"/>
    <cellStyle name="competitor 9 3" xfId="5206"/>
    <cellStyle name="competitor 9 3 2" xfId="5207"/>
    <cellStyle name="competitor 9 3 2 2" xfId="5208"/>
    <cellStyle name="competitor 9 3 3" xfId="5209"/>
    <cellStyle name="competitor 9 4" xfId="5210"/>
    <cellStyle name="competitor 9 4 2" xfId="5211"/>
    <cellStyle name="competitor 9 4 2 2" xfId="5212"/>
    <cellStyle name="competitor 9 4 3" xfId="5213"/>
    <cellStyle name="competitor 9 5" xfId="5214"/>
    <cellStyle name="competitor 9 5 2" xfId="5215"/>
    <cellStyle name="competitor 9 5 2 2" xfId="5216"/>
    <cellStyle name="competitor 9 5 3" xfId="5217"/>
    <cellStyle name="competitor 9 6" xfId="5218"/>
    <cellStyle name="competitor 9 6 2" xfId="5219"/>
    <cellStyle name="competitor 9 7" xfId="5220"/>
    <cellStyle name="Cover Date" xfId="11823"/>
    <cellStyle name="Cover Subtitle" xfId="2118"/>
    <cellStyle name="Cover Title" xfId="11221"/>
    <cellStyle name="Cross" xfId="5221"/>
    <cellStyle name="CSI" xfId="812"/>
    <cellStyle name="Curren - Style2" xfId="5222"/>
    <cellStyle name="Curren - Style3" xfId="5223"/>
    <cellStyle name="Curren - Style4" xfId="5224"/>
    <cellStyle name="Currency [0] 2" xfId="5225"/>
    <cellStyle name="Currency [0] 3" xfId="5226"/>
    <cellStyle name="Currency 2" xfId="1448"/>
    <cellStyle name="Currency 2 2" xfId="1449"/>
    <cellStyle name="Currency 2 2 2" xfId="5228"/>
    <cellStyle name="Currency 2 2 3" xfId="11824"/>
    <cellStyle name="Currency 2 3" xfId="5227"/>
    <cellStyle name="Currency 2 3 2" xfId="9374"/>
    <cellStyle name="Currency 2 4" xfId="11222"/>
    <cellStyle name="Currency 3" xfId="1450"/>
    <cellStyle name="Currency 3 2" xfId="5229"/>
    <cellStyle name="Currency 3 2 2" xfId="11825"/>
    <cellStyle name="Currency 4" xfId="1451"/>
    <cellStyle name="Currency 5" xfId="1452"/>
    <cellStyle name="Currency 6" xfId="15037"/>
    <cellStyle name="Currency 6 2" xfId="15038"/>
    <cellStyle name="Currency 6 3" xfId="15159"/>
    <cellStyle name="Currency 7" xfId="15160"/>
    <cellStyle name="Currency1" xfId="813"/>
    <cellStyle name="Currency1 2" xfId="11826"/>
    <cellStyle name="Dash" xfId="5230"/>
    <cellStyle name="Date" xfId="5231"/>
    <cellStyle name="Description" xfId="814"/>
    <cellStyle name="Dollar (zero dec)" xfId="815"/>
    <cellStyle name="Dollar (zero dec) 2" xfId="11827"/>
    <cellStyle name="E" xfId="5232"/>
    <cellStyle name="E 2" xfId="5233"/>
    <cellStyle name="E&amp;Y House" xfId="816"/>
    <cellStyle name="E&amp;Y House 2" xfId="11828"/>
    <cellStyle name="Euro" xfId="817"/>
    <cellStyle name="Euro 2" xfId="1453"/>
    <cellStyle name="Euro 2 2" xfId="5235"/>
    <cellStyle name="Euro 2 3" xfId="11223"/>
    <cellStyle name="Euro 3" xfId="1454"/>
    <cellStyle name="Euro 3 2" xfId="5236"/>
    <cellStyle name="Euro 4" xfId="5234"/>
    <cellStyle name="Explanatory Text 10" xfId="818"/>
    <cellStyle name="Explanatory Text 10 2" xfId="819"/>
    <cellStyle name="Explanatory Text 10 3" xfId="2891"/>
    <cellStyle name="Explanatory Text 11" xfId="820"/>
    <cellStyle name="Explanatory Text 11 2" xfId="821"/>
    <cellStyle name="Explanatory Text 11 3" xfId="2892"/>
    <cellStyle name="Explanatory Text 12" xfId="822"/>
    <cellStyle name="Explanatory Text 12 2" xfId="823"/>
    <cellStyle name="Explanatory Text 12 3" xfId="2893"/>
    <cellStyle name="Explanatory Text 13" xfId="824"/>
    <cellStyle name="Explanatory Text 13 2" xfId="825"/>
    <cellStyle name="Explanatory Text 13 3" xfId="2894"/>
    <cellStyle name="Explanatory Text 14" xfId="826"/>
    <cellStyle name="Explanatory Text 14 2" xfId="827"/>
    <cellStyle name="Explanatory Text 14 3" xfId="2895"/>
    <cellStyle name="Explanatory Text 15" xfId="828"/>
    <cellStyle name="Explanatory Text 15 2" xfId="829"/>
    <cellStyle name="Explanatory Text 15 3" xfId="2896"/>
    <cellStyle name="Explanatory Text 16" xfId="11224"/>
    <cellStyle name="Explanatory Text 16 2" xfId="11829"/>
    <cellStyle name="Explanatory Text 16 3" xfId="11830"/>
    <cellStyle name="Explanatory Text 17" xfId="11831"/>
    <cellStyle name="Explanatory Text 17 2" xfId="11832"/>
    <cellStyle name="Explanatory Text 18" xfId="11833"/>
    <cellStyle name="Explanatory Text 2" xfId="830"/>
    <cellStyle name="Explanatory Text 2 2" xfId="831"/>
    <cellStyle name="Explanatory Text 2 2 2" xfId="15161"/>
    <cellStyle name="Explanatory Text 2 3" xfId="2897"/>
    <cellStyle name="Explanatory Text 2 4" xfId="5237"/>
    <cellStyle name="Explanatory Text 2 4 2" xfId="11834"/>
    <cellStyle name="Explanatory Text 2 5" xfId="11835"/>
    <cellStyle name="Explanatory Text 3" xfId="832"/>
    <cellStyle name="Explanatory Text 3 2" xfId="833"/>
    <cellStyle name="Explanatory Text 3 3" xfId="2898"/>
    <cellStyle name="Explanatory Text 3 4" xfId="5238"/>
    <cellStyle name="Explanatory Text 3 4 2" xfId="11836"/>
    <cellStyle name="Explanatory Text 3 5" xfId="11837"/>
    <cellStyle name="Explanatory Text 4" xfId="834"/>
    <cellStyle name="Explanatory Text 4 2" xfId="835"/>
    <cellStyle name="Explanatory Text 4 3" xfId="2899"/>
    <cellStyle name="Explanatory Text 4 4" xfId="5239"/>
    <cellStyle name="Explanatory Text 4 4 2" xfId="11225"/>
    <cellStyle name="Explanatory Text 5" xfId="836"/>
    <cellStyle name="Explanatory Text 5 2" xfId="837"/>
    <cellStyle name="Explanatory Text 5 3" xfId="2900"/>
    <cellStyle name="Explanatory Text 5 4" xfId="5240"/>
    <cellStyle name="Explanatory Text 5 4 2" xfId="11226"/>
    <cellStyle name="Explanatory Text 6" xfId="838"/>
    <cellStyle name="Explanatory Text 6 2" xfId="839"/>
    <cellStyle name="Explanatory Text 6 3" xfId="2901"/>
    <cellStyle name="Explanatory Text 6 4" xfId="5241"/>
    <cellStyle name="Explanatory Text 6 4 2" xfId="11227"/>
    <cellStyle name="Explanatory Text 7" xfId="840"/>
    <cellStyle name="Explanatory Text 7 2" xfId="841"/>
    <cellStyle name="Explanatory Text 7 3" xfId="2902"/>
    <cellStyle name="Explanatory Text 7 4" xfId="11228"/>
    <cellStyle name="Explanatory Text 8" xfId="842"/>
    <cellStyle name="Explanatory Text 8 2" xfId="843"/>
    <cellStyle name="Explanatory Text 8 3" xfId="2903"/>
    <cellStyle name="Explanatory Text 9" xfId="844"/>
    <cellStyle name="Explanatory Text 9 2" xfId="845"/>
    <cellStyle name="Explanatory Text 9 3" xfId="2904"/>
    <cellStyle name="EY House" xfId="846"/>
    <cellStyle name="Fixed" xfId="5242"/>
    <cellStyle name="ƒnƒCƒp[ƒŠƒ“ƒN" xfId="847"/>
    <cellStyle name="Followed Hyperlink 2" xfId="5243"/>
    <cellStyle name="Followed Hyperlink 3" xfId="5244"/>
    <cellStyle name="Followed Hyperlink 4" xfId="5245"/>
    <cellStyle name="Followed Hyperlink 5" xfId="5246"/>
    <cellStyle name="Footer SBILogo1" xfId="11838"/>
    <cellStyle name="Footer SBILogo2" xfId="11229"/>
    <cellStyle name="Footnote" xfId="11839"/>
    <cellStyle name="Footnote Reference" xfId="11840"/>
    <cellStyle name="fore" xfId="5247"/>
    <cellStyle name="formatted" xfId="5248"/>
    <cellStyle name="Good 10" xfId="848"/>
    <cellStyle name="Good 10 2" xfId="849"/>
    <cellStyle name="Good 10 3" xfId="2905"/>
    <cellStyle name="Good 11" xfId="850"/>
    <cellStyle name="Good 11 2" xfId="851"/>
    <cellStyle name="Good 11 3" xfId="2906"/>
    <cellStyle name="Good 12" xfId="852"/>
    <cellStyle name="Good 12 2" xfId="853"/>
    <cellStyle name="Good 12 3" xfId="2907"/>
    <cellStyle name="Good 13" xfId="854"/>
    <cellStyle name="Good 13 2" xfId="855"/>
    <cellStyle name="Good 13 3" xfId="2908"/>
    <cellStyle name="Good 14" xfId="856"/>
    <cellStyle name="Good 14 2" xfId="857"/>
    <cellStyle name="Good 14 3" xfId="2909"/>
    <cellStyle name="Good 15" xfId="858"/>
    <cellStyle name="Good 15 2" xfId="859"/>
    <cellStyle name="Good 15 3" xfId="2910"/>
    <cellStyle name="Good 16" xfId="11841"/>
    <cellStyle name="Good 16 2" xfId="11842"/>
    <cellStyle name="Good 16 3" xfId="11231"/>
    <cellStyle name="Good 17" xfId="11843"/>
    <cellStyle name="Good 17 2" xfId="11844"/>
    <cellStyle name="Good 18" xfId="11232"/>
    <cellStyle name="Good 2" xfId="860"/>
    <cellStyle name="Good 2 2" xfId="861"/>
    <cellStyle name="Good 2 2 2" xfId="15162"/>
    <cellStyle name="Good 2 3" xfId="2911"/>
    <cellStyle name="Good 2 4" xfId="5249"/>
    <cellStyle name="Good 2 4 2" xfId="11233"/>
    <cellStyle name="Good 2 5" xfId="11845"/>
    <cellStyle name="Good 3" xfId="862"/>
    <cellStyle name="Good 3 2" xfId="863"/>
    <cellStyle name="Good 3 3" xfId="2912"/>
    <cellStyle name="Good 3 4" xfId="5250"/>
    <cellStyle name="Good 3 4 2" xfId="11846"/>
    <cellStyle name="Good 3 5" xfId="11847"/>
    <cellStyle name="Good 4" xfId="864"/>
    <cellStyle name="Good 4 2" xfId="865"/>
    <cellStyle name="Good 4 3" xfId="2913"/>
    <cellStyle name="Good 4 4" xfId="5251"/>
    <cellStyle name="Good 4 4 2" xfId="2117"/>
    <cellStyle name="Good 5" xfId="866"/>
    <cellStyle name="Good 5 2" xfId="867"/>
    <cellStyle name="Good 5 3" xfId="2914"/>
    <cellStyle name="Good 5 4" xfId="5252"/>
    <cellStyle name="Good 5 4 2" xfId="9375"/>
    <cellStyle name="Good 6" xfId="868"/>
    <cellStyle name="Good 6 2" xfId="869"/>
    <cellStyle name="Good 6 3" xfId="2915"/>
    <cellStyle name="Good 6 4" xfId="5253"/>
    <cellStyle name="Good 6 4 2" xfId="11848"/>
    <cellStyle name="Good 7" xfId="870"/>
    <cellStyle name="Good 7 2" xfId="871"/>
    <cellStyle name="Good 7 3" xfId="2916"/>
    <cellStyle name="Good 7 4" xfId="11849"/>
    <cellStyle name="Good 8" xfId="872"/>
    <cellStyle name="Good 8 2" xfId="873"/>
    <cellStyle name="Good 8 3" xfId="2917"/>
    <cellStyle name="Good 9" xfId="874"/>
    <cellStyle name="Good 9 2" xfId="875"/>
    <cellStyle name="Good 9 3" xfId="2918"/>
    <cellStyle name="Grey" xfId="876"/>
    <cellStyle name="Grey 2" xfId="11850"/>
    <cellStyle name="Grey 3" xfId="11851"/>
    <cellStyle name="Grey 4" xfId="11852"/>
    <cellStyle name="Grey 5" xfId="9376"/>
    <cellStyle name="Header" xfId="9377"/>
    <cellStyle name="Header - Style1" xfId="5254"/>
    <cellStyle name="Header Draft Stamp" xfId="9378"/>
    <cellStyle name="Header1" xfId="877"/>
    <cellStyle name="Header1 2" xfId="5255"/>
    <cellStyle name="Header2" xfId="878"/>
    <cellStyle name="Header2 2" xfId="5256"/>
    <cellStyle name="Heading" xfId="5257"/>
    <cellStyle name="Heading 1 10" xfId="879"/>
    <cellStyle name="Heading 1 10 2" xfId="880"/>
    <cellStyle name="Heading 1 10 3" xfId="2919"/>
    <cellStyle name="Heading 1 11" xfId="881"/>
    <cellStyle name="Heading 1 11 2" xfId="882"/>
    <cellStyle name="Heading 1 11 3" xfId="2920"/>
    <cellStyle name="Heading 1 12" xfId="883"/>
    <cellStyle name="Heading 1 12 2" xfId="884"/>
    <cellStyle name="Heading 1 12 3" xfId="2921"/>
    <cellStyle name="Heading 1 13" xfId="885"/>
    <cellStyle name="Heading 1 13 2" xfId="886"/>
    <cellStyle name="Heading 1 13 3" xfId="2922"/>
    <cellStyle name="Heading 1 14" xfId="887"/>
    <cellStyle name="Heading 1 14 2" xfId="888"/>
    <cellStyle name="Heading 1 14 3" xfId="2923"/>
    <cellStyle name="Heading 1 15" xfId="889"/>
    <cellStyle name="Heading 1 15 2" xfId="890"/>
    <cellStyle name="Heading 1 15 3" xfId="2924"/>
    <cellStyle name="Heading 1 16" xfId="1485"/>
    <cellStyle name="Heading 1 16 2" xfId="9379"/>
    <cellStyle name="Heading 1 16 3" xfId="9380"/>
    <cellStyle name="Heading 1 17" xfId="9381"/>
    <cellStyle name="Heading 1 17 2" xfId="8893"/>
    <cellStyle name="Heading 1 18" xfId="10361"/>
    <cellStyle name="Heading 1 2" xfId="891"/>
    <cellStyle name="Heading 1 2 2" xfId="892"/>
    <cellStyle name="Heading 1 2 2 2" xfId="15163"/>
    <cellStyle name="Heading 1 2 3" xfId="2925"/>
    <cellStyle name="Heading 1 2 4" xfId="5258"/>
    <cellStyle name="Heading 1 2 4 2" xfId="2115"/>
    <cellStyle name="Heading 1 2 5" xfId="1484"/>
    <cellStyle name="Heading 1 3" xfId="893"/>
    <cellStyle name="Heading 1 3 2" xfId="894"/>
    <cellStyle name="Heading 1 3 3" xfId="2926"/>
    <cellStyle name="Heading 1 3 4" xfId="5259"/>
    <cellStyle name="Heading 1 3 4 2" xfId="9384"/>
    <cellStyle name="Heading 1 3 5" xfId="9383"/>
    <cellStyle name="Heading 1 4" xfId="895"/>
    <cellStyle name="Heading 1 4 2" xfId="896"/>
    <cellStyle name="Heading 1 4 3" xfId="2927"/>
    <cellStyle name="Heading 1 4 4" xfId="5260"/>
    <cellStyle name="Heading 1 4 4 2" xfId="9385"/>
    <cellStyle name="Heading 1 5" xfId="897"/>
    <cellStyle name="Heading 1 5 2" xfId="898"/>
    <cellStyle name="Heading 1 5 3" xfId="2928"/>
    <cellStyle name="Heading 1 5 4" xfId="9382"/>
    <cellStyle name="Heading 1 6" xfId="899"/>
    <cellStyle name="Heading 1 6 2" xfId="900"/>
    <cellStyle name="Heading 1 6 3" xfId="2929"/>
    <cellStyle name="Heading 1 6 4" xfId="9387"/>
    <cellStyle name="Heading 1 7" xfId="901"/>
    <cellStyle name="Heading 1 7 2" xfId="902"/>
    <cellStyle name="Heading 1 7 3" xfId="2930"/>
    <cellStyle name="Heading 1 7 4" xfId="9386"/>
    <cellStyle name="Heading 1 8" xfId="903"/>
    <cellStyle name="Heading 1 8 2" xfId="904"/>
    <cellStyle name="Heading 1 8 3" xfId="2931"/>
    <cellStyle name="Heading 1 9" xfId="905"/>
    <cellStyle name="Heading 1 9 2" xfId="906"/>
    <cellStyle name="Heading 1 9 3" xfId="2932"/>
    <cellStyle name="Heading 1 Above" xfId="9388"/>
    <cellStyle name="Heading 1+" xfId="9389"/>
    <cellStyle name="Heading 2 10" xfId="907"/>
    <cellStyle name="Heading 2 10 2" xfId="908"/>
    <cellStyle name="Heading 2 10 3" xfId="2933"/>
    <cellStyle name="Heading 2 11" xfId="909"/>
    <cellStyle name="Heading 2 11 2" xfId="910"/>
    <cellStyle name="Heading 2 11 3" xfId="2934"/>
    <cellStyle name="Heading 2 12" xfId="911"/>
    <cellStyle name="Heading 2 12 2" xfId="912"/>
    <cellStyle name="Heading 2 12 3" xfId="2935"/>
    <cellStyle name="Heading 2 13" xfId="913"/>
    <cellStyle name="Heading 2 13 2" xfId="914"/>
    <cellStyle name="Heading 2 13 3" xfId="2936"/>
    <cellStyle name="Heading 2 14" xfId="915"/>
    <cellStyle name="Heading 2 14 2" xfId="916"/>
    <cellStyle name="Heading 2 14 3" xfId="2937"/>
    <cellStyle name="Heading 2 15" xfId="917"/>
    <cellStyle name="Heading 2 15 2" xfId="918"/>
    <cellStyle name="Heading 2 15 3" xfId="2938"/>
    <cellStyle name="Heading 2 16" xfId="9390"/>
    <cellStyle name="Heading 2 16 2" xfId="9391"/>
    <cellStyle name="Heading 2 16 3" xfId="9392"/>
    <cellStyle name="Heading 2 17" xfId="9393"/>
    <cellStyle name="Heading 2 17 2" xfId="9394"/>
    <cellStyle name="Heading 2 18" xfId="9395"/>
    <cellStyle name="Heading 2 2" xfId="919"/>
    <cellStyle name="Heading 2 2 2" xfId="920"/>
    <cellStyle name="Heading 2 2 2 2" xfId="15164"/>
    <cellStyle name="Heading 2 2 3" xfId="2939"/>
    <cellStyle name="Heading 2 2 4" xfId="5261"/>
    <cellStyle name="Heading 2 2 4 2" xfId="9396"/>
    <cellStyle name="Heading 2 2 5" xfId="9397"/>
    <cellStyle name="Heading 2 3" xfId="921"/>
    <cellStyle name="Heading 2 3 2" xfId="922"/>
    <cellStyle name="Heading 2 3 3" xfId="2940"/>
    <cellStyle name="Heading 2 3 4" xfId="5262"/>
    <cellStyle name="Heading 2 3 4 2" xfId="9398"/>
    <cellStyle name="Heading 2 3 5" xfId="9399"/>
    <cellStyle name="Heading 2 4" xfId="923"/>
    <cellStyle name="Heading 2 4 2" xfId="924"/>
    <cellStyle name="Heading 2 4 3" xfId="2941"/>
    <cellStyle name="Heading 2 4 4" xfId="9400"/>
    <cellStyle name="Heading 2 5" xfId="925"/>
    <cellStyle name="Heading 2 5 2" xfId="926"/>
    <cellStyle name="Heading 2 5 3" xfId="2942"/>
    <cellStyle name="Heading 2 5 4" xfId="9401"/>
    <cellStyle name="Heading 2 6" xfId="927"/>
    <cellStyle name="Heading 2 6 2" xfId="928"/>
    <cellStyle name="Heading 2 6 3" xfId="2943"/>
    <cellStyle name="Heading 2 6 4" xfId="9402"/>
    <cellStyle name="Heading 2 7" xfId="929"/>
    <cellStyle name="Heading 2 7 2" xfId="930"/>
    <cellStyle name="Heading 2 7 3" xfId="2944"/>
    <cellStyle name="Heading 2 7 4" xfId="9403"/>
    <cellStyle name="Heading 2 8" xfId="931"/>
    <cellStyle name="Heading 2 8 2" xfId="932"/>
    <cellStyle name="Heading 2 8 3" xfId="2945"/>
    <cellStyle name="Heading 2 9" xfId="933"/>
    <cellStyle name="Heading 2 9 2" xfId="934"/>
    <cellStyle name="Heading 2 9 3" xfId="2946"/>
    <cellStyle name="Heading 2 Below" xfId="9404"/>
    <cellStyle name="Heading 2+" xfId="9405"/>
    <cellStyle name="Heading 3 10" xfId="935"/>
    <cellStyle name="Heading 3 10 2" xfId="936"/>
    <cellStyle name="Heading 3 10 3" xfId="2947"/>
    <cellStyle name="Heading 3 11" xfId="937"/>
    <cellStyle name="Heading 3 11 2" xfId="938"/>
    <cellStyle name="Heading 3 11 3" xfId="2948"/>
    <cellStyle name="Heading 3 12" xfId="939"/>
    <cellStyle name="Heading 3 12 2" xfId="940"/>
    <cellStyle name="Heading 3 12 3" xfId="2949"/>
    <cellStyle name="Heading 3 13" xfId="941"/>
    <cellStyle name="Heading 3 13 2" xfId="942"/>
    <cellStyle name="Heading 3 13 3" xfId="2950"/>
    <cellStyle name="Heading 3 14" xfId="943"/>
    <cellStyle name="Heading 3 14 2" xfId="944"/>
    <cellStyle name="Heading 3 14 3" xfId="2951"/>
    <cellStyle name="Heading 3 15" xfId="945"/>
    <cellStyle name="Heading 3 15 2" xfId="946"/>
    <cellStyle name="Heading 3 15 3" xfId="2952"/>
    <cellStyle name="Heading 3 16" xfId="11853"/>
    <cellStyle name="Heading 3 16 2" xfId="11854"/>
    <cellStyle name="Heading 3 16 3" xfId="11855"/>
    <cellStyle name="Heading 3 17" xfId="11856"/>
    <cellStyle name="Heading 3 17 2" xfId="11857"/>
    <cellStyle name="Heading 3 18" xfId="11858"/>
    <cellStyle name="Heading 3 2" xfId="947"/>
    <cellStyle name="Heading 3 2 2" xfId="948"/>
    <cellStyle name="Heading 3 2 2 2" xfId="15165"/>
    <cellStyle name="Heading 3 2 3" xfId="2953"/>
    <cellStyle name="Heading 3 2 4" xfId="5263"/>
    <cellStyle name="Heading 3 2 4 2" xfId="11859"/>
    <cellStyle name="Heading 3 2 5" xfId="11860"/>
    <cellStyle name="Heading 3 3" xfId="949"/>
    <cellStyle name="Heading 3 3 2" xfId="950"/>
    <cellStyle name="Heading 3 3 3" xfId="2954"/>
    <cellStyle name="Heading 3 3 4" xfId="5264"/>
    <cellStyle name="Heading 3 3 4 2" xfId="11235"/>
    <cellStyle name="Heading 3 3 5" xfId="11236"/>
    <cellStyle name="Heading 3 4" xfId="951"/>
    <cellStyle name="Heading 3 4 2" xfId="952"/>
    <cellStyle name="Heading 3 4 3" xfId="2955"/>
    <cellStyle name="Heading 3 4 4" xfId="11237"/>
    <cellStyle name="Heading 3 5" xfId="953"/>
    <cellStyle name="Heading 3 5 2" xfId="954"/>
    <cellStyle name="Heading 3 5 3" xfId="2956"/>
    <cellStyle name="Heading 3 5 4" xfId="11861"/>
    <cellStyle name="Heading 3 6" xfId="955"/>
    <cellStyle name="Heading 3 6 2" xfId="956"/>
    <cellStyle name="Heading 3 6 3" xfId="2957"/>
    <cellStyle name="Heading 3 6 4" xfId="11862"/>
    <cellStyle name="Heading 3 7" xfId="957"/>
    <cellStyle name="Heading 3 7 2" xfId="958"/>
    <cellStyle name="Heading 3 7 3" xfId="2958"/>
    <cellStyle name="Heading 3 7 4" xfId="11863"/>
    <cellStyle name="Heading 3 8" xfId="959"/>
    <cellStyle name="Heading 3 8 2" xfId="960"/>
    <cellStyle name="Heading 3 8 3" xfId="2959"/>
    <cellStyle name="Heading 3 9" xfId="961"/>
    <cellStyle name="Heading 3 9 2" xfId="962"/>
    <cellStyle name="Heading 3 9 3" xfId="2960"/>
    <cellStyle name="Heading 3+" xfId="11864"/>
    <cellStyle name="Heading 4 10" xfId="963"/>
    <cellStyle name="Heading 4 10 2" xfId="964"/>
    <cellStyle name="Heading 4 10 3" xfId="2961"/>
    <cellStyle name="Heading 4 11" xfId="965"/>
    <cellStyle name="Heading 4 11 2" xfId="966"/>
    <cellStyle name="Heading 4 11 3" xfId="2962"/>
    <cellStyle name="Heading 4 12" xfId="967"/>
    <cellStyle name="Heading 4 12 2" xfId="968"/>
    <cellStyle name="Heading 4 12 3" xfId="2963"/>
    <cellStyle name="Heading 4 13" xfId="969"/>
    <cellStyle name="Heading 4 13 2" xfId="970"/>
    <cellStyle name="Heading 4 13 3" xfId="2964"/>
    <cellStyle name="Heading 4 14" xfId="971"/>
    <cellStyle name="Heading 4 14 2" xfId="972"/>
    <cellStyle name="Heading 4 14 3" xfId="2965"/>
    <cellStyle name="Heading 4 15" xfId="973"/>
    <cellStyle name="Heading 4 15 2" xfId="974"/>
    <cellStyle name="Heading 4 15 3" xfId="2966"/>
    <cellStyle name="Heading 4 16" xfId="9406"/>
    <cellStyle name="Heading 4 16 2" xfId="9407"/>
    <cellStyle name="Heading 4 16 3" xfId="9408"/>
    <cellStyle name="Heading 4 17" xfId="9409"/>
    <cellStyle name="Heading 4 17 2" xfId="9410"/>
    <cellStyle name="Heading 4 18" xfId="9411"/>
    <cellStyle name="Heading 4 2" xfId="975"/>
    <cellStyle name="Heading 4 2 2" xfId="976"/>
    <cellStyle name="Heading 4 2 2 2" xfId="15166"/>
    <cellStyle name="Heading 4 2 3" xfId="2967"/>
    <cellStyle name="Heading 4 2 4" xfId="5265"/>
    <cellStyle name="Heading 4 2 4 2" xfId="9412"/>
    <cellStyle name="Heading 4 2 5" xfId="9413"/>
    <cellStyle name="Heading 4 3" xfId="977"/>
    <cellStyle name="Heading 4 3 2" xfId="978"/>
    <cellStyle name="Heading 4 3 3" xfId="2968"/>
    <cellStyle name="Heading 4 3 4" xfId="5266"/>
    <cellStyle name="Heading 4 3 4 2" xfId="9414"/>
    <cellStyle name="Heading 4 3 5" xfId="9415"/>
    <cellStyle name="Heading 4 4" xfId="979"/>
    <cellStyle name="Heading 4 4 2" xfId="980"/>
    <cellStyle name="Heading 4 4 3" xfId="2969"/>
    <cellStyle name="Heading 4 4 4" xfId="9416"/>
    <cellStyle name="Heading 4 5" xfId="981"/>
    <cellStyle name="Heading 4 5 2" xfId="982"/>
    <cellStyle name="Heading 4 5 3" xfId="2970"/>
    <cellStyle name="Heading 4 5 4" xfId="9417"/>
    <cellStyle name="Heading 4 6" xfId="983"/>
    <cellStyle name="Heading 4 6 2" xfId="984"/>
    <cellStyle name="Heading 4 6 3" xfId="2971"/>
    <cellStyle name="Heading 4 6 4" xfId="9418"/>
    <cellStyle name="Heading 4 7" xfId="985"/>
    <cellStyle name="Heading 4 7 2" xfId="986"/>
    <cellStyle name="Heading 4 7 3" xfId="2972"/>
    <cellStyle name="Heading 4 7 4" xfId="9419"/>
    <cellStyle name="Heading 4 8" xfId="987"/>
    <cellStyle name="Heading 4 8 2" xfId="988"/>
    <cellStyle name="Heading 4 8 3" xfId="2973"/>
    <cellStyle name="Heading 4 9" xfId="989"/>
    <cellStyle name="Heading 4 9 2" xfId="990"/>
    <cellStyle name="Heading 4 9 3" xfId="2974"/>
    <cellStyle name="Heading1" xfId="5267"/>
    <cellStyle name="Heading2" xfId="5268"/>
    <cellStyle name="Hyperlink" xfId="14859" builtinId="8"/>
    <cellStyle name="Hyperlink 2" xfId="991"/>
    <cellStyle name="Hyperlink 2 2" xfId="5269"/>
    <cellStyle name="Hyperlink 2 2 2" xfId="9421"/>
    <cellStyle name="Hyperlink 2 3" xfId="9422"/>
    <cellStyle name="Hyperlink 2 4" xfId="9423"/>
    <cellStyle name="Hyperlink 2 5" xfId="9424"/>
    <cellStyle name="Hyperlink 2 6" xfId="9420"/>
    <cellStyle name="Hyperlink 2 7" xfId="14849"/>
    <cellStyle name="Hyperlink 3" xfId="992"/>
    <cellStyle name="Hyperlink 3 2" xfId="5270"/>
    <cellStyle name="Hyperlink 3 3" xfId="9425"/>
    <cellStyle name="Hyperlink 4" xfId="5271"/>
    <cellStyle name="Hyperlink 4 2" xfId="9426"/>
    <cellStyle name="Hyperlink 5" xfId="5272"/>
    <cellStyle name="Hyperlink 5 2" xfId="9427"/>
    <cellStyle name="Hyperlink 6" xfId="5273"/>
    <cellStyle name="Hyperlink 7" xfId="5274"/>
    <cellStyle name="i" xfId="5275"/>
    <cellStyle name="Î¡Ýá [0]_95" xfId="993"/>
    <cellStyle name="Î¡Ýá_95" xfId="994"/>
    <cellStyle name="Input [yellow]" xfId="995"/>
    <cellStyle name="Input [yellow] 2" xfId="9428"/>
    <cellStyle name="Input [yellow] 3" xfId="9429"/>
    <cellStyle name="Input [yellow] 4" xfId="9430"/>
    <cellStyle name="Input [yellow] 5" xfId="9431"/>
    <cellStyle name="Input 10" xfId="996"/>
    <cellStyle name="Input 10 2" xfId="997"/>
    <cellStyle name="Input 10 2 2" xfId="9432"/>
    <cellStyle name="Input 10 3" xfId="2975"/>
    <cellStyle name="Input 10 3 2" xfId="9433"/>
    <cellStyle name="Input 10 4" xfId="9434"/>
    <cellStyle name="Input 100" xfId="9435"/>
    <cellStyle name="Input 101" xfId="9436"/>
    <cellStyle name="Input 102" xfId="9437"/>
    <cellStyle name="Input 103" xfId="9438"/>
    <cellStyle name="Input 104" xfId="9439"/>
    <cellStyle name="Input 105" xfId="9440"/>
    <cellStyle name="Input 106" xfId="9441"/>
    <cellStyle name="Input 107" xfId="9442"/>
    <cellStyle name="Input 108" xfId="9443"/>
    <cellStyle name="Input 109" xfId="9444"/>
    <cellStyle name="Input 11" xfId="998"/>
    <cellStyle name="Input 11 2" xfId="999"/>
    <cellStyle name="Input 11 2 2" xfId="9445"/>
    <cellStyle name="Input 11 3" xfId="2976"/>
    <cellStyle name="Input 11 3 2" xfId="9446"/>
    <cellStyle name="Input 11 4" xfId="9447"/>
    <cellStyle name="Input 110" xfId="9448"/>
    <cellStyle name="Input 110 2" xfId="9449"/>
    <cellStyle name="Input 111" xfId="9450"/>
    <cellStyle name="Input 111 2" xfId="9451"/>
    <cellStyle name="Input 112" xfId="9452"/>
    <cellStyle name="Input 112 2" xfId="9453"/>
    <cellStyle name="Input 113" xfId="9454"/>
    <cellStyle name="Input 113 2" xfId="9455"/>
    <cellStyle name="Input 114" xfId="9456"/>
    <cellStyle name="Input 115" xfId="9457"/>
    <cellStyle name="Input 116" xfId="9458"/>
    <cellStyle name="Input 117" xfId="9459"/>
    <cellStyle name="Input 118" xfId="9460"/>
    <cellStyle name="Input 119" xfId="9461"/>
    <cellStyle name="Input 119 2" xfId="9462"/>
    <cellStyle name="Input 12" xfId="1000"/>
    <cellStyle name="Input 12 2" xfId="1001"/>
    <cellStyle name="Input 12 2 2" xfId="9463"/>
    <cellStyle name="Input 12 3" xfId="2977"/>
    <cellStyle name="Input 12 3 2" xfId="9464"/>
    <cellStyle name="Input 12 4" xfId="9465"/>
    <cellStyle name="Input 120" xfId="9466"/>
    <cellStyle name="Input 120 2" xfId="9467"/>
    <cellStyle name="Input 121" xfId="9468"/>
    <cellStyle name="Input 121 2" xfId="9469"/>
    <cellStyle name="Input 122" xfId="9470"/>
    <cellStyle name="Input 122 2" xfId="9471"/>
    <cellStyle name="Input 123" xfId="9472"/>
    <cellStyle name="Input 123 2" xfId="9473"/>
    <cellStyle name="Input 124" xfId="9474"/>
    <cellStyle name="Input 125" xfId="11865"/>
    <cellStyle name="Input 126" xfId="11866"/>
    <cellStyle name="Input 127" xfId="11867"/>
    <cellStyle name="Input 128" xfId="11868"/>
    <cellStyle name="Input 129" xfId="11869"/>
    <cellStyle name="Input 13" xfId="1002"/>
    <cellStyle name="Input 13 2" xfId="1003"/>
    <cellStyle name="Input 13 2 2" xfId="11870"/>
    <cellStyle name="Input 13 3" xfId="2978"/>
    <cellStyle name="Input 13 3 2" xfId="9476"/>
    <cellStyle name="Input 13 4" xfId="9477"/>
    <cellStyle name="Input 130" xfId="9478"/>
    <cellStyle name="Input 131" xfId="9479"/>
    <cellStyle name="Input 132" xfId="9480"/>
    <cellStyle name="Input 133" xfId="9481"/>
    <cellStyle name="Input 134" xfId="9482"/>
    <cellStyle name="Input 135" xfId="9483"/>
    <cellStyle name="Input 136" xfId="11765"/>
    <cellStyle name="Input 137" xfId="9486"/>
    <cellStyle name="Input 138" xfId="9484"/>
    <cellStyle name="Input 139" xfId="9485"/>
    <cellStyle name="Input 14" xfId="1004"/>
    <cellStyle name="Input 14 2" xfId="1005"/>
    <cellStyle name="Input 14 2 2" xfId="9487"/>
    <cellStyle name="Input 14 3" xfId="2979"/>
    <cellStyle name="Input 14 3 2" xfId="9488"/>
    <cellStyle name="Input 14 4" xfId="11779"/>
    <cellStyle name="Input 140" xfId="9489"/>
    <cellStyle name="Input 141" xfId="9490"/>
    <cellStyle name="Input 142" xfId="9491"/>
    <cellStyle name="Input 143" xfId="9492"/>
    <cellStyle name="Input 144" xfId="9493"/>
    <cellStyle name="Input 145" xfId="9494"/>
    <cellStyle name="Input 146" xfId="9495"/>
    <cellStyle name="Input 147" xfId="9496"/>
    <cellStyle name="Input 148" xfId="11871"/>
    <cellStyle name="Input 149" xfId="11872"/>
    <cellStyle name="Input 15" xfId="1006"/>
    <cellStyle name="Input 15 2" xfId="1007"/>
    <cellStyle name="Input 15 2 2" xfId="11873"/>
    <cellStyle name="Input 15 3" xfId="2980"/>
    <cellStyle name="Input 15 3 2" xfId="11874"/>
    <cellStyle name="Input 15 4" xfId="11875"/>
    <cellStyle name="Input 150" xfId="9499"/>
    <cellStyle name="Input 151" xfId="11876"/>
    <cellStyle name="Input 152" xfId="9501"/>
    <cellStyle name="Input 153" xfId="9500"/>
    <cellStyle name="Input 154" xfId="11877"/>
    <cellStyle name="Input 155" xfId="9507"/>
    <cellStyle name="Input 156" xfId="9502"/>
    <cellStyle name="Input 157" xfId="9503"/>
    <cellStyle name="Input 158" xfId="9504"/>
    <cellStyle name="Input 159" xfId="9506"/>
    <cellStyle name="Input 16" xfId="9505"/>
    <cellStyle name="Input 16 2" xfId="11759"/>
    <cellStyle name="Input 16 2 2" xfId="11878"/>
    <cellStyle name="Input 16 3" xfId="9508"/>
    <cellStyle name="Input 160" xfId="11879"/>
    <cellStyle name="Input 161" xfId="11880"/>
    <cellStyle name="Input 162" xfId="11881"/>
    <cellStyle name="Input 163" xfId="11238"/>
    <cellStyle name="Input 164" xfId="8900"/>
    <cellStyle name="Input 165" xfId="9498"/>
    <cellStyle name="Input 166" xfId="11180"/>
    <cellStyle name="Input 167" xfId="9509"/>
    <cellStyle name="Input 168" xfId="11882"/>
    <cellStyle name="Input 169" xfId="11883"/>
    <cellStyle name="Input 17" xfId="11884"/>
    <cellStyle name="Input 17 2" xfId="9512"/>
    <cellStyle name="Input 170" xfId="9510"/>
    <cellStyle name="Input 171" xfId="9511"/>
    <cellStyle name="Input 172" xfId="11885"/>
    <cellStyle name="Input 173" xfId="9515"/>
    <cellStyle name="Input 174" xfId="9513"/>
    <cellStyle name="Input 175" xfId="9514"/>
    <cellStyle name="Input 176" xfId="11886"/>
    <cellStyle name="Input 177" xfId="9520"/>
    <cellStyle name="Input 178" xfId="9516"/>
    <cellStyle name="Input 179" xfId="9517"/>
    <cellStyle name="Input 18" xfId="9518"/>
    <cellStyle name="Input 18 2" xfId="9519"/>
    <cellStyle name="Input 180" xfId="11887"/>
    <cellStyle name="Input 181" xfId="9525"/>
    <cellStyle name="Input 182" xfId="9521"/>
    <cellStyle name="Input 183" xfId="9522"/>
    <cellStyle name="Input 184" xfId="9523"/>
    <cellStyle name="Input 185" xfId="9524"/>
    <cellStyle name="Input 186" xfId="11888"/>
    <cellStyle name="Input 187" xfId="9526"/>
    <cellStyle name="Input 188" xfId="9527"/>
    <cellStyle name="Input 189" xfId="9528"/>
    <cellStyle name="Input 19" xfId="11889"/>
    <cellStyle name="Input 19 2" xfId="11890"/>
    <cellStyle name="Input 19 3" xfId="9529"/>
    <cellStyle name="Input 190" xfId="11891"/>
    <cellStyle name="Input 191" xfId="11892"/>
    <cellStyle name="Input 192" xfId="9530"/>
    <cellStyle name="Input 193" xfId="9531"/>
    <cellStyle name="Input 194" xfId="9532"/>
    <cellStyle name="Input 195" xfId="9533"/>
    <cellStyle name="Input 196" xfId="9534"/>
    <cellStyle name="Input 197" xfId="9535"/>
    <cellStyle name="Input 198" xfId="2487"/>
    <cellStyle name="Input 199" xfId="9536"/>
    <cellStyle name="Input 2" xfId="1008"/>
    <cellStyle name="Input 2 2" xfId="1009"/>
    <cellStyle name="Input 2 2 2" xfId="9537"/>
    <cellStyle name="Input 2 2 3" xfId="15167"/>
    <cellStyle name="Input 2 3" xfId="2981"/>
    <cellStyle name="Input 2 3 2" xfId="9538"/>
    <cellStyle name="Input 2 4" xfId="5276"/>
    <cellStyle name="Input 2 4 2" xfId="9540"/>
    <cellStyle name="Input 2 4 3" xfId="9539"/>
    <cellStyle name="Input 2 5" xfId="9541"/>
    <cellStyle name="Input 2 6" xfId="9542"/>
    <cellStyle name="Input 20" xfId="9543"/>
    <cellStyle name="Input 20 2" xfId="9544"/>
    <cellStyle name="Input 200" xfId="9545"/>
    <cellStyle name="Input 201" xfId="11893"/>
    <cellStyle name="Input 202" xfId="9546"/>
    <cellStyle name="Input 203" xfId="9547"/>
    <cellStyle name="Input 204" xfId="9548"/>
    <cellStyle name="Input 205" xfId="9549"/>
    <cellStyle name="Input 206" xfId="9550"/>
    <cellStyle name="Input 207" xfId="9551"/>
    <cellStyle name="Input 208" xfId="9552"/>
    <cellStyle name="Input 209" xfId="11239"/>
    <cellStyle name="Input 21" xfId="11894"/>
    <cellStyle name="Input 21 2" xfId="11895"/>
    <cellStyle name="Input 210" xfId="11240"/>
    <cellStyle name="Input 211" xfId="11896"/>
    <cellStyle name="Input 212" xfId="11897"/>
    <cellStyle name="Input 213" xfId="11241"/>
    <cellStyle name="Input 214" xfId="11898"/>
    <cellStyle name="Input 215" xfId="11899"/>
    <cellStyle name="Input 216" xfId="9553"/>
    <cellStyle name="Input 217" xfId="11242"/>
    <cellStyle name="Input 218" xfId="11900"/>
    <cellStyle name="Input 219" xfId="11901"/>
    <cellStyle name="Input 22" xfId="9554"/>
    <cellStyle name="Input 22 2" xfId="11243"/>
    <cellStyle name="Input 220" xfId="11902"/>
    <cellStyle name="Input 221" xfId="11903"/>
    <cellStyle name="Input 222" xfId="9555"/>
    <cellStyle name="Input 223" xfId="11244"/>
    <cellStyle name="Input 224" xfId="11904"/>
    <cellStyle name="Input 225" xfId="11905"/>
    <cellStyle name="Input 226" xfId="9556"/>
    <cellStyle name="Input 227" xfId="11245"/>
    <cellStyle name="Input 228" xfId="11906"/>
    <cellStyle name="Input 229" xfId="11907"/>
    <cellStyle name="Input 23" xfId="9557"/>
    <cellStyle name="Input 23 2" xfId="9558"/>
    <cellStyle name="Input 230" xfId="9559"/>
    <cellStyle name="Input 231" xfId="9560"/>
    <cellStyle name="Input 232" xfId="9561"/>
    <cellStyle name="Input 233" xfId="9562"/>
    <cellStyle name="Input 234" xfId="9563"/>
    <cellStyle name="Input 235" xfId="9564"/>
    <cellStyle name="Input 236" xfId="9565"/>
    <cellStyle name="Input 237" xfId="9566"/>
    <cellStyle name="Input 238" xfId="9567"/>
    <cellStyle name="Input 239" xfId="9568"/>
    <cellStyle name="Input 24" xfId="9569"/>
    <cellStyle name="Input 24 2" xfId="9570"/>
    <cellStyle name="Input 240" xfId="9571"/>
    <cellStyle name="Input 241" xfId="9572"/>
    <cellStyle name="Input 242" xfId="9573"/>
    <cellStyle name="Input 243" xfId="9574"/>
    <cellStyle name="Input 244" xfId="9575"/>
    <cellStyle name="Input 245" xfId="9576"/>
    <cellStyle name="Input 246" xfId="9577"/>
    <cellStyle name="Input 247" xfId="9578"/>
    <cellStyle name="Input 248" xfId="9579"/>
    <cellStyle name="Input 249" xfId="9580"/>
    <cellStyle name="Input 25" xfId="9581"/>
    <cellStyle name="Input 25 2" xfId="9582"/>
    <cellStyle name="Input 250" xfId="9583"/>
    <cellStyle name="Input 251" xfId="9584"/>
    <cellStyle name="Input 252" xfId="9585"/>
    <cellStyle name="Input 253" xfId="9586"/>
    <cellStyle name="Input 254" xfId="9587"/>
    <cellStyle name="Input 255" xfId="9588"/>
    <cellStyle name="Input 256" xfId="9589"/>
    <cellStyle name="Input 257" xfId="11246"/>
    <cellStyle name="Input 258" xfId="9590"/>
    <cellStyle name="Input 259" xfId="9591"/>
    <cellStyle name="Input 26" xfId="9592"/>
    <cellStyle name="Input 26 2" xfId="9593"/>
    <cellStyle name="Input 260" xfId="11908"/>
    <cellStyle name="Input 261" xfId="9594"/>
    <cellStyle name="Input 262" xfId="9595"/>
    <cellStyle name="Input 263" xfId="9596"/>
    <cellStyle name="Input 264" xfId="11909"/>
    <cellStyle name="Input 265" xfId="11247"/>
    <cellStyle name="Input 266" xfId="11910"/>
    <cellStyle name="Input 267" xfId="11911"/>
    <cellStyle name="Input 268" xfId="11248"/>
    <cellStyle name="Input 269" xfId="11912"/>
    <cellStyle name="Input 27" xfId="11913"/>
    <cellStyle name="Input 27 2" xfId="11249"/>
    <cellStyle name="Input 270" xfId="11914"/>
    <cellStyle name="Input 271" xfId="11915"/>
    <cellStyle name="Input 272" xfId="11250"/>
    <cellStyle name="Input 273" xfId="11916"/>
    <cellStyle name="Input 274" xfId="11917"/>
    <cellStyle name="Input 275" xfId="11251"/>
    <cellStyle name="Input 276" xfId="11918"/>
    <cellStyle name="Input 277" xfId="11919"/>
    <cellStyle name="Input 278" xfId="11252"/>
    <cellStyle name="Input 279" xfId="11920"/>
    <cellStyle name="Input 28" xfId="11921"/>
    <cellStyle name="Input 28 2" xfId="11183"/>
    <cellStyle name="Input 280" xfId="11253"/>
    <cellStyle name="Input 281" xfId="11254"/>
    <cellStyle name="Input 282" xfId="11922"/>
    <cellStyle name="Input 283" xfId="11923"/>
    <cellStyle name="Input 284" xfId="11924"/>
    <cellStyle name="Input 285" xfId="11925"/>
    <cellStyle name="Input 286" xfId="11926"/>
    <cellStyle name="Input 287" xfId="11927"/>
    <cellStyle name="Input 288" xfId="11928"/>
    <cellStyle name="Input 289" xfId="9597"/>
    <cellStyle name="Input 29" xfId="11255"/>
    <cellStyle name="Input 29 2" xfId="11929"/>
    <cellStyle name="Input 290" xfId="11930"/>
    <cellStyle name="Input 291" xfId="11256"/>
    <cellStyle name="Input 292" xfId="11931"/>
    <cellStyle name="Input 293" xfId="11932"/>
    <cellStyle name="Input 294" xfId="11257"/>
    <cellStyle name="Input 295" xfId="11933"/>
    <cellStyle name="Input 296" xfId="11934"/>
    <cellStyle name="Input 297" xfId="11258"/>
    <cellStyle name="Input 298" xfId="11935"/>
    <cellStyle name="Input 299" xfId="11936"/>
    <cellStyle name="Input 3" xfId="1010"/>
    <cellStyle name="Input 3 2" xfId="1011"/>
    <cellStyle name="Input 3 2 2" xfId="11937"/>
    <cellStyle name="Input 3 3" xfId="2982"/>
    <cellStyle name="Input 3 3 2" xfId="11259"/>
    <cellStyle name="Input 3 4" xfId="5277"/>
    <cellStyle name="Input 3 4 2" xfId="11939"/>
    <cellStyle name="Input 3 4 3" xfId="11938"/>
    <cellStyle name="Input 3 5" xfId="9601"/>
    <cellStyle name="Input 3 6" xfId="11260"/>
    <cellStyle name="Input 30" xfId="9598"/>
    <cellStyle name="Input 300" xfId="11760"/>
    <cellStyle name="Input 301" xfId="9600"/>
    <cellStyle name="Input 302" xfId="9599"/>
    <cellStyle name="Input 303" xfId="11940"/>
    <cellStyle name="Input 304" xfId="11941"/>
    <cellStyle name="Input 305" xfId="9602"/>
    <cellStyle name="Input 306" xfId="9603"/>
    <cellStyle name="Input 307" xfId="9604"/>
    <cellStyle name="Input 308" xfId="9605"/>
    <cellStyle name="Input 309" xfId="9606"/>
    <cellStyle name="Input 31" xfId="9607"/>
    <cellStyle name="Input 310" xfId="9608"/>
    <cellStyle name="Input 311" xfId="9609"/>
    <cellStyle name="Input 312" xfId="9610"/>
    <cellStyle name="Input 313" xfId="9611"/>
    <cellStyle name="Input 314" xfId="9612"/>
    <cellStyle name="Input 315" xfId="9613"/>
    <cellStyle name="Input 316" xfId="9614"/>
    <cellStyle name="Input 317" xfId="9615"/>
    <cellStyle name="Input 318" xfId="9616"/>
    <cellStyle name="Input 319" xfId="9617"/>
    <cellStyle name="Input 32" xfId="9618"/>
    <cellStyle name="Input 320" xfId="9619"/>
    <cellStyle name="Input 321" xfId="9620"/>
    <cellStyle name="Input 322" xfId="9621"/>
    <cellStyle name="Input 323" xfId="9622"/>
    <cellStyle name="Input 324" xfId="9623"/>
    <cellStyle name="Input 325" xfId="9624"/>
    <cellStyle name="Input 326" xfId="9625"/>
    <cellStyle name="Input 327" xfId="9626"/>
    <cellStyle name="Input 328" xfId="9627"/>
    <cellStyle name="Input 329" xfId="9628"/>
    <cellStyle name="Input 33" xfId="9629"/>
    <cellStyle name="Input 330" xfId="9630"/>
    <cellStyle name="Input 331" xfId="11261"/>
    <cellStyle name="Input 332" xfId="9635"/>
    <cellStyle name="Input 333" xfId="9631"/>
    <cellStyle name="Input 334" xfId="9632"/>
    <cellStyle name="Input 335" xfId="9633"/>
    <cellStyle name="Input 336" xfId="9634"/>
    <cellStyle name="Input 337" xfId="11761"/>
    <cellStyle name="Input 338" xfId="9640"/>
    <cellStyle name="Input 339" xfId="9636"/>
    <cellStyle name="Input 34" xfId="9637"/>
    <cellStyle name="Input 34 2" xfId="9638"/>
    <cellStyle name="Input 340" xfId="9639"/>
    <cellStyle name="Input 341" xfId="11942"/>
    <cellStyle name="Input 342" xfId="9644"/>
    <cellStyle name="Input 343" xfId="9641"/>
    <cellStyle name="Input 344" xfId="9642"/>
    <cellStyle name="Input 345" xfId="9643"/>
    <cellStyle name="Input 346" xfId="11943"/>
    <cellStyle name="Input 347" xfId="11268"/>
    <cellStyle name="Input 348" xfId="11944"/>
    <cellStyle name="Input 349" xfId="11262"/>
    <cellStyle name="Input 35" xfId="11945"/>
    <cellStyle name="Input 35 2" xfId="11946"/>
    <cellStyle name="Input 350" xfId="11263"/>
    <cellStyle name="Input 351" xfId="11947"/>
    <cellStyle name="Input 352" xfId="11948"/>
    <cellStyle name="Input 353" xfId="11264"/>
    <cellStyle name="Input 354" xfId="11949"/>
    <cellStyle name="Input 355" xfId="11950"/>
    <cellStyle name="Input 356" xfId="11265"/>
    <cellStyle name="Input 357" xfId="11951"/>
    <cellStyle name="Input 358" xfId="11952"/>
    <cellStyle name="Input 359" xfId="11266"/>
    <cellStyle name="Input 36" xfId="11953"/>
    <cellStyle name="Input 36 2" xfId="11954"/>
    <cellStyle name="Input 360" xfId="11267"/>
    <cellStyle name="Input 361" xfId="11955"/>
    <cellStyle name="Input 362" xfId="11956"/>
    <cellStyle name="Input 363" xfId="9645"/>
    <cellStyle name="Input 364" xfId="9646"/>
    <cellStyle name="Input 365" xfId="9647"/>
    <cellStyle name="Input 366" xfId="9648"/>
    <cellStyle name="Input 367" xfId="9649"/>
    <cellStyle name="Input 368" xfId="9650"/>
    <cellStyle name="Input 369" xfId="9651"/>
    <cellStyle name="Input 37" xfId="9652"/>
    <cellStyle name="Input 37 2" xfId="9653"/>
    <cellStyle name="Input 370" xfId="11184"/>
    <cellStyle name="Input 371" xfId="9654"/>
    <cellStyle name="Input 372" xfId="11185"/>
    <cellStyle name="Input 373" xfId="11186"/>
    <cellStyle name="Input 374" xfId="11758"/>
    <cellStyle name="Input 375" xfId="9655"/>
    <cellStyle name="Input 376" xfId="9664"/>
    <cellStyle name="Input 377" xfId="9656"/>
    <cellStyle name="Input 378" xfId="9657"/>
    <cellStyle name="Input 379" xfId="9658"/>
    <cellStyle name="Input 38" xfId="11187"/>
    <cellStyle name="Input 38 2" xfId="9659"/>
    <cellStyle name="Input 380" xfId="11188"/>
    <cellStyle name="Input 381" xfId="11189"/>
    <cellStyle name="Input 382" xfId="11190"/>
    <cellStyle name="Input 383" xfId="9663"/>
    <cellStyle name="Input 384" xfId="9660"/>
    <cellStyle name="Input 385" xfId="9661"/>
    <cellStyle name="Input 386" xfId="9662"/>
    <cellStyle name="Input 387" xfId="11191"/>
    <cellStyle name="Input 388" xfId="11778"/>
    <cellStyle name="Input 389" xfId="9678"/>
    <cellStyle name="Input 39" xfId="9665"/>
    <cellStyle name="Input 39 2" xfId="9666"/>
    <cellStyle name="Input 390" xfId="9667"/>
    <cellStyle name="Input 391" xfId="9668"/>
    <cellStyle name="Input 392" xfId="9669"/>
    <cellStyle name="Input 393" xfId="9670"/>
    <cellStyle name="Input 394" xfId="9671"/>
    <cellStyle name="Input 395" xfId="9672"/>
    <cellStyle name="Input 396" xfId="9673"/>
    <cellStyle name="Input 397" xfId="9674"/>
    <cellStyle name="Input 398" xfId="9675"/>
    <cellStyle name="Input 399" xfId="9676"/>
    <cellStyle name="Input 4" xfId="1012"/>
    <cellStyle name="Input 4 2" xfId="1013"/>
    <cellStyle name="Input 4 2 2" xfId="9677"/>
    <cellStyle name="Input 4 3" xfId="2983"/>
    <cellStyle name="Input 4 3 2" xfId="9682"/>
    <cellStyle name="Input 4 4" xfId="5278"/>
    <cellStyle name="Input 4 4 2" xfId="9680"/>
    <cellStyle name="Input 4 4 3" xfId="9679"/>
    <cellStyle name="Input 4 5" xfId="9681"/>
    <cellStyle name="Input 40" xfId="11192"/>
    <cellStyle name="Input 400" xfId="11780"/>
    <cellStyle name="Input 401" xfId="9697"/>
    <cellStyle name="Input 402" xfId="9683"/>
    <cellStyle name="Input 403" xfId="11762"/>
    <cellStyle name="Input 404" xfId="9684"/>
    <cellStyle name="Input 405" xfId="11957"/>
    <cellStyle name="Input 406" xfId="9685"/>
    <cellStyle name="Input 407" xfId="11958"/>
    <cellStyle name="Input 408" xfId="9687"/>
    <cellStyle name="Input 409" xfId="9686"/>
    <cellStyle name="Input 41" xfId="11193"/>
    <cellStyle name="Input 410" xfId="11959"/>
    <cellStyle name="Input 411" xfId="9690"/>
    <cellStyle name="Input 412" xfId="9688"/>
    <cellStyle name="Input 413" xfId="9689"/>
    <cellStyle name="Input 414" xfId="11960"/>
    <cellStyle name="Input 415" xfId="9696"/>
    <cellStyle name="Input 416" xfId="9691"/>
    <cellStyle name="Input 417" xfId="9692"/>
    <cellStyle name="Input 418" xfId="9693"/>
    <cellStyle name="Input 419" xfId="9694"/>
    <cellStyle name="Input 42" xfId="9695"/>
    <cellStyle name="Input 420" xfId="11961"/>
    <cellStyle name="Input 421" xfId="11962"/>
    <cellStyle name="Input 422" xfId="11756"/>
    <cellStyle name="Input 423" xfId="8896"/>
    <cellStyle name="Input 424" xfId="8898"/>
    <cellStyle name="Input 425" xfId="9475"/>
    <cellStyle name="Input 426" xfId="11182"/>
    <cellStyle name="Input 427" xfId="9698"/>
    <cellStyle name="Input 428" xfId="9699"/>
    <cellStyle name="Input 429" xfId="9700"/>
    <cellStyle name="Input 43" xfId="9701"/>
    <cellStyle name="Input 43 2" xfId="9702"/>
    <cellStyle name="Input 430" xfId="11963"/>
    <cellStyle name="Input 431" xfId="11964"/>
    <cellStyle name="Input 432" xfId="11965"/>
    <cellStyle name="Input 433" xfId="9703"/>
    <cellStyle name="Input 434" xfId="11966"/>
    <cellStyle name="Input 435" xfId="9704"/>
    <cellStyle name="Input 436" xfId="11967"/>
    <cellStyle name="Input 437" xfId="9705"/>
    <cellStyle name="Input 438" xfId="9706"/>
    <cellStyle name="Input 439" xfId="11968"/>
    <cellStyle name="Input 44" xfId="11969"/>
    <cellStyle name="Input 44 2" xfId="8903"/>
    <cellStyle name="Input 440" xfId="9707"/>
    <cellStyle name="Input 441" xfId="9708"/>
    <cellStyle name="Input 442" xfId="9709"/>
    <cellStyle name="Input 443" xfId="9710"/>
    <cellStyle name="Input 444" xfId="9711"/>
    <cellStyle name="Input 445" xfId="9712"/>
    <cellStyle name="Input 446" xfId="11763"/>
    <cellStyle name="Input 447" xfId="11970"/>
    <cellStyle name="Input 448" xfId="11971"/>
    <cellStyle name="Input 449" xfId="11972"/>
    <cellStyle name="Input 45" xfId="11973"/>
    <cellStyle name="Input 45 2" xfId="11974"/>
    <cellStyle name="Input 450" xfId="11975"/>
    <cellStyle name="Input 451" xfId="9713"/>
    <cellStyle name="Input 452" xfId="9714"/>
    <cellStyle name="Input 453" xfId="9715"/>
    <cellStyle name="Input 454" xfId="9716"/>
    <cellStyle name="Input 455" xfId="9717"/>
    <cellStyle name="Input 456" xfId="9718"/>
    <cellStyle name="Input 457" xfId="9719"/>
    <cellStyle name="Input 458" xfId="9720"/>
    <cellStyle name="Input 459" xfId="9721"/>
    <cellStyle name="Input 46" xfId="9722"/>
    <cellStyle name="Input 46 2" xfId="2488"/>
    <cellStyle name="Input 460" xfId="9723"/>
    <cellStyle name="Input 461" xfId="9724"/>
    <cellStyle name="Input 462" xfId="9725"/>
    <cellStyle name="Input 463" xfId="9726"/>
    <cellStyle name="Input 464" xfId="9727"/>
    <cellStyle name="Input 465" xfId="9728"/>
    <cellStyle name="Input 466" xfId="9729"/>
    <cellStyle name="Input 467" xfId="9730"/>
    <cellStyle name="Input 468" xfId="9731"/>
    <cellStyle name="Input 469" xfId="9732"/>
    <cellStyle name="Input 47" xfId="9733"/>
    <cellStyle name="Input 47 2" xfId="9734"/>
    <cellStyle name="Input 470" xfId="9735"/>
    <cellStyle name="Input 471" xfId="9736"/>
    <cellStyle name="Input 472" xfId="11976"/>
    <cellStyle name="Input 473" xfId="9737"/>
    <cellStyle name="Input 474" xfId="11977"/>
    <cellStyle name="Input 475" xfId="9738"/>
    <cellStyle name="Input 476" xfId="11978"/>
    <cellStyle name="Input 477" xfId="9741"/>
    <cellStyle name="Input 478" xfId="9739"/>
    <cellStyle name="Input 479" xfId="9740"/>
    <cellStyle name="Input 48" xfId="11979"/>
    <cellStyle name="Input 480" xfId="9744"/>
    <cellStyle name="Input 481" xfId="9742"/>
    <cellStyle name="Input 482" xfId="9743"/>
    <cellStyle name="Input 483" xfId="11980"/>
    <cellStyle name="Input 484" xfId="9748"/>
    <cellStyle name="Input 485" xfId="9745"/>
    <cellStyle name="Input 486" xfId="9746"/>
    <cellStyle name="Input 487" xfId="9747"/>
    <cellStyle name="Input 488" xfId="11981"/>
    <cellStyle name="Input 489" xfId="9755"/>
    <cellStyle name="Input 49" xfId="9749"/>
    <cellStyle name="Input 49 2" xfId="9750"/>
    <cellStyle name="Input 490" xfId="9751"/>
    <cellStyle name="Input 491" xfId="9752"/>
    <cellStyle name="Input 492" xfId="9753"/>
    <cellStyle name="Input 493" xfId="9754"/>
    <cellStyle name="Input 494" xfId="11982"/>
    <cellStyle name="Input 495" xfId="9764"/>
    <cellStyle name="Input 496" xfId="9756"/>
    <cellStyle name="Input 497" xfId="9757"/>
    <cellStyle name="Input 498" xfId="9758"/>
    <cellStyle name="Input 499" xfId="9759"/>
    <cellStyle name="Input 5" xfId="1014"/>
    <cellStyle name="Input 5 2" xfId="1015"/>
    <cellStyle name="Input 5 2 2" xfId="9760"/>
    <cellStyle name="Input 5 3" xfId="2984"/>
    <cellStyle name="Input 5 3 2" xfId="9761"/>
    <cellStyle name="Input 5 4" xfId="5279"/>
    <cellStyle name="Input 5 4 2" xfId="9763"/>
    <cellStyle name="Input 5 4 3" xfId="9762"/>
    <cellStyle name="Input 5 5" xfId="11983"/>
    <cellStyle name="Input 50" xfId="9765"/>
    <cellStyle name="Input 50 2" xfId="9766"/>
    <cellStyle name="Input 500" xfId="11764"/>
    <cellStyle name="Input 501" xfId="9767"/>
    <cellStyle name="Input 502" xfId="11984"/>
    <cellStyle name="Input 503" xfId="9768"/>
    <cellStyle name="Input 504" xfId="11985"/>
    <cellStyle name="Input 505" xfId="9769"/>
    <cellStyle name="Input 506" xfId="9770"/>
    <cellStyle name="Input 507" xfId="11986"/>
    <cellStyle name="Input 508" xfId="1492"/>
    <cellStyle name="Input 509" xfId="9771"/>
    <cellStyle name="Input 51" xfId="9772"/>
    <cellStyle name="Input 510" xfId="9773"/>
    <cellStyle name="Input 511" xfId="11987"/>
    <cellStyle name="Input 512" xfId="9774"/>
    <cellStyle name="Input 513" xfId="9775"/>
    <cellStyle name="Input 514" xfId="9776"/>
    <cellStyle name="Input 515" xfId="11988"/>
    <cellStyle name="Input 516" xfId="11989"/>
    <cellStyle name="Input 517" xfId="9777"/>
    <cellStyle name="Input 518" xfId="9778"/>
    <cellStyle name="Input 519" xfId="9779"/>
    <cellStyle name="Input 52" xfId="9780"/>
    <cellStyle name="Input 520" xfId="8901"/>
    <cellStyle name="Input 521" xfId="9781"/>
    <cellStyle name="Input 522" xfId="9782"/>
    <cellStyle name="Input 523" xfId="9783"/>
    <cellStyle name="Input 524" xfId="9784"/>
    <cellStyle name="Input 525" xfId="9785"/>
    <cellStyle name="Input 526" xfId="9786"/>
    <cellStyle name="Input 527" xfId="9787"/>
    <cellStyle name="Input 528" xfId="9788"/>
    <cellStyle name="Input 529" xfId="9789"/>
    <cellStyle name="Input 53" xfId="9790"/>
    <cellStyle name="Input 530" xfId="9791"/>
    <cellStyle name="Input 531" xfId="9792"/>
    <cellStyle name="Input 532" xfId="9793"/>
    <cellStyle name="Input 533" xfId="9794"/>
    <cellStyle name="Input 534" xfId="9795"/>
    <cellStyle name="Input 535" xfId="9796"/>
    <cellStyle name="Input 536" xfId="9797"/>
    <cellStyle name="Input 537" xfId="9798"/>
    <cellStyle name="Input 538" xfId="9799"/>
    <cellStyle name="Input 539" xfId="9800"/>
    <cellStyle name="Input 54" xfId="9801"/>
    <cellStyle name="Input 540" xfId="9802"/>
    <cellStyle name="Input 541" xfId="9803"/>
    <cellStyle name="Input 542" xfId="9804"/>
    <cellStyle name="Input 543" xfId="9805"/>
    <cellStyle name="Input 544" xfId="9806"/>
    <cellStyle name="Input 545" xfId="9807"/>
    <cellStyle name="Input 546" xfId="9808"/>
    <cellStyle name="Input 547" xfId="9809"/>
    <cellStyle name="Input 548" xfId="9810"/>
    <cellStyle name="Input 549" xfId="9811"/>
    <cellStyle name="Input 55" xfId="9812"/>
    <cellStyle name="Input 55 2" xfId="9813"/>
    <cellStyle name="Input 550" xfId="9814"/>
    <cellStyle name="Input 551" xfId="9815"/>
    <cellStyle name="Input 552" xfId="9816"/>
    <cellStyle name="Input 553" xfId="9817"/>
    <cellStyle name="Input 554" xfId="9818"/>
    <cellStyle name="Input 555" xfId="9819"/>
    <cellStyle name="Input 556" xfId="9820"/>
    <cellStyle name="Input 557" xfId="9821"/>
    <cellStyle name="Input 558" xfId="11990"/>
    <cellStyle name="Input 559" xfId="11991"/>
    <cellStyle name="Input 56" xfId="11992"/>
    <cellStyle name="Input 56 2" xfId="11993"/>
    <cellStyle name="Input 560" xfId="11994"/>
    <cellStyle name="Input 561" xfId="11995"/>
    <cellStyle name="Input 562" xfId="11996"/>
    <cellStyle name="Input 563" xfId="11997"/>
    <cellStyle name="Input 564" xfId="11998"/>
    <cellStyle name="Input 565" xfId="11999"/>
    <cellStyle name="Input 566" xfId="12000"/>
    <cellStyle name="Input 567" xfId="12001"/>
    <cellStyle name="Input 568" xfId="12002"/>
    <cellStyle name="Input 569" xfId="12003"/>
    <cellStyle name="Input 57" xfId="12004"/>
    <cellStyle name="Input 57 2" xfId="1491"/>
    <cellStyle name="Input 570" xfId="12005"/>
    <cellStyle name="Input 571" xfId="9822"/>
    <cellStyle name="Input 572" xfId="9823"/>
    <cellStyle name="Input 573" xfId="9824"/>
    <cellStyle name="Input 574" xfId="11269"/>
    <cellStyle name="Input 575" xfId="12006"/>
    <cellStyle name="Input 576" xfId="12007"/>
    <cellStyle name="Input 577" xfId="11270"/>
    <cellStyle name="Input 578" xfId="12008"/>
    <cellStyle name="Input 579" xfId="12009"/>
    <cellStyle name="Input 58" xfId="11271"/>
    <cellStyle name="Input 580" xfId="12010"/>
    <cellStyle name="Input 581" xfId="12011"/>
    <cellStyle name="Input 582" xfId="9825"/>
    <cellStyle name="Input 583" xfId="11272"/>
    <cellStyle name="Input 584" xfId="12012"/>
    <cellStyle name="Input 585" xfId="12013"/>
    <cellStyle name="Input 586" xfId="9826"/>
    <cellStyle name="Input 587" xfId="11273"/>
    <cellStyle name="Input 588" xfId="12014"/>
    <cellStyle name="Input 589" xfId="12015"/>
    <cellStyle name="Input 59" xfId="9827"/>
    <cellStyle name="Input 590" xfId="11274"/>
    <cellStyle name="Input 591" xfId="12016"/>
    <cellStyle name="Input 592" xfId="12017"/>
    <cellStyle name="Input 593" xfId="9828"/>
    <cellStyle name="Input 594" xfId="11275"/>
    <cellStyle name="Input 595" xfId="12018"/>
    <cellStyle name="Input 596" xfId="12019"/>
    <cellStyle name="Input 597" xfId="9829"/>
    <cellStyle name="Input 598" xfId="11276"/>
    <cellStyle name="Input 599" xfId="12020"/>
    <cellStyle name="Input 6" xfId="1016"/>
    <cellStyle name="Input 6 2" xfId="1017"/>
    <cellStyle name="Input 6 2 2" xfId="11277"/>
    <cellStyle name="Input 6 3" xfId="2985"/>
    <cellStyle name="Input 6 3 2" xfId="12021"/>
    <cellStyle name="Input 6 4" xfId="5280"/>
    <cellStyle name="Input 6 4 2" xfId="12022"/>
    <cellStyle name="Input 6 4 3" xfId="11278"/>
    <cellStyle name="Input 6 5" xfId="12023"/>
    <cellStyle name="Input 60" xfId="11279"/>
    <cellStyle name="Input 600" xfId="12024"/>
    <cellStyle name="Input 601" xfId="12025"/>
    <cellStyle name="Input 602" xfId="11280"/>
    <cellStyle name="Input 603" xfId="12026"/>
    <cellStyle name="Input 604" xfId="12027"/>
    <cellStyle name="Input 605" xfId="11281"/>
    <cellStyle name="Input 606" xfId="12028"/>
    <cellStyle name="Input 607" xfId="12029"/>
    <cellStyle name="Input 608" xfId="11282"/>
    <cellStyle name="Input 609" xfId="12030"/>
    <cellStyle name="Input 61" xfId="12031"/>
    <cellStyle name="Input 61 2" xfId="9830"/>
    <cellStyle name="Input 610" xfId="9831"/>
    <cellStyle name="Input 611" xfId="9832"/>
    <cellStyle name="Input 612" xfId="9833"/>
    <cellStyle name="Input 613" xfId="9834"/>
    <cellStyle name="Input 614" xfId="9835"/>
    <cellStyle name="Input 615" xfId="9836"/>
    <cellStyle name="Input 616" xfId="9837"/>
    <cellStyle name="Input 617" xfId="12032"/>
    <cellStyle name="Input 618" xfId="12033"/>
    <cellStyle name="Input 619" xfId="9838"/>
    <cellStyle name="Input 62" xfId="9839"/>
    <cellStyle name="Input 62 2" xfId="12034"/>
    <cellStyle name="Input 620" xfId="12035"/>
    <cellStyle name="Input 63" xfId="12036"/>
    <cellStyle name="Input 64" xfId="12037"/>
    <cellStyle name="Input 65" xfId="9840"/>
    <cellStyle name="Input 66" xfId="12038"/>
    <cellStyle name="Input 67" xfId="12039"/>
    <cellStyle name="Input 68" xfId="12040"/>
    <cellStyle name="Input 69" xfId="11283"/>
    <cellStyle name="Input 69 2" xfId="12041"/>
    <cellStyle name="Input 7" xfId="1018"/>
    <cellStyle name="Input 7 2" xfId="1019"/>
    <cellStyle name="Input 7 2 2" xfId="11284"/>
    <cellStyle name="Input 7 3" xfId="2986"/>
    <cellStyle name="Input 7 3 2" xfId="12042"/>
    <cellStyle name="Input 7 4" xfId="11285"/>
    <cellStyle name="Input 7 4 2" xfId="12043"/>
    <cellStyle name="Input 7 5" xfId="12044"/>
    <cellStyle name="Input 70" xfId="9841"/>
    <cellStyle name="Input 70 2" xfId="11286"/>
    <cellStyle name="Input 71" xfId="12045"/>
    <cellStyle name="Input 71 2" xfId="12046"/>
    <cellStyle name="Input 72" xfId="9842"/>
    <cellStyle name="Input 72 2" xfId="11287"/>
    <cellStyle name="Input 73" xfId="12047"/>
    <cellStyle name="Input 74" xfId="12048"/>
    <cellStyle name="Input 74 2" xfId="9843"/>
    <cellStyle name="Input 75" xfId="11288"/>
    <cellStyle name="Input 75 2" xfId="12049"/>
    <cellStyle name="Input 76" xfId="12050"/>
    <cellStyle name="Input 76 2" xfId="9844"/>
    <cellStyle name="Input 77" xfId="11289"/>
    <cellStyle name="Input 77 2" xfId="12051"/>
    <cellStyle name="Input 78" xfId="12052"/>
    <cellStyle name="Input 78 2" xfId="9845"/>
    <cellStyle name="Input 79" xfId="11290"/>
    <cellStyle name="Input 79 2" xfId="12053"/>
    <cellStyle name="Input 8" xfId="1020"/>
    <cellStyle name="Input 8 2" xfId="1021"/>
    <cellStyle name="Input 8 2 2" xfId="11291"/>
    <cellStyle name="Input 8 3" xfId="2987"/>
    <cellStyle name="Input 8 3 2" xfId="12054"/>
    <cellStyle name="Input 8 4" xfId="11292"/>
    <cellStyle name="Input 80" xfId="12055"/>
    <cellStyle name="Input 80 2" xfId="12056"/>
    <cellStyle name="Input 81" xfId="11293"/>
    <cellStyle name="Input 82" xfId="12057"/>
    <cellStyle name="Input 83" xfId="12058"/>
    <cellStyle name="Input 84" xfId="11294"/>
    <cellStyle name="Input 85" xfId="12059"/>
    <cellStyle name="Input 86" xfId="12060"/>
    <cellStyle name="Input 87" xfId="11295"/>
    <cellStyle name="Input 88" xfId="12061"/>
    <cellStyle name="Input 88 2" xfId="12062"/>
    <cellStyle name="Input 89" xfId="11296"/>
    <cellStyle name="Input 89 2" xfId="12063"/>
    <cellStyle name="Input 9" xfId="1022"/>
    <cellStyle name="Input 9 2" xfId="1023"/>
    <cellStyle name="Input 9 2 2" xfId="9846"/>
    <cellStyle name="Input 9 3" xfId="2988"/>
    <cellStyle name="Input 9 3 2" xfId="9847"/>
    <cellStyle name="Input 9 4" xfId="9848"/>
    <cellStyle name="Input 90" xfId="9849"/>
    <cellStyle name="Input 90 2" xfId="9850"/>
    <cellStyle name="Input 91" xfId="9851"/>
    <cellStyle name="Input 91 2" xfId="9852"/>
    <cellStyle name="Input 92" xfId="9853"/>
    <cellStyle name="Input 92 2" xfId="9854"/>
    <cellStyle name="Input 93" xfId="11297"/>
    <cellStyle name="Input 94" xfId="12064"/>
    <cellStyle name="Input 94 2" xfId="12065"/>
    <cellStyle name="Input 95" xfId="11298"/>
    <cellStyle name="Input 95 2" xfId="12066"/>
    <cellStyle name="Input 96" xfId="12067"/>
    <cellStyle name="Input 96 2" xfId="11299"/>
    <cellStyle name="Input 97" xfId="12068"/>
    <cellStyle name="Input 98" xfId="12069"/>
    <cellStyle name="Input 99" xfId="9855"/>
    <cellStyle name="Input 99 2" xfId="11300"/>
    <cellStyle name="Input Cells" xfId="5281"/>
    <cellStyle name="intro" xfId="12070"/>
    <cellStyle name="Invisible" xfId="5282"/>
    <cellStyle name="Invisible 2" xfId="5283"/>
    <cellStyle name="Invisible 3" xfId="5284"/>
    <cellStyle name="ITEM" xfId="5285"/>
    <cellStyle name="l" xfId="5286"/>
    <cellStyle name="l 2" xfId="5287"/>
    <cellStyle name="l 2 2" xfId="5288"/>
    <cellStyle name="l 3" xfId="5289"/>
    <cellStyle name="Legal 8½ x 14 in" xfId="5290"/>
    <cellStyle name="Linked Cell 10" xfId="1024"/>
    <cellStyle name="Linked Cell 10 2" xfId="1025"/>
    <cellStyle name="Linked Cell 10 3" xfId="2989"/>
    <cellStyle name="Linked Cell 11" xfId="1026"/>
    <cellStyle name="Linked Cell 11 2" xfId="1027"/>
    <cellStyle name="Linked Cell 11 3" xfId="2990"/>
    <cellStyle name="Linked Cell 12" xfId="1028"/>
    <cellStyle name="Linked Cell 12 2" xfId="1029"/>
    <cellStyle name="Linked Cell 12 3" xfId="2991"/>
    <cellStyle name="Linked Cell 13" xfId="1030"/>
    <cellStyle name="Linked Cell 13 2" xfId="1031"/>
    <cellStyle name="Linked Cell 13 3" xfId="2992"/>
    <cellStyle name="Linked Cell 14" xfId="1032"/>
    <cellStyle name="Linked Cell 14 2" xfId="1033"/>
    <cellStyle name="Linked Cell 14 3" xfId="2993"/>
    <cellStyle name="Linked Cell 15" xfId="1034"/>
    <cellStyle name="Linked Cell 15 2" xfId="1035"/>
    <cellStyle name="Linked Cell 15 3" xfId="2994"/>
    <cellStyle name="Linked Cell 16" xfId="12071"/>
    <cellStyle name="Linked Cell 16 2" xfId="9856"/>
    <cellStyle name="Linked Cell 16 3" xfId="11301"/>
    <cellStyle name="Linked Cell 17" xfId="12072"/>
    <cellStyle name="Linked Cell 17 2" xfId="12073"/>
    <cellStyle name="Linked Cell 18" xfId="11302"/>
    <cellStyle name="Linked Cell 2" xfId="1036"/>
    <cellStyle name="Linked Cell 2 2" xfId="1037"/>
    <cellStyle name="Linked Cell 2 2 2" xfId="15168"/>
    <cellStyle name="Linked Cell 2 3" xfId="2995"/>
    <cellStyle name="Linked Cell 2 4" xfId="5291"/>
    <cellStyle name="Linked Cell 2 4 2" xfId="11303"/>
    <cellStyle name="Linked Cell 2 5" xfId="12074"/>
    <cellStyle name="Linked Cell 3" xfId="1038"/>
    <cellStyle name="Linked Cell 3 2" xfId="1039"/>
    <cellStyle name="Linked Cell 3 3" xfId="2996"/>
    <cellStyle name="Linked Cell 3 4" xfId="5292"/>
    <cellStyle name="Linked Cell 3 4 2" xfId="12075"/>
    <cellStyle name="Linked Cell 3 5" xfId="12076"/>
    <cellStyle name="Linked Cell 4" xfId="1040"/>
    <cellStyle name="Linked Cell 4 2" xfId="1041"/>
    <cellStyle name="Linked Cell 4 3" xfId="2997"/>
    <cellStyle name="Linked Cell 4 4" xfId="5293"/>
    <cellStyle name="Linked Cell 4 4 2" xfId="12077"/>
    <cellStyle name="Linked Cell 5" xfId="1042"/>
    <cellStyle name="Linked Cell 5 2" xfId="1043"/>
    <cellStyle name="Linked Cell 5 3" xfId="2998"/>
    <cellStyle name="Linked Cell 5 4" xfId="5294"/>
    <cellStyle name="Linked Cell 5 4 2" xfId="12078"/>
    <cellStyle name="Linked Cell 6" xfId="1044"/>
    <cellStyle name="Linked Cell 6 2" xfId="1045"/>
    <cellStyle name="Linked Cell 6 3" xfId="2999"/>
    <cellStyle name="Linked Cell 6 4" xfId="5295"/>
    <cellStyle name="Linked Cell 6 4 2" xfId="12079"/>
    <cellStyle name="Linked Cell 7" xfId="1046"/>
    <cellStyle name="Linked Cell 7 2" xfId="1047"/>
    <cellStyle name="Linked Cell 7 3" xfId="3000"/>
    <cellStyle name="Linked Cell 7 4" xfId="12080"/>
    <cellStyle name="Linked Cell 8" xfId="1048"/>
    <cellStyle name="Linked Cell 8 2" xfId="1049"/>
    <cellStyle name="Linked Cell 8 3" xfId="3001"/>
    <cellStyle name="Linked Cell 9" xfId="1050"/>
    <cellStyle name="Linked Cell 9 2" xfId="1051"/>
    <cellStyle name="Linked Cell 9 3" xfId="3002"/>
    <cellStyle name="Milliers [0]_AR1194" xfId="1052"/>
    <cellStyle name="Milliers_AR1194" xfId="1053"/>
    <cellStyle name="Minus (0)" xfId="1054"/>
    <cellStyle name="MLComma0" xfId="5296"/>
    <cellStyle name="Mon?aire [0]_AR1194" xfId="1055"/>
    <cellStyle name="Mon?aire_AR1194" xfId="1056"/>
    <cellStyle name="Monšaire [0]_AR1194" xfId="1057"/>
    <cellStyle name="Monšaire_AR1194" xfId="1058"/>
    <cellStyle name="Monétaire [0]_AR1194" xfId="5297"/>
    <cellStyle name="Monétaire_AR1194" xfId="5298"/>
    <cellStyle name="Mon彋aire [0]_AR1194" xfId="1059"/>
    <cellStyle name="Mon彋aire_AR1194" xfId="1060"/>
    <cellStyle name="n" xfId="5299"/>
    <cellStyle name="n 2" xfId="5300"/>
    <cellStyle name="n1" xfId="5301"/>
    <cellStyle name="n1 2" xfId="5302"/>
    <cellStyle name="n2" xfId="5303"/>
    <cellStyle name="n2 2" xfId="5304"/>
    <cellStyle name="n3" xfId="5305"/>
    <cellStyle name="n3 2" xfId="5306"/>
    <cellStyle name="Neutral 10" xfId="1061"/>
    <cellStyle name="Neutral 10 2" xfId="1062"/>
    <cellStyle name="Neutral 10 3" xfId="3003"/>
    <cellStyle name="Neutral 11" xfId="1063"/>
    <cellStyle name="Neutral 11 2" xfId="1064"/>
    <cellStyle name="Neutral 11 3" xfId="3004"/>
    <cellStyle name="Neutral 12" xfId="1065"/>
    <cellStyle name="Neutral 12 2" xfId="1066"/>
    <cellStyle name="Neutral 12 3" xfId="3005"/>
    <cellStyle name="Neutral 13" xfId="1067"/>
    <cellStyle name="Neutral 13 2" xfId="1068"/>
    <cellStyle name="Neutral 13 3" xfId="3006"/>
    <cellStyle name="Neutral 14" xfId="1069"/>
    <cellStyle name="Neutral 14 2" xfId="1070"/>
    <cellStyle name="Neutral 14 3" xfId="3007"/>
    <cellStyle name="Neutral 15" xfId="1071"/>
    <cellStyle name="Neutral 15 2" xfId="1072"/>
    <cellStyle name="Neutral 15 3" xfId="3008"/>
    <cellStyle name="Neutral 16" xfId="12081"/>
    <cellStyle name="Neutral 16 2" xfId="11304"/>
    <cellStyle name="Neutral 16 3" xfId="12082"/>
    <cellStyle name="Neutral 17" xfId="12083"/>
    <cellStyle name="Neutral 17 2" xfId="11305"/>
    <cellStyle name="Neutral 18" xfId="12084"/>
    <cellStyle name="Neutral 2" xfId="1073"/>
    <cellStyle name="Neutral 2 2" xfId="1074"/>
    <cellStyle name="Neutral 2 2 2" xfId="15169"/>
    <cellStyle name="Neutral 2 3" xfId="3009"/>
    <cellStyle name="Neutral 2 4" xfId="5307"/>
    <cellStyle name="Neutral 2 4 2" xfId="12085"/>
    <cellStyle name="Neutral 2 5" xfId="12086"/>
    <cellStyle name="Neutral 3" xfId="1075"/>
    <cellStyle name="Neutral 3 2" xfId="1076"/>
    <cellStyle name="Neutral 3 3" xfId="3010"/>
    <cellStyle name="Neutral 3 4" xfId="5308"/>
    <cellStyle name="Neutral 3 4 2" xfId="12087"/>
    <cellStyle name="Neutral 3 5" xfId="9857"/>
    <cellStyle name="Neutral 4" xfId="1077"/>
    <cellStyle name="Neutral 4 2" xfId="1078"/>
    <cellStyle name="Neutral 4 3" xfId="3011"/>
    <cellStyle name="Neutral 4 4" xfId="5309"/>
    <cellStyle name="Neutral 4 4 2" xfId="12088"/>
    <cellStyle name="Neutral 5" xfId="1079"/>
    <cellStyle name="Neutral 5 2" xfId="1080"/>
    <cellStyle name="Neutral 5 3" xfId="3012"/>
    <cellStyle name="Neutral 5 4" xfId="5310"/>
    <cellStyle name="Neutral 5 4 2" xfId="12089"/>
    <cellStyle name="Neutral 6" xfId="1081"/>
    <cellStyle name="Neutral 6 2" xfId="1082"/>
    <cellStyle name="Neutral 6 3" xfId="3013"/>
    <cellStyle name="Neutral 6 4" xfId="5311"/>
    <cellStyle name="Neutral 6 4 2" xfId="12090"/>
    <cellStyle name="Neutral 7" xfId="1083"/>
    <cellStyle name="Neutral 7 2" xfId="1084"/>
    <cellStyle name="Neutral 7 3" xfId="3014"/>
    <cellStyle name="Neutral 7 4" xfId="12091"/>
    <cellStyle name="Neutral 8" xfId="1085"/>
    <cellStyle name="Neutral 8 2" xfId="1086"/>
    <cellStyle name="Neutral 8 3" xfId="3015"/>
    <cellStyle name="Neutral 9" xfId="1087"/>
    <cellStyle name="Neutral 9 2" xfId="1088"/>
    <cellStyle name="Neutral 9 3" xfId="3016"/>
    <cellStyle name="NewColumnHeaderNormal" xfId="5312"/>
    <cellStyle name="NewSectionHeaderNormal" xfId="5313"/>
    <cellStyle name="NewTitleNormal" xfId="5314"/>
    <cellStyle name="no dec" xfId="1089"/>
    <cellStyle name="Normal" xfId="0" builtinId="0"/>
    <cellStyle name="Normal - Style1" xfId="1090"/>
    <cellStyle name="Normal - Style1 10" xfId="1091"/>
    <cellStyle name="Normal - Style1 11" xfId="1092"/>
    <cellStyle name="Normal - Style1 12" xfId="1093"/>
    <cellStyle name="Normal - Style1 13" xfId="1094"/>
    <cellStyle name="Normal - Style1 14" xfId="1095"/>
    <cellStyle name="Normal - Style1 15" xfId="1096"/>
    <cellStyle name="Normal - Style1 16" xfId="11306"/>
    <cellStyle name="Normal - Style1 2" xfId="1097"/>
    <cellStyle name="Normal - Style1 3" xfId="1098"/>
    <cellStyle name="Normal - Style1 4" xfId="1099"/>
    <cellStyle name="Normal - Style1 5" xfId="1100"/>
    <cellStyle name="Normal - Style1 6" xfId="1101"/>
    <cellStyle name="Normal - Style1 7" xfId="1102"/>
    <cellStyle name="Normal - Style1 8" xfId="1103"/>
    <cellStyle name="Normal - Style1 9" xfId="1104"/>
    <cellStyle name="Normal - Style1_Input" xfId="12092"/>
    <cellStyle name="Normal - Style5" xfId="5315"/>
    <cellStyle name="Normal 1" xfId="5316"/>
    <cellStyle name="Normal 10" xfId="5317"/>
    <cellStyle name="Normal 10 2" xfId="5318"/>
    <cellStyle name="Normal 10 2 2" xfId="11307"/>
    <cellStyle name="Normal 10 3" xfId="5319"/>
    <cellStyle name="Normal 10 3 2" xfId="12094"/>
    <cellStyle name="Normal 10 4" xfId="5320"/>
    <cellStyle name="Normal 10 4 2" xfId="12095"/>
    <cellStyle name="Normal 10 4 3" xfId="14912"/>
    <cellStyle name="Normal 10 5" xfId="5321"/>
    <cellStyle name="Normal 10 5 2" xfId="11308"/>
    <cellStyle name="Normal 10 5 3" xfId="14913"/>
    <cellStyle name="Normal 10 6" xfId="12093"/>
    <cellStyle name="Normal 10 7" xfId="15070"/>
    <cellStyle name="Normal 10 8" xfId="15096"/>
    <cellStyle name="Normal 100" xfId="12096"/>
    <cellStyle name="Normal 100 2" xfId="12097"/>
    <cellStyle name="Normal 101" xfId="11309"/>
    <cellStyle name="Normal 101 2" xfId="12098"/>
    <cellStyle name="Normal 102" xfId="12099"/>
    <cellStyle name="Normal 102 2" xfId="11310"/>
    <cellStyle name="Normal 103" xfId="12100"/>
    <cellStyle name="Normal 103 2" xfId="12101"/>
    <cellStyle name="Normal 104" xfId="11311"/>
    <cellStyle name="Normal 104 2" xfId="12102"/>
    <cellStyle name="Normal 105" xfId="12103"/>
    <cellStyle name="Normal 105 2" xfId="11312"/>
    <cellStyle name="Normal 106" xfId="12104"/>
    <cellStyle name="Normal 106 2" xfId="12105"/>
    <cellStyle name="Normal 107" xfId="11313"/>
    <cellStyle name="Normal 108" xfId="12106"/>
    <cellStyle name="Normal 108 2" xfId="12107"/>
    <cellStyle name="Normal 109" xfId="11314"/>
    <cellStyle name="Normal 11" xfId="5322"/>
    <cellStyle name="Normal 11 2" xfId="5323"/>
    <cellStyle name="Normal 11 2 2" xfId="12108"/>
    <cellStyle name="Normal 11 3" xfId="5324"/>
    <cellStyle name="Normal 11 4" xfId="5325"/>
    <cellStyle name="Normal 11 4 2" xfId="11315"/>
    <cellStyle name="Normal 11 4 3" xfId="14914"/>
    <cellStyle name="Normal 11 5" xfId="15170"/>
    <cellStyle name="Normal 110" xfId="12109"/>
    <cellStyle name="Normal 111" xfId="12110"/>
    <cellStyle name="Normal 112" xfId="9858"/>
    <cellStyle name="Normal 113" xfId="11316"/>
    <cellStyle name="Normal 113 2" xfId="12111"/>
    <cellStyle name="Normal 114" xfId="12112"/>
    <cellStyle name="Normal 114 2" xfId="11317"/>
    <cellStyle name="Normal 115" xfId="12113"/>
    <cellStyle name="Normal 116" xfId="12114"/>
    <cellStyle name="Normal 116 2" xfId="11318"/>
    <cellStyle name="Normal 117" xfId="12115"/>
    <cellStyle name="Normal 117 2" xfId="12116"/>
    <cellStyle name="Normal 118" xfId="11319"/>
    <cellStyle name="Normal 118 2" xfId="12117"/>
    <cellStyle name="Normal 119" xfId="12118"/>
    <cellStyle name="Normal 119 2" xfId="11320"/>
    <cellStyle name="Normal 12" xfId="5326"/>
    <cellStyle name="Normal 12 10" xfId="5327"/>
    <cellStyle name="Normal 12 11" xfId="5328"/>
    <cellStyle name="Normal 12 2" xfId="5329"/>
    <cellStyle name="Normal 12 2 2" xfId="12119"/>
    <cellStyle name="Normal 12 3" xfId="5330"/>
    <cellStyle name="Normal 12 3 2" xfId="11321"/>
    <cellStyle name="Normal 12 4" xfId="5331"/>
    <cellStyle name="Normal 12 4 2" xfId="12120"/>
    <cellStyle name="Normal 12 5" xfId="5332"/>
    <cellStyle name="Normal 12 6" xfId="5333"/>
    <cellStyle name="Normal 12 7" xfId="5334"/>
    <cellStyle name="Normal 12 8" xfId="5335"/>
    <cellStyle name="Normal 12 9" xfId="5336"/>
    <cellStyle name="Normal 120" xfId="12121"/>
    <cellStyle name="Normal 120 2" xfId="11322"/>
    <cellStyle name="Normal 121" xfId="12122"/>
    <cellStyle name="Normal 121 2" xfId="12123"/>
    <cellStyle name="Normal 122" xfId="11323"/>
    <cellStyle name="Normal 122 2" xfId="12124"/>
    <cellStyle name="Normal 123" xfId="12125"/>
    <cellStyle name="Normal 123 2" xfId="11324"/>
    <cellStyle name="Normal 124" xfId="12126"/>
    <cellStyle name="Normal 125" xfId="12127"/>
    <cellStyle name="Normal 126" xfId="11325"/>
    <cellStyle name="Normal 127" xfId="12128"/>
    <cellStyle name="Normal 127 2" xfId="12129"/>
    <cellStyle name="Normal 128" xfId="11326"/>
    <cellStyle name="Normal 128 2" xfId="12130"/>
    <cellStyle name="Normal 129" xfId="12131"/>
    <cellStyle name="Normal 129 2" xfId="11327"/>
    <cellStyle name="Normal 13" xfId="5337"/>
    <cellStyle name="Normal 13 2" xfId="5338"/>
    <cellStyle name="Normal 13 2 2" xfId="12132"/>
    <cellStyle name="Normal 13 3" xfId="5339"/>
    <cellStyle name="Normal 13 3 2" xfId="11328"/>
    <cellStyle name="Normal 13 4" xfId="5340"/>
    <cellStyle name="Normal 13 4 2" xfId="12133"/>
    <cellStyle name="Normal 13 4 3" xfId="14915"/>
    <cellStyle name="Normal 13 5" xfId="12134"/>
    <cellStyle name="Normal 130" xfId="9859"/>
    <cellStyle name="Normal 130 2" xfId="11329"/>
    <cellStyle name="Normal 131" xfId="12135"/>
    <cellStyle name="Normal 131 2" xfId="12136"/>
    <cellStyle name="Normal 132" xfId="9860"/>
    <cellStyle name="Normal 133" xfId="11330"/>
    <cellStyle name="Normal 133 2" xfId="12137"/>
    <cellStyle name="Normal 134" xfId="12138"/>
    <cellStyle name="Normal 134 2" xfId="11331"/>
    <cellStyle name="Normal 135" xfId="12139"/>
    <cellStyle name="Normal 135 2" xfId="12140"/>
    <cellStyle name="Normal 136" xfId="11332"/>
    <cellStyle name="Normal 136 2" xfId="12141"/>
    <cellStyle name="Normal 137" xfId="12142"/>
    <cellStyle name="Normal 137 2" xfId="11333"/>
    <cellStyle name="Normal 138" xfId="12143"/>
    <cellStyle name="Normal 138 2" xfId="12144"/>
    <cellStyle name="Normal 139" xfId="11334"/>
    <cellStyle name="Normal 139 2" xfId="12145"/>
    <cellStyle name="Normal 14" xfId="5341"/>
    <cellStyle name="Normal 14 2" xfId="5342"/>
    <cellStyle name="Normal 14 2 2" xfId="11335"/>
    <cellStyle name="Normal 14 3" xfId="5343"/>
    <cellStyle name="Normal 14 4" xfId="5344"/>
    <cellStyle name="Normal 14 4 2" xfId="12146"/>
    <cellStyle name="Normal 14 4 3" xfId="14916"/>
    <cellStyle name="Normal 140" xfId="11336"/>
    <cellStyle name="Normal 141" xfId="12147"/>
    <cellStyle name="Normal 142" xfId="12148"/>
    <cellStyle name="Normal 143" xfId="11337"/>
    <cellStyle name="Normal 144" xfId="12149"/>
    <cellStyle name="Normal 145" xfId="12150"/>
    <cellStyle name="Normal 146" xfId="11338"/>
    <cellStyle name="Normal 147" xfId="12151"/>
    <cellStyle name="Normal 148" xfId="12152"/>
    <cellStyle name="Normal 149" xfId="11339"/>
    <cellStyle name="Normal 15" xfId="5345"/>
    <cellStyle name="Normal 15 2" xfId="5346"/>
    <cellStyle name="Normal 15 2 2" xfId="12153"/>
    <cellStyle name="Normal 15 3" xfId="5347"/>
    <cellStyle name="Normal 15 4" xfId="5348"/>
    <cellStyle name="Normal 15 4 2" xfId="12154"/>
    <cellStyle name="Normal 15 4 3" xfId="14917"/>
    <cellStyle name="Normal 150" xfId="5349"/>
    <cellStyle name="Normal 150 2" xfId="12155"/>
    <cellStyle name="Normal 151" xfId="11340"/>
    <cellStyle name="Normal 152" xfId="12156"/>
    <cellStyle name="Normal 152 2" xfId="12157"/>
    <cellStyle name="Normal 153" xfId="9861"/>
    <cellStyle name="Normal 153 2" xfId="11341"/>
    <cellStyle name="Normal 154" xfId="12158"/>
    <cellStyle name="Normal 154 2" xfId="12159"/>
    <cellStyle name="Normal 155" xfId="9862"/>
    <cellStyle name="Normal 155 2" xfId="11342"/>
    <cellStyle name="Normal 156" xfId="12160"/>
    <cellStyle name="Normal 157" xfId="12161"/>
    <cellStyle name="Normal 158" xfId="9863"/>
    <cellStyle name="Normal 159" xfId="11343"/>
    <cellStyle name="Normal 16" xfId="5350"/>
    <cellStyle name="Normal 16 2" xfId="5351"/>
    <cellStyle name="Normal 16 2 2" xfId="5352"/>
    <cellStyle name="Normal 16 2 2 2" xfId="14920"/>
    <cellStyle name="Normal 16 2 3" xfId="5353"/>
    <cellStyle name="Normal 16 2 4" xfId="12163"/>
    <cellStyle name="Normal 16 2 5" xfId="14919"/>
    <cellStyle name="Normal 16 3" xfId="5354"/>
    <cellStyle name="Normal 16 3 2" xfId="11344"/>
    <cellStyle name="Normal 16 3 3" xfId="14921"/>
    <cellStyle name="Normal 16 4" xfId="5355"/>
    <cellStyle name="Normal 16 4 2" xfId="12164"/>
    <cellStyle name="Normal 16 4 3" xfId="14922"/>
    <cellStyle name="Normal 16 5" xfId="12162"/>
    <cellStyle name="Normal 16 6" xfId="14918"/>
    <cellStyle name="Normal 160" xfId="12165"/>
    <cellStyle name="Normal 161" xfId="11345"/>
    <cellStyle name="Normal 162" xfId="12166"/>
    <cellStyle name="Normal 163" xfId="12167"/>
    <cellStyle name="Normal 164" xfId="11346"/>
    <cellStyle name="Normal 165" xfId="8484"/>
    <cellStyle name="Normal 165 2" xfId="12169"/>
    <cellStyle name="Normal 165 3" xfId="12168"/>
    <cellStyle name="Normal 165 4" xfId="15022"/>
    <cellStyle name="Normal 165 4 2" xfId="15055"/>
    <cellStyle name="Normal 165 5" xfId="15049"/>
    <cellStyle name="Normal 166" xfId="11347"/>
    <cellStyle name="Normal 166 2" xfId="12170"/>
    <cellStyle name="Normal 167" xfId="12171"/>
    <cellStyle name="Normal 167 2" xfId="11348"/>
    <cellStyle name="Normal 168" xfId="12172"/>
    <cellStyle name="Normal 169" xfId="12173"/>
    <cellStyle name="Normal 169 2" xfId="11349"/>
    <cellStyle name="Normal 17" xfId="5356"/>
    <cellStyle name="Normal 17 2" xfId="5357"/>
    <cellStyle name="Normal 17 2 2" xfId="12174"/>
    <cellStyle name="Normal 17 3" xfId="5358"/>
    <cellStyle name="Normal 17 3 2" xfId="9864"/>
    <cellStyle name="Normal 17 4" xfId="5359"/>
    <cellStyle name="Normal 17 4 2" xfId="14923"/>
    <cellStyle name="Normal 170" xfId="9865"/>
    <cellStyle name="Normal 170 2" xfId="12175"/>
    <cellStyle name="Normal 171" xfId="9866"/>
    <cellStyle name="Normal 171 2" xfId="12176"/>
    <cellStyle name="Normal 172" xfId="9867"/>
    <cellStyle name="Normal 172 2" xfId="12177"/>
    <cellStyle name="Normal 173" xfId="11350"/>
    <cellStyle name="Normal 173 2" xfId="12178"/>
    <cellStyle name="Normal 174" xfId="12179"/>
    <cellStyle name="Normal 175" xfId="11351"/>
    <cellStyle name="Normal 176" xfId="12180"/>
    <cellStyle name="Normal 177" xfId="12181"/>
    <cellStyle name="Normal 178" xfId="11352"/>
    <cellStyle name="Normal 179" xfId="12182"/>
    <cellStyle name="Normal 179 2" xfId="12183"/>
    <cellStyle name="Normal 18" xfId="1105"/>
    <cellStyle name="Normal 18 2" xfId="1106"/>
    <cellStyle name="Normal 18 2 2" xfId="5360"/>
    <cellStyle name="Normal 18 3" xfId="5361"/>
    <cellStyle name="Normal 18 4" xfId="5362"/>
    <cellStyle name="Normal 18 4 2" xfId="9868"/>
    <cellStyle name="Normal 18 4 3" xfId="14924"/>
    <cellStyle name="Normal 18 5" xfId="8905"/>
    <cellStyle name="Normal 18 5 2" xfId="15027"/>
    <cellStyle name="Normal 18_Sanwani Street_201602" xfId="12184"/>
    <cellStyle name="Normal 180" xfId="12185"/>
    <cellStyle name="Normal 180 2" xfId="9869"/>
    <cellStyle name="Normal 181" xfId="11353"/>
    <cellStyle name="Normal 181 2" xfId="12186"/>
    <cellStyle name="Normal 182" xfId="12187"/>
    <cellStyle name="Normal 182 2" xfId="9870"/>
    <cellStyle name="Normal 183" xfId="11354"/>
    <cellStyle name="Normal 183 2" xfId="12188"/>
    <cellStyle name="Normal 184" xfId="12189"/>
    <cellStyle name="Normal 184 2" xfId="9871"/>
    <cellStyle name="Normal 185" xfId="11355"/>
    <cellStyle name="Normal 186" xfId="12190"/>
    <cellStyle name="Normal 186 2" xfId="12191"/>
    <cellStyle name="Normal 187" xfId="9872"/>
    <cellStyle name="Normal 188" xfId="11356"/>
    <cellStyle name="Normal 189" xfId="12192"/>
    <cellStyle name="Normal 19" xfId="1107"/>
    <cellStyle name="Normal 19 2" xfId="5363"/>
    <cellStyle name="Normal 19 2 2" xfId="12194"/>
    <cellStyle name="Normal 19 2 3" xfId="12195"/>
    <cellStyle name="Normal 19 2 4" xfId="11357"/>
    <cellStyle name="Normal 19 3" xfId="5364"/>
    <cellStyle name="Normal 19 3 2" xfId="11358"/>
    <cellStyle name="Normal 19 4" xfId="5365"/>
    <cellStyle name="Normal 19 4 2" xfId="12196"/>
    <cellStyle name="Normal 19 4 3" xfId="14925"/>
    <cellStyle name="Normal 19 5" xfId="12193"/>
    <cellStyle name="Normal 190" xfId="12197"/>
    <cellStyle name="Normal 191" xfId="11359"/>
    <cellStyle name="Normal 192" xfId="12198"/>
    <cellStyle name="Normal 193" xfId="12199"/>
    <cellStyle name="Normal 194" xfId="11360"/>
    <cellStyle name="Normal 195" xfId="12200"/>
    <cellStyle name="Normal 196" xfId="12201"/>
    <cellStyle name="Normal 197" xfId="11361"/>
    <cellStyle name="Normal 198" xfId="12202"/>
    <cellStyle name="Normal 199" xfId="12203"/>
    <cellStyle name="Normal 2" xfId="1"/>
    <cellStyle name="Normal 2 10" xfId="1108"/>
    <cellStyle name="Normal 2 10 2" xfId="5366"/>
    <cellStyle name="Normal 2 10 2 2" xfId="5367"/>
    <cellStyle name="Normal 2 10 2 3" xfId="11362"/>
    <cellStyle name="Normal 2 100" xfId="12204"/>
    <cellStyle name="Normal 2 101" xfId="12205"/>
    <cellStyle name="Normal 2 102" xfId="9873"/>
    <cellStyle name="Normal 2 103" xfId="11784"/>
    <cellStyle name="Normal 2 11" xfId="1109"/>
    <cellStyle name="Normal 2 11 2" xfId="5368"/>
    <cellStyle name="Normal 2 11 2 2" xfId="9874"/>
    <cellStyle name="Normal 2 12" xfId="1110"/>
    <cellStyle name="Normal 2 12 2" xfId="5369"/>
    <cellStyle name="Normal 2 12 2 2" xfId="9876"/>
    <cellStyle name="Normal 2 12 2 3" xfId="9877"/>
    <cellStyle name="Normal 2 12 2 4" xfId="12206"/>
    <cellStyle name="Normal 2 12 2 5" xfId="9875"/>
    <cellStyle name="Normal 2 12 3" xfId="9878"/>
    <cellStyle name="Normal 2 12 4" xfId="12207"/>
    <cellStyle name="Normal 2 13" xfId="1456"/>
    <cellStyle name="Normal 2 13 2" xfId="5370"/>
    <cellStyle name="Normal 2 13 3" xfId="12208"/>
    <cellStyle name="Normal 2 13 4" xfId="11363"/>
    <cellStyle name="Normal 2 14" xfId="5371"/>
    <cellStyle name="Normal 2 14 2" xfId="12210"/>
    <cellStyle name="Normal 2 14 3" xfId="11364"/>
    <cellStyle name="Normal 2 14 4" xfId="12211"/>
    <cellStyle name="Normal 2 14 5" xfId="12209"/>
    <cellStyle name="Normal 2 14 6" xfId="14926"/>
    <cellStyle name="Normal 2 15" xfId="12212"/>
    <cellStyle name="Normal 2 15 2" xfId="9879"/>
    <cellStyle name="Normal 2 16" xfId="11365"/>
    <cellStyle name="Normal 2 16 2" xfId="12213"/>
    <cellStyle name="Normal 2 17" xfId="12214"/>
    <cellStyle name="Normal 2 17 2" xfId="9880"/>
    <cellStyle name="Normal 2 18" xfId="11366"/>
    <cellStyle name="Normal 2 18 2" xfId="12215"/>
    <cellStyle name="Normal 2 19" xfId="12216"/>
    <cellStyle name="Normal 2 19 2" xfId="9881"/>
    <cellStyle name="Normal 2 2" xfId="1111"/>
    <cellStyle name="Normal 2 2 10" xfId="11367"/>
    <cellStyle name="Normal 2 2 10 2" xfId="12217"/>
    <cellStyle name="Normal 2 2 10 2 2" xfId="12218"/>
    <cellStyle name="Normal 2 2 10 2 3" xfId="9882"/>
    <cellStyle name="Normal 2 2 10 2 4" xfId="11368"/>
    <cellStyle name="Normal 2 2 10 3" xfId="12219"/>
    <cellStyle name="Normal 2 2 10 3 2" xfId="12220"/>
    <cellStyle name="Normal 2 2 10 3 3" xfId="9883"/>
    <cellStyle name="Normal 2 2 10 3 4" xfId="11369"/>
    <cellStyle name="Normal 2 2 10 4" xfId="12221"/>
    <cellStyle name="Normal 2 2 10_Input" xfId="12222"/>
    <cellStyle name="Normal 2 2 11" xfId="11370"/>
    <cellStyle name="Normal 2 2 11 2" xfId="12223"/>
    <cellStyle name="Normal 2 2 11 2 2" xfId="12224"/>
    <cellStyle name="Normal 2 2 11 2 3" xfId="11371"/>
    <cellStyle name="Normal 2 2 11 2 4" xfId="12225"/>
    <cellStyle name="Normal 2 2 11 3" xfId="12226"/>
    <cellStyle name="Normal 2 2 11 3 2" xfId="11372"/>
    <cellStyle name="Normal 2 2 11 3 3" xfId="12227"/>
    <cellStyle name="Normal 2 2 11 3 4" xfId="12228"/>
    <cellStyle name="Normal 2 2 11 4" xfId="11373"/>
    <cellStyle name="Normal 2 2 11_Input" xfId="12229"/>
    <cellStyle name="Normal 2 2 12" xfId="12230"/>
    <cellStyle name="Normal 2 2 12 2" xfId="11374"/>
    <cellStyle name="Normal 2 2 12 2 2" xfId="12231"/>
    <cellStyle name="Normal 2 2 12 2 3" xfId="12232"/>
    <cellStyle name="Normal 2 2 12 2 4" xfId="11375"/>
    <cellStyle name="Normal 2 2 12 3" xfId="12233"/>
    <cellStyle name="Normal 2 2 12 3 2" xfId="12234"/>
    <cellStyle name="Normal 2 2 12 3 3" xfId="9886"/>
    <cellStyle name="Normal 2 2 12 3 4" xfId="9884"/>
    <cellStyle name="Normal 2 2 12 4" xfId="11766"/>
    <cellStyle name="Normal 2 2 12_Input" xfId="9885"/>
    <cellStyle name="Normal 2 2 13" xfId="11767"/>
    <cellStyle name="Normal 2 2 13 2" xfId="12235"/>
    <cellStyle name="Normal 2 2 13 2 2" xfId="12236"/>
    <cellStyle name="Normal 2 2 13 2 3" xfId="9887"/>
    <cellStyle name="Normal 2 2 13 2 4" xfId="9888"/>
    <cellStyle name="Normal 2 2 13 3" xfId="12237"/>
    <cellStyle name="Normal 2 2 13 3 2" xfId="12238"/>
    <cellStyle name="Normal 2 2 13 3 3" xfId="9889"/>
    <cellStyle name="Normal 2 2 13 3 4" xfId="9890"/>
    <cellStyle name="Normal 2 2 13 4" xfId="12239"/>
    <cellStyle name="Normal 2 2 13_Input" xfId="11768"/>
    <cellStyle name="Normal 2 2 14" xfId="11769"/>
    <cellStyle name="Normal 2 2 14 2" xfId="9891"/>
    <cellStyle name="Normal 2 2 14 2 2" xfId="11770"/>
    <cellStyle name="Normal 2 2 14 2 3" xfId="9893"/>
    <cellStyle name="Normal 2 2 14 2 4" xfId="9892"/>
    <cellStyle name="Normal 2 2 14 3" xfId="11771"/>
    <cellStyle name="Normal 2 2 14 3 2" xfId="11772"/>
    <cellStyle name="Normal 2 2 14 3 3" xfId="9894"/>
    <cellStyle name="Normal 2 2 14 3 4" xfId="9895"/>
    <cellStyle name="Normal 2 2 14 4" xfId="9896"/>
    <cellStyle name="Normal 2 2 14_Input" xfId="9897"/>
    <cellStyle name="Normal 2 2 15" xfId="9898"/>
    <cellStyle name="Normal 2 2 15 2" xfId="12240"/>
    <cellStyle name="Normal 2 2 15 2 2" xfId="9899"/>
    <cellStyle name="Normal 2 2 15 2 3" xfId="9900"/>
    <cellStyle name="Normal 2 2 15 2 4" xfId="9901"/>
    <cellStyle name="Normal 2 2 15 3" xfId="9902"/>
    <cellStyle name="Normal 2 2 15 3 2" xfId="9903"/>
    <cellStyle name="Normal 2 2 15 3 3" xfId="9904"/>
    <cellStyle name="Normal 2 2 15 3 4" xfId="9905"/>
    <cellStyle name="Normal 2 2 15 4" xfId="9906"/>
    <cellStyle name="Normal 2 2 15_Input" xfId="9907"/>
    <cellStyle name="Normal 2 2 16" xfId="9908"/>
    <cellStyle name="Normal 2 2 16 2" xfId="9909"/>
    <cellStyle name="Normal 2 2 16 2 2" xfId="9910"/>
    <cellStyle name="Normal 2 2 16 2 3" xfId="9911"/>
    <cellStyle name="Normal 2 2 16 2 4" xfId="9912"/>
    <cellStyle name="Normal 2 2 16 3" xfId="9913"/>
    <cellStyle name="Normal 2 2 16 3 2" xfId="9914"/>
    <cellStyle name="Normal 2 2 16 3 3" xfId="9915"/>
    <cellStyle name="Normal 2 2 16 3 4" xfId="9916"/>
    <cellStyle name="Normal 2 2 16 4" xfId="9917"/>
    <cellStyle name="Normal 2 2 16_Input" xfId="9918"/>
    <cellStyle name="Normal 2 2 17" xfId="9919"/>
    <cellStyle name="Normal 2 2 17 2" xfId="9920"/>
    <cellStyle name="Normal 2 2 17 2 2" xfId="9921"/>
    <cellStyle name="Normal 2 2 17 2 3" xfId="9922"/>
    <cellStyle name="Normal 2 2 17 2 4" xfId="9923"/>
    <cellStyle name="Normal 2 2 17 3" xfId="9924"/>
    <cellStyle name="Normal 2 2 17 3 2" xfId="9925"/>
    <cellStyle name="Normal 2 2 17 3 3" xfId="9926"/>
    <cellStyle name="Normal 2 2 17 3 4" xfId="9927"/>
    <cellStyle name="Normal 2 2 17 4" xfId="9928"/>
    <cellStyle name="Normal 2 2 17_Input" xfId="9929"/>
    <cellStyle name="Normal 2 2 18" xfId="9930"/>
    <cellStyle name="Normal 2 2 18 2" xfId="9931"/>
    <cellStyle name="Normal 2 2 19" xfId="9932"/>
    <cellStyle name="Normal 2 2 19 2" xfId="9933"/>
    <cellStyle name="Normal 2 2 2" xfId="5373"/>
    <cellStyle name="Normal 2 2 2 10" xfId="9935"/>
    <cellStyle name="Normal 2 2 2 10 2" xfId="9936"/>
    <cellStyle name="Normal 2 2 2 11" xfId="9937"/>
    <cellStyle name="Normal 2 2 2 11 2" xfId="9938"/>
    <cellStyle name="Normal 2 2 2 12" xfId="9939"/>
    <cellStyle name="Normal 2 2 2 12 2" xfId="9940"/>
    <cellStyle name="Normal 2 2 2 12 3" xfId="9941"/>
    <cellStyle name="Normal 2 2 2 12 4" xfId="9942"/>
    <cellStyle name="Normal 2 2 2 13" xfId="9943"/>
    <cellStyle name="Normal 2 2 2 14" xfId="9944"/>
    <cellStyle name="Normal 2 2 2 15" xfId="9934"/>
    <cellStyle name="Normal 2 2 2 16" xfId="14928"/>
    <cellStyle name="Normal 2 2 2 2" xfId="5374"/>
    <cellStyle name="Normal 2 2 2 2 2" xfId="9945"/>
    <cellStyle name="Normal 2 2 2 2 2 2" xfId="9946"/>
    <cellStyle name="Normal 2 2 2 2 3" xfId="9947"/>
    <cellStyle name="Normal 2 2 2 2 3 2" xfId="9948"/>
    <cellStyle name="Normal 2 2 2 2 4" xfId="9949"/>
    <cellStyle name="Normal 2 2 2 2 4 2" xfId="1483"/>
    <cellStyle name="Normal 2 2 2 2 5" xfId="1482"/>
    <cellStyle name="Normal 2 2 2 2 6" xfId="9951"/>
    <cellStyle name="Normal 2 2 2 2 7" xfId="2114"/>
    <cellStyle name="Normal 2 2 2 2 8" xfId="14929"/>
    <cellStyle name="Normal 2 2 2 2_Input" xfId="9950"/>
    <cellStyle name="Normal 2 2 2 3" xfId="5375"/>
    <cellStyle name="Normal 2 2 2 3 2" xfId="9952"/>
    <cellStyle name="Normal 2 2 2 3 3" xfId="1481"/>
    <cellStyle name="Normal 2 2 2 3 4" xfId="14930"/>
    <cellStyle name="Normal 2 2 2 4" xfId="5376"/>
    <cellStyle name="Normal 2 2 2 4 2" xfId="1479"/>
    <cellStyle name="Normal 2 2 2 4 3" xfId="1480"/>
    <cellStyle name="Normal 2 2 2 4 4" xfId="14931"/>
    <cellStyle name="Normal 2 2 2 5" xfId="2113"/>
    <cellStyle name="Normal 2 2 2 5 2" xfId="9953"/>
    <cellStyle name="Normal 2 2 2 6" xfId="9954"/>
    <cellStyle name="Normal 2 2 2 6 2" xfId="2112"/>
    <cellStyle name="Normal 2 2 2 7" xfId="2111"/>
    <cellStyle name="Normal 2 2 2 7 2" xfId="9955"/>
    <cellStyle name="Normal 2 2 2 8" xfId="9956"/>
    <cellStyle name="Normal 2 2 2 8 2" xfId="2110"/>
    <cellStyle name="Normal 2 2 2 9" xfId="2109"/>
    <cellStyle name="Normal 2 2 2 9 2" xfId="1478"/>
    <cellStyle name="Normal 2 2 2_Input" xfId="9958"/>
    <cellStyle name="Normal 2 2 20" xfId="1477"/>
    <cellStyle name="Normal 2 2 20 2" xfId="9959"/>
    <cellStyle name="Normal 2 2 21" xfId="9957"/>
    <cellStyle name="Normal 2 2 21 2" xfId="2108"/>
    <cellStyle name="Normal 2 2 22" xfId="2107"/>
    <cellStyle name="Normal 2 2 22 2" xfId="8672"/>
    <cellStyle name="Normal 2 2 23" xfId="2106"/>
    <cellStyle name="Normal 2 2 23 2" xfId="2105"/>
    <cellStyle name="Normal 2 2 24" xfId="8673"/>
    <cellStyle name="Normal 2 2 24 2" xfId="2104"/>
    <cellStyle name="Normal 2 2 25" xfId="2103"/>
    <cellStyle name="Normal 2 2 25 2" xfId="8674"/>
    <cellStyle name="Normal 2 2 26" xfId="2102"/>
    <cellStyle name="Normal 2 2 26 2" xfId="2101"/>
    <cellStyle name="Normal 2 2 27" xfId="8675"/>
    <cellStyle name="Normal 2 2 28" xfId="2100"/>
    <cellStyle name="Normal 2 2 28 2" xfId="2099"/>
    <cellStyle name="Normal 2 2 29" xfId="8676"/>
    <cellStyle name="Normal 2 2 3" xfId="5377"/>
    <cellStyle name="Normal 2 2 3 2" xfId="5378"/>
    <cellStyle name="Normal 2 2 3 2 2" xfId="2097"/>
    <cellStyle name="Normal 2 2 3 3" xfId="5379"/>
    <cellStyle name="Normal 2 2 3 3 2" xfId="8677"/>
    <cellStyle name="Normal 2 2 3 4" xfId="2098"/>
    <cellStyle name="Normal 2 2 30" xfId="2096"/>
    <cellStyle name="Normal 2 2 31" xfId="2095"/>
    <cellStyle name="Normal 2 2 32" xfId="8678"/>
    <cellStyle name="Normal 2 2 33" xfId="9960"/>
    <cellStyle name="Normal 2 2 4" xfId="5380"/>
    <cellStyle name="Normal 2 2 4 2" xfId="2093"/>
    <cellStyle name="Normal 2 2 4 3" xfId="8679"/>
    <cellStyle name="Normal 2 2 4 4" xfId="2094"/>
    <cellStyle name="Normal 2 2 4 5" xfId="14932"/>
    <cellStyle name="Normal 2 2 5" xfId="5381"/>
    <cellStyle name="Normal 2 2 5 2" xfId="2092"/>
    <cellStyle name="Normal 2 2 5 3" xfId="9961"/>
    <cellStyle name="Normal 2 2 5 4" xfId="14933"/>
    <cellStyle name="Normal 2 2 6" xfId="5382"/>
    <cellStyle name="Normal 2 2 6 2" xfId="8680"/>
    <cellStyle name="Normal 2 2 6 3" xfId="2091"/>
    <cellStyle name="Normal 2 2 6 4" xfId="14934"/>
    <cellStyle name="Normal 2 2 7" xfId="5372"/>
    <cellStyle name="Normal 2 2 7 2" xfId="2090"/>
    <cellStyle name="Normal 2 2 7 3" xfId="9962"/>
    <cellStyle name="Normal 2 2 7 4" xfId="14927"/>
    <cellStyle name="Normal 2 2 8" xfId="2089"/>
    <cellStyle name="Normal 2 2 8 2" xfId="8681"/>
    <cellStyle name="Normal 2 2 9" xfId="9963"/>
    <cellStyle name="Normal 2 2 9 2" xfId="2088"/>
    <cellStyle name="Normal 2 2 9 2 2" xfId="2087"/>
    <cellStyle name="Normal 2 2 9 2 3" xfId="8682"/>
    <cellStyle name="Normal 2 2 9 2 4" xfId="9964"/>
    <cellStyle name="Normal 2 2 9 3" xfId="2086"/>
    <cellStyle name="Normal 2 2 9 3 2" xfId="2085"/>
    <cellStyle name="Normal 2 2 9 3 3" xfId="8683"/>
    <cellStyle name="Normal 2 2 9 3 4" xfId="2084"/>
    <cellStyle name="Normal 2 2 9 4" xfId="2083"/>
    <cellStyle name="Normal 2 2 9_Input" xfId="8684"/>
    <cellStyle name="Normal 2 2_Input" xfId="2082"/>
    <cellStyle name="Normal 2 20" xfId="2081"/>
    <cellStyle name="Normal 2 20 2" xfId="8685"/>
    <cellStyle name="Normal 2 21" xfId="2080"/>
    <cellStyle name="Normal 2 21 2" xfId="9965"/>
    <cellStyle name="Normal 2 22" xfId="2079"/>
    <cellStyle name="Normal 2 22 2" xfId="9966"/>
    <cellStyle name="Normal 2 23" xfId="9967"/>
    <cellStyle name="Normal 2 23 2" xfId="9968"/>
    <cellStyle name="Normal 2 24" xfId="9969"/>
    <cellStyle name="Normal 2 24 2" xfId="9970"/>
    <cellStyle name="Normal 2 25" xfId="9971"/>
    <cellStyle name="Normal 2 25 2" xfId="2078"/>
    <cellStyle name="Normal 2 26" xfId="2077"/>
    <cellStyle name="Normal 2 26 2" xfId="8686"/>
    <cellStyle name="Normal 2 27" xfId="2076"/>
    <cellStyle name="Normal 2 27 2" xfId="2075"/>
    <cellStyle name="Normal 2 28" xfId="8687"/>
    <cellStyle name="Normal 2 28 2" xfId="2074"/>
    <cellStyle name="Normal 2 29" xfId="2073"/>
    <cellStyle name="Normal 2 29 2" xfId="8688"/>
    <cellStyle name="Normal 2 3" xfId="1112"/>
    <cellStyle name="Normal 2 3 10" xfId="2072"/>
    <cellStyle name="Normal 2 3 10 2" xfId="5384"/>
    <cellStyle name="Normal 2 3 10 2 2" xfId="8689"/>
    <cellStyle name="Normal 2 3 10 2 3" xfId="2070"/>
    <cellStyle name="Normal 2 3 10 2 4" xfId="2069"/>
    <cellStyle name="Normal 2 3 10 2 5" xfId="2071"/>
    <cellStyle name="Normal 2 3 10 3" xfId="8690"/>
    <cellStyle name="Normal 2 3 10 3 2" xfId="2068"/>
    <cellStyle name="Normal 2 3 10 3 3" xfId="2067"/>
    <cellStyle name="Normal 2 3 10 3 4" xfId="8691"/>
    <cellStyle name="Normal 2 3 10 4" xfId="2066"/>
    <cellStyle name="Normal 2 3 10_Input" xfId="2065"/>
    <cellStyle name="Normal 2 3 11" xfId="8692"/>
    <cellStyle name="Normal 2 3 11 2" xfId="9972"/>
    <cellStyle name="Normal 2 3 11 2 2" xfId="2064"/>
    <cellStyle name="Normal 2 3 11 2 3" xfId="2063"/>
    <cellStyle name="Normal 2 3 11 2 4" xfId="8693"/>
    <cellStyle name="Normal 2 3 11 3" xfId="9973"/>
    <cellStyle name="Normal 2 3 11 3 2" xfId="2062"/>
    <cellStyle name="Normal 2 3 11 3 3" xfId="2061"/>
    <cellStyle name="Normal 2 3 11 3 4" xfId="8694"/>
    <cellStyle name="Normal 2 3 11 4" xfId="9974"/>
    <cellStyle name="Normal 2 3 11_Input" xfId="2060"/>
    <cellStyle name="Normal 2 3 12" xfId="2059"/>
    <cellStyle name="Normal 2 3 12 2" xfId="8695"/>
    <cellStyle name="Normal 2 3 12 2 2" xfId="9975"/>
    <cellStyle name="Normal 2 3 12 2 3" xfId="2058"/>
    <cellStyle name="Normal 2 3 12 2 4" xfId="2057"/>
    <cellStyle name="Normal 2 3 12 3" xfId="8696"/>
    <cellStyle name="Normal 2 3 12 3 2" xfId="9976"/>
    <cellStyle name="Normal 2 3 12 3 3" xfId="2056"/>
    <cellStyle name="Normal 2 3 12 3 4" xfId="2055"/>
    <cellStyle name="Normal 2 3 12 4" xfId="8697"/>
    <cellStyle name="Normal 2 3 12_Input" xfId="2054"/>
    <cellStyle name="Normal 2 3 13" xfId="2053"/>
    <cellStyle name="Normal 2 3 13 2" xfId="8698"/>
    <cellStyle name="Normal 2 3 13 2 2" xfId="2052"/>
    <cellStyle name="Normal 2 3 13 2 3" xfId="2051"/>
    <cellStyle name="Normal 2 3 13 2 4" xfId="8699"/>
    <cellStyle name="Normal 2 3 13 3" xfId="2050"/>
    <cellStyle name="Normal 2 3 13 3 2" xfId="9977"/>
    <cellStyle name="Normal 2 3 13 3 3" xfId="2049"/>
    <cellStyle name="Normal 2 3 13 3 4" xfId="9978"/>
    <cellStyle name="Normal 2 3 13 4" xfId="2048"/>
    <cellStyle name="Normal 2 3 13_Input" xfId="9979"/>
    <cellStyle name="Normal 2 3 14" xfId="9980"/>
    <cellStyle name="Normal 2 3 14 2" xfId="2047"/>
    <cellStyle name="Normal 2 3 14 2 2" xfId="2046"/>
    <cellStyle name="Normal 2 3 14 2 3" xfId="8700"/>
    <cellStyle name="Normal 2 3 14 2 4" xfId="2045"/>
    <cellStyle name="Normal 2 3 14 3" xfId="2044"/>
    <cellStyle name="Normal 2 3 14 3 2" xfId="8701"/>
    <cellStyle name="Normal 2 3 14 3 3" xfId="2043"/>
    <cellStyle name="Normal 2 3 14 3 4" xfId="2042"/>
    <cellStyle name="Normal 2 3 14 4" xfId="8702"/>
    <cellStyle name="Normal 2 3 14_Input" xfId="2041"/>
    <cellStyle name="Normal 2 3 15" xfId="2040"/>
    <cellStyle name="Normal 2 3 15 2" xfId="8703"/>
    <cellStyle name="Normal 2 3 15 2 2" xfId="2039"/>
    <cellStyle name="Normal 2 3 15 2 3" xfId="2038"/>
    <cellStyle name="Normal 2 3 15 2 4" xfId="8704"/>
    <cellStyle name="Normal 2 3 15 3" xfId="2037"/>
    <cellStyle name="Normal 2 3 15 3 2" xfId="2036"/>
    <cellStyle name="Normal 2 3 15 3 3" xfId="8705"/>
    <cellStyle name="Normal 2 3 15 3 4" xfId="2035"/>
    <cellStyle name="Normal 2 3 15 4" xfId="2034"/>
    <cellStyle name="Normal 2 3 15_Input" xfId="8706"/>
    <cellStyle name="Normal 2 3 16" xfId="9981"/>
    <cellStyle name="Normal 2 3 16 2" xfId="2033"/>
    <cellStyle name="Normal 2 3 16 2 2" xfId="2032"/>
    <cellStyle name="Normal 2 3 16 2 3" xfId="8707"/>
    <cellStyle name="Normal 2 3 16 2 4" xfId="9982"/>
    <cellStyle name="Normal 2 3 16 3" xfId="2031"/>
    <cellStyle name="Normal 2 3 16 3 2" xfId="2030"/>
    <cellStyle name="Normal 2 3 16 3 3" xfId="8708"/>
    <cellStyle name="Normal 2 3 16 3 4" xfId="9983"/>
    <cellStyle name="Normal 2 3 16 4" xfId="2029"/>
    <cellStyle name="Normal 2 3 16_Input" xfId="2028"/>
    <cellStyle name="Normal 2 3 17" xfId="8709"/>
    <cellStyle name="Normal 2 3 17 2" xfId="2027"/>
    <cellStyle name="Normal 2 3 18" xfId="2026"/>
    <cellStyle name="Normal 2 3 18 2" xfId="8710"/>
    <cellStyle name="Normal 2 3 19" xfId="2025"/>
    <cellStyle name="Normal 2 3 19 2" xfId="2024"/>
    <cellStyle name="Normal 2 3 2" xfId="5385"/>
    <cellStyle name="Normal 2 3 2 10" xfId="2023"/>
    <cellStyle name="Normal 2 3 2 10 2" xfId="2022"/>
    <cellStyle name="Normal 2 3 2 11" xfId="8712"/>
    <cellStyle name="Normal 2 3 2 11 2" xfId="2021"/>
    <cellStyle name="Normal 2 3 2 12" xfId="2020"/>
    <cellStyle name="Normal 2 3 2 12 2" xfId="8713"/>
    <cellStyle name="Normal 2 3 2 12 3" xfId="2019"/>
    <cellStyle name="Normal 2 3 2 12 4" xfId="2018"/>
    <cellStyle name="Normal 2 3 2 13" xfId="8714"/>
    <cellStyle name="Normal 2 3 2 14" xfId="8711"/>
    <cellStyle name="Normal 2 3 2 15" xfId="14936"/>
    <cellStyle name="Normal 2 3 2 2" xfId="5386"/>
    <cellStyle name="Normal 2 3 2 2 2" xfId="2016"/>
    <cellStyle name="Normal 2 3 2 2 2 2" xfId="8715"/>
    <cellStyle name="Normal 2 3 2 2 3" xfId="2015"/>
    <cellStyle name="Normal 2 3 2 2 3 2" xfId="2014"/>
    <cellStyle name="Normal 2 3 2 2 4" xfId="8716"/>
    <cellStyle name="Normal 2 3 2 2 5" xfId="2013"/>
    <cellStyle name="Normal 2 3 2 2 6" xfId="2012"/>
    <cellStyle name="Normal 2 3 2 2 7" xfId="2017"/>
    <cellStyle name="Normal 2 3 2 2 8" xfId="14937"/>
    <cellStyle name="Normal 2 3 2 2_Input" xfId="8717"/>
    <cellStyle name="Normal 2 3 2 3" xfId="5387"/>
    <cellStyle name="Normal 2 3 2 3 2" xfId="2010"/>
    <cellStyle name="Normal 2 3 2 3 3" xfId="2011"/>
    <cellStyle name="Normal 2 3 2 4" xfId="8718"/>
    <cellStyle name="Normal 2 3 2 4 2" xfId="2009"/>
    <cellStyle name="Normal 2 3 2 5" xfId="2008"/>
    <cellStyle name="Normal 2 3 2 5 2" xfId="8719"/>
    <cellStyle name="Normal 2 3 2 6" xfId="2007"/>
    <cellStyle name="Normal 2 3 2 6 2" xfId="2006"/>
    <cellStyle name="Normal 2 3 2 7" xfId="8720"/>
    <cellStyle name="Normal 2 3 2 7 2" xfId="9984"/>
    <cellStyle name="Normal 2 3 2 8" xfId="2005"/>
    <cellStyle name="Normal 2 3 2 8 2" xfId="2004"/>
    <cellStyle name="Normal 2 3 2 9" xfId="8721"/>
    <cellStyle name="Normal 2 3 2 9 2" xfId="9985"/>
    <cellStyle name="Normal 2 3 2_Input" xfId="2003"/>
    <cellStyle name="Normal 2 3 20" xfId="2002"/>
    <cellStyle name="Normal 2 3 20 2" xfId="8722"/>
    <cellStyle name="Normal 2 3 21" xfId="2001"/>
    <cellStyle name="Normal 2 3 21 2" xfId="2000"/>
    <cellStyle name="Normal 2 3 22" xfId="8723"/>
    <cellStyle name="Normal 2 3 22 2" xfId="1999"/>
    <cellStyle name="Normal 2 3 23" xfId="1998"/>
    <cellStyle name="Normal 2 3 23 2" xfId="8724"/>
    <cellStyle name="Normal 2 3 24" xfId="1997"/>
    <cellStyle name="Normal 2 3 24 2" xfId="1996"/>
    <cellStyle name="Normal 2 3 25" xfId="8725"/>
    <cellStyle name="Normal 2 3 25 2" xfId="1995"/>
    <cellStyle name="Normal 2 3 26" xfId="1994"/>
    <cellStyle name="Normal 2 3 27" xfId="8726"/>
    <cellStyle name="Normal 2 3 27 2" xfId="1993"/>
    <cellStyle name="Normal 2 3 28" xfId="1992"/>
    <cellStyle name="Normal 2 3 29" xfId="8727"/>
    <cellStyle name="Normal 2 3 3" xfId="5388"/>
    <cellStyle name="Normal 2 3 3 2" xfId="1990"/>
    <cellStyle name="Normal 2 3 3 3" xfId="1991"/>
    <cellStyle name="Normal 2 3 3 4" xfId="14938"/>
    <cellStyle name="Normal 2 3 30" xfId="8728"/>
    <cellStyle name="Normal 2 3 31" xfId="1989"/>
    <cellStyle name="Normal 2 3 4" xfId="5389"/>
    <cellStyle name="Normal 2 3 4 2" xfId="8729"/>
    <cellStyle name="Normal 2 3 4 3" xfId="1988"/>
    <cellStyle name="Normal 2 3 5" xfId="5383"/>
    <cellStyle name="Normal 2 3 5 2" xfId="1986"/>
    <cellStyle name="Normal 2 3 5 3" xfId="1987"/>
    <cellStyle name="Normal 2 3 5 4" xfId="14935"/>
    <cellStyle name="Normal 2 3 6" xfId="8730"/>
    <cellStyle name="Normal 2 3 6 2" xfId="1985"/>
    <cellStyle name="Normal 2 3 7" xfId="1984"/>
    <cellStyle name="Normal 2 3 7 2" xfId="8731"/>
    <cellStyle name="Normal 2 3 8" xfId="1983"/>
    <cellStyle name="Normal 2 3 8 2" xfId="1982"/>
    <cellStyle name="Normal 2 3 8 2 2" xfId="8732"/>
    <cellStyle name="Normal 2 3 8 2 3" xfId="1981"/>
    <cellStyle name="Normal 2 3 8 2 4" xfId="1980"/>
    <cellStyle name="Normal 2 3 8 3" xfId="8733"/>
    <cellStyle name="Normal 2 3 8 3 2" xfId="1979"/>
    <cellStyle name="Normal 2 3 8 3 3" xfId="1978"/>
    <cellStyle name="Normal 2 3 8 3 4" xfId="8734"/>
    <cellStyle name="Normal 2 3 8 4" xfId="9986"/>
    <cellStyle name="Normal 2 3 8_Input" xfId="1977"/>
    <cellStyle name="Normal 2 3 9" xfId="1976"/>
    <cellStyle name="Normal 2 3 9 2" xfId="8735"/>
    <cellStyle name="Normal 2 3 9 2 2" xfId="9987"/>
    <cellStyle name="Normal 2 3 9 2 3" xfId="1975"/>
    <cellStyle name="Normal 2 3 9 2 4" xfId="1974"/>
    <cellStyle name="Normal 2 3 9 3" xfId="8736"/>
    <cellStyle name="Normal 2 3 9 3 2" xfId="1973"/>
    <cellStyle name="Normal 2 3 9 3 3" xfId="1972"/>
    <cellStyle name="Normal 2 3 9 3 4" xfId="8737"/>
    <cellStyle name="Normal 2 3 9 4" xfId="1971"/>
    <cellStyle name="Normal 2 3 9_Input" xfId="1970"/>
    <cellStyle name="Normal 2 3_Input" xfId="8738"/>
    <cellStyle name="Normal 2 30" xfId="1969"/>
    <cellStyle name="Normal 2 30 2" xfId="1968"/>
    <cellStyle name="Normal 2 30 3" xfId="8739"/>
    <cellStyle name="Normal 2 30 4" xfId="1967"/>
    <cellStyle name="Normal 2 31" xfId="1966"/>
    <cellStyle name="Normal 2 31 2" xfId="8740"/>
    <cellStyle name="Normal 2 32" xfId="1965"/>
    <cellStyle name="Normal 2 32 2" xfId="1964"/>
    <cellStyle name="Normal 2 33" xfId="8741"/>
    <cellStyle name="Normal 2 33 2" xfId="1963"/>
    <cellStyle name="Normal 2 34" xfId="1962"/>
    <cellStyle name="Normal 2 35" xfId="8742"/>
    <cellStyle name="Normal 2 36" xfId="1961"/>
    <cellStyle name="Normal 2 36 2" xfId="1960"/>
    <cellStyle name="Normal 2 37" xfId="8743"/>
    <cellStyle name="Normal 2 38" xfId="1959"/>
    <cellStyle name="Normal 2 39" xfId="1958"/>
    <cellStyle name="Normal 2 4" xfId="1113"/>
    <cellStyle name="Normal 2 4 10" xfId="8744"/>
    <cellStyle name="Normal 2 4 10 2" xfId="1957"/>
    <cellStyle name="Normal 2 4 11" xfId="1956"/>
    <cellStyle name="Normal 2 4 11 2" xfId="8745"/>
    <cellStyle name="Normal 2 4 12" xfId="1955"/>
    <cellStyle name="Normal 2 4 12 2" xfId="1954"/>
    <cellStyle name="Normal 2 4 13" xfId="8746"/>
    <cellStyle name="Normal 2 4 13 2" xfId="1953"/>
    <cellStyle name="Normal 2 4 14" xfId="1952"/>
    <cellStyle name="Normal 2 4 14 2" xfId="8747"/>
    <cellStyle name="Normal 2 4 15" xfId="1951"/>
    <cellStyle name="Normal 2 4 15 2" xfId="1950"/>
    <cellStyle name="Normal 2 4 16" xfId="8748"/>
    <cellStyle name="Normal 2 4 16 2" xfId="9988"/>
    <cellStyle name="Normal 2 4 17" xfId="1949"/>
    <cellStyle name="Normal 2 4 17 2" xfId="1948"/>
    <cellStyle name="Normal 2 4 18" xfId="8749"/>
    <cellStyle name="Normal 2 4 18 2" xfId="9989"/>
    <cellStyle name="Normal 2 4 19" xfId="1947"/>
    <cellStyle name="Normal 2 4 19 2" xfId="1946"/>
    <cellStyle name="Normal 2 4 2" xfId="5391"/>
    <cellStyle name="Normal 2 4 2 2" xfId="1945"/>
    <cellStyle name="Normal 2 4 2 3" xfId="8750"/>
    <cellStyle name="Normal 2 4 20" xfId="1944"/>
    <cellStyle name="Normal 2 4 20 2" xfId="8751"/>
    <cellStyle name="Normal 2 4 21" xfId="1943"/>
    <cellStyle name="Normal 2 4 21 2" xfId="1942"/>
    <cellStyle name="Normal 2 4 22" xfId="8752"/>
    <cellStyle name="Normal 2 4 23" xfId="1941"/>
    <cellStyle name="Normal 2 4 23 2" xfId="1940"/>
    <cellStyle name="Normal 2 4 24" xfId="8753"/>
    <cellStyle name="Normal 2 4 25" xfId="1939"/>
    <cellStyle name="Normal 2 4 26" xfId="15171"/>
    <cellStyle name="Normal 2 4 3" xfId="5392"/>
    <cellStyle name="Normal 2 4 3 2" xfId="8754"/>
    <cellStyle name="Normal 2 4 3 3" xfId="1938"/>
    <cellStyle name="Normal 2 4 4" xfId="5393"/>
    <cellStyle name="Normal 2 4 4 2" xfId="1936"/>
    <cellStyle name="Normal 2 4 4 3" xfId="1937"/>
    <cellStyle name="Normal 2 4 5" xfId="5390"/>
    <cellStyle name="Normal 2 4 5 2" xfId="9990"/>
    <cellStyle name="Normal 2 4 5 3" xfId="8755"/>
    <cellStyle name="Normal 2 4 6" xfId="9991"/>
    <cellStyle name="Normal 2 4 6 2" xfId="1935"/>
    <cellStyle name="Normal 2 4 7" xfId="9992"/>
    <cellStyle name="Normal 2 4 7 2" xfId="1934"/>
    <cellStyle name="Normal 2 4 8" xfId="9993"/>
    <cellStyle name="Normal 2 4 8 2" xfId="9994"/>
    <cellStyle name="Normal 2 4 9" xfId="9995"/>
    <cellStyle name="Normal 2 4 9 2" xfId="9996"/>
    <cellStyle name="Normal 2 4_Input" xfId="9997"/>
    <cellStyle name="Normal 2 40" xfId="9998"/>
    <cellStyle name="Normal 2 41" xfId="1933"/>
    <cellStyle name="Normal 2 42" xfId="1932"/>
    <cellStyle name="Normal 2 43" xfId="1931"/>
    <cellStyle name="Normal 2 44" xfId="1930"/>
    <cellStyle name="Normal 2 45" xfId="1929"/>
    <cellStyle name="Normal 2 46" xfId="8756"/>
    <cellStyle name="Normal 2 47" xfId="1928"/>
    <cellStyle name="Normal 2 48" xfId="1927"/>
    <cellStyle name="Normal 2 49" xfId="8757"/>
    <cellStyle name="Normal 2 5" xfId="1114"/>
    <cellStyle name="Normal 2 5 10" xfId="1926"/>
    <cellStyle name="Normal 2 5 10 2" xfId="1925"/>
    <cellStyle name="Normal 2 5 11" xfId="8758"/>
    <cellStyle name="Normal 2 5 11 2" xfId="1924"/>
    <cellStyle name="Normal 2 5 12" xfId="1923"/>
    <cellStyle name="Normal 2 5 12 2" xfId="8759"/>
    <cellStyle name="Normal 2 5 13" xfId="1922"/>
    <cellStyle name="Normal 2 5 13 2" xfId="1921"/>
    <cellStyle name="Normal 2 5 14" xfId="8760"/>
    <cellStyle name="Normal 2 5 14 2" xfId="1920"/>
    <cellStyle name="Normal 2 5 15" xfId="1919"/>
    <cellStyle name="Normal 2 5 15 2" xfId="8761"/>
    <cellStyle name="Normal 2 5 16" xfId="1918"/>
    <cellStyle name="Normal 2 5 16 2" xfId="1917"/>
    <cellStyle name="Normal 2 5 17" xfId="8762"/>
    <cellStyle name="Normal 2 5 17 2" xfId="9999"/>
    <cellStyle name="Normal 2 5 18" xfId="1916"/>
    <cellStyle name="Normal 2 5 18 2" xfId="1915"/>
    <cellStyle name="Normal 2 5 19" xfId="8763"/>
    <cellStyle name="Normal 2 5 19 2" xfId="10000"/>
    <cellStyle name="Normal 2 5 2" xfId="5395"/>
    <cellStyle name="Normal 2 5 2 2" xfId="1913"/>
    <cellStyle name="Normal 2 5 2 3" xfId="1914"/>
    <cellStyle name="Normal 2 5 20" xfId="8764"/>
    <cellStyle name="Normal 2 5 20 2" xfId="10001"/>
    <cellStyle name="Normal 2 5 21" xfId="1912"/>
    <cellStyle name="Normal 2 5 21 2" xfId="1911"/>
    <cellStyle name="Normal 2 5 22" xfId="8765"/>
    <cellStyle name="Normal 2 5 23" xfId="10002"/>
    <cellStyle name="Normal 2 5 23 2" xfId="1910"/>
    <cellStyle name="Normal 2 5 24" xfId="1909"/>
    <cellStyle name="Normal 2 5 25" xfId="8766"/>
    <cellStyle name="Normal 2 5 3" xfId="5396"/>
    <cellStyle name="Normal 2 5 3 2" xfId="1908"/>
    <cellStyle name="Normal 2 5 3 3" xfId="10003"/>
    <cellStyle name="Normal 2 5 4" xfId="5394"/>
    <cellStyle name="Normal 2 5 4 2" xfId="8767"/>
    <cellStyle name="Normal 2 5 4 3" xfId="1907"/>
    <cellStyle name="Normal 2 5 5" xfId="1906"/>
    <cellStyle name="Normal 2 5 5 2" xfId="1905"/>
    <cellStyle name="Normal 2 5 6" xfId="8768"/>
    <cellStyle name="Normal 2 5 6 2" xfId="1904"/>
    <cellStyle name="Normal 2 5 7" xfId="1903"/>
    <cellStyle name="Normal 2 5 7 2" xfId="8769"/>
    <cellStyle name="Normal 2 5 8" xfId="10004"/>
    <cellStyle name="Normal 2 5 8 2" xfId="10005"/>
    <cellStyle name="Normal 2 5 9" xfId="10006"/>
    <cellStyle name="Normal 2 5 9 2" xfId="10007"/>
    <cellStyle name="Normal 2 5_Input" xfId="10008"/>
    <cellStyle name="Normal 2 50" xfId="10009"/>
    <cellStyle name="Normal 2 51" xfId="10010"/>
    <cellStyle name="Normal 2 52" xfId="10011"/>
    <cellStyle name="Normal 2 53" xfId="10012"/>
    <cellStyle name="Normal 2 54" xfId="10013"/>
    <cellStyle name="Normal 2 55" xfId="1902"/>
    <cellStyle name="Normal 2 56" xfId="1901"/>
    <cellStyle name="Normal 2 57" xfId="8770"/>
    <cellStyle name="Normal 2 58" xfId="1900"/>
    <cellStyle name="Normal 2 59" xfId="1899"/>
    <cellStyle name="Normal 2 6" xfId="1115"/>
    <cellStyle name="Normal 2 6 10" xfId="8771"/>
    <cellStyle name="Normal 2 6 10 2" xfId="1898"/>
    <cellStyle name="Normal 2 6 11" xfId="1897"/>
    <cellStyle name="Normal 2 6 11 2" xfId="8772"/>
    <cellStyle name="Normal 2 6 12" xfId="1896"/>
    <cellStyle name="Normal 2 6 12 2" xfId="1895"/>
    <cellStyle name="Normal 2 6 13" xfId="8773"/>
    <cellStyle name="Normal 2 6 13 2" xfId="1894"/>
    <cellStyle name="Normal 2 6 14" xfId="1893"/>
    <cellStyle name="Normal 2 6 14 2" xfId="8774"/>
    <cellStyle name="Normal 2 6 15" xfId="1892"/>
    <cellStyle name="Normal 2 6 15 2" xfId="1891"/>
    <cellStyle name="Normal 2 6 16" xfId="8775"/>
    <cellStyle name="Normal 2 6 16 2" xfId="1890"/>
    <cellStyle name="Normal 2 6 17" xfId="1889"/>
    <cellStyle name="Normal 2 6 17 2" xfId="8776"/>
    <cellStyle name="Normal 2 6 18" xfId="10014"/>
    <cellStyle name="Normal 2 6 18 2" xfId="1888"/>
    <cellStyle name="Normal 2 6 19" xfId="1887"/>
    <cellStyle name="Normal 2 6 19 2" xfId="8777"/>
    <cellStyle name="Normal 2 6 2" xfId="5398"/>
    <cellStyle name="Normal 2 6 2 2" xfId="1886"/>
    <cellStyle name="Normal 2 6 2 3" xfId="10015"/>
    <cellStyle name="Normal 2 6 2 4" xfId="14940"/>
    <cellStyle name="Normal 2 6 20" xfId="1885"/>
    <cellStyle name="Normal 2 6 20 2" xfId="8778"/>
    <cellStyle name="Normal 2 6 21" xfId="10016"/>
    <cellStyle name="Normal 2 6 21 2" xfId="1884"/>
    <cellStyle name="Normal 2 6 22" xfId="1883"/>
    <cellStyle name="Normal 2 6 23" xfId="8779"/>
    <cellStyle name="Normal 2 6 23 2" xfId="10017"/>
    <cellStyle name="Normal 2 6 24" xfId="1882"/>
    <cellStyle name="Normal 2 6 25" xfId="1881"/>
    <cellStyle name="Normal 2 6 3" xfId="5399"/>
    <cellStyle name="Normal 2 6 3 2" xfId="10018"/>
    <cellStyle name="Normal 2 6 3 3" xfId="8780"/>
    <cellStyle name="Normal 2 6 4" xfId="5397"/>
    <cellStyle name="Normal 2 6 4 2" xfId="1879"/>
    <cellStyle name="Normal 2 6 4 3" xfId="1880"/>
    <cellStyle name="Normal 2 6 4 4" xfId="14939"/>
    <cellStyle name="Normal 2 6 5" xfId="8781"/>
    <cellStyle name="Normal 2 6 5 2" xfId="1878"/>
    <cellStyle name="Normal 2 6 6" xfId="1877"/>
    <cellStyle name="Normal 2 6 6 2" xfId="8782"/>
    <cellStyle name="Normal 2 6 7" xfId="1876"/>
    <cellStyle name="Normal 2 6 7 2" xfId="1875"/>
    <cellStyle name="Normal 2 6 8" xfId="8783"/>
    <cellStyle name="Normal 2 6 8 2" xfId="1874"/>
    <cellStyle name="Normal 2 6 9" xfId="1873"/>
    <cellStyle name="Normal 2 6 9 2" xfId="1872"/>
    <cellStyle name="Normal 2 6_Input" xfId="10019"/>
    <cellStyle name="Normal 2 60" xfId="1871"/>
    <cellStyle name="Normal 2 61" xfId="1870"/>
    <cellStyle name="Normal 2 62" xfId="1869"/>
    <cellStyle name="Normal 2 63" xfId="1868"/>
    <cellStyle name="Normal 2 64" xfId="10020"/>
    <cellStyle name="Normal 2 65" xfId="10021"/>
    <cellStyle name="Normal 2 66" xfId="1867"/>
    <cellStyle name="Normal 2 67" xfId="1866"/>
    <cellStyle name="Normal 2 68" xfId="10022"/>
    <cellStyle name="Normal 2 69" xfId="10023"/>
    <cellStyle name="Normal 2 7" xfId="1116"/>
    <cellStyle name="Normal 2 7 10" xfId="10024"/>
    <cellStyle name="Normal 2 7 10 2" xfId="10025"/>
    <cellStyle name="Normal 2 7 11" xfId="10026"/>
    <cellStyle name="Normal 2 7 11 2" xfId="10027"/>
    <cellStyle name="Normal 2 7 12" xfId="10028"/>
    <cellStyle name="Normal 2 7 12 2" xfId="10029"/>
    <cellStyle name="Normal 2 7 13" xfId="1865"/>
    <cellStyle name="Normal 2 7 13 2" xfId="1864"/>
    <cellStyle name="Normal 2 7 14" xfId="8784"/>
    <cellStyle name="Normal 2 7 14 2" xfId="1863"/>
    <cellStyle name="Normal 2 7 15" xfId="1862"/>
    <cellStyle name="Normal 2 7 15 2" xfId="8785"/>
    <cellStyle name="Normal 2 7 16" xfId="1861"/>
    <cellStyle name="Normal 2 7 16 2" xfId="1860"/>
    <cellStyle name="Normal 2 7 17" xfId="8786"/>
    <cellStyle name="Normal 2 7 17 2" xfId="1859"/>
    <cellStyle name="Normal 2 7 18" xfId="1858"/>
    <cellStyle name="Normal 2 7 18 2" xfId="8787"/>
    <cellStyle name="Normal 2 7 19" xfId="1857"/>
    <cellStyle name="Normal 2 7 19 2" xfId="1856"/>
    <cellStyle name="Normal 2 7 2" xfId="5400"/>
    <cellStyle name="Normal 2 7 2 2" xfId="1855"/>
    <cellStyle name="Normal 2 7 2 3" xfId="8788"/>
    <cellStyle name="Normal 2 7 20" xfId="1854"/>
    <cellStyle name="Normal 2 7 20 2" xfId="8789"/>
    <cellStyle name="Normal 2 7 21" xfId="1853"/>
    <cellStyle name="Normal 2 7 22" xfId="1852"/>
    <cellStyle name="Normal 2 7 22 2" xfId="8790"/>
    <cellStyle name="Normal 2 7 23" xfId="10030"/>
    <cellStyle name="Normal 2 7 24" xfId="1851"/>
    <cellStyle name="Normal 2 7 3" xfId="1850"/>
    <cellStyle name="Normal 2 7 3 2" xfId="8791"/>
    <cellStyle name="Normal 2 7 4" xfId="10031"/>
    <cellStyle name="Normal 2 7 4 2" xfId="1849"/>
    <cellStyle name="Normal 2 7 5" xfId="1848"/>
    <cellStyle name="Normal 2 7 5 2" xfId="8792"/>
    <cellStyle name="Normal 2 7 6" xfId="10032"/>
    <cellStyle name="Normal 2 7 6 2" xfId="1847"/>
    <cellStyle name="Normal 2 7 7" xfId="1846"/>
    <cellStyle name="Normal 2 7 7 2" xfId="8793"/>
    <cellStyle name="Normal 2 7 8" xfId="10033"/>
    <cellStyle name="Normal 2 7 8 2" xfId="1845"/>
    <cellStyle name="Normal 2 7 9" xfId="1844"/>
    <cellStyle name="Normal 2 7 9 2" xfId="8794"/>
    <cellStyle name="Normal 2 7_Input" xfId="10034"/>
    <cellStyle name="Normal 2 70" xfId="1843"/>
    <cellStyle name="Normal 2 71" xfId="1842"/>
    <cellStyle name="Normal 2 72" xfId="8795"/>
    <cellStyle name="Normal 2 73" xfId="1841"/>
    <cellStyle name="Normal 2 74" xfId="1840"/>
    <cellStyle name="Normal 2 75" xfId="8796"/>
    <cellStyle name="Normal 2 76" xfId="1839"/>
    <cellStyle name="Normal 2 77" xfId="1838"/>
    <cellStyle name="Normal 2 78" xfId="8797"/>
    <cellStyle name="Normal 2 79" xfId="10035"/>
    <cellStyle name="Normal 2 8" xfId="1117"/>
    <cellStyle name="Normal 2 8 2" xfId="5401"/>
    <cellStyle name="Normal 2 8 2 2" xfId="10036"/>
    <cellStyle name="Normal 2 80" xfId="10037"/>
    <cellStyle name="Normal 2 81" xfId="1837"/>
    <cellStyle name="Normal 2 82" xfId="2493"/>
    <cellStyle name="Normal 2 83" xfId="1836"/>
    <cellStyle name="Normal 2 84" xfId="1835"/>
    <cellStyle name="Normal 2 85" xfId="1834"/>
    <cellStyle name="Normal 2 86" xfId="1833"/>
    <cellStyle name="Normal 2 87" xfId="1832"/>
    <cellStyle name="Normal 2 88" xfId="1831"/>
    <cellStyle name="Normal 2 89" xfId="1830"/>
    <cellStyle name="Normal 2 9" xfId="1118"/>
    <cellStyle name="Normal 2 9 2" xfId="5402"/>
    <cellStyle name="Normal 2 9 2 2" xfId="1829"/>
    <cellStyle name="Normal 2 90" xfId="1828"/>
    <cellStyle name="Normal 2 91" xfId="1827"/>
    <cellStyle name="Normal 2 92" xfId="1826"/>
    <cellStyle name="Normal 2 93" xfId="1825"/>
    <cellStyle name="Normal 2 94" xfId="1824"/>
    <cellStyle name="Normal 2 95" xfId="1823"/>
    <cellStyle name="Normal 2 96" xfId="1822"/>
    <cellStyle name="Normal 2 97" xfId="10038"/>
    <cellStyle name="Normal 2 98" xfId="10039"/>
    <cellStyle name="Normal 2 99" xfId="10040"/>
    <cellStyle name="Normal 2_Copy of W52_all." xfId="5403"/>
    <cellStyle name="Normal 20" xfId="5404"/>
    <cellStyle name="Normal 20 2" xfId="5405"/>
    <cellStyle name="Normal 20 2 2" xfId="10042"/>
    <cellStyle name="Normal 20 2 3" xfId="10041"/>
    <cellStyle name="Normal 20 3" xfId="5406"/>
    <cellStyle name="Normal 20 4" xfId="5407"/>
    <cellStyle name="Normal 20 4 2" xfId="10043"/>
    <cellStyle name="Normal 20 4 3" xfId="14941"/>
    <cellStyle name="Normal 20 5" xfId="10044"/>
    <cellStyle name="Normal 200" xfId="10045"/>
    <cellStyle name="Normal 200 2" xfId="10046"/>
    <cellStyle name="Normal 201" xfId="10047"/>
    <cellStyle name="Normal 201 2" xfId="10048"/>
    <cellStyle name="Normal 202" xfId="10049"/>
    <cellStyle name="Normal 203" xfId="10050"/>
    <cellStyle name="Normal 204" xfId="10051"/>
    <cellStyle name="Normal 205" xfId="10052"/>
    <cellStyle name="Normal 205 2" xfId="10053"/>
    <cellStyle name="Normal 206" xfId="10054"/>
    <cellStyle name="Normal 206 2" xfId="10055"/>
    <cellStyle name="Normal 207" xfId="10056"/>
    <cellStyle name="Normal 207 2" xfId="10057"/>
    <cellStyle name="Normal 208" xfId="10058"/>
    <cellStyle name="Normal 208 2" xfId="10059"/>
    <cellStyle name="Normal 209" xfId="10060"/>
    <cellStyle name="Normal 21" xfId="5408"/>
    <cellStyle name="Normal 21 2" xfId="5409"/>
    <cellStyle name="Normal 21 2 2" xfId="10062"/>
    <cellStyle name="Normal 21 2 3" xfId="14943"/>
    <cellStyle name="Normal 21 3" xfId="5410"/>
    <cellStyle name="Normal 21 3 2" xfId="10063"/>
    <cellStyle name="Normal 21 3 3" xfId="14944"/>
    <cellStyle name="Normal 21 4" xfId="5411"/>
    <cellStyle name="Normal 21 4 2" xfId="14945"/>
    <cellStyle name="Normal 21 5" xfId="10061"/>
    <cellStyle name="Normal 21 6" xfId="14942"/>
    <cellStyle name="Normal 210" xfId="10064"/>
    <cellStyle name="Normal 210 2" xfId="10065"/>
    <cellStyle name="Normal 211" xfId="10066"/>
    <cellStyle name="Normal 211 2" xfId="10067"/>
    <cellStyle name="Normal 212" xfId="10068"/>
    <cellStyle name="Normal 213" xfId="10069"/>
    <cellStyle name="Normal 214" xfId="10070"/>
    <cellStyle name="Normal 215" xfId="10071"/>
    <cellStyle name="Normal 216" xfId="10072"/>
    <cellStyle name="Normal 217" xfId="10073"/>
    <cellStyle name="Normal 218" xfId="10074"/>
    <cellStyle name="Normal 219" xfId="10075"/>
    <cellStyle name="Normal 22" xfId="5412"/>
    <cellStyle name="Normal 22 17" xfId="10076"/>
    <cellStyle name="Normal 22 2" xfId="5413"/>
    <cellStyle name="Normal 22 2 2" xfId="10077"/>
    <cellStyle name="Normal 22 2 3" xfId="14947"/>
    <cellStyle name="Normal 22 3" xfId="5414"/>
    <cellStyle name="Normal 22 3 2" xfId="10078"/>
    <cellStyle name="Normal 22 3 3" xfId="14948"/>
    <cellStyle name="Normal 22 4" xfId="5415"/>
    <cellStyle name="Normal 22 4 2" xfId="14949"/>
    <cellStyle name="Normal 22 5" xfId="8478"/>
    <cellStyle name="Normal 22 5 2" xfId="15019"/>
    <cellStyle name="Normal 22 5 2 2" xfId="15052"/>
    <cellStyle name="Normal 22 5 3" xfId="15046"/>
    <cellStyle name="Normal 22 6" xfId="12985"/>
    <cellStyle name="Normal 22 7" xfId="14946"/>
    <cellStyle name="Normal 220" xfId="10079"/>
    <cellStyle name="Normal 220 2" xfId="1821"/>
    <cellStyle name="Normal 221" xfId="1820"/>
    <cellStyle name="Normal 221 2" xfId="10080"/>
    <cellStyle name="Normal 222" xfId="10081"/>
    <cellStyle name="Normal 222 2" xfId="10082"/>
    <cellStyle name="Normal 223" xfId="1819"/>
    <cellStyle name="Normal 223 2" xfId="10083"/>
    <cellStyle name="Normal 224" xfId="10084"/>
    <cellStyle name="Normal 224 2" xfId="10085"/>
    <cellStyle name="Normal 225" xfId="2492"/>
    <cellStyle name="Normal 225 2" xfId="1818"/>
    <cellStyle name="Normal 226" xfId="10086"/>
    <cellStyle name="Normal 226 2" xfId="10087"/>
    <cellStyle name="Normal 227" xfId="1817"/>
    <cellStyle name="Normal 227 2" xfId="10088"/>
    <cellStyle name="Normal 228" xfId="1816"/>
    <cellStyle name="Normal 228 2" xfId="10089"/>
    <cellStyle name="Normal 229" xfId="1475"/>
    <cellStyle name="Normal 23" xfId="5416"/>
    <cellStyle name="Normal 23 2" xfId="5417"/>
    <cellStyle name="Normal 23 2 2" xfId="10091"/>
    <cellStyle name="Normal 23 3" xfId="5418"/>
    <cellStyle name="Normal 23 3 2" xfId="12241"/>
    <cellStyle name="Normal 23 4" xfId="10090"/>
    <cellStyle name="Normal 23 5" xfId="14950"/>
    <cellStyle name="Normal 230" xfId="1815"/>
    <cellStyle name="Normal 231" xfId="10093"/>
    <cellStyle name="Normal 231 2" xfId="10094"/>
    <cellStyle name="Normal 232" xfId="10095"/>
    <cellStyle name="Normal 232 2" xfId="10096"/>
    <cellStyle name="Normal 233" xfId="10097"/>
    <cellStyle name="Normal 233 2" xfId="10098"/>
    <cellStyle name="Normal 234" xfId="10099"/>
    <cellStyle name="Normal 235" xfId="10100"/>
    <cellStyle name="Normal 236" xfId="10101"/>
    <cellStyle name="Normal 237" xfId="10102"/>
    <cellStyle name="Normal 238" xfId="10092"/>
    <cellStyle name="Normal 239" xfId="1814"/>
    <cellStyle name="Normal 24" xfId="5419"/>
    <cellStyle name="Normal 24 2" xfId="10105"/>
    <cellStyle name="Normal 24 3" xfId="10104"/>
    <cellStyle name="Normal 24 4" xfId="14951"/>
    <cellStyle name="Normal 240" xfId="10103"/>
    <cellStyle name="Normal 241" xfId="10106"/>
    <cellStyle name="Normal 242" xfId="10107"/>
    <cellStyle name="Normal 243" xfId="10108"/>
    <cellStyle name="Normal 244" xfId="10109"/>
    <cellStyle name="Normal 245" xfId="11773"/>
    <cellStyle name="Normal 246" xfId="10116"/>
    <cellStyle name="Normal 247" xfId="1813"/>
    <cellStyle name="Normal 248" xfId="10111"/>
    <cellStyle name="Normal 249" xfId="10112"/>
    <cellStyle name="Normal 25" xfId="5420"/>
    <cellStyle name="Normal 25 2" xfId="10110"/>
    <cellStyle name="Normal 25 3" xfId="10115"/>
    <cellStyle name="Normal 25 4" xfId="10113"/>
    <cellStyle name="Normal 25 5" xfId="14952"/>
    <cellStyle name="Normal 250" xfId="1812"/>
    <cellStyle name="Normal 251" xfId="11194"/>
    <cellStyle name="Normal 252" xfId="11195"/>
    <cellStyle name="Normal 253" xfId="11774"/>
    <cellStyle name="Normal 254" xfId="12242"/>
    <cellStyle name="Normal 255" xfId="8895"/>
    <cellStyle name="Normal 256" xfId="8899"/>
    <cellStyle name="Normal 257" xfId="9497"/>
    <cellStyle name="Normal 258" xfId="11181"/>
    <cellStyle name="Normal 259" xfId="10114"/>
    <cellStyle name="Normal 26" xfId="5421"/>
    <cellStyle name="Normal 26 2" xfId="10118"/>
    <cellStyle name="Normal 26 3" xfId="1811"/>
    <cellStyle name="Normal 26 4" xfId="14953"/>
    <cellStyle name="Normal 260" xfId="11777"/>
    <cellStyle name="Normal 261" xfId="11775"/>
    <cellStyle name="Normal 262" xfId="10119"/>
    <cellStyle name="Normal 263" xfId="10117"/>
    <cellStyle name="Normal 264" xfId="11776"/>
    <cellStyle name="Normal 265" xfId="12243"/>
    <cellStyle name="Normal 266" xfId="12244"/>
    <cellStyle name="Normal 267" xfId="1810"/>
    <cellStyle name="Normal 268" xfId="10120"/>
    <cellStyle name="Normal 269" xfId="1809"/>
    <cellStyle name="Normal 27" xfId="5422"/>
    <cellStyle name="Normal 27 2" xfId="1808"/>
    <cellStyle name="Normal 27 3" xfId="10121"/>
    <cellStyle name="Normal 27 4" xfId="14954"/>
    <cellStyle name="Normal 270" xfId="10122"/>
    <cellStyle name="Normal 271" xfId="10123"/>
    <cellStyle name="Normal 272" xfId="10124"/>
    <cellStyle name="Normal 273" xfId="10125"/>
    <cellStyle name="Normal 274" xfId="10126"/>
    <cellStyle name="Normal 275" xfId="10127"/>
    <cellStyle name="Normal 276" xfId="12245"/>
    <cellStyle name="Normal 277" xfId="12246"/>
    <cellStyle name="Normal 278" xfId="12247"/>
    <cellStyle name="Normal 279" xfId="12248"/>
    <cellStyle name="Normal 28" xfId="5423"/>
    <cellStyle name="Normal 28 2" xfId="5424"/>
    <cellStyle name="Normal 28 2 2" xfId="10128"/>
    <cellStyle name="Normal 28 3" xfId="12249"/>
    <cellStyle name="Normal 28 4" xfId="14955"/>
    <cellStyle name="Normal 280" xfId="12250"/>
    <cellStyle name="Normal 281" xfId="10132"/>
    <cellStyle name="Normal 282" xfId="10129"/>
    <cellStyle name="Normal 283" xfId="10130"/>
    <cellStyle name="Normal 284" xfId="10131"/>
    <cellStyle name="Normal 285" xfId="12251"/>
    <cellStyle name="Normal 286" xfId="12979"/>
    <cellStyle name="Normal 287" xfId="2489"/>
    <cellStyle name="Normal 288" xfId="10133"/>
    <cellStyle name="Normal 289" xfId="11196"/>
    <cellStyle name="Normal 29" xfId="5425"/>
    <cellStyle name="Normal 29 2" xfId="10134"/>
    <cellStyle name="Normal 29 3" xfId="10135"/>
    <cellStyle name="Normal 29 4" xfId="14956"/>
    <cellStyle name="Normal 290" xfId="11197"/>
    <cellStyle name="Normal 291" xfId="12252"/>
    <cellStyle name="Normal 292" xfId="8897"/>
    <cellStyle name="Normal 293" xfId="10136"/>
    <cellStyle name="Normal 294" xfId="12253"/>
    <cellStyle name="Normal 295" xfId="12254"/>
    <cellStyle name="Normal 296" xfId="12255"/>
    <cellStyle name="Normal 297" xfId="12256"/>
    <cellStyle name="Normal 298" xfId="12257"/>
    <cellStyle name="Normal 299" xfId="10137"/>
    <cellStyle name="Normal 3" xfId="1119"/>
    <cellStyle name="Normal 3 10" xfId="1120"/>
    <cellStyle name="Normal 3 10 2" xfId="10138"/>
    <cellStyle name="Normal 3 11" xfId="1121"/>
    <cellStyle name="Normal 3 11 2" xfId="10139"/>
    <cellStyle name="Normal 3 12" xfId="1122"/>
    <cellStyle name="Normal 3 12 2" xfId="10140"/>
    <cellStyle name="Normal 3 13" xfId="1123"/>
    <cellStyle name="Normal 3 13 2" xfId="10141"/>
    <cellStyle name="Normal 3 13 2 2" xfId="10142"/>
    <cellStyle name="Normal 3 13 2 3" xfId="10143"/>
    <cellStyle name="Normal 3 13 3" xfId="1807"/>
    <cellStyle name="Normal 3 14" xfId="2378"/>
    <cellStyle name="Normal 3 14 2" xfId="12258"/>
    <cellStyle name="Normal 3 14 2 2" xfId="1805"/>
    <cellStyle name="Normal 3 14 2 3" xfId="12259"/>
    <cellStyle name="Normal 3 14 2 4" xfId="1803"/>
    <cellStyle name="Normal 3 14 3" xfId="1804"/>
    <cellStyle name="Normal 3 14 4" xfId="12260"/>
    <cellStyle name="Normal 3 14 5" xfId="1806"/>
    <cellStyle name="Normal 3 14 6" xfId="14875"/>
    <cellStyle name="Normal 3 15" xfId="1802"/>
    <cellStyle name="Normal 3 15 2" xfId="12261"/>
    <cellStyle name="Normal 3 15 3" xfId="10144"/>
    <cellStyle name="Normal 3 15 4" xfId="1474"/>
    <cellStyle name="Normal 3 16" xfId="12262"/>
    <cellStyle name="Normal 3 16 2" xfId="10146"/>
    <cellStyle name="Normal 3 16 3" xfId="10145"/>
    <cellStyle name="Normal 3 16 4" xfId="12263"/>
    <cellStyle name="Normal 3 17" xfId="12983"/>
    <cellStyle name="Normal 3 17 2" xfId="10147"/>
    <cellStyle name="Normal 3 17 3" xfId="10148"/>
    <cellStyle name="Normal 3 17 4" xfId="10149"/>
    <cellStyle name="Normal 3 18" xfId="12264"/>
    <cellStyle name="Normal 3 18 2" xfId="1801"/>
    <cellStyle name="Normal 3 19" xfId="11198"/>
    <cellStyle name="Normal 3 19 2" xfId="12265"/>
    <cellStyle name="Normal 3 2" xfId="1124"/>
    <cellStyle name="Normal 3 2 2" xfId="1457"/>
    <cellStyle name="Normal 3 2 2 2" xfId="5426"/>
    <cellStyle name="Normal 3 2 2 2 2" xfId="12267"/>
    <cellStyle name="Normal 3 2 2 2 3" xfId="12268"/>
    <cellStyle name="Normal 3 2 2 2 4" xfId="10150"/>
    <cellStyle name="Normal 3 2 2 2 5" xfId="1800"/>
    <cellStyle name="Normal 3 2 2 2 6" xfId="14957"/>
    <cellStyle name="Normal 3 2 2 3" xfId="12269"/>
    <cellStyle name="Normal 3 2 2 3 2" xfId="12270"/>
    <cellStyle name="Normal 3 2 2 4" xfId="10151"/>
    <cellStyle name="Normal 3 2 2 5" xfId="1799"/>
    <cellStyle name="Normal 3 2 3" xfId="5427"/>
    <cellStyle name="Normal 3 2 3 2" xfId="5428"/>
    <cellStyle name="Normal 3 2 3 2 2" xfId="10152"/>
    <cellStyle name="Normal 3 2 3 3" xfId="1798"/>
    <cellStyle name="Normal 3 2 3 4" xfId="8902"/>
    <cellStyle name="Normal 3 2 4" xfId="5429"/>
    <cellStyle name="Normal 3 2 4 2" xfId="10153"/>
    <cellStyle name="Normal 3 2 5" xfId="5430"/>
    <cellStyle name="Normal 3 2 6" xfId="5431"/>
    <cellStyle name="Normal 3 2 6 2" xfId="12266"/>
    <cellStyle name="Normal 3 2 7" xfId="8482"/>
    <cellStyle name="Normal 3 2_Sanwani Street_201602" xfId="2486"/>
    <cellStyle name="Normal 3 20" xfId="1797"/>
    <cellStyle name="Normal 3 20 2" xfId="1796"/>
    <cellStyle name="Normal 3 21" xfId="10154"/>
    <cellStyle name="Normal 3 21 2" xfId="10155"/>
    <cellStyle name="Normal 3 22" xfId="10156"/>
    <cellStyle name="Normal 3 22 2" xfId="10157"/>
    <cellStyle name="Normal 3 23" xfId="10158"/>
    <cellStyle name="Normal 3 24" xfId="8892"/>
    <cellStyle name="Normal 3 25" xfId="10385"/>
    <cellStyle name="Normal 3 26" xfId="12987"/>
    <cellStyle name="Normal 3 27" xfId="12989"/>
    <cellStyle name="Normal 3 27 2" xfId="8492"/>
    <cellStyle name="Normal 3 28" xfId="1795"/>
    <cellStyle name="Normal 3 28 2" xfId="1794"/>
    <cellStyle name="Normal 3 29" xfId="10161"/>
    <cellStyle name="Normal 3 29 2" xfId="10162"/>
    <cellStyle name="Normal 3 3" xfId="1125"/>
    <cellStyle name="Normal 3 3 10" xfId="10163"/>
    <cellStyle name="Normal 3 3 10 2" xfId="10164"/>
    <cellStyle name="Normal 3 3 11" xfId="10165"/>
    <cellStyle name="Normal 3 3 11 2" xfId="10160"/>
    <cellStyle name="Normal 3 3 12" xfId="1793"/>
    <cellStyle name="Normal 3 3 12 2" xfId="10167"/>
    <cellStyle name="Normal 3 3 13" xfId="10168"/>
    <cellStyle name="Normal 3 3 13 2" xfId="10166"/>
    <cellStyle name="Normal 3 3 14" xfId="1792"/>
    <cellStyle name="Normal 3 3 14 2" xfId="8879"/>
    <cellStyle name="Normal 3 3 15" xfId="10170"/>
    <cellStyle name="Normal 3 3 15 2" xfId="10169"/>
    <cellStyle name="Normal 3 3 16" xfId="1791"/>
    <cellStyle name="Normal 3 3 16 2" xfId="10171"/>
    <cellStyle name="Normal 3 3 17" xfId="1790"/>
    <cellStyle name="Normal 3 3 17 2" xfId="10172"/>
    <cellStyle name="Normal 3 3 18" xfId="1473"/>
    <cellStyle name="Normal 3 3 18 2" xfId="10173"/>
    <cellStyle name="Normal 3 3 19" xfId="10159"/>
    <cellStyle name="Normal 3 3 19 2" xfId="1488"/>
    <cellStyle name="Normal 3 3 2" xfId="8880"/>
    <cellStyle name="Normal 3 3 2 2" xfId="10175"/>
    <cellStyle name="Normal 3 3 2 2 2" xfId="10176"/>
    <cellStyle name="Normal 3 3 2 2 3" xfId="10177"/>
    <cellStyle name="Normal 3 3 2 2 4" xfId="10174"/>
    <cellStyle name="Normal 3 3 2 2 5" xfId="1472"/>
    <cellStyle name="Normal 3 3 2 3" xfId="10179"/>
    <cellStyle name="Normal 3 3 2 4" xfId="10180"/>
    <cellStyle name="Normal 3 3 20" xfId="10181"/>
    <cellStyle name="Normal 3 3 20 2" xfId="10182"/>
    <cellStyle name="Normal 3 3 21" xfId="10183"/>
    <cellStyle name="Normal 3 3 21 2" xfId="10184"/>
    <cellStyle name="Normal 3 3 22" xfId="10185"/>
    <cellStyle name="Normal 3 3 22 2" xfId="10186"/>
    <cellStyle name="Normal 3 3 23" xfId="10187"/>
    <cellStyle name="Normal 3 3 23 2" xfId="10188"/>
    <cellStyle name="Normal 3 3 24" xfId="10189"/>
    <cellStyle name="Normal 3 3 3" xfId="10190"/>
    <cellStyle name="Normal 3 3 3 2" xfId="10191"/>
    <cellStyle name="Normal 3 3 3 3" xfId="10192"/>
    <cellStyle name="Normal 3 3 3 4" xfId="10178"/>
    <cellStyle name="Normal 3 3 4" xfId="1486"/>
    <cellStyle name="Normal 3 3 4 2" xfId="8881"/>
    <cellStyle name="Normal 3 3 5" xfId="10195"/>
    <cellStyle name="Normal 3 3 5 2" xfId="10196"/>
    <cellStyle name="Normal 3 3 6" xfId="10197"/>
    <cellStyle name="Normal 3 3 6 2" xfId="10194"/>
    <cellStyle name="Normal 3 3 7" xfId="8882"/>
    <cellStyle name="Normal 3 3 7 2" xfId="11376"/>
    <cellStyle name="Normal 3 3 8" xfId="12271"/>
    <cellStyle name="Normal 3 3 8 2" xfId="12272"/>
    <cellStyle name="Normal 3 3 9" xfId="11377"/>
    <cellStyle name="Normal 3 3 9 2" xfId="12273"/>
    <cellStyle name="Normal 3 3_Sheet1" xfId="12274"/>
    <cellStyle name="Normal 3 30" xfId="11378"/>
    <cellStyle name="Normal 3 30 2" xfId="12275"/>
    <cellStyle name="Normal 3 31" xfId="12276"/>
    <cellStyle name="Normal 3 31 2" xfId="8883"/>
    <cellStyle name="Normal 3 32" xfId="11379"/>
    <cellStyle name="Normal 3 32 2" xfId="12277"/>
    <cellStyle name="Normal 3 33" xfId="12278"/>
    <cellStyle name="Normal 3 33 2" xfId="8884"/>
    <cellStyle name="Normal 3 34" xfId="11380"/>
    <cellStyle name="Normal 3 34 2" xfId="12279"/>
    <cellStyle name="Normal 3 35" xfId="12280"/>
    <cellStyle name="Normal 3 35 2" xfId="10198"/>
    <cellStyle name="Normal 3 36" xfId="11381"/>
    <cellStyle name="Normal 3 36 2" xfId="12281"/>
    <cellStyle name="Normal 3 37" xfId="12282"/>
    <cellStyle name="Normal 3 37 2" xfId="8885"/>
    <cellStyle name="Normal 3 38" xfId="11382"/>
    <cellStyle name="Normal 3 39" xfId="12283"/>
    <cellStyle name="Normal 3 4" xfId="1126"/>
    <cellStyle name="Normal 3 4 10" xfId="12284"/>
    <cellStyle name="Normal 3 4 10 2" xfId="10199"/>
    <cellStyle name="Normal 3 4 11" xfId="11383"/>
    <cellStyle name="Normal 3 4 11 2" xfId="12285"/>
    <cellStyle name="Normal 3 4 12" xfId="12286"/>
    <cellStyle name="Normal 3 4 12 2" xfId="11384"/>
    <cellStyle name="Normal 3 4 13" xfId="12287"/>
    <cellStyle name="Normal 3 4 13 2" xfId="12288"/>
    <cellStyle name="Normal 3 4 14" xfId="11385"/>
    <cellStyle name="Normal 3 4 14 2" xfId="12289"/>
    <cellStyle name="Normal 3 4 15" xfId="12290"/>
    <cellStyle name="Normal 3 4 15 2" xfId="11386"/>
    <cellStyle name="Normal 3 4 16" xfId="12291"/>
    <cellStyle name="Normal 3 4 16 2" xfId="12292"/>
    <cellStyle name="Normal 3 4 17" xfId="11387"/>
    <cellStyle name="Normal 3 4 17 2" xfId="12293"/>
    <cellStyle name="Normal 3 4 18" xfId="12294"/>
    <cellStyle name="Normal 3 4 18 2" xfId="11388"/>
    <cellStyle name="Normal 3 4 19" xfId="12295"/>
    <cellStyle name="Normal 3 4 19 2" xfId="12296"/>
    <cellStyle name="Normal 3 4 2" xfId="5432"/>
    <cellStyle name="Normal 3 4 2 2" xfId="12297"/>
    <cellStyle name="Normal 3 4 2 3" xfId="12298"/>
    <cellStyle name="Normal 3 4 2 4" xfId="10200"/>
    <cellStyle name="Normal 3 4 2 5" xfId="11389"/>
    <cellStyle name="Normal 3 4 20" xfId="11390"/>
    <cellStyle name="Normal 3 4 20 2" xfId="12299"/>
    <cellStyle name="Normal 3 4 21" xfId="12300"/>
    <cellStyle name="Normal 3 4 21 2" xfId="11391"/>
    <cellStyle name="Normal 3 4 22" xfId="12301"/>
    <cellStyle name="Normal 3 4 22 2" xfId="12302"/>
    <cellStyle name="Normal 3 4 23" xfId="11392"/>
    <cellStyle name="Normal 3 4 3" xfId="12303"/>
    <cellStyle name="Normal 3 4 3 2" xfId="12304"/>
    <cellStyle name="Normal 3 4 4" xfId="10201"/>
    <cellStyle name="Normal 3 4 4 2" xfId="11393"/>
    <cellStyle name="Normal 3 4 5" xfId="12305"/>
    <cellStyle name="Normal 3 4 5 2" xfId="12306"/>
    <cellStyle name="Normal 3 4 6" xfId="10193"/>
    <cellStyle name="Normal 3 4 6 2" xfId="11394"/>
    <cellStyle name="Normal 3 4 7" xfId="12307"/>
    <cellStyle name="Normal 3 4 7 2" xfId="12308"/>
    <cellStyle name="Normal 3 4 8" xfId="10202"/>
    <cellStyle name="Normal 3 4 8 2" xfId="11395"/>
    <cellStyle name="Normal 3 4 9" xfId="12309"/>
    <cellStyle name="Normal 3 4 9 2" xfId="12310"/>
    <cellStyle name="Normal 3 4_Sheet1" xfId="1467"/>
    <cellStyle name="Normal 3 40" xfId="11396"/>
    <cellStyle name="Normal 3 41" xfId="12311"/>
    <cellStyle name="Normal 3 42" xfId="12312"/>
    <cellStyle name="Normal 3 43" xfId="8886"/>
    <cellStyle name="Normal 3 44" xfId="5433"/>
    <cellStyle name="Normal 3 44 2" xfId="11397"/>
    <cellStyle name="Normal 3 45" xfId="12313"/>
    <cellStyle name="Normal 3 46" xfId="12314"/>
    <cellStyle name="Normal 3 47" xfId="11398"/>
    <cellStyle name="Normal 3 48" xfId="12315"/>
    <cellStyle name="Normal 3 49" xfId="12316"/>
    <cellStyle name="Normal 3 5" xfId="1127"/>
    <cellStyle name="Normal 3 5 10" xfId="11399"/>
    <cellStyle name="Normal 3 5 10 2" xfId="12317"/>
    <cellStyle name="Normal 3 5 11" xfId="12318"/>
    <cellStyle name="Normal 3 5 11 2" xfId="11400"/>
    <cellStyle name="Normal 3 5 12" xfId="12319"/>
    <cellStyle name="Normal 3 5 12 2" xfId="12320"/>
    <cellStyle name="Normal 3 5 13" xfId="11401"/>
    <cellStyle name="Normal 3 5 13 2" xfId="12321"/>
    <cellStyle name="Normal 3 5 14" xfId="12322"/>
    <cellStyle name="Normal 3 5 14 2" xfId="11402"/>
    <cellStyle name="Normal 3 5 15" xfId="12323"/>
    <cellStyle name="Normal 3 5 15 2" xfId="12324"/>
    <cellStyle name="Normal 3 5 16" xfId="11403"/>
    <cellStyle name="Normal 3 5 16 2" xfId="12325"/>
    <cellStyle name="Normal 3 5 17" xfId="12326"/>
    <cellStyle name="Normal 3 5 17 2" xfId="8887"/>
    <cellStyle name="Normal 3 5 18" xfId="12327"/>
    <cellStyle name="Normal 3 5 18 2" xfId="12328"/>
    <cellStyle name="Normal 3 5 19" xfId="10203"/>
    <cellStyle name="Normal 3 5 19 2" xfId="8888"/>
    <cellStyle name="Normal 3 5 2" xfId="5434"/>
    <cellStyle name="Normal 3 5 2 2" xfId="10205"/>
    <cellStyle name="Normal 3 5 2 3" xfId="10204"/>
    <cellStyle name="Normal 3 5 20" xfId="10206"/>
    <cellStyle name="Normal 3 5 20 2" xfId="10207"/>
    <cellStyle name="Normal 3 5 21" xfId="10208"/>
    <cellStyle name="Normal 3 5 21 2" xfId="10209"/>
    <cellStyle name="Normal 3 5 22" xfId="10210"/>
    <cellStyle name="Normal 3 5 22 2" xfId="10211"/>
    <cellStyle name="Normal 3 5 23" xfId="10212"/>
    <cellStyle name="Normal 3 5 3" xfId="1789"/>
    <cellStyle name="Normal 3 5 3 2" xfId="1788"/>
    <cellStyle name="Normal 3 5 4" xfId="8799"/>
    <cellStyle name="Normal 3 5 4 2" xfId="1787"/>
    <cellStyle name="Normal 3 5 5" xfId="1786"/>
    <cellStyle name="Normal 3 5 5 2" xfId="8800"/>
    <cellStyle name="Normal 3 5 6" xfId="1785"/>
    <cellStyle name="Normal 3 5 6 2" xfId="1784"/>
    <cellStyle name="Normal 3 5 7" xfId="8801"/>
    <cellStyle name="Normal 3 5 7 2" xfId="1783"/>
    <cellStyle name="Normal 3 5 8" xfId="1782"/>
    <cellStyle name="Normal 3 5 8 2" xfId="8802"/>
    <cellStyle name="Normal 3 5 9" xfId="1781"/>
    <cellStyle name="Normal 3 5 9 2" xfId="1780"/>
    <cellStyle name="Normal 3 5_Sheet1" xfId="8803"/>
    <cellStyle name="Normal 3 50" xfId="1779"/>
    <cellStyle name="Normal 3 51" xfId="1778"/>
    <cellStyle name="Normal 3 52" xfId="8804"/>
    <cellStyle name="Normal 3 53" xfId="1777"/>
    <cellStyle name="Normal 3 54" xfId="8798"/>
    <cellStyle name="Normal 3 55" xfId="1776"/>
    <cellStyle name="Normal 3 56" xfId="10214"/>
    <cellStyle name="Normal 3 57" xfId="10215"/>
    <cellStyle name="Normal 3 58" xfId="10216"/>
    <cellStyle name="Normal 3 59" xfId="10213"/>
    <cellStyle name="Normal 3 6" xfId="1128"/>
    <cellStyle name="Normal 3 6 2" xfId="5435"/>
    <cellStyle name="Normal 3 6 2 2" xfId="1775"/>
    <cellStyle name="Normal 3 6 3" xfId="10218"/>
    <cellStyle name="Normal 3 6 4" xfId="10219"/>
    <cellStyle name="Normal 3 6_Input" xfId="10220"/>
    <cellStyle name="Normal 3 60" xfId="10221"/>
    <cellStyle name="Normal 3 61" xfId="14872"/>
    <cellStyle name="Normal 3 7" xfId="1129"/>
    <cellStyle name="Normal 3 7 2" xfId="10217"/>
    <cellStyle name="Normal 3 7 3" xfId="1471"/>
    <cellStyle name="Normal 3 7 4" xfId="10223"/>
    <cellStyle name="Normal 3 7_Input" xfId="10224"/>
    <cellStyle name="Normal 3 8" xfId="1130"/>
    <cellStyle name="Normal 3 8 2" xfId="10225"/>
    <cellStyle name="Normal 3 9" xfId="1131"/>
    <cellStyle name="Normal 3 9 2" xfId="10226"/>
    <cellStyle name="Normal 3_Batavia_NewBeitou_1507" xfId="10222"/>
    <cellStyle name="Normal 30" xfId="5436"/>
    <cellStyle name="Normal 30 2" xfId="10227"/>
    <cellStyle name="Normal 30 3" xfId="10228"/>
    <cellStyle name="Normal 30 4" xfId="8805"/>
    <cellStyle name="Normal 30 5" xfId="14958"/>
    <cellStyle name="Normal 300" xfId="10229"/>
    <cellStyle name="Normal 301" xfId="10230"/>
    <cellStyle name="Normal 302" xfId="10231"/>
    <cellStyle name="Normal 303" xfId="10232"/>
    <cellStyle name="Normal 304" xfId="10233"/>
    <cellStyle name="Normal 305" xfId="10234"/>
    <cellStyle name="Normal 306" xfId="10235"/>
    <cellStyle name="Normal 307" xfId="10236"/>
    <cellStyle name="Normal 308" xfId="10237"/>
    <cellStyle name="Normal 309" xfId="10238"/>
    <cellStyle name="Normal 31" xfId="5437"/>
    <cellStyle name="Normal 31 2" xfId="10240"/>
    <cellStyle name="Normal 31 3" xfId="10241"/>
    <cellStyle name="Normal 31 4" xfId="10239"/>
    <cellStyle name="Normal 31 5" xfId="14959"/>
    <cellStyle name="Normal 310" xfId="10242"/>
    <cellStyle name="Normal 311" xfId="10243"/>
    <cellStyle name="Normal 312" xfId="10244"/>
    <cellStyle name="Normal 313" xfId="10245"/>
    <cellStyle name="Normal 314" xfId="10246"/>
    <cellStyle name="Normal 315" xfId="10247"/>
    <cellStyle name="Normal 316" xfId="10248"/>
    <cellStyle name="Normal 317" xfId="10249"/>
    <cellStyle name="Normal 318" xfId="10250"/>
    <cellStyle name="Normal 319" xfId="10251"/>
    <cellStyle name="Normal 32" xfId="5438"/>
    <cellStyle name="Normal 32 2" xfId="10253"/>
    <cellStyle name="Normal 32 3" xfId="10252"/>
    <cellStyle name="Normal 320" xfId="10254"/>
    <cellStyle name="Normal 321" xfId="10255"/>
    <cellStyle name="Normal 322" xfId="1774"/>
    <cellStyle name="Normal 323" xfId="1773"/>
    <cellStyle name="Normal 324" xfId="10258"/>
    <cellStyle name="Normal 325" xfId="10257"/>
    <cellStyle name="Normal 326" xfId="1470"/>
    <cellStyle name="Normal 327" xfId="10259"/>
    <cellStyle name="Normal 328" xfId="8806"/>
    <cellStyle name="Normal 329" xfId="10256"/>
    <cellStyle name="Normal 33" xfId="5439"/>
    <cellStyle name="Normal 33 2" xfId="1771"/>
    <cellStyle name="Normal 33 3" xfId="1772"/>
    <cellStyle name="Normal 330" xfId="8807"/>
    <cellStyle name="Normal 331" xfId="1770"/>
    <cellStyle name="Normal 332" xfId="1769"/>
    <cellStyle name="Normal 333" xfId="8808"/>
    <cellStyle name="Normal 334" xfId="1768"/>
    <cellStyle name="Normal 335" xfId="1767"/>
    <cellStyle name="Normal 336" xfId="8809"/>
    <cellStyle name="Normal 337" xfId="1766"/>
    <cellStyle name="Normal 338" xfId="1765"/>
    <cellStyle name="Normal 339" xfId="8810"/>
    <cellStyle name="Normal 34" xfId="3117"/>
    <cellStyle name="Normal 34 2" xfId="1763"/>
    <cellStyle name="Normal 34 3" xfId="8811"/>
    <cellStyle name="Normal 34 4" xfId="1764"/>
    <cellStyle name="Normal 34 5" xfId="14876"/>
    <cellStyle name="Normal 340" xfId="1762"/>
    <cellStyle name="Normal 341" xfId="1761"/>
    <cellStyle name="Normal 342" xfId="8812"/>
    <cellStyle name="Normal 343" xfId="10260"/>
    <cellStyle name="Normal 344" xfId="1760"/>
    <cellStyle name="Normal 345" xfId="1759"/>
    <cellStyle name="Normal 346" xfId="1758"/>
    <cellStyle name="Normal 347" xfId="1757"/>
    <cellStyle name="Normal 348" xfId="1756"/>
    <cellStyle name="Normal 349" xfId="1755"/>
    <cellStyle name="Normal 35" xfId="5667"/>
    <cellStyle name="Normal 35 2" xfId="8813"/>
    <cellStyle name="Normal 35 3" xfId="8814"/>
    <cellStyle name="Normal 35 4" xfId="1754"/>
    <cellStyle name="Normal 35 5" xfId="15018"/>
    <cellStyle name="Normal 350" xfId="8889"/>
    <cellStyle name="Normal 351" xfId="1753"/>
    <cellStyle name="Normal 352" xfId="1752"/>
    <cellStyle name="Normal 353" xfId="8815"/>
    <cellStyle name="Normal 354" xfId="1751"/>
    <cellStyle name="Normal 355" xfId="1750"/>
    <cellStyle name="Normal 356" xfId="8816"/>
    <cellStyle name="Normal 357" xfId="1749"/>
    <cellStyle name="Normal 358" xfId="1748"/>
    <cellStyle name="Normal 359" xfId="8817"/>
    <cellStyle name="Normal 36" xfId="8487"/>
    <cellStyle name="Normal 36 2" xfId="1746"/>
    <cellStyle name="Normal 36 3" xfId="8818"/>
    <cellStyle name="Normal 36 4" xfId="1747"/>
    <cellStyle name="Normal 36 5" xfId="15025"/>
    <cellStyle name="Normal 360" xfId="1745"/>
    <cellStyle name="Normal 361" xfId="1744"/>
    <cellStyle name="Normal 362" xfId="8819"/>
    <cellStyle name="Normal 363" xfId="1743"/>
    <cellStyle name="Normal 364" xfId="1742"/>
    <cellStyle name="Normal 365" xfId="8820"/>
    <cellStyle name="Normal 366" xfId="1741"/>
    <cellStyle name="Normal 367" xfId="10261"/>
    <cellStyle name="Normal 368" xfId="10262"/>
    <cellStyle name="Normal 369" xfId="10263"/>
    <cellStyle name="Normal 37" xfId="8489"/>
    <cellStyle name="Normal 37 2" xfId="10264"/>
    <cellStyle name="Normal 37 3" xfId="10265"/>
    <cellStyle name="Normal 370" xfId="10266"/>
    <cellStyle name="Normal 371" xfId="10267"/>
    <cellStyle name="Normal 372" xfId="8821"/>
    <cellStyle name="Normal 373" xfId="10268"/>
    <cellStyle name="Normal 374" xfId="10269"/>
    <cellStyle name="Normal 375" xfId="10270"/>
    <cellStyle name="Normal 376" xfId="10271"/>
    <cellStyle name="Normal 377" xfId="10272"/>
    <cellStyle name="Normal 378" xfId="10273"/>
    <cellStyle name="Normal 379" xfId="10274"/>
    <cellStyle name="Normal 38" xfId="2506"/>
    <cellStyle name="Normal 38 2" xfId="10276"/>
    <cellStyle name="Normal 38 3" xfId="10277"/>
    <cellStyle name="Normal 38 4" xfId="10275"/>
    <cellStyle name="Normal 380" xfId="10278"/>
    <cellStyle name="Normal 381" xfId="10279"/>
    <cellStyle name="Normal 382" xfId="10280"/>
    <cellStyle name="Normal 383" xfId="10281"/>
    <cellStyle name="Normal 384" xfId="10282"/>
    <cellStyle name="Normal 385" xfId="10283"/>
    <cellStyle name="Normal 386" xfId="10284"/>
    <cellStyle name="Normal 387" xfId="10285"/>
    <cellStyle name="Normal 388" xfId="10286"/>
    <cellStyle name="Normal 389" xfId="10287"/>
    <cellStyle name="Normal 39" xfId="10288"/>
    <cellStyle name="Normal 390" xfId="10289"/>
    <cellStyle name="Normal 391" xfId="10290"/>
    <cellStyle name="Normal 392" xfId="10291"/>
    <cellStyle name="Normal 393" xfId="10292"/>
    <cellStyle name="Normal 394" xfId="10293"/>
    <cellStyle name="Normal 395" xfId="10294"/>
    <cellStyle name="Normal 396" xfId="10295"/>
    <cellStyle name="Normal 397" xfId="10296"/>
    <cellStyle name="Normal 398" xfId="10297"/>
    <cellStyle name="Normal 399" xfId="10298"/>
    <cellStyle name="Normal 4" xfId="1132"/>
    <cellStyle name="Normal 4 10" xfId="10299"/>
    <cellStyle name="Normal 4 10 2" xfId="1740"/>
    <cellStyle name="Normal 4 11" xfId="1739"/>
    <cellStyle name="Normal 4 11 2" xfId="8822"/>
    <cellStyle name="Normal 4 12" xfId="10300"/>
    <cellStyle name="Normal 4 12 2" xfId="1738"/>
    <cellStyle name="Normal 4 13" xfId="1737"/>
    <cellStyle name="Normal 4 13 2" xfId="8823"/>
    <cellStyle name="Normal 4 14" xfId="10301"/>
    <cellStyle name="Normal 4 14 2" xfId="1736"/>
    <cellStyle name="Normal 4 15" xfId="1735"/>
    <cellStyle name="Normal 4 15 2" xfId="8824"/>
    <cellStyle name="Normal 4 16" xfId="10302"/>
    <cellStyle name="Normal 4 16 2" xfId="1734"/>
    <cellStyle name="Normal 4 16 3" xfId="1733"/>
    <cellStyle name="Normal 4 16 4" xfId="8825"/>
    <cellStyle name="Normal 4 17" xfId="10303"/>
    <cellStyle name="Normal 4 17 2" xfId="1732"/>
    <cellStyle name="Normal 4 18" xfId="1731"/>
    <cellStyle name="Normal 4 19" xfId="8826"/>
    <cellStyle name="Normal 4 2" xfId="1133"/>
    <cellStyle name="Normal 4 2 2" xfId="5442"/>
    <cellStyle name="Normal 4 2 2 2" xfId="5443"/>
    <cellStyle name="Normal 4 2 2 2 2" xfId="14963"/>
    <cellStyle name="Normal 4 2 2 3" xfId="5444"/>
    <cellStyle name="Normal 4 2 2 4" xfId="1730"/>
    <cellStyle name="Normal 4 2 2 5" xfId="14962"/>
    <cellStyle name="Normal 4 2 3" xfId="5445"/>
    <cellStyle name="Normal 4 2 3 2" xfId="14964"/>
    <cellStyle name="Normal 4 2 4" xfId="5446"/>
    <cellStyle name="Normal 4 2 5" xfId="5441"/>
    <cellStyle name="Normal 4 2 5 2" xfId="14961"/>
    <cellStyle name="Normal 4 2 6" xfId="15172"/>
    <cellStyle name="Normal 4 20" xfId="15097"/>
    <cellStyle name="Normal 4 3" xfId="1134"/>
    <cellStyle name="Normal 4 3 2" xfId="5448"/>
    <cellStyle name="Normal 4 3 2 2" xfId="1729"/>
    <cellStyle name="Normal 4 3 2 3" xfId="14966"/>
    <cellStyle name="Normal 4 3 3" xfId="5449"/>
    <cellStyle name="Normal 4 3 4" xfId="5447"/>
    <cellStyle name="Normal 4 3 4 2" xfId="14965"/>
    <cellStyle name="Normal 4 3 5" xfId="15173"/>
    <cellStyle name="Normal 4 4" xfId="1135"/>
    <cellStyle name="Normal 4 4 2" xfId="3104"/>
    <cellStyle name="Normal 4 4 2 2" xfId="5451"/>
    <cellStyle name="Normal 4 4 3" xfId="5450"/>
    <cellStyle name="Normal 4 4 3 2" xfId="1728"/>
    <cellStyle name="Normal 4 5" xfId="1136"/>
    <cellStyle name="Normal 4 5 2" xfId="5452"/>
    <cellStyle name="Normal 4 5 2 2" xfId="1727"/>
    <cellStyle name="Normal 4 6" xfId="1137"/>
    <cellStyle name="Normal 4 6 2" xfId="5453"/>
    <cellStyle name="Normal 4 6 2 2" xfId="8827"/>
    <cellStyle name="Normal 4 6 2 3" xfId="14967"/>
    <cellStyle name="Normal 4 7" xfId="1458"/>
    <cellStyle name="Normal 4 7 2" xfId="5454"/>
    <cellStyle name="Normal 4 7 2 2" xfId="10306"/>
    <cellStyle name="Normal 4 7 2 3" xfId="10305"/>
    <cellStyle name="Normal 4 7 3" xfId="10307"/>
    <cellStyle name="Normal 4 7 4" xfId="10308"/>
    <cellStyle name="Normal 4 7 5" xfId="10304"/>
    <cellStyle name="Normal 4 8" xfId="5440"/>
    <cellStyle name="Normal 4 8 2" xfId="10310"/>
    <cellStyle name="Normal 4 8 3" xfId="1726"/>
    <cellStyle name="Normal 4 8 4" xfId="10311"/>
    <cellStyle name="Normal 4 8 5" xfId="10309"/>
    <cellStyle name="Normal 4 8 6" xfId="14960"/>
    <cellStyle name="Normal 4 9" xfId="10312"/>
    <cellStyle name="Normal 4 9 2" xfId="10313"/>
    <cellStyle name="Normal 40" xfId="10314"/>
    <cellStyle name="Normal 40 2" xfId="10315"/>
    <cellStyle name="Normal 400" xfId="10316"/>
    <cellStyle name="Normal 401" xfId="10317"/>
    <cellStyle name="Normal 402" xfId="10318"/>
    <cellStyle name="Normal 403" xfId="10319"/>
    <cellStyle name="Normal 404" xfId="10320"/>
    <cellStyle name="Normal 405" xfId="10321"/>
    <cellStyle name="Normal 406" xfId="10322"/>
    <cellStyle name="Normal 407" xfId="12981"/>
    <cellStyle name="Normal 408" xfId="10323"/>
    <cellStyle name="Normal 409" xfId="10324"/>
    <cellStyle name="Normal 41" xfId="10325"/>
    <cellStyle name="Normal 410" xfId="10326"/>
    <cellStyle name="Normal 411" xfId="10327"/>
    <cellStyle name="Normal 412" xfId="10328"/>
    <cellStyle name="Normal 413" xfId="1725"/>
    <cellStyle name="Normal 414" xfId="1724"/>
    <cellStyle name="Normal 415" xfId="10329"/>
    <cellStyle name="Normal 416" xfId="1723"/>
    <cellStyle name="Normal 417" xfId="1722"/>
    <cellStyle name="Normal 418" xfId="10330"/>
    <cellStyle name="Normal 419" xfId="10331"/>
    <cellStyle name="Normal 42" xfId="10332"/>
    <cellStyle name="Normal 420" xfId="1721"/>
    <cellStyle name="Normal 421" xfId="10334"/>
    <cellStyle name="Normal 422" xfId="10335"/>
    <cellStyle name="Normal 423" xfId="10336"/>
    <cellStyle name="Normal 424" xfId="10337"/>
    <cellStyle name="Normal 425" xfId="10333"/>
    <cellStyle name="Normal 426" xfId="1720"/>
    <cellStyle name="Normal 427" xfId="10339"/>
    <cellStyle name="Normal 428" xfId="10340"/>
    <cellStyle name="Normal 429" xfId="10341"/>
    <cellStyle name="Normal 43" xfId="10342"/>
    <cellStyle name="Normal 430" xfId="10338"/>
    <cellStyle name="Normal 431" xfId="1719"/>
    <cellStyle name="Normal 432" xfId="10344"/>
    <cellStyle name="Normal 433" xfId="10345"/>
    <cellStyle name="Normal 434" xfId="10343"/>
    <cellStyle name="Normal 435" xfId="1718"/>
    <cellStyle name="Normal 436" xfId="10347"/>
    <cellStyle name="Normal 437" xfId="10348"/>
    <cellStyle name="Normal 438" xfId="10346"/>
    <cellStyle name="Normal 439" xfId="1717"/>
    <cellStyle name="Normal 44" xfId="1716"/>
    <cellStyle name="Normal 440" xfId="1715"/>
    <cellStyle name="Normal 441" xfId="10349"/>
    <cellStyle name="Normal 442" xfId="8894"/>
    <cellStyle name="Normal 443" xfId="10360"/>
    <cellStyle name="Normal 444" xfId="12986"/>
    <cellStyle name="Normal 445" xfId="8828"/>
    <cellStyle name="Normal 446" xfId="1714"/>
    <cellStyle name="Normal 447" xfId="1713"/>
    <cellStyle name="Normal 448" xfId="1712"/>
    <cellStyle name="Normal 449" xfId="10350"/>
    <cellStyle name="Normal 45" xfId="1711"/>
    <cellStyle name="Normal 450" xfId="1468"/>
    <cellStyle name="Normal 451" xfId="11404"/>
    <cellStyle name="Normal 452" xfId="12329"/>
    <cellStyle name="Normal 453" xfId="12330"/>
    <cellStyle name="Normal 454" xfId="11405"/>
    <cellStyle name="Normal 455" xfId="12331"/>
    <cellStyle name="Normal 456" xfId="12332"/>
    <cellStyle name="Normal 457" xfId="11406"/>
    <cellStyle name="Normal 458" xfId="12333"/>
    <cellStyle name="Normal 459" xfId="12334"/>
    <cellStyle name="Normal 46" xfId="10353"/>
    <cellStyle name="Normal 460" xfId="11407"/>
    <cellStyle name="Normal 461" xfId="12335"/>
    <cellStyle name="Normal 462" xfId="12336"/>
    <cellStyle name="Normal 463" xfId="10352"/>
    <cellStyle name="Normal 464" xfId="11408"/>
    <cellStyle name="Normal 465" xfId="12337"/>
    <cellStyle name="Normal 466" xfId="12338"/>
    <cellStyle name="Normal 467" xfId="10354"/>
    <cellStyle name="Normal 468" xfId="11409"/>
    <cellStyle name="Normal 469" xfId="12339"/>
    <cellStyle name="Normal 47" xfId="12340"/>
    <cellStyle name="Normal 470" xfId="10355"/>
    <cellStyle name="Normal 471" xfId="11410"/>
    <cellStyle name="Normal 472" xfId="12341"/>
    <cellStyle name="Normal 473" xfId="12342"/>
    <cellStyle name="Normal 474" xfId="10356"/>
    <cellStyle name="Normal 475" xfId="11411"/>
    <cellStyle name="Normal 476" xfId="12343"/>
    <cellStyle name="Normal 477" xfId="12344"/>
    <cellStyle name="Normal 478" xfId="11412"/>
    <cellStyle name="Normal 479" xfId="12345"/>
    <cellStyle name="Normal 48" xfId="12346"/>
    <cellStyle name="Normal 48 2" xfId="11413"/>
    <cellStyle name="Normal 480" xfId="12347"/>
    <cellStyle name="Normal 481" xfId="12348"/>
    <cellStyle name="Normal 482" xfId="11414"/>
    <cellStyle name="Normal 483" xfId="12349"/>
    <cellStyle name="Normal 484" xfId="12350"/>
    <cellStyle name="Normal 485" xfId="11415"/>
    <cellStyle name="Normal 486" xfId="12351"/>
    <cellStyle name="Normal 487" xfId="12352"/>
    <cellStyle name="Normal 488" xfId="11416"/>
    <cellStyle name="Normal 489" xfId="12353"/>
    <cellStyle name="Normal 49" xfId="12354"/>
    <cellStyle name="Normal 49 2" xfId="11417"/>
    <cellStyle name="Normal 490" xfId="12355"/>
    <cellStyle name="Normal 491" xfId="12356"/>
    <cellStyle name="Normal 492" xfId="10351"/>
    <cellStyle name="Normal 493" xfId="1710"/>
    <cellStyle name="Normal 494" xfId="10358"/>
    <cellStyle name="Normal 495" xfId="10357"/>
    <cellStyle name="Normal 496" xfId="12357"/>
    <cellStyle name="Normal 497" xfId="12358"/>
    <cellStyle name="Normal 498" xfId="12359"/>
    <cellStyle name="Normal 499" xfId="11418"/>
    <cellStyle name="Normal 5" xfId="1440"/>
    <cellStyle name="Normal 5 10" xfId="12360"/>
    <cellStyle name="Normal 5 10 2" xfId="11419"/>
    <cellStyle name="Normal 5 11" xfId="12361"/>
    <cellStyle name="Normal 5 11 2" xfId="12362"/>
    <cellStyle name="Normal 5 11 3" xfId="11420"/>
    <cellStyle name="Normal 5 11 4" xfId="12363"/>
    <cellStyle name="Normal 5 12" xfId="12364"/>
    <cellStyle name="Normal 5 12 2" xfId="1709"/>
    <cellStyle name="Normal 5 13" xfId="11421"/>
    <cellStyle name="Normal 5 14" xfId="12365"/>
    <cellStyle name="Normal 5 2" xfId="3105"/>
    <cellStyle name="Normal 5 2 2" xfId="5456"/>
    <cellStyle name="Normal 5 2 2 2" xfId="11422"/>
    <cellStyle name="Normal 5 2 2 3" xfId="12367"/>
    <cellStyle name="Normal 5 2 2 4" xfId="10359"/>
    <cellStyle name="Normal 5 2 2 5" xfId="14969"/>
    <cellStyle name="Normal 5 2 3" xfId="12368"/>
    <cellStyle name="Normal 5 2 4" xfId="1708"/>
    <cellStyle name="Normal 5 2 5" xfId="11423"/>
    <cellStyle name="Normal 5 2 6" xfId="12369"/>
    <cellStyle name="Normal 5 2 7" xfId="12366"/>
    <cellStyle name="Normal 5 3" xfId="5457"/>
    <cellStyle name="Normal 5 3 2" xfId="1707"/>
    <cellStyle name="Normal 5 3 3" xfId="11424"/>
    <cellStyle name="Normal 5 3 4" xfId="12371"/>
    <cellStyle name="Normal 5 3 5" xfId="12370"/>
    <cellStyle name="Normal 5 3 6" xfId="14970"/>
    <cellStyle name="Normal 5 4" xfId="5458"/>
    <cellStyle name="Normal 5 4 2" xfId="1706"/>
    <cellStyle name="Normal 5 4 3" xfId="12372"/>
    <cellStyle name="Normal 5 4 4" xfId="14971"/>
    <cellStyle name="Normal 5 5" xfId="5455"/>
    <cellStyle name="Normal 5 5 2" xfId="12373"/>
    <cellStyle name="Normal 5 5 3" xfId="11425"/>
    <cellStyle name="Normal 5 5 4" xfId="14968"/>
    <cellStyle name="Normal 5 6" xfId="12374"/>
    <cellStyle name="Normal 5 6 2" xfId="11426"/>
    <cellStyle name="Normal 5 7" xfId="12375"/>
    <cellStyle name="Normal 5 7 2" xfId="12376"/>
    <cellStyle name="Normal 5 8" xfId="11427"/>
    <cellStyle name="Normal 5 8 2" xfId="12377"/>
    <cellStyle name="Normal 5 9" xfId="12378"/>
    <cellStyle name="Normal 5 9 2" xfId="11428"/>
    <cellStyle name="Normal 50" xfId="12379"/>
    <cellStyle name="Normal 500" xfId="12380"/>
    <cellStyle name="Normal 501" xfId="11429"/>
    <cellStyle name="Normal 502" xfId="12381"/>
    <cellStyle name="Normal 503" xfId="12382"/>
    <cellStyle name="Normal 504" xfId="11430"/>
    <cellStyle name="Normal 505" xfId="12383"/>
    <cellStyle name="Normal 506" xfId="12384"/>
    <cellStyle name="Normal 507" xfId="11431"/>
    <cellStyle name="Normal 508" xfId="12385"/>
    <cellStyle name="Normal 509" xfId="12386"/>
    <cellStyle name="Normal 51" xfId="11432"/>
    <cellStyle name="Normal 510" xfId="12387"/>
    <cellStyle name="Normal 511" xfId="12388"/>
    <cellStyle name="Normal 512" xfId="11433"/>
    <cellStyle name="Normal 513" xfId="12389"/>
    <cellStyle name="Normal 514" xfId="12390"/>
    <cellStyle name="Normal 515" xfId="11434"/>
    <cellStyle name="Normal 516" xfId="12391"/>
    <cellStyle name="Normal 517" xfId="12392"/>
    <cellStyle name="Normal 518" xfId="1705"/>
    <cellStyle name="Normal 519" xfId="11435"/>
    <cellStyle name="Normal 52" xfId="12393"/>
    <cellStyle name="Normal 520" xfId="12394"/>
    <cellStyle name="Normal 521" xfId="1704"/>
    <cellStyle name="Normal 522" xfId="11436"/>
    <cellStyle name="Normal 523" xfId="12395"/>
    <cellStyle name="Normal 524" xfId="12396"/>
    <cellStyle name="Normal 525" xfId="1703"/>
    <cellStyle name="Normal 526" xfId="11437"/>
    <cellStyle name="Normal 527" xfId="12397"/>
    <cellStyle name="Normal 528" xfId="12398"/>
    <cellStyle name="Normal 529" xfId="1702"/>
    <cellStyle name="Normal 53" xfId="11438"/>
    <cellStyle name="Normal 530" xfId="12399"/>
    <cellStyle name="Normal 531" xfId="12400"/>
    <cellStyle name="Normal 532" xfId="10362"/>
    <cellStyle name="Normal 533" xfId="11439"/>
    <cellStyle name="Normal 534" xfId="12401"/>
    <cellStyle name="Normal 535" xfId="12402"/>
    <cellStyle name="Normal 536" xfId="11440"/>
    <cellStyle name="Normal 537" xfId="12403"/>
    <cellStyle name="Normal 538" xfId="12404"/>
    <cellStyle name="Normal 539" xfId="11441"/>
    <cellStyle name="Normal 54" xfId="12405"/>
    <cellStyle name="Normal 540" xfId="12406"/>
    <cellStyle name="Normal 541" xfId="11442"/>
    <cellStyle name="Normal 542" xfId="12407"/>
    <cellStyle name="Normal 543" xfId="12408"/>
    <cellStyle name="Normal 544" xfId="11443"/>
    <cellStyle name="Normal 545" xfId="12409"/>
    <cellStyle name="Normal 546" xfId="12410"/>
    <cellStyle name="Normal 547" xfId="11444"/>
    <cellStyle name="Normal 548" xfId="12411"/>
    <cellStyle name="Normal 549" xfId="12412"/>
    <cellStyle name="Normal 55" xfId="11445"/>
    <cellStyle name="Normal 550" xfId="12413"/>
    <cellStyle name="Normal 551" xfId="12414"/>
    <cellStyle name="Normal 552" xfId="11446"/>
    <cellStyle name="Normal 553" xfId="12415"/>
    <cellStyle name="Normal 554" xfId="12416"/>
    <cellStyle name="Normal 555" xfId="11447"/>
    <cellStyle name="Normal 556" xfId="12417"/>
    <cellStyle name="Normal 557" xfId="12418"/>
    <cellStyle name="Normal 558" xfId="11448"/>
    <cellStyle name="Normal 559" xfId="12419"/>
    <cellStyle name="Normal 56" xfId="12420"/>
    <cellStyle name="Normal 560" xfId="10363"/>
    <cellStyle name="Normal 561" xfId="11449"/>
    <cellStyle name="Normal 562" xfId="12421"/>
    <cellStyle name="Normal 563" xfId="12422"/>
    <cellStyle name="Normal 564" xfId="10364"/>
    <cellStyle name="Normal 565" xfId="11450"/>
    <cellStyle name="Normal 566" xfId="12423"/>
    <cellStyle name="Normal 567" xfId="12424"/>
    <cellStyle name="Normal 568" xfId="10365"/>
    <cellStyle name="Normal 569" xfId="11451"/>
    <cellStyle name="Normal 57" xfId="12425"/>
    <cellStyle name="Normal 570" xfId="12426"/>
    <cellStyle name="Normal 571" xfId="10366"/>
    <cellStyle name="Normal 572" xfId="11452"/>
    <cellStyle name="Normal 573" xfId="12427"/>
    <cellStyle name="Normal 574" xfId="12428"/>
    <cellStyle name="Normal 575" xfId="10367"/>
    <cellStyle name="Normal 576" xfId="11453"/>
    <cellStyle name="Normal 577" xfId="12429"/>
    <cellStyle name="Normal 578" xfId="12430"/>
    <cellStyle name="Normal 579" xfId="11454"/>
    <cellStyle name="Normal 58" xfId="12431"/>
    <cellStyle name="Normal 580" xfId="12432"/>
    <cellStyle name="Normal 581" xfId="11455"/>
    <cellStyle name="Normal 582" xfId="12433"/>
    <cellStyle name="Normal 583" xfId="12434"/>
    <cellStyle name="Normal 584" xfId="11456"/>
    <cellStyle name="Normal 585" xfId="12435"/>
    <cellStyle name="Normal 586" xfId="12436"/>
    <cellStyle name="Normal 587" xfId="11457"/>
    <cellStyle name="Normal 588" xfId="12437"/>
    <cellStyle name="Normal 589" xfId="12438"/>
    <cellStyle name="Normal 59" xfId="11458"/>
    <cellStyle name="Normal 590" xfId="12439"/>
    <cellStyle name="Normal 591" xfId="12440"/>
    <cellStyle name="Normal 592" xfId="11459"/>
    <cellStyle name="Normal 593" xfId="12441"/>
    <cellStyle name="Normal 594" xfId="12442"/>
    <cellStyle name="Normal 595" xfId="11460"/>
    <cellStyle name="Normal 596" xfId="12443"/>
    <cellStyle name="Normal 597" xfId="12444"/>
    <cellStyle name="Normal 598" xfId="11461"/>
    <cellStyle name="Normal 599" xfId="12445"/>
    <cellStyle name="Normal 6" xfId="1459"/>
    <cellStyle name="Normal 6 10" xfId="11462"/>
    <cellStyle name="Normal 6 10 2" xfId="12447"/>
    <cellStyle name="Normal 6 11" xfId="12448"/>
    <cellStyle name="Normal 6 11 2" xfId="10368"/>
    <cellStyle name="Normal 6 11 3" xfId="11463"/>
    <cellStyle name="Normal 6 11 4" xfId="12449"/>
    <cellStyle name="Normal 6 12" xfId="12450"/>
    <cellStyle name="Normal 6 12 2" xfId="10369"/>
    <cellStyle name="Normal 6 13" xfId="11464"/>
    <cellStyle name="Normal 6 14" xfId="12451"/>
    <cellStyle name="Normal 6 15" xfId="12446"/>
    <cellStyle name="Normal 6 2" xfId="5460"/>
    <cellStyle name="Normal 6 2 2" xfId="5461"/>
    <cellStyle name="Normal 6 2 2 2" xfId="1487"/>
    <cellStyle name="Normal 6 2 2 3" xfId="14974"/>
    <cellStyle name="Normal 6 2 3" xfId="5462"/>
    <cellStyle name="Normal 6 2 3 2" xfId="14975"/>
    <cellStyle name="Normal 6 2 4" xfId="5463"/>
    <cellStyle name="Normal 6 2 5" xfId="12452"/>
    <cellStyle name="Normal 6 2 6" xfId="14973"/>
    <cellStyle name="Normal 6 3" xfId="5464"/>
    <cellStyle name="Normal 6 3 2" xfId="5465"/>
    <cellStyle name="Normal 6 3 2 2" xfId="5466"/>
    <cellStyle name="Normal 6 3 2 2 2" xfId="14978"/>
    <cellStyle name="Normal 6 3 2 3" xfId="12453"/>
    <cellStyle name="Normal 6 3 2 4" xfId="14977"/>
    <cellStyle name="Normal 6 3 3" xfId="5467"/>
    <cellStyle name="Normal 6 3 3 2" xfId="14979"/>
    <cellStyle name="Normal 6 3 4" xfId="5468"/>
    <cellStyle name="Normal 6 3 5" xfId="11465"/>
    <cellStyle name="Normal 6 3 6" xfId="14976"/>
    <cellStyle name="Normal 6 4" xfId="5469"/>
    <cellStyle name="Normal 6 4 2" xfId="10370"/>
    <cellStyle name="Normal 6 4 3" xfId="12454"/>
    <cellStyle name="Normal 6 4 4" xfId="14980"/>
    <cellStyle name="Normal 6 5" xfId="5470"/>
    <cellStyle name="Normal 6 5 2" xfId="12455"/>
    <cellStyle name="Normal 6 5 3" xfId="11466"/>
    <cellStyle name="Normal 6 5 4" xfId="14981"/>
    <cellStyle name="Normal 6 6" xfId="5471"/>
    <cellStyle name="Normal 6 6 2" xfId="10371"/>
    <cellStyle name="Normal 6 6 3" xfId="12456"/>
    <cellStyle name="Normal 6 7" xfId="5472"/>
    <cellStyle name="Normal 6 7 2" xfId="12457"/>
    <cellStyle name="Normal 6 7 3" xfId="11467"/>
    <cellStyle name="Normal 6 7 4" xfId="14982"/>
    <cellStyle name="Normal 6 8" xfId="5473"/>
    <cellStyle name="Normal 6 8 2" xfId="11468"/>
    <cellStyle name="Normal 6 8 3" xfId="12458"/>
    <cellStyle name="Normal 6 9" xfId="5459"/>
    <cellStyle name="Normal 6 9 2" xfId="12460"/>
    <cellStyle name="Normal 6 9 3" xfId="12459"/>
    <cellStyle name="Normal 6 9 4" xfId="14972"/>
    <cellStyle name="Normal 60" xfId="11469"/>
    <cellStyle name="Normal 600" xfId="12461"/>
    <cellStyle name="Normal 601" xfId="12462"/>
    <cellStyle name="Normal 602" xfId="11470"/>
    <cellStyle name="Normal 603" xfId="12463"/>
    <cellStyle name="Normal 604" xfId="12464"/>
    <cellStyle name="Normal 605" xfId="11471"/>
    <cellStyle name="Normal 606" xfId="12465"/>
    <cellStyle name="Normal 607" xfId="12466"/>
    <cellStyle name="Normal 608" xfId="11472"/>
    <cellStyle name="Normal 609" xfId="12467"/>
    <cellStyle name="Normal 61" xfId="12468"/>
    <cellStyle name="Normal 610" xfId="11473"/>
    <cellStyle name="Normal 611" xfId="12469"/>
    <cellStyle name="Normal 612" xfId="12470"/>
    <cellStyle name="Normal 613" xfId="11474"/>
    <cellStyle name="Normal 614" xfId="12471"/>
    <cellStyle name="Normal 615" xfId="12472"/>
    <cellStyle name="Normal 616" xfId="11475"/>
    <cellStyle name="Normal 617" xfId="12473"/>
    <cellStyle name="Normal 618" xfId="12474"/>
    <cellStyle name="Normal 619" xfId="11476"/>
    <cellStyle name="Normal 62" xfId="12475"/>
    <cellStyle name="Normal 620" xfId="12476"/>
    <cellStyle name="Normal 621" xfId="10372"/>
    <cellStyle name="Normal 622" xfId="11477"/>
    <cellStyle name="Normal 623" xfId="12477"/>
    <cellStyle name="Normal 624" xfId="12478"/>
    <cellStyle name="Normal 625" xfId="1469"/>
    <cellStyle name="Normal 626" xfId="11478"/>
    <cellStyle name="Normal 627" xfId="12479"/>
    <cellStyle name="Normal 628" xfId="12480"/>
    <cellStyle name="Normal 629" xfId="10374"/>
    <cellStyle name="Normal 63" xfId="11479"/>
    <cellStyle name="Normal 630" xfId="12481"/>
    <cellStyle name="Normal 631" xfId="12482"/>
    <cellStyle name="Normal 632" xfId="10375"/>
    <cellStyle name="Normal 633" xfId="11480"/>
    <cellStyle name="Normal 634" xfId="12483"/>
    <cellStyle name="Normal 635" xfId="12484"/>
    <cellStyle name="Normal 636" xfId="10373"/>
    <cellStyle name="Normal 637" xfId="11481"/>
    <cellStyle name="Normal 638" xfId="12485"/>
    <cellStyle name="Normal 639" xfId="12486"/>
    <cellStyle name="Normal 64" xfId="11482"/>
    <cellStyle name="Normal 64 2" xfId="12487"/>
    <cellStyle name="Normal 640" xfId="12488"/>
    <cellStyle name="Normal 641" xfId="11483"/>
    <cellStyle name="Normal 642" xfId="12489"/>
    <cellStyle name="Normal 643" xfId="12490"/>
    <cellStyle name="Normal 644" xfId="11484"/>
    <cellStyle name="Normal 645" xfId="12491"/>
    <cellStyle name="Normal 646" xfId="12492"/>
    <cellStyle name="Normal 647" xfId="11485"/>
    <cellStyle name="Normal 648" xfId="12493"/>
    <cellStyle name="Normal 649" xfId="12494"/>
    <cellStyle name="Normal 65" xfId="11486"/>
    <cellStyle name="Normal 65 2" xfId="12495"/>
    <cellStyle name="Normal 650" xfId="12496"/>
    <cellStyle name="Normal 651" xfId="11487"/>
    <cellStyle name="Normal 652" xfId="12497"/>
    <cellStyle name="Normal 653" xfId="12498"/>
    <cellStyle name="Normal 654" xfId="11488"/>
    <cellStyle name="Normal 655" xfId="12499"/>
    <cellStyle name="Normal 656" xfId="12500"/>
    <cellStyle name="Normal 657" xfId="11489"/>
    <cellStyle name="Normal 658" xfId="12501"/>
    <cellStyle name="Normal 659" xfId="12502"/>
    <cellStyle name="Normal 66" xfId="11490"/>
    <cellStyle name="Normal 660" xfId="12503"/>
    <cellStyle name="Normal 661" xfId="12504"/>
    <cellStyle name="Normal 662" xfId="1476"/>
    <cellStyle name="Normal 663" xfId="11491"/>
    <cellStyle name="Normal 664" xfId="12505"/>
    <cellStyle name="Normal 665" xfId="12506"/>
    <cellStyle name="Normal 666" xfId="10376"/>
    <cellStyle name="Normal 667" xfId="11492"/>
    <cellStyle name="Normal 668" xfId="12507"/>
    <cellStyle name="Normal 669" xfId="12508"/>
    <cellStyle name="Normal 67" xfId="10377"/>
    <cellStyle name="Normal 670" xfId="11493"/>
    <cellStyle name="Normal 671" xfId="12509"/>
    <cellStyle name="Normal 672" xfId="12510"/>
    <cellStyle name="Normal 673" xfId="10378"/>
    <cellStyle name="Normal 674" xfId="11494"/>
    <cellStyle name="Normal 675" xfId="12511"/>
    <cellStyle name="Normal 676" xfId="12512"/>
    <cellStyle name="Normal 677" xfId="10379"/>
    <cellStyle name="Normal 678" xfId="11495"/>
    <cellStyle name="Normal 679" xfId="12513"/>
    <cellStyle name="Normal 68" xfId="12514"/>
    <cellStyle name="Normal 68 2" xfId="11496"/>
    <cellStyle name="Normal 680" xfId="12515"/>
    <cellStyle name="Normal 681" xfId="12516"/>
    <cellStyle name="Normal 682" xfId="11497"/>
    <cellStyle name="Normal 683" xfId="12517"/>
    <cellStyle name="Normal 684" xfId="12518"/>
    <cellStyle name="Normal 685" xfId="11498"/>
    <cellStyle name="Normal 686" xfId="12519"/>
    <cellStyle name="Normal 687" xfId="12520"/>
    <cellStyle name="Normal 688" xfId="11499"/>
    <cellStyle name="Normal 689" xfId="12521"/>
    <cellStyle name="Normal 69" xfId="12522"/>
    <cellStyle name="Normal 69 2" xfId="11500"/>
    <cellStyle name="Normal 690" xfId="12523"/>
    <cellStyle name="Normal 691" xfId="12524"/>
    <cellStyle name="Normal 692" xfId="11501"/>
    <cellStyle name="Normal 693" xfId="12525"/>
    <cellStyle name="Normal 694" xfId="12526"/>
    <cellStyle name="Normal 695" xfId="10380"/>
    <cellStyle name="Normal 696" xfId="10381"/>
    <cellStyle name="Normal 697" xfId="10382"/>
    <cellStyle name="Normal 698" xfId="10383"/>
    <cellStyle name="Normal 699" xfId="11502"/>
    <cellStyle name="Normal 7" xfId="1442"/>
    <cellStyle name="Normal 7 10" xfId="12527"/>
    <cellStyle name="Normal 7 10 2" xfId="11503"/>
    <cellStyle name="Normal 7 11" xfId="12528"/>
    <cellStyle name="Normal 7 11 2" xfId="12529"/>
    <cellStyle name="Normal 7 11 3" xfId="11504"/>
    <cellStyle name="Normal 7 11 4" xfId="12530"/>
    <cellStyle name="Normal 7 12" xfId="12531"/>
    <cellStyle name="Normal 7 13" xfId="10384"/>
    <cellStyle name="Normal 7 14" xfId="11505"/>
    <cellStyle name="Normal 7 15" xfId="15071"/>
    <cellStyle name="Normal 7 16" xfId="15098"/>
    <cellStyle name="Normal 7 2" xfId="3106"/>
    <cellStyle name="Normal 7 2 2" xfId="5476"/>
    <cellStyle name="Normal 7 2 2 2" xfId="12532"/>
    <cellStyle name="Normal 7 2 2 3" xfId="14985"/>
    <cellStyle name="Normal 7 2 3" xfId="5477"/>
    <cellStyle name="Normal 7 2 3 2" xfId="1701"/>
    <cellStyle name="Normal 7 2 3 3" xfId="14986"/>
    <cellStyle name="Normal 7 2 4" xfId="5478"/>
    <cellStyle name="Normal 7 2 4 2" xfId="14987"/>
    <cellStyle name="Normal 7 2 5" xfId="5475"/>
    <cellStyle name="Normal 7 2 5 2" xfId="14984"/>
    <cellStyle name="Normal 7 2 6" xfId="15174"/>
    <cellStyle name="Normal 7 3" xfId="3107"/>
    <cellStyle name="Normal 7 3 2" xfId="3108"/>
    <cellStyle name="Normal 7 3 2 2" xfId="3109"/>
    <cellStyle name="Normal 7 3 3" xfId="5479"/>
    <cellStyle name="Normal 7 3 3 2" xfId="10386"/>
    <cellStyle name="Normal 7 3 3 3" xfId="14988"/>
    <cellStyle name="Normal 7 4" xfId="3110"/>
    <cellStyle name="Normal 7 4 2" xfId="5480"/>
    <cellStyle name="Normal 7 4 2 2" xfId="12533"/>
    <cellStyle name="Normal 7 5" xfId="5481"/>
    <cellStyle name="Normal 7 5 2" xfId="1700"/>
    <cellStyle name="Normal 7 5 3" xfId="12534"/>
    <cellStyle name="Normal 7 5 4" xfId="14989"/>
    <cellStyle name="Normal 7 6" xfId="5482"/>
    <cellStyle name="Normal 7 6 2" xfId="12535"/>
    <cellStyle name="Normal 7 6 3" xfId="11506"/>
    <cellStyle name="Normal 7 7" xfId="5474"/>
    <cellStyle name="Normal 7 7 2" xfId="1699"/>
    <cellStyle name="Normal 7 7 3" xfId="12536"/>
    <cellStyle name="Normal 7 7 4" xfId="14983"/>
    <cellStyle name="Normal 7 8" xfId="11507"/>
    <cellStyle name="Normal 7 8 2" xfId="12537"/>
    <cellStyle name="Normal 7 9" xfId="12538"/>
    <cellStyle name="Normal 7 9 2" xfId="11508"/>
    <cellStyle name="Normal 7_ISR-TMJ Weekly Report v3.5" xfId="5483"/>
    <cellStyle name="Normal 70" xfId="12539"/>
    <cellStyle name="Normal 70 2" xfId="12540"/>
    <cellStyle name="Normal 700" xfId="11509"/>
    <cellStyle name="Normal 701" xfId="12541"/>
    <cellStyle name="Normal 702" xfId="12542"/>
    <cellStyle name="Normal 703" xfId="11510"/>
    <cellStyle name="Normal 704" xfId="12543"/>
    <cellStyle name="Normal 705" xfId="12544"/>
    <cellStyle name="Normal 706" xfId="11511"/>
    <cellStyle name="Normal 707" xfId="12545"/>
    <cellStyle name="Normal 708" xfId="12546"/>
    <cellStyle name="Normal 709" xfId="11512"/>
    <cellStyle name="Normal 71" xfId="12547"/>
    <cellStyle name="Normal 710" xfId="12548"/>
    <cellStyle name="Normal 711" xfId="11513"/>
    <cellStyle name="Normal 712" xfId="12549"/>
    <cellStyle name="Normal 713" xfId="12550"/>
    <cellStyle name="Normal 714" xfId="11514"/>
    <cellStyle name="Normal 715" xfId="12551"/>
    <cellStyle name="Normal 716" xfId="12552"/>
    <cellStyle name="Normal 717" xfId="11515"/>
    <cellStyle name="Normal 718" xfId="12553"/>
    <cellStyle name="Normal 719" xfId="12554"/>
    <cellStyle name="Normal 72" xfId="11516"/>
    <cellStyle name="Normal 720" xfId="12555"/>
    <cellStyle name="Normal 721" xfId="12556"/>
    <cellStyle name="Normal 722" xfId="1698"/>
    <cellStyle name="Normal 723" xfId="11517"/>
    <cellStyle name="Normal 724" xfId="12557"/>
    <cellStyle name="Normal 725" xfId="12558"/>
    <cellStyle name="Normal 726" xfId="1697"/>
    <cellStyle name="Normal 727" xfId="11518"/>
    <cellStyle name="Normal 728" xfId="12559"/>
    <cellStyle name="Normal 729" xfId="12560"/>
    <cellStyle name="Normal 73" xfId="1696"/>
    <cellStyle name="Normal 730" xfId="11519"/>
    <cellStyle name="Normal 731" xfId="12561"/>
    <cellStyle name="Normal 732" xfId="12562"/>
    <cellStyle name="Normal 733" xfId="10387"/>
    <cellStyle name="Normal 734" xfId="11520"/>
    <cellStyle name="Normal 735" xfId="12563"/>
    <cellStyle name="Normal 736" xfId="12564"/>
    <cellStyle name="Normal 737" xfId="10388"/>
    <cellStyle name="Normal 738" xfId="11521"/>
    <cellStyle name="Normal 739" xfId="12565"/>
    <cellStyle name="Normal 74" xfId="12566"/>
    <cellStyle name="Normal 740" xfId="11522"/>
    <cellStyle name="Normal 741" xfId="12567"/>
    <cellStyle name="Normal 742" xfId="12568"/>
    <cellStyle name="Normal 743" xfId="11523"/>
    <cellStyle name="Normal 744" xfId="12569"/>
    <cellStyle name="Normal 745" xfId="12570"/>
    <cellStyle name="Normal 746" xfId="11524"/>
    <cellStyle name="Normal 747" xfId="12571"/>
    <cellStyle name="Normal 748" xfId="12572"/>
    <cellStyle name="Normal 749" xfId="11525"/>
    <cellStyle name="Normal 75" xfId="12573"/>
    <cellStyle name="Normal 750" xfId="12574"/>
    <cellStyle name="Normal 751" xfId="11526"/>
    <cellStyle name="Normal 752" xfId="12575"/>
    <cellStyle name="Normal 753" xfId="12576"/>
    <cellStyle name="Normal 754" xfId="11527"/>
    <cellStyle name="Normal 755" xfId="12577"/>
    <cellStyle name="Normal 756" xfId="12578"/>
    <cellStyle name="Normal 757" xfId="11528"/>
    <cellStyle name="Normal 758" xfId="12579"/>
    <cellStyle name="Normal 759" xfId="12580"/>
    <cellStyle name="Normal 76" xfId="11529"/>
    <cellStyle name="Normal 760" xfId="12581"/>
    <cellStyle name="Normal 761" xfId="12582"/>
    <cellStyle name="Normal 762" xfId="11530"/>
    <cellStyle name="Normal 763" xfId="12583"/>
    <cellStyle name="Normal 764" xfId="12584"/>
    <cellStyle name="Normal 765" xfId="10389"/>
    <cellStyle name="Normal 766" xfId="11531"/>
    <cellStyle name="Normal 767" xfId="12585"/>
    <cellStyle name="Normal 768" xfId="12586"/>
    <cellStyle name="Normal 769" xfId="10390"/>
    <cellStyle name="Normal 77" xfId="11532"/>
    <cellStyle name="Normal 770" xfId="12587"/>
    <cellStyle name="Normal 771" xfId="12588"/>
    <cellStyle name="Normal 772" xfId="10391"/>
    <cellStyle name="Normal 773" xfId="11533"/>
    <cellStyle name="Normal 774" xfId="12589"/>
    <cellStyle name="Normal 775" xfId="12590"/>
    <cellStyle name="Normal 776" xfId="10392"/>
    <cellStyle name="Normal 777" xfId="11534"/>
    <cellStyle name="Normal 778" xfId="12591"/>
    <cellStyle name="Normal 779" xfId="12592"/>
    <cellStyle name="Normal 78" xfId="10393"/>
    <cellStyle name="Normal 780" xfId="11535"/>
    <cellStyle name="Normal 781" xfId="12593"/>
    <cellStyle name="Normal 782" xfId="12594"/>
    <cellStyle name="Normal 783" xfId="11536"/>
    <cellStyle name="Normal 784" xfId="12595"/>
    <cellStyle name="Normal 785" xfId="12596"/>
    <cellStyle name="Normal 786" xfId="11537"/>
    <cellStyle name="Normal 787" xfId="12597"/>
    <cellStyle name="Normal 788" xfId="12598"/>
    <cellStyle name="Normal 789" xfId="11538"/>
    <cellStyle name="Normal 79" xfId="12599"/>
    <cellStyle name="Normal 790" xfId="12600"/>
    <cellStyle name="Normal 791" xfId="11539"/>
    <cellStyle name="Normal 792" xfId="12601"/>
    <cellStyle name="Normal 793" xfId="12602"/>
    <cellStyle name="Normal 794" xfId="11540"/>
    <cellStyle name="Normal 795" xfId="12603"/>
    <cellStyle name="Normal 796" xfId="12604"/>
    <cellStyle name="Normal 797" xfId="11541"/>
    <cellStyle name="Normal 798" xfId="12605"/>
    <cellStyle name="Normal 799" xfId="12606"/>
    <cellStyle name="Normal 8" xfId="1464"/>
    <cellStyle name="Normal 8 2" xfId="3111"/>
    <cellStyle name="Normal 8 2 2" xfId="3112"/>
    <cellStyle name="Normal 8 2 2 2" xfId="11542"/>
    <cellStyle name="Normal 8 2 3" xfId="5484"/>
    <cellStyle name="Normal 8 2 3 2" xfId="12608"/>
    <cellStyle name="Normal 8 2 3 3" xfId="11543"/>
    <cellStyle name="Normal 8 2 3 4" xfId="12607"/>
    <cellStyle name="Normal 8 2 3 5" xfId="14990"/>
    <cellStyle name="Normal 8 2 4" xfId="12609"/>
    <cellStyle name="Normal 8 3" xfId="3113"/>
    <cellStyle name="Normal 8 3 2" xfId="5485"/>
    <cellStyle name="Normal 8 3 2 2" xfId="10394"/>
    <cellStyle name="Normal 8 4" xfId="5486"/>
    <cellStyle name="Normal 8 5" xfId="5487"/>
    <cellStyle name="Normal 8 5 2" xfId="12610"/>
    <cellStyle name="Normal 8 5 3" xfId="14991"/>
    <cellStyle name="Normal 8 6" xfId="12611"/>
    <cellStyle name="Normal 80" xfId="10395"/>
    <cellStyle name="Normal 800" xfId="11544"/>
    <cellStyle name="Normal 801" xfId="12612"/>
    <cellStyle name="Normal 802" xfId="12613"/>
    <cellStyle name="Normal 803" xfId="10396"/>
    <cellStyle name="Normal 804" xfId="11545"/>
    <cellStyle name="Normal 805" xfId="12614"/>
    <cellStyle name="Normal 806" xfId="12615"/>
    <cellStyle name="Normal 807" xfId="10397"/>
    <cellStyle name="Normal 808" xfId="11546"/>
    <cellStyle name="Normal 809" xfId="12616"/>
    <cellStyle name="Normal 81" xfId="12617"/>
    <cellStyle name="Normal 810" xfId="10398"/>
    <cellStyle name="Normal 811" xfId="11547"/>
    <cellStyle name="Normal 812" xfId="12618"/>
    <cellStyle name="Normal 813" xfId="12619"/>
    <cellStyle name="Normal 814" xfId="11548"/>
    <cellStyle name="Normal 815" xfId="12620"/>
    <cellStyle name="Normal 816" xfId="12621"/>
    <cellStyle name="Normal 817" xfId="11549"/>
    <cellStyle name="Normal 818" xfId="12622"/>
    <cellStyle name="Normal 819" xfId="12623"/>
    <cellStyle name="Normal 82" xfId="11550"/>
    <cellStyle name="Normal 820" xfId="12624"/>
    <cellStyle name="Normal 821" xfId="12625"/>
    <cellStyle name="Normal 822" xfId="11551"/>
    <cellStyle name="Normal 823" xfId="12626"/>
    <cellStyle name="Normal 824" xfId="12627"/>
    <cellStyle name="Normal 825" xfId="11552"/>
    <cellStyle name="Normal 826" xfId="12628"/>
    <cellStyle name="Normal 827" xfId="12629"/>
    <cellStyle name="Normal 828" xfId="11553"/>
    <cellStyle name="Normal 829" xfId="12630"/>
    <cellStyle name="Normal 83" xfId="12631"/>
    <cellStyle name="Normal 83 2" xfId="11554"/>
    <cellStyle name="Normal 830" xfId="12632"/>
    <cellStyle name="Normal 831" xfId="12633"/>
    <cellStyle name="Normal 832" xfId="11555"/>
    <cellStyle name="Normal 833" xfId="12634"/>
    <cellStyle name="Normal 834" xfId="12635"/>
    <cellStyle name="Normal 835" xfId="11556"/>
    <cellStyle name="Normal 836" xfId="12636"/>
    <cellStyle name="Normal 837" xfId="12637"/>
    <cellStyle name="Normal 838" xfId="10399"/>
    <cellStyle name="Normal 839" xfId="11557"/>
    <cellStyle name="Normal 84" xfId="12638"/>
    <cellStyle name="Normal 84 2" xfId="12639"/>
    <cellStyle name="Normal 840" xfId="10400"/>
    <cellStyle name="Normal 841" xfId="11558"/>
    <cellStyle name="Normal 842" xfId="12640"/>
    <cellStyle name="Normal 843" xfId="12641"/>
    <cellStyle name="Normal 844" xfId="10401"/>
    <cellStyle name="Normal 845" xfId="11559"/>
    <cellStyle name="Normal 846" xfId="12642"/>
    <cellStyle name="Normal 847" xfId="12643"/>
    <cellStyle name="Normal 848" xfId="10402"/>
    <cellStyle name="Normal 849" xfId="11560"/>
    <cellStyle name="Normal 85" xfId="12644"/>
    <cellStyle name="Normal 85 2" xfId="12645"/>
    <cellStyle name="Normal 850" xfId="10403"/>
    <cellStyle name="Normal 851" xfId="11561"/>
    <cellStyle name="Normal 852" xfId="12646"/>
    <cellStyle name="Normal 853" xfId="12647"/>
    <cellStyle name="Normal 854" xfId="11562"/>
    <cellStyle name="Normal 855" xfId="12648"/>
    <cellStyle name="Normal 856" xfId="12649"/>
    <cellStyle name="Normal 857" xfId="11563"/>
    <cellStyle name="Normal 858" xfId="12650"/>
    <cellStyle name="Normal 859" xfId="12651"/>
    <cellStyle name="Normal 86" xfId="11564"/>
    <cellStyle name="Normal 86 2" xfId="12652"/>
    <cellStyle name="Normal 860" xfId="12653"/>
    <cellStyle name="Normal 861" xfId="11565"/>
    <cellStyle name="Normal 862" xfId="12654"/>
    <cellStyle name="Normal 863" xfId="12655"/>
    <cellStyle name="Normal 864" xfId="11566"/>
    <cellStyle name="Normal 865" xfId="12656"/>
    <cellStyle name="Normal 866" xfId="12657"/>
    <cellStyle name="Normal 867" xfId="11567"/>
    <cellStyle name="Normal 868" xfId="12658"/>
    <cellStyle name="Normal 869" xfId="12659"/>
    <cellStyle name="Normal 87" xfId="11568"/>
    <cellStyle name="Normal 87 2" xfId="12660"/>
    <cellStyle name="Normal 870" xfId="12661"/>
    <cellStyle name="Normal 871" xfId="11569"/>
    <cellStyle name="Normal 872" xfId="12662"/>
    <cellStyle name="Normal 873" xfId="12663"/>
    <cellStyle name="Normal 874" xfId="11570"/>
    <cellStyle name="Normal 875" xfId="12664"/>
    <cellStyle name="Normal 876" xfId="12665"/>
    <cellStyle name="Normal 877" xfId="10404"/>
    <cellStyle name="Normal 878" xfId="11571"/>
    <cellStyle name="Normal 879" xfId="11782"/>
    <cellStyle name="Normal 88" xfId="12666"/>
    <cellStyle name="Normal 88 2" xfId="12667"/>
    <cellStyle name="Normal 880" xfId="8909"/>
    <cellStyle name="Normal 881" xfId="14848"/>
    <cellStyle name="Normal 882" xfId="2116"/>
    <cellStyle name="Normal 883" xfId="14858"/>
    <cellStyle name="Normal 883 2" xfId="15030"/>
    <cellStyle name="Normal 884" xfId="14860"/>
    <cellStyle name="Normal 884 2" xfId="15031"/>
    <cellStyle name="Normal 885" xfId="14862"/>
    <cellStyle name="Normal 885 2" xfId="15032"/>
    <cellStyle name="Normal 886" xfId="14864"/>
    <cellStyle name="Normal 886 2" xfId="15033"/>
    <cellStyle name="Normal 887" xfId="14866"/>
    <cellStyle name="Normal 888" xfId="14868"/>
    <cellStyle name="Normal 889" xfId="14871"/>
    <cellStyle name="Normal 89" xfId="10405"/>
    <cellStyle name="Normal 89 2" xfId="11572"/>
    <cellStyle name="Normal 890" xfId="15034"/>
    <cellStyle name="Normal 891" xfId="14870"/>
    <cellStyle name="Normal 891 2" xfId="15050"/>
    <cellStyle name="Normal 892" xfId="14873"/>
    <cellStyle name="Normal 892 2" xfId="15051"/>
    <cellStyle name="Normal 893" xfId="15044"/>
    <cellStyle name="Normal 894" xfId="15043"/>
    <cellStyle name="Normal 895" xfId="15056"/>
    <cellStyle name="Normal 896" xfId="15058"/>
    <cellStyle name="Normal 897" xfId="15060"/>
    <cellStyle name="Normal 898" xfId="15062"/>
    <cellStyle name="Normal 899" xfId="15080"/>
    <cellStyle name="Normal 9" xfId="5488"/>
    <cellStyle name="Normal 9 2" xfId="5489"/>
    <cellStyle name="Normal 9 3" xfId="5490"/>
    <cellStyle name="Normal 9 3 2" xfId="10406"/>
    <cellStyle name="Normal 9 3 3" xfId="14992"/>
    <cellStyle name="Normal 9 4" xfId="11573"/>
    <cellStyle name="Normal 90" xfId="12668"/>
    <cellStyle name="Normal 90 2" xfId="12669"/>
    <cellStyle name="Normal 900" xfId="15083"/>
    <cellStyle name="Normal 901" xfId="15085"/>
    <cellStyle name="Normal 902" xfId="15111"/>
    <cellStyle name="Normal 903" xfId="15121"/>
    <cellStyle name="Normal 904" xfId="15122"/>
    <cellStyle name="Normal 905" xfId="15123"/>
    <cellStyle name="Normal 906" xfId="15124"/>
    <cellStyle name="Normal 907" xfId="15125"/>
    <cellStyle name="Normal 91" xfId="10407"/>
    <cellStyle name="Normal 91 2" xfId="11574"/>
    <cellStyle name="Normal 92" xfId="12670"/>
    <cellStyle name="Normal 92 2" xfId="12671"/>
    <cellStyle name="Normal 93" xfId="10408"/>
    <cellStyle name="Normal 93 2" xfId="11575"/>
    <cellStyle name="Normal 94" xfId="12672"/>
    <cellStyle name="Normal 94 2" xfId="12673"/>
    <cellStyle name="Normal 95" xfId="11576"/>
    <cellStyle name="Normal 95 2" xfId="12674"/>
    <cellStyle name="Normal 96" xfId="12675"/>
    <cellStyle name="Normal 96 2" xfId="11577"/>
    <cellStyle name="Normal 97" xfId="12676"/>
    <cellStyle name="Normal 98" xfId="12677"/>
    <cellStyle name="Normal 98 2" xfId="11578"/>
    <cellStyle name="Normal 99" xfId="12678"/>
    <cellStyle name="Normal 99 2" xfId="12679"/>
    <cellStyle name="Normal1" xfId="5491"/>
    <cellStyle name="Normal2" xfId="5492"/>
    <cellStyle name="Normal3" xfId="5493"/>
    <cellStyle name="NormalGB" xfId="11579"/>
    <cellStyle name="Note 10" xfId="1138"/>
    <cellStyle name="note 10 10" xfId="12681"/>
    <cellStyle name="Note 10 11" xfId="12680"/>
    <cellStyle name="Note 10 2" xfId="1139"/>
    <cellStyle name="Note 10 2 2" xfId="12682"/>
    <cellStyle name="Note 10 2 3" xfId="11580"/>
    <cellStyle name="Note 10 3" xfId="3018"/>
    <cellStyle name="Note 10 3 2" xfId="11581"/>
    <cellStyle name="Note 10 3 3" xfId="12683"/>
    <cellStyle name="Note 10 4" xfId="12684"/>
    <cellStyle name="note 10 4 2" xfId="12685"/>
    <cellStyle name="note 10 5" xfId="11582"/>
    <cellStyle name="note 10 6" xfId="12686"/>
    <cellStyle name="note 10 7" xfId="12687"/>
    <cellStyle name="note 10 8" xfId="11583"/>
    <cellStyle name="note 10 9" xfId="12688"/>
    <cellStyle name="Note 10_Sheet1" xfId="12689"/>
    <cellStyle name="Note 100" xfId="11584"/>
    <cellStyle name="Note 101" xfId="12690"/>
    <cellStyle name="Note 102" xfId="12691"/>
    <cellStyle name="Note 103" xfId="10409"/>
    <cellStyle name="note 103 2" xfId="11585"/>
    <cellStyle name="Note 104" xfId="12692"/>
    <cellStyle name="note 104 2" xfId="12693"/>
    <cellStyle name="Note 105" xfId="10410"/>
    <cellStyle name="note 105 2" xfId="11586"/>
    <cellStyle name="Note 106" xfId="12694"/>
    <cellStyle name="note 106 2" xfId="12695"/>
    <cellStyle name="Note 107" xfId="10411"/>
    <cellStyle name="note 107 2" xfId="11587"/>
    <cellStyle name="Note 108" xfId="12696"/>
    <cellStyle name="note 108 2" xfId="12697"/>
    <cellStyle name="Note 109" xfId="10412"/>
    <cellStyle name="note 109 2" xfId="11588"/>
    <cellStyle name="Note 11" xfId="1140"/>
    <cellStyle name="note 11 10" xfId="12699"/>
    <cellStyle name="Note 11 11" xfId="12698"/>
    <cellStyle name="Note 11 2" xfId="1141"/>
    <cellStyle name="Note 11 2 2" xfId="11589"/>
    <cellStyle name="Note 11 2 3" xfId="10413"/>
    <cellStyle name="Note 11 3" xfId="3019"/>
    <cellStyle name="Note 11 3 2" xfId="12701"/>
    <cellStyle name="Note 11 3 3" xfId="12700"/>
    <cellStyle name="Note 11 4" xfId="11590"/>
    <cellStyle name="note 11 4 2" xfId="12702"/>
    <cellStyle name="note 11 5" xfId="12703"/>
    <cellStyle name="note 11 6" xfId="11591"/>
    <cellStyle name="note 11 7" xfId="12704"/>
    <cellStyle name="note 11 8" xfId="12705"/>
    <cellStyle name="note 11 9" xfId="11592"/>
    <cellStyle name="Note 11_Sheet1" xfId="12706"/>
    <cellStyle name="Note 110" xfId="12707"/>
    <cellStyle name="note 110 2" xfId="11593"/>
    <cellStyle name="Note 111" xfId="12708"/>
    <cellStyle name="note 111 2" xfId="12709"/>
    <cellStyle name="Note 112" xfId="11594"/>
    <cellStyle name="note 112 2" xfId="12710"/>
    <cellStyle name="Note 113" xfId="12711"/>
    <cellStyle name="note 113 2" xfId="11595"/>
    <cellStyle name="Note 114" xfId="12712"/>
    <cellStyle name="note 114 2" xfId="12713"/>
    <cellStyle name="Note 115" xfId="11596"/>
    <cellStyle name="note 115 2" xfId="12714"/>
    <cellStyle name="Note 116" xfId="12715"/>
    <cellStyle name="note 116 2" xfId="11597"/>
    <cellStyle name="Note 117" xfId="12716"/>
    <cellStyle name="note 117 2" xfId="12717"/>
    <cellStyle name="Note 118" xfId="11598"/>
    <cellStyle name="note 118 2" xfId="12718"/>
    <cellStyle name="Note 119" xfId="12719"/>
    <cellStyle name="note 119 2" xfId="10414"/>
    <cellStyle name="Note 12" xfId="1142"/>
    <cellStyle name="note 12 10" xfId="12720"/>
    <cellStyle name="Note 12 11" xfId="11599"/>
    <cellStyle name="Note 12 2" xfId="1143"/>
    <cellStyle name="Note 12 2 2" xfId="10415"/>
    <cellStyle name="Note 12 2 3" xfId="12721"/>
    <cellStyle name="Note 12 3" xfId="3020"/>
    <cellStyle name="Note 12 3 2" xfId="12722"/>
    <cellStyle name="Note 12 3 3" xfId="11600"/>
    <cellStyle name="Note 12 4" xfId="12723"/>
    <cellStyle name="note 12 4 2" xfId="10416"/>
    <cellStyle name="note 12 5" xfId="11601"/>
    <cellStyle name="note 12 6" xfId="12724"/>
    <cellStyle name="note 12 7" xfId="12725"/>
    <cellStyle name="note 12 8" xfId="10417"/>
    <cellStyle name="note 12 9" xfId="11602"/>
    <cellStyle name="Note 12_Sheet1" xfId="12726"/>
    <cellStyle name="Note 120" xfId="12727"/>
    <cellStyle name="note 120 2" xfId="10418"/>
    <cellStyle name="Note 121" xfId="11603"/>
    <cellStyle name="note 121 2" xfId="12728"/>
    <cellStyle name="Note 122" xfId="12729"/>
    <cellStyle name="note 122 2" xfId="11604"/>
    <cellStyle name="Note 123" xfId="12730"/>
    <cellStyle name="note 123 2" xfId="12731"/>
    <cellStyle name="Note 124" xfId="11605"/>
    <cellStyle name="note 124 2" xfId="12732"/>
    <cellStyle name="Note 125" xfId="12733"/>
    <cellStyle name="note 125 2" xfId="11606"/>
    <cellStyle name="Note 126" xfId="12734"/>
    <cellStyle name="note 126 2" xfId="12735"/>
    <cellStyle name="Note 127" xfId="11607"/>
    <cellStyle name="note 127 2" xfId="12736"/>
    <cellStyle name="Note 128" xfId="12737"/>
    <cellStyle name="note 128 2" xfId="11608"/>
    <cellStyle name="Note 129" xfId="12738"/>
    <cellStyle name="Note 129 2" xfId="12739"/>
    <cellStyle name="Note 13" xfId="1144"/>
    <cellStyle name="note 13 10" xfId="12740"/>
    <cellStyle name="Note 13 11" xfId="11609"/>
    <cellStyle name="Note 13 2" xfId="1145"/>
    <cellStyle name="Note 13 2 2" xfId="11610"/>
    <cellStyle name="Note 13 2 3" xfId="12741"/>
    <cellStyle name="Note 13 3" xfId="3021"/>
    <cellStyle name="Note 13 3 2" xfId="12743"/>
    <cellStyle name="Note 13 3 3" xfId="12742"/>
    <cellStyle name="Note 13 4" xfId="11611"/>
    <cellStyle name="note 13 4 2" xfId="12744"/>
    <cellStyle name="note 13 5" xfId="12745"/>
    <cellStyle name="note 13 6" xfId="11612"/>
    <cellStyle name="note 13 7" xfId="12746"/>
    <cellStyle name="note 13 8" xfId="12747"/>
    <cellStyle name="note 13 9" xfId="10419"/>
    <cellStyle name="Note 13_Sheet1" xfId="11613"/>
    <cellStyle name="Note 130" xfId="12748"/>
    <cellStyle name="note 130 2" xfId="12749"/>
    <cellStyle name="Note 131" xfId="10420"/>
    <cellStyle name="note 131 2" xfId="11614"/>
    <cellStyle name="Note 132" xfId="12750"/>
    <cellStyle name="Note 132 2" xfId="12751"/>
    <cellStyle name="Note 133" xfId="10421"/>
    <cellStyle name="note 133 2" xfId="11615"/>
    <cellStyle name="Note 134" xfId="12752"/>
    <cellStyle name="note 134 2" xfId="12753"/>
    <cellStyle name="Note 135" xfId="10422"/>
    <cellStyle name="note 135 2" xfId="11616"/>
    <cellStyle name="Note 136" xfId="12754"/>
    <cellStyle name="note 136 2" xfId="12755"/>
    <cellStyle name="Note 137" xfId="10423"/>
    <cellStyle name="note 137 2" xfId="11617"/>
    <cellStyle name="Note 138" xfId="12756"/>
    <cellStyle name="note 138 2" xfId="12757"/>
    <cellStyle name="note 139" xfId="11618"/>
    <cellStyle name="Note 14" xfId="1146"/>
    <cellStyle name="note 14 10" xfId="12759"/>
    <cellStyle name="Note 14 11" xfId="12758"/>
    <cellStyle name="Note 14 2" xfId="1147"/>
    <cellStyle name="Note 14 2 2" xfId="12760"/>
    <cellStyle name="Note 14 2 3" xfId="11619"/>
    <cellStyle name="Note 14 3" xfId="3022"/>
    <cellStyle name="Note 14 3 2" xfId="11620"/>
    <cellStyle name="Note 14 3 3" xfId="12761"/>
    <cellStyle name="Note 14 4" xfId="12762"/>
    <cellStyle name="note 14 4 2" xfId="12763"/>
    <cellStyle name="note 14 5" xfId="11621"/>
    <cellStyle name="note 14 6" xfId="12764"/>
    <cellStyle name="note 14 7" xfId="12765"/>
    <cellStyle name="note 14 8" xfId="11622"/>
    <cellStyle name="note 14 9" xfId="12766"/>
    <cellStyle name="Note 14_Sheet1" xfId="12767"/>
    <cellStyle name="note 140" xfId="11623"/>
    <cellStyle name="note 141" xfId="12768"/>
    <cellStyle name="Note 142" xfId="12769"/>
    <cellStyle name="note 143" xfId="11624"/>
    <cellStyle name="note 144" xfId="12770"/>
    <cellStyle name="note 145" xfId="12771"/>
    <cellStyle name="note 146" xfId="11625"/>
    <cellStyle name="note 147" xfId="12772"/>
    <cellStyle name="note 148" xfId="12773"/>
    <cellStyle name="note 149" xfId="11626"/>
    <cellStyle name="Note 15" xfId="1148"/>
    <cellStyle name="note 15 10" xfId="12775"/>
    <cellStyle name="Note 15 11" xfId="12774"/>
    <cellStyle name="Note 15 2" xfId="1149"/>
    <cellStyle name="Note 15 2 2" xfId="11627"/>
    <cellStyle name="Note 15 2 3" xfId="10424"/>
    <cellStyle name="Note 15 3" xfId="3023"/>
    <cellStyle name="Note 15 3 2" xfId="12777"/>
    <cellStyle name="Note 15 3 3" xfId="12776"/>
    <cellStyle name="Note 15 4" xfId="10425"/>
    <cellStyle name="note 15 4 2" xfId="11628"/>
    <cellStyle name="note 15 5" xfId="12778"/>
    <cellStyle name="note 15 6" xfId="12779"/>
    <cellStyle name="note 15 7" xfId="10426"/>
    <cellStyle name="note 15 8" xfId="11629"/>
    <cellStyle name="note 15 9" xfId="12780"/>
    <cellStyle name="Note 15_Sheet1" xfId="12781"/>
    <cellStyle name="Note 150" xfId="10427"/>
    <cellStyle name="note 151" xfId="11630"/>
    <cellStyle name="note 152" xfId="12782"/>
    <cellStyle name="note 153" xfId="12783"/>
    <cellStyle name="note 154" xfId="10428"/>
    <cellStyle name="note 155" xfId="11631"/>
    <cellStyle name="note 156" xfId="12784"/>
    <cellStyle name="note 157" xfId="12785"/>
    <cellStyle name="note 158" xfId="11632"/>
    <cellStyle name="note 159" xfId="12786"/>
    <cellStyle name="note 16" xfId="1150"/>
    <cellStyle name="note 16 2" xfId="12787"/>
    <cellStyle name="Note 160" xfId="11633"/>
    <cellStyle name="note 161" xfId="12788"/>
    <cellStyle name="Note 162" xfId="12789"/>
    <cellStyle name="Note 163" xfId="11634"/>
    <cellStyle name="Note 164" xfId="12790"/>
    <cellStyle name="note 165" xfId="8904"/>
    <cellStyle name="note 166" xfId="8906"/>
    <cellStyle name="note 167" xfId="14850"/>
    <cellStyle name="note 17" xfId="3017"/>
    <cellStyle name="note 17 2" xfId="12791"/>
    <cellStyle name="note 18" xfId="11635"/>
    <cellStyle name="note 19" xfId="12792"/>
    <cellStyle name="Note 2" xfId="1151"/>
    <cellStyle name="Note 2 10" xfId="5495"/>
    <cellStyle name="Note 2 10 2" xfId="5496"/>
    <cellStyle name="Note 2 10 2 2" xfId="12794"/>
    <cellStyle name="Note 2 10 3" xfId="11636"/>
    <cellStyle name="Note 2 11" xfId="5497"/>
    <cellStyle name="Note 2 11 2" xfId="11637"/>
    <cellStyle name="Note 2 11 3" xfId="12795"/>
    <cellStyle name="Note 2 12" xfId="5494"/>
    <cellStyle name="note 2 12 2" xfId="12797"/>
    <cellStyle name="Note 2 12 3" xfId="12796"/>
    <cellStyle name="Note 2 13" xfId="11638"/>
    <cellStyle name="Note 2 13 2" xfId="12798"/>
    <cellStyle name="Note 2 14" xfId="12799"/>
    <cellStyle name="Note 2 15" xfId="11639"/>
    <cellStyle name="Note 2 16" xfId="12800"/>
    <cellStyle name="Note 2 17" xfId="12801"/>
    <cellStyle name="Note 2 18" xfId="11640"/>
    <cellStyle name="Note 2 19" xfId="12802"/>
    <cellStyle name="Note 2 2" xfId="1152"/>
    <cellStyle name="Note 2 2 2" xfId="5499"/>
    <cellStyle name="Note 2 2 2 2" xfId="5500"/>
    <cellStyle name="Note 2 2 2 2 2" xfId="11641"/>
    <cellStyle name="Note 2 2 2 3" xfId="10429"/>
    <cellStyle name="Note 2 2 3" xfId="5501"/>
    <cellStyle name="Note 2 2 3 2" xfId="12804"/>
    <cellStyle name="Note 2 2 4" xfId="5502"/>
    <cellStyle name="Note 2 2 4 2" xfId="12805"/>
    <cellStyle name="Note 2 2 5" xfId="5498"/>
    <cellStyle name="Note 2 2 5 2" xfId="12803"/>
    <cellStyle name="Note 2 2 6" xfId="15175"/>
    <cellStyle name="Note 2 20" xfId="10430"/>
    <cellStyle name="Note 2 21" xfId="11642"/>
    <cellStyle name="Note 2 22" xfId="12806"/>
    <cellStyle name="Note 2 23" xfId="12807"/>
    <cellStyle name="Note 2 24" xfId="10431"/>
    <cellStyle name="Note 2 25" xfId="11643"/>
    <cellStyle name="Note 2 26" xfId="12808"/>
    <cellStyle name="Note 2 27" xfId="12809"/>
    <cellStyle name="Note 2 28" xfId="10432"/>
    <cellStyle name="Note 2 29" xfId="11644"/>
    <cellStyle name="Note 2 3" xfId="1460"/>
    <cellStyle name="Note 2 3 2" xfId="5504"/>
    <cellStyle name="Note 2 3 2 2" xfId="5505"/>
    <cellStyle name="Note 2 3 2 2 2" xfId="10433"/>
    <cellStyle name="Note 2 3 2 3" xfId="12811"/>
    <cellStyle name="Note 2 3 3" xfId="5506"/>
    <cellStyle name="Note 2 3 3 2" xfId="11645"/>
    <cellStyle name="Note 2 3 4" xfId="5507"/>
    <cellStyle name="Note 2 3 5" xfId="5503"/>
    <cellStyle name="Note 2 3 6" xfId="3024"/>
    <cellStyle name="Note 2 3 7" xfId="12810"/>
    <cellStyle name="Note 2 30" xfId="12812"/>
    <cellStyle name="Note 2 31" xfId="12813"/>
    <cellStyle name="Note 2 32" xfId="11646"/>
    <cellStyle name="Note 2 33" xfId="12814"/>
    <cellStyle name="Note 2 34" xfId="12815"/>
    <cellStyle name="Note 2 35" xfId="11647"/>
    <cellStyle name="Note 2 36" xfId="12816"/>
    <cellStyle name="Note 2 37" xfId="12817"/>
    <cellStyle name="Note 2 38" xfId="11648"/>
    <cellStyle name="Note 2 39" xfId="12818"/>
    <cellStyle name="Note 2 4" xfId="5508"/>
    <cellStyle name="Note 2 4 2" xfId="5509"/>
    <cellStyle name="Note 2 4 2 2" xfId="5510"/>
    <cellStyle name="Note 2 4 2 3" xfId="11649"/>
    <cellStyle name="Note 2 4 3" xfId="5511"/>
    <cellStyle name="Note 2 4 3 2" xfId="12820"/>
    <cellStyle name="Note 2 4 4" xfId="5512"/>
    <cellStyle name="Note 2 4 4 2" xfId="12821"/>
    <cellStyle name="Note 2 4 5" xfId="12819"/>
    <cellStyle name="Note 2 40" xfId="11650"/>
    <cellStyle name="Note 2 41" xfId="12822"/>
    <cellStyle name="Note 2 42" xfId="12823"/>
    <cellStyle name="Note 2 43" xfId="11651"/>
    <cellStyle name="Note 2 44" xfId="12824"/>
    <cellStyle name="Note 2 45" xfId="12825"/>
    <cellStyle name="Note 2 46" xfId="11652"/>
    <cellStyle name="Note 2 47" xfId="12826"/>
    <cellStyle name="Note 2 48" xfId="12827"/>
    <cellStyle name="Note 2 49" xfId="11653"/>
    <cellStyle name="Note 2 5" xfId="5513"/>
    <cellStyle name="Note 2 5 2" xfId="5514"/>
    <cellStyle name="Note 2 5 2 2" xfId="5515"/>
    <cellStyle name="Note 2 5 2 2 2" xfId="11654"/>
    <cellStyle name="Note 2 5 2 3" xfId="12829"/>
    <cellStyle name="Note 2 5 3" xfId="5516"/>
    <cellStyle name="Note 2 5 3 2" xfId="12831"/>
    <cellStyle name="Note 2 5 3 3" xfId="12830"/>
    <cellStyle name="Note 2 5 4" xfId="5517"/>
    <cellStyle name="Note 2 5 4 2" xfId="10434"/>
    <cellStyle name="Note 2 5 5" xfId="12828"/>
    <cellStyle name="Note 2 50" xfId="11655"/>
    <cellStyle name="Note 2 51" xfId="12832"/>
    <cellStyle name="Note 2 52" xfId="12833"/>
    <cellStyle name="Note 2 53" xfId="10435"/>
    <cellStyle name="Note 2 54" xfId="11656"/>
    <cellStyle name="Note 2 55" xfId="12834"/>
    <cellStyle name="Note 2 56" xfId="12835"/>
    <cellStyle name="Note 2 57" xfId="10436"/>
    <cellStyle name="Note 2 58" xfId="11657"/>
    <cellStyle name="Note 2 59" xfId="12836"/>
    <cellStyle name="Note 2 6" xfId="5518"/>
    <cellStyle name="Note 2 6 2" xfId="5519"/>
    <cellStyle name="Note 2 6 2 2" xfId="5520"/>
    <cellStyle name="Note 2 6 2 2 2" xfId="11658"/>
    <cellStyle name="Note 2 6 2 3" xfId="10437"/>
    <cellStyle name="Note 2 6 3" xfId="5521"/>
    <cellStyle name="Note 2 6 3 2" xfId="12839"/>
    <cellStyle name="Note 2 6 3 3" xfId="12838"/>
    <cellStyle name="Note 2 6 4" xfId="5522"/>
    <cellStyle name="Note 2 6 4 2" xfId="10438"/>
    <cellStyle name="Note 2 6 5" xfId="12837"/>
    <cellStyle name="Note 2 60" xfId="11659"/>
    <cellStyle name="Note 2 61" xfId="12840"/>
    <cellStyle name="Note 2 62" xfId="12841"/>
    <cellStyle name="Note 2 63" xfId="11660"/>
    <cellStyle name="Note 2 64" xfId="12842"/>
    <cellStyle name="Note 2 65" xfId="12843"/>
    <cellStyle name="Note 2 66" xfId="11661"/>
    <cellStyle name="Note 2 67" xfId="12844"/>
    <cellStyle name="Note 2 68" xfId="12845"/>
    <cellStyle name="Note 2 69" xfId="11662"/>
    <cellStyle name="Note 2 7" xfId="5523"/>
    <cellStyle name="Note 2 7 2" xfId="5524"/>
    <cellStyle name="Note 2 7 2 2" xfId="5525"/>
    <cellStyle name="Note 2 7 2 3" xfId="12847"/>
    <cellStyle name="Note 2 7 3" xfId="5526"/>
    <cellStyle name="Note 2 7 4" xfId="5527"/>
    <cellStyle name="Note 2 7 5" xfId="12846"/>
    <cellStyle name="Note 2 70" xfId="11663"/>
    <cellStyle name="Note 2 71" xfId="12848"/>
    <cellStyle name="Note 2 72" xfId="12849"/>
    <cellStyle name="Note 2 73" xfId="11664"/>
    <cellStyle name="Note 2 74" xfId="12850"/>
    <cellStyle name="Note 2 75" xfId="12851"/>
    <cellStyle name="Note 2 76" xfId="11665"/>
    <cellStyle name="Note 2 77" xfId="12852"/>
    <cellStyle name="Note 2 78" xfId="12853"/>
    <cellStyle name="Note 2 79" xfId="12854"/>
    <cellStyle name="Note 2 8" xfId="5528"/>
    <cellStyle name="Note 2 8 2" xfId="5529"/>
    <cellStyle name="Note 2 8 2 2" xfId="5530"/>
    <cellStyle name="Note 2 8 2 3" xfId="11666"/>
    <cellStyle name="Note 2 8 3" xfId="5531"/>
    <cellStyle name="Note 2 8 4" xfId="5532"/>
    <cellStyle name="Note 2 8 5" xfId="11199"/>
    <cellStyle name="Note 2 80" xfId="11667"/>
    <cellStyle name="Note 2 81" xfId="12855"/>
    <cellStyle name="Note 2 82" xfId="11200"/>
    <cellStyle name="Note 2 83" xfId="11668"/>
    <cellStyle name="Note 2 84" xfId="11669"/>
    <cellStyle name="Note 2 85" xfId="12856"/>
    <cellStyle name="Note 2 86" xfId="12857"/>
    <cellStyle name="Note 2 87" xfId="11201"/>
    <cellStyle name="note 2 88" xfId="11670"/>
    <cellStyle name="note 2 89" xfId="11671"/>
    <cellStyle name="Note 2 9" xfId="5533"/>
    <cellStyle name="Note 2 9 2" xfId="5534"/>
    <cellStyle name="Note 2 9 2 2" xfId="5535"/>
    <cellStyle name="Note 2 9 3" xfId="5536"/>
    <cellStyle name="Note 2 9 4" xfId="12858"/>
    <cellStyle name="note 2 90" xfId="12859"/>
    <cellStyle name="note 2 91" xfId="11672"/>
    <cellStyle name="note 2 92" xfId="12860"/>
    <cellStyle name="note 2 93" xfId="12861"/>
    <cellStyle name="note 2 94" xfId="11673"/>
    <cellStyle name="Note 2 95" xfId="12793"/>
    <cellStyle name="Note 2_33 OUE_Lippo" xfId="12862"/>
    <cellStyle name="note 20" xfId="12863"/>
    <cellStyle name="note 21" xfId="11674"/>
    <cellStyle name="note 21 2" xfId="12864"/>
    <cellStyle name="Note 21 3" xfId="12865"/>
    <cellStyle name="Note 21 4" xfId="10439"/>
    <cellStyle name="note 22" xfId="11675"/>
    <cellStyle name="note 22 2" xfId="12866"/>
    <cellStyle name="Note 22 3" xfId="12867"/>
    <cellStyle name="Note 22 4" xfId="10440"/>
    <cellStyle name="note 23" xfId="11676"/>
    <cellStyle name="note 23 2" xfId="12868"/>
    <cellStyle name="Note 23 3" xfId="12869"/>
    <cellStyle name="Note 23 4" xfId="10441"/>
    <cellStyle name="note 24" xfId="11677"/>
    <cellStyle name="note 24 2" xfId="12870"/>
    <cellStyle name="Note 24 3" xfId="12871"/>
    <cellStyle name="Note 24 4" xfId="10442"/>
    <cellStyle name="note 25" xfId="11678"/>
    <cellStyle name="note 25 2" xfId="12872"/>
    <cellStyle name="Note 25 3" xfId="12873"/>
    <cellStyle name="Note 25 4" xfId="10443"/>
    <cellStyle name="note 26" xfId="11679"/>
    <cellStyle name="note 26 2" xfId="12874"/>
    <cellStyle name="Note 26 3" xfId="12875"/>
    <cellStyle name="Note 26 4" xfId="11680"/>
    <cellStyle name="Note 27" xfId="12876"/>
    <cellStyle name="Note 28" xfId="12877"/>
    <cellStyle name="Note 29" xfId="11681"/>
    <cellStyle name="Note 3" xfId="1153"/>
    <cellStyle name="note 3 10" xfId="12879"/>
    <cellStyle name="Note 3 11" xfId="12878"/>
    <cellStyle name="Note 3 12" xfId="15039"/>
    <cellStyle name="Note 3 13" xfId="15073"/>
    <cellStyle name="Note 3 14" xfId="15064"/>
    <cellStyle name="Note 3 15" xfId="15072"/>
    <cellStyle name="Note 3 16" xfId="15099"/>
    <cellStyle name="Note 3 17" xfId="15088"/>
    <cellStyle name="Note 3 18" xfId="15102"/>
    <cellStyle name="Note 3 19" xfId="15112"/>
    <cellStyle name="Note 3 2" xfId="1154"/>
    <cellStyle name="Note 3 2 2" xfId="5539"/>
    <cellStyle name="Note 3 2 2 2" xfId="12880"/>
    <cellStyle name="Note 3 2 3" xfId="5538"/>
    <cellStyle name="Note 3 2 3 2" xfId="11682"/>
    <cellStyle name="Note 3 20" xfId="15106"/>
    <cellStyle name="Note 3 21" xfId="15116"/>
    <cellStyle name="Note 3 22" xfId="15176"/>
    <cellStyle name="Note 3 3" xfId="1461"/>
    <cellStyle name="Note 3 3 2" xfId="5540"/>
    <cellStyle name="Note 3 3 2 2" xfId="12882"/>
    <cellStyle name="Note 3 3 2 3" xfId="11683"/>
    <cellStyle name="Note 3 3 3" xfId="3025"/>
    <cellStyle name="Note 3 3 4" xfId="12881"/>
    <cellStyle name="Note 3 4" xfId="5537"/>
    <cellStyle name="note 3 4 2" xfId="11684"/>
    <cellStyle name="Note 3 4 3" xfId="12884"/>
    <cellStyle name="Note 3 4 4" xfId="12885"/>
    <cellStyle name="Note 3 4 5" xfId="12883"/>
    <cellStyle name="Note 3 5" xfId="11685"/>
    <cellStyle name="Note 3 6" xfId="12886"/>
    <cellStyle name="Note 3 7" xfId="12887"/>
    <cellStyle name="note 3 8" xfId="11686"/>
    <cellStyle name="note 3 9" xfId="12888"/>
    <cellStyle name="Note 3_Sheet1" xfId="12889"/>
    <cellStyle name="Note 30" xfId="11687"/>
    <cellStyle name="note 30 2" xfId="12890"/>
    <cellStyle name="Note 31" xfId="12891"/>
    <cellStyle name="note 31 2" xfId="11688"/>
    <cellStyle name="Note 32" xfId="12892"/>
    <cellStyle name="note 32 2" xfId="12893"/>
    <cellStyle name="Note 33" xfId="10444"/>
    <cellStyle name="Note 34" xfId="11689"/>
    <cellStyle name="Note 34 2" xfId="12894"/>
    <cellStyle name="Note 35" xfId="12895"/>
    <cellStyle name="Note 35 2" xfId="10445"/>
    <cellStyle name="Note 36" xfId="11690"/>
    <cellStyle name="Note 37" xfId="12896"/>
    <cellStyle name="Note 37 2" xfId="12897"/>
    <cellStyle name="Note 38" xfId="10446"/>
    <cellStyle name="Note 38 2" xfId="11691"/>
    <cellStyle name="Note 39" xfId="12898"/>
    <cellStyle name="note 39 2" xfId="12899"/>
    <cellStyle name="Note 4" xfId="1155"/>
    <cellStyle name="note 4 10" xfId="11692"/>
    <cellStyle name="Note 4 11" xfId="10447"/>
    <cellStyle name="Note 4 12" xfId="15040"/>
    <cellStyle name="Note 4 13" xfId="15074"/>
    <cellStyle name="Note 4 14" xfId="15063"/>
    <cellStyle name="Note 4 15" xfId="15076"/>
    <cellStyle name="Note 4 16" xfId="15100"/>
    <cellStyle name="Note 4 17" xfId="15087"/>
    <cellStyle name="Note 4 18" xfId="15103"/>
    <cellStyle name="Note 4 19" xfId="15113"/>
    <cellStyle name="Note 4 2" xfId="1156"/>
    <cellStyle name="Note 4 2 2" xfId="12901"/>
    <cellStyle name="Note 4 2 3" xfId="12900"/>
    <cellStyle name="Note 4 20" xfId="15107"/>
    <cellStyle name="Note 4 21" xfId="15117"/>
    <cellStyle name="Note 4 22" xfId="15177"/>
    <cellStyle name="Note 4 3" xfId="3026"/>
    <cellStyle name="Note 4 3 2" xfId="11693"/>
    <cellStyle name="Note 4 3 3" xfId="10448"/>
    <cellStyle name="Note 4 4" xfId="12902"/>
    <cellStyle name="note 4 4 2" xfId="12903"/>
    <cellStyle name="Note 4 4 3" xfId="11694"/>
    <cellStyle name="Note 4 4 4" xfId="12904"/>
    <cellStyle name="Note 4 5" xfId="12905"/>
    <cellStyle name="Note 4 6" xfId="11695"/>
    <cellStyle name="Note 4 7" xfId="12906"/>
    <cellStyle name="note 4 8" xfId="12907"/>
    <cellStyle name="note 4 9" xfId="11696"/>
    <cellStyle name="Note 4_Sheet1" xfId="12908"/>
    <cellStyle name="Note 40" xfId="12909"/>
    <cellStyle name="note 40 2" xfId="11697"/>
    <cellStyle name="Note 41" xfId="12910"/>
    <cellStyle name="note 41 2" xfId="12911"/>
    <cellStyle name="Note 42" xfId="11698"/>
    <cellStyle name="note 42 2" xfId="12912"/>
    <cellStyle name="Note 43" xfId="12913"/>
    <cellStyle name="Note 43 2" xfId="11699"/>
    <cellStyle name="Note 44" xfId="12914"/>
    <cellStyle name="Note 44 2" xfId="12915"/>
    <cellStyle name="Note 45" xfId="11700"/>
    <cellStyle name="Note 45 2" xfId="12916"/>
    <cellStyle name="Note 46" xfId="12917"/>
    <cellStyle name="Note 46 2" xfId="11701"/>
    <cellStyle name="Note 47" xfId="12918"/>
    <cellStyle name="Note 47 2" xfId="12919"/>
    <cellStyle name="Note 48" xfId="11702"/>
    <cellStyle name="Note 48 2" xfId="12920"/>
    <cellStyle name="Note 49" xfId="12921"/>
    <cellStyle name="note 49 2" xfId="10449"/>
    <cellStyle name="Note 5" xfId="1157"/>
    <cellStyle name="note 5 10" xfId="12922"/>
    <cellStyle name="Note 5 11" xfId="11703"/>
    <cellStyle name="Note 5 12" xfId="15041"/>
    <cellStyle name="Note 5 13" xfId="15075"/>
    <cellStyle name="Note 5 14" xfId="15081"/>
    <cellStyle name="Note 5 15" xfId="15077"/>
    <cellStyle name="Note 5 16" xfId="15101"/>
    <cellStyle name="Note 5 17" xfId="15086"/>
    <cellStyle name="Note 5 18" xfId="15104"/>
    <cellStyle name="Note 5 19" xfId="15114"/>
    <cellStyle name="Note 5 2" xfId="1158"/>
    <cellStyle name="Note 5 2 2" xfId="10450"/>
    <cellStyle name="Note 5 2 3" xfId="12923"/>
    <cellStyle name="Note 5 20" xfId="15108"/>
    <cellStyle name="Note 5 21" xfId="15118"/>
    <cellStyle name="Note 5 22" xfId="15178"/>
    <cellStyle name="Note 5 3" xfId="3027"/>
    <cellStyle name="Note 5 3 2" xfId="12924"/>
    <cellStyle name="Note 5 3 3" xfId="11704"/>
    <cellStyle name="Note 5 4" xfId="12925"/>
    <cellStyle name="note 5 4 2" xfId="10451"/>
    <cellStyle name="Note 5 4 3" xfId="11705"/>
    <cellStyle name="Note 5 4 4" xfId="12926"/>
    <cellStyle name="Note 5 5" xfId="12927"/>
    <cellStyle name="Note 5 6" xfId="10452"/>
    <cellStyle name="Note 5 7" xfId="11706"/>
    <cellStyle name="note 5 8" xfId="12928"/>
    <cellStyle name="note 5 9" xfId="12929"/>
    <cellStyle name="Note 5_Sheet1" xfId="10453"/>
    <cellStyle name="Note 50" xfId="11707"/>
    <cellStyle name="Note 51" xfId="12930"/>
    <cellStyle name="Note 52" xfId="12931"/>
    <cellStyle name="Note 53" xfId="11708"/>
    <cellStyle name="Note 54" xfId="12932"/>
    <cellStyle name="Note 54 2" xfId="12933"/>
    <cellStyle name="Note 55" xfId="11709"/>
    <cellStyle name="Note 55 2" xfId="12934"/>
    <cellStyle name="Note 56" xfId="12935"/>
    <cellStyle name="Note 56 2" xfId="11710"/>
    <cellStyle name="Note 57" xfId="12936"/>
    <cellStyle name="Note 58" xfId="12937"/>
    <cellStyle name="Note 59" xfId="11711"/>
    <cellStyle name="Note 6" xfId="1159"/>
    <cellStyle name="note 6 10" xfId="12939"/>
    <cellStyle name="Note 6 11" xfId="12938"/>
    <cellStyle name="Note 6 12" xfId="15179"/>
    <cellStyle name="Note 6 2" xfId="1160"/>
    <cellStyle name="Note 6 2 2" xfId="12940"/>
    <cellStyle name="Note 6 2 3" xfId="11712"/>
    <cellStyle name="Note 6 3" xfId="3028"/>
    <cellStyle name="Note 6 3 2" xfId="11713"/>
    <cellStyle name="Note 6 3 3" xfId="12941"/>
    <cellStyle name="Note 6 4" xfId="12942"/>
    <cellStyle name="note 6 4 2" xfId="12943"/>
    <cellStyle name="Note 6 4 3" xfId="11714"/>
    <cellStyle name="Note 6 4 4" xfId="12944"/>
    <cellStyle name="Note 6 5" xfId="12945"/>
    <cellStyle name="Note 6 6" xfId="11715"/>
    <cellStyle name="Note 6 7" xfId="12946"/>
    <cellStyle name="note 6 8" xfId="12947"/>
    <cellStyle name="note 6 9" xfId="11716"/>
    <cellStyle name="Note 6_Sheet1" xfId="12948"/>
    <cellStyle name="Note 60" xfId="12949"/>
    <cellStyle name="Note 60 2" xfId="10454"/>
    <cellStyle name="Note 61" xfId="11717"/>
    <cellStyle name="note 61 2" xfId="12950"/>
    <cellStyle name="Note 62" xfId="12951"/>
    <cellStyle name="note 62 2" xfId="10455"/>
    <cellStyle name="Note 63" xfId="11718"/>
    <cellStyle name="note 63 2" xfId="12952"/>
    <cellStyle name="Note 64" xfId="12953"/>
    <cellStyle name="note 64 2" xfId="10456"/>
    <cellStyle name="Note 65" xfId="11719"/>
    <cellStyle name="note 65 2" xfId="12954"/>
    <cellStyle name="Note 66" xfId="12955"/>
    <cellStyle name="note 66 2" xfId="10457"/>
    <cellStyle name="Note 67" xfId="11720"/>
    <cellStyle name="note 67 2" xfId="12956"/>
    <cellStyle name="Note 68" xfId="12957"/>
    <cellStyle name="note 68 2" xfId="10458"/>
    <cellStyle name="Note 69" xfId="11721"/>
    <cellStyle name="note 69 2" xfId="12958"/>
    <cellStyle name="Note 7" xfId="1161"/>
    <cellStyle name="note 7 10" xfId="11722"/>
    <cellStyle name="Note 7 11" xfId="12959"/>
    <cellStyle name="Note 7 12" xfId="15180"/>
    <cellStyle name="Note 7 2" xfId="1162"/>
    <cellStyle name="Note 7 2 2" xfId="12961"/>
    <cellStyle name="Note 7 2 3" xfId="12960"/>
    <cellStyle name="Note 7 3" xfId="3029"/>
    <cellStyle name="Note 7 3 2" xfId="12962"/>
    <cellStyle name="Note 7 3 3" xfId="11723"/>
    <cellStyle name="Note 7 4" xfId="12963"/>
    <cellStyle name="note 7 4 2" xfId="11724"/>
    <cellStyle name="Note 7 4 3" xfId="12964"/>
    <cellStyle name="Note 7 4 4" xfId="12965"/>
    <cellStyle name="Note 7 5" xfId="11725"/>
    <cellStyle name="Note 7 6" xfId="12966"/>
    <cellStyle name="Note 7 7" xfId="12967"/>
    <cellStyle name="note 7 8" xfId="11726"/>
    <cellStyle name="note 7 9" xfId="12968"/>
    <cellStyle name="Note 7_Sheet1" xfId="12969"/>
    <cellStyle name="Note 70" xfId="11727"/>
    <cellStyle name="note 70 2" xfId="12970"/>
    <cellStyle name="Note 71" xfId="12971"/>
    <cellStyle name="note 71 2" xfId="11728"/>
    <cellStyle name="Note 72" xfId="12972"/>
    <cellStyle name="note 72 2" xfId="12973"/>
    <cellStyle name="Note 73" xfId="11729"/>
    <cellStyle name="note 73 2" xfId="12974"/>
    <cellStyle name="Note 74" xfId="12975"/>
    <cellStyle name="Note 74 2" xfId="11730"/>
    <cellStyle name="Note 75" xfId="12976"/>
    <cellStyle name="Note 75 2" xfId="12977"/>
    <cellStyle name="Note 76" xfId="10459"/>
    <cellStyle name="note 76 2" xfId="11731"/>
    <cellStyle name="Note 77" xfId="12978"/>
    <cellStyle name="note 77 2" xfId="1550"/>
    <cellStyle name="Note 78" xfId="10460"/>
    <cellStyle name="note 78 2" xfId="11732"/>
    <cellStyle name="Note 79" xfId="1549"/>
    <cellStyle name="note 79 2" xfId="1548"/>
    <cellStyle name="Note 8" xfId="1163"/>
    <cellStyle name="note 8 10" xfId="11733"/>
    <cellStyle name="Note 8 11" xfId="10461"/>
    <cellStyle name="Note 8 2" xfId="1164"/>
    <cellStyle name="Note 8 2 2" xfId="1546"/>
    <cellStyle name="Note 8 2 3" xfId="1547"/>
    <cellStyle name="Note 8 3" xfId="3030"/>
    <cellStyle name="Note 8 3 2" xfId="11734"/>
    <cellStyle name="Note 8 3 3" xfId="10462"/>
    <cellStyle name="Note 8 4" xfId="1545"/>
    <cellStyle name="note 8 4 2" xfId="1544"/>
    <cellStyle name="note 8 5" xfId="10463"/>
    <cellStyle name="note 8 6" xfId="11735"/>
    <cellStyle name="note 8 7" xfId="1543"/>
    <cellStyle name="note 8 8" xfId="1542"/>
    <cellStyle name="note 8 9" xfId="11736"/>
    <cellStyle name="Note 8_Sheet1" xfId="1541"/>
    <cellStyle name="Note 80" xfId="1540"/>
    <cellStyle name="note 80 2" xfId="11737"/>
    <cellStyle name="Note 81" xfId="1539"/>
    <cellStyle name="note 81 2" xfId="1538"/>
    <cellStyle name="Note 82" xfId="11738"/>
    <cellStyle name="note 82 2" xfId="1537"/>
    <cellStyle name="Note 83" xfId="1536"/>
    <cellStyle name="note 83 2" xfId="11739"/>
    <cellStyle name="Note 84" xfId="1535"/>
    <cellStyle name="note 84 2" xfId="1534"/>
    <cellStyle name="Note 85" xfId="11740"/>
    <cellStyle name="note 85 2" xfId="1504"/>
    <cellStyle name="Note 86" xfId="1501"/>
    <cellStyle name="Note 87" xfId="11741"/>
    <cellStyle name="Note 88" xfId="1500"/>
    <cellStyle name="Note 89" xfId="1533"/>
    <cellStyle name="Note 9" xfId="1165"/>
    <cellStyle name="note 9 10" xfId="1532"/>
    <cellStyle name="Note 9 11" xfId="11742"/>
    <cellStyle name="Note 9 2" xfId="1166"/>
    <cellStyle name="Note 9 2 2" xfId="11743"/>
    <cellStyle name="Note 9 2 3" xfId="1530"/>
    <cellStyle name="Note 9 3" xfId="3031"/>
    <cellStyle name="Note 9 3 2" xfId="1528"/>
    <cellStyle name="Note 9 3 3" xfId="1529"/>
    <cellStyle name="Note 9 4" xfId="11744"/>
    <cellStyle name="note 9 4 2" xfId="1527"/>
    <cellStyle name="note 9 5" xfId="1526"/>
    <cellStyle name="note 9 6" xfId="10464"/>
    <cellStyle name="note 9 7" xfId="11745"/>
    <cellStyle name="note 9 8" xfId="1525"/>
    <cellStyle name="note 9 9" xfId="1524"/>
    <cellStyle name="Note 9_Sheet1" xfId="10465"/>
    <cellStyle name="Note 90" xfId="11746"/>
    <cellStyle name="Note 91" xfId="1523"/>
    <cellStyle name="Note 92" xfId="1522"/>
    <cellStyle name="note 92 2" xfId="10466"/>
    <cellStyle name="Note 93" xfId="11747"/>
    <cellStyle name="note 93 2" xfId="8875"/>
    <cellStyle name="Note 94" xfId="1521"/>
    <cellStyle name="note 94 2" xfId="10467"/>
    <cellStyle name="Note 95" xfId="11748"/>
    <cellStyle name="note 95 2" xfId="1520"/>
    <cellStyle name="Note 96" xfId="1519"/>
    <cellStyle name="note 96 2" xfId="10468"/>
    <cellStyle name="Note 97" xfId="11749"/>
    <cellStyle name="note 97 2" xfId="1518"/>
    <cellStyle name="Note 98" xfId="1503"/>
    <cellStyle name="note 98 2" xfId="11750"/>
    <cellStyle name="Note 99" xfId="1517"/>
    <cellStyle name="note 99 2" xfId="1516"/>
    <cellStyle name="Number, 1 dec" xfId="5541"/>
    <cellStyle name="Ø›ŽÅ [0]_06" xfId="1167"/>
    <cellStyle name="Ø›ŽÅ[0]_cashflow" xfId="1168"/>
    <cellStyle name="Ø›ŽÅ_06" xfId="1169"/>
    <cellStyle name="Ò»°ã_ˆó±í¸½±í" xfId="1170"/>
    <cellStyle name="øFòé_BS9701-3" xfId="1171"/>
    <cellStyle name="øj‚¾?_BS9701-3" xfId="1172"/>
    <cellStyle name="ºó¼Ì³¬¼¶Á´½Ó" xfId="1173"/>
    <cellStyle name="ºó¼Ì³¬¼¶Á´½Ó 2" xfId="3032"/>
    <cellStyle name="ºó¼Ì³¬¼¶Á´½Ó 2 2" xfId="1495"/>
    <cellStyle name="ºó¼Ì³¬¼¶Á´½Ó 2 2 2" xfId="11752"/>
    <cellStyle name="ºó¼Ì³¬¼¶Á´½Ó 2 3" xfId="1511"/>
    <cellStyle name="ºó¼Ì³¬¼¶Á´½Ó 2 4" xfId="1496"/>
    <cellStyle name="ºó¼Ì³¬¼¶Á´½Ó 2 5" xfId="14852"/>
    <cellStyle name="ºó¼Ì³¬¼¶Á´½Ó 2_Sanwani Street_201602" xfId="1507"/>
    <cellStyle name="ºó¼Ì³¬¼¶Á´½Ó 3" xfId="3033"/>
    <cellStyle name="ºó¼Ì³¬¼¶Á´½Ó 3 2" xfId="1531"/>
    <cellStyle name="ºó¼Ì³¬¼¶Á´½Ó 3 3" xfId="11753"/>
    <cellStyle name="ºó¼Ì³¬¼¶Á´½Ó 3 4" xfId="14853"/>
    <cellStyle name="ºó¼Ì³¬¼¶Á´½Ó 3_Sanwani Street_201602" xfId="1515"/>
    <cellStyle name="ºó¼Ì³¬¼¶Á´½Ó 4" xfId="3114"/>
    <cellStyle name="ºó¼Ì³¬¼¶Á´½Ó 4 2" xfId="1514"/>
    <cellStyle name="ºó¼Ì³¬¼¶Á´½Ó 4 3" xfId="11754"/>
    <cellStyle name="ºó¼Ì³¬¼¶Á´½Ó 4 4" xfId="14857"/>
    <cellStyle name="ºó¼Ì³¬¼¶Á´½Ó 4_Sanwani Street_201602" xfId="1513"/>
    <cellStyle name="ºó¼Ì³¬¼¶Á´½Ó 5" xfId="11755"/>
    <cellStyle name="ºó¼Ì³¬¼¶Á´½Ó 6" xfId="11751"/>
    <cellStyle name="ºó¼Ì³¬¼¶Á´½Ó 7" xfId="2297"/>
    <cellStyle name="ºó¼Ì³¬¼¶Á´½Ó 8" xfId="14851"/>
    <cellStyle name="Output 10" xfId="1174"/>
    <cellStyle name="Output 10 2" xfId="1175"/>
    <cellStyle name="Output 10 2 2" xfId="10469"/>
    <cellStyle name="Output 10 2 3" xfId="1497"/>
    <cellStyle name="Output 10 3" xfId="3034"/>
    <cellStyle name="Output 10 3 2" xfId="10471"/>
    <cellStyle name="Output 10 3 3" xfId="10470"/>
    <cellStyle name="Output 10 4" xfId="10472"/>
    <cellStyle name="Output 10 5" xfId="10473"/>
    <cellStyle name="Output 10 6" xfId="1512"/>
    <cellStyle name="Output 11" xfId="1176"/>
    <cellStyle name="Output 11 2" xfId="1177"/>
    <cellStyle name="Output 11 2 2" xfId="10476"/>
    <cellStyle name="Output 11 2 3" xfId="10475"/>
    <cellStyle name="Output 11 3" xfId="3035"/>
    <cellStyle name="Output 11 3 2" xfId="1494"/>
    <cellStyle name="Output 11 3 3" xfId="1502"/>
    <cellStyle name="Output 11 4" xfId="10477"/>
    <cellStyle name="Output 11 5" xfId="1493"/>
    <cellStyle name="Output 11 6" xfId="10474"/>
    <cellStyle name="Output 12" xfId="1178"/>
    <cellStyle name="Output 12 2" xfId="1179"/>
    <cellStyle name="Output 12 2 2" xfId="10480"/>
    <cellStyle name="Output 12 2 3" xfId="10479"/>
    <cellStyle name="Output 12 3" xfId="3036"/>
    <cellStyle name="Output 12 3 2" xfId="10482"/>
    <cellStyle name="Output 12 3 3" xfId="10481"/>
    <cellStyle name="Output 12 4" xfId="10483"/>
    <cellStyle name="Output 12 5" xfId="10484"/>
    <cellStyle name="Output 12 6" xfId="10478"/>
    <cellStyle name="Output 13" xfId="1180"/>
    <cellStyle name="Output 13 2" xfId="1181"/>
    <cellStyle name="Output 13 2 2" xfId="10487"/>
    <cellStyle name="Output 13 2 3" xfId="10486"/>
    <cellStyle name="Output 13 3" xfId="3037"/>
    <cellStyle name="Output 13 3 2" xfId="10489"/>
    <cellStyle name="Output 13 3 3" xfId="10488"/>
    <cellStyle name="Output 13 4" xfId="1695"/>
    <cellStyle name="Output 13 5" xfId="1694"/>
    <cellStyle name="Output 13 6" xfId="10485"/>
    <cellStyle name="Output 14" xfId="1182"/>
    <cellStyle name="Output 14 2" xfId="1183"/>
    <cellStyle name="Output 14 2 2" xfId="1691"/>
    <cellStyle name="Output 14 2 3" xfId="1692"/>
    <cellStyle name="Output 14 3" xfId="3038"/>
    <cellStyle name="Output 14 3 2" xfId="1689"/>
    <cellStyle name="Output 14 3 3" xfId="1690"/>
    <cellStyle name="Output 14 4" xfId="1688"/>
    <cellStyle name="Output 14 5" xfId="1687"/>
    <cellStyle name="Output 14 6" xfId="1693"/>
    <cellStyle name="Output 15" xfId="1184"/>
    <cellStyle name="Output 15 2" xfId="1185"/>
    <cellStyle name="Output 15 2 2" xfId="1684"/>
    <cellStyle name="Output 15 2 3" xfId="1685"/>
    <cellStyle name="Output 15 3" xfId="3039"/>
    <cellStyle name="Output 15 3 2" xfId="8829"/>
    <cellStyle name="Output 15 3 3" xfId="1683"/>
    <cellStyle name="Output 15 4" xfId="8830"/>
    <cellStyle name="Output 15 5" xfId="8890"/>
    <cellStyle name="Output 15 6" xfId="1686"/>
    <cellStyle name="Output 16" xfId="1682"/>
    <cellStyle name="Output 16 2" xfId="8831"/>
    <cellStyle name="Output 16 3" xfId="8832"/>
    <cellStyle name="Output 17" xfId="8891"/>
    <cellStyle name="Output 17 2" xfId="1681"/>
    <cellStyle name="Output 18" xfId="1680"/>
    <cellStyle name="Output 18 2" xfId="1679"/>
    <cellStyle name="Output 19" xfId="1678"/>
    <cellStyle name="Output 2" xfId="1186"/>
    <cellStyle name="Output 2 10" xfId="5542"/>
    <cellStyle name="Output 2 10 2" xfId="5543"/>
    <cellStyle name="Output 2 11" xfId="5544"/>
    <cellStyle name="Output 2 12" xfId="1677"/>
    <cellStyle name="Output 2 2" xfId="1187"/>
    <cellStyle name="Output 2 2 2" xfId="5545"/>
    <cellStyle name="Output 2 2 2 2" xfId="5546"/>
    <cellStyle name="Output 2 2 2 3" xfId="1675"/>
    <cellStyle name="Output 2 2 3" xfId="5547"/>
    <cellStyle name="Output 2 2 3 2" xfId="1676"/>
    <cellStyle name="Output 2 2 4" xfId="5548"/>
    <cellStyle name="Output 2 2 5" xfId="15181"/>
    <cellStyle name="Output 2 3" xfId="3040"/>
    <cellStyle name="Output 2 3 2" xfId="5549"/>
    <cellStyle name="Output 2 3 2 2" xfId="5550"/>
    <cellStyle name="Output 2 3 2 3" xfId="1673"/>
    <cellStyle name="Output 2 3 3" xfId="5551"/>
    <cellStyle name="Output 2 3 4" xfId="5552"/>
    <cellStyle name="Output 2 3 5" xfId="1674"/>
    <cellStyle name="Output 2 4" xfId="5553"/>
    <cellStyle name="Output 2 4 2" xfId="5554"/>
    <cellStyle name="Output 2 4 2 2" xfId="5555"/>
    <cellStyle name="Output 2 4 2 3" xfId="1671"/>
    <cellStyle name="Output 2 4 3" xfId="5556"/>
    <cellStyle name="Output 2 4 4" xfId="5557"/>
    <cellStyle name="Output 2 4 5" xfId="1672"/>
    <cellStyle name="Output 2 5" xfId="5558"/>
    <cellStyle name="Output 2 5 2" xfId="5559"/>
    <cellStyle name="Output 2 5 2 2" xfId="5560"/>
    <cellStyle name="Output 2 5 3" xfId="5561"/>
    <cellStyle name="Output 2 5 4" xfId="5562"/>
    <cellStyle name="Output 2 5 5" xfId="1670"/>
    <cellStyle name="Output 2 6" xfId="5563"/>
    <cellStyle name="Output 2 6 2" xfId="5564"/>
    <cellStyle name="Output 2 6 2 2" xfId="5565"/>
    <cellStyle name="Output 2 6 3" xfId="5566"/>
    <cellStyle name="Output 2 6 4" xfId="5567"/>
    <cellStyle name="Output 2 6 5" xfId="1669"/>
    <cellStyle name="Output 2 7" xfId="5568"/>
    <cellStyle name="Output 2 7 2" xfId="5569"/>
    <cellStyle name="Output 2 7 2 2" xfId="5570"/>
    <cellStyle name="Output 2 7 3" xfId="5571"/>
    <cellStyle name="Output 2 7 4" xfId="5572"/>
    <cellStyle name="Output 2 7 5" xfId="1668"/>
    <cellStyle name="Output 2 8" xfId="5573"/>
    <cellStyle name="Output 2 8 2" xfId="5574"/>
    <cellStyle name="Output 2 8 2 2" xfId="5575"/>
    <cellStyle name="Output 2 8 3" xfId="5576"/>
    <cellStyle name="Output 2 8 4" xfId="5577"/>
    <cellStyle name="Output 2 9" xfId="5578"/>
    <cellStyle name="Output 2 9 2" xfId="5579"/>
    <cellStyle name="Output 2 9 2 2" xfId="5580"/>
    <cellStyle name="Output 2 9 3" xfId="5581"/>
    <cellStyle name="Output 20" xfId="1667"/>
    <cellStyle name="Output 3" xfId="1188"/>
    <cellStyle name="Output 3 2" xfId="1189"/>
    <cellStyle name="Output 3 2 2" xfId="1664"/>
    <cellStyle name="Output 3 2 3" xfId="1665"/>
    <cellStyle name="Output 3 3" xfId="3041"/>
    <cellStyle name="Output 3 3 2" xfId="1662"/>
    <cellStyle name="Output 3 3 3" xfId="1663"/>
    <cellStyle name="Output 3 4" xfId="5582"/>
    <cellStyle name="Output 3 4 2" xfId="1660"/>
    <cellStyle name="Output 3 4 3" xfId="1661"/>
    <cellStyle name="Output 3 5" xfId="10490"/>
    <cellStyle name="Output 3 6" xfId="10491"/>
    <cellStyle name="Output 3 7" xfId="10492"/>
    <cellStyle name="Output 3 8" xfId="1666"/>
    <cellStyle name="Output 4" xfId="1190"/>
    <cellStyle name="Output 4 2" xfId="1191"/>
    <cellStyle name="Output 4 2 2" xfId="10495"/>
    <cellStyle name="Output 4 2 3" xfId="10494"/>
    <cellStyle name="Output 4 3" xfId="3042"/>
    <cellStyle name="Output 4 3 2" xfId="10497"/>
    <cellStyle name="Output 4 3 3" xfId="10496"/>
    <cellStyle name="Output 4 4" xfId="5583"/>
    <cellStyle name="Output 4 4 2" xfId="10499"/>
    <cellStyle name="Output 4 4 3" xfId="10498"/>
    <cellStyle name="Output 4 5" xfId="10500"/>
    <cellStyle name="Output 4 6" xfId="10501"/>
    <cellStyle name="Output 4 7" xfId="10493"/>
    <cellStyle name="Output 5" xfId="1192"/>
    <cellStyle name="Output 5 2" xfId="1193"/>
    <cellStyle name="Output 5 2 2" xfId="10504"/>
    <cellStyle name="Output 5 2 3" xfId="10503"/>
    <cellStyle name="Output 5 3" xfId="3043"/>
    <cellStyle name="Output 5 3 2" xfId="10506"/>
    <cellStyle name="Output 5 3 3" xfId="10505"/>
    <cellStyle name="Output 5 4" xfId="5584"/>
    <cellStyle name="Output 5 4 2" xfId="10508"/>
    <cellStyle name="Output 5 4 3" xfId="10507"/>
    <cellStyle name="Output 5 5" xfId="10509"/>
    <cellStyle name="Output 5 6" xfId="10510"/>
    <cellStyle name="Output 5 7" xfId="10502"/>
    <cellStyle name="Output 6" xfId="1194"/>
    <cellStyle name="Output 6 2" xfId="1195"/>
    <cellStyle name="Output 6 2 2" xfId="10513"/>
    <cellStyle name="Output 6 2 3" xfId="10512"/>
    <cellStyle name="Output 6 3" xfId="3044"/>
    <cellStyle name="Output 6 3 2" xfId="10515"/>
    <cellStyle name="Output 6 3 3" xfId="10514"/>
    <cellStyle name="Output 6 4" xfId="5585"/>
    <cellStyle name="Output 6 4 2" xfId="10517"/>
    <cellStyle name="Output 6 4 3" xfId="10516"/>
    <cellStyle name="Output 6 5" xfId="10518"/>
    <cellStyle name="Output 6 6" xfId="10519"/>
    <cellStyle name="Output 6 7" xfId="10511"/>
    <cellStyle name="Output 7" xfId="1196"/>
    <cellStyle name="Output 7 2" xfId="1197"/>
    <cellStyle name="Output 7 2 2" xfId="10522"/>
    <cellStyle name="Output 7 2 3" xfId="10521"/>
    <cellStyle name="Output 7 3" xfId="3045"/>
    <cellStyle name="Output 7 3 2" xfId="10524"/>
    <cellStyle name="Output 7 3 3" xfId="10523"/>
    <cellStyle name="Output 7 4" xfId="10525"/>
    <cellStyle name="Output 7 4 2" xfId="10526"/>
    <cellStyle name="Output 7 5" xfId="10527"/>
    <cellStyle name="Output 7 6" xfId="10528"/>
    <cellStyle name="Output 7 7" xfId="10520"/>
    <cellStyle name="Output 8" xfId="1198"/>
    <cellStyle name="Output 8 2" xfId="1199"/>
    <cellStyle name="Output 8 2 2" xfId="10531"/>
    <cellStyle name="Output 8 2 3" xfId="10530"/>
    <cellStyle name="Output 8 3" xfId="3046"/>
    <cellStyle name="Output 8 3 2" xfId="10533"/>
    <cellStyle name="Output 8 3 3" xfId="10532"/>
    <cellStyle name="Output 8 4" xfId="10534"/>
    <cellStyle name="Output 8 5" xfId="10535"/>
    <cellStyle name="Output 8 6" xfId="10529"/>
    <cellStyle name="Output 9" xfId="1200"/>
    <cellStyle name="Output 9 2" xfId="1201"/>
    <cellStyle name="Output 9 2 2" xfId="10538"/>
    <cellStyle name="Output 9 2 3" xfId="10537"/>
    <cellStyle name="Output 9 3" xfId="3047"/>
    <cellStyle name="Output 9 3 2" xfId="10540"/>
    <cellStyle name="Output 9 3 3" xfId="10539"/>
    <cellStyle name="Output 9 4" xfId="10541"/>
    <cellStyle name="Output 9 5" xfId="10542"/>
    <cellStyle name="Output 9 6" xfId="10536"/>
    <cellStyle name="p" xfId="5586"/>
    <cellStyle name="p 2" xfId="5587"/>
    <cellStyle name="p1" xfId="5588"/>
    <cellStyle name="p1 2" xfId="5589"/>
    <cellStyle name="Page Number" xfId="10543"/>
    <cellStyle name="pb_page_heading_LS" xfId="5590"/>
    <cellStyle name="per.style" xfId="5591"/>
    <cellStyle name="Percen - Style1" xfId="5592"/>
    <cellStyle name="Percent" xfId="15084" builtinId="5"/>
    <cellStyle name="Percent [2]" xfId="1202"/>
    <cellStyle name="Percent [2] 2" xfId="10545"/>
    <cellStyle name="Percent [2] 3" xfId="10546"/>
    <cellStyle name="Percent [2] 4" xfId="10544"/>
    <cellStyle name="Percent 10" xfId="5593"/>
    <cellStyle name="Percent 10 2" xfId="5594"/>
    <cellStyle name="Percent 10 2 2" xfId="10548"/>
    <cellStyle name="Percent 10 3" xfId="5595"/>
    <cellStyle name="Percent 10 3 2" xfId="10549"/>
    <cellStyle name="Percent 10 4" xfId="10547"/>
    <cellStyle name="Percent 100" xfId="10550"/>
    <cellStyle name="Percent 100 2" xfId="10551"/>
    <cellStyle name="Percent 101" xfId="10552"/>
    <cellStyle name="Percent 101 2" xfId="10553"/>
    <cellStyle name="Percent 102" xfId="10554"/>
    <cellStyle name="Percent 102 2" xfId="10555"/>
    <cellStyle name="Percent 103" xfId="10556"/>
    <cellStyle name="Percent 103 2" xfId="10557"/>
    <cellStyle name="Percent 104" xfId="10558"/>
    <cellStyle name="Percent 104 2" xfId="10559"/>
    <cellStyle name="Percent 105" xfId="10560"/>
    <cellStyle name="Percent 105 2" xfId="10561"/>
    <cellStyle name="Percent 106" xfId="10562"/>
    <cellStyle name="Percent 106 2" xfId="10563"/>
    <cellStyle name="Percent 107" xfId="10564"/>
    <cellStyle name="Percent 108" xfId="10565"/>
    <cellStyle name="Percent 108 2" xfId="10566"/>
    <cellStyle name="Percent 109" xfId="10567"/>
    <cellStyle name="Percent 11" xfId="5596"/>
    <cellStyle name="Percent 11 2" xfId="5597"/>
    <cellStyle name="Percent 11 2 2" xfId="10569"/>
    <cellStyle name="Percent 11 2 3" xfId="14994"/>
    <cellStyle name="Percent 11 3" xfId="5598"/>
    <cellStyle name="Percent 11 3 2" xfId="10570"/>
    <cellStyle name="Percent 11 3 3" xfId="14995"/>
    <cellStyle name="Percent 11 4" xfId="5599"/>
    <cellStyle name="Percent 11 4 2" xfId="10571"/>
    <cellStyle name="Percent 11 5" xfId="10568"/>
    <cellStyle name="Percent 11 6" xfId="14993"/>
    <cellStyle name="Percent 110" xfId="10572"/>
    <cellStyle name="Percent 111" xfId="10573"/>
    <cellStyle name="Percent 112" xfId="10574"/>
    <cellStyle name="Percent 113" xfId="10575"/>
    <cellStyle name="Percent 113 2" xfId="10576"/>
    <cellStyle name="Percent 114" xfId="10577"/>
    <cellStyle name="Percent 114 2" xfId="10578"/>
    <cellStyle name="Percent 115" xfId="10579"/>
    <cellStyle name="Percent 115 2" xfId="10580"/>
    <cellStyle name="Percent 116" xfId="10581"/>
    <cellStyle name="Percent 116 2" xfId="1659"/>
    <cellStyle name="Percent 117" xfId="1658"/>
    <cellStyle name="Percent 117 2" xfId="1657"/>
    <cellStyle name="Percent 118" xfId="1656"/>
    <cellStyle name="Percent 118 2" xfId="1655"/>
    <cellStyle name="Percent 119" xfId="1654"/>
    <cellStyle name="Percent 119 2" xfId="1653"/>
    <cellStyle name="Percent 12" xfId="5600"/>
    <cellStyle name="Percent 12 2" xfId="1651"/>
    <cellStyle name="Percent 12 3" xfId="1650"/>
    <cellStyle name="Percent 12 4" xfId="1649"/>
    <cellStyle name="Percent 12 5" xfId="1652"/>
    <cellStyle name="Percent 120" xfId="10582"/>
    <cellStyle name="Percent 120 2" xfId="1648"/>
    <cellStyle name="Percent 121" xfId="10583"/>
    <cellStyle name="Percent 122" xfId="10584"/>
    <cellStyle name="Percent 123" xfId="10585"/>
    <cellStyle name="Percent 124" xfId="10586"/>
    <cellStyle name="Percent 124 2" xfId="10587"/>
    <cellStyle name="Percent 125" xfId="10588"/>
    <cellStyle name="Percent 125 2" xfId="1647"/>
    <cellStyle name="Percent 126" xfId="1646"/>
    <cellStyle name="Percent 126 2" xfId="8833"/>
    <cellStyle name="Percent 127" xfId="1645"/>
    <cellStyle name="Percent 127 2" xfId="1644"/>
    <cellStyle name="Percent 128" xfId="8834"/>
    <cellStyle name="Percent 128 2" xfId="1643"/>
    <cellStyle name="Percent 129" xfId="1642"/>
    <cellStyle name="Percent 13" xfId="5601"/>
    <cellStyle name="Percent 13 2" xfId="5602"/>
    <cellStyle name="Percent 13 2 2" xfId="1641"/>
    <cellStyle name="Percent 13 2 3" xfId="14997"/>
    <cellStyle name="Percent 13 3" xfId="5603"/>
    <cellStyle name="Percent 13 3 2" xfId="1640"/>
    <cellStyle name="Percent 13 3 3" xfId="14998"/>
    <cellStyle name="Percent 13 4" xfId="5604"/>
    <cellStyle name="Percent 13 5" xfId="8480"/>
    <cellStyle name="Percent 13 5 2" xfId="15021"/>
    <cellStyle name="Percent 13 5 2 2" xfId="15054"/>
    <cellStyle name="Percent 13 5 3" xfId="15048"/>
    <cellStyle name="Percent 13 6" xfId="8835"/>
    <cellStyle name="Percent 13 7" xfId="14996"/>
    <cellStyle name="Percent 130" xfId="8836"/>
    <cellStyle name="Percent 130 2" xfId="1639"/>
    <cellStyle name="Percent 131" xfId="1638"/>
    <cellStyle name="Percent 131 2" xfId="8837"/>
    <cellStyle name="Percent 132" xfId="1637"/>
    <cellStyle name="Percent 132 2" xfId="1636"/>
    <cellStyle name="Percent 133" xfId="8838"/>
    <cellStyle name="Percent 133 2" xfId="1635"/>
    <cellStyle name="Percent 134" xfId="1634"/>
    <cellStyle name="Percent 134 2" xfId="8839"/>
    <cellStyle name="Percent 135" xfId="10589"/>
    <cellStyle name="Percent 135 2" xfId="1633"/>
    <cellStyle name="Percent 136" xfId="1632"/>
    <cellStyle name="Percent 136 2" xfId="8840"/>
    <cellStyle name="Percent 137" xfId="10590"/>
    <cellStyle name="Percent 137 2" xfId="1631"/>
    <cellStyle name="Percent 138" xfId="1630"/>
    <cellStyle name="Percent 139" xfId="8841"/>
    <cellStyle name="Percent 14" xfId="5605"/>
    <cellStyle name="Percent 14 2" xfId="1628"/>
    <cellStyle name="Percent 14 3" xfId="8842"/>
    <cellStyle name="Percent 14 4" xfId="1629"/>
    <cellStyle name="Percent 140" xfId="1627"/>
    <cellStyle name="Percent 140 2" xfId="1626"/>
    <cellStyle name="Percent 141" xfId="8843"/>
    <cellStyle name="Percent 142" xfId="1625"/>
    <cellStyle name="Percent 143" xfId="1624"/>
    <cellStyle name="Percent 144" xfId="8844"/>
    <cellStyle name="Percent 145" xfId="1623"/>
    <cellStyle name="Percent 146" xfId="1622"/>
    <cellStyle name="Percent 147" xfId="8845"/>
    <cellStyle name="Percent 148" xfId="1621"/>
    <cellStyle name="Percent 149" xfId="1620"/>
    <cellStyle name="Percent 149 2" xfId="8846"/>
    <cellStyle name="Percent 15" xfId="5606"/>
    <cellStyle name="Percent 15 2" xfId="10592"/>
    <cellStyle name="Percent 15 3" xfId="1619"/>
    <cellStyle name="Percent 15 4" xfId="10591"/>
    <cellStyle name="Percent 150" xfId="1618"/>
    <cellStyle name="Percent 150 2" xfId="1617"/>
    <cellStyle name="Percent 151" xfId="1616"/>
    <cellStyle name="Percent 151 2" xfId="1615"/>
    <cellStyle name="Percent 152" xfId="1614"/>
    <cellStyle name="Percent 152 2" xfId="1613"/>
    <cellStyle name="Percent 153" xfId="1612"/>
    <cellStyle name="Percent 153 2" xfId="1611"/>
    <cellStyle name="Percent 154" xfId="1610"/>
    <cellStyle name="Percent 154 2" xfId="1609"/>
    <cellStyle name="Percent 155" xfId="1608"/>
    <cellStyle name="Percent 155 2" xfId="1607"/>
    <cellStyle name="Percent 156" xfId="8847"/>
    <cellStyle name="Percent 157" xfId="1606"/>
    <cellStyle name="Percent 158" xfId="1605"/>
    <cellStyle name="Percent 159" xfId="8848"/>
    <cellStyle name="Percent 16" xfId="5607"/>
    <cellStyle name="Percent 16 2" xfId="1603"/>
    <cellStyle name="Percent 16 3" xfId="1604"/>
    <cellStyle name="Percent 160" xfId="8849"/>
    <cellStyle name="Percent 161" xfId="1602"/>
    <cellStyle name="Percent 162" xfId="1601"/>
    <cellStyle name="Percent 162 2" xfId="8850"/>
    <cellStyle name="Percent 163" xfId="1600"/>
    <cellStyle name="Percent 164" xfId="1599"/>
    <cellStyle name="Percent 165" xfId="8851"/>
    <cellStyle name="Percent 166" xfId="1598"/>
    <cellStyle name="Percent 166 2" xfId="1597"/>
    <cellStyle name="Percent 167" xfId="8852"/>
    <cellStyle name="Percent 167 2" xfId="1596"/>
    <cellStyle name="Percent 168" xfId="1595"/>
    <cellStyle name="Percent 168 2" xfId="1594"/>
    <cellStyle name="Percent 169" xfId="8853"/>
    <cellStyle name="Percent 169 2" xfId="10593"/>
    <cellStyle name="Percent 17" xfId="5608"/>
    <cellStyle name="Percent 17 2" xfId="1592"/>
    <cellStyle name="Percent 17 3" xfId="1593"/>
    <cellStyle name="Percent 170" xfId="8854"/>
    <cellStyle name="Percent 170 2" xfId="10594"/>
    <cellStyle name="Percent 171" xfId="1591"/>
    <cellStyle name="Percent 172" xfId="1590"/>
    <cellStyle name="Percent 173" xfId="8855"/>
    <cellStyle name="Percent 174" xfId="10595"/>
    <cellStyle name="Percent 175" xfId="1589"/>
    <cellStyle name="Percent 176" xfId="1588"/>
    <cellStyle name="Percent 176 2" xfId="8856"/>
    <cellStyle name="Percent 177" xfId="10596"/>
    <cellStyle name="Percent 177 2" xfId="1587"/>
    <cellStyle name="Percent 178" xfId="1586"/>
    <cellStyle name="Percent 178 2" xfId="8857"/>
    <cellStyle name="Percent 179" xfId="10597"/>
    <cellStyle name="Percent 179 2" xfId="1585"/>
    <cellStyle name="Percent 18" xfId="5609"/>
    <cellStyle name="Percent 18 2" xfId="8858"/>
    <cellStyle name="Percent 18 3" xfId="1584"/>
    <cellStyle name="Percent 180" xfId="10598"/>
    <cellStyle name="Percent 180 2" xfId="1583"/>
    <cellStyle name="Percent 181" xfId="1582"/>
    <cellStyle name="Percent 181 2" xfId="8859"/>
    <cellStyle name="Percent 182" xfId="1581"/>
    <cellStyle name="Percent 183" xfId="1580"/>
    <cellStyle name="Percent 183 2" xfId="8860"/>
    <cellStyle name="Percent 184" xfId="10599"/>
    <cellStyle name="Percent 185" xfId="1579"/>
    <cellStyle name="Percent 186" xfId="10600"/>
    <cellStyle name="Percent 187" xfId="8491"/>
    <cellStyle name="Percent 188" xfId="10601"/>
    <cellStyle name="Percent 189" xfId="10602"/>
    <cellStyle name="Percent 19" xfId="5610"/>
    <cellStyle name="Percent 19 2" xfId="10604"/>
    <cellStyle name="Percent 19 3" xfId="10603"/>
    <cellStyle name="Percent 190" xfId="1578"/>
    <cellStyle name="Percent 191" xfId="1577"/>
    <cellStyle name="Percent 192" xfId="8861"/>
    <cellStyle name="Percent 193" xfId="1576"/>
    <cellStyle name="Percent 194" xfId="1575"/>
    <cellStyle name="Percent 195" xfId="8862"/>
    <cellStyle name="Percent 196" xfId="1574"/>
    <cellStyle name="Percent 197" xfId="1573"/>
    <cellStyle name="Percent 197 2" xfId="8863"/>
    <cellStyle name="Percent 198" xfId="1572"/>
    <cellStyle name="Percent 198 2" xfId="1571"/>
    <cellStyle name="Percent 199" xfId="8864"/>
    <cellStyle name="Percent 2" xfId="1203"/>
    <cellStyle name="Percent 2 10" xfId="1204"/>
    <cellStyle name="Percent 2 10 2" xfId="5611"/>
    <cellStyle name="Percent 2 10 2 2" xfId="8865"/>
    <cellStyle name="Percent 2 10 3" xfId="1568"/>
    <cellStyle name="Percent 2 10 4" xfId="1569"/>
    <cellStyle name="Percent 2 11" xfId="1205"/>
    <cellStyle name="Percent 2 11 2" xfId="8866"/>
    <cellStyle name="Percent 2 11 3" xfId="1566"/>
    <cellStyle name="Percent 2 11 4" xfId="1567"/>
    <cellStyle name="Percent 2 12" xfId="1565"/>
    <cellStyle name="Percent 2 12 2" xfId="8867"/>
    <cellStyle name="Percent 2 13" xfId="10605"/>
    <cellStyle name="Percent 2 13 2" xfId="1564"/>
    <cellStyle name="Percent 2 14" xfId="1563"/>
    <cellStyle name="Percent 2 14 2" xfId="8868"/>
    <cellStyle name="Percent 2 15" xfId="10606"/>
    <cellStyle name="Percent 2 15 2" xfId="1562"/>
    <cellStyle name="Percent 2 16" xfId="1561"/>
    <cellStyle name="Percent 2 16 2" xfId="8869"/>
    <cellStyle name="Percent 2 17" xfId="10607"/>
    <cellStyle name="Percent 2 17 2" xfId="1560"/>
    <cellStyle name="Percent 2 18" xfId="1559"/>
    <cellStyle name="Percent 2 18 2" xfId="8870"/>
    <cellStyle name="Percent 2 19" xfId="10608"/>
    <cellStyle name="Percent 2 19 2" xfId="1558"/>
    <cellStyle name="Percent 2 2" xfId="1206"/>
    <cellStyle name="Percent 2 2 2" xfId="5612"/>
    <cellStyle name="Percent 2 2 2 2" xfId="10609"/>
    <cellStyle name="Percent 2 2 2 3" xfId="8871"/>
    <cellStyle name="Percent 2 2 3" xfId="5613"/>
    <cellStyle name="Percent 2 2 3 2" xfId="1556"/>
    <cellStyle name="Percent 2 2 4" xfId="5614"/>
    <cellStyle name="Percent 2 2 4 2" xfId="1555"/>
    <cellStyle name="Percent 2 2 5" xfId="8872"/>
    <cellStyle name="Percent 2 2 6" xfId="1554"/>
    <cellStyle name="Percent 2 2 7" xfId="1557"/>
    <cellStyle name="Percent 2 20" xfId="1553"/>
    <cellStyle name="Percent 2 20 2" xfId="8873"/>
    <cellStyle name="Percent 2 21" xfId="1552"/>
    <cellStyle name="Percent 2 21 2" xfId="1551"/>
    <cellStyle name="Percent 2 22" xfId="8874"/>
    <cellStyle name="Percent 2 22 2" xfId="10610"/>
    <cellStyle name="Percent 2 23" xfId="10611"/>
    <cellStyle name="Percent 2 23 2" xfId="10612"/>
    <cellStyle name="Percent 2 24" xfId="10613"/>
    <cellStyle name="Percent 2 24 2" xfId="10614"/>
    <cellStyle name="Percent 2 25" xfId="10615"/>
    <cellStyle name="Percent 2 25 2" xfId="10616"/>
    <cellStyle name="Percent 2 26" xfId="10617"/>
    <cellStyle name="Percent 2 26 2" xfId="10618"/>
    <cellStyle name="Percent 2 27" xfId="10619"/>
    <cellStyle name="Percent 2 27 2" xfId="10620"/>
    <cellStyle name="Percent 2 28" xfId="10621"/>
    <cellStyle name="Percent 2 28 2" xfId="10622"/>
    <cellStyle name="Percent 2 29" xfId="10623"/>
    <cellStyle name="Percent 2 3" xfId="1207"/>
    <cellStyle name="Percent 2 3 2" xfId="5616"/>
    <cellStyle name="Percent 2 3 2 2" xfId="10625"/>
    <cellStyle name="Percent 2 3 3" xfId="5617"/>
    <cellStyle name="Percent 2 3 3 2" xfId="10626"/>
    <cellStyle name="Percent 2 3 4" xfId="5618"/>
    <cellStyle name="Percent 2 3 4 2" xfId="10627"/>
    <cellStyle name="Percent 2 3 5" xfId="5619"/>
    <cellStyle name="Percent 2 3 5 2" xfId="10624"/>
    <cellStyle name="Percent 2 3 6" xfId="5615"/>
    <cellStyle name="Percent 2 30" xfId="10628"/>
    <cellStyle name="Percent 2 31" xfId="1570"/>
    <cellStyle name="Percent 2 4" xfId="1208"/>
    <cellStyle name="Percent 2 4 2" xfId="5621"/>
    <cellStyle name="Percent 2 4 2 2" xfId="10630"/>
    <cellStyle name="Percent 2 4 3" xfId="5622"/>
    <cellStyle name="Percent 2 4 3 2" xfId="10631"/>
    <cellStyle name="Percent 2 4 4" xfId="5623"/>
    <cellStyle name="Percent 2 4 4 2" xfId="10632"/>
    <cellStyle name="Percent 2 4 5" xfId="5624"/>
    <cellStyle name="Percent 2 4 5 2" xfId="10629"/>
    <cellStyle name="Percent 2 4 6" xfId="5620"/>
    <cellStyle name="Percent 2 5" xfId="1209"/>
    <cellStyle name="Percent 2 5 2" xfId="5626"/>
    <cellStyle name="Percent 2 5 2 2" xfId="10634"/>
    <cellStyle name="Percent 2 5 3" xfId="5627"/>
    <cellStyle name="Percent 2 5 3 2" xfId="10635"/>
    <cellStyle name="Percent 2 5 4" xfId="5625"/>
    <cellStyle name="Percent 2 5 4 2" xfId="10636"/>
    <cellStyle name="Percent 2 5 5" xfId="10633"/>
    <cellStyle name="Percent 2 6" xfId="1210"/>
    <cellStyle name="Percent 2 6 2" xfId="5629"/>
    <cellStyle name="Percent 2 6 2 2" xfId="10638"/>
    <cellStyle name="Percent 2 6 3" xfId="5630"/>
    <cellStyle name="Percent 2 6 3 2" xfId="10639"/>
    <cellStyle name="Percent 2 6 4" xfId="5628"/>
    <cellStyle name="Percent 2 6 4 2" xfId="10640"/>
    <cellStyle name="Percent 2 6 5" xfId="10637"/>
    <cellStyle name="Percent 2 7" xfId="1211"/>
    <cellStyle name="Percent 2 7 2" xfId="10642"/>
    <cellStyle name="Percent 2 7 3" xfId="10643"/>
    <cellStyle name="Percent 2 7 4" xfId="10644"/>
    <cellStyle name="Percent 2 7 5" xfId="10641"/>
    <cellStyle name="Percent 2 8" xfId="1212"/>
    <cellStyle name="Percent 2 8 2" xfId="10646"/>
    <cellStyle name="Percent 2 8 3" xfId="10647"/>
    <cellStyle name="Percent 2 8 4" xfId="10645"/>
    <cellStyle name="Percent 2 9" xfId="1213"/>
    <cellStyle name="Percent 2 9 2" xfId="5631"/>
    <cellStyle name="Percent 2 9 2 2" xfId="10649"/>
    <cellStyle name="Percent 2 9 3" xfId="10650"/>
    <cellStyle name="Percent 2 9 4" xfId="10648"/>
    <cellStyle name="Percent 20" xfId="3119"/>
    <cellStyle name="Percent 20 2" xfId="10652"/>
    <cellStyle name="Percent 20 3" xfId="10653"/>
    <cellStyle name="Percent 20 4" xfId="10651"/>
    <cellStyle name="Percent 20 5" xfId="14878"/>
    <cellStyle name="Percent 200" xfId="10654"/>
    <cellStyle name="Percent 201" xfId="10655"/>
    <cellStyle name="Percent 202" xfId="10656"/>
    <cellStyle name="Percent 202 2" xfId="10657"/>
    <cellStyle name="Percent 203" xfId="10658"/>
    <cellStyle name="Percent 203 2" xfId="10659"/>
    <cellStyle name="Percent 204" xfId="10660"/>
    <cellStyle name="Percent 204 2" xfId="10661"/>
    <cellStyle name="Percent 205" xfId="10662"/>
    <cellStyle name="Percent 205 2" xfId="10663"/>
    <cellStyle name="Percent 206" xfId="10664"/>
    <cellStyle name="Percent 207" xfId="10665"/>
    <cellStyle name="Percent 207 2" xfId="10666"/>
    <cellStyle name="Percent 208" xfId="10667"/>
    <cellStyle name="Percent 209" xfId="10668"/>
    <cellStyle name="Percent 21" xfId="5642"/>
    <cellStyle name="Percent 21 2" xfId="10670"/>
    <cellStyle name="Percent 21 3" xfId="10671"/>
    <cellStyle name="Percent 21 4" xfId="10669"/>
    <cellStyle name="Percent 21 5" xfId="15008"/>
    <cellStyle name="Percent 210" xfId="10672"/>
    <cellStyle name="Percent 211" xfId="10673"/>
    <cellStyle name="Percent 211 2" xfId="10674"/>
    <cellStyle name="Percent 212" xfId="10675"/>
    <cellStyle name="Percent 213" xfId="10676"/>
    <cellStyle name="Percent 214" xfId="10677"/>
    <cellStyle name="Percent 215" xfId="10678"/>
    <cellStyle name="Percent 216" xfId="10679"/>
    <cellStyle name="Percent 217" xfId="10680"/>
    <cellStyle name="Percent 217 2" xfId="10681"/>
    <cellStyle name="Percent 218" xfId="10682"/>
    <cellStyle name="Percent 218 2" xfId="10683"/>
    <cellStyle name="Percent 219" xfId="10684"/>
    <cellStyle name="Percent 219 2" xfId="10685"/>
    <cellStyle name="Percent 22" xfId="8485"/>
    <cellStyle name="Percent 22 2" xfId="10687"/>
    <cellStyle name="Percent 22 3" xfId="10688"/>
    <cellStyle name="Percent 22 4" xfId="10686"/>
    <cellStyle name="Percent 22 5" xfId="15023"/>
    <cellStyle name="Percent 220" xfId="10689"/>
    <cellStyle name="Percent 220 2" xfId="10690"/>
    <cellStyle name="Percent 221" xfId="10691"/>
    <cellStyle name="Percent 221 2" xfId="10692"/>
    <cellStyle name="Percent 222" xfId="10693"/>
    <cellStyle name="Percent 222 2" xfId="10694"/>
    <cellStyle name="Percent 223" xfId="10695"/>
    <cellStyle name="Percent 223 2" xfId="10696"/>
    <cellStyle name="Percent 224" xfId="10697"/>
    <cellStyle name="Percent 224 2" xfId="10698"/>
    <cellStyle name="Percent 225" xfId="10699"/>
    <cellStyle name="Percent 225 2" xfId="10700"/>
    <cellStyle name="Percent 226" xfId="10701"/>
    <cellStyle name="Percent 227" xfId="10702"/>
    <cellStyle name="Percent 228" xfId="10703"/>
    <cellStyle name="Percent 228 2" xfId="10704"/>
    <cellStyle name="Percent 229" xfId="10705"/>
    <cellStyle name="Percent 229 2" xfId="10706"/>
    <cellStyle name="Percent 23" xfId="3048"/>
    <cellStyle name="Percent 23 2" xfId="10708"/>
    <cellStyle name="Percent 23 3" xfId="10709"/>
    <cellStyle name="Percent 23 4" xfId="10707"/>
    <cellStyle name="Percent 230" xfId="10710"/>
    <cellStyle name="Percent 230 2" xfId="10711"/>
    <cellStyle name="Percent 231" xfId="10712"/>
    <cellStyle name="Percent 232" xfId="10713"/>
    <cellStyle name="Percent 233" xfId="10714"/>
    <cellStyle name="Percent 234" xfId="10715"/>
    <cellStyle name="Percent 235" xfId="10716"/>
    <cellStyle name="Percent 236" xfId="10717"/>
    <cellStyle name="Percent 237" xfId="10718"/>
    <cellStyle name="Percent 238" xfId="10719"/>
    <cellStyle name="Percent 239" xfId="10720"/>
    <cellStyle name="Percent 24" xfId="10721"/>
    <cellStyle name="Percent 24 2" xfId="10722"/>
    <cellStyle name="Percent 240" xfId="10723"/>
    <cellStyle name="Percent 241" xfId="10724"/>
    <cellStyle name="Percent 242" xfId="10725"/>
    <cellStyle name="Percent 243" xfId="10726"/>
    <cellStyle name="Percent 244" xfId="10727"/>
    <cellStyle name="Percent 245" xfId="10728"/>
    <cellStyle name="Percent 246" xfId="10729"/>
    <cellStyle name="Percent 247" xfId="10730"/>
    <cellStyle name="Percent 248" xfId="10731"/>
    <cellStyle name="Percent 249" xfId="10732"/>
    <cellStyle name="Percent 25" xfId="10733"/>
    <cellStyle name="Percent 25 2" xfId="10734"/>
    <cellStyle name="Percent 25 3" xfId="10735"/>
    <cellStyle name="Percent 250" xfId="10736"/>
    <cellStyle name="Percent 251" xfId="10737"/>
    <cellStyle name="Percent 252" xfId="10738"/>
    <cellStyle name="Percent 253" xfId="10739"/>
    <cellStyle name="Percent 254" xfId="10740"/>
    <cellStyle name="Percent 255" xfId="10741"/>
    <cellStyle name="Percent 256" xfId="10742"/>
    <cellStyle name="Percent 257" xfId="10743"/>
    <cellStyle name="Percent 258" xfId="10744"/>
    <cellStyle name="Percent 259" xfId="10745"/>
    <cellStyle name="Percent 26" xfId="10746"/>
    <cellStyle name="Percent 26 2" xfId="10747"/>
    <cellStyle name="Percent 260" xfId="10748"/>
    <cellStyle name="Percent 261" xfId="10749"/>
    <cellStyle name="Percent 262" xfId="10750"/>
    <cellStyle name="Percent 263" xfId="10751"/>
    <cellStyle name="Percent 264" xfId="10752"/>
    <cellStyle name="Percent 265" xfId="10753"/>
    <cellStyle name="Percent 266" xfId="10754"/>
    <cellStyle name="Percent 267" xfId="10755"/>
    <cellStyle name="Percent 268" xfId="10756"/>
    <cellStyle name="Percent 269" xfId="10757"/>
    <cellStyle name="Percent 27" xfId="10758"/>
    <cellStyle name="Percent 27 2" xfId="10759"/>
    <cellStyle name="Percent 270" xfId="10760"/>
    <cellStyle name="Percent 271" xfId="10761"/>
    <cellStyle name="Percent 272" xfId="10762"/>
    <cellStyle name="Percent 273" xfId="10763"/>
    <cellStyle name="Percent 274" xfId="10764"/>
    <cellStyle name="Percent 275" xfId="10765"/>
    <cellStyle name="Percent 276" xfId="10766"/>
    <cellStyle name="Percent 277" xfId="10767"/>
    <cellStyle name="Percent 278" xfId="10768"/>
    <cellStyle name="Percent 279" xfId="10769"/>
    <cellStyle name="Percent 28" xfId="10770"/>
    <cellStyle name="Percent 28 2" xfId="10771"/>
    <cellStyle name="Percent 280" xfId="10772"/>
    <cellStyle name="Percent 281" xfId="10773"/>
    <cellStyle name="Percent 282" xfId="10774"/>
    <cellStyle name="Percent 283" xfId="10775"/>
    <cellStyle name="Percent 284" xfId="10776"/>
    <cellStyle name="Percent 285" xfId="10777"/>
    <cellStyle name="Percent 286" xfId="10778"/>
    <cellStyle name="Percent 287" xfId="10779"/>
    <cellStyle name="Percent 288" xfId="10780"/>
    <cellStyle name="Percent 289" xfId="10781"/>
    <cellStyle name="Percent 29" xfId="10782"/>
    <cellStyle name="Percent 29 2" xfId="10783"/>
    <cellStyle name="Percent 290" xfId="10784"/>
    <cellStyle name="Percent 291" xfId="10785"/>
    <cellStyle name="Percent 292" xfId="10786"/>
    <cellStyle name="Percent 293" xfId="10787"/>
    <cellStyle name="Percent 294" xfId="10788"/>
    <cellStyle name="Percent 295" xfId="10789"/>
    <cellStyle name="Percent 296" xfId="10790"/>
    <cellStyle name="Percent 297" xfId="10791"/>
    <cellStyle name="Percent 298" xfId="10792"/>
    <cellStyle name="Percent 299" xfId="10793"/>
    <cellStyle name="Percent 3" xfId="1214"/>
    <cellStyle name="Percent 3 10" xfId="1215"/>
    <cellStyle name="Percent 3 10 2" xfId="10796"/>
    <cellStyle name="Percent 3 10 3" xfId="10797"/>
    <cellStyle name="Percent 3 10 4" xfId="10795"/>
    <cellStyle name="Percent 3 11" xfId="1216"/>
    <cellStyle name="Percent 3 11 2" xfId="10799"/>
    <cellStyle name="Percent 3 11 3" xfId="10800"/>
    <cellStyle name="Percent 3 11 4" xfId="10798"/>
    <cellStyle name="Percent 3 12" xfId="5632"/>
    <cellStyle name="Percent 3 12 2" xfId="10802"/>
    <cellStyle name="Percent 3 12 3" xfId="10803"/>
    <cellStyle name="Percent 3 12 4" xfId="10801"/>
    <cellStyle name="Percent 3 12 5" xfId="14999"/>
    <cellStyle name="Percent 3 13" xfId="10804"/>
    <cellStyle name="Percent 3 13 2" xfId="10805"/>
    <cellStyle name="Percent 3 13 3" xfId="10806"/>
    <cellStyle name="Percent 3 14" xfId="10807"/>
    <cellStyle name="Percent 3 14 2" xfId="10808"/>
    <cellStyle name="Percent 3 14 3" xfId="10809"/>
    <cellStyle name="Percent 3 15" xfId="10810"/>
    <cellStyle name="Percent 3 16" xfId="10811"/>
    <cellStyle name="Percent 3 17" xfId="10812"/>
    <cellStyle name="Percent 3 18" xfId="10813"/>
    <cellStyle name="Percent 3 19" xfId="10814"/>
    <cellStyle name="Percent 3 2" xfId="1217"/>
    <cellStyle name="Percent 3 2 2" xfId="1463"/>
    <cellStyle name="Percent 3 2 2 2" xfId="5635"/>
    <cellStyle name="Percent 3 2 2 2 2" xfId="10817"/>
    <cellStyle name="Percent 3 2 2 2 3" xfId="15002"/>
    <cellStyle name="Percent 3 2 2 3" xfId="5634"/>
    <cellStyle name="Percent 3 2 2 3 2" xfId="15001"/>
    <cellStyle name="Percent 3 2 2 4" xfId="10816"/>
    <cellStyle name="Percent 3 2 3" xfId="5636"/>
    <cellStyle name="Percent 3 2 3 2" xfId="10818"/>
    <cellStyle name="Percent 3 2 3 3" xfId="15003"/>
    <cellStyle name="Percent 3 2 4" xfId="5637"/>
    <cellStyle name="Percent 3 2 4 2" xfId="10815"/>
    <cellStyle name="Percent 3 2 4 3" xfId="15004"/>
    <cellStyle name="Percent 3 2 5" xfId="5638"/>
    <cellStyle name="Percent 3 2 6" xfId="5633"/>
    <cellStyle name="Percent 3 2 6 2" xfId="15000"/>
    <cellStyle name="Percent 3 20" xfId="10819"/>
    <cellStyle name="Percent 3 21" xfId="10820"/>
    <cellStyle name="Percent 3 22" xfId="10821"/>
    <cellStyle name="Percent 3 23" xfId="10822"/>
    <cellStyle name="Percent 3 24" xfId="10823"/>
    <cellStyle name="Percent 3 25" xfId="10824"/>
    <cellStyle name="Percent 3 26" xfId="10825"/>
    <cellStyle name="Percent 3 27" xfId="10826"/>
    <cellStyle name="Percent 3 28" xfId="10827"/>
    <cellStyle name="Percent 3 29" xfId="10828"/>
    <cellStyle name="Percent 3 3" xfId="1218"/>
    <cellStyle name="Percent 3 3 2" xfId="5640"/>
    <cellStyle name="Percent 3 3 2 2" xfId="10831"/>
    <cellStyle name="Percent 3 3 2 3" xfId="10830"/>
    <cellStyle name="Percent 3 3 2 4" xfId="15006"/>
    <cellStyle name="Percent 3 3 3" xfId="5639"/>
    <cellStyle name="Percent 3 3 3 2" xfId="10832"/>
    <cellStyle name="Percent 3 3 3 3" xfId="15005"/>
    <cellStyle name="Percent 3 3 4" xfId="10829"/>
    <cellStyle name="Percent 3 30" xfId="10833"/>
    <cellStyle name="Percent 3 31" xfId="10834"/>
    <cellStyle name="Percent 3 32" xfId="10835"/>
    <cellStyle name="Percent 3 33" xfId="10836"/>
    <cellStyle name="Percent 3 34" xfId="10837"/>
    <cellStyle name="Percent 3 34 2" xfId="10838"/>
    <cellStyle name="Percent 3 35" xfId="10839"/>
    <cellStyle name="Percent 3 36" xfId="10840"/>
    <cellStyle name="Percent 3 37" xfId="10841"/>
    <cellStyle name="Percent 3 38" xfId="10842"/>
    <cellStyle name="Percent 3 39" xfId="10794"/>
    <cellStyle name="Percent 3 4" xfId="1219"/>
    <cellStyle name="Percent 3 4 2" xfId="5641"/>
    <cellStyle name="Percent 3 4 2 2" xfId="10844"/>
    <cellStyle name="Percent 3 4 2 3" xfId="15007"/>
    <cellStyle name="Percent 3 4 3" xfId="10845"/>
    <cellStyle name="Percent 3 4 4" xfId="10843"/>
    <cellStyle name="Percent 3 5" xfId="1220"/>
    <cellStyle name="Percent 3 5 2" xfId="10847"/>
    <cellStyle name="Percent 3 5 3" xfId="10848"/>
    <cellStyle name="Percent 3 5 4" xfId="10846"/>
    <cellStyle name="Percent 3 6" xfId="1221"/>
    <cellStyle name="Percent 3 6 2" xfId="10850"/>
    <cellStyle name="Percent 3 6 3" xfId="10851"/>
    <cellStyle name="Percent 3 6 4" xfId="10849"/>
    <cellStyle name="Percent 3 7" xfId="1222"/>
    <cellStyle name="Percent 3 7 2" xfId="10853"/>
    <cellStyle name="Percent 3 7 3" xfId="10854"/>
    <cellStyle name="Percent 3 7 4" xfId="10852"/>
    <cellStyle name="Percent 3 8" xfId="1223"/>
    <cellStyle name="Percent 3 8 2" xfId="10856"/>
    <cellStyle name="Percent 3 8 3" xfId="10857"/>
    <cellStyle name="Percent 3 8 4" xfId="10855"/>
    <cellStyle name="Percent 3 9" xfId="1224"/>
    <cellStyle name="Percent 3 9 2" xfId="10859"/>
    <cellStyle name="Percent 3 9 3" xfId="10860"/>
    <cellStyle name="Percent 3 9 4" xfId="10858"/>
    <cellStyle name="Percent 30" xfId="10861"/>
    <cellStyle name="Percent 30 2" xfId="10862"/>
    <cellStyle name="Percent 30 3" xfId="10863"/>
    <cellStyle name="Percent 300" xfId="10864"/>
    <cellStyle name="Percent 301" xfId="10865"/>
    <cellStyle name="Percent 302" xfId="10866"/>
    <cellStyle name="Percent 303" xfId="10867"/>
    <cellStyle name="Percent 304" xfId="10868"/>
    <cellStyle name="Percent 305" xfId="10869"/>
    <cellStyle name="Percent 306" xfId="10870"/>
    <cellStyle name="Percent 307" xfId="10871"/>
    <cellStyle name="Percent 308" xfId="10872"/>
    <cellStyle name="Percent 309" xfId="10873"/>
    <cellStyle name="Percent 31" xfId="10874"/>
    <cellStyle name="Percent 31 2" xfId="10875"/>
    <cellStyle name="Percent 31 3" xfId="10876"/>
    <cellStyle name="Percent 310" xfId="10877"/>
    <cellStyle name="Percent 311" xfId="10878"/>
    <cellStyle name="Percent 312" xfId="10879"/>
    <cellStyle name="Percent 313" xfId="10880"/>
    <cellStyle name="Percent 314" xfId="10881"/>
    <cellStyle name="Percent 315" xfId="10882"/>
    <cellStyle name="Percent 316" xfId="10883"/>
    <cellStyle name="Percent 317" xfId="10884"/>
    <cellStyle name="Percent 318" xfId="10885"/>
    <cellStyle name="Percent 319" xfId="10886"/>
    <cellStyle name="Percent 32" xfId="10887"/>
    <cellStyle name="Percent 32 2" xfId="10888"/>
    <cellStyle name="Percent 320" xfId="10889"/>
    <cellStyle name="Percent 321" xfId="10890"/>
    <cellStyle name="Percent 322" xfId="10891"/>
    <cellStyle name="Percent 323" xfId="10892"/>
    <cellStyle name="Percent 324" xfId="10893"/>
    <cellStyle name="Percent 325" xfId="10894"/>
    <cellStyle name="Percent 326" xfId="10895"/>
    <cellStyle name="Percent 327" xfId="10896"/>
    <cellStyle name="Percent 328" xfId="10897"/>
    <cellStyle name="Percent 329" xfId="10898"/>
    <cellStyle name="Percent 33" xfId="10899"/>
    <cellStyle name="Percent 33 2" xfId="10900"/>
    <cellStyle name="Percent 330" xfId="10901"/>
    <cellStyle name="Percent 331" xfId="10902"/>
    <cellStyle name="Percent 332" xfId="10903"/>
    <cellStyle name="Percent 333" xfId="10904"/>
    <cellStyle name="Percent 334" xfId="10905"/>
    <cellStyle name="Percent 335" xfId="10906"/>
    <cellStyle name="Percent 336" xfId="10907"/>
    <cellStyle name="Percent 337" xfId="10908"/>
    <cellStyle name="Percent 338" xfId="10909"/>
    <cellStyle name="Percent 339" xfId="10910"/>
    <cellStyle name="Percent 34" xfId="10911"/>
    <cellStyle name="Percent 34 2" xfId="10912"/>
    <cellStyle name="Percent 34 3" xfId="10913"/>
    <cellStyle name="Percent 340" xfId="10914"/>
    <cellStyle name="Percent 341" xfId="10915"/>
    <cellStyle name="Percent 342" xfId="10916"/>
    <cellStyle name="Percent 343" xfId="10917"/>
    <cellStyle name="Percent 344" xfId="10918"/>
    <cellStyle name="Percent 345" xfId="10919"/>
    <cellStyle name="Percent 346" xfId="10920"/>
    <cellStyle name="Percent 347" xfId="10921"/>
    <cellStyle name="Percent 348" xfId="10922"/>
    <cellStyle name="Percent 349" xfId="10923"/>
    <cellStyle name="Percent 35" xfId="10924"/>
    <cellStyle name="Percent 35 2" xfId="10925"/>
    <cellStyle name="Percent 35 3" xfId="10926"/>
    <cellStyle name="Percent 350" xfId="10927"/>
    <cellStyle name="Percent 351" xfId="10928"/>
    <cellStyle name="Percent 352" xfId="10929"/>
    <cellStyle name="Percent 353" xfId="10930"/>
    <cellStyle name="Percent 354" xfId="10931"/>
    <cellStyle name="Percent 355" xfId="10932"/>
    <cellStyle name="Percent 356" xfId="10933"/>
    <cellStyle name="Percent 357" xfId="10934"/>
    <cellStyle name="Percent 358" xfId="10935"/>
    <cellStyle name="Percent 359" xfId="10936"/>
    <cellStyle name="Percent 36" xfId="10937"/>
    <cellStyle name="Percent 36 2" xfId="10938"/>
    <cellStyle name="Percent 36 3" xfId="10939"/>
    <cellStyle name="Percent 360" xfId="10940"/>
    <cellStyle name="Percent 361" xfId="10941"/>
    <cellStyle name="Percent 362" xfId="10942"/>
    <cellStyle name="Percent 363" xfId="10943"/>
    <cellStyle name="Percent 364" xfId="10944"/>
    <cellStyle name="Percent 365" xfId="10945"/>
    <cellStyle name="Percent 366" xfId="10946"/>
    <cellStyle name="Percent 367" xfId="10947"/>
    <cellStyle name="Percent 368" xfId="10948"/>
    <cellStyle name="Percent 369" xfId="10949"/>
    <cellStyle name="Percent 37" xfId="10950"/>
    <cellStyle name="Percent 37 2" xfId="10951"/>
    <cellStyle name="Percent 37 3" xfId="10952"/>
    <cellStyle name="Percent 370" xfId="10953"/>
    <cellStyle name="Percent 371" xfId="10954"/>
    <cellStyle name="Percent 372" xfId="10955"/>
    <cellStyle name="Percent 373" xfId="10956"/>
    <cellStyle name="Percent 374" xfId="10957"/>
    <cellStyle name="Percent 375" xfId="10958"/>
    <cellStyle name="Percent 376" xfId="10959"/>
    <cellStyle name="Percent 377" xfId="10960"/>
    <cellStyle name="Percent 378" xfId="10961"/>
    <cellStyle name="Percent 379" xfId="10962"/>
    <cellStyle name="Percent 38" xfId="10963"/>
    <cellStyle name="Percent 38 2" xfId="10964"/>
    <cellStyle name="Percent 38 3" xfId="10965"/>
    <cellStyle name="Percent 380" xfId="10966"/>
    <cellStyle name="Percent 381" xfId="10967"/>
    <cellStyle name="Percent 382" xfId="10968"/>
    <cellStyle name="Percent 383" xfId="10969"/>
    <cellStyle name="Percent 384" xfId="10970"/>
    <cellStyle name="Percent 385" xfId="10971"/>
    <cellStyle name="Percent 386" xfId="10972"/>
    <cellStyle name="Percent 387" xfId="10973"/>
    <cellStyle name="Percent 388" xfId="10974"/>
    <cellStyle name="Percent 389" xfId="10975"/>
    <cellStyle name="Percent 39" xfId="10976"/>
    <cellStyle name="Percent 39 2" xfId="10977"/>
    <cellStyle name="Percent 390" xfId="10978"/>
    <cellStyle name="Percent 391" xfId="10979"/>
    <cellStyle name="Percent 392" xfId="10980"/>
    <cellStyle name="Percent 393" xfId="10981"/>
    <cellStyle name="Percent 394" xfId="10982"/>
    <cellStyle name="Percent 395" xfId="10983"/>
    <cellStyle name="Percent 396" xfId="10984"/>
    <cellStyle name="Percent 397" xfId="10985"/>
    <cellStyle name="Percent 398" xfId="10986"/>
    <cellStyle name="Percent 399" xfId="10987"/>
    <cellStyle name="Percent 4" xfId="1225"/>
    <cellStyle name="Percent 4 2" xfId="1226"/>
    <cellStyle name="Percent 4 2 2" xfId="5644"/>
    <cellStyle name="Percent 4 2 2 2" xfId="10991"/>
    <cellStyle name="Percent 4 2 2 3" xfId="10990"/>
    <cellStyle name="Percent 4 2 3" xfId="5645"/>
    <cellStyle name="Percent 4 2 3 2" xfId="10989"/>
    <cellStyle name="Percent 4 2 3 3" xfId="15010"/>
    <cellStyle name="Percent 4 3" xfId="5646"/>
    <cellStyle name="Percent 4 3 2" xfId="10993"/>
    <cellStyle name="Percent 4 3 3" xfId="10992"/>
    <cellStyle name="Percent 4 4" xfId="5647"/>
    <cellStyle name="Percent 4 4 2" xfId="10994"/>
    <cellStyle name="Percent 4 5" xfId="5648"/>
    <cellStyle name="Percent 4 5 2" xfId="5649"/>
    <cellStyle name="Percent 4 5 2 2" xfId="15012"/>
    <cellStyle name="Percent 4 5 3" xfId="10995"/>
    <cellStyle name="Percent 4 5 4" xfId="15011"/>
    <cellStyle name="Percent 4 6" xfId="5650"/>
    <cellStyle name="Percent 4 6 2" xfId="10988"/>
    <cellStyle name="Percent 4 7" xfId="5651"/>
    <cellStyle name="Percent 40" xfId="10996"/>
    <cellStyle name="Percent 40 2" xfId="10997"/>
    <cellStyle name="Percent 40 3" xfId="10998"/>
    <cellStyle name="Percent 400" xfId="10999"/>
    <cellStyle name="Percent 401" xfId="11000"/>
    <cellStyle name="Percent 402" xfId="11001"/>
    <cellStyle name="Percent 403" xfId="11002"/>
    <cellStyle name="Percent 404" xfId="11003"/>
    <cellStyle name="Percent 405" xfId="11004"/>
    <cellStyle name="Percent 406" xfId="11005"/>
    <cellStyle name="Percent 407" xfId="11006"/>
    <cellStyle name="Percent 408" xfId="11007"/>
    <cellStyle name="Percent 409" xfId="11008"/>
    <cellStyle name="Percent 41" xfId="11009"/>
    <cellStyle name="Percent 41 2" xfId="11010"/>
    <cellStyle name="Percent 410" xfId="11011"/>
    <cellStyle name="Percent 411" xfId="11012"/>
    <cellStyle name="Percent 412" xfId="11013"/>
    <cellStyle name="Percent 413" xfId="11014"/>
    <cellStyle name="Percent 414" xfId="11015"/>
    <cellStyle name="Percent 415" xfId="11016"/>
    <cellStyle name="Percent 416" xfId="11017"/>
    <cellStyle name="Percent 417" xfId="11018"/>
    <cellStyle name="Percent 418" xfId="11019"/>
    <cellStyle name="Percent 419" xfId="11020"/>
    <cellStyle name="Percent 42" xfId="11021"/>
    <cellStyle name="Percent 42 2" xfId="11022"/>
    <cellStyle name="Percent 420" xfId="11023"/>
    <cellStyle name="Percent 421" xfId="11024"/>
    <cellStyle name="Percent 422" xfId="11025"/>
    <cellStyle name="Percent 423" xfId="11026"/>
    <cellStyle name="Percent 424" xfId="11027"/>
    <cellStyle name="Percent 425" xfId="11028"/>
    <cellStyle name="Percent 426" xfId="11029"/>
    <cellStyle name="Percent 427" xfId="11030"/>
    <cellStyle name="Percent 428" xfId="11031"/>
    <cellStyle name="Percent 429" xfId="11032"/>
    <cellStyle name="Percent 43" xfId="11033"/>
    <cellStyle name="Percent 43 2" xfId="11034"/>
    <cellStyle name="Percent 430" xfId="11035"/>
    <cellStyle name="Percent 431" xfId="11036"/>
    <cellStyle name="Percent 432" xfId="11037"/>
    <cellStyle name="Percent 433" xfId="11038"/>
    <cellStyle name="Percent 434" xfId="11039"/>
    <cellStyle name="Percent 435" xfId="11040"/>
    <cellStyle name="Percent 436" xfId="11041"/>
    <cellStyle name="Percent 437" xfId="11042"/>
    <cellStyle name="Percent 438" xfId="11043"/>
    <cellStyle name="Percent 439" xfId="11044"/>
    <cellStyle name="Percent 44" xfId="11045"/>
    <cellStyle name="Percent 44 2" xfId="11046"/>
    <cellStyle name="Percent 440" xfId="11047"/>
    <cellStyle name="Percent 441" xfId="11048"/>
    <cellStyle name="Percent 442" xfId="11049"/>
    <cellStyle name="Percent 443" xfId="11050"/>
    <cellStyle name="Percent 444" xfId="11051"/>
    <cellStyle name="Percent 445" xfId="11052"/>
    <cellStyle name="Percent 446" xfId="11053"/>
    <cellStyle name="Percent 447" xfId="11054"/>
    <cellStyle name="Percent 448" xfId="11055"/>
    <cellStyle name="Percent 449" xfId="11056"/>
    <cellStyle name="Percent 45" xfId="11057"/>
    <cellStyle name="Percent 45 2" xfId="11058"/>
    <cellStyle name="Percent 450" xfId="11059"/>
    <cellStyle name="Percent 451" xfId="11060"/>
    <cellStyle name="Percent 452" xfId="11061"/>
    <cellStyle name="Percent 453" xfId="11062"/>
    <cellStyle name="Percent 454" xfId="11063"/>
    <cellStyle name="Percent 455" xfId="11064"/>
    <cellStyle name="Percent 456" xfId="11065"/>
    <cellStyle name="Percent 457" xfId="11066"/>
    <cellStyle name="Percent 458" xfId="11067"/>
    <cellStyle name="Percent 459" xfId="11068"/>
    <cellStyle name="Percent 46" xfId="11069"/>
    <cellStyle name="Percent 46 2" xfId="11070"/>
    <cellStyle name="Percent 460" xfId="11071"/>
    <cellStyle name="Percent 461" xfId="11072"/>
    <cellStyle name="Percent 462" xfId="11073"/>
    <cellStyle name="Percent 463" xfId="11074"/>
    <cellStyle name="Percent 464" xfId="11075"/>
    <cellStyle name="Percent 465" xfId="11076"/>
    <cellStyle name="Percent 466" xfId="11077"/>
    <cellStyle name="Percent 467" xfId="11078"/>
    <cellStyle name="Percent 468" xfId="11079"/>
    <cellStyle name="Percent 469" xfId="11080"/>
    <cellStyle name="Percent 47" xfId="11081"/>
    <cellStyle name="Percent 47 2" xfId="11082"/>
    <cellStyle name="Percent 470" xfId="11083"/>
    <cellStyle name="Percent 471" xfId="11084"/>
    <cellStyle name="Percent 472" xfId="11085"/>
    <cellStyle name="Percent 473" xfId="11086"/>
    <cellStyle name="Percent 474" xfId="11087"/>
    <cellStyle name="Percent 475" xfId="11088"/>
    <cellStyle name="Percent 476" xfId="11089"/>
    <cellStyle name="Percent 477" xfId="11090"/>
    <cellStyle name="Percent 478" xfId="11091"/>
    <cellStyle name="Percent 479" xfId="11092"/>
    <cellStyle name="Percent 48" xfId="11093"/>
    <cellStyle name="Percent 48 2" xfId="11094"/>
    <cellStyle name="Percent 48 3" xfId="11095"/>
    <cellStyle name="Percent 480" xfId="11096"/>
    <cellStyle name="Percent 481" xfId="11097"/>
    <cellStyle name="Percent 482" xfId="11098"/>
    <cellStyle name="Percent 483" xfId="11099"/>
    <cellStyle name="Percent 484" xfId="11100"/>
    <cellStyle name="Percent 485" xfId="11101"/>
    <cellStyle name="Percent 486" xfId="11102"/>
    <cellStyle name="Percent 487" xfId="11103"/>
    <cellStyle name="Percent 488" xfId="11104"/>
    <cellStyle name="Percent 489" xfId="11105"/>
    <cellStyle name="Percent 49" xfId="11106"/>
    <cellStyle name="Percent 49 2" xfId="11107"/>
    <cellStyle name="Percent 49 3" xfId="11108"/>
    <cellStyle name="Percent 490" xfId="11109"/>
    <cellStyle name="Percent 491" xfId="11110"/>
    <cellStyle name="Percent 492" xfId="11111"/>
    <cellStyle name="Percent 493" xfId="11112"/>
    <cellStyle name="Percent 494" xfId="11113"/>
    <cellStyle name="Percent 495" xfId="11114"/>
    <cellStyle name="Percent 496" xfId="11115"/>
    <cellStyle name="Percent 497" xfId="11116"/>
    <cellStyle name="Percent 498" xfId="11117"/>
    <cellStyle name="Percent 499" xfId="11118"/>
    <cellStyle name="Percent 5" xfId="1441"/>
    <cellStyle name="Percent 5 2" xfId="5652"/>
    <cellStyle name="Percent 5 2 2" xfId="11120"/>
    <cellStyle name="Percent 5 2 3" xfId="15013"/>
    <cellStyle name="Percent 5 3" xfId="5653"/>
    <cellStyle name="Percent 5 3 2" xfId="11122"/>
    <cellStyle name="Percent 5 3 3" xfId="11121"/>
    <cellStyle name="Percent 5 4" xfId="5654"/>
    <cellStyle name="Percent 5 4 2" xfId="11123"/>
    <cellStyle name="Percent 5 4 3" xfId="15014"/>
    <cellStyle name="Percent 5 5" xfId="11119"/>
    <cellStyle name="Percent 50" xfId="11124"/>
    <cellStyle name="Percent 50 2" xfId="11125"/>
    <cellStyle name="Percent 500" xfId="11126"/>
    <cellStyle name="Percent 501" xfId="11127"/>
    <cellStyle name="Percent 502" xfId="11128"/>
    <cellStyle name="Percent 503" xfId="11129"/>
    <cellStyle name="Percent 504" xfId="11130"/>
    <cellStyle name="Percent 505" xfId="11131"/>
    <cellStyle name="Percent 506" xfId="11132"/>
    <cellStyle name="Percent 507" xfId="11133"/>
    <cellStyle name="Percent 508" xfId="11134"/>
    <cellStyle name="Percent 509" xfId="11135"/>
    <cellStyle name="Percent 51" xfId="11136"/>
    <cellStyle name="Percent 51 2" xfId="11137"/>
    <cellStyle name="Percent 510" xfId="11138"/>
    <cellStyle name="Percent 511" xfId="11139"/>
    <cellStyle name="Percent 512" xfId="11140"/>
    <cellStyle name="Percent 513" xfId="11141"/>
    <cellStyle name="Percent 514" xfId="11142"/>
    <cellStyle name="Percent 515" xfId="11143"/>
    <cellStyle name="Percent 516" xfId="11144"/>
    <cellStyle name="Percent 517" xfId="11145"/>
    <cellStyle name="Percent 518" xfId="11146"/>
    <cellStyle name="Percent 519" xfId="11147"/>
    <cellStyle name="Percent 52" xfId="11148"/>
    <cellStyle name="Percent 52 2" xfId="11149"/>
    <cellStyle name="Percent 520" xfId="11150"/>
    <cellStyle name="Percent 521" xfId="11151"/>
    <cellStyle name="Percent 522" xfId="11152"/>
    <cellStyle name="Percent 523" xfId="11153"/>
    <cellStyle name="Percent 524" xfId="11154"/>
    <cellStyle name="Percent 525" xfId="11155"/>
    <cellStyle name="Percent 526" xfId="11156"/>
    <cellStyle name="Percent 527" xfId="11157"/>
    <cellStyle name="Percent 528" xfId="11158"/>
    <cellStyle name="Percent 529" xfId="11159"/>
    <cellStyle name="Percent 53" xfId="11160"/>
    <cellStyle name="Percent 53 2" xfId="11161"/>
    <cellStyle name="Percent 530" xfId="11162"/>
    <cellStyle name="Percent 531" xfId="11163"/>
    <cellStyle name="Percent 532" xfId="11164"/>
    <cellStyle name="Percent 533" xfId="11165"/>
    <cellStyle name="Percent 534" xfId="11166"/>
    <cellStyle name="Percent 535" xfId="11167"/>
    <cellStyle name="Percent 536" xfId="11168"/>
    <cellStyle name="Percent 537" xfId="11169"/>
    <cellStyle name="Percent 538" xfId="11170"/>
    <cellStyle name="Percent 539" xfId="1510"/>
    <cellStyle name="Percent 54" xfId="1498"/>
    <cellStyle name="Percent 54 2" xfId="1490"/>
    <cellStyle name="Percent 540" xfId="1489"/>
    <cellStyle name="Percent 541" xfId="1505"/>
    <cellStyle name="Percent 542" xfId="1506"/>
    <cellStyle name="Percent 543" xfId="1509"/>
    <cellStyle name="Percent 544" xfId="1508"/>
    <cellStyle name="Percent 545" xfId="1499"/>
    <cellStyle name="Percent 546" xfId="11171"/>
    <cellStyle name="Percent 547" xfId="11172"/>
    <cellStyle name="Percent 548" xfId="11173"/>
    <cellStyle name="Percent 549" xfId="11174"/>
    <cellStyle name="Percent 55" xfId="11175"/>
    <cellStyle name="Percent 55 2" xfId="11176"/>
    <cellStyle name="Percent 550" xfId="11177"/>
    <cellStyle name="Percent 551" xfId="11178"/>
    <cellStyle name="Percent 552" xfId="11179"/>
    <cellStyle name="Percent 553" xfId="12990"/>
    <cellStyle name="Percent 554" xfId="12991"/>
    <cellStyle name="Percent 555" xfId="12992"/>
    <cellStyle name="Percent 556" xfId="12993"/>
    <cellStyle name="Percent 557" xfId="12994"/>
    <cellStyle name="Percent 558" xfId="12995"/>
    <cellStyle name="Percent 559" xfId="12996"/>
    <cellStyle name="Percent 56" xfId="12997"/>
    <cellStyle name="Percent 56 2" xfId="12998"/>
    <cellStyle name="Percent 560" xfId="12999"/>
    <cellStyle name="Percent 561" xfId="13000"/>
    <cellStyle name="Percent 562" xfId="13001"/>
    <cellStyle name="Percent 563" xfId="13002"/>
    <cellStyle name="Percent 564" xfId="13003"/>
    <cellStyle name="Percent 565" xfId="13004"/>
    <cellStyle name="Percent 566" xfId="13005"/>
    <cellStyle name="Percent 567" xfId="13006"/>
    <cellStyle name="Percent 568" xfId="13007"/>
    <cellStyle name="Percent 569" xfId="13008"/>
    <cellStyle name="Percent 57" xfId="13009"/>
    <cellStyle name="Percent 57 2" xfId="13010"/>
    <cellStyle name="Percent 570" xfId="13011"/>
    <cellStyle name="Percent 571" xfId="13012"/>
    <cellStyle name="Percent 572" xfId="13013"/>
    <cellStyle name="Percent 573" xfId="13014"/>
    <cellStyle name="Percent 574" xfId="13015"/>
    <cellStyle name="Percent 575" xfId="13016"/>
    <cellStyle name="Percent 576" xfId="13017"/>
    <cellStyle name="Percent 577" xfId="13018"/>
    <cellStyle name="Percent 578" xfId="13019"/>
    <cellStyle name="Percent 579" xfId="13020"/>
    <cellStyle name="Percent 58" xfId="13021"/>
    <cellStyle name="Percent 58 2" xfId="13022"/>
    <cellStyle name="Percent 580" xfId="13023"/>
    <cellStyle name="Percent 581" xfId="13024"/>
    <cellStyle name="Percent 582" xfId="13025"/>
    <cellStyle name="Percent 583" xfId="13026"/>
    <cellStyle name="Percent 584" xfId="13027"/>
    <cellStyle name="Percent 585" xfId="13028"/>
    <cellStyle name="Percent 586" xfId="13029"/>
    <cellStyle name="Percent 587" xfId="13030"/>
    <cellStyle name="Percent 588" xfId="13031"/>
    <cellStyle name="Percent 589" xfId="13032"/>
    <cellStyle name="Percent 59" xfId="13033"/>
    <cellStyle name="Percent 59 2" xfId="13034"/>
    <cellStyle name="Percent 590" xfId="13035"/>
    <cellStyle name="Percent 591" xfId="13036"/>
    <cellStyle name="Percent 592" xfId="13037"/>
    <cellStyle name="Percent 593" xfId="13038"/>
    <cellStyle name="Percent 594" xfId="13039"/>
    <cellStyle name="Percent 595" xfId="13040"/>
    <cellStyle name="Percent 596" xfId="13041"/>
    <cellStyle name="Percent 597" xfId="13042"/>
    <cellStyle name="Percent 598" xfId="13043"/>
    <cellStyle name="Percent 599" xfId="13044"/>
    <cellStyle name="Percent 6" xfId="1462"/>
    <cellStyle name="Percent 6 2" xfId="5656"/>
    <cellStyle name="Percent 6 2 2" xfId="13047"/>
    <cellStyle name="Percent 6 2 3" xfId="13046"/>
    <cellStyle name="Percent 6 3" xfId="5657"/>
    <cellStyle name="Percent 6 3 2" xfId="13049"/>
    <cellStyle name="Percent 6 3 3" xfId="13050"/>
    <cellStyle name="Percent 6 3 4" xfId="13048"/>
    <cellStyle name="Percent 6 4" xfId="5655"/>
    <cellStyle name="Percent 6 4 2" xfId="13051"/>
    <cellStyle name="Percent 6 5" xfId="13045"/>
    <cellStyle name="Percent 60" xfId="13052"/>
    <cellStyle name="Percent 60 2" xfId="13053"/>
    <cellStyle name="Percent 600" xfId="13054"/>
    <cellStyle name="Percent 601" xfId="13055"/>
    <cellStyle name="Percent 602" xfId="13056"/>
    <cellStyle name="Percent 603" xfId="13057"/>
    <cellStyle name="Percent 604" xfId="13058"/>
    <cellStyle name="Percent 605" xfId="13059"/>
    <cellStyle name="Percent 606" xfId="13060"/>
    <cellStyle name="Percent 607" xfId="13061"/>
    <cellStyle name="Percent 608" xfId="13062"/>
    <cellStyle name="Percent 609" xfId="13063"/>
    <cellStyle name="Percent 61" xfId="13064"/>
    <cellStyle name="Percent 61 2" xfId="13065"/>
    <cellStyle name="Percent 610" xfId="13066"/>
    <cellStyle name="Percent 611" xfId="13067"/>
    <cellStyle name="Percent 612" xfId="13068"/>
    <cellStyle name="Percent 613" xfId="13069"/>
    <cellStyle name="Percent 614" xfId="13070"/>
    <cellStyle name="Percent 615" xfId="13071"/>
    <cellStyle name="Percent 616" xfId="13072"/>
    <cellStyle name="Percent 617" xfId="13073"/>
    <cellStyle name="Percent 618" xfId="13074"/>
    <cellStyle name="Percent 619" xfId="13075"/>
    <cellStyle name="Percent 62" xfId="13076"/>
    <cellStyle name="Percent 62 2" xfId="13077"/>
    <cellStyle name="Percent 620" xfId="13078"/>
    <cellStyle name="Percent 621" xfId="13079"/>
    <cellStyle name="Percent 622" xfId="13080"/>
    <cellStyle name="Percent 623" xfId="13081"/>
    <cellStyle name="Percent 624" xfId="13082"/>
    <cellStyle name="Percent 625" xfId="13083"/>
    <cellStyle name="Percent 626" xfId="13084"/>
    <cellStyle name="Percent 627" xfId="13085"/>
    <cellStyle name="Percent 628" xfId="13086"/>
    <cellStyle name="Percent 629" xfId="13087"/>
    <cellStyle name="Percent 63" xfId="13088"/>
    <cellStyle name="Percent 63 2" xfId="13089"/>
    <cellStyle name="Percent 630" xfId="13090"/>
    <cellStyle name="Percent 631" xfId="13091"/>
    <cellStyle name="Percent 632" xfId="13092"/>
    <cellStyle name="Percent 633" xfId="13093"/>
    <cellStyle name="Percent 634" xfId="13094"/>
    <cellStyle name="Percent 635" xfId="13095"/>
    <cellStyle name="Percent 636" xfId="13096"/>
    <cellStyle name="Percent 637" xfId="13097"/>
    <cellStyle name="Percent 638" xfId="13098"/>
    <cellStyle name="Percent 639" xfId="13099"/>
    <cellStyle name="Percent 64" xfId="13100"/>
    <cellStyle name="Percent 64 2" xfId="13101"/>
    <cellStyle name="Percent 64 3" xfId="13102"/>
    <cellStyle name="Percent 640" xfId="13103"/>
    <cellStyle name="Percent 641" xfId="13104"/>
    <cellStyle name="Percent 642" xfId="13105"/>
    <cellStyle name="Percent 643" xfId="13106"/>
    <cellStyle name="Percent 644" xfId="13107"/>
    <cellStyle name="Percent 645" xfId="13108"/>
    <cellStyle name="Percent 646" xfId="13109"/>
    <cellStyle name="Percent 647" xfId="13110"/>
    <cellStyle name="Percent 648" xfId="13111"/>
    <cellStyle name="Percent 649" xfId="13112"/>
    <cellStyle name="Percent 65" xfId="13113"/>
    <cellStyle name="Percent 65 2" xfId="13114"/>
    <cellStyle name="Percent 65 3" xfId="13115"/>
    <cellStyle name="Percent 650" xfId="13116"/>
    <cellStyle name="Percent 651" xfId="13117"/>
    <cellStyle name="Percent 652" xfId="13118"/>
    <cellStyle name="Percent 653" xfId="13119"/>
    <cellStyle name="Percent 654" xfId="13120"/>
    <cellStyle name="Percent 655" xfId="13121"/>
    <cellStyle name="Percent 656" xfId="13122"/>
    <cellStyle name="Percent 657" xfId="13123"/>
    <cellStyle name="Percent 658" xfId="13124"/>
    <cellStyle name="Percent 659" xfId="13125"/>
    <cellStyle name="Percent 66" xfId="13126"/>
    <cellStyle name="Percent 660" xfId="13127"/>
    <cellStyle name="Percent 661" xfId="13128"/>
    <cellStyle name="Percent 662" xfId="13129"/>
    <cellStyle name="Percent 663" xfId="13130"/>
    <cellStyle name="Percent 664" xfId="13131"/>
    <cellStyle name="Percent 665" xfId="13132"/>
    <cellStyle name="Percent 666" xfId="13133"/>
    <cellStyle name="Percent 667" xfId="13134"/>
    <cellStyle name="Percent 668" xfId="13135"/>
    <cellStyle name="Percent 669" xfId="13136"/>
    <cellStyle name="Percent 67" xfId="13137"/>
    <cellStyle name="Percent 670" xfId="13138"/>
    <cellStyle name="Percent 671" xfId="13139"/>
    <cellStyle name="Percent 672" xfId="13140"/>
    <cellStyle name="Percent 673" xfId="13141"/>
    <cellStyle name="Percent 674" xfId="13142"/>
    <cellStyle name="Percent 675" xfId="13143"/>
    <cellStyle name="Percent 676" xfId="13144"/>
    <cellStyle name="Percent 677" xfId="13145"/>
    <cellStyle name="Percent 678" xfId="13146"/>
    <cellStyle name="Percent 679" xfId="13147"/>
    <cellStyle name="Percent 68" xfId="13148"/>
    <cellStyle name="Percent 68 2" xfId="13149"/>
    <cellStyle name="Percent 680" xfId="13150"/>
    <cellStyle name="Percent 681" xfId="13151"/>
    <cellStyle name="Percent 682" xfId="13152"/>
    <cellStyle name="Percent 683" xfId="13153"/>
    <cellStyle name="Percent 684" xfId="13154"/>
    <cellStyle name="Percent 685" xfId="13155"/>
    <cellStyle name="Percent 686" xfId="13156"/>
    <cellStyle name="Percent 687" xfId="13157"/>
    <cellStyle name="Percent 688" xfId="13158"/>
    <cellStyle name="Percent 689" xfId="13159"/>
    <cellStyle name="Percent 69" xfId="13160"/>
    <cellStyle name="Percent 69 2" xfId="13161"/>
    <cellStyle name="Percent 690" xfId="13162"/>
    <cellStyle name="Percent 691" xfId="13163"/>
    <cellStyle name="Percent 692" xfId="13164"/>
    <cellStyle name="Percent 693" xfId="13165"/>
    <cellStyle name="Percent 694" xfId="13166"/>
    <cellStyle name="Percent 695" xfId="13167"/>
    <cellStyle name="Percent 696" xfId="13168"/>
    <cellStyle name="Percent 697" xfId="13169"/>
    <cellStyle name="Percent 698" xfId="13170"/>
    <cellStyle name="Percent 699" xfId="13171"/>
    <cellStyle name="Percent 7" xfId="1455"/>
    <cellStyle name="Percent 7 2" xfId="5658"/>
    <cellStyle name="Percent 7 2 2" xfId="13174"/>
    <cellStyle name="Percent 7 2 3" xfId="13173"/>
    <cellStyle name="Percent 7 2 4" xfId="15015"/>
    <cellStyle name="Percent 7 3" xfId="5659"/>
    <cellStyle name="Percent 7 3 2" xfId="13176"/>
    <cellStyle name="Percent 7 3 3" xfId="13175"/>
    <cellStyle name="Percent 7 4" xfId="5660"/>
    <cellStyle name="Percent 7 4 2" xfId="13177"/>
    <cellStyle name="Percent 7 4 3" xfId="15016"/>
    <cellStyle name="Percent 7 5" xfId="13178"/>
    <cellStyle name="Percent 7 6" xfId="13172"/>
    <cellStyle name="Percent 70" xfId="13179"/>
    <cellStyle name="Percent 70 2" xfId="13180"/>
    <cellStyle name="Percent 700" xfId="13181"/>
    <cellStyle name="Percent 701" xfId="13182"/>
    <cellStyle name="Percent 702" xfId="13183"/>
    <cellStyle name="Percent 703" xfId="13184"/>
    <cellStyle name="Percent 704" xfId="13185"/>
    <cellStyle name="Percent 705" xfId="13186"/>
    <cellStyle name="Percent 706" xfId="13187"/>
    <cellStyle name="Percent 707" xfId="13188"/>
    <cellStyle name="Percent 708" xfId="13189"/>
    <cellStyle name="Percent 709" xfId="13190"/>
    <cellStyle name="Percent 71" xfId="13191"/>
    <cellStyle name="Percent 71 2" xfId="13192"/>
    <cellStyle name="Percent 710" xfId="13193"/>
    <cellStyle name="Percent 711" xfId="13194"/>
    <cellStyle name="Percent 712" xfId="13195"/>
    <cellStyle name="Percent 713" xfId="13196"/>
    <cellStyle name="Percent 714" xfId="13197"/>
    <cellStyle name="Percent 715" xfId="13198"/>
    <cellStyle name="Percent 716" xfId="13199"/>
    <cellStyle name="Percent 717" xfId="13200"/>
    <cellStyle name="Percent 718" xfId="13201"/>
    <cellStyle name="Percent 719" xfId="13202"/>
    <cellStyle name="Percent 72" xfId="13203"/>
    <cellStyle name="Percent 720" xfId="13204"/>
    <cellStyle name="Percent 721" xfId="13205"/>
    <cellStyle name="Percent 722" xfId="13206"/>
    <cellStyle name="Percent 723" xfId="13207"/>
    <cellStyle name="Percent 724" xfId="13208"/>
    <cellStyle name="Percent 725" xfId="13209"/>
    <cellStyle name="Percent 726" xfId="13210"/>
    <cellStyle name="Percent 727" xfId="13211"/>
    <cellStyle name="Percent 728" xfId="13212"/>
    <cellStyle name="Percent 729" xfId="13213"/>
    <cellStyle name="Percent 73" xfId="13214"/>
    <cellStyle name="Percent 730" xfId="13215"/>
    <cellStyle name="Percent 731" xfId="13216"/>
    <cellStyle name="Percent 732" xfId="13217"/>
    <cellStyle name="Percent 733" xfId="13218"/>
    <cellStyle name="Percent 734" xfId="13219"/>
    <cellStyle name="Percent 735" xfId="13220"/>
    <cellStyle name="Percent 736" xfId="13221"/>
    <cellStyle name="Percent 737" xfId="13222"/>
    <cellStyle name="Percent 738" xfId="13223"/>
    <cellStyle name="Percent 739" xfId="13224"/>
    <cellStyle name="Percent 74" xfId="13225"/>
    <cellStyle name="Percent 740" xfId="13226"/>
    <cellStyle name="Percent 741" xfId="13227"/>
    <cellStyle name="Percent 742" xfId="13228"/>
    <cellStyle name="Percent 743" xfId="13229"/>
    <cellStyle name="Percent 744" xfId="13230"/>
    <cellStyle name="Percent 745" xfId="13231"/>
    <cellStyle name="Percent 746" xfId="13232"/>
    <cellStyle name="Percent 747" xfId="13233"/>
    <cellStyle name="Percent 748" xfId="13234"/>
    <cellStyle name="Percent 749" xfId="13235"/>
    <cellStyle name="Percent 75" xfId="13236"/>
    <cellStyle name="Percent 750" xfId="13237"/>
    <cellStyle name="Percent 751" xfId="13238"/>
    <cellStyle name="Percent 752" xfId="13239"/>
    <cellStyle name="Percent 753" xfId="13240"/>
    <cellStyle name="Percent 754" xfId="13241"/>
    <cellStyle name="Percent 755" xfId="13242"/>
    <cellStyle name="Percent 756" xfId="13243"/>
    <cellStyle name="Percent 757" xfId="13244"/>
    <cellStyle name="Percent 758" xfId="13245"/>
    <cellStyle name="Percent 759" xfId="13246"/>
    <cellStyle name="Percent 76" xfId="13247"/>
    <cellStyle name="Percent 760" xfId="13248"/>
    <cellStyle name="Percent 761" xfId="13249"/>
    <cellStyle name="Percent 762" xfId="13250"/>
    <cellStyle name="Percent 763" xfId="13251"/>
    <cellStyle name="Percent 764" xfId="13252"/>
    <cellStyle name="Percent 765" xfId="13253"/>
    <cellStyle name="Percent 766" xfId="13254"/>
    <cellStyle name="Percent 767" xfId="13255"/>
    <cellStyle name="Percent 768" xfId="13256"/>
    <cellStyle name="Percent 769" xfId="13257"/>
    <cellStyle name="Percent 77" xfId="13258"/>
    <cellStyle name="Percent 770" xfId="13259"/>
    <cellStyle name="Percent 771" xfId="13260"/>
    <cellStyle name="Percent 772" xfId="13261"/>
    <cellStyle name="Percent 773" xfId="13262"/>
    <cellStyle name="Percent 774" xfId="13263"/>
    <cellStyle name="Percent 775" xfId="13264"/>
    <cellStyle name="Percent 776" xfId="13265"/>
    <cellStyle name="Percent 777" xfId="13266"/>
    <cellStyle name="Percent 778" xfId="13267"/>
    <cellStyle name="Percent 779" xfId="13268"/>
    <cellStyle name="Percent 78" xfId="13269"/>
    <cellStyle name="Percent 780" xfId="13270"/>
    <cellStyle name="Percent 781" xfId="13271"/>
    <cellStyle name="Percent 782" xfId="13272"/>
    <cellStyle name="Percent 783" xfId="13273"/>
    <cellStyle name="Percent 784" xfId="13274"/>
    <cellStyle name="Percent 785" xfId="13275"/>
    <cellStyle name="Percent 786" xfId="13276"/>
    <cellStyle name="Percent 787" xfId="13277"/>
    <cellStyle name="Percent 788" xfId="13278"/>
    <cellStyle name="Percent 789" xfId="13279"/>
    <cellStyle name="Percent 79" xfId="13280"/>
    <cellStyle name="Percent 790" xfId="13281"/>
    <cellStyle name="Percent 791" xfId="13282"/>
    <cellStyle name="Percent 792" xfId="13283"/>
    <cellStyle name="Percent 793" xfId="13284"/>
    <cellStyle name="Percent 794" xfId="13285"/>
    <cellStyle name="Percent 795" xfId="13286"/>
    <cellStyle name="Percent 796" xfId="13287"/>
    <cellStyle name="Percent 797" xfId="13288"/>
    <cellStyle name="Percent 798" xfId="13289"/>
    <cellStyle name="Percent 799" xfId="13290"/>
    <cellStyle name="Percent 8" xfId="5661"/>
    <cellStyle name="Percent 8 2" xfId="5662"/>
    <cellStyle name="Percent 8 2 2" xfId="13293"/>
    <cellStyle name="Percent 8 2 3" xfId="13292"/>
    <cellStyle name="Percent 8 3" xfId="5663"/>
    <cellStyle name="Percent 8 3 2" xfId="13295"/>
    <cellStyle name="Percent 8 3 3" xfId="13294"/>
    <cellStyle name="Percent 8 3 4" xfId="15017"/>
    <cellStyle name="Percent 8 4" xfId="13296"/>
    <cellStyle name="Percent 8 5" xfId="13297"/>
    <cellStyle name="Percent 8 6" xfId="13291"/>
    <cellStyle name="Percent 80" xfId="13298"/>
    <cellStyle name="Percent 800" xfId="13299"/>
    <cellStyle name="Percent 801" xfId="13300"/>
    <cellStyle name="Percent 802" xfId="13301"/>
    <cellStyle name="Percent 803" xfId="13302"/>
    <cellStyle name="Percent 804" xfId="13303"/>
    <cellStyle name="Percent 805" xfId="13304"/>
    <cellStyle name="Percent 806" xfId="13305"/>
    <cellStyle name="Percent 807" xfId="13306"/>
    <cellStyle name="Percent 808" xfId="13307"/>
    <cellStyle name="Percent 809" xfId="13308"/>
    <cellStyle name="Percent 81" xfId="13309"/>
    <cellStyle name="Percent 810" xfId="13310"/>
    <cellStyle name="Percent 811" xfId="13311"/>
    <cellStyle name="Percent 812" xfId="13312"/>
    <cellStyle name="Percent 813" xfId="13313"/>
    <cellStyle name="Percent 814" xfId="13314"/>
    <cellStyle name="Percent 815" xfId="13315"/>
    <cellStyle name="Percent 816" xfId="13316"/>
    <cellStyle name="Percent 817" xfId="13317"/>
    <cellStyle name="Percent 818" xfId="13318"/>
    <cellStyle name="Percent 819" xfId="13319"/>
    <cellStyle name="Percent 82" xfId="13320"/>
    <cellStyle name="Percent 820" xfId="13321"/>
    <cellStyle name="Percent 821" xfId="13322"/>
    <cellStyle name="Percent 822" xfId="13323"/>
    <cellStyle name="Percent 823" xfId="13324"/>
    <cellStyle name="Percent 824" xfId="13325"/>
    <cellStyle name="Percent 825" xfId="13326"/>
    <cellStyle name="Percent 826" xfId="13327"/>
    <cellStyle name="Percent 827" xfId="13328"/>
    <cellStyle name="Percent 828" xfId="13329"/>
    <cellStyle name="Percent 829" xfId="13330"/>
    <cellStyle name="Percent 83" xfId="13331"/>
    <cellStyle name="Percent 83 2" xfId="13332"/>
    <cellStyle name="Percent 830" xfId="13333"/>
    <cellStyle name="Percent 831" xfId="13334"/>
    <cellStyle name="Percent 832" xfId="13335"/>
    <cellStyle name="Percent 833" xfId="13336"/>
    <cellStyle name="Percent 834" xfId="13337"/>
    <cellStyle name="Percent 835" xfId="13338"/>
    <cellStyle name="Percent 836" xfId="13339"/>
    <cellStyle name="Percent 837" xfId="13340"/>
    <cellStyle name="Percent 838" xfId="13341"/>
    <cellStyle name="Percent 839" xfId="13342"/>
    <cellStyle name="Percent 84" xfId="13343"/>
    <cellStyle name="Percent 84 2" xfId="13344"/>
    <cellStyle name="Percent 840" xfId="13345"/>
    <cellStyle name="Percent 841" xfId="13346"/>
    <cellStyle name="Percent 842" xfId="13347"/>
    <cellStyle name="Percent 843" xfId="13348"/>
    <cellStyle name="Percent 844" xfId="13349"/>
    <cellStyle name="Percent 845" xfId="13350"/>
    <cellStyle name="Percent 846" xfId="13351"/>
    <cellStyle name="Percent 847" xfId="13352"/>
    <cellStyle name="Percent 848" xfId="13353"/>
    <cellStyle name="Percent 849" xfId="13354"/>
    <cellStyle name="Percent 85" xfId="13355"/>
    <cellStyle name="Percent 85 2" xfId="13356"/>
    <cellStyle name="Percent 850" xfId="13357"/>
    <cellStyle name="Percent 851" xfId="13358"/>
    <cellStyle name="Percent 852" xfId="13359"/>
    <cellStyle name="Percent 853" xfId="13360"/>
    <cellStyle name="Percent 854" xfId="13361"/>
    <cellStyle name="Percent 855" xfId="13362"/>
    <cellStyle name="Percent 856" xfId="13363"/>
    <cellStyle name="Percent 857" xfId="13364"/>
    <cellStyle name="Percent 858" xfId="13365"/>
    <cellStyle name="Percent 859" xfId="13366"/>
    <cellStyle name="Percent 86" xfId="13367"/>
    <cellStyle name="Percent 86 2" xfId="13368"/>
    <cellStyle name="Percent 860" xfId="13369"/>
    <cellStyle name="Percent 861" xfId="13370"/>
    <cellStyle name="Percent 862" xfId="13371"/>
    <cellStyle name="Percent 863" xfId="13372"/>
    <cellStyle name="Percent 864" xfId="13373"/>
    <cellStyle name="Percent 865" xfId="13374"/>
    <cellStyle name="Percent 866" xfId="13375"/>
    <cellStyle name="Percent 867" xfId="13376"/>
    <cellStyle name="Percent 868" xfId="13377"/>
    <cellStyle name="Percent 869" xfId="13378"/>
    <cellStyle name="Percent 87" xfId="13379"/>
    <cellStyle name="Percent 87 2" xfId="13380"/>
    <cellStyle name="Percent 870" xfId="13381"/>
    <cellStyle name="Percent 871" xfId="13382"/>
    <cellStyle name="Percent 872" xfId="13383"/>
    <cellStyle name="Percent 873" xfId="13384"/>
    <cellStyle name="Percent 874" xfId="13385"/>
    <cellStyle name="Percent 875" xfId="13386"/>
    <cellStyle name="Percent 876" xfId="13387"/>
    <cellStyle name="Percent 877" xfId="13388"/>
    <cellStyle name="Percent 878" xfId="13389"/>
    <cellStyle name="Percent 879" xfId="11785"/>
    <cellStyle name="Percent 88" xfId="13390"/>
    <cellStyle name="Percent 88 2" xfId="13391"/>
    <cellStyle name="Percent 880" xfId="8504"/>
    <cellStyle name="Percent 881" xfId="2286"/>
    <cellStyle name="Percent 882" xfId="14854"/>
    <cellStyle name="Percent 883" xfId="15042"/>
    <cellStyle name="Percent 884" xfId="15078"/>
    <cellStyle name="Percent 885" xfId="15082"/>
    <cellStyle name="Percent 886" xfId="15079"/>
    <cellStyle name="Percent 887" xfId="15105"/>
    <cellStyle name="Percent 888" xfId="15115"/>
    <cellStyle name="Percent 889" xfId="15109"/>
    <cellStyle name="Percent 89" xfId="13392"/>
    <cellStyle name="Percent 89 2" xfId="13393"/>
    <cellStyle name="Percent 890" xfId="15119"/>
    <cellStyle name="Percent 891" xfId="15110"/>
    <cellStyle name="Percent 892" xfId="15120"/>
    <cellStyle name="Percent 893" xfId="15182"/>
    <cellStyle name="Percent 9" xfId="5664"/>
    <cellStyle name="Percent 9 2" xfId="5665"/>
    <cellStyle name="Percent 9 2 2" xfId="13395"/>
    <cellStyle name="Percent 9 3" xfId="5666"/>
    <cellStyle name="Percent 9 3 2" xfId="13396"/>
    <cellStyle name="Percent 9 4" xfId="13397"/>
    <cellStyle name="Percent 9 5" xfId="13394"/>
    <cellStyle name="Percent 90" xfId="13398"/>
    <cellStyle name="Percent 90 2" xfId="13399"/>
    <cellStyle name="Percent 91" xfId="13400"/>
    <cellStyle name="Percent 91 2" xfId="13401"/>
    <cellStyle name="Percent 92" xfId="13402"/>
    <cellStyle name="Percent 92 2" xfId="13403"/>
    <cellStyle name="Percent 93" xfId="13404"/>
    <cellStyle name="Percent 93 2" xfId="13405"/>
    <cellStyle name="Percent 94" xfId="13406"/>
    <cellStyle name="Percent 94 2" xfId="13407"/>
    <cellStyle name="Percent 95" xfId="13408"/>
    <cellStyle name="Percent 95 2" xfId="13409"/>
    <cellStyle name="Percent 96" xfId="13410"/>
    <cellStyle name="Percent 96 2" xfId="13411"/>
    <cellStyle name="Percent 97" xfId="13412"/>
    <cellStyle name="Percent 98" xfId="13413"/>
    <cellStyle name="Percent 98 2" xfId="13414"/>
    <cellStyle name="Percent 99" xfId="13415"/>
    <cellStyle name="Percent 99 2" xfId="13416"/>
    <cellStyle name="PERCENTAGE" xfId="1227"/>
    <cellStyle name="PERCENTAGE 2" xfId="13418"/>
    <cellStyle name="PERCENTAGE 3" xfId="13417"/>
    <cellStyle name="Pourcentage_model-comp" xfId="5668"/>
    <cellStyle name="PSChar" xfId="1228"/>
    <cellStyle name="PSChar 2" xfId="13420"/>
    <cellStyle name="PSChar 3" xfId="13419"/>
    <cellStyle name="PSDate" xfId="1229"/>
    <cellStyle name="PSDate 2" xfId="13422"/>
    <cellStyle name="PSDate 3" xfId="13421"/>
    <cellStyle name="PSHeading" xfId="1230"/>
    <cellStyle name="PSHeading 2" xfId="13424"/>
    <cellStyle name="PSHeading 3" xfId="13423"/>
    <cellStyle name="PSSpacer" xfId="1231"/>
    <cellStyle name="PSSpacer 2" xfId="13426"/>
    <cellStyle name="PSSpacer 3" xfId="13425"/>
    <cellStyle name="Quantity" xfId="13427"/>
    <cellStyle name="Rate" xfId="1232"/>
    <cellStyle name="Rate 2" xfId="13429"/>
    <cellStyle name="Rate 3" xfId="13428"/>
    <cellStyle name="Ratio" xfId="5669"/>
    <cellStyle name="Result" xfId="5670"/>
    <cellStyle name="Result 1" xfId="5671"/>
    <cellStyle name="Salomon Logo" xfId="13430"/>
    <cellStyle name="Scores" xfId="5672"/>
    <cellStyle name="SectionHeaderNormal" xfId="5673"/>
    <cellStyle name="Smart Bold" xfId="5674"/>
    <cellStyle name="Smart Bold 2" xfId="5675"/>
    <cellStyle name="Smart Forecast" xfId="5676"/>
    <cellStyle name="Smart Forecast 2" xfId="5677"/>
    <cellStyle name="Smart Forecast 3" xfId="5678"/>
    <cellStyle name="Smart General" xfId="5679"/>
    <cellStyle name="Smart General 2" xfId="5680"/>
    <cellStyle name="Smart General 3" xfId="5681"/>
    <cellStyle name="Smart General 4" xfId="5682"/>
    <cellStyle name="Smart General 5" xfId="5683"/>
    <cellStyle name="Smart General 6" xfId="5684"/>
    <cellStyle name="Smart Highlight" xfId="5685"/>
    <cellStyle name="Smart Highlight 2" xfId="5686"/>
    <cellStyle name="Smart Highlight 3" xfId="5687"/>
    <cellStyle name="Smart Percent" xfId="5688"/>
    <cellStyle name="Smart Percent 2" xfId="5689"/>
    <cellStyle name="Smart Percent 3" xfId="5690"/>
    <cellStyle name="Smart Source" xfId="5691"/>
    <cellStyle name="Smart Source 2" xfId="5692"/>
    <cellStyle name="Smart Source 2 2" xfId="5693"/>
    <cellStyle name="Smart Source 3" xfId="5694"/>
    <cellStyle name="Smart Source 4" xfId="5695"/>
    <cellStyle name="Smart Subtitle 1" xfId="5696"/>
    <cellStyle name="Smart Subtitle 1 10" xfId="5697"/>
    <cellStyle name="Smart Subtitle 1 2" xfId="5698"/>
    <cellStyle name="Smart Subtitle 1 2 2" xfId="5699"/>
    <cellStyle name="Smart Subtitle 1 2 2 2" xfId="5700"/>
    <cellStyle name="Smart Subtitle 1 2 3" xfId="5701"/>
    <cellStyle name="Smart Subtitle 1 2 4" xfId="5702"/>
    <cellStyle name="Smart Subtitle 1 3" xfId="5703"/>
    <cellStyle name="Smart Subtitle 1 3 2" xfId="5704"/>
    <cellStyle name="Smart Subtitle 1 4" xfId="5705"/>
    <cellStyle name="Smart Subtitle 1 4 2" xfId="5706"/>
    <cellStyle name="Smart Subtitle 1 5" xfId="5707"/>
    <cellStyle name="Smart Subtitle 1 6" xfId="5708"/>
    <cellStyle name="Smart Subtitle 1 7" xfId="5709"/>
    <cellStyle name="Smart Subtitle 1 7 2" xfId="5710"/>
    <cellStyle name="Smart Subtitle 1 8" xfId="5711"/>
    <cellStyle name="Smart Subtitle 1 9" xfId="5712"/>
    <cellStyle name="Smart Subtitle 2" xfId="5713"/>
    <cellStyle name="Smart Subtitle 2 2" xfId="5714"/>
    <cellStyle name="Smart Subtitle 2 2 2" xfId="5715"/>
    <cellStyle name="Smart Subtitle 2 2 3" xfId="5716"/>
    <cellStyle name="Smart Subtitle 2 2 4" xfId="5717"/>
    <cellStyle name="Smart Subtitle 2 3" xfId="5718"/>
    <cellStyle name="Smart Subtitle 2 4" xfId="5719"/>
    <cellStyle name="Smart Subtitle 2 5" xfId="5720"/>
    <cellStyle name="Smart Subtitle 2 6" xfId="5721"/>
    <cellStyle name="Smart Subtitle 2 7" xfId="5722"/>
    <cellStyle name="Smart Subtotal" xfId="5723"/>
    <cellStyle name="Smart Subtotal 2" xfId="5724"/>
    <cellStyle name="Smart Title" xfId="5725"/>
    <cellStyle name="Smart Title 10" xfId="5726"/>
    <cellStyle name="Smart Title 11" xfId="5727"/>
    <cellStyle name="Smart Title 11 2" xfId="5728"/>
    <cellStyle name="Smart Title 12" xfId="5729"/>
    <cellStyle name="Smart Title 12 2" xfId="5730"/>
    <cellStyle name="Smart Title 13" xfId="5731"/>
    <cellStyle name="Smart Title 14" xfId="5732"/>
    <cellStyle name="Smart Title 15" xfId="5733"/>
    <cellStyle name="Smart Title 16" xfId="5734"/>
    <cellStyle name="Smart Title 17" xfId="5735"/>
    <cellStyle name="Smart Title 18" xfId="5736"/>
    <cellStyle name="Smart Title 19" xfId="5737"/>
    <cellStyle name="Smart Title 2" xfId="5738"/>
    <cellStyle name="Smart Title 2 2" xfId="5739"/>
    <cellStyle name="Smart Title 2 2 2" xfId="5740"/>
    <cellStyle name="Smart Title 2 2 3" xfId="5741"/>
    <cellStyle name="Smart Title 2 2 4" xfId="5742"/>
    <cellStyle name="Smart Title 2 3" xfId="5743"/>
    <cellStyle name="Smart Title 2 4" xfId="5744"/>
    <cellStyle name="Smart Title 2 5" xfId="5745"/>
    <cellStyle name="Smart Title 2 6" xfId="5746"/>
    <cellStyle name="Smart Title 3" xfId="5747"/>
    <cellStyle name="Smart Title 3 2" xfId="5748"/>
    <cellStyle name="Smart Title 3 3" xfId="5749"/>
    <cellStyle name="Smart Title 3 4" xfId="5750"/>
    <cellStyle name="Smart Title 4" xfId="5751"/>
    <cellStyle name="Smart Title 4 2" xfId="5752"/>
    <cellStyle name="Smart Title 5" xfId="5753"/>
    <cellStyle name="Smart Title 5 2" xfId="5754"/>
    <cellStyle name="Smart Title 5 3" xfId="5755"/>
    <cellStyle name="Smart Title 6" xfId="5756"/>
    <cellStyle name="Smart Title 6 2" xfId="5757"/>
    <cellStyle name="Smart Title 7" xfId="5758"/>
    <cellStyle name="Smart Title 7 2" xfId="5759"/>
    <cellStyle name="Smart Title 7 3" xfId="5760"/>
    <cellStyle name="Smart Title 8" xfId="5761"/>
    <cellStyle name="Smart Title 9" xfId="5762"/>
    <cellStyle name="Smart Title_Sheet1" xfId="5763"/>
    <cellStyle name="Smart Total" xfId="5764"/>
    <cellStyle name="Smart Total 2" xfId="5765"/>
    <cellStyle name="Smart Total 2 2" xfId="5766"/>
    <cellStyle name="Smart Total 2 3" xfId="5767"/>
    <cellStyle name="Smart Total 2 4" xfId="5768"/>
    <cellStyle name="Smart Total 3" xfId="5769"/>
    <cellStyle name="Smart Total 4" xfId="5770"/>
    <cellStyle name="Smart Total 5" xfId="5771"/>
    <cellStyle name="STYL1 - Style1" xfId="1233"/>
    <cellStyle name="STYL1 - Style1 10" xfId="1234"/>
    <cellStyle name="STYL1 - Style1 10 2" xfId="13433"/>
    <cellStyle name="STYL1 - Style1 10 3" xfId="13432"/>
    <cellStyle name="STYL1 - Style1 11" xfId="1235"/>
    <cellStyle name="STYL1 - Style1 11 2" xfId="13435"/>
    <cellStyle name="STYL1 - Style1 11 3" xfId="13434"/>
    <cellStyle name="STYL1 - Style1 12" xfId="13436"/>
    <cellStyle name="STYL1 - Style1 13" xfId="13431"/>
    <cellStyle name="STYL1 - Style1 2" xfId="1236"/>
    <cellStyle name="STYL1 - Style1 2 2" xfId="13438"/>
    <cellStyle name="STYL1 - Style1 2 3" xfId="13437"/>
    <cellStyle name="STYL1 - Style1 3" xfId="1237"/>
    <cellStyle name="STYL1 - Style1 3 2" xfId="13440"/>
    <cellStyle name="STYL1 - Style1 3 3" xfId="13439"/>
    <cellStyle name="STYL1 - Style1 4" xfId="1238"/>
    <cellStyle name="STYL1 - Style1 4 2" xfId="13442"/>
    <cellStyle name="STYL1 - Style1 4 3" xfId="13441"/>
    <cellStyle name="STYL1 - Style1 5" xfId="1239"/>
    <cellStyle name="STYL1 - Style1 5 2" xfId="13444"/>
    <cellStyle name="STYL1 - Style1 5 3" xfId="13443"/>
    <cellStyle name="STYL1 - Style1 6" xfId="1240"/>
    <cellStyle name="STYL1 - Style1 6 2" xfId="13446"/>
    <cellStyle name="STYL1 - Style1 6 3" xfId="13445"/>
    <cellStyle name="STYL1 - Style1 7" xfId="1241"/>
    <cellStyle name="STYL1 - Style1 7 2" xfId="13448"/>
    <cellStyle name="STYL1 - Style1 7 3" xfId="13447"/>
    <cellStyle name="STYL1 - Style1 8" xfId="1242"/>
    <cellStyle name="STYL1 - Style1 8 2" xfId="13450"/>
    <cellStyle name="STYL1 - Style1 8 3" xfId="13449"/>
    <cellStyle name="STYL1 - Style1 9" xfId="1243"/>
    <cellStyle name="STYL1 - Style1 9 2" xfId="13452"/>
    <cellStyle name="STYL1 - Style1 9 3" xfId="13451"/>
    <cellStyle name="STYL1 - Style1_Sanwani Street_201602" xfId="13453"/>
    <cellStyle name="STYL2 - Style2" xfId="1244"/>
    <cellStyle name="STYL2 - Style2 2" xfId="13455"/>
    <cellStyle name="STYL2 - Style2 3" xfId="13454"/>
    <cellStyle name="STYL3 - Style3" xfId="1245"/>
    <cellStyle name="STYL3 - Style3 10" xfId="13457"/>
    <cellStyle name="STYL3 - Style3 10 2" xfId="13458"/>
    <cellStyle name="STYL3 - Style3 10 3" xfId="13459"/>
    <cellStyle name="STYL3 - Style3 10_Input" xfId="13460"/>
    <cellStyle name="STYL3 - Style3 11" xfId="13461"/>
    <cellStyle name="STYL3 - Style3 11 2" xfId="13462"/>
    <cellStyle name="STYL3 - Style3 11 3" xfId="13463"/>
    <cellStyle name="STYL3 - Style3 11_Input" xfId="13464"/>
    <cellStyle name="STYL3 - Style3 12" xfId="13465"/>
    <cellStyle name="STYL3 - Style3 12 2" xfId="13466"/>
    <cellStyle name="STYL3 - Style3 12 3" xfId="13467"/>
    <cellStyle name="STYL3 - Style3 12_Input" xfId="13468"/>
    <cellStyle name="STYL3 - Style3 13" xfId="13469"/>
    <cellStyle name="STYL3 - Style3 13 2" xfId="13470"/>
    <cellStyle name="STYL3 - Style3 13 3" xfId="13471"/>
    <cellStyle name="STYL3 - Style3 13_Input" xfId="13472"/>
    <cellStyle name="STYL3 - Style3 14" xfId="13473"/>
    <cellStyle name="STYL3 - Style3 14 2" xfId="13474"/>
    <cellStyle name="STYL3 - Style3 14 3" xfId="13475"/>
    <cellStyle name="STYL3 - Style3 14_Input" xfId="13476"/>
    <cellStyle name="STYL3 - Style3 15" xfId="13477"/>
    <cellStyle name="STYL3 - Style3 15 2" xfId="13478"/>
    <cellStyle name="STYL3 - Style3 15 3" xfId="13479"/>
    <cellStyle name="STYL3 - Style3 15_Input" xfId="13480"/>
    <cellStyle name="STYL3 - Style3 16" xfId="13481"/>
    <cellStyle name="STYL3 - Style3 16 2" xfId="13482"/>
    <cellStyle name="STYL3 - Style3 16 3" xfId="13483"/>
    <cellStyle name="STYL3 - Style3 16_Input" xfId="13484"/>
    <cellStyle name="STYL3 - Style3 17" xfId="13485"/>
    <cellStyle name="STYL3 - Style3 17 2" xfId="13486"/>
    <cellStyle name="STYL3 - Style3 17 3" xfId="13487"/>
    <cellStyle name="STYL3 - Style3 17_Input" xfId="13488"/>
    <cellStyle name="STYL3 - Style3 18" xfId="13489"/>
    <cellStyle name="STYL3 - Style3 18 2" xfId="13490"/>
    <cellStyle name="STYL3 - Style3 18 3" xfId="13491"/>
    <cellStyle name="STYL3 - Style3 18_Input" xfId="13492"/>
    <cellStyle name="STYL3 - Style3 19" xfId="13493"/>
    <cellStyle name="STYL3 - Style3 19 2" xfId="13494"/>
    <cellStyle name="STYL3 - Style3 19 3" xfId="13495"/>
    <cellStyle name="STYL3 - Style3 19_Input" xfId="13496"/>
    <cellStyle name="STYL3 - Style3 2" xfId="3049"/>
    <cellStyle name="STYL3 - Style3 2 2" xfId="13498"/>
    <cellStyle name="STYL3 - Style3 2 2 2" xfId="13499"/>
    <cellStyle name="STYL3 - Style3 2 3" xfId="13500"/>
    <cellStyle name="STYL3 - Style3 2 4" xfId="13501"/>
    <cellStyle name="STYL3 - Style3 2 5" xfId="13497"/>
    <cellStyle name="STYL3 - Style3 2_Input" xfId="13502"/>
    <cellStyle name="STYL3 - Style3 20" xfId="13503"/>
    <cellStyle name="STYL3 - Style3 20 2" xfId="13504"/>
    <cellStyle name="STYL3 - Style3 20 3" xfId="13505"/>
    <cellStyle name="STYL3 - Style3 20_Input" xfId="13506"/>
    <cellStyle name="STYL3 - Style3 21" xfId="13507"/>
    <cellStyle name="STYL3 - Style3 21 2" xfId="13508"/>
    <cellStyle name="STYL3 - Style3 21 3" xfId="13509"/>
    <cellStyle name="STYL3 - Style3 21_Input" xfId="13510"/>
    <cellStyle name="STYL3 - Style3 22" xfId="13511"/>
    <cellStyle name="STYL3 - Style3 22 2" xfId="13512"/>
    <cellStyle name="STYL3 - Style3 22 3" xfId="13513"/>
    <cellStyle name="STYL3 - Style3 22_Input" xfId="13514"/>
    <cellStyle name="STYL3 - Style3 23" xfId="13515"/>
    <cellStyle name="STYL3 - Style3 24" xfId="13516"/>
    <cellStyle name="STYL3 - Style3 25" xfId="13517"/>
    <cellStyle name="STYL3 - Style3 26" xfId="13518"/>
    <cellStyle name="STYL3 - Style3 27" xfId="13519"/>
    <cellStyle name="STYL3 - Style3 28" xfId="13520"/>
    <cellStyle name="STYL3 - Style3 29" xfId="13521"/>
    <cellStyle name="STYL3 - Style3 3" xfId="3050"/>
    <cellStyle name="STYL3 - Style3 3 2" xfId="13523"/>
    <cellStyle name="STYL3 - Style3 3 3" xfId="13524"/>
    <cellStyle name="STYL3 - Style3 3 4" xfId="13522"/>
    <cellStyle name="STYL3 - Style3 3_Input" xfId="13525"/>
    <cellStyle name="STYL3 - Style3 30" xfId="13526"/>
    <cellStyle name="STYL3 - Style3 31" xfId="13527"/>
    <cellStyle name="STYL3 - Style3 32" xfId="13528"/>
    <cellStyle name="STYL3 - Style3 33" xfId="13529"/>
    <cellStyle name="STYL3 - Style3 34" xfId="13530"/>
    <cellStyle name="STYL3 - Style3 35" xfId="13531"/>
    <cellStyle name="STYL3 - Style3 36" xfId="13532"/>
    <cellStyle name="STYL3 - Style3 37" xfId="13533"/>
    <cellStyle name="STYL3 - Style3 38" xfId="13534"/>
    <cellStyle name="STYL3 - Style3 39" xfId="13535"/>
    <cellStyle name="STYL3 - Style3 4" xfId="3115"/>
    <cellStyle name="STYL3 - Style3 4 2" xfId="13537"/>
    <cellStyle name="STYL3 - Style3 4 3" xfId="13538"/>
    <cellStyle name="STYL3 - Style3 4 4" xfId="13536"/>
    <cellStyle name="STYL3 - Style3 4_Input" xfId="13539"/>
    <cellStyle name="STYL3 - Style3 40" xfId="13540"/>
    <cellStyle name="STYL3 - Style3 41" xfId="13541"/>
    <cellStyle name="STYL3 - Style3 42" xfId="13542"/>
    <cellStyle name="STYL3 - Style3 43" xfId="13543"/>
    <cellStyle name="STYL3 - Style3 44" xfId="13544"/>
    <cellStyle name="STYL3 - Style3 45" xfId="13545"/>
    <cellStyle name="STYL3 - Style3 46" xfId="13546"/>
    <cellStyle name="STYL3 - Style3 47" xfId="13547"/>
    <cellStyle name="STYL3 - Style3 48" xfId="13548"/>
    <cellStyle name="STYL3 - Style3 49" xfId="13549"/>
    <cellStyle name="STYL3 - Style3 5" xfId="13550"/>
    <cellStyle name="STYL3 - Style3 5 2" xfId="13551"/>
    <cellStyle name="STYL3 - Style3 5 3" xfId="13552"/>
    <cellStyle name="STYL3 - Style3 5_Input" xfId="13553"/>
    <cellStyle name="STYL3 - Style3 50" xfId="13554"/>
    <cellStyle name="STYL3 - Style3 51" xfId="13555"/>
    <cellStyle name="STYL3 - Style3 52" xfId="13456"/>
    <cellStyle name="STYL3 - Style3 53" xfId="8617"/>
    <cellStyle name="STYL3 - Style3 6" xfId="13556"/>
    <cellStyle name="STYL3 - Style3 6 2" xfId="13557"/>
    <cellStyle name="STYL3 - Style3 6 3" xfId="13558"/>
    <cellStyle name="STYL3 - Style3 6_Input" xfId="13559"/>
    <cellStyle name="STYL3 - Style3 7" xfId="13560"/>
    <cellStyle name="STYL3 - Style3 7 2" xfId="13561"/>
    <cellStyle name="STYL3 - Style3 7 3" xfId="13562"/>
    <cellStyle name="STYL3 - Style3 7_Input" xfId="13563"/>
    <cellStyle name="STYL3 - Style3 8" xfId="13564"/>
    <cellStyle name="STYL3 - Style3 8 2" xfId="13565"/>
    <cellStyle name="STYL3 - Style3 8 3" xfId="13566"/>
    <cellStyle name="STYL3 - Style3 8_Input" xfId="13567"/>
    <cellStyle name="STYL3 - Style3 9" xfId="13568"/>
    <cellStyle name="STYL3 - Style3 9 2" xfId="13569"/>
    <cellStyle name="STYL3 - Style3 9 3" xfId="13570"/>
    <cellStyle name="STYL3 - Style3 9_Input" xfId="13571"/>
    <cellStyle name="STYL3 - Style3_Sheet1" xfId="13572"/>
    <cellStyle name="STYL4 - Style4" xfId="1246"/>
    <cellStyle name="STYL4 - Style4 10" xfId="13574"/>
    <cellStyle name="STYL4 - Style4 10 2" xfId="13575"/>
    <cellStyle name="STYL4 - Style4 10 3" xfId="13576"/>
    <cellStyle name="STYL4 - Style4 10_Input" xfId="13577"/>
    <cellStyle name="STYL4 - Style4 11" xfId="13578"/>
    <cellStyle name="STYL4 - Style4 11 2" xfId="13579"/>
    <cellStyle name="STYL4 - Style4 11 3" xfId="13580"/>
    <cellStyle name="STYL4 - Style4 11_Input" xfId="13581"/>
    <cellStyle name="STYL4 - Style4 12" xfId="13582"/>
    <cellStyle name="STYL4 - Style4 12 2" xfId="13583"/>
    <cellStyle name="STYL4 - Style4 12 3" xfId="13584"/>
    <cellStyle name="STYL4 - Style4 12_Input" xfId="13585"/>
    <cellStyle name="STYL4 - Style4 13" xfId="13586"/>
    <cellStyle name="STYL4 - Style4 13 2" xfId="13587"/>
    <cellStyle name="STYL4 - Style4 13 3" xfId="13588"/>
    <cellStyle name="STYL4 - Style4 13_Input" xfId="13589"/>
    <cellStyle name="STYL4 - Style4 14" xfId="13590"/>
    <cellStyle name="STYL4 - Style4 14 2" xfId="13591"/>
    <cellStyle name="STYL4 - Style4 14 3" xfId="13592"/>
    <cellStyle name="STYL4 - Style4 14_Input" xfId="13593"/>
    <cellStyle name="STYL4 - Style4 15" xfId="13594"/>
    <cellStyle name="STYL4 - Style4 15 2" xfId="13595"/>
    <cellStyle name="STYL4 - Style4 15 3" xfId="13596"/>
    <cellStyle name="STYL4 - Style4 15_Input" xfId="13597"/>
    <cellStyle name="STYL4 - Style4 16" xfId="13598"/>
    <cellStyle name="STYL4 - Style4 16 2" xfId="13599"/>
    <cellStyle name="STYL4 - Style4 16 3" xfId="13600"/>
    <cellStyle name="STYL4 - Style4 16_Input" xfId="13601"/>
    <cellStyle name="STYL4 - Style4 17" xfId="13602"/>
    <cellStyle name="STYL4 - Style4 17 2" xfId="13603"/>
    <cellStyle name="STYL4 - Style4 17 3" xfId="13604"/>
    <cellStyle name="STYL4 - Style4 17_Input" xfId="13605"/>
    <cellStyle name="STYL4 - Style4 18" xfId="13606"/>
    <cellStyle name="STYL4 - Style4 18 2" xfId="13607"/>
    <cellStyle name="STYL4 - Style4 18 3" xfId="13608"/>
    <cellStyle name="STYL4 - Style4 18_Input" xfId="13609"/>
    <cellStyle name="STYL4 - Style4 19" xfId="13610"/>
    <cellStyle name="STYL4 - Style4 19 2" xfId="13611"/>
    <cellStyle name="STYL4 - Style4 19 3" xfId="13612"/>
    <cellStyle name="STYL4 - Style4 19_Input" xfId="13613"/>
    <cellStyle name="STYL4 - Style4 2" xfId="3051"/>
    <cellStyle name="STYL4 - Style4 2 2" xfId="13615"/>
    <cellStyle name="STYL4 - Style4 2 2 2" xfId="13616"/>
    <cellStyle name="STYL4 - Style4 2 3" xfId="13617"/>
    <cellStyle name="STYL4 - Style4 2 4" xfId="13618"/>
    <cellStyle name="STYL4 - Style4 2 5" xfId="13614"/>
    <cellStyle name="STYL4 - Style4 2_Input" xfId="13619"/>
    <cellStyle name="STYL4 - Style4 20" xfId="13620"/>
    <cellStyle name="STYL4 - Style4 20 2" xfId="13621"/>
    <cellStyle name="STYL4 - Style4 20 3" xfId="13622"/>
    <cellStyle name="STYL4 - Style4 20_Input" xfId="13623"/>
    <cellStyle name="STYL4 - Style4 21" xfId="13624"/>
    <cellStyle name="STYL4 - Style4 21 2" xfId="13625"/>
    <cellStyle name="STYL4 - Style4 21 3" xfId="13626"/>
    <cellStyle name="STYL4 - Style4 21_Input" xfId="13627"/>
    <cellStyle name="STYL4 - Style4 22" xfId="13628"/>
    <cellStyle name="STYL4 - Style4 22 2" xfId="13629"/>
    <cellStyle name="STYL4 - Style4 22 3" xfId="13630"/>
    <cellStyle name="STYL4 - Style4 22_Input" xfId="13631"/>
    <cellStyle name="STYL4 - Style4 23" xfId="13632"/>
    <cellStyle name="STYL4 - Style4 24" xfId="13633"/>
    <cellStyle name="STYL4 - Style4 25" xfId="13634"/>
    <cellStyle name="STYL4 - Style4 26" xfId="13635"/>
    <cellStyle name="STYL4 - Style4 27" xfId="13636"/>
    <cellStyle name="STYL4 - Style4 28" xfId="13637"/>
    <cellStyle name="STYL4 - Style4 29" xfId="13638"/>
    <cellStyle name="STYL4 - Style4 3" xfId="3052"/>
    <cellStyle name="STYL4 - Style4 3 2" xfId="13640"/>
    <cellStyle name="STYL4 - Style4 3 3" xfId="13641"/>
    <cellStyle name="STYL4 - Style4 3 4" xfId="13639"/>
    <cellStyle name="STYL4 - Style4 3_Input" xfId="13642"/>
    <cellStyle name="STYL4 - Style4 30" xfId="13643"/>
    <cellStyle name="STYL4 - Style4 31" xfId="13644"/>
    <cellStyle name="STYL4 - Style4 32" xfId="13645"/>
    <cellStyle name="STYL4 - Style4 33" xfId="13646"/>
    <cellStyle name="STYL4 - Style4 34" xfId="13647"/>
    <cellStyle name="STYL4 - Style4 35" xfId="13648"/>
    <cellStyle name="STYL4 - Style4 36" xfId="13649"/>
    <cellStyle name="STYL4 - Style4 37" xfId="13650"/>
    <cellStyle name="STYL4 - Style4 38" xfId="13651"/>
    <cellStyle name="STYL4 - Style4 39" xfId="13652"/>
    <cellStyle name="STYL4 - Style4 4" xfId="3116"/>
    <cellStyle name="STYL4 - Style4 4 2" xfId="13654"/>
    <cellStyle name="STYL4 - Style4 4 3" xfId="13655"/>
    <cellStyle name="STYL4 - Style4 4 4" xfId="13653"/>
    <cellStyle name="STYL4 - Style4 4_Input" xfId="13656"/>
    <cellStyle name="STYL4 - Style4 40" xfId="13657"/>
    <cellStyle name="STYL4 - Style4 41" xfId="13658"/>
    <cellStyle name="STYL4 - Style4 42" xfId="13659"/>
    <cellStyle name="STYL4 - Style4 43" xfId="13660"/>
    <cellStyle name="STYL4 - Style4 44" xfId="13661"/>
    <cellStyle name="STYL4 - Style4 45" xfId="13662"/>
    <cellStyle name="STYL4 - Style4 46" xfId="13663"/>
    <cellStyle name="STYL4 - Style4 47" xfId="13664"/>
    <cellStyle name="STYL4 - Style4 48" xfId="13665"/>
    <cellStyle name="STYL4 - Style4 49" xfId="13666"/>
    <cellStyle name="STYL4 - Style4 5" xfId="13667"/>
    <cellStyle name="STYL4 - Style4 5 2" xfId="13668"/>
    <cellStyle name="STYL4 - Style4 5 3" xfId="13669"/>
    <cellStyle name="STYL4 - Style4 5_Input" xfId="13670"/>
    <cellStyle name="STYL4 - Style4 50" xfId="13671"/>
    <cellStyle name="STYL4 - Style4 51" xfId="13672"/>
    <cellStyle name="STYL4 - Style4 52" xfId="13573"/>
    <cellStyle name="STYL4 - Style4 53" xfId="8618"/>
    <cellStyle name="STYL4 - Style4 6" xfId="13673"/>
    <cellStyle name="STYL4 - Style4 6 2" xfId="13674"/>
    <cellStyle name="STYL4 - Style4 6 3" xfId="13675"/>
    <cellStyle name="STYL4 - Style4 6_Input" xfId="13676"/>
    <cellStyle name="STYL4 - Style4 7" xfId="13677"/>
    <cellStyle name="STYL4 - Style4 7 2" xfId="13678"/>
    <cellStyle name="STYL4 - Style4 7 3" xfId="13679"/>
    <cellStyle name="STYL4 - Style4 7_Input" xfId="13680"/>
    <cellStyle name="STYL4 - Style4 8" xfId="13681"/>
    <cellStyle name="STYL4 - Style4 8 2" xfId="13682"/>
    <cellStyle name="STYL4 - Style4 8 3" xfId="13683"/>
    <cellStyle name="STYL4 - Style4 8_Input" xfId="13684"/>
    <cellStyle name="STYL4 - Style4 9" xfId="13685"/>
    <cellStyle name="STYL4 - Style4 9 2" xfId="13686"/>
    <cellStyle name="STYL4 - Style4 9 3" xfId="13687"/>
    <cellStyle name="STYL4 - Style4 9_Input" xfId="13688"/>
    <cellStyle name="STYL4 - Style4_Sheet1" xfId="13689"/>
    <cellStyle name="STYL5 - Style5" xfId="1247"/>
    <cellStyle name="STYL5 - Style5 10" xfId="1248"/>
    <cellStyle name="STYL5 - Style5 10 2" xfId="13692"/>
    <cellStyle name="STYL5 - Style5 10 3" xfId="13691"/>
    <cellStyle name="STYL5 - Style5 11" xfId="1249"/>
    <cellStyle name="STYL5 - Style5 11 2" xfId="13694"/>
    <cellStyle name="STYL5 - Style5 11 3" xfId="13693"/>
    <cellStyle name="STYL5 - Style5 12" xfId="13695"/>
    <cellStyle name="STYL5 - Style5 13" xfId="13690"/>
    <cellStyle name="STYL5 - Style5 2" xfId="1250"/>
    <cellStyle name="STYL5 - Style5 2 2" xfId="13697"/>
    <cellStyle name="STYL5 - Style5 2 3" xfId="13696"/>
    <cellStyle name="STYL5 - Style5 3" xfId="1251"/>
    <cellStyle name="STYL5 - Style5 3 2" xfId="13699"/>
    <cellStyle name="STYL5 - Style5 3 3" xfId="13698"/>
    <cellStyle name="STYL5 - Style5 4" xfId="1252"/>
    <cellStyle name="STYL5 - Style5 4 2" xfId="13701"/>
    <cellStyle name="STYL5 - Style5 4 3" xfId="13700"/>
    <cellStyle name="STYL5 - Style5 5" xfId="1253"/>
    <cellStyle name="STYL5 - Style5 5 2" xfId="13703"/>
    <cellStyle name="STYL5 - Style5 5 3" xfId="13702"/>
    <cellStyle name="STYL5 - Style5 6" xfId="1254"/>
    <cellStyle name="STYL5 - Style5 6 2" xfId="13705"/>
    <cellStyle name="STYL5 - Style5 6 3" xfId="13704"/>
    <cellStyle name="STYL5 - Style5 7" xfId="1255"/>
    <cellStyle name="STYL5 - Style5 7 2" xfId="13707"/>
    <cellStyle name="STYL5 - Style5 7 3" xfId="13706"/>
    <cellStyle name="STYL5 - Style5 8" xfId="1256"/>
    <cellStyle name="STYL5 - Style5 8 2" xfId="13709"/>
    <cellStyle name="STYL5 - Style5 8 3" xfId="13708"/>
    <cellStyle name="STYL5 - Style5 9" xfId="1257"/>
    <cellStyle name="STYL5 - Style5 9 2" xfId="13711"/>
    <cellStyle name="STYL5 - Style5 9 3" xfId="13710"/>
    <cellStyle name="STYL5 - Style5_Sanwani Street_201602" xfId="13712"/>
    <cellStyle name="STYL6 - Style6" xfId="1258"/>
    <cellStyle name="STYL6 - Style6 10" xfId="1259"/>
    <cellStyle name="STYL6 - Style6 10 2" xfId="13715"/>
    <cellStyle name="STYL6 - Style6 10 3" xfId="13714"/>
    <cellStyle name="STYL6 - Style6 11" xfId="1260"/>
    <cellStyle name="STYL6 - Style6 11 2" xfId="13717"/>
    <cellStyle name="STYL6 - Style6 11 3" xfId="13716"/>
    <cellStyle name="STYL6 - Style6 12" xfId="13718"/>
    <cellStyle name="STYL6 - Style6 13" xfId="13713"/>
    <cellStyle name="STYL6 - Style6 2" xfId="1261"/>
    <cellStyle name="STYL6 - Style6 2 2" xfId="13720"/>
    <cellStyle name="STYL6 - Style6 2 3" xfId="13719"/>
    <cellStyle name="STYL6 - Style6 3" xfId="1262"/>
    <cellStyle name="STYL6 - Style6 3 2" xfId="13722"/>
    <cellStyle name="STYL6 - Style6 3 3" xfId="13721"/>
    <cellStyle name="STYL6 - Style6 4" xfId="1263"/>
    <cellStyle name="STYL6 - Style6 4 2" xfId="13724"/>
    <cellStyle name="STYL6 - Style6 4 3" xfId="13723"/>
    <cellStyle name="STYL6 - Style6 5" xfId="1264"/>
    <cellStyle name="STYL6 - Style6 5 2" xfId="13726"/>
    <cellStyle name="STYL6 - Style6 5 3" xfId="13725"/>
    <cellStyle name="STYL6 - Style6 6" xfId="1265"/>
    <cellStyle name="STYL6 - Style6 6 2" xfId="13728"/>
    <cellStyle name="STYL6 - Style6 6 3" xfId="13727"/>
    <cellStyle name="STYL6 - Style6 7" xfId="1266"/>
    <cellStyle name="STYL6 - Style6 7 2" xfId="13730"/>
    <cellStyle name="STYL6 - Style6 7 3" xfId="13729"/>
    <cellStyle name="STYL6 - Style6 8" xfId="1267"/>
    <cellStyle name="STYL6 - Style6 8 2" xfId="13732"/>
    <cellStyle name="STYL6 - Style6 8 3" xfId="13731"/>
    <cellStyle name="STYL6 - Style6 9" xfId="1268"/>
    <cellStyle name="STYL6 - Style6 9 2" xfId="13734"/>
    <cellStyle name="STYL6 - Style6 9 3" xfId="13733"/>
    <cellStyle name="STYL6 - Style6_Sanwani Street_201602" xfId="13735"/>
    <cellStyle name="Style 1" xfId="5772"/>
    <cellStyle name="Style 1 2" xfId="5773"/>
    <cellStyle name="Style 1 2 2" xfId="5774"/>
    <cellStyle name="Style 1 2 3" xfId="5775"/>
    <cellStyle name="Style 1 3" xfId="5776"/>
    <cellStyle name="Style 1 4" xfId="5777"/>
    <cellStyle name="Style 1 5" xfId="13736"/>
    <cellStyle name="Style 10" xfId="5778"/>
    <cellStyle name="Style 10 2" xfId="5779"/>
    <cellStyle name="Style 11" xfId="5780"/>
    <cellStyle name="Style 11 2" xfId="5781"/>
    <cellStyle name="Style 12" xfId="5782"/>
    <cellStyle name="Style 12 2" xfId="5783"/>
    <cellStyle name="Style 13" xfId="5784"/>
    <cellStyle name="Style 13 2" xfId="5785"/>
    <cellStyle name="Style 14" xfId="5786"/>
    <cellStyle name="Style 14 2" xfId="5787"/>
    <cellStyle name="Style 15" xfId="5788"/>
    <cellStyle name="Style 15 2" xfId="5789"/>
    <cellStyle name="Style 16" xfId="5790"/>
    <cellStyle name="Style 16 2" xfId="5791"/>
    <cellStyle name="Style 17" xfId="5792"/>
    <cellStyle name="Style 17 2" xfId="5793"/>
    <cellStyle name="Style 18" xfId="5794"/>
    <cellStyle name="Style 18 2" xfId="5795"/>
    <cellStyle name="Style 19" xfId="5796"/>
    <cellStyle name="Style 19 2" xfId="5797"/>
    <cellStyle name="Style 2" xfId="5798"/>
    <cellStyle name="Style 2 2" xfId="5799"/>
    <cellStyle name="Style 20" xfId="5800"/>
    <cellStyle name="Style 20 2" xfId="5801"/>
    <cellStyle name="Style 21" xfId="5802"/>
    <cellStyle name="Style 21 2" xfId="5803"/>
    <cellStyle name="Style 21 3" xfId="5804"/>
    <cellStyle name="Style 21 4" xfId="5805"/>
    <cellStyle name="Style 22" xfId="5806"/>
    <cellStyle name="Style 22 2" xfId="5807"/>
    <cellStyle name="Style 22 3" xfId="5808"/>
    <cellStyle name="Style 22 4" xfId="5809"/>
    <cellStyle name="Style 23" xfId="5810"/>
    <cellStyle name="Style 23 2" xfId="5811"/>
    <cellStyle name="Style 23 3" xfId="5812"/>
    <cellStyle name="Style 23 4" xfId="5813"/>
    <cellStyle name="Style 24" xfId="5814"/>
    <cellStyle name="Style 24 2" xfId="5815"/>
    <cellStyle name="Style 24 3" xfId="5816"/>
    <cellStyle name="Style 24 4" xfId="5817"/>
    <cellStyle name="Style 25" xfId="5818"/>
    <cellStyle name="Style 25 2" xfId="5819"/>
    <cellStyle name="Style 26" xfId="5820"/>
    <cellStyle name="Style 26 2" xfId="5821"/>
    <cellStyle name="Style 27" xfId="5822"/>
    <cellStyle name="Style 27 2" xfId="5823"/>
    <cellStyle name="Style 28" xfId="5824"/>
    <cellStyle name="Style 28 2" xfId="5825"/>
    <cellStyle name="Style 29" xfId="5826"/>
    <cellStyle name="Style 29 2" xfId="5827"/>
    <cellStyle name="Style 3" xfId="5828"/>
    <cellStyle name="Style 3 2" xfId="5829"/>
    <cellStyle name="Style 30" xfId="5830"/>
    <cellStyle name="Style 30 2" xfId="5831"/>
    <cellStyle name="Style 31" xfId="5832"/>
    <cellStyle name="Style 31 2" xfId="5833"/>
    <cellStyle name="Style 32" xfId="5834"/>
    <cellStyle name="Style 32 2" xfId="5835"/>
    <cellStyle name="Style 33" xfId="5836"/>
    <cellStyle name="Style 33 2" xfId="5837"/>
    <cellStyle name="Style 34" xfId="5838"/>
    <cellStyle name="Style 34 2" xfId="5839"/>
    <cellStyle name="Style 35" xfId="5840"/>
    <cellStyle name="Style 35 2" xfId="5841"/>
    <cellStyle name="Style 36" xfId="5842"/>
    <cellStyle name="Style 36 2" xfId="5843"/>
    <cellStyle name="Style 37" xfId="5844"/>
    <cellStyle name="Style 37 2" xfId="5845"/>
    <cellStyle name="Style 38" xfId="5846"/>
    <cellStyle name="Style 38 2" xfId="5847"/>
    <cellStyle name="Style 39" xfId="5848"/>
    <cellStyle name="Style 39 2" xfId="5849"/>
    <cellStyle name="Style 4" xfId="5850"/>
    <cellStyle name="Style 4 2" xfId="5851"/>
    <cellStyle name="Style 40" xfId="5852"/>
    <cellStyle name="Style 40 2" xfId="5853"/>
    <cellStyle name="Style 5" xfId="5854"/>
    <cellStyle name="Style 5 2" xfId="5855"/>
    <cellStyle name="Style 6" xfId="5856"/>
    <cellStyle name="Style 6 2" xfId="5857"/>
    <cellStyle name="Style 7" xfId="5858"/>
    <cellStyle name="Style 7 2" xfId="5859"/>
    <cellStyle name="Style 8" xfId="5860"/>
    <cellStyle name="Style 8 2" xfId="5861"/>
    <cellStyle name="Style 9" xfId="5862"/>
    <cellStyle name="Style 9 2" xfId="5863"/>
    <cellStyle name="Style3" xfId="1269"/>
    <cellStyle name="Style3 10" xfId="1270"/>
    <cellStyle name="Style3 10 2" xfId="13739"/>
    <cellStyle name="Style3 10 3" xfId="13738"/>
    <cellStyle name="Style3 11" xfId="1271"/>
    <cellStyle name="Style3 11 2" xfId="13741"/>
    <cellStyle name="Style3 11 3" xfId="13740"/>
    <cellStyle name="Style3 12" xfId="13742"/>
    <cellStyle name="Style3 13" xfId="13737"/>
    <cellStyle name="Style3 2" xfId="1272"/>
    <cellStyle name="Style3 2 2" xfId="13744"/>
    <cellStyle name="Style3 2 3" xfId="13743"/>
    <cellStyle name="Style3 3" xfId="1273"/>
    <cellStyle name="Style3 3 2" xfId="13746"/>
    <cellStyle name="Style3 3 3" xfId="13745"/>
    <cellStyle name="Style3 4" xfId="1274"/>
    <cellStyle name="Style3 4 2" xfId="13748"/>
    <cellStyle name="Style3 4 3" xfId="13747"/>
    <cellStyle name="Style3 5" xfId="1275"/>
    <cellStyle name="Style3 5 2" xfId="13750"/>
    <cellStyle name="Style3 5 3" xfId="13749"/>
    <cellStyle name="Style3 6" xfId="1276"/>
    <cellStyle name="Style3 6 2" xfId="13752"/>
    <cellStyle name="Style3 6 3" xfId="13751"/>
    <cellStyle name="Style3 7" xfId="1277"/>
    <cellStyle name="Style3 7 2" xfId="13754"/>
    <cellStyle name="Style3 7 3" xfId="13753"/>
    <cellStyle name="Style3 8" xfId="1278"/>
    <cellStyle name="Style3 8 2" xfId="13756"/>
    <cellStyle name="Style3 8 3" xfId="13755"/>
    <cellStyle name="Style3 9" xfId="1279"/>
    <cellStyle name="Style3 9 2" xfId="13758"/>
    <cellStyle name="Style3 9 3" xfId="13757"/>
    <cellStyle name="Style3_Sanwani Street_201602" xfId="13759"/>
    <cellStyle name="SubScript" xfId="5864"/>
    <cellStyle name="sum" xfId="1280"/>
    <cellStyle name="sum 2" xfId="13761"/>
    <cellStyle name="sum 3" xfId="13760"/>
    <cellStyle name="SuperScript" xfId="5865"/>
    <cellStyle name="Table" xfId="5866"/>
    <cellStyle name="Table Head" xfId="13762"/>
    <cellStyle name="Table Source" xfId="13763"/>
    <cellStyle name="Table Text" xfId="13764"/>
    <cellStyle name="Table Title" xfId="13765"/>
    <cellStyle name="Table Units" xfId="13766"/>
    <cellStyle name="Text 1" xfId="13767"/>
    <cellStyle name="Text 2" xfId="13768"/>
    <cellStyle name="Text Head 1" xfId="13769"/>
    <cellStyle name="Text Head 2" xfId="13770"/>
    <cellStyle name="Text Indent 1" xfId="13771"/>
    <cellStyle name="Text Indent 2" xfId="13772"/>
    <cellStyle name="TextBold" xfId="5867"/>
    <cellStyle name="TextItalic" xfId="5868"/>
    <cellStyle name="TextNormal" xfId="5869"/>
    <cellStyle name="Tick" xfId="5870"/>
    <cellStyle name="Title 10" xfId="1281"/>
    <cellStyle name="Title 10 2" xfId="1282"/>
    <cellStyle name="Title 10 2 2" xfId="13774"/>
    <cellStyle name="Title 10 3" xfId="3053"/>
    <cellStyle name="Title 10 3 2" xfId="13775"/>
    <cellStyle name="Title 10 4" xfId="13776"/>
    <cellStyle name="Title 10 5" xfId="13773"/>
    <cellStyle name="Title 11" xfId="1283"/>
    <cellStyle name="Title 11 2" xfId="1284"/>
    <cellStyle name="Title 11 2 2" xfId="13778"/>
    <cellStyle name="Title 11 3" xfId="3054"/>
    <cellStyle name="Title 11 3 2" xfId="13779"/>
    <cellStyle name="Title 11 4" xfId="13780"/>
    <cellStyle name="Title 11 5" xfId="13777"/>
    <cellStyle name="Title 12" xfId="1285"/>
    <cellStyle name="Title 12 2" xfId="1286"/>
    <cellStyle name="Title 12 2 2" xfId="13782"/>
    <cellStyle name="Title 12 3" xfId="3055"/>
    <cellStyle name="Title 12 3 2" xfId="13783"/>
    <cellStyle name="Title 12 4" xfId="13784"/>
    <cellStyle name="Title 12 5" xfId="13781"/>
    <cellStyle name="Title 13" xfId="1287"/>
    <cellStyle name="Title 13 2" xfId="1288"/>
    <cellStyle name="Title 13 2 2" xfId="13786"/>
    <cellStyle name="Title 13 3" xfId="3056"/>
    <cellStyle name="Title 13 3 2" xfId="13787"/>
    <cellStyle name="Title 13 4" xfId="13788"/>
    <cellStyle name="Title 13 5" xfId="13785"/>
    <cellStyle name="Title 14" xfId="1289"/>
    <cellStyle name="Title 14 2" xfId="1290"/>
    <cellStyle name="Title 14 2 2" xfId="13790"/>
    <cellStyle name="Title 14 3" xfId="3057"/>
    <cellStyle name="Title 14 3 2" xfId="13791"/>
    <cellStyle name="Title 14 4" xfId="13792"/>
    <cellStyle name="Title 14 5" xfId="13789"/>
    <cellStyle name="Title 15" xfId="1291"/>
    <cellStyle name="Title 15 2" xfId="1292"/>
    <cellStyle name="Title 15 2 2" xfId="13794"/>
    <cellStyle name="Title 15 3" xfId="3058"/>
    <cellStyle name="Title 15 3 2" xfId="13795"/>
    <cellStyle name="Title 15 4" xfId="13796"/>
    <cellStyle name="Title 15 5" xfId="13793"/>
    <cellStyle name="Title 16" xfId="13797"/>
    <cellStyle name="Title 16 2" xfId="13798"/>
    <cellStyle name="Title 17" xfId="13799"/>
    <cellStyle name="Title 18" xfId="13800"/>
    <cellStyle name="Title 19" xfId="13801"/>
    <cellStyle name="Title 2" xfId="1293"/>
    <cellStyle name="Title 2 10" xfId="13803"/>
    <cellStyle name="Title 2 10 2" xfId="13804"/>
    <cellStyle name="Title 2 11" xfId="13805"/>
    <cellStyle name="Title 2 11 2" xfId="13806"/>
    <cellStyle name="Title 2 12" xfId="13807"/>
    <cellStyle name="Title 2 13" xfId="13808"/>
    <cellStyle name="Title 2 14" xfId="13809"/>
    <cellStyle name="Title 2 15" xfId="13802"/>
    <cellStyle name="Title 2 2" xfId="1294"/>
    <cellStyle name="Title 2 2 2" xfId="13811"/>
    <cellStyle name="Title 2 2 2 2" xfId="13812"/>
    <cellStyle name="Title 2 2 2 3" xfId="13813"/>
    <cellStyle name="Title 2 2 3" xfId="13814"/>
    <cellStyle name="Title 2 2 3 2" xfId="13815"/>
    <cellStyle name="Title 2 2 3 3" xfId="13816"/>
    <cellStyle name="Title 2 2 4" xfId="13817"/>
    <cellStyle name="Title 2 2 4 2" xfId="13818"/>
    <cellStyle name="Title 2 2 5" xfId="13819"/>
    <cellStyle name="Title 2 2 6" xfId="13820"/>
    <cellStyle name="Title 2 2 7" xfId="13810"/>
    <cellStyle name="Title 2 2 8" xfId="15183"/>
    <cellStyle name="Title 2 2_Input" xfId="13821"/>
    <cellStyle name="Title 2 3" xfId="3059"/>
    <cellStyle name="Title 2 3 2" xfId="13823"/>
    <cellStyle name="Title 2 3 2 2" xfId="13824"/>
    <cellStyle name="Title 2 3 2 3" xfId="13825"/>
    <cellStyle name="Title 2 3 3" xfId="13826"/>
    <cellStyle name="Title 2 3 3 2" xfId="13827"/>
    <cellStyle name="Title 2 3 3 3" xfId="13828"/>
    <cellStyle name="Title 2 3 4" xfId="13829"/>
    <cellStyle name="Title 2 3 4 2" xfId="13830"/>
    <cellStyle name="Title 2 3 5" xfId="13831"/>
    <cellStyle name="Title 2 3 6" xfId="13832"/>
    <cellStyle name="Title 2 3 7" xfId="13822"/>
    <cellStyle name="Title 2 3_Input" xfId="13833"/>
    <cellStyle name="Title 2 4" xfId="5871"/>
    <cellStyle name="Title 2 4 2" xfId="13835"/>
    <cellStyle name="Title 2 4 3" xfId="13836"/>
    <cellStyle name="Title 2 4 4" xfId="13834"/>
    <cellStyle name="Title 2 5" xfId="13837"/>
    <cellStyle name="Title 2 5 2" xfId="13838"/>
    <cellStyle name="Title 2 5 3" xfId="13839"/>
    <cellStyle name="Title 2 6" xfId="13840"/>
    <cellStyle name="Title 2 7" xfId="13841"/>
    <cellStyle name="Title 2 7 2" xfId="13842"/>
    <cellStyle name="Title 2 7 3" xfId="13843"/>
    <cellStyle name="Title 2 8" xfId="13844"/>
    <cellStyle name="Title 2 8 2" xfId="13845"/>
    <cellStyle name="Title 2 8 3" xfId="13846"/>
    <cellStyle name="Title 2 9" xfId="13847"/>
    <cellStyle name="Title 2 9 2" xfId="13848"/>
    <cellStyle name="Title 2_Input" xfId="13849"/>
    <cellStyle name="Title 3" xfId="1295"/>
    <cellStyle name="Title 3 10" xfId="13851"/>
    <cellStyle name="Title 3 10 2" xfId="13852"/>
    <cellStyle name="Title 3 11" xfId="13853"/>
    <cellStyle name="Title 3 12" xfId="13854"/>
    <cellStyle name="Title 3 13" xfId="13855"/>
    <cellStyle name="Title 3 14" xfId="13856"/>
    <cellStyle name="Title 3 15" xfId="13850"/>
    <cellStyle name="Title 3 2" xfId="1296"/>
    <cellStyle name="Title 3 2 2" xfId="13858"/>
    <cellStyle name="Title 3 2 2 2" xfId="13859"/>
    <cellStyle name="Title 3 2 2 3" xfId="13860"/>
    <cellStyle name="Title 3 2 3" xfId="13861"/>
    <cellStyle name="Title 3 2 3 2" xfId="13862"/>
    <cellStyle name="Title 3 2 3 3" xfId="13863"/>
    <cellStyle name="Title 3 2 4" xfId="13864"/>
    <cellStyle name="Title 3 2 4 2" xfId="13865"/>
    <cellStyle name="Title 3 2 5" xfId="13866"/>
    <cellStyle name="Title 3 2 6" xfId="13867"/>
    <cellStyle name="Title 3 2 7" xfId="13857"/>
    <cellStyle name="Title 3 2_Input" xfId="13868"/>
    <cellStyle name="Title 3 3" xfId="3060"/>
    <cellStyle name="Title 3 3 2" xfId="13870"/>
    <cellStyle name="Title 3 3 2 2" xfId="13871"/>
    <cellStyle name="Title 3 3 2 3" xfId="13872"/>
    <cellStyle name="Title 3 3 3" xfId="13873"/>
    <cellStyle name="Title 3 3 3 2" xfId="13874"/>
    <cellStyle name="Title 3 3 3 3" xfId="13875"/>
    <cellStyle name="Title 3 3 4" xfId="13876"/>
    <cellStyle name="Title 3 3 4 2" xfId="13877"/>
    <cellStyle name="Title 3 3 5" xfId="13878"/>
    <cellStyle name="Title 3 3 6" xfId="13879"/>
    <cellStyle name="Title 3 3 7" xfId="13869"/>
    <cellStyle name="Title 3 3_Input" xfId="13880"/>
    <cellStyle name="Title 3 4" xfId="5872"/>
    <cellStyle name="Title 3 4 2" xfId="13882"/>
    <cellStyle name="Title 3 4 3" xfId="13883"/>
    <cellStyle name="Title 3 4 4" xfId="13881"/>
    <cellStyle name="Title 3 5" xfId="13884"/>
    <cellStyle name="Title 3 5 2" xfId="13885"/>
    <cellStyle name="Title 3 5 3" xfId="13886"/>
    <cellStyle name="Title 3 6" xfId="13887"/>
    <cellStyle name="Title 3 7" xfId="13888"/>
    <cellStyle name="Title 3 7 2" xfId="13889"/>
    <cellStyle name="Title 3 7 3" xfId="13890"/>
    <cellStyle name="Title 3 8" xfId="13891"/>
    <cellStyle name="Title 3 8 2" xfId="13892"/>
    <cellStyle name="Title 3 8 3" xfId="13893"/>
    <cellStyle name="Title 3 9" xfId="13894"/>
    <cellStyle name="Title 3 9 2" xfId="13895"/>
    <cellStyle name="Title 3_Input" xfId="13896"/>
    <cellStyle name="Title 4" xfId="1297"/>
    <cellStyle name="Title 4 10" xfId="13898"/>
    <cellStyle name="Title 4 10 2" xfId="13899"/>
    <cellStyle name="Title 4 11" xfId="13900"/>
    <cellStyle name="Title 4 12" xfId="13901"/>
    <cellStyle name="Title 4 13" xfId="13902"/>
    <cellStyle name="Title 4 14" xfId="13903"/>
    <cellStyle name="Title 4 15" xfId="13897"/>
    <cellStyle name="Title 4 2" xfId="1298"/>
    <cellStyle name="Title 4 2 2" xfId="13905"/>
    <cellStyle name="Title 4 2 2 2" xfId="13906"/>
    <cellStyle name="Title 4 2 2 3" xfId="13907"/>
    <cellStyle name="Title 4 2 3" xfId="13908"/>
    <cellStyle name="Title 4 2 3 2" xfId="13909"/>
    <cellStyle name="Title 4 2 3 3" xfId="13910"/>
    <cellStyle name="Title 4 2 4" xfId="13911"/>
    <cellStyle name="Title 4 2 4 2" xfId="13912"/>
    <cellStyle name="Title 4 2 5" xfId="13913"/>
    <cellStyle name="Title 4 2 6" xfId="13914"/>
    <cellStyle name="Title 4 2 7" xfId="13904"/>
    <cellStyle name="Title 4 2_Input" xfId="13915"/>
    <cellStyle name="Title 4 3" xfId="3061"/>
    <cellStyle name="Title 4 3 2" xfId="13917"/>
    <cellStyle name="Title 4 3 2 2" xfId="13918"/>
    <cellStyle name="Title 4 3 2 3" xfId="13919"/>
    <cellStyle name="Title 4 3 3" xfId="13920"/>
    <cellStyle name="Title 4 3 3 2" xfId="13921"/>
    <cellStyle name="Title 4 3 3 3" xfId="13922"/>
    <cellStyle name="Title 4 3 4" xfId="13923"/>
    <cellStyle name="Title 4 3 4 2" xfId="13924"/>
    <cellStyle name="Title 4 3 5" xfId="13925"/>
    <cellStyle name="Title 4 3 6" xfId="13926"/>
    <cellStyle name="Title 4 3 7" xfId="13916"/>
    <cellStyle name="Title 4 3_Input" xfId="13927"/>
    <cellStyle name="Title 4 4" xfId="13928"/>
    <cellStyle name="Title 4 4 2" xfId="13929"/>
    <cellStyle name="Title 4 4 3" xfId="13930"/>
    <cellStyle name="Title 4 5" xfId="13931"/>
    <cellStyle name="Title 4 5 2" xfId="13932"/>
    <cellStyle name="Title 4 5 3" xfId="13933"/>
    <cellStyle name="Title 4 6" xfId="13934"/>
    <cellStyle name="Title 4 7" xfId="13935"/>
    <cellStyle name="Title 4 7 2" xfId="13936"/>
    <cellStyle name="Title 4 7 3" xfId="13937"/>
    <cellStyle name="Title 4 8" xfId="13938"/>
    <cellStyle name="Title 4 8 2" xfId="13939"/>
    <cellStyle name="Title 4 8 3" xfId="13940"/>
    <cellStyle name="Title 4 9" xfId="13941"/>
    <cellStyle name="Title 4 9 2" xfId="13942"/>
    <cellStyle name="Title 4_Input" xfId="13943"/>
    <cellStyle name="Title 5" xfId="1299"/>
    <cellStyle name="Title 5 10" xfId="13945"/>
    <cellStyle name="Title 5 10 2" xfId="13946"/>
    <cellStyle name="Title 5 11" xfId="13947"/>
    <cellStyle name="Title 5 12" xfId="13948"/>
    <cellStyle name="Title 5 13" xfId="13949"/>
    <cellStyle name="Title 5 14" xfId="13950"/>
    <cellStyle name="Title 5 15" xfId="13944"/>
    <cellStyle name="Title 5 2" xfId="1300"/>
    <cellStyle name="Title 5 2 2" xfId="13952"/>
    <cellStyle name="Title 5 2 2 2" xfId="13953"/>
    <cellStyle name="Title 5 2 2 3" xfId="13954"/>
    <cellStyle name="Title 5 2 3" xfId="13955"/>
    <cellStyle name="Title 5 2 3 2" xfId="13956"/>
    <cellStyle name="Title 5 2 3 3" xfId="13957"/>
    <cellStyle name="Title 5 2 4" xfId="13958"/>
    <cellStyle name="Title 5 2 4 2" xfId="13959"/>
    <cellStyle name="Title 5 2 5" xfId="13960"/>
    <cellStyle name="Title 5 2 6" xfId="13961"/>
    <cellStyle name="Title 5 2 7" xfId="13951"/>
    <cellStyle name="Title 5 2_Input" xfId="13962"/>
    <cellStyle name="Title 5 3" xfId="3062"/>
    <cellStyle name="Title 5 3 2" xfId="13964"/>
    <cellStyle name="Title 5 3 2 2" xfId="13965"/>
    <cellStyle name="Title 5 3 2 3" xfId="13966"/>
    <cellStyle name="Title 5 3 3" xfId="13967"/>
    <cellStyle name="Title 5 3 3 2" xfId="13968"/>
    <cellStyle name="Title 5 3 3 3" xfId="13969"/>
    <cellStyle name="Title 5 3 4" xfId="13970"/>
    <cellStyle name="Title 5 3 4 2" xfId="13971"/>
    <cellStyle name="Title 5 3 5" xfId="13972"/>
    <cellStyle name="Title 5 3 6" xfId="13973"/>
    <cellStyle name="Title 5 3 7" xfId="13963"/>
    <cellStyle name="Title 5 3_Input" xfId="13974"/>
    <cellStyle name="Title 5 4" xfId="13975"/>
    <cellStyle name="Title 5 4 2" xfId="13976"/>
    <cellStyle name="Title 5 4 3" xfId="13977"/>
    <cellStyle name="Title 5 5" xfId="13978"/>
    <cellStyle name="Title 5 5 2" xfId="13979"/>
    <cellStyle name="Title 5 5 3" xfId="13980"/>
    <cellStyle name="Title 5 6" xfId="13981"/>
    <cellStyle name="Title 5 7" xfId="13982"/>
    <cellStyle name="Title 5 7 2" xfId="13983"/>
    <cellStyle name="Title 5 7 3" xfId="13984"/>
    <cellStyle name="Title 5 8" xfId="13985"/>
    <cellStyle name="Title 5 8 2" xfId="13986"/>
    <cellStyle name="Title 5 8 3" xfId="13987"/>
    <cellStyle name="Title 5 9" xfId="13988"/>
    <cellStyle name="Title 5 9 2" xfId="13989"/>
    <cellStyle name="Title 5_Input" xfId="13990"/>
    <cellStyle name="Title 6" xfId="1301"/>
    <cellStyle name="Title 6 10" xfId="13992"/>
    <cellStyle name="Title 6 10 2" xfId="13993"/>
    <cellStyle name="Title 6 11" xfId="13994"/>
    <cellStyle name="Title 6 12" xfId="13995"/>
    <cellStyle name="Title 6 13" xfId="13996"/>
    <cellStyle name="Title 6 14" xfId="13997"/>
    <cellStyle name="Title 6 15" xfId="13991"/>
    <cellStyle name="Title 6 2" xfId="1302"/>
    <cellStyle name="Title 6 2 2" xfId="13999"/>
    <cellStyle name="Title 6 2 2 2" xfId="14000"/>
    <cellStyle name="Title 6 2 2 3" xfId="14001"/>
    <cellStyle name="Title 6 2 3" xfId="14002"/>
    <cellStyle name="Title 6 2 3 2" xfId="14003"/>
    <cellStyle name="Title 6 2 3 3" xfId="14004"/>
    <cellStyle name="Title 6 2 4" xfId="14005"/>
    <cellStyle name="Title 6 2 4 2" xfId="14006"/>
    <cellStyle name="Title 6 2 5" xfId="14007"/>
    <cellStyle name="Title 6 2 6" xfId="14008"/>
    <cellStyle name="Title 6 2 7" xfId="13998"/>
    <cellStyle name="Title 6 2_Input" xfId="14009"/>
    <cellStyle name="Title 6 3" xfId="3063"/>
    <cellStyle name="Title 6 3 2" xfId="14011"/>
    <cellStyle name="Title 6 3 2 2" xfId="14012"/>
    <cellStyle name="Title 6 3 2 3" xfId="14013"/>
    <cellStyle name="Title 6 3 3" xfId="14014"/>
    <cellStyle name="Title 6 3 3 2" xfId="14015"/>
    <cellStyle name="Title 6 3 3 3" xfId="14016"/>
    <cellStyle name="Title 6 3 4" xfId="14017"/>
    <cellStyle name="Title 6 3 4 2" xfId="14018"/>
    <cellStyle name="Title 6 3 5" xfId="14019"/>
    <cellStyle name="Title 6 3 6" xfId="14020"/>
    <cellStyle name="Title 6 3 7" xfId="14010"/>
    <cellStyle name="Title 6 3_Input" xfId="14021"/>
    <cellStyle name="Title 6 4" xfId="14022"/>
    <cellStyle name="Title 6 4 2" xfId="14023"/>
    <cellStyle name="Title 6 4 3" xfId="14024"/>
    <cellStyle name="Title 6 5" xfId="14025"/>
    <cellStyle name="Title 6 5 2" xfId="14026"/>
    <cellStyle name="Title 6 5 3" xfId="14027"/>
    <cellStyle name="Title 6 6" xfId="14028"/>
    <cellStyle name="Title 6 7" xfId="14029"/>
    <cellStyle name="Title 6 7 2" xfId="14030"/>
    <cellStyle name="Title 6 7 3" xfId="14031"/>
    <cellStyle name="Title 6 8" xfId="14032"/>
    <cellStyle name="Title 6 8 2" xfId="14033"/>
    <cellStyle name="Title 6 8 3" xfId="14034"/>
    <cellStyle name="Title 6 9" xfId="14035"/>
    <cellStyle name="Title 6 9 2" xfId="14036"/>
    <cellStyle name="Title 6_Input" xfId="14037"/>
    <cellStyle name="Title 7" xfId="1303"/>
    <cellStyle name="Title 7 10" xfId="14039"/>
    <cellStyle name="Title 7 10 2" xfId="14040"/>
    <cellStyle name="Title 7 11" xfId="14041"/>
    <cellStyle name="Title 7 12" xfId="14042"/>
    <cellStyle name="Title 7 13" xfId="14043"/>
    <cellStyle name="Title 7 14" xfId="14044"/>
    <cellStyle name="Title 7 15" xfId="14038"/>
    <cellStyle name="Title 7 2" xfId="1304"/>
    <cellStyle name="Title 7 2 2" xfId="14046"/>
    <cellStyle name="Title 7 2 2 2" xfId="14047"/>
    <cellStyle name="Title 7 2 2 3" xfId="14048"/>
    <cellStyle name="Title 7 2 3" xfId="14049"/>
    <cellStyle name="Title 7 2 3 2" xfId="14050"/>
    <cellStyle name="Title 7 2 3 3" xfId="14051"/>
    <cellStyle name="Title 7 2 4" xfId="14052"/>
    <cellStyle name="Title 7 2 4 2" xfId="14053"/>
    <cellStyle name="Title 7 2 5" xfId="14054"/>
    <cellStyle name="Title 7 2 6" xfId="14055"/>
    <cellStyle name="Title 7 2 7" xfId="14045"/>
    <cellStyle name="Title 7 2_Input" xfId="14056"/>
    <cellStyle name="Title 7 3" xfId="3064"/>
    <cellStyle name="Title 7 3 2" xfId="14058"/>
    <cellStyle name="Title 7 3 2 2" xfId="14059"/>
    <cellStyle name="Title 7 3 2 3" xfId="14060"/>
    <cellStyle name="Title 7 3 3" xfId="14061"/>
    <cellStyle name="Title 7 3 3 2" xfId="14062"/>
    <cellStyle name="Title 7 3 3 3" xfId="14063"/>
    <cellStyle name="Title 7 3 4" xfId="14064"/>
    <cellStyle name="Title 7 3 4 2" xfId="14065"/>
    <cellStyle name="Title 7 3 5" xfId="14066"/>
    <cellStyle name="Title 7 3 6" xfId="14067"/>
    <cellStyle name="Title 7 3 7" xfId="14057"/>
    <cellStyle name="Title 7 3_Input" xfId="14068"/>
    <cellStyle name="Title 7 4" xfId="14069"/>
    <cellStyle name="Title 7 4 2" xfId="14070"/>
    <cellStyle name="Title 7 4 3" xfId="14071"/>
    <cellStyle name="Title 7 5" xfId="14072"/>
    <cellStyle name="Title 7 5 2" xfId="14073"/>
    <cellStyle name="Title 7 5 3" xfId="14074"/>
    <cellStyle name="Title 7 6" xfId="14075"/>
    <cellStyle name="Title 7 7" xfId="14076"/>
    <cellStyle name="Title 7 7 2" xfId="14077"/>
    <cellStyle name="Title 7 7 3" xfId="14078"/>
    <cellStyle name="Title 7 8" xfId="14079"/>
    <cellStyle name="Title 7 8 2" xfId="14080"/>
    <cellStyle name="Title 7 8 3" xfId="14081"/>
    <cellStyle name="Title 7 9" xfId="14082"/>
    <cellStyle name="Title 7 9 2" xfId="14083"/>
    <cellStyle name="Title 7_Input" xfId="14084"/>
    <cellStyle name="Title 8" xfId="1305"/>
    <cellStyle name="Title 8 2" xfId="1306"/>
    <cellStyle name="Title 8 2 2" xfId="14086"/>
    <cellStyle name="Title 8 3" xfId="3065"/>
    <cellStyle name="Title 8 3 2" xfId="14087"/>
    <cellStyle name="Title 8 4" xfId="14088"/>
    <cellStyle name="Title 8 5" xfId="14085"/>
    <cellStyle name="Title 9" xfId="1307"/>
    <cellStyle name="Title 9 2" xfId="1308"/>
    <cellStyle name="Title 9 2 2" xfId="14090"/>
    <cellStyle name="Title 9 3" xfId="3066"/>
    <cellStyle name="Title 9 3 2" xfId="14091"/>
    <cellStyle name="Title 9 4" xfId="14092"/>
    <cellStyle name="Title 9 5" xfId="14089"/>
    <cellStyle name="Title2" xfId="5873"/>
    <cellStyle name="TitleNormal" xfId="5874"/>
    <cellStyle name="TOC 1" xfId="14093"/>
    <cellStyle name="TOC 2" xfId="14094"/>
    <cellStyle name="TopBot - Style2" xfId="1309"/>
    <cellStyle name="TopBot - Style2 10" xfId="1310"/>
    <cellStyle name="TopBot - Style2 10 2" xfId="14097"/>
    <cellStyle name="TopBot - Style2 10 3" xfId="14096"/>
    <cellStyle name="TopBot - Style2 11" xfId="1311"/>
    <cellStyle name="TopBot - Style2 11 2" xfId="14099"/>
    <cellStyle name="TopBot - Style2 11 3" xfId="14098"/>
    <cellStyle name="TopBot - Style2 12" xfId="14100"/>
    <cellStyle name="TopBot - Style2 13" xfId="14095"/>
    <cellStyle name="TopBot - Style2 2" xfId="1312"/>
    <cellStyle name="TopBot - Style2 2 2" xfId="14102"/>
    <cellStyle name="TopBot - Style2 2 3" xfId="14101"/>
    <cellStyle name="TopBot - Style2 3" xfId="1313"/>
    <cellStyle name="TopBot - Style2 3 2" xfId="14104"/>
    <cellStyle name="TopBot - Style2 3 3" xfId="14103"/>
    <cellStyle name="TopBot - Style2 4" xfId="1314"/>
    <cellStyle name="TopBot - Style2 4 2" xfId="14106"/>
    <cellStyle name="TopBot - Style2 4 3" xfId="14105"/>
    <cellStyle name="TopBot - Style2 5" xfId="1315"/>
    <cellStyle name="TopBot - Style2 5 2" xfId="14108"/>
    <cellStyle name="TopBot - Style2 5 3" xfId="14107"/>
    <cellStyle name="TopBot - Style2 6" xfId="1316"/>
    <cellStyle name="TopBot - Style2 6 2" xfId="14110"/>
    <cellStyle name="TopBot - Style2 6 3" xfId="14109"/>
    <cellStyle name="TopBot - Style2 7" xfId="1317"/>
    <cellStyle name="TopBot - Style2 7 2" xfId="14112"/>
    <cellStyle name="TopBot - Style2 7 3" xfId="14111"/>
    <cellStyle name="TopBot - Style2 8" xfId="1318"/>
    <cellStyle name="TopBot - Style2 8 2" xfId="14114"/>
    <cellStyle name="TopBot - Style2 8 3" xfId="14113"/>
    <cellStyle name="TopBot - Style2 9" xfId="1319"/>
    <cellStyle name="TopBot - Style2 9 2" xfId="14116"/>
    <cellStyle name="TopBot - Style2 9 3" xfId="14115"/>
    <cellStyle name="TopBot - Style2_Sanwani Street_201602" xfId="14117"/>
    <cellStyle name="Total 10" xfId="1320"/>
    <cellStyle name="Total 10 2" xfId="1321"/>
    <cellStyle name="Total 10 2 2" xfId="14120"/>
    <cellStyle name="Total 10 2 3" xfId="14119"/>
    <cellStyle name="Total 10 3" xfId="3067"/>
    <cellStyle name="Total 10 3 2" xfId="14122"/>
    <cellStyle name="Total 10 3 3" xfId="14121"/>
    <cellStyle name="Total 10 4" xfId="14123"/>
    <cellStyle name="Total 10 4 2" xfId="14124"/>
    <cellStyle name="Total 10 5" xfId="14125"/>
    <cellStyle name="Total 10 6" xfId="14118"/>
    <cellStyle name="Total 10_Sheet1" xfId="14126"/>
    <cellStyle name="Total 100" xfId="14127"/>
    <cellStyle name="Total 101" xfId="14128"/>
    <cellStyle name="Total 102" xfId="14129"/>
    <cellStyle name="Total 103" xfId="14130"/>
    <cellStyle name="Total 104" xfId="14131"/>
    <cellStyle name="Total 105" xfId="14132"/>
    <cellStyle name="Total 106" xfId="14133"/>
    <cellStyle name="Total 107" xfId="14134"/>
    <cellStyle name="Total 108" xfId="14135"/>
    <cellStyle name="Total 109" xfId="14136"/>
    <cellStyle name="Total 11" xfId="1322"/>
    <cellStyle name="Total 11 2" xfId="1323"/>
    <cellStyle name="Total 11 2 2" xfId="14139"/>
    <cellStyle name="Total 11 2 3" xfId="14138"/>
    <cellStyle name="Total 11 3" xfId="3068"/>
    <cellStyle name="Total 11 3 2" xfId="14141"/>
    <cellStyle name="Total 11 3 3" xfId="14140"/>
    <cellStyle name="Total 11 4" xfId="14142"/>
    <cellStyle name="Total 11 4 2" xfId="14143"/>
    <cellStyle name="Total 11 5" xfId="14144"/>
    <cellStyle name="Total 11 6" xfId="14137"/>
    <cellStyle name="Total 11_Sheet1" xfId="14145"/>
    <cellStyle name="Total 110" xfId="14146"/>
    <cellStyle name="Total 111" xfId="14147"/>
    <cellStyle name="Total 112" xfId="14148"/>
    <cellStyle name="Total 113" xfId="14149"/>
    <cellStyle name="Total 114" xfId="14150"/>
    <cellStyle name="Total 115" xfId="14151"/>
    <cellStyle name="Total 116" xfId="14152"/>
    <cellStyle name="Total 117" xfId="14153"/>
    <cellStyle name="Total 118" xfId="14154"/>
    <cellStyle name="Total 119" xfId="14155"/>
    <cellStyle name="Total 12" xfId="1324"/>
    <cellStyle name="Total 12 2" xfId="1325"/>
    <cellStyle name="Total 12 2 2" xfId="14158"/>
    <cellStyle name="Total 12 2 3" xfId="14157"/>
    <cellStyle name="Total 12 3" xfId="3069"/>
    <cellStyle name="Total 12 3 2" xfId="14160"/>
    <cellStyle name="Total 12 3 3" xfId="14159"/>
    <cellStyle name="Total 12 4" xfId="14161"/>
    <cellStyle name="Total 12 4 2" xfId="14162"/>
    <cellStyle name="Total 12 5" xfId="14163"/>
    <cellStyle name="Total 12 6" xfId="14156"/>
    <cellStyle name="Total 12_Sheet1" xfId="14164"/>
    <cellStyle name="Total 120" xfId="14165"/>
    <cellStyle name="Total 121" xfId="14166"/>
    <cellStyle name="Total 122" xfId="14167"/>
    <cellStyle name="Total 123" xfId="14168"/>
    <cellStyle name="Total 124" xfId="14169"/>
    <cellStyle name="Total 125" xfId="14170"/>
    <cellStyle name="Total 126" xfId="14171"/>
    <cellStyle name="Total 127" xfId="14172"/>
    <cellStyle name="Total 128" xfId="14173"/>
    <cellStyle name="Total 129" xfId="14174"/>
    <cellStyle name="Total 13" xfId="1326"/>
    <cellStyle name="Total 13 2" xfId="1327"/>
    <cellStyle name="Total 13 2 2" xfId="14177"/>
    <cellStyle name="Total 13 2 3" xfId="14176"/>
    <cellStyle name="Total 13 3" xfId="3070"/>
    <cellStyle name="Total 13 3 2" xfId="14179"/>
    <cellStyle name="Total 13 3 3" xfId="14178"/>
    <cellStyle name="Total 13 4" xfId="14180"/>
    <cellStyle name="Total 13 4 2" xfId="14181"/>
    <cellStyle name="Total 13 5" xfId="14182"/>
    <cellStyle name="Total 13 6" xfId="14175"/>
    <cellStyle name="Total 13_Sheet1" xfId="14183"/>
    <cellStyle name="Total 130" xfId="14184"/>
    <cellStyle name="Total 131" xfId="14185"/>
    <cellStyle name="Total 132" xfId="14186"/>
    <cellStyle name="Total 133" xfId="14187"/>
    <cellStyle name="Total 134" xfId="14188"/>
    <cellStyle name="Total 135" xfId="14189"/>
    <cellStyle name="Total 136" xfId="14190"/>
    <cellStyle name="Total 137" xfId="14191"/>
    <cellStyle name="Total 138" xfId="14192"/>
    <cellStyle name="Total 139" xfId="14193"/>
    <cellStyle name="Total 14" xfId="1328"/>
    <cellStyle name="Total 14 2" xfId="1329"/>
    <cellStyle name="Total 14 2 2" xfId="14196"/>
    <cellStyle name="Total 14 2 3" xfId="14195"/>
    <cellStyle name="Total 14 3" xfId="3071"/>
    <cellStyle name="Total 14 3 2" xfId="14198"/>
    <cellStyle name="Total 14 3 3" xfId="14197"/>
    <cellStyle name="Total 14 4" xfId="14199"/>
    <cellStyle name="Total 14 4 2" xfId="14200"/>
    <cellStyle name="Total 14 5" xfId="14201"/>
    <cellStyle name="Total 14 6" xfId="14194"/>
    <cellStyle name="Total 14_Sheet1" xfId="14202"/>
    <cellStyle name="Total 140" xfId="14203"/>
    <cellStyle name="Total 141" xfId="14204"/>
    <cellStyle name="Total 142" xfId="14205"/>
    <cellStyle name="Total 143" xfId="14206"/>
    <cellStyle name="Total 144" xfId="14207"/>
    <cellStyle name="Total 145" xfId="14208"/>
    <cellStyle name="Total 146" xfId="14209"/>
    <cellStyle name="Total 147" xfId="14210"/>
    <cellStyle name="Total 148" xfId="14211"/>
    <cellStyle name="Total 149" xfId="14212"/>
    <cellStyle name="Total 15" xfId="1330"/>
    <cellStyle name="Total 15 2" xfId="1331"/>
    <cellStyle name="Total 15 2 2" xfId="14215"/>
    <cellStyle name="Total 15 2 3" xfId="14214"/>
    <cellStyle name="Total 15 3" xfId="3072"/>
    <cellStyle name="Total 15 3 2" xfId="14217"/>
    <cellStyle name="Total 15 3 3" xfId="14216"/>
    <cellStyle name="Total 15 4" xfId="14218"/>
    <cellStyle name="Total 15 4 2" xfId="14219"/>
    <cellStyle name="Total 15 5" xfId="14220"/>
    <cellStyle name="Total 15 6" xfId="14213"/>
    <cellStyle name="Total 15_Sheet1" xfId="14221"/>
    <cellStyle name="Total 150" xfId="14222"/>
    <cellStyle name="Total 151" xfId="14223"/>
    <cellStyle name="Total 152" xfId="14224"/>
    <cellStyle name="Total 153" xfId="14225"/>
    <cellStyle name="Total 154" xfId="14226"/>
    <cellStyle name="Total 155" xfId="14227"/>
    <cellStyle name="Total 156" xfId="14228"/>
    <cellStyle name="Total 157" xfId="14229"/>
    <cellStyle name="Total 158" xfId="14230"/>
    <cellStyle name="Total 159" xfId="14231"/>
    <cellStyle name="Total 16" xfId="1332"/>
    <cellStyle name="Total 16 2" xfId="14233"/>
    <cellStyle name="Total 16 3" xfId="14232"/>
    <cellStyle name="Total 160" xfId="14234"/>
    <cellStyle name="Total 161" xfId="14235"/>
    <cellStyle name="Total 162" xfId="14236"/>
    <cellStyle name="Total 163" xfId="14237"/>
    <cellStyle name="Total 164" xfId="14238"/>
    <cellStyle name="Total 165" xfId="14239"/>
    <cellStyle name="Total 166" xfId="14240"/>
    <cellStyle name="Total 167" xfId="14241"/>
    <cellStyle name="Total 168" xfId="14242"/>
    <cellStyle name="Total 169" xfId="14243"/>
    <cellStyle name="Total 17" xfId="14244"/>
    <cellStyle name="Total 17 2" xfId="14245"/>
    <cellStyle name="Total 17 3" xfId="14246"/>
    <cellStyle name="Total 170" xfId="14247"/>
    <cellStyle name="Total 171" xfId="14248"/>
    <cellStyle name="Total 172" xfId="14249"/>
    <cellStyle name="Total 173" xfId="14250"/>
    <cellStyle name="Total 174" xfId="14251"/>
    <cellStyle name="Total 175" xfId="14252"/>
    <cellStyle name="Total 176" xfId="14253"/>
    <cellStyle name="Total 177" xfId="14254"/>
    <cellStyle name="Total 178" xfId="14255"/>
    <cellStyle name="Total 179" xfId="14256"/>
    <cellStyle name="Total 18" xfId="14257"/>
    <cellStyle name="Total 18 2" xfId="14258"/>
    <cellStyle name="Total 18 3" xfId="14259"/>
    <cellStyle name="Total 180" xfId="14260"/>
    <cellStyle name="Total 181" xfId="14261"/>
    <cellStyle name="Total 182" xfId="14262"/>
    <cellStyle name="Total 183" xfId="14263"/>
    <cellStyle name="Total 184" xfId="14264"/>
    <cellStyle name="Total 185" xfId="14265"/>
    <cellStyle name="Total 186" xfId="14266"/>
    <cellStyle name="Total 187" xfId="14267"/>
    <cellStyle name="Total 188" xfId="14268"/>
    <cellStyle name="Total 189" xfId="14269"/>
    <cellStyle name="Total 19" xfId="14270"/>
    <cellStyle name="Total 190" xfId="14271"/>
    <cellStyle name="Total 191" xfId="14272"/>
    <cellStyle name="Total 192" xfId="14273"/>
    <cellStyle name="Total 193" xfId="14274"/>
    <cellStyle name="Total 194" xfId="14275"/>
    <cellStyle name="Total 195" xfId="14276"/>
    <cellStyle name="Total 196" xfId="14277"/>
    <cellStyle name="Total 197" xfId="14278"/>
    <cellStyle name="Total 198" xfId="14279"/>
    <cellStyle name="Total 199" xfId="14280"/>
    <cellStyle name="Total 2" xfId="1333"/>
    <cellStyle name="Total 2 10" xfId="14282"/>
    <cellStyle name="Total 2 11" xfId="14283"/>
    <cellStyle name="Total 2 12" xfId="14284"/>
    <cellStyle name="Total 2 12 2" xfId="14285"/>
    <cellStyle name="Total 2 13" xfId="14286"/>
    <cellStyle name="Total 2 14" xfId="14287"/>
    <cellStyle name="Total 2 15" xfId="14288"/>
    <cellStyle name="Total 2 16" xfId="14281"/>
    <cellStyle name="Total 2 2" xfId="1334"/>
    <cellStyle name="Total 2 2 2" xfId="14290"/>
    <cellStyle name="Total 2 2 2 2" xfId="14291"/>
    <cellStyle name="Total 2 2 2 3" xfId="14292"/>
    <cellStyle name="Total 2 2 3" xfId="14293"/>
    <cellStyle name="Total 2 2 4" xfId="14289"/>
    <cellStyle name="Total 2 2 5" xfId="15184"/>
    <cellStyle name="Total 2 3" xfId="3073"/>
    <cellStyle name="Total 2 3 2" xfId="14295"/>
    <cellStyle name="Total 2 3 2 2" xfId="14296"/>
    <cellStyle name="Total 2 3 3" xfId="14294"/>
    <cellStyle name="Total 2 4" xfId="5875"/>
    <cellStyle name="Total 2 4 2" xfId="14298"/>
    <cellStyle name="Total 2 4 3" xfId="14299"/>
    <cellStyle name="Total 2 4 4" xfId="14297"/>
    <cellStyle name="Total 2 5" xfId="14300"/>
    <cellStyle name="Total 2 6" xfId="14301"/>
    <cellStyle name="Total 2 7" xfId="14302"/>
    <cellStyle name="Total 2 8" xfId="14303"/>
    <cellStyle name="Total 2 9" xfId="14304"/>
    <cellStyle name="Total 2_Sheet1" xfId="14305"/>
    <cellStyle name="Total 20" xfId="14306"/>
    <cellStyle name="Total 200" xfId="14307"/>
    <cellStyle name="Total 201" xfId="14308"/>
    <cellStyle name="Total 202" xfId="14309"/>
    <cellStyle name="Total 203" xfId="14310"/>
    <cellStyle name="Total 204" xfId="14311"/>
    <cellStyle name="Total 205" xfId="14312"/>
    <cellStyle name="Total 206" xfId="14313"/>
    <cellStyle name="Total 207" xfId="14314"/>
    <cellStyle name="Total 208" xfId="14315"/>
    <cellStyle name="Total 209" xfId="14316"/>
    <cellStyle name="Total 21" xfId="14317"/>
    <cellStyle name="Total 210" xfId="14318"/>
    <cellStyle name="Total 211" xfId="14319"/>
    <cellStyle name="Total 212" xfId="14320"/>
    <cellStyle name="Total 213" xfId="14321"/>
    <cellStyle name="Total 214" xfId="14322"/>
    <cellStyle name="Total 215" xfId="14323"/>
    <cellStyle name="Total 216" xfId="14324"/>
    <cellStyle name="Total 217" xfId="14325"/>
    <cellStyle name="Total 218" xfId="14326"/>
    <cellStyle name="Total 219" xfId="14327"/>
    <cellStyle name="Total 22" xfId="14328"/>
    <cellStyle name="Total 220" xfId="14329"/>
    <cellStyle name="Total 221" xfId="14330"/>
    <cellStyle name="Total 222" xfId="14331"/>
    <cellStyle name="Total 223" xfId="14332"/>
    <cellStyle name="Total 224" xfId="14333"/>
    <cellStyle name="Total 225" xfId="14334"/>
    <cellStyle name="Total 226" xfId="14335"/>
    <cellStyle name="Total 227" xfId="14336"/>
    <cellStyle name="Total 228" xfId="14337"/>
    <cellStyle name="Total 229" xfId="14338"/>
    <cellStyle name="Total 23" xfId="14339"/>
    <cellStyle name="Total 230" xfId="14340"/>
    <cellStyle name="Total 231" xfId="14341"/>
    <cellStyle name="Total 232" xfId="14342"/>
    <cellStyle name="Total 233" xfId="14343"/>
    <cellStyle name="Total 234" xfId="14344"/>
    <cellStyle name="Total 235" xfId="14345"/>
    <cellStyle name="Total 236" xfId="14346"/>
    <cellStyle name="Total 237" xfId="14347"/>
    <cellStyle name="Total 238" xfId="14348"/>
    <cellStyle name="Total 239" xfId="14349"/>
    <cellStyle name="Total 24" xfId="14350"/>
    <cellStyle name="Total 240" xfId="14351"/>
    <cellStyle name="Total 241" xfId="14352"/>
    <cellStyle name="Total 242" xfId="14353"/>
    <cellStyle name="Total 243" xfId="14354"/>
    <cellStyle name="Total 244" xfId="14355"/>
    <cellStyle name="Total 245" xfId="14356"/>
    <cellStyle name="Total 246" xfId="14357"/>
    <cellStyle name="Total 247" xfId="14358"/>
    <cellStyle name="Total 248" xfId="14359"/>
    <cellStyle name="Total 249" xfId="14360"/>
    <cellStyle name="Total 25" xfId="14361"/>
    <cellStyle name="Total 250" xfId="14362"/>
    <cellStyle name="Total 251" xfId="14363"/>
    <cellStyle name="Total 252" xfId="14364"/>
    <cellStyle name="Total 253" xfId="14365"/>
    <cellStyle name="Total 254" xfId="14366"/>
    <cellStyle name="Total 255" xfId="14367"/>
    <cellStyle name="Total 256" xfId="14368"/>
    <cellStyle name="Total 257" xfId="14369"/>
    <cellStyle name="Total 258" xfId="14370"/>
    <cellStyle name="Total 259" xfId="14371"/>
    <cellStyle name="Total 26" xfId="14372"/>
    <cellStyle name="Total 260" xfId="14373"/>
    <cellStyle name="Total 261" xfId="14374"/>
    <cellStyle name="Total 262" xfId="14375"/>
    <cellStyle name="Total 263" xfId="14376"/>
    <cellStyle name="Total 264" xfId="14377"/>
    <cellStyle name="Total 265" xfId="14378"/>
    <cellStyle name="Total 266" xfId="14379"/>
    <cellStyle name="Total 267" xfId="14380"/>
    <cellStyle name="Total 268" xfId="14381"/>
    <cellStyle name="Total 269" xfId="14382"/>
    <cellStyle name="Total 27" xfId="14383"/>
    <cellStyle name="Total 27 2" xfId="14384"/>
    <cellStyle name="Total 270" xfId="14385"/>
    <cellStyle name="Total 271" xfId="14386"/>
    <cellStyle name="Total 272" xfId="14387"/>
    <cellStyle name="Total 273" xfId="14388"/>
    <cellStyle name="Total 274" xfId="14389"/>
    <cellStyle name="Total 275" xfId="14390"/>
    <cellStyle name="Total 276" xfId="14391"/>
    <cellStyle name="Total 277" xfId="14392"/>
    <cellStyle name="Total 278" xfId="14393"/>
    <cellStyle name="Total 279" xfId="14394"/>
    <cellStyle name="Total 28" xfId="14395"/>
    <cellStyle name="Total 28 2" xfId="14396"/>
    <cellStyle name="Total 280" xfId="14397"/>
    <cellStyle name="Total 281" xfId="14398"/>
    <cellStyle name="Total 282" xfId="14399"/>
    <cellStyle name="Total 283" xfId="14400"/>
    <cellStyle name="Total 284" xfId="14401"/>
    <cellStyle name="Total 285" xfId="14402"/>
    <cellStyle name="Total 286" xfId="14403"/>
    <cellStyle name="Total 287" xfId="14404"/>
    <cellStyle name="Total 288" xfId="14405"/>
    <cellStyle name="Total 289" xfId="14406"/>
    <cellStyle name="Total 29" xfId="14407"/>
    <cellStyle name="Total 29 2" xfId="14408"/>
    <cellStyle name="Total 290" xfId="14409"/>
    <cellStyle name="Total 291" xfId="14410"/>
    <cellStyle name="Total 292" xfId="14411"/>
    <cellStyle name="Total 293" xfId="14412"/>
    <cellStyle name="Total 294" xfId="14413"/>
    <cellStyle name="Total 295" xfId="14414"/>
    <cellStyle name="Total 296" xfId="14415"/>
    <cellStyle name="Total 297" xfId="14416"/>
    <cellStyle name="Total 298" xfId="14417"/>
    <cellStyle name="Total 299" xfId="14418"/>
    <cellStyle name="Total 3" xfId="1335"/>
    <cellStyle name="Total 3 10" xfId="14420"/>
    <cellStyle name="Total 3 11" xfId="14421"/>
    <cellStyle name="Total 3 12" xfId="14422"/>
    <cellStyle name="Total 3 12 2" xfId="14423"/>
    <cellStyle name="Total 3 13" xfId="14424"/>
    <cellStyle name="Total 3 14" xfId="14425"/>
    <cellStyle name="Total 3 15" xfId="14426"/>
    <cellStyle name="Total 3 16" xfId="14419"/>
    <cellStyle name="Total 3 2" xfId="1336"/>
    <cellStyle name="Total 3 2 2" xfId="14428"/>
    <cellStyle name="Total 3 2 2 2" xfId="14429"/>
    <cellStyle name="Total 3 2 2 3" xfId="14430"/>
    <cellStyle name="Total 3 2 3" xfId="14431"/>
    <cellStyle name="Total 3 2 4" xfId="14427"/>
    <cellStyle name="Total 3 3" xfId="3074"/>
    <cellStyle name="Total 3 3 2" xfId="14433"/>
    <cellStyle name="Total 3 3 2 2" xfId="14434"/>
    <cellStyle name="Total 3 3 3" xfId="14432"/>
    <cellStyle name="Total 3 4" xfId="5876"/>
    <cellStyle name="Total 3 4 2" xfId="14436"/>
    <cellStyle name="Total 3 4 3" xfId="14437"/>
    <cellStyle name="Total 3 4 4" xfId="14435"/>
    <cellStyle name="Total 3 5" xfId="14438"/>
    <cellStyle name="Total 3 6" xfId="14439"/>
    <cellStyle name="Total 3 7" xfId="14440"/>
    <cellStyle name="Total 3 8" xfId="14441"/>
    <cellStyle name="Total 3 9" xfId="14442"/>
    <cellStyle name="Total 3_Sheet1" xfId="14443"/>
    <cellStyle name="Total 30" xfId="14444"/>
    <cellStyle name="Total 300" xfId="14445"/>
    <cellStyle name="Total 301" xfId="14446"/>
    <cellStyle name="Total 302" xfId="14447"/>
    <cellStyle name="Total 303" xfId="14448"/>
    <cellStyle name="Total 304" xfId="14449"/>
    <cellStyle name="Total 305" xfId="14450"/>
    <cellStyle name="Total 306" xfId="14451"/>
    <cellStyle name="Total 307" xfId="14452"/>
    <cellStyle name="Total 308" xfId="14453"/>
    <cellStyle name="Total 309" xfId="14454"/>
    <cellStyle name="Total 31" xfId="14455"/>
    <cellStyle name="Total 310" xfId="14456"/>
    <cellStyle name="Total 311" xfId="14457"/>
    <cellStyle name="Total 312" xfId="14458"/>
    <cellStyle name="Total 313" xfId="14459"/>
    <cellStyle name="Total 314" xfId="14460"/>
    <cellStyle name="Total 315" xfId="14461"/>
    <cellStyle name="Total 316" xfId="14462"/>
    <cellStyle name="Total 317" xfId="14463"/>
    <cellStyle name="Total 318" xfId="14464"/>
    <cellStyle name="Total 319" xfId="14465"/>
    <cellStyle name="Total 32" xfId="14466"/>
    <cellStyle name="Total 320" xfId="14467"/>
    <cellStyle name="Total 321" xfId="14468"/>
    <cellStyle name="Total 322" xfId="14469"/>
    <cellStyle name="Total 323" xfId="14470"/>
    <cellStyle name="Total 324" xfId="14471"/>
    <cellStyle name="Total 325" xfId="14472"/>
    <cellStyle name="Total 326" xfId="14473"/>
    <cellStyle name="Total 327" xfId="14474"/>
    <cellStyle name="Total 328" xfId="14475"/>
    <cellStyle name="Total 329" xfId="14476"/>
    <cellStyle name="Total 33" xfId="14477"/>
    <cellStyle name="Total 330" xfId="14478"/>
    <cellStyle name="Total 331" xfId="14479"/>
    <cellStyle name="Total 332" xfId="14480"/>
    <cellStyle name="Total 333" xfId="14481"/>
    <cellStyle name="Total 334" xfId="14482"/>
    <cellStyle name="Total 335" xfId="14483"/>
    <cellStyle name="Total 336" xfId="14484"/>
    <cellStyle name="Total 337" xfId="14485"/>
    <cellStyle name="Total 338" xfId="14486"/>
    <cellStyle name="Total 339" xfId="14487"/>
    <cellStyle name="Total 34" xfId="14488"/>
    <cellStyle name="Total 340" xfId="14489"/>
    <cellStyle name="Total 341" xfId="14490"/>
    <cellStyle name="Total 342" xfId="14491"/>
    <cellStyle name="Total 343" xfId="14492"/>
    <cellStyle name="Total 344" xfId="14493"/>
    <cellStyle name="Total 345" xfId="14494"/>
    <cellStyle name="Total 346" xfId="14495"/>
    <cellStyle name="Total 347" xfId="14496"/>
    <cellStyle name="Total 348" xfId="14497"/>
    <cellStyle name="Total 349" xfId="14498"/>
    <cellStyle name="Total 35" xfId="14499"/>
    <cellStyle name="Total 350" xfId="14500"/>
    <cellStyle name="Total 351" xfId="14501"/>
    <cellStyle name="Total 352" xfId="14502"/>
    <cellStyle name="Total 353" xfId="14503"/>
    <cellStyle name="Total 354" xfId="8923"/>
    <cellStyle name="Total 355" xfId="8908"/>
    <cellStyle name="Total 356" xfId="14855"/>
    <cellStyle name="Total 36" xfId="14504"/>
    <cellStyle name="Total 37" xfId="14505"/>
    <cellStyle name="Total 38" xfId="14506"/>
    <cellStyle name="Total 39" xfId="14507"/>
    <cellStyle name="Total 4" xfId="1337"/>
    <cellStyle name="Total 4 2" xfId="1338"/>
    <cellStyle name="Total 4 2 2" xfId="14510"/>
    <cellStyle name="Total 4 2 3" xfId="14509"/>
    <cellStyle name="Total 4 3" xfId="3075"/>
    <cellStyle name="Total 4 3 2" xfId="14512"/>
    <cellStyle name="Total 4 3 2 2" xfId="14513"/>
    <cellStyle name="Total 4 3 3" xfId="14511"/>
    <cellStyle name="Total 4 4" xfId="5877"/>
    <cellStyle name="Total 4 4 2" xfId="14515"/>
    <cellStyle name="Total 4 4 3" xfId="14516"/>
    <cellStyle name="Total 4 4 4" xfId="14514"/>
    <cellStyle name="Total 4 5" xfId="14517"/>
    <cellStyle name="Total 4 5 2" xfId="14518"/>
    <cellStyle name="Total 4 6" xfId="14519"/>
    <cellStyle name="Total 4 7" xfId="14520"/>
    <cellStyle name="Total 4 8" xfId="14508"/>
    <cellStyle name="Total 4_Sheet1" xfId="14521"/>
    <cellStyle name="Total 40" xfId="14522"/>
    <cellStyle name="Total 41" xfId="14523"/>
    <cellStyle name="Total 42" xfId="14524"/>
    <cellStyle name="Total 43" xfId="14525"/>
    <cellStyle name="Total 44" xfId="14526"/>
    <cellStyle name="Total 45" xfId="14527"/>
    <cellStyle name="Total 46" xfId="14528"/>
    <cellStyle name="Total 47" xfId="14529"/>
    <cellStyle name="Total 48" xfId="14530"/>
    <cellStyle name="Total 49" xfId="14531"/>
    <cellStyle name="Total 5" xfId="1339"/>
    <cellStyle name="Total 5 2" xfId="1340"/>
    <cellStyle name="Total 5 2 2" xfId="14534"/>
    <cellStyle name="Total 5 2 3" xfId="14533"/>
    <cellStyle name="Total 5 3" xfId="3076"/>
    <cellStyle name="Total 5 3 2" xfId="14536"/>
    <cellStyle name="Total 5 3 2 2" xfId="14537"/>
    <cellStyle name="Total 5 3 3" xfId="14535"/>
    <cellStyle name="Total 5 4" xfId="5878"/>
    <cellStyle name="Total 5 4 2" xfId="14539"/>
    <cellStyle name="Total 5 4 3" xfId="14540"/>
    <cellStyle name="Total 5 4 4" xfId="14538"/>
    <cellStyle name="Total 5 5" xfId="14541"/>
    <cellStyle name="Total 5 5 2" xfId="14542"/>
    <cellStyle name="Total 5 6" xfId="14543"/>
    <cellStyle name="Total 5 7" xfId="14544"/>
    <cellStyle name="Total 5 8" xfId="14532"/>
    <cellStyle name="Total 5_Sheet1" xfId="14545"/>
    <cellStyle name="Total 50" xfId="14546"/>
    <cellStyle name="Total 51" xfId="14547"/>
    <cellStyle name="Total 52" xfId="14548"/>
    <cellStyle name="Total 53" xfId="14549"/>
    <cellStyle name="Total 54" xfId="14550"/>
    <cellStyle name="Total 55" xfId="14551"/>
    <cellStyle name="Total 56" xfId="14552"/>
    <cellStyle name="Total 57" xfId="14553"/>
    <cellStyle name="Total 58" xfId="14554"/>
    <cellStyle name="Total 59" xfId="14555"/>
    <cellStyle name="Total 6" xfId="1341"/>
    <cellStyle name="Total 6 2" xfId="1342"/>
    <cellStyle name="Total 6 2 2" xfId="14558"/>
    <cellStyle name="Total 6 2 3" xfId="14557"/>
    <cellStyle name="Total 6 3" xfId="3077"/>
    <cellStyle name="Total 6 3 2" xfId="14560"/>
    <cellStyle name="Total 6 3 2 2" xfId="14561"/>
    <cellStyle name="Total 6 3 3" xfId="14559"/>
    <cellStyle name="Total 6 4" xfId="5879"/>
    <cellStyle name="Total 6 4 2" xfId="14563"/>
    <cellStyle name="Total 6 4 3" xfId="14564"/>
    <cellStyle name="Total 6 4 4" xfId="14562"/>
    <cellStyle name="Total 6 5" xfId="14565"/>
    <cellStyle name="Total 6 5 2" xfId="14566"/>
    <cellStyle name="Total 6 6" xfId="14567"/>
    <cellStyle name="Total 6 7" xfId="14568"/>
    <cellStyle name="Total 6 8" xfId="14556"/>
    <cellStyle name="Total 6_Sheet1" xfId="14569"/>
    <cellStyle name="Total 60" xfId="14570"/>
    <cellStyle name="Total 61" xfId="14571"/>
    <cellStyle name="Total 62" xfId="14572"/>
    <cellStyle name="Total 63" xfId="14573"/>
    <cellStyle name="Total 64" xfId="14574"/>
    <cellStyle name="Total 65" xfId="14575"/>
    <cellStyle name="Total 66" xfId="14576"/>
    <cellStyle name="Total 67" xfId="14577"/>
    <cellStyle name="Total 68" xfId="14578"/>
    <cellStyle name="Total 69" xfId="14579"/>
    <cellStyle name="Total 7" xfId="1343"/>
    <cellStyle name="Total 7 2" xfId="1344"/>
    <cellStyle name="Total 7 2 2" xfId="14582"/>
    <cellStyle name="Total 7 2 3" xfId="14581"/>
    <cellStyle name="Total 7 3" xfId="3078"/>
    <cellStyle name="Total 7 3 2" xfId="14584"/>
    <cellStyle name="Total 7 3 2 2" xfId="14585"/>
    <cellStyle name="Total 7 3 3" xfId="14583"/>
    <cellStyle name="Total 7 4" xfId="5880"/>
    <cellStyle name="Total 7 4 2" xfId="14587"/>
    <cellStyle name="Total 7 4 3" xfId="14588"/>
    <cellStyle name="Total 7 4 4" xfId="14586"/>
    <cellStyle name="Total 7 5" xfId="14589"/>
    <cellStyle name="Total 7 5 2" xfId="14590"/>
    <cellStyle name="Total 7 6" xfId="14591"/>
    <cellStyle name="Total 7 7" xfId="14592"/>
    <cellStyle name="Total 7 8" xfId="14580"/>
    <cellStyle name="Total 7_Sheet1" xfId="14593"/>
    <cellStyle name="Total 70" xfId="14594"/>
    <cellStyle name="Total 71" xfId="14595"/>
    <cellStyle name="Total 72" xfId="14596"/>
    <cellStyle name="Total 73" xfId="14597"/>
    <cellStyle name="Total 74" xfId="14598"/>
    <cellStyle name="Total 75" xfId="14599"/>
    <cellStyle name="Total 76" xfId="14600"/>
    <cellStyle name="Total 77" xfId="14601"/>
    <cellStyle name="Total 78" xfId="14602"/>
    <cellStyle name="Total 79" xfId="14603"/>
    <cellStyle name="Total 8" xfId="1345"/>
    <cellStyle name="Total 8 2" xfId="1346"/>
    <cellStyle name="Total 8 2 2" xfId="14606"/>
    <cellStyle name="Total 8 2 3" xfId="14605"/>
    <cellStyle name="Total 8 3" xfId="3079"/>
    <cellStyle name="Total 8 3 2" xfId="14608"/>
    <cellStyle name="Total 8 3 2 2" xfId="14609"/>
    <cellStyle name="Total 8 3 3" xfId="14607"/>
    <cellStyle name="Total 8 4" xfId="14610"/>
    <cellStyle name="Total 8 4 2" xfId="14611"/>
    <cellStyle name="Total 8 4 3" xfId="14612"/>
    <cellStyle name="Total 8 5" xfId="14613"/>
    <cellStyle name="Total 8 6" xfId="14614"/>
    <cellStyle name="Total 8 7" xfId="14604"/>
    <cellStyle name="Total 8_Sheet1" xfId="14615"/>
    <cellStyle name="Total 80" xfId="14616"/>
    <cellStyle name="Total 81" xfId="14617"/>
    <cellStyle name="Total 82" xfId="14618"/>
    <cellStyle name="Total 83" xfId="14619"/>
    <cellStyle name="Total 84" xfId="14620"/>
    <cellStyle name="Total 85" xfId="14621"/>
    <cellStyle name="Total 86" xfId="14622"/>
    <cellStyle name="Total 87" xfId="14623"/>
    <cellStyle name="Total 88" xfId="14624"/>
    <cellStyle name="Total 89" xfId="14625"/>
    <cellStyle name="Total 9" xfId="1347"/>
    <cellStyle name="Total 9 2" xfId="1348"/>
    <cellStyle name="Total 9 2 2" xfId="14628"/>
    <cellStyle name="Total 9 2 3" xfId="14627"/>
    <cellStyle name="Total 9 3" xfId="3080"/>
    <cellStyle name="Total 9 3 2" xfId="14630"/>
    <cellStyle name="Total 9 3 2 2" xfId="14631"/>
    <cellStyle name="Total 9 3 3" xfId="14629"/>
    <cellStyle name="Total 9 4" xfId="14632"/>
    <cellStyle name="Total 9 4 2" xfId="14633"/>
    <cellStyle name="Total 9 4 3" xfId="14634"/>
    <cellStyle name="Total 9 5" xfId="14635"/>
    <cellStyle name="Total 9 6" xfId="14636"/>
    <cellStyle name="Total 9 7" xfId="14626"/>
    <cellStyle name="Total 9_Sheet1" xfId="14637"/>
    <cellStyle name="Total 90" xfId="14638"/>
    <cellStyle name="Total 91" xfId="14639"/>
    <cellStyle name="Total 92" xfId="14640"/>
    <cellStyle name="Total 93" xfId="14641"/>
    <cellStyle name="Total 94" xfId="14642"/>
    <cellStyle name="Total 95" xfId="14643"/>
    <cellStyle name="Total 96" xfId="14644"/>
    <cellStyle name="Total 97" xfId="14645"/>
    <cellStyle name="Total 98" xfId="14646"/>
    <cellStyle name="Total 99" xfId="14647"/>
    <cellStyle name="Tusental_NPV" xfId="5881"/>
    <cellStyle name="Unit" xfId="1349"/>
    <cellStyle name="Unit 2" xfId="14649"/>
    <cellStyle name="Unit 3" xfId="14648"/>
    <cellStyle name="User" xfId="5882"/>
    <cellStyle name="v" xfId="1465"/>
    <cellStyle name="Valuta_NPV" xfId="5883"/>
    <cellStyle name="VerdiDescription" xfId="5884"/>
    <cellStyle name="VerdiProductNo" xfId="5885"/>
    <cellStyle name="VerdiQuantity" xfId="5886"/>
    <cellStyle name="Warning Text 10" xfId="1350"/>
    <cellStyle name="Warning Text 10 2" xfId="1351"/>
    <cellStyle name="Warning Text 10 2 2" xfId="14651"/>
    <cellStyle name="Warning Text 10 3" xfId="3081"/>
    <cellStyle name="Warning Text 10 3 2" xfId="14652"/>
    <cellStyle name="Warning Text 10 4" xfId="14653"/>
    <cellStyle name="Warning Text 10 5" xfId="14650"/>
    <cellStyle name="Warning Text 11" xfId="1352"/>
    <cellStyle name="Warning Text 11 2" xfId="1353"/>
    <cellStyle name="Warning Text 11 2 2" xfId="14655"/>
    <cellStyle name="Warning Text 11 3" xfId="3082"/>
    <cellStyle name="Warning Text 11 3 2" xfId="14656"/>
    <cellStyle name="Warning Text 11 4" xfId="14657"/>
    <cellStyle name="Warning Text 11 5" xfId="14654"/>
    <cellStyle name="Warning Text 12" xfId="1354"/>
    <cellStyle name="Warning Text 12 2" xfId="1355"/>
    <cellStyle name="Warning Text 12 2 2" xfId="14659"/>
    <cellStyle name="Warning Text 12 3" xfId="3083"/>
    <cellStyle name="Warning Text 12 3 2" xfId="14660"/>
    <cellStyle name="Warning Text 12 4" xfId="14661"/>
    <cellStyle name="Warning Text 12 5" xfId="14658"/>
    <cellStyle name="Warning Text 13" xfId="1356"/>
    <cellStyle name="Warning Text 13 2" xfId="1357"/>
    <cellStyle name="Warning Text 13 2 2" xfId="14663"/>
    <cellStyle name="Warning Text 13 3" xfId="3084"/>
    <cellStyle name="Warning Text 13 3 2" xfId="14664"/>
    <cellStyle name="Warning Text 13 4" xfId="14665"/>
    <cellStyle name="Warning Text 13 5" xfId="14662"/>
    <cellStyle name="Warning Text 14" xfId="1358"/>
    <cellStyle name="Warning Text 14 2" xfId="1359"/>
    <cellStyle name="Warning Text 14 2 2" xfId="14667"/>
    <cellStyle name="Warning Text 14 3" xfId="3085"/>
    <cellStyle name="Warning Text 14 3 2" xfId="14668"/>
    <cellStyle name="Warning Text 14 4" xfId="14669"/>
    <cellStyle name="Warning Text 14 5" xfId="14666"/>
    <cellStyle name="Warning Text 15" xfId="1360"/>
    <cellStyle name="Warning Text 15 2" xfId="1361"/>
    <cellStyle name="Warning Text 15 2 2" xfId="14671"/>
    <cellStyle name="Warning Text 15 3" xfId="3086"/>
    <cellStyle name="Warning Text 15 3 2" xfId="14672"/>
    <cellStyle name="Warning Text 15 4" xfId="14673"/>
    <cellStyle name="Warning Text 15 5" xfId="14670"/>
    <cellStyle name="Warning Text 16" xfId="14674"/>
    <cellStyle name="Warning Text 16 2" xfId="14675"/>
    <cellStyle name="Warning Text 16 3" xfId="14676"/>
    <cellStyle name="Warning Text 17" xfId="14677"/>
    <cellStyle name="Warning Text 17 2" xfId="14678"/>
    <cellStyle name="Warning Text 18" xfId="14679"/>
    <cellStyle name="Warning Text 19" xfId="14680"/>
    <cellStyle name="Warning Text 2" xfId="1362"/>
    <cellStyle name="Warning Text 2 2" xfId="1363"/>
    <cellStyle name="Warning Text 2 2 2" xfId="14682"/>
    <cellStyle name="Warning Text 2 2 3" xfId="15185"/>
    <cellStyle name="Warning Text 2 3" xfId="3087"/>
    <cellStyle name="Warning Text 2 3 2" xfId="14683"/>
    <cellStyle name="Warning Text 2 4" xfId="5887"/>
    <cellStyle name="Warning Text 2 4 2" xfId="14684"/>
    <cellStyle name="Warning Text 2 5" xfId="14685"/>
    <cellStyle name="Warning Text 2 6" xfId="14686"/>
    <cellStyle name="Warning Text 2 7" xfId="14681"/>
    <cellStyle name="Warning Text 3" xfId="1364"/>
    <cellStyle name="Warning Text 3 2" xfId="1365"/>
    <cellStyle name="Warning Text 3 2 2" xfId="14688"/>
    <cellStyle name="Warning Text 3 3" xfId="3088"/>
    <cellStyle name="Warning Text 3 3 2" xfId="14689"/>
    <cellStyle name="Warning Text 3 4" xfId="5888"/>
    <cellStyle name="Warning Text 3 4 2" xfId="14690"/>
    <cellStyle name="Warning Text 3 5" xfId="14691"/>
    <cellStyle name="Warning Text 3 6" xfId="14692"/>
    <cellStyle name="Warning Text 3 7" xfId="14687"/>
    <cellStyle name="Warning Text 4" xfId="1366"/>
    <cellStyle name="Warning Text 4 2" xfId="1367"/>
    <cellStyle name="Warning Text 4 2 2" xfId="14694"/>
    <cellStyle name="Warning Text 4 3" xfId="3089"/>
    <cellStyle name="Warning Text 4 3 2" xfId="14695"/>
    <cellStyle name="Warning Text 4 4" xfId="5889"/>
    <cellStyle name="Warning Text 4 4 2" xfId="14696"/>
    <cellStyle name="Warning Text 4 5" xfId="14697"/>
    <cellStyle name="Warning Text 4 6" xfId="14693"/>
    <cellStyle name="Warning Text 5" xfId="1368"/>
    <cellStyle name="Warning Text 5 2" xfId="1369"/>
    <cellStyle name="Warning Text 5 2 2" xfId="14699"/>
    <cellStyle name="Warning Text 5 3" xfId="3090"/>
    <cellStyle name="Warning Text 5 3 2" xfId="14700"/>
    <cellStyle name="Warning Text 5 4" xfId="5890"/>
    <cellStyle name="Warning Text 5 4 2" xfId="14701"/>
    <cellStyle name="Warning Text 5 5" xfId="14702"/>
    <cellStyle name="Warning Text 5 6" xfId="14698"/>
    <cellStyle name="Warning Text 6" xfId="1370"/>
    <cellStyle name="Warning Text 6 2" xfId="1371"/>
    <cellStyle name="Warning Text 6 2 2" xfId="14704"/>
    <cellStyle name="Warning Text 6 3" xfId="3091"/>
    <cellStyle name="Warning Text 6 3 2" xfId="14705"/>
    <cellStyle name="Warning Text 6 4" xfId="5891"/>
    <cellStyle name="Warning Text 6 4 2" xfId="14706"/>
    <cellStyle name="Warning Text 6 5" xfId="14707"/>
    <cellStyle name="Warning Text 6 6" xfId="14703"/>
    <cellStyle name="Warning Text 7" xfId="1372"/>
    <cellStyle name="Warning Text 7 2" xfId="1373"/>
    <cellStyle name="Warning Text 7 2 2" xfId="14709"/>
    <cellStyle name="Warning Text 7 3" xfId="3092"/>
    <cellStyle name="Warning Text 7 3 2" xfId="14710"/>
    <cellStyle name="Warning Text 7 4" xfId="14711"/>
    <cellStyle name="Warning Text 7 5" xfId="14712"/>
    <cellStyle name="Warning Text 7 6" xfId="14708"/>
    <cellStyle name="Warning Text 8" xfId="1374"/>
    <cellStyle name="Warning Text 8 2" xfId="1375"/>
    <cellStyle name="Warning Text 8 2 2" xfId="14714"/>
    <cellStyle name="Warning Text 8 3" xfId="3093"/>
    <cellStyle name="Warning Text 8 3 2" xfId="14715"/>
    <cellStyle name="Warning Text 8 4" xfId="14716"/>
    <cellStyle name="Warning Text 8 5" xfId="14713"/>
    <cellStyle name="Warning Text 9" xfId="1376"/>
    <cellStyle name="Warning Text 9 2" xfId="1377"/>
    <cellStyle name="Warning Text 9 2 2" xfId="14718"/>
    <cellStyle name="Warning Text 9 3" xfId="3094"/>
    <cellStyle name="Warning Text 9 3 2" xfId="14719"/>
    <cellStyle name="Warning Text 9 4" xfId="14720"/>
    <cellStyle name="Warning Text 9 5" xfId="14717"/>
    <cellStyle name="WHead - Style2" xfId="5892"/>
    <cellStyle name="WHead - Style2 10" xfId="5893"/>
    <cellStyle name="WHead - Style2 10 10" xfId="5894"/>
    <cellStyle name="WHead - Style2 10 2" xfId="5895"/>
    <cellStyle name="WHead - Style2 10 2 2" xfId="5896"/>
    <cellStyle name="WHead - Style2 10 2 2 2" xfId="5897"/>
    <cellStyle name="WHead - Style2 10 2 3" xfId="5898"/>
    <cellStyle name="WHead - Style2 10 2 4" xfId="5899"/>
    <cellStyle name="WHead - Style2 10 3" xfId="5900"/>
    <cellStyle name="WHead - Style2 10 3 2" xfId="5901"/>
    <cellStyle name="WHead - Style2 10 3 2 2" xfId="5902"/>
    <cellStyle name="WHead - Style2 10 3 3" xfId="5903"/>
    <cellStyle name="WHead - Style2 10 3 4" xfId="5904"/>
    <cellStyle name="WHead - Style2 10 4" xfId="5905"/>
    <cellStyle name="WHead - Style2 10 4 2" xfId="5906"/>
    <cellStyle name="WHead - Style2 10 4 2 2" xfId="5907"/>
    <cellStyle name="WHead - Style2 10 4 3" xfId="5908"/>
    <cellStyle name="WHead - Style2 10 4 4" xfId="5909"/>
    <cellStyle name="WHead - Style2 10 5" xfId="5910"/>
    <cellStyle name="WHead - Style2 10 5 2" xfId="5911"/>
    <cellStyle name="WHead - Style2 10 5 2 2" xfId="5912"/>
    <cellStyle name="WHead - Style2 10 5 3" xfId="5913"/>
    <cellStyle name="WHead - Style2 10 5 4" xfId="5914"/>
    <cellStyle name="WHead - Style2 10 6" xfId="5915"/>
    <cellStyle name="WHead - Style2 10 6 2" xfId="5916"/>
    <cellStyle name="WHead - Style2 10 6 2 2" xfId="5917"/>
    <cellStyle name="WHead - Style2 10 6 3" xfId="5918"/>
    <cellStyle name="WHead - Style2 10 6 4" xfId="5919"/>
    <cellStyle name="WHead - Style2 10 7" xfId="5920"/>
    <cellStyle name="WHead - Style2 10 7 2" xfId="5921"/>
    <cellStyle name="WHead - Style2 10 8" xfId="5922"/>
    <cellStyle name="WHead - Style2 10 8 2" xfId="5923"/>
    <cellStyle name="WHead - Style2 10 9" xfId="5924"/>
    <cellStyle name="WHead - Style2 11" xfId="5925"/>
    <cellStyle name="WHead - Style2 11 10" xfId="5926"/>
    <cellStyle name="WHead - Style2 11 2" xfId="5927"/>
    <cellStyle name="WHead - Style2 11 2 2" xfId="5928"/>
    <cellStyle name="WHead - Style2 11 2 2 2" xfId="5929"/>
    <cellStyle name="WHead - Style2 11 2 3" xfId="5930"/>
    <cellStyle name="WHead - Style2 11 2 4" xfId="5931"/>
    <cellStyle name="WHead - Style2 11 3" xfId="5932"/>
    <cellStyle name="WHead - Style2 11 3 2" xfId="5933"/>
    <cellStyle name="WHead - Style2 11 3 2 2" xfId="5934"/>
    <cellStyle name="WHead - Style2 11 3 3" xfId="5935"/>
    <cellStyle name="WHead - Style2 11 3 4" xfId="5936"/>
    <cellStyle name="WHead - Style2 11 4" xfId="5937"/>
    <cellStyle name="WHead - Style2 11 4 2" xfId="5938"/>
    <cellStyle name="WHead - Style2 11 4 2 2" xfId="5939"/>
    <cellStyle name="WHead - Style2 11 4 3" xfId="5940"/>
    <cellStyle name="WHead - Style2 11 4 4" xfId="5941"/>
    <cellStyle name="WHead - Style2 11 5" xfId="5942"/>
    <cellStyle name="WHead - Style2 11 5 2" xfId="5943"/>
    <cellStyle name="WHead - Style2 11 5 2 2" xfId="5944"/>
    <cellStyle name="WHead - Style2 11 5 3" xfId="5945"/>
    <cellStyle name="WHead - Style2 11 5 4" xfId="5946"/>
    <cellStyle name="WHead - Style2 11 6" xfId="5947"/>
    <cellStyle name="WHead - Style2 11 6 2" xfId="5948"/>
    <cellStyle name="WHead - Style2 11 6 2 2" xfId="5949"/>
    <cellStyle name="WHead - Style2 11 6 3" xfId="5950"/>
    <cellStyle name="WHead - Style2 11 6 4" xfId="5951"/>
    <cellStyle name="WHead - Style2 11 7" xfId="5952"/>
    <cellStyle name="WHead - Style2 11 7 2" xfId="5953"/>
    <cellStyle name="WHead - Style2 11 8" xfId="5954"/>
    <cellStyle name="WHead - Style2 11 8 2" xfId="5955"/>
    <cellStyle name="WHead - Style2 11 9" xfId="5956"/>
    <cellStyle name="WHead - Style2 12" xfId="5957"/>
    <cellStyle name="WHead - Style2 12 10" xfId="5958"/>
    <cellStyle name="WHead - Style2 12 2" xfId="5959"/>
    <cellStyle name="WHead - Style2 12 2 2" xfId="5960"/>
    <cellStyle name="WHead - Style2 12 2 2 2" xfId="5961"/>
    <cellStyle name="WHead - Style2 12 2 3" xfId="5962"/>
    <cellStyle name="WHead - Style2 12 2 4" xfId="5963"/>
    <cellStyle name="WHead - Style2 12 3" xfId="5964"/>
    <cellStyle name="WHead - Style2 12 3 2" xfId="5965"/>
    <cellStyle name="WHead - Style2 12 3 2 2" xfId="5966"/>
    <cellStyle name="WHead - Style2 12 3 3" xfId="5967"/>
    <cellStyle name="WHead - Style2 12 3 4" xfId="5968"/>
    <cellStyle name="WHead - Style2 12 4" xfId="5969"/>
    <cellStyle name="WHead - Style2 12 4 2" xfId="5970"/>
    <cellStyle name="WHead - Style2 12 4 2 2" xfId="5971"/>
    <cellStyle name="WHead - Style2 12 4 3" xfId="5972"/>
    <cellStyle name="WHead - Style2 12 4 4" xfId="5973"/>
    <cellStyle name="WHead - Style2 12 5" xfId="5974"/>
    <cellStyle name="WHead - Style2 12 5 2" xfId="5975"/>
    <cellStyle name="WHead - Style2 12 5 2 2" xfId="5976"/>
    <cellStyle name="WHead - Style2 12 5 3" xfId="5977"/>
    <cellStyle name="WHead - Style2 12 5 4" xfId="5978"/>
    <cellStyle name="WHead - Style2 12 6" xfId="5979"/>
    <cellStyle name="WHead - Style2 12 6 2" xfId="5980"/>
    <cellStyle name="WHead - Style2 12 6 2 2" xfId="5981"/>
    <cellStyle name="WHead - Style2 12 6 3" xfId="5982"/>
    <cellStyle name="WHead - Style2 12 6 4" xfId="5983"/>
    <cellStyle name="WHead - Style2 12 7" xfId="5984"/>
    <cellStyle name="WHead - Style2 12 7 2" xfId="5985"/>
    <cellStyle name="WHead - Style2 12 8" xfId="5986"/>
    <cellStyle name="WHead - Style2 12 8 2" xfId="5987"/>
    <cellStyle name="WHead - Style2 12 9" xfId="5988"/>
    <cellStyle name="WHead - Style2 13" xfId="5989"/>
    <cellStyle name="WHead - Style2 13 10" xfId="5990"/>
    <cellStyle name="WHead - Style2 13 2" xfId="5991"/>
    <cellStyle name="WHead - Style2 13 2 2" xfId="5992"/>
    <cellStyle name="WHead - Style2 13 2 2 2" xfId="5993"/>
    <cellStyle name="WHead - Style2 13 2 3" xfId="5994"/>
    <cellStyle name="WHead - Style2 13 2 4" xfId="5995"/>
    <cellStyle name="WHead - Style2 13 3" xfId="5996"/>
    <cellStyle name="WHead - Style2 13 3 2" xfId="5997"/>
    <cellStyle name="WHead - Style2 13 3 2 2" xfId="5998"/>
    <cellStyle name="WHead - Style2 13 3 3" xfId="5999"/>
    <cellStyle name="WHead - Style2 13 3 4" xfId="6000"/>
    <cellStyle name="WHead - Style2 13 4" xfId="6001"/>
    <cellStyle name="WHead - Style2 13 4 2" xfId="6002"/>
    <cellStyle name="WHead - Style2 13 4 2 2" xfId="6003"/>
    <cellStyle name="WHead - Style2 13 4 3" xfId="6004"/>
    <cellStyle name="WHead - Style2 13 4 4" xfId="6005"/>
    <cellStyle name="WHead - Style2 13 5" xfId="6006"/>
    <cellStyle name="WHead - Style2 13 5 2" xfId="6007"/>
    <cellStyle name="WHead - Style2 13 5 2 2" xfId="6008"/>
    <cellStyle name="WHead - Style2 13 5 3" xfId="6009"/>
    <cellStyle name="WHead - Style2 13 5 4" xfId="6010"/>
    <cellStyle name="WHead - Style2 13 6" xfId="6011"/>
    <cellStyle name="WHead - Style2 13 6 2" xfId="6012"/>
    <cellStyle name="WHead - Style2 13 6 2 2" xfId="6013"/>
    <cellStyle name="WHead - Style2 13 6 3" xfId="6014"/>
    <cellStyle name="WHead - Style2 13 6 4" xfId="6015"/>
    <cellStyle name="WHead - Style2 13 7" xfId="6016"/>
    <cellStyle name="WHead - Style2 13 7 2" xfId="6017"/>
    <cellStyle name="WHead - Style2 13 8" xfId="6018"/>
    <cellStyle name="WHead - Style2 13 8 2" xfId="6019"/>
    <cellStyle name="WHead - Style2 13 9" xfId="6020"/>
    <cellStyle name="WHead - Style2 14" xfId="6021"/>
    <cellStyle name="WHead - Style2 14 10" xfId="6022"/>
    <cellStyle name="WHead - Style2 14 2" xfId="6023"/>
    <cellStyle name="WHead - Style2 14 2 2" xfId="6024"/>
    <cellStyle name="WHead - Style2 14 2 2 2" xfId="6025"/>
    <cellStyle name="WHead - Style2 14 2 3" xfId="6026"/>
    <cellStyle name="WHead - Style2 14 2 4" xfId="6027"/>
    <cellStyle name="WHead - Style2 14 3" xfId="6028"/>
    <cellStyle name="WHead - Style2 14 3 2" xfId="6029"/>
    <cellStyle name="WHead - Style2 14 3 2 2" xfId="6030"/>
    <cellStyle name="WHead - Style2 14 3 3" xfId="6031"/>
    <cellStyle name="WHead - Style2 14 3 4" xfId="6032"/>
    <cellStyle name="WHead - Style2 14 4" xfId="6033"/>
    <cellStyle name="WHead - Style2 14 4 2" xfId="6034"/>
    <cellStyle name="WHead - Style2 14 4 2 2" xfId="6035"/>
    <cellStyle name="WHead - Style2 14 4 3" xfId="6036"/>
    <cellStyle name="WHead - Style2 14 4 4" xfId="6037"/>
    <cellStyle name="WHead - Style2 14 5" xfId="6038"/>
    <cellStyle name="WHead - Style2 14 5 2" xfId="6039"/>
    <cellStyle name="WHead - Style2 14 5 2 2" xfId="6040"/>
    <cellStyle name="WHead - Style2 14 5 3" xfId="6041"/>
    <cellStyle name="WHead - Style2 14 5 4" xfId="6042"/>
    <cellStyle name="WHead - Style2 14 6" xfId="6043"/>
    <cellStyle name="WHead - Style2 14 6 2" xfId="6044"/>
    <cellStyle name="WHead - Style2 14 6 2 2" xfId="6045"/>
    <cellStyle name="WHead - Style2 14 6 3" xfId="6046"/>
    <cellStyle name="WHead - Style2 14 6 4" xfId="6047"/>
    <cellStyle name="WHead - Style2 14 7" xfId="6048"/>
    <cellStyle name="WHead - Style2 14 7 2" xfId="6049"/>
    <cellStyle name="WHead - Style2 14 8" xfId="6050"/>
    <cellStyle name="WHead - Style2 14 8 2" xfId="6051"/>
    <cellStyle name="WHead - Style2 14 9" xfId="6052"/>
    <cellStyle name="WHead - Style2 15" xfId="6053"/>
    <cellStyle name="WHead - Style2 15 10" xfId="6054"/>
    <cellStyle name="WHead - Style2 15 2" xfId="6055"/>
    <cellStyle name="WHead - Style2 15 2 2" xfId="6056"/>
    <cellStyle name="WHead - Style2 15 2 2 2" xfId="6057"/>
    <cellStyle name="WHead - Style2 15 2 3" xfId="6058"/>
    <cellStyle name="WHead - Style2 15 2 4" xfId="6059"/>
    <cellStyle name="WHead - Style2 15 3" xfId="6060"/>
    <cellStyle name="WHead - Style2 15 3 2" xfId="6061"/>
    <cellStyle name="WHead - Style2 15 3 2 2" xfId="6062"/>
    <cellStyle name="WHead - Style2 15 3 3" xfId="6063"/>
    <cellStyle name="WHead - Style2 15 3 4" xfId="6064"/>
    <cellStyle name="WHead - Style2 15 4" xfId="6065"/>
    <cellStyle name="WHead - Style2 15 4 2" xfId="6066"/>
    <cellStyle name="WHead - Style2 15 4 2 2" xfId="6067"/>
    <cellStyle name="WHead - Style2 15 4 3" xfId="6068"/>
    <cellStyle name="WHead - Style2 15 4 4" xfId="6069"/>
    <cellStyle name="WHead - Style2 15 5" xfId="6070"/>
    <cellStyle name="WHead - Style2 15 5 2" xfId="6071"/>
    <cellStyle name="WHead - Style2 15 5 2 2" xfId="6072"/>
    <cellStyle name="WHead - Style2 15 5 3" xfId="6073"/>
    <cellStyle name="WHead - Style2 15 5 4" xfId="6074"/>
    <cellStyle name="WHead - Style2 15 6" xfId="6075"/>
    <cellStyle name="WHead - Style2 15 6 2" xfId="6076"/>
    <cellStyle name="WHead - Style2 15 6 2 2" xfId="6077"/>
    <cellStyle name="WHead - Style2 15 6 3" xfId="6078"/>
    <cellStyle name="WHead - Style2 15 6 4" xfId="6079"/>
    <cellStyle name="WHead - Style2 15 7" xfId="6080"/>
    <cellStyle name="WHead - Style2 15 7 2" xfId="6081"/>
    <cellStyle name="WHead - Style2 15 8" xfId="6082"/>
    <cellStyle name="WHead - Style2 15 8 2" xfId="6083"/>
    <cellStyle name="WHead - Style2 15 9" xfId="6084"/>
    <cellStyle name="WHead - Style2 16" xfId="6085"/>
    <cellStyle name="WHead - Style2 16 10" xfId="6086"/>
    <cellStyle name="WHead - Style2 16 2" xfId="6087"/>
    <cellStyle name="WHead - Style2 16 2 2" xfId="6088"/>
    <cellStyle name="WHead - Style2 16 2 2 2" xfId="6089"/>
    <cellStyle name="WHead - Style2 16 2 3" xfId="6090"/>
    <cellStyle name="WHead - Style2 16 2 4" xfId="6091"/>
    <cellStyle name="WHead - Style2 16 3" xfId="6092"/>
    <cellStyle name="WHead - Style2 16 3 2" xfId="6093"/>
    <cellStyle name="WHead - Style2 16 3 2 2" xfId="6094"/>
    <cellStyle name="WHead - Style2 16 3 3" xfId="6095"/>
    <cellStyle name="WHead - Style2 16 3 4" xfId="6096"/>
    <cellStyle name="WHead - Style2 16 4" xfId="6097"/>
    <cellStyle name="WHead - Style2 16 4 2" xfId="6098"/>
    <cellStyle name="WHead - Style2 16 4 2 2" xfId="6099"/>
    <cellStyle name="WHead - Style2 16 4 3" xfId="6100"/>
    <cellStyle name="WHead - Style2 16 4 4" xfId="6101"/>
    <cellStyle name="WHead - Style2 16 5" xfId="6102"/>
    <cellStyle name="WHead - Style2 16 5 2" xfId="6103"/>
    <cellStyle name="WHead - Style2 16 5 2 2" xfId="6104"/>
    <cellStyle name="WHead - Style2 16 5 3" xfId="6105"/>
    <cellStyle name="WHead - Style2 16 5 4" xfId="6106"/>
    <cellStyle name="WHead - Style2 16 6" xfId="6107"/>
    <cellStyle name="WHead - Style2 16 6 2" xfId="6108"/>
    <cellStyle name="WHead - Style2 16 6 2 2" xfId="6109"/>
    <cellStyle name="WHead - Style2 16 6 3" xfId="6110"/>
    <cellStyle name="WHead - Style2 16 6 4" xfId="6111"/>
    <cellStyle name="WHead - Style2 16 7" xfId="6112"/>
    <cellStyle name="WHead - Style2 16 7 2" xfId="6113"/>
    <cellStyle name="WHead - Style2 16 8" xfId="6114"/>
    <cellStyle name="WHead - Style2 16 8 2" xfId="6115"/>
    <cellStyle name="WHead - Style2 16 9" xfId="6116"/>
    <cellStyle name="WHead - Style2 17" xfId="6117"/>
    <cellStyle name="WHead - Style2 17 10" xfId="6118"/>
    <cellStyle name="WHead - Style2 17 2" xfId="6119"/>
    <cellStyle name="WHead - Style2 17 2 2" xfId="6120"/>
    <cellStyle name="WHead - Style2 17 2 2 2" xfId="6121"/>
    <cellStyle name="WHead - Style2 17 2 3" xfId="6122"/>
    <cellStyle name="WHead - Style2 17 2 4" xfId="6123"/>
    <cellStyle name="WHead - Style2 17 3" xfId="6124"/>
    <cellStyle name="WHead - Style2 17 3 2" xfId="6125"/>
    <cellStyle name="WHead - Style2 17 3 2 2" xfId="6126"/>
    <cellStyle name="WHead - Style2 17 3 3" xfId="6127"/>
    <cellStyle name="WHead - Style2 17 3 4" xfId="6128"/>
    <cellStyle name="WHead - Style2 17 4" xfId="6129"/>
    <cellStyle name="WHead - Style2 17 4 2" xfId="6130"/>
    <cellStyle name="WHead - Style2 17 4 2 2" xfId="6131"/>
    <cellStyle name="WHead - Style2 17 4 3" xfId="6132"/>
    <cellStyle name="WHead - Style2 17 4 4" xfId="6133"/>
    <cellStyle name="WHead - Style2 17 5" xfId="6134"/>
    <cellStyle name="WHead - Style2 17 5 2" xfId="6135"/>
    <cellStyle name="WHead - Style2 17 5 2 2" xfId="6136"/>
    <cellStyle name="WHead - Style2 17 5 3" xfId="6137"/>
    <cellStyle name="WHead - Style2 17 5 4" xfId="6138"/>
    <cellStyle name="WHead - Style2 17 6" xfId="6139"/>
    <cellStyle name="WHead - Style2 17 6 2" xfId="6140"/>
    <cellStyle name="WHead - Style2 17 6 2 2" xfId="6141"/>
    <cellStyle name="WHead - Style2 17 6 3" xfId="6142"/>
    <cellStyle name="WHead - Style2 17 6 4" xfId="6143"/>
    <cellStyle name="WHead - Style2 17 7" xfId="6144"/>
    <cellStyle name="WHead - Style2 17 7 2" xfId="6145"/>
    <cellStyle name="WHead - Style2 17 8" xfId="6146"/>
    <cellStyle name="WHead - Style2 17 8 2" xfId="6147"/>
    <cellStyle name="WHead - Style2 17 9" xfId="6148"/>
    <cellStyle name="WHead - Style2 18" xfId="6149"/>
    <cellStyle name="WHead - Style2 18 10" xfId="6150"/>
    <cellStyle name="WHead - Style2 18 2" xfId="6151"/>
    <cellStyle name="WHead - Style2 18 2 2" xfId="6152"/>
    <cellStyle name="WHead - Style2 18 2 2 2" xfId="6153"/>
    <cellStyle name="WHead - Style2 18 2 3" xfId="6154"/>
    <cellStyle name="WHead - Style2 18 2 4" xfId="6155"/>
    <cellStyle name="WHead - Style2 18 3" xfId="6156"/>
    <cellStyle name="WHead - Style2 18 3 2" xfId="6157"/>
    <cellStyle name="WHead - Style2 18 3 2 2" xfId="6158"/>
    <cellStyle name="WHead - Style2 18 3 3" xfId="6159"/>
    <cellStyle name="WHead - Style2 18 3 4" xfId="6160"/>
    <cellStyle name="WHead - Style2 18 4" xfId="6161"/>
    <cellStyle name="WHead - Style2 18 4 2" xfId="6162"/>
    <cellStyle name="WHead - Style2 18 4 2 2" xfId="6163"/>
    <cellStyle name="WHead - Style2 18 4 3" xfId="6164"/>
    <cellStyle name="WHead - Style2 18 4 4" xfId="6165"/>
    <cellStyle name="WHead - Style2 18 5" xfId="6166"/>
    <cellStyle name="WHead - Style2 18 5 2" xfId="6167"/>
    <cellStyle name="WHead - Style2 18 5 2 2" xfId="6168"/>
    <cellStyle name="WHead - Style2 18 5 3" xfId="6169"/>
    <cellStyle name="WHead - Style2 18 5 4" xfId="6170"/>
    <cellStyle name="WHead - Style2 18 6" xfId="6171"/>
    <cellStyle name="WHead - Style2 18 6 2" xfId="6172"/>
    <cellStyle name="WHead - Style2 18 6 2 2" xfId="6173"/>
    <cellStyle name="WHead - Style2 18 6 3" xfId="6174"/>
    <cellStyle name="WHead - Style2 18 6 4" xfId="6175"/>
    <cellStyle name="WHead - Style2 18 7" xfId="6176"/>
    <cellStyle name="WHead - Style2 18 7 2" xfId="6177"/>
    <cellStyle name="WHead - Style2 18 8" xfId="6178"/>
    <cellStyle name="WHead - Style2 18 8 2" xfId="6179"/>
    <cellStyle name="WHead - Style2 18 9" xfId="6180"/>
    <cellStyle name="WHead - Style2 19" xfId="6181"/>
    <cellStyle name="WHead - Style2 19 10" xfId="6182"/>
    <cellStyle name="WHead - Style2 19 2" xfId="6183"/>
    <cellStyle name="WHead - Style2 19 2 2" xfId="6184"/>
    <cellStyle name="WHead - Style2 19 2 2 2" xfId="6185"/>
    <cellStyle name="WHead - Style2 19 2 3" xfId="6186"/>
    <cellStyle name="WHead - Style2 19 2 4" xfId="6187"/>
    <cellStyle name="WHead - Style2 19 3" xfId="6188"/>
    <cellStyle name="WHead - Style2 19 3 2" xfId="6189"/>
    <cellStyle name="WHead - Style2 19 3 2 2" xfId="6190"/>
    <cellStyle name="WHead - Style2 19 3 3" xfId="6191"/>
    <cellStyle name="WHead - Style2 19 3 4" xfId="6192"/>
    <cellStyle name="WHead - Style2 19 4" xfId="6193"/>
    <cellStyle name="WHead - Style2 19 4 2" xfId="6194"/>
    <cellStyle name="WHead - Style2 19 4 2 2" xfId="6195"/>
    <cellStyle name="WHead - Style2 19 4 3" xfId="6196"/>
    <cellStyle name="WHead - Style2 19 4 4" xfId="6197"/>
    <cellStyle name="WHead - Style2 19 5" xfId="6198"/>
    <cellStyle name="WHead - Style2 19 5 2" xfId="6199"/>
    <cellStyle name="WHead - Style2 19 5 2 2" xfId="6200"/>
    <cellStyle name="WHead - Style2 19 5 3" xfId="6201"/>
    <cellStyle name="WHead - Style2 19 5 4" xfId="6202"/>
    <cellStyle name="WHead - Style2 19 6" xfId="6203"/>
    <cellStyle name="WHead - Style2 19 6 2" xfId="6204"/>
    <cellStyle name="WHead - Style2 19 6 2 2" xfId="6205"/>
    <cellStyle name="WHead - Style2 19 6 3" xfId="6206"/>
    <cellStyle name="WHead - Style2 19 6 4" xfId="6207"/>
    <cellStyle name="WHead - Style2 19 7" xfId="6208"/>
    <cellStyle name="WHead - Style2 19 7 2" xfId="6209"/>
    <cellStyle name="WHead - Style2 19 8" xfId="6210"/>
    <cellStyle name="WHead - Style2 19 8 2" xfId="6211"/>
    <cellStyle name="WHead - Style2 19 9" xfId="6212"/>
    <cellStyle name="WHead - Style2 2" xfId="6213"/>
    <cellStyle name="WHead - Style2 2 10" xfId="6214"/>
    <cellStyle name="WHead - Style2 2 10 10" xfId="6215"/>
    <cellStyle name="WHead - Style2 2 10 2" xfId="6216"/>
    <cellStyle name="WHead - Style2 2 10 2 2" xfId="6217"/>
    <cellStyle name="WHead - Style2 2 10 2 2 2" xfId="6218"/>
    <cellStyle name="WHead - Style2 2 10 2 3" xfId="6219"/>
    <cellStyle name="WHead - Style2 2 10 2 4" xfId="6220"/>
    <cellStyle name="WHead - Style2 2 10 3" xfId="6221"/>
    <cellStyle name="WHead - Style2 2 10 3 2" xfId="6222"/>
    <cellStyle name="WHead - Style2 2 10 3 2 2" xfId="6223"/>
    <cellStyle name="WHead - Style2 2 10 3 3" xfId="6224"/>
    <cellStyle name="WHead - Style2 2 10 3 4" xfId="6225"/>
    <cellStyle name="WHead - Style2 2 10 4" xfId="6226"/>
    <cellStyle name="WHead - Style2 2 10 4 2" xfId="6227"/>
    <cellStyle name="WHead - Style2 2 10 4 2 2" xfId="6228"/>
    <cellStyle name="WHead - Style2 2 10 4 3" xfId="6229"/>
    <cellStyle name="WHead - Style2 2 10 4 4" xfId="6230"/>
    <cellStyle name="WHead - Style2 2 10 5" xfId="6231"/>
    <cellStyle name="WHead - Style2 2 10 5 2" xfId="6232"/>
    <cellStyle name="WHead - Style2 2 10 5 2 2" xfId="6233"/>
    <cellStyle name="WHead - Style2 2 10 5 3" xfId="6234"/>
    <cellStyle name="WHead - Style2 2 10 5 4" xfId="6235"/>
    <cellStyle name="WHead - Style2 2 10 6" xfId="6236"/>
    <cellStyle name="WHead - Style2 2 10 6 2" xfId="6237"/>
    <cellStyle name="WHead - Style2 2 10 6 2 2" xfId="6238"/>
    <cellStyle name="WHead - Style2 2 10 6 3" xfId="6239"/>
    <cellStyle name="WHead - Style2 2 10 6 4" xfId="6240"/>
    <cellStyle name="WHead - Style2 2 10 7" xfId="6241"/>
    <cellStyle name="WHead - Style2 2 10 7 2" xfId="6242"/>
    <cellStyle name="WHead - Style2 2 10 8" xfId="6243"/>
    <cellStyle name="WHead - Style2 2 10 8 2" xfId="6244"/>
    <cellStyle name="WHead - Style2 2 10 9" xfId="6245"/>
    <cellStyle name="WHead - Style2 2 11" xfId="6246"/>
    <cellStyle name="WHead - Style2 2 11 10" xfId="6247"/>
    <cellStyle name="WHead - Style2 2 11 2" xfId="6248"/>
    <cellStyle name="WHead - Style2 2 11 2 2" xfId="6249"/>
    <cellStyle name="WHead - Style2 2 11 2 2 2" xfId="6250"/>
    <cellStyle name="WHead - Style2 2 11 2 3" xfId="6251"/>
    <cellStyle name="WHead - Style2 2 11 2 4" xfId="6252"/>
    <cellStyle name="WHead - Style2 2 11 3" xfId="6253"/>
    <cellStyle name="WHead - Style2 2 11 3 2" xfId="6254"/>
    <cellStyle name="WHead - Style2 2 11 3 2 2" xfId="6255"/>
    <cellStyle name="WHead - Style2 2 11 3 3" xfId="6256"/>
    <cellStyle name="WHead - Style2 2 11 3 4" xfId="6257"/>
    <cellStyle name="WHead - Style2 2 11 4" xfId="6258"/>
    <cellStyle name="WHead - Style2 2 11 4 2" xfId="6259"/>
    <cellStyle name="WHead - Style2 2 11 4 2 2" xfId="6260"/>
    <cellStyle name="WHead - Style2 2 11 4 3" xfId="6261"/>
    <cellStyle name="WHead - Style2 2 11 4 4" xfId="6262"/>
    <cellStyle name="WHead - Style2 2 11 5" xfId="6263"/>
    <cellStyle name="WHead - Style2 2 11 5 2" xfId="6264"/>
    <cellStyle name="WHead - Style2 2 11 5 2 2" xfId="6265"/>
    <cellStyle name="WHead - Style2 2 11 5 3" xfId="6266"/>
    <cellStyle name="WHead - Style2 2 11 5 4" xfId="6267"/>
    <cellStyle name="WHead - Style2 2 11 6" xfId="6268"/>
    <cellStyle name="WHead - Style2 2 11 6 2" xfId="6269"/>
    <cellStyle name="WHead - Style2 2 11 6 2 2" xfId="6270"/>
    <cellStyle name="WHead - Style2 2 11 6 3" xfId="6271"/>
    <cellStyle name="WHead - Style2 2 11 6 4" xfId="6272"/>
    <cellStyle name="WHead - Style2 2 11 7" xfId="6273"/>
    <cellStyle name="WHead - Style2 2 11 7 2" xfId="6274"/>
    <cellStyle name="WHead - Style2 2 11 8" xfId="6275"/>
    <cellStyle name="WHead - Style2 2 11 8 2" xfId="6276"/>
    <cellStyle name="WHead - Style2 2 11 9" xfId="6277"/>
    <cellStyle name="WHead - Style2 2 12" xfId="6278"/>
    <cellStyle name="WHead - Style2 2 12 10" xfId="6279"/>
    <cellStyle name="WHead - Style2 2 12 2" xfId="6280"/>
    <cellStyle name="WHead - Style2 2 12 2 2" xfId="6281"/>
    <cellStyle name="WHead - Style2 2 12 2 2 2" xfId="6282"/>
    <cellStyle name="WHead - Style2 2 12 2 3" xfId="6283"/>
    <cellStyle name="WHead - Style2 2 12 2 4" xfId="6284"/>
    <cellStyle name="WHead - Style2 2 12 3" xfId="6285"/>
    <cellStyle name="WHead - Style2 2 12 3 2" xfId="6286"/>
    <cellStyle name="WHead - Style2 2 12 3 2 2" xfId="6287"/>
    <cellStyle name="WHead - Style2 2 12 3 3" xfId="6288"/>
    <cellStyle name="WHead - Style2 2 12 3 4" xfId="6289"/>
    <cellStyle name="WHead - Style2 2 12 4" xfId="6290"/>
    <cellStyle name="WHead - Style2 2 12 4 2" xfId="6291"/>
    <cellStyle name="WHead - Style2 2 12 4 2 2" xfId="6292"/>
    <cellStyle name="WHead - Style2 2 12 4 3" xfId="6293"/>
    <cellStyle name="WHead - Style2 2 12 4 4" xfId="6294"/>
    <cellStyle name="WHead - Style2 2 12 5" xfId="6295"/>
    <cellStyle name="WHead - Style2 2 12 5 2" xfId="6296"/>
    <cellStyle name="WHead - Style2 2 12 5 2 2" xfId="6297"/>
    <cellStyle name="WHead - Style2 2 12 5 3" xfId="6298"/>
    <cellStyle name="WHead - Style2 2 12 5 4" xfId="6299"/>
    <cellStyle name="WHead - Style2 2 12 6" xfId="6300"/>
    <cellStyle name="WHead - Style2 2 12 6 2" xfId="6301"/>
    <cellStyle name="WHead - Style2 2 12 6 2 2" xfId="6302"/>
    <cellStyle name="WHead - Style2 2 12 6 3" xfId="6303"/>
    <cellStyle name="WHead - Style2 2 12 6 4" xfId="6304"/>
    <cellStyle name="WHead - Style2 2 12 7" xfId="6305"/>
    <cellStyle name="WHead - Style2 2 12 7 2" xfId="6306"/>
    <cellStyle name="WHead - Style2 2 12 8" xfId="6307"/>
    <cellStyle name="WHead - Style2 2 12 8 2" xfId="6308"/>
    <cellStyle name="WHead - Style2 2 12 9" xfId="6309"/>
    <cellStyle name="WHead - Style2 2 13" xfId="6310"/>
    <cellStyle name="WHead - Style2 2 13 10" xfId="6311"/>
    <cellStyle name="WHead - Style2 2 13 2" xfId="6312"/>
    <cellStyle name="WHead - Style2 2 13 2 2" xfId="6313"/>
    <cellStyle name="WHead - Style2 2 13 2 2 2" xfId="6314"/>
    <cellStyle name="WHead - Style2 2 13 2 3" xfId="6315"/>
    <cellStyle name="WHead - Style2 2 13 2 4" xfId="6316"/>
    <cellStyle name="WHead - Style2 2 13 3" xfId="6317"/>
    <cellStyle name="WHead - Style2 2 13 3 2" xfId="6318"/>
    <cellStyle name="WHead - Style2 2 13 3 2 2" xfId="6319"/>
    <cellStyle name="WHead - Style2 2 13 3 3" xfId="6320"/>
    <cellStyle name="WHead - Style2 2 13 3 4" xfId="6321"/>
    <cellStyle name="WHead - Style2 2 13 4" xfId="6322"/>
    <cellStyle name="WHead - Style2 2 13 4 2" xfId="6323"/>
    <cellStyle name="WHead - Style2 2 13 4 2 2" xfId="6324"/>
    <cellStyle name="WHead - Style2 2 13 4 3" xfId="6325"/>
    <cellStyle name="WHead - Style2 2 13 4 4" xfId="6326"/>
    <cellStyle name="WHead - Style2 2 13 5" xfId="6327"/>
    <cellStyle name="WHead - Style2 2 13 5 2" xfId="6328"/>
    <cellStyle name="WHead - Style2 2 13 5 2 2" xfId="6329"/>
    <cellStyle name="WHead - Style2 2 13 5 3" xfId="6330"/>
    <cellStyle name="WHead - Style2 2 13 5 4" xfId="6331"/>
    <cellStyle name="WHead - Style2 2 13 6" xfId="6332"/>
    <cellStyle name="WHead - Style2 2 13 6 2" xfId="6333"/>
    <cellStyle name="WHead - Style2 2 13 6 2 2" xfId="6334"/>
    <cellStyle name="WHead - Style2 2 13 6 3" xfId="6335"/>
    <cellStyle name="WHead - Style2 2 13 6 4" xfId="6336"/>
    <cellStyle name="WHead - Style2 2 13 7" xfId="6337"/>
    <cellStyle name="WHead - Style2 2 13 7 2" xfId="6338"/>
    <cellStyle name="WHead - Style2 2 13 8" xfId="6339"/>
    <cellStyle name="WHead - Style2 2 13 8 2" xfId="6340"/>
    <cellStyle name="WHead - Style2 2 13 9" xfId="6341"/>
    <cellStyle name="WHead - Style2 2 14" xfId="6342"/>
    <cellStyle name="WHead - Style2 2 14 10" xfId="6343"/>
    <cellStyle name="WHead - Style2 2 14 2" xfId="6344"/>
    <cellStyle name="WHead - Style2 2 14 2 2" xfId="6345"/>
    <cellStyle name="WHead - Style2 2 14 2 2 2" xfId="6346"/>
    <cellStyle name="WHead - Style2 2 14 2 3" xfId="6347"/>
    <cellStyle name="WHead - Style2 2 14 2 4" xfId="6348"/>
    <cellStyle name="WHead - Style2 2 14 3" xfId="6349"/>
    <cellStyle name="WHead - Style2 2 14 3 2" xfId="6350"/>
    <cellStyle name="WHead - Style2 2 14 3 2 2" xfId="6351"/>
    <cellStyle name="WHead - Style2 2 14 3 3" xfId="6352"/>
    <cellStyle name="WHead - Style2 2 14 3 4" xfId="6353"/>
    <cellStyle name="WHead - Style2 2 14 4" xfId="6354"/>
    <cellStyle name="WHead - Style2 2 14 4 2" xfId="6355"/>
    <cellStyle name="WHead - Style2 2 14 4 2 2" xfId="6356"/>
    <cellStyle name="WHead - Style2 2 14 4 3" xfId="6357"/>
    <cellStyle name="WHead - Style2 2 14 4 4" xfId="6358"/>
    <cellStyle name="WHead - Style2 2 14 5" xfId="6359"/>
    <cellStyle name="WHead - Style2 2 14 5 2" xfId="6360"/>
    <cellStyle name="WHead - Style2 2 14 5 2 2" xfId="6361"/>
    <cellStyle name="WHead - Style2 2 14 5 3" xfId="6362"/>
    <cellStyle name="WHead - Style2 2 14 5 4" xfId="6363"/>
    <cellStyle name="WHead - Style2 2 14 6" xfId="6364"/>
    <cellStyle name="WHead - Style2 2 14 6 2" xfId="6365"/>
    <cellStyle name="WHead - Style2 2 14 6 2 2" xfId="6366"/>
    <cellStyle name="WHead - Style2 2 14 6 3" xfId="6367"/>
    <cellStyle name="WHead - Style2 2 14 6 4" xfId="6368"/>
    <cellStyle name="WHead - Style2 2 14 7" xfId="6369"/>
    <cellStyle name="WHead - Style2 2 14 7 2" xfId="6370"/>
    <cellStyle name="WHead - Style2 2 14 8" xfId="6371"/>
    <cellStyle name="WHead - Style2 2 14 8 2" xfId="6372"/>
    <cellStyle name="WHead - Style2 2 14 9" xfId="6373"/>
    <cellStyle name="WHead - Style2 2 15" xfId="6374"/>
    <cellStyle name="WHead - Style2 2 15 10" xfId="6375"/>
    <cellStyle name="WHead - Style2 2 15 2" xfId="6376"/>
    <cellStyle name="WHead - Style2 2 15 2 2" xfId="6377"/>
    <cellStyle name="WHead - Style2 2 15 2 2 2" xfId="6378"/>
    <cellStyle name="WHead - Style2 2 15 2 3" xfId="6379"/>
    <cellStyle name="WHead - Style2 2 15 2 4" xfId="6380"/>
    <cellStyle name="WHead - Style2 2 15 3" xfId="6381"/>
    <cellStyle name="WHead - Style2 2 15 3 2" xfId="6382"/>
    <cellStyle name="WHead - Style2 2 15 3 2 2" xfId="6383"/>
    <cellStyle name="WHead - Style2 2 15 3 3" xfId="6384"/>
    <cellStyle name="WHead - Style2 2 15 3 4" xfId="6385"/>
    <cellStyle name="WHead - Style2 2 15 4" xfId="6386"/>
    <cellStyle name="WHead - Style2 2 15 4 2" xfId="6387"/>
    <cellStyle name="WHead - Style2 2 15 4 2 2" xfId="6388"/>
    <cellStyle name="WHead - Style2 2 15 4 3" xfId="6389"/>
    <cellStyle name="WHead - Style2 2 15 4 4" xfId="6390"/>
    <cellStyle name="WHead - Style2 2 15 5" xfId="6391"/>
    <cellStyle name="WHead - Style2 2 15 5 2" xfId="6392"/>
    <cellStyle name="WHead - Style2 2 15 5 2 2" xfId="6393"/>
    <cellStyle name="WHead - Style2 2 15 5 3" xfId="6394"/>
    <cellStyle name="WHead - Style2 2 15 5 4" xfId="6395"/>
    <cellStyle name="WHead - Style2 2 15 6" xfId="6396"/>
    <cellStyle name="WHead - Style2 2 15 6 2" xfId="6397"/>
    <cellStyle name="WHead - Style2 2 15 6 2 2" xfId="6398"/>
    <cellStyle name="WHead - Style2 2 15 6 3" xfId="6399"/>
    <cellStyle name="WHead - Style2 2 15 6 4" xfId="6400"/>
    <cellStyle name="WHead - Style2 2 15 7" xfId="6401"/>
    <cellStyle name="WHead - Style2 2 15 7 2" xfId="6402"/>
    <cellStyle name="WHead - Style2 2 15 8" xfId="6403"/>
    <cellStyle name="WHead - Style2 2 15 8 2" xfId="6404"/>
    <cellStyle name="WHead - Style2 2 15 9" xfId="6405"/>
    <cellStyle name="WHead - Style2 2 16" xfId="6406"/>
    <cellStyle name="WHead - Style2 2 16 10" xfId="6407"/>
    <cellStyle name="WHead - Style2 2 16 2" xfId="6408"/>
    <cellStyle name="WHead - Style2 2 16 2 2" xfId="6409"/>
    <cellStyle name="WHead - Style2 2 16 2 2 2" xfId="6410"/>
    <cellStyle name="WHead - Style2 2 16 2 3" xfId="6411"/>
    <cellStyle name="WHead - Style2 2 16 2 4" xfId="6412"/>
    <cellStyle name="WHead - Style2 2 16 3" xfId="6413"/>
    <cellStyle name="WHead - Style2 2 16 3 2" xfId="6414"/>
    <cellStyle name="WHead - Style2 2 16 3 2 2" xfId="6415"/>
    <cellStyle name="WHead - Style2 2 16 3 3" xfId="6416"/>
    <cellStyle name="WHead - Style2 2 16 3 4" xfId="6417"/>
    <cellStyle name="WHead - Style2 2 16 4" xfId="6418"/>
    <cellStyle name="WHead - Style2 2 16 4 2" xfId="6419"/>
    <cellStyle name="WHead - Style2 2 16 4 2 2" xfId="6420"/>
    <cellStyle name="WHead - Style2 2 16 4 3" xfId="6421"/>
    <cellStyle name="WHead - Style2 2 16 4 4" xfId="6422"/>
    <cellStyle name="WHead - Style2 2 16 5" xfId="6423"/>
    <cellStyle name="WHead - Style2 2 16 5 2" xfId="6424"/>
    <cellStyle name="WHead - Style2 2 16 5 2 2" xfId="6425"/>
    <cellStyle name="WHead - Style2 2 16 5 3" xfId="6426"/>
    <cellStyle name="WHead - Style2 2 16 5 4" xfId="6427"/>
    <cellStyle name="WHead - Style2 2 16 6" xfId="6428"/>
    <cellStyle name="WHead - Style2 2 16 6 2" xfId="6429"/>
    <cellStyle name="WHead - Style2 2 16 6 2 2" xfId="6430"/>
    <cellStyle name="WHead - Style2 2 16 6 3" xfId="6431"/>
    <cellStyle name="WHead - Style2 2 16 6 4" xfId="6432"/>
    <cellStyle name="WHead - Style2 2 16 7" xfId="6433"/>
    <cellStyle name="WHead - Style2 2 16 7 2" xfId="6434"/>
    <cellStyle name="WHead - Style2 2 16 8" xfId="6435"/>
    <cellStyle name="WHead - Style2 2 16 8 2" xfId="6436"/>
    <cellStyle name="WHead - Style2 2 16 9" xfId="6437"/>
    <cellStyle name="WHead - Style2 2 17" xfId="6438"/>
    <cellStyle name="WHead - Style2 2 17 10" xfId="6439"/>
    <cellStyle name="WHead - Style2 2 17 2" xfId="6440"/>
    <cellStyle name="WHead - Style2 2 17 2 2" xfId="6441"/>
    <cellStyle name="WHead - Style2 2 17 2 2 2" xfId="6442"/>
    <cellStyle name="WHead - Style2 2 17 2 3" xfId="6443"/>
    <cellStyle name="WHead - Style2 2 17 2 4" xfId="6444"/>
    <cellStyle name="WHead - Style2 2 17 3" xfId="6445"/>
    <cellStyle name="WHead - Style2 2 17 3 2" xfId="6446"/>
    <cellStyle name="WHead - Style2 2 17 3 2 2" xfId="6447"/>
    <cellStyle name="WHead - Style2 2 17 3 3" xfId="6448"/>
    <cellStyle name="WHead - Style2 2 17 3 4" xfId="6449"/>
    <cellStyle name="WHead - Style2 2 17 4" xfId="6450"/>
    <cellStyle name="WHead - Style2 2 17 4 2" xfId="6451"/>
    <cellStyle name="WHead - Style2 2 17 4 2 2" xfId="6452"/>
    <cellStyle name="WHead - Style2 2 17 4 3" xfId="6453"/>
    <cellStyle name="WHead - Style2 2 17 4 4" xfId="6454"/>
    <cellStyle name="WHead - Style2 2 17 5" xfId="6455"/>
    <cellStyle name="WHead - Style2 2 17 5 2" xfId="6456"/>
    <cellStyle name="WHead - Style2 2 17 5 2 2" xfId="6457"/>
    <cellStyle name="WHead - Style2 2 17 5 3" xfId="6458"/>
    <cellStyle name="WHead - Style2 2 17 5 4" xfId="6459"/>
    <cellStyle name="WHead - Style2 2 17 6" xfId="6460"/>
    <cellStyle name="WHead - Style2 2 17 6 2" xfId="6461"/>
    <cellStyle name="WHead - Style2 2 17 6 2 2" xfId="6462"/>
    <cellStyle name="WHead - Style2 2 17 6 3" xfId="6463"/>
    <cellStyle name="WHead - Style2 2 17 6 4" xfId="6464"/>
    <cellStyle name="WHead - Style2 2 17 7" xfId="6465"/>
    <cellStyle name="WHead - Style2 2 17 7 2" xfId="6466"/>
    <cellStyle name="WHead - Style2 2 17 8" xfId="6467"/>
    <cellStyle name="WHead - Style2 2 17 8 2" xfId="6468"/>
    <cellStyle name="WHead - Style2 2 17 9" xfId="6469"/>
    <cellStyle name="WHead - Style2 2 18" xfId="6470"/>
    <cellStyle name="WHead - Style2 2 18 10" xfId="6471"/>
    <cellStyle name="WHead - Style2 2 18 2" xfId="6472"/>
    <cellStyle name="WHead - Style2 2 18 2 2" xfId="6473"/>
    <cellStyle name="WHead - Style2 2 18 2 2 2" xfId="6474"/>
    <cellStyle name="WHead - Style2 2 18 2 3" xfId="6475"/>
    <cellStyle name="WHead - Style2 2 18 2 4" xfId="6476"/>
    <cellStyle name="WHead - Style2 2 18 3" xfId="6477"/>
    <cellStyle name="WHead - Style2 2 18 3 2" xfId="6478"/>
    <cellStyle name="WHead - Style2 2 18 3 2 2" xfId="6479"/>
    <cellStyle name="WHead - Style2 2 18 3 3" xfId="6480"/>
    <cellStyle name="WHead - Style2 2 18 3 4" xfId="6481"/>
    <cellStyle name="WHead - Style2 2 18 4" xfId="6482"/>
    <cellStyle name="WHead - Style2 2 18 4 2" xfId="6483"/>
    <cellStyle name="WHead - Style2 2 18 4 2 2" xfId="6484"/>
    <cellStyle name="WHead - Style2 2 18 4 3" xfId="6485"/>
    <cellStyle name="WHead - Style2 2 18 4 4" xfId="6486"/>
    <cellStyle name="WHead - Style2 2 18 5" xfId="6487"/>
    <cellStyle name="WHead - Style2 2 18 5 2" xfId="6488"/>
    <cellStyle name="WHead - Style2 2 18 5 2 2" xfId="6489"/>
    <cellStyle name="WHead - Style2 2 18 5 3" xfId="6490"/>
    <cellStyle name="WHead - Style2 2 18 5 4" xfId="6491"/>
    <cellStyle name="WHead - Style2 2 18 6" xfId="6492"/>
    <cellStyle name="WHead - Style2 2 18 6 2" xfId="6493"/>
    <cellStyle name="WHead - Style2 2 18 6 2 2" xfId="6494"/>
    <cellStyle name="WHead - Style2 2 18 6 3" xfId="6495"/>
    <cellStyle name="WHead - Style2 2 18 6 4" xfId="6496"/>
    <cellStyle name="WHead - Style2 2 18 7" xfId="6497"/>
    <cellStyle name="WHead - Style2 2 18 7 2" xfId="6498"/>
    <cellStyle name="WHead - Style2 2 18 8" xfId="6499"/>
    <cellStyle name="WHead - Style2 2 18 8 2" xfId="6500"/>
    <cellStyle name="WHead - Style2 2 18 9" xfId="6501"/>
    <cellStyle name="WHead - Style2 2 19" xfId="6502"/>
    <cellStyle name="WHead - Style2 2 19 10" xfId="6503"/>
    <cellStyle name="WHead - Style2 2 19 2" xfId="6504"/>
    <cellStyle name="WHead - Style2 2 19 2 2" xfId="6505"/>
    <cellStyle name="WHead - Style2 2 19 2 2 2" xfId="6506"/>
    <cellStyle name="WHead - Style2 2 19 2 3" xfId="6507"/>
    <cellStyle name="WHead - Style2 2 19 2 4" xfId="6508"/>
    <cellStyle name="WHead - Style2 2 19 3" xfId="6509"/>
    <cellStyle name="WHead - Style2 2 19 3 2" xfId="6510"/>
    <cellStyle name="WHead - Style2 2 19 3 2 2" xfId="6511"/>
    <cellStyle name="WHead - Style2 2 19 3 3" xfId="6512"/>
    <cellStyle name="WHead - Style2 2 19 3 4" xfId="6513"/>
    <cellStyle name="WHead - Style2 2 19 4" xfId="6514"/>
    <cellStyle name="WHead - Style2 2 19 4 2" xfId="6515"/>
    <cellStyle name="WHead - Style2 2 19 4 2 2" xfId="6516"/>
    <cellStyle name="WHead - Style2 2 19 4 3" xfId="6517"/>
    <cellStyle name="WHead - Style2 2 19 4 4" xfId="6518"/>
    <cellStyle name="WHead - Style2 2 19 5" xfId="6519"/>
    <cellStyle name="WHead - Style2 2 19 5 2" xfId="6520"/>
    <cellStyle name="WHead - Style2 2 19 5 2 2" xfId="6521"/>
    <cellStyle name="WHead - Style2 2 19 5 3" xfId="6522"/>
    <cellStyle name="WHead - Style2 2 19 5 4" xfId="6523"/>
    <cellStyle name="WHead - Style2 2 19 6" xfId="6524"/>
    <cellStyle name="WHead - Style2 2 19 6 2" xfId="6525"/>
    <cellStyle name="WHead - Style2 2 19 6 2 2" xfId="6526"/>
    <cellStyle name="WHead - Style2 2 19 6 3" xfId="6527"/>
    <cellStyle name="WHead - Style2 2 19 6 4" xfId="6528"/>
    <cellStyle name="WHead - Style2 2 19 7" xfId="6529"/>
    <cellStyle name="WHead - Style2 2 19 7 2" xfId="6530"/>
    <cellStyle name="WHead - Style2 2 19 8" xfId="6531"/>
    <cellStyle name="WHead - Style2 2 19 8 2" xfId="6532"/>
    <cellStyle name="WHead - Style2 2 19 9" xfId="6533"/>
    <cellStyle name="WHead - Style2 2 2" xfId="6534"/>
    <cellStyle name="WHead - Style2 2 2 10" xfId="6535"/>
    <cellStyle name="WHead - Style2 2 2 11" xfId="6536"/>
    <cellStyle name="WHead - Style2 2 2 2" xfId="6537"/>
    <cellStyle name="WHead - Style2 2 2 2 2" xfId="6538"/>
    <cellStyle name="WHead - Style2 2 2 2 2 2" xfId="6539"/>
    <cellStyle name="WHead - Style2 2 2 2 2 2 2" xfId="6540"/>
    <cellStyle name="WHead - Style2 2 2 2 2 3" xfId="6541"/>
    <cellStyle name="WHead - Style2 2 2 2 2 3 2" xfId="6542"/>
    <cellStyle name="WHead - Style2 2 2 2 2 4" xfId="6543"/>
    <cellStyle name="WHead - Style2 2 2 2 3" xfId="6544"/>
    <cellStyle name="WHead - Style2 2 2 2 3 2" xfId="6545"/>
    <cellStyle name="WHead - Style2 2 2 2 4" xfId="6546"/>
    <cellStyle name="WHead - Style2 2 2 2 4 2" xfId="6547"/>
    <cellStyle name="WHead - Style2 2 2 2 5" xfId="6548"/>
    <cellStyle name="WHead - Style2 2 2 2 6" xfId="6549"/>
    <cellStyle name="WHead - Style2 2 2 3" xfId="6550"/>
    <cellStyle name="WHead - Style2 2 2 3 2" xfId="6551"/>
    <cellStyle name="WHead - Style2 2 2 3 2 2" xfId="6552"/>
    <cellStyle name="WHead - Style2 2 2 3 2 2 2" xfId="6553"/>
    <cellStyle name="WHead - Style2 2 2 3 2 3" xfId="6554"/>
    <cellStyle name="WHead - Style2 2 2 3 2 3 2" xfId="6555"/>
    <cellStyle name="WHead - Style2 2 2 3 2 4" xfId="6556"/>
    <cellStyle name="WHead - Style2 2 2 3 3" xfId="6557"/>
    <cellStyle name="WHead - Style2 2 2 3 3 2" xfId="6558"/>
    <cellStyle name="WHead - Style2 2 2 3 4" xfId="6559"/>
    <cellStyle name="WHead - Style2 2 2 3 4 2" xfId="6560"/>
    <cellStyle name="WHead - Style2 2 2 3 5" xfId="6561"/>
    <cellStyle name="WHead - Style2 2 2 3 6" xfId="6562"/>
    <cellStyle name="WHead - Style2 2 2 4" xfId="6563"/>
    <cellStyle name="WHead - Style2 2 2 4 2" xfId="6564"/>
    <cellStyle name="WHead - Style2 2 2 4 2 2" xfId="6565"/>
    <cellStyle name="WHead - Style2 2 2 4 3" xfId="6566"/>
    <cellStyle name="WHead - Style2 2 2 4 3 2" xfId="6567"/>
    <cellStyle name="WHead - Style2 2 2 4 4" xfId="6568"/>
    <cellStyle name="WHead - Style2 2 2 4 5" xfId="6569"/>
    <cellStyle name="WHead - Style2 2 2 5" xfId="6570"/>
    <cellStyle name="WHead - Style2 2 2 5 2" xfId="6571"/>
    <cellStyle name="WHead - Style2 2 2 5 2 2" xfId="6572"/>
    <cellStyle name="WHead - Style2 2 2 5 3" xfId="6573"/>
    <cellStyle name="WHead - Style2 2 2 5 4" xfId="6574"/>
    <cellStyle name="WHead - Style2 2 2 6" xfId="6575"/>
    <cellStyle name="WHead - Style2 2 2 6 2" xfId="6576"/>
    <cellStyle name="WHead - Style2 2 2 6 2 2" xfId="6577"/>
    <cellStyle name="WHead - Style2 2 2 6 3" xfId="6578"/>
    <cellStyle name="WHead - Style2 2 2 6 4" xfId="6579"/>
    <cellStyle name="WHead - Style2 2 2 7" xfId="6580"/>
    <cellStyle name="WHead - Style2 2 2 7 2" xfId="6581"/>
    <cellStyle name="WHead - Style2 2 2 7 2 2" xfId="6582"/>
    <cellStyle name="WHead - Style2 2 2 7 3" xfId="6583"/>
    <cellStyle name="WHead - Style2 2 2 8" xfId="6584"/>
    <cellStyle name="WHead - Style2 2 2 8 2" xfId="6585"/>
    <cellStyle name="WHead - Style2 2 2 9" xfId="6586"/>
    <cellStyle name="WHead - Style2 2 2 9 2" xfId="6587"/>
    <cellStyle name="WHead - Style2 2 20" xfId="6588"/>
    <cellStyle name="WHead - Style2 2 20 2" xfId="6589"/>
    <cellStyle name="WHead - Style2 2 20 2 2" xfId="6590"/>
    <cellStyle name="WHead - Style2 2 20 3" xfId="6591"/>
    <cellStyle name="WHead - Style2 2 20 4" xfId="6592"/>
    <cellStyle name="WHead - Style2 2 21" xfId="6593"/>
    <cellStyle name="WHead - Style2 2 21 2" xfId="6594"/>
    <cellStyle name="WHead - Style2 2 21 2 2" xfId="6595"/>
    <cellStyle name="WHead - Style2 2 21 3" xfId="6596"/>
    <cellStyle name="WHead - Style2 2 21 4" xfId="6597"/>
    <cellStyle name="WHead - Style2 2 22" xfId="6598"/>
    <cellStyle name="WHead - Style2 2 22 2" xfId="6599"/>
    <cellStyle name="WHead - Style2 2 22 2 2" xfId="6600"/>
    <cellStyle name="WHead - Style2 2 22 3" xfId="6601"/>
    <cellStyle name="WHead - Style2 2 22 4" xfId="6602"/>
    <cellStyle name="WHead - Style2 2 23" xfId="6603"/>
    <cellStyle name="WHead - Style2 2 23 2" xfId="6604"/>
    <cellStyle name="WHead - Style2 2 23 2 2" xfId="6605"/>
    <cellStyle name="WHead - Style2 2 23 3" xfId="6606"/>
    <cellStyle name="WHead - Style2 2 23 4" xfId="6607"/>
    <cellStyle name="WHead - Style2 2 24" xfId="6608"/>
    <cellStyle name="WHead - Style2 2 24 2" xfId="6609"/>
    <cellStyle name="WHead - Style2 2 24 2 2" xfId="6610"/>
    <cellStyle name="WHead - Style2 2 24 3" xfId="6611"/>
    <cellStyle name="WHead - Style2 2 24 4" xfId="6612"/>
    <cellStyle name="WHead - Style2 2 25" xfId="6613"/>
    <cellStyle name="WHead - Style2 2 25 2" xfId="6614"/>
    <cellStyle name="WHead - Style2 2 25 2 2" xfId="6615"/>
    <cellStyle name="WHead - Style2 2 25 3" xfId="6616"/>
    <cellStyle name="WHead - Style2 2 26" xfId="6617"/>
    <cellStyle name="WHead - Style2 2 26 2" xfId="6618"/>
    <cellStyle name="WHead - Style2 2 27" xfId="6619"/>
    <cellStyle name="WHead - Style2 2 27 2" xfId="6620"/>
    <cellStyle name="WHead - Style2 2 28" xfId="6621"/>
    <cellStyle name="WHead - Style2 2 29" xfId="6622"/>
    <cellStyle name="WHead - Style2 2 3" xfId="6623"/>
    <cellStyle name="WHead - Style2 2 3 10" xfId="6624"/>
    <cellStyle name="WHead - Style2 2 3 11" xfId="6625"/>
    <cellStyle name="WHead - Style2 2 3 2" xfId="6626"/>
    <cellStyle name="WHead - Style2 2 3 2 2" xfId="6627"/>
    <cellStyle name="WHead - Style2 2 3 2 2 2" xfId="6628"/>
    <cellStyle name="WHead - Style2 2 3 2 2 2 2" xfId="6629"/>
    <cellStyle name="WHead - Style2 2 3 2 2 3" xfId="6630"/>
    <cellStyle name="WHead - Style2 2 3 2 2 3 2" xfId="6631"/>
    <cellStyle name="WHead - Style2 2 3 2 2 4" xfId="6632"/>
    <cellStyle name="WHead - Style2 2 3 2 3" xfId="6633"/>
    <cellStyle name="WHead - Style2 2 3 2 3 2" xfId="6634"/>
    <cellStyle name="WHead - Style2 2 3 2 4" xfId="6635"/>
    <cellStyle name="WHead - Style2 2 3 2 4 2" xfId="6636"/>
    <cellStyle name="WHead - Style2 2 3 2 5" xfId="6637"/>
    <cellStyle name="WHead - Style2 2 3 2 6" xfId="6638"/>
    <cellStyle name="WHead - Style2 2 3 3" xfId="6639"/>
    <cellStyle name="WHead - Style2 2 3 3 2" xfId="6640"/>
    <cellStyle name="WHead - Style2 2 3 3 2 2" xfId="6641"/>
    <cellStyle name="WHead - Style2 2 3 3 2 2 2" xfId="6642"/>
    <cellStyle name="WHead - Style2 2 3 3 2 3" xfId="6643"/>
    <cellStyle name="WHead - Style2 2 3 3 2 3 2" xfId="6644"/>
    <cellStyle name="WHead - Style2 2 3 3 2 4" xfId="6645"/>
    <cellStyle name="WHead - Style2 2 3 3 3" xfId="6646"/>
    <cellStyle name="WHead - Style2 2 3 3 3 2" xfId="6647"/>
    <cellStyle name="WHead - Style2 2 3 3 4" xfId="6648"/>
    <cellStyle name="WHead - Style2 2 3 3 4 2" xfId="6649"/>
    <cellStyle name="WHead - Style2 2 3 3 5" xfId="6650"/>
    <cellStyle name="WHead - Style2 2 3 3 6" xfId="6651"/>
    <cellStyle name="WHead - Style2 2 3 4" xfId="6652"/>
    <cellStyle name="WHead - Style2 2 3 4 2" xfId="6653"/>
    <cellStyle name="WHead - Style2 2 3 4 2 2" xfId="6654"/>
    <cellStyle name="WHead - Style2 2 3 4 3" xfId="6655"/>
    <cellStyle name="WHead - Style2 2 3 4 3 2" xfId="6656"/>
    <cellStyle name="WHead - Style2 2 3 4 4" xfId="6657"/>
    <cellStyle name="WHead - Style2 2 3 4 5" xfId="6658"/>
    <cellStyle name="WHead - Style2 2 3 5" xfId="6659"/>
    <cellStyle name="WHead - Style2 2 3 5 2" xfId="6660"/>
    <cellStyle name="WHead - Style2 2 3 5 2 2" xfId="6661"/>
    <cellStyle name="WHead - Style2 2 3 5 3" xfId="6662"/>
    <cellStyle name="WHead - Style2 2 3 5 4" xfId="6663"/>
    <cellStyle name="WHead - Style2 2 3 6" xfId="6664"/>
    <cellStyle name="WHead - Style2 2 3 6 2" xfId="6665"/>
    <cellStyle name="WHead - Style2 2 3 6 2 2" xfId="6666"/>
    <cellStyle name="WHead - Style2 2 3 6 3" xfId="6667"/>
    <cellStyle name="WHead - Style2 2 3 6 4" xfId="6668"/>
    <cellStyle name="WHead - Style2 2 3 7" xfId="6669"/>
    <cellStyle name="WHead - Style2 2 3 7 2" xfId="6670"/>
    <cellStyle name="WHead - Style2 2 3 7 2 2" xfId="6671"/>
    <cellStyle name="WHead - Style2 2 3 7 3" xfId="6672"/>
    <cellStyle name="WHead - Style2 2 3 8" xfId="6673"/>
    <cellStyle name="WHead - Style2 2 3 8 2" xfId="6674"/>
    <cellStyle name="WHead - Style2 2 3 9" xfId="6675"/>
    <cellStyle name="WHead - Style2 2 3 9 2" xfId="6676"/>
    <cellStyle name="WHead - Style2 2 4" xfId="6677"/>
    <cellStyle name="WHead - Style2 2 4 10" xfId="6678"/>
    <cellStyle name="WHead - Style2 2 4 11" xfId="6679"/>
    <cellStyle name="WHead - Style2 2 4 2" xfId="6680"/>
    <cellStyle name="WHead - Style2 2 4 2 2" xfId="6681"/>
    <cellStyle name="WHead - Style2 2 4 2 2 2" xfId="6682"/>
    <cellStyle name="WHead - Style2 2 4 2 2 2 2" xfId="6683"/>
    <cellStyle name="WHead - Style2 2 4 2 2 3" xfId="6684"/>
    <cellStyle name="WHead - Style2 2 4 2 2 3 2" xfId="6685"/>
    <cellStyle name="WHead - Style2 2 4 2 2 4" xfId="6686"/>
    <cellStyle name="WHead - Style2 2 4 2 3" xfId="6687"/>
    <cellStyle name="WHead - Style2 2 4 2 3 2" xfId="6688"/>
    <cellStyle name="WHead - Style2 2 4 2 4" xfId="6689"/>
    <cellStyle name="WHead - Style2 2 4 2 4 2" xfId="6690"/>
    <cellStyle name="WHead - Style2 2 4 2 5" xfId="6691"/>
    <cellStyle name="WHead - Style2 2 4 2 6" xfId="6692"/>
    <cellStyle name="WHead - Style2 2 4 3" xfId="6693"/>
    <cellStyle name="WHead - Style2 2 4 3 2" xfId="6694"/>
    <cellStyle name="WHead - Style2 2 4 3 2 2" xfId="6695"/>
    <cellStyle name="WHead - Style2 2 4 3 2 2 2" xfId="6696"/>
    <cellStyle name="WHead - Style2 2 4 3 2 3" xfId="6697"/>
    <cellStyle name="WHead - Style2 2 4 3 2 3 2" xfId="6698"/>
    <cellStyle name="WHead - Style2 2 4 3 2 4" xfId="6699"/>
    <cellStyle name="WHead - Style2 2 4 3 3" xfId="6700"/>
    <cellStyle name="WHead - Style2 2 4 3 3 2" xfId="6701"/>
    <cellStyle name="WHead - Style2 2 4 3 4" xfId="6702"/>
    <cellStyle name="WHead - Style2 2 4 3 4 2" xfId="6703"/>
    <cellStyle name="WHead - Style2 2 4 3 5" xfId="6704"/>
    <cellStyle name="WHead - Style2 2 4 3 6" xfId="6705"/>
    <cellStyle name="WHead - Style2 2 4 4" xfId="6706"/>
    <cellStyle name="WHead - Style2 2 4 4 2" xfId="6707"/>
    <cellStyle name="WHead - Style2 2 4 4 2 2" xfId="6708"/>
    <cellStyle name="WHead - Style2 2 4 4 3" xfId="6709"/>
    <cellStyle name="WHead - Style2 2 4 4 3 2" xfId="6710"/>
    <cellStyle name="WHead - Style2 2 4 4 4" xfId="6711"/>
    <cellStyle name="WHead - Style2 2 4 4 5" xfId="6712"/>
    <cellStyle name="WHead - Style2 2 4 5" xfId="6713"/>
    <cellStyle name="WHead - Style2 2 4 5 2" xfId="6714"/>
    <cellStyle name="WHead - Style2 2 4 5 2 2" xfId="6715"/>
    <cellStyle name="WHead - Style2 2 4 5 3" xfId="6716"/>
    <cellStyle name="WHead - Style2 2 4 5 4" xfId="6717"/>
    <cellStyle name="WHead - Style2 2 4 6" xfId="6718"/>
    <cellStyle name="WHead - Style2 2 4 6 2" xfId="6719"/>
    <cellStyle name="WHead - Style2 2 4 6 2 2" xfId="6720"/>
    <cellStyle name="WHead - Style2 2 4 6 3" xfId="6721"/>
    <cellStyle name="WHead - Style2 2 4 6 4" xfId="6722"/>
    <cellStyle name="WHead - Style2 2 4 7" xfId="6723"/>
    <cellStyle name="WHead - Style2 2 4 7 2" xfId="6724"/>
    <cellStyle name="WHead - Style2 2 4 7 2 2" xfId="6725"/>
    <cellStyle name="WHead - Style2 2 4 7 3" xfId="6726"/>
    <cellStyle name="WHead - Style2 2 4 8" xfId="6727"/>
    <cellStyle name="WHead - Style2 2 4 8 2" xfId="6728"/>
    <cellStyle name="WHead - Style2 2 4 9" xfId="6729"/>
    <cellStyle name="WHead - Style2 2 4 9 2" xfId="6730"/>
    <cellStyle name="WHead - Style2 2 5" xfId="6731"/>
    <cellStyle name="WHead - Style2 2 5 10" xfId="6732"/>
    <cellStyle name="WHead - Style2 2 5 11" xfId="6733"/>
    <cellStyle name="WHead - Style2 2 5 2" xfId="6734"/>
    <cellStyle name="WHead - Style2 2 5 2 2" xfId="6735"/>
    <cellStyle name="WHead - Style2 2 5 2 2 2" xfId="6736"/>
    <cellStyle name="WHead - Style2 2 5 2 3" xfId="6737"/>
    <cellStyle name="WHead - Style2 2 5 2 3 2" xfId="6738"/>
    <cellStyle name="WHead - Style2 2 5 2 4" xfId="6739"/>
    <cellStyle name="WHead - Style2 2 5 2 5" xfId="6740"/>
    <cellStyle name="WHead - Style2 2 5 3" xfId="6741"/>
    <cellStyle name="WHead - Style2 2 5 3 2" xfId="6742"/>
    <cellStyle name="WHead - Style2 2 5 3 2 2" xfId="6743"/>
    <cellStyle name="WHead - Style2 2 5 3 3" xfId="6744"/>
    <cellStyle name="WHead - Style2 2 5 3 4" xfId="6745"/>
    <cellStyle name="WHead - Style2 2 5 4" xfId="6746"/>
    <cellStyle name="WHead - Style2 2 5 4 2" xfId="6747"/>
    <cellStyle name="WHead - Style2 2 5 4 2 2" xfId="6748"/>
    <cellStyle name="WHead - Style2 2 5 4 3" xfId="6749"/>
    <cellStyle name="WHead - Style2 2 5 4 4" xfId="6750"/>
    <cellStyle name="WHead - Style2 2 5 5" xfId="6751"/>
    <cellStyle name="WHead - Style2 2 5 5 2" xfId="6752"/>
    <cellStyle name="WHead - Style2 2 5 5 2 2" xfId="6753"/>
    <cellStyle name="WHead - Style2 2 5 5 3" xfId="6754"/>
    <cellStyle name="WHead - Style2 2 5 5 4" xfId="6755"/>
    <cellStyle name="WHead - Style2 2 5 6" xfId="6756"/>
    <cellStyle name="WHead - Style2 2 5 6 2" xfId="6757"/>
    <cellStyle name="WHead - Style2 2 5 6 2 2" xfId="6758"/>
    <cellStyle name="WHead - Style2 2 5 6 3" xfId="6759"/>
    <cellStyle name="WHead - Style2 2 5 6 4" xfId="6760"/>
    <cellStyle name="WHead - Style2 2 5 7" xfId="6761"/>
    <cellStyle name="WHead - Style2 2 5 7 2" xfId="6762"/>
    <cellStyle name="WHead - Style2 2 5 7 2 2" xfId="6763"/>
    <cellStyle name="WHead - Style2 2 5 7 3" xfId="6764"/>
    <cellStyle name="WHead - Style2 2 5 8" xfId="6765"/>
    <cellStyle name="WHead - Style2 2 5 8 2" xfId="6766"/>
    <cellStyle name="WHead - Style2 2 5 9" xfId="6767"/>
    <cellStyle name="WHead - Style2 2 5 9 2" xfId="6768"/>
    <cellStyle name="WHead - Style2 2 6" xfId="6769"/>
    <cellStyle name="WHead - Style2 2 6 10" xfId="6770"/>
    <cellStyle name="WHead - Style2 2 6 11" xfId="6771"/>
    <cellStyle name="WHead - Style2 2 6 2" xfId="6772"/>
    <cellStyle name="WHead - Style2 2 6 2 2" xfId="6773"/>
    <cellStyle name="WHead - Style2 2 6 2 2 2" xfId="6774"/>
    <cellStyle name="WHead - Style2 2 6 2 3" xfId="6775"/>
    <cellStyle name="WHead - Style2 2 6 2 3 2" xfId="6776"/>
    <cellStyle name="WHead - Style2 2 6 2 4" xfId="6777"/>
    <cellStyle name="WHead - Style2 2 6 2 5" xfId="6778"/>
    <cellStyle name="WHead - Style2 2 6 3" xfId="6779"/>
    <cellStyle name="WHead - Style2 2 6 3 2" xfId="6780"/>
    <cellStyle name="WHead - Style2 2 6 3 2 2" xfId="6781"/>
    <cellStyle name="WHead - Style2 2 6 3 3" xfId="6782"/>
    <cellStyle name="WHead - Style2 2 6 3 4" xfId="6783"/>
    <cellStyle name="WHead - Style2 2 6 4" xfId="6784"/>
    <cellStyle name="WHead - Style2 2 6 4 2" xfId="6785"/>
    <cellStyle name="WHead - Style2 2 6 4 2 2" xfId="6786"/>
    <cellStyle name="WHead - Style2 2 6 4 3" xfId="6787"/>
    <cellStyle name="WHead - Style2 2 6 4 4" xfId="6788"/>
    <cellStyle name="WHead - Style2 2 6 5" xfId="6789"/>
    <cellStyle name="WHead - Style2 2 6 5 2" xfId="6790"/>
    <cellStyle name="WHead - Style2 2 6 5 2 2" xfId="6791"/>
    <cellStyle name="WHead - Style2 2 6 5 3" xfId="6792"/>
    <cellStyle name="WHead - Style2 2 6 5 4" xfId="6793"/>
    <cellStyle name="WHead - Style2 2 6 6" xfId="6794"/>
    <cellStyle name="WHead - Style2 2 6 6 2" xfId="6795"/>
    <cellStyle name="WHead - Style2 2 6 6 2 2" xfId="6796"/>
    <cellStyle name="WHead - Style2 2 6 6 3" xfId="6797"/>
    <cellStyle name="WHead - Style2 2 6 6 4" xfId="6798"/>
    <cellStyle name="WHead - Style2 2 6 7" xfId="6799"/>
    <cellStyle name="WHead - Style2 2 6 7 2" xfId="6800"/>
    <cellStyle name="WHead - Style2 2 6 7 2 2" xfId="6801"/>
    <cellStyle name="WHead - Style2 2 6 7 3" xfId="6802"/>
    <cellStyle name="WHead - Style2 2 6 8" xfId="6803"/>
    <cellStyle name="WHead - Style2 2 6 8 2" xfId="6804"/>
    <cellStyle name="WHead - Style2 2 6 9" xfId="6805"/>
    <cellStyle name="WHead - Style2 2 6 9 2" xfId="6806"/>
    <cellStyle name="WHead - Style2 2 7" xfId="6807"/>
    <cellStyle name="WHead - Style2 2 7 10" xfId="6808"/>
    <cellStyle name="WHead - Style2 2 7 11" xfId="6809"/>
    <cellStyle name="WHead - Style2 2 7 2" xfId="6810"/>
    <cellStyle name="WHead - Style2 2 7 2 2" xfId="6811"/>
    <cellStyle name="WHead - Style2 2 7 2 2 2" xfId="6812"/>
    <cellStyle name="WHead - Style2 2 7 2 3" xfId="6813"/>
    <cellStyle name="WHead - Style2 2 7 2 4" xfId="6814"/>
    <cellStyle name="WHead - Style2 2 7 3" xfId="6815"/>
    <cellStyle name="WHead - Style2 2 7 3 2" xfId="6816"/>
    <cellStyle name="WHead - Style2 2 7 3 2 2" xfId="6817"/>
    <cellStyle name="WHead - Style2 2 7 3 3" xfId="6818"/>
    <cellStyle name="WHead - Style2 2 7 3 4" xfId="6819"/>
    <cellStyle name="WHead - Style2 2 7 4" xfId="6820"/>
    <cellStyle name="WHead - Style2 2 7 4 2" xfId="6821"/>
    <cellStyle name="WHead - Style2 2 7 4 2 2" xfId="6822"/>
    <cellStyle name="WHead - Style2 2 7 4 3" xfId="6823"/>
    <cellStyle name="WHead - Style2 2 7 4 4" xfId="6824"/>
    <cellStyle name="WHead - Style2 2 7 5" xfId="6825"/>
    <cellStyle name="WHead - Style2 2 7 5 2" xfId="6826"/>
    <cellStyle name="WHead - Style2 2 7 5 2 2" xfId="6827"/>
    <cellStyle name="WHead - Style2 2 7 5 3" xfId="6828"/>
    <cellStyle name="WHead - Style2 2 7 5 4" xfId="6829"/>
    <cellStyle name="WHead - Style2 2 7 6" xfId="6830"/>
    <cellStyle name="WHead - Style2 2 7 6 2" xfId="6831"/>
    <cellStyle name="WHead - Style2 2 7 6 2 2" xfId="6832"/>
    <cellStyle name="WHead - Style2 2 7 6 3" xfId="6833"/>
    <cellStyle name="WHead - Style2 2 7 6 4" xfId="6834"/>
    <cellStyle name="WHead - Style2 2 7 7" xfId="6835"/>
    <cellStyle name="WHead - Style2 2 7 7 2" xfId="6836"/>
    <cellStyle name="WHead - Style2 2 7 8" xfId="6837"/>
    <cellStyle name="WHead - Style2 2 7 8 2" xfId="6838"/>
    <cellStyle name="WHead - Style2 2 7 9" xfId="6839"/>
    <cellStyle name="WHead - Style2 2 7 9 2" xfId="6840"/>
    <cellStyle name="WHead - Style2 2 8" xfId="6841"/>
    <cellStyle name="WHead - Style2 2 8 10" xfId="6842"/>
    <cellStyle name="WHead - Style2 2 8 2" xfId="6843"/>
    <cellStyle name="WHead - Style2 2 8 2 2" xfId="6844"/>
    <cellStyle name="WHead - Style2 2 8 2 2 2" xfId="6845"/>
    <cellStyle name="WHead - Style2 2 8 2 3" xfId="6846"/>
    <cellStyle name="WHead - Style2 2 8 2 4" xfId="6847"/>
    <cellStyle name="WHead - Style2 2 8 3" xfId="6848"/>
    <cellStyle name="WHead - Style2 2 8 3 2" xfId="6849"/>
    <cellStyle name="WHead - Style2 2 8 3 2 2" xfId="6850"/>
    <cellStyle name="WHead - Style2 2 8 3 3" xfId="6851"/>
    <cellStyle name="WHead - Style2 2 8 3 4" xfId="6852"/>
    <cellStyle name="WHead - Style2 2 8 4" xfId="6853"/>
    <cellStyle name="WHead - Style2 2 8 4 2" xfId="6854"/>
    <cellStyle name="WHead - Style2 2 8 4 2 2" xfId="6855"/>
    <cellStyle name="WHead - Style2 2 8 4 3" xfId="6856"/>
    <cellStyle name="WHead - Style2 2 8 4 4" xfId="6857"/>
    <cellStyle name="WHead - Style2 2 8 5" xfId="6858"/>
    <cellStyle name="WHead - Style2 2 8 5 2" xfId="6859"/>
    <cellStyle name="WHead - Style2 2 8 5 2 2" xfId="6860"/>
    <cellStyle name="WHead - Style2 2 8 5 3" xfId="6861"/>
    <cellStyle name="WHead - Style2 2 8 5 4" xfId="6862"/>
    <cellStyle name="WHead - Style2 2 8 6" xfId="6863"/>
    <cellStyle name="WHead - Style2 2 8 6 2" xfId="6864"/>
    <cellStyle name="WHead - Style2 2 8 6 2 2" xfId="6865"/>
    <cellStyle name="WHead - Style2 2 8 6 3" xfId="6866"/>
    <cellStyle name="WHead - Style2 2 8 6 4" xfId="6867"/>
    <cellStyle name="WHead - Style2 2 8 7" xfId="6868"/>
    <cellStyle name="WHead - Style2 2 8 7 2" xfId="6869"/>
    <cellStyle name="WHead - Style2 2 8 8" xfId="6870"/>
    <cellStyle name="WHead - Style2 2 8 8 2" xfId="6871"/>
    <cellStyle name="WHead - Style2 2 8 9" xfId="6872"/>
    <cellStyle name="WHead - Style2 2 9" xfId="6873"/>
    <cellStyle name="WHead - Style2 2 9 10" xfId="6874"/>
    <cellStyle name="WHead - Style2 2 9 2" xfId="6875"/>
    <cellStyle name="WHead - Style2 2 9 2 2" xfId="6876"/>
    <cellStyle name="WHead - Style2 2 9 2 2 2" xfId="6877"/>
    <cellStyle name="WHead - Style2 2 9 2 3" xfId="6878"/>
    <cellStyle name="WHead - Style2 2 9 2 4" xfId="6879"/>
    <cellStyle name="WHead - Style2 2 9 3" xfId="6880"/>
    <cellStyle name="WHead - Style2 2 9 3 2" xfId="6881"/>
    <cellStyle name="WHead - Style2 2 9 3 2 2" xfId="6882"/>
    <cellStyle name="WHead - Style2 2 9 3 3" xfId="6883"/>
    <cellStyle name="WHead - Style2 2 9 3 4" xfId="6884"/>
    <cellStyle name="WHead - Style2 2 9 4" xfId="6885"/>
    <cellStyle name="WHead - Style2 2 9 4 2" xfId="6886"/>
    <cellStyle name="WHead - Style2 2 9 4 2 2" xfId="6887"/>
    <cellStyle name="WHead - Style2 2 9 4 3" xfId="6888"/>
    <cellStyle name="WHead - Style2 2 9 4 4" xfId="6889"/>
    <cellStyle name="WHead - Style2 2 9 5" xfId="6890"/>
    <cellStyle name="WHead - Style2 2 9 5 2" xfId="6891"/>
    <cellStyle name="WHead - Style2 2 9 5 2 2" xfId="6892"/>
    <cellStyle name="WHead - Style2 2 9 5 3" xfId="6893"/>
    <cellStyle name="WHead - Style2 2 9 5 4" xfId="6894"/>
    <cellStyle name="WHead - Style2 2 9 6" xfId="6895"/>
    <cellStyle name="WHead - Style2 2 9 6 2" xfId="6896"/>
    <cellStyle name="WHead - Style2 2 9 6 2 2" xfId="6897"/>
    <cellStyle name="WHead - Style2 2 9 6 3" xfId="6898"/>
    <cellStyle name="WHead - Style2 2 9 6 4" xfId="6899"/>
    <cellStyle name="WHead - Style2 2 9 7" xfId="6900"/>
    <cellStyle name="WHead - Style2 2 9 7 2" xfId="6901"/>
    <cellStyle name="WHead - Style2 2 9 8" xfId="6902"/>
    <cellStyle name="WHead - Style2 2 9 8 2" xfId="6903"/>
    <cellStyle name="WHead - Style2 2 9 9" xfId="6904"/>
    <cellStyle name="WHead - Style2 20" xfId="6905"/>
    <cellStyle name="WHead - Style2 20 10" xfId="6906"/>
    <cellStyle name="WHead - Style2 20 2" xfId="6907"/>
    <cellStyle name="WHead - Style2 20 2 2" xfId="6908"/>
    <cellStyle name="WHead - Style2 20 2 2 2" xfId="6909"/>
    <cellStyle name="WHead - Style2 20 2 3" xfId="6910"/>
    <cellStyle name="WHead - Style2 20 2 4" xfId="6911"/>
    <cellStyle name="WHead - Style2 20 3" xfId="6912"/>
    <cellStyle name="WHead - Style2 20 3 2" xfId="6913"/>
    <cellStyle name="WHead - Style2 20 3 2 2" xfId="6914"/>
    <cellStyle name="WHead - Style2 20 3 3" xfId="6915"/>
    <cellStyle name="WHead - Style2 20 3 4" xfId="6916"/>
    <cellStyle name="WHead - Style2 20 4" xfId="6917"/>
    <cellStyle name="WHead - Style2 20 4 2" xfId="6918"/>
    <cellStyle name="WHead - Style2 20 4 2 2" xfId="6919"/>
    <cellStyle name="WHead - Style2 20 4 3" xfId="6920"/>
    <cellStyle name="WHead - Style2 20 4 4" xfId="6921"/>
    <cellStyle name="WHead - Style2 20 5" xfId="6922"/>
    <cellStyle name="WHead - Style2 20 5 2" xfId="6923"/>
    <cellStyle name="WHead - Style2 20 5 2 2" xfId="6924"/>
    <cellStyle name="WHead - Style2 20 5 3" xfId="6925"/>
    <cellStyle name="WHead - Style2 20 5 4" xfId="6926"/>
    <cellStyle name="WHead - Style2 20 6" xfId="6927"/>
    <cellStyle name="WHead - Style2 20 6 2" xfId="6928"/>
    <cellStyle name="WHead - Style2 20 6 2 2" xfId="6929"/>
    <cellStyle name="WHead - Style2 20 6 3" xfId="6930"/>
    <cellStyle name="WHead - Style2 20 6 4" xfId="6931"/>
    <cellStyle name="WHead - Style2 20 7" xfId="6932"/>
    <cellStyle name="WHead - Style2 20 7 2" xfId="6933"/>
    <cellStyle name="WHead - Style2 20 8" xfId="6934"/>
    <cellStyle name="WHead - Style2 20 8 2" xfId="6935"/>
    <cellStyle name="WHead - Style2 20 9" xfId="6936"/>
    <cellStyle name="WHead - Style2 21" xfId="6937"/>
    <cellStyle name="WHead - Style2 21 10" xfId="6938"/>
    <cellStyle name="WHead - Style2 21 2" xfId="6939"/>
    <cellStyle name="WHead - Style2 21 2 2" xfId="6940"/>
    <cellStyle name="WHead - Style2 21 2 2 2" xfId="6941"/>
    <cellStyle name="WHead - Style2 21 2 3" xfId="6942"/>
    <cellStyle name="WHead - Style2 21 2 4" xfId="6943"/>
    <cellStyle name="WHead - Style2 21 3" xfId="6944"/>
    <cellStyle name="WHead - Style2 21 3 2" xfId="6945"/>
    <cellStyle name="WHead - Style2 21 3 2 2" xfId="6946"/>
    <cellStyle name="WHead - Style2 21 3 3" xfId="6947"/>
    <cellStyle name="WHead - Style2 21 3 4" xfId="6948"/>
    <cellStyle name="WHead - Style2 21 4" xfId="6949"/>
    <cellStyle name="WHead - Style2 21 4 2" xfId="6950"/>
    <cellStyle name="WHead - Style2 21 4 2 2" xfId="6951"/>
    <cellStyle name="WHead - Style2 21 4 3" xfId="6952"/>
    <cellStyle name="WHead - Style2 21 4 4" xfId="6953"/>
    <cellStyle name="WHead - Style2 21 5" xfId="6954"/>
    <cellStyle name="WHead - Style2 21 5 2" xfId="6955"/>
    <cellStyle name="WHead - Style2 21 5 2 2" xfId="6956"/>
    <cellStyle name="WHead - Style2 21 5 3" xfId="6957"/>
    <cellStyle name="WHead - Style2 21 5 4" xfId="6958"/>
    <cellStyle name="WHead - Style2 21 6" xfId="6959"/>
    <cellStyle name="WHead - Style2 21 6 2" xfId="6960"/>
    <cellStyle name="WHead - Style2 21 6 2 2" xfId="6961"/>
    <cellStyle name="WHead - Style2 21 6 3" xfId="6962"/>
    <cellStyle name="WHead - Style2 21 6 4" xfId="6963"/>
    <cellStyle name="WHead - Style2 21 7" xfId="6964"/>
    <cellStyle name="WHead - Style2 21 7 2" xfId="6965"/>
    <cellStyle name="WHead - Style2 21 8" xfId="6966"/>
    <cellStyle name="WHead - Style2 21 8 2" xfId="6967"/>
    <cellStyle name="WHead - Style2 21 9" xfId="6968"/>
    <cellStyle name="WHead - Style2 22" xfId="6969"/>
    <cellStyle name="WHead - Style2 22 10" xfId="6970"/>
    <cellStyle name="WHead - Style2 22 2" xfId="6971"/>
    <cellStyle name="WHead - Style2 22 2 2" xfId="6972"/>
    <cellStyle name="WHead - Style2 22 2 2 2" xfId="6973"/>
    <cellStyle name="WHead - Style2 22 2 3" xfId="6974"/>
    <cellStyle name="WHead - Style2 22 2 4" xfId="6975"/>
    <cellStyle name="WHead - Style2 22 3" xfId="6976"/>
    <cellStyle name="WHead - Style2 22 3 2" xfId="6977"/>
    <cellStyle name="WHead - Style2 22 3 2 2" xfId="6978"/>
    <cellStyle name="WHead - Style2 22 3 3" xfId="6979"/>
    <cellStyle name="WHead - Style2 22 3 4" xfId="6980"/>
    <cellStyle name="WHead - Style2 22 4" xfId="6981"/>
    <cellStyle name="WHead - Style2 22 4 2" xfId="6982"/>
    <cellStyle name="WHead - Style2 22 4 2 2" xfId="6983"/>
    <cellStyle name="WHead - Style2 22 4 3" xfId="6984"/>
    <cellStyle name="WHead - Style2 22 4 4" xfId="6985"/>
    <cellStyle name="WHead - Style2 22 5" xfId="6986"/>
    <cellStyle name="WHead - Style2 22 5 2" xfId="6987"/>
    <cellStyle name="WHead - Style2 22 5 2 2" xfId="6988"/>
    <cellStyle name="WHead - Style2 22 5 3" xfId="6989"/>
    <cellStyle name="WHead - Style2 22 5 4" xfId="6990"/>
    <cellStyle name="WHead - Style2 22 6" xfId="6991"/>
    <cellStyle name="WHead - Style2 22 6 2" xfId="6992"/>
    <cellStyle name="WHead - Style2 22 6 2 2" xfId="6993"/>
    <cellStyle name="WHead - Style2 22 6 3" xfId="6994"/>
    <cellStyle name="WHead - Style2 22 6 4" xfId="6995"/>
    <cellStyle name="WHead - Style2 22 7" xfId="6996"/>
    <cellStyle name="WHead - Style2 22 7 2" xfId="6997"/>
    <cellStyle name="WHead - Style2 22 8" xfId="6998"/>
    <cellStyle name="WHead - Style2 22 8 2" xfId="6999"/>
    <cellStyle name="WHead - Style2 22 9" xfId="7000"/>
    <cellStyle name="WHead - Style2 23" xfId="7001"/>
    <cellStyle name="WHead - Style2 23 10" xfId="7002"/>
    <cellStyle name="WHead - Style2 23 2" xfId="7003"/>
    <cellStyle name="WHead - Style2 23 2 2" xfId="7004"/>
    <cellStyle name="WHead - Style2 23 2 2 2" xfId="7005"/>
    <cellStyle name="WHead - Style2 23 2 3" xfId="7006"/>
    <cellStyle name="WHead - Style2 23 2 4" xfId="7007"/>
    <cellStyle name="WHead - Style2 23 3" xfId="7008"/>
    <cellStyle name="WHead - Style2 23 3 2" xfId="7009"/>
    <cellStyle name="WHead - Style2 23 3 2 2" xfId="7010"/>
    <cellStyle name="WHead - Style2 23 3 3" xfId="7011"/>
    <cellStyle name="WHead - Style2 23 3 4" xfId="7012"/>
    <cellStyle name="WHead - Style2 23 4" xfId="7013"/>
    <cellStyle name="WHead - Style2 23 4 2" xfId="7014"/>
    <cellStyle name="WHead - Style2 23 4 2 2" xfId="7015"/>
    <cellStyle name="WHead - Style2 23 4 3" xfId="7016"/>
    <cellStyle name="WHead - Style2 23 4 4" xfId="7017"/>
    <cellStyle name="WHead - Style2 23 5" xfId="7018"/>
    <cellStyle name="WHead - Style2 23 5 2" xfId="7019"/>
    <cellStyle name="WHead - Style2 23 5 2 2" xfId="7020"/>
    <cellStyle name="WHead - Style2 23 5 3" xfId="7021"/>
    <cellStyle name="WHead - Style2 23 5 4" xfId="7022"/>
    <cellStyle name="WHead - Style2 23 6" xfId="7023"/>
    <cellStyle name="WHead - Style2 23 6 2" xfId="7024"/>
    <cellStyle name="WHead - Style2 23 6 2 2" xfId="7025"/>
    <cellStyle name="WHead - Style2 23 6 3" xfId="7026"/>
    <cellStyle name="WHead - Style2 23 6 4" xfId="7027"/>
    <cellStyle name="WHead - Style2 23 7" xfId="7028"/>
    <cellStyle name="WHead - Style2 23 7 2" xfId="7029"/>
    <cellStyle name="WHead - Style2 23 8" xfId="7030"/>
    <cellStyle name="WHead - Style2 23 8 2" xfId="7031"/>
    <cellStyle name="WHead - Style2 23 9" xfId="7032"/>
    <cellStyle name="WHead - Style2 24" xfId="7033"/>
    <cellStyle name="WHead - Style2 24 10" xfId="7034"/>
    <cellStyle name="WHead - Style2 24 2" xfId="7035"/>
    <cellStyle name="WHead - Style2 24 2 2" xfId="7036"/>
    <cellStyle name="WHead - Style2 24 2 2 2" xfId="7037"/>
    <cellStyle name="WHead - Style2 24 2 3" xfId="7038"/>
    <cellStyle name="WHead - Style2 24 2 4" xfId="7039"/>
    <cellStyle name="WHead - Style2 24 3" xfId="7040"/>
    <cellStyle name="WHead - Style2 24 3 2" xfId="7041"/>
    <cellStyle name="WHead - Style2 24 3 2 2" xfId="7042"/>
    <cellStyle name="WHead - Style2 24 3 3" xfId="7043"/>
    <cellStyle name="WHead - Style2 24 3 4" xfId="7044"/>
    <cellStyle name="WHead - Style2 24 4" xfId="7045"/>
    <cellStyle name="WHead - Style2 24 4 2" xfId="7046"/>
    <cellStyle name="WHead - Style2 24 4 2 2" xfId="7047"/>
    <cellStyle name="WHead - Style2 24 4 3" xfId="7048"/>
    <cellStyle name="WHead - Style2 24 4 4" xfId="7049"/>
    <cellStyle name="WHead - Style2 24 5" xfId="7050"/>
    <cellStyle name="WHead - Style2 24 5 2" xfId="7051"/>
    <cellStyle name="WHead - Style2 24 5 2 2" xfId="7052"/>
    <cellStyle name="WHead - Style2 24 5 3" xfId="7053"/>
    <cellStyle name="WHead - Style2 24 5 4" xfId="7054"/>
    <cellStyle name="WHead - Style2 24 6" xfId="7055"/>
    <cellStyle name="WHead - Style2 24 6 2" xfId="7056"/>
    <cellStyle name="WHead - Style2 24 6 2 2" xfId="7057"/>
    <cellStyle name="WHead - Style2 24 6 3" xfId="7058"/>
    <cellStyle name="WHead - Style2 24 6 4" xfId="7059"/>
    <cellStyle name="WHead - Style2 24 7" xfId="7060"/>
    <cellStyle name="WHead - Style2 24 7 2" xfId="7061"/>
    <cellStyle name="WHead - Style2 24 8" xfId="7062"/>
    <cellStyle name="WHead - Style2 24 8 2" xfId="7063"/>
    <cellStyle name="WHead - Style2 24 9" xfId="7064"/>
    <cellStyle name="WHead - Style2 25" xfId="7065"/>
    <cellStyle name="WHead - Style2 25 10" xfId="7066"/>
    <cellStyle name="WHead - Style2 25 2" xfId="7067"/>
    <cellStyle name="WHead - Style2 25 2 2" xfId="7068"/>
    <cellStyle name="WHead - Style2 25 2 2 2" xfId="7069"/>
    <cellStyle name="WHead - Style2 25 2 3" xfId="7070"/>
    <cellStyle name="WHead - Style2 25 2 4" xfId="7071"/>
    <cellStyle name="WHead - Style2 25 3" xfId="7072"/>
    <cellStyle name="WHead - Style2 25 3 2" xfId="7073"/>
    <cellStyle name="WHead - Style2 25 3 2 2" xfId="7074"/>
    <cellStyle name="WHead - Style2 25 3 3" xfId="7075"/>
    <cellStyle name="WHead - Style2 25 3 4" xfId="7076"/>
    <cellStyle name="WHead - Style2 25 4" xfId="7077"/>
    <cellStyle name="WHead - Style2 25 4 2" xfId="7078"/>
    <cellStyle name="WHead - Style2 25 4 2 2" xfId="7079"/>
    <cellStyle name="WHead - Style2 25 4 3" xfId="7080"/>
    <cellStyle name="WHead - Style2 25 4 4" xfId="7081"/>
    <cellStyle name="WHead - Style2 25 5" xfId="7082"/>
    <cellStyle name="WHead - Style2 25 5 2" xfId="7083"/>
    <cellStyle name="WHead - Style2 25 5 2 2" xfId="7084"/>
    <cellStyle name="WHead - Style2 25 5 3" xfId="7085"/>
    <cellStyle name="WHead - Style2 25 5 4" xfId="7086"/>
    <cellStyle name="WHead - Style2 25 6" xfId="7087"/>
    <cellStyle name="WHead - Style2 25 6 2" xfId="7088"/>
    <cellStyle name="WHead - Style2 25 6 2 2" xfId="7089"/>
    <cellStyle name="WHead - Style2 25 6 3" xfId="7090"/>
    <cellStyle name="WHead - Style2 25 6 4" xfId="7091"/>
    <cellStyle name="WHead - Style2 25 7" xfId="7092"/>
    <cellStyle name="WHead - Style2 25 7 2" xfId="7093"/>
    <cellStyle name="WHead - Style2 25 8" xfId="7094"/>
    <cellStyle name="WHead - Style2 25 8 2" xfId="7095"/>
    <cellStyle name="WHead - Style2 25 9" xfId="7096"/>
    <cellStyle name="WHead - Style2 26" xfId="7097"/>
    <cellStyle name="WHead - Style2 26 10" xfId="7098"/>
    <cellStyle name="WHead - Style2 26 2" xfId="7099"/>
    <cellStyle name="WHead - Style2 26 2 2" xfId="7100"/>
    <cellStyle name="WHead - Style2 26 2 2 2" xfId="7101"/>
    <cellStyle name="WHead - Style2 26 2 3" xfId="7102"/>
    <cellStyle name="WHead - Style2 26 2 4" xfId="7103"/>
    <cellStyle name="WHead - Style2 26 3" xfId="7104"/>
    <cellStyle name="WHead - Style2 26 3 2" xfId="7105"/>
    <cellStyle name="WHead - Style2 26 3 2 2" xfId="7106"/>
    <cellStyle name="WHead - Style2 26 3 3" xfId="7107"/>
    <cellStyle name="WHead - Style2 26 3 4" xfId="7108"/>
    <cellStyle name="WHead - Style2 26 4" xfId="7109"/>
    <cellStyle name="WHead - Style2 26 4 2" xfId="7110"/>
    <cellStyle name="WHead - Style2 26 4 2 2" xfId="7111"/>
    <cellStyle name="WHead - Style2 26 4 3" xfId="7112"/>
    <cellStyle name="WHead - Style2 26 4 4" xfId="7113"/>
    <cellStyle name="WHead - Style2 26 5" xfId="7114"/>
    <cellStyle name="WHead - Style2 26 5 2" xfId="7115"/>
    <cellStyle name="WHead - Style2 26 5 2 2" xfId="7116"/>
    <cellStyle name="WHead - Style2 26 5 3" xfId="7117"/>
    <cellStyle name="WHead - Style2 26 5 4" xfId="7118"/>
    <cellStyle name="WHead - Style2 26 6" xfId="7119"/>
    <cellStyle name="WHead - Style2 26 6 2" xfId="7120"/>
    <cellStyle name="WHead - Style2 26 6 2 2" xfId="7121"/>
    <cellStyle name="WHead - Style2 26 6 3" xfId="7122"/>
    <cellStyle name="WHead - Style2 26 6 4" xfId="7123"/>
    <cellStyle name="WHead - Style2 26 7" xfId="7124"/>
    <cellStyle name="WHead - Style2 26 7 2" xfId="7125"/>
    <cellStyle name="WHead - Style2 26 8" xfId="7126"/>
    <cellStyle name="WHead - Style2 26 8 2" xfId="7127"/>
    <cellStyle name="WHead - Style2 26 9" xfId="7128"/>
    <cellStyle name="WHead - Style2 27" xfId="7129"/>
    <cellStyle name="WHead - Style2 27 10" xfId="7130"/>
    <cellStyle name="WHead - Style2 27 2" xfId="7131"/>
    <cellStyle name="WHead - Style2 27 2 2" xfId="7132"/>
    <cellStyle name="WHead - Style2 27 2 2 2" xfId="7133"/>
    <cellStyle name="WHead - Style2 27 2 3" xfId="7134"/>
    <cellStyle name="WHead - Style2 27 2 4" xfId="7135"/>
    <cellStyle name="WHead - Style2 27 3" xfId="7136"/>
    <cellStyle name="WHead - Style2 27 3 2" xfId="7137"/>
    <cellStyle name="WHead - Style2 27 3 2 2" xfId="7138"/>
    <cellStyle name="WHead - Style2 27 3 3" xfId="7139"/>
    <cellStyle name="WHead - Style2 27 3 4" xfId="7140"/>
    <cellStyle name="WHead - Style2 27 4" xfId="7141"/>
    <cellStyle name="WHead - Style2 27 4 2" xfId="7142"/>
    <cellStyle name="WHead - Style2 27 4 2 2" xfId="7143"/>
    <cellStyle name="WHead - Style2 27 4 3" xfId="7144"/>
    <cellStyle name="WHead - Style2 27 4 4" xfId="7145"/>
    <cellStyle name="WHead - Style2 27 5" xfId="7146"/>
    <cellStyle name="WHead - Style2 27 5 2" xfId="7147"/>
    <cellStyle name="WHead - Style2 27 5 2 2" xfId="7148"/>
    <cellStyle name="WHead - Style2 27 5 3" xfId="7149"/>
    <cellStyle name="WHead - Style2 27 5 4" xfId="7150"/>
    <cellStyle name="WHead - Style2 27 6" xfId="7151"/>
    <cellStyle name="WHead - Style2 27 6 2" xfId="7152"/>
    <cellStyle name="WHead - Style2 27 6 2 2" xfId="7153"/>
    <cellStyle name="WHead - Style2 27 6 3" xfId="7154"/>
    <cellStyle name="WHead - Style2 27 6 4" xfId="7155"/>
    <cellStyle name="WHead - Style2 27 7" xfId="7156"/>
    <cellStyle name="WHead - Style2 27 7 2" xfId="7157"/>
    <cellStyle name="WHead - Style2 27 8" xfId="7158"/>
    <cellStyle name="WHead - Style2 27 8 2" xfId="7159"/>
    <cellStyle name="WHead - Style2 27 9" xfId="7160"/>
    <cellStyle name="WHead - Style2 28" xfId="7161"/>
    <cellStyle name="WHead - Style2 28 10" xfId="7162"/>
    <cellStyle name="WHead - Style2 28 2" xfId="7163"/>
    <cellStyle name="WHead - Style2 28 2 2" xfId="7164"/>
    <cellStyle name="WHead - Style2 28 2 2 2" xfId="7165"/>
    <cellStyle name="WHead - Style2 28 2 3" xfId="7166"/>
    <cellStyle name="WHead - Style2 28 2 4" xfId="7167"/>
    <cellStyle name="WHead - Style2 28 3" xfId="7168"/>
    <cellStyle name="WHead - Style2 28 3 2" xfId="7169"/>
    <cellStyle name="WHead - Style2 28 3 2 2" xfId="7170"/>
    <cellStyle name="WHead - Style2 28 3 3" xfId="7171"/>
    <cellStyle name="WHead - Style2 28 3 4" xfId="7172"/>
    <cellStyle name="WHead - Style2 28 4" xfId="7173"/>
    <cellStyle name="WHead - Style2 28 4 2" xfId="7174"/>
    <cellStyle name="WHead - Style2 28 4 2 2" xfId="7175"/>
    <cellStyle name="WHead - Style2 28 4 3" xfId="7176"/>
    <cellStyle name="WHead - Style2 28 4 4" xfId="7177"/>
    <cellStyle name="WHead - Style2 28 5" xfId="7178"/>
    <cellStyle name="WHead - Style2 28 5 2" xfId="7179"/>
    <cellStyle name="WHead - Style2 28 5 2 2" xfId="7180"/>
    <cellStyle name="WHead - Style2 28 5 3" xfId="7181"/>
    <cellStyle name="WHead - Style2 28 5 4" xfId="7182"/>
    <cellStyle name="WHead - Style2 28 6" xfId="7183"/>
    <cellStyle name="WHead - Style2 28 6 2" xfId="7184"/>
    <cellStyle name="WHead - Style2 28 6 2 2" xfId="7185"/>
    <cellStyle name="WHead - Style2 28 6 3" xfId="7186"/>
    <cellStyle name="WHead - Style2 28 6 4" xfId="7187"/>
    <cellStyle name="WHead - Style2 28 7" xfId="7188"/>
    <cellStyle name="WHead - Style2 28 7 2" xfId="7189"/>
    <cellStyle name="WHead - Style2 28 8" xfId="7190"/>
    <cellStyle name="WHead - Style2 28 8 2" xfId="7191"/>
    <cellStyle name="WHead - Style2 28 9" xfId="7192"/>
    <cellStyle name="WHead - Style2 29" xfId="7193"/>
    <cellStyle name="WHead - Style2 29 10" xfId="7194"/>
    <cellStyle name="WHead - Style2 29 2" xfId="7195"/>
    <cellStyle name="WHead - Style2 29 2 2" xfId="7196"/>
    <cellStyle name="WHead - Style2 29 2 2 2" xfId="7197"/>
    <cellStyle name="WHead - Style2 29 2 3" xfId="7198"/>
    <cellStyle name="WHead - Style2 29 2 4" xfId="7199"/>
    <cellStyle name="WHead - Style2 29 3" xfId="7200"/>
    <cellStyle name="WHead - Style2 29 3 2" xfId="7201"/>
    <cellStyle name="WHead - Style2 29 3 2 2" xfId="7202"/>
    <cellStyle name="WHead - Style2 29 3 3" xfId="7203"/>
    <cellStyle name="WHead - Style2 29 3 4" xfId="7204"/>
    <cellStyle name="WHead - Style2 29 4" xfId="7205"/>
    <cellStyle name="WHead - Style2 29 4 2" xfId="7206"/>
    <cellStyle name="WHead - Style2 29 4 2 2" xfId="7207"/>
    <cellStyle name="WHead - Style2 29 4 3" xfId="7208"/>
    <cellStyle name="WHead - Style2 29 4 4" xfId="7209"/>
    <cellStyle name="WHead - Style2 29 5" xfId="7210"/>
    <cellStyle name="WHead - Style2 29 5 2" xfId="7211"/>
    <cellStyle name="WHead - Style2 29 5 2 2" xfId="7212"/>
    <cellStyle name="WHead - Style2 29 5 3" xfId="7213"/>
    <cellStyle name="WHead - Style2 29 5 4" xfId="7214"/>
    <cellStyle name="WHead - Style2 29 6" xfId="7215"/>
    <cellStyle name="WHead - Style2 29 6 2" xfId="7216"/>
    <cellStyle name="WHead - Style2 29 6 2 2" xfId="7217"/>
    <cellStyle name="WHead - Style2 29 6 3" xfId="7218"/>
    <cellStyle name="WHead - Style2 29 6 4" xfId="7219"/>
    <cellStyle name="WHead - Style2 29 7" xfId="7220"/>
    <cellStyle name="WHead - Style2 29 7 2" xfId="7221"/>
    <cellStyle name="WHead - Style2 29 8" xfId="7222"/>
    <cellStyle name="WHead - Style2 29 8 2" xfId="7223"/>
    <cellStyle name="WHead - Style2 29 9" xfId="7224"/>
    <cellStyle name="WHead - Style2 3" xfId="7225"/>
    <cellStyle name="WHead - Style2 3 10" xfId="7226"/>
    <cellStyle name="WHead - Style2 3 10 10" xfId="7227"/>
    <cellStyle name="WHead - Style2 3 10 2" xfId="7228"/>
    <cellStyle name="WHead - Style2 3 10 2 2" xfId="7229"/>
    <cellStyle name="WHead - Style2 3 10 2 2 2" xfId="7230"/>
    <cellStyle name="WHead - Style2 3 10 2 3" xfId="7231"/>
    <cellStyle name="WHead - Style2 3 10 2 4" xfId="7232"/>
    <cellStyle name="WHead - Style2 3 10 3" xfId="7233"/>
    <cellStyle name="WHead - Style2 3 10 3 2" xfId="7234"/>
    <cellStyle name="WHead - Style2 3 10 3 2 2" xfId="7235"/>
    <cellStyle name="WHead - Style2 3 10 3 3" xfId="7236"/>
    <cellStyle name="WHead - Style2 3 10 3 4" xfId="7237"/>
    <cellStyle name="WHead - Style2 3 10 4" xfId="7238"/>
    <cellStyle name="WHead - Style2 3 10 4 2" xfId="7239"/>
    <cellStyle name="WHead - Style2 3 10 4 2 2" xfId="7240"/>
    <cellStyle name="WHead - Style2 3 10 4 3" xfId="7241"/>
    <cellStyle name="WHead - Style2 3 10 4 4" xfId="7242"/>
    <cellStyle name="WHead - Style2 3 10 5" xfId="7243"/>
    <cellStyle name="WHead - Style2 3 10 5 2" xfId="7244"/>
    <cellStyle name="WHead - Style2 3 10 5 2 2" xfId="7245"/>
    <cellStyle name="WHead - Style2 3 10 5 3" xfId="7246"/>
    <cellStyle name="WHead - Style2 3 10 5 4" xfId="7247"/>
    <cellStyle name="WHead - Style2 3 10 6" xfId="7248"/>
    <cellStyle name="WHead - Style2 3 10 6 2" xfId="7249"/>
    <cellStyle name="WHead - Style2 3 10 6 2 2" xfId="7250"/>
    <cellStyle name="WHead - Style2 3 10 6 3" xfId="7251"/>
    <cellStyle name="WHead - Style2 3 10 6 4" xfId="7252"/>
    <cellStyle name="WHead - Style2 3 10 7" xfId="7253"/>
    <cellStyle name="WHead - Style2 3 10 7 2" xfId="7254"/>
    <cellStyle name="WHead - Style2 3 10 8" xfId="7255"/>
    <cellStyle name="WHead - Style2 3 10 8 2" xfId="7256"/>
    <cellStyle name="WHead - Style2 3 10 9" xfId="7257"/>
    <cellStyle name="WHead - Style2 3 11" xfId="7258"/>
    <cellStyle name="WHead - Style2 3 11 10" xfId="7259"/>
    <cellStyle name="WHead - Style2 3 11 2" xfId="7260"/>
    <cellStyle name="WHead - Style2 3 11 2 2" xfId="7261"/>
    <cellStyle name="WHead - Style2 3 11 2 2 2" xfId="7262"/>
    <cellStyle name="WHead - Style2 3 11 2 3" xfId="7263"/>
    <cellStyle name="WHead - Style2 3 11 2 4" xfId="7264"/>
    <cellStyle name="WHead - Style2 3 11 3" xfId="7265"/>
    <cellStyle name="WHead - Style2 3 11 3 2" xfId="7266"/>
    <cellStyle name="WHead - Style2 3 11 3 2 2" xfId="7267"/>
    <cellStyle name="WHead - Style2 3 11 3 3" xfId="7268"/>
    <cellStyle name="WHead - Style2 3 11 3 4" xfId="7269"/>
    <cellStyle name="WHead - Style2 3 11 4" xfId="7270"/>
    <cellStyle name="WHead - Style2 3 11 4 2" xfId="7271"/>
    <cellStyle name="WHead - Style2 3 11 4 2 2" xfId="7272"/>
    <cellStyle name="WHead - Style2 3 11 4 3" xfId="7273"/>
    <cellStyle name="WHead - Style2 3 11 4 4" xfId="7274"/>
    <cellStyle name="WHead - Style2 3 11 5" xfId="7275"/>
    <cellStyle name="WHead - Style2 3 11 5 2" xfId="7276"/>
    <cellStyle name="WHead - Style2 3 11 5 2 2" xfId="7277"/>
    <cellStyle name="WHead - Style2 3 11 5 3" xfId="7278"/>
    <cellStyle name="WHead - Style2 3 11 5 4" xfId="7279"/>
    <cellStyle name="WHead - Style2 3 11 6" xfId="7280"/>
    <cellStyle name="WHead - Style2 3 11 6 2" xfId="7281"/>
    <cellStyle name="WHead - Style2 3 11 6 2 2" xfId="7282"/>
    <cellStyle name="WHead - Style2 3 11 6 3" xfId="7283"/>
    <cellStyle name="WHead - Style2 3 11 6 4" xfId="7284"/>
    <cellStyle name="WHead - Style2 3 11 7" xfId="7285"/>
    <cellStyle name="WHead - Style2 3 11 7 2" xfId="7286"/>
    <cellStyle name="WHead - Style2 3 11 8" xfId="7287"/>
    <cellStyle name="WHead - Style2 3 11 8 2" xfId="7288"/>
    <cellStyle name="WHead - Style2 3 11 9" xfId="7289"/>
    <cellStyle name="WHead - Style2 3 12" xfId="7290"/>
    <cellStyle name="WHead - Style2 3 12 2" xfId="7291"/>
    <cellStyle name="WHead - Style2 3 12 2 2" xfId="7292"/>
    <cellStyle name="WHead - Style2 3 12 3" xfId="7293"/>
    <cellStyle name="WHead - Style2 3 12 4" xfId="7294"/>
    <cellStyle name="WHead - Style2 3 13" xfId="7295"/>
    <cellStyle name="WHead - Style2 3 13 2" xfId="7296"/>
    <cellStyle name="WHead - Style2 3 13 2 2" xfId="7297"/>
    <cellStyle name="WHead - Style2 3 13 3" xfId="7298"/>
    <cellStyle name="WHead - Style2 3 13 4" xfId="7299"/>
    <cellStyle name="WHead - Style2 3 14" xfId="7300"/>
    <cellStyle name="WHead - Style2 3 14 2" xfId="7301"/>
    <cellStyle name="WHead - Style2 3 14 2 2" xfId="7302"/>
    <cellStyle name="WHead - Style2 3 14 3" xfId="7303"/>
    <cellStyle name="WHead - Style2 3 14 4" xfId="7304"/>
    <cellStyle name="WHead - Style2 3 15" xfId="7305"/>
    <cellStyle name="WHead - Style2 3 15 2" xfId="7306"/>
    <cellStyle name="WHead - Style2 3 15 2 2" xfId="7307"/>
    <cellStyle name="WHead - Style2 3 15 3" xfId="7308"/>
    <cellStyle name="WHead - Style2 3 15 4" xfId="7309"/>
    <cellStyle name="WHead - Style2 3 16" xfId="7310"/>
    <cellStyle name="WHead - Style2 3 16 2" xfId="7311"/>
    <cellStyle name="WHead - Style2 3 16 2 2" xfId="7312"/>
    <cellStyle name="WHead - Style2 3 16 3" xfId="7313"/>
    <cellStyle name="WHead - Style2 3 16 4" xfId="7314"/>
    <cellStyle name="WHead - Style2 3 17" xfId="7315"/>
    <cellStyle name="WHead - Style2 3 17 2" xfId="7316"/>
    <cellStyle name="WHead - Style2 3 17 2 2" xfId="7317"/>
    <cellStyle name="WHead - Style2 3 17 3" xfId="7318"/>
    <cellStyle name="WHead - Style2 3 18" xfId="7319"/>
    <cellStyle name="WHead - Style2 3 18 2" xfId="7320"/>
    <cellStyle name="WHead - Style2 3 19" xfId="7321"/>
    <cellStyle name="WHead - Style2 3 19 2" xfId="7322"/>
    <cellStyle name="WHead - Style2 3 2" xfId="7323"/>
    <cellStyle name="WHead - Style2 3 2 10" xfId="7324"/>
    <cellStyle name="WHead - Style2 3 2 11" xfId="7325"/>
    <cellStyle name="WHead - Style2 3 2 2" xfId="7326"/>
    <cellStyle name="WHead - Style2 3 2 2 2" xfId="7327"/>
    <cellStyle name="WHead - Style2 3 2 2 2 2" xfId="7328"/>
    <cellStyle name="WHead - Style2 3 2 2 3" xfId="7329"/>
    <cellStyle name="WHead - Style2 3 2 2 3 2" xfId="7330"/>
    <cellStyle name="WHead - Style2 3 2 2 4" xfId="7331"/>
    <cellStyle name="WHead - Style2 3 2 2 5" xfId="7332"/>
    <cellStyle name="WHead - Style2 3 2 3" xfId="7333"/>
    <cellStyle name="WHead - Style2 3 2 3 2" xfId="7334"/>
    <cellStyle name="WHead - Style2 3 2 3 2 2" xfId="7335"/>
    <cellStyle name="WHead - Style2 3 2 3 3" xfId="7336"/>
    <cellStyle name="WHead - Style2 3 2 3 4" xfId="7337"/>
    <cellStyle name="WHead - Style2 3 2 4" xfId="7338"/>
    <cellStyle name="WHead - Style2 3 2 4 2" xfId="7339"/>
    <cellStyle name="WHead - Style2 3 2 4 2 2" xfId="7340"/>
    <cellStyle name="WHead - Style2 3 2 4 3" xfId="7341"/>
    <cellStyle name="WHead - Style2 3 2 4 4" xfId="7342"/>
    <cellStyle name="WHead - Style2 3 2 5" xfId="7343"/>
    <cellStyle name="WHead - Style2 3 2 5 2" xfId="7344"/>
    <cellStyle name="WHead - Style2 3 2 5 2 2" xfId="7345"/>
    <cellStyle name="WHead - Style2 3 2 5 3" xfId="7346"/>
    <cellStyle name="WHead - Style2 3 2 5 4" xfId="7347"/>
    <cellStyle name="WHead - Style2 3 2 6" xfId="7348"/>
    <cellStyle name="WHead - Style2 3 2 6 2" xfId="7349"/>
    <cellStyle name="WHead - Style2 3 2 6 2 2" xfId="7350"/>
    <cellStyle name="WHead - Style2 3 2 6 3" xfId="7351"/>
    <cellStyle name="WHead - Style2 3 2 6 4" xfId="7352"/>
    <cellStyle name="WHead - Style2 3 2 7" xfId="7353"/>
    <cellStyle name="WHead - Style2 3 2 7 2" xfId="7354"/>
    <cellStyle name="WHead - Style2 3 2 7 2 2" xfId="7355"/>
    <cellStyle name="WHead - Style2 3 2 7 3" xfId="7356"/>
    <cellStyle name="WHead - Style2 3 2 8" xfId="7357"/>
    <cellStyle name="WHead - Style2 3 2 8 2" xfId="7358"/>
    <cellStyle name="WHead - Style2 3 2 9" xfId="7359"/>
    <cellStyle name="WHead - Style2 3 2 9 2" xfId="7360"/>
    <cellStyle name="WHead - Style2 3 20" xfId="7361"/>
    <cellStyle name="WHead - Style2 3 21" xfId="7362"/>
    <cellStyle name="WHead - Style2 3 3" xfId="7363"/>
    <cellStyle name="WHead - Style2 3 3 10" xfId="7364"/>
    <cellStyle name="WHead - Style2 3 3 11" xfId="7365"/>
    <cellStyle name="WHead - Style2 3 3 2" xfId="7366"/>
    <cellStyle name="WHead - Style2 3 3 2 2" xfId="7367"/>
    <cellStyle name="WHead - Style2 3 3 2 2 2" xfId="7368"/>
    <cellStyle name="WHead - Style2 3 3 2 3" xfId="7369"/>
    <cellStyle name="WHead - Style2 3 3 2 3 2" xfId="7370"/>
    <cellStyle name="WHead - Style2 3 3 2 4" xfId="7371"/>
    <cellStyle name="WHead - Style2 3 3 2 5" xfId="7372"/>
    <cellStyle name="WHead - Style2 3 3 3" xfId="7373"/>
    <cellStyle name="WHead - Style2 3 3 3 2" xfId="7374"/>
    <cellStyle name="WHead - Style2 3 3 3 2 2" xfId="7375"/>
    <cellStyle name="WHead - Style2 3 3 3 3" xfId="7376"/>
    <cellStyle name="WHead - Style2 3 3 3 4" xfId="7377"/>
    <cellStyle name="WHead - Style2 3 3 4" xfId="7378"/>
    <cellStyle name="WHead - Style2 3 3 4 2" xfId="7379"/>
    <cellStyle name="WHead - Style2 3 3 4 2 2" xfId="7380"/>
    <cellStyle name="WHead - Style2 3 3 4 3" xfId="7381"/>
    <cellStyle name="WHead - Style2 3 3 4 4" xfId="7382"/>
    <cellStyle name="WHead - Style2 3 3 5" xfId="7383"/>
    <cellStyle name="WHead - Style2 3 3 5 2" xfId="7384"/>
    <cellStyle name="WHead - Style2 3 3 5 2 2" xfId="7385"/>
    <cellStyle name="WHead - Style2 3 3 5 3" xfId="7386"/>
    <cellStyle name="WHead - Style2 3 3 5 4" xfId="7387"/>
    <cellStyle name="WHead - Style2 3 3 6" xfId="7388"/>
    <cellStyle name="WHead - Style2 3 3 6 2" xfId="7389"/>
    <cellStyle name="WHead - Style2 3 3 6 2 2" xfId="7390"/>
    <cellStyle name="WHead - Style2 3 3 6 3" xfId="7391"/>
    <cellStyle name="WHead - Style2 3 3 6 4" xfId="7392"/>
    <cellStyle name="WHead - Style2 3 3 7" xfId="7393"/>
    <cellStyle name="WHead - Style2 3 3 7 2" xfId="7394"/>
    <cellStyle name="WHead - Style2 3 3 7 2 2" xfId="7395"/>
    <cellStyle name="WHead - Style2 3 3 7 3" xfId="7396"/>
    <cellStyle name="WHead - Style2 3 3 8" xfId="7397"/>
    <cellStyle name="WHead - Style2 3 3 8 2" xfId="7398"/>
    <cellStyle name="WHead - Style2 3 3 9" xfId="7399"/>
    <cellStyle name="WHead - Style2 3 3 9 2" xfId="7400"/>
    <cellStyle name="WHead - Style2 3 4" xfId="7401"/>
    <cellStyle name="WHead - Style2 3 4 10" xfId="7402"/>
    <cellStyle name="WHead - Style2 3 4 11" xfId="7403"/>
    <cellStyle name="WHead - Style2 3 4 2" xfId="7404"/>
    <cellStyle name="WHead - Style2 3 4 2 2" xfId="7405"/>
    <cellStyle name="WHead - Style2 3 4 2 2 2" xfId="7406"/>
    <cellStyle name="WHead - Style2 3 4 2 3" xfId="7407"/>
    <cellStyle name="WHead - Style2 3 4 2 4" xfId="7408"/>
    <cellStyle name="WHead - Style2 3 4 3" xfId="7409"/>
    <cellStyle name="WHead - Style2 3 4 3 2" xfId="7410"/>
    <cellStyle name="WHead - Style2 3 4 3 2 2" xfId="7411"/>
    <cellStyle name="WHead - Style2 3 4 3 3" xfId="7412"/>
    <cellStyle name="WHead - Style2 3 4 3 4" xfId="7413"/>
    <cellStyle name="WHead - Style2 3 4 4" xfId="7414"/>
    <cellStyle name="WHead - Style2 3 4 4 2" xfId="7415"/>
    <cellStyle name="WHead - Style2 3 4 4 2 2" xfId="7416"/>
    <cellStyle name="WHead - Style2 3 4 4 3" xfId="7417"/>
    <cellStyle name="WHead - Style2 3 4 4 4" xfId="7418"/>
    <cellStyle name="WHead - Style2 3 4 5" xfId="7419"/>
    <cellStyle name="WHead - Style2 3 4 5 2" xfId="7420"/>
    <cellStyle name="WHead - Style2 3 4 5 2 2" xfId="7421"/>
    <cellStyle name="WHead - Style2 3 4 5 3" xfId="7422"/>
    <cellStyle name="WHead - Style2 3 4 5 4" xfId="7423"/>
    <cellStyle name="WHead - Style2 3 4 6" xfId="7424"/>
    <cellStyle name="WHead - Style2 3 4 6 2" xfId="7425"/>
    <cellStyle name="WHead - Style2 3 4 6 2 2" xfId="7426"/>
    <cellStyle name="WHead - Style2 3 4 6 3" xfId="7427"/>
    <cellStyle name="WHead - Style2 3 4 6 4" xfId="7428"/>
    <cellStyle name="WHead - Style2 3 4 7" xfId="7429"/>
    <cellStyle name="WHead - Style2 3 4 7 2" xfId="7430"/>
    <cellStyle name="WHead - Style2 3 4 8" xfId="7431"/>
    <cellStyle name="WHead - Style2 3 4 8 2" xfId="7432"/>
    <cellStyle name="WHead - Style2 3 4 9" xfId="7433"/>
    <cellStyle name="WHead - Style2 3 4 9 2" xfId="7434"/>
    <cellStyle name="WHead - Style2 3 5" xfId="7435"/>
    <cellStyle name="WHead - Style2 3 5 10" xfId="7436"/>
    <cellStyle name="WHead - Style2 3 5 2" xfId="7437"/>
    <cellStyle name="WHead - Style2 3 5 2 2" xfId="7438"/>
    <cellStyle name="WHead - Style2 3 5 2 2 2" xfId="7439"/>
    <cellStyle name="WHead - Style2 3 5 2 3" xfId="7440"/>
    <cellStyle name="WHead - Style2 3 5 2 4" xfId="7441"/>
    <cellStyle name="WHead - Style2 3 5 3" xfId="7442"/>
    <cellStyle name="WHead - Style2 3 5 3 2" xfId="7443"/>
    <cellStyle name="WHead - Style2 3 5 3 2 2" xfId="7444"/>
    <cellStyle name="WHead - Style2 3 5 3 3" xfId="7445"/>
    <cellStyle name="WHead - Style2 3 5 3 4" xfId="7446"/>
    <cellStyle name="WHead - Style2 3 5 4" xfId="7447"/>
    <cellStyle name="WHead - Style2 3 5 4 2" xfId="7448"/>
    <cellStyle name="WHead - Style2 3 5 4 2 2" xfId="7449"/>
    <cellStyle name="WHead - Style2 3 5 4 3" xfId="7450"/>
    <cellStyle name="WHead - Style2 3 5 4 4" xfId="7451"/>
    <cellStyle name="WHead - Style2 3 5 5" xfId="7452"/>
    <cellStyle name="WHead - Style2 3 5 5 2" xfId="7453"/>
    <cellStyle name="WHead - Style2 3 5 5 2 2" xfId="7454"/>
    <cellStyle name="WHead - Style2 3 5 5 3" xfId="7455"/>
    <cellStyle name="WHead - Style2 3 5 5 4" xfId="7456"/>
    <cellStyle name="WHead - Style2 3 5 6" xfId="7457"/>
    <cellStyle name="WHead - Style2 3 5 6 2" xfId="7458"/>
    <cellStyle name="WHead - Style2 3 5 6 2 2" xfId="7459"/>
    <cellStyle name="WHead - Style2 3 5 6 3" xfId="7460"/>
    <cellStyle name="WHead - Style2 3 5 6 4" xfId="7461"/>
    <cellStyle name="WHead - Style2 3 5 7" xfId="7462"/>
    <cellStyle name="WHead - Style2 3 5 7 2" xfId="7463"/>
    <cellStyle name="WHead - Style2 3 5 8" xfId="7464"/>
    <cellStyle name="WHead - Style2 3 5 8 2" xfId="7465"/>
    <cellStyle name="WHead - Style2 3 5 9" xfId="7466"/>
    <cellStyle name="WHead - Style2 3 6" xfId="7467"/>
    <cellStyle name="WHead - Style2 3 6 10" xfId="7468"/>
    <cellStyle name="WHead - Style2 3 6 2" xfId="7469"/>
    <cellStyle name="WHead - Style2 3 6 2 2" xfId="7470"/>
    <cellStyle name="WHead - Style2 3 6 2 2 2" xfId="7471"/>
    <cellStyle name="WHead - Style2 3 6 2 3" xfId="7472"/>
    <cellStyle name="WHead - Style2 3 6 2 4" xfId="7473"/>
    <cellStyle name="WHead - Style2 3 6 3" xfId="7474"/>
    <cellStyle name="WHead - Style2 3 6 3 2" xfId="7475"/>
    <cellStyle name="WHead - Style2 3 6 3 2 2" xfId="7476"/>
    <cellStyle name="WHead - Style2 3 6 3 3" xfId="7477"/>
    <cellStyle name="WHead - Style2 3 6 3 4" xfId="7478"/>
    <cellStyle name="WHead - Style2 3 6 4" xfId="7479"/>
    <cellStyle name="WHead - Style2 3 6 4 2" xfId="7480"/>
    <cellStyle name="WHead - Style2 3 6 4 2 2" xfId="7481"/>
    <cellStyle name="WHead - Style2 3 6 4 3" xfId="7482"/>
    <cellStyle name="WHead - Style2 3 6 4 4" xfId="7483"/>
    <cellStyle name="WHead - Style2 3 6 5" xfId="7484"/>
    <cellStyle name="WHead - Style2 3 6 5 2" xfId="7485"/>
    <cellStyle name="WHead - Style2 3 6 5 2 2" xfId="7486"/>
    <cellStyle name="WHead - Style2 3 6 5 3" xfId="7487"/>
    <cellStyle name="WHead - Style2 3 6 5 4" xfId="7488"/>
    <cellStyle name="WHead - Style2 3 6 6" xfId="7489"/>
    <cellStyle name="WHead - Style2 3 6 6 2" xfId="7490"/>
    <cellStyle name="WHead - Style2 3 6 6 2 2" xfId="7491"/>
    <cellStyle name="WHead - Style2 3 6 6 3" xfId="7492"/>
    <cellStyle name="WHead - Style2 3 6 6 4" xfId="7493"/>
    <cellStyle name="WHead - Style2 3 6 7" xfId="7494"/>
    <cellStyle name="WHead - Style2 3 6 7 2" xfId="7495"/>
    <cellStyle name="WHead - Style2 3 6 8" xfId="7496"/>
    <cellStyle name="WHead - Style2 3 6 8 2" xfId="7497"/>
    <cellStyle name="WHead - Style2 3 6 9" xfId="7498"/>
    <cellStyle name="WHead - Style2 3 7" xfId="7499"/>
    <cellStyle name="WHead - Style2 3 7 10" xfId="7500"/>
    <cellStyle name="WHead - Style2 3 7 2" xfId="7501"/>
    <cellStyle name="WHead - Style2 3 7 2 2" xfId="7502"/>
    <cellStyle name="WHead - Style2 3 7 2 2 2" xfId="7503"/>
    <cellStyle name="WHead - Style2 3 7 2 3" xfId="7504"/>
    <cellStyle name="WHead - Style2 3 7 2 4" xfId="7505"/>
    <cellStyle name="WHead - Style2 3 7 3" xfId="7506"/>
    <cellStyle name="WHead - Style2 3 7 3 2" xfId="7507"/>
    <cellStyle name="WHead - Style2 3 7 3 2 2" xfId="7508"/>
    <cellStyle name="WHead - Style2 3 7 3 3" xfId="7509"/>
    <cellStyle name="WHead - Style2 3 7 3 4" xfId="7510"/>
    <cellStyle name="WHead - Style2 3 7 4" xfId="7511"/>
    <cellStyle name="WHead - Style2 3 7 4 2" xfId="7512"/>
    <cellStyle name="WHead - Style2 3 7 4 2 2" xfId="7513"/>
    <cellStyle name="WHead - Style2 3 7 4 3" xfId="7514"/>
    <cellStyle name="WHead - Style2 3 7 4 4" xfId="7515"/>
    <cellStyle name="WHead - Style2 3 7 5" xfId="7516"/>
    <cellStyle name="WHead - Style2 3 7 5 2" xfId="7517"/>
    <cellStyle name="WHead - Style2 3 7 5 2 2" xfId="7518"/>
    <cellStyle name="WHead - Style2 3 7 5 3" xfId="7519"/>
    <cellStyle name="WHead - Style2 3 7 5 4" xfId="7520"/>
    <cellStyle name="WHead - Style2 3 7 6" xfId="7521"/>
    <cellStyle name="WHead - Style2 3 7 6 2" xfId="7522"/>
    <cellStyle name="WHead - Style2 3 7 6 2 2" xfId="7523"/>
    <cellStyle name="WHead - Style2 3 7 6 3" xfId="7524"/>
    <cellStyle name="WHead - Style2 3 7 6 4" xfId="7525"/>
    <cellStyle name="WHead - Style2 3 7 7" xfId="7526"/>
    <cellStyle name="WHead - Style2 3 7 7 2" xfId="7527"/>
    <cellStyle name="WHead - Style2 3 7 8" xfId="7528"/>
    <cellStyle name="WHead - Style2 3 7 8 2" xfId="7529"/>
    <cellStyle name="WHead - Style2 3 7 9" xfId="7530"/>
    <cellStyle name="WHead - Style2 3 8" xfId="7531"/>
    <cellStyle name="WHead - Style2 3 8 10" xfId="7532"/>
    <cellStyle name="WHead - Style2 3 8 2" xfId="7533"/>
    <cellStyle name="WHead - Style2 3 8 2 2" xfId="7534"/>
    <cellStyle name="WHead - Style2 3 8 2 2 2" xfId="7535"/>
    <cellStyle name="WHead - Style2 3 8 2 3" xfId="7536"/>
    <cellStyle name="WHead - Style2 3 8 2 4" xfId="7537"/>
    <cellStyle name="WHead - Style2 3 8 3" xfId="7538"/>
    <cellStyle name="WHead - Style2 3 8 3 2" xfId="7539"/>
    <cellStyle name="WHead - Style2 3 8 3 2 2" xfId="7540"/>
    <cellStyle name="WHead - Style2 3 8 3 3" xfId="7541"/>
    <cellStyle name="WHead - Style2 3 8 3 4" xfId="7542"/>
    <cellStyle name="WHead - Style2 3 8 4" xfId="7543"/>
    <cellStyle name="WHead - Style2 3 8 4 2" xfId="7544"/>
    <cellStyle name="WHead - Style2 3 8 4 2 2" xfId="7545"/>
    <cellStyle name="WHead - Style2 3 8 4 3" xfId="7546"/>
    <cellStyle name="WHead - Style2 3 8 4 4" xfId="7547"/>
    <cellStyle name="WHead - Style2 3 8 5" xfId="7548"/>
    <cellStyle name="WHead - Style2 3 8 5 2" xfId="7549"/>
    <cellStyle name="WHead - Style2 3 8 5 2 2" xfId="7550"/>
    <cellStyle name="WHead - Style2 3 8 5 3" xfId="7551"/>
    <cellStyle name="WHead - Style2 3 8 5 4" xfId="7552"/>
    <cellStyle name="WHead - Style2 3 8 6" xfId="7553"/>
    <cellStyle name="WHead - Style2 3 8 6 2" xfId="7554"/>
    <cellStyle name="WHead - Style2 3 8 6 2 2" xfId="7555"/>
    <cellStyle name="WHead - Style2 3 8 6 3" xfId="7556"/>
    <cellStyle name="WHead - Style2 3 8 6 4" xfId="7557"/>
    <cellStyle name="WHead - Style2 3 8 7" xfId="7558"/>
    <cellStyle name="WHead - Style2 3 8 7 2" xfId="7559"/>
    <cellStyle name="WHead - Style2 3 8 8" xfId="7560"/>
    <cellStyle name="WHead - Style2 3 8 8 2" xfId="7561"/>
    <cellStyle name="WHead - Style2 3 8 9" xfId="7562"/>
    <cellStyle name="WHead - Style2 3 9" xfId="7563"/>
    <cellStyle name="WHead - Style2 3 9 10" xfId="7564"/>
    <cellStyle name="WHead - Style2 3 9 2" xfId="7565"/>
    <cellStyle name="WHead - Style2 3 9 2 2" xfId="7566"/>
    <cellStyle name="WHead - Style2 3 9 2 2 2" xfId="7567"/>
    <cellStyle name="WHead - Style2 3 9 2 3" xfId="7568"/>
    <cellStyle name="WHead - Style2 3 9 2 4" xfId="7569"/>
    <cellStyle name="WHead - Style2 3 9 3" xfId="7570"/>
    <cellStyle name="WHead - Style2 3 9 3 2" xfId="7571"/>
    <cellStyle name="WHead - Style2 3 9 3 2 2" xfId="7572"/>
    <cellStyle name="WHead - Style2 3 9 3 3" xfId="7573"/>
    <cellStyle name="WHead - Style2 3 9 3 4" xfId="7574"/>
    <cellStyle name="WHead - Style2 3 9 4" xfId="7575"/>
    <cellStyle name="WHead - Style2 3 9 4 2" xfId="7576"/>
    <cellStyle name="WHead - Style2 3 9 4 2 2" xfId="7577"/>
    <cellStyle name="WHead - Style2 3 9 4 3" xfId="7578"/>
    <cellStyle name="WHead - Style2 3 9 4 4" xfId="7579"/>
    <cellStyle name="WHead - Style2 3 9 5" xfId="7580"/>
    <cellStyle name="WHead - Style2 3 9 5 2" xfId="7581"/>
    <cellStyle name="WHead - Style2 3 9 5 2 2" xfId="7582"/>
    <cellStyle name="WHead - Style2 3 9 5 3" xfId="7583"/>
    <cellStyle name="WHead - Style2 3 9 5 4" xfId="7584"/>
    <cellStyle name="WHead - Style2 3 9 6" xfId="7585"/>
    <cellStyle name="WHead - Style2 3 9 6 2" xfId="7586"/>
    <cellStyle name="WHead - Style2 3 9 6 2 2" xfId="7587"/>
    <cellStyle name="WHead - Style2 3 9 6 3" xfId="7588"/>
    <cellStyle name="WHead - Style2 3 9 6 4" xfId="7589"/>
    <cellStyle name="WHead - Style2 3 9 7" xfId="7590"/>
    <cellStyle name="WHead - Style2 3 9 7 2" xfId="7591"/>
    <cellStyle name="WHead - Style2 3 9 8" xfId="7592"/>
    <cellStyle name="WHead - Style2 3 9 8 2" xfId="7593"/>
    <cellStyle name="WHead - Style2 3 9 9" xfId="7594"/>
    <cellStyle name="WHead - Style2 30" xfId="7595"/>
    <cellStyle name="WHead - Style2 30 10" xfId="7596"/>
    <cellStyle name="WHead - Style2 30 2" xfId="7597"/>
    <cellStyle name="WHead - Style2 30 2 2" xfId="7598"/>
    <cellStyle name="WHead - Style2 30 2 2 2" xfId="7599"/>
    <cellStyle name="WHead - Style2 30 2 3" xfId="7600"/>
    <cellStyle name="WHead - Style2 30 2 4" xfId="7601"/>
    <cellStyle name="WHead - Style2 30 3" xfId="7602"/>
    <cellStyle name="WHead - Style2 30 3 2" xfId="7603"/>
    <cellStyle name="WHead - Style2 30 3 2 2" xfId="7604"/>
    <cellStyle name="WHead - Style2 30 3 3" xfId="7605"/>
    <cellStyle name="WHead - Style2 30 3 4" xfId="7606"/>
    <cellStyle name="WHead - Style2 30 4" xfId="7607"/>
    <cellStyle name="WHead - Style2 30 4 2" xfId="7608"/>
    <cellStyle name="WHead - Style2 30 4 2 2" xfId="7609"/>
    <cellStyle name="WHead - Style2 30 4 3" xfId="7610"/>
    <cellStyle name="WHead - Style2 30 4 4" xfId="7611"/>
    <cellStyle name="WHead - Style2 30 5" xfId="7612"/>
    <cellStyle name="WHead - Style2 30 5 2" xfId="7613"/>
    <cellStyle name="WHead - Style2 30 5 2 2" xfId="7614"/>
    <cellStyle name="WHead - Style2 30 5 3" xfId="7615"/>
    <cellStyle name="WHead - Style2 30 5 4" xfId="7616"/>
    <cellStyle name="WHead - Style2 30 6" xfId="7617"/>
    <cellStyle name="WHead - Style2 30 6 2" xfId="7618"/>
    <cellStyle name="WHead - Style2 30 6 2 2" xfId="7619"/>
    <cellStyle name="WHead - Style2 30 6 3" xfId="7620"/>
    <cellStyle name="WHead - Style2 30 6 4" xfId="7621"/>
    <cellStyle name="WHead - Style2 30 7" xfId="7622"/>
    <cellStyle name="WHead - Style2 30 7 2" xfId="7623"/>
    <cellStyle name="WHead - Style2 30 8" xfId="7624"/>
    <cellStyle name="WHead - Style2 30 8 2" xfId="7625"/>
    <cellStyle name="WHead - Style2 30 9" xfId="7626"/>
    <cellStyle name="WHead - Style2 31" xfId="7627"/>
    <cellStyle name="WHead - Style2 31 10" xfId="7628"/>
    <cellStyle name="WHead - Style2 31 2" xfId="7629"/>
    <cellStyle name="WHead - Style2 31 2 2" xfId="7630"/>
    <cellStyle name="WHead - Style2 31 2 2 2" xfId="7631"/>
    <cellStyle name="WHead - Style2 31 2 3" xfId="7632"/>
    <cellStyle name="WHead - Style2 31 2 4" xfId="7633"/>
    <cellStyle name="WHead - Style2 31 3" xfId="7634"/>
    <cellStyle name="WHead - Style2 31 3 2" xfId="7635"/>
    <cellStyle name="WHead - Style2 31 3 2 2" xfId="7636"/>
    <cellStyle name="WHead - Style2 31 3 3" xfId="7637"/>
    <cellStyle name="WHead - Style2 31 3 4" xfId="7638"/>
    <cellStyle name="WHead - Style2 31 4" xfId="7639"/>
    <cellStyle name="WHead - Style2 31 4 2" xfId="7640"/>
    <cellStyle name="WHead - Style2 31 4 2 2" xfId="7641"/>
    <cellStyle name="WHead - Style2 31 4 3" xfId="7642"/>
    <cellStyle name="WHead - Style2 31 4 4" xfId="7643"/>
    <cellStyle name="WHead - Style2 31 5" xfId="7644"/>
    <cellStyle name="WHead - Style2 31 5 2" xfId="7645"/>
    <cellStyle name="WHead - Style2 31 5 2 2" xfId="7646"/>
    <cellStyle name="WHead - Style2 31 5 3" xfId="7647"/>
    <cellStyle name="WHead - Style2 31 5 4" xfId="7648"/>
    <cellStyle name="WHead - Style2 31 6" xfId="7649"/>
    <cellStyle name="WHead - Style2 31 6 2" xfId="7650"/>
    <cellStyle name="WHead - Style2 31 6 2 2" xfId="7651"/>
    <cellStyle name="WHead - Style2 31 6 3" xfId="7652"/>
    <cellStyle name="WHead - Style2 31 6 4" xfId="7653"/>
    <cellStyle name="WHead - Style2 31 7" xfId="7654"/>
    <cellStyle name="WHead - Style2 31 7 2" xfId="7655"/>
    <cellStyle name="WHead - Style2 31 8" xfId="7656"/>
    <cellStyle name="WHead - Style2 31 8 2" xfId="7657"/>
    <cellStyle name="WHead - Style2 31 9" xfId="7658"/>
    <cellStyle name="WHead - Style2 32" xfId="7659"/>
    <cellStyle name="WHead - Style2 32 10" xfId="7660"/>
    <cellStyle name="WHead - Style2 32 2" xfId="7661"/>
    <cellStyle name="WHead - Style2 32 2 2" xfId="7662"/>
    <cellStyle name="WHead - Style2 32 2 2 2" xfId="7663"/>
    <cellStyle name="WHead - Style2 32 2 3" xfId="7664"/>
    <cellStyle name="WHead - Style2 32 2 4" xfId="7665"/>
    <cellStyle name="WHead - Style2 32 3" xfId="7666"/>
    <cellStyle name="WHead - Style2 32 3 2" xfId="7667"/>
    <cellStyle name="WHead - Style2 32 3 2 2" xfId="7668"/>
    <cellStyle name="WHead - Style2 32 3 3" xfId="7669"/>
    <cellStyle name="WHead - Style2 32 3 4" xfId="7670"/>
    <cellStyle name="WHead - Style2 32 4" xfId="7671"/>
    <cellStyle name="WHead - Style2 32 4 2" xfId="7672"/>
    <cellStyle name="WHead - Style2 32 4 2 2" xfId="7673"/>
    <cellStyle name="WHead - Style2 32 4 3" xfId="7674"/>
    <cellStyle name="WHead - Style2 32 4 4" xfId="7675"/>
    <cellStyle name="WHead - Style2 32 5" xfId="7676"/>
    <cellStyle name="WHead - Style2 32 5 2" xfId="7677"/>
    <cellStyle name="WHead - Style2 32 5 2 2" xfId="7678"/>
    <cellStyle name="WHead - Style2 32 5 3" xfId="7679"/>
    <cellStyle name="WHead - Style2 32 5 4" xfId="7680"/>
    <cellStyle name="WHead - Style2 32 6" xfId="7681"/>
    <cellStyle name="WHead - Style2 32 6 2" xfId="7682"/>
    <cellStyle name="WHead - Style2 32 6 2 2" xfId="7683"/>
    <cellStyle name="WHead - Style2 32 6 3" xfId="7684"/>
    <cellStyle name="WHead - Style2 32 6 4" xfId="7685"/>
    <cellStyle name="WHead - Style2 32 7" xfId="7686"/>
    <cellStyle name="WHead - Style2 32 7 2" xfId="7687"/>
    <cellStyle name="WHead - Style2 32 8" xfId="7688"/>
    <cellStyle name="WHead - Style2 32 8 2" xfId="7689"/>
    <cellStyle name="WHead - Style2 32 9" xfId="7690"/>
    <cellStyle name="WHead - Style2 33" xfId="7691"/>
    <cellStyle name="WHead - Style2 33 10" xfId="7692"/>
    <cellStyle name="WHead - Style2 33 2" xfId="7693"/>
    <cellStyle name="WHead - Style2 33 2 2" xfId="7694"/>
    <cellStyle name="WHead - Style2 33 2 2 2" xfId="7695"/>
    <cellStyle name="WHead - Style2 33 2 3" xfId="7696"/>
    <cellStyle name="WHead - Style2 33 2 4" xfId="7697"/>
    <cellStyle name="WHead - Style2 33 3" xfId="7698"/>
    <cellStyle name="WHead - Style2 33 3 2" xfId="7699"/>
    <cellStyle name="WHead - Style2 33 3 2 2" xfId="7700"/>
    <cellStyle name="WHead - Style2 33 3 3" xfId="7701"/>
    <cellStyle name="WHead - Style2 33 3 4" xfId="7702"/>
    <cellStyle name="WHead - Style2 33 4" xfId="7703"/>
    <cellStyle name="WHead - Style2 33 4 2" xfId="7704"/>
    <cellStyle name="WHead - Style2 33 4 2 2" xfId="7705"/>
    <cellStyle name="WHead - Style2 33 4 3" xfId="7706"/>
    <cellStyle name="WHead - Style2 33 4 4" xfId="7707"/>
    <cellStyle name="WHead - Style2 33 5" xfId="7708"/>
    <cellStyle name="WHead - Style2 33 5 2" xfId="7709"/>
    <cellStyle name="WHead - Style2 33 5 2 2" xfId="7710"/>
    <cellStyle name="WHead - Style2 33 5 3" xfId="7711"/>
    <cellStyle name="WHead - Style2 33 5 4" xfId="7712"/>
    <cellStyle name="WHead - Style2 33 6" xfId="7713"/>
    <cellStyle name="WHead - Style2 33 6 2" xfId="7714"/>
    <cellStyle name="WHead - Style2 33 6 2 2" xfId="7715"/>
    <cellStyle name="WHead - Style2 33 6 3" xfId="7716"/>
    <cellStyle name="WHead - Style2 33 6 4" xfId="7717"/>
    <cellStyle name="WHead - Style2 33 7" xfId="7718"/>
    <cellStyle name="WHead - Style2 33 7 2" xfId="7719"/>
    <cellStyle name="WHead - Style2 33 8" xfId="7720"/>
    <cellStyle name="WHead - Style2 33 8 2" xfId="7721"/>
    <cellStyle name="WHead - Style2 33 9" xfId="7722"/>
    <cellStyle name="WHead - Style2 34" xfId="7723"/>
    <cellStyle name="WHead - Style2 34 2" xfId="7724"/>
    <cellStyle name="WHead - Style2 34 2 2" xfId="7725"/>
    <cellStyle name="WHead - Style2 34 2 2 2" xfId="7726"/>
    <cellStyle name="WHead - Style2 34 2 3" xfId="7727"/>
    <cellStyle name="WHead - Style2 34 2 4" xfId="7728"/>
    <cellStyle name="WHead - Style2 34 3" xfId="7729"/>
    <cellStyle name="WHead - Style2 34 3 2" xfId="7730"/>
    <cellStyle name="WHead - Style2 34 3 2 2" xfId="7731"/>
    <cellStyle name="WHead - Style2 34 3 3" xfId="7732"/>
    <cellStyle name="WHead - Style2 34 3 4" xfId="7733"/>
    <cellStyle name="WHead - Style2 34 4" xfId="7734"/>
    <cellStyle name="WHead - Style2 34 4 2" xfId="7735"/>
    <cellStyle name="WHead - Style2 34 4 2 2" xfId="7736"/>
    <cellStyle name="WHead - Style2 34 4 3" xfId="7737"/>
    <cellStyle name="WHead - Style2 34 4 4" xfId="7738"/>
    <cellStyle name="WHead - Style2 34 5" xfId="7739"/>
    <cellStyle name="WHead - Style2 34 5 2" xfId="7740"/>
    <cellStyle name="WHead - Style2 34 5 2 2" xfId="7741"/>
    <cellStyle name="WHead - Style2 34 5 3" xfId="7742"/>
    <cellStyle name="WHead - Style2 34 5 4" xfId="7743"/>
    <cellStyle name="WHead - Style2 34 6" xfId="7744"/>
    <cellStyle name="WHead - Style2 34 6 2" xfId="7745"/>
    <cellStyle name="WHead - Style2 34 6 2 2" xfId="7746"/>
    <cellStyle name="WHead - Style2 34 6 3" xfId="7747"/>
    <cellStyle name="WHead - Style2 34 6 4" xfId="7748"/>
    <cellStyle name="WHead - Style2 34 7" xfId="7749"/>
    <cellStyle name="WHead - Style2 34 7 2" xfId="7750"/>
    <cellStyle name="WHead - Style2 34 8" xfId="7751"/>
    <cellStyle name="WHead - Style2 34 9" xfId="7752"/>
    <cellStyle name="WHead - Style2 35" xfId="7753"/>
    <cellStyle name="WHead - Style2 35 2" xfId="7754"/>
    <cellStyle name="WHead - Style2 35 2 2" xfId="7755"/>
    <cellStyle name="WHead - Style2 35 2 2 2" xfId="7756"/>
    <cellStyle name="WHead - Style2 35 2 3" xfId="7757"/>
    <cellStyle name="WHead - Style2 35 2 4" xfId="7758"/>
    <cellStyle name="WHead - Style2 35 3" xfId="7759"/>
    <cellStyle name="WHead - Style2 35 3 2" xfId="7760"/>
    <cellStyle name="WHead - Style2 35 3 2 2" xfId="7761"/>
    <cellStyle name="WHead - Style2 35 3 3" xfId="7762"/>
    <cellStyle name="WHead - Style2 35 3 4" xfId="7763"/>
    <cellStyle name="WHead - Style2 35 4" xfId="7764"/>
    <cellStyle name="WHead - Style2 35 4 2" xfId="7765"/>
    <cellStyle name="WHead - Style2 35 4 2 2" xfId="7766"/>
    <cellStyle name="WHead - Style2 35 4 3" xfId="7767"/>
    <cellStyle name="WHead - Style2 35 4 4" xfId="7768"/>
    <cellStyle name="WHead - Style2 35 5" xfId="7769"/>
    <cellStyle name="WHead - Style2 35 5 2" xfId="7770"/>
    <cellStyle name="WHead - Style2 35 5 2 2" xfId="7771"/>
    <cellStyle name="WHead - Style2 35 5 3" xfId="7772"/>
    <cellStyle name="WHead - Style2 35 5 4" xfId="7773"/>
    <cellStyle name="WHead - Style2 35 6" xfId="7774"/>
    <cellStyle name="WHead - Style2 35 6 2" xfId="7775"/>
    <cellStyle name="WHead - Style2 35 6 2 2" xfId="7776"/>
    <cellStyle name="WHead - Style2 35 6 3" xfId="7777"/>
    <cellStyle name="WHead - Style2 35 6 4" xfId="7778"/>
    <cellStyle name="WHead - Style2 35 7" xfId="7779"/>
    <cellStyle name="WHead - Style2 35 7 2" xfId="7780"/>
    <cellStyle name="WHead - Style2 35 8" xfId="7781"/>
    <cellStyle name="WHead - Style2 35 9" xfId="7782"/>
    <cellStyle name="WHead - Style2 36" xfId="7783"/>
    <cellStyle name="WHead - Style2 36 2" xfId="7784"/>
    <cellStyle name="WHead - Style2 36 2 2" xfId="7785"/>
    <cellStyle name="WHead - Style2 36 2 2 2" xfId="7786"/>
    <cellStyle name="WHead - Style2 36 2 3" xfId="7787"/>
    <cellStyle name="WHead - Style2 36 2 4" xfId="7788"/>
    <cellStyle name="WHead - Style2 36 3" xfId="7789"/>
    <cellStyle name="WHead - Style2 36 3 2" xfId="7790"/>
    <cellStyle name="WHead - Style2 36 3 2 2" xfId="7791"/>
    <cellStyle name="WHead - Style2 36 3 3" xfId="7792"/>
    <cellStyle name="WHead - Style2 36 3 4" xfId="7793"/>
    <cellStyle name="WHead - Style2 36 4" xfId="7794"/>
    <cellStyle name="WHead - Style2 36 4 2" xfId="7795"/>
    <cellStyle name="WHead - Style2 36 4 2 2" xfId="7796"/>
    <cellStyle name="WHead - Style2 36 4 3" xfId="7797"/>
    <cellStyle name="WHead - Style2 36 4 4" xfId="7798"/>
    <cellStyle name="WHead - Style2 36 5" xfId="7799"/>
    <cellStyle name="WHead - Style2 36 5 2" xfId="7800"/>
    <cellStyle name="WHead - Style2 36 5 2 2" xfId="7801"/>
    <cellStyle name="WHead - Style2 36 5 3" xfId="7802"/>
    <cellStyle name="WHead - Style2 36 5 4" xfId="7803"/>
    <cellStyle name="WHead - Style2 36 6" xfId="7804"/>
    <cellStyle name="WHead - Style2 36 6 2" xfId="7805"/>
    <cellStyle name="WHead - Style2 36 6 2 2" xfId="7806"/>
    <cellStyle name="WHead - Style2 36 6 3" xfId="7807"/>
    <cellStyle name="WHead - Style2 36 6 4" xfId="7808"/>
    <cellStyle name="WHead - Style2 36 7" xfId="7809"/>
    <cellStyle name="WHead - Style2 36 7 2" xfId="7810"/>
    <cellStyle name="WHead - Style2 36 8" xfId="7811"/>
    <cellStyle name="WHead - Style2 36 9" xfId="7812"/>
    <cellStyle name="WHead - Style2 37" xfId="7813"/>
    <cellStyle name="WHead - Style2 37 2" xfId="7814"/>
    <cellStyle name="WHead - Style2 37 2 2" xfId="7815"/>
    <cellStyle name="WHead - Style2 37 2 2 2" xfId="7816"/>
    <cellStyle name="WHead - Style2 37 2 3" xfId="7817"/>
    <cellStyle name="WHead - Style2 37 2 4" xfId="7818"/>
    <cellStyle name="WHead - Style2 37 3" xfId="7819"/>
    <cellStyle name="WHead - Style2 37 3 2" xfId="7820"/>
    <cellStyle name="WHead - Style2 37 3 2 2" xfId="7821"/>
    <cellStyle name="WHead - Style2 37 3 3" xfId="7822"/>
    <cellStyle name="WHead - Style2 37 3 4" xfId="7823"/>
    <cellStyle name="WHead - Style2 37 4" xfId="7824"/>
    <cellStyle name="WHead - Style2 37 4 2" xfId="7825"/>
    <cellStyle name="WHead - Style2 37 4 2 2" xfId="7826"/>
    <cellStyle name="WHead - Style2 37 4 3" xfId="7827"/>
    <cellStyle name="WHead - Style2 37 4 4" xfId="7828"/>
    <cellStyle name="WHead - Style2 37 5" xfId="7829"/>
    <cellStyle name="WHead - Style2 37 5 2" xfId="7830"/>
    <cellStyle name="WHead - Style2 37 5 2 2" xfId="7831"/>
    <cellStyle name="WHead - Style2 37 5 3" xfId="7832"/>
    <cellStyle name="WHead - Style2 37 5 4" xfId="7833"/>
    <cellStyle name="WHead - Style2 37 6" xfId="7834"/>
    <cellStyle name="WHead - Style2 37 6 2" xfId="7835"/>
    <cellStyle name="WHead - Style2 37 6 2 2" xfId="7836"/>
    <cellStyle name="WHead - Style2 37 6 3" xfId="7837"/>
    <cellStyle name="WHead - Style2 37 6 4" xfId="7838"/>
    <cellStyle name="WHead - Style2 37 7" xfId="7839"/>
    <cellStyle name="WHead - Style2 37 7 2" xfId="7840"/>
    <cellStyle name="WHead - Style2 37 8" xfId="7841"/>
    <cellStyle name="WHead - Style2 37 9" xfId="7842"/>
    <cellStyle name="WHead - Style2 38" xfId="7843"/>
    <cellStyle name="WHead - Style2 38 2" xfId="7844"/>
    <cellStyle name="WHead - Style2 38 2 2" xfId="7845"/>
    <cellStyle name="WHead - Style2 38 2 2 2" xfId="7846"/>
    <cellStyle name="WHead - Style2 38 2 3" xfId="7847"/>
    <cellStyle name="WHead - Style2 38 2 4" xfId="7848"/>
    <cellStyle name="WHead - Style2 38 3" xfId="7849"/>
    <cellStyle name="WHead - Style2 38 3 2" xfId="7850"/>
    <cellStyle name="WHead - Style2 38 3 2 2" xfId="7851"/>
    <cellStyle name="WHead - Style2 38 3 3" xfId="7852"/>
    <cellStyle name="WHead - Style2 38 3 4" xfId="7853"/>
    <cellStyle name="WHead - Style2 38 4" xfId="7854"/>
    <cellStyle name="WHead - Style2 38 4 2" xfId="7855"/>
    <cellStyle name="WHead - Style2 38 4 2 2" xfId="7856"/>
    <cellStyle name="WHead - Style2 38 4 3" xfId="7857"/>
    <cellStyle name="WHead - Style2 38 4 4" xfId="7858"/>
    <cellStyle name="WHead - Style2 38 5" xfId="7859"/>
    <cellStyle name="WHead - Style2 38 5 2" xfId="7860"/>
    <cellStyle name="WHead - Style2 38 5 2 2" xfId="7861"/>
    <cellStyle name="WHead - Style2 38 5 3" xfId="7862"/>
    <cellStyle name="WHead - Style2 38 5 4" xfId="7863"/>
    <cellStyle name="WHead - Style2 38 6" xfId="7864"/>
    <cellStyle name="WHead - Style2 38 6 2" xfId="7865"/>
    <cellStyle name="WHead - Style2 38 6 2 2" xfId="7866"/>
    <cellStyle name="WHead - Style2 38 6 3" xfId="7867"/>
    <cellStyle name="WHead - Style2 38 6 4" xfId="7868"/>
    <cellStyle name="WHead - Style2 38 7" xfId="7869"/>
    <cellStyle name="WHead - Style2 38 7 2" xfId="7870"/>
    <cellStyle name="WHead - Style2 38 8" xfId="7871"/>
    <cellStyle name="WHead - Style2 38 9" xfId="7872"/>
    <cellStyle name="WHead - Style2 39" xfId="7873"/>
    <cellStyle name="WHead - Style2 39 2" xfId="7874"/>
    <cellStyle name="WHead - Style2 39 2 2" xfId="7875"/>
    <cellStyle name="WHead - Style2 39 3" xfId="7876"/>
    <cellStyle name="WHead - Style2 39 4" xfId="7877"/>
    <cellStyle name="WHead - Style2 4" xfId="7878"/>
    <cellStyle name="WHead - Style2 4 10" xfId="7879"/>
    <cellStyle name="WHead - Style2 4 10 10" xfId="7880"/>
    <cellStyle name="WHead - Style2 4 10 2" xfId="7881"/>
    <cellStyle name="WHead - Style2 4 10 2 2" xfId="7882"/>
    <cellStyle name="WHead - Style2 4 10 2 2 2" xfId="7883"/>
    <cellStyle name="WHead - Style2 4 10 2 3" xfId="7884"/>
    <cellStyle name="WHead - Style2 4 10 2 4" xfId="7885"/>
    <cellStyle name="WHead - Style2 4 10 3" xfId="7886"/>
    <cellStyle name="WHead - Style2 4 10 3 2" xfId="7887"/>
    <cellStyle name="WHead - Style2 4 10 3 2 2" xfId="7888"/>
    <cellStyle name="WHead - Style2 4 10 3 3" xfId="7889"/>
    <cellStyle name="WHead - Style2 4 10 3 4" xfId="7890"/>
    <cellStyle name="WHead - Style2 4 10 4" xfId="7891"/>
    <cellStyle name="WHead - Style2 4 10 4 2" xfId="7892"/>
    <cellStyle name="WHead - Style2 4 10 4 2 2" xfId="7893"/>
    <cellStyle name="WHead - Style2 4 10 4 3" xfId="7894"/>
    <cellStyle name="WHead - Style2 4 10 4 4" xfId="7895"/>
    <cellStyle name="WHead - Style2 4 10 5" xfId="7896"/>
    <cellStyle name="WHead - Style2 4 10 5 2" xfId="7897"/>
    <cellStyle name="WHead - Style2 4 10 5 2 2" xfId="7898"/>
    <cellStyle name="WHead - Style2 4 10 5 3" xfId="7899"/>
    <cellStyle name="WHead - Style2 4 10 5 4" xfId="7900"/>
    <cellStyle name="WHead - Style2 4 10 6" xfId="7901"/>
    <cellStyle name="WHead - Style2 4 10 6 2" xfId="7902"/>
    <cellStyle name="WHead - Style2 4 10 6 2 2" xfId="7903"/>
    <cellStyle name="WHead - Style2 4 10 6 3" xfId="7904"/>
    <cellStyle name="WHead - Style2 4 10 6 4" xfId="7905"/>
    <cellStyle name="WHead - Style2 4 10 7" xfId="7906"/>
    <cellStyle name="WHead - Style2 4 10 7 2" xfId="7907"/>
    <cellStyle name="WHead - Style2 4 10 8" xfId="7908"/>
    <cellStyle name="WHead - Style2 4 10 8 2" xfId="7909"/>
    <cellStyle name="WHead - Style2 4 10 9" xfId="7910"/>
    <cellStyle name="WHead - Style2 4 11" xfId="7911"/>
    <cellStyle name="WHead - Style2 4 11 10" xfId="7912"/>
    <cellStyle name="WHead - Style2 4 11 2" xfId="7913"/>
    <cellStyle name="WHead - Style2 4 11 2 2" xfId="7914"/>
    <cellStyle name="WHead - Style2 4 11 2 2 2" xfId="7915"/>
    <cellStyle name="WHead - Style2 4 11 2 3" xfId="7916"/>
    <cellStyle name="WHead - Style2 4 11 2 4" xfId="7917"/>
    <cellStyle name="WHead - Style2 4 11 3" xfId="7918"/>
    <cellStyle name="WHead - Style2 4 11 3 2" xfId="7919"/>
    <cellStyle name="WHead - Style2 4 11 3 2 2" xfId="7920"/>
    <cellStyle name="WHead - Style2 4 11 3 3" xfId="7921"/>
    <cellStyle name="WHead - Style2 4 11 3 4" xfId="7922"/>
    <cellStyle name="WHead - Style2 4 11 4" xfId="7923"/>
    <cellStyle name="WHead - Style2 4 11 4 2" xfId="7924"/>
    <cellStyle name="WHead - Style2 4 11 4 2 2" xfId="7925"/>
    <cellStyle name="WHead - Style2 4 11 4 3" xfId="7926"/>
    <cellStyle name="WHead - Style2 4 11 4 4" xfId="7927"/>
    <cellStyle name="WHead - Style2 4 11 5" xfId="7928"/>
    <cellStyle name="WHead - Style2 4 11 5 2" xfId="7929"/>
    <cellStyle name="WHead - Style2 4 11 5 2 2" xfId="7930"/>
    <cellStyle name="WHead - Style2 4 11 5 3" xfId="7931"/>
    <cellStyle name="WHead - Style2 4 11 5 4" xfId="7932"/>
    <cellStyle name="WHead - Style2 4 11 6" xfId="7933"/>
    <cellStyle name="WHead - Style2 4 11 6 2" xfId="7934"/>
    <cellStyle name="WHead - Style2 4 11 6 2 2" xfId="7935"/>
    <cellStyle name="WHead - Style2 4 11 6 3" xfId="7936"/>
    <cellStyle name="WHead - Style2 4 11 6 4" xfId="7937"/>
    <cellStyle name="WHead - Style2 4 11 7" xfId="7938"/>
    <cellStyle name="WHead - Style2 4 11 7 2" xfId="7939"/>
    <cellStyle name="WHead - Style2 4 11 8" xfId="7940"/>
    <cellStyle name="WHead - Style2 4 11 8 2" xfId="7941"/>
    <cellStyle name="WHead - Style2 4 11 9" xfId="7942"/>
    <cellStyle name="WHead - Style2 4 12" xfId="7943"/>
    <cellStyle name="WHead - Style2 4 12 2" xfId="7944"/>
    <cellStyle name="WHead - Style2 4 12 2 2" xfId="7945"/>
    <cellStyle name="WHead - Style2 4 12 3" xfId="7946"/>
    <cellStyle name="WHead - Style2 4 12 4" xfId="7947"/>
    <cellStyle name="WHead - Style2 4 13" xfId="7948"/>
    <cellStyle name="WHead - Style2 4 13 2" xfId="7949"/>
    <cellStyle name="WHead - Style2 4 13 2 2" xfId="7950"/>
    <cellStyle name="WHead - Style2 4 13 3" xfId="7951"/>
    <cellStyle name="WHead - Style2 4 13 4" xfId="7952"/>
    <cellStyle name="WHead - Style2 4 14" xfId="7953"/>
    <cellStyle name="WHead - Style2 4 14 2" xfId="7954"/>
    <cellStyle name="WHead - Style2 4 14 2 2" xfId="7955"/>
    <cellStyle name="WHead - Style2 4 14 3" xfId="7956"/>
    <cellStyle name="WHead - Style2 4 14 4" xfId="7957"/>
    <cellStyle name="WHead - Style2 4 15" xfId="7958"/>
    <cellStyle name="WHead - Style2 4 15 2" xfId="7959"/>
    <cellStyle name="WHead - Style2 4 15 2 2" xfId="7960"/>
    <cellStyle name="WHead - Style2 4 15 3" xfId="7961"/>
    <cellStyle name="WHead - Style2 4 15 4" xfId="7962"/>
    <cellStyle name="WHead - Style2 4 16" xfId="7963"/>
    <cellStyle name="WHead - Style2 4 16 2" xfId="7964"/>
    <cellStyle name="WHead - Style2 4 16 2 2" xfId="7965"/>
    <cellStyle name="WHead - Style2 4 16 3" xfId="7966"/>
    <cellStyle name="WHead - Style2 4 16 4" xfId="7967"/>
    <cellStyle name="WHead - Style2 4 17" xfId="7968"/>
    <cellStyle name="WHead - Style2 4 17 2" xfId="7969"/>
    <cellStyle name="WHead - Style2 4 17 2 2" xfId="7970"/>
    <cellStyle name="WHead - Style2 4 17 3" xfId="7971"/>
    <cellStyle name="WHead - Style2 4 18" xfId="7972"/>
    <cellStyle name="WHead - Style2 4 18 2" xfId="7973"/>
    <cellStyle name="WHead - Style2 4 19" xfId="7974"/>
    <cellStyle name="WHead - Style2 4 19 2" xfId="7975"/>
    <cellStyle name="WHead - Style2 4 2" xfId="7976"/>
    <cellStyle name="WHead - Style2 4 2 10" xfId="7977"/>
    <cellStyle name="WHead - Style2 4 2 11" xfId="7978"/>
    <cellStyle name="WHead - Style2 4 2 2" xfId="7979"/>
    <cellStyle name="WHead - Style2 4 2 2 2" xfId="7980"/>
    <cellStyle name="WHead - Style2 4 2 2 2 2" xfId="7981"/>
    <cellStyle name="WHead - Style2 4 2 2 3" xfId="7982"/>
    <cellStyle name="WHead - Style2 4 2 2 3 2" xfId="7983"/>
    <cellStyle name="WHead - Style2 4 2 2 4" xfId="7984"/>
    <cellStyle name="WHead - Style2 4 2 2 5" xfId="7985"/>
    <cellStyle name="WHead - Style2 4 2 3" xfId="7986"/>
    <cellStyle name="WHead - Style2 4 2 3 2" xfId="7987"/>
    <cellStyle name="WHead - Style2 4 2 3 2 2" xfId="7988"/>
    <cellStyle name="WHead - Style2 4 2 3 3" xfId="7989"/>
    <cellStyle name="WHead - Style2 4 2 3 4" xfId="7990"/>
    <cellStyle name="WHead - Style2 4 2 4" xfId="7991"/>
    <cellStyle name="WHead - Style2 4 2 4 2" xfId="7992"/>
    <cellStyle name="WHead - Style2 4 2 4 2 2" xfId="7993"/>
    <cellStyle name="WHead - Style2 4 2 4 3" xfId="7994"/>
    <cellStyle name="WHead - Style2 4 2 4 4" xfId="7995"/>
    <cellStyle name="WHead - Style2 4 2 5" xfId="7996"/>
    <cellStyle name="WHead - Style2 4 2 5 2" xfId="7997"/>
    <cellStyle name="WHead - Style2 4 2 5 2 2" xfId="7998"/>
    <cellStyle name="WHead - Style2 4 2 5 3" xfId="7999"/>
    <cellStyle name="WHead - Style2 4 2 5 4" xfId="8000"/>
    <cellStyle name="WHead - Style2 4 2 6" xfId="8001"/>
    <cellStyle name="WHead - Style2 4 2 6 2" xfId="8002"/>
    <cellStyle name="WHead - Style2 4 2 6 2 2" xfId="8003"/>
    <cellStyle name="WHead - Style2 4 2 6 3" xfId="8004"/>
    <cellStyle name="WHead - Style2 4 2 6 4" xfId="8005"/>
    <cellStyle name="WHead - Style2 4 2 7" xfId="8006"/>
    <cellStyle name="WHead - Style2 4 2 7 2" xfId="8007"/>
    <cellStyle name="WHead - Style2 4 2 7 2 2" xfId="8008"/>
    <cellStyle name="WHead - Style2 4 2 7 3" xfId="8009"/>
    <cellStyle name="WHead - Style2 4 2 8" xfId="8010"/>
    <cellStyle name="WHead - Style2 4 2 8 2" xfId="8011"/>
    <cellStyle name="WHead - Style2 4 2 9" xfId="8012"/>
    <cellStyle name="WHead - Style2 4 2 9 2" xfId="8013"/>
    <cellStyle name="WHead - Style2 4 20" xfId="8014"/>
    <cellStyle name="WHead - Style2 4 21" xfId="8015"/>
    <cellStyle name="WHead - Style2 4 3" xfId="8016"/>
    <cellStyle name="WHead - Style2 4 3 10" xfId="8017"/>
    <cellStyle name="WHead - Style2 4 3 11" xfId="8018"/>
    <cellStyle name="WHead - Style2 4 3 2" xfId="8019"/>
    <cellStyle name="WHead - Style2 4 3 2 2" xfId="8020"/>
    <cellStyle name="WHead - Style2 4 3 2 2 2" xfId="8021"/>
    <cellStyle name="WHead - Style2 4 3 2 3" xfId="8022"/>
    <cellStyle name="WHead - Style2 4 3 2 3 2" xfId="8023"/>
    <cellStyle name="WHead - Style2 4 3 2 4" xfId="8024"/>
    <cellStyle name="WHead - Style2 4 3 2 5" xfId="8025"/>
    <cellStyle name="WHead - Style2 4 3 3" xfId="8026"/>
    <cellStyle name="WHead - Style2 4 3 3 2" xfId="8027"/>
    <cellStyle name="WHead - Style2 4 3 3 2 2" xfId="8028"/>
    <cellStyle name="WHead - Style2 4 3 3 3" xfId="8029"/>
    <cellStyle name="WHead - Style2 4 3 3 4" xfId="8030"/>
    <cellStyle name="WHead - Style2 4 3 4" xfId="8031"/>
    <cellStyle name="WHead - Style2 4 3 4 2" xfId="8032"/>
    <cellStyle name="WHead - Style2 4 3 4 2 2" xfId="8033"/>
    <cellStyle name="WHead - Style2 4 3 4 3" xfId="8034"/>
    <cellStyle name="WHead - Style2 4 3 4 4" xfId="8035"/>
    <cellStyle name="WHead - Style2 4 3 5" xfId="8036"/>
    <cellStyle name="WHead - Style2 4 3 5 2" xfId="8037"/>
    <cellStyle name="WHead - Style2 4 3 5 2 2" xfId="8038"/>
    <cellStyle name="WHead - Style2 4 3 5 3" xfId="8039"/>
    <cellStyle name="WHead - Style2 4 3 5 4" xfId="8040"/>
    <cellStyle name="WHead - Style2 4 3 6" xfId="8041"/>
    <cellStyle name="WHead - Style2 4 3 6 2" xfId="8042"/>
    <cellStyle name="WHead - Style2 4 3 6 2 2" xfId="8043"/>
    <cellStyle name="WHead - Style2 4 3 6 3" xfId="8044"/>
    <cellStyle name="WHead - Style2 4 3 6 4" xfId="8045"/>
    <cellStyle name="WHead - Style2 4 3 7" xfId="8046"/>
    <cellStyle name="WHead - Style2 4 3 7 2" xfId="8047"/>
    <cellStyle name="WHead - Style2 4 3 7 2 2" xfId="8048"/>
    <cellStyle name="WHead - Style2 4 3 7 3" xfId="8049"/>
    <cellStyle name="WHead - Style2 4 3 8" xfId="8050"/>
    <cellStyle name="WHead - Style2 4 3 8 2" xfId="8051"/>
    <cellStyle name="WHead - Style2 4 3 9" xfId="8052"/>
    <cellStyle name="WHead - Style2 4 3 9 2" xfId="8053"/>
    <cellStyle name="WHead - Style2 4 4" xfId="8054"/>
    <cellStyle name="WHead - Style2 4 4 10" xfId="8055"/>
    <cellStyle name="WHead - Style2 4 4 11" xfId="8056"/>
    <cellStyle name="WHead - Style2 4 4 2" xfId="8057"/>
    <cellStyle name="WHead - Style2 4 4 2 2" xfId="8058"/>
    <cellStyle name="WHead - Style2 4 4 2 2 2" xfId="8059"/>
    <cellStyle name="WHead - Style2 4 4 2 3" xfId="8060"/>
    <cellStyle name="WHead - Style2 4 4 2 4" xfId="8061"/>
    <cellStyle name="WHead - Style2 4 4 3" xfId="8062"/>
    <cellStyle name="WHead - Style2 4 4 3 2" xfId="8063"/>
    <cellStyle name="WHead - Style2 4 4 3 2 2" xfId="8064"/>
    <cellStyle name="WHead - Style2 4 4 3 3" xfId="8065"/>
    <cellStyle name="WHead - Style2 4 4 3 4" xfId="8066"/>
    <cellStyle name="WHead - Style2 4 4 4" xfId="8067"/>
    <cellStyle name="WHead - Style2 4 4 4 2" xfId="8068"/>
    <cellStyle name="WHead - Style2 4 4 4 2 2" xfId="8069"/>
    <cellStyle name="WHead - Style2 4 4 4 3" xfId="8070"/>
    <cellStyle name="WHead - Style2 4 4 4 4" xfId="8071"/>
    <cellStyle name="WHead - Style2 4 4 5" xfId="8072"/>
    <cellStyle name="WHead - Style2 4 4 5 2" xfId="8073"/>
    <cellStyle name="WHead - Style2 4 4 5 2 2" xfId="8074"/>
    <cellStyle name="WHead - Style2 4 4 5 3" xfId="8075"/>
    <cellStyle name="WHead - Style2 4 4 5 4" xfId="8076"/>
    <cellStyle name="WHead - Style2 4 4 6" xfId="8077"/>
    <cellStyle name="WHead - Style2 4 4 6 2" xfId="8078"/>
    <cellStyle name="WHead - Style2 4 4 6 2 2" xfId="8079"/>
    <cellStyle name="WHead - Style2 4 4 6 3" xfId="8080"/>
    <cellStyle name="WHead - Style2 4 4 6 4" xfId="8081"/>
    <cellStyle name="WHead - Style2 4 4 7" xfId="8082"/>
    <cellStyle name="WHead - Style2 4 4 7 2" xfId="8083"/>
    <cellStyle name="WHead - Style2 4 4 8" xfId="8084"/>
    <cellStyle name="WHead - Style2 4 4 8 2" xfId="8085"/>
    <cellStyle name="WHead - Style2 4 4 9" xfId="8086"/>
    <cellStyle name="WHead - Style2 4 4 9 2" xfId="8087"/>
    <cellStyle name="WHead - Style2 4 5" xfId="8088"/>
    <cellStyle name="WHead - Style2 4 5 10" xfId="8089"/>
    <cellStyle name="WHead - Style2 4 5 2" xfId="8090"/>
    <cellStyle name="WHead - Style2 4 5 2 2" xfId="8091"/>
    <cellStyle name="WHead - Style2 4 5 2 2 2" xfId="8092"/>
    <cellStyle name="WHead - Style2 4 5 2 3" xfId="8093"/>
    <cellStyle name="WHead - Style2 4 5 2 4" xfId="8094"/>
    <cellStyle name="WHead - Style2 4 5 3" xfId="8095"/>
    <cellStyle name="WHead - Style2 4 5 3 2" xfId="8096"/>
    <cellStyle name="WHead - Style2 4 5 3 2 2" xfId="8097"/>
    <cellStyle name="WHead - Style2 4 5 3 3" xfId="8098"/>
    <cellStyle name="WHead - Style2 4 5 3 4" xfId="8099"/>
    <cellStyle name="WHead - Style2 4 5 4" xfId="8100"/>
    <cellStyle name="WHead - Style2 4 5 4 2" xfId="8101"/>
    <cellStyle name="WHead - Style2 4 5 4 2 2" xfId="8102"/>
    <cellStyle name="WHead - Style2 4 5 4 3" xfId="8103"/>
    <cellStyle name="WHead - Style2 4 5 4 4" xfId="8104"/>
    <cellStyle name="WHead - Style2 4 5 5" xfId="8105"/>
    <cellStyle name="WHead - Style2 4 5 5 2" xfId="8106"/>
    <cellStyle name="WHead - Style2 4 5 5 2 2" xfId="8107"/>
    <cellStyle name="WHead - Style2 4 5 5 3" xfId="8108"/>
    <cellStyle name="WHead - Style2 4 5 5 4" xfId="8109"/>
    <cellStyle name="WHead - Style2 4 5 6" xfId="8110"/>
    <cellStyle name="WHead - Style2 4 5 6 2" xfId="8111"/>
    <cellStyle name="WHead - Style2 4 5 6 2 2" xfId="8112"/>
    <cellStyle name="WHead - Style2 4 5 6 3" xfId="8113"/>
    <cellStyle name="WHead - Style2 4 5 6 4" xfId="8114"/>
    <cellStyle name="WHead - Style2 4 5 7" xfId="8115"/>
    <cellStyle name="WHead - Style2 4 5 7 2" xfId="8116"/>
    <cellStyle name="WHead - Style2 4 5 8" xfId="8117"/>
    <cellStyle name="WHead - Style2 4 5 8 2" xfId="8118"/>
    <cellStyle name="WHead - Style2 4 5 9" xfId="8119"/>
    <cellStyle name="WHead - Style2 4 6" xfId="8120"/>
    <cellStyle name="WHead - Style2 4 6 10" xfId="8121"/>
    <cellStyle name="WHead - Style2 4 6 2" xfId="8122"/>
    <cellStyle name="WHead - Style2 4 6 2 2" xfId="8123"/>
    <cellStyle name="WHead - Style2 4 6 2 2 2" xfId="8124"/>
    <cellStyle name="WHead - Style2 4 6 2 3" xfId="8125"/>
    <cellStyle name="WHead - Style2 4 6 2 4" xfId="8126"/>
    <cellStyle name="WHead - Style2 4 6 3" xfId="8127"/>
    <cellStyle name="WHead - Style2 4 6 3 2" xfId="8128"/>
    <cellStyle name="WHead - Style2 4 6 3 2 2" xfId="8129"/>
    <cellStyle name="WHead - Style2 4 6 3 3" xfId="8130"/>
    <cellStyle name="WHead - Style2 4 6 3 4" xfId="8131"/>
    <cellStyle name="WHead - Style2 4 6 4" xfId="8132"/>
    <cellStyle name="WHead - Style2 4 6 4 2" xfId="8133"/>
    <cellStyle name="WHead - Style2 4 6 4 2 2" xfId="8134"/>
    <cellStyle name="WHead - Style2 4 6 4 3" xfId="8135"/>
    <cellStyle name="WHead - Style2 4 6 4 4" xfId="8136"/>
    <cellStyle name="WHead - Style2 4 6 5" xfId="8137"/>
    <cellStyle name="WHead - Style2 4 6 5 2" xfId="8138"/>
    <cellStyle name="WHead - Style2 4 6 5 2 2" xfId="8139"/>
    <cellStyle name="WHead - Style2 4 6 5 3" xfId="8140"/>
    <cellStyle name="WHead - Style2 4 6 5 4" xfId="8141"/>
    <cellStyle name="WHead - Style2 4 6 6" xfId="8142"/>
    <cellStyle name="WHead - Style2 4 6 6 2" xfId="8143"/>
    <cellStyle name="WHead - Style2 4 6 6 2 2" xfId="8144"/>
    <cellStyle name="WHead - Style2 4 6 6 3" xfId="8145"/>
    <cellStyle name="WHead - Style2 4 6 6 4" xfId="8146"/>
    <cellStyle name="WHead - Style2 4 6 7" xfId="8147"/>
    <cellStyle name="WHead - Style2 4 6 7 2" xfId="8148"/>
    <cellStyle name="WHead - Style2 4 6 8" xfId="8149"/>
    <cellStyle name="WHead - Style2 4 6 8 2" xfId="8150"/>
    <cellStyle name="WHead - Style2 4 6 9" xfId="8151"/>
    <cellStyle name="WHead - Style2 4 7" xfId="8152"/>
    <cellStyle name="WHead - Style2 4 7 10" xfId="8153"/>
    <cellStyle name="WHead - Style2 4 7 2" xfId="8154"/>
    <cellStyle name="WHead - Style2 4 7 2 2" xfId="8155"/>
    <cellStyle name="WHead - Style2 4 7 2 2 2" xfId="8156"/>
    <cellStyle name="WHead - Style2 4 7 2 3" xfId="8157"/>
    <cellStyle name="WHead - Style2 4 7 2 4" xfId="8158"/>
    <cellStyle name="WHead - Style2 4 7 3" xfId="8159"/>
    <cellStyle name="WHead - Style2 4 7 3 2" xfId="8160"/>
    <cellStyle name="WHead - Style2 4 7 3 2 2" xfId="8161"/>
    <cellStyle name="WHead - Style2 4 7 3 3" xfId="8162"/>
    <cellStyle name="WHead - Style2 4 7 3 4" xfId="8163"/>
    <cellStyle name="WHead - Style2 4 7 4" xfId="8164"/>
    <cellStyle name="WHead - Style2 4 7 4 2" xfId="8165"/>
    <cellStyle name="WHead - Style2 4 7 4 2 2" xfId="8166"/>
    <cellStyle name="WHead - Style2 4 7 4 3" xfId="8167"/>
    <cellStyle name="WHead - Style2 4 7 4 4" xfId="8168"/>
    <cellStyle name="WHead - Style2 4 7 5" xfId="8169"/>
    <cellStyle name="WHead - Style2 4 7 5 2" xfId="8170"/>
    <cellStyle name="WHead - Style2 4 7 5 2 2" xfId="8171"/>
    <cellStyle name="WHead - Style2 4 7 5 3" xfId="8172"/>
    <cellStyle name="WHead - Style2 4 7 5 4" xfId="8173"/>
    <cellStyle name="WHead - Style2 4 7 6" xfId="8174"/>
    <cellStyle name="WHead - Style2 4 7 6 2" xfId="8175"/>
    <cellStyle name="WHead - Style2 4 7 6 2 2" xfId="8176"/>
    <cellStyle name="WHead - Style2 4 7 6 3" xfId="8177"/>
    <cellStyle name="WHead - Style2 4 7 6 4" xfId="8178"/>
    <cellStyle name="WHead - Style2 4 7 7" xfId="8179"/>
    <cellStyle name="WHead - Style2 4 7 7 2" xfId="8180"/>
    <cellStyle name="WHead - Style2 4 7 8" xfId="8181"/>
    <cellStyle name="WHead - Style2 4 7 8 2" xfId="8182"/>
    <cellStyle name="WHead - Style2 4 7 9" xfId="8183"/>
    <cellStyle name="WHead - Style2 4 8" xfId="8184"/>
    <cellStyle name="WHead - Style2 4 8 10" xfId="8185"/>
    <cellStyle name="WHead - Style2 4 8 2" xfId="8186"/>
    <cellStyle name="WHead - Style2 4 8 2 2" xfId="8187"/>
    <cellStyle name="WHead - Style2 4 8 2 2 2" xfId="8188"/>
    <cellStyle name="WHead - Style2 4 8 2 3" xfId="8189"/>
    <cellStyle name="WHead - Style2 4 8 2 4" xfId="8190"/>
    <cellStyle name="WHead - Style2 4 8 3" xfId="8191"/>
    <cellStyle name="WHead - Style2 4 8 3 2" xfId="8192"/>
    <cellStyle name="WHead - Style2 4 8 3 2 2" xfId="8193"/>
    <cellStyle name="WHead - Style2 4 8 3 3" xfId="8194"/>
    <cellStyle name="WHead - Style2 4 8 3 4" xfId="8195"/>
    <cellStyle name="WHead - Style2 4 8 4" xfId="8196"/>
    <cellStyle name="WHead - Style2 4 8 4 2" xfId="8197"/>
    <cellStyle name="WHead - Style2 4 8 4 2 2" xfId="8198"/>
    <cellStyle name="WHead - Style2 4 8 4 3" xfId="8199"/>
    <cellStyle name="WHead - Style2 4 8 4 4" xfId="8200"/>
    <cellStyle name="WHead - Style2 4 8 5" xfId="8201"/>
    <cellStyle name="WHead - Style2 4 8 5 2" xfId="8202"/>
    <cellStyle name="WHead - Style2 4 8 5 2 2" xfId="8203"/>
    <cellStyle name="WHead - Style2 4 8 5 3" xfId="8204"/>
    <cellStyle name="WHead - Style2 4 8 5 4" xfId="8205"/>
    <cellStyle name="WHead - Style2 4 8 6" xfId="8206"/>
    <cellStyle name="WHead - Style2 4 8 6 2" xfId="8207"/>
    <cellStyle name="WHead - Style2 4 8 6 2 2" xfId="8208"/>
    <cellStyle name="WHead - Style2 4 8 6 3" xfId="8209"/>
    <cellStyle name="WHead - Style2 4 8 6 4" xfId="8210"/>
    <cellStyle name="WHead - Style2 4 8 7" xfId="8211"/>
    <cellStyle name="WHead - Style2 4 8 7 2" xfId="8212"/>
    <cellStyle name="WHead - Style2 4 8 8" xfId="8213"/>
    <cellStyle name="WHead - Style2 4 8 8 2" xfId="8214"/>
    <cellStyle name="WHead - Style2 4 8 9" xfId="8215"/>
    <cellStyle name="WHead - Style2 4 9" xfId="8216"/>
    <cellStyle name="WHead - Style2 4 9 10" xfId="8217"/>
    <cellStyle name="WHead - Style2 4 9 2" xfId="8218"/>
    <cellStyle name="WHead - Style2 4 9 2 2" xfId="8219"/>
    <cellStyle name="WHead - Style2 4 9 2 2 2" xfId="8220"/>
    <cellStyle name="WHead - Style2 4 9 2 3" xfId="8221"/>
    <cellStyle name="WHead - Style2 4 9 2 4" xfId="8222"/>
    <cellStyle name="WHead - Style2 4 9 3" xfId="8223"/>
    <cellStyle name="WHead - Style2 4 9 3 2" xfId="8224"/>
    <cellStyle name="WHead - Style2 4 9 3 2 2" xfId="8225"/>
    <cellStyle name="WHead - Style2 4 9 3 3" xfId="8226"/>
    <cellStyle name="WHead - Style2 4 9 3 4" xfId="8227"/>
    <cellStyle name="WHead - Style2 4 9 4" xfId="8228"/>
    <cellStyle name="WHead - Style2 4 9 4 2" xfId="8229"/>
    <cellStyle name="WHead - Style2 4 9 4 2 2" xfId="8230"/>
    <cellStyle name="WHead - Style2 4 9 4 3" xfId="8231"/>
    <cellStyle name="WHead - Style2 4 9 4 4" xfId="8232"/>
    <cellStyle name="WHead - Style2 4 9 5" xfId="8233"/>
    <cellStyle name="WHead - Style2 4 9 5 2" xfId="8234"/>
    <cellStyle name="WHead - Style2 4 9 5 2 2" xfId="8235"/>
    <cellStyle name="WHead - Style2 4 9 5 3" xfId="8236"/>
    <cellStyle name="WHead - Style2 4 9 5 4" xfId="8237"/>
    <cellStyle name="WHead - Style2 4 9 6" xfId="8238"/>
    <cellStyle name="WHead - Style2 4 9 6 2" xfId="8239"/>
    <cellStyle name="WHead - Style2 4 9 6 2 2" xfId="8240"/>
    <cellStyle name="WHead - Style2 4 9 6 3" xfId="8241"/>
    <cellStyle name="WHead - Style2 4 9 6 4" xfId="8242"/>
    <cellStyle name="WHead - Style2 4 9 7" xfId="8243"/>
    <cellStyle name="WHead - Style2 4 9 7 2" xfId="8244"/>
    <cellStyle name="WHead - Style2 4 9 8" xfId="8245"/>
    <cellStyle name="WHead - Style2 4 9 8 2" xfId="8246"/>
    <cellStyle name="WHead - Style2 4 9 9" xfId="8247"/>
    <cellStyle name="WHead - Style2 40" xfId="8248"/>
    <cellStyle name="WHead - Style2 40 2" xfId="8249"/>
    <cellStyle name="WHead - Style2 40 2 2" xfId="8250"/>
    <cellStyle name="WHead - Style2 40 3" xfId="8251"/>
    <cellStyle name="WHead - Style2 40 4" xfId="8252"/>
    <cellStyle name="WHead - Style2 41" xfId="8253"/>
    <cellStyle name="WHead - Style2 41 2" xfId="8254"/>
    <cellStyle name="WHead - Style2 41 2 2" xfId="8255"/>
    <cellStyle name="WHead - Style2 41 3" xfId="8256"/>
    <cellStyle name="WHead - Style2 41 4" xfId="8257"/>
    <cellStyle name="WHead - Style2 42" xfId="8258"/>
    <cellStyle name="WHead - Style2 42 2" xfId="8259"/>
    <cellStyle name="WHead - Style2 42 2 2" xfId="8260"/>
    <cellStyle name="WHead - Style2 42 3" xfId="8261"/>
    <cellStyle name="WHead - Style2 42 4" xfId="8262"/>
    <cellStyle name="WHead - Style2 43" xfId="8263"/>
    <cellStyle name="WHead - Style2 43 2" xfId="8264"/>
    <cellStyle name="WHead - Style2 43 2 2" xfId="8265"/>
    <cellStyle name="WHead - Style2 43 3" xfId="8266"/>
    <cellStyle name="WHead - Style2 43 4" xfId="8267"/>
    <cellStyle name="WHead - Style2 44" xfId="8268"/>
    <cellStyle name="WHead - Style2 44 2" xfId="8269"/>
    <cellStyle name="WHead - Style2 44 2 2" xfId="8270"/>
    <cellStyle name="WHead - Style2 44 3" xfId="8271"/>
    <cellStyle name="WHead - Style2 45" xfId="8272"/>
    <cellStyle name="WHead - Style2 45 2" xfId="8273"/>
    <cellStyle name="WHead - Style2 46" xfId="8274"/>
    <cellStyle name="WHead - Style2 46 2" xfId="8275"/>
    <cellStyle name="WHead - Style2 47" xfId="8276"/>
    <cellStyle name="WHead - Style2 48" xfId="8277"/>
    <cellStyle name="WHead - Style2 5" xfId="8278"/>
    <cellStyle name="WHead - Style2 5 10" xfId="8279"/>
    <cellStyle name="WHead - Style2 5 11" xfId="8280"/>
    <cellStyle name="WHead - Style2 5 2" xfId="8281"/>
    <cellStyle name="WHead - Style2 5 2 2" xfId="8282"/>
    <cellStyle name="WHead - Style2 5 2 2 2" xfId="8283"/>
    <cellStyle name="WHead - Style2 5 2 2 2 2" xfId="8284"/>
    <cellStyle name="WHead - Style2 5 2 2 3" xfId="8285"/>
    <cellStyle name="WHead - Style2 5 2 2 3 2" xfId="8286"/>
    <cellStyle name="WHead - Style2 5 2 2 4" xfId="8287"/>
    <cellStyle name="WHead - Style2 5 2 3" xfId="8288"/>
    <cellStyle name="WHead - Style2 5 2 3 2" xfId="8289"/>
    <cellStyle name="WHead - Style2 5 2 4" xfId="8290"/>
    <cellStyle name="WHead - Style2 5 2 4 2" xfId="8291"/>
    <cellStyle name="WHead - Style2 5 2 5" xfId="8292"/>
    <cellStyle name="WHead - Style2 5 2 6" xfId="8293"/>
    <cellStyle name="WHead - Style2 5 3" xfId="8294"/>
    <cellStyle name="WHead - Style2 5 3 2" xfId="8295"/>
    <cellStyle name="WHead - Style2 5 3 2 2" xfId="8296"/>
    <cellStyle name="WHead - Style2 5 3 2 2 2" xfId="8297"/>
    <cellStyle name="WHead - Style2 5 3 2 3" xfId="8298"/>
    <cellStyle name="WHead - Style2 5 3 2 3 2" xfId="8299"/>
    <cellStyle name="WHead - Style2 5 3 2 4" xfId="8300"/>
    <cellStyle name="WHead - Style2 5 3 3" xfId="8301"/>
    <cellStyle name="WHead - Style2 5 3 3 2" xfId="8302"/>
    <cellStyle name="WHead - Style2 5 3 4" xfId="8303"/>
    <cellStyle name="WHead - Style2 5 3 4 2" xfId="8304"/>
    <cellStyle name="WHead - Style2 5 3 5" xfId="8305"/>
    <cellStyle name="WHead - Style2 5 3 6" xfId="8306"/>
    <cellStyle name="WHead - Style2 5 4" xfId="8307"/>
    <cellStyle name="WHead - Style2 5 4 2" xfId="8308"/>
    <cellStyle name="WHead - Style2 5 4 2 2" xfId="8309"/>
    <cellStyle name="WHead - Style2 5 4 3" xfId="8310"/>
    <cellStyle name="WHead - Style2 5 4 3 2" xfId="8311"/>
    <cellStyle name="WHead - Style2 5 4 4" xfId="8312"/>
    <cellStyle name="WHead - Style2 5 4 5" xfId="8313"/>
    <cellStyle name="WHead - Style2 5 5" xfId="8314"/>
    <cellStyle name="WHead - Style2 5 5 2" xfId="8315"/>
    <cellStyle name="WHead - Style2 5 5 2 2" xfId="8316"/>
    <cellStyle name="WHead - Style2 5 5 3" xfId="8317"/>
    <cellStyle name="WHead - Style2 5 5 4" xfId="8318"/>
    <cellStyle name="WHead - Style2 5 6" xfId="8319"/>
    <cellStyle name="WHead - Style2 5 6 2" xfId="8320"/>
    <cellStyle name="WHead - Style2 5 6 2 2" xfId="8321"/>
    <cellStyle name="WHead - Style2 5 6 3" xfId="8322"/>
    <cellStyle name="WHead - Style2 5 6 4" xfId="8323"/>
    <cellStyle name="WHead - Style2 5 7" xfId="8324"/>
    <cellStyle name="WHead - Style2 5 7 2" xfId="8325"/>
    <cellStyle name="WHead - Style2 5 7 2 2" xfId="8326"/>
    <cellStyle name="WHead - Style2 5 7 3" xfId="8327"/>
    <cellStyle name="WHead - Style2 5 8" xfId="8328"/>
    <cellStyle name="WHead - Style2 5 8 2" xfId="8329"/>
    <cellStyle name="WHead - Style2 5 9" xfId="8330"/>
    <cellStyle name="WHead - Style2 5 9 2" xfId="8331"/>
    <cellStyle name="WHead - Style2 6" xfId="8332"/>
    <cellStyle name="WHead - Style2 6 10" xfId="8333"/>
    <cellStyle name="WHead - Style2 6 11" xfId="8334"/>
    <cellStyle name="WHead - Style2 6 2" xfId="8335"/>
    <cellStyle name="WHead - Style2 6 2 2" xfId="8336"/>
    <cellStyle name="WHead - Style2 6 2 2 2" xfId="8337"/>
    <cellStyle name="WHead - Style2 6 2 3" xfId="8338"/>
    <cellStyle name="WHead - Style2 6 2 3 2" xfId="8339"/>
    <cellStyle name="WHead - Style2 6 2 4" xfId="8340"/>
    <cellStyle name="WHead - Style2 6 2 5" xfId="8341"/>
    <cellStyle name="WHead - Style2 6 3" xfId="8342"/>
    <cellStyle name="WHead - Style2 6 3 2" xfId="8343"/>
    <cellStyle name="WHead - Style2 6 3 2 2" xfId="8344"/>
    <cellStyle name="WHead - Style2 6 3 3" xfId="8345"/>
    <cellStyle name="WHead - Style2 6 3 4" xfId="8346"/>
    <cellStyle name="WHead - Style2 6 4" xfId="8347"/>
    <cellStyle name="WHead - Style2 6 4 2" xfId="8348"/>
    <cellStyle name="WHead - Style2 6 4 2 2" xfId="8349"/>
    <cellStyle name="WHead - Style2 6 4 3" xfId="8350"/>
    <cellStyle name="WHead - Style2 6 4 4" xfId="8351"/>
    <cellStyle name="WHead - Style2 6 5" xfId="8352"/>
    <cellStyle name="WHead - Style2 6 5 2" xfId="8353"/>
    <cellStyle name="WHead - Style2 6 5 2 2" xfId="8354"/>
    <cellStyle name="WHead - Style2 6 5 3" xfId="8355"/>
    <cellStyle name="WHead - Style2 6 5 4" xfId="8356"/>
    <cellStyle name="WHead - Style2 6 6" xfId="8357"/>
    <cellStyle name="WHead - Style2 6 6 2" xfId="8358"/>
    <cellStyle name="WHead - Style2 6 6 2 2" xfId="8359"/>
    <cellStyle name="WHead - Style2 6 6 3" xfId="8360"/>
    <cellStyle name="WHead - Style2 6 6 4" xfId="8361"/>
    <cellStyle name="WHead - Style2 6 7" xfId="8362"/>
    <cellStyle name="WHead - Style2 6 7 2" xfId="8363"/>
    <cellStyle name="WHead - Style2 6 7 2 2" xfId="8364"/>
    <cellStyle name="WHead - Style2 6 7 3" xfId="8365"/>
    <cellStyle name="WHead - Style2 6 8" xfId="8366"/>
    <cellStyle name="WHead - Style2 6 8 2" xfId="8367"/>
    <cellStyle name="WHead - Style2 6 9" xfId="8368"/>
    <cellStyle name="WHead - Style2 6 9 2" xfId="8369"/>
    <cellStyle name="WHead - Style2 7" xfId="8370"/>
    <cellStyle name="WHead - Style2 7 10" xfId="8371"/>
    <cellStyle name="WHead - Style2 7 11" xfId="8372"/>
    <cellStyle name="WHead - Style2 7 2" xfId="8373"/>
    <cellStyle name="WHead - Style2 7 2 2" xfId="8374"/>
    <cellStyle name="WHead - Style2 7 2 2 2" xfId="8375"/>
    <cellStyle name="WHead - Style2 7 2 3" xfId="8376"/>
    <cellStyle name="WHead - Style2 7 2 3 2" xfId="8377"/>
    <cellStyle name="WHead - Style2 7 2 4" xfId="8378"/>
    <cellStyle name="WHead - Style2 7 2 5" xfId="8379"/>
    <cellStyle name="WHead - Style2 7 3" xfId="8380"/>
    <cellStyle name="WHead - Style2 7 3 2" xfId="8381"/>
    <cellStyle name="WHead - Style2 7 3 2 2" xfId="8382"/>
    <cellStyle name="WHead - Style2 7 3 3" xfId="8383"/>
    <cellStyle name="WHead - Style2 7 3 4" xfId="8384"/>
    <cellStyle name="WHead - Style2 7 4" xfId="8385"/>
    <cellStyle name="WHead - Style2 7 4 2" xfId="8386"/>
    <cellStyle name="WHead - Style2 7 4 2 2" xfId="8387"/>
    <cellStyle name="WHead - Style2 7 4 3" xfId="8388"/>
    <cellStyle name="WHead - Style2 7 4 4" xfId="8389"/>
    <cellStyle name="WHead - Style2 7 5" xfId="8390"/>
    <cellStyle name="WHead - Style2 7 5 2" xfId="8391"/>
    <cellStyle name="WHead - Style2 7 5 2 2" xfId="8392"/>
    <cellStyle name="WHead - Style2 7 5 3" xfId="8393"/>
    <cellStyle name="WHead - Style2 7 5 4" xfId="8394"/>
    <cellStyle name="WHead - Style2 7 6" xfId="8395"/>
    <cellStyle name="WHead - Style2 7 6 2" xfId="8396"/>
    <cellStyle name="WHead - Style2 7 6 2 2" xfId="8397"/>
    <cellStyle name="WHead - Style2 7 6 3" xfId="8398"/>
    <cellStyle name="WHead - Style2 7 6 4" xfId="8399"/>
    <cellStyle name="WHead - Style2 7 7" xfId="8400"/>
    <cellStyle name="WHead - Style2 7 7 2" xfId="8401"/>
    <cellStyle name="WHead - Style2 7 7 2 2" xfId="8402"/>
    <cellStyle name="WHead - Style2 7 7 3" xfId="8403"/>
    <cellStyle name="WHead - Style2 7 8" xfId="8404"/>
    <cellStyle name="WHead - Style2 7 8 2" xfId="8405"/>
    <cellStyle name="WHead - Style2 7 9" xfId="8406"/>
    <cellStyle name="WHead - Style2 7 9 2" xfId="8407"/>
    <cellStyle name="WHead - Style2 8" xfId="8408"/>
    <cellStyle name="WHead - Style2 8 10" xfId="8409"/>
    <cellStyle name="WHead - Style2 8 11" xfId="8410"/>
    <cellStyle name="WHead - Style2 8 2" xfId="8411"/>
    <cellStyle name="WHead - Style2 8 2 2" xfId="8412"/>
    <cellStyle name="WHead - Style2 8 2 2 2" xfId="8413"/>
    <cellStyle name="WHead - Style2 8 2 3" xfId="8414"/>
    <cellStyle name="WHead - Style2 8 2 4" xfId="8415"/>
    <cellStyle name="WHead - Style2 8 3" xfId="8416"/>
    <cellStyle name="WHead - Style2 8 3 2" xfId="8417"/>
    <cellStyle name="WHead - Style2 8 3 2 2" xfId="8418"/>
    <cellStyle name="WHead - Style2 8 3 3" xfId="8419"/>
    <cellStyle name="WHead - Style2 8 3 4" xfId="8420"/>
    <cellStyle name="WHead - Style2 8 4" xfId="8421"/>
    <cellStyle name="WHead - Style2 8 4 2" xfId="8422"/>
    <cellStyle name="WHead - Style2 8 4 2 2" xfId="8423"/>
    <cellStyle name="WHead - Style2 8 4 3" xfId="8424"/>
    <cellStyle name="WHead - Style2 8 4 4" xfId="8425"/>
    <cellStyle name="WHead - Style2 8 5" xfId="8426"/>
    <cellStyle name="WHead - Style2 8 5 2" xfId="8427"/>
    <cellStyle name="WHead - Style2 8 5 2 2" xfId="8428"/>
    <cellStyle name="WHead - Style2 8 5 3" xfId="8429"/>
    <cellStyle name="WHead - Style2 8 5 4" xfId="8430"/>
    <cellStyle name="WHead - Style2 8 6" xfId="8431"/>
    <cellStyle name="WHead - Style2 8 6 2" xfId="8432"/>
    <cellStyle name="WHead - Style2 8 6 2 2" xfId="8433"/>
    <cellStyle name="WHead - Style2 8 6 3" xfId="8434"/>
    <cellStyle name="WHead - Style2 8 6 4" xfId="8435"/>
    <cellStyle name="WHead - Style2 8 7" xfId="8436"/>
    <cellStyle name="WHead - Style2 8 7 2" xfId="8437"/>
    <cellStyle name="WHead - Style2 8 8" xfId="8438"/>
    <cellStyle name="WHead - Style2 8 8 2" xfId="8439"/>
    <cellStyle name="WHead - Style2 8 9" xfId="8440"/>
    <cellStyle name="WHead - Style2 8 9 2" xfId="8441"/>
    <cellStyle name="WHead - Style2 9" xfId="8442"/>
    <cellStyle name="WHead - Style2 9 10" xfId="8443"/>
    <cellStyle name="WHead - Style2 9 2" xfId="8444"/>
    <cellStyle name="WHead - Style2 9 2 2" xfId="8445"/>
    <cellStyle name="WHead - Style2 9 2 2 2" xfId="8446"/>
    <cellStyle name="WHead - Style2 9 2 3" xfId="8447"/>
    <cellStyle name="WHead - Style2 9 2 4" xfId="8448"/>
    <cellStyle name="WHead - Style2 9 3" xfId="8449"/>
    <cellStyle name="WHead - Style2 9 3 2" xfId="8450"/>
    <cellStyle name="WHead - Style2 9 3 2 2" xfId="8451"/>
    <cellStyle name="WHead - Style2 9 3 3" xfId="8452"/>
    <cellStyle name="WHead - Style2 9 3 4" xfId="8453"/>
    <cellStyle name="WHead - Style2 9 4" xfId="8454"/>
    <cellStyle name="WHead - Style2 9 4 2" xfId="8455"/>
    <cellStyle name="WHead - Style2 9 4 2 2" xfId="8456"/>
    <cellStyle name="WHead - Style2 9 4 3" xfId="8457"/>
    <cellStyle name="WHead - Style2 9 4 4" xfId="8458"/>
    <cellStyle name="WHead - Style2 9 5" xfId="8459"/>
    <cellStyle name="WHead - Style2 9 5 2" xfId="8460"/>
    <cellStyle name="WHead - Style2 9 5 2 2" xfId="8461"/>
    <cellStyle name="WHead - Style2 9 5 3" xfId="8462"/>
    <cellStyle name="WHead - Style2 9 5 4" xfId="8463"/>
    <cellStyle name="WHead - Style2 9 6" xfId="8464"/>
    <cellStyle name="WHead - Style2 9 6 2" xfId="8465"/>
    <cellStyle name="WHead - Style2 9 6 2 2" xfId="8466"/>
    <cellStyle name="WHead - Style2 9 6 3" xfId="8467"/>
    <cellStyle name="WHead - Style2 9 6 4" xfId="8468"/>
    <cellStyle name="WHead - Style2 9 7" xfId="8469"/>
    <cellStyle name="WHead - Style2 9 7 2" xfId="8470"/>
    <cellStyle name="WHead - Style2 9 8" xfId="8471"/>
    <cellStyle name="WHead - Style2 9 8 2" xfId="8472"/>
    <cellStyle name="WHead - Style2 9 9" xfId="8473"/>
    <cellStyle name="x1" xfId="8474"/>
    <cellStyle name="x1 2" xfId="8475"/>
    <cellStyle name="yr" xfId="8476"/>
    <cellStyle name="yr 2" xfId="8477"/>
    <cellStyle name="เครื่องหมายจุลภาค_Book1" xfId="14721"/>
    <cellStyle name="เชื่อมโยงหลายมิติ" xfId="14722"/>
    <cellStyle name="ค@ฏ๋_1111D2111DQ2" xfId="14723"/>
    <cellStyle name="คdคภฆ์[0]_1111D2111DQ2" xfId="14724"/>
    <cellStyle name="คdคภฆ์_1111D2111DQ1" xfId="14725"/>
    <cellStyle name="ณfน๔ [0]_Book1" xfId="14726"/>
    <cellStyle name="ณfน๔_Book1" xfId="14727"/>
    <cellStyle name="ตามการเชื่อมโยงหลายมิติ" xfId="14728"/>
    <cellStyle name="ปกติ_B50-PM&amp;TE-Calculation" xfId="14729"/>
    <cellStyle name="_11011" xfId="1378"/>
    <cellStyle name="瘉EMMC-CP1" xfId="1379"/>
    <cellStyle name="瘉EMMC-CP1 2" xfId="14730"/>
    <cellStyle name="? [0.00]_guyan" xfId="1380"/>
    <cellStyle name="?_guyan" xfId="1381"/>
    <cellStyle name="だ[0]_BS9701-3" xfId="1382"/>
    <cellStyle name="だ_BS9701-3" xfId="1383"/>
    <cellStyle name="?_Fem.Pro" xfId="1384"/>
    <cellStyle name="籵_96SNPCOS" xfId="1385"/>
    <cellStyle name="弇[0]_DF1" xfId="1386"/>
    <cellStyle name="弇_DF1" xfId="1387"/>
    <cellStyle name="弇煦路[0]_1" xfId="1388"/>
    <cellStyle name="弇煦路_1" xfId="1389"/>
    <cellStyle name="煦弇[0]_06" xfId="1390"/>
    <cellStyle name="煦弇_06" xfId="1391"/>
    <cellStyle name="一般 2" xfId="14731"/>
    <cellStyle name="一般 2 2" xfId="14732"/>
    <cellStyle name="一般 2 2 2" xfId="14733"/>
    <cellStyle name="一般 2 3" xfId="14734"/>
    <cellStyle name="一般 2 3 2" xfId="14735"/>
    <cellStyle name="一般 2 4" xfId="14736"/>
    <cellStyle name="一般 2_LAAP Group mgt account 2014_B412_20150112 (ASM)" xfId="14737"/>
    <cellStyle name="一般 3" xfId="14738"/>
    <cellStyle name="一般 3 2" xfId="14739"/>
    <cellStyle name="一般 4" xfId="14740"/>
    <cellStyle name="一般 5" xfId="14741"/>
    <cellStyle name="一般 6" xfId="14742"/>
    <cellStyle name="一般 6 2" xfId="14743"/>
    <cellStyle name="一般 7" xfId="14744"/>
    <cellStyle name="一般_Cover&amp;Index" xfId="1392"/>
    <cellStyle name="中等" xfId="14745"/>
    <cellStyle name="中等 2" xfId="14746"/>
    <cellStyle name="二? [0.00]_guyan" xfId="1393"/>
    <cellStyle name="二?_guyan" xfId="1394"/>
    <cellStyle name="備註" xfId="14747"/>
    <cellStyle name="備註 2" xfId="14748"/>
    <cellStyle name="備註 3" xfId="14749"/>
    <cellStyle name="僴僀僷乕儕儞僋" xfId="1424"/>
    <cellStyle name="僴僀僷乕儕儞僋 2" xfId="14751"/>
    <cellStyle name="僴僀僷乕儕儞僋 3" xfId="14750"/>
    <cellStyle name="億啟[0]_1" xfId="1427"/>
    <cellStyle name="億啟_1" xfId="1428"/>
    <cellStyle name="千位分隔[0]_11072" xfId="1395"/>
    <cellStyle name="千位分隔_11072" xfId="1396"/>
    <cellStyle name="千分位 2" xfId="14752"/>
    <cellStyle name="千分位 2 2" xfId="14753"/>
    <cellStyle name="千分位 2 2 2" xfId="14754"/>
    <cellStyle name="千分位 2 3" xfId="14755"/>
    <cellStyle name="千分位 2 3 2" xfId="14756"/>
    <cellStyle name="千分位 3" xfId="14757"/>
    <cellStyle name="千分位 3 2" xfId="14758"/>
    <cellStyle name="千分位 4" xfId="14759"/>
    <cellStyle name="千分位 5" xfId="14760"/>
    <cellStyle name="合計" xfId="14761"/>
    <cellStyle name="合計 2" xfId="14762"/>
    <cellStyle name="合計 3" xfId="14763"/>
    <cellStyle name="后继超级链接" xfId="1398"/>
    <cellStyle name="后继超级链接 2" xfId="1399"/>
    <cellStyle name="后继超级链接 2 2" xfId="1400"/>
    <cellStyle name="后继超级链接 2 2 2" xfId="1401"/>
    <cellStyle name="后继超级链接 2 2 2 2" xfId="1402"/>
    <cellStyle name="后继超级链接 2 2 2 2 2" xfId="1403"/>
    <cellStyle name="后继超级链接 2 2 2 2 2 2" xfId="14769"/>
    <cellStyle name="后继超级链接 2 2 2 2 3" xfId="14768"/>
    <cellStyle name="后继超级链接 2 2 2 3" xfId="1404"/>
    <cellStyle name="后继超级链接 2 2 2 3 2" xfId="14770"/>
    <cellStyle name="后继超级链接 2 2 2 4" xfId="14767"/>
    <cellStyle name="后继超级链接 2 2 3" xfId="1405"/>
    <cellStyle name="后继超级链接 2 2 3 2" xfId="1406"/>
    <cellStyle name="后继超级链接 2 2 4" xfId="14766"/>
    <cellStyle name="后继超级链接 2 3" xfId="3095"/>
    <cellStyle name="后继超级链接 2 3 2" xfId="14772"/>
    <cellStyle name="后继超级链接 2 3 2 2" xfId="14773"/>
    <cellStyle name="后继超级链接 2 3 3" xfId="14774"/>
    <cellStyle name="后继超级链接 2 3 4" xfId="14771"/>
    <cellStyle name="后继超级链接 2 4" xfId="14775"/>
    <cellStyle name="后继超级链接 2 5" xfId="14776"/>
    <cellStyle name="后继超级链接 2 6" xfId="14765"/>
    <cellStyle name="后继超级链接 3" xfId="1407"/>
    <cellStyle name="后继超级链接 3 2" xfId="1408"/>
    <cellStyle name="后继超级链接 3 2 2" xfId="1409"/>
    <cellStyle name="后继超级链接 3 2 3" xfId="14778"/>
    <cellStyle name="后继超级链接 3 3" xfId="1410"/>
    <cellStyle name="后继超级链接 3 3 2" xfId="14779"/>
    <cellStyle name="后继超级链接 3 4" xfId="14780"/>
    <cellStyle name="后继超级链接 3 5" xfId="14777"/>
    <cellStyle name="后继超级链接 4" xfId="14781"/>
    <cellStyle name="后继超级链接 5" xfId="14782"/>
    <cellStyle name="后继超级链接 6" xfId="14764"/>
    <cellStyle name="后继超级链接 7" xfId="11230"/>
    <cellStyle name="后继超级链接 7 2" xfId="15028"/>
    <cellStyle name="壞" xfId="14783"/>
    <cellStyle name="壞 2" xfId="14784"/>
    <cellStyle name="好" xfId="14785"/>
    <cellStyle name="好 2" xfId="14786"/>
    <cellStyle name="寥碟徽_95" xfId="1425"/>
    <cellStyle name="峞楩 [0]_95" xfId="1411"/>
    <cellStyle name="峞楩_95" xfId="1412"/>
    <cellStyle name="巍葆 [0]_95" xfId="1432"/>
    <cellStyle name="巍葆_95" xfId="1433"/>
    <cellStyle name="常规_#0440 sch for EEGZ" xfId="1417"/>
    <cellStyle name="普通_96SNPCOS" xfId="1421"/>
    <cellStyle name="標題" xfId="14787"/>
    <cellStyle name="標題 1" xfId="14788"/>
    <cellStyle name="標題 2" xfId="14789"/>
    <cellStyle name="標題 3" xfId="14790"/>
    <cellStyle name="標題 4" xfId="14791"/>
    <cellStyle name="標題 5" xfId="14792"/>
    <cellStyle name="檢查儲存格" xfId="14793"/>
    <cellStyle name="檢查儲存格 2" xfId="14794"/>
    <cellStyle name="火?_Fem.Pro" xfId="1397"/>
    <cellStyle name="珨啜_?掀薹煦昴(荂攝)" xfId="1413"/>
    <cellStyle name="百分比 2" xfId="14795"/>
    <cellStyle name="百分比 2 2" xfId="14796"/>
    <cellStyle name="百分比 2 3" xfId="14797"/>
    <cellStyle name="百分比 2 3 2" xfId="14798"/>
    <cellStyle name="百分比 2 4" xfId="14799"/>
    <cellStyle name="百分比 3" xfId="14800"/>
    <cellStyle name="百分比 3 2" xfId="14801"/>
    <cellStyle name="百分比 4" xfId="14802"/>
    <cellStyle name="砯刽 [0]_BS9701-3" xfId="1414"/>
    <cellStyle name="砯刽[0]_MMC-CP1" xfId="1415"/>
    <cellStyle name="砯刽_BS9701-3" xfId="1416"/>
    <cellStyle name="禬硈挡" xfId="1431"/>
    <cellStyle name="禬硈挡 2" xfId="14804"/>
    <cellStyle name="禬硈挡 3" xfId="14803"/>
    <cellStyle name="綴樟閉撰蟈諉" xfId="1426"/>
    <cellStyle name="綴樟閉撰蟈諉 2" xfId="14806"/>
    <cellStyle name="綴樟閉撰蟈諉 3" xfId="14805"/>
    <cellStyle name="計算方式" xfId="14807"/>
    <cellStyle name="計算方式 2" xfId="14808"/>
    <cellStyle name="計算方式 3" xfId="14809"/>
    <cellStyle name="說明文字" xfId="14810"/>
    <cellStyle name="說明文字 2" xfId="14811"/>
    <cellStyle name="警告文字" xfId="14812"/>
    <cellStyle name="警告文字 2" xfId="14813"/>
    <cellStyle name="讂? [0]_95" xfId="1434"/>
    <cellStyle name="讂?_95" xfId="1435"/>
    <cellStyle name="貨幣[0]_cashflow" xfId="1418"/>
    <cellStyle name="賺詠閣_95" xfId="1430"/>
    <cellStyle name="货币[0]_11072" xfId="1438"/>
    <cellStyle name="货币_11072" xfId="1439"/>
    <cellStyle name="超级链接" xfId="1423"/>
    <cellStyle name="超级链接 2" xfId="14815"/>
    <cellStyle name="超级链接 2 2" xfId="14816"/>
    <cellStyle name="超级链接 2 3" xfId="14817"/>
    <cellStyle name="超级链接 3" xfId="14818"/>
    <cellStyle name="超级链接 4" xfId="14814"/>
    <cellStyle name="超级链接 5" xfId="11234"/>
    <cellStyle name="超级链接 5 2" xfId="15029"/>
    <cellStyle name="超連結" xfId="1422"/>
    <cellStyle name="超連結 2" xfId="14820"/>
    <cellStyle name="超連結 3" xfId="14819"/>
    <cellStyle name="輔色1" xfId="14821"/>
    <cellStyle name="輔色1 2" xfId="14822"/>
    <cellStyle name="輔色2" xfId="14823"/>
    <cellStyle name="輔色2 2" xfId="14824"/>
    <cellStyle name="輔色3" xfId="14825"/>
    <cellStyle name="輔色3 2" xfId="14826"/>
    <cellStyle name="輔色4" xfId="14827"/>
    <cellStyle name="輔色4 2" xfId="14828"/>
    <cellStyle name="輔色5" xfId="14829"/>
    <cellStyle name="輔色5 2" xfId="14830"/>
    <cellStyle name="輔色6" xfId="14831"/>
    <cellStyle name="輔色6 2" xfId="14832"/>
    <cellStyle name="輸入" xfId="14833"/>
    <cellStyle name="輸入 2" xfId="14834"/>
    <cellStyle name="輸入 3" xfId="14835"/>
    <cellStyle name="輸出" xfId="14836"/>
    <cellStyle name="輸出 2" xfId="14837"/>
    <cellStyle name="輸出 3" xfId="14838"/>
    <cellStyle name="連結的儲存格" xfId="14839"/>
    <cellStyle name="連結的儲存格 2" xfId="14840"/>
    <cellStyle name="都寞_1999爛笢惆桶訧蹋" xfId="1419"/>
    <cellStyle name="閉撰蟈諉" xfId="1420"/>
    <cellStyle name="閉撰蟈諉 2" xfId="14842"/>
    <cellStyle name="閉撰蟈諉 3" xfId="14841"/>
    <cellStyle name="隨後的超連結" xfId="1429"/>
    <cellStyle name="隨後的超連結 2" xfId="14844"/>
    <cellStyle name="隨後的超連結 3" xfId="14845"/>
    <cellStyle name="隨後的超連結 4" xfId="14846"/>
    <cellStyle name="隨後的超連結 5" xfId="14847"/>
    <cellStyle name="隨後的超連結 6" xfId="14843"/>
    <cellStyle name="鱔? [0]_95" xfId="1436"/>
    <cellStyle name="鱔?_95" xfId="1437"/>
  </cellStyles>
  <dxfs count="17"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numFmt numFmtId="20" formatCode="d\-mmm\-yy"/>
    </dxf>
    <dxf>
      <numFmt numFmtId="4" formatCode="#,##0.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75499</xdr:colOff>
      <xdr:row>0</xdr:row>
      <xdr:rowOff>133820</xdr:rowOff>
    </xdr:from>
    <xdr:to>
      <xdr:col>1</xdr:col>
      <xdr:colOff>1257293</xdr:colOff>
      <xdr:row>3</xdr:row>
      <xdr:rowOff>22439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499" y="133820"/>
          <a:ext cx="1181794" cy="936369"/>
        </a:xfrm>
        <a:prstGeom prst="rect">
          <a:avLst/>
        </a:prstGeom>
      </xdr:spPr>
    </xdr:pic>
    <xdr:clientData/>
  </xdr:twoCellAnchor>
  <xdr:oneCellAnchor>
    <xdr:from>
      <xdr:col>1</xdr:col>
      <xdr:colOff>1227698</xdr:colOff>
      <xdr:row>0</xdr:row>
      <xdr:rowOff>258234</xdr:rowOff>
    </xdr:from>
    <xdr:ext cx="6364306" cy="593239"/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227698" y="258234"/>
          <a:ext cx="6364306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HK" sz="1600" b="1"/>
            <a:t>The AUM</a:t>
          </a:r>
          <a:r>
            <a:rPr lang="en-HK" sz="1600" b="1" baseline="0"/>
            <a:t> and performances of various funds and co-investment vehicles</a:t>
          </a:r>
        </a:p>
        <a:p>
          <a:r>
            <a:rPr lang="en-HK" sz="1600" b="1" baseline="0"/>
            <a:t>managed by Argyle Street Managmement Limited (ASM)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2</xdr:row>
          <xdr:rowOff>0</xdr:rowOff>
        </xdr:from>
        <xdr:to>
          <xdr:col>4</xdr:col>
          <xdr:colOff>600075</xdr:colOff>
          <xdr:row>2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0</xdr:row>
          <xdr:rowOff>28575</xdr:rowOff>
        </xdr:from>
        <xdr:to>
          <xdr:col>3</xdr:col>
          <xdr:colOff>0</xdr:colOff>
          <xdr:row>1</xdr:row>
          <xdr:rowOff>257175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Step 2: 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47625</xdr:rowOff>
        </xdr:from>
        <xdr:to>
          <xdr:col>7</xdr:col>
          <xdr:colOff>352425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Input validation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undInfo_ASM_AUM_01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upport/Desktop/New%20folder/201801/20180117/FundInfo_ASM_AUM_01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ion"/>
      <sheetName val="Proj"/>
      <sheetName val="Summary (2)"/>
      <sheetName val="Summary"/>
      <sheetName val="Data"/>
      <sheetName val="Rebate"/>
      <sheetName val="ARF"/>
      <sheetName val="HRF"/>
      <sheetName val="SKK"/>
      <sheetName val="TT"/>
      <sheetName val="DTK"/>
      <sheetName val="RR"/>
      <sheetName val="CHF2_S1GP"/>
      <sheetName val="SuperA"/>
      <sheetName val="CHF_S1GP"/>
      <sheetName val="CHF_S2"/>
      <sheetName val="CHF_S2a"/>
      <sheetName val="CHF_S2b"/>
      <sheetName val="CHF_S1b"/>
      <sheetName val="CHF_S3"/>
      <sheetName val="CHF_SUSf1GP"/>
      <sheetName val="CHF_SUSf1a"/>
      <sheetName val="CHF_S4"/>
      <sheetName val="CHF_S5"/>
      <sheetName val="CHF_S5c"/>
      <sheetName val="CHF_S5d"/>
      <sheetName val="CHF_USf4"/>
      <sheetName val="CHF_USf5c"/>
      <sheetName val="CHF_S6"/>
      <sheetName val="CHF_S7"/>
      <sheetName val="CHF_S7d"/>
      <sheetName val="CHF_S7e"/>
      <sheetName val="CHF_S7c"/>
      <sheetName val="CHF_S7a"/>
      <sheetName val="CHF_S8GP"/>
      <sheetName val="CHF_S8"/>
      <sheetName val="CHF_S9"/>
      <sheetName val="CHF_S9b"/>
      <sheetName val="CHF_S9c"/>
      <sheetName val="CHF_S9e"/>
      <sheetName val="CHF_S9WF"/>
      <sheetName val="CHF_USf9"/>
      <sheetName val="CHF_S1a"/>
      <sheetName val="COPT_S2"/>
      <sheetName val="COPT_S3"/>
      <sheetName val="COPT_S4"/>
      <sheetName val="COPT_S1"/>
      <sheetName val="COPT_S1GP"/>
      <sheetName val="COP2T_S2"/>
      <sheetName val="COP2T_S3"/>
      <sheetName val="COP2T_S4"/>
      <sheetName val="COP2T_S1"/>
      <sheetName val="COP2T_S1GP"/>
      <sheetName val="COP2T_S5GP"/>
      <sheetName val="SamSen"/>
      <sheetName val="AAA"/>
      <sheetName val="William"/>
      <sheetName val="BMTR4"/>
      <sheetName val="OPL"/>
      <sheetName val="Televisi"/>
      <sheetName val="Mercury"/>
      <sheetName val="Donald"/>
      <sheetName val="Leopark 2"/>
      <sheetName val="Note"/>
      <sheetName val="Conrex"/>
      <sheetName val="New BMTR"/>
      <sheetName val="COL"/>
      <sheetName val="Amsteel"/>
      <sheetName val="RML"/>
      <sheetName val="LAAP"/>
      <sheetName val="BMTR2"/>
      <sheetName val="GDF"/>
      <sheetName val="Input"/>
      <sheetName val="ASM Equities"/>
    </sheetNames>
    <sheetDataSet>
      <sheetData sheetId="0" refreshError="1"/>
      <sheetData sheetId="1" refreshError="1"/>
      <sheetData sheetId="2" refreshError="1"/>
      <sheetData sheetId="3">
        <row r="3">
          <cell r="B3">
            <v>43069</v>
          </cell>
        </row>
      </sheetData>
      <sheetData sheetId="4" refreshError="1"/>
      <sheetData sheetId="5" refreshError="1"/>
      <sheetData sheetId="6">
        <row r="6">
          <cell r="A6">
            <v>43069</v>
          </cell>
        </row>
        <row r="7">
          <cell r="A7">
            <v>37346</v>
          </cell>
        </row>
        <row r="8">
          <cell r="A8">
            <v>37376</v>
          </cell>
        </row>
        <row r="9">
          <cell r="A9">
            <v>37407</v>
          </cell>
        </row>
        <row r="10">
          <cell r="A10">
            <v>37435</v>
          </cell>
        </row>
        <row r="11">
          <cell r="A11">
            <v>37468</v>
          </cell>
        </row>
        <row r="12">
          <cell r="A12">
            <v>37498</v>
          </cell>
        </row>
        <row r="13">
          <cell r="A13">
            <v>37529</v>
          </cell>
        </row>
        <row r="14">
          <cell r="A14">
            <v>37559</v>
          </cell>
        </row>
        <row r="15">
          <cell r="A15">
            <v>37589</v>
          </cell>
        </row>
        <row r="16">
          <cell r="A16">
            <v>37621</v>
          </cell>
        </row>
        <row r="17">
          <cell r="A17">
            <v>37652</v>
          </cell>
        </row>
        <row r="18">
          <cell r="A18">
            <v>37680</v>
          </cell>
        </row>
        <row r="19">
          <cell r="A19">
            <v>37711</v>
          </cell>
        </row>
        <row r="20">
          <cell r="A20">
            <v>37741</v>
          </cell>
        </row>
        <row r="21">
          <cell r="A21">
            <v>37771</v>
          </cell>
        </row>
        <row r="22">
          <cell r="A22">
            <v>37802</v>
          </cell>
        </row>
        <row r="23">
          <cell r="A23">
            <v>37833</v>
          </cell>
        </row>
        <row r="24">
          <cell r="A24">
            <v>37862</v>
          </cell>
        </row>
        <row r="25">
          <cell r="A25">
            <v>37894</v>
          </cell>
        </row>
        <row r="26">
          <cell r="A26">
            <v>37925</v>
          </cell>
        </row>
        <row r="27">
          <cell r="A27">
            <v>37953</v>
          </cell>
        </row>
        <row r="28">
          <cell r="A28">
            <v>37986</v>
          </cell>
        </row>
        <row r="29">
          <cell r="A29">
            <v>38017</v>
          </cell>
        </row>
        <row r="30">
          <cell r="A30">
            <v>38044</v>
          </cell>
        </row>
        <row r="31">
          <cell r="A31">
            <v>38077</v>
          </cell>
        </row>
        <row r="32">
          <cell r="A32">
            <v>38107</v>
          </cell>
        </row>
        <row r="33">
          <cell r="A33">
            <v>38138</v>
          </cell>
        </row>
        <row r="34">
          <cell r="A34">
            <v>38168</v>
          </cell>
        </row>
        <row r="35">
          <cell r="A35">
            <v>38198</v>
          </cell>
        </row>
        <row r="36">
          <cell r="A36">
            <v>38230</v>
          </cell>
        </row>
        <row r="37">
          <cell r="A37">
            <v>38260</v>
          </cell>
        </row>
        <row r="38">
          <cell r="A38">
            <v>38289</v>
          </cell>
        </row>
        <row r="39">
          <cell r="A39">
            <v>38321</v>
          </cell>
        </row>
        <row r="40">
          <cell r="A40">
            <v>38352</v>
          </cell>
        </row>
        <row r="41">
          <cell r="A41">
            <v>38383</v>
          </cell>
        </row>
        <row r="42">
          <cell r="A42">
            <v>38411</v>
          </cell>
        </row>
        <row r="43">
          <cell r="A43">
            <v>38442</v>
          </cell>
        </row>
        <row r="44">
          <cell r="A44">
            <v>38472</v>
          </cell>
        </row>
        <row r="45">
          <cell r="A45">
            <v>38503</v>
          </cell>
        </row>
        <row r="46">
          <cell r="A46">
            <v>38533</v>
          </cell>
        </row>
        <row r="47">
          <cell r="A47">
            <v>38564</v>
          </cell>
        </row>
        <row r="48">
          <cell r="A48">
            <v>38595</v>
          </cell>
        </row>
        <row r="49">
          <cell r="A49">
            <v>38625</v>
          </cell>
        </row>
        <row r="50">
          <cell r="A50">
            <v>38656</v>
          </cell>
        </row>
        <row r="51">
          <cell r="A51">
            <v>38686</v>
          </cell>
        </row>
        <row r="52">
          <cell r="A52">
            <v>38717</v>
          </cell>
        </row>
        <row r="53">
          <cell r="A53">
            <v>38747</v>
          </cell>
        </row>
        <row r="54">
          <cell r="A54">
            <v>38775</v>
          </cell>
        </row>
        <row r="55">
          <cell r="A55">
            <v>38807</v>
          </cell>
        </row>
        <row r="56">
          <cell r="A56">
            <v>38837</v>
          </cell>
        </row>
        <row r="57">
          <cell r="A57">
            <v>38868</v>
          </cell>
        </row>
        <row r="58">
          <cell r="A58">
            <v>38898</v>
          </cell>
        </row>
        <row r="59">
          <cell r="A59">
            <v>38929</v>
          </cell>
        </row>
        <row r="60">
          <cell r="A60">
            <v>38960</v>
          </cell>
        </row>
        <row r="61">
          <cell r="A61">
            <v>38990</v>
          </cell>
        </row>
        <row r="62">
          <cell r="A62">
            <v>39021</v>
          </cell>
        </row>
        <row r="63">
          <cell r="A63">
            <v>39051</v>
          </cell>
        </row>
        <row r="64">
          <cell r="A64">
            <v>39082</v>
          </cell>
        </row>
        <row r="65">
          <cell r="A65">
            <v>39113</v>
          </cell>
        </row>
        <row r="66">
          <cell r="A66">
            <v>39141</v>
          </cell>
        </row>
        <row r="67">
          <cell r="A67">
            <v>39171</v>
          </cell>
        </row>
        <row r="68">
          <cell r="A68">
            <v>39202</v>
          </cell>
        </row>
        <row r="69">
          <cell r="A69">
            <v>39233</v>
          </cell>
        </row>
        <row r="70">
          <cell r="A70">
            <v>39262</v>
          </cell>
        </row>
        <row r="71">
          <cell r="A71">
            <v>39294</v>
          </cell>
        </row>
        <row r="72">
          <cell r="A72">
            <v>39325</v>
          </cell>
        </row>
        <row r="73">
          <cell r="A73">
            <v>39355</v>
          </cell>
        </row>
        <row r="74">
          <cell r="A74">
            <v>39386</v>
          </cell>
        </row>
        <row r="75">
          <cell r="A75">
            <v>39416</v>
          </cell>
        </row>
        <row r="76">
          <cell r="A76">
            <v>39447</v>
          </cell>
        </row>
        <row r="77">
          <cell r="A77">
            <v>39478</v>
          </cell>
        </row>
        <row r="78">
          <cell r="A78">
            <v>39507</v>
          </cell>
        </row>
        <row r="79">
          <cell r="A79">
            <v>39538</v>
          </cell>
        </row>
        <row r="80">
          <cell r="A80">
            <v>39568</v>
          </cell>
        </row>
        <row r="81">
          <cell r="A81">
            <v>39598</v>
          </cell>
        </row>
        <row r="82">
          <cell r="A82">
            <v>39629</v>
          </cell>
        </row>
        <row r="83">
          <cell r="A83">
            <v>39660</v>
          </cell>
        </row>
        <row r="84">
          <cell r="A84">
            <v>39689</v>
          </cell>
        </row>
        <row r="85">
          <cell r="A85">
            <v>39721</v>
          </cell>
        </row>
        <row r="86">
          <cell r="A86">
            <v>39752</v>
          </cell>
        </row>
        <row r="87">
          <cell r="A87">
            <v>39780</v>
          </cell>
        </row>
        <row r="88">
          <cell r="A88">
            <v>39813</v>
          </cell>
        </row>
        <row r="89">
          <cell r="A89">
            <v>39843</v>
          </cell>
        </row>
        <row r="90">
          <cell r="A90">
            <v>39871</v>
          </cell>
        </row>
        <row r="91">
          <cell r="A91">
            <v>39903</v>
          </cell>
        </row>
        <row r="92">
          <cell r="A92">
            <v>39933</v>
          </cell>
        </row>
        <row r="93">
          <cell r="A93">
            <v>39962</v>
          </cell>
        </row>
        <row r="94">
          <cell r="A94">
            <v>39994</v>
          </cell>
        </row>
        <row r="95">
          <cell r="A95">
            <v>40025</v>
          </cell>
        </row>
        <row r="96">
          <cell r="A96">
            <v>40056</v>
          </cell>
        </row>
        <row r="97">
          <cell r="A97">
            <v>40086</v>
          </cell>
        </row>
        <row r="98">
          <cell r="A98">
            <v>40116</v>
          </cell>
        </row>
        <row r="99">
          <cell r="A99">
            <v>40147</v>
          </cell>
        </row>
        <row r="100">
          <cell r="A100">
            <v>40178</v>
          </cell>
        </row>
        <row r="101">
          <cell r="A101">
            <v>40207</v>
          </cell>
        </row>
        <row r="102">
          <cell r="A102">
            <v>40235</v>
          </cell>
        </row>
        <row r="103">
          <cell r="A103">
            <v>40268</v>
          </cell>
        </row>
        <row r="104">
          <cell r="A104">
            <v>40298</v>
          </cell>
        </row>
        <row r="105">
          <cell r="A105">
            <v>40329</v>
          </cell>
        </row>
        <row r="106">
          <cell r="A106">
            <v>40359</v>
          </cell>
        </row>
        <row r="107">
          <cell r="A107">
            <v>40389</v>
          </cell>
        </row>
        <row r="108">
          <cell r="A108">
            <v>40421</v>
          </cell>
        </row>
        <row r="109">
          <cell r="A109">
            <v>40451</v>
          </cell>
        </row>
        <row r="110">
          <cell r="A110">
            <v>40480</v>
          </cell>
        </row>
        <row r="111">
          <cell r="A111">
            <v>40512</v>
          </cell>
        </row>
        <row r="112">
          <cell r="A112">
            <v>40543</v>
          </cell>
        </row>
        <row r="113">
          <cell r="A113">
            <v>40574</v>
          </cell>
        </row>
        <row r="114">
          <cell r="A114">
            <v>40602</v>
          </cell>
        </row>
        <row r="115">
          <cell r="A115">
            <v>40633</v>
          </cell>
        </row>
        <row r="116">
          <cell r="A116">
            <v>40662</v>
          </cell>
        </row>
        <row r="117">
          <cell r="A117">
            <v>40694</v>
          </cell>
        </row>
        <row r="118">
          <cell r="A118">
            <v>40724</v>
          </cell>
        </row>
        <row r="119">
          <cell r="A119">
            <v>40753</v>
          </cell>
        </row>
        <row r="120">
          <cell r="A120">
            <v>40786</v>
          </cell>
        </row>
        <row r="121">
          <cell r="A121">
            <v>40816</v>
          </cell>
        </row>
        <row r="122">
          <cell r="A122">
            <v>40847</v>
          </cell>
        </row>
        <row r="123">
          <cell r="A123">
            <v>40877</v>
          </cell>
        </row>
        <row r="124">
          <cell r="A124">
            <v>40907</v>
          </cell>
        </row>
        <row r="125">
          <cell r="A125">
            <v>40939</v>
          </cell>
        </row>
        <row r="126">
          <cell r="A126">
            <v>40968</v>
          </cell>
        </row>
        <row r="127">
          <cell r="A127">
            <v>40998</v>
          </cell>
        </row>
        <row r="128">
          <cell r="A128">
            <v>41029</v>
          </cell>
        </row>
        <row r="129">
          <cell r="A129">
            <v>41060</v>
          </cell>
        </row>
        <row r="130">
          <cell r="A130">
            <v>41089</v>
          </cell>
        </row>
        <row r="131">
          <cell r="A131">
            <v>41121</v>
          </cell>
        </row>
        <row r="132">
          <cell r="A132">
            <v>41152</v>
          </cell>
        </row>
        <row r="133">
          <cell r="A133">
            <v>41180</v>
          </cell>
        </row>
        <row r="134">
          <cell r="A134">
            <v>41213</v>
          </cell>
        </row>
        <row r="135">
          <cell r="A135">
            <v>41243</v>
          </cell>
        </row>
        <row r="136">
          <cell r="A136">
            <v>41274</v>
          </cell>
        </row>
        <row r="137">
          <cell r="A137">
            <v>41305</v>
          </cell>
        </row>
        <row r="138">
          <cell r="A138">
            <v>41333</v>
          </cell>
        </row>
        <row r="139">
          <cell r="A139">
            <v>41361</v>
          </cell>
        </row>
        <row r="140">
          <cell r="A140">
            <v>41394</v>
          </cell>
        </row>
        <row r="141">
          <cell r="A141">
            <v>41425</v>
          </cell>
        </row>
        <row r="142">
          <cell r="A142">
            <v>41453</v>
          </cell>
        </row>
        <row r="143">
          <cell r="A143">
            <v>41486</v>
          </cell>
        </row>
        <row r="144">
          <cell r="A144">
            <v>41516</v>
          </cell>
        </row>
        <row r="145">
          <cell r="A145">
            <v>41547</v>
          </cell>
        </row>
        <row r="146">
          <cell r="A146">
            <v>41578</v>
          </cell>
        </row>
        <row r="147">
          <cell r="A147">
            <v>41607</v>
          </cell>
        </row>
        <row r="148">
          <cell r="A148">
            <v>41639</v>
          </cell>
        </row>
        <row r="149">
          <cell r="A149">
            <v>41669</v>
          </cell>
        </row>
        <row r="150">
          <cell r="A150">
            <v>41698</v>
          </cell>
        </row>
        <row r="151">
          <cell r="A151">
            <v>41729</v>
          </cell>
        </row>
        <row r="152">
          <cell r="A152">
            <v>41759</v>
          </cell>
        </row>
        <row r="153">
          <cell r="A153">
            <v>41789</v>
          </cell>
        </row>
        <row r="154">
          <cell r="A154">
            <v>41820</v>
          </cell>
        </row>
        <row r="155">
          <cell r="A155">
            <v>41851</v>
          </cell>
        </row>
        <row r="156">
          <cell r="A156">
            <v>41880</v>
          </cell>
        </row>
        <row r="157">
          <cell r="A157">
            <v>41912</v>
          </cell>
        </row>
        <row r="158">
          <cell r="A158">
            <v>41943</v>
          </cell>
        </row>
        <row r="159">
          <cell r="A159">
            <v>41971</v>
          </cell>
        </row>
        <row r="160">
          <cell r="A160">
            <v>42004</v>
          </cell>
        </row>
        <row r="161">
          <cell r="A161">
            <v>42034</v>
          </cell>
        </row>
        <row r="162">
          <cell r="A162">
            <v>42062</v>
          </cell>
        </row>
        <row r="163">
          <cell r="A163">
            <v>42094</v>
          </cell>
        </row>
        <row r="164">
          <cell r="A164">
            <v>42124</v>
          </cell>
        </row>
        <row r="165">
          <cell r="A165">
            <v>42153</v>
          </cell>
        </row>
        <row r="166">
          <cell r="A166">
            <v>42185</v>
          </cell>
        </row>
        <row r="167">
          <cell r="A167">
            <v>42216</v>
          </cell>
        </row>
        <row r="168">
          <cell r="A168">
            <v>42247</v>
          </cell>
        </row>
        <row r="169">
          <cell r="A169">
            <v>42277</v>
          </cell>
        </row>
        <row r="170">
          <cell r="A170">
            <v>42307</v>
          </cell>
        </row>
        <row r="171">
          <cell r="A171">
            <v>42338</v>
          </cell>
        </row>
        <row r="172">
          <cell r="A172">
            <v>42369</v>
          </cell>
        </row>
        <row r="173">
          <cell r="A173">
            <v>42398</v>
          </cell>
        </row>
        <row r="174">
          <cell r="A174">
            <v>42429</v>
          </cell>
        </row>
        <row r="175">
          <cell r="A175">
            <v>42460</v>
          </cell>
        </row>
        <row r="176">
          <cell r="A176">
            <v>42489</v>
          </cell>
        </row>
        <row r="177">
          <cell r="A177">
            <v>42521</v>
          </cell>
        </row>
        <row r="178">
          <cell r="A178">
            <v>42551</v>
          </cell>
        </row>
        <row r="179">
          <cell r="A179">
            <v>42580</v>
          </cell>
        </row>
        <row r="180">
          <cell r="A180">
            <v>42613</v>
          </cell>
        </row>
        <row r="181">
          <cell r="A181">
            <v>42643</v>
          </cell>
        </row>
        <row r="182">
          <cell r="A182">
            <v>42674</v>
          </cell>
        </row>
        <row r="183">
          <cell r="A183">
            <v>42704</v>
          </cell>
        </row>
        <row r="184">
          <cell r="A184">
            <v>42734</v>
          </cell>
        </row>
        <row r="185">
          <cell r="A185">
            <v>42762</v>
          </cell>
        </row>
        <row r="186">
          <cell r="A186">
            <v>42794</v>
          </cell>
        </row>
        <row r="187">
          <cell r="A187">
            <v>42825</v>
          </cell>
        </row>
        <row r="188">
          <cell r="A188">
            <v>42853</v>
          </cell>
        </row>
        <row r="189">
          <cell r="A189">
            <v>42886</v>
          </cell>
        </row>
        <row r="190">
          <cell r="A190">
            <v>42916</v>
          </cell>
        </row>
        <row r="191">
          <cell r="A191">
            <v>42947</v>
          </cell>
        </row>
        <row r="192">
          <cell r="A192">
            <v>42978</v>
          </cell>
        </row>
        <row r="193">
          <cell r="A193">
            <v>43007</v>
          </cell>
        </row>
        <row r="194">
          <cell r="A194">
            <v>43039</v>
          </cell>
        </row>
        <row r="195">
          <cell r="A195">
            <v>43069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ion"/>
      <sheetName val="Proj"/>
      <sheetName val="Summary (2)"/>
      <sheetName val="Summary"/>
      <sheetName val="Data"/>
      <sheetName val="Rebate"/>
      <sheetName val="Sheet1"/>
      <sheetName val="TRANSData"/>
      <sheetName val="ARF"/>
      <sheetName val="HRF"/>
      <sheetName val="SKK"/>
      <sheetName val="TT"/>
      <sheetName val="DTK"/>
      <sheetName val="RR"/>
      <sheetName val="CHF2_S1GP"/>
      <sheetName val="SuperA"/>
      <sheetName val="CHF_S1GP"/>
      <sheetName val="CHF_S2"/>
      <sheetName val="CHF_S2a"/>
      <sheetName val="CHF_S2b"/>
      <sheetName val="CHF_S1b"/>
      <sheetName val="CHF_S3"/>
      <sheetName val="CHF_SUSf1GP"/>
      <sheetName val="CHF_SUSf1a"/>
      <sheetName val="CHF_S4"/>
      <sheetName val="CHF_S5"/>
      <sheetName val="CHF_S5c"/>
      <sheetName val="CHF_S5d"/>
      <sheetName val="CHF_USf4"/>
      <sheetName val="CHF_USf5c"/>
      <sheetName val="CHF_S6"/>
      <sheetName val="CHF_S7"/>
      <sheetName val="CHF_S7d"/>
      <sheetName val="CHF_S7e"/>
      <sheetName val="CHF_S7c"/>
      <sheetName val="CHF_S7a"/>
      <sheetName val="CHF_S8GP"/>
      <sheetName val="CHF_S8"/>
      <sheetName val="CHF_S9"/>
      <sheetName val="CHF_S9b"/>
      <sheetName val="CHF_S9c"/>
      <sheetName val="CHF_S9e"/>
      <sheetName val="CHF_S9WF"/>
      <sheetName val="CHF_USf9"/>
      <sheetName val="CHF_S1a"/>
      <sheetName val="COPT_S2"/>
      <sheetName val="COPT_S3"/>
      <sheetName val="COPT_S4"/>
      <sheetName val="COPT_S1"/>
      <sheetName val="COPT_S1GP"/>
      <sheetName val="COP2T_S2"/>
      <sheetName val="COP2T_S3"/>
      <sheetName val="COP2T_S4"/>
      <sheetName val="COP2T_S1"/>
      <sheetName val="COP2T_S1GP"/>
      <sheetName val="COP2T_S5GP"/>
      <sheetName val="SamSen"/>
      <sheetName val="AAA"/>
      <sheetName val="William"/>
      <sheetName val="BMTR4"/>
      <sheetName val="OPL"/>
      <sheetName val="Televisi"/>
      <sheetName val="Mercury"/>
      <sheetName val="Donald"/>
      <sheetName val="Leopark 2"/>
      <sheetName val="Note"/>
      <sheetName val="Conrex"/>
      <sheetName val="New BMTR"/>
      <sheetName val="COL"/>
      <sheetName val="Amsteel"/>
      <sheetName val="RML"/>
      <sheetName val="LAAP"/>
      <sheetName val="BMTR2"/>
      <sheetName val="GDF"/>
      <sheetName val="Input"/>
      <sheetName val="ASM Equities"/>
    </sheetNames>
    <sheetDataSet>
      <sheetData sheetId="0"/>
      <sheetData sheetId="1"/>
      <sheetData sheetId="2"/>
      <sheetData sheetId="3">
        <row r="3">
          <cell r="B3">
            <v>43069</v>
          </cell>
        </row>
      </sheetData>
      <sheetData sheetId="4"/>
      <sheetData sheetId="5"/>
      <sheetData sheetId="6"/>
      <sheetData sheetId="7"/>
      <sheetData sheetId="8">
        <row r="6">
          <cell r="A6">
            <v>43069</v>
          </cell>
        </row>
        <row r="7">
          <cell r="A7">
            <v>37346</v>
          </cell>
        </row>
        <row r="8">
          <cell r="A8">
            <v>37376</v>
          </cell>
        </row>
        <row r="9">
          <cell r="A9">
            <v>37407</v>
          </cell>
        </row>
        <row r="10">
          <cell r="A10">
            <v>37435</v>
          </cell>
        </row>
        <row r="11">
          <cell r="A11">
            <v>37468</v>
          </cell>
        </row>
        <row r="12">
          <cell r="A12">
            <v>37498</v>
          </cell>
        </row>
        <row r="13">
          <cell r="A13">
            <v>37529</v>
          </cell>
        </row>
        <row r="14">
          <cell r="A14">
            <v>37559</v>
          </cell>
        </row>
        <row r="15">
          <cell r="A15">
            <v>37589</v>
          </cell>
        </row>
        <row r="16">
          <cell r="A16">
            <v>37621</v>
          </cell>
        </row>
        <row r="17">
          <cell r="A17">
            <v>37652</v>
          </cell>
        </row>
        <row r="18">
          <cell r="A18">
            <v>37680</v>
          </cell>
        </row>
        <row r="19">
          <cell r="A19">
            <v>37711</v>
          </cell>
        </row>
        <row r="20">
          <cell r="A20">
            <v>37741</v>
          </cell>
        </row>
        <row r="21">
          <cell r="A21">
            <v>37771</v>
          </cell>
        </row>
        <row r="22">
          <cell r="A22">
            <v>37802</v>
          </cell>
        </row>
        <row r="23">
          <cell r="A23">
            <v>37833</v>
          </cell>
        </row>
        <row r="24">
          <cell r="A24">
            <v>37862</v>
          </cell>
        </row>
        <row r="25">
          <cell r="A25">
            <v>37894</v>
          </cell>
        </row>
        <row r="26">
          <cell r="A26">
            <v>37925</v>
          </cell>
        </row>
        <row r="27">
          <cell r="A27">
            <v>37953</v>
          </cell>
        </row>
        <row r="28">
          <cell r="A28">
            <v>37986</v>
          </cell>
        </row>
        <row r="29">
          <cell r="A29">
            <v>38017</v>
          </cell>
        </row>
        <row r="30">
          <cell r="A30">
            <v>38044</v>
          </cell>
        </row>
        <row r="31">
          <cell r="A31">
            <v>38077</v>
          </cell>
        </row>
        <row r="32">
          <cell r="A32">
            <v>38107</v>
          </cell>
        </row>
        <row r="33">
          <cell r="A33">
            <v>38138</v>
          </cell>
        </row>
        <row r="34">
          <cell r="A34">
            <v>38168</v>
          </cell>
        </row>
        <row r="35">
          <cell r="A35">
            <v>38198</v>
          </cell>
        </row>
        <row r="36">
          <cell r="A36">
            <v>38230</v>
          </cell>
        </row>
        <row r="37">
          <cell r="A37">
            <v>38260</v>
          </cell>
        </row>
        <row r="38">
          <cell r="A38">
            <v>38289</v>
          </cell>
        </row>
        <row r="39">
          <cell r="A39">
            <v>38321</v>
          </cell>
        </row>
        <row r="40">
          <cell r="A40">
            <v>38352</v>
          </cell>
        </row>
        <row r="41">
          <cell r="A41">
            <v>38383</v>
          </cell>
        </row>
        <row r="42">
          <cell r="A42">
            <v>38411</v>
          </cell>
        </row>
        <row r="43">
          <cell r="A43">
            <v>38442</v>
          </cell>
        </row>
        <row r="44">
          <cell r="A44">
            <v>38472</v>
          </cell>
        </row>
        <row r="45">
          <cell r="A45">
            <v>38503</v>
          </cell>
        </row>
        <row r="46">
          <cell r="A46">
            <v>38533</v>
          </cell>
        </row>
        <row r="47">
          <cell r="A47">
            <v>38564</v>
          </cell>
        </row>
        <row r="48">
          <cell r="A48">
            <v>38595</v>
          </cell>
        </row>
        <row r="49">
          <cell r="A49">
            <v>38625</v>
          </cell>
        </row>
        <row r="50">
          <cell r="A50">
            <v>38656</v>
          </cell>
        </row>
        <row r="51">
          <cell r="A51">
            <v>38686</v>
          </cell>
        </row>
        <row r="52">
          <cell r="A52">
            <v>38717</v>
          </cell>
        </row>
        <row r="53">
          <cell r="A53">
            <v>38747</v>
          </cell>
        </row>
        <row r="54">
          <cell r="A54">
            <v>38775</v>
          </cell>
        </row>
        <row r="55">
          <cell r="A55">
            <v>38807</v>
          </cell>
        </row>
        <row r="56">
          <cell r="A56">
            <v>38837</v>
          </cell>
        </row>
        <row r="57">
          <cell r="A57">
            <v>38868</v>
          </cell>
        </row>
        <row r="58">
          <cell r="A58">
            <v>38898</v>
          </cell>
        </row>
        <row r="59">
          <cell r="A59">
            <v>38929</v>
          </cell>
        </row>
        <row r="60">
          <cell r="A60">
            <v>38960</v>
          </cell>
        </row>
        <row r="61">
          <cell r="A61">
            <v>38990</v>
          </cell>
        </row>
        <row r="62">
          <cell r="A62">
            <v>39021</v>
          </cell>
        </row>
        <row r="63">
          <cell r="A63">
            <v>39051</v>
          </cell>
        </row>
        <row r="64">
          <cell r="A64">
            <v>39082</v>
          </cell>
        </row>
        <row r="65">
          <cell r="A65">
            <v>39113</v>
          </cell>
        </row>
        <row r="66">
          <cell r="A66">
            <v>39141</v>
          </cell>
        </row>
        <row r="67">
          <cell r="A67">
            <v>39171</v>
          </cell>
        </row>
        <row r="68">
          <cell r="A68">
            <v>39202</v>
          </cell>
        </row>
        <row r="69">
          <cell r="A69">
            <v>39233</v>
          </cell>
        </row>
        <row r="70">
          <cell r="A70">
            <v>39262</v>
          </cell>
        </row>
        <row r="71">
          <cell r="A71">
            <v>39294</v>
          </cell>
        </row>
        <row r="72">
          <cell r="A72">
            <v>39325</v>
          </cell>
        </row>
        <row r="73">
          <cell r="A73">
            <v>39355</v>
          </cell>
        </row>
        <row r="74">
          <cell r="A74">
            <v>39386</v>
          </cell>
        </row>
        <row r="75">
          <cell r="A75">
            <v>39416</v>
          </cell>
        </row>
        <row r="76">
          <cell r="A76">
            <v>39447</v>
          </cell>
        </row>
        <row r="77">
          <cell r="A77">
            <v>39478</v>
          </cell>
        </row>
        <row r="78">
          <cell r="A78">
            <v>39507</v>
          </cell>
        </row>
        <row r="79">
          <cell r="A79">
            <v>39538</v>
          </cell>
        </row>
        <row r="80">
          <cell r="A80">
            <v>39568</v>
          </cell>
        </row>
        <row r="81">
          <cell r="A81">
            <v>39598</v>
          </cell>
        </row>
        <row r="82">
          <cell r="A82">
            <v>39629</v>
          </cell>
        </row>
        <row r="83">
          <cell r="A83">
            <v>39660</v>
          </cell>
        </row>
        <row r="84">
          <cell r="A84">
            <v>39689</v>
          </cell>
        </row>
        <row r="85">
          <cell r="A85">
            <v>39721</v>
          </cell>
        </row>
        <row r="86">
          <cell r="A86">
            <v>39752</v>
          </cell>
        </row>
        <row r="87">
          <cell r="A87">
            <v>39780</v>
          </cell>
        </row>
        <row r="88">
          <cell r="A88">
            <v>39813</v>
          </cell>
        </row>
        <row r="89">
          <cell r="A89">
            <v>39843</v>
          </cell>
        </row>
        <row r="90">
          <cell r="A90">
            <v>39871</v>
          </cell>
        </row>
        <row r="91">
          <cell r="A91">
            <v>39903</v>
          </cell>
        </row>
        <row r="92">
          <cell r="A92">
            <v>39933</v>
          </cell>
        </row>
        <row r="93">
          <cell r="A93">
            <v>39962</v>
          </cell>
        </row>
        <row r="94">
          <cell r="A94">
            <v>39994</v>
          </cell>
        </row>
        <row r="95">
          <cell r="A95">
            <v>40025</v>
          </cell>
        </row>
        <row r="96">
          <cell r="A96">
            <v>40056</v>
          </cell>
        </row>
        <row r="97">
          <cell r="A97">
            <v>40086</v>
          </cell>
        </row>
        <row r="98">
          <cell r="A98">
            <v>40116</v>
          </cell>
        </row>
        <row r="99">
          <cell r="A99">
            <v>40147</v>
          </cell>
        </row>
        <row r="100">
          <cell r="A100">
            <v>40178</v>
          </cell>
        </row>
        <row r="101">
          <cell r="A101">
            <v>40207</v>
          </cell>
        </row>
        <row r="102">
          <cell r="A102">
            <v>40235</v>
          </cell>
        </row>
        <row r="103">
          <cell r="A103">
            <v>40268</v>
          </cell>
        </row>
        <row r="104">
          <cell r="A104">
            <v>40298</v>
          </cell>
        </row>
        <row r="105">
          <cell r="A105">
            <v>40329</v>
          </cell>
        </row>
        <row r="106">
          <cell r="A106">
            <v>40359</v>
          </cell>
        </row>
        <row r="107">
          <cell r="A107">
            <v>40389</v>
          </cell>
        </row>
        <row r="108">
          <cell r="A108">
            <v>40421</v>
          </cell>
        </row>
        <row r="109">
          <cell r="A109">
            <v>40451</v>
          </cell>
        </row>
        <row r="110">
          <cell r="A110">
            <v>40480</v>
          </cell>
        </row>
        <row r="111">
          <cell r="A111">
            <v>40512</v>
          </cell>
        </row>
        <row r="112">
          <cell r="A112">
            <v>40543</v>
          </cell>
        </row>
        <row r="113">
          <cell r="A113">
            <v>40574</v>
          </cell>
        </row>
        <row r="114">
          <cell r="A114">
            <v>40602</v>
          </cell>
        </row>
        <row r="115">
          <cell r="A115">
            <v>40633</v>
          </cell>
        </row>
        <row r="116">
          <cell r="A116">
            <v>40662</v>
          </cell>
        </row>
        <row r="117">
          <cell r="A117">
            <v>40694</v>
          </cell>
        </row>
        <row r="118">
          <cell r="A118">
            <v>40724</v>
          </cell>
        </row>
        <row r="119">
          <cell r="A119">
            <v>40753</v>
          </cell>
        </row>
        <row r="120">
          <cell r="A120">
            <v>40786</v>
          </cell>
        </row>
        <row r="121">
          <cell r="A121">
            <v>40816</v>
          </cell>
        </row>
        <row r="122">
          <cell r="A122">
            <v>40847</v>
          </cell>
        </row>
        <row r="123">
          <cell r="A123">
            <v>40877</v>
          </cell>
        </row>
        <row r="124">
          <cell r="A124">
            <v>40907</v>
          </cell>
        </row>
        <row r="125">
          <cell r="A125">
            <v>40939</v>
          </cell>
        </row>
        <row r="126">
          <cell r="A126">
            <v>40968</v>
          </cell>
        </row>
        <row r="127">
          <cell r="A127">
            <v>40998</v>
          </cell>
        </row>
        <row r="128">
          <cell r="A128">
            <v>41029</v>
          </cell>
        </row>
        <row r="129">
          <cell r="A129">
            <v>41060</v>
          </cell>
        </row>
        <row r="130">
          <cell r="A130">
            <v>41089</v>
          </cell>
        </row>
        <row r="131">
          <cell r="A131">
            <v>41121</v>
          </cell>
        </row>
        <row r="132">
          <cell r="A132">
            <v>41152</v>
          </cell>
        </row>
        <row r="133">
          <cell r="A133">
            <v>41180</v>
          </cell>
        </row>
        <row r="134">
          <cell r="A134">
            <v>41213</v>
          </cell>
        </row>
        <row r="135">
          <cell r="A135">
            <v>41243</v>
          </cell>
        </row>
        <row r="136">
          <cell r="A136">
            <v>41274</v>
          </cell>
        </row>
        <row r="137">
          <cell r="A137">
            <v>41305</v>
          </cell>
        </row>
        <row r="138">
          <cell r="A138">
            <v>41333</v>
          </cell>
        </row>
        <row r="139">
          <cell r="A139">
            <v>41361</v>
          </cell>
        </row>
        <row r="140">
          <cell r="A140">
            <v>41394</v>
          </cell>
        </row>
        <row r="141">
          <cell r="A141">
            <v>41425</v>
          </cell>
        </row>
        <row r="142">
          <cell r="A142">
            <v>41453</v>
          </cell>
        </row>
        <row r="143">
          <cell r="A143">
            <v>41486</v>
          </cell>
        </row>
        <row r="144">
          <cell r="A144">
            <v>41516</v>
          </cell>
        </row>
        <row r="145">
          <cell r="A145">
            <v>41547</v>
          </cell>
        </row>
        <row r="146">
          <cell r="A146">
            <v>41578</v>
          </cell>
        </row>
        <row r="147">
          <cell r="A147">
            <v>41607</v>
          </cell>
        </row>
        <row r="148">
          <cell r="A148">
            <v>41639</v>
          </cell>
        </row>
        <row r="149">
          <cell r="A149">
            <v>41669</v>
          </cell>
        </row>
        <row r="150">
          <cell r="A150">
            <v>41698</v>
          </cell>
        </row>
        <row r="151">
          <cell r="A151">
            <v>41729</v>
          </cell>
        </row>
        <row r="152">
          <cell r="A152">
            <v>41759</v>
          </cell>
        </row>
        <row r="153">
          <cell r="A153">
            <v>41789</v>
          </cell>
        </row>
        <row r="154">
          <cell r="A154">
            <v>41820</v>
          </cell>
        </row>
        <row r="155">
          <cell r="A155">
            <v>41851</v>
          </cell>
        </row>
        <row r="156">
          <cell r="A156">
            <v>41880</v>
          </cell>
        </row>
        <row r="157">
          <cell r="A157">
            <v>41912</v>
          </cell>
        </row>
        <row r="158">
          <cell r="A158">
            <v>41943</v>
          </cell>
        </row>
        <row r="159">
          <cell r="A159">
            <v>41971</v>
          </cell>
        </row>
        <row r="160">
          <cell r="A160">
            <v>42004</v>
          </cell>
        </row>
        <row r="161">
          <cell r="A161">
            <v>42034</v>
          </cell>
        </row>
        <row r="162">
          <cell r="A162">
            <v>42062</v>
          </cell>
        </row>
        <row r="163">
          <cell r="A163">
            <v>42094</v>
          </cell>
        </row>
        <row r="164">
          <cell r="A164">
            <v>42124</v>
          </cell>
        </row>
        <row r="165">
          <cell r="A165">
            <v>42153</v>
          </cell>
        </row>
        <row r="166">
          <cell r="A166">
            <v>42185</v>
          </cell>
        </row>
        <row r="167">
          <cell r="A167">
            <v>42216</v>
          </cell>
        </row>
        <row r="168">
          <cell r="A168">
            <v>42247</v>
          </cell>
        </row>
        <row r="169">
          <cell r="A169">
            <v>42277</v>
          </cell>
        </row>
        <row r="170">
          <cell r="A170">
            <v>42307</v>
          </cell>
        </row>
        <row r="171">
          <cell r="A171">
            <v>42338</v>
          </cell>
        </row>
        <row r="172">
          <cell r="A172">
            <v>42369</v>
          </cell>
        </row>
        <row r="173">
          <cell r="A173">
            <v>42398</v>
          </cell>
        </row>
        <row r="174">
          <cell r="A174">
            <v>42429</v>
          </cell>
        </row>
        <row r="175">
          <cell r="A175">
            <v>42460</v>
          </cell>
        </row>
        <row r="176">
          <cell r="A176">
            <v>42489</v>
          </cell>
        </row>
        <row r="177">
          <cell r="A177">
            <v>42521</v>
          </cell>
        </row>
        <row r="178">
          <cell r="A178">
            <v>42551</v>
          </cell>
        </row>
        <row r="179">
          <cell r="A179">
            <v>42580</v>
          </cell>
        </row>
        <row r="180">
          <cell r="A180">
            <v>42613</v>
          </cell>
        </row>
        <row r="181">
          <cell r="A181">
            <v>42643</v>
          </cell>
        </row>
        <row r="182">
          <cell r="A182">
            <v>42674</v>
          </cell>
        </row>
        <row r="183">
          <cell r="A183">
            <v>42704</v>
          </cell>
        </row>
        <row r="184">
          <cell r="A184">
            <v>42734</v>
          </cell>
        </row>
        <row r="185">
          <cell r="A185">
            <v>42762</v>
          </cell>
        </row>
        <row r="186">
          <cell r="A186">
            <v>42794</v>
          </cell>
        </row>
        <row r="187">
          <cell r="A187">
            <v>42825</v>
          </cell>
        </row>
        <row r="188">
          <cell r="A188">
            <v>42853</v>
          </cell>
        </row>
        <row r="189">
          <cell r="A189">
            <v>42886</v>
          </cell>
        </row>
        <row r="190">
          <cell r="A190">
            <v>42916</v>
          </cell>
        </row>
        <row r="191">
          <cell r="A191">
            <v>42947</v>
          </cell>
        </row>
        <row r="192">
          <cell r="A192">
            <v>42978</v>
          </cell>
        </row>
        <row r="193">
          <cell r="A193">
            <v>43007</v>
          </cell>
        </row>
        <row r="194">
          <cell r="A194">
            <v>43039</v>
          </cell>
        </row>
        <row r="195">
          <cell r="A195">
            <v>43069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erenceng" refreshedDate="43250.759055208335" createdVersion="4" refreshedVersion="4" minRefreshableVersion="3" recordCount="6198">
  <cacheSource type="worksheet">
    <worksheetSource ref="A2:N195863" sheet="Data"/>
  </cacheSource>
  <cacheFields count="13">
    <cacheField name="Monthend" numFmtId="14">
      <sharedItems containsNonDate="0" containsDate="1" containsString="0" containsBlank="1" minDate="2002-05-31T00:00:00" maxDate="2018-05-01T00:00:00" count="215">
        <d v="2015-11-17T00:00:00"/>
        <d v="2015-11-30T00:00:00"/>
        <d v="2015-12-31T00:00:00"/>
        <d v="2016-01-29T00:00:00"/>
        <d v="2016-02-29T00:00:00"/>
        <d v="2016-03-31T00:00:00"/>
        <d v="2016-04-29T00:00:00"/>
        <d v="2016-05-31T00:00:00"/>
        <d v="2016-06-30T00:00:00"/>
        <d v="2016-07-29T00:00:00"/>
        <d v="2016-08-31T00:00:00"/>
        <d v="2016-09-30T00:00:00"/>
        <d v="2016-10-31T00:00:00"/>
        <d v="2016-11-30T00:00:00"/>
        <d v="2016-12-30T00:00:00"/>
        <d v="2017-01-27T00:00:00"/>
        <d v="2017-02-28T00:00:00"/>
        <d v="2017-03-31T00:00:00"/>
        <d v="2017-04-28T00:00:00"/>
        <d v="2017-05-31T00:00:00"/>
        <d v="2017-06-30T00:00:00"/>
        <d v="2017-07-31T00:00:00"/>
        <d v="2017-08-31T00:00:00"/>
        <d v="2017-09-29T00:00:00"/>
        <d v="2017-10-31T00:00:00"/>
        <d v="2017-11-30T00:00:00"/>
        <d v="2017-12-29T00:00:00"/>
        <d v="2018-01-31T00:00:00"/>
        <d v="2018-02-28T00:00:00"/>
        <d v="2018-03-29T00:00:00"/>
        <d v="2018-04-30T00:00:00"/>
        <d v="2013-09-25T00:00:00"/>
        <d v="2013-09-30T00:00:00"/>
        <d v="2013-10-31T00:00:00"/>
        <d v="2013-11-29T00:00:00"/>
        <d v="2013-12-31T00:00:00"/>
        <d v="2014-01-30T00:00:00"/>
        <d v="2014-02-28T00:00:00"/>
        <d v="2014-03-31T00:00:00"/>
        <d v="2014-04-30T00:00:00"/>
        <d v="2014-05-30T00:00:00"/>
        <d v="2014-06-30T00:00:00"/>
        <d v="2014-07-31T00:00:00"/>
        <d v="2014-08-29T00:00:00"/>
        <d v="2014-09-30T00:00:00"/>
        <d v="2002-05-31T00:00:00"/>
        <d v="2002-06-28T00:00:00"/>
        <d v="2002-07-31T00:00:00"/>
        <d v="2002-08-30T00:00:00"/>
        <d v="2002-09-30T00:00:00"/>
        <d v="2002-10-30T00:00:00"/>
        <d v="2002-11-29T00:00:00"/>
        <d v="2002-12-31T00:00:00"/>
        <d v="2003-01-31T00:00:00"/>
        <d v="2003-02-28T00:00:00"/>
        <d v="2003-03-31T00:00:00"/>
        <d v="2003-04-30T00:00:00"/>
        <d v="2003-05-30T00:00:00"/>
        <d v="2003-06-30T00:00:00"/>
        <d v="2003-07-31T00:00:00"/>
        <d v="2003-08-29T00:00:00"/>
        <d v="2003-09-30T00:00:00"/>
        <d v="2003-10-31T00:00:00"/>
        <d v="2003-11-28T00:00:00"/>
        <d v="2003-12-31T00:00:00"/>
        <d v="2004-01-31T00:00:00"/>
        <d v="2004-02-27T00:00:00"/>
        <d v="2004-03-31T00:00:00"/>
        <d v="2004-04-30T00:00:00"/>
        <d v="2004-05-31T00:00:00"/>
        <d v="2004-06-30T00:00:00"/>
        <d v="2004-07-30T00:00:00"/>
        <d v="2004-08-31T00:00:00"/>
        <d v="2004-09-30T00:00:00"/>
        <d v="2004-10-29T00:00:00"/>
        <d v="2004-11-30T00:00:00"/>
        <d v="2004-12-31T00:00:00"/>
        <d v="2005-01-31T00:00:00"/>
        <d v="2005-02-28T00:00:00"/>
        <d v="2005-03-31T00:00:00"/>
        <d v="2005-04-30T00:00:00"/>
        <d v="2005-05-31T00:00:00"/>
        <d v="2005-06-30T00:00:00"/>
        <d v="2005-07-31T00:00:00"/>
        <d v="2005-08-31T00:00:00"/>
        <d v="2005-09-30T00:00:00"/>
        <d v="2005-10-31T00:00:00"/>
        <d v="2005-11-30T00:00:00"/>
        <d v="2005-12-31T00:00:00"/>
        <d v="2006-01-30T00:00:00"/>
        <d v="2006-02-27T00:00:00"/>
        <d v="2006-03-31T00:00:00"/>
        <d v="2006-04-30T00:00:00"/>
        <d v="2006-05-31T00:00:00"/>
        <d v="2006-06-30T00:00:00"/>
        <d v="2006-07-31T00:00:00"/>
        <d v="2006-08-31T00:00:00"/>
        <d v="2006-09-30T00:00:00"/>
        <d v="2006-10-31T00:00:00"/>
        <d v="2006-11-30T00:00:00"/>
        <d v="2006-12-31T00:00:00"/>
        <d v="2007-01-31T00:00:00"/>
        <d v="2007-02-28T00:00:00"/>
        <d v="2007-03-30T00:00:00"/>
        <d v="2007-04-30T00:00:00"/>
        <d v="2007-05-31T00:00:00"/>
        <d v="2007-06-29T00:00:00"/>
        <d v="2007-07-31T00:00:00"/>
        <d v="2007-08-31T00:00:00"/>
        <d v="2007-09-30T00:00:00"/>
        <d v="2007-10-31T00:00:00"/>
        <d v="2007-11-30T00:00:00"/>
        <d v="2007-12-31T00:00:00"/>
        <d v="2008-01-31T00:00:00"/>
        <d v="2008-02-29T00:00:00"/>
        <d v="2008-03-31T00:00:00"/>
        <d v="2008-04-30T00:00:00"/>
        <d v="2008-05-30T00:00:00"/>
        <d v="2008-06-30T00:00:00"/>
        <d v="2008-07-31T00:00:00"/>
        <d v="2008-08-29T00:00:00"/>
        <d v="2008-09-30T00:00:00"/>
        <d v="2008-10-31T00:00:00"/>
        <d v="2008-11-28T00:00:00"/>
        <d v="2008-12-31T00:00:00"/>
        <d v="2009-01-30T00:00:00"/>
        <d v="2009-02-27T00:00:00"/>
        <d v="2009-03-31T00:00:00"/>
        <d v="2009-04-30T00:00:00"/>
        <d v="2009-05-29T00:00:00"/>
        <d v="2009-06-30T00:00:00"/>
        <d v="2009-07-31T00:00:00"/>
        <d v="2009-08-31T00:00:00"/>
        <d v="2009-09-30T00:00:00"/>
        <d v="2009-10-30T00:00:00"/>
        <d v="2009-11-30T00:00:00"/>
        <d v="2009-12-31T00:00:00"/>
        <d v="2010-01-29T00:00:00"/>
        <d v="2010-02-26T00:00:00"/>
        <d v="2010-03-31T00:00:00"/>
        <d v="2010-04-30T00:00:00"/>
        <d v="2010-05-31T00:00:00"/>
        <d v="2010-06-30T00:00:00"/>
        <d v="2010-07-30T00:00:00"/>
        <d v="2010-08-31T00:00:00"/>
        <d v="2010-09-30T00:00:00"/>
        <d v="2010-10-29T00:00:00"/>
        <d v="2010-11-30T00:00:00"/>
        <d v="2010-12-31T00:00:00"/>
        <d v="2011-01-31T00:00:00"/>
        <d v="2011-02-28T00:00:00"/>
        <d v="2011-03-31T00:00:00"/>
        <d v="2011-04-29T00:00:00"/>
        <d v="2011-05-31T00:00:00"/>
        <d v="2011-06-30T00:00:00"/>
        <d v="2011-07-29T00:00:00"/>
        <d v="2011-08-31T00:00:00"/>
        <d v="2011-09-30T00:00:00"/>
        <d v="2011-10-31T00:00:00"/>
        <d v="2011-11-30T00:00:00"/>
        <d v="2011-12-30T00:00:00"/>
        <d v="2012-01-31T00:00:00"/>
        <d v="2012-02-29T00:00:00"/>
        <d v="2012-03-30T00:00:00"/>
        <d v="2012-04-30T00:00:00"/>
        <d v="2012-05-31T00:00:00"/>
        <d v="2012-06-29T00:00:00"/>
        <d v="2012-07-31T00:00:00"/>
        <d v="2012-08-31T00:00:00"/>
        <d v="2012-09-28T00:00:00"/>
        <d v="2012-10-31T00:00:00"/>
        <d v="2012-11-30T00:00:00"/>
        <d v="2012-12-31T00:00:00"/>
        <d v="2013-01-31T00:00:00"/>
        <d v="2013-02-28T00:00:00"/>
        <d v="2013-03-28T00:00:00"/>
        <d v="2013-04-30T00:00:00"/>
        <d v="2013-05-31T00:00:00"/>
        <d v="2013-06-28T00:00:00"/>
        <d v="2013-07-31T00:00:00"/>
        <d v="2013-08-30T00:00:00"/>
        <d v="2014-10-31T00:00:00"/>
        <d v="2014-11-28T00:00:00"/>
        <d v="2014-12-31T00:00:00"/>
        <d v="2015-01-30T00:00:00"/>
        <d v="2015-02-27T00:00:00"/>
        <d v="2015-03-31T00:00:00"/>
        <d v="2015-04-30T00:00:00"/>
        <d v="2015-05-29T00:00:00"/>
        <d v="2015-06-30T00:00:00"/>
        <d v="2015-07-31T00:00:00"/>
        <d v="2015-08-31T00:00:00"/>
        <d v="2015-09-30T00:00:00"/>
        <d v="2015-10-30T00:00:00"/>
        <d v="2015-04-01T00:00:00"/>
        <d v="2016-06-16T00:00:00"/>
        <d v="2012-12-14T00:00:00"/>
        <d v="2014-08-05T00:00:00"/>
        <d v="2014-08-19T00:00:00"/>
        <d v="2015-01-15T00:00:00"/>
        <d v="2015-07-22T00:00:00"/>
        <d v="2016-08-15T00:00:00"/>
        <d v="2016-08-23T00:00:00"/>
        <d v="2016-05-02T00:00:00"/>
        <d v="2009-02-02T00:00:00"/>
        <d v="2014-09-24T00:00:00"/>
        <d v="2016-11-01T00:00:00"/>
        <d v="2015-04-20T00:00:00"/>
        <d v="2016-04-06T00:00:00"/>
        <d v="2015-06-01T00:00:00"/>
        <d v="2012-12-18T00:00:00"/>
        <d v="2017-12-31T00:00:00"/>
        <d v="2016-04-27T00:00:00"/>
        <d v="2015-07-14T00:00:00"/>
        <m/>
      </sharedItems>
    </cacheField>
    <cacheField name="Fund" numFmtId="0">
      <sharedItems containsBlank="1"/>
    </cacheField>
    <cacheField name="Fund_Series" numFmtId="0">
      <sharedItems containsBlank="1" count="66">
        <s v="AAA"/>
        <s v="Amsteel"/>
        <s v="ARF"/>
        <s v="ASM Equities"/>
        <s v="BMTR4"/>
        <s v="CHF_S1a"/>
        <s v="CHF_S1b"/>
        <s v="CHF_S1GP"/>
        <s v="CHF_S2"/>
        <s v="CHF_S2a"/>
        <s v="CHF_S2b"/>
        <s v="CHF_S3"/>
        <s v="CHF_S4"/>
        <s v="CHF_S5"/>
        <s v="CHF_S5c"/>
        <s v="CHF_S5d"/>
        <s v="CHF_S6"/>
        <s v="CHF_S7"/>
        <s v="CHF_S7a"/>
        <s v="CHF_S7c"/>
        <s v="CHF_S7d"/>
        <s v="CHF_S7e"/>
        <s v="CHF_S8"/>
        <s v="CHF_S8GP"/>
        <s v="CHF_S9"/>
        <s v="CHF_S9b"/>
        <s v="CHF_S9c"/>
        <s v="CHF_S9e"/>
        <s v="CHF_S9WF"/>
        <s v="CHF_SUSf1"/>
        <s v="CHF_SUSf1a"/>
        <s v="CHF_SUSf4"/>
        <s v="CHF_SUSf5c"/>
        <s v="CHF_SUSf9"/>
        <s v="CHF2ex-GP"/>
        <s v="CHF2GP"/>
        <s v="COL"/>
        <s v="Conrex"/>
        <s v="COPT_S1ex-GP"/>
        <s v="COPT_S1GP"/>
        <s v="COPT_S2"/>
        <s v="COPT_S3"/>
        <s v="COPT_S4"/>
        <s v="COP2T_S1ex-GP"/>
        <s v="COP2T_S1GP"/>
        <s v="COP2T_S2"/>
        <s v="COP2T_S3"/>
        <s v="COP2T_S4"/>
        <s v="COP2T_S5GP"/>
        <s v="COTT"/>
        <s v="Donald"/>
        <s v="DTK"/>
        <s v="Gloves"/>
        <s v="HRF"/>
        <s v="Leopark 2"/>
        <s v="Mercury"/>
        <s v="New BMTR"/>
        <s v="OPL"/>
        <s v="RR"/>
        <s v="SamSen"/>
        <s v="SKK"/>
        <s v="SuperA"/>
        <s v="Tanker"/>
        <s v="Televisi"/>
        <s v="William"/>
        <m/>
      </sharedItems>
    </cacheField>
    <cacheField name="NAV" numFmtId="0">
      <sharedItems containsString="0" containsBlank="1" containsNumber="1" minValue="-108827696.9986386" maxValue="631699773.97302437"/>
    </cacheField>
    <cacheField name="NAV_ps" numFmtId="0">
      <sharedItems containsString="0" containsBlank="1" containsNumber="1" minValue="-114134298.75815018" maxValue="64557926.877264522"/>
    </cacheField>
    <cacheField name="Commitment" numFmtId="43">
      <sharedItems containsString="0" containsBlank="1" containsNumber="1" minValue="0.02" maxValue="166"/>
    </cacheField>
    <cacheField name="Subscription / Drawdown" numFmtId="0">
      <sharedItems containsString="0" containsBlank="1" containsNumber="1" minValue="-10380000" maxValue="65719262.410500407"/>
    </cacheField>
    <cacheField name="Redemption" numFmtId="43">
      <sharedItems containsString="0" containsBlank="1" containsNumber="1" minValue="-83875323.088953435" maxValue="0"/>
    </cacheField>
    <cacheField name="Distribution" numFmtId="43">
      <sharedItems containsString="0" containsBlank="1" containsNumber="1" minValue="-82201554.474216789" maxValue="0"/>
    </cacheField>
    <cacheField name="Total No. of shr" numFmtId="0">
      <sharedItems containsString="0" containsBlank="1" containsNumber="1" minValue="0.32254031877759565" maxValue="20725139.850000001"/>
    </cacheField>
    <cacheField name="Net_Cashflow" numFmtId="43">
      <sharedItems containsString="0" containsBlank="1" containsNumber="1" minValue="-83875323.088953435" maxValue="65719262.410500407"/>
    </cacheField>
    <cacheField name="Cashflow_ps" numFmtId="0">
      <sharedItems containsString="0" containsBlank="1" containsNumber="1" minValue="-114134298.75815018" maxValue="64557926.877264522"/>
    </cacheField>
    <cacheField name="Cashflow (IRR)" numFmtId="0">
      <sharedItems containsString="0" containsBlank="1" containsNumber="1" minValue="-365869789.18608689" maxValue="64557926.8772645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gie Li" refreshedDate="43340.674176388886" createdVersion="4" refreshedVersion="4" minRefreshableVersion="3" recordCount="6179">
  <cacheSource type="worksheet">
    <worksheetSource ref="A2:AH5882" sheet="Data"/>
  </cacheSource>
  <cacheFields count="33">
    <cacheField name="Monthend" numFmtId="14">
      <sharedItems containsNonDate="0" containsDate="1" containsString="0" containsBlank="1" minDate="2002-05-31T00:00:00" maxDate="2018-08-01T00:00:00" count="218">
        <d v="2015-11-17T00:00:00"/>
        <d v="2015-11-30T00:00:00"/>
        <d v="2015-12-31T00:00:00"/>
        <d v="2016-01-29T00:00:00"/>
        <d v="2016-02-29T00:00:00"/>
        <d v="2016-03-31T00:00:00"/>
        <d v="2016-04-29T00:00:00"/>
        <d v="2016-05-31T00:00:00"/>
        <d v="2016-06-30T00:00:00"/>
        <d v="2016-07-29T00:00:00"/>
        <d v="2016-08-31T00:00:00"/>
        <d v="2016-09-30T00:00:00"/>
        <d v="2016-10-31T00:00:00"/>
        <d v="2016-11-30T00:00:00"/>
        <d v="2016-12-30T00:00:00"/>
        <d v="2017-01-27T00:00:00"/>
        <d v="2017-02-28T00:00:00"/>
        <d v="2017-03-31T00:00:00"/>
        <d v="2017-04-28T00:00:00"/>
        <d v="2017-05-31T00:00:00"/>
        <d v="2017-06-30T00:00:00"/>
        <d v="2017-07-31T00:00:00"/>
        <d v="2017-08-31T00:00:00"/>
        <d v="2017-09-29T00:00:00"/>
        <d v="2017-10-31T00:00:00"/>
        <d v="2017-11-30T00:00:00"/>
        <d v="2017-12-29T00:00:00"/>
        <d v="2018-01-31T00:00:00"/>
        <d v="2018-02-28T00:00:00"/>
        <d v="2018-03-29T00:00:00"/>
        <d v="2018-04-30T00:00:00"/>
        <d v="2018-05-31T00:00:00"/>
        <d v="2018-06-29T00:00:00"/>
        <d v="2018-07-31T00:00:00"/>
        <d v="2013-09-25T00:00:00"/>
        <d v="2013-09-30T00:00:00"/>
        <d v="2013-10-31T00:00:00"/>
        <d v="2013-11-29T00:00:00"/>
        <d v="2013-12-31T00:00:00"/>
        <d v="2014-01-30T00:00:00"/>
        <d v="2014-02-28T00:00:00"/>
        <d v="2014-03-31T00:00:00"/>
        <d v="2014-04-30T00:00:00"/>
        <d v="2014-05-30T00:00:00"/>
        <d v="2014-06-30T00:00:00"/>
        <d v="2014-07-31T00:00:00"/>
        <d v="2014-08-29T00:00:00"/>
        <d v="2014-09-30T00:00:00"/>
        <d v="2002-05-31T00:00:00"/>
        <d v="2002-06-28T00:00:00"/>
        <d v="2002-07-31T00:00:00"/>
        <d v="2002-08-30T00:00:00"/>
        <d v="2002-09-30T00:00:00"/>
        <d v="2002-10-30T00:00:00"/>
        <d v="2002-11-29T00:00:00"/>
        <d v="2002-12-31T00:00:00"/>
        <d v="2003-01-31T00:00:00"/>
        <d v="2003-02-28T00:00:00"/>
        <d v="2003-03-31T00:00:00"/>
        <d v="2003-04-30T00:00:00"/>
        <d v="2003-05-30T00:00:00"/>
        <d v="2003-06-30T00:00:00"/>
        <d v="2003-07-31T00:00:00"/>
        <d v="2003-08-29T00:00:00"/>
        <d v="2003-09-30T00:00:00"/>
        <d v="2003-10-31T00:00:00"/>
        <d v="2003-11-28T00:00:00"/>
        <d v="2003-12-31T00:00:00"/>
        <d v="2004-01-31T00:00:00"/>
        <d v="2004-02-27T00:00:00"/>
        <d v="2004-03-31T00:00:00"/>
        <d v="2004-04-30T00:00:00"/>
        <d v="2004-05-31T00:00:00"/>
        <d v="2004-06-30T00:00:00"/>
        <d v="2004-07-30T00:00:00"/>
        <d v="2004-08-31T00:00:00"/>
        <d v="2004-09-30T00:00:00"/>
        <d v="2004-10-29T00:00:00"/>
        <d v="2004-11-30T00:00:00"/>
        <d v="2004-12-31T00:00:00"/>
        <d v="2005-01-31T00:00:00"/>
        <d v="2005-02-28T00:00:00"/>
        <d v="2005-03-31T00:00:00"/>
        <d v="2005-04-30T00:00:00"/>
        <d v="2005-05-31T00:00:00"/>
        <d v="2005-06-30T00:00:00"/>
        <d v="2005-07-31T00:00:00"/>
        <d v="2005-08-31T00:00:00"/>
        <d v="2005-09-30T00:00:00"/>
        <d v="2005-10-31T00:00:00"/>
        <d v="2005-11-30T00:00:00"/>
        <d v="2005-12-31T00:00:00"/>
        <d v="2006-01-30T00:00:00"/>
        <d v="2006-02-27T00:00:00"/>
        <d v="2006-03-31T00:00:00"/>
        <d v="2006-04-30T00:00:00"/>
        <d v="2006-05-31T00:00:00"/>
        <d v="2006-06-30T00:00:00"/>
        <d v="2006-07-31T00:00:00"/>
        <d v="2006-08-31T00:00:00"/>
        <d v="2006-09-30T00:00:00"/>
        <d v="2006-10-31T00:00:00"/>
        <d v="2006-11-30T00:00:00"/>
        <d v="2006-12-31T00:00:00"/>
        <d v="2007-01-31T00:00:00"/>
        <d v="2007-02-28T00:00:00"/>
        <d v="2007-03-30T00:00:00"/>
        <d v="2007-04-30T00:00:00"/>
        <d v="2007-05-31T00:00:00"/>
        <d v="2007-06-29T00:00:00"/>
        <d v="2007-07-31T00:00:00"/>
        <d v="2007-08-31T00:00:00"/>
        <d v="2007-09-30T00:00:00"/>
        <d v="2007-10-31T00:00:00"/>
        <d v="2007-11-30T00:00:00"/>
        <d v="2007-12-31T00:00:00"/>
        <d v="2008-01-31T00:00:00"/>
        <d v="2008-02-29T00:00:00"/>
        <d v="2008-03-31T00:00:00"/>
        <d v="2008-04-30T00:00:00"/>
        <d v="2008-05-30T00:00:00"/>
        <d v="2008-06-30T00:00:00"/>
        <d v="2008-07-31T00:00:00"/>
        <d v="2008-08-29T00:00:00"/>
        <d v="2008-09-30T00:00:00"/>
        <d v="2008-10-31T00:00:00"/>
        <d v="2008-11-28T00:00:00"/>
        <d v="2008-12-31T00:00:00"/>
        <d v="2009-01-30T00:00:00"/>
        <d v="2009-02-27T00:00:00"/>
        <d v="2009-03-31T00:00:00"/>
        <d v="2009-04-30T00:00:00"/>
        <d v="2009-05-29T00:00:00"/>
        <d v="2009-06-30T00:00:00"/>
        <d v="2009-07-31T00:00:00"/>
        <d v="2009-08-31T00:00:00"/>
        <d v="2009-09-30T00:00:00"/>
        <d v="2009-10-30T00:00:00"/>
        <d v="2009-11-30T00:00:00"/>
        <d v="2009-12-31T00:00:00"/>
        <d v="2010-01-29T00:00:00"/>
        <d v="2010-02-26T00:00:00"/>
        <d v="2010-03-31T00:00:00"/>
        <d v="2010-04-30T00:00:00"/>
        <d v="2010-05-31T00:00:00"/>
        <d v="2010-06-30T00:00:00"/>
        <d v="2010-07-30T00:00:00"/>
        <d v="2010-08-31T00:00:00"/>
        <d v="2010-09-30T00:00:00"/>
        <d v="2010-10-29T00:00:00"/>
        <d v="2010-11-30T00:00:00"/>
        <d v="2010-12-31T00:00:00"/>
        <d v="2011-01-31T00:00:00"/>
        <d v="2011-02-28T00:00:00"/>
        <d v="2011-03-31T00:00:00"/>
        <d v="2011-04-29T00:00:00"/>
        <d v="2011-05-31T00:00:00"/>
        <d v="2011-06-30T00:00:00"/>
        <d v="2011-07-29T00:00:00"/>
        <d v="2011-08-31T00:00:00"/>
        <d v="2011-09-30T00:00:00"/>
        <d v="2011-10-31T00:00:00"/>
        <d v="2011-11-30T00:00:00"/>
        <d v="2011-12-30T00:00:00"/>
        <d v="2012-01-31T00:00:00"/>
        <d v="2012-02-29T00:00:00"/>
        <d v="2012-03-30T00:00:00"/>
        <d v="2012-04-30T00:00:00"/>
        <d v="2012-05-31T00:00:00"/>
        <d v="2012-06-29T00:00:00"/>
        <d v="2012-07-31T00:00:00"/>
        <d v="2012-08-31T00:00:00"/>
        <d v="2012-09-28T00:00:00"/>
        <d v="2012-10-31T00:00:00"/>
        <d v="2012-11-30T00:00:00"/>
        <d v="2012-12-31T00:00:00"/>
        <d v="2013-01-31T00:00:00"/>
        <d v="2013-02-28T00:00:00"/>
        <d v="2013-03-28T00:00:00"/>
        <d v="2013-04-30T00:00:00"/>
        <d v="2013-05-31T00:00:00"/>
        <d v="2013-06-28T00:00:00"/>
        <d v="2013-07-31T00:00:00"/>
        <d v="2013-08-30T00:00:00"/>
        <d v="2014-10-31T00:00:00"/>
        <d v="2014-11-28T00:00:00"/>
        <d v="2014-12-31T00:00:00"/>
        <d v="2015-01-30T00:00:00"/>
        <d v="2015-02-27T00:00:00"/>
        <d v="2015-03-31T00:00:00"/>
        <d v="2015-04-30T00:00:00"/>
        <d v="2015-05-29T00:00:00"/>
        <d v="2015-06-30T00:00:00"/>
        <d v="2015-07-31T00:00:00"/>
        <d v="2015-08-31T00:00:00"/>
        <d v="2015-09-30T00:00:00"/>
        <d v="2015-10-30T00:00:00"/>
        <d v="2015-04-01T00:00:00"/>
        <d v="2016-06-16T00:00:00"/>
        <d v="2012-12-14T00:00:00"/>
        <d v="2014-08-05T00:00:00"/>
        <d v="2014-08-19T00:00:00"/>
        <d v="2015-01-15T00:00:00"/>
        <d v="2015-07-22T00:00:00"/>
        <d v="2016-08-15T00:00:00"/>
        <d v="2016-08-23T00:00:00"/>
        <d v="2016-05-02T00:00:00"/>
        <d v="2009-02-02T00:00:00"/>
        <d v="2014-09-24T00:00:00"/>
        <d v="2016-11-01T00:00:00"/>
        <d v="2015-04-20T00:00:00"/>
        <d v="2016-04-06T00:00:00"/>
        <d v="2015-06-01T00:00:00"/>
        <d v="2012-12-18T00:00:00"/>
        <d v="2017-12-31T00:00:00"/>
        <d v="2016-04-27T00:00:00"/>
        <d v="2015-07-14T00:00:00"/>
        <m/>
      </sharedItems>
    </cacheField>
    <cacheField name="Fund" numFmtId="0">
      <sharedItems containsBlank="1" count="29">
        <s v="AAA"/>
        <s v="Amsteel"/>
        <s v="ARF"/>
        <s v="ASM Equities"/>
        <s v="BMTR4"/>
        <s v="CHF"/>
        <s v="CHF2"/>
        <s v="CHF3"/>
        <s v="COL"/>
        <s v="Conrex"/>
        <s v="COPT1"/>
        <s v="COPT2"/>
        <s v="COTT"/>
        <s v="Donald"/>
        <s v="DTK"/>
        <s v="Gloves"/>
        <s v="HRF"/>
        <s v="Leopark 2"/>
        <s v="Mercury"/>
        <s v="New BMTR"/>
        <s v="OPL"/>
        <s v="RR"/>
        <s v="SamSen"/>
        <s v="SKK"/>
        <s v="SuperA"/>
        <s v="Tanker"/>
        <s v="Televisi"/>
        <s v="William"/>
        <m/>
      </sharedItems>
    </cacheField>
    <cacheField name="Fund_Series" numFmtId="0">
      <sharedItems containsBlank="1"/>
    </cacheField>
    <cacheField name="NAV" numFmtId="0">
      <sharedItems containsString="0" containsBlank="1" containsNumber="1" minValue="-478541.16382188606" maxValue="631699773.97302437"/>
    </cacheField>
    <cacheField name="NAV_ps" numFmtId="0">
      <sharedItems containsString="0" containsBlank="1" containsNumber="1" minValue="-7.4125856722660297E-2" maxValue="64557926.877264522"/>
    </cacheField>
    <cacheField name="Commitment" numFmtId="43">
      <sharedItems containsString="0" containsBlank="1" containsNumber="1" minValue="1E-3" maxValue="166"/>
    </cacheField>
    <cacheField name="Subscription / Drawdown" numFmtId="0">
      <sharedItems containsString="0" containsBlank="1" containsNumber="1" minValue="-3544857" maxValue="65719262.410500407"/>
    </cacheField>
    <cacheField name="Redemption" numFmtId="43">
      <sharedItems containsString="0" containsBlank="1" containsNumber="1" minValue="-83875323.088953435" maxValue="0"/>
    </cacheField>
    <cacheField name="Distribution" numFmtId="43">
      <sharedItems containsString="0" containsBlank="1" containsNumber="1" minValue="-82201554.474216789" maxValue="0"/>
    </cacheField>
    <cacheField name="Total No. of shr" numFmtId="0">
      <sharedItems containsString="0" containsBlank="1" containsNumber="1" minValue="0.32254031877759565" maxValue="20725139.850000001"/>
    </cacheField>
    <cacheField name="Net_Cashflow" numFmtId="43">
      <sharedItems containsString="0" containsBlank="1" containsNumber="1" minValue="-83875323.088953435" maxValue="65719262.410500407"/>
    </cacheField>
    <cacheField name="Cashflow_ps" numFmtId="0">
      <sharedItems containsString="0" containsBlank="1" containsNumber="1" minValue="-11510536.388049964" maxValue="64557926.877264522"/>
    </cacheField>
    <cacheField name="Cashflow (IRR)" numFmtId="0">
      <sharedItems containsString="0" containsBlank="1" containsNumber="1" minValue="-534131653.47850001" maxValue="64557926.877264522"/>
    </cacheField>
    <cacheField name="Cashflow_ex-GP (IRR)" numFmtId="0">
      <sharedItems containsString="0" containsBlank="1" containsNumber="1" minValue="-49981018.590000004" maxValue="45484000"/>
    </cacheField>
    <cacheField name="Structure" numFmtId="172">
      <sharedItems containsBlank="1"/>
    </cacheField>
    <cacheField name="o/s accrued MF" numFmtId="172">
      <sharedItems containsBlank="1" containsMixedTypes="1" containsNumber="1" minValue="0" maxValue="0.84619966690578996"/>
    </cacheField>
    <cacheField name="o/s accrued PF" numFmtId="0">
      <sharedItems containsString="0" containsBlank="1" containsNumber="1" minValue="0" maxValue="32.209986639999997"/>
    </cacheField>
    <cacheField name="MF Rebate" numFmtId="172">
      <sharedItems containsString="0" containsBlank="1" containsNumber="1" minValue="0" maxValue="0.22805468182351463"/>
    </cacheField>
    <cacheField name="PF Rebate" numFmtId="172">
      <sharedItems containsString="0" containsBlank="1" containsNumber="1" minValue="0" maxValue="4.4249729688920389"/>
    </cacheField>
    <cacheField name="Overlap_fund1" numFmtId="172">
      <sharedItems containsBlank="1"/>
    </cacheField>
    <cacheField name="Overlap_NAV1" numFmtId="0">
      <sharedItems containsString="0" containsBlank="1" containsNumber="1" minValue="0" maxValue="24.906275129999997"/>
    </cacheField>
    <cacheField name="Overlap_fund2" numFmtId="172">
      <sharedItems containsBlank="1"/>
    </cacheField>
    <cacheField name="Overlap_NAV2" numFmtId="0">
      <sharedItems containsString="0" containsBlank="1" containsNumber="1" minValue="0" maxValue="23.889559239999997"/>
    </cacheField>
    <cacheField name="Overlap_fund3" numFmtId="172">
      <sharedItems containsBlank="1"/>
    </cacheField>
    <cacheField name="Overlap_NAV3" numFmtId="172">
      <sharedItems containsString="0" containsBlank="1" containsNumber="1" minValue="0" maxValue="17.186631179999999"/>
    </cacheField>
    <cacheField name="Overlap_fund4" numFmtId="172">
      <sharedItems containsBlank="1"/>
    </cacheField>
    <cacheField name="Overlap_NAV4" numFmtId="172">
      <sharedItems containsString="0" containsBlank="1" containsNumber="1" minValue="0" maxValue="1.5170951185999999"/>
    </cacheField>
    <cacheField name="aaa" numFmtId="0">
      <sharedItems containsString="0" containsBlank="1" containsNumber="1" minValue="1890783.6573000001" maxValue="23622888.827054203"/>
    </cacheField>
    <cacheField name="bbb" numFmtId="0">
      <sharedItems containsString="0" containsBlank="1" containsNumber="1" minValue="2030000" maxValue="119730722.75999998"/>
    </cacheField>
    <cacheField name="ccc" numFmtId="0">
      <sharedItems containsString="0" containsBlank="1" containsNumber="1" minValue="0" maxValue="17069202"/>
    </cacheField>
    <cacheField name="ddd" numFmtId="0">
      <sharedItems containsNonDate="0" containsDate="1" containsString="0" containsBlank="1" minDate="2002-05-31T00:00:00" maxDate="2018-08-01T00:00:00"/>
    </cacheField>
    <cacheField name="eee" numFmtId="0">
      <sharedItems containsBlank="1" containsMixedTypes="1" containsNumber="1" minValue="-1.0086448322992059" maxValue="2.9836837897978055"/>
    </cacheField>
    <cacheField name="FdType" numFmtId="0">
      <sharedItems containsBlank="1" count="5">
        <s v="Coinv"/>
        <s v="FdMgt1"/>
        <s v="FdMgt2"/>
        <s v="FdMgtRG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am Kong" refreshedDate="43462.64233101852" createdVersion="4" refreshedVersion="4" minRefreshableVersion="3" recordCount="4445">
  <cacheSource type="worksheet">
    <worksheetSource ref="A2:AJ5882" sheet="Data"/>
  </cacheSource>
  <cacheFields count="36">
    <cacheField name="Monthend" numFmtId="14">
      <sharedItems containsNonDate="0" containsDate="1" containsString="0" containsBlank="1" minDate="2002-05-31T00:00:00" maxDate="2018-11-01T00:00:00"/>
    </cacheField>
    <cacheField name="Fund" numFmtId="0">
      <sharedItems containsBlank="1" count="61">
        <s v="Amsteel"/>
        <s v="ARF"/>
        <s v="ASM Equities"/>
        <s v="BMTR2"/>
        <s v="BMTR4"/>
        <s v="CHF"/>
        <s v="CHF2"/>
        <s v="CHF3"/>
        <s v="COL"/>
        <s v="Conrex"/>
        <s v="COPT1"/>
        <s v="COPT2"/>
        <s v="COTT"/>
        <s v="DTK"/>
        <s v="Gloves"/>
        <s v="HRF"/>
        <s v="Indomaret"/>
        <s v="Leopark2"/>
        <s v="Mediacom_Donald"/>
        <s v="Mediacom_Mercury"/>
        <s v="Mediacom_Televisi"/>
        <s v="Mediacom_Televisi "/>
        <s v="New BMTR"/>
        <s v="OPL"/>
        <s v="RR"/>
        <s v="SamSen"/>
        <s v="SKK"/>
        <s v="SuperA"/>
        <s v="Tanker"/>
        <s v="TIH"/>
        <s v="William"/>
        <m/>
        <s v="Spinach" u="1"/>
        <s v="AAA" u="1"/>
        <s v="TinklerHouse2018" u="1"/>
        <s v="LitFd_GoodFoodLama" u="1"/>
        <s v="TTNT" u="1"/>
        <s v="New Beitou" u="1"/>
        <s v="Springwood Avenue Limited" u="1"/>
        <s v="Leopark 2" u="1"/>
        <s v="Kim Seng Plaza" u="1"/>
        <s v="Leopark1" u="1"/>
        <s v="TIH_Tony" u="1"/>
        <s v="Thai Property Venture Limited (GHB)" u="1"/>
        <s v="Bus" u="1"/>
        <s v="BTPN_Harumi" u="1"/>
        <s v="Mercury" u="1"/>
        <s v="Suli2017" u="1"/>
        <s v="Sleman_FlourMill" u="1"/>
        <s v="Suli2" u="1"/>
        <s v="MK_MrT" u="1"/>
        <s v="Samudra - call option" u="1"/>
        <s v="Indon_ND" u="1"/>
        <s v="Tinkler loan" u="1"/>
        <s v="SoldierARMS" u="1"/>
        <s v="Evason Hua Hin" u="1"/>
        <s v="West" u="1"/>
        <s v="Dalian" u="1"/>
        <s v="Donald" u="1"/>
        <s v="Televisi" u="1"/>
        <s v="Buma_Best Progress" u="1"/>
      </sharedItems>
    </cacheField>
    <cacheField name="Fund_Series" numFmtId="0">
      <sharedItems containsBlank="1"/>
    </cacheField>
    <cacheField name="NAV" numFmtId="0">
      <sharedItems containsString="0" containsBlank="1" containsNumber="1" minValue="-478541.16382188606" maxValue="631699773.97302437"/>
    </cacheField>
    <cacheField name="NAV_ps" numFmtId="0">
      <sharedItems containsBlank="1" containsMixedTypes="1" containsNumber="1" minValue="0" maxValue="64557926.877264522"/>
    </cacheField>
    <cacheField name="Commitment" numFmtId="43">
      <sharedItems containsString="0" containsBlank="1" containsNumber="1" minValue="0" maxValue="166"/>
    </cacheField>
    <cacheField name="Subscription / Drawdown" numFmtId="0">
      <sharedItems containsString="0" containsBlank="1" containsNumber="1" minValue="-2364209.4209587858" maxValue="65719262.410500407"/>
    </cacheField>
    <cacheField name="Redemption" numFmtId="43">
      <sharedItems containsString="0" containsBlank="1" containsNumber="1" minValue="-83875323.088953435" maxValue="0"/>
    </cacheField>
    <cacheField name="Distribution" numFmtId="0">
      <sharedItems containsString="0" containsBlank="1" containsNumber="1" minValue="-82201554.474216789" maxValue="1085000"/>
    </cacheField>
    <cacheField name="Committed Capital" numFmtId="43">
      <sharedItems containsString="0" containsBlank="1" containsNumber="1" containsInteger="1" minValue="0" maxValue="50000000"/>
    </cacheField>
    <cacheField name="Total No. of shr" numFmtId="0">
      <sharedItems containsString="0" containsBlank="1" containsNumber="1" minValue="0" maxValue="20725139.850000001"/>
    </cacheField>
    <cacheField name="Net_Cashflow" numFmtId="43">
      <sharedItems containsString="0" containsBlank="1" containsNumber="1" minValue="-83875323.088953435" maxValue="65719262.410500407"/>
    </cacheField>
    <cacheField name="Cashflow_ps" numFmtId="172">
      <sharedItems containsBlank="1" containsMixedTypes="1" containsNumber="1" minValue="-11510536.388049964" maxValue="64557926.877264522"/>
    </cacheField>
    <cacheField name="Cashflow (IRR)" numFmtId="172">
      <sharedItems containsString="0" containsBlank="1" containsNumber="1" minValue="-531954231.70863187" maxValue="64557926.877264522"/>
    </cacheField>
    <cacheField name="Cashflow_ex-GP (IRR)" numFmtId="172">
      <sharedItems containsString="0" containsBlank="1" containsNumber="1" minValue="-42202654.469999999" maxValue="45484000"/>
    </cacheField>
    <cacheField name="Structure" numFmtId="172">
      <sharedItems containsBlank="1"/>
    </cacheField>
    <cacheField name="Monthly MF" numFmtId="172">
      <sharedItems containsString="0" containsBlank="1" containsNumber="1" minValue="-1.1202120000000001E-2" maxValue="0.84619966690578996"/>
    </cacheField>
    <cacheField name="o/s accrued PF" numFmtId="0">
      <sharedItems containsString="0" containsBlank="1" containsNumber="1" minValue="-1.4089706100000001" maxValue="32.209986639999997"/>
    </cacheField>
    <cacheField name="MF Rebate" numFmtId="172">
      <sharedItems containsString="0" containsBlank="1" containsNumber="1" minValue="0" maxValue="0.22805468182351463"/>
    </cacheField>
    <cacheField name="PF Rebate" numFmtId="172">
      <sharedItems containsString="0" containsBlank="1" containsNumber="1" minValue="0" maxValue="4.4249729688920389"/>
    </cacheField>
    <cacheField name="Overlap_fund1" numFmtId="172">
      <sharedItems containsBlank="1"/>
    </cacheField>
    <cacheField name="Overlap_NAV1" numFmtId="0">
      <sharedItems containsString="0" containsBlank="1" containsNumber="1" minValue="0" maxValue="24.906275129999997"/>
    </cacheField>
    <cacheField name="Overlap_fund2" numFmtId="172">
      <sharedItems containsBlank="1"/>
    </cacheField>
    <cacheField name="Overlap_NAV2" numFmtId="0">
      <sharedItems containsString="0" containsBlank="1" containsNumber="1" minValue="0" maxValue="23.889559239999997"/>
    </cacheField>
    <cacheField name="Overlap_fund3" numFmtId="172">
      <sharedItems containsBlank="1"/>
    </cacheField>
    <cacheField name="Overlap_NAV3" numFmtId="172">
      <sharedItems containsString="0" containsBlank="1" containsNumber="1" minValue="0" maxValue="17.186631179999999"/>
    </cacheField>
    <cacheField name="Overlap_fund4" numFmtId="172">
      <sharedItems containsBlank="1"/>
    </cacheField>
    <cacheField name="Overlap_NAV4" numFmtId="172">
      <sharedItems containsString="0" containsBlank="1" containsNumber="1" minValue="0" maxValue="1.5170951185999999"/>
    </cacheField>
    <cacheField name="aaa" numFmtId="0">
      <sharedItems containsNonDate="0" containsString="0" containsBlank="1"/>
    </cacheField>
    <cacheField name="bbb" numFmtId="0">
      <sharedItems containsNonDate="0" containsString="0" containsBlank="1"/>
    </cacheField>
    <cacheField name="ccc" numFmtId="0">
      <sharedItems containsNonDate="0" containsString="0" containsBlank="1"/>
    </cacheField>
    <cacheField name="ddd" numFmtId="0">
      <sharedItems containsNonDate="0" containsDate="1" containsString="0" containsBlank="1" minDate="2002-05-31T00:00:00" maxDate="2018-11-01T00:00:00"/>
    </cacheField>
    <cacheField name="eee" numFmtId="0">
      <sharedItems containsBlank="1" containsMixedTypes="1" containsNumber="1" minValue="-2.8257558404120919" maxValue="9.4488263945030511"/>
    </cacheField>
    <cacheField name="FdType" numFmtId="0">
      <sharedItems containsBlank="1" count="5">
        <s v="Coinv"/>
        <s v="FdMgt1"/>
        <s v="FdMgt2"/>
        <s v="FdMgtRGE"/>
        <m/>
      </sharedItems>
    </cacheField>
    <cacheField name="xyz" numFmtId="0">
      <sharedItems containsString="0" containsBlank="1" containsNumber="1" containsInteger="1" minValue="0" maxValue="0"/>
    </cacheField>
    <cacheField name="pqr" numFmtId="0">
      <sharedItems containsNonDate="0" containsDate="1" containsString="0" containsBlank="1" minDate="2002-05-31T00:00:00" maxDate="2018-12-01T00:00:00" count="200">
        <d v="2013-09-30T00:00:00"/>
        <d v="2013-10-31T00:00:00"/>
        <d v="2013-11-30T00:00:00"/>
        <d v="2013-12-31T00:00:00"/>
        <d v="2014-01-31T00:00:00"/>
        <d v="2014-02-28T00:00:00"/>
        <d v="2014-03-31T00:00:00"/>
        <d v="2014-04-30T00:00:00"/>
        <d v="2014-05-31T00:00:00"/>
        <d v="2014-06-30T00:00:00"/>
        <d v="2014-07-31T00:00:00"/>
        <d v="2014-08-31T00:00:00"/>
        <d v="2014-09-30T00:00:00"/>
        <d v="2002-05-31T00:00:00"/>
        <d v="2002-06-30T00:00:00"/>
        <d v="2002-07-31T00:00:00"/>
        <d v="2002-08-31T00:00:00"/>
        <d v="2002-09-30T00:00:00"/>
        <d v="2002-10-31T00:00:00"/>
        <d v="2002-11-30T00:00:00"/>
        <d v="2002-12-31T00:00:00"/>
        <d v="2003-01-31T00:00:00"/>
        <d v="2003-02-28T00:00:00"/>
        <d v="2003-03-31T00:00:00"/>
        <d v="2003-04-30T00:00:00"/>
        <d v="2003-05-31T00:00:00"/>
        <d v="2003-06-30T00:00:00"/>
        <d v="2003-07-31T00:00:00"/>
        <d v="2003-08-31T00:00:00"/>
        <d v="2003-09-30T00:00:00"/>
        <d v="2003-10-31T00:00:00"/>
        <d v="2003-11-30T00:00:00"/>
        <d v="2003-12-31T00:00:00"/>
        <d v="2004-01-31T00:00:00"/>
        <d v="2004-02-29T00:00:00"/>
        <d v="2004-03-31T00:00:00"/>
        <d v="2004-04-30T00:00:00"/>
        <d v="2004-05-31T00:00:00"/>
        <d v="2004-06-30T00:00:00"/>
        <d v="2004-07-31T00:00:00"/>
        <d v="2004-08-31T00:00:00"/>
        <d v="2004-09-30T00:00:00"/>
        <d v="2004-10-31T00:00:00"/>
        <d v="2004-11-30T00:00:00"/>
        <d v="2004-12-31T00:00:00"/>
        <d v="2005-01-31T00:00:00"/>
        <d v="2005-02-28T00:00:00"/>
        <d v="2005-03-31T00:00:00"/>
        <d v="2005-04-30T00:00:00"/>
        <d v="2005-05-31T00:00:00"/>
        <d v="2005-06-30T00:00:00"/>
        <d v="2005-07-31T00:00:00"/>
        <d v="2005-08-31T00:00:00"/>
        <d v="2005-09-30T00:00:00"/>
        <d v="2005-10-31T00:00:00"/>
        <d v="2005-11-30T00:00:00"/>
        <d v="2005-12-31T00:00:00"/>
        <d v="2006-01-31T00:00:00"/>
        <d v="2006-02-28T00:00:00"/>
        <d v="2006-03-31T00:00:00"/>
        <d v="2006-04-30T00:00:00"/>
        <d v="2006-05-31T00:00:00"/>
        <d v="2006-06-30T00:00:00"/>
        <d v="2006-07-31T00:00:00"/>
        <d v="2006-08-31T00:00:00"/>
        <d v="2006-09-30T00:00:00"/>
        <d v="2006-10-31T00:00:00"/>
        <d v="2006-11-30T00:00:00"/>
        <d v="2006-12-31T00:00:00"/>
        <d v="2007-01-31T00:00:00"/>
        <d v="2007-02-28T00:00:00"/>
        <d v="2007-03-31T00:00:00"/>
        <d v="2007-04-30T00:00:00"/>
        <d v="2007-05-31T00:00:00"/>
        <d v="2007-06-30T00:00:00"/>
        <d v="2007-07-31T00:00:00"/>
        <d v="2007-08-31T00:00:00"/>
        <d v="2007-09-30T00:00:00"/>
        <d v="2007-10-31T00:00:00"/>
        <d v="2007-11-30T00:00:00"/>
        <d v="2007-12-31T00:00:00"/>
        <d v="2008-01-31T00:00:00"/>
        <d v="2008-02-29T00:00:00"/>
        <d v="2008-03-31T00:00:00"/>
        <d v="2008-04-30T00:00:00"/>
        <d v="2008-05-31T00:00:00"/>
        <d v="2008-06-30T00:00:00"/>
        <d v="2008-07-31T00:00:00"/>
        <d v="2008-08-31T00:00:00"/>
        <d v="2008-09-30T00:00:00"/>
        <d v="2008-10-31T00:00:00"/>
        <d v="2008-11-30T00:00:00"/>
        <d v="2008-12-31T00:00:00"/>
        <d v="2009-01-31T00:00:00"/>
        <d v="2009-02-28T00:00:00"/>
        <d v="2009-03-31T00:00:00"/>
        <d v="2009-04-30T00:00:00"/>
        <d v="2009-05-31T00:00:00"/>
        <d v="2009-06-30T00:00:00"/>
        <d v="2009-07-31T00:00:00"/>
        <d v="2009-08-31T00:00:00"/>
        <d v="2009-09-30T00:00:00"/>
        <d v="2009-10-31T00:00:00"/>
        <d v="2009-11-30T00:00:00"/>
        <d v="2009-12-31T00:00:00"/>
        <d v="2010-01-31T00:00:00"/>
        <d v="2010-02-28T00:00:00"/>
        <d v="2010-03-31T00:00:00"/>
        <d v="2010-04-30T00:00:00"/>
        <d v="2010-05-31T00:00:00"/>
        <d v="2010-06-30T00:00:00"/>
        <d v="2010-07-31T00:00:00"/>
        <d v="2010-08-31T00:00:00"/>
        <d v="2010-09-30T00:00:00"/>
        <d v="2010-10-31T00:00:00"/>
        <d v="2010-11-30T00:00:00"/>
        <d v="2010-12-31T00:00:00"/>
        <d v="2011-01-31T00:00:00"/>
        <d v="2011-02-28T00:00:00"/>
        <d v="2011-03-31T00:00:00"/>
        <d v="2011-04-30T00:00:00"/>
        <d v="2011-05-31T00:00:00"/>
        <d v="2011-06-30T00:00:00"/>
        <d v="2011-07-31T00:00:00"/>
        <d v="2011-08-31T00:00:00"/>
        <d v="2011-09-30T00:00:00"/>
        <d v="2011-10-31T00:00:00"/>
        <d v="2011-11-30T00:00:00"/>
        <d v="2011-12-31T00:00:00"/>
        <d v="2012-01-31T00:00:00"/>
        <d v="2012-02-29T00:00:00"/>
        <d v="2012-03-31T00:00:00"/>
        <d v="2012-04-30T00:00:00"/>
        <d v="2012-05-31T00:00:00"/>
        <d v="2012-06-30T00:00:00"/>
        <d v="2012-07-31T00:00:00"/>
        <d v="2012-08-31T00:00:00"/>
        <d v="2012-09-30T00:00:00"/>
        <d v="2012-10-31T00:00:00"/>
        <d v="2012-11-30T00:00:00"/>
        <d v="2012-12-31T00:00:00"/>
        <d v="2013-01-31T00:00:00"/>
        <d v="2013-02-28T00:00:00"/>
        <d v="2013-03-31T00:00:00"/>
        <d v="2013-04-30T00:00:00"/>
        <d v="2013-05-31T00:00:00"/>
        <d v="2013-06-30T00:00:00"/>
        <d v="2013-07-31T00:00:00"/>
        <d v="2013-08-31T00:00:00"/>
        <d v="2014-10-31T00:00:00"/>
        <d v="2014-11-30T00:00:00"/>
        <d v="2014-12-31T00:00:00"/>
        <d v="2015-01-31T00:00:00"/>
        <d v="2015-02-28T00:00:00"/>
        <d v="2015-03-31T00:00:00"/>
        <d v="2015-04-30T00:00:00"/>
        <d v="2015-05-31T00:00:00"/>
        <d v="2015-06-30T00:00:00"/>
        <d v="2015-07-31T00:00:00"/>
        <d v="2015-08-31T00:00:00"/>
        <d v="2015-09-30T00:00:00"/>
        <d v="2015-10-31T00:00:00"/>
        <d v="2015-11-30T00:00:00"/>
        <d v="2015-12-31T00:00:00"/>
        <d v="2016-01-31T00:00:00"/>
        <d v="2016-02-29T00:00:00"/>
        <d v="2016-03-31T00:00:00"/>
        <d v="2016-04-30T00:00:00"/>
        <d v="2016-05-31T00:00:00"/>
        <d v="2016-06-30T00:00:00"/>
        <d v="2016-07-31T00:00:00"/>
        <d v="2016-08-31T00:00:00"/>
        <d v="2016-09-30T00:00:00"/>
        <d v="2016-10-31T00:00:00"/>
        <d v="2016-11-30T00:00:00"/>
        <d v="2016-12-31T00:00:00"/>
        <d v="2017-01-31T00:00:00"/>
        <d v="2017-02-28T00:00:00"/>
        <d v="2017-03-31T00:00:00"/>
        <d v="2017-04-30T00:00:00"/>
        <d v="2017-05-31T00:00:00"/>
        <d v="2017-06-30T00:00:00"/>
        <d v="2017-07-31T00:00:00"/>
        <d v="2017-08-31T00:00:00"/>
        <d v="2017-09-30T00:00:00"/>
        <d v="2017-10-31T00:00:00"/>
        <d v="2017-11-30T00:00:00"/>
        <d v="2017-12-31T00:00:00"/>
        <d v="2018-01-31T00:00:00"/>
        <d v="2018-02-28T00:00:00"/>
        <d v="2018-03-31T00:00:00"/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11-30T00:00: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am Kong" refreshedDate="43462.648541898147" createdVersion="4" refreshedVersion="4" minRefreshableVersion="3" recordCount="4386">
  <cacheSource type="worksheet">
    <worksheetSource ref="A2:AB5867" sheet="Data"/>
  </cacheSource>
  <cacheFields count="28">
    <cacheField name="Monthend" numFmtId="14">
      <sharedItems containsNonDate="0" containsDate="1" containsString="0" containsBlank="1" minDate="2002-05-31T00:00:00" maxDate="2018-11-01T00:00:00" count="241">
        <d v="2013-09-25T00:00:00"/>
        <d v="2013-09-30T00:00:00"/>
        <d v="2013-10-31T00:00:00"/>
        <d v="2013-11-29T00:00:00"/>
        <d v="2013-12-31T00:00:00"/>
        <d v="2014-01-30T00:00:00"/>
        <d v="2014-02-28T00:00:00"/>
        <d v="2014-03-31T00:00:00"/>
        <d v="2014-04-30T00:00:00"/>
        <d v="2014-05-30T00:00:00"/>
        <d v="2014-06-30T00:00:00"/>
        <d v="2014-07-31T00:00:00"/>
        <d v="2014-08-29T00:00:00"/>
        <d v="2014-09-30T00:00:00"/>
        <d v="2002-05-31T00:00:00"/>
        <d v="2002-06-28T00:00:00"/>
        <d v="2002-07-31T00:00:00"/>
        <d v="2002-08-30T00:00:00"/>
        <d v="2002-09-30T00:00:00"/>
        <d v="2002-10-30T00:00:00"/>
        <d v="2002-11-29T00:00:00"/>
        <d v="2002-12-31T00:00:00"/>
        <d v="2003-01-31T00:00:00"/>
        <d v="2003-02-28T00:00:00"/>
        <d v="2003-03-31T00:00:00"/>
        <d v="2003-04-30T00:00:00"/>
        <d v="2003-05-30T00:00:00"/>
        <d v="2003-06-30T00:00:00"/>
        <d v="2003-07-31T00:00:00"/>
        <d v="2003-08-29T00:00:00"/>
        <d v="2003-09-30T00:00:00"/>
        <d v="2003-10-31T00:00:00"/>
        <d v="2003-11-28T00:00:00"/>
        <d v="2003-12-31T00:00:00"/>
        <d v="2004-01-31T00:00:00"/>
        <d v="2004-02-27T00:00:00"/>
        <d v="2004-03-31T00:00:00"/>
        <d v="2004-04-30T00:00:00"/>
        <d v="2004-05-31T00:00:00"/>
        <d v="2004-06-30T00:00:00"/>
        <d v="2004-07-30T00:00:00"/>
        <d v="2004-08-31T00:00:00"/>
        <d v="2004-09-30T00:00:00"/>
        <d v="2004-10-29T00:00:00"/>
        <d v="2004-11-30T00:00:00"/>
        <d v="2004-12-31T00:00:00"/>
        <d v="2005-01-31T00:00:00"/>
        <d v="2005-02-28T00:00:00"/>
        <d v="2005-03-31T00:00:00"/>
        <d v="2005-04-30T00:00:00"/>
        <d v="2005-05-31T00:00:00"/>
        <d v="2005-06-30T00:00:00"/>
        <d v="2005-07-31T00:00:00"/>
        <d v="2005-08-31T00:00:00"/>
        <d v="2005-09-30T00:00:00"/>
        <d v="2005-10-31T00:00:00"/>
        <d v="2005-11-30T00:00:00"/>
        <d v="2005-12-31T00:00:00"/>
        <d v="2006-01-30T00:00:00"/>
        <d v="2006-02-27T00:00:00"/>
        <d v="2006-03-31T00:00:00"/>
        <d v="2006-04-30T00:00:00"/>
        <d v="2006-05-31T00:00:00"/>
        <d v="2006-06-30T00:00:00"/>
        <d v="2006-07-31T00:00:00"/>
        <d v="2006-08-31T00:00:00"/>
        <d v="2006-09-30T00:00:00"/>
        <d v="2006-10-31T00:00:00"/>
        <d v="2006-11-30T00:00:00"/>
        <d v="2006-12-31T00:00:00"/>
        <d v="2007-01-31T00:00:00"/>
        <d v="2007-02-28T00:00:00"/>
        <d v="2007-03-30T00:00:00"/>
        <d v="2007-04-30T00:00:00"/>
        <d v="2007-05-31T00:00:00"/>
        <d v="2007-06-29T00:00:00"/>
        <d v="2007-07-31T00:00:00"/>
        <d v="2007-08-31T00:00:00"/>
        <d v="2007-09-30T00:00:00"/>
        <d v="2007-10-31T00:00:00"/>
        <d v="2007-11-30T00:00:00"/>
        <d v="2007-12-31T00:00:00"/>
        <d v="2008-01-31T00:00:00"/>
        <d v="2008-02-29T00:00:00"/>
        <d v="2008-03-31T00:00:00"/>
        <d v="2008-04-30T00:00:00"/>
        <d v="2008-05-30T00:00:00"/>
        <d v="2008-06-30T00:00:00"/>
        <d v="2008-07-31T00:00:00"/>
        <d v="2008-08-29T00:00:00"/>
        <d v="2008-09-30T00:00:00"/>
        <d v="2008-10-31T00:00:00"/>
        <d v="2008-11-28T00:00:00"/>
        <d v="2008-12-31T00:00:00"/>
        <d v="2009-01-30T00:00:00"/>
        <d v="2009-02-27T00:00:00"/>
        <d v="2009-03-31T00:00:00"/>
        <d v="2009-04-30T00:00:00"/>
        <d v="2009-05-29T00:00:00"/>
        <d v="2009-06-30T00:00:00"/>
        <d v="2009-07-31T00:00:00"/>
        <d v="2009-08-31T00:00:00"/>
        <d v="2009-09-30T00:00:00"/>
        <d v="2009-10-30T00:00:00"/>
        <d v="2009-11-30T00:00:00"/>
        <d v="2009-12-31T00:00:00"/>
        <d v="2010-01-29T00:00:00"/>
        <d v="2010-02-26T00:00:00"/>
        <d v="2010-03-31T00:00:00"/>
        <d v="2010-04-30T00:00:00"/>
        <d v="2010-05-31T00:00:00"/>
        <d v="2010-06-30T00:00:00"/>
        <d v="2010-07-30T00:00:00"/>
        <d v="2010-08-31T00:00:00"/>
        <d v="2010-09-30T00:00:00"/>
        <d v="2010-10-29T00:00:00"/>
        <d v="2010-11-30T00:00:00"/>
        <d v="2010-12-31T00:00:00"/>
        <d v="2011-01-31T00:00:00"/>
        <d v="2011-02-28T00:00:00"/>
        <d v="2011-03-31T00:00:00"/>
        <d v="2011-04-29T00:00:00"/>
        <d v="2011-05-31T00:00:00"/>
        <d v="2011-06-30T00:00:00"/>
        <d v="2011-07-29T00:00:00"/>
        <d v="2011-08-31T00:00:00"/>
        <d v="2011-09-30T00:00:00"/>
        <d v="2011-10-31T00:00:00"/>
        <d v="2011-11-30T00:00:00"/>
        <d v="2011-12-30T00:00:00"/>
        <d v="2012-01-31T00:00:00"/>
        <d v="2012-02-29T00:00:00"/>
        <d v="2012-03-30T00:00:00"/>
        <d v="2012-04-30T00:00:00"/>
        <d v="2012-05-31T00:00:00"/>
        <d v="2012-06-29T00:00:00"/>
        <d v="2012-07-31T00:00:00"/>
        <d v="2012-08-31T00:00:00"/>
        <d v="2012-09-28T00:00:00"/>
        <d v="2012-10-31T00:00:00"/>
        <d v="2012-11-30T00:00:00"/>
        <d v="2012-12-31T00:00:00"/>
        <d v="2013-01-31T00:00:00"/>
        <d v="2013-02-28T00:00:00"/>
        <d v="2013-03-28T00:00:00"/>
        <d v="2013-04-30T00:00:00"/>
        <d v="2013-05-31T00:00:00"/>
        <d v="2013-06-28T00:00:00"/>
        <d v="2013-07-31T00:00:00"/>
        <d v="2013-08-30T00:00:00"/>
        <d v="2014-10-31T00:00:00"/>
        <d v="2014-11-28T00:00:00"/>
        <d v="2014-12-31T00:00:00"/>
        <d v="2015-01-30T00:00:00"/>
        <d v="2015-02-27T00:00:00"/>
        <d v="2015-03-31T00:00:00"/>
        <d v="2015-04-30T00:00:00"/>
        <d v="2015-05-29T00:00:00"/>
        <d v="2015-06-30T00:00:00"/>
        <d v="2015-07-31T00:00:00"/>
        <d v="2015-08-31T00:00:00"/>
        <d v="2015-09-30T00:00:00"/>
        <d v="2015-10-30T00:00:00"/>
        <d v="2015-11-30T00:00:00"/>
        <d v="2015-12-31T00:00:00"/>
        <d v="2016-01-29T00:00:00"/>
        <d v="2016-02-29T00:00:00"/>
        <d v="2016-03-31T00:00:00"/>
        <d v="2016-04-29T00:00:00"/>
        <d v="2016-05-31T00:00:00"/>
        <d v="2016-06-30T00:00:00"/>
        <d v="2016-07-29T00:00:00"/>
        <d v="2016-08-31T00:00:00"/>
        <d v="2016-09-30T00:00:00"/>
        <d v="2016-10-31T00:00:00"/>
        <d v="2016-11-30T00:00:00"/>
        <d v="2016-12-30T00:00:00"/>
        <d v="2017-01-27T00:00:00"/>
        <d v="2017-02-28T00:00:00"/>
        <d v="2017-03-31T00:00:00"/>
        <d v="2017-04-28T00:00:00"/>
        <d v="2017-05-31T00:00:00"/>
        <d v="2017-06-30T00:00:00"/>
        <d v="2017-07-31T00:00:00"/>
        <d v="2017-08-31T00:00:00"/>
        <d v="2017-09-29T00:00:00"/>
        <d v="2017-10-31T00:00:00"/>
        <d v="2017-11-30T00:00:00"/>
        <d v="2017-12-29T00:00:00"/>
        <d v="2018-01-31T00:00:00"/>
        <d v="2018-02-28T00:00:00"/>
        <d v="2018-03-29T00:00:00"/>
        <d v="2018-04-30T00:00:00"/>
        <d v="2018-05-31T00:00:00"/>
        <d v="2018-06-29T00:00:00"/>
        <d v="2018-07-31T00:00:00"/>
        <d v="2018-08-31T00:00:00"/>
        <d v="2018-09-28T00:00:00"/>
        <d v="2018-10-31T00:00:00"/>
        <d v="2015-04-01T00:00:00"/>
        <d v="2016-06-16T00:00:00"/>
        <d v="2012-12-14T00:00:00"/>
        <d v="2014-08-05T00:00:00"/>
        <d v="2014-08-19T00:00:00"/>
        <d v="2015-01-15T00:00:00"/>
        <d v="2015-07-22T00:00:00"/>
        <d v="2016-08-15T00:00:00"/>
        <d v="2016-08-23T00:00:00"/>
        <d v="2016-09-21T00:00:00"/>
        <d v="2016-10-12T00:00:00"/>
        <d v="2016-10-24T00:00:00"/>
        <d v="2016-11-21T00:00:00"/>
        <d v="2016-11-29T00:00:00"/>
        <d v="2016-12-31T00:00:00"/>
        <d v="2017-01-31T00:00:00"/>
        <d v="2017-02-27T00:00:00"/>
        <d v="2017-04-10T00:00:00"/>
        <d v="2017-04-30T00:00:00"/>
        <d v="2017-05-26T00:00:00"/>
        <d v="2017-08-11T00:00:00"/>
        <d v="2017-09-30T00:00:00"/>
        <d v="2017-12-18T00:00:00"/>
        <d v="2017-12-31T00:00:00"/>
        <d v="2018-03-31T00:00:00"/>
        <d v="2018-06-30T00:00:00"/>
        <d v="2018-09-30T00:00:00"/>
        <d v="2018-06-01T00:00:00"/>
        <d v="2018-08-17T00:00:00"/>
        <d v="2018-09-26T00:00:00"/>
        <d v="2016-05-02T00:00:00"/>
        <d v="2009-02-02T00:00:00"/>
        <d v="2014-09-24T00:00:00"/>
        <d v="2015-11-17T00:00:00"/>
        <d v="2016-11-01T00:00:00"/>
        <d v="2016-04-27T00:00:00"/>
        <d v="2015-04-20T00:00:00"/>
        <d v="2016-04-06T00:00:00"/>
        <d v="2015-06-01T00:00:00"/>
        <d v="2012-12-18T00:00:00"/>
        <d v="2015-07-14T00:00:00"/>
        <m/>
      </sharedItems>
    </cacheField>
    <cacheField name="Fund" numFmtId="0">
      <sharedItems containsBlank="1" count="64">
        <s v="Amsteel"/>
        <s v="ARF"/>
        <s v="ASM Equities"/>
        <s v="BMTR2"/>
        <s v="BMTR4"/>
        <s v="CHF"/>
        <s v="CHF2"/>
        <s v="CHF3"/>
        <s v="COL"/>
        <s v="Conrex"/>
        <s v="COPT1"/>
        <s v="COPT2"/>
        <s v="COTT"/>
        <s v="DTK"/>
        <s v="Gloves"/>
        <s v="HRF"/>
        <s v="Indomaret"/>
        <s v="Leopark2"/>
        <s v="Mediacom_Donald"/>
        <s v="Mediacom_Mercury"/>
        <s v="Mediacom_Televisi"/>
        <s v="Mediacom_Televisi "/>
        <s v="New BMTR"/>
        <s v="OPL"/>
        <s v="RR"/>
        <s v="SamSen"/>
        <s v="SKK"/>
        <s v="SuperA"/>
        <s v="Tanker"/>
        <s v="TIH"/>
        <s v="William"/>
        <m/>
        <s v="Spinach" u="1"/>
        <s v="AAA" u="1"/>
        <s v="TinklerHouse2018" u="1"/>
        <s v="LitFd_GoodFoodLama" u="1"/>
        <s v="TTNT" u="1"/>
        <s v="TT" u="1"/>
        <s v="New Beitou" u="1"/>
        <s v="Springwood Avenue Limited" u="1"/>
        <s v="Leopark 2" u="1"/>
        <s v="Kim Seng Plaza" u="1"/>
        <s v="Leopark1" u="1"/>
        <s v="TIH_Tony" u="1"/>
        <s v="Thai Property Venture Limited (GHB)" u="1"/>
        <s v="Bus" u="1"/>
        <s v="BTPN_Harumi" u="1"/>
        <s v="Mercury" u="1"/>
        <s v="Suli2017" u="1"/>
        <s v="Sleman_FlourMill" u="1"/>
        <s v="Suli2" u="1"/>
        <s v="MK_MrT" u="1"/>
        <s v="Samudra - call option" u="1"/>
        <s v="Indon_ND" u="1"/>
        <s v="Tinkler loan" u="1"/>
        <s v="SoldierARMS" u="1"/>
        <s v="Evason Hua Hin" u="1"/>
        <s v="West" u="1"/>
        <s v="COP2" u="1"/>
        <s v="Dalian" u="1"/>
        <s v="Donald" u="1"/>
        <s v="Televisi" u="1"/>
        <s v="COP1" u="1"/>
        <s v="Buma_Best Progress" u="1"/>
      </sharedItems>
    </cacheField>
    <cacheField name="Fund_Series" numFmtId="0">
      <sharedItems containsBlank="1"/>
    </cacheField>
    <cacheField name="NAV" numFmtId="0">
      <sharedItems containsString="0" containsBlank="1" containsNumber="1" minValue="-478541.16382188606" maxValue="631699773.97302437"/>
    </cacheField>
    <cacheField name="NAV_ps" numFmtId="0">
      <sharedItems containsBlank="1" containsMixedTypes="1" containsNumber="1" minValue="0" maxValue="64557926.877264522"/>
    </cacheField>
    <cacheField name="Commitment" numFmtId="43">
      <sharedItems containsString="0" containsBlank="1" containsNumber="1" minValue="0" maxValue="166"/>
    </cacheField>
    <cacheField name="Subscription / Drawdown" numFmtId="0">
      <sharedItems containsString="0" containsBlank="1" containsNumber="1" minValue="-2364209.4209587858" maxValue="65719262.410500407"/>
    </cacheField>
    <cacheField name="Redemption" numFmtId="43">
      <sharedItems containsString="0" containsBlank="1" containsNumber="1" minValue="-83875323.088953435" maxValue="0"/>
    </cacheField>
    <cacheField name="Distribution" numFmtId="0">
      <sharedItems containsString="0" containsBlank="1" containsNumber="1" minValue="-82201554.474216789" maxValue="1085000"/>
    </cacheField>
    <cacheField name="Committed Capital" numFmtId="43">
      <sharedItems containsString="0" containsBlank="1" containsNumber="1" containsInteger="1" minValue="0" maxValue="50000000"/>
    </cacheField>
    <cacheField name="Total No. of shr" numFmtId="0">
      <sharedItems containsString="0" containsBlank="1" containsNumber="1" minValue="0" maxValue="20725139.850000001"/>
    </cacheField>
    <cacheField name="Net_Cashflow" numFmtId="43">
      <sharedItems containsString="0" containsBlank="1" containsNumber="1" minValue="-83875323.088953435" maxValue="65719262.410500407"/>
    </cacheField>
    <cacheField name="Cashflow_ps" numFmtId="172">
      <sharedItems containsBlank="1" containsMixedTypes="1" containsNumber="1" minValue="-11510536.388049964" maxValue="64557926.877264522"/>
    </cacheField>
    <cacheField name="Cashflow (IRR)" numFmtId="172">
      <sharedItems containsString="0" containsBlank="1" containsNumber="1" minValue="-531954231.70863187" maxValue="64557926.877264522"/>
    </cacheField>
    <cacheField name="Cashflow_ex-GP (IRR)" numFmtId="172">
      <sharedItems containsString="0" containsBlank="1" containsNumber="1" minValue="-42202654.469999999" maxValue="45484000"/>
    </cacheField>
    <cacheField name="Structure" numFmtId="172">
      <sharedItems containsBlank="1"/>
    </cacheField>
    <cacheField name="Monthly MF" numFmtId="172">
      <sharedItems containsString="0" containsBlank="1" containsNumber="1" minValue="-1.1202120000000001E-2" maxValue="0.84619966690578996"/>
    </cacheField>
    <cacheField name="o/s accrued PF" numFmtId="0">
      <sharedItems containsString="0" containsBlank="1" containsNumber="1" minValue="-1.4089706100000001" maxValue="32.209986639999997"/>
    </cacheField>
    <cacheField name="MF Rebate" numFmtId="172">
      <sharedItems containsString="0" containsBlank="1" containsNumber="1" minValue="0" maxValue="0.22805468182351463"/>
    </cacheField>
    <cacheField name="PF Rebate" numFmtId="172">
      <sharedItems containsString="0" containsBlank="1" containsNumber="1" minValue="0" maxValue="4.4249729688920389"/>
    </cacheField>
    <cacheField name="Overlap_fund1" numFmtId="172">
      <sharedItems containsBlank="1"/>
    </cacheField>
    <cacheField name="Overlap_NAV1" numFmtId="0">
      <sharedItems containsString="0" containsBlank="1" containsNumber="1" minValue="0" maxValue="24.906275129999997"/>
    </cacheField>
    <cacheField name="Overlap_fund2" numFmtId="172">
      <sharedItems containsBlank="1"/>
    </cacheField>
    <cacheField name="Overlap_NAV2" numFmtId="0">
      <sharedItems containsString="0" containsBlank="1" containsNumber="1" minValue="0" maxValue="23.889559239999997"/>
    </cacheField>
    <cacheField name="Overlap_fund3" numFmtId="172">
      <sharedItems containsBlank="1"/>
    </cacheField>
    <cacheField name="Overlap_NAV3" numFmtId="172">
      <sharedItems containsString="0" containsBlank="1" containsNumber="1" minValue="0" maxValue="17.186631179999999"/>
    </cacheField>
    <cacheField name="Overlap_fund4" numFmtId="172">
      <sharedItems containsBlank="1"/>
    </cacheField>
    <cacheField name="Overlap_NAV4" numFmtId="172">
      <sharedItems containsString="0" containsBlank="1" containsNumber="1" minValue="0" maxValue="1.5170951185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98">
  <r>
    <x v="0"/>
    <s v="AAA"/>
    <x v="0"/>
    <n v="13000000"/>
    <n v="13000000"/>
    <m/>
    <n v="13000000"/>
    <n v="0"/>
    <n v="0"/>
    <n v="1"/>
    <n v="13000000"/>
    <n v="13000000"/>
    <n v="13000000"/>
  </r>
  <r>
    <x v="1"/>
    <s v="AAA"/>
    <x v="0"/>
    <n v="13000000"/>
    <n v="13000000"/>
    <m/>
    <n v="0"/>
    <n v="0"/>
    <n v="0"/>
    <n v="1"/>
    <n v="0"/>
    <n v="0"/>
    <n v="0"/>
  </r>
  <r>
    <x v="2"/>
    <s v="AAA"/>
    <x v="0"/>
    <n v="12997581.6932059"/>
    <n v="12997581.6932059"/>
    <m/>
    <m/>
    <n v="0"/>
    <n v="0"/>
    <n v="1"/>
    <n v="0"/>
    <n v="0"/>
    <n v="0"/>
  </r>
  <r>
    <x v="3"/>
    <s v="AAA"/>
    <x v="0"/>
    <n v="14392118.5008907"/>
    <n v="13194262.604268402"/>
    <m/>
    <n v="1180000"/>
    <n v="0"/>
    <n v="0"/>
    <n v="1.0907861191299002"/>
    <n v="1180000"/>
    <n v="0"/>
    <n v="1180000"/>
  </r>
  <r>
    <x v="4"/>
    <s v="AAA"/>
    <x v="0"/>
    <n v="14624251.249622401"/>
    <n v="13407074.946358774"/>
    <m/>
    <m/>
    <n v="-1.862645149230957E-9"/>
    <n v="0"/>
    <n v="1.0907861191299002"/>
    <n v="-1.862645149230957E-9"/>
    <n v="0"/>
    <n v="-1.862645149230957E-9"/>
  </r>
  <r>
    <x v="5"/>
    <s v="AAA"/>
    <x v="0"/>
    <n v="14860275.666844301"/>
    <n v="13623455.053405032"/>
    <m/>
    <m/>
    <n v="0"/>
    <n v="0"/>
    <n v="1.0907861191299002"/>
    <n v="0"/>
    <n v="0"/>
    <n v="0"/>
  </r>
  <r>
    <x v="6"/>
    <s v="AAA"/>
    <x v="0"/>
    <n v="15085445.4692412"/>
    <n v="13829883.975122986"/>
    <m/>
    <m/>
    <n v="0"/>
    <n v="0"/>
    <n v="1.0907861191299002"/>
    <n v="0"/>
    <n v="0"/>
    <n v="0"/>
  </r>
  <r>
    <x v="7"/>
    <s v="AAA"/>
    <x v="0"/>
    <n v="15410306.2508354"/>
    <n v="14127706.59671386"/>
    <m/>
    <m/>
    <n v="0"/>
    <n v="0"/>
    <n v="1.0907861191299002"/>
    <n v="0"/>
    <n v="0"/>
    <n v="0"/>
  </r>
  <r>
    <x v="8"/>
    <s v="AAA"/>
    <x v="0"/>
    <n v="15662677.943044046"/>
    <n v="14359073.395193068"/>
    <m/>
    <m/>
    <n v="0"/>
    <n v="0"/>
    <n v="1.0907861191299002"/>
    <n v="0"/>
    <n v="0"/>
    <n v="0"/>
  </r>
  <r>
    <x v="9"/>
    <s v="AAA"/>
    <x v="0"/>
    <n v="15845852.657091901"/>
    <n v="14527002.479397008"/>
    <m/>
    <m/>
    <n v="0"/>
    <n v="0"/>
    <n v="1.0907861191299002"/>
    <n v="0"/>
    <n v="0"/>
    <n v="0"/>
  </r>
  <r>
    <x v="10"/>
    <s v="AAA"/>
    <x v="0"/>
    <n v="16094279.8045302"/>
    <n v="14754753.037532516"/>
    <m/>
    <m/>
    <n v="0"/>
    <n v="0"/>
    <n v="1.0907861191299002"/>
    <n v="0"/>
    <n v="0"/>
    <n v="0"/>
  </r>
  <r>
    <x v="11"/>
    <s v="AAA"/>
    <x v="0"/>
    <n v="16196350.337797198"/>
    <n v="14848328.241210775"/>
    <m/>
    <m/>
    <n v="0"/>
    <n v="0"/>
    <n v="1.0907861191299002"/>
    <n v="0"/>
    <n v="0"/>
    <n v="0"/>
  </r>
  <r>
    <x v="12"/>
    <s v="AAA"/>
    <x v="0"/>
    <n v="16446407.960000003"/>
    <n v="15077573.569710437"/>
    <m/>
    <m/>
    <n v="0"/>
    <n v="0"/>
    <n v="1.0907861191299002"/>
    <n v="0"/>
    <n v="0"/>
    <n v="0"/>
  </r>
  <r>
    <x v="13"/>
    <s v="AAA"/>
    <x v="0"/>
    <n v="16689116.500442998"/>
    <n v="15300081.480460713"/>
    <m/>
    <m/>
    <n v="0"/>
    <n v="0"/>
    <n v="1.0907861191299002"/>
    <n v="0"/>
    <n v="0"/>
    <n v="0"/>
  </r>
  <r>
    <x v="14"/>
    <s v="AAA"/>
    <x v="0"/>
    <n v="16831161.48"/>
    <n v="15430304.057614801"/>
    <m/>
    <m/>
    <n v="0"/>
    <n v="0"/>
    <n v="1.0907861191299002"/>
    <n v="0"/>
    <n v="0"/>
    <n v="0"/>
  </r>
  <r>
    <x v="15"/>
    <s v="AAA"/>
    <x v="0"/>
    <n v="17054304.030000001"/>
    <n v="15634874.455135075"/>
    <m/>
    <m/>
    <n v="0"/>
    <n v="0"/>
    <n v="1.0907861191299002"/>
    <n v="0"/>
    <n v="0"/>
    <n v="0"/>
  </r>
  <r>
    <x v="16"/>
    <s v="AAA"/>
    <x v="0"/>
    <n v="17312009.5158903"/>
    <n v="15871131.115694586"/>
    <m/>
    <m/>
    <n v="0"/>
    <n v="0"/>
    <n v="1.0907861191299002"/>
    <n v="0"/>
    <n v="0"/>
    <n v="0"/>
  </r>
  <r>
    <x v="17"/>
    <s v="AAA"/>
    <x v="0"/>
    <n v="17562064.759999998"/>
    <n v="16100374.264029808"/>
    <m/>
    <m/>
    <n v="0"/>
    <n v="0"/>
    <n v="1.0907861191299002"/>
    <n v="0"/>
    <n v="0"/>
    <n v="0"/>
  </r>
  <r>
    <x v="18"/>
    <s v="AAA"/>
    <x v="0"/>
    <n v="18066577.699999999"/>
    <n v="16562896.596457766"/>
    <m/>
    <m/>
    <n v="0"/>
    <n v="0"/>
    <n v="1.0907861191299002"/>
    <n v="0"/>
    <n v="0"/>
    <n v="0"/>
  </r>
  <r>
    <x v="19"/>
    <s v="AAA"/>
    <x v="0"/>
    <n v="18063548.181330498"/>
    <n v="16560119.224600561"/>
    <m/>
    <m/>
    <n v="0"/>
    <n v="0"/>
    <n v="1.0907861191299002"/>
    <n v="0"/>
    <n v="0"/>
    <n v="0"/>
  </r>
  <r>
    <x v="20"/>
    <s v="AAA"/>
    <x v="0"/>
    <n v="20065247.542996299"/>
    <n v="18395217.165948145"/>
    <m/>
    <m/>
    <n v="0"/>
    <n v="0"/>
    <n v="1.0907861191299002"/>
    <n v="0"/>
    <n v="0"/>
    <n v="0"/>
  </r>
  <r>
    <x v="21"/>
    <s v="AAA"/>
    <x v="0"/>
    <n v="19885442.300000001"/>
    <n v="18230377.111749686"/>
    <m/>
    <m/>
    <n v="0"/>
    <n v="0"/>
    <n v="1.0907861191299002"/>
    <n v="0"/>
    <n v="0"/>
    <n v="0"/>
  </r>
  <r>
    <x v="22"/>
    <s v="AAA"/>
    <x v="0"/>
    <n v="19054129.857872475"/>
    <n v="17468254.796890523"/>
    <m/>
    <m/>
    <n v="-3.7252902984619141E-9"/>
    <n v="0"/>
    <n v="1.0907861191299002"/>
    <n v="-3.7252902984619141E-9"/>
    <n v="0"/>
    <n v="-3.7252902984619141E-9"/>
  </r>
  <r>
    <x v="23"/>
    <s v="AAA"/>
    <x v="0"/>
    <n v="19380300"/>
    <n v="17767277.800949011"/>
    <m/>
    <m/>
    <n v="0"/>
    <n v="0"/>
    <n v="1.0907861191299002"/>
    <n v="0"/>
    <n v="0"/>
    <n v="0"/>
  </r>
  <r>
    <x v="24"/>
    <s v="AAA"/>
    <x v="0"/>
    <n v="19745854.181028899"/>
    <n v="18102406.91069648"/>
    <m/>
    <m/>
    <n v="0"/>
    <n v="0"/>
    <n v="1.0907861191299002"/>
    <n v="0"/>
    <n v="0"/>
    <n v="0"/>
  </r>
  <r>
    <x v="25"/>
    <s v="AAA"/>
    <x v="0"/>
    <n v="20088177.7783462"/>
    <n v="18416238.918010954"/>
    <m/>
    <m/>
    <n v="0"/>
    <n v="0"/>
    <n v="1.0907861191299002"/>
    <n v="0"/>
    <n v="0"/>
    <n v="0"/>
  </r>
  <r>
    <x v="26"/>
    <s v="AAA"/>
    <x v="0"/>
    <n v="20378685.620000001"/>
    <n v="18682567.794551417"/>
    <m/>
    <m/>
    <n v="0"/>
    <n v="0"/>
    <n v="1.0907861191299002"/>
    <n v="0"/>
    <n v="0"/>
    <n v="0"/>
  </r>
  <r>
    <x v="27"/>
    <s v="AAA"/>
    <x v="0"/>
    <n v="20794300"/>
    <n v="19063590.593348607"/>
    <m/>
    <m/>
    <n v="0"/>
    <n v="0"/>
    <n v="1.0907861191299002"/>
    <n v="0"/>
    <n v="0"/>
    <n v="0"/>
  </r>
  <r>
    <x v="28"/>
    <s v="AAA"/>
    <x v="0"/>
    <n v="23082670.170000002"/>
    <n v="21161499.7341666"/>
    <m/>
    <m/>
    <n v="0"/>
    <n v="0"/>
    <n v="1.0907861191299002"/>
    <n v="0"/>
    <n v="0"/>
    <n v="0"/>
  </r>
  <r>
    <x v="29"/>
    <s v="AAA"/>
    <x v="0"/>
    <n v="23862699.629999999"/>
    <n v="21876607.349051002"/>
    <m/>
    <m/>
    <n v="0"/>
    <n v="0"/>
    <n v="1.0907861191299002"/>
    <n v="0"/>
    <n v="0"/>
    <n v="0"/>
  </r>
  <r>
    <x v="30"/>
    <s v="AAA"/>
    <x v="0"/>
    <n v="23862699.629999999"/>
    <n v="21876607.349051002"/>
    <m/>
    <m/>
    <n v="0"/>
    <n v="0"/>
    <n v="1.0907861191299002"/>
    <n v="0"/>
    <n v="0"/>
    <n v="-23862699.629999999"/>
  </r>
  <r>
    <x v="31"/>
    <s v="Amsteel"/>
    <x v="1"/>
    <n v="5000000"/>
    <n v="5000000"/>
    <m/>
    <n v="5000000"/>
    <n v="0"/>
    <n v="0"/>
    <n v="1"/>
    <n v="5000000"/>
    <n v="5000000"/>
    <n v="5000000"/>
  </r>
  <r>
    <x v="32"/>
    <s v="Amsteel"/>
    <x v="1"/>
    <n v="5000000"/>
    <n v="5000000"/>
    <m/>
    <m/>
    <n v="0"/>
    <n v="0"/>
    <n v="1"/>
    <n v="0"/>
    <n v="0"/>
    <n v="0"/>
  </r>
  <r>
    <x v="33"/>
    <s v="Amsteel"/>
    <x v="1"/>
    <n v="5000000"/>
    <n v="5000000"/>
    <m/>
    <m/>
    <n v="0"/>
    <n v="0"/>
    <n v="1"/>
    <n v="0"/>
    <n v="0"/>
    <n v="0"/>
  </r>
  <r>
    <x v="34"/>
    <s v="Amsteel"/>
    <x v="1"/>
    <n v="5125316.4396383502"/>
    <n v="5125316.4396383502"/>
    <m/>
    <m/>
    <n v="0"/>
    <n v="0"/>
    <n v="1"/>
    <n v="0"/>
    <n v="0"/>
    <n v="0"/>
  </r>
  <r>
    <x v="35"/>
    <s v="Amsteel"/>
    <x v="1"/>
    <n v="5187317.3793550124"/>
    <n v="5187317.3793550124"/>
    <m/>
    <m/>
    <n v="0"/>
    <n v="0"/>
    <n v="1"/>
    <n v="0"/>
    <n v="0"/>
    <n v="0"/>
  </r>
  <r>
    <x v="36"/>
    <s v="Amsteel"/>
    <x v="1"/>
    <n v="5245667.6219666172"/>
    <n v="5245667.6219666172"/>
    <m/>
    <m/>
    <n v="0"/>
    <n v="0"/>
    <n v="1"/>
    <n v="0"/>
    <n v="0"/>
    <n v="0"/>
  </r>
  <r>
    <x v="37"/>
    <s v="Amsteel"/>
    <x v="1"/>
    <n v="5302134.6910279123"/>
    <n v="5302134.6910279123"/>
    <m/>
    <m/>
    <n v="0"/>
    <n v="0"/>
    <n v="1"/>
    <n v="0"/>
    <n v="0"/>
    <n v="0"/>
  </r>
  <r>
    <x v="38"/>
    <s v="Amsteel"/>
    <x v="1"/>
    <n v="5362007.8615804501"/>
    <n v="5362007.8615804501"/>
    <m/>
    <m/>
    <n v="0"/>
    <n v="0"/>
    <n v="1"/>
    <n v="0"/>
    <n v="0"/>
    <n v="0"/>
  </r>
  <r>
    <x v="39"/>
    <s v="Amsteel"/>
    <x v="1"/>
    <n v="5419999.19074817"/>
    <n v="5419999.19074817"/>
    <m/>
    <m/>
    <n v="0"/>
    <n v="0"/>
    <n v="1"/>
    <n v="0"/>
    <n v="0"/>
    <n v="0"/>
  </r>
  <r>
    <x v="40"/>
    <s v="Amsteel"/>
    <x v="1"/>
    <n v="5478065.2156705195"/>
    <n v="5478065.2156705195"/>
    <m/>
    <m/>
    <n v="0"/>
    <n v="0"/>
    <n v="1"/>
    <n v="0"/>
    <n v="0"/>
    <n v="0"/>
  </r>
  <r>
    <x v="41"/>
    <s v="Amsteel"/>
    <x v="1"/>
    <n v="5538169.8641023338"/>
    <n v="5538169.8641023338"/>
    <m/>
    <m/>
    <n v="0"/>
    <n v="0"/>
    <n v="1"/>
    <n v="0"/>
    <n v="0"/>
    <n v="0"/>
  </r>
  <r>
    <x v="42"/>
    <s v="Amsteel"/>
    <x v="1"/>
    <n v="5598380.2334553897"/>
    <n v="5598380.2334553897"/>
    <m/>
    <m/>
    <n v="0"/>
    <n v="0"/>
    <n v="1"/>
    <n v="0"/>
    <n v="0"/>
    <n v="0"/>
  </r>
  <r>
    <x v="43"/>
    <s v="Amsteel"/>
    <x v="1"/>
    <n v="5654814.7240162529"/>
    <n v="5654814.7240162529"/>
    <m/>
    <m/>
    <n v="0"/>
    <n v="0"/>
    <n v="1"/>
    <n v="0"/>
    <n v="0"/>
    <n v="0"/>
  </r>
  <r>
    <x v="44"/>
    <s v="Amsteel"/>
    <x v="1"/>
    <n v="0"/>
    <n v="0"/>
    <m/>
    <m/>
    <n v="0"/>
    <n v="-5706975.6700801905"/>
    <n v="1"/>
    <n v="-5706975.6700801905"/>
    <n v="-5706975.6700801905"/>
    <n v="-5706975.6700801905"/>
  </r>
  <r>
    <x v="45"/>
    <s v="ARF"/>
    <x v="2"/>
    <n v="6749909.9918982461"/>
    <n v="618.68607472861777"/>
    <m/>
    <n v="6749909.9918982461"/>
    <n v="0"/>
    <n v="0"/>
    <n v="10910.072600000001"/>
    <n v="6749909.9918982461"/>
    <n v="618.68607472861777"/>
    <n v="618.68607472861777"/>
  </r>
  <r>
    <x v="46"/>
    <s v="ARF"/>
    <x v="2"/>
    <n v="6781984.8891887469"/>
    <n v="621.62600908712068"/>
    <m/>
    <n v="0"/>
    <n v="0"/>
    <n v="0"/>
    <n v="10910.072600000001"/>
    <n v="0"/>
    <n v="0"/>
    <n v="0"/>
  </r>
  <r>
    <x v="47"/>
    <s v="ARF"/>
    <x v="2"/>
    <n v="7728473.6066321544"/>
    <n v="624.254249401175"/>
    <m/>
    <n v="917814.42480682768"/>
    <n v="0"/>
    <n v="0"/>
    <n v="12380.329992220006"/>
    <n v="917814.42480682768"/>
    <n v="0"/>
    <n v="0"/>
  </r>
  <r>
    <x v="48"/>
    <s v="ARF"/>
    <x v="2"/>
    <n v="7851026.2108998587"/>
    <n v="634.15322659683318"/>
    <m/>
    <n v="0"/>
    <n v="-4.6566128730773926E-9"/>
    <n v="0"/>
    <n v="12380.329992219999"/>
    <n v="-4.6566128730773926E-9"/>
    <n v="0"/>
    <n v="0"/>
  </r>
  <r>
    <x v="49"/>
    <s v="ARF"/>
    <x v="2"/>
    <n v="8023874.4039590294"/>
    <n v="648.11474403358886"/>
    <m/>
    <n v="1.862645149230957E-9"/>
    <n v="0"/>
    <n v="0"/>
    <n v="12380.32999222"/>
    <n v="1.862645149230957E-9"/>
    <n v="0"/>
    <n v="0"/>
  </r>
  <r>
    <x v="50"/>
    <s v="ARF"/>
    <x v="2"/>
    <n v="11214338.140100392"/>
    <n v="649.00169239032004"/>
    <m/>
    <n v="3179483.0227989731"/>
    <n v="0"/>
    <n v="0"/>
    <n v="17279.366558810001"/>
    <n v="3179483.0227989731"/>
    <n v="0"/>
    <n v="0"/>
  </r>
  <r>
    <x v="51"/>
    <s v="ARF"/>
    <x v="2"/>
    <n v="14316516.878817642"/>
    <n v="730.66825425449758"/>
    <m/>
    <n v="1691032.2806683928"/>
    <n v="0"/>
    <n v="0"/>
    <n v="19593.730527440002"/>
    <n v="1691032.2806683928"/>
    <n v="0"/>
    <n v="0"/>
  </r>
  <r>
    <x v="52"/>
    <s v="ARF"/>
    <x v="2"/>
    <n v="16925908.766360465"/>
    <n v="863.84309218995372"/>
    <m/>
    <n v="0"/>
    <n v="0"/>
    <n v="0"/>
    <n v="19593.730527440002"/>
    <n v="0"/>
    <n v="0"/>
    <n v="0"/>
  </r>
  <r>
    <x v="53"/>
    <s v="ARF"/>
    <x v="2"/>
    <n v="22284435.707187761"/>
    <n v="937.85236211303766"/>
    <m/>
    <n v="3908409.24942182"/>
    <n v="0"/>
    <n v="0"/>
    <n v="23761.134062700006"/>
    <n v="3908409.24942182"/>
    <n v="0"/>
    <n v="0"/>
  </r>
  <r>
    <x v="54"/>
    <s v="ARF"/>
    <x v="2"/>
    <n v="26974538.276231118"/>
    <n v="976.59596895912296"/>
    <m/>
    <n v="3769510.5327009819"/>
    <n v="0"/>
    <n v="0"/>
    <n v="27620.98056270001"/>
    <n v="3769510.5327009819"/>
    <n v="0"/>
    <n v="0"/>
  </r>
  <r>
    <x v="55"/>
    <s v="ARF"/>
    <x v="2"/>
    <n v="27079382.675778888"/>
    <n v="980.39179363340543"/>
    <m/>
    <n v="0"/>
    <n v="-3.7252902984619141E-9"/>
    <n v="0"/>
    <n v="27620.980562700006"/>
    <n v="-3.7252902984619141E-9"/>
    <n v="0"/>
    <n v="0"/>
  </r>
  <r>
    <x v="56"/>
    <s v="ARF"/>
    <x v="2"/>
    <n v="48659638.343423203"/>
    <n v="996.43398038672808"/>
    <m/>
    <n v="21137154.739147589"/>
    <n v="0"/>
    <n v="0"/>
    <n v="48833.780562700005"/>
    <n v="21137154.739147589"/>
    <n v="0"/>
    <n v="0"/>
  </r>
  <r>
    <x v="57"/>
    <s v="ARF"/>
    <x v="2"/>
    <n v="49882723.180063948"/>
    <n v="1021.479856879341"/>
    <m/>
    <n v="0"/>
    <n v="0"/>
    <n v="0"/>
    <n v="48833.780562700005"/>
    <n v="0"/>
    <n v="0"/>
    <n v="0"/>
  </r>
  <r>
    <x v="58"/>
    <s v="ARF"/>
    <x v="2"/>
    <n v="53252382.71416261"/>
    <n v="1027.8809398558005"/>
    <m/>
    <n v="3057070.4526626021"/>
    <n v="0"/>
    <n v="0"/>
    <n v="51807.928962699989"/>
    <n v="3057070.4526626021"/>
    <n v="0"/>
    <n v="0"/>
  </r>
  <r>
    <x v="59"/>
    <s v="ARF"/>
    <x v="2"/>
    <n v="54456302.425475195"/>
    <n v="1031.7350973533248"/>
    <m/>
    <n v="1004243.7934697866"/>
    <n v="0"/>
    <n v="0"/>
    <n v="52781.283262700003"/>
    <n v="1004243.7934697866"/>
    <n v="0"/>
    <n v="0"/>
  </r>
  <r>
    <x v="60"/>
    <s v="ARF"/>
    <x v="2"/>
    <n v="55881933.612649925"/>
    <n v="1058.7452626818024"/>
    <m/>
    <n v="0"/>
    <n v="-7.4505805969238281E-9"/>
    <n v="0"/>
    <n v="52781.283262699995"/>
    <n v="-7.4505805969238281E-9"/>
    <n v="0"/>
    <n v="0"/>
  </r>
  <r>
    <x v="61"/>
    <s v="ARF"/>
    <x v="2"/>
    <n v="57656149.670950986"/>
    <n v="1092.3597553319814"/>
    <m/>
    <n v="1.4901161193847656E-8"/>
    <n v="0"/>
    <n v="0"/>
    <n v="52781.283262700003"/>
    <n v="1.4901161193847656E-8"/>
    <n v="0"/>
    <n v="0"/>
  </r>
  <r>
    <x v="62"/>
    <s v="ARF"/>
    <x v="2"/>
    <n v="79379745.093518212"/>
    <n v="1107.5970631330749"/>
    <m/>
    <n v="20919350.763356768"/>
    <n v="0"/>
    <n v="0"/>
    <n v="71668.432262699978"/>
    <n v="20919350.763356768"/>
    <n v="0"/>
    <n v="0"/>
  </r>
  <r>
    <x v="63"/>
    <s v="ARF"/>
    <x v="2"/>
    <n v="90224471.478453606"/>
    <n v="1102.5368963469984"/>
    <m/>
    <n v="11207380.605481282"/>
    <n v="0"/>
    <n v="0"/>
    <n v="81833.516662699971"/>
    <n v="11207380.605481282"/>
    <n v="0"/>
    <n v="0"/>
  </r>
  <r>
    <x v="64"/>
    <s v="ARF"/>
    <x v="2"/>
    <n v="91843291.29175207"/>
    <n v="1104.7140999999999"/>
    <m/>
    <n v="1440651.5818824768"/>
    <n v="0"/>
    <n v="0"/>
    <n v="83137.611162699992"/>
    <n v="1440651.5818824768"/>
    <n v="0"/>
    <n v="0"/>
  </r>
  <r>
    <x v="65"/>
    <s v="ARF"/>
    <x v="2"/>
    <n v="90237190.528417513"/>
    <n v="1142.7991999999999"/>
    <m/>
    <n v="0"/>
    <n v="-4772404.9982271045"/>
    <n v="0"/>
    <n v="78961.54506270001"/>
    <n v="-4772404.9982271045"/>
    <n v="0"/>
    <n v="0"/>
  </r>
  <r>
    <x v="66"/>
    <s v="ARF"/>
    <x v="2"/>
    <n v="93657771.974627659"/>
    <n v="1173.1184000000001"/>
    <m/>
    <n v="1026530.5691451132"/>
    <n v="0"/>
    <n v="0"/>
    <n v="79836.589362700004"/>
    <n v="1026530.5691451132"/>
    <n v="0"/>
    <n v="0"/>
  </r>
  <r>
    <x v="67"/>
    <s v="ARF"/>
    <x v="2"/>
    <n v="97485302.037818968"/>
    <n v="1171.0465999999999"/>
    <m/>
    <n v="3992935.5090329647"/>
    <n v="0"/>
    <n v="0"/>
    <n v="83246.3046627"/>
    <n v="3992935.5090329647"/>
    <n v="0"/>
    <n v="0"/>
  </r>
  <r>
    <x v="68"/>
    <s v="ARF"/>
    <x v="2"/>
    <n v="101662518.16102278"/>
    <n v="1167.9290000000001"/>
    <m/>
    <n v="4436744.8026202321"/>
    <n v="0"/>
    <n v="0"/>
    <n v="87045.118462700018"/>
    <n v="4436744.8026202321"/>
    <n v="0"/>
    <n v="0"/>
  </r>
  <r>
    <x v="69"/>
    <s v="ARF"/>
    <x v="2"/>
    <n v="118417278.68384798"/>
    <n v="1141.9378999999997"/>
    <m/>
    <n v="19017158.901301116"/>
    <n v="0"/>
    <n v="0"/>
    <n v="103698.52746270003"/>
    <n v="19017158.901301116"/>
    <n v="0"/>
    <n v="0"/>
  </r>
  <r>
    <x v="70"/>
    <s v="ARF"/>
    <x v="2"/>
    <n v="119663386.78956835"/>
    <n v="1152.3003000000001"/>
    <m/>
    <n v="171542.48474085331"/>
    <n v="0"/>
    <n v="0"/>
    <n v="103847.39706270001"/>
    <n v="171542.48474085331"/>
    <n v="0"/>
    <n v="0"/>
  </r>
  <r>
    <x v="71"/>
    <s v="ARF"/>
    <x v="2"/>
    <n v="120028558.13680373"/>
    <n v="1158.3661"/>
    <m/>
    <n v="0"/>
    <n v="-264746.1938675344"/>
    <n v="0"/>
    <n v="103618.84566270003"/>
    <n v="-264746.1938675344"/>
    <n v="0"/>
    <n v="0"/>
  </r>
  <r>
    <x v="72"/>
    <s v="ARF"/>
    <x v="2"/>
    <n v="120175468.9361843"/>
    <n v="1159.7838999999999"/>
    <m/>
    <n v="0"/>
    <n v="-1.4901161193847656E-8"/>
    <n v="0"/>
    <n v="103618.84566270003"/>
    <n v="-1.4901161193847656E-8"/>
    <n v="0"/>
    <n v="0"/>
  </r>
  <r>
    <x v="73"/>
    <s v="ARF"/>
    <x v="2"/>
    <n v="133151966.97990951"/>
    <n v="1185.8472000000002"/>
    <m/>
    <n v="10275848.983564526"/>
    <n v="0"/>
    <n v="0"/>
    <n v="112284.2529627"/>
    <n v="10275848.983564526"/>
    <n v="0"/>
    <n v="0"/>
  </r>
  <r>
    <x v="74"/>
    <s v="ARF"/>
    <x v="2"/>
    <n v="132441385.28338923"/>
    <n v="1202.7425000000003"/>
    <m/>
    <n v="0"/>
    <n v="-2607657.8356010169"/>
    <n v="0"/>
    <n v="110116.1597627"/>
    <n v="-2607657.8356010169"/>
    <n v="0"/>
    <n v="0"/>
  </r>
  <r>
    <x v="75"/>
    <s v="ARF"/>
    <x v="2"/>
    <n v="138826338.32738152"/>
    <n v="1258.3509999999999"/>
    <m/>
    <n v="261558.57382822037"/>
    <n v="0"/>
    <n v="0"/>
    <n v="110324.01796270002"/>
    <n v="261558.57382822037"/>
    <n v="0"/>
    <n v="0"/>
  </r>
  <r>
    <x v="76"/>
    <s v="ARF"/>
    <x v="2"/>
    <n v="161923259.5087077"/>
    <n v="1291.0157999999999"/>
    <m/>
    <n v="19493209.199378192"/>
    <n v="0"/>
    <n v="0"/>
    <n v="125423.14316270004"/>
    <n v="19493209.199378192"/>
    <n v="0"/>
    <n v="0"/>
  </r>
  <r>
    <x v="77"/>
    <s v="ARF"/>
    <x v="2"/>
    <n v="183039313.04451823"/>
    <n v="1306.5826000000002"/>
    <m/>
    <n v="19163616.550825357"/>
    <n v="0"/>
    <n v="0"/>
    <n v="140090.1198627"/>
    <n v="19163616.550825357"/>
    <n v="0"/>
    <n v="0"/>
  </r>
  <r>
    <x v="78"/>
    <s v="ARF"/>
    <x v="2"/>
    <n v="197976654.86490938"/>
    <n v="1337.2299999999998"/>
    <m/>
    <n v="10643943.880911082"/>
    <n v="0"/>
    <n v="0"/>
    <n v="148049.81556270007"/>
    <n v="10643943.880911082"/>
    <n v="0"/>
    <n v="0"/>
  </r>
  <r>
    <x v="79"/>
    <s v="ARF"/>
    <x v="2"/>
    <n v="197964520.74361074"/>
    <n v="1323.7750000000001"/>
    <m/>
    <n v="1979876.1470974386"/>
    <n v="0"/>
    <n v="0"/>
    <n v="149545.44446270002"/>
    <n v="1979876.1470974386"/>
    <n v="0"/>
    <n v="0"/>
  </r>
  <r>
    <x v="80"/>
    <s v="ARF"/>
    <x v="2"/>
    <n v="195145846.018877"/>
    <n v="1295.7067999999999"/>
    <m/>
    <n v="1378796.7195342481"/>
    <n v="0"/>
    <n v="0"/>
    <n v="150609.5715627"/>
    <n v="1378796.7195342481"/>
    <n v="0"/>
    <n v="0"/>
  </r>
  <r>
    <x v="81"/>
    <s v="ARF"/>
    <x v="2"/>
    <n v="196818576.16448098"/>
    <n v="1306.8132000000001"/>
    <m/>
    <n v="0"/>
    <n v="0"/>
    <n v="0"/>
    <n v="150609.5715627"/>
    <n v="0"/>
    <n v="0"/>
    <n v="0"/>
  </r>
  <r>
    <x v="82"/>
    <s v="ARF"/>
    <x v="2"/>
    <n v="196630871.4554424"/>
    <n v="1305.5669"/>
    <m/>
    <n v="0"/>
    <n v="0"/>
    <n v="0"/>
    <n v="150609.5715627"/>
    <n v="0"/>
    <n v="0"/>
    <n v="0"/>
  </r>
  <r>
    <x v="83"/>
    <s v="ARF"/>
    <x v="2"/>
    <n v="201327054.55061355"/>
    <n v="1305.5878"/>
    <m/>
    <n v="4693035.3551254869"/>
    <n v="0"/>
    <n v="0"/>
    <n v="154204.1481627"/>
    <n v="4693035.3551254869"/>
    <n v="0"/>
    <n v="0"/>
  </r>
  <r>
    <x v="84"/>
    <s v="ARF"/>
    <x v="2"/>
    <n v="201580000"/>
    <n v="1294.8004000000001"/>
    <m/>
    <n v="1916407.2772767544"/>
    <n v="0"/>
    <n v="0"/>
    <n v="155684.22746857352"/>
    <n v="1916407.2772767544"/>
    <n v="0"/>
    <n v="0"/>
  </r>
  <r>
    <x v="85"/>
    <s v="ARF"/>
    <x v="2"/>
    <n v="201700000"/>
    <n v="1307.2343000000001"/>
    <m/>
    <n v="0"/>
    <n v="-1815762.1159214973"/>
    <n v="0"/>
    <n v="154295.21700891721"/>
    <n v="-1815762.1159214973"/>
    <n v="0"/>
    <n v="0"/>
  </r>
  <r>
    <x v="86"/>
    <s v="ARF"/>
    <x v="2"/>
    <n v="219140000"/>
    <n v="1309.8898999999999"/>
    <m/>
    <n v="17030253.621711135"/>
    <n v="0"/>
    <n v="0"/>
    <n v="167296.50331680549"/>
    <n v="17030253.621711135"/>
    <n v="0"/>
    <n v="0"/>
  </r>
  <r>
    <x v="87"/>
    <s v="ARF"/>
    <x v="2"/>
    <n v="224740000"/>
    <n v="1321.2363"/>
    <m/>
    <n v="3701786.9547661841"/>
    <n v="0"/>
    <n v="0"/>
    <n v="170098.26327054441"/>
    <n v="3701786.9547661841"/>
    <n v="0"/>
    <n v="0"/>
  </r>
  <r>
    <x v="88"/>
    <s v="ARF"/>
    <x v="2"/>
    <n v="222840000"/>
    <n v="1347.0795000000001"/>
    <m/>
    <n v="0"/>
    <n v="-6295883.4373533428"/>
    <n v="0"/>
    <n v="165424.53507755109"/>
    <n v="-6295883.4373533428"/>
    <n v="0"/>
    <n v="0"/>
  </r>
  <r>
    <x v="89"/>
    <s v="ARF"/>
    <x v="2"/>
    <n v="233820000"/>
    <n v="1388.9559999999999"/>
    <m/>
    <n v="4052599.4568249583"/>
    <n v="0"/>
    <n v="0"/>
    <n v="168342.26570172131"/>
    <n v="4052599.4568249583"/>
    <n v="0"/>
    <n v="0"/>
  </r>
  <r>
    <x v="90"/>
    <s v="ARF"/>
    <x v="2"/>
    <n v="239660000"/>
    <n v="1395.6912"/>
    <m/>
    <n v="4706181.1720457375"/>
    <n v="0"/>
    <n v="0"/>
    <n v="171714.20153684425"/>
    <n v="4706181.1720457375"/>
    <n v="0"/>
    <n v="0"/>
  </r>
  <r>
    <x v="91"/>
    <s v="ARF"/>
    <x v="2"/>
    <n v="247110000"/>
    <n v="1430.5590999999999"/>
    <m/>
    <n v="1462686.3922334909"/>
    <n v="0"/>
    <n v="0"/>
    <n v="172736.65939421867"/>
    <n v="1462686.3922334909"/>
    <n v="0"/>
    <n v="0"/>
  </r>
  <r>
    <x v="92"/>
    <s v="ARF"/>
    <x v="2"/>
    <n v="254680000"/>
    <n v="1484.4526999999998"/>
    <m/>
    <n v="0"/>
    <n v="-1739400.4267282486"/>
    <n v="0"/>
    <n v="171564.91412626352"/>
    <n v="-1739400.4267282486"/>
    <n v="0"/>
    <n v="0"/>
  </r>
  <r>
    <x v="93"/>
    <s v="ARF"/>
    <x v="2"/>
    <n v="266430000"/>
    <n v="1482.2828999999999"/>
    <m/>
    <n v="12122261.55067116"/>
    <n v="0"/>
    <n v="0"/>
    <n v="179743.01666706134"/>
    <n v="12122261.55067116"/>
    <n v="0"/>
    <n v="0"/>
  </r>
  <r>
    <x v="94"/>
    <s v="ARF"/>
    <x v="2"/>
    <n v="298760000"/>
    <n v="1477.5463999999999"/>
    <m/>
    <n v="33181352.798443526"/>
    <n v="0"/>
    <n v="0"/>
    <n v="202200.07980798438"/>
    <n v="33181352.798443526"/>
    <n v="0"/>
    <n v="0"/>
  </r>
  <r>
    <x v="95"/>
    <s v="ARF"/>
    <x v="2"/>
    <n v="302060000"/>
    <n v="1496.846"/>
    <m/>
    <n v="0"/>
    <n v="-602380.66026216745"/>
    <n v="0"/>
    <n v="201797.64651807869"/>
    <n v="-602380.66026216745"/>
    <n v="0"/>
    <n v="0"/>
  </r>
  <r>
    <x v="96"/>
    <s v="ARF"/>
    <x v="2"/>
    <n v="328550000"/>
    <n v="1513.3480999999999"/>
    <m/>
    <n v="23159915.057394028"/>
    <n v="0"/>
    <n v="0"/>
    <n v="217101.40581667895"/>
    <n v="23159915.057394028"/>
    <n v="0"/>
    <n v="0"/>
  </r>
  <r>
    <x v="97"/>
    <s v="ARF"/>
    <x v="2"/>
    <n v="339800000"/>
    <n v="1529.6334999999999"/>
    <m/>
    <n v="7714416.7657130361"/>
    <n v="0"/>
    <n v="0"/>
    <n v="222144.71636506394"/>
    <n v="7714416.7657130361"/>
    <n v="0"/>
    <n v="0"/>
  </r>
  <r>
    <x v="98"/>
    <s v="ARF"/>
    <x v="2"/>
    <n v="350770000"/>
    <n v="1587.1284000000001"/>
    <m/>
    <n v="0"/>
    <n v="-1802188.2529377341"/>
    <n v="0"/>
    <n v="221009.21387330728"/>
    <n v="-1802188.2529377341"/>
    <n v="0"/>
    <n v="0"/>
  </r>
  <r>
    <x v="99"/>
    <s v="ARF"/>
    <x v="2"/>
    <n v="357370000"/>
    <n v="1624.2778000000001"/>
    <m/>
    <n v="0"/>
    <n v="-1610359.6898650527"/>
    <n v="0"/>
    <n v="220017.78267239753"/>
    <n v="-1610359.6898650527"/>
    <n v="0"/>
    <n v="0"/>
  </r>
  <r>
    <x v="100"/>
    <s v="ARF"/>
    <x v="2"/>
    <n v="407360000"/>
    <n v="1638.4662000000001"/>
    <m/>
    <n v="46868299.692330956"/>
    <n v="0"/>
    <n v="0"/>
    <n v="248622.76682912349"/>
    <n v="46868299.692330956"/>
    <n v="0"/>
    <n v="0"/>
  </r>
  <r>
    <x v="101"/>
    <s v="ARF"/>
    <x v="2"/>
    <n v="441610000"/>
    <n v="1668.1523000000002"/>
    <m/>
    <n v="26869359.68163389"/>
    <n v="0"/>
    <n v="0"/>
    <n v="264730.02495035972"/>
    <n v="26869359.68163389"/>
    <n v="0"/>
    <n v="0"/>
  </r>
  <r>
    <x v="102"/>
    <s v="ARF"/>
    <x v="2"/>
    <n v="442030000"/>
    <n v="1693.7085"/>
    <m/>
    <n v="0"/>
    <n v="-6345493.4636363387"/>
    <n v="0"/>
    <n v="260983.51634888767"/>
    <n v="-6345493.4636363387"/>
    <n v="0"/>
    <n v="0"/>
  </r>
  <r>
    <x v="103"/>
    <s v="ARF"/>
    <x v="2"/>
    <n v="458480000"/>
    <n v="1753.7643245748914"/>
    <m/>
    <n v="776419.72521287203"/>
    <n v="0"/>
    <n v="0"/>
    <n v="261426.23246206957"/>
    <n v="776419.72521287203"/>
    <n v="0"/>
    <n v="0"/>
  </r>
  <r>
    <x v="104"/>
    <s v="ARF"/>
    <x v="2"/>
    <n v="477589385.90630847"/>
    <n v="1817.9249080723571"/>
    <m/>
    <n v="2336126.2899979949"/>
    <n v="0"/>
    <n v="0"/>
    <n v="262711.28350000002"/>
    <n v="2336126.2899979949"/>
    <n v="0"/>
    <n v="0"/>
  </r>
  <r>
    <x v="105"/>
    <s v="ARF"/>
    <x v="2"/>
    <n v="512447611.87423545"/>
    <n v="1866.9561000000001"/>
    <m/>
    <n v="21977178.605081022"/>
    <n v="0"/>
    <n v="0"/>
    <n v="274482.94679999998"/>
    <n v="21977178.605081022"/>
    <n v="0"/>
    <n v="0"/>
  </r>
  <r>
    <x v="106"/>
    <s v="ARF"/>
    <x v="2"/>
    <n v="509518247.52110177"/>
    <n v="1856.2837999999999"/>
    <m/>
    <n v="0"/>
    <n v="0"/>
    <n v="0"/>
    <n v="274482.94679999998"/>
    <n v="0"/>
    <n v="0"/>
    <n v="0"/>
  </r>
  <r>
    <x v="107"/>
    <s v="ARF"/>
    <x v="2"/>
    <n v="559120000"/>
    <n v="1906.9264000000001"/>
    <m/>
    <n v="35701222.397284508"/>
    <n v="0"/>
    <n v="0"/>
    <n v="293204.81377781543"/>
    <n v="35701222.397284508"/>
    <n v="0"/>
    <n v="0"/>
  </r>
  <r>
    <x v="108"/>
    <s v="ARF"/>
    <x v="2"/>
    <n v="533270000"/>
    <n v="1802.6483000000003"/>
    <m/>
    <n v="4724840.8916043639"/>
    <n v="0"/>
    <n v="0"/>
    <n v="295825.86908383621"/>
    <n v="4724840.8916043639"/>
    <n v="0"/>
    <n v="0"/>
  </r>
  <r>
    <x v="109"/>
    <s v="ARF"/>
    <x v="2"/>
    <n v="555580000"/>
    <n v="1813.7191"/>
    <m/>
    <n v="19034970.968546748"/>
    <n v="0"/>
    <n v="0"/>
    <n v="306320.86302669469"/>
    <n v="19034970.968546748"/>
    <n v="0"/>
    <n v="0"/>
  </r>
  <r>
    <x v="110"/>
    <s v="ARF"/>
    <x v="2"/>
    <n v="558798778.40037513"/>
    <n v="1818.7966000000001"/>
    <m/>
    <n v="1663434.2183570862"/>
    <n v="0"/>
    <n v="0"/>
    <n v="307235.44259999995"/>
    <n v="1663434.2183570862"/>
    <n v="0"/>
    <n v="0"/>
  </r>
  <r>
    <x v="111"/>
    <s v="ARF"/>
    <x v="2"/>
    <n v="571347344.46757579"/>
    <n v="1846.8496000000002"/>
    <m/>
    <n v="3929690.1959428787"/>
    <n v="0"/>
    <n v="0"/>
    <n v="309363.22289999994"/>
    <n v="3929690.1959428787"/>
    <n v="0"/>
    <n v="0"/>
  </r>
  <r>
    <x v="112"/>
    <s v="ARF"/>
    <x v="2"/>
    <n v="584090357.11431062"/>
    <n v="1868.7528999999997"/>
    <m/>
    <n v="5966937.1665893793"/>
    <n v="0"/>
    <n v="0"/>
    <n v="312556.22780000005"/>
    <n v="5966937.1665893793"/>
    <n v="0"/>
    <n v="0"/>
  </r>
  <r>
    <x v="113"/>
    <s v="ARF"/>
    <x v="2"/>
    <n v="578824889.01440358"/>
    <n v="1820.7343000000003"/>
    <m/>
    <n v="9743044.3803298473"/>
    <n v="0"/>
    <n v="0"/>
    <n v="317907.38989999995"/>
    <n v="9743044.3803298473"/>
    <n v="0"/>
    <n v="0"/>
  </r>
  <r>
    <x v="114"/>
    <s v="ARF"/>
    <x v="2"/>
    <n v="623022111.54772389"/>
    <n v="1849.4313000000002"/>
    <m/>
    <n v="35074234.165360093"/>
    <n v="0"/>
    <n v="0"/>
    <n v="336872.26529999997"/>
    <n v="35074234.165360093"/>
    <n v="0"/>
    <n v="0"/>
  </r>
  <r>
    <x v="115"/>
    <s v="ARF"/>
    <x v="2"/>
    <n v="616185608.06165004"/>
    <n v="1812.8426000000002"/>
    <m/>
    <n v="5489214.7673082352"/>
    <n v="0"/>
    <n v="0"/>
    <n v="339900.22523833561"/>
    <n v="5489214.7673082352"/>
    <n v="0"/>
    <n v="0"/>
  </r>
  <r>
    <x v="116"/>
    <s v="ARF"/>
    <x v="2"/>
    <n v="612147534.47961235"/>
    <n v="1779.9915000000003"/>
    <m/>
    <n v="7128022.7072893381"/>
    <n v="0"/>
    <n v="0"/>
    <n v="343904.75150000001"/>
    <n v="7128022.7072893381"/>
    <n v="0"/>
    <n v="0"/>
  </r>
  <r>
    <x v="117"/>
    <s v="ARF"/>
    <x v="2"/>
    <n v="613046016.40129268"/>
    <n v="1781.0038999999997"/>
    <m/>
    <n v="550312.75126194954"/>
    <n v="0"/>
    <n v="0"/>
    <n v="344213.74170000007"/>
    <n v="550312.75126194954"/>
    <n v="0"/>
    <n v="0"/>
  </r>
  <r>
    <x v="118"/>
    <s v="ARF"/>
    <x v="2"/>
    <n v="624070000"/>
    <n v="1813.0252"/>
    <m/>
    <n v="1812.1116089820862"/>
    <n v="0"/>
    <n v="0"/>
    <n v="344214.74119609589"/>
    <n v="1812.1116089820862"/>
    <n v="0"/>
    <n v="0"/>
  </r>
  <r>
    <x v="119"/>
    <s v="ARF"/>
    <x v="2"/>
    <n v="606867092.72744"/>
    <n v="1762.7"/>
    <m/>
    <n v="119768.42108178139"/>
    <n v="0"/>
    <n v="0"/>
    <n v="344282.68719999999"/>
    <n v="119768.42108178139"/>
    <n v="0"/>
    <n v="0"/>
  </r>
  <r>
    <x v="120"/>
    <s v="ARF"/>
    <x v="2"/>
    <n v="578360000"/>
    <n v="1679.4906000000001"/>
    <m/>
    <n v="140463.10485970974"/>
    <n v="0"/>
    <n v="0"/>
    <n v="344366.32155011763"/>
    <n v="140463.10485970974"/>
    <n v="0"/>
    <n v="0"/>
  </r>
  <r>
    <x v="121"/>
    <s v="ARF"/>
    <x v="2"/>
    <n v="554100000"/>
    <n v="1608.3681999999997"/>
    <m/>
    <n v="232159.26781618595"/>
    <n v="0"/>
    <n v="0"/>
    <n v="344510.66615219082"/>
    <n v="232159.26781618595"/>
    <n v="0"/>
    <n v="0"/>
  </r>
  <r>
    <x v="122"/>
    <s v="ARF"/>
    <x v="2"/>
    <n v="518440000.00000006"/>
    <n v="1540.2582"/>
    <m/>
    <n v="0"/>
    <n v="-12195378.528374314"/>
    <n v="0"/>
    <n v="336592.91669409716"/>
    <n v="-12195378.528374314"/>
    <n v="0"/>
    <n v="0"/>
  </r>
  <r>
    <x v="123"/>
    <s v="ARF"/>
    <x v="2"/>
    <n v="517700000.00000006"/>
    <n v="1537.1346000000001"/>
    <m/>
    <n v="311381.63458567858"/>
    <n v="0"/>
    <n v="0"/>
    <n v="336795.48947762937"/>
    <n v="311381.63458567858"/>
    <n v="0"/>
    <n v="0"/>
  </r>
  <r>
    <x v="124"/>
    <s v="ARF"/>
    <x v="2"/>
    <n v="508910000"/>
    <n v="1511.0528999999999"/>
    <m/>
    <n v="0"/>
    <n v="-5801.0820913314819"/>
    <n v="0"/>
    <n v="336791.65037835541"/>
    <n v="-5801.0820913314819"/>
    <n v="0"/>
    <n v="0"/>
  </r>
  <r>
    <x v="125"/>
    <s v="ARF"/>
    <x v="2"/>
    <n v="431380000"/>
    <n v="1529.8933999999999"/>
    <m/>
    <n v="0"/>
    <n v="-83875323.088953435"/>
    <n v="0"/>
    <n v="281967.35798716435"/>
    <n v="-83875323.088953435"/>
    <n v="0"/>
    <n v="0"/>
  </r>
  <r>
    <x v="126"/>
    <s v="ARF"/>
    <x v="2"/>
    <n v="428120000"/>
    <n v="1518.3263000000002"/>
    <m/>
    <n v="1544.6265732645988"/>
    <n v="0"/>
    <n v="0"/>
    <n v="281968.37530904915"/>
    <n v="1544.6265732645988"/>
    <n v="0"/>
    <n v="0"/>
  </r>
  <r>
    <x v="127"/>
    <s v="ARF"/>
    <x v="2"/>
    <n v="408010000"/>
    <n v="1447.0174000000002"/>
    <m/>
    <n v="0"/>
    <n v="-3145.3219245672226"/>
    <n v="0"/>
    <n v="281966.20165037405"/>
    <n v="-3145.3219245672226"/>
    <n v="0"/>
    <n v="0"/>
  </r>
  <r>
    <x v="128"/>
    <s v="ARF"/>
    <x v="2"/>
    <n v="349930000"/>
    <n v="1413.8922"/>
    <m/>
    <n v="0"/>
    <n v="-48739813.177091002"/>
    <n v="0"/>
    <n v="247494.11588804296"/>
    <n v="-48739813.177091002"/>
    <n v="0"/>
    <n v="0"/>
  </r>
  <r>
    <x v="129"/>
    <s v="ARF"/>
    <x v="2"/>
    <n v="348210000"/>
    <n v="1406.9434000000003"/>
    <m/>
    <n v="0"/>
    <n v="-212.88751727342606"/>
    <n v="0"/>
    <n v="247493.96457597366"/>
    <n v="-212.88751727342606"/>
    <n v="0"/>
    <n v="0"/>
  </r>
  <r>
    <x v="130"/>
    <s v="ARF"/>
    <x v="2"/>
    <n v="345404460.07499999"/>
    <n v="1395.6012000000001"/>
    <m/>
    <n v="1586.120013654232"/>
    <n v="0"/>
    <n v="0"/>
    <n v="247495.10108976689"/>
    <n v="1586.120013654232"/>
    <n v="0"/>
    <n v="0"/>
  </r>
  <r>
    <x v="131"/>
    <s v="ARF"/>
    <x v="2"/>
    <n v="315390000"/>
    <n v="1409.1298999999999"/>
    <m/>
    <n v="0"/>
    <n v="-33362747.049113095"/>
    <n v="0"/>
    <n v="223818.96800287894"/>
    <n v="-33362747.049113095"/>
    <n v="0"/>
    <n v="0"/>
  </r>
  <r>
    <x v="132"/>
    <s v="ARF"/>
    <x v="2"/>
    <n v="317550000"/>
    <n v="1418.2234000000001"/>
    <m/>
    <n v="124702.21446579695"/>
    <n v="0"/>
    <n v="0"/>
    <n v="223906.89647343286"/>
    <n v="124702.21446579695"/>
    <n v="0"/>
    <n v="0"/>
  </r>
  <r>
    <x v="133"/>
    <s v="ARF"/>
    <x v="2"/>
    <n v="338568492.37493181"/>
    <n v="1510.9146000000001"/>
    <m/>
    <n v="264293.45253360271"/>
    <n v="0"/>
    <n v="0"/>
    <n v="224081.8193"/>
    <n v="264293.45253360271"/>
    <n v="0"/>
    <n v="0"/>
  </r>
  <r>
    <x v="134"/>
    <s v="ARF"/>
    <x v="2"/>
    <n v="334519302.79206502"/>
    <n v="1514.7872999999997"/>
    <m/>
    <n v="0"/>
    <n v="-4916991.2444698215"/>
    <n v="0"/>
    <n v="220835.82480000003"/>
    <n v="-4916991.2444698215"/>
    <n v="0"/>
    <n v="0"/>
  </r>
  <r>
    <x v="135"/>
    <s v="ARF"/>
    <x v="2"/>
    <n v="349295003.95000005"/>
    <n v="1581.6953000000003"/>
    <m/>
    <n v="17.79221647977829"/>
    <n v="0"/>
    <n v="0"/>
    <n v="220835.83604882684"/>
    <n v="17.79221647977829"/>
    <n v="0"/>
    <n v="0"/>
  </r>
  <r>
    <x v="136"/>
    <s v="ARF"/>
    <x v="2"/>
    <n v="353252518.72327679"/>
    <n v="1599.616"/>
    <m/>
    <n v="0"/>
    <n v="-17.993803381919861"/>
    <n v="0"/>
    <n v="220835.8248"/>
    <n v="-17.993803381919861"/>
    <n v="0"/>
    <n v="0"/>
  </r>
  <r>
    <x v="137"/>
    <s v="ARF"/>
    <x v="2"/>
    <n v="352948806.02760398"/>
    <n v="1625.3155999999997"/>
    <m/>
    <n v="0"/>
    <n v="-5979105.0587028265"/>
    <n v="0"/>
    <n v="217157.09000000003"/>
    <n v="-5979105.0587028265"/>
    <n v="0"/>
    <n v="0"/>
  </r>
  <r>
    <x v="138"/>
    <s v="ARF"/>
    <x v="2"/>
    <n v="355018201.71693742"/>
    <n v="1652.1982"/>
    <m/>
    <n v="0"/>
    <n v="-3768351.498300612"/>
    <n v="0"/>
    <n v="214876.27919999999"/>
    <n v="-3768351.498300612"/>
    <n v="0"/>
    <n v="0"/>
  </r>
  <r>
    <x v="139"/>
    <s v="ARF"/>
    <x v="2"/>
    <n v="368917989.54005951"/>
    <n v="1716.8856000000001"/>
    <m/>
    <n v="0"/>
    <n v="0"/>
    <n v="0"/>
    <n v="214876.27919999999"/>
    <n v="0"/>
    <n v="0"/>
    <n v="0"/>
  </r>
  <r>
    <x v="140"/>
    <s v="ARF"/>
    <x v="2"/>
    <n v="372784963.22142768"/>
    <n v="1753.6153999999999"/>
    <m/>
    <n v="0"/>
    <n v="-4025389.0783919692"/>
    <n v="0"/>
    <n v="212580.79920000001"/>
    <n v="-4025389.0783919692"/>
    <n v="0"/>
    <n v="0"/>
  </r>
  <r>
    <x v="141"/>
    <s v="ARF"/>
    <x v="2"/>
    <n v="366711884.58983797"/>
    <n v="1717.0327"/>
    <m/>
    <n v="1703700.9713041186"/>
    <n v="0"/>
    <n v="0"/>
    <n v="213573.03479999999"/>
    <n v="1703700.9713041186"/>
    <n v="0"/>
    <n v="0"/>
  </r>
  <r>
    <x v="142"/>
    <s v="ARF"/>
    <x v="2"/>
    <n v="397911829.52241683"/>
    <n v="1863.1183000000003"/>
    <m/>
    <n v="0"/>
    <n v="-5.9604644775390625E-8"/>
    <n v="0"/>
    <n v="213573.03479999996"/>
    <n v="-5.9604644775390625E-8"/>
    <n v="0"/>
    <n v="0"/>
  </r>
  <r>
    <x v="143"/>
    <s v="ARF"/>
    <x v="2"/>
    <n v="420171548.96384674"/>
    <n v="1929.0141999999998"/>
    <m/>
    <n v="8186132.0975526571"/>
    <n v="0"/>
    <n v="0"/>
    <n v="217816.72160000002"/>
    <n v="8186132.0975526571"/>
    <n v="0"/>
    <n v="0"/>
  </r>
  <r>
    <x v="144"/>
    <s v="ARF"/>
    <x v="2"/>
    <n v="423729540.27980381"/>
    <n v="1943.0368000000001"/>
    <m/>
    <n v="503634.55564886332"/>
    <n v="0"/>
    <n v="0"/>
    <n v="218075.92129999999"/>
    <n v="503634.55564886332"/>
    <n v="0"/>
    <n v="0"/>
  </r>
  <r>
    <x v="145"/>
    <s v="ARF"/>
    <x v="2"/>
    <n v="442850372.91364473"/>
    <n v="1990.7815000000003"/>
    <m/>
    <n v="8708863.1941487193"/>
    <n v="0"/>
    <n v="0"/>
    <n v="222450.51649999997"/>
    <n v="8708863.1941487193"/>
    <n v="0"/>
    <n v="0"/>
  </r>
  <r>
    <x v="146"/>
    <s v="ARF"/>
    <x v="2"/>
    <n v="457607576.10000002"/>
    <n v="2083.2993999999999"/>
    <m/>
    <n v="0"/>
    <n v="-5823451.4541400075"/>
    <n v="0"/>
    <n v="219655.21427213008"/>
    <n v="-5823451.4541400075"/>
    <n v="0"/>
    <n v="0"/>
  </r>
  <r>
    <x v="147"/>
    <s v="ARF"/>
    <x v="2"/>
    <n v="474324050.08314651"/>
    <n v="2131.4557"/>
    <m/>
    <n v="6138691.5880935192"/>
    <n v="0"/>
    <n v="0"/>
    <n v="222535.26079999999"/>
    <n v="6138691.5880935192"/>
    <n v="0"/>
    <n v="0"/>
  </r>
  <r>
    <x v="148"/>
    <s v="ARF"/>
    <x v="2"/>
    <n v="486399190.24615806"/>
    <n v="2149.4643000000001"/>
    <m/>
    <n v="8067591.6653686166"/>
    <n v="0"/>
    <n v="0"/>
    <n v="226288.56419999999"/>
    <n v="8067591.6653686166"/>
    <n v="0"/>
    <n v="0"/>
  </r>
  <r>
    <x v="149"/>
    <s v="ARF"/>
    <x v="2"/>
    <n v="491389942.62095493"/>
    <n v="2172.3395"/>
    <m/>
    <n v="0"/>
    <n v="-185643.78899097443"/>
    <n v="0"/>
    <n v="226203.10620000001"/>
    <n v="-185643.78899097443"/>
    <n v="0"/>
    <n v="0"/>
  </r>
  <r>
    <x v="150"/>
    <s v="ARF"/>
    <x v="2"/>
    <n v="489732805.8110106"/>
    <n v="2172.2797999999998"/>
    <m/>
    <n v="0"/>
    <n v="-1643632.4845041633"/>
    <n v="0"/>
    <n v="225446.46680000002"/>
    <n v="-1643632.4845041633"/>
    <n v="0"/>
    <n v="0"/>
  </r>
  <r>
    <x v="151"/>
    <s v="ARF"/>
    <x v="2"/>
    <n v="498912940.84981328"/>
    <n v="2212.9996000000001"/>
    <m/>
    <n v="0"/>
    <n v="-5.9604644775390625E-8"/>
    <n v="0"/>
    <n v="225446.46679999999"/>
    <n v="-5.9604644775390625E-8"/>
    <n v="0"/>
    <n v="0"/>
  </r>
  <r>
    <x v="152"/>
    <s v="ARF"/>
    <x v="2"/>
    <n v="492545205.69928956"/>
    <n v="2243.5120999999999"/>
    <m/>
    <n v="0"/>
    <n v="-13246670.468758702"/>
    <n v="0"/>
    <n v="219542.03219999999"/>
    <n v="-13246670.468758702"/>
    <n v="0"/>
    <n v="0"/>
  </r>
  <r>
    <x v="153"/>
    <s v="ARF"/>
    <x v="2"/>
    <n v="492545205.69928956"/>
    <n v="2252.0594999999998"/>
    <m/>
    <n v="0"/>
    <n v="-1876513.5660262704"/>
    <n v="0"/>
    <n v="218708.78886605334"/>
    <n v="-1876513.5660262704"/>
    <n v="0"/>
    <n v="0"/>
  </r>
  <r>
    <x v="154"/>
    <s v="ARF"/>
    <x v="2"/>
    <n v="494491126.54956007"/>
    <n v="2252.2640000000001"/>
    <m/>
    <n v="1901194.9029473066"/>
    <n v="0"/>
    <n v="0"/>
    <n v="219552.91500000001"/>
    <n v="1901194.9029473066"/>
    <n v="0"/>
    <n v="0"/>
  </r>
  <r>
    <x v="155"/>
    <s v="ARF"/>
    <x v="2"/>
    <n v="487597309.0112915"/>
    <n v="2289.8463999999999"/>
    <m/>
    <n v="0"/>
    <n v="-15145143.010964513"/>
    <n v="0"/>
    <n v="212938.87179999999"/>
    <n v="-15145143.010964513"/>
    <n v="0"/>
    <n v="0"/>
  </r>
  <r>
    <x v="156"/>
    <s v="ARF"/>
    <x v="2"/>
    <n v="462417258.86628366"/>
    <n v="2179.3768"/>
    <m/>
    <n v="0"/>
    <n v="-1656778.1528105736"/>
    <n v="0"/>
    <n v="212178.66450000004"/>
    <n v="-1656778.1528105736"/>
    <n v="0"/>
    <n v="0"/>
  </r>
  <r>
    <x v="157"/>
    <s v="ARF"/>
    <x v="2"/>
    <n v="480594466.19034344"/>
    <n v="2193.4211"/>
    <m/>
    <n v="15197306.506222367"/>
    <n v="0"/>
    <n v="0"/>
    <n v="219107.25040000002"/>
    <n v="15197306.506222367"/>
    <n v="0"/>
    <n v="0"/>
  </r>
  <r>
    <x v="158"/>
    <s v="ARF"/>
    <x v="2"/>
    <n v="462880101.72788733"/>
    <n v="2139.3407999999999"/>
    <m/>
    <n v="0"/>
    <n v="-5864978.6286489964"/>
    <n v="0"/>
    <n v="216365.7617"/>
    <n v="-5864978.6286489964"/>
    <n v="0"/>
    <n v="0"/>
  </r>
  <r>
    <x v="159"/>
    <s v="ARF"/>
    <x v="2"/>
    <n v="459860079.32083493"/>
    <n v="2120.8011000000001"/>
    <m/>
    <n v="991333.90513700247"/>
    <n v="0"/>
    <n v="0"/>
    <n v="216833.1954"/>
    <n v="991333.90513700247"/>
    <n v="0"/>
    <n v="0"/>
  </r>
  <r>
    <x v="160"/>
    <s v="ARF"/>
    <x v="2"/>
    <n v="469485998.73086625"/>
    <n v="2165.1943000000001"/>
    <m/>
    <n v="0"/>
    <n v="0"/>
    <n v="0"/>
    <n v="216833.19540000003"/>
    <n v="0"/>
    <n v="0"/>
    <n v="0"/>
  </r>
  <r>
    <x v="161"/>
    <s v="ARF"/>
    <x v="2"/>
    <n v="465072443.76236367"/>
    <n v="2234.8852999999999"/>
    <m/>
    <n v="0"/>
    <n v="-19524877.189123988"/>
    <n v="0"/>
    <n v="208096.78409999999"/>
    <n v="-19524877.189123988"/>
    <n v="0"/>
    <n v="0"/>
  </r>
  <r>
    <x v="162"/>
    <s v="ARF"/>
    <x v="2"/>
    <n v="500712163.51099485"/>
    <n v="2275.0497"/>
    <m/>
    <n v="27281637.273325086"/>
    <n v="0"/>
    <n v="0"/>
    <n v="220088.45060000001"/>
    <n v="27281637.273325086"/>
    <n v="0"/>
    <n v="0"/>
  </r>
  <r>
    <x v="163"/>
    <s v="ARF"/>
    <x v="2"/>
    <n v="503927581.342408"/>
    <n v="2287.8317000000002"/>
    <m/>
    <n v="402247.2558439374"/>
    <n v="0"/>
    <n v="0"/>
    <n v="220264.27090000021"/>
    <n v="402247.2558439374"/>
    <n v="0"/>
    <n v="0"/>
  </r>
  <r>
    <x v="164"/>
    <s v="ARF"/>
    <x v="2"/>
    <n v="499555681.40999997"/>
    <n v="2353.3773000000001"/>
    <m/>
    <n v="0"/>
    <n v="-18809253.727111101"/>
    <n v="0"/>
    <n v="212271.81948682855"/>
    <n v="-18809253.727111101"/>
    <n v="0"/>
    <n v="0"/>
  </r>
  <r>
    <x v="165"/>
    <s v="ARF"/>
    <x v="2"/>
    <n v="517268733.92861003"/>
    <n v="2343.3036000000002"/>
    <m/>
    <n v="19851415.146574497"/>
    <n v="0"/>
    <n v="0"/>
    <n v="220743.37014145753"/>
    <n v="19851415.146574497"/>
    <n v="0"/>
    <n v="0"/>
  </r>
  <r>
    <x v="166"/>
    <s v="ARF"/>
    <x v="2"/>
    <n v="561900298.21897602"/>
    <n v="2312.2212000000004"/>
    <m/>
    <n v="51492798.018450797"/>
    <n v="0"/>
    <n v="0"/>
    <n v="243013.21094148603"/>
    <n v="51492798.018450797"/>
    <n v="0"/>
    <n v="0"/>
  </r>
  <r>
    <x v="167"/>
    <s v="ARF"/>
    <x v="2"/>
    <n v="543766689.38784707"/>
    <n v="2315.4141000000004"/>
    <m/>
    <n v="0"/>
    <n v="-18909525.71234405"/>
    <n v="0"/>
    <n v="234846.41014661136"/>
    <n v="-18909525.71234405"/>
    <n v="0"/>
    <n v="0"/>
  </r>
  <r>
    <x v="168"/>
    <s v="ARF"/>
    <x v="2"/>
    <n v="555879294.26315308"/>
    <n v="2366.9908"/>
    <m/>
    <n v="2.0330972671508789"/>
    <n v="0"/>
    <n v="0"/>
    <n v="234846.41100554893"/>
    <n v="2.0330972671508789"/>
    <n v="0"/>
    <n v="0"/>
  </r>
  <r>
    <x v="169"/>
    <s v="ARF"/>
    <x v="2"/>
    <n v="576537387.77257502"/>
    <n v="2446.1541000000002"/>
    <m/>
    <n v="2066876.6210663319"/>
    <n v="0"/>
    <n v="0"/>
    <n v="235691.36047993664"/>
    <n v="2066876.6210663319"/>
    <n v="0"/>
    <n v="0"/>
  </r>
  <r>
    <x v="170"/>
    <s v="ARF"/>
    <x v="2"/>
    <n v="568394319.54851401"/>
    <n v="2430.212"/>
    <m/>
    <n v="0"/>
    <n v="-4385652.9861537218"/>
    <n v="0"/>
    <n v="233886.72245405504"/>
    <n v="-4385652.9861537218"/>
    <n v="0"/>
    <n v="0"/>
  </r>
  <r>
    <x v="171"/>
    <s v="ARF"/>
    <x v="2"/>
    <n v="572222920.3565985"/>
    <n v="2406.3620999999998"/>
    <m/>
    <n v="9406775.7499414682"/>
    <n v="0"/>
    <n v="0"/>
    <n v="237795.8497420644"/>
    <n v="9406775.7499414682"/>
    <n v="0"/>
    <n v="0"/>
  </r>
  <r>
    <x v="172"/>
    <s v="ARF"/>
    <x v="2"/>
    <n v="579286023.37716031"/>
    <n v="2436.0645"/>
    <m/>
    <n v="0"/>
    <n v="-4.4268169403076172"/>
    <n v="0"/>
    <n v="237795.84792486418"/>
    <n v="-4.4268169403076172"/>
    <n v="0"/>
    <n v="0"/>
  </r>
  <r>
    <x v="173"/>
    <s v="ARF"/>
    <x v="2"/>
    <n v="591693066.89228654"/>
    <n v="2464.3440000000001"/>
    <m/>
    <n v="5682295.8337349892"/>
    <n v="0"/>
    <n v="0"/>
    <n v="240101.65256647876"/>
    <n v="5682295.8337349892"/>
    <n v="0"/>
    <n v="0"/>
  </r>
  <r>
    <x v="174"/>
    <s v="ARF"/>
    <x v="2"/>
    <n v="603289142.41616726"/>
    <n v="2512.6405"/>
    <m/>
    <n v="6.0607037544250488"/>
    <n v="0"/>
    <n v="0"/>
    <n v="240101.65497856427"/>
    <n v="6.0607037544250488"/>
    <n v="0"/>
    <n v="0"/>
  </r>
  <r>
    <x v="175"/>
    <s v="ARF"/>
    <x v="2"/>
    <n v="609358108.90183723"/>
    <n v="2514.4333999999999"/>
    <m/>
    <n v="5638488.2284590006"/>
    <n v="0"/>
    <n v="0"/>
    <n v="242344.10380558789"/>
    <n v="5638488.2284590006"/>
    <n v="0"/>
    <n v="0"/>
  </r>
  <r>
    <x v="176"/>
    <s v="ARF"/>
    <x v="2"/>
    <n v="618889861.5677011"/>
    <n v="2505.2494000000002"/>
    <m/>
    <n v="11757440.9152143"/>
    <n v="0"/>
    <n v="0"/>
    <n v="247037.2257419565"/>
    <n v="11757440.9152143"/>
    <n v="0"/>
    <n v="0"/>
  </r>
  <r>
    <x v="177"/>
    <s v="ARF"/>
    <x v="2"/>
    <n v="631699773.97302437"/>
    <n v="2557.1035000000006"/>
    <m/>
    <n v="19.397977113723755"/>
    <n v="0"/>
    <n v="0"/>
    <n v="247037.23332787439"/>
    <n v="19.397977113723755"/>
    <n v="0"/>
    <n v="0"/>
  </r>
  <r>
    <x v="178"/>
    <s v="ARF"/>
    <x v="2"/>
    <n v="623808928.02271652"/>
    <n v="2525.1615999999999"/>
    <m/>
    <n v="0"/>
    <n v="-7.3470721244812012"/>
    <n v="0"/>
    <n v="247037.23041832907"/>
    <n v="-7.3470721244812012"/>
    <n v="0"/>
    <n v="0"/>
  </r>
  <r>
    <x v="179"/>
    <s v="ARF"/>
    <x v="2"/>
    <n v="612933697.98724139"/>
    <n v="2473.3011000000001"/>
    <m/>
    <n v="1936244.2526346445"/>
    <n v="0"/>
    <n v="0"/>
    <n v="247820.08870138836"/>
    <n v="1936244.2526346445"/>
    <n v="0"/>
    <n v="0"/>
  </r>
  <r>
    <x v="180"/>
    <s v="ARF"/>
    <x v="2"/>
    <n v="604493524.41609669"/>
    <n v="2425.3937999999998"/>
    <m/>
    <n v="3432217.7642993927"/>
    <n v="0"/>
    <n v="0"/>
    <n v="249235.2064296102"/>
    <n v="3432217.7642993927"/>
    <n v="0"/>
    <n v="0"/>
  </r>
  <r>
    <x v="32"/>
    <s v="ARF"/>
    <x v="2"/>
    <n v="591803650.95728004"/>
    <n v="2373.4969999999998"/>
    <m/>
    <n v="244636.20221960545"/>
    <n v="0"/>
    <n v="0"/>
    <n v="249338.2763733344"/>
    <n v="244636.20221960545"/>
    <n v="0"/>
    <n v="0"/>
  </r>
  <r>
    <x v="33"/>
    <s v="ARF"/>
    <x v="2"/>
    <n v="566819693.64793813"/>
    <n v="2413.4202"/>
    <m/>
    <n v="0"/>
    <n v="-34938339.184649825"/>
    <n v="0"/>
    <n v="234861.58508490902"/>
    <n v="-34938339.184649825"/>
    <n v="0"/>
    <n v="0"/>
  </r>
  <r>
    <x v="34"/>
    <s v="ARF"/>
    <x v="2"/>
    <n v="482046496.66465259"/>
    <n v="2052.4706000000001"/>
    <m/>
    <n v="0"/>
    <n v="-1.7915217280387878"/>
    <n v="-82201554.474216789"/>
    <n v="234861.58421204795"/>
    <n v="-82201556.265738517"/>
    <n v="-350"/>
    <n v="-350"/>
  </r>
  <r>
    <x v="35"/>
    <s v="ARF"/>
    <x v="2"/>
    <n v="492330936.31148612"/>
    <n v="2096.2600000000002"/>
    <m/>
    <n v="0"/>
    <n v="-8.2088615894317627"/>
    <n v="0"/>
    <n v="234861.58029609214"/>
    <n v="-8.2088615894317627"/>
    <n v="0"/>
    <n v="0"/>
  </r>
  <r>
    <x v="36"/>
    <s v="ARF"/>
    <x v="2"/>
    <n v="494849589.29393572"/>
    <n v="2106.9839999999999"/>
    <m/>
    <n v="0"/>
    <n v="-2.6046456694602966"/>
    <n v="0"/>
    <n v="234861.57905989591"/>
    <n v="-2.6046456694602966"/>
    <n v="0"/>
    <n v="0"/>
  </r>
  <r>
    <x v="37"/>
    <s v="ARF"/>
    <x v="2"/>
    <n v="494353038.32696199"/>
    <n v="2104.8697000000002"/>
    <m/>
    <n v="16.869632542133331"/>
    <n v="0"/>
    <n v="0"/>
    <n v="234861.58707446925"/>
    <n v="16.869632542133331"/>
    <n v="0"/>
    <n v="0"/>
  </r>
  <r>
    <x v="38"/>
    <s v="ARF"/>
    <x v="2"/>
    <n v="466992186.74625331"/>
    <n v="1988.3719999999998"/>
    <m/>
    <n v="0"/>
    <n v="-16.868183195590973"/>
    <n v="-29357697.323881883"/>
    <n v="234861.57859105506"/>
    <n v="-29357714.192065079"/>
    <n v="-125"/>
    <n v="-125"/>
  </r>
  <r>
    <x v="39"/>
    <s v="ARF"/>
    <x v="2"/>
    <n v="475819830.91237307"/>
    <n v="2025.9585000000002"/>
    <m/>
    <n v="19.442407011985779"/>
    <n v="0"/>
    <n v="0"/>
    <n v="234861.5881877013"/>
    <n v="19.442407011985779"/>
    <n v="0"/>
    <n v="0"/>
  </r>
  <r>
    <x v="40"/>
    <s v="ARF"/>
    <x v="2"/>
    <n v="467688271.20599842"/>
    <n v="1991.3358000000001"/>
    <m/>
    <n v="0"/>
    <n v="-17.39702832698822"/>
    <n v="0"/>
    <n v="234861.57945134037"/>
    <n v="-17.39702832698822"/>
    <n v="0"/>
    <n v="0"/>
  </r>
  <r>
    <x v="41"/>
    <s v="ARF"/>
    <x v="2"/>
    <n v="430385592.93757498"/>
    <n v="1832.5074"/>
    <m/>
    <n v="10.617305815219879"/>
    <n v="0"/>
    <n v="-30532006.081877079"/>
    <n v="234861.58524520829"/>
    <n v="-30531995.464571264"/>
    <n v="-130"/>
    <n v="-130"/>
  </r>
  <r>
    <x v="42"/>
    <s v="ARF"/>
    <x v="2"/>
    <n v="419056108.60221601"/>
    <n v="1784.2683999999999"/>
    <m/>
    <n v="3.6752846240997314"/>
    <n v="0"/>
    <n v="0"/>
    <n v="234861.5873050355"/>
    <n v="3.6752846240997314"/>
    <n v="0"/>
    <n v="0"/>
  </r>
  <r>
    <x v="43"/>
    <s v="ARF"/>
    <x v="2"/>
    <n v="421138817.86430156"/>
    <n v="1793.1361999999999"/>
    <m/>
    <n v="3.6781820058822632"/>
    <n v="0"/>
    <n v="0"/>
    <n v="234861.58935629184"/>
    <n v="3.6781820058822632"/>
    <n v="0"/>
    <n v="0"/>
  </r>
  <r>
    <x v="44"/>
    <s v="ARF"/>
    <x v="2"/>
    <n v="412209501.4978497"/>
    <n v="1755.1167000000003"/>
    <m/>
    <n v="3.8300796151161194"/>
    <n v="0"/>
    <n v="0"/>
    <n v="234861.59153852827"/>
    <n v="3.8300796151161194"/>
    <n v="0"/>
    <n v="0"/>
  </r>
  <r>
    <x v="181"/>
    <s v="ARF"/>
    <x v="2"/>
    <n v="370264556.89962053"/>
    <n v="1576.5224000000001"/>
    <m/>
    <n v="0"/>
    <n v="-3.0605197548866272"/>
    <n v="-36403546.387568727"/>
    <n v="234861.58959721759"/>
    <n v="-36403549.448088482"/>
    <n v="-155"/>
    <n v="-155"/>
  </r>
  <r>
    <x v="182"/>
    <s v="ARF"/>
    <x v="2"/>
    <n v="356152611.33447576"/>
    <n v="1516.4362000000001"/>
    <m/>
    <n v="0"/>
    <n v="-5.1202884316444397"/>
    <n v="0"/>
    <n v="234861.58622069014"/>
    <n v="-5.1202884316444397"/>
    <n v="0"/>
    <n v="0"/>
  </r>
  <r>
    <x v="183"/>
    <s v="ARF"/>
    <x v="2"/>
    <n v="329336476.57777905"/>
    <n v="1402.2576999999999"/>
    <m/>
    <n v="8.865602433681488"/>
    <n v="0"/>
    <n v="-10568771.664438041"/>
    <n v="234861.59254306756"/>
    <n v="-10568762.798835607"/>
    <n v="-45.000000000000007"/>
    <n v="-45.000000000000007"/>
  </r>
  <r>
    <x v="184"/>
    <s v="ARF"/>
    <x v="2"/>
    <n v="339560282.33671457"/>
    <n v="1445.7889"/>
    <m/>
    <n v="0"/>
    <n v="-1.1983752846717834"/>
    <n v="0"/>
    <n v="234861.59171419463"/>
    <n v="-1.1983752846717834"/>
    <n v="0"/>
    <n v="0"/>
  </r>
  <r>
    <x v="185"/>
    <s v="ARF"/>
    <x v="2"/>
    <n v="343654344.0506829"/>
    <n v="1463.2207000000003"/>
    <m/>
    <n v="1.4195247888565063"/>
    <n v="0"/>
    <n v="0"/>
    <n v="234861.59268433179"/>
    <n v="1.4195247888565063"/>
    <n v="0"/>
    <n v="0"/>
  </r>
  <r>
    <x v="186"/>
    <s v="ARF"/>
    <x v="2"/>
    <n v="295358441.80687124"/>
    <n v="1257.5851"/>
    <m/>
    <n v="2.284786581993103"/>
    <n v="0"/>
    <n v="-32880623.230159111"/>
    <n v="234861.59450113651"/>
    <n v="-32880620.945372529"/>
    <n v="-140"/>
    <n v="-140"/>
  </r>
  <r>
    <x v="187"/>
    <s v="ARF"/>
    <x v="2"/>
    <n v="296262682.58616579"/>
    <n v="1261.4351999999999"/>
    <m/>
    <n v="0.15430575609207153"/>
    <n v="0"/>
    <n v="0"/>
    <n v="234861.59462346209"/>
    <n v="0.15430575609207153"/>
    <n v="0"/>
    <n v="0"/>
  </r>
  <r>
    <x v="188"/>
    <s v="ARF"/>
    <x v="2"/>
    <n v="297046959.72046518"/>
    <n v="1264.7746"/>
    <m/>
    <n v="0"/>
    <n v="-19.67478621006012"/>
    <n v="0"/>
    <n v="234861.57906749961"/>
    <n v="-19.67478621006012"/>
    <n v="0"/>
    <n v="0"/>
  </r>
  <r>
    <x v="189"/>
    <s v="ARF"/>
    <x v="2"/>
    <n v="288817948.81501245"/>
    <n v="1229.7367999999999"/>
    <m/>
    <n v="22.129598498344421"/>
    <n v="0"/>
    <n v="0"/>
    <n v="234861.59706289385"/>
    <n v="22.129598498344421"/>
    <n v="0"/>
    <n v="0"/>
  </r>
  <r>
    <x v="190"/>
    <s v="ARF"/>
    <x v="2"/>
    <n v="261856452.08637106"/>
    <n v="1114.9395"/>
    <m/>
    <n v="0"/>
    <n v="-19.51213327050209"/>
    <n v="-10568771.080302294"/>
    <n v="234861.5795622732"/>
    <n v="-10568790.592435565"/>
    <n v="-45"/>
    <n v="-45"/>
  </r>
  <r>
    <x v="191"/>
    <s v="ARF"/>
    <x v="2"/>
    <n v="249270259.18336296"/>
    <n v="1061.3496"/>
    <m/>
    <n v="15.659576117992401"/>
    <n v="0"/>
    <n v="0"/>
    <n v="234861.5943166728"/>
    <n v="15.659576117992401"/>
    <n v="0"/>
    <n v="0"/>
  </r>
  <r>
    <x v="192"/>
    <s v="ARF"/>
    <x v="2"/>
    <n v="243935946.43107399"/>
    <n v="1038.6369999999999"/>
    <m/>
    <n v="4.6947879195213318"/>
    <n v="0"/>
    <n v="-15031142.32555622"/>
    <n v="234861.59883681595"/>
    <n v="-15031137.630768301"/>
    <n v="-64"/>
    <n v="-64"/>
  </r>
  <r>
    <x v="193"/>
    <s v="ARF"/>
    <x v="2"/>
    <n v="245324847.21667984"/>
    <n v="1044.5507"/>
    <m/>
    <n v="0"/>
    <n v="-0.25143542885780334"/>
    <n v="0"/>
    <n v="234861.59859610436"/>
    <n v="-0.25143542885780334"/>
    <n v="0"/>
    <n v="0"/>
  </r>
  <r>
    <x v="1"/>
    <s v="ARF"/>
    <x v="2"/>
    <n v="243647935.04559928"/>
    <n v="1037.4106999999999"/>
    <m/>
    <n v="0"/>
    <n v="-0.35710433125495911"/>
    <n v="0"/>
    <n v="234861.59825187776"/>
    <n v="-0.35710433125495911"/>
    <n v="0"/>
    <n v="0"/>
  </r>
  <r>
    <x v="2"/>
    <s v="ARF"/>
    <x v="2"/>
    <n v="229115611.82595748"/>
    <n v="975.53459999999995"/>
    <m/>
    <n v="0"/>
    <n v="-3.4800487756729126"/>
    <n v="-12212802.923596753"/>
    <n v="234861.59468455295"/>
    <n v="-12212806.403645528"/>
    <n v="-52"/>
    <n v="-52"/>
  </r>
  <r>
    <x v="3"/>
    <s v="ARF"/>
    <x v="2"/>
    <n v="215210879.89468837"/>
    <n v="916.33069999999998"/>
    <m/>
    <n v="0"/>
    <n v="-9.5657243132591248"/>
    <n v="0"/>
    <n v="234861.58424539128"/>
    <n v="-9.5657243132591248"/>
    <n v="0"/>
    <n v="0"/>
  </r>
  <r>
    <x v="4"/>
    <s v="ARF"/>
    <x v="2"/>
    <n v="216884947.29431319"/>
    <n v="923.45860000000005"/>
    <m/>
    <n v="0"/>
    <n v="-2.4867179095745087"/>
    <n v="0"/>
    <n v="234861.58155256032"/>
    <n v="-2.4867179095745087"/>
    <n v="0"/>
    <n v="0"/>
  </r>
  <r>
    <x v="5"/>
    <s v="ARF"/>
    <x v="2"/>
    <n v="226940767.57510108"/>
    <n v="966.27449999999999"/>
    <m/>
    <n v="10.291191637516022"/>
    <n v="0"/>
    <n v="0"/>
    <n v="234861.59220294139"/>
    <n v="10.291191637516022"/>
    <n v="0"/>
    <n v="0"/>
  </r>
  <r>
    <x v="6"/>
    <s v="ARF"/>
    <x v="2"/>
    <n v="210448303.84221861"/>
    <n v="896.05240000000003"/>
    <m/>
    <n v="10.48095166683197"/>
    <n v="0"/>
    <n v="-15031142.649583876"/>
    <n v="234861.60389974806"/>
    <n v="-15031132.168632209"/>
    <n v="-64"/>
    <n v="-64"/>
  </r>
  <r>
    <x v="7"/>
    <s v="ARF"/>
    <x v="2"/>
    <n v="210448303.84221861"/>
    <n v="913.46119999999996"/>
    <m/>
    <n v="0"/>
    <n v="-4088658.6899699271"/>
    <n v="0"/>
    <n v="230385.59693856578"/>
    <n v="-4088658.6899699271"/>
    <n v="0"/>
    <n v="0"/>
  </r>
  <r>
    <x v="8"/>
    <s v="ARF"/>
    <x v="2"/>
    <n v="214375470.17588401"/>
    <n v="912.77359999999987"/>
    <m/>
    <n v="4085579.4701203704"/>
    <n v="0"/>
    <n v="0"/>
    <n v="234861.60223727333"/>
    <n v="4085579.4701203704"/>
    <n v="0"/>
    <n v="0"/>
  </r>
  <r>
    <x v="9"/>
    <s v="ARF"/>
    <x v="2"/>
    <n v="212639820.515331"/>
    <n v="905.38350000000003"/>
    <m/>
    <n v="1.0661406517028809"/>
    <n v="0"/>
    <n v="-7985294.5161042297"/>
    <n v="234861.60341483029"/>
    <n v="-7985293.449963578"/>
    <n v="-34"/>
    <n v="-34"/>
  </r>
  <r>
    <x v="10"/>
    <s v="ARF"/>
    <x v="2"/>
    <n v="215959790.50103399"/>
    <n v="919.51940000000002"/>
    <m/>
    <n v="0"/>
    <n v="-10.154008716344833"/>
    <n v="0"/>
    <n v="234861.59237209568"/>
    <n v="-10.154008716344833"/>
    <n v="0"/>
    <n v="0"/>
  </r>
  <r>
    <x v="11"/>
    <s v="ARF"/>
    <x v="2"/>
    <n v="218353454.76887801"/>
    <n v="929.71120000000008"/>
    <m/>
    <n v="1.8907060623168945"/>
    <n v="0"/>
    <n v="0"/>
    <n v="234861.59440574449"/>
    <n v="1.8907060623168945"/>
    <n v="0"/>
    <n v="0"/>
  </r>
  <r>
    <x v="12"/>
    <s v="ARF"/>
    <x v="2"/>
    <n v="226208428.01196498"/>
    <n v="963.1563000000001"/>
    <m/>
    <n v="3.7320273816585541"/>
    <n v="0"/>
    <n v="0"/>
    <n v="234861.59828053345"/>
    <n v="3.7320273816585541"/>
    <n v="0"/>
    <n v="0"/>
  </r>
  <r>
    <x v="13"/>
    <s v="ARF"/>
    <x v="2"/>
    <n v="210770566.722247"/>
    <n v="897.42460000000005"/>
    <m/>
    <n v="0"/>
    <n v="-9.1700214147567749"/>
    <n v="-12212802.579243809"/>
    <n v="234861.58806238094"/>
    <n v="-12212811.749265224"/>
    <n v="-52"/>
    <n v="-52"/>
  </r>
  <r>
    <x v="14"/>
    <s v="ARF"/>
    <x v="2"/>
    <n v="211047913.87174401"/>
    <n v="898.60550000000001"/>
    <m/>
    <n v="0"/>
    <n v="-0.89984583854675293"/>
    <n v="-6000713.5494085662"/>
    <n v="234861.58706100064"/>
    <n v="-6000714.4492544048"/>
    <n v="-25.55"/>
    <n v="-25.55"/>
  </r>
  <r>
    <x v="15"/>
    <s v="ARF"/>
    <x v="2"/>
    <n v="213759052.237176"/>
    <n v="910.14899999999989"/>
    <m/>
    <n v="13.635193347930908"/>
    <n v="0"/>
    <n v="0"/>
    <n v="234861.60204227662"/>
    <n v="13.635193347930908"/>
    <n v="0"/>
    <n v="0"/>
  </r>
  <r>
    <x v="16"/>
    <s v="ARF"/>
    <x v="2"/>
    <n v="237836518.87778831"/>
    <n v="1012.6666999999999"/>
    <m/>
    <n v="0"/>
    <n v="-4.6190771758556366"/>
    <n v="0"/>
    <n v="234861.59748097605"/>
    <n v="-4.6190771758556366"/>
    <n v="0"/>
    <n v="0"/>
  </r>
  <r>
    <x v="17"/>
    <s v="ARF"/>
    <x v="2"/>
    <n v="245836832.63201973"/>
    <n v="1046.7307000000001"/>
    <m/>
    <n v="0"/>
    <n v="-11.702360600233078"/>
    <n v="0"/>
    <n v="234861.58630106074"/>
    <n v="-11.702360600233078"/>
    <n v="0"/>
    <n v="0"/>
  </r>
  <r>
    <x v="18"/>
    <s v="ARF"/>
    <x v="2"/>
    <n v="242958698.65935501"/>
    <n v="1034.4761000000001"/>
    <m/>
    <n v="0.82282024621963501"/>
    <n v="0"/>
    <n v="0"/>
    <n v="234861.58709645877"/>
    <n v="0.82282024621963501"/>
    <n v="0"/>
    <n v="0"/>
  </r>
  <r>
    <x v="19"/>
    <s v="ARF"/>
    <x v="2"/>
    <n v="238010661.764819"/>
    <n v="1013.4082"/>
    <m/>
    <n v="3.5362535119056702"/>
    <n v="0"/>
    <n v="0"/>
    <n v="234861.5905859248"/>
    <n v="3.5362535119056702"/>
    <n v="0"/>
    <n v="0"/>
  </r>
  <r>
    <x v="20"/>
    <s v="ARF"/>
    <x v="2"/>
    <n v="241533864.84749463"/>
    <n v="1028.4093999999998"/>
    <m/>
    <n v="0"/>
    <n v="-2.6100218892097473"/>
    <n v="0"/>
    <n v="234861.5880480037"/>
    <n v="-2.6100218892097473"/>
    <n v="0"/>
    <n v="0"/>
  </r>
  <r>
    <x v="21"/>
    <s v="ARF"/>
    <x v="2"/>
    <n v="214874151.69999999"/>
    <n v="914.89689999999985"/>
    <m/>
    <n v="12.865804374217987"/>
    <n v="0"/>
    <n v="-28000200.203622948"/>
    <n v="234861.60211057664"/>
    <n v="-28000187.337818574"/>
    <n v="-119.22"/>
    <n v="-119.22"/>
  </r>
  <r>
    <x v="22"/>
    <s v="ARF"/>
    <x v="2"/>
    <n v="218153100"/>
    <n v="928.85810000000015"/>
    <m/>
    <n v="0"/>
    <n v="-1.4993862509727478"/>
    <n v="0"/>
    <n v="234861.60049635134"/>
    <n v="-1.4993862509727478"/>
    <n v="0"/>
    <n v="0"/>
  </r>
  <r>
    <x v="23"/>
    <s v="ARF"/>
    <x v="2"/>
    <n v="217665400"/>
    <n v="926.78179999999998"/>
    <m/>
    <n v="0"/>
    <n v="-56.858889371156693"/>
    <n v="0"/>
    <n v="234861.53914546015"/>
    <n v="-56.858889371156693"/>
    <n v="0"/>
    <n v="0"/>
  </r>
  <r>
    <x v="24"/>
    <s v="ARF"/>
    <x v="2"/>
    <n v="234208400"/>
    <n v="997.21889999999985"/>
    <m/>
    <n v="34.281057327985764"/>
    <n v="0"/>
    <n v="0"/>
    <n v="234861.5735221224"/>
    <n v="34.281057327985764"/>
    <n v="0"/>
    <n v="0"/>
  </r>
  <r>
    <x v="25"/>
    <s v="ARF"/>
    <x v="2"/>
    <n v="226861500"/>
    <n v="965.93679999999995"/>
    <m/>
    <n v="63.229076355695724"/>
    <n v="0"/>
    <n v="0"/>
    <n v="234861.63898093542"/>
    <n v="63.229076355695724"/>
    <n v="0"/>
    <n v="0"/>
  </r>
  <r>
    <x v="26"/>
    <s v="ARF"/>
    <x v="2"/>
    <n v="192630303.73301128"/>
    <n v="820.18649999999991"/>
    <m/>
    <n v="0"/>
    <n v="-41.927025675773621"/>
    <n v="-12799956.538481329"/>
    <n v="234861.58786204271"/>
    <n v="-12799998.465507004"/>
    <n v="-54.500000000000007"/>
    <n v="-54.500000000000007"/>
  </r>
  <r>
    <x v="27"/>
    <s v="ARF"/>
    <x v="2"/>
    <n v="197800300"/>
    <n v="842.19930000000011"/>
    <m/>
    <n v="35.105699121952057"/>
    <n v="0"/>
    <n v="0"/>
    <n v="234861.62954540568"/>
    <n v="35.105699121952057"/>
    <n v="0"/>
    <n v="0"/>
  </r>
  <r>
    <x v="28"/>
    <s v="ARF"/>
    <x v="2"/>
    <n v="197016054.0312115"/>
    <n v="838.86030000000005"/>
    <m/>
    <n v="0"/>
    <n v="0"/>
    <n v="0"/>
    <n v="234861.57829999999"/>
    <n v="0"/>
    <n v="0"/>
    <n v="0"/>
  </r>
  <r>
    <x v="29"/>
    <s v="ARF"/>
    <x v="2"/>
    <n v="193826539.85326615"/>
    <n v="825.2799"/>
    <m/>
    <n v="0"/>
    <n v="0"/>
    <n v="0"/>
    <n v="234861.57829999999"/>
    <n v="0"/>
    <n v="0"/>
    <n v="0"/>
  </r>
  <r>
    <x v="30"/>
    <s v="ARF"/>
    <x v="2"/>
    <n v="192484024.09938771"/>
    <n v="819.56370000000004"/>
    <m/>
    <n v="0"/>
    <n v="0"/>
    <n v="0"/>
    <n v="234861.57829999999"/>
    <n v="0"/>
    <n v="0"/>
    <n v="-819.56370000000004"/>
  </r>
  <r>
    <x v="194"/>
    <s v="ASM Equities"/>
    <x v="3"/>
    <n v="64551471.087311998"/>
    <n v="9.9989999999999988"/>
    <m/>
    <n v="64551461.088312"/>
    <n v="0"/>
    <n v="0"/>
    <n v="6455792.688000001"/>
    <n v="64551461.088312"/>
    <n v="9.9989999999999988"/>
    <n v="64551461.088312"/>
  </r>
  <r>
    <x v="187"/>
    <s v="ASM Equities"/>
    <x v="3"/>
    <n v="61320067.704341397"/>
    <n v="9.4984567609060395"/>
    <m/>
    <n v="1.4901161193847656E-8"/>
    <n v="0"/>
    <n v="0"/>
    <n v="6455792.6880000019"/>
    <n v="1.4901161193847656E-8"/>
    <n v="0"/>
    <n v="1.4901161193847656E-8"/>
  </r>
  <r>
    <x v="188"/>
    <s v="ASM Equities"/>
    <x v="3"/>
    <n v="60883517.728767626"/>
    <n v="9.4308353243649901"/>
    <m/>
    <n v="0"/>
    <n v="0"/>
    <n v="0"/>
    <n v="6455792.688000001"/>
    <n v="0"/>
    <n v="0"/>
    <n v="0"/>
  </r>
  <r>
    <x v="189"/>
    <s v="ASM Equities"/>
    <x v="3"/>
    <n v="65373874.499672115"/>
    <n v="10.126389997186369"/>
    <m/>
    <n v="7.4505805969238281E-9"/>
    <n v="0"/>
    <n v="0"/>
    <n v="6455792.6880000019"/>
    <n v="7.4505805969238281E-9"/>
    <n v="0"/>
    <n v="7.4505805969238281E-9"/>
  </r>
  <r>
    <x v="190"/>
    <s v="ASM Equities"/>
    <x v="3"/>
    <n v="65823955.098767616"/>
    <n v="10.196107322516861"/>
    <m/>
    <n v="0"/>
    <n v="-1.4901161193847656E-8"/>
    <n v="0"/>
    <n v="6455792.688000001"/>
    <n v="-1.4901161193847656E-8"/>
    <n v="0"/>
    <n v="-1.4901161193847656E-8"/>
  </r>
  <r>
    <x v="191"/>
    <s v="ASM Equities"/>
    <x v="3"/>
    <n v="59740395.084341399"/>
    <n v="9.2537660317665704"/>
    <m/>
    <n v="0"/>
    <n v="-7.4505805969238281E-9"/>
    <n v="0"/>
    <n v="6455792.6880000001"/>
    <n v="-7.4505805969238281E-9"/>
    <n v="0"/>
    <n v="-7.4505805969238281E-9"/>
  </r>
  <r>
    <x v="192"/>
    <s v="ASM Equities"/>
    <x v="3"/>
    <n v="55807551.999915168"/>
    <n v="8.6445700314463298"/>
    <m/>
    <n v="2.2351741790771484E-8"/>
    <n v="0"/>
    <n v="0"/>
    <n v="6455792.6880000019"/>
    <n v="2.2351741790771484E-8"/>
    <n v="0"/>
    <n v="2.2351741790771484E-8"/>
  </r>
  <r>
    <x v="193"/>
    <s v="ASM Equities"/>
    <x v="3"/>
    <n v="56271664.266705543"/>
    <n v="8.7164608571311586"/>
    <m/>
    <n v="0"/>
    <n v="-2.2351741790771484E-8"/>
    <n v="0"/>
    <n v="6455792.6880000001"/>
    <n v="-2.2351741790771484E-8"/>
    <n v="0"/>
    <n v="-2.2351741790771484E-8"/>
  </r>
  <r>
    <x v="1"/>
    <s v="ASM Equities"/>
    <x v="3"/>
    <n v="56338493.622279316"/>
    <n v="8.7268127006310259"/>
    <m/>
    <n v="7.4505805969238281E-9"/>
    <n v="0"/>
    <n v="0"/>
    <n v="6455792.688000001"/>
    <n v="7.4505805969238281E-9"/>
    <n v="0"/>
    <n v="7.4505805969238281E-9"/>
  </r>
  <r>
    <x v="2"/>
    <s v="ASM Equities"/>
    <x v="3"/>
    <n v="60037154.736705534"/>
    <n v="9.299733996771975"/>
    <m/>
    <n v="0"/>
    <n v="-7.4505805969238281E-9"/>
    <n v="0"/>
    <n v="6455792.6880000001"/>
    <n v="-7.4505805969238281E-9"/>
    <n v="0"/>
    <n v="-7.4505805969238281E-9"/>
  </r>
  <r>
    <x v="3"/>
    <s v="ASM Equities"/>
    <x v="3"/>
    <n v="60511647.844827257"/>
    <n v="9.3732328111009569"/>
    <m/>
    <n v="1.4901161193847656E-8"/>
    <n v="0"/>
    <n v="0"/>
    <n v="6455792.688000001"/>
    <n v="1.4901161193847656E-8"/>
    <n v="0"/>
    <n v="1.4901161193847656E-8"/>
  </r>
  <r>
    <x v="4"/>
    <s v="ASM Equities"/>
    <x v="3"/>
    <n v="55959711.520489521"/>
    <n v="8.6681394872712065"/>
    <m/>
    <n v="0"/>
    <n v="-1.4901161193847656E-8"/>
    <n v="0"/>
    <n v="6455792.6880000001"/>
    <n v="-1.4901161193847656E-8"/>
    <n v="0"/>
    <n v="-1.4901161193847656E-8"/>
  </r>
  <r>
    <x v="5"/>
    <s v="ASM Equities"/>
    <x v="3"/>
    <n v="56979444.618611224"/>
    <n v="8.8260957828655755"/>
    <m/>
    <n v="7.4505805969238281E-9"/>
    <n v="0"/>
    <n v="0"/>
    <n v="6455792.688000001"/>
    <n v="7.4505805969238281E-9"/>
    <n v="0"/>
    <n v="7.4505805969238281E-9"/>
  </r>
  <r>
    <x v="6"/>
    <s v="ASM Equities"/>
    <x v="3"/>
    <n v="55839204.274027817"/>
    <n v="8.6494729574915699"/>
    <m/>
    <n v="0"/>
    <n v="0"/>
    <n v="0"/>
    <n v="6455792.688000001"/>
    <n v="0"/>
    <n v="0"/>
    <n v="0"/>
  </r>
  <r>
    <x v="7"/>
    <s v="ASM Equities"/>
    <x v="3"/>
    <n v="55355748.643712372"/>
    <n v="8.5745858516503155"/>
    <m/>
    <n v="0"/>
    <n v="0"/>
    <n v="0"/>
    <n v="6455792.688000001"/>
    <n v="0"/>
    <n v="0"/>
    <n v="0"/>
  </r>
  <r>
    <x v="195"/>
    <s v="ASM Equities"/>
    <x v="3"/>
    <n v="-478541.16382188606"/>
    <n v="-7.4125856722660297E-2"/>
    <m/>
    <n v="0"/>
    <n v="0"/>
    <n v="0"/>
    <n v="6455792.688000001"/>
    <n v="0"/>
    <n v="0"/>
    <n v="0"/>
  </r>
  <r>
    <x v="196"/>
    <s v="BMTR4"/>
    <x v="4"/>
    <n v="25000000"/>
    <n v="25000000"/>
    <m/>
    <n v="25000000"/>
    <n v="0"/>
    <n v="0"/>
    <n v="1"/>
    <n v="25000000"/>
    <n v="25000000"/>
    <n v="25000000"/>
  </r>
  <r>
    <x v="172"/>
    <s v="BMTR4"/>
    <x v="4"/>
    <n v="25645789.683333334"/>
    <n v="25645789.683333334"/>
    <m/>
    <n v="0"/>
    <n v="0"/>
    <n v="0"/>
    <n v="1"/>
    <n v="0"/>
    <n v="0"/>
    <n v="0"/>
  </r>
  <r>
    <x v="173"/>
    <s v="BMTR4"/>
    <x v="4"/>
    <n v="25772005.156203363"/>
    <n v="25772005.156203363"/>
    <m/>
    <n v="0"/>
    <n v="0"/>
    <n v="0"/>
    <n v="1"/>
    <n v="0"/>
    <n v="0"/>
    <n v="0"/>
  </r>
  <r>
    <x v="174"/>
    <s v="BMTR4"/>
    <x v="4"/>
    <n v="25583989.6869055"/>
    <n v="25583989.6869055"/>
    <m/>
    <n v="0"/>
    <n v="0"/>
    <n v="0"/>
    <n v="1"/>
    <n v="0"/>
    <n v="0"/>
    <n v="0"/>
  </r>
  <r>
    <x v="175"/>
    <s v="BMTR4"/>
    <x v="4"/>
    <n v="24677865.519999396"/>
    <n v="24677865.519999396"/>
    <m/>
    <n v="0"/>
    <n v="0"/>
    <n v="-812500"/>
    <n v="1"/>
    <n v="-812500"/>
    <n v="-812500"/>
    <n v="-812500"/>
  </r>
  <r>
    <x v="176"/>
    <s v="BMTR4"/>
    <x v="4"/>
    <n v="24033286.523564719"/>
    <n v="24033286.523564719"/>
    <m/>
    <n v="0"/>
    <n v="0"/>
    <n v="0"/>
    <n v="1"/>
    <n v="0"/>
    <n v="0"/>
    <n v="0"/>
  </r>
  <r>
    <x v="177"/>
    <s v="BMTR4"/>
    <x v="4"/>
    <n v="24446119.317117728"/>
    <n v="24446119.317117728"/>
    <m/>
    <n v="0"/>
    <n v="0"/>
    <n v="0"/>
    <n v="1"/>
    <n v="0"/>
    <n v="0"/>
    <n v="0"/>
  </r>
  <r>
    <x v="178"/>
    <s v="BMTR4"/>
    <x v="4"/>
    <n v="24024233.432600282"/>
    <n v="24024233.432600282"/>
    <m/>
    <n v="0"/>
    <n v="0"/>
    <n v="-843750"/>
    <n v="1"/>
    <n v="-843750"/>
    <n v="-843750"/>
    <n v="-843750"/>
  </r>
  <r>
    <x v="179"/>
    <s v="BMTR4"/>
    <x v="4"/>
    <n v="24247813.102273945"/>
    <n v="24247813.102273945"/>
    <m/>
    <n v="0"/>
    <n v="0"/>
    <n v="0"/>
    <n v="1"/>
    <n v="0"/>
    <n v="0"/>
    <n v="0"/>
  </r>
  <r>
    <x v="180"/>
    <s v="BMTR4"/>
    <x v="4"/>
    <n v="24686541.963991936"/>
    <n v="24686541.963991936"/>
    <m/>
    <n v="0"/>
    <n v="0"/>
    <n v="0"/>
    <n v="1"/>
    <n v="0"/>
    <n v="0"/>
    <n v="0"/>
  </r>
  <r>
    <x v="32"/>
    <s v="BMTR4"/>
    <x v="4"/>
    <n v="24421385.61779771"/>
    <n v="24421385.61779771"/>
    <m/>
    <n v="0"/>
    <n v="0"/>
    <n v="-843750"/>
    <n v="1"/>
    <n v="-843750"/>
    <n v="-843750"/>
    <n v="-843750"/>
  </r>
  <r>
    <x v="33"/>
    <s v="BMTR4"/>
    <x v="4"/>
    <n v="25094211.274091199"/>
    <n v="25094211.274091199"/>
    <m/>
    <n v="0"/>
    <n v="0"/>
    <n v="0"/>
    <n v="1"/>
    <n v="0"/>
    <n v="0"/>
    <n v="0"/>
  </r>
  <r>
    <x v="34"/>
    <s v="BMTR4"/>
    <x v="4"/>
    <n v="25174712.007505503"/>
    <n v="25174712.007505503"/>
    <m/>
    <n v="0"/>
    <n v="0"/>
    <n v="0"/>
    <n v="1"/>
    <n v="0"/>
    <n v="0"/>
    <n v="0"/>
  </r>
  <r>
    <x v="35"/>
    <s v="BMTR4"/>
    <x v="4"/>
    <n v="25553447.800464701"/>
    <n v="25553447.800464701"/>
    <m/>
    <n v="0"/>
    <n v="0"/>
    <n v="-843750"/>
    <n v="1"/>
    <n v="-843750"/>
    <n v="-843750"/>
    <n v="-843750"/>
  </r>
  <r>
    <x v="36"/>
    <s v="BMTR4"/>
    <x v="4"/>
    <n v="25896176.7156156"/>
    <n v="25896176.7156156"/>
    <m/>
    <n v="0"/>
    <n v="0"/>
    <n v="0"/>
    <n v="1"/>
    <n v="0"/>
    <n v="0"/>
    <n v="0"/>
  </r>
  <r>
    <x v="37"/>
    <s v="BMTR4"/>
    <x v="4"/>
    <n v="26363552.1641124"/>
    <n v="26363552.1641124"/>
    <m/>
    <n v="0"/>
    <n v="0"/>
    <n v="0"/>
    <n v="1"/>
    <n v="0"/>
    <n v="0"/>
    <n v="0"/>
  </r>
  <r>
    <x v="38"/>
    <s v="BMTR4"/>
    <x v="4"/>
    <n v="25845197.603877198"/>
    <n v="25845197.603877198"/>
    <m/>
    <n v="0"/>
    <n v="0"/>
    <n v="-843750"/>
    <n v="1"/>
    <n v="-843750"/>
    <n v="-843750"/>
    <n v="-843750"/>
  </r>
  <r>
    <x v="39"/>
    <s v="BMTR4"/>
    <x v="4"/>
    <n v="26079566.1336242"/>
    <n v="26079566.1336242"/>
    <m/>
    <n v="0"/>
    <n v="0"/>
    <n v="0"/>
    <n v="1"/>
    <n v="0"/>
    <n v="0"/>
    <n v="0"/>
  </r>
  <r>
    <x v="40"/>
    <s v="BMTR4"/>
    <x v="4"/>
    <n v="26451152.577025499"/>
    <n v="26451152.577025499"/>
    <m/>
    <n v="0"/>
    <n v="0"/>
    <n v="0"/>
    <n v="1"/>
    <n v="0"/>
    <n v="0"/>
    <n v="0"/>
  </r>
  <r>
    <x v="41"/>
    <s v="BMTR4"/>
    <x v="4"/>
    <n v="26006477.390000001"/>
    <n v="26006477.390000001"/>
    <m/>
    <n v="0"/>
    <n v="0"/>
    <n v="-843750"/>
    <n v="1"/>
    <n v="-843750"/>
    <n v="-843750"/>
    <n v="-843750"/>
  </r>
  <r>
    <x v="42"/>
    <s v="BMTR4"/>
    <x v="4"/>
    <n v="26388437.5363997"/>
    <n v="26388437.5363997"/>
    <m/>
    <n v="0"/>
    <n v="0"/>
    <n v="0"/>
    <n v="1"/>
    <n v="0"/>
    <n v="0"/>
    <n v="0"/>
  </r>
  <r>
    <x v="43"/>
    <s v="BMTR4"/>
    <x v="4"/>
    <n v="26766084.7136112"/>
    <n v="26766084.7136112"/>
    <m/>
    <n v="0"/>
    <n v="0"/>
    <n v="0"/>
    <n v="1"/>
    <n v="0"/>
    <n v="0"/>
    <n v="0"/>
  </r>
  <r>
    <x v="44"/>
    <s v="BMTR4"/>
    <x v="4"/>
    <n v="26523624.981788699"/>
    <n v="26523624.981788699"/>
    <m/>
    <n v="0"/>
    <n v="0"/>
    <n v="-843750"/>
    <n v="1"/>
    <n v="-843750"/>
    <n v="-843750"/>
    <n v="-843750"/>
  </r>
  <r>
    <x v="181"/>
    <s v="BMTR4"/>
    <x v="4"/>
    <n v="26925719.785053298"/>
    <n v="26925719.785053298"/>
    <m/>
    <n v="0"/>
    <n v="0"/>
    <n v="0"/>
    <n v="1"/>
    <n v="0"/>
    <n v="0"/>
    <n v="0"/>
  </r>
  <r>
    <x v="182"/>
    <s v="BMTR4"/>
    <x v="4"/>
    <n v="27294238.825214498"/>
    <n v="27294238.825214498"/>
    <m/>
    <n v="0"/>
    <n v="0"/>
    <n v="0"/>
    <n v="1"/>
    <n v="0"/>
    <n v="0"/>
    <n v="0"/>
  </r>
  <r>
    <x v="183"/>
    <s v="BMTR4"/>
    <x v="4"/>
    <n v="17062665.5121461"/>
    <n v="17062665.5121461"/>
    <m/>
    <n v="0"/>
    <n v="0"/>
    <n v="-9156600"/>
    <n v="1"/>
    <n v="-9156600"/>
    <n v="-9156600"/>
    <n v="-9156600"/>
  </r>
  <r>
    <x v="184"/>
    <s v="BMTR4"/>
    <x v="4"/>
    <n v="17372148.6819272"/>
    <n v="17372148.6819272"/>
    <m/>
    <n v="0"/>
    <n v="0"/>
    <n v="0"/>
    <n v="1"/>
    <n v="0"/>
    <n v="0"/>
    <n v="0"/>
  </r>
  <r>
    <x v="185"/>
    <s v="BMTR4"/>
    <x v="4"/>
    <n v="17644593.0530967"/>
    <n v="17644593.0530967"/>
    <m/>
    <n v="0"/>
    <n v="0"/>
    <n v="0"/>
    <n v="1"/>
    <n v="0"/>
    <n v="0"/>
    <n v="0"/>
  </r>
  <r>
    <x v="186"/>
    <s v="BMTR4"/>
    <x v="4"/>
    <n v="17143174.444285102"/>
    <n v="17143174.444285102"/>
    <m/>
    <n v="0"/>
    <n v="0"/>
    <n v="-675000"/>
    <n v="1"/>
    <n v="-675000"/>
    <n v="-675000"/>
    <n v="-675000"/>
  </r>
  <r>
    <x v="187"/>
    <s v="BMTR4"/>
    <x v="4"/>
    <n v="17332792"/>
    <n v="17332792"/>
    <m/>
    <n v="0"/>
    <n v="0"/>
    <n v="0"/>
    <n v="1"/>
    <n v="0"/>
    <n v="0"/>
    <n v="0"/>
  </r>
  <r>
    <x v="188"/>
    <s v="BMTR4"/>
    <x v="4"/>
    <n v="17538276"/>
    <n v="17538276"/>
    <m/>
    <n v="0"/>
    <n v="0"/>
    <n v="0"/>
    <n v="1"/>
    <n v="0"/>
    <n v="0"/>
    <n v="0"/>
  </r>
  <r>
    <x v="189"/>
    <s v="BMTR4"/>
    <x v="4"/>
    <n v="17102772.816886302"/>
    <n v="17102772.816886302"/>
    <m/>
    <n v="0"/>
    <n v="0"/>
    <n v="-687991.67"/>
    <n v="1"/>
    <n v="-687991.67"/>
    <n v="-687991.67"/>
    <n v="-687991.67"/>
  </r>
  <r>
    <x v="190"/>
    <s v="BMTR4"/>
    <x v="4"/>
    <n v="17373049.710770797"/>
    <n v="17373049.710770797"/>
    <m/>
    <n v="0"/>
    <n v="0"/>
    <n v="0"/>
    <n v="1"/>
    <n v="0"/>
    <n v="0"/>
    <n v="0"/>
  </r>
  <r>
    <x v="191"/>
    <s v="BMTR4"/>
    <x v="4"/>
    <n v="17642680.043448534"/>
    <n v="17642680.043448534"/>
    <m/>
    <n v="0"/>
    <n v="0"/>
    <n v="0"/>
    <n v="1"/>
    <n v="0"/>
    <n v="0"/>
    <n v="0"/>
  </r>
  <r>
    <x v="192"/>
    <s v="BMTR4"/>
    <x v="4"/>
    <n v="17156535.915793724"/>
    <n v="17156535.915793724"/>
    <m/>
    <n v="0"/>
    <n v="0"/>
    <n v="-701008.34"/>
    <n v="1"/>
    <n v="-701008.34"/>
    <n v="-701008.34"/>
    <n v="-701008.34"/>
  </r>
  <r>
    <x v="193"/>
    <s v="BMTR4"/>
    <x v="4"/>
    <n v="17412183.412775867"/>
    <n v="17412183.412775867"/>
    <m/>
    <n v="0"/>
    <n v="0"/>
    <n v="0"/>
    <n v="1"/>
    <n v="0"/>
    <n v="0"/>
    <n v="0"/>
  </r>
  <r>
    <x v="1"/>
    <s v="BMTR4"/>
    <x v="4"/>
    <n v="17691784.370716549"/>
    <n v="17691784.370716549"/>
    <m/>
    <n v="0"/>
    <n v="0"/>
    <n v="0"/>
    <n v="1"/>
    <n v="0"/>
    <n v="0"/>
    <n v="0"/>
  </r>
  <r>
    <x v="2"/>
    <s v="BMTR4"/>
    <x v="4"/>
    <n v="8479342.4011224769"/>
    <n v="8479342.4011224769"/>
    <m/>
    <n v="0"/>
    <n v="0"/>
    <n v="-9400576.6600000001"/>
    <n v="1"/>
    <n v="-9400576.6600000001"/>
    <n v="-9400576.6600000001"/>
    <n v="-9400576.6600000001"/>
  </r>
  <r>
    <x v="3"/>
    <s v="BMTR4"/>
    <x v="4"/>
    <n v="8556839.0005567409"/>
    <n v="8556839.0005567409"/>
    <m/>
    <n v="0"/>
    <n v="0"/>
    <n v="0"/>
    <n v="1"/>
    <n v="0"/>
    <n v="0"/>
    <n v="0"/>
  </r>
  <r>
    <x v="4"/>
    <s v="BMTR4"/>
    <x v="4"/>
    <n v="8754153.935605105"/>
    <n v="8754153.935605105"/>
    <m/>
    <n v="0"/>
    <n v="0"/>
    <n v="0"/>
    <n v="1"/>
    <n v="0"/>
    <n v="0"/>
    <n v="0"/>
  </r>
  <r>
    <x v="5"/>
    <s v="BMTR4"/>
    <x v="4"/>
    <n v="8550827.4914703406"/>
    <n v="8550827.4914703406"/>
    <m/>
    <n v="0"/>
    <n v="0"/>
    <n v="-394334.63"/>
    <n v="1"/>
    <n v="-394334.63"/>
    <n v="-394334.63"/>
    <n v="-394334.63"/>
  </r>
  <r>
    <x v="6"/>
    <s v="BMTR4"/>
    <x v="4"/>
    <n v="8690309.6835255511"/>
    <n v="8690309.6835255511"/>
    <m/>
    <n v="0"/>
    <n v="0"/>
    <n v="0"/>
    <n v="1"/>
    <n v="0"/>
    <n v="0"/>
    <n v="0"/>
  </r>
  <r>
    <x v="7"/>
    <s v="BMTR4"/>
    <x v="4"/>
    <n v="8441034.9266496263"/>
    <n v="8441034.9266496263"/>
    <m/>
    <n v="0"/>
    <n v="0"/>
    <n v="-389708.33"/>
    <n v="1"/>
    <n v="-389708.33"/>
    <n v="-389708.33"/>
    <n v="-389708.33"/>
  </r>
  <r>
    <x v="8"/>
    <s v="BMTR4"/>
    <x v="4"/>
    <n v="8656372.5526439138"/>
    <n v="8656372.5526439138"/>
    <m/>
    <n v="0"/>
    <n v="0"/>
    <n v="0"/>
    <n v="1"/>
    <n v="0"/>
    <n v="0"/>
    <n v="0"/>
  </r>
  <r>
    <x v="9"/>
    <s v="BMTR4"/>
    <x v="4"/>
    <n v="8805165.2137730792"/>
    <n v="8805165.2137730792"/>
    <m/>
    <n v="0"/>
    <n v="0"/>
    <n v="0"/>
    <n v="1"/>
    <n v="0"/>
    <n v="0"/>
    <n v="0"/>
  </r>
  <r>
    <x v="10"/>
    <s v="BMTR4"/>
    <x v="4"/>
    <n v="8523639.6865817495"/>
    <n v="8523639.6865817495"/>
    <m/>
    <n v="0"/>
    <n v="0"/>
    <n v="-408964.16000000003"/>
    <n v="1"/>
    <n v="-408964.16000000003"/>
    <n v="-408964.16000000003"/>
    <n v="-408964.16000000003"/>
  </r>
  <r>
    <x v="11"/>
    <s v="BMTR4"/>
    <x v="4"/>
    <n v="8639239.8956346698"/>
    <n v="8639239.8956346698"/>
    <m/>
    <n v="0"/>
    <n v="0"/>
    <n v="0"/>
    <n v="1"/>
    <n v="0"/>
    <n v="0"/>
    <n v="0"/>
  </r>
  <r>
    <x v="12"/>
    <s v="BMTR4"/>
    <x v="4"/>
    <n v="8749623.5137581192"/>
    <n v="8749623.5137581192"/>
    <m/>
    <n v="0"/>
    <n v="0"/>
    <n v="0"/>
    <n v="1"/>
    <n v="0"/>
    <n v="0"/>
    <n v="0"/>
  </r>
  <r>
    <x v="13"/>
    <s v="BMTR4"/>
    <x v="4"/>
    <n v="8878240.9103699606"/>
    <n v="8878240.9103699606"/>
    <m/>
    <n v="0"/>
    <n v="0"/>
    <n v="0"/>
    <n v="1"/>
    <n v="0"/>
    <n v="0"/>
    <n v="0"/>
  </r>
  <r>
    <x v="14"/>
    <s v="BMTR4"/>
    <x v="4"/>
    <n v="8660621.0364860501"/>
    <n v="8660621.0364860501"/>
    <m/>
    <n v="0"/>
    <n v="0"/>
    <n v="-145749.42000000001"/>
    <n v="1"/>
    <n v="-145749.42000000001"/>
    <n v="-145749.42000000001"/>
    <n v="-145749.42000000001"/>
  </r>
  <r>
    <x v="15"/>
    <s v="BMTR4"/>
    <x v="4"/>
    <n v="8751206.7843473405"/>
    <n v="8751206.7843473405"/>
    <m/>
    <n v="0"/>
    <n v="0"/>
    <n v="0"/>
    <n v="1"/>
    <n v="0"/>
    <n v="0"/>
    <n v="0"/>
  </r>
  <r>
    <x v="16"/>
    <s v="BMTR4"/>
    <x v="4"/>
    <n v="5522306.5709242104"/>
    <n v="5522306.5709242104"/>
    <m/>
    <n v="0"/>
    <n v="0"/>
    <n v="-3160862.9"/>
    <n v="1"/>
    <n v="-3160862.9"/>
    <n v="-3160862.9"/>
    <n v="-3160862.9"/>
  </r>
  <r>
    <x v="17"/>
    <s v="BMTR4"/>
    <x v="4"/>
    <n v="5525772.5703539206"/>
    <n v="5525772.5703539206"/>
    <m/>
    <n v="0"/>
    <n v="0"/>
    <n v="0"/>
    <n v="1"/>
    <n v="0"/>
    <n v="0"/>
    <n v="0"/>
  </r>
  <r>
    <x v="18"/>
    <s v="BMTR4"/>
    <x v="4"/>
    <n v="3342035.97"/>
    <n v="3342035.97"/>
    <m/>
    <n v="0"/>
    <n v="0"/>
    <n v="-2097624.21"/>
    <n v="1"/>
    <n v="-2097624.21"/>
    <n v="-2097624.21"/>
    <n v="-2097624.21"/>
  </r>
  <r>
    <x v="19"/>
    <s v="BMTR4"/>
    <x v="4"/>
    <n v="3390600.12361567"/>
    <n v="3390600.12361567"/>
    <m/>
    <n v="0"/>
    <n v="0"/>
    <n v="0"/>
    <n v="1"/>
    <n v="0"/>
    <n v="0"/>
    <n v="0"/>
  </r>
  <r>
    <x v="20"/>
    <s v="BMTR4"/>
    <x v="4"/>
    <n v="3429652.5697062798"/>
    <n v="3429652.5697062798"/>
    <m/>
    <n v="0"/>
    <n v="0"/>
    <n v="0"/>
    <n v="1"/>
    <n v="0"/>
    <n v="0"/>
    <n v="0"/>
  </r>
  <r>
    <x v="21"/>
    <s v="BMTR4"/>
    <x v="4"/>
    <n v="3363149.16"/>
    <n v="3363149.16"/>
    <m/>
    <n v="0"/>
    <n v="0"/>
    <n v="-93621.28"/>
    <n v="1"/>
    <n v="-93621.28"/>
    <n v="-93621.28"/>
    <n v="-93621.28"/>
  </r>
  <r>
    <x v="22"/>
    <s v="BMTR4"/>
    <x v="4"/>
    <n v="3402563.57"/>
    <n v="3402563.57"/>
    <m/>
    <n v="0"/>
    <n v="0"/>
    <n v="0"/>
    <n v="1"/>
    <n v="0"/>
    <n v="0"/>
    <n v="0"/>
  </r>
  <r>
    <x v="23"/>
    <s v="BMTR4"/>
    <x v="4"/>
    <n v="3443364.1599999997"/>
    <n v="3443364.1599999997"/>
    <m/>
    <n v="0"/>
    <n v="0"/>
    <n v="0"/>
    <n v="1"/>
    <n v="0"/>
    <n v="0"/>
    <n v="0"/>
  </r>
  <r>
    <x v="24"/>
    <s v="BMTR4"/>
    <x v="4"/>
    <n v="2500509.04"/>
    <n v="2500509.04"/>
    <m/>
    <n v="0"/>
    <n v="0"/>
    <n v="-916304.26"/>
    <n v="1"/>
    <n v="-916304.26"/>
    <n v="-916304.26"/>
    <n v="-916304.26"/>
  </r>
  <r>
    <x v="25"/>
    <s v="BMTR4"/>
    <x v="4"/>
    <n v="2531078.9300000002"/>
    <n v="2531078.9300000002"/>
    <m/>
    <n v="0"/>
    <n v="0"/>
    <n v="0"/>
    <n v="1"/>
    <n v="0"/>
    <n v="0"/>
    <n v="0"/>
  </r>
  <r>
    <x v="26"/>
    <s v="BMTR4"/>
    <x v="4"/>
    <n v="2559118.13"/>
    <n v="2559118.13"/>
    <m/>
    <n v="0"/>
    <n v="0"/>
    <n v="0"/>
    <n v="1"/>
    <n v="0"/>
    <n v="0"/>
    <n v="0"/>
  </r>
  <r>
    <x v="27"/>
    <s v="BMTR4"/>
    <x v="4"/>
    <n v="2507823.14"/>
    <n v="2507823.14"/>
    <m/>
    <n v="0"/>
    <n v="0"/>
    <n v="-77336.929999999993"/>
    <n v="1"/>
    <n v="-77336.929999999993"/>
    <n v="-77336.929999999993"/>
    <n v="-77336.929999999993"/>
  </r>
  <r>
    <x v="28"/>
    <s v="BMTR4"/>
    <x v="4"/>
    <n v="2536423.0499999998"/>
    <n v="2536423.0499999998"/>
    <m/>
    <n v="0"/>
    <n v="0"/>
    <n v="0"/>
    <n v="1"/>
    <n v="0"/>
    <n v="0"/>
    <n v="0"/>
  </r>
  <r>
    <x v="29"/>
    <s v="BMTR4"/>
    <x v="4"/>
    <n v="2566070.87"/>
    <n v="2566070.87"/>
    <m/>
    <n v="0"/>
    <n v="0"/>
    <n v="0"/>
    <n v="1"/>
    <n v="0"/>
    <n v="0"/>
    <n v="0"/>
  </r>
  <r>
    <x v="30"/>
    <s v="BMTR4"/>
    <x v="4"/>
    <n v="2566070.87"/>
    <n v="2566070.87"/>
    <m/>
    <n v="0"/>
    <n v="0"/>
    <n v="0"/>
    <n v="1"/>
    <n v="0"/>
    <n v="0"/>
    <n v="-2566070.87"/>
  </r>
  <r>
    <x v="33"/>
    <s v="CHF"/>
    <x v="5"/>
    <n v="1570000"/>
    <n v="1570000"/>
    <n v="31.4"/>
    <n v="1570000"/>
    <n v="0"/>
    <n v="0"/>
    <n v="1"/>
    <n v="1570000"/>
    <n v="1570000"/>
    <n v="1570000"/>
  </r>
  <r>
    <x v="34"/>
    <s v="CHF"/>
    <x v="5"/>
    <n v="1538219.61"/>
    <n v="1538219.61"/>
    <n v="31.4"/>
    <n v="0"/>
    <n v="0"/>
    <n v="0"/>
    <n v="1"/>
    <n v="0"/>
    <n v="0"/>
    <n v="0"/>
  </r>
  <r>
    <x v="35"/>
    <s v="CHF"/>
    <x v="5"/>
    <n v="3231889.6"/>
    <n v="1599422.3651639135"/>
    <n v="31.4"/>
    <n v="1570000"/>
    <n v="0"/>
    <n v="0"/>
    <n v="2.0206605024363196"/>
    <n v="1570000"/>
    <n v="0"/>
    <n v="1570000"/>
  </r>
  <r>
    <x v="36"/>
    <s v="CHF"/>
    <x v="5"/>
    <n v="13900618.630000001"/>
    <n v="1587831.5995375547"/>
    <n v="31.4"/>
    <n v="10770200"/>
    <n v="0"/>
    <n v="0"/>
    <n v="8.7544665530327421"/>
    <n v="10770200"/>
    <n v="0"/>
    <n v="10770200"/>
  </r>
  <r>
    <x v="37"/>
    <s v="CHF"/>
    <x v="5"/>
    <n v="13941876.949999999"/>
    <n v="1592544.4303822513"/>
    <n v="31.4"/>
    <n v="0"/>
    <n v="0"/>
    <n v="0"/>
    <n v="8.7544665530327421"/>
    <n v="0"/>
    <n v="0"/>
    <n v="0"/>
  </r>
  <r>
    <x v="38"/>
    <s v="CHF"/>
    <x v="5"/>
    <n v="13973652.550000001"/>
    <n v="1596174.0747252288"/>
    <n v="31.4"/>
    <n v="0"/>
    <n v="0"/>
    <n v="0"/>
    <n v="8.7544665530327421"/>
    <n v="0"/>
    <n v="0"/>
    <n v="0"/>
  </r>
  <r>
    <x v="39"/>
    <s v="CHF"/>
    <x v="5"/>
    <n v="13544883.9679951"/>
    <n v="1547196.9520864582"/>
    <n v="31.4"/>
    <n v="0"/>
    <n v="0"/>
    <n v="0"/>
    <n v="8.7544665530327421"/>
    <n v="0"/>
    <n v="0"/>
    <n v="0"/>
  </r>
  <r>
    <x v="40"/>
    <s v="CHF"/>
    <x v="5"/>
    <n v="13580251.029999999"/>
    <n v="1551236.8398158422"/>
    <n v="31.4"/>
    <n v="0"/>
    <n v="0"/>
    <n v="0"/>
    <n v="8.7544665530327421"/>
    <n v="0"/>
    <n v="0"/>
    <n v="0"/>
  </r>
  <r>
    <x v="41"/>
    <s v="CHF"/>
    <x v="5"/>
    <n v="13509914.300000001"/>
    <n v="1543202.4576437345"/>
    <n v="31.4"/>
    <n v="0"/>
    <n v="0"/>
    <n v="0"/>
    <n v="8.7544665530327421"/>
    <n v="0"/>
    <n v="0"/>
    <n v="0"/>
  </r>
  <r>
    <x v="42"/>
    <s v="CHF"/>
    <x v="5"/>
    <n v="13807474.706977401"/>
    <n v="1577192.0108820547"/>
    <n v="31.4"/>
    <n v="0"/>
    <n v="0"/>
    <n v="0"/>
    <n v="8.7544665530327421"/>
    <n v="0"/>
    <n v="0"/>
    <n v="0"/>
  </r>
  <r>
    <x v="43"/>
    <s v="CHF"/>
    <x v="5"/>
    <n v="20613683.719999999"/>
    <n v="1586273.0914130586"/>
    <n v="31.4"/>
    <n v="6688200"/>
    <n v="0"/>
    <n v="0"/>
    <n v="12.995040911673819"/>
    <n v="6688200"/>
    <n v="0"/>
    <n v="6688200"/>
  </r>
  <r>
    <x v="44"/>
    <s v="CHF"/>
    <x v="5"/>
    <n v="20053645.350000001"/>
    <n v="1543176.7769184348"/>
    <n v="31.4"/>
    <n v="0"/>
    <n v="0"/>
    <n v="0"/>
    <n v="12.995040911673819"/>
    <n v="0"/>
    <n v="0"/>
    <n v="0"/>
  </r>
  <r>
    <x v="181"/>
    <s v="CHF"/>
    <x v="5"/>
    <n v="24941602.829999998"/>
    <n v="1517702.2830490521"/>
    <n v="31.4"/>
    <n v="5306600"/>
    <n v="0"/>
    <n v="0"/>
    <n v="16.433791467910631"/>
    <n v="5306600"/>
    <n v="0"/>
    <n v="5306600"/>
  </r>
  <r>
    <x v="182"/>
    <s v="CHF"/>
    <x v="5"/>
    <n v="25250255.969999999"/>
    <n v="1536483.8977849267"/>
    <n v="31.4"/>
    <n v="0"/>
    <n v="0"/>
    <n v="0"/>
    <n v="16.433791467910631"/>
    <n v="0"/>
    <n v="0"/>
    <n v="0"/>
  </r>
  <r>
    <x v="183"/>
    <s v="CHF"/>
    <x v="5"/>
    <n v="25083508.142660901"/>
    <n v="1526337.2540439072"/>
    <n v="31.4"/>
    <n v="0"/>
    <n v="0"/>
    <n v="0"/>
    <n v="16.433791467910631"/>
    <n v="0"/>
    <n v="0"/>
    <n v="0"/>
  </r>
  <r>
    <x v="184"/>
    <s v="CHF"/>
    <x v="5"/>
    <n v="28166791.91"/>
    <n v="1559608.4698766458"/>
    <n v="29.65"/>
    <n v="2482400"/>
    <n v="0"/>
    <n v="0"/>
    <n v="18.060168596178372"/>
    <n v="2482400"/>
    <n v="0"/>
    <n v="2482400"/>
  </r>
  <r>
    <x v="185"/>
    <s v="CHF"/>
    <x v="5"/>
    <n v="28389786.66"/>
    <n v="1571955.7937021381"/>
    <n v="29.65"/>
    <n v="0"/>
    <n v="0"/>
    <n v="0"/>
    <n v="18.060168596178372"/>
    <n v="0"/>
    <n v="0"/>
    <n v="0"/>
  </r>
  <r>
    <x v="186"/>
    <s v="CHF"/>
    <x v="5"/>
    <n v="29883548.75"/>
    <n v="1601547.793783807"/>
    <n v="29.65"/>
    <n v="941600"/>
    <n v="0"/>
    <n v="0"/>
    <n v="18.659167628958055"/>
    <n v="941600"/>
    <n v="0"/>
    <n v="941600"/>
  </r>
  <r>
    <x v="187"/>
    <s v="CHF"/>
    <x v="5"/>
    <n v="32360591.469999995"/>
    <n v="1715868.5038894208"/>
    <n v="29.65"/>
    <n v="321000"/>
    <n v="0"/>
    <n v="0"/>
    <n v="18.859598737692941"/>
    <n v="321000"/>
    <n v="0"/>
    <n v="321000"/>
  </r>
  <r>
    <x v="188"/>
    <s v="CHF"/>
    <x v="5"/>
    <n v="33026978.780000001"/>
    <n v="1751202.6230967483"/>
    <n v="29.65"/>
    <n v="0"/>
    <n v="0"/>
    <n v="0"/>
    <n v="18.859598737692941"/>
    <n v="0"/>
    <n v="0"/>
    <n v="0"/>
  </r>
  <r>
    <x v="189"/>
    <s v="CHF"/>
    <x v="5"/>
    <n v="32953550"/>
    <n v="1747309.1797090452"/>
    <n v="29.65"/>
    <n v="0"/>
    <n v="0"/>
    <n v="0"/>
    <n v="18.859598737692941"/>
    <n v="0"/>
    <n v="0"/>
    <n v="0"/>
  </r>
  <r>
    <x v="190"/>
    <s v="CHF"/>
    <x v="5"/>
    <n v="32455827.480000004"/>
    <n v="1720918.2407011413"/>
    <n v="29.65"/>
    <n v="0"/>
    <n v="0"/>
    <n v="0"/>
    <n v="18.859598737692941"/>
    <n v="0"/>
    <n v="0"/>
    <n v="0"/>
  </r>
  <r>
    <x v="191"/>
    <s v="CHF"/>
    <x v="5"/>
    <n v="31918760.91"/>
    <n v="1692441.1464919937"/>
    <n v="29.65"/>
    <n v="0"/>
    <n v="0"/>
    <n v="0"/>
    <n v="18.859598737692941"/>
    <n v="0"/>
    <n v="0"/>
    <n v="0"/>
  </r>
  <r>
    <x v="192"/>
    <s v="CHF"/>
    <x v="5"/>
    <n v="32058201.579999994"/>
    <n v="1699834.7645609353"/>
    <n v="29.65"/>
    <n v="0"/>
    <n v="0"/>
    <n v="0"/>
    <n v="18.859598737692941"/>
    <n v="0"/>
    <n v="0"/>
    <n v="0"/>
  </r>
  <r>
    <x v="193"/>
    <s v="CHF"/>
    <x v="5"/>
    <n v="32942558.859999999"/>
    <n v="1746726.392124173"/>
    <n v="29.65"/>
    <n v="0"/>
    <n v="0"/>
    <n v="0"/>
    <n v="18.859598737692941"/>
    <n v="0"/>
    <n v="0"/>
    <n v="0"/>
  </r>
  <r>
    <x v="1"/>
    <s v="CHF"/>
    <x v="5"/>
    <n v="32928287.529999997"/>
    <n v="1745969.6777211523"/>
    <n v="29.65"/>
    <n v="0"/>
    <n v="0"/>
    <n v="0"/>
    <n v="18.859598737692941"/>
    <n v="0"/>
    <n v="0"/>
    <n v="0"/>
  </r>
  <r>
    <x v="2"/>
    <s v="CHF"/>
    <x v="5"/>
    <n v="33029479.899999999"/>
    <n v="1751335.2409766291"/>
    <n v="29.65"/>
    <n v="0"/>
    <n v="0"/>
    <n v="0"/>
    <n v="18.859598737692941"/>
    <n v="0"/>
    <n v="0"/>
    <n v="0"/>
  </r>
  <r>
    <x v="3"/>
    <s v="CHF"/>
    <x v="5"/>
    <n v="32641619.800000001"/>
    <n v="1730769.5807314396"/>
    <n v="29.65"/>
    <n v="0"/>
    <n v="0"/>
    <n v="0"/>
    <n v="18.859598737692941"/>
    <n v="0"/>
    <n v="0"/>
    <n v="0"/>
  </r>
  <r>
    <x v="4"/>
    <s v="CHF"/>
    <x v="5"/>
    <n v="33219222.809999999"/>
    <n v="1761396.05471074"/>
    <n v="29.65"/>
    <n v="0"/>
    <n v="0"/>
    <n v="0"/>
    <n v="18.859598737692941"/>
    <n v="0"/>
    <n v="0"/>
    <n v="0"/>
  </r>
  <r>
    <x v="5"/>
    <s v="CHF"/>
    <x v="5"/>
    <n v="33815648.039999999"/>
    <n v="1793020.5467423748"/>
    <n v="29.65"/>
    <n v="0"/>
    <n v="0"/>
    <n v="0"/>
    <n v="18.859598737692941"/>
    <n v="0"/>
    <n v="0"/>
    <n v="0"/>
  </r>
  <r>
    <x v="6"/>
    <s v="CHF"/>
    <x v="5"/>
    <n v="34374314.149999999"/>
    <n v="1822642.9219461188"/>
    <n v="29.65"/>
    <n v="0"/>
    <n v="0"/>
    <n v="0"/>
    <n v="18.859598737692941"/>
    <n v="0"/>
    <n v="0"/>
    <n v="0"/>
  </r>
  <r>
    <x v="7"/>
    <s v="CHF"/>
    <x v="5"/>
    <n v="35043688.940000005"/>
    <n v="1858135.4474929213"/>
    <n v="29.65"/>
    <n v="0"/>
    <n v="0"/>
    <n v="0"/>
    <n v="18.859598737692941"/>
    <n v="0"/>
    <n v="0"/>
    <n v="0"/>
  </r>
  <r>
    <x v="8"/>
    <s v="CHF"/>
    <x v="5"/>
    <n v="36239688.419999994"/>
    <n v="1921551.4032952923"/>
    <n v="29.65"/>
    <n v="0"/>
    <n v="0"/>
    <n v="0"/>
    <n v="18.859598737692941"/>
    <n v="0"/>
    <n v="0"/>
    <n v="0"/>
  </r>
  <r>
    <x v="9"/>
    <s v="CHF"/>
    <x v="5"/>
    <n v="36415493.780000001"/>
    <n v="1930873.2007759905"/>
    <n v="29.65"/>
    <n v="0"/>
    <n v="0"/>
    <n v="0"/>
    <n v="18.859598737692941"/>
    <n v="0"/>
    <n v="0"/>
    <n v="0"/>
  </r>
  <r>
    <x v="10"/>
    <s v="CHF"/>
    <x v="5"/>
    <n v="36415493.780000001"/>
    <n v="1930873.2007759905"/>
    <n v="29.65"/>
    <n v="0"/>
    <n v="0"/>
    <n v="0"/>
    <n v="18.859598737692941"/>
    <n v="0"/>
    <n v="0"/>
    <n v="0"/>
  </r>
  <r>
    <x v="11"/>
    <s v="CHF"/>
    <x v="5"/>
    <n v="38138053.659999996"/>
    <n v="2022209.1779597083"/>
    <n v="29.65"/>
    <n v="0"/>
    <n v="0"/>
    <n v="0"/>
    <n v="18.859598737692941"/>
    <n v="0"/>
    <n v="0"/>
    <n v="0"/>
  </r>
  <r>
    <x v="12"/>
    <s v="CHF"/>
    <x v="5"/>
    <n v="39252399.119999997"/>
    <n v="2081295.5602045681"/>
    <n v="29.65"/>
    <n v="0"/>
    <n v="0"/>
    <n v="0"/>
    <n v="18.859598737692941"/>
    <n v="0"/>
    <n v="0"/>
    <n v="0"/>
  </r>
  <r>
    <x v="13"/>
    <s v="CHF"/>
    <x v="5"/>
    <n v="39252399.119999997"/>
    <n v="2081295.5602045681"/>
    <n v="29.65"/>
    <n v="0"/>
    <n v="0"/>
    <n v="0"/>
    <n v="18.859598737692941"/>
    <n v="0"/>
    <n v="0"/>
    <n v="0"/>
  </r>
  <r>
    <x v="14"/>
    <s v="CHF"/>
    <x v="5"/>
    <n v="39228419.93"/>
    <n v="2080024.1020821813"/>
    <n v="29.65"/>
    <n v="0"/>
    <n v="0"/>
    <n v="0"/>
    <n v="18.859598737692941"/>
    <n v="0"/>
    <n v="0"/>
    <n v="0"/>
  </r>
  <r>
    <x v="15"/>
    <s v="CHF"/>
    <x v="5"/>
    <n v="39772314.300000004"/>
    <n v="2108863.2294445769"/>
    <n v="29.65"/>
    <n v="0"/>
    <n v="0"/>
    <n v="0"/>
    <n v="18.859598737692941"/>
    <n v="0"/>
    <n v="0"/>
    <n v="0"/>
  </r>
  <r>
    <x v="16"/>
    <s v="CHF"/>
    <x v="5"/>
    <n v="41583673.660000004"/>
    <n v="2204907.6567514953"/>
    <n v="29.65"/>
    <n v="0"/>
    <n v="0"/>
    <n v="0"/>
    <n v="18.859598737692941"/>
    <n v="0"/>
    <n v="0"/>
    <n v="0"/>
  </r>
  <r>
    <x v="17"/>
    <s v="CHF"/>
    <x v="5"/>
    <n v="41289529.060000002"/>
    <n v="2189311.1107119382"/>
    <n v="29.65"/>
    <n v="0"/>
    <n v="0"/>
    <n v="0"/>
    <n v="18.859598737692941"/>
    <n v="0"/>
    <n v="0"/>
    <n v="0"/>
  </r>
  <r>
    <x v="18"/>
    <s v="CHF"/>
    <x v="5"/>
    <n v="41165407.509999998"/>
    <n v="2182729.7644316521"/>
    <n v="29.65"/>
    <n v="0"/>
    <n v="0"/>
    <n v="0"/>
    <n v="18.859598737692941"/>
    <n v="0"/>
    <n v="0"/>
    <n v="0"/>
  </r>
  <r>
    <x v="19"/>
    <s v="CHF"/>
    <x v="5"/>
    <n v="39936127.310000002"/>
    <n v="2117549.1517846212"/>
    <n v="29.65"/>
    <n v="0"/>
    <n v="0"/>
    <n v="0"/>
    <n v="18.859598737692941"/>
    <n v="0"/>
    <n v="0"/>
    <n v="0"/>
  </r>
  <r>
    <x v="20"/>
    <s v="CHF"/>
    <x v="5"/>
    <n v="41439987.240000002"/>
    <n v="2197288.9145927439"/>
    <n v="29.65"/>
    <n v="0"/>
    <n v="0"/>
    <n v="0"/>
    <n v="18.859598737692941"/>
    <n v="0"/>
    <n v="0"/>
    <n v="0"/>
  </r>
  <r>
    <x v="21"/>
    <s v="CHF"/>
    <x v="5"/>
    <n v="42553230.669999994"/>
    <n v="2256316.8634628886"/>
    <n v="29.65"/>
    <n v="0"/>
    <n v="0"/>
    <n v="0"/>
    <n v="18.859598737692941"/>
    <n v="0"/>
    <n v="0"/>
    <n v="0"/>
  </r>
  <r>
    <x v="22"/>
    <s v="CHF"/>
    <x v="5"/>
    <n v="42825242.350000001"/>
    <n v="2270739.8468881068"/>
    <n v="29.65"/>
    <n v="0"/>
    <n v="0"/>
    <n v="0"/>
    <n v="18.859598737692941"/>
    <n v="0"/>
    <n v="0"/>
    <n v="0"/>
  </r>
  <r>
    <x v="23"/>
    <s v="CHF"/>
    <x v="5"/>
    <n v="41060700"/>
    <n v="2177177.8165107914"/>
    <n v="29.65"/>
    <n v="0"/>
    <n v="0"/>
    <n v="0"/>
    <n v="18.859598737692941"/>
    <n v="0"/>
    <n v="0"/>
    <n v="0"/>
  </r>
  <r>
    <x v="24"/>
    <s v="CHF"/>
    <x v="5"/>
    <n v="42726425.919999994"/>
    <n v="2265500.2640436152"/>
    <n v="29.65"/>
    <n v="0"/>
    <n v="0"/>
    <n v="0"/>
    <n v="18.859598737692941"/>
    <n v="0"/>
    <n v="0"/>
    <n v="0"/>
  </r>
  <r>
    <x v="25"/>
    <s v="CHF"/>
    <x v="5"/>
    <n v="42879879.289999999"/>
    <n v="2273636.8830742901"/>
    <n v="29.65"/>
    <n v="0"/>
    <n v="0"/>
    <n v="0"/>
    <n v="18.859598737692941"/>
    <n v="0"/>
    <n v="0"/>
    <n v="0"/>
  </r>
  <r>
    <x v="26"/>
    <s v="CHF"/>
    <x v="5"/>
    <n v="44164800"/>
    <n v="2341767.7445985046"/>
    <n v="29.65"/>
    <n v="0"/>
    <n v="-7.4505805969238281E-9"/>
    <n v="0"/>
    <n v="18.859598737692941"/>
    <n v="-7.4505805969238281E-9"/>
    <n v="0"/>
    <n v="-7.4505805969238281E-9"/>
  </r>
  <r>
    <x v="27"/>
    <s v="CHF"/>
    <x v="5"/>
    <n v="44515800"/>
    <n v="2360378.9571105973"/>
    <n v="29.65"/>
    <n v="0"/>
    <n v="0"/>
    <n v="0"/>
    <n v="18.859598737692941"/>
    <n v="0"/>
    <n v="0"/>
    <n v="0"/>
  </r>
  <r>
    <x v="28"/>
    <s v="CHF"/>
    <x v="5"/>
    <n v="45075151.25"/>
    <n v="2390037.6607648842"/>
    <n v="29.65"/>
    <n v="0"/>
    <n v="0"/>
    <n v="0"/>
    <n v="18.859598737692941"/>
    <n v="0"/>
    <n v="0"/>
    <n v="0"/>
  </r>
  <r>
    <x v="29"/>
    <s v="CHF"/>
    <x v="5"/>
    <n v="45667423.57"/>
    <n v="2421441.9513989305"/>
    <n v="29.65"/>
    <n v="0"/>
    <n v="0"/>
    <n v="0"/>
    <n v="18.859598737692941"/>
    <n v="0"/>
    <n v="0"/>
    <n v="0"/>
  </r>
  <r>
    <x v="30"/>
    <s v="CHF"/>
    <x v="5"/>
    <n v="45667423.57"/>
    <n v="2421441.9513989305"/>
    <n v="29.65"/>
    <n v="0"/>
    <n v="0"/>
    <n v="0"/>
    <n v="18.859598737692941"/>
    <n v="0"/>
    <n v="0"/>
    <n v="-45667423.57"/>
  </r>
  <r>
    <x v="35"/>
    <s v="CHF"/>
    <x v="6"/>
    <n v="1715000"/>
    <n v="1715000"/>
    <n v="5"/>
    <n v="1715000"/>
    <n v="0"/>
    <n v="0"/>
    <n v="1"/>
    <n v="1715000"/>
    <n v="1715000"/>
    <n v="1715000"/>
  </r>
  <r>
    <x v="36"/>
    <s v="CHF"/>
    <x v="6"/>
    <n v="1710131.5"/>
    <n v="1710131.5"/>
    <n v="5"/>
    <n v="0"/>
    <n v="0"/>
    <n v="0"/>
    <n v="1"/>
    <n v="0"/>
    <n v="0"/>
    <n v="0"/>
  </r>
  <r>
    <x v="37"/>
    <s v="CHF"/>
    <x v="6"/>
    <n v="1708806.15"/>
    <n v="1708806.15"/>
    <n v="5"/>
    <n v="0"/>
    <n v="0"/>
    <n v="0"/>
    <n v="1"/>
    <n v="0"/>
    <n v="0"/>
    <n v="0"/>
  </r>
  <r>
    <x v="38"/>
    <s v="CHF"/>
    <x v="6"/>
    <n v="1709258.43"/>
    <n v="1709258.43"/>
    <n v="5"/>
    <n v="0"/>
    <n v="0"/>
    <n v="0"/>
    <n v="1"/>
    <n v="0"/>
    <n v="0"/>
    <n v="0"/>
  </r>
  <r>
    <x v="39"/>
    <s v="CHF"/>
    <x v="6"/>
    <n v="1665599.58113848"/>
    <n v="1665599.58113848"/>
    <n v="5"/>
    <n v="0"/>
    <n v="0"/>
    <n v="0"/>
    <n v="1"/>
    <n v="0"/>
    <n v="0"/>
    <n v="0"/>
  </r>
  <r>
    <x v="40"/>
    <s v="CHF"/>
    <x v="6"/>
    <n v="1660287.48951636"/>
    <n v="1660287.48951636"/>
    <n v="5"/>
    <n v="0"/>
    <n v="0"/>
    <n v="0"/>
    <n v="1"/>
    <n v="0"/>
    <n v="0"/>
    <n v="0"/>
  </r>
  <r>
    <x v="41"/>
    <s v="CHF"/>
    <x v="6"/>
    <n v="1667302.73"/>
    <n v="1667302.73"/>
    <n v="5"/>
    <n v="0"/>
    <n v="0"/>
    <n v="0"/>
    <n v="1"/>
    <n v="0"/>
    <n v="0"/>
    <n v="0"/>
  </r>
  <r>
    <x v="42"/>
    <s v="CHF"/>
    <x v="6"/>
    <n v="1701679.49"/>
    <n v="1701679.49"/>
    <n v="5"/>
    <n v="0"/>
    <n v="0"/>
    <n v="0"/>
    <n v="1"/>
    <n v="0"/>
    <n v="0"/>
    <n v="0"/>
  </r>
  <r>
    <x v="43"/>
    <s v="CHF"/>
    <x v="6"/>
    <n v="2838902.21"/>
    <n v="1715105.2088190101"/>
    <n v="5"/>
    <n v="1115000"/>
    <n v="0"/>
    <n v="0"/>
    <n v="1.6552350231358786"/>
    <n v="1115000"/>
    <n v="0"/>
    <n v="1115000"/>
  </r>
  <r>
    <x v="44"/>
    <s v="CHF"/>
    <x v="6"/>
    <n v="2774774.36"/>
    <n v="1676362.7649342085"/>
    <n v="5"/>
    <n v="0"/>
    <n v="0"/>
    <n v="0"/>
    <n v="1.6552350231358786"/>
    <n v="0"/>
    <n v="0"/>
    <n v="0"/>
  </r>
  <r>
    <x v="181"/>
    <s v="CHF"/>
    <x v="6"/>
    <n v="3592667.11"/>
    <n v="1663809.058531425"/>
    <n v="5"/>
    <n v="845000"/>
    <n v="0"/>
    <n v="0"/>
    <n v="2.1593025302861961"/>
    <n v="845000"/>
    <n v="0"/>
    <n v="845000"/>
  </r>
  <r>
    <x v="182"/>
    <s v="CHF"/>
    <x v="6"/>
    <n v="3628168.53"/>
    <n v="1680250.2100153232"/>
    <n v="5"/>
    <n v="0"/>
    <n v="0"/>
    <n v="0"/>
    <n v="2.1593025302861961"/>
    <n v="0"/>
    <n v="0"/>
    <n v="0"/>
  </r>
  <r>
    <x v="183"/>
    <s v="CHF"/>
    <x v="6"/>
    <n v="3612168.47"/>
    <n v="1672840.3821771282"/>
    <n v="5"/>
    <n v="0"/>
    <n v="0"/>
    <n v="0"/>
    <n v="2.1593025302861961"/>
    <n v="0"/>
    <n v="0"/>
    <n v="0"/>
  </r>
  <r>
    <x v="184"/>
    <s v="CHF"/>
    <x v="6"/>
    <n v="4283262.28"/>
    <n v="1709190.4012722268"/>
    <n v="5"/>
    <n v="580000"/>
    <n v="0"/>
    <n v="0"/>
    <n v="2.5060182158826638"/>
    <n v="580000"/>
    <n v="0"/>
    <n v="580000"/>
  </r>
  <r>
    <x v="185"/>
    <s v="CHF"/>
    <x v="6"/>
    <n v="4391115.97"/>
    <n v="1724052.6262978078"/>
    <n v="5"/>
    <n v="70000"/>
    <n v="0"/>
    <n v="0"/>
    <n v="2.5469732785532102"/>
    <n v="70000"/>
    <n v="0"/>
    <n v="70000"/>
  </r>
  <r>
    <x v="186"/>
    <s v="CHF"/>
    <x v="6"/>
    <n v="4767176.66"/>
    <n v="1763282.3327282742"/>
    <n v="5"/>
    <n v="270000"/>
    <n v="0"/>
    <n v="0"/>
    <n v="2.7035810269952005"/>
    <n v="270000"/>
    <n v="0"/>
    <n v="270000"/>
  </r>
  <r>
    <x v="187"/>
    <s v="CHF"/>
    <x v="6"/>
    <n v="5113303.4800000004"/>
    <n v="1891307.6504620246"/>
    <n v="5"/>
    <n v="0"/>
    <n v="0"/>
    <n v="0"/>
    <n v="2.7035810269952005"/>
    <n v="0"/>
    <n v="0"/>
    <n v="0"/>
  </r>
  <r>
    <x v="188"/>
    <s v="CHF"/>
    <x v="6"/>
    <n v="5221944.75"/>
    <n v="1931491.8612976603"/>
    <n v="5"/>
    <n v="0"/>
    <n v="0"/>
    <n v="0"/>
    <n v="2.7035810269952005"/>
    <n v="0"/>
    <n v="0"/>
    <n v="0"/>
  </r>
  <r>
    <x v="189"/>
    <s v="CHF"/>
    <x v="6"/>
    <n v="5180495.08"/>
    <n v="1916160.4657943905"/>
    <n v="5"/>
    <n v="0"/>
    <n v="0"/>
    <n v="0"/>
    <n v="2.7035810269952005"/>
    <n v="0"/>
    <n v="0"/>
    <n v="0"/>
  </r>
  <r>
    <x v="190"/>
    <s v="CHF"/>
    <x v="6"/>
    <n v="5503461.46"/>
    <n v="1888018.0044264002"/>
    <n v="5"/>
    <n v="405000"/>
    <n v="0"/>
    <n v="0"/>
    <n v="2.9149411960570841"/>
    <n v="405000"/>
    <n v="0"/>
    <n v="405000"/>
  </r>
  <r>
    <x v="191"/>
    <s v="CHF"/>
    <x v="6"/>
    <n v="5419781.8099999996"/>
    <n v="1859310.8558522917"/>
    <n v="5"/>
    <n v="0"/>
    <n v="0"/>
    <n v="0"/>
    <n v="2.9149411960570841"/>
    <n v="0"/>
    <n v="0"/>
    <n v="0"/>
  </r>
  <r>
    <x v="192"/>
    <s v="CHF"/>
    <x v="6"/>
    <n v="5439797.1500000004"/>
    <n v="1866177.3202691637"/>
    <n v="5"/>
    <n v="0"/>
    <n v="0"/>
    <n v="0"/>
    <n v="2.9149411960570841"/>
    <n v="0"/>
    <n v="0"/>
    <n v="0"/>
  </r>
  <r>
    <x v="193"/>
    <s v="CHF"/>
    <x v="6"/>
    <n v="5583165.0199999996"/>
    <n v="1915361.1151923432"/>
    <n v="5"/>
    <n v="0"/>
    <n v="0"/>
    <n v="0"/>
    <n v="2.9149411960570841"/>
    <n v="0"/>
    <n v="0"/>
    <n v="0"/>
  </r>
  <r>
    <x v="1"/>
    <s v="CHF"/>
    <x v="6"/>
    <n v="5574337.6500000004"/>
    <n v="1912332.7968125627"/>
    <n v="5"/>
    <n v="0"/>
    <n v="0"/>
    <n v="0"/>
    <n v="2.9149411960570841"/>
    <n v="0"/>
    <n v="0"/>
    <n v="0"/>
  </r>
  <r>
    <x v="2"/>
    <s v="CHF"/>
    <x v="6"/>
    <n v="5615713.2599999998"/>
    <n v="1926527.1174581957"/>
    <n v="5"/>
    <n v="0"/>
    <n v="0"/>
    <n v="0"/>
    <n v="2.9149411960570841"/>
    <n v="0"/>
    <n v="0"/>
    <n v="0"/>
  </r>
  <r>
    <x v="3"/>
    <s v="CHF"/>
    <x v="6"/>
    <n v="5554342.1500000004"/>
    <n v="1905473.1387079509"/>
    <n v="5"/>
    <n v="0"/>
    <n v="0"/>
    <n v="0"/>
    <n v="2.9149411960570841"/>
    <n v="0"/>
    <n v="0"/>
    <n v="0"/>
  </r>
  <r>
    <x v="4"/>
    <s v="CHF"/>
    <x v="6"/>
    <n v="5657600.8499999996"/>
    <n v="1940897.078010628"/>
    <n v="5"/>
    <n v="0"/>
    <n v="0"/>
    <n v="0"/>
    <n v="2.9149411960570841"/>
    <n v="0"/>
    <n v="0"/>
    <n v="0"/>
  </r>
  <r>
    <x v="5"/>
    <s v="CHF"/>
    <x v="6"/>
    <n v="5761592.0899999999"/>
    <n v="1976572.3225543823"/>
    <n v="5"/>
    <n v="0"/>
    <n v="0"/>
    <n v="0"/>
    <n v="2.9149411960570841"/>
    <n v="0"/>
    <n v="0"/>
    <n v="0"/>
  </r>
  <r>
    <x v="6"/>
    <s v="CHF"/>
    <x v="6"/>
    <n v="5836690.6399999997"/>
    <n v="2002335.638157998"/>
    <n v="5"/>
    <n v="0"/>
    <n v="0"/>
    <n v="0"/>
    <n v="2.9149411960570841"/>
    <n v="0"/>
    <n v="0"/>
    <n v="0"/>
  </r>
  <r>
    <x v="7"/>
    <s v="CHF"/>
    <x v="6"/>
    <n v="5990345.0099999998"/>
    <n v="2055048.3207355547"/>
    <n v="5"/>
    <n v="0"/>
    <n v="0"/>
    <n v="0"/>
    <n v="2.9149411960570841"/>
    <n v="0"/>
    <n v="0"/>
    <n v="0"/>
  </r>
  <r>
    <x v="8"/>
    <s v="CHF"/>
    <x v="6"/>
    <n v="6188571.9100000001"/>
    <n v="2123052.0596336611"/>
    <n v="5"/>
    <n v="0"/>
    <n v="0"/>
    <n v="0"/>
    <n v="2.9149411960570841"/>
    <n v="0"/>
    <n v="0"/>
    <n v="0"/>
  </r>
  <r>
    <x v="9"/>
    <s v="CHF"/>
    <x v="6"/>
    <n v="6239692.8099999996"/>
    <n v="2140589.6003803317"/>
    <n v="5"/>
    <n v="0"/>
    <n v="0"/>
    <n v="0"/>
    <n v="2.9149411960570841"/>
    <n v="0"/>
    <n v="0"/>
    <n v="0"/>
  </r>
  <r>
    <x v="10"/>
    <s v="CHF"/>
    <x v="6"/>
    <n v="6229363.5899999999"/>
    <n v="2137046.0571987499"/>
    <n v="5"/>
    <n v="0"/>
    <n v="0"/>
    <n v="0"/>
    <n v="2.9149411960570841"/>
    <n v="0"/>
    <n v="0"/>
    <n v="0"/>
  </r>
  <r>
    <x v="11"/>
    <s v="CHF"/>
    <x v="6"/>
    <n v="6528370.7300000004"/>
    <n v="2239623.4746795739"/>
    <n v="5"/>
    <n v="0"/>
    <n v="0"/>
    <n v="0"/>
    <n v="2.9149411960570841"/>
    <n v="0"/>
    <n v="0"/>
    <n v="0"/>
  </r>
  <r>
    <x v="12"/>
    <s v="CHF"/>
    <x v="6"/>
    <n v="6756982.9299999997"/>
    <n v="2318051.1974443533"/>
    <n v="5"/>
    <n v="0"/>
    <n v="0"/>
    <n v="0"/>
    <n v="2.9149411960570841"/>
    <n v="0"/>
    <n v="0"/>
    <n v="0"/>
  </r>
  <r>
    <x v="13"/>
    <s v="CHF"/>
    <x v="6"/>
    <n v="6792676.2999999998"/>
    <n v="2330296.1683028671"/>
    <n v="5"/>
    <n v="0"/>
    <n v="0"/>
    <n v="0"/>
    <n v="2.9149411960570841"/>
    <n v="0"/>
    <n v="0"/>
    <n v="0"/>
  </r>
  <r>
    <x v="14"/>
    <s v="CHF"/>
    <x v="6"/>
    <n v="6739588.5099999998"/>
    <n v="2312083.8660883973"/>
    <n v="5"/>
    <n v="0"/>
    <n v="0"/>
    <n v="0"/>
    <n v="2.9149411960570841"/>
    <n v="0"/>
    <n v="0"/>
    <n v="0"/>
  </r>
  <r>
    <x v="15"/>
    <s v="CHF"/>
    <x v="6"/>
    <n v="6837463.5599999996"/>
    <n v="2345660.8899173485"/>
    <n v="5"/>
    <n v="0"/>
    <n v="-9.3132257461547852E-10"/>
    <n v="0"/>
    <n v="2.9149411960570841"/>
    <n v="-9.3132257461547852E-10"/>
    <n v="0"/>
    <n v="-9.3132257461547852E-10"/>
  </r>
  <r>
    <x v="16"/>
    <s v="CHF"/>
    <x v="6"/>
    <n v="7144092.5800000001"/>
    <n v="2450853.0702655367"/>
    <n v="5"/>
    <n v="0"/>
    <n v="0"/>
    <n v="0"/>
    <n v="2.9149411960570841"/>
    <n v="0"/>
    <n v="0"/>
    <n v="0"/>
  </r>
  <r>
    <x v="17"/>
    <s v="CHF"/>
    <x v="6"/>
    <n v="7072450.0800000001"/>
    <n v="2426275.3874989315"/>
    <n v="5"/>
    <n v="0"/>
    <n v="-9.3132257461547852E-10"/>
    <n v="0"/>
    <n v="2.9149411960570841"/>
    <n v="-9.3132257461547852E-10"/>
    <n v="0"/>
    <n v="-9.3132257461547852E-10"/>
  </r>
  <r>
    <x v="18"/>
    <s v="CHF"/>
    <x v="6"/>
    <n v="7039290.3599999994"/>
    <n v="2414899.6108469511"/>
    <n v="5"/>
    <n v="0"/>
    <n v="0"/>
    <n v="0"/>
    <n v="2.9149411960570841"/>
    <n v="0"/>
    <n v="0"/>
    <n v="0"/>
  </r>
  <r>
    <x v="19"/>
    <s v="CHF"/>
    <x v="6"/>
    <n v="6852835.1900000004"/>
    <n v="2350934.2827462647"/>
    <n v="5"/>
    <n v="0"/>
    <n v="0"/>
    <n v="0"/>
    <n v="2.9149411960570841"/>
    <n v="0"/>
    <n v="0"/>
    <n v="0"/>
  </r>
  <r>
    <x v="20"/>
    <s v="CHF"/>
    <x v="6"/>
    <n v="7108090.79"/>
    <n v="2438502.2928129081"/>
    <n v="5"/>
    <n v="0"/>
    <n v="0"/>
    <n v="0"/>
    <n v="2.9149411960570841"/>
    <n v="0"/>
    <n v="0"/>
    <n v="0"/>
  </r>
  <r>
    <x v="21"/>
    <s v="CHF"/>
    <x v="6"/>
    <n v="7281360.5"/>
    <n v="2497944.2157698357"/>
    <n v="5"/>
    <n v="0"/>
    <n v="0"/>
    <n v="0"/>
    <n v="2.9149411960570841"/>
    <n v="0"/>
    <n v="0"/>
    <n v="0"/>
  </r>
  <r>
    <x v="22"/>
    <s v="CHF"/>
    <x v="6"/>
    <n v="7341500"/>
    <n v="2518575.6782780155"/>
    <n v="5"/>
    <n v="0"/>
    <n v="0"/>
    <n v="0"/>
    <n v="2.9149411960570841"/>
    <n v="0"/>
    <n v="0"/>
    <n v="0"/>
  </r>
  <r>
    <x v="23"/>
    <s v="CHF"/>
    <x v="6"/>
    <n v="7045300"/>
    <n v="2416961.2785087656"/>
    <n v="5"/>
    <n v="0"/>
    <n v="-9.3132257461547852E-10"/>
    <n v="0"/>
    <n v="2.9149411960570841"/>
    <n v="-9.3132257461547852E-10"/>
    <n v="0"/>
    <n v="-9.3132257461547852E-10"/>
  </r>
  <r>
    <x v="24"/>
    <s v="CHF"/>
    <x v="6"/>
    <n v="7327900"/>
    <n v="2513910.0610029926"/>
    <n v="5"/>
    <n v="0"/>
    <n v="0"/>
    <n v="0"/>
    <n v="2.9149411960570841"/>
    <n v="0"/>
    <n v="0"/>
    <n v="0"/>
  </r>
  <r>
    <x v="25"/>
    <s v="CHF"/>
    <x v="6"/>
    <n v="7354300"/>
    <n v="2522966.8474780368"/>
    <n v="5"/>
    <n v="0"/>
    <n v="0"/>
    <n v="0"/>
    <n v="2.9149411960570841"/>
    <n v="0"/>
    <n v="0"/>
    <n v="0"/>
  </r>
  <r>
    <x v="26"/>
    <s v="CHF"/>
    <x v="6"/>
    <n v="7565000"/>
    <n v="2595249.6092315177"/>
    <n v="5"/>
    <n v="0"/>
    <n v="0"/>
    <n v="0"/>
    <n v="2.9149411960570841"/>
    <n v="0"/>
    <n v="0"/>
    <n v="0"/>
  </r>
  <r>
    <x v="27"/>
    <s v="CHF"/>
    <x v="6"/>
    <n v="7650400"/>
    <n v="2624546.9412379116"/>
    <n v="5"/>
    <n v="0"/>
    <n v="0"/>
    <n v="0"/>
    <n v="2.9149411960570841"/>
    <n v="0"/>
    <n v="0"/>
    <n v="0"/>
  </r>
  <r>
    <x v="28"/>
    <s v="CHF"/>
    <x v="6"/>
    <n v="7735560.9000000004"/>
    <n v="2653762.2475758898"/>
    <n v="5"/>
    <n v="0"/>
    <n v="0"/>
    <n v="0"/>
    <n v="2.9149411960570841"/>
    <n v="0"/>
    <n v="0"/>
    <n v="0"/>
  </r>
  <r>
    <x v="29"/>
    <s v="CHF"/>
    <x v="6"/>
    <n v="7809241.6600000001"/>
    <n v="2679039.1760091856"/>
    <n v="5"/>
    <n v="0"/>
    <n v="0"/>
    <n v="0"/>
    <n v="2.9149411960570841"/>
    <n v="0"/>
    <n v="0"/>
    <n v="0"/>
  </r>
  <r>
    <x v="30"/>
    <s v="CHF"/>
    <x v="6"/>
    <n v="7809241.6600000001"/>
    <n v="2679039.1760091856"/>
    <n v="5"/>
    <n v="0"/>
    <n v="0"/>
    <n v="0"/>
    <n v="2.9149411960570841"/>
    <n v="0"/>
    <n v="0"/>
    <n v="-7809241.6600000001"/>
  </r>
  <r>
    <x v="33"/>
    <s v="CHF"/>
    <x v="7"/>
    <n v="150000"/>
    <n v="150000"/>
    <n v="3"/>
    <n v="150000"/>
    <m/>
    <n v="0"/>
    <n v="1"/>
    <n v="150000"/>
    <n v="150000"/>
    <n v="150000"/>
  </r>
  <r>
    <x v="34"/>
    <s v="CHF"/>
    <x v="7"/>
    <n v="146963.66"/>
    <n v="146963.66"/>
    <n v="3"/>
    <n v="0"/>
    <m/>
    <n v="0"/>
    <n v="1"/>
    <n v="0"/>
    <n v="0"/>
    <n v="0"/>
  </r>
  <r>
    <x v="35"/>
    <s v="CHF"/>
    <x v="7"/>
    <n v="317887.63669999997"/>
    <n v="157318.67851501534"/>
    <n v="3"/>
    <n v="150000"/>
    <m/>
    <n v="0"/>
    <n v="2.0206604816455984"/>
    <n v="150000"/>
    <n v="0"/>
    <n v="150000"/>
  </r>
  <r>
    <x v="36"/>
    <s v="CHF"/>
    <x v="7"/>
    <n v="1319084.58"/>
    <n v="155107.67667080727"/>
    <n v="3"/>
    <n v="1020000"/>
    <m/>
    <n v="0"/>
    <n v="8.5043152493319774"/>
    <n v="1020000"/>
    <n v="0"/>
    <n v="1020000"/>
  </r>
  <r>
    <x v="37"/>
    <s v="CHF"/>
    <x v="7"/>
    <n v="1323026.46"/>
    <n v="155571.19194328139"/>
    <n v="3"/>
    <n v="0"/>
    <m/>
    <n v="0"/>
    <n v="8.5043152493319774"/>
    <n v="0"/>
    <n v="0"/>
    <n v="0"/>
  </r>
  <r>
    <x v="38"/>
    <s v="CHF"/>
    <x v="7"/>
    <n v="1326941.6547999999"/>
    <n v="156031.56937346983"/>
    <n v="3"/>
    <n v="0"/>
    <m/>
    <n v="0"/>
    <n v="8.5043152493319774"/>
    <n v="0"/>
    <n v="0"/>
    <n v="0"/>
  </r>
  <r>
    <x v="39"/>
    <s v="CHF"/>
    <x v="7"/>
    <n v="1285097.1943944299"/>
    <n v="151111.18963932758"/>
    <n v="3"/>
    <n v="0"/>
    <m/>
    <n v="0"/>
    <n v="8.5043152493319774"/>
    <n v="0"/>
    <n v="0"/>
    <n v="0"/>
  </r>
  <r>
    <x v="40"/>
    <s v="CHF"/>
    <x v="7"/>
    <n v="1288476.21"/>
    <n v="151508.51917221802"/>
    <n v="3"/>
    <n v="0"/>
    <m/>
    <n v="0"/>
    <n v="8.5043152493319774"/>
    <n v="0"/>
    <n v="0"/>
    <n v="0"/>
  </r>
  <r>
    <x v="41"/>
    <s v="CHF"/>
    <x v="7"/>
    <n v="1281756.1399999999"/>
    <n v="150718.32386513226"/>
    <n v="3"/>
    <n v="0"/>
    <m/>
    <n v="0"/>
    <n v="8.5043152493319774"/>
    <n v="0"/>
    <n v="0"/>
    <n v="0"/>
  </r>
  <r>
    <x v="42"/>
    <s v="CHF"/>
    <x v="7"/>
    <n v="1310185.48"/>
    <n v="154061.25497322273"/>
    <n v="3"/>
    <n v="0"/>
    <m/>
    <n v="0"/>
    <n v="8.5043152493319774"/>
    <n v="0"/>
    <n v="0"/>
    <n v="0"/>
  </r>
  <r>
    <x v="43"/>
    <s v="CHF"/>
    <x v="7"/>
    <n v="1960050.6895000001"/>
    <n v="155398.3766055624"/>
    <n v="3"/>
    <n v="633000"/>
    <m/>
    <n v="0"/>
    <n v="12.613070562989659"/>
    <n v="633000"/>
    <n v="0"/>
    <n v="633000"/>
  </r>
  <r>
    <x v="44"/>
    <s v="CHF"/>
    <x v="7"/>
    <n v="1900953.38"/>
    <n v="150712.97433140018"/>
    <n v="3"/>
    <n v="0"/>
    <m/>
    <n v="0"/>
    <n v="12.613070562989659"/>
    <n v="0"/>
    <n v="0"/>
    <n v="0"/>
  </r>
  <r>
    <x v="181"/>
    <s v="CHF"/>
    <x v="7"/>
    <n v="2367955.6800000002"/>
    <n v="148209.53203742398"/>
    <n v="3"/>
    <n v="507000"/>
    <m/>
    <n v="0"/>
    <n v="15.977080876296636"/>
    <n v="507000"/>
    <n v="0"/>
    <n v="507000"/>
  </r>
  <r>
    <x v="182"/>
    <s v="CHF"/>
    <x v="7"/>
    <n v="2408646.9284999999"/>
    <n v="150756.38329361111"/>
    <n v="3"/>
    <n v="0"/>
    <m/>
    <n v="0"/>
    <n v="15.977080876296636"/>
    <n v="0"/>
    <n v="0"/>
    <n v="0"/>
  </r>
  <r>
    <x v="183"/>
    <s v="CHF"/>
    <x v="7"/>
    <n v="2394687.2174999998"/>
    <n v="149882.649780707"/>
    <n v="3"/>
    <n v="0"/>
    <m/>
    <n v="0"/>
    <n v="15.977080876296636"/>
    <n v="0"/>
    <n v="0"/>
    <n v="0"/>
  </r>
  <r>
    <x v="184"/>
    <s v="CHF"/>
    <x v="7"/>
    <n v="2827147.6724999999"/>
    <n v="154498.25330863066"/>
    <n v="3"/>
    <n v="348000"/>
    <m/>
    <n v="0"/>
    <n v="18.298897314084186"/>
    <n v="348000"/>
    <n v="0"/>
    <n v="348000"/>
  </r>
  <r>
    <x v="185"/>
    <s v="CHF"/>
    <x v="7"/>
    <n v="2864701.7703"/>
    <n v="156550.51346154686"/>
    <n v="3"/>
    <n v="0"/>
    <m/>
    <n v="0"/>
    <n v="18.298897314084186"/>
    <n v="0"/>
    <n v="0"/>
    <n v="0"/>
  </r>
  <r>
    <x v="186"/>
    <s v="CHF"/>
    <x v="7"/>
    <n v="3185872.1850999999"/>
    <n v="166432.95350352308"/>
    <n v="3"/>
    <n v="132000"/>
    <m/>
    <n v="0"/>
    <n v="19.142075640882986"/>
    <n v="132000"/>
    <n v="0"/>
    <n v="132000"/>
  </r>
  <r>
    <x v="187"/>
    <s v="CHF"/>
    <x v="7"/>
    <n v="4069761.0416000006"/>
    <n v="208678.07220394132"/>
    <n v="3"/>
    <n v="60000"/>
    <m/>
    <n v="0"/>
    <n v="19.502581170208522"/>
    <n v="60000"/>
    <n v="0"/>
    <n v="60000"/>
  </r>
  <r>
    <x v="188"/>
    <s v="CHF"/>
    <x v="7"/>
    <n v="4220792.3057000004"/>
    <n v="216422.24015698695"/>
    <n v="3"/>
    <n v="0"/>
    <m/>
    <n v="0"/>
    <n v="19.502581170208522"/>
    <n v="0"/>
    <n v="0"/>
    <n v="0"/>
  </r>
  <r>
    <x v="189"/>
    <s v="CHF"/>
    <x v="7"/>
    <n v="4078696.8763999995"/>
    <n v="209136.25949320378"/>
    <n v="3"/>
    <n v="0"/>
    <m/>
    <n v="0"/>
    <n v="19.502581170208522"/>
    <n v="0"/>
    <n v="0"/>
    <n v="0"/>
  </r>
  <r>
    <x v="190"/>
    <s v="CHF"/>
    <x v="7"/>
    <n v="3865713.5321"/>
    <n v="198215.48226678488"/>
    <n v="3"/>
    <n v="0"/>
    <m/>
    <n v="0"/>
    <n v="19.502581170208522"/>
    <n v="0"/>
    <n v="0"/>
    <n v="0"/>
  </r>
  <r>
    <x v="191"/>
    <s v="CHF"/>
    <x v="7"/>
    <n v="3650081.2052000002"/>
    <n v="187158.87775797286"/>
    <n v="3"/>
    <n v="0"/>
    <m/>
    <n v="0"/>
    <n v="19.502581170208522"/>
    <n v="0"/>
    <n v="0"/>
    <n v="0"/>
  </r>
  <r>
    <x v="192"/>
    <s v="CHF"/>
    <x v="7"/>
    <n v="3689699.3336999998"/>
    <n v="189190.30775968562"/>
    <n v="3"/>
    <n v="0"/>
    <m/>
    <n v="0"/>
    <n v="19.502581170208522"/>
    <n v="0"/>
    <n v="0"/>
    <n v="0"/>
  </r>
  <r>
    <x v="193"/>
    <s v="CHF"/>
    <x v="7"/>
    <n v="4043769.9460000005"/>
    <n v="207345.37191298173"/>
    <n v="3"/>
    <n v="0"/>
    <m/>
    <n v="0"/>
    <n v="19.502581170208522"/>
    <n v="0"/>
    <n v="0"/>
    <n v="0"/>
  </r>
  <r>
    <x v="1"/>
    <s v="CHF"/>
    <x v="7"/>
    <n v="3982468.3794999998"/>
    <n v="204202.11790137208"/>
    <n v="3"/>
    <n v="0"/>
    <m/>
    <n v="0"/>
    <n v="19.502581170208522"/>
    <n v="0"/>
    <n v="0"/>
    <n v="0"/>
  </r>
  <r>
    <x v="2"/>
    <s v="CHF"/>
    <x v="7"/>
    <n v="4061089.0263000005"/>
    <n v="208233.41232921422"/>
    <n v="3"/>
    <n v="0"/>
    <m/>
    <n v="0"/>
    <n v="19.502581170208522"/>
    <n v="0"/>
    <n v="0"/>
    <n v="0"/>
  </r>
  <r>
    <x v="3"/>
    <s v="CHF"/>
    <x v="7"/>
    <n v="3895394.3670999999"/>
    <n v="199737.37491991426"/>
    <n v="3"/>
    <n v="0"/>
    <m/>
    <n v="0"/>
    <n v="19.502581170208522"/>
    <n v="0"/>
    <n v="0"/>
    <n v="0"/>
  </r>
  <r>
    <x v="4"/>
    <s v="CHF"/>
    <x v="7"/>
    <n v="4134414.9668999999"/>
    <n v="211993.21929835581"/>
    <n v="3"/>
    <n v="0"/>
    <m/>
    <n v="0"/>
    <n v="19.502581170208522"/>
    <n v="0"/>
    <n v="0"/>
    <n v="0"/>
  </r>
  <r>
    <x v="5"/>
    <s v="CHF"/>
    <x v="7"/>
    <n v="4314428.3945000004"/>
    <n v="221223.45533885402"/>
    <n v="3"/>
    <n v="0"/>
    <m/>
    <n v="0"/>
    <n v="19.502581170208522"/>
    <n v="0"/>
    <n v="0"/>
    <n v="0"/>
  </r>
  <r>
    <x v="6"/>
    <s v="CHF"/>
    <x v="7"/>
    <n v="4549045.8778999997"/>
    <n v="233253.52876105276"/>
    <n v="3"/>
    <n v="0"/>
    <m/>
    <n v="0"/>
    <n v="19.502581170208522"/>
    <n v="0"/>
    <n v="0"/>
    <n v="0"/>
  </r>
  <r>
    <x v="7"/>
    <s v="CHF"/>
    <x v="7"/>
    <n v="4877021.4655999998"/>
    <n v="250070.56363646733"/>
    <n v="3"/>
    <n v="0"/>
    <m/>
    <n v="0"/>
    <n v="19.502581170208522"/>
    <n v="0"/>
    <n v="0"/>
    <n v="0"/>
  </r>
  <r>
    <x v="8"/>
    <s v="CHF"/>
    <x v="7"/>
    <n v="5279719.1511000004"/>
    <n v="270718.99381016905"/>
    <n v="3"/>
    <n v="0"/>
    <m/>
    <n v="0"/>
    <n v="19.502581170208522"/>
    <n v="0"/>
    <n v="0"/>
    <n v="0"/>
  </r>
  <r>
    <x v="9"/>
    <s v="CHF"/>
    <x v="7"/>
    <n v="5480885.3323999997"/>
    <n v="281033.84288293147"/>
    <n v="3"/>
    <n v="0"/>
    <m/>
    <n v="0"/>
    <n v="19.502581170208522"/>
    <n v="0"/>
    <n v="0"/>
    <n v="0"/>
  </r>
  <r>
    <x v="10"/>
    <s v="CHF"/>
    <x v="7"/>
    <n v="5425331.6677999999"/>
    <n v="278185.31405922573"/>
    <n v="3"/>
    <n v="0"/>
    <m/>
    <n v="0"/>
    <n v="19.502581170208522"/>
    <n v="0"/>
    <n v="0"/>
    <n v="0"/>
  </r>
  <r>
    <x v="11"/>
    <s v="CHF"/>
    <x v="7"/>
    <n v="6208452.7115000002"/>
    <n v="318340.05239182495"/>
    <n v="3"/>
    <n v="0"/>
    <m/>
    <n v="0"/>
    <n v="19.502581170208522"/>
    <n v="0"/>
    <n v="0"/>
    <n v="0"/>
  </r>
  <r>
    <x v="12"/>
    <s v="CHF"/>
    <x v="7"/>
    <n v="6837924.6140000001"/>
    <n v="350616.39043171273"/>
    <n v="3"/>
    <n v="0"/>
    <m/>
    <n v="0"/>
    <n v="19.502581170208522"/>
    <n v="0"/>
    <n v="0"/>
    <n v="0"/>
  </r>
  <r>
    <x v="13"/>
    <s v="CHF"/>
    <x v="7"/>
    <n v="6956428.8748000003"/>
    <n v="356692.72770039301"/>
    <n v="3"/>
    <n v="0"/>
    <m/>
    <n v="0"/>
    <n v="19.502581170208522"/>
    <n v="0"/>
    <n v="0"/>
    <n v="0"/>
  </r>
  <r>
    <x v="14"/>
    <s v="CHF"/>
    <x v="7"/>
    <n v="6774999.5607000003"/>
    <n v="347389.89170568145"/>
    <n v="3"/>
    <n v="0"/>
    <m/>
    <n v="0"/>
    <n v="19.502581170208522"/>
    <n v="0"/>
    <n v="0"/>
    <n v="0"/>
  </r>
  <r>
    <x v="15"/>
    <s v="CHF"/>
    <x v="7"/>
    <n v="7129025.3021999998"/>
    <n v="365542.6550968574"/>
    <n v="3"/>
    <n v="0"/>
    <m/>
    <n v="0"/>
    <n v="19.502581170208522"/>
    <n v="0"/>
    <n v="0"/>
    <n v="0"/>
  </r>
  <r>
    <x v="16"/>
    <s v="CHF"/>
    <x v="7"/>
    <n v="7986363.4462000001"/>
    <n v="409502.89484756492"/>
    <n v="3"/>
    <n v="0"/>
    <m/>
    <n v="0"/>
    <n v="19.502581170208522"/>
    <n v="0"/>
    <n v="0"/>
    <n v="0"/>
  </r>
  <r>
    <x v="17"/>
    <s v="CHF"/>
    <x v="7"/>
    <n v="7714559.4543000003"/>
    <n v="395566.0733813275"/>
    <n v="3"/>
    <n v="0"/>
    <m/>
    <n v="0"/>
    <n v="19.502581170208522"/>
    <n v="0"/>
    <n v="0"/>
    <n v="0"/>
  </r>
  <r>
    <x v="18"/>
    <s v="CHF"/>
    <x v="7"/>
    <n v="7711987.9679999994"/>
    <n v="395434.21974218311"/>
    <n v="3"/>
    <n v="0"/>
    <m/>
    <n v="0"/>
    <n v="19.502581170208522"/>
    <n v="0"/>
    <n v="0"/>
    <n v="0"/>
  </r>
  <r>
    <x v="19"/>
    <s v="CHF"/>
    <x v="7"/>
    <n v="7453411.1123000002"/>
    <n v="382175.62317779643"/>
    <n v="3"/>
    <n v="0"/>
    <m/>
    <n v="0"/>
    <n v="19.502581170208522"/>
    <n v="0"/>
    <n v="0"/>
    <n v="0"/>
  </r>
  <r>
    <x v="20"/>
    <s v="CHF"/>
    <x v="7"/>
    <n v="7987115.8896000003"/>
    <n v="409541.47658161505"/>
    <n v="3"/>
    <n v="0"/>
    <m/>
    <n v="0"/>
    <n v="19.502581170208522"/>
    <n v="0"/>
    <n v="0"/>
    <n v="0"/>
  </r>
  <r>
    <x v="21"/>
    <s v="CHF"/>
    <x v="7"/>
    <n v="8497206.1649999991"/>
    <n v="435696.4901640836"/>
    <n v="3"/>
    <n v="0"/>
    <m/>
    <n v="0"/>
    <n v="19.502581170208522"/>
    <n v="0"/>
    <n v="0"/>
    <n v="0"/>
  </r>
  <r>
    <x v="22"/>
    <s v="CHF"/>
    <x v="7"/>
    <n v="8548900"/>
    <n v="438347.10520569491"/>
    <n v="3"/>
    <n v="0"/>
    <m/>
    <n v="0"/>
    <n v="19.502581170208522"/>
    <n v="0"/>
    <n v="0"/>
    <n v="0"/>
  </r>
  <r>
    <x v="23"/>
    <s v="CHF"/>
    <x v="7"/>
    <n v="8145300.0000000009"/>
    <n v="417652.40861771075"/>
    <n v="3"/>
    <n v="0"/>
    <m/>
    <n v="0"/>
    <n v="19.502581170208522"/>
    <n v="0"/>
    <n v="0"/>
    <n v="0"/>
  </r>
  <r>
    <x v="24"/>
    <s v="CHF"/>
    <x v="7"/>
    <n v="8659000"/>
    <n v="443992.51178234769"/>
    <n v="3"/>
    <n v="0"/>
    <m/>
    <n v="0"/>
    <n v="19.502581170208522"/>
    <n v="0"/>
    <n v="0"/>
    <n v="0"/>
  </r>
  <r>
    <x v="25"/>
    <s v="CHF"/>
    <x v="7"/>
    <n v="8678800"/>
    <n v="445007.76201139152"/>
    <n v="3"/>
    <n v="0"/>
    <m/>
    <n v="0"/>
    <n v="19.502581170208522"/>
    <n v="0"/>
    <n v="0"/>
    <n v="0"/>
  </r>
  <r>
    <x v="26"/>
    <s v="CHF"/>
    <x v="7"/>
    <n v="9979700"/>
    <n v="511711.75307013461"/>
    <n v="3"/>
    <n v="0"/>
    <m/>
    <n v="0"/>
    <n v="19.502581170208522"/>
    <n v="0"/>
    <n v="0"/>
    <n v="0"/>
  </r>
  <r>
    <x v="27"/>
    <s v="CHF"/>
    <x v="7"/>
    <n v="10423200"/>
    <n v="534452.33269543445"/>
    <n v="3"/>
    <n v="0"/>
    <m/>
    <n v="0"/>
    <n v="19.502581170208522"/>
    <n v="0"/>
    <n v="0"/>
    <n v="0"/>
  </r>
  <r>
    <x v="28"/>
    <s v="CHF"/>
    <x v="7"/>
    <n v="10674736.699999999"/>
    <n v="547349.94341704692"/>
    <n v="3"/>
    <n v="0"/>
    <m/>
    <n v="0"/>
    <n v="19.502581170208522"/>
    <n v="0"/>
    <n v="0"/>
    <n v="0"/>
  </r>
  <r>
    <x v="29"/>
    <s v="CHF"/>
    <x v="7"/>
    <n v="10930650.250600001"/>
    <n v="560471.97830907069"/>
    <n v="3"/>
    <n v="0"/>
    <m/>
    <n v="0"/>
    <n v="19.502581170208522"/>
    <n v="0"/>
    <n v="0"/>
    <n v="0"/>
  </r>
  <r>
    <x v="30"/>
    <s v="CHF"/>
    <x v="7"/>
    <n v="10930650.250600001"/>
    <n v="560471.97830907069"/>
    <n v="3"/>
    <n v="0"/>
    <m/>
    <n v="0"/>
    <n v="19.502581170208522"/>
    <n v="0"/>
    <n v="0"/>
    <n v="-10930650.250600001"/>
  </r>
  <r>
    <x v="33"/>
    <s v="CHF"/>
    <x v="8"/>
    <n v="530000"/>
    <n v="530000"/>
    <n v="10.6"/>
    <n v="530000"/>
    <m/>
    <n v="0"/>
    <n v="1"/>
    <n v="530000"/>
    <n v="530000"/>
    <n v="530000"/>
  </r>
  <r>
    <x v="34"/>
    <s v="CHF"/>
    <x v="8"/>
    <n v="518631.39"/>
    <n v="518631.39"/>
    <n v="10.6"/>
    <n v="0"/>
    <m/>
    <n v="0"/>
    <n v="1"/>
    <n v="0"/>
    <n v="0"/>
    <n v="0"/>
  </r>
  <r>
    <x v="35"/>
    <s v="CHF"/>
    <x v="8"/>
    <n v="1105197.1065"/>
    <n v="535775.93340953754"/>
    <n v="10.6"/>
    <n v="551200"/>
    <m/>
    <n v="0"/>
    <n v="2.0627972209703698"/>
    <n v="551200"/>
    <n v="0"/>
    <n v="551200"/>
  </r>
  <r>
    <x v="36"/>
    <s v="CHF"/>
    <x v="8"/>
    <n v="4726343.17"/>
    <n v="531742.14903121477"/>
    <n v="10.6"/>
    <n v="3657000"/>
    <m/>
    <n v="0"/>
    <n v="8.888411758614513"/>
    <n v="3657000"/>
    <n v="0"/>
    <n v="3657000"/>
  </r>
  <r>
    <x v="37"/>
    <s v="CHF"/>
    <x v="8"/>
    <n v="4728777.5999999996"/>
    <n v="532016.03710774763"/>
    <n v="10.6"/>
    <n v="0"/>
    <m/>
    <n v="0"/>
    <n v="8.888411758614513"/>
    <n v="0"/>
    <n v="0"/>
    <n v="0"/>
  </r>
  <r>
    <x v="38"/>
    <s v="CHF"/>
    <x v="8"/>
    <n v="4739082.6059999997"/>
    <n v="533175.41251472209"/>
    <n v="10.6"/>
    <n v="0"/>
    <m/>
    <n v="0"/>
    <n v="8.888411758614513"/>
    <n v="0"/>
    <n v="0"/>
    <n v="0"/>
  </r>
  <r>
    <x v="39"/>
    <s v="CHF"/>
    <x v="8"/>
    <n v="4588830.3771351697"/>
    <n v="516271.12939358881"/>
    <n v="10.6"/>
    <n v="0"/>
    <m/>
    <n v="0"/>
    <n v="8.888411758614513"/>
    <n v="0"/>
    <n v="0"/>
    <n v="0"/>
  </r>
  <r>
    <x v="40"/>
    <s v="CHF"/>
    <x v="8"/>
    <n v="4600754.8585462701"/>
    <n v="517612.70556433086"/>
    <n v="10.6"/>
    <n v="0"/>
    <m/>
    <n v="0"/>
    <n v="8.888411758614513"/>
    <n v="0"/>
    <n v="0"/>
    <n v="0"/>
  </r>
  <r>
    <x v="41"/>
    <s v="CHF"/>
    <x v="8"/>
    <n v="4565551.7699999996"/>
    <n v="513652.14551127615"/>
    <n v="10.6"/>
    <n v="0"/>
    <m/>
    <n v="0"/>
    <n v="8.888411758614513"/>
    <n v="0"/>
    <n v="0"/>
    <n v="0"/>
  </r>
  <r>
    <x v="42"/>
    <s v="CHF"/>
    <x v="8"/>
    <n v="4660057.74"/>
    <n v="524284.63785822515"/>
    <n v="10.6"/>
    <n v="0"/>
    <m/>
    <n v="0"/>
    <n v="8.888411758614513"/>
    <n v="0"/>
    <n v="0"/>
    <n v="0"/>
  </r>
  <r>
    <x v="43"/>
    <s v="CHF"/>
    <x v="8"/>
    <n v="6976515.1399999997"/>
    <n v="527114.75401087012"/>
    <n v="10.6"/>
    <n v="2279000"/>
    <m/>
    <n v="0"/>
    <n v="13.235287168334754"/>
    <n v="2279000"/>
    <n v="0"/>
    <n v="2279000"/>
  </r>
  <r>
    <x v="44"/>
    <s v="CHF"/>
    <x v="8"/>
    <n v="6770088.3600000003"/>
    <n v="511518.05577723659"/>
    <n v="10.6"/>
    <n v="0"/>
    <m/>
    <n v="0"/>
    <n v="13.235287168334754"/>
    <n v="0"/>
    <n v="0"/>
    <n v="0"/>
  </r>
  <r>
    <x v="181"/>
    <s v="CHF"/>
    <x v="8"/>
    <n v="8409436.1199999992"/>
    <n v="502433.48275547585"/>
    <n v="10.6"/>
    <n v="1791400"/>
    <m/>
    <n v="0"/>
    <n v="16.737411833861998"/>
    <n v="1791400"/>
    <n v="0"/>
    <n v="1791400"/>
  </r>
  <r>
    <x v="182"/>
    <s v="CHF"/>
    <x v="8"/>
    <n v="8514549.3300000001"/>
    <n v="508713.61800239276"/>
    <n v="10.6"/>
    <n v="0"/>
    <m/>
    <n v="0"/>
    <n v="16.737411833861998"/>
    <n v="0"/>
    <n v="0"/>
    <n v="0"/>
  </r>
  <r>
    <x v="183"/>
    <s v="CHF"/>
    <x v="8"/>
    <n v="8436051.6899999995"/>
    <n v="504023.66708410386"/>
    <n v="10.6"/>
    <n v="0"/>
    <m/>
    <n v="0"/>
    <n v="16.737411833861998"/>
    <n v="0"/>
    <n v="0"/>
    <n v="0"/>
  </r>
  <r>
    <x v="184"/>
    <s v="CHF"/>
    <x v="8"/>
    <n v="9887172.3200000003"/>
    <n v="515575.04963422153"/>
    <n v="10.6"/>
    <n v="1229600"/>
    <m/>
    <n v="0"/>
    <n v="19.176979815090988"/>
    <n v="1229600"/>
    <n v="0"/>
    <n v="1229600"/>
  </r>
  <r>
    <x v="185"/>
    <s v="CHF"/>
    <x v="8"/>
    <n v="9953578.0299999993"/>
    <n v="519037.83212866529"/>
    <n v="10.6"/>
    <n v="0"/>
    <m/>
    <n v="0"/>
    <n v="19.176979815090988"/>
    <n v="0"/>
    <n v="0"/>
    <n v="0"/>
  </r>
  <r>
    <x v="186"/>
    <s v="CHF"/>
    <x v="8"/>
    <n v="10649062.6165"/>
    <n v="527230.90903255017"/>
    <n v="10.6"/>
    <n v="530000"/>
    <m/>
    <n v="0"/>
    <n v="20.198099986286174"/>
    <n v="530000"/>
    <n v="0"/>
    <n v="530000"/>
  </r>
  <r>
    <x v="187"/>
    <s v="CHF"/>
    <x v="8"/>
    <n v="11413470.706"/>
    <n v="563394.05828933348"/>
    <n v="10.6"/>
    <n v="31800.000000000004"/>
    <m/>
    <n v="0"/>
    <n v="20.258415114734071"/>
    <n v="31800.000000000004"/>
    <n v="0"/>
    <n v="31800.000000000004"/>
  </r>
  <r>
    <x v="188"/>
    <s v="CHF"/>
    <x v="8"/>
    <n v="11574110.5995"/>
    <n v="571323.59732731897"/>
    <n v="10.6"/>
    <n v="0"/>
    <m/>
    <n v="0"/>
    <n v="20.258415114734071"/>
    <n v="0"/>
    <n v="0"/>
    <n v="0"/>
  </r>
  <r>
    <x v="189"/>
    <s v="CHF"/>
    <x v="8"/>
    <n v="11463405.375499999"/>
    <n v="565858.94358352805"/>
    <n v="10.6"/>
    <n v="0"/>
    <m/>
    <n v="0"/>
    <n v="20.258415114734071"/>
    <n v="0"/>
    <n v="0"/>
    <n v="0"/>
  </r>
  <r>
    <x v="190"/>
    <s v="CHF"/>
    <x v="8"/>
    <n v="11286587.602"/>
    <n v="557130.82874835527"/>
    <n v="10.6"/>
    <n v="0"/>
    <m/>
    <n v="0"/>
    <n v="20.258415114734071"/>
    <n v="0"/>
    <n v="0"/>
    <n v="0"/>
  </r>
  <r>
    <x v="191"/>
    <s v="CHF"/>
    <x v="8"/>
    <n v="11103813.683"/>
    <n v="548108.70544972341"/>
    <n v="10.6"/>
    <n v="0"/>
    <m/>
    <n v="0"/>
    <n v="20.258415114734071"/>
    <n v="0"/>
    <n v="0"/>
    <n v="0"/>
  </r>
  <r>
    <x v="192"/>
    <s v="CHF"/>
    <x v="8"/>
    <n v="11134637.1395"/>
    <n v="549630.21916762425"/>
    <n v="10.6"/>
    <n v="0"/>
    <m/>
    <n v="0"/>
    <n v="20.258415114734071"/>
    <n v="0"/>
    <n v="0"/>
    <n v="0"/>
  </r>
  <r>
    <x v="193"/>
    <s v="CHF"/>
    <x v="8"/>
    <n v="11432695.3685"/>
    <n v="564343.02998287999"/>
    <n v="10.6"/>
    <n v="0"/>
    <m/>
    <n v="0"/>
    <n v="20.258415114734071"/>
    <n v="0"/>
    <n v="0"/>
    <n v="0"/>
  </r>
  <r>
    <x v="1"/>
    <s v="CHF"/>
    <x v="8"/>
    <n v="11347949.357000001"/>
    <n v="560159.78015706502"/>
    <n v="10.6"/>
    <n v="0"/>
    <m/>
    <n v="0"/>
    <n v="20.258415114734071"/>
    <n v="0"/>
    <n v="0"/>
    <n v="0"/>
  </r>
  <r>
    <x v="2"/>
    <s v="CHF"/>
    <x v="8"/>
    <n v="11400477.852499999"/>
    <n v="562752.70241690136"/>
    <n v="10.6"/>
    <n v="0"/>
    <m/>
    <n v="0"/>
    <n v="20.258415114734071"/>
    <n v="0"/>
    <n v="0"/>
    <n v="0"/>
  </r>
  <r>
    <x v="3"/>
    <s v="CHF"/>
    <x v="8"/>
    <n v="11294442.299000001"/>
    <n v="557518.55389642413"/>
    <n v="10.6"/>
    <n v="0"/>
    <m/>
    <n v="0"/>
    <n v="20.258415114734071"/>
    <n v="0"/>
    <n v="0"/>
    <n v="0"/>
  </r>
  <r>
    <x v="4"/>
    <s v="CHF"/>
    <x v="8"/>
    <n v="11470431.679500001"/>
    <n v="566205.77742814075"/>
    <n v="10.6"/>
    <n v="0"/>
    <m/>
    <n v="0"/>
    <n v="20.258415114734071"/>
    <n v="0"/>
    <n v="0"/>
    <n v="0"/>
  </r>
  <r>
    <x v="5"/>
    <s v="CHF"/>
    <x v="8"/>
    <n v="11604795.055500001"/>
    <n v="572838.24967431743"/>
    <n v="10.6"/>
    <n v="0"/>
    <m/>
    <n v="0"/>
    <n v="20.258415114734071"/>
    <n v="0"/>
    <n v="0"/>
    <n v="0"/>
  </r>
  <r>
    <x v="6"/>
    <s v="CHF"/>
    <x v="8"/>
    <n v="11813649.788000001"/>
    <n v="583147.77938417601"/>
    <n v="10.6"/>
    <n v="0"/>
    <m/>
    <n v="0"/>
    <n v="20.258415114734071"/>
    <n v="0"/>
    <n v="0"/>
    <n v="0"/>
  </r>
  <r>
    <x v="7"/>
    <s v="CHF"/>
    <x v="8"/>
    <n v="12065563.497500001"/>
    <n v="595582.79505905882"/>
    <n v="10.6"/>
    <n v="0"/>
    <m/>
    <n v="0"/>
    <n v="20.258415114734071"/>
    <n v="0"/>
    <n v="0"/>
    <n v="0"/>
  </r>
  <r>
    <x v="8"/>
    <s v="CHF"/>
    <x v="8"/>
    <n v="12337020.288000001"/>
    <n v="608982.50026613427"/>
    <n v="10.6"/>
    <n v="0"/>
    <m/>
    <n v="0"/>
    <n v="20.258415114734071"/>
    <n v="0"/>
    <n v="0"/>
    <n v="0"/>
  </r>
  <r>
    <x v="9"/>
    <s v="CHF"/>
    <x v="8"/>
    <n v="12529891.527000001"/>
    <n v="618503.04952468537"/>
    <n v="10.6"/>
    <n v="0"/>
    <n v="0"/>
    <n v="0"/>
    <n v="20.258415114734071"/>
    <n v="0"/>
    <n v="0"/>
    <n v="0"/>
  </r>
  <r>
    <x v="10"/>
    <s v="CHF"/>
    <x v="8"/>
    <n v="12495096.1395"/>
    <n v="616785.47254233318"/>
    <n v="10.6"/>
    <n v="0"/>
    <n v="0"/>
    <n v="0"/>
    <n v="20.258415114734071"/>
    <n v="0"/>
    <n v="0"/>
    <n v="0"/>
  </r>
  <r>
    <x v="11"/>
    <s v="CHF"/>
    <x v="8"/>
    <n v="12906612.054"/>
    <n v="637098.8046647805"/>
    <n v="10.6"/>
    <n v="0"/>
    <n v="0"/>
    <n v="0"/>
    <n v="20.258415114734071"/>
    <n v="0"/>
    <n v="0"/>
    <n v="0"/>
  </r>
  <r>
    <x v="12"/>
    <s v="CHF"/>
    <x v="8"/>
    <n v="13305670.759500001"/>
    <n v="656797.2215073579"/>
    <n v="10.6"/>
    <n v="0"/>
    <n v="0"/>
    <n v="0"/>
    <n v="20.258415114734071"/>
    <n v="0"/>
    <n v="0"/>
    <n v="0"/>
  </r>
  <r>
    <x v="13"/>
    <s v="CHF"/>
    <x v="8"/>
    <n v="13363494.763499999"/>
    <n v="659651.54173292895"/>
    <n v="10.6"/>
    <n v="0"/>
    <n v="0"/>
    <n v="0"/>
    <n v="20.258415114734071"/>
    <n v="0"/>
    <n v="0"/>
    <n v="0"/>
  </r>
  <r>
    <x v="14"/>
    <s v="CHF"/>
    <x v="8"/>
    <n v="13205800.239"/>
    <n v="651867.3925975255"/>
    <n v="10.6"/>
    <n v="0"/>
    <n v="0"/>
    <n v="0"/>
    <n v="20.258415114734071"/>
    <n v="0"/>
    <n v="0"/>
    <n v="0"/>
  </r>
  <r>
    <x v="15"/>
    <s v="CHF"/>
    <x v="8"/>
    <n v="13403996.082"/>
    <n v="661650.77603978955"/>
    <n v="10.6"/>
    <n v="0"/>
    <n v="0"/>
    <n v="0"/>
    <n v="20.258415114734071"/>
    <n v="0"/>
    <n v="0"/>
    <n v="0"/>
  </r>
  <r>
    <x v="16"/>
    <s v="CHF"/>
    <x v="8"/>
    <n v="13952193.9005"/>
    <n v="688711.02805828489"/>
    <n v="10.6"/>
    <n v="0"/>
    <n v="0"/>
    <n v="0"/>
    <n v="20.258415114734071"/>
    <n v="0"/>
    <n v="0"/>
    <n v="0"/>
  </r>
  <r>
    <x v="17"/>
    <s v="CHF"/>
    <x v="8"/>
    <n v="13789553.7105"/>
    <n v="680682.74997834221"/>
    <n v="10.6"/>
    <n v="0"/>
    <n v="0"/>
    <n v="0"/>
    <n v="20.258415114734071"/>
    <n v="0"/>
    <n v="0"/>
    <n v="0"/>
  </r>
  <r>
    <x v="18"/>
    <s v="CHF"/>
    <x v="8"/>
    <n v="13770736.460000001"/>
    <n v="679753.8890386573"/>
    <n v="10.6"/>
    <n v="0"/>
    <n v="0"/>
    <n v="0"/>
    <n v="20.258415114734071"/>
    <n v="0"/>
    <n v="0"/>
    <n v="0"/>
  </r>
  <r>
    <x v="19"/>
    <s v="CHF"/>
    <x v="8"/>
    <n v="13352113.2125"/>
    <n v="659089.72330164793"/>
    <n v="10.6"/>
    <n v="0"/>
    <n v="0"/>
    <n v="0"/>
    <n v="20.258415114734071"/>
    <n v="0"/>
    <n v="0"/>
    <n v="0"/>
  </r>
  <r>
    <x v="20"/>
    <s v="CHF"/>
    <x v="8"/>
    <n v="13777107.6535"/>
    <n v="680068.38518576033"/>
    <n v="10.6"/>
    <n v="0"/>
    <n v="0"/>
    <n v="0"/>
    <n v="20.258415114734071"/>
    <n v="0"/>
    <n v="0"/>
    <n v="0"/>
  </r>
  <r>
    <x v="21"/>
    <s v="CHF"/>
    <x v="8"/>
    <n v="14151754.560000001"/>
    <n v="698561.78184972343"/>
    <n v="10.6"/>
    <n v="0"/>
    <n v="-1.862645149230957E-9"/>
    <n v="0"/>
    <n v="20.258415114734071"/>
    <n v="-1.862645149230957E-9"/>
    <n v="0"/>
    <n v="-1.862645149230957E-9"/>
  </r>
  <r>
    <x v="22"/>
    <s v="CHF"/>
    <x v="8"/>
    <n v="14176200"/>
    <n v="699768.46262220992"/>
    <n v="10.6"/>
    <n v="0"/>
    <n v="0"/>
    <n v="0"/>
    <n v="20.258415114734071"/>
    <n v="0"/>
    <n v="0"/>
    <n v="0"/>
  </r>
  <r>
    <x v="23"/>
    <s v="CHF"/>
    <x v="8"/>
    <n v="13637200"/>
    <n v="673162.235187963"/>
    <n v="10.6"/>
    <n v="0"/>
    <n v="0"/>
    <n v="0"/>
    <n v="20.258415114734071"/>
    <n v="0"/>
    <n v="0"/>
    <n v="0"/>
  </r>
  <r>
    <x v="24"/>
    <s v="CHF"/>
    <x v="8"/>
    <n v="14156000"/>
    <n v="698771.34612096357"/>
    <n v="10.6"/>
    <n v="0"/>
    <n v="-1.862645149230957E-9"/>
    <n v="0"/>
    <n v="20.258415114734071"/>
    <n v="-1.862645149230957E-9"/>
    <n v="0"/>
    <n v="-1.862645149230957E-9"/>
  </r>
  <r>
    <x v="25"/>
    <s v="CHF"/>
    <x v="8"/>
    <n v="14141100"/>
    <n v="698035.8492957867"/>
    <n v="10.6"/>
    <n v="0"/>
    <n v="0"/>
    <n v="0"/>
    <n v="20.258415114734071"/>
    <n v="0"/>
    <n v="0"/>
    <n v="0"/>
  </r>
  <r>
    <x v="26"/>
    <s v="CHF"/>
    <x v="8"/>
    <n v="14516200"/>
    <n v="716551.61165308917"/>
    <n v="10.6"/>
    <n v="0"/>
    <n v="0"/>
    <n v="0"/>
    <n v="20.258415114734071"/>
    <n v="0"/>
    <n v="0"/>
    <n v="0"/>
  </r>
  <r>
    <x v="27"/>
    <s v="CHF"/>
    <x v="8"/>
    <n v="14653600"/>
    <n v="723333.97834968567"/>
    <n v="10.6"/>
    <n v="0"/>
    <n v="0"/>
    <n v="0"/>
    <n v="20.258415114734071"/>
    <n v="0"/>
    <n v="0"/>
    <n v="0"/>
  </r>
  <r>
    <x v="28"/>
    <s v="CHF"/>
    <x v="8"/>
    <n v="14810746.539999999"/>
    <n v="731091.07776294171"/>
    <n v="10.6"/>
    <n v="0"/>
    <n v="0"/>
    <n v="0"/>
    <n v="20.258415114734071"/>
    <n v="0"/>
    <n v="0"/>
    <n v="0"/>
  </r>
  <r>
    <x v="29"/>
    <s v="CHF"/>
    <x v="8"/>
    <n v="14915524.239"/>
    <n v="736263.13581420528"/>
    <n v="10.6"/>
    <n v="0"/>
    <n v="0"/>
    <n v="0"/>
    <n v="20.258415114734071"/>
    <n v="0"/>
    <n v="0"/>
    <n v="0"/>
  </r>
  <r>
    <x v="30"/>
    <s v="CHF"/>
    <x v="8"/>
    <n v="14915524.239"/>
    <n v="736263.13581420528"/>
    <n v="10.6"/>
    <n v="0"/>
    <n v="0"/>
    <n v="0"/>
    <n v="20.258415114734071"/>
    <n v="0"/>
    <n v="0"/>
    <n v="-14915524.239"/>
  </r>
  <r>
    <x v="33"/>
    <s v="CHF"/>
    <x v="9"/>
    <n v="625000"/>
    <n v="625000"/>
    <n v="12.5"/>
    <n v="625000"/>
    <n v="0"/>
    <n v="0"/>
    <n v="1"/>
    <n v="625000"/>
    <n v="625000"/>
    <n v="625000"/>
  </r>
  <r>
    <x v="34"/>
    <s v="CHF"/>
    <x v="9"/>
    <n v="615087.06000000006"/>
    <n v="615087.06000000006"/>
    <n v="12.5"/>
    <n v="0"/>
    <n v="0"/>
    <n v="0"/>
    <n v="1"/>
    <n v="0"/>
    <n v="0"/>
    <n v="0"/>
  </r>
  <r>
    <x v="35"/>
    <s v="CHF"/>
    <x v="9"/>
    <n v="1304875.9208"/>
    <n v="634432.45857693371"/>
    <n v="12.5"/>
    <n v="650000"/>
    <n v="0"/>
    <n v="0"/>
    <n v="2.0567609729913681"/>
    <n v="650000"/>
    <n v="0"/>
    <n v="650000"/>
  </r>
  <r>
    <x v="36"/>
    <s v="CHF"/>
    <x v="9"/>
    <n v="5575550.8099999996"/>
    <n v="629708.68572476576"/>
    <n v="12.5"/>
    <n v="4312500"/>
    <n v="0"/>
    <n v="0"/>
    <n v="8.8541748532224815"/>
    <n v="4312500"/>
    <n v="0"/>
    <n v="4312500"/>
  </r>
  <r>
    <x v="37"/>
    <s v="CHF"/>
    <x v="9"/>
    <n v="5581128.4000000004"/>
    <n v="630338.6247187953"/>
    <n v="12.5"/>
    <n v="0"/>
    <n v="0"/>
    <n v="0"/>
    <n v="8.8541748532224815"/>
    <n v="0"/>
    <n v="0"/>
    <n v="0"/>
  </r>
  <r>
    <x v="38"/>
    <s v="CHF"/>
    <x v="9"/>
    <n v="5592806.0392000005"/>
    <n v="631657.50980900228"/>
    <n v="12.5"/>
    <n v="0"/>
    <n v="-9.3132257461547852E-10"/>
    <n v="0"/>
    <n v="8.8541748532224815"/>
    <n v="-9.3132257461547852E-10"/>
    <n v="0"/>
    <n v="-9.3132257461547852E-10"/>
  </r>
  <r>
    <x v="39"/>
    <s v="CHF"/>
    <x v="9"/>
    <n v="5417492.9050840503"/>
    <n v="611857.45649831509"/>
    <n v="12.5"/>
    <n v="0"/>
    <n v="0"/>
    <n v="0"/>
    <n v="8.8541748532224815"/>
    <n v="0"/>
    <n v="0"/>
    <n v="0"/>
  </r>
  <r>
    <x v="40"/>
    <s v="CHF"/>
    <x v="9"/>
    <n v="5431558.2651355499"/>
    <n v="613446.01334123546"/>
    <n v="12.5"/>
    <n v="0"/>
    <n v="0"/>
    <n v="0"/>
    <n v="8.8541748532224815"/>
    <n v="0"/>
    <n v="0"/>
    <n v="0"/>
  </r>
  <r>
    <x v="41"/>
    <s v="CHF"/>
    <x v="9"/>
    <n v="5392738.1100000003"/>
    <n v="609061.62340325932"/>
    <n v="12.5"/>
    <n v="0"/>
    <n v="0"/>
    <n v="0"/>
    <n v="8.8541748532224815"/>
    <n v="0"/>
    <n v="0"/>
    <n v="0"/>
  </r>
  <r>
    <x v="42"/>
    <s v="CHF"/>
    <x v="9"/>
    <n v="5505576.7999999998"/>
    <n v="621805.74602005316"/>
    <n v="12.5"/>
    <n v="0"/>
    <n v="0"/>
    <n v="0"/>
    <n v="8.8541748532224815"/>
    <n v="0"/>
    <n v="0"/>
    <n v="0"/>
  </r>
  <r>
    <x v="43"/>
    <s v="CHF"/>
    <x v="9"/>
    <n v="8237810.1699999999"/>
    <n v="625200.74245226546"/>
    <n v="12.5"/>
    <n v="2687500"/>
    <n v="0"/>
    <n v="0"/>
    <n v="13.176264215055635"/>
    <n v="2687500"/>
    <n v="0"/>
    <n v="2687500"/>
  </r>
  <r>
    <x v="44"/>
    <s v="CHF"/>
    <x v="9"/>
    <n v="7998460.5800000001"/>
    <n v="607035.53370314895"/>
    <n v="12.5"/>
    <n v="0"/>
    <n v="0"/>
    <n v="0"/>
    <n v="13.176264215055635"/>
    <n v="0"/>
    <n v="0"/>
    <n v="0"/>
  </r>
  <r>
    <x v="181"/>
    <s v="CHF"/>
    <x v="9"/>
    <n v="9934168.5199999996"/>
    <n v="596421.40246928157"/>
    <n v="12.5"/>
    <n v="2112500"/>
    <n v="0"/>
    <n v="0"/>
    <n v="16.656291137224329"/>
    <n v="2112500"/>
    <n v="0"/>
    <n v="2112500"/>
  </r>
  <r>
    <x v="182"/>
    <s v="CHF"/>
    <x v="9"/>
    <n v="10057907.689999999"/>
    <n v="603850.37744219508"/>
    <n v="12.5"/>
    <n v="0"/>
    <n v="0"/>
    <n v="0"/>
    <n v="16.656291137224329"/>
    <n v="0"/>
    <n v="0"/>
    <n v="0"/>
  </r>
  <r>
    <x v="183"/>
    <s v="CHF"/>
    <x v="9"/>
    <n v="9970545.9600000009"/>
    <n v="598605.40848240315"/>
    <n v="12.5"/>
    <n v="0"/>
    <n v="0"/>
    <n v="0"/>
    <n v="16.656291137224329"/>
    <n v="0"/>
    <n v="0"/>
    <n v="0"/>
  </r>
  <r>
    <x v="184"/>
    <s v="CHF"/>
    <x v="9"/>
    <n v="11677130.890000001"/>
    <n v="612054.25124097464"/>
    <n v="12.5"/>
    <n v="1450000"/>
    <n v="0"/>
    <n v="0"/>
    <n v="19.078587994975866"/>
    <n v="1450000"/>
    <n v="0"/>
    <n v="1450000"/>
  </r>
  <r>
    <x v="185"/>
    <s v="CHF"/>
    <x v="9"/>
    <n v="11758156.24"/>
    <n v="616301.17716763844"/>
    <n v="12.5"/>
    <n v="0"/>
    <n v="0"/>
    <n v="0"/>
    <n v="19.078587994975866"/>
    <n v="0"/>
    <n v="0"/>
    <n v="0"/>
  </r>
  <r>
    <x v="186"/>
    <s v="CHF"/>
    <x v="9"/>
    <n v="12576599.862400001"/>
    <n v="626561.20658344962"/>
    <n v="12.5"/>
    <n v="612500"/>
    <n v="0"/>
    <n v="0"/>
    <n v="20.072420268370006"/>
    <n v="612500"/>
    <n v="0"/>
    <n v="612500"/>
  </r>
  <r>
    <x v="187"/>
    <s v="CHF"/>
    <x v="9"/>
    <n v="13509168.309599999"/>
    <n v="670356.30242843705"/>
    <n v="12.5"/>
    <n v="50000"/>
    <n v="0"/>
    <n v="0"/>
    <n v="20.152220931856089"/>
    <n v="50000"/>
    <n v="0"/>
    <n v="50000"/>
  </r>
  <r>
    <x v="188"/>
    <s v="CHF"/>
    <x v="9"/>
    <n v="13716734.534399999"/>
    <n v="680656.22051200096"/>
    <n v="12.5"/>
    <n v="0"/>
    <n v="0"/>
    <n v="0"/>
    <n v="20.152220931856089"/>
    <n v="0"/>
    <n v="0"/>
    <n v="0"/>
  </r>
  <r>
    <x v="189"/>
    <s v="CHF"/>
    <x v="9"/>
    <n v="13590945.723999999"/>
    <n v="674414.28763396479"/>
    <n v="12.5"/>
    <n v="0"/>
    <n v="0"/>
    <n v="0"/>
    <n v="20.152220931856089"/>
    <n v="0"/>
    <n v="0"/>
    <n v="0"/>
  </r>
  <r>
    <x v="190"/>
    <s v="CHF"/>
    <x v="9"/>
    <n v="13378057.584799999"/>
    <n v="663850.28379935666"/>
    <n v="12.5"/>
    <n v="0"/>
    <n v="-1.862645149230957E-9"/>
    <n v="0"/>
    <n v="20.152220931856089"/>
    <n v="-1.862645149230957E-9"/>
    <n v="0"/>
    <n v="-1.862645149230957E-9"/>
  </r>
  <r>
    <x v="191"/>
    <s v="CHF"/>
    <x v="9"/>
    <n v="13157791.499199999"/>
    <n v="652920.16913135943"/>
    <n v="12.5"/>
    <n v="0"/>
    <n v="0"/>
    <n v="0"/>
    <n v="20.152220931856089"/>
    <n v="0"/>
    <n v="0"/>
    <n v="0"/>
  </r>
  <r>
    <x v="192"/>
    <s v="CHF"/>
    <x v="9"/>
    <n v="13198297.2304"/>
    <n v="654930.15757565887"/>
    <n v="12.5"/>
    <n v="0"/>
    <n v="0"/>
    <n v="0"/>
    <n v="20.152220931856089"/>
    <n v="0"/>
    <n v="0"/>
    <n v="0"/>
  </r>
  <r>
    <x v="193"/>
    <s v="CHF"/>
    <x v="9"/>
    <n v="13556383.2576"/>
    <n v="672699.21779045381"/>
    <n v="12.5"/>
    <n v="0"/>
    <n v="-1.862645149230957E-9"/>
    <n v="0"/>
    <n v="20.152220931856089"/>
    <n v="-1.862645149230957E-9"/>
    <n v="0"/>
    <n v="-1.862645149230957E-9"/>
  </r>
  <r>
    <x v="1"/>
    <s v="CHF"/>
    <x v="9"/>
    <n v="13466546.389599999"/>
    <n v="668241.30378168123"/>
    <n v="12.5"/>
    <n v="0"/>
    <n v="0"/>
    <n v="0"/>
    <n v="20.152220931856089"/>
    <n v="0"/>
    <n v="0"/>
    <n v="0"/>
  </r>
  <r>
    <x v="2"/>
    <s v="CHF"/>
    <x v="9"/>
    <n v="13531806.5824"/>
    <n v="671479.6660952284"/>
    <n v="12.5"/>
    <n v="0"/>
    <n v="0"/>
    <n v="0"/>
    <n v="20.152220931856089"/>
    <n v="0"/>
    <n v="0"/>
    <n v="0"/>
  </r>
  <r>
    <x v="3"/>
    <s v="CHF"/>
    <x v="9"/>
    <n v="13396181.791999999"/>
    <n v="664749.64904854109"/>
    <n v="12.5"/>
    <n v="0"/>
    <n v="0"/>
    <n v="0"/>
    <n v="20.152220931856089"/>
    <n v="0"/>
    <n v="0"/>
    <n v="0"/>
  </r>
  <r>
    <x v="4"/>
    <s v="CHF"/>
    <x v="9"/>
    <n v="13614130.7936"/>
    <n v="675564.78462774039"/>
    <n v="12.5"/>
    <n v="0"/>
    <n v="0"/>
    <n v="0"/>
    <n v="20.152220931856089"/>
    <n v="0"/>
    <n v="0"/>
    <n v="0"/>
  </r>
  <r>
    <x v="5"/>
    <s v="CHF"/>
    <x v="9"/>
    <n v="13790241.8144"/>
    <n v="684303.8224437465"/>
    <n v="12.5"/>
    <n v="0"/>
    <n v="0"/>
    <n v="0"/>
    <n v="20.152220931856089"/>
    <n v="0"/>
    <n v="0"/>
    <n v="0"/>
  </r>
  <r>
    <x v="6"/>
    <s v="CHF"/>
    <x v="9"/>
    <n v="14030215.676000001"/>
    <n v="696211.88272213773"/>
    <n v="12.5"/>
    <n v="0"/>
    <n v="0"/>
    <n v="0"/>
    <n v="20.152220931856089"/>
    <n v="0"/>
    <n v="0"/>
    <n v="0"/>
  </r>
  <r>
    <x v="7"/>
    <s v="CHF"/>
    <x v="9"/>
    <n v="14341170.161599999"/>
    <n v="711642.16639416968"/>
    <n v="12.5"/>
    <n v="0"/>
    <n v="0"/>
    <n v="0"/>
    <n v="20.152220931856089"/>
    <n v="0"/>
    <n v="0"/>
    <n v="0"/>
  </r>
  <r>
    <x v="8"/>
    <s v="CHF"/>
    <x v="9"/>
    <n v="14693824.2568"/>
    <n v="729141.68152912601"/>
    <n v="12.5"/>
    <n v="0"/>
    <n v="0"/>
    <n v="0"/>
    <n v="20.152220931856089"/>
    <n v="0"/>
    <n v="0"/>
    <n v="0"/>
  </r>
  <r>
    <x v="9"/>
    <s v="CHF"/>
    <x v="9"/>
    <n v="14904850.720799999"/>
    <n v="739613.30471713969"/>
    <n v="12.5"/>
    <n v="0"/>
    <n v="0"/>
    <n v="0"/>
    <n v="20.152220931856089"/>
    <n v="0"/>
    <n v="0"/>
    <n v="0"/>
  </r>
  <r>
    <x v="10"/>
    <s v="CHF"/>
    <x v="9"/>
    <n v="14865943.8968"/>
    <n v="737682.65776107658"/>
    <n v="12.5"/>
    <n v="0"/>
    <n v="0"/>
    <n v="0"/>
    <n v="20.152220931856089"/>
    <n v="0"/>
    <n v="0"/>
    <n v="0"/>
  </r>
  <r>
    <x v="11"/>
    <s v="CHF"/>
    <x v="9"/>
    <n v="15399456.7448"/>
    <n v="764156.8041990326"/>
    <n v="12.5"/>
    <n v="0"/>
    <n v="0"/>
    <n v="0"/>
    <n v="20.152220931856089"/>
    <n v="0"/>
    <n v="0"/>
    <n v="0"/>
  </r>
  <r>
    <x v="12"/>
    <s v="CHF"/>
    <x v="9"/>
    <n v="15890217.732000001"/>
    <n v="788509.5040259891"/>
    <n v="12.5"/>
    <n v="0"/>
    <n v="0"/>
    <n v="0"/>
    <n v="20.152220931856089"/>
    <n v="0"/>
    <n v="0"/>
    <n v="0"/>
  </r>
  <r>
    <x v="13"/>
    <s v="CHF"/>
    <x v="9"/>
    <n v="15960715.385600001"/>
    <n v="792007.76130683103"/>
    <n v="12.5"/>
    <n v="0"/>
    <n v="0"/>
    <n v="0"/>
    <n v="20.152220931856089"/>
    <n v="0"/>
    <n v="0"/>
    <n v="0"/>
  </r>
  <r>
    <x v="14"/>
    <s v="CHF"/>
    <x v="9"/>
    <n v="15775094.0024"/>
    <n v="782796.79722363281"/>
    <n v="12.5"/>
    <n v="0"/>
    <n v="0"/>
    <n v="0"/>
    <n v="20.152220931856089"/>
    <n v="0"/>
    <n v="0"/>
    <n v="0"/>
  </r>
  <r>
    <x v="15"/>
    <s v="CHF"/>
    <x v="9"/>
    <n v="16009942.242400002"/>
    <n v="794450.51225554582"/>
    <n v="12.5"/>
    <n v="0"/>
    <n v="-1.862645149230957E-9"/>
    <n v="0"/>
    <n v="20.152220931856089"/>
    <n v="-1.862645149230957E-9"/>
    <n v="0"/>
    <n v="-1.862645149230957E-9"/>
  </r>
  <r>
    <x v="16"/>
    <s v="CHF"/>
    <x v="9"/>
    <n v="16683268.575199999"/>
    <n v="827862.52848327684"/>
    <n v="12.5"/>
    <n v="0"/>
    <n v="0"/>
    <n v="0"/>
    <n v="20.152220931856089"/>
    <n v="0"/>
    <n v="0"/>
    <n v="0"/>
  </r>
  <r>
    <x v="17"/>
    <s v="CHF"/>
    <x v="9"/>
    <n v="16498679.476"/>
    <n v="818702.78872932214"/>
    <n v="12.5"/>
    <n v="0"/>
    <n v="0"/>
    <n v="0"/>
    <n v="20.152220931856089"/>
    <n v="0"/>
    <n v="0"/>
    <n v="0"/>
  </r>
  <r>
    <x v="18"/>
    <s v="CHF"/>
    <x v="9"/>
    <n v="16468145.270000001"/>
    <n v="817187.61052126018"/>
    <n v="12.5"/>
    <n v="0"/>
    <n v="0"/>
    <n v="0"/>
    <n v="20.152220931856089"/>
    <n v="0"/>
    <n v="0"/>
    <n v="0"/>
  </r>
  <r>
    <x v="19"/>
    <s v="CHF"/>
    <x v="9"/>
    <n v="15971631.2224"/>
    <n v="792549.43047753489"/>
    <n v="12.5"/>
    <n v="0"/>
    <n v="0"/>
    <n v="0"/>
    <n v="20.152220931856089"/>
    <n v="0"/>
    <n v="0"/>
    <n v="0"/>
  </r>
  <r>
    <x v="20"/>
    <s v="CHF"/>
    <x v="9"/>
    <n v="16494341.7096"/>
    <n v="818487.53868742019"/>
    <n v="12.5"/>
    <n v="0"/>
    <n v="0"/>
    <n v="0"/>
    <n v="20.152220931856089"/>
    <n v="0"/>
    <n v="0"/>
    <n v="0"/>
  </r>
  <r>
    <x v="21"/>
    <s v="CHF"/>
    <x v="9"/>
    <n v="16944683.969999999"/>
    <n v="840834.56743044627"/>
    <n v="12.5"/>
    <n v="0"/>
    <n v="0"/>
    <n v="0"/>
    <n v="20.152220931856089"/>
    <n v="0"/>
    <n v="0"/>
    <n v="0"/>
  </r>
  <r>
    <x v="22"/>
    <s v="CHF"/>
    <x v="9"/>
    <n v="16989200"/>
    <n v="843043.55621389253"/>
    <n v="12.5"/>
    <n v="0"/>
    <n v="0"/>
    <n v="0"/>
    <n v="20.152220931856089"/>
    <n v="0"/>
    <n v="0"/>
    <n v="0"/>
  </r>
  <r>
    <x v="23"/>
    <s v="CHF"/>
    <x v="9"/>
    <n v="16334200"/>
    <n v="810540.93517699267"/>
    <n v="12.5"/>
    <n v="0"/>
    <n v="-1.862645149230957E-9"/>
    <n v="0"/>
    <n v="20.152220931856089"/>
    <n v="-1.862645149230957E-9"/>
    <n v="0"/>
    <n v="-1.862645149230957E-9"/>
  </r>
  <r>
    <x v="24"/>
    <s v="CHF"/>
    <x v="9"/>
    <n v="16960800"/>
    <n v="841634.28226359026"/>
    <n v="12.5"/>
    <n v="0"/>
    <n v="0"/>
    <n v="0"/>
    <n v="20.152220931856089"/>
    <n v="0"/>
    <n v="0"/>
    <n v="0"/>
  </r>
  <r>
    <x v="25"/>
    <s v="CHF"/>
    <x v="9"/>
    <n v="16957500"/>
    <n v="841470.52860035095"/>
    <n v="12.5"/>
    <n v="0"/>
    <n v="0"/>
    <n v="0"/>
    <n v="20.152220931856089"/>
    <n v="0"/>
    <n v="0"/>
    <n v="0"/>
  </r>
  <r>
    <x v="26"/>
    <s v="CHF"/>
    <x v="9"/>
    <n v="17419300"/>
    <n v="864386.11698942026"/>
    <n v="12.5"/>
    <n v="0"/>
    <n v="0"/>
    <n v="0"/>
    <n v="20.152220931856089"/>
    <n v="0"/>
    <n v="0"/>
    <n v="0"/>
  </r>
  <r>
    <x v="27"/>
    <s v="CHF"/>
    <x v="9"/>
    <n v="17579700"/>
    <n v="872345.53746929613"/>
    <n v="12.5"/>
    <n v="0"/>
    <n v="0"/>
    <n v="0"/>
    <n v="20.152220931856089"/>
    <n v="0"/>
    <n v="0"/>
    <n v="0"/>
  </r>
  <r>
    <x v="28"/>
    <s v="CHF"/>
    <x v="9"/>
    <n v="17774999.809999999"/>
    <n v="882036.76756549231"/>
    <n v="12.5"/>
    <n v="0"/>
    <n v="0"/>
    <n v="0"/>
    <n v="20.152220931856089"/>
    <n v="0"/>
    <n v="0"/>
    <n v="0"/>
  </r>
  <r>
    <x v="29"/>
    <s v="CHF"/>
    <x v="9"/>
    <n v="17918458.056000002"/>
    <n v="889155.49886985333"/>
    <n v="12.5"/>
    <n v="0"/>
    <n v="0"/>
    <n v="0"/>
    <n v="20.152220931856089"/>
    <n v="0"/>
    <n v="0"/>
    <n v="0"/>
  </r>
  <r>
    <x v="30"/>
    <s v="CHF"/>
    <x v="9"/>
    <n v="17918458.056000002"/>
    <n v="889155.49886985333"/>
    <n v="12.5"/>
    <n v="0"/>
    <n v="0"/>
    <n v="0"/>
    <n v="20.152220931856089"/>
    <n v="0"/>
    <n v="0"/>
    <n v="-17918458.056000002"/>
  </r>
  <r>
    <x v="33"/>
    <s v="CHF"/>
    <x v="10"/>
    <n v="250000"/>
    <n v="250000"/>
    <n v="5"/>
    <n v="250000"/>
    <n v="0"/>
    <n v="0"/>
    <n v="1"/>
    <n v="250000"/>
    <n v="250000"/>
    <n v="250000"/>
  </r>
  <r>
    <x v="34"/>
    <s v="CHF"/>
    <x v="10"/>
    <n v="244123.25"/>
    <n v="244123.25"/>
    <n v="5"/>
    <n v="0"/>
    <n v="0"/>
    <n v="0"/>
    <n v="1"/>
    <n v="0"/>
    <n v="0"/>
    <n v="0"/>
  </r>
  <r>
    <x v="35"/>
    <s v="CHF"/>
    <x v="10"/>
    <n v="529195.446"/>
    <n v="251280.04260207934"/>
    <n v="5"/>
    <n v="270000"/>
    <n v="0"/>
    <n v="0"/>
    <n v="2.1059987117163157"/>
    <n v="270000"/>
    <n v="0"/>
    <n v="270000"/>
  </r>
  <r>
    <x v="36"/>
    <s v="CHF"/>
    <x v="10"/>
    <n v="2235864.92"/>
    <n v="249236.69921658369"/>
    <n v="5"/>
    <n v="1725000"/>
    <n v="0"/>
    <n v="0"/>
    <n v="8.9708495058228177"/>
    <n v="1725000"/>
    <n v="0"/>
    <n v="1725000"/>
  </r>
  <r>
    <x v="37"/>
    <s v="CHF"/>
    <x v="10"/>
    <n v="2236583.31"/>
    <n v="249316.77970389248"/>
    <n v="5"/>
    <n v="0"/>
    <n v="0"/>
    <n v="0"/>
    <n v="8.9708495058228177"/>
    <n v="0"/>
    <n v="0"/>
    <n v="0"/>
  </r>
  <r>
    <x v="38"/>
    <s v="CHF"/>
    <x v="10"/>
    <n v="2241521.1800000002"/>
    <n v="249867.21475430715"/>
    <n v="5"/>
    <n v="0"/>
    <n v="0"/>
    <n v="0"/>
    <n v="8.9708495058228177"/>
    <n v="0"/>
    <n v="0"/>
    <n v="0"/>
  </r>
  <r>
    <x v="39"/>
    <s v="CHF"/>
    <x v="10"/>
    <n v="2170327.5079307701"/>
    <n v="241931.10212383445"/>
    <n v="5"/>
    <n v="0"/>
    <n v="0"/>
    <n v="0"/>
    <n v="8.9708495058228177"/>
    <n v="0"/>
    <n v="0"/>
    <n v="0"/>
  </r>
  <r>
    <x v="40"/>
    <s v="CHF"/>
    <x v="10"/>
    <n v="2175954.5777100399"/>
    <n v="242558.36376450935"/>
    <n v="5"/>
    <n v="0"/>
    <n v="0"/>
    <n v="0"/>
    <n v="8.9708495058228177"/>
    <n v="0"/>
    <n v="0"/>
    <n v="0"/>
  </r>
  <r>
    <x v="41"/>
    <s v="CHF"/>
    <x v="10"/>
    <n v="2158838.85"/>
    <n v="240650.43657222611"/>
    <n v="5"/>
    <n v="0"/>
    <n v="0"/>
    <n v="0"/>
    <n v="8.9708495058228177"/>
    <n v="0"/>
    <n v="0"/>
    <n v="0"/>
  </r>
  <r>
    <x v="42"/>
    <s v="CHF"/>
    <x v="10"/>
    <n v="2203177.37"/>
    <n v="245592.94730894294"/>
    <n v="5"/>
    <n v="0"/>
    <n v="0"/>
    <n v="0"/>
    <n v="8.9708495058228177"/>
    <n v="0"/>
    <n v="0"/>
    <n v="0"/>
  </r>
  <r>
    <x v="43"/>
    <s v="CHF"/>
    <x v="10"/>
    <n v="3306719.03"/>
    <n v="246977.81814010502"/>
    <n v="5"/>
    <n v="1085000"/>
    <n v="0"/>
    <n v="0"/>
    <n v="13.388728813387491"/>
    <n v="1085000"/>
    <n v="0"/>
    <n v="1085000"/>
  </r>
  <r>
    <x v="44"/>
    <s v="CHF"/>
    <x v="10"/>
    <n v="3210611.31"/>
    <n v="239799.56235947402"/>
    <n v="5"/>
    <n v="0"/>
    <n v="0"/>
    <n v="0"/>
    <n v="13.388728813387491"/>
    <n v="0"/>
    <n v="0"/>
    <n v="0"/>
  </r>
  <r>
    <x v="181"/>
    <s v="CHF"/>
    <x v="10"/>
    <n v="3985210.28"/>
    <n v="235636.90107533423"/>
    <n v="5"/>
    <n v="845000"/>
    <n v="0"/>
    <n v="0"/>
    <n v="16.91250505253381"/>
    <n v="845000"/>
    <n v="0"/>
    <n v="845000"/>
  </r>
  <r>
    <x v="182"/>
    <s v="CHF"/>
    <x v="10"/>
    <n v="4034682.9299999997"/>
    <n v="238562.11232265257"/>
    <n v="5"/>
    <n v="0"/>
    <n v="0"/>
    <n v="0"/>
    <n v="16.91250505253381"/>
    <n v="0"/>
    <n v="0"/>
    <n v="0"/>
  </r>
  <r>
    <x v="183"/>
    <s v="CHF"/>
    <x v="10"/>
    <n v="4000393.95"/>
    <n v="236534.67878199785"/>
    <n v="5"/>
    <n v="0"/>
    <n v="0"/>
    <n v="0"/>
    <n v="16.91250505253381"/>
    <n v="0"/>
    <n v="0"/>
    <n v="0"/>
  </r>
  <r>
    <x v="184"/>
    <s v="CHF"/>
    <x v="10"/>
    <n v="4682738.01"/>
    <n v="241819.79609321631"/>
    <n v="5"/>
    <n v="580000"/>
    <n v="0"/>
    <n v="0"/>
    <n v="19.36457678673629"/>
    <n v="580000"/>
    <n v="0"/>
    <n v="580000"/>
  </r>
  <r>
    <x v="185"/>
    <s v="CHF"/>
    <x v="10"/>
    <n v="4715774.58"/>
    <n v="243525.82718100279"/>
    <n v="5"/>
    <n v="0"/>
    <n v="0"/>
    <n v="0"/>
    <n v="19.36457678673629"/>
    <n v="0"/>
    <n v="0"/>
    <n v="0"/>
  </r>
  <r>
    <x v="186"/>
    <s v="CHF"/>
    <x v="10"/>
    <n v="5043013.6500000004"/>
    <n v="247812.73860953902"/>
    <n v="5"/>
    <n v="240000"/>
    <n v="0"/>
    <n v="0"/>
    <n v="20.350098539308423"/>
    <n v="240000"/>
    <n v="0"/>
    <n v="240000"/>
  </r>
  <r>
    <x v="187"/>
    <s v="CHF"/>
    <x v="10"/>
    <n v="5408016.7063999996"/>
    <n v="265485.69860921893"/>
    <n v="5"/>
    <n v="5000"/>
    <n v="0"/>
    <n v="0"/>
    <n v="20.370275064647899"/>
    <n v="5000"/>
    <n v="0"/>
    <n v="5000"/>
  </r>
  <r>
    <x v="188"/>
    <s v="CHF"/>
    <x v="10"/>
    <n v="5503822.2772000004"/>
    <n v="270188.90318038687"/>
    <n v="5"/>
    <n v="0"/>
    <n v="0"/>
    <n v="0"/>
    <n v="20.370275064647899"/>
    <n v="0"/>
    <n v="0"/>
    <n v="0"/>
  </r>
  <r>
    <x v="189"/>
    <s v="CHF"/>
    <x v="10"/>
    <n v="5453826.5883999998"/>
    <n v="267734.55788355944"/>
    <n v="5"/>
    <n v="0"/>
    <n v="-9.3132257461547852E-10"/>
    <n v="0"/>
    <n v="20.370275064647899"/>
    <n v="-9.3132257461547852E-10"/>
    <n v="0"/>
    <n v="-9.3132257461547852E-10"/>
  </r>
  <r>
    <x v="190"/>
    <s v="CHF"/>
    <x v="10"/>
    <n v="5365647.2655999996"/>
    <n v="263405.73451126076"/>
    <n v="5"/>
    <n v="0"/>
    <n v="0"/>
    <n v="0"/>
    <n v="20.370275064647899"/>
    <n v="0"/>
    <n v="0"/>
    <n v="0"/>
  </r>
  <r>
    <x v="191"/>
    <s v="CHF"/>
    <x v="10"/>
    <n v="5274352.9884000001"/>
    <n v="258923.99448024674"/>
    <n v="5"/>
    <n v="0"/>
    <n v="0"/>
    <n v="0"/>
    <n v="20.370275064647899"/>
    <n v="0"/>
    <n v="0"/>
    <n v="0"/>
  </r>
  <r>
    <x v="192"/>
    <s v="CHF"/>
    <x v="10"/>
    <n v="5292107.7372000003"/>
    <n v="259795.59531742998"/>
    <n v="5"/>
    <n v="0"/>
    <n v="0"/>
    <n v="0"/>
    <n v="20.370275064647899"/>
    <n v="0"/>
    <n v="0"/>
    <n v="0"/>
  </r>
  <r>
    <x v="193"/>
    <s v="CHF"/>
    <x v="10"/>
    <n v="5440204.7463999996"/>
    <n v="267065.84614762216"/>
    <n v="5"/>
    <n v="0"/>
    <n v="0"/>
    <n v="0"/>
    <n v="20.370275064647899"/>
    <n v="0"/>
    <n v="0"/>
    <n v="0"/>
  </r>
  <r>
    <x v="1"/>
    <s v="CHF"/>
    <x v="10"/>
    <n v="5406503.8032"/>
    <n v="265411.42846828082"/>
    <n v="5"/>
    <n v="0"/>
    <n v="0"/>
    <n v="0"/>
    <n v="20.370275064647899"/>
    <n v="0"/>
    <n v="0"/>
    <n v="0"/>
  </r>
  <r>
    <x v="2"/>
    <s v="CHF"/>
    <x v="10"/>
    <n v="5434118.6336000003"/>
    <n v="266767.07193958206"/>
    <n v="5"/>
    <n v="0"/>
    <n v="0"/>
    <n v="0"/>
    <n v="20.370275064647899"/>
    <n v="0"/>
    <n v="0"/>
    <n v="0"/>
  </r>
  <r>
    <x v="3"/>
    <s v="CHF"/>
    <x v="10"/>
    <n v="5375650.6464"/>
    <n v="263896.81186629174"/>
    <n v="5"/>
    <n v="0"/>
    <n v="0"/>
    <n v="0"/>
    <n v="20.370275064647899"/>
    <n v="0"/>
    <n v="0"/>
    <n v="0"/>
  </r>
  <r>
    <x v="4"/>
    <s v="CHF"/>
    <x v="10"/>
    <n v="5467670.4172"/>
    <n v="268414.16720430076"/>
    <n v="5"/>
    <n v="0"/>
    <n v="0"/>
    <n v="0"/>
    <n v="20.370275064647899"/>
    <n v="0"/>
    <n v="0"/>
    <n v="0"/>
  </r>
  <r>
    <x v="5"/>
    <s v="CHF"/>
    <x v="10"/>
    <n v="5544748.3760000002"/>
    <n v="272198.0119759292"/>
    <n v="5"/>
    <n v="0"/>
    <n v="-9.3132257461547852E-10"/>
    <n v="0"/>
    <n v="20.370275064647899"/>
    <n v="-9.3132257461547852E-10"/>
    <n v="0"/>
    <n v="-9.3132257461547852E-10"/>
  </r>
  <r>
    <x v="6"/>
    <s v="CHF"/>
    <x v="10"/>
    <n v="5640834.2615999999"/>
    <n v="276914.97751984344"/>
    <n v="5"/>
    <n v="0"/>
    <n v="0"/>
    <n v="0"/>
    <n v="20.370275064647899"/>
    <n v="0"/>
    <n v="0"/>
    <n v="0"/>
  </r>
  <r>
    <x v="7"/>
    <s v="CHF"/>
    <x v="10"/>
    <n v="5771834.7544"/>
    <n v="283345.94089094427"/>
    <n v="5"/>
    <n v="0"/>
    <n v="0"/>
    <n v="0"/>
    <n v="20.370275064647899"/>
    <n v="0"/>
    <n v="0"/>
    <n v="0"/>
  </r>
  <r>
    <x v="8"/>
    <s v="CHF"/>
    <x v="10"/>
    <n v="5925349.2019999996"/>
    <n v="290882.13994141365"/>
    <n v="5"/>
    <n v="0"/>
    <n v="0"/>
    <n v="0"/>
    <n v="20.370275064647899"/>
    <n v="0"/>
    <n v="0"/>
    <n v="0"/>
  </r>
  <r>
    <x v="9"/>
    <s v="CHF"/>
    <x v="10"/>
    <n v="6006646.4740000004"/>
    <n v="294873.11560286116"/>
    <n v="5"/>
    <n v="0"/>
    <n v="0"/>
    <n v="0"/>
    <n v="20.370275064647899"/>
    <n v="0"/>
    <n v="0"/>
    <n v="0"/>
  </r>
  <r>
    <x v="10"/>
    <s v="CHF"/>
    <x v="10"/>
    <n v="5991389.8380000005"/>
    <n v="294124.1499678081"/>
    <n v="5"/>
    <n v="0"/>
    <n v="0"/>
    <n v="0"/>
    <n v="20.370275064647899"/>
    <n v="0"/>
    <n v="0"/>
    <n v="0"/>
  </r>
  <r>
    <x v="11"/>
    <s v="CHF"/>
    <x v="10"/>
    <n v="6223342.9060000004"/>
    <n v="305510.99021733174"/>
    <n v="5"/>
    <n v="0"/>
    <n v="-9.3132257461547852E-10"/>
    <n v="0"/>
    <n v="20.370275064647899"/>
    <n v="-9.3132257461547852E-10"/>
    <n v="0"/>
    <n v="-9.3132257461547852E-10"/>
  </r>
  <r>
    <x v="12"/>
    <s v="CHF"/>
    <x v="10"/>
    <n v="6429584.642"/>
    <n v="315635.63189965865"/>
    <n v="5"/>
    <n v="0"/>
    <n v="0"/>
    <n v="0"/>
    <n v="20.370275064647899"/>
    <n v="0"/>
    <n v="0"/>
    <n v="0"/>
  </r>
  <r>
    <x v="13"/>
    <s v="CHF"/>
    <x v="10"/>
    <n v="6459037.5864000004"/>
    <n v="317081.51048041065"/>
    <n v="5"/>
    <n v="0"/>
    <n v="0"/>
    <n v="0"/>
    <n v="20.370275064647899"/>
    <n v="0"/>
    <n v="0"/>
    <n v="0"/>
  </r>
  <r>
    <x v="14"/>
    <s v="CHF"/>
    <x v="10"/>
    <n v="6383377.9916000003"/>
    <n v="313367.29481273389"/>
    <n v="5"/>
    <n v="0"/>
    <n v="0"/>
    <n v="0"/>
    <n v="20.370275064647899"/>
    <n v="0"/>
    <n v="0"/>
    <n v="0"/>
  </r>
  <r>
    <x v="15"/>
    <s v="CHF"/>
    <x v="10"/>
    <n v="6479560.3300000001"/>
    <n v="318088.99533443782"/>
    <n v="5"/>
    <n v="0"/>
    <n v="0"/>
    <n v="0"/>
    <n v="20.370275064647899"/>
    <n v="0"/>
    <n v="0"/>
    <n v="0"/>
  </r>
  <r>
    <x v="16"/>
    <s v="CHF"/>
    <x v="10"/>
    <n v="6762283.4415999996"/>
    <n v="331968.19483973354"/>
    <n v="5"/>
    <n v="0"/>
    <n v="0"/>
    <n v="0"/>
    <n v="20.370275064647899"/>
    <n v="0"/>
    <n v="0"/>
    <n v="0"/>
  </r>
  <r>
    <x v="17"/>
    <s v="CHF"/>
    <x v="10"/>
    <n v="6689070.6787999999"/>
    <n v="328374.0969413179"/>
    <n v="5"/>
    <n v="0"/>
    <n v="0"/>
    <n v="0"/>
    <n v="20.370275064647899"/>
    <n v="0"/>
    <n v="0"/>
    <n v="0"/>
  </r>
  <r>
    <x v="18"/>
    <s v="CHF"/>
    <x v="10"/>
    <n v="6674150.0729999999"/>
    <n v="327641.62741144421"/>
    <n v="5"/>
    <n v="0"/>
    <n v="0"/>
    <n v="0"/>
    <n v="20.370275064647899"/>
    <n v="0"/>
    <n v="0"/>
    <n v="0"/>
  </r>
  <r>
    <x v="19"/>
    <s v="CHF"/>
    <x v="10"/>
    <n v="6470667.2879999997"/>
    <n v="317652.42577552033"/>
    <n v="5"/>
    <n v="0"/>
    <n v="0"/>
    <n v="0"/>
    <n v="20.370275064647899"/>
    <n v="0"/>
    <n v="0"/>
    <n v="0"/>
  </r>
  <r>
    <x v="20"/>
    <s v="CHF"/>
    <x v="10"/>
    <n v="6690350.5460000001"/>
    <n v="328436.92707964143"/>
    <n v="5"/>
    <n v="0"/>
    <n v="0"/>
    <n v="0"/>
    <n v="20.370275064647899"/>
    <n v="0"/>
    <n v="0"/>
    <n v="0"/>
  </r>
  <r>
    <x v="21"/>
    <s v="CHF"/>
    <x v="10"/>
    <n v="6876665.5049999999"/>
    <n v="337583.34058700467"/>
    <n v="5"/>
    <n v="0"/>
    <n v="0"/>
    <n v="0"/>
    <n v="20.370275064647899"/>
    <n v="0"/>
    <n v="0"/>
    <n v="0"/>
  </r>
  <r>
    <x v="22"/>
    <s v="CHF"/>
    <x v="10"/>
    <n v="6899500"/>
    <n v="338704.31194981304"/>
    <n v="5"/>
    <n v="0"/>
    <n v="0"/>
    <n v="0"/>
    <n v="20.370275064647899"/>
    <n v="0"/>
    <n v="0"/>
    <n v="0"/>
  </r>
  <r>
    <x v="23"/>
    <s v="CHF"/>
    <x v="10"/>
    <n v="6626500"/>
    <n v="325302.43106535781"/>
    <n v="5"/>
    <n v="0"/>
    <n v="0"/>
    <n v="0"/>
    <n v="20.370275064647899"/>
    <n v="0"/>
    <n v="0"/>
    <n v="0"/>
  </r>
  <r>
    <x v="24"/>
    <s v="CHF"/>
    <x v="10"/>
    <n v="6886500"/>
    <n v="338066.12714579137"/>
    <n v="5"/>
    <n v="0"/>
    <n v="0"/>
    <n v="0"/>
    <n v="20.370275064647899"/>
    <n v="0"/>
    <n v="0"/>
    <n v="0"/>
  </r>
  <r>
    <x v="25"/>
    <s v="CHF"/>
    <x v="10"/>
    <n v="6889300"/>
    <n v="338203.58233434986"/>
    <n v="5"/>
    <n v="0"/>
    <n v="0"/>
    <n v="0"/>
    <n v="20.370275064647899"/>
    <n v="0"/>
    <n v="0"/>
    <n v="0"/>
  </r>
  <r>
    <x v="26"/>
    <s v="CHF"/>
    <x v="10"/>
    <n v="7083600"/>
    <n v="347741.99059753545"/>
    <n v="5"/>
    <n v="0"/>
    <n v="-9.3132257461547852E-10"/>
    <n v="0"/>
    <n v="20.370275064647899"/>
    <n v="-9.3132257461547852E-10"/>
    <n v="0"/>
    <n v="-9.3132257461547852E-10"/>
  </r>
  <r>
    <x v="27"/>
    <s v="CHF"/>
    <x v="10"/>
    <n v="7148600"/>
    <n v="350932.91461764381"/>
    <n v="5"/>
    <n v="0"/>
    <n v="0"/>
    <n v="0"/>
    <n v="20.370275064647899"/>
    <n v="0"/>
    <n v="0"/>
    <n v="0"/>
  </r>
  <r>
    <x v="28"/>
    <s v="CHF"/>
    <x v="10"/>
    <n v="7231237.2300000004"/>
    <n v="354989.67034321651"/>
    <n v="5"/>
    <n v="0"/>
    <n v="0"/>
    <n v="0"/>
    <n v="20.370275064647899"/>
    <n v="0"/>
    <n v="0"/>
    <n v="0"/>
  </r>
  <r>
    <x v="29"/>
    <s v="CHF"/>
    <x v="10"/>
    <n v="7295664.2331999997"/>
    <n v="358152.46529790078"/>
    <n v="5"/>
    <n v="0"/>
    <n v="0"/>
    <n v="0"/>
    <n v="20.370275064647899"/>
    <n v="0"/>
    <n v="0"/>
    <n v="0"/>
  </r>
  <r>
    <x v="30"/>
    <s v="CHF"/>
    <x v="10"/>
    <n v="7295664.2331999997"/>
    <n v="358152.46529790078"/>
    <n v="5"/>
    <n v="0"/>
    <n v="0"/>
    <n v="0"/>
    <n v="20.370275064647899"/>
    <n v="0"/>
    <n v="0"/>
    <n v="-7295664.2331999997"/>
  </r>
  <r>
    <x v="35"/>
    <s v="CHF"/>
    <x v="11"/>
    <n v="478860"/>
    <n v="478860"/>
    <n v="1.3879999999999999"/>
    <n v="478860"/>
    <n v="0"/>
    <n v="0"/>
    <n v="1"/>
    <n v="478860"/>
    <n v="478860"/>
    <n v="478860"/>
  </r>
  <r>
    <x v="36"/>
    <s v="CHF"/>
    <x v="11"/>
    <n v="476919.8"/>
    <n v="476919.8"/>
    <n v="1.3879999999999999"/>
    <n v="0"/>
    <n v="0"/>
    <n v="0"/>
    <n v="1"/>
    <n v="0"/>
    <n v="0"/>
    <n v="0"/>
  </r>
  <r>
    <x v="37"/>
    <s v="CHF"/>
    <x v="11"/>
    <n v="475396.4"/>
    <n v="475396.4"/>
    <n v="1.3879999999999999"/>
    <n v="0"/>
    <n v="0"/>
    <n v="0"/>
    <n v="1"/>
    <n v="0"/>
    <n v="0"/>
    <n v="0"/>
  </r>
  <r>
    <x v="38"/>
    <s v="CHF"/>
    <x v="11"/>
    <n v="475500.91"/>
    <n v="475500.91"/>
    <n v="1.3879999999999999"/>
    <n v="0"/>
    <n v="0"/>
    <n v="0"/>
    <n v="1"/>
    <n v="0"/>
    <n v="0"/>
    <n v="0"/>
  </r>
  <r>
    <x v="39"/>
    <s v="CHF"/>
    <x v="11"/>
    <n v="462809.92089053302"/>
    <n v="462809.92089053302"/>
    <n v="1.3879999999999999"/>
    <n v="0"/>
    <n v="0"/>
    <n v="0"/>
    <n v="1"/>
    <n v="0"/>
    <n v="0"/>
    <n v="0"/>
  </r>
  <r>
    <x v="40"/>
    <s v="CHF"/>
    <x v="11"/>
    <n v="461337.102301398"/>
    <n v="461337.102301398"/>
    <n v="1.3879999999999999"/>
    <n v="0"/>
    <n v="0"/>
    <n v="0"/>
    <n v="1"/>
    <n v="0"/>
    <n v="0"/>
    <n v="0"/>
  </r>
  <r>
    <x v="41"/>
    <s v="CHF"/>
    <x v="11"/>
    <n v="462119.32"/>
    <n v="462119.32"/>
    <n v="1.3879999999999999"/>
    <n v="0"/>
    <n v="0"/>
    <n v="0"/>
    <n v="1"/>
    <n v="0"/>
    <n v="0"/>
    <n v="0"/>
  </r>
  <r>
    <x v="42"/>
    <s v="CHF"/>
    <x v="11"/>
    <n v="471061.43"/>
    <n v="471061.43"/>
    <n v="1.3879999999999999"/>
    <n v="0"/>
    <n v="0"/>
    <n v="0"/>
    <n v="1"/>
    <n v="0"/>
    <n v="0"/>
    <n v="0"/>
  </r>
  <r>
    <x v="43"/>
    <s v="CHF"/>
    <x v="11"/>
    <n v="789189.67"/>
    <n v="474566.14565696463"/>
    <n v="1.3879999999999999"/>
    <n v="312300"/>
    <n v="0"/>
    <n v="0"/>
    <n v="1.6629708571130521"/>
    <n v="312300"/>
    <n v="0"/>
    <n v="312300"/>
  </r>
  <r>
    <x v="44"/>
    <s v="CHF"/>
    <x v="11"/>
    <n v="769409.41"/>
    <n v="462671.6137020638"/>
    <n v="1.3879999999999999"/>
    <n v="0"/>
    <n v="0"/>
    <n v="0"/>
    <n v="1.6629708571130521"/>
    <n v="0"/>
    <n v="0"/>
    <n v="0"/>
  </r>
  <r>
    <x v="181"/>
    <s v="CHF"/>
    <x v="11"/>
    <n v="995186.97"/>
    <n v="458618.81182159268"/>
    <n v="1.3879999999999999"/>
    <n v="234572"/>
    <n v="0"/>
    <n v="0"/>
    <n v="2.1699654361041292"/>
    <n v="234572"/>
    <n v="0"/>
    <n v="234572"/>
  </r>
  <r>
    <x v="182"/>
    <s v="CHF"/>
    <x v="11"/>
    <n v="1005153.68"/>
    <n v="463211.83889666625"/>
    <n v="1.3879999999999999"/>
    <n v="0"/>
    <n v="0"/>
    <n v="0"/>
    <n v="2.1699654361041292"/>
    <n v="0"/>
    <n v="0"/>
    <n v="0"/>
  </r>
  <r>
    <x v="183"/>
    <s v="CHF"/>
    <x v="11"/>
    <n v="998082.15"/>
    <n v="459953.01740470005"/>
    <n v="1.3879999999999999"/>
    <n v="0"/>
    <n v="0"/>
    <n v="0"/>
    <n v="2.1699654361041292"/>
    <n v="0"/>
    <n v="0"/>
    <n v="0"/>
  </r>
  <r>
    <x v="184"/>
    <s v="CHF"/>
    <x v="11"/>
    <n v="1186700.83"/>
    <n v="470909.55566757428"/>
    <n v="1.3879999999999999"/>
    <n v="161008"/>
    <n v="0"/>
    <n v="0"/>
    <n v="2.520018580463292"/>
    <n v="161008"/>
    <n v="0"/>
    <n v="161008"/>
  </r>
  <r>
    <x v="185"/>
    <s v="CHF"/>
    <x v="11"/>
    <n v="1213847.8740000001"/>
    <n v="473921.73463462532"/>
    <n v="1.3879999999999999"/>
    <n v="19432"/>
    <n v="0"/>
    <n v="0"/>
    <n v="2.5612834046022983"/>
    <n v="19432"/>
    <n v="0"/>
    <n v="19432"/>
  </r>
  <r>
    <x v="186"/>
    <s v="CHF"/>
    <x v="11"/>
    <n v="1317230.17"/>
    <n v="481266.35745972896"/>
    <n v="1.3879999999999999"/>
    <n v="83280"/>
    <n v="0"/>
    <n v="0"/>
    <n v="2.7370086223203791"/>
    <n v="83280"/>
    <n v="0"/>
    <n v="83280"/>
  </r>
  <r>
    <x v="187"/>
    <s v="CHF"/>
    <x v="11"/>
    <n v="1404798.632"/>
    <n v="513260.57965029019"/>
    <n v="1.3879999999999999"/>
    <n v="0"/>
    <n v="0"/>
    <n v="0"/>
    <n v="2.7370086223203791"/>
    <n v="0"/>
    <n v="0"/>
    <n v="0"/>
  </r>
  <r>
    <x v="188"/>
    <s v="CHF"/>
    <x v="11"/>
    <n v="1424749.5430000001"/>
    <n v="520549.89209063101"/>
    <n v="1.3879999999999999"/>
    <n v="0"/>
    <n v="0"/>
    <n v="0"/>
    <n v="2.7370086223203791"/>
    <n v="0"/>
    <n v="0"/>
    <n v="0"/>
  </r>
  <r>
    <x v="189"/>
    <s v="CHF"/>
    <x v="11"/>
    <n v="1410189.3064999999"/>
    <n v="515230.12934627541"/>
    <n v="1.3879999999999999"/>
    <n v="0"/>
    <n v="0"/>
    <n v="0"/>
    <n v="2.7370086223203791"/>
    <n v="0"/>
    <n v="0"/>
    <n v="0"/>
  </r>
  <r>
    <x v="190"/>
    <s v="CHF"/>
    <x v="11"/>
    <n v="1487748.469"/>
    <n v="508062.49226766452"/>
    <n v="1.3879999999999999"/>
    <n v="98548"/>
    <n v="0"/>
    <n v="0"/>
    <n v="2.9282784925918204"/>
    <n v="98548"/>
    <n v="0"/>
    <n v="98548"/>
  </r>
  <r>
    <x v="191"/>
    <s v="CHF"/>
    <x v="11"/>
    <n v="1466421.5355"/>
    <n v="500779.39622541494"/>
    <n v="1.3879999999999999"/>
    <n v="0"/>
    <n v="0"/>
    <n v="0"/>
    <n v="2.9282784925918204"/>
    <n v="0"/>
    <n v="0"/>
    <n v="0"/>
  </r>
  <r>
    <x v="192"/>
    <s v="CHF"/>
    <x v="11"/>
    <n v="1469571.304"/>
    <n v="501855.03452551807"/>
    <n v="1.3879999999999999"/>
    <n v="0"/>
    <n v="0"/>
    <n v="0"/>
    <n v="2.9282784925918204"/>
    <n v="0"/>
    <n v="0"/>
    <n v="0"/>
  </r>
  <r>
    <x v="193"/>
    <s v="CHF"/>
    <x v="11"/>
    <n v="1506584.7834999999"/>
    <n v="514495.04796469037"/>
    <n v="1.3879999999999999"/>
    <n v="0"/>
    <n v="0"/>
    <n v="0"/>
    <n v="2.9282784925918204"/>
    <n v="0"/>
    <n v="0"/>
    <n v="0"/>
  </r>
  <r>
    <x v="1"/>
    <s v="CHF"/>
    <x v="11"/>
    <n v="1497037.048"/>
    <n v="511234.51945821312"/>
    <n v="1.3879999999999999"/>
    <n v="0"/>
    <n v="0"/>
    <n v="0"/>
    <n v="2.9282784925918204"/>
    <n v="0"/>
    <n v="0"/>
    <n v="0"/>
  </r>
  <r>
    <x v="2"/>
    <s v="CHF"/>
    <x v="11"/>
    <n v="1506154.3435"/>
    <n v="514348.05374911666"/>
    <n v="1.3879999999999999"/>
    <n v="0"/>
    <n v="0"/>
    <n v="0"/>
    <n v="2.9282784925918204"/>
    <n v="0"/>
    <n v="0"/>
    <n v="0"/>
  </r>
  <r>
    <x v="3"/>
    <s v="CHF"/>
    <x v="11"/>
    <n v="1495063.858"/>
    <n v="510560.67986099178"/>
    <n v="1.3879999999999999"/>
    <n v="0"/>
    <n v="0"/>
    <n v="0"/>
    <n v="2.9282784925918204"/>
    <n v="0"/>
    <n v="0"/>
    <n v="0"/>
  </r>
  <r>
    <x v="4"/>
    <s v="CHF"/>
    <x v="11"/>
    <n v="1517727.3145000001"/>
    <n v="518300.19526478136"/>
    <n v="1.3879999999999999"/>
    <n v="0"/>
    <n v="0"/>
    <n v="0"/>
    <n v="2.9282784925918204"/>
    <n v="0"/>
    <n v="0"/>
    <n v="0"/>
  </r>
  <r>
    <x v="5"/>
    <s v="CHF"/>
    <x v="11"/>
    <n v="1535606.8095"/>
    <n v="524405.99942419888"/>
    <n v="1.3879999999999999"/>
    <n v="0"/>
    <n v="-2.3283064365386963E-10"/>
    <n v="0"/>
    <n v="2.9282784925918204"/>
    <n v="-2.3283064365386963E-10"/>
    <n v="0"/>
    <n v="-2.3283064365386963E-10"/>
  </r>
  <r>
    <x v="6"/>
    <s v="CHF"/>
    <x v="11"/>
    <n v="1561607.4"/>
    <n v="533285.13799171487"/>
    <n v="1.3879999999999999"/>
    <n v="0"/>
    <n v="0"/>
    <n v="0"/>
    <n v="2.9282784925918204"/>
    <n v="0"/>
    <n v="0"/>
    <n v="0"/>
  </r>
  <r>
    <x v="7"/>
    <s v="CHF"/>
    <x v="11"/>
    <n v="1595990.852"/>
    <n v="545027.00342117657"/>
    <n v="1.3879999999999999"/>
    <n v="0"/>
    <n v="0"/>
    <n v="0"/>
    <n v="2.9282784925918204"/>
    <n v="0"/>
    <n v="0"/>
    <n v="0"/>
  </r>
  <r>
    <x v="8"/>
    <s v="CHF"/>
    <x v="11"/>
    <n v="1631030.6059999999"/>
    <n v="556992.99439117697"/>
    <n v="1.3879999999999999"/>
    <n v="0"/>
    <n v="0"/>
    <n v="0"/>
    <n v="2.9282784925918204"/>
    <n v="0"/>
    <n v="0"/>
    <n v="0"/>
  </r>
  <r>
    <x v="9"/>
    <s v="CHF"/>
    <x v="11"/>
    <n v="1656591.1854999999"/>
    <n v="565721.87026984256"/>
    <n v="1.3879999999999999"/>
    <n v="0"/>
    <n v="0"/>
    <n v="0"/>
    <n v="2.9282784925918204"/>
    <n v="0"/>
    <n v="0"/>
    <n v="0"/>
  </r>
  <r>
    <x v="10"/>
    <s v="CHF"/>
    <x v="11"/>
    <n v="1652188.7975000001"/>
    <n v="564218.46544986474"/>
    <n v="1.3879999999999999"/>
    <n v="0"/>
    <n v="0"/>
    <n v="0"/>
    <n v="2.9282784925918204"/>
    <n v="0"/>
    <n v="0"/>
    <n v="0"/>
  </r>
  <r>
    <x v="11"/>
    <s v="CHF"/>
    <x v="11"/>
    <n v="1705542.4475"/>
    <n v="582438.60746674531"/>
    <n v="1.3879999999999999"/>
    <n v="0"/>
    <n v="0"/>
    <n v="0"/>
    <n v="2.9282784925918204"/>
    <n v="0"/>
    <n v="0"/>
    <n v="0"/>
  </r>
  <r>
    <x v="12"/>
    <s v="CHF"/>
    <x v="11"/>
    <n v="1757509.6880000001"/>
    <n v="600185.29400338139"/>
    <n v="1.3879999999999999"/>
    <n v="0"/>
    <n v="-2.3283064365386963E-10"/>
    <n v="0"/>
    <n v="2.9282784925918204"/>
    <n v="-2.3283064365386963E-10"/>
    <n v="0"/>
    <n v="-2.3283064365386963E-10"/>
  </r>
  <r>
    <x v="13"/>
    <s v="CHF"/>
    <x v="11"/>
    <n v="1765985.2675000001"/>
    <n v="603079.68383735453"/>
    <n v="1.3879999999999999"/>
    <n v="0"/>
    <n v="0"/>
    <n v="0"/>
    <n v="2.9282784925918204"/>
    <n v="0"/>
    <n v="0"/>
    <n v="0"/>
  </r>
  <r>
    <x v="14"/>
    <s v="CHF"/>
    <x v="11"/>
    <n v="1749611.1735"/>
    <n v="597487.97046670876"/>
    <n v="1.3879999999999999"/>
    <n v="0"/>
    <n v="0"/>
    <n v="0"/>
    <n v="2.9282784925918204"/>
    <n v="0"/>
    <n v="0"/>
    <n v="0"/>
  </r>
  <r>
    <x v="15"/>
    <s v="CHF"/>
    <x v="11"/>
    <n v="1776669.1044999999"/>
    <n v="606728.18824942759"/>
    <n v="1.3879999999999999"/>
    <n v="0"/>
    <n v="-2.3283064365386963E-10"/>
    <n v="0"/>
    <n v="2.9282784925918204"/>
    <n v="-2.3283064365386963E-10"/>
    <n v="0"/>
    <n v="-2.3283064365386963E-10"/>
  </r>
  <r>
    <x v="16"/>
    <s v="CHF"/>
    <x v="11"/>
    <n v="1846777.861"/>
    <n v="630670.15848120931"/>
    <n v="1.3879999999999999"/>
    <n v="0"/>
    <n v="0"/>
    <n v="0"/>
    <n v="2.9282784925918204"/>
    <n v="0"/>
    <n v="0"/>
    <n v="0"/>
  </r>
  <r>
    <x v="17"/>
    <s v="CHF"/>
    <x v="11"/>
    <n v="1822095.1869999999"/>
    <n v="622241.08520063024"/>
    <n v="1.3879999999999999"/>
    <n v="0"/>
    <n v="0"/>
    <n v="0"/>
    <n v="2.9282784925918204"/>
    <n v="0"/>
    <n v="0"/>
    <n v="0"/>
  </r>
  <r>
    <x v="18"/>
    <s v="CHF"/>
    <x v="11"/>
    <n v="1818473.7710000002"/>
    <n v="621004.38042368996"/>
    <n v="1.3879999999999999"/>
    <n v="0"/>
    <n v="0"/>
    <n v="0"/>
    <n v="2.9282784925918204"/>
    <n v="0"/>
    <n v="0"/>
    <n v="0"/>
  </r>
  <r>
    <x v="19"/>
    <s v="CHF"/>
    <x v="11"/>
    <n v="1766358.97"/>
    <n v="603207.30233434692"/>
    <n v="1.3879999999999999"/>
    <n v="0"/>
    <n v="0"/>
    <n v="0"/>
    <n v="2.9282784925918204"/>
    <n v="0"/>
    <n v="0"/>
    <n v="0"/>
  </r>
  <r>
    <x v="20"/>
    <s v="CHF"/>
    <x v="11"/>
    <n v="1824437.9909999999"/>
    <n v="623041.14708201448"/>
    <n v="1.3879999999999999"/>
    <n v="0"/>
    <n v="0"/>
    <n v="0"/>
    <n v="2.9282784925918204"/>
    <n v="0"/>
    <n v="0"/>
    <n v="0"/>
  </r>
  <r>
    <x v="21"/>
    <s v="CHF"/>
    <x v="11"/>
    <n v="1869270.8330000001"/>
    <n v="638351.45384191512"/>
    <n v="1.3879999999999999"/>
    <n v="0"/>
    <n v="-2.3283064365386963E-10"/>
    <n v="0"/>
    <n v="2.9282784925918204"/>
    <n v="-2.3283064365386963E-10"/>
    <n v="0"/>
    <n v="-2.3283064365386963E-10"/>
  </r>
  <r>
    <x v="22"/>
    <s v="CHF"/>
    <x v="11"/>
    <n v="1875200"/>
    <n v="640376.24998579279"/>
    <n v="1.3879999999999999"/>
    <n v="0"/>
    <n v="0"/>
    <n v="0"/>
    <n v="2.9282784925918204"/>
    <n v="0"/>
    <n v="0"/>
    <n v="0"/>
  </r>
  <r>
    <x v="23"/>
    <s v="CHF"/>
    <x v="11"/>
    <n v="1803600"/>
    <n v="615925.02371713729"/>
    <n v="1.3879999999999999"/>
    <n v="0"/>
    <n v="0"/>
    <n v="0"/>
    <n v="2.9282784925918204"/>
    <n v="0"/>
    <n v="0"/>
    <n v="0"/>
  </r>
  <r>
    <x v="24"/>
    <s v="CHF"/>
    <x v="11"/>
    <n v="1874100"/>
    <n v="640000.60265484976"/>
    <n v="1.3879999999999999"/>
    <n v="0"/>
    <n v="0"/>
    <n v="0"/>
    <n v="2.9282784925918204"/>
    <n v="0"/>
    <n v="0"/>
    <n v="0"/>
  </r>
  <r>
    <x v="25"/>
    <s v="CHF"/>
    <x v="11"/>
    <n v="1872100"/>
    <n v="639317.60750768054"/>
    <n v="1.3879999999999999"/>
    <n v="0"/>
    <n v="0"/>
    <n v="0"/>
    <n v="2.9282784925918204"/>
    <n v="0"/>
    <n v="0"/>
    <n v="0"/>
  </r>
  <r>
    <x v="26"/>
    <s v="CHF"/>
    <x v="11"/>
    <n v="1919600"/>
    <n v="655538.74225294788"/>
    <n v="1.3879999999999999"/>
    <n v="0"/>
    <n v="0"/>
    <n v="0"/>
    <n v="2.9282784925918204"/>
    <n v="0"/>
    <n v="0"/>
    <n v="0"/>
  </r>
  <r>
    <x v="27"/>
    <s v="CHF"/>
    <x v="11"/>
    <n v="1943800"/>
    <n v="663802.98353369453"/>
    <n v="1.3879999999999999"/>
    <n v="0"/>
    <n v="0"/>
    <n v="0"/>
    <n v="2.9282784925918204"/>
    <n v="0"/>
    <n v="0"/>
    <n v="0"/>
  </r>
  <r>
    <x v="28"/>
    <s v="CHF"/>
    <x v="11"/>
    <n v="1962029.34"/>
    <n v="670028.25891174283"/>
    <n v="1.3879999999999999"/>
    <n v="0"/>
    <n v="0"/>
    <n v="0"/>
    <n v="2.9282784925918204"/>
    <n v="0"/>
    <n v="0"/>
    <n v="0"/>
  </r>
  <r>
    <x v="29"/>
    <s v="CHF"/>
    <x v="11"/>
    <n v="1970710.4620000001"/>
    <n v="672992.84101073444"/>
    <n v="1.3879999999999999"/>
    <n v="0"/>
    <n v="0"/>
    <n v="0"/>
    <n v="2.9282784925918204"/>
    <n v="0"/>
    <n v="0"/>
    <n v="0"/>
  </r>
  <r>
    <x v="30"/>
    <s v="CHF"/>
    <x v="11"/>
    <n v="1970710.4620000001"/>
    <n v="672992.84101073444"/>
    <n v="1.3879999999999999"/>
    <n v="0"/>
    <n v="0"/>
    <n v="0"/>
    <n v="2.9282784925918204"/>
    <n v="0"/>
    <n v="0"/>
    <n v="-1970710.4620000001"/>
  </r>
  <r>
    <x v="197"/>
    <s v="CHF"/>
    <x v="12"/>
    <n v="611040"/>
    <n v="611040"/>
    <n v="5.36"/>
    <n v="611040"/>
    <n v="0"/>
    <n v="0"/>
    <n v="1"/>
    <n v="611040"/>
    <n v="611040"/>
    <n v="611040"/>
  </r>
  <r>
    <x v="198"/>
    <s v="CHF"/>
    <x v="12"/>
    <n v="1356080"/>
    <n v="611040"/>
    <n v="5.36"/>
    <n v="745040"/>
    <n v="0"/>
    <n v="0"/>
    <n v="2.2192982456140351"/>
    <n v="745040"/>
    <n v="0"/>
    <n v="745040"/>
  </r>
  <r>
    <x v="43"/>
    <s v="CHF"/>
    <x v="12"/>
    <n v="1361855.26"/>
    <n v="613642.29106719373"/>
    <n v="5.36"/>
    <n v="0"/>
    <n v="0"/>
    <n v="0"/>
    <n v="2.2192982456140351"/>
    <n v="0"/>
    <n v="0"/>
    <n v="0"/>
  </r>
  <r>
    <x v="44"/>
    <s v="CHF"/>
    <x v="12"/>
    <n v="1329933.1200000001"/>
    <n v="599258.40189723321"/>
    <n v="5.36"/>
    <n v="0"/>
    <n v="0"/>
    <n v="0"/>
    <n v="2.2192982456140351"/>
    <n v="0"/>
    <n v="0"/>
    <n v="0"/>
  </r>
  <r>
    <x v="181"/>
    <s v="CHF"/>
    <x v="12"/>
    <n v="2254028.6"/>
    <n v="604151.45194457739"/>
    <n v="5.36"/>
    <n v="905840"/>
    <n v="0"/>
    <n v="0"/>
    <n v="3.7308999138295147"/>
    <n v="905840"/>
    <n v="0"/>
    <n v="905840"/>
  </r>
  <r>
    <x v="182"/>
    <s v="CHF"/>
    <x v="12"/>
    <n v="2306091.73"/>
    <n v="618106.02891058358"/>
    <n v="5.36"/>
    <n v="0"/>
    <n v="0"/>
    <n v="0"/>
    <n v="3.7308999138295147"/>
    <n v="0"/>
    <n v="0"/>
    <n v="0"/>
  </r>
  <r>
    <x v="183"/>
    <s v="CHF"/>
    <x v="12"/>
    <n v="2319192.5299999998"/>
    <n v="621617.46054975421"/>
    <n v="5.36"/>
    <n v="0"/>
    <n v="0"/>
    <n v="0"/>
    <n v="3.7308999138295147"/>
    <n v="0"/>
    <n v="0"/>
    <n v="0"/>
  </r>
  <r>
    <x v="184"/>
    <s v="CHF"/>
    <x v="12"/>
    <n v="3012891.62"/>
    <n v="636822.94040156959"/>
    <n v="5.36"/>
    <n v="621760"/>
    <n v="0"/>
    <n v="0"/>
    <n v="4.7311292179583271"/>
    <n v="621760"/>
    <n v="0"/>
    <n v="621760"/>
  </r>
  <r>
    <x v="185"/>
    <s v="CHF"/>
    <x v="12"/>
    <n v="3307051.67"/>
    <n v="645592.08942934102"/>
    <n v="5.36"/>
    <n v="249240"/>
    <n v="0"/>
    <n v="0"/>
    <n v="5.1225095910379048"/>
    <n v="249240"/>
    <n v="0"/>
    <n v="249240"/>
  </r>
  <r>
    <x v="186"/>
    <s v="CHF"/>
    <x v="12"/>
    <n v="3786701.32"/>
    <n v="662939.76589558937"/>
    <n v="5.36"/>
    <n v="380560"/>
    <n v="0"/>
    <n v="0"/>
    <n v="5.711983976228078"/>
    <n v="380560"/>
    <n v="0"/>
    <n v="380560"/>
  </r>
  <r>
    <x v="187"/>
    <s v="CHF"/>
    <x v="12"/>
    <n v="4155725.0000000005"/>
    <n v="717390.41524649132"/>
    <n v="5.36"/>
    <n v="53600"/>
    <n v="0"/>
    <n v="0"/>
    <n v="5.7928359672495997"/>
    <n v="53600"/>
    <n v="0"/>
    <n v="53600"/>
  </r>
  <r>
    <x v="188"/>
    <s v="CHF"/>
    <x v="12"/>
    <n v="4340370.76"/>
    <n v="721353.49195015174"/>
    <n v="5.36"/>
    <n v="160800"/>
    <n v="0"/>
    <n v="0"/>
    <n v="6.0169816995908239"/>
    <n v="160800"/>
    <n v="0"/>
    <n v="160800"/>
  </r>
  <r>
    <x v="189"/>
    <s v="CHF"/>
    <x v="12"/>
    <n v="4280901.6399999997"/>
    <n v="711469.94518715527"/>
    <n v="5.36"/>
    <n v="0"/>
    <n v="0"/>
    <n v="0"/>
    <n v="6.0169816995908239"/>
    <n v="0"/>
    <n v="0"/>
    <n v="0"/>
  </r>
  <r>
    <x v="190"/>
    <s v="CHF"/>
    <x v="12"/>
    <n v="4359077.57"/>
    <n v="699078.86530453467"/>
    <n v="5.36"/>
    <n v="155440"/>
    <n v="0"/>
    <n v="0"/>
    <n v="6.2354589536919942"/>
    <n v="155440"/>
    <n v="0"/>
    <n v="155440"/>
  </r>
  <r>
    <x v="191"/>
    <s v="CHF"/>
    <x v="12"/>
    <n v="4287609.03"/>
    <n v="687617.23264352838"/>
    <n v="5.36"/>
    <n v="0"/>
    <n v="0"/>
    <n v="0"/>
    <n v="6.2354589536919942"/>
    <n v="0"/>
    <n v="0"/>
    <n v="0"/>
  </r>
  <r>
    <x v="192"/>
    <s v="CHF"/>
    <x v="12"/>
    <n v="4310120.59"/>
    <n v="691227.48173139559"/>
    <n v="5.36"/>
    <n v="0"/>
    <n v="0"/>
    <n v="0"/>
    <n v="6.2354589536919942"/>
    <n v="0"/>
    <n v="0"/>
    <n v="0"/>
  </r>
  <r>
    <x v="193"/>
    <s v="CHF"/>
    <x v="12"/>
    <n v="4443583.22"/>
    <n v="712631.29995731416"/>
    <n v="5.36"/>
    <n v="0"/>
    <n v="0"/>
    <n v="0"/>
    <n v="6.2354589536919942"/>
    <n v="0"/>
    <n v="0"/>
    <n v="0"/>
  </r>
  <r>
    <x v="1"/>
    <s v="CHF"/>
    <x v="12"/>
    <n v="4670845.82"/>
    <n v="712140.75889345526"/>
    <n v="5.36"/>
    <n v="230480"/>
    <n v="0"/>
    <n v="0"/>
    <n v="6.5588800551982089"/>
    <n v="230480"/>
    <n v="0"/>
    <n v="230480"/>
  </r>
  <r>
    <x v="2"/>
    <s v="CHF"/>
    <x v="12"/>
    <n v="4713172.1100000003"/>
    <n v="718594.03897233924"/>
    <n v="5.36"/>
    <n v="0"/>
    <n v="0"/>
    <n v="0"/>
    <n v="6.5588800551982089"/>
    <n v="0"/>
    <n v="0"/>
    <n v="0"/>
  </r>
  <r>
    <x v="3"/>
    <s v="CHF"/>
    <x v="12"/>
    <n v="4645760.9000000004"/>
    <n v="708316.18521793594"/>
    <n v="5.36"/>
    <n v="0"/>
    <n v="0"/>
    <n v="0"/>
    <n v="6.5588800551982089"/>
    <n v="0"/>
    <n v="0"/>
    <n v="0"/>
  </r>
  <r>
    <x v="4"/>
    <s v="CHF"/>
    <x v="12"/>
    <n v="5998952.4000000004"/>
    <n v="721178.42453299067"/>
    <n v="5.36"/>
    <n v="1246200"/>
    <n v="0"/>
    <n v="0"/>
    <n v="8.3182638247736094"/>
    <n v="1246200"/>
    <n v="0"/>
    <n v="1246200"/>
  </r>
  <r>
    <x v="5"/>
    <s v="CHF"/>
    <x v="12"/>
    <n v="6073133.46"/>
    <n v="730096.27825374808"/>
    <n v="5.36"/>
    <n v="0"/>
    <n v="0"/>
    <n v="0"/>
    <n v="8.3182638247736094"/>
    <n v="0"/>
    <n v="0"/>
    <n v="0"/>
  </r>
  <r>
    <x v="6"/>
    <s v="CHF"/>
    <x v="12"/>
    <n v="6144593.5999999996"/>
    <n v="738687.03006269841"/>
    <n v="5.36"/>
    <n v="0"/>
    <n v="0"/>
    <n v="0"/>
    <n v="8.3182638247736094"/>
    <n v="0"/>
    <n v="0"/>
    <n v="0"/>
  </r>
  <r>
    <x v="7"/>
    <s v="CHF"/>
    <x v="12"/>
    <n v="6225331.6399999997"/>
    <n v="748393.14683186659"/>
    <n v="5.36"/>
    <n v="0"/>
    <n v="0"/>
    <n v="0"/>
    <n v="8.3182638247736094"/>
    <n v="0"/>
    <n v="0"/>
    <n v="0"/>
  </r>
  <r>
    <x v="8"/>
    <s v="CHF"/>
    <x v="12"/>
    <n v="6439846.71"/>
    <n v="774181.58953082585"/>
    <n v="5.36"/>
    <n v="0"/>
    <n v="0"/>
    <n v="0"/>
    <n v="8.3182638247736094"/>
    <n v="0"/>
    <n v="0"/>
    <n v="0"/>
  </r>
  <r>
    <x v="9"/>
    <s v="CHF"/>
    <x v="12"/>
    <n v="6491037.9299999997"/>
    <n v="780335.66459725273"/>
    <n v="5.36"/>
    <n v="0"/>
    <n v="0"/>
    <n v="0"/>
    <n v="8.3182638247736094"/>
    <n v="0"/>
    <n v="0"/>
    <n v="0"/>
  </r>
  <r>
    <x v="10"/>
    <s v="CHF"/>
    <x v="12"/>
    <n v="6480549.9699999997"/>
    <n v="779074.8293771958"/>
    <n v="5.36"/>
    <n v="0"/>
    <n v="0"/>
    <n v="0"/>
    <n v="8.3182638247736094"/>
    <n v="0"/>
    <n v="0"/>
    <n v="0"/>
  </r>
  <r>
    <x v="11"/>
    <s v="CHF"/>
    <x v="12"/>
    <n v="6803889.1299999999"/>
    <n v="817945.82058536413"/>
    <n v="5.36"/>
    <n v="0"/>
    <n v="0"/>
    <n v="0"/>
    <n v="8.3182638247736094"/>
    <n v="0"/>
    <n v="0"/>
    <n v="0"/>
  </r>
  <r>
    <x v="12"/>
    <s v="CHF"/>
    <x v="12"/>
    <n v="7047647.7400000002"/>
    <n v="847249.84545579855"/>
    <n v="5.36"/>
    <n v="0"/>
    <n v="0"/>
    <n v="0"/>
    <n v="8.3182638247736094"/>
    <n v="0"/>
    <n v="0"/>
    <n v="0"/>
  </r>
  <r>
    <x v="13"/>
    <s v="CHF"/>
    <x v="12"/>
    <n v="7085855.7599999998"/>
    <n v="851843.11405184958"/>
    <n v="5.36"/>
    <n v="0"/>
    <n v="-9.3132257461547852E-10"/>
    <n v="0"/>
    <n v="8.3182638247736094"/>
    <n v="-9.3132257461547852E-10"/>
    <n v="0"/>
    <n v="-9.3132257461547852E-10"/>
  </r>
  <r>
    <x v="14"/>
    <s v="CHF"/>
    <x v="12"/>
    <n v="7050644.8899999997"/>
    <n v="847610.15501836292"/>
    <n v="5.36"/>
    <n v="0"/>
    <n v="0"/>
    <n v="0"/>
    <n v="8.3182638247736094"/>
    <n v="0"/>
    <n v="0"/>
    <n v="0"/>
  </r>
  <r>
    <x v="15"/>
    <s v="CHF"/>
    <x v="12"/>
    <n v="7160134.9800000004"/>
    <n v="860772.76831200661"/>
    <n v="5.36"/>
    <n v="0"/>
    <n v="0"/>
    <n v="0"/>
    <n v="8.3182638247736094"/>
    <n v="0"/>
    <n v="0"/>
    <n v="0"/>
  </r>
  <r>
    <x v="16"/>
    <s v="CHF"/>
    <x v="12"/>
    <n v="7477471.9100000001"/>
    <n v="898922.18707111129"/>
    <n v="5.36"/>
    <n v="0"/>
    <n v="0"/>
    <n v="0"/>
    <n v="8.3182638247736094"/>
    <n v="0"/>
    <n v="0"/>
    <n v="0"/>
  </r>
  <r>
    <x v="17"/>
    <s v="CHF"/>
    <x v="12"/>
    <n v="7379042.8799999999"/>
    <n v="887089.30558605224"/>
    <n v="5.36"/>
    <n v="0"/>
    <n v="0"/>
    <n v="0"/>
    <n v="8.3182638247736094"/>
    <n v="0"/>
    <n v="0"/>
    <n v="0"/>
  </r>
  <r>
    <x v="18"/>
    <s v="CHF"/>
    <x v="12"/>
    <n v="7339903.3500000006"/>
    <n v="882384.05328527361"/>
    <n v="5.36"/>
    <n v="0"/>
    <n v="0"/>
    <n v="0"/>
    <n v="8.3182638247736094"/>
    <n v="0"/>
    <n v="0"/>
    <n v="0"/>
  </r>
  <r>
    <x v="19"/>
    <s v="CHF"/>
    <x v="12"/>
    <n v="7155239.6299999999"/>
    <n v="860184.26209206437"/>
    <n v="5.36"/>
    <n v="0"/>
    <n v="0"/>
    <n v="0"/>
    <n v="8.3182638247736094"/>
    <n v="0"/>
    <n v="0"/>
    <n v="0"/>
  </r>
  <r>
    <x v="20"/>
    <s v="CHF"/>
    <x v="12"/>
    <n v="7447567.6100000003"/>
    <n v="895327.17005434656"/>
    <n v="5.36"/>
    <n v="0"/>
    <n v="0"/>
    <n v="0"/>
    <n v="8.3182638247736094"/>
    <n v="0"/>
    <n v="0"/>
    <n v="0"/>
  </r>
  <r>
    <x v="21"/>
    <s v="CHF"/>
    <x v="12"/>
    <n v="7613230.5"/>
    <n v="915242.73098024784"/>
    <n v="5.36"/>
    <n v="0"/>
    <n v="0"/>
    <n v="0"/>
    <n v="8.3182638247736094"/>
    <n v="0"/>
    <n v="0"/>
    <n v="0"/>
  </r>
  <r>
    <x v="22"/>
    <s v="CHF"/>
    <x v="12"/>
    <n v="7662300"/>
    <n v="921141.73839737976"/>
    <n v="5.36"/>
    <n v="0"/>
    <n v="0"/>
    <n v="0"/>
    <n v="8.3182638247736094"/>
    <n v="0"/>
    <n v="0"/>
    <n v="0"/>
  </r>
  <r>
    <x v="23"/>
    <s v="CHF"/>
    <x v="12"/>
    <n v="7383400"/>
    <n v="887613.10719799716"/>
    <n v="5.36"/>
    <n v="0"/>
    <n v="0"/>
    <n v="0"/>
    <n v="8.3182638247736094"/>
    <n v="0"/>
    <n v="0"/>
    <n v="0"/>
  </r>
  <r>
    <x v="24"/>
    <s v="CHF"/>
    <x v="12"/>
    <n v="7665296.4900000002"/>
    <n v="921501.96861646418"/>
    <n v="5.36"/>
    <n v="0"/>
    <n v="0"/>
    <n v="0"/>
    <n v="8.3182638247736094"/>
    <n v="0"/>
    <n v="0"/>
    <n v="0"/>
  </r>
  <r>
    <x v="25"/>
    <s v="CHF"/>
    <x v="12"/>
    <n v="7704700"/>
    <n v="926238.95590492303"/>
    <n v="5.36"/>
    <n v="0"/>
    <n v="0"/>
    <n v="0"/>
    <n v="8.3182638247736094"/>
    <n v="0"/>
    <n v="0"/>
    <n v="0"/>
  </r>
  <r>
    <x v="26"/>
    <s v="CHF"/>
    <x v="12"/>
    <n v="8108400"/>
    <n v="974770.71788122552"/>
    <n v="5.36"/>
    <n v="0"/>
    <n v="0"/>
    <n v="0"/>
    <n v="8.3182638247736094"/>
    <n v="0"/>
    <n v="0"/>
    <n v="0"/>
  </r>
  <r>
    <x v="27"/>
    <s v="CHF"/>
    <x v="12"/>
    <n v="8201800"/>
    <n v="985999.02248510625"/>
    <n v="5.36"/>
    <n v="0"/>
    <n v="0"/>
    <n v="0"/>
    <n v="8.3182638247736094"/>
    <n v="0"/>
    <n v="0"/>
    <n v="0"/>
  </r>
  <r>
    <x v="28"/>
    <s v="CHF"/>
    <x v="12"/>
    <n v="8286601.4900000002"/>
    <n v="996193.63662410993"/>
    <n v="5.36"/>
    <n v="0"/>
    <n v="0"/>
    <n v="0"/>
    <n v="8.3182638247736094"/>
    <n v="0"/>
    <n v="0"/>
    <n v="0"/>
  </r>
  <r>
    <x v="29"/>
    <s v="CHF"/>
    <x v="12"/>
    <n v="8385406.5700000003"/>
    <n v="1008071.7258602"/>
    <n v="5.36"/>
    <n v="0"/>
    <n v="0"/>
    <n v="0"/>
    <n v="8.3182638247736094"/>
    <n v="0"/>
    <n v="0"/>
    <n v="0"/>
  </r>
  <r>
    <x v="30"/>
    <s v="CHF"/>
    <x v="12"/>
    <n v="8385406.5700000003"/>
    <n v="1008071.7258602"/>
    <n v="5.36"/>
    <n v="0"/>
    <n v="0"/>
    <n v="0"/>
    <n v="8.3182638247736094"/>
    <n v="0"/>
    <n v="0"/>
    <n v="-8385406.5700000003"/>
  </r>
  <r>
    <x v="197"/>
    <s v="CHF"/>
    <x v="13"/>
    <n v="300080"/>
    <n v="300080"/>
    <n v="2.63"/>
    <n v="300080"/>
    <n v="0"/>
    <n v="0"/>
    <n v="1"/>
    <n v="300080"/>
    <n v="300080"/>
    <n v="300080"/>
  </r>
  <r>
    <x v="198"/>
    <s v="CHF"/>
    <x v="13"/>
    <n v="665910"/>
    <n v="300080"/>
    <n v="2.63"/>
    <n v="365830"/>
    <n v="0"/>
    <n v="0"/>
    <n v="2.2191082378032525"/>
    <n v="365830"/>
    <n v="0"/>
    <n v="365830"/>
  </r>
  <r>
    <x v="43"/>
    <s v="CHF"/>
    <x v="13"/>
    <n v="667641.24600000004"/>
    <n v="300860.15392422403"/>
    <n v="2.63"/>
    <n v="0"/>
    <n v="0"/>
    <n v="0"/>
    <n v="2.2191082378032525"/>
    <n v="0"/>
    <n v="0"/>
    <n v="0"/>
  </r>
  <r>
    <x v="44"/>
    <s v="CHF"/>
    <x v="13"/>
    <n v="650611.29"/>
    <n v="293185.91987385682"/>
    <n v="2.63"/>
    <n v="0"/>
    <n v="0"/>
    <n v="0"/>
    <n v="2.2191082378032525"/>
    <n v="0"/>
    <n v="0"/>
    <n v="0"/>
  </r>
  <r>
    <x v="181"/>
    <s v="CHF"/>
    <x v="13"/>
    <n v="1103306.8999999999"/>
    <n v="295388.16098270967"/>
    <n v="2.63"/>
    <n v="444470"/>
    <n v="0"/>
    <n v="0"/>
    <n v="3.7351087339772606"/>
    <n v="444470"/>
    <n v="0"/>
    <n v="444470"/>
  </r>
  <r>
    <x v="182"/>
    <s v="CHF"/>
    <x v="13"/>
    <n v="1125599.1140000001"/>
    <n v="301356.45148981432"/>
    <n v="2.63"/>
    <n v="0"/>
    <n v="0"/>
    <n v="0"/>
    <n v="3.7351087339772606"/>
    <n v="0"/>
    <n v="0"/>
    <n v="0"/>
  </r>
  <r>
    <x v="183"/>
    <s v="CHF"/>
    <x v="13"/>
    <n v="1128516.96"/>
    <n v="302137.64588275313"/>
    <n v="2.63"/>
    <n v="0"/>
    <n v="0"/>
    <n v="0"/>
    <n v="3.7351087339772606"/>
    <n v="0"/>
    <n v="0"/>
    <n v="0"/>
  </r>
  <r>
    <x v="184"/>
    <s v="CHF"/>
    <x v="13"/>
    <n v="1465704.2904999999"/>
    <n v="308904.42449872446"/>
    <n v="2.63"/>
    <n v="305080"/>
    <n v="0"/>
    <n v="0"/>
    <n v="4.7448471898014271"/>
    <n v="305080"/>
    <n v="0"/>
    <n v="305080"/>
  </r>
  <r>
    <x v="185"/>
    <s v="CHF"/>
    <x v="13"/>
    <n v="1604997.6754999999"/>
    <n v="312211.02316488599"/>
    <n v="2.63"/>
    <n v="122295"/>
    <n v="0"/>
    <n v="0"/>
    <n v="5.140746342746402"/>
    <n v="122295"/>
    <n v="0"/>
    <n v="122295"/>
  </r>
  <r>
    <x v="186"/>
    <s v="CHF"/>
    <x v="13"/>
    <n v="1837353.1429999999"/>
    <n v="318292.49247448903"/>
    <n v="2.63"/>
    <n v="197250"/>
    <n v="0"/>
    <n v="0"/>
    <n v="5.7725305699670653"/>
    <n v="197250"/>
    <n v="0"/>
    <n v="197250"/>
  </r>
  <r>
    <x v="187"/>
    <s v="CHF"/>
    <x v="13"/>
    <n v="2002566.909"/>
    <n v="342017.51286534505"/>
    <n v="2.63"/>
    <n v="26300"/>
    <n v="0"/>
    <n v="0"/>
    <n v="5.8551589718986881"/>
    <n v="26300"/>
    <n v="0"/>
    <n v="26300"/>
  </r>
  <r>
    <x v="188"/>
    <s v="CHF"/>
    <x v="13"/>
    <n v="2084092.9754999999"/>
    <n v="342449.01659430919"/>
    <n v="2.63"/>
    <n v="78900"/>
    <n v="0"/>
    <n v="0"/>
    <n v="6.0858489132966991"/>
    <n v="78900"/>
    <n v="0"/>
    <n v="78900"/>
  </r>
  <r>
    <x v="189"/>
    <s v="CHF"/>
    <x v="13"/>
    <n v="2052580.9595000001"/>
    <n v="337271.10034154938"/>
    <n v="2.63"/>
    <n v="0"/>
    <n v="0"/>
    <n v="0"/>
    <n v="6.0858489132966991"/>
    <n v="0"/>
    <n v="0"/>
    <n v="0"/>
  </r>
  <r>
    <x v="190"/>
    <s v="CHF"/>
    <x v="13"/>
    <n v="2094321.554"/>
    <n v="331800.6513487933"/>
    <n v="2.63"/>
    <n v="76270"/>
    <n v="0"/>
    <n v="0"/>
    <n v="6.3119874704477938"/>
    <n v="76270"/>
    <n v="0"/>
    <n v="76270"/>
  </r>
  <r>
    <x v="191"/>
    <s v="CHF"/>
    <x v="13"/>
    <n v="2062285.2410000002"/>
    <n v="326725.17977189436"/>
    <n v="2.63"/>
    <n v="0"/>
    <n v="0"/>
    <n v="0"/>
    <n v="6.3119874704477938"/>
    <n v="0"/>
    <n v="0"/>
    <n v="0"/>
  </r>
  <r>
    <x v="192"/>
    <s v="CHF"/>
    <x v="13"/>
    <n v="2069444.9439999999"/>
    <n v="327859.48224532622"/>
    <n v="2.63"/>
    <n v="0"/>
    <n v="0"/>
    <n v="0"/>
    <n v="6.3119874704477938"/>
    <n v="0"/>
    <n v="0"/>
    <n v="0"/>
  </r>
  <r>
    <x v="193"/>
    <s v="CHF"/>
    <x v="13"/>
    <n v="2129597.2935000001"/>
    <n v="337389.34107055812"/>
    <n v="2.63"/>
    <n v="0"/>
    <n v="0"/>
    <n v="0"/>
    <n v="6.3119874704477938"/>
    <n v="0"/>
    <n v="0"/>
    <n v="0"/>
  </r>
  <r>
    <x v="1"/>
    <s v="CHF"/>
    <x v="13"/>
    <n v="2230071.602"/>
    <n v="335491.43945285561"/>
    <n v="2.63"/>
    <n v="113090"/>
    <n v="0"/>
    <n v="0"/>
    <n v="6.6471788539134309"/>
    <n v="113090"/>
    <n v="0"/>
    <n v="113090"/>
  </r>
  <r>
    <x v="2"/>
    <s v="CHF"/>
    <x v="13"/>
    <n v="2247136.7544999998"/>
    <n v="338058.71692124405"/>
    <n v="2.63"/>
    <n v="0"/>
    <n v="0"/>
    <n v="0"/>
    <n v="6.6471788539134309"/>
    <n v="0"/>
    <n v="0"/>
    <n v="0"/>
  </r>
  <r>
    <x v="3"/>
    <s v="CHF"/>
    <x v="13"/>
    <n v="2224103.6924999999"/>
    <n v="334593.62857230642"/>
    <n v="2.63"/>
    <n v="0"/>
    <n v="0"/>
    <n v="0"/>
    <n v="6.6471788539134309"/>
    <n v="0"/>
    <n v="0"/>
    <n v="0"/>
  </r>
  <r>
    <x v="4"/>
    <s v="CHF"/>
    <x v="13"/>
    <n v="2865344.7275"/>
    <n v="339427.49378171301"/>
    <n v="2.63"/>
    <n v="600435"/>
    <n v="0"/>
    <n v="0"/>
    <n v="8.4416989784060128"/>
    <n v="600435"/>
    <n v="0"/>
    <n v="600435"/>
  </r>
  <r>
    <x v="5"/>
    <s v="CHF"/>
    <x v="13"/>
    <n v="2885692.6055000001"/>
    <n v="341837.89458515914"/>
    <n v="2.63"/>
    <n v="0"/>
    <n v="0"/>
    <n v="0"/>
    <n v="8.4416989784060128"/>
    <n v="0"/>
    <n v="0"/>
    <n v="0"/>
  </r>
  <r>
    <x v="6"/>
    <s v="CHF"/>
    <x v="13"/>
    <n v="2929170.6154999998"/>
    <n v="346988.28079428803"/>
    <n v="2.63"/>
    <n v="0"/>
    <n v="0"/>
    <n v="0"/>
    <n v="8.4416989784060128"/>
    <n v="0"/>
    <n v="0"/>
    <n v="0"/>
  </r>
  <r>
    <x v="7"/>
    <s v="CHF"/>
    <x v="13"/>
    <n v="2959422.4470000002"/>
    <n v="350571.89963421406"/>
    <n v="2.63"/>
    <n v="0"/>
    <n v="0"/>
    <n v="0"/>
    <n v="8.4416989784060128"/>
    <n v="0"/>
    <n v="0"/>
    <n v="0"/>
  </r>
  <r>
    <x v="8"/>
    <s v="CHF"/>
    <x v="13"/>
    <n v="3028777.0325000002"/>
    <n v="358787.61375496275"/>
    <n v="2.63"/>
    <n v="0"/>
    <n v="0"/>
    <n v="0"/>
    <n v="8.4416989784060128"/>
    <n v="0"/>
    <n v="0"/>
    <n v="0"/>
  </r>
  <r>
    <x v="9"/>
    <s v="CHF"/>
    <x v="13"/>
    <n v="3073498.9920000001"/>
    <n v="364085.35768238769"/>
    <n v="2.63"/>
    <n v="0"/>
    <n v="0"/>
    <n v="0"/>
    <n v="8.4416989784060128"/>
    <n v="0"/>
    <n v="0"/>
    <n v="0"/>
  </r>
  <r>
    <x v="10"/>
    <s v="CHF"/>
    <x v="13"/>
    <n v="3065489.6970000002"/>
    <n v="363136.58007014543"/>
    <n v="2.63"/>
    <n v="0"/>
    <n v="0"/>
    <n v="0"/>
    <n v="8.4416989784060128"/>
    <n v="0"/>
    <n v="0"/>
    <n v="0"/>
  </r>
  <r>
    <x v="11"/>
    <s v="CHF"/>
    <x v="13"/>
    <n v="3170103.5235000001"/>
    <n v="375529.08858858515"/>
    <n v="2.63"/>
    <n v="0"/>
    <n v="0"/>
    <n v="0"/>
    <n v="8.4416989784060128"/>
    <n v="0"/>
    <n v="0"/>
    <n v="0"/>
  </r>
  <r>
    <x v="12"/>
    <s v="CHF"/>
    <x v="13"/>
    <n v="3268102.1060000001"/>
    <n v="387137.95817167283"/>
    <n v="2.63"/>
    <n v="0"/>
    <n v="0"/>
    <n v="0"/>
    <n v="8.4416989784060128"/>
    <n v="0"/>
    <n v="0"/>
    <n v="0"/>
  </r>
  <r>
    <x v="13"/>
    <s v="CHF"/>
    <x v="13"/>
    <n v="3284136.1575000002"/>
    <n v="389037.34495874203"/>
    <n v="2.63"/>
    <n v="0"/>
    <n v="0"/>
    <n v="0"/>
    <n v="8.4416989784060128"/>
    <n v="0"/>
    <n v="0"/>
    <n v="0"/>
  </r>
  <r>
    <x v="14"/>
    <s v="CHF"/>
    <x v="13"/>
    <n v="3262282.7170000002"/>
    <n v="386448.59587447578"/>
    <n v="2.63"/>
    <n v="0"/>
    <n v="0"/>
    <n v="0"/>
    <n v="8.4416989784060128"/>
    <n v="0"/>
    <n v="0"/>
    <n v="0"/>
  </r>
  <r>
    <x v="15"/>
    <s v="CHF"/>
    <x v="13"/>
    <n v="3315318.4925000002"/>
    <n v="392731.19083973882"/>
    <n v="2.63"/>
    <n v="0"/>
    <n v="0"/>
    <n v="0"/>
    <n v="8.4416989784060128"/>
    <n v="0"/>
    <n v="0"/>
    <n v="0"/>
  </r>
  <r>
    <x v="16"/>
    <s v="CHF"/>
    <x v="13"/>
    <n v="3443498.6370000001"/>
    <n v="407915.35516825691"/>
    <n v="2.63"/>
    <n v="0"/>
    <n v="0"/>
    <n v="0"/>
    <n v="8.4416989784060128"/>
    <n v="0"/>
    <n v="0"/>
    <n v="0"/>
  </r>
  <r>
    <x v="17"/>
    <s v="CHF"/>
    <x v="13"/>
    <n v="3388011.1894999999"/>
    <n v="401342.33620111085"/>
    <n v="2.63"/>
    <n v="0"/>
    <n v="0"/>
    <n v="0"/>
    <n v="8.4416989784060128"/>
    <n v="0"/>
    <n v="0"/>
    <n v="0"/>
  </r>
  <r>
    <x v="18"/>
    <s v="CHF"/>
    <x v="13"/>
    <n v="3379414.0520000001"/>
    <n v="400323.92302125314"/>
    <n v="2.63"/>
    <n v="0"/>
    <n v="0"/>
    <n v="0"/>
    <n v="8.4416989784060128"/>
    <n v="0"/>
    <n v="0"/>
    <n v="0"/>
  </r>
  <r>
    <x v="19"/>
    <s v="CHF"/>
    <x v="13"/>
    <n v="3287223.9780000001"/>
    <n v="389403.12683605117"/>
    <n v="2.63"/>
    <n v="0"/>
    <n v="0"/>
    <n v="0"/>
    <n v="8.4416989784060128"/>
    <n v="0"/>
    <n v="0"/>
    <n v="0"/>
  </r>
  <r>
    <x v="20"/>
    <s v="CHF"/>
    <x v="13"/>
    <n v="3405044.0589999999"/>
    <n v="403360.04253529431"/>
    <n v="2.63"/>
    <n v="0"/>
    <n v="0"/>
    <n v="0"/>
    <n v="8.4416989784060128"/>
    <n v="0"/>
    <n v="0"/>
    <n v="0"/>
  </r>
  <r>
    <x v="21"/>
    <s v="CHF"/>
    <x v="13"/>
    <n v="3481511.3000000003"/>
    <n v="412418.31874196843"/>
    <n v="2.63"/>
    <n v="0"/>
    <n v="0"/>
    <n v="0"/>
    <n v="8.4416989784060128"/>
    <n v="0"/>
    <n v="0"/>
    <n v="0"/>
  </r>
  <r>
    <x v="22"/>
    <s v="CHF"/>
    <x v="13"/>
    <n v="3486600"/>
    <n v="413021.12393710943"/>
    <n v="2.63"/>
    <n v="0"/>
    <n v="0"/>
    <n v="0"/>
    <n v="8.4416989784060128"/>
    <n v="0"/>
    <n v="0"/>
    <n v="0"/>
  </r>
  <r>
    <x v="23"/>
    <s v="CHF"/>
    <x v="13"/>
    <n v="3367000"/>
    <n v="398853.35980503855"/>
    <n v="2.63"/>
    <n v="0"/>
    <n v="0"/>
    <n v="0"/>
    <n v="8.4416989784060128"/>
    <n v="0"/>
    <n v="0"/>
    <n v="0"/>
  </r>
  <r>
    <x v="24"/>
    <s v="CHF"/>
    <x v="13"/>
    <n v="3491400"/>
    <n v="413589.72985545342"/>
    <n v="2.63"/>
    <n v="0"/>
    <n v="0"/>
    <n v="0"/>
    <n v="8.4416989784060128"/>
    <n v="0"/>
    <n v="0"/>
    <n v="0"/>
  </r>
  <r>
    <x v="25"/>
    <s v="CHF"/>
    <x v="13"/>
    <n v="3492400"/>
    <n v="413708.18942177511"/>
    <n v="2.63"/>
    <n v="0"/>
    <n v="0"/>
    <n v="0"/>
    <n v="8.4416989784060128"/>
    <n v="0"/>
    <n v="0"/>
    <n v="0"/>
  </r>
  <r>
    <x v="26"/>
    <s v="CHF"/>
    <x v="13"/>
    <n v="3653800"/>
    <n v="432827.56342609145"/>
    <n v="2.63"/>
    <n v="0"/>
    <n v="0"/>
    <n v="0"/>
    <n v="8.4416989784060128"/>
    <n v="0"/>
    <n v="0"/>
    <n v="0"/>
  </r>
  <r>
    <x v="27"/>
    <s v="CHF"/>
    <x v="13"/>
    <n v="3700400"/>
    <n v="438347.77921668097"/>
    <n v="2.63"/>
    <n v="0"/>
    <n v="0"/>
    <n v="0"/>
    <n v="8.4416989784060128"/>
    <n v="0"/>
    <n v="0"/>
    <n v="0"/>
  </r>
  <r>
    <x v="28"/>
    <s v="CHF"/>
    <x v="13"/>
    <n v="3732083.6"/>
    <n v="442101.00473218999"/>
    <n v="2.63"/>
    <n v="0"/>
    <n v="0"/>
    <n v="0"/>
    <n v="8.4416989784060128"/>
    <n v="0"/>
    <n v="0"/>
    <n v="0"/>
  </r>
  <r>
    <x v="29"/>
    <s v="CHF"/>
    <x v="13"/>
    <n v="3756526.6834999998"/>
    <n v="444996.52180316416"/>
    <n v="2.63"/>
    <n v="0"/>
    <n v="0"/>
    <n v="0"/>
    <n v="8.4416989784060128"/>
    <n v="0"/>
    <n v="0"/>
    <n v="0"/>
  </r>
  <r>
    <x v="30"/>
    <s v="CHF"/>
    <x v="13"/>
    <n v="3756526.6834999998"/>
    <n v="444996.52180316416"/>
    <n v="2.63"/>
    <n v="0"/>
    <n v="0"/>
    <n v="0"/>
    <n v="8.4416989784060128"/>
    <n v="0"/>
    <n v="0"/>
    <n v="-3756526.6834999998"/>
  </r>
  <r>
    <x v="197"/>
    <s v="CHF"/>
    <x v="14"/>
    <n v="319200"/>
    <n v="319200"/>
    <n v="2.8"/>
    <n v="319200"/>
    <n v="0"/>
    <n v="0"/>
    <n v="1"/>
    <n v="319200"/>
    <n v="319200"/>
    <n v="319200"/>
  </r>
  <r>
    <x v="198"/>
    <s v="CHF"/>
    <x v="14"/>
    <n v="708399.99999999988"/>
    <n v="319199.99999999994"/>
    <n v="2.8"/>
    <n v="389200"/>
    <n v="0"/>
    <n v="0"/>
    <n v="2.2192982456140351"/>
    <n v="389200"/>
    <n v="0"/>
    <n v="389200"/>
  </r>
  <r>
    <x v="43"/>
    <s v="CHF"/>
    <x v="14"/>
    <n v="710243.71799999999"/>
    <n v="320030.76621343871"/>
    <n v="2.8"/>
    <n v="0"/>
    <n v="0"/>
    <n v="0"/>
    <n v="2.2192982456140351"/>
    <n v="0"/>
    <n v="0"/>
    <n v="0"/>
  </r>
  <r>
    <x v="44"/>
    <s v="CHF"/>
    <x v="14"/>
    <n v="689478.5"/>
    <n v="310674.10671936761"/>
    <n v="2.8"/>
    <n v="0"/>
    <n v="-1.1641532182693481E-10"/>
    <n v="0"/>
    <n v="2.2192982456140351"/>
    <n v="-1.1641532182693481E-10"/>
    <n v="0"/>
    <n v="-1.1641532182693481E-10"/>
  </r>
  <r>
    <x v="181"/>
    <s v="CHF"/>
    <x v="14"/>
    <n v="1170752.6000000001"/>
    <n v="312831.55076349754"/>
    <n v="2.8"/>
    <n v="473200"/>
    <n v="0"/>
    <n v="0"/>
    <n v="3.7424377341181163"/>
    <n v="473200"/>
    <n v="0"/>
    <n v="473200"/>
  </r>
  <r>
    <x v="182"/>
    <s v="CHF"/>
    <x v="14"/>
    <n v="1195039.52"/>
    <n v="319321.14971623011"/>
    <n v="2.8"/>
    <n v="0"/>
    <n v="0"/>
    <n v="0"/>
    <n v="3.7424377341181163"/>
    <n v="0"/>
    <n v="0"/>
    <n v="0"/>
  </r>
  <r>
    <x v="183"/>
    <s v="CHF"/>
    <x v="14"/>
    <n v="1196947.0305000001"/>
    <n v="319830.84704067995"/>
    <n v="2.8"/>
    <n v="0"/>
    <n v="0"/>
    <n v="0"/>
    <n v="3.7424377341181163"/>
    <n v="0"/>
    <n v="0"/>
    <n v="0"/>
  </r>
  <r>
    <x v="184"/>
    <s v="CHF"/>
    <x v="14"/>
    <n v="1557204.6444999999"/>
    <n v="327283.09665403079"/>
    <n v="2.8"/>
    <n v="324800"/>
    <n v="0"/>
    <n v="0"/>
    <n v="4.7579745499234036"/>
    <n v="324800"/>
    <n v="0"/>
    <n v="324800"/>
  </r>
  <r>
    <x v="185"/>
    <s v="CHF"/>
    <x v="14"/>
    <n v="1705171.0895"/>
    <n v="330729.01411969977"/>
    <n v="2.8"/>
    <n v="130200.00000000001"/>
    <n v="0"/>
    <n v="0"/>
    <n v="5.1557952786169903"/>
    <n v="130200.00000000001"/>
    <n v="0"/>
    <n v="130200.00000000001"/>
  </r>
  <r>
    <x v="186"/>
    <s v="CHF"/>
    <x v="14"/>
    <n v="1953412.9445"/>
    <n v="336840.4981910155"/>
    <n v="2.8"/>
    <n v="212800"/>
    <n v="0"/>
    <n v="0"/>
    <n v="5.7992223470476478"/>
    <n v="212800"/>
    <n v="0"/>
    <n v="212800"/>
  </r>
  <r>
    <x v="187"/>
    <s v="CHF"/>
    <x v="14"/>
    <n v="2131696.0809999998"/>
    <n v="362388.65396989201"/>
    <n v="2.8"/>
    <n v="28000"/>
    <n v="0"/>
    <n v="0"/>
    <n v="5.8823477436385341"/>
    <n v="28000"/>
    <n v="0"/>
    <n v="28000"/>
  </r>
  <r>
    <x v="188"/>
    <s v="CHF"/>
    <x v="14"/>
    <n v="2216335.2725"/>
    <n v="362493.19707456254"/>
    <n v="2.8"/>
    <n v="84000"/>
    <n v="0"/>
    <n v="0"/>
    <n v="6.1141430801641059"/>
    <n v="84000"/>
    <n v="0"/>
    <n v="84000"/>
  </r>
  <r>
    <x v="189"/>
    <s v="CHF"/>
    <x v="14"/>
    <n v="2181675.63"/>
    <n v="356824.43171438552"/>
    <n v="2.8"/>
    <n v="0"/>
    <n v="0"/>
    <n v="0"/>
    <n v="6.1141430801641059"/>
    <n v="0"/>
    <n v="0"/>
    <n v="0"/>
  </r>
  <r>
    <x v="190"/>
    <s v="CHF"/>
    <x v="14"/>
    <n v="2225845.8815000001"/>
    <n v="350985.34856290056"/>
    <n v="2.8"/>
    <n v="81200"/>
    <n v="0"/>
    <n v="0"/>
    <n v="6.3417059732369525"/>
    <n v="81200"/>
    <n v="0"/>
    <n v="81200"/>
  </r>
  <r>
    <x v="191"/>
    <s v="CHF"/>
    <x v="14"/>
    <n v="2191470.3854999999"/>
    <n v="345564.80460437096"/>
    <n v="2.8"/>
    <n v="0"/>
    <n v="0"/>
    <n v="0"/>
    <n v="6.3417059732369525"/>
    <n v="0"/>
    <n v="0"/>
    <n v="0"/>
  </r>
  <r>
    <x v="192"/>
    <s v="CHF"/>
    <x v="14"/>
    <n v="2198833.1365"/>
    <n v="346725.80939252611"/>
    <n v="2.8"/>
    <n v="0"/>
    <n v="0"/>
    <n v="0"/>
    <n v="6.3417059732369525"/>
    <n v="0"/>
    <n v="0"/>
    <n v="0"/>
  </r>
  <r>
    <x v="193"/>
    <s v="CHF"/>
    <x v="14"/>
    <n v="2263410.4670000002"/>
    <n v="356908.76816931699"/>
    <n v="2.8"/>
    <n v="0"/>
    <n v="0"/>
    <n v="0"/>
    <n v="6.3417059732369525"/>
    <n v="0"/>
    <n v="0"/>
    <n v="0"/>
  </r>
  <r>
    <x v="1"/>
    <s v="CHF"/>
    <x v="14"/>
    <n v="2369405.517"/>
    <n v="354752.03086523473"/>
    <n v="2.8"/>
    <n v="120400"/>
    <n v="0"/>
    <n v="0"/>
    <n v="6.6790470831725939"/>
    <n v="120400"/>
    <n v="0"/>
    <n v="120400"/>
  </r>
  <r>
    <x v="2"/>
    <s v="CHF"/>
    <x v="14"/>
    <n v="2387345.2684999998"/>
    <n v="357438.00556740409"/>
    <n v="2.8"/>
    <n v="0"/>
    <n v="0"/>
    <n v="0"/>
    <n v="6.6790470831725939"/>
    <n v="0"/>
    <n v="0"/>
    <n v="0"/>
  </r>
  <r>
    <x v="3"/>
    <s v="CHF"/>
    <x v="14"/>
    <n v="2363279.3629999999"/>
    <n v="353834.81109964353"/>
    <n v="2.8"/>
    <n v="0"/>
    <n v="0"/>
    <n v="0"/>
    <n v="6.6790470831725939"/>
    <n v="0"/>
    <n v="0"/>
    <n v="0"/>
  </r>
  <r>
    <x v="4"/>
    <s v="CHF"/>
    <x v="14"/>
    <n v="3043948.8695"/>
    <n v="358984.92870995559"/>
    <n v="2.8"/>
    <n v="637000"/>
    <n v="0"/>
    <n v="0"/>
    <n v="8.4793221833537746"/>
    <n v="637000"/>
    <n v="0"/>
    <n v="637000"/>
  </r>
  <r>
    <x v="5"/>
    <s v="CHF"/>
    <x v="14"/>
    <n v="3064957.3930000002"/>
    <n v="361462.54697303369"/>
    <n v="2.8"/>
    <n v="0"/>
    <n v="0"/>
    <n v="0"/>
    <n v="8.4793221833537746"/>
    <n v="0"/>
    <n v="0"/>
    <n v="0"/>
  </r>
  <r>
    <x v="6"/>
    <s v="CHF"/>
    <x v="14"/>
    <n v="3111891.9449999998"/>
    <n v="366997.72431210679"/>
    <n v="2.8"/>
    <n v="0"/>
    <n v="0"/>
    <n v="0"/>
    <n v="8.4793221833537746"/>
    <n v="0"/>
    <n v="0"/>
    <n v="0"/>
  </r>
  <r>
    <x v="7"/>
    <s v="CHF"/>
    <x v="14"/>
    <n v="3144107.9224999999"/>
    <n v="370797.08194982517"/>
    <n v="2.8"/>
    <n v="0"/>
    <n v="0"/>
    <n v="0"/>
    <n v="8.4793221833537746"/>
    <n v="0"/>
    <n v="0"/>
    <n v="0"/>
  </r>
  <r>
    <x v="8"/>
    <s v="CHF"/>
    <x v="14"/>
    <n v="3217317.9125000001"/>
    <n v="379431.02560910996"/>
    <n v="2.8"/>
    <n v="0"/>
    <n v="0"/>
    <n v="0"/>
    <n v="8.4793221833537746"/>
    <n v="0"/>
    <n v="0"/>
    <n v="0"/>
  </r>
  <r>
    <x v="9"/>
    <s v="CHF"/>
    <x v="14"/>
    <n v="3265549.5134999999"/>
    <n v="385119.16906645917"/>
    <n v="2.8"/>
    <n v="0"/>
    <n v="0"/>
    <n v="0"/>
    <n v="8.4793221833537746"/>
    <n v="0"/>
    <n v="0"/>
    <n v="0"/>
  </r>
  <r>
    <x v="10"/>
    <s v="CHF"/>
    <x v="14"/>
    <n v="3257031.5104999999"/>
    <n v="384114.60728477308"/>
    <n v="2.8"/>
    <n v="0"/>
    <n v="0"/>
    <n v="0"/>
    <n v="8.4793221833537746"/>
    <n v="0"/>
    <n v="0"/>
    <n v="0"/>
  </r>
  <r>
    <x v="11"/>
    <s v="CHF"/>
    <x v="14"/>
    <n v="3367806.8594999998"/>
    <n v="397178.78229836898"/>
    <n v="2.8"/>
    <n v="0"/>
    <n v="0"/>
    <n v="0"/>
    <n v="8.4793221833537746"/>
    <n v="0"/>
    <n v="0"/>
    <n v="0"/>
  </r>
  <r>
    <x v="12"/>
    <s v="CHF"/>
    <x v="14"/>
    <n v="3472149.8505000002"/>
    <n v="409484.36389365757"/>
    <n v="2.8"/>
    <n v="0"/>
    <n v="0"/>
    <n v="0"/>
    <n v="8.4793221833537746"/>
    <n v="0"/>
    <n v="0"/>
    <n v="0"/>
  </r>
  <r>
    <x v="13"/>
    <s v="CHF"/>
    <x v="14"/>
    <n v="3489220.0265000002"/>
    <n v="411497.5172602688"/>
    <n v="2.8"/>
    <n v="0"/>
    <n v="0"/>
    <n v="0"/>
    <n v="8.4793221833537746"/>
    <n v="0"/>
    <n v="0"/>
    <n v="0"/>
  </r>
  <r>
    <x v="14"/>
    <s v="CHF"/>
    <x v="14"/>
    <n v="3465971.2855000002"/>
    <n v="408755.7012875675"/>
    <n v="2.8"/>
    <n v="0"/>
    <n v="0"/>
    <n v="0"/>
    <n v="8.4793221833537746"/>
    <n v="0"/>
    <n v="0"/>
    <n v="0"/>
  </r>
  <r>
    <x v="15"/>
    <s v="CHF"/>
    <x v="14"/>
    <n v="3522416.6405000002"/>
    <n v="415412.52523875679"/>
    <n v="2.8"/>
    <n v="0"/>
    <n v="0"/>
    <n v="0"/>
    <n v="8.4793221833537746"/>
    <n v="0"/>
    <n v="0"/>
    <n v="0"/>
  </r>
  <r>
    <x v="16"/>
    <s v="CHF"/>
    <x v="14"/>
    <n v="3658891.6715000002"/>
    <n v="431507.56539042381"/>
    <n v="2.8"/>
    <n v="0"/>
    <n v="0"/>
    <n v="0"/>
    <n v="8.4793221833537746"/>
    <n v="0"/>
    <n v="0"/>
    <n v="0"/>
  </r>
  <r>
    <x v="17"/>
    <s v="CHF"/>
    <x v="14"/>
    <n v="3599853.5104999999"/>
    <n v="424544.96157335205"/>
    <n v="2.8"/>
    <n v="0"/>
    <n v="0"/>
    <n v="0"/>
    <n v="8.4793221833537746"/>
    <n v="0"/>
    <n v="0"/>
    <n v="0"/>
  </r>
  <r>
    <x v="18"/>
    <s v="CHF"/>
    <x v="14"/>
    <n v="3590667.62"/>
    <n v="423461.63317735912"/>
    <n v="2.8"/>
    <n v="0"/>
    <n v="0"/>
    <n v="0"/>
    <n v="8.4793221833537746"/>
    <n v="0"/>
    <n v="0"/>
    <n v="0"/>
  </r>
  <r>
    <x v="19"/>
    <s v="CHF"/>
    <x v="14"/>
    <n v="3492533.8450000002"/>
    <n v="411888.32898181252"/>
    <n v="2.8"/>
    <n v="0"/>
    <n v="0"/>
    <n v="0"/>
    <n v="8.4793221833537746"/>
    <n v="0"/>
    <n v="0"/>
    <n v="0"/>
  </r>
  <r>
    <x v="20"/>
    <s v="CHF"/>
    <x v="14"/>
    <n v="3617964.2650000001"/>
    <n v="426680.83447785786"/>
    <n v="2.8"/>
    <n v="0"/>
    <n v="0"/>
    <n v="0"/>
    <n v="8.4793221833537746"/>
    <n v="0"/>
    <n v="0"/>
    <n v="0"/>
  </r>
  <r>
    <x v="21"/>
    <s v="CHF"/>
    <x v="14"/>
    <n v="3699358.727"/>
    <n v="436280.00528891513"/>
    <n v="2.8"/>
    <n v="0"/>
    <n v="0"/>
    <n v="0"/>
    <n v="8.4793221833537746"/>
    <n v="0"/>
    <n v="0"/>
    <n v="0"/>
  </r>
  <r>
    <x v="22"/>
    <s v="CHF"/>
    <x v="14"/>
    <n v="3704800"/>
    <n v="436921.71613352507"/>
    <n v="2.8"/>
    <n v="0"/>
    <n v="0"/>
    <n v="0"/>
    <n v="8.4793221833537746"/>
    <n v="0"/>
    <n v="0"/>
    <n v="0"/>
  </r>
  <r>
    <x v="23"/>
    <s v="CHF"/>
    <x v="14"/>
    <n v="3577500"/>
    <n v="421908.7236740677"/>
    <n v="2.8"/>
    <n v="0"/>
    <n v="0"/>
    <n v="0"/>
    <n v="8.4793221833537746"/>
    <n v="0"/>
    <n v="0"/>
    <n v="0"/>
  </r>
  <r>
    <x v="24"/>
    <s v="CHF"/>
    <x v="14"/>
    <n v="3709800"/>
    <n v="437511.38590805209"/>
    <n v="2.8"/>
    <n v="0"/>
    <n v="0"/>
    <n v="0"/>
    <n v="8.4793221833537746"/>
    <n v="0"/>
    <n v="0"/>
    <n v="0"/>
  </r>
  <r>
    <x v="25"/>
    <s v="CHF"/>
    <x v="14"/>
    <n v="3711000"/>
    <n v="437652.90665393858"/>
    <n v="2.8"/>
    <n v="0"/>
    <n v="0"/>
    <n v="0"/>
    <n v="8.4793221833537746"/>
    <n v="0"/>
    <n v="0"/>
    <n v="0"/>
  </r>
  <r>
    <x v="26"/>
    <s v="CHF"/>
    <x v="14"/>
    <n v="3882200"/>
    <n v="457843.19973374298"/>
    <n v="2.8"/>
    <n v="0"/>
    <n v="0"/>
    <n v="0"/>
    <n v="8.4793221833537746"/>
    <n v="0"/>
    <n v="0"/>
    <n v="0"/>
  </r>
  <r>
    <x v="27"/>
    <s v="CHF"/>
    <x v="14"/>
    <n v="3931800"/>
    <n v="463692.72389705083"/>
    <n v="2.8"/>
    <n v="0"/>
    <n v="0"/>
    <n v="0"/>
    <n v="8.4793221833537746"/>
    <n v="0"/>
    <n v="0"/>
    <n v="0"/>
  </r>
  <r>
    <x v="28"/>
    <s v="CHF"/>
    <x v="14"/>
    <n v="3965527.85"/>
    <n v="467670.38263800694"/>
    <n v="2.8"/>
    <n v="0"/>
    <n v="0"/>
    <n v="0"/>
    <n v="8.4793221833537746"/>
    <n v="0"/>
    <n v="0"/>
    <n v="0"/>
  </r>
  <r>
    <x v="29"/>
    <s v="CHF"/>
    <x v="14"/>
    <n v="3991556.9789999998"/>
    <n v="470740.1007637197"/>
    <n v="2.8"/>
    <n v="0"/>
    <n v="0"/>
    <n v="0"/>
    <n v="8.4793221833537746"/>
    <n v="0"/>
    <n v="0"/>
    <n v="0"/>
  </r>
  <r>
    <x v="30"/>
    <s v="CHF"/>
    <x v="14"/>
    <n v="3991556.9789999998"/>
    <n v="470740.1007637197"/>
    <n v="2.8"/>
    <n v="0"/>
    <n v="0"/>
    <n v="0"/>
    <n v="8.4793221833537746"/>
    <n v="0"/>
    <n v="0"/>
    <n v="-3991556.9789999998"/>
  </r>
  <r>
    <x v="197"/>
    <s v="CHF"/>
    <x v="15"/>
    <n v="592800"/>
    <n v="592800"/>
    <n v="5.2"/>
    <n v="592800"/>
    <n v="0"/>
    <n v="0"/>
    <n v="1"/>
    <n v="592800"/>
    <n v="592800"/>
    <n v="592800"/>
  </r>
  <r>
    <x v="198"/>
    <s v="CHF"/>
    <x v="15"/>
    <n v="1315599.9999999998"/>
    <n v="592799.99999999988"/>
    <n v="5.2"/>
    <n v="722800"/>
    <n v="0"/>
    <n v="0"/>
    <n v="2.2192982456140351"/>
    <n v="722800"/>
    <n v="0"/>
    <n v="722800"/>
  </r>
  <r>
    <x v="43"/>
    <s v="CHF"/>
    <x v="15"/>
    <n v="1319648.6265"/>
    <n v="594624.28229644266"/>
    <n v="5.2"/>
    <n v="0"/>
    <n v="0"/>
    <n v="0"/>
    <n v="2.2192982456140351"/>
    <n v="0"/>
    <n v="0"/>
    <n v="0"/>
  </r>
  <r>
    <x v="44"/>
    <s v="CHF"/>
    <x v="15"/>
    <n v="1287631.95"/>
    <n v="580197.79565217393"/>
    <n v="5.2"/>
    <n v="0"/>
    <n v="0"/>
    <n v="0"/>
    <n v="2.2192982456140351"/>
    <n v="0"/>
    <n v="0"/>
    <n v="0"/>
  </r>
  <r>
    <x v="181"/>
    <s v="CHF"/>
    <x v="15"/>
    <n v="2183993.2400000002"/>
    <n v="584900.93056800123"/>
    <n v="5.2"/>
    <n v="878800"/>
    <n v="0"/>
    <n v="0"/>
    <n v="3.7339541208784022"/>
    <n v="878800"/>
    <n v="0"/>
    <n v="878800"/>
  </r>
  <r>
    <x v="182"/>
    <s v="CHF"/>
    <x v="15"/>
    <n v="2227448.085"/>
    <n v="596538.68603934511"/>
    <n v="5.2"/>
    <n v="0"/>
    <n v="0"/>
    <n v="0"/>
    <n v="3.7339541208784022"/>
    <n v="0"/>
    <n v="0"/>
    <n v="0"/>
  </r>
  <r>
    <x v="183"/>
    <s v="CHF"/>
    <x v="15"/>
    <n v="2235564.7519999999"/>
    <n v="598712.43181587069"/>
    <n v="5.2"/>
    <n v="0"/>
    <n v="0"/>
    <n v="0"/>
    <n v="3.7339541208784022"/>
    <n v="0"/>
    <n v="0"/>
    <n v="0"/>
  </r>
  <r>
    <x v="184"/>
    <s v="CHF"/>
    <x v="15"/>
    <n v="2900307.3870000001"/>
    <n v="611692.14090773801"/>
    <n v="5.2"/>
    <n v="603200"/>
    <n v="0"/>
    <n v="0"/>
    <n v="4.7414494858410414"/>
    <n v="603200"/>
    <n v="0"/>
    <n v="603200"/>
  </r>
  <r>
    <x v="185"/>
    <s v="CHF"/>
    <x v="15"/>
    <n v="3177317.9145"/>
    <n v="618546.77707901469"/>
    <n v="5.2"/>
    <n v="241800"/>
    <n v="0"/>
    <n v="0"/>
    <n v="5.1367463743071475"/>
    <n v="241800"/>
    <n v="0"/>
    <n v="241800"/>
  </r>
  <r>
    <x v="186"/>
    <s v="CHF"/>
    <x v="15"/>
    <n v="3632076.7675000001"/>
    <n v="631616.87523972534"/>
    <n v="5.2"/>
    <n v="379600"/>
    <n v="0"/>
    <n v="0"/>
    <n v="5.7504428869502151"/>
    <n v="379600"/>
    <n v="0"/>
    <n v="379600"/>
  </r>
  <r>
    <x v="187"/>
    <s v="CHF"/>
    <x v="15"/>
    <n v="3951943.0134999999"/>
    <n v="677541.22805811861"/>
    <n v="5.2"/>
    <n v="52000"/>
    <n v="0"/>
    <n v="0"/>
    <n v="5.8327712762610036"/>
    <n v="52000"/>
    <n v="0"/>
    <n v="52000"/>
  </r>
  <r>
    <x v="188"/>
    <s v="CHF"/>
    <x v="15"/>
    <n v="4119888.9389999998"/>
    <n v="679511.52243828936"/>
    <n v="5.2"/>
    <n v="156000"/>
    <n v="0"/>
    <n v="0"/>
    <n v="6.063015567736973"/>
    <n v="156000"/>
    <n v="0"/>
    <n v="156000"/>
  </r>
  <r>
    <x v="189"/>
    <s v="CHF"/>
    <x v="15"/>
    <n v="4063773.4434999996"/>
    <n v="670256.14532881812"/>
    <n v="5.2"/>
    <n v="0"/>
    <n v="0"/>
    <n v="0"/>
    <n v="6.063015567736973"/>
    <n v="0"/>
    <n v="0"/>
    <n v="0"/>
  </r>
  <r>
    <x v="190"/>
    <s v="CHF"/>
    <x v="15"/>
    <n v="4148424.1315000006"/>
    <n v="659736.22356884694"/>
    <n v="5.2"/>
    <n v="150800"/>
    <n v="0"/>
    <n v="0"/>
    <n v="6.2880041800025417"/>
    <n v="150800"/>
    <n v="0"/>
    <n v="150800"/>
  </r>
  <r>
    <x v="191"/>
    <s v="CHF"/>
    <x v="15"/>
    <n v="4087134.057"/>
    <n v="649989.08079579996"/>
    <n v="5.2"/>
    <n v="0"/>
    <n v="0"/>
    <n v="0"/>
    <n v="6.2880041800025417"/>
    <n v="0"/>
    <n v="0"/>
    <n v="0"/>
  </r>
  <r>
    <x v="192"/>
    <s v="CHF"/>
    <x v="15"/>
    <n v="4103342.2819999997"/>
    <n v="652566.72300722625"/>
    <n v="5.2"/>
    <n v="0"/>
    <n v="0"/>
    <n v="0"/>
    <n v="6.2880041800025417"/>
    <n v="0"/>
    <n v="0"/>
    <n v="0"/>
  </r>
  <r>
    <x v="193"/>
    <s v="CHF"/>
    <x v="15"/>
    <n v="4218142.5"/>
    <n v="670823.74299539591"/>
    <n v="5.2"/>
    <n v="0"/>
    <n v="0"/>
    <n v="0"/>
    <n v="6.2880041800025417"/>
    <n v="0"/>
    <n v="0"/>
    <n v="0"/>
  </r>
  <r>
    <x v="1"/>
    <s v="CHF"/>
    <x v="15"/>
    <n v="4427179.1694999998"/>
    <n v="668624.28458994138"/>
    <n v="5.2"/>
    <n v="223600"/>
    <n v="0"/>
    <n v="0"/>
    <n v="6.6213257154055229"/>
    <n v="223600"/>
    <n v="0"/>
    <n v="223600"/>
  </r>
  <r>
    <x v="2"/>
    <s v="CHF"/>
    <x v="15"/>
    <n v="4461447.4464999996"/>
    <n v="673799.72504898265"/>
    <n v="5.2"/>
    <n v="0"/>
    <n v="0"/>
    <n v="0"/>
    <n v="6.6213257154055229"/>
    <n v="0"/>
    <n v="0"/>
    <n v="0"/>
  </r>
  <r>
    <x v="3"/>
    <s v="CHF"/>
    <x v="15"/>
    <n v="4411236.4079999998"/>
    <n v="666216.49464193953"/>
    <n v="5.2"/>
    <n v="0"/>
    <n v="0"/>
    <n v="0"/>
    <n v="6.6213257154055229"/>
    <n v="0"/>
    <n v="0"/>
    <n v="0"/>
  </r>
  <r>
    <x v="4"/>
    <s v="CHF"/>
    <x v="15"/>
    <n v="5694017.5860000001"/>
    <n v="676213.73613761144"/>
    <n v="5.2"/>
    <n v="1198600"/>
    <n v="0"/>
    <n v="0"/>
    <n v="8.4204405821789621"/>
    <n v="1198600"/>
    <n v="0"/>
    <n v="1198600"/>
  </r>
  <r>
    <x v="5"/>
    <s v="CHF"/>
    <x v="15"/>
    <n v="5743964.7675000001"/>
    <n v="682145.39505884517"/>
    <n v="5.2"/>
    <n v="0"/>
    <n v="0"/>
    <n v="0"/>
    <n v="8.4204405821789621"/>
    <n v="0"/>
    <n v="0"/>
    <n v="0"/>
  </r>
  <r>
    <x v="6"/>
    <s v="CHF"/>
    <x v="15"/>
    <n v="5817384.1294999998"/>
    <n v="690864.57801411522"/>
    <n v="5.2"/>
    <n v="0"/>
    <n v="0"/>
    <n v="0"/>
    <n v="8.4204405821789621"/>
    <n v="0"/>
    <n v="0"/>
    <n v="0"/>
  </r>
  <r>
    <x v="7"/>
    <s v="CHF"/>
    <x v="15"/>
    <n v="5880338.5549999997"/>
    <n v="698340.95943211811"/>
    <n v="5.2"/>
    <n v="0"/>
    <n v="0"/>
    <n v="0"/>
    <n v="8.4204405821789621"/>
    <n v="0"/>
    <n v="0"/>
    <n v="0"/>
  </r>
  <r>
    <x v="8"/>
    <s v="CHF"/>
    <x v="15"/>
    <n v="6035891.9550000001"/>
    <n v="716814.26833821193"/>
    <n v="5.2"/>
    <n v="0"/>
    <n v="0"/>
    <n v="0"/>
    <n v="8.4204405821789621"/>
    <n v="0"/>
    <n v="0"/>
    <n v="0"/>
  </r>
  <r>
    <x v="9"/>
    <s v="CHF"/>
    <x v="15"/>
    <n v="6102899.0954999998"/>
    <n v="724771.94464339409"/>
    <n v="5.2"/>
    <n v="0"/>
    <n v="0"/>
    <n v="0"/>
    <n v="8.4204405821789621"/>
    <n v="0"/>
    <n v="0"/>
    <n v="0"/>
  </r>
  <r>
    <x v="10"/>
    <s v="CHF"/>
    <x v="15"/>
    <n v="6090400.517"/>
    <n v="723287.63056528615"/>
    <n v="5.2"/>
    <n v="0"/>
    <n v="0"/>
    <n v="0"/>
    <n v="8.4204405821789621"/>
    <n v="0"/>
    <n v="0"/>
    <n v="0"/>
  </r>
  <r>
    <x v="11"/>
    <s v="CHF"/>
    <x v="15"/>
    <n v="6324918.2029999997"/>
    <n v="751138.63001255179"/>
    <n v="5.2"/>
    <n v="0"/>
    <n v="0"/>
    <n v="0"/>
    <n v="8.4204405821789621"/>
    <n v="0"/>
    <n v="0"/>
    <n v="0"/>
  </r>
  <r>
    <x v="12"/>
    <s v="CHF"/>
    <x v="15"/>
    <n v="6522023.5214999998"/>
    <n v="774546.58789508278"/>
    <n v="5.2"/>
    <n v="0"/>
    <n v="0"/>
    <n v="0"/>
    <n v="8.4204405821789621"/>
    <n v="0"/>
    <n v="0"/>
    <n v="0"/>
  </r>
  <r>
    <x v="13"/>
    <s v="CHF"/>
    <x v="15"/>
    <n v="6553636.0925000003"/>
    <n v="778300.85356461385"/>
    <n v="5.2"/>
    <n v="0"/>
    <n v="0"/>
    <n v="0"/>
    <n v="8.4204405821789621"/>
    <n v="0"/>
    <n v="0"/>
    <n v="0"/>
  </r>
  <r>
    <x v="14"/>
    <s v="CHF"/>
    <x v="15"/>
    <n v="6516965.6560000004"/>
    <n v="773945.92271009192"/>
    <n v="5.2"/>
    <n v="0"/>
    <n v="0"/>
    <n v="0"/>
    <n v="8.4204405821789621"/>
    <n v="0"/>
    <n v="0"/>
    <n v="0"/>
  </r>
  <r>
    <x v="15"/>
    <s v="CHF"/>
    <x v="15"/>
    <n v="6615104.9134999998"/>
    <n v="785600.80662527587"/>
    <n v="5.2"/>
    <n v="0"/>
    <n v="0"/>
    <n v="0"/>
    <n v="8.4204405821789621"/>
    <n v="0"/>
    <n v="0"/>
    <n v="0"/>
  </r>
  <r>
    <x v="16"/>
    <s v="CHF"/>
    <x v="15"/>
    <n v="6872350.2479999997"/>
    <n v="816150.91050516476"/>
    <n v="5.2"/>
    <n v="0"/>
    <n v="0"/>
    <n v="0"/>
    <n v="8.4204405821789621"/>
    <n v="0"/>
    <n v="0"/>
    <n v="0"/>
  </r>
  <r>
    <x v="17"/>
    <s v="CHF"/>
    <x v="15"/>
    <n v="6775789.0324999997"/>
    <n v="804683.43269831908"/>
    <n v="5.2"/>
    <n v="0"/>
    <n v="0"/>
    <n v="0"/>
    <n v="8.4204405821789621"/>
    <n v="0"/>
    <n v="0"/>
    <n v="0"/>
  </r>
  <r>
    <x v="18"/>
    <s v="CHF"/>
    <x v="15"/>
    <n v="6751761.6749999998"/>
    <n v="801829.97660353337"/>
    <n v="5.2"/>
    <n v="0"/>
    <n v="0"/>
    <n v="0"/>
    <n v="8.4204405821789621"/>
    <n v="0"/>
    <n v="0"/>
    <n v="0"/>
  </r>
  <r>
    <x v="19"/>
    <s v="CHF"/>
    <x v="15"/>
    <n v="6583300.1744999997"/>
    <n v="781823.71934705053"/>
    <n v="5.2"/>
    <n v="0"/>
    <n v="0"/>
    <n v="0"/>
    <n v="8.4204405821789621"/>
    <n v="0"/>
    <n v="0"/>
    <n v="0"/>
  </r>
  <r>
    <x v="20"/>
    <s v="CHF"/>
    <x v="15"/>
    <n v="6819993.7244999995"/>
    <n v="809933.12142524333"/>
    <n v="5.2"/>
    <n v="0"/>
    <n v="0"/>
    <n v="0"/>
    <n v="8.4204405821789621"/>
    <n v="0"/>
    <n v="0"/>
    <n v="0"/>
  </r>
  <r>
    <x v="21"/>
    <s v="CHF"/>
    <x v="15"/>
    <n v="6964480.193"/>
    <n v="827092.13669171184"/>
    <n v="5.2"/>
    <n v="0"/>
    <n v="0"/>
    <n v="0"/>
    <n v="8.4204405821789621"/>
    <n v="0"/>
    <n v="0"/>
    <n v="0"/>
  </r>
  <r>
    <x v="22"/>
    <s v="CHF"/>
    <x v="15"/>
    <n v="6988600"/>
    <n v="829956.57196259871"/>
    <n v="5.2"/>
    <n v="0"/>
    <n v="0"/>
    <n v="0"/>
    <n v="8.4204405821789621"/>
    <n v="0"/>
    <n v="0"/>
    <n v="0"/>
  </r>
  <r>
    <x v="23"/>
    <s v="CHF"/>
    <x v="15"/>
    <n v="6755000"/>
    <n v="802214.55564882152"/>
    <n v="5.2"/>
    <n v="0"/>
    <n v="0"/>
    <n v="0"/>
    <n v="8.4204405821789621"/>
    <n v="0"/>
    <n v="0"/>
    <n v="0"/>
  </r>
  <r>
    <x v="24"/>
    <s v="CHF"/>
    <x v="15"/>
    <n v="6994800"/>
    <n v="830692.87547777593"/>
    <n v="5.2"/>
    <n v="0"/>
    <n v="0"/>
    <n v="0"/>
    <n v="8.4204405821789621"/>
    <n v="0"/>
    <n v="0"/>
    <n v="0"/>
  </r>
  <r>
    <x v="25"/>
    <s v="CHF"/>
    <x v="15"/>
    <n v="7010800"/>
    <n v="832593.01358145929"/>
    <n v="5.2"/>
    <n v="0"/>
    <n v="0"/>
    <n v="0"/>
    <n v="8.4204405821789621"/>
    <n v="0"/>
    <n v="0"/>
    <n v="0"/>
  </r>
  <r>
    <x v="26"/>
    <s v="CHF"/>
    <x v="15"/>
    <n v="7336600"/>
    <n v="871284.57571771194"/>
    <n v="5.2"/>
    <n v="0"/>
    <n v="0"/>
    <n v="0"/>
    <n v="8.4204405821789621"/>
    <n v="0"/>
    <n v="0"/>
    <n v="0"/>
  </r>
  <r>
    <x v="27"/>
    <s v="CHF"/>
    <x v="15"/>
    <n v="7421800"/>
    <n v="881402.81111982581"/>
    <n v="5.2"/>
    <n v="0"/>
    <n v="0"/>
    <n v="0"/>
    <n v="8.4204405821789621"/>
    <n v="0"/>
    <n v="0"/>
    <n v="0"/>
  </r>
  <r>
    <x v="28"/>
    <s v="CHF"/>
    <x v="15"/>
    <n v="7487797.8200000003"/>
    <n v="889240.62190370308"/>
    <n v="5.2"/>
    <n v="0"/>
    <n v="0"/>
    <n v="0"/>
    <n v="8.4204405821789621"/>
    <n v="0"/>
    <n v="0"/>
    <n v="0"/>
  </r>
  <r>
    <x v="29"/>
    <s v="CHF"/>
    <x v="15"/>
    <n v="7551320.983"/>
    <n v="896784.54580887745"/>
    <n v="5.2"/>
    <n v="0"/>
    <n v="0"/>
    <n v="0"/>
    <n v="8.4204405821789621"/>
    <n v="0"/>
    <n v="0"/>
    <n v="0"/>
  </r>
  <r>
    <x v="30"/>
    <s v="CHF"/>
    <x v="15"/>
    <n v="7551320.983"/>
    <n v="896784.54580887745"/>
    <n v="5.2"/>
    <n v="0"/>
    <n v="0"/>
    <n v="0"/>
    <n v="8.4204405821789621"/>
    <n v="0"/>
    <n v="0"/>
    <n v="-7551320.983"/>
  </r>
  <r>
    <x v="199"/>
    <s v="CHF"/>
    <x v="16"/>
    <n v="859790"/>
    <n v="859790"/>
    <n v="6.77"/>
    <n v="859790"/>
    <n v="0"/>
    <n v="0"/>
    <n v="1"/>
    <n v="859790"/>
    <n v="859790"/>
    <n v="859790"/>
  </r>
  <r>
    <x v="184"/>
    <s v="CHF"/>
    <x v="16"/>
    <n v="857293.51"/>
    <n v="857293.51"/>
    <n v="6.77"/>
    <n v="0"/>
    <n v="0"/>
    <n v="0"/>
    <n v="1"/>
    <n v="0"/>
    <n v="0"/>
    <n v="0"/>
  </r>
  <r>
    <x v="185"/>
    <s v="CHF"/>
    <x v="16"/>
    <n v="1397700.68"/>
    <n v="860728.02684482117"/>
    <n v="6.77"/>
    <n v="534830"/>
    <n v="0"/>
    <n v="0"/>
    <n v="1.6238586828914638"/>
    <n v="534830"/>
    <n v="0"/>
    <n v="534830"/>
  </r>
  <r>
    <x v="186"/>
    <s v="CHF"/>
    <x v="16"/>
    <n v="2030467.2799999998"/>
    <n v="901190.88468909892"/>
    <n v="6.77"/>
    <n v="541600"/>
    <n v="0"/>
    <n v="0"/>
    <n v="2.2530934505629059"/>
    <n v="541600"/>
    <n v="0"/>
    <n v="541600"/>
  </r>
  <r>
    <x v="187"/>
    <s v="CHF"/>
    <x v="16"/>
    <n v="3046891.53"/>
    <n v="979867.44177423988"/>
    <n v="6.77"/>
    <n v="771780"/>
    <n v="0"/>
    <n v="0"/>
    <n v="3.1094935907687802"/>
    <n v="771780"/>
    <n v="0"/>
    <n v="771780"/>
  </r>
  <r>
    <x v="188"/>
    <s v="CHF"/>
    <x v="16"/>
    <n v="3586142.68"/>
    <n v="986671.83617755538"/>
    <n v="6.77"/>
    <n v="514520"/>
    <n v="0"/>
    <n v="0"/>
    <n v="3.6345850246349385"/>
    <n v="514520"/>
    <n v="0"/>
    <n v="514520"/>
  </r>
  <r>
    <x v="189"/>
    <s v="CHF"/>
    <x v="16"/>
    <n v="3531947.41"/>
    <n v="971760.84368937078"/>
    <n v="6.77"/>
    <n v="0"/>
    <n v="0"/>
    <n v="0"/>
    <n v="3.6345850246349385"/>
    <n v="0"/>
    <n v="0"/>
    <n v="0"/>
  </r>
  <r>
    <x v="190"/>
    <s v="CHF"/>
    <x v="16"/>
    <n v="4044744.11"/>
    <n v="953793.653672894"/>
    <n v="6.77"/>
    <n v="588990"/>
    <n v="0"/>
    <n v="0"/>
    <n v="4.2406909444452596"/>
    <n v="588990"/>
    <n v="0"/>
    <n v="588990"/>
  </r>
  <r>
    <x v="191"/>
    <s v="CHF"/>
    <x v="16"/>
    <n v="3968308.73"/>
    <n v="935769.37861929217"/>
    <n v="6.77"/>
    <n v="0"/>
    <n v="0"/>
    <n v="0"/>
    <n v="4.2406909444452596"/>
    <n v="0"/>
    <n v="0"/>
    <n v="0"/>
  </r>
  <r>
    <x v="192"/>
    <s v="CHF"/>
    <x v="16"/>
    <n v="3982092.54"/>
    <n v="939019.74752864533"/>
    <n v="6.77"/>
    <n v="0"/>
    <n v="0"/>
    <n v="0"/>
    <n v="4.2406909444452596"/>
    <n v="0"/>
    <n v="0"/>
    <n v="0"/>
  </r>
  <r>
    <x v="193"/>
    <s v="CHF"/>
    <x v="16"/>
    <n v="4100663.63"/>
    <n v="966980.07087060262"/>
    <n v="6.77"/>
    <n v="0"/>
    <n v="0"/>
    <n v="0"/>
    <n v="4.2406909444452596"/>
    <n v="0"/>
    <n v="0"/>
    <n v="0"/>
  </r>
  <r>
    <x v="1"/>
    <s v="CHF"/>
    <x v="16"/>
    <n v="4451253.05"/>
    <n v="969613.50121531473"/>
    <n v="6.77"/>
    <n v="338500"/>
    <n v="0"/>
    <n v="0"/>
    <n v="4.5907498651996841"/>
    <n v="338500"/>
    <n v="0"/>
    <n v="338500"/>
  </r>
  <r>
    <x v="2"/>
    <s v="CHF"/>
    <x v="16"/>
    <n v="4483105.8899999997"/>
    <n v="976551.98423776415"/>
    <n v="6.77"/>
    <n v="0"/>
    <n v="0"/>
    <n v="0"/>
    <n v="4.5907498651996841"/>
    <n v="0"/>
    <n v="0"/>
    <n v="0"/>
  </r>
  <r>
    <x v="3"/>
    <s v="CHF"/>
    <x v="16"/>
    <n v="4389303.26"/>
    <n v="956119.01952516381"/>
    <n v="6.77"/>
    <n v="0"/>
    <n v="0"/>
    <n v="0"/>
    <n v="4.5907498651996841"/>
    <n v="0"/>
    <n v="0"/>
    <n v="0"/>
  </r>
  <r>
    <x v="4"/>
    <s v="CHF"/>
    <x v="16"/>
    <n v="6006931.2300000004"/>
    <n v="972494.408469485"/>
    <n v="6.77"/>
    <n v="1516480"/>
    <n v="0"/>
    <n v="0"/>
    <n v="6.1768285531365974"/>
    <n v="1516480"/>
    <n v="0"/>
    <n v="1516480"/>
  </r>
  <r>
    <x v="5"/>
    <s v="CHF"/>
    <x v="16"/>
    <n v="6079516.6500000004"/>
    <n v="984245.65255462984"/>
    <n v="6.77"/>
    <n v="0"/>
    <n v="0"/>
    <n v="0"/>
    <n v="6.1768285531365974"/>
    <n v="0"/>
    <n v="0"/>
    <n v="0"/>
  </r>
  <r>
    <x v="6"/>
    <s v="CHF"/>
    <x v="16"/>
    <n v="7232755.7800000003"/>
    <n v="991059.72723272175"/>
    <n v="6.77"/>
    <n v="1103510"/>
    <n v="0"/>
    <n v="0"/>
    <n v="7.2980019077110541"/>
    <n v="1103510"/>
    <n v="0"/>
    <n v="1103510"/>
  </r>
  <r>
    <x v="7"/>
    <s v="CHF"/>
    <x v="16"/>
    <n v="7331596.7800000003"/>
    <n v="1004603.29727421"/>
    <n v="6.77"/>
    <n v="0"/>
    <n v="0"/>
    <n v="0"/>
    <n v="7.2980019077110541"/>
    <n v="0"/>
    <n v="0"/>
    <n v="0"/>
  </r>
  <r>
    <x v="8"/>
    <s v="CHF"/>
    <x v="16"/>
    <n v="7552291.6900000004"/>
    <n v="1034843.7538801222"/>
    <n v="6.77"/>
    <n v="0"/>
    <n v="0"/>
    <n v="0"/>
    <n v="7.2980019077110541"/>
    <n v="0"/>
    <n v="0"/>
    <n v="0"/>
  </r>
  <r>
    <x v="9"/>
    <s v="CHF"/>
    <x v="16"/>
    <n v="7579551.1600000001"/>
    <n v="1038578.9502180675"/>
    <n v="6.77"/>
    <n v="0"/>
    <n v="0"/>
    <n v="0"/>
    <n v="7.2980019077110541"/>
    <n v="0"/>
    <n v="0"/>
    <n v="0"/>
  </r>
  <r>
    <x v="10"/>
    <s v="CHF"/>
    <x v="16"/>
    <n v="7551779.8300000001"/>
    <n v="1034773.6168746139"/>
    <n v="6.77"/>
    <n v="0"/>
    <n v="0"/>
    <n v="0"/>
    <n v="7.2980019077110541"/>
    <n v="0"/>
    <n v="0"/>
    <n v="0"/>
  </r>
  <r>
    <x v="11"/>
    <s v="CHF"/>
    <x v="16"/>
    <n v="7943256.79"/>
    <n v="1088415.2800244093"/>
    <n v="6.77"/>
    <n v="0"/>
    <n v="0"/>
    <n v="0"/>
    <n v="7.2980019077110541"/>
    <n v="0"/>
    <n v="0"/>
    <n v="0"/>
  </r>
  <r>
    <x v="12"/>
    <s v="CHF"/>
    <x v="16"/>
    <n v="8157145.0599999996"/>
    <n v="1117723.0649092016"/>
    <n v="6.77"/>
    <n v="0"/>
    <n v="0"/>
    <n v="0"/>
    <n v="7.2980019077110541"/>
    <n v="0"/>
    <n v="0"/>
    <n v="0"/>
  </r>
  <r>
    <x v="13"/>
    <s v="CHF"/>
    <x v="16"/>
    <n v="8193606.9299999997"/>
    <n v="1122719.2091225204"/>
    <n v="6.77"/>
    <n v="0"/>
    <n v="0"/>
    <n v="0"/>
    <n v="7.2980019077110541"/>
    <n v="0"/>
    <n v="0"/>
    <n v="0"/>
  </r>
  <r>
    <x v="14"/>
    <s v="CHF"/>
    <x v="16"/>
    <n v="8162605.3600000003"/>
    <n v="1118471.2559989067"/>
    <n v="6.77"/>
    <n v="0"/>
    <n v="0"/>
    <n v="0"/>
    <n v="7.2980019077110541"/>
    <n v="0"/>
    <n v="0"/>
    <n v="0"/>
  </r>
  <r>
    <x v="15"/>
    <s v="CHF"/>
    <x v="16"/>
    <n v="8276887.6900000004"/>
    <n v="1134130.6558517965"/>
    <n v="6.77"/>
    <n v="0"/>
    <n v="0"/>
    <n v="0"/>
    <n v="7.2980019077110541"/>
    <n v="0"/>
    <n v="0"/>
    <n v="0"/>
  </r>
  <r>
    <x v="16"/>
    <s v="CHF"/>
    <x v="16"/>
    <n v="8596559.8599999994"/>
    <n v="1177933.3533630474"/>
    <n v="6.77"/>
    <n v="0"/>
    <n v="0"/>
    <n v="0"/>
    <n v="7.2980019077110541"/>
    <n v="0"/>
    <n v="0"/>
    <n v="0"/>
  </r>
  <r>
    <x v="17"/>
    <s v="CHF"/>
    <x v="16"/>
    <n v="8507608.25"/>
    <n v="1165744.8651816435"/>
    <n v="6.77"/>
    <n v="0"/>
    <n v="0"/>
    <n v="0"/>
    <n v="7.2980019077110541"/>
    <n v="0"/>
    <n v="0"/>
    <n v="0"/>
  </r>
  <r>
    <x v="18"/>
    <s v="CHF"/>
    <x v="16"/>
    <n v="8485080.4299999997"/>
    <n v="1162658.0175369207"/>
    <n v="6.77"/>
    <n v="0"/>
    <n v="0"/>
    <n v="0"/>
    <n v="7.2980019077110541"/>
    <n v="0"/>
    <n v="0"/>
    <n v="0"/>
  </r>
  <r>
    <x v="19"/>
    <s v="CHF"/>
    <x v="16"/>
    <n v="8553917.3000000007"/>
    <n v="1172090.3074801816"/>
    <n v="6.77"/>
    <n v="0"/>
    <n v="0"/>
    <n v="0"/>
    <n v="7.2980019077110541"/>
    <n v="0"/>
    <n v="0"/>
    <n v="0"/>
  </r>
  <r>
    <x v="20"/>
    <s v="CHF"/>
    <x v="16"/>
    <n v="8635086.4000000004"/>
    <n v="1183212.4065185823"/>
    <n v="6.77"/>
    <n v="0"/>
    <n v="0"/>
    <n v="0"/>
    <n v="7.2980019077110541"/>
    <n v="0"/>
    <n v="0"/>
    <n v="0"/>
  </r>
  <r>
    <x v="21"/>
    <s v="CHF"/>
    <x v="16"/>
    <n v="8787317.1899999995"/>
    <n v="1204071.6488050432"/>
    <n v="6.77"/>
    <n v="0"/>
    <n v="0"/>
    <n v="0"/>
    <n v="7.2980019077110541"/>
    <n v="0"/>
    <n v="0"/>
    <n v="0"/>
  </r>
  <r>
    <x v="22"/>
    <s v="CHF"/>
    <x v="16"/>
    <n v="8836200"/>
    <n v="1210769.7574953616"/>
    <n v="6.77"/>
    <n v="0"/>
    <n v="0"/>
    <n v="0"/>
    <n v="7.2980019077110541"/>
    <n v="0"/>
    <n v="0"/>
    <n v="0"/>
  </r>
  <r>
    <x v="23"/>
    <s v="CHF"/>
    <x v="16"/>
    <n v="8803000"/>
    <n v="1206220.5671251973"/>
    <n v="6.77"/>
    <n v="0"/>
    <n v="0"/>
    <n v="0"/>
    <n v="7.2980019077110541"/>
    <n v="0"/>
    <n v="0"/>
    <n v="0"/>
  </r>
  <r>
    <x v="24"/>
    <s v="CHF"/>
    <x v="16"/>
    <n v="8863100"/>
    <n v="1214455.6978856456"/>
    <n v="6.77"/>
    <n v="0"/>
    <n v="0"/>
    <n v="0"/>
    <n v="7.2980019077110541"/>
    <n v="0"/>
    <n v="0"/>
    <n v="0"/>
  </r>
  <r>
    <x v="25"/>
    <s v="CHF"/>
    <x v="16"/>
    <n v="8906300"/>
    <n v="1220375.1263191123"/>
    <n v="6.77"/>
    <n v="0"/>
    <n v="0"/>
    <n v="0"/>
    <n v="7.2980019077110541"/>
    <n v="0"/>
    <n v="0"/>
    <n v="0"/>
  </r>
  <r>
    <x v="26"/>
    <s v="CHF"/>
    <x v="16"/>
    <n v="9385600"/>
    <n v="1286050.6366932015"/>
    <n v="6.77"/>
    <n v="0"/>
    <n v="0"/>
    <n v="0"/>
    <n v="7.2980019077110541"/>
    <n v="0"/>
    <n v="0"/>
    <n v="0"/>
  </r>
  <r>
    <x v="27"/>
    <s v="CHF"/>
    <x v="16"/>
    <n v="9519300"/>
    <n v="1304370.7195995559"/>
    <n v="6.77"/>
    <n v="0"/>
    <n v="0"/>
    <n v="0"/>
    <n v="7.2980019077110541"/>
    <n v="0"/>
    <n v="0"/>
    <n v="0"/>
  </r>
  <r>
    <x v="28"/>
    <s v="CHF"/>
    <x v="16"/>
    <n v="9629991.9100000001"/>
    <n v="1319538.1464377216"/>
    <n v="6.77"/>
    <n v="0"/>
    <n v="0"/>
    <n v="0"/>
    <n v="7.2980019077110541"/>
    <n v="0"/>
    <n v="0"/>
    <n v="0"/>
  </r>
  <r>
    <x v="29"/>
    <s v="CHF"/>
    <x v="16"/>
    <n v="9765815.4600000009"/>
    <n v="1338149.2062480089"/>
    <n v="6.77"/>
    <n v="0"/>
    <n v="0"/>
    <n v="0"/>
    <n v="7.2980019077110541"/>
    <n v="0"/>
    <n v="0"/>
    <n v="0"/>
  </r>
  <r>
    <x v="30"/>
    <s v="CHF"/>
    <x v="16"/>
    <n v="9765815.4600000009"/>
    <n v="1338149.2062480089"/>
    <n v="6.77"/>
    <n v="0"/>
    <n v="0"/>
    <n v="0"/>
    <n v="7.2980019077110541"/>
    <n v="0"/>
    <n v="0"/>
    <n v="-9765815.4600000009"/>
  </r>
  <r>
    <x v="199"/>
    <s v="CHF"/>
    <x v="17"/>
    <n v="339090"/>
    <n v="339090"/>
    <n v="2.67"/>
    <n v="339090"/>
    <n v="0"/>
    <n v="0"/>
    <n v="1"/>
    <n v="339090"/>
    <n v="339090"/>
    <n v="339090"/>
  </r>
  <r>
    <x v="184"/>
    <s v="CHF"/>
    <x v="17"/>
    <n v="337688.57"/>
    <n v="337688.57"/>
    <n v="2.67"/>
    <n v="0"/>
    <n v="0"/>
    <n v="0"/>
    <n v="1"/>
    <n v="0"/>
    <n v="0"/>
    <n v="0"/>
  </r>
  <r>
    <x v="185"/>
    <s v="CHF"/>
    <x v="17"/>
    <n v="549921.07999999996"/>
    <n v="338490.29776380991"/>
    <n v="2.67"/>
    <n v="210930"/>
    <n v="0"/>
    <n v="0"/>
    <n v="1.6246287814834834"/>
    <n v="210930"/>
    <n v="0"/>
    <n v="210930"/>
  </r>
  <r>
    <x v="186"/>
    <s v="CHF"/>
    <x v="17"/>
    <n v="795358.47"/>
    <n v="351375.95877423725"/>
    <n v="2.67"/>
    <n v="216270"/>
    <n v="0"/>
    <n v="0"/>
    <n v="2.2635540370336669"/>
    <n v="216270"/>
    <n v="0"/>
    <n v="216270"/>
  </r>
  <r>
    <x v="187"/>
    <s v="CHF"/>
    <x v="17"/>
    <n v="1183014.1854999999"/>
    <n v="377983.27058030968"/>
    <n v="2.67"/>
    <n v="304380"/>
    <n v="0"/>
    <n v="0"/>
    <n v="3.1298056754833179"/>
    <n v="304380"/>
    <n v="0"/>
    <n v="304380"/>
  </r>
  <r>
    <x v="188"/>
    <s v="CHF"/>
    <x v="17"/>
    <n v="1391626.0149999999"/>
    <n v="379535.5927269918"/>
    <n v="2.67"/>
    <n v="202920"/>
    <n v="0"/>
    <n v="0"/>
    <n v="3.6666548320305408"/>
    <n v="202920"/>
    <n v="0"/>
    <n v="202920"/>
  </r>
  <r>
    <x v="189"/>
    <s v="CHF"/>
    <x v="17"/>
    <n v="1370366.1635"/>
    <n v="373737.43269450613"/>
    <n v="2.67"/>
    <n v="0"/>
    <n v="0"/>
    <n v="0"/>
    <n v="3.6666548320305408"/>
    <n v="0"/>
    <n v="0"/>
    <n v="0"/>
  </r>
  <r>
    <x v="190"/>
    <s v="CHF"/>
    <x v="17"/>
    <n v="1575392.5325"/>
    <n v="367379.58770695882"/>
    <n v="2.67"/>
    <n v="232290"/>
    <n v="0"/>
    <n v="0"/>
    <n v="4.2881874366863721"/>
    <n v="232290"/>
    <n v="0"/>
    <n v="232290"/>
  </r>
  <r>
    <x v="191"/>
    <s v="CHF"/>
    <x v="17"/>
    <n v="1548113.0319999999"/>
    <n v="361018.0419716633"/>
    <n v="2.67"/>
    <n v="0"/>
    <n v="0"/>
    <n v="0"/>
    <n v="4.2881874366863721"/>
    <n v="0"/>
    <n v="0"/>
    <n v="0"/>
  </r>
  <r>
    <x v="192"/>
    <s v="CHF"/>
    <x v="17"/>
    <n v="1551081.98"/>
    <n v="361710.39696869539"/>
    <n v="2.67"/>
    <n v="0"/>
    <n v="0"/>
    <n v="0"/>
    <n v="4.2881874366863721"/>
    <n v="0"/>
    <n v="0"/>
    <n v="0"/>
  </r>
  <r>
    <x v="193"/>
    <s v="CHF"/>
    <x v="17"/>
    <n v="1594170.7919999999"/>
    <n v="371758.65456848353"/>
    <n v="2.67"/>
    <n v="0"/>
    <n v="0"/>
    <n v="0"/>
    <n v="4.2881874366863721"/>
    <n v="0"/>
    <n v="0"/>
    <n v="0"/>
  </r>
  <r>
    <x v="1"/>
    <s v="CHF"/>
    <x v="17"/>
    <n v="1723020.3655000001"/>
    <n v="370757.97995685326"/>
    <n v="2.67"/>
    <n v="133500"/>
    <n v="0"/>
    <n v="0"/>
    <n v="4.6472913831834868"/>
    <n v="133500"/>
    <n v="0"/>
    <n v="133500"/>
  </r>
  <r>
    <x v="2"/>
    <s v="CHF"/>
    <x v="17"/>
    <n v="1733415.8230000001"/>
    <n v="372994.86519663327"/>
    <n v="2.67"/>
    <n v="0"/>
    <n v="0"/>
    <n v="0"/>
    <n v="4.6472913831834868"/>
    <n v="0"/>
    <n v="0"/>
    <n v="0"/>
  </r>
  <r>
    <x v="3"/>
    <s v="CHF"/>
    <x v="17"/>
    <n v="1705873.7660000001"/>
    <n v="367068.39002452279"/>
    <n v="2.67"/>
    <n v="0"/>
    <n v="0"/>
    <n v="0"/>
    <n v="4.6472913831834868"/>
    <n v="0"/>
    <n v="0"/>
    <n v="0"/>
  </r>
  <r>
    <x v="4"/>
    <s v="CHF"/>
    <x v="17"/>
    <n v="2334662.2004999998"/>
    <n v="371960.89081096801"/>
    <n v="2.67"/>
    <n v="598080"/>
    <n v="0"/>
    <n v="0"/>
    <n v="6.2766335337294485"/>
    <n v="598080"/>
    <n v="0"/>
    <n v="598080"/>
  </r>
  <r>
    <x v="5"/>
    <s v="CHF"/>
    <x v="17"/>
    <n v="2350747.3539999998"/>
    <n v="374523.59475306713"/>
    <n v="2.67"/>
    <n v="0"/>
    <n v="0"/>
    <n v="0"/>
    <n v="6.2766335337294485"/>
    <n v="0"/>
    <n v="0"/>
    <n v="0"/>
  </r>
  <r>
    <x v="6"/>
    <s v="CHF"/>
    <x v="17"/>
    <n v="2810271.5644999999"/>
    <n v="378154.63324555673"/>
    <n v="2.67"/>
    <n v="432540"/>
    <n v="0"/>
    <n v="0"/>
    <n v="7.4315407440086423"/>
    <n v="432540"/>
    <n v="0"/>
    <n v="432540"/>
  </r>
  <r>
    <x v="7"/>
    <s v="CHF"/>
    <x v="17"/>
    <n v="2840150.0759999999"/>
    <n v="382175.13350643311"/>
    <n v="2.67"/>
    <n v="0"/>
    <n v="0"/>
    <n v="0"/>
    <n v="7.4315407440086423"/>
    <n v="0"/>
    <n v="0"/>
    <n v="0"/>
  </r>
  <r>
    <x v="8"/>
    <s v="CHF"/>
    <x v="17"/>
    <n v="2897727.4015000002"/>
    <n v="389922.8304488766"/>
    <n v="2.67"/>
    <n v="0"/>
    <n v="0"/>
    <n v="0"/>
    <n v="7.4315407440086423"/>
    <n v="0"/>
    <n v="0"/>
    <n v="0"/>
  </r>
  <r>
    <x v="9"/>
    <s v="CHF"/>
    <x v="17"/>
    <n v="2926397.094"/>
    <n v="393780.67009311373"/>
    <n v="2.67"/>
    <n v="0"/>
    <n v="0"/>
    <n v="0"/>
    <n v="7.4315407440086423"/>
    <n v="0"/>
    <n v="0"/>
    <n v="0"/>
  </r>
  <r>
    <x v="10"/>
    <s v="CHF"/>
    <x v="17"/>
    <n v="2913673.2230000002"/>
    <n v="392068.52567538206"/>
    <n v="2.67"/>
    <n v="0"/>
    <n v="0"/>
    <n v="0"/>
    <n v="7.4315407440086423"/>
    <n v="0"/>
    <n v="0"/>
    <n v="0"/>
  </r>
  <r>
    <x v="11"/>
    <s v="CHF"/>
    <x v="17"/>
    <n v="3018880.2815"/>
    <n v="406225.35561469424"/>
    <n v="2.67"/>
    <n v="0"/>
    <n v="0"/>
    <n v="0"/>
    <n v="7.4315407440086423"/>
    <n v="0"/>
    <n v="0"/>
    <n v="0"/>
  </r>
  <r>
    <x v="12"/>
    <s v="CHF"/>
    <x v="17"/>
    <n v="3087154.7039999999"/>
    <n v="415412.47102613072"/>
    <n v="2.67"/>
    <n v="0"/>
    <n v="0"/>
    <n v="0"/>
    <n v="7.4315407440086423"/>
    <n v="0"/>
    <n v="0"/>
    <n v="0"/>
  </r>
  <r>
    <x v="13"/>
    <s v="CHF"/>
    <x v="17"/>
    <n v="3099473.2609999999"/>
    <n v="417070.07574422786"/>
    <n v="2.67"/>
    <n v="0"/>
    <n v="0"/>
    <n v="0"/>
    <n v="7.4315407440086423"/>
    <n v="0"/>
    <n v="0"/>
    <n v="0"/>
  </r>
  <r>
    <x v="14"/>
    <s v="CHF"/>
    <x v="17"/>
    <n v="3082372.7655000002"/>
    <n v="414769.00573882065"/>
    <n v="2.67"/>
    <n v="0"/>
    <n v="0"/>
    <n v="0"/>
    <n v="7.4315407440086423"/>
    <n v="0"/>
    <n v="0"/>
    <n v="0"/>
  </r>
  <r>
    <x v="15"/>
    <s v="CHF"/>
    <x v="17"/>
    <n v="3127581.3925000001"/>
    <n v="420852.35084278818"/>
    <n v="2.67"/>
    <n v="0"/>
    <n v="0"/>
    <n v="0"/>
    <n v="7.4315407440086423"/>
    <n v="0"/>
    <n v="0"/>
    <n v="0"/>
  </r>
  <r>
    <x v="16"/>
    <s v="CHF"/>
    <x v="17"/>
    <n v="3230890.0865000002"/>
    <n v="434753.7338209126"/>
    <n v="2.67"/>
    <n v="0"/>
    <n v="0"/>
    <n v="0"/>
    <n v="7.4315407440086423"/>
    <n v="0"/>
    <n v="0"/>
    <n v="0"/>
  </r>
  <r>
    <x v="17"/>
    <s v="CHF"/>
    <x v="17"/>
    <n v="3187566.003"/>
    <n v="428923.97590228339"/>
    <n v="2.67"/>
    <n v="0"/>
    <n v="0"/>
    <n v="0"/>
    <n v="7.4315407440086423"/>
    <n v="0"/>
    <n v="0"/>
    <n v="0"/>
  </r>
  <r>
    <x v="18"/>
    <s v="CHF"/>
    <x v="17"/>
    <n v="3187248.1370000001"/>
    <n v="428881.20334529295"/>
    <n v="2.67"/>
    <n v="0"/>
    <n v="0"/>
    <n v="0"/>
    <n v="7.4315407440086423"/>
    <n v="0"/>
    <n v="0"/>
    <n v="0"/>
  </r>
  <r>
    <x v="19"/>
    <s v="CHF"/>
    <x v="17"/>
    <n v="3196022.1175000002"/>
    <n v="430061.84418441821"/>
    <n v="2.67"/>
    <n v="0"/>
    <n v="0"/>
    <n v="0"/>
    <n v="7.4315407440086423"/>
    <n v="0"/>
    <n v="0"/>
    <n v="0"/>
  </r>
  <r>
    <x v="20"/>
    <s v="CHF"/>
    <x v="17"/>
    <n v="3219658.4415000002"/>
    <n v="433242.3857186964"/>
    <n v="2.67"/>
    <n v="0"/>
    <n v="0"/>
    <n v="0"/>
    <n v="7.4315407440086423"/>
    <n v="0"/>
    <n v="0"/>
    <n v="0"/>
  </r>
  <r>
    <x v="21"/>
    <s v="CHF"/>
    <x v="17"/>
    <n v="3277605.6869999999"/>
    <n v="441039.85968756577"/>
    <n v="2.67"/>
    <n v="0"/>
    <n v="0"/>
    <n v="0"/>
    <n v="7.4315407440086423"/>
    <n v="0"/>
    <n v="0"/>
    <n v="0"/>
  </r>
  <r>
    <x v="22"/>
    <s v="CHF"/>
    <x v="17"/>
    <n v="3279700"/>
    <n v="441321.67379208893"/>
    <n v="2.67"/>
    <n v="0"/>
    <n v="0"/>
    <n v="0"/>
    <n v="7.4315407440086423"/>
    <n v="0"/>
    <n v="0"/>
    <n v="0"/>
  </r>
  <r>
    <x v="23"/>
    <s v="CHF"/>
    <x v="17"/>
    <n v="3265200"/>
    <n v="439370.53061741282"/>
    <n v="2.67"/>
    <n v="0"/>
    <n v="0"/>
    <n v="0"/>
    <n v="7.4315407440086423"/>
    <n v="0"/>
    <n v="0"/>
    <n v="0"/>
  </r>
  <r>
    <x v="24"/>
    <s v="CHF"/>
    <x v="17"/>
    <n v="3292200"/>
    <n v="443003.69377025799"/>
    <n v="2.67"/>
    <n v="0"/>
    <n v="0"/>
    <n v="0"/>
    <n v="7.4315407440086423"/>
    <n v="0"/>
    <n v="0"/>
    <n v="0"/>
  </r>
  <r>
    <x v="25"/>
    <s v="CHF"/>
    <x v="17"/>
    <n v="3292300"/>
    <n v="443017.14993008337"/>
    <n v="2.67"/>
    <n v="0"/>
    <n v="0"/>
    <n v="0"/>
    <n v="7.4315407440086423"/>
    <n v="0"/>
    <n v="0"/>
    <n v="0"/>
  </r>
  <r>
    <x v="26"/>
    <s v="CHF"/>
    <x v="17"/>
    <n v="3448300"/>
    <n v="464008.75925763341"/>
    <n v="2.67"/>
    <n v="0"/>
    <n v="0"/>
    <n v="0"/>
    <n v="7.4315407440086423"/>
    <n v="0"/>
    <n v="0"/>
    <n v="0"/>
  </r>
  <r>
    <x v="27"/>
    <s v="CHF"/>
    <x v="17"/>
    <n v="3500300"/>
    <n v="471005.96236681676"/>
    <n v="2.67"/>
    <n v="0"/>
    <n v="0"/>
    <n v="0"/>
    <n v="7.4315407440086423"/>
    <n v="0"/>
    <n v="0"/>
    <n v="0"/>
  </r>
  <r>
    <x v="28"/>
    <s v="CHF"/>
    <x v="17"/>
    <n v="3534000.12"/>
    <n v="475540.70437535236"/>
    <n v="2.67"/>
    <n v="0"/>
    <n v="0"/>
    <n v="0"/>
    <n v="7.4315407440086423"/>
    <n v="0"/>
    <n v="0"/>
    <n v="0"/>
  </r>
  <r>
    <x v="29"/>
    <s v="CHF"/>
    <x v="17"/>
    <n v="3563924.5745000001"/>
    <n v="479567.38679973729"/>
    <n v="2.67"/>
    <n v="0"/>
    <n v="0"/>
    <n v="0"/>
    <n v="7.4315407440086423"/>
    <n v="0"/>
    <n v="0"/>
    <n v="0"/>
  </r>
  <r>
    <x v="30"/>
    <s v="CHF"/>
    <x v="17"/>
    <n v="3563924.5745000001"/>
    <n v="479567.38679973729"/>
    <n v="2.67"/>
    <n v="0"/>
    <n v="0"/>
    <n v="0"/>
    <n v="7.4315407440086423"/>
    <n v="0"/>
    <n v="0"/>
    <n v="-3563924.5745000001"/>
  </r>
  <r>
    <x v="199"/>
    <s v="CHF"/>
    <x v="18"/>
    <n v="1160000"/>
    <n v="1160000"/>
    <n v="1.75"/>
    <n v="1160000"/>
    <n v="0"/>
    <n v="0"/>
    <n v="1"/>
    <n v="1160000"/>
    <n v="1160000"/>
    <n v="1160000"/>
  </r>
  <r>
    <x v="184"/>
    <s v="CHF"/>
    <x v="18"/>
    <n v="1156631.82"/>
    <n v="1156631.82"/>
    <n v="1.75"/>
    <n v="0"/>
    <n v="0"/>
    <n v="0"/>
    <n v="1"/>
    <n v="0"/>
    <n v="0"/>
    <n v="0"/>
  </r>
  <r>
    <x v="185"/>
    <s v="CHF"/>
    <x v="18"/>
    <n v="1164642.29"/>
    <n v="1164642.29"/>
    <n v="1.75"/>
    <n v="0"/>
    <n v="0"/>
    <n v="0"/>
    <n v="1"/>
    <n v="0"/>
    <n v="0"/>
    <n v="0"/>
  </r>
  <r>
    <x v="186"/>
    <s v="CHF"/>
    <x v="18"/>
    <n v="1726618.06"/>
    <n v="1253171.7653744235"/>
    <n v="1.75"/>
    <n v="440000"/>
    <n v="0"/>
    <n v="0"/>
    <n v="1.3777984053799042"/>
    <n v="440000"/>
    <n v="0"/>
    <n v="440000"/>
  </r>
  <r>
    <x v="187"/>
    <s v="CHF"/>
    <x v="18"/>
    <n v="2008952.2"/>
    <n v="1341542.1223361944"/>
    <n v="1.75"/>
    <n v="150000"/>
    <n v="0"/>
    <n v="0"/>
    <n v="1.497494686563819"/>
    <n v="150000"/>
    <n v="0"/>
    <n v="150000"/>
  </r>
  <r>
    <x v="188"/>
    <s v="CHF"/>
    <x v="18"/>
    <n v="2161800.19"/>
    <n v="1443611.2591227349"/>
    <n v="1.75"/>
    <n v="0"/>
    <n v="0"/>
    <n v="0"/>
    <n v="1.497494686563819"/>
    <n v="0"/>
    <n v="0"/>
    <n v="0"/>
  </r>
  <r>
    <x v="189"/>
    <s v="CHF"/>
    <x v="18"/>
    <n v="1983954.53"/>
    <n v="1324849.1282145523"/>
    <n v="1.75"/>
    <n v="0"/>
    <n v="0"/>
    <n v="0"/>
    <n v="1.497494686563819"/>
    <n v="0"/>
    <n v="0"/>
    <n v="0"/>
  </r>
  <r>
    <x v="190"/>
    <s v="CHF"/>
    <x v="18"/>
    <n v="1908570.17"/>
    <n v="1274508.8093630855"/>
    <n v="1.75"/>
    <n v="0"/>
    <n v="0"/>
    <n v="0"/>
    <n v="1.497494686563819"/>
    <n v="0"/>
    <n v="0"/>
    <n v="0"/>
  </r>
  <r>
    <x v="191"/>
    <s v="CHF"/>
    <x v="18"/>
    <n v="1850255.55"/>
    <n v="1235567.3556649694"/>
    <n v="1.75"/>
    <n v="0"/>
    <n v="0"/>
    <n v="0"/>
    <n v="1.497494686563819"/>
    <n v="0"/>
    <n v="0"/>
    <n v="0"/>
  </r>
  <r>
    <x v="192"/>
    <s v="CHF"/>
    <x v="18"/>
    <n v="1859779.78"/>
    <n v="1241927.4650432901"/>
    <n v="1.75"/>
    <n v="0"/>
    <n v="0"/>
    <n v="0"/>
    <n v="1.497494686563819"/>
    <n v="0"/>
    <n v="0"/>
    <n v="0"/>
  </r>
  <r>
    <x v="193"/>
    <s v="CHF"/>
    <x v="18"/>
    <n v="1930263.09"/>
    <n v="1288994.9509131282"/>
    <n v="1.75"/>
    <n v="0"/>
    <n v="-2.3283064365386963E-10"/>
    <n v="0"/>
    <n v="1.497494686563819"/>
    <n v="-2.3283064365386963E-10"/>
    <n v="0"/>
    <n v="-2.3283064365386963E-10"/>
  </r>
  <r>
    <x v="1"/>
    <s v="CHF"/>
    <x v="18"/>
    <n v="1846102.82"/>
    <n v="1232794.2373111881"/>
    <n v="1.75"/>
    <n v="0"/>
    <n v="0"/>
    <n v="0"/>
    <n v="1.497494686563819"/>
    <n v="0"/>
    <n v="0"/>
    <n v="0"/>
  </r>
  <r>
    <x v="2"/>
    <s v="CHF"/>
    <x v="18"/>
    <n v="1944715.69"/>
    <n v="1298646.1370773762"/>
    <n v="1.75"/>
    <n v="0"/>
    <n v="0"/>
    <n v="0"/>
    <n v="1.497494686563819"/>
    <n v="0"/>
    <n v="0"/>
    <n v="0"/>
  </r>
  <r>
    <x v="3"/>
    <s v="CHF"/>
    <x v="18"/>
    <n v="1873639.5"/>
    <n v="1251182.7366141046"/>
    <n v="1.75"/>
    <n v="0"/>
    <n v="0"/>
    <n v="0"/>
    <n v="1.497494686563819"/>
    <n v="0"/>
    <n v="0"/>
    <n v="0"/>
  </r>
  <r>
    <x v="4"/>
    <s v="CHF"/>
    <x v="18"/>
    <n v="1954122.44"/>
    <n v="1304927.7954260847"/>
    <n v="1.75"/>
    <n v="0"/>
    <n v="0"/>
    <n v="0"/>
    <n v="1.497494686563819"/>
    <n v="0"/>
    <n v="0"/>
    <n v="0"/>
  </r>
  <r>
    <x v="5"/>
    <s v="CHF"/>
    <x v="18"/>
    <n v="2001249.9400000002"/>
    <n v="1336398.6917323279"/>
    <n v="1.75"/>
    <n v="0"/>
    <n v="0"/>
    <n v="0"/>
    <n v="1.497494686563819"/>
    <n v="0"/>
    <n v="0"/>
    <n v="0"/>
  </r>
  <r>
    <x v="6"/>
    <s v="CHF"/>
    <x v="18"/>
    <n v="1921050.92"/>
    <n v="1282843.2295863978"/>
    <n v="1.75"/>
    <n v="0"/>
    <n v="0"/>
    <n v="0"/>
    <n v="1.497494686563819"/>
    <n v="0"/>
    <n v="0"/>
    <n v="0"/>
  </r>
  <r>
    <x v="7"/>
    <s v="CHF"/>
    <x v="18"/>
    <n v="2178835.13"/>
    <n v="1454986.8854624107"/>
    <n v="1.75"/>
    <n v="0"/>
    <n v="0"/>
    <n v="0"/>
    <n v="1.497494686563819"/>
    <n v="0"/>
    <n v="0"/>
    <n v="0"/>
  </r>
  <r>
    <x v="8"/>
    <s v="CHF"/>
    <x v="18"/>
    <n v="2269232.41"/>
    <n v="1515352.5620895696"/>
    <n v="1.75"/>
    <n v="0"/>
    <n v="0"/>
    <n v="0"/>
    <n v="1.497494686563819"/>
    <n v="0"/>
    <n v="0"/>
    <n v="0"/>
  </r>
  <r>
    <x v="9"/>
    <s v="CHF"/>
    <x v="18"/>
    <n v="2378839.6"/>
    <n v="1588546.2708776167"/>
    <n v="1.75"/>
    <n v="0"/>
    <n v="0"/>
    <n v="0"/>
    <n v="1.497494686563819"/>
    <n v="0"/>
    <n v="0"/>
    <n v="0"/>
  </r>
  <r>
    <x v="10"/>
    <s v="CHF"/>
    <x v="18"/>
    <n v="2340113.06"/>
    <n v="1562685.3844601412"/>
    <n v="1.75"/>
    <n v="0"/>
    <n v="0"/>
    <n v="0"/>
    <n v="1.497494686563819"/>
    <n v="0"/>
    <n v="0"/>
    <n v="0"/>
  </r>
  <r>
    <x v="11"/>
    <s v="CHF"/>
    <x v="18"/>
    <n v="2505169.6"/>
    <n v="1672907.1712090091"/>
    <n v="1.75"/>
    <n v="0"/>
    <n v="0"/>
    <n v="0"/>
    <n v="1.497494686563819"/>
    <n v="0"/>
    <n v="0"/>
    <n v="0"/>
  </r>
  <r>
    <x v="12"/>
    <s v="CHF"/>
    <x v="18"/>
    <n v="2802133.4"/>
    <n v="1871214.2521385706"/>
    <n v="1.75"/>
    <n v="0"/>
    <n v="0"/>
    <n v="0"/>
    <n v="1.497494686563819"/>
    <n v="0"/>
    <n v="0"/>
    <n v="0"/>
  </r>
  <r>
    <x v="13"/>
    <s v="CHF"/>
    <x v="18"/>
    <n v="2811723.31"/>
    <n v="1877618.2214387925"/>
    <n v="1.75"/>
    <n v="0"/>
    <n v="0"/>
    <n v="0"/>
    <n v="1.497494686563819"/>
    <n v="0"/>
    <n v="0"/>
    <n v="0"/>
  </r>
  <r>
    <x v="14"/>
    <s v="CHF"/>
    <x v="18"/>
    <n v="2609019.4900000002"/>
    <n v="1742256.2586760879"/>
    <n v="1.75"/>
    <n v="0"/>
    <n v="0"/>
    <n v="0"/>
    <n v="1.497494686563819"/>
    <n v="0"/>
    <n v="0"/>
    <n v="0"/>
  </r>
  <r>
    <x v="15"/>
    <s v="CHF"/>
    <x v="18"/>
    <n v="2651731.13"/>
    <n v="1770778.3231503244"/>
    <n v="1.75"/>
    <n v="0"/>
    <n v="0"/>
    <n v="0"/>
    <n v="1.497494686563819"/>
    <n v="0"/>
    <n v="0"/>
    <n v="0"/>
  </r>
  <r>
    <x v="16"/>
    <s v="CHF"/>
    <x v="18"/>
    <n v="2809913.01"/>
    <n v="1876409.3356803034"/>
    <n v="1.75"/>
    <n v="0"/>
    <n v="0"/>
    <n v="0"/>
    <n v="1.497494686563819"/>
    <n v="0"/>
    <n v="0"/>
    <n v="0"/>
  </r>
  <r>
    <x v="17"/>
    <s v="CHF"/>
    <x v="18"/>
    <n v="2741889.22"/>
    <n v="1830984.2730003893"/>
    <n v="1.75"/>
    <n v="0"/>
    <n v="0"/>
    <n v="0"/>
    <n v="1.497494686563819"/>
    <n v="0"/>
    <n v="0"/>
    <n v="0"/>
  </r>
  <r>
    <x v="18"/>
    <s v="CHF"/>
    <x v="18"/>
    <n v="2689507.6599999997"/>
    <n v="1796004.8099879387"/>
    <n v="1.75"/>
    <n v="0"/>
    <n v="0"/>
    <n v="0"/>
    <n v="1.497494686563819"/>
    <n v="0"/>
    <n v="0"/>
    <n v="0"/>
  </r>
  <r>
    <x v="19"/>
    <s v="CHF"/>
    <x v="18"/>
    <n v="2673231.21"/>
    <n v="1785135.6896190725"/>
    <n v="1.75"/>
    <n v="0"/>
    <n v="0"/>
    <n v="0"/>
    <n v="1.497494686563819"/>
    <n v="0"/>
    <n v="0"/>
    <n v="0"/>
  </r>
  <r>
    <x v="20"/>
    <s v="CHF"/>
    <x v="18"/>
    <n v="2706661.71"/>
    <n v="1807459.9758418908"/>
    <n v="1.75"/>
    <n v="0"/>
    <n v="0"/>
    <n v="0"/>
    <n v="1.497494686563819"/>
    <n v="0"/>
    <n v="0"/>
    <n v="0"/>
  </r>
  <r>
    <x v="21"/>
    <s v="CHF"/>
    <x v="18"/>
    <n v="2795517.96"/>
    <n v="1866796.5803702788"/>
    <n v="1.75"/>
    <n v="0"/>
    <n v="0"/>
    <n v="0"/>
    <n v="1.497494686563819"/>
    <n v="0"/>
    <n v="0"/>
    <n v="0"/>
  </r>
  <r>
    <x v="22"/>
    <s v="CHF"/>
    <x v="18"/>
    <n v="2824100"/>
    <n v="1885883.1522669613"/>
    <n v="1.75"/>
    <n v="0"/>
    <n v="0"/>
    <n v="0"/>
    <n v="1.497494686563819"/>
    <n v="0"/>
    <n v="0"/>
    <n v="0"/>
  </r>
  <r>
    <x v="23"/>
    <s v="CHF"/>
    <x v="18"/>
    <n v="2755700"/>
    <n v="1840206.8633200186"/>
    <n v="1.75"/>
    <n v="0"/>
    <n v="0"/>
    <n v="0"/>
    <n v="1.497494686563819"/>
    <n v="0"/>
    <n v="0"/>
    <n v="0"/>
  </r>
  <r>
    <x v="24"/>
    <s v="CHF"/>
    <x v="18"/>
    <n v="2797005.71"/>
    <n v="1867790.073043975"/>
    <n v="1.75"/>
    <n v="0"/>
    <n v="0"/>
    <n v="0"/>
    <n v="1.497494686563819"/>
    <n v="0"/>
    <n v="0"/>
    <n v="0"/>
  </r>
  <r>
    <x v="25"/>
    <s v="CHF"/>
    <x v="18"/>
    <n v="2809500"/>
    <n v="1876133.5350355962"/>
    <n v="1.75"/>
    <n v="0"/>
    <n v="0"/>
    <n v="0"/>
    <n v="1.497494686563819"/>
    <n v="0"/>
    <n v="0"/>
    <n v="0"/>
  </r>
  <r>
    <x v="26"/>
    <s v="CHF"/>
    <x v="18"/>
    <n v="2880200"/>
    <n v="1923345.7225874797"/>
    <n v="1.75"/>
    <n v="0"/>
    <n v="0"/>
    <n v="0"/>
    <n v="1.497494686563819"/>
    <n v="0"/>
    <n v="0"/>
    <n v="0"/>
  </r>
  <r>
    <x v="27"/>
    <s v="CHF"/>
    <x v="18"/>
    <n v="2900200"/>
    <n v="1936701.3626304453"/>
    <n v="1.75"/>
    <n v="0"/>
    <n v="0"/>
    <n v="0"/>
    <n v="1.497494686563819"/>
    <n v="0"/>
    <n v="0"/>
    <n v="0"/>
  </r>
  <r>
    <x v="28"/>
    <s v="CHF"/>
    <x v="18"/>
    <n v="2938514.65"/>
    <n v="1962287.196319056"/>
    <n v="1.75"/>
    <n v="0"/>
    <n v="0"/>
    <n v="0"/>
    <n v="1.497494686563819"/>
    <n v="0"/>
    <n v="0"/>
    <n v="0"/>
  </r>
  <r>
    <x v="29"/>
    <s v="CHF"/>
    <x v="18"/>
    <n v="2940364.84"/>
    <n v="1963522.7199016106"/>
    <n v="1.75"/>
    <n v="0"/>
    <n v="0"/>
    <n v="0"/>
    <n v="1.497494686563819"/>
    <n v="0"/>
    <n v="0"/>
    <n v="0"/>
  </r>
  <r>
    <x v="30"/>
    <s v="CHF"/>
    <x v="18"/>
    <n v="2940364.84"/>
    <n v="1963522.7199016106"/>
    <n v="1.75"/>
    <n v="0"/>
    <n v="0"/>
    <n v="0"/>
    <n v="1.497494686563819"/>
    <n v="0"/>
    <n v="0"/>
    <n v="-2940364.84"/>
  </r>
  <r>
    <x v="199"/>
    <s v="CHF"/>
    <x v="19"/>
    <n v="2794000"/>
    <n v="2794000"/>
    <n v="22"/>
    <n v="2794000"/>
    <n v="0"/>
    <n v="0"/>
    <n v="1"/>
    <n v="2794000"/>
    <n v="2794000"/>
    <n v="2794000"/>
  </r>
  <r>
    <x v="184"/>
    <s v="CHF"/>
    <x v="19"/>
    <n v="2774559.8"/>
    <n v="2774559.8"/>
    <n v="22"/>
    <n v="0"/>
    <n v="0"/>
    <n v="0"/>
    <n v="1"/>
    <n v="0"/>
    <n v="0"/>
    <n v="0"/>
  </r>
  <r>
    <x v="185"/>
    <s v="CHF"/>
    <x v="19"/>
    <n v="4517306.2300000004"/>
    <n v="2777478.15553548"/>
    <n v="22"/>
    <n v="1738000"/>
    <n v="0"/>
    <n v="0"/>
    <n v="1.6264056734333137"/>
    <n v="1738000"/>
    <n v="0"/>
    <n v="1738000"/>
  </r>
  <r>
    <x v="186"/>
    <s v="CHF"/>
    <x v="19"/>
    <n v="6580985.2005000003"/>
    <n v="2881548.1979798777"/>
    <n v="22"/>
    <n v="1826000"/>
    <n v="0"/>
    <n v="0"/>
    <n v="2.2838365865660792"/>
    <n v="1826000"/>
    <n v="0"/>
    <n v="1826000"/>
  </r>
  <r>
    <x v="187"/>
    <s v="CHF"/>
    <x v="19"/>
    <n v="9787048.4145"/>
    <n v="3102860.3414155478"/>
    <n v="22"/>
    <n v="2508000"/>
    <n v="0"/>
    <n v="0"/>
    <n v="3.1542020386373806"/>
    <n v="2508000"/>
    <n v="0"/>
    <n v="2508000"/>
  </r>
  <r>
    <x v="188"/>
    <s v="CHF"/>
    <x v="19"/>
    <n v="11483766.125499999"/>
    <n v="3109553.3583588586"/>
    <n v="22"/>
    <n v="1672000"/>
    <n v="0"/>
    <n v="0"/>
    <n v="3.693059678371569"/>
    <n v="1672000"/>
    <n v="0"/>
    <n v="1672000"/>
  </r>
  <r>
    <x v="189"/>
    <s v="CHF"/>
    <x v="19"/>
    <n v="11304354.73"/>
    <n v="3060972.666161892"/>
    <n v="22"/>
    <n v="0"/>
    <n v="0"/>
    <n v="0"/>
    <n v="3.693059678371569"/>
    <n v="0"/>
    <n v="0"/>
    <n v="0"/>
  </r>
  <r>
    <x v="190"/>
    <s v="CHF"/>
    <x v="19"/>
    <n v="12990256.0485"/>
    <n v="3008151.8844896881"/>
    <n v="22"/>
    <n v="1914000"/>
    <n v="0"/>
    <n v="0"/>
    <n v="4.3183511163378991"/>
    <n v="1914000"/>
    <n v="0"/>
    <n v="1914000"/>
  </r>
  <r>
    <x v="191"/>
    <s v="CHF"/>
    <x v="19"/>
    <n v="12762026.619999999"/>
    <n v="2955300.8257518923"/>
    <n v="22"/>
    <n v="0"/>
    <n v="0"/>
    <n v="0"/>
    <n v="4.3183511163378991"/>
    <n v="0"/>
    <n v="0"/>
    <n v="0"/>
  </r>
  <r>
    <x v="192"/>
    <s v="CHF"/>
    <x v="19"/>
    <n v="12783146.799500002"/>
    <n v="2960191.6229406842"/>
    <n v="22"/>
    <n v="0"/>
    <n v="0"/>
    <n v="0"/>
    <n v="4.3183511163378991"/>
    <n v="0"/>
    <n v="0"/>
    <n v="0"/>
  </r>
  <r>
    <x v="193"/>
    <s v="CHF"/>
    <x v="19"/>
    <n v="13145094.709000001"/>
    <n v="3044007.8527351115"/>
    <n v="22"/>
    <n v="0"/>
    <n v="0"/>
    <n v="0"/>
    <n v="4.3183511163378991"/>
    <n v="0"/>
    <n v="0"/>
    <n v="0"/>
  </r>
  <r>
    <x v="1"/>
    <s v="CHF"/>
    <x v="19"/>
    <n v="14193352.9395"/>
    <n v="3032951.2500315225"/>
    <n v="22"/>
    <n v="1100000"/>
    <n v="0"/>
    <n v="0"/>
    <n v="4.6797168069722463"/>
    <n v="1100000"/>
    <n v="0"/>
    <n v="1100000"/>
  </r>
  <r>
    <x v="2"/>
    <s v="CHF"/>
    <x v="19"/>
    <n v="14276487.0875"/>
    <n v="3050716.0318397167"/>
    <n v="22"/>
    <n v="0"/>
    <n v="0"/>
    <n v="0"/>
    <n v="4.6797168069722463"/>
    <n v="0"/>
    <n v="0"/>
    <n v="0"/>
  </r>
  <r>
    <x v="3"/>
    <s v="CHF"/>
    <x v="19"/>
    <n v="14055736.724000001"/>
    <n v="3003544.2963254852"/>
    <n v="22"/>
    <n v="0"/>
    <n v="0"/>
    <n v="0"/>
    <n v="4.6797168069722463"/>
    <n v="0"/>
    <n v="0"/>
    <n v="0"/>
  </r>
  <r>
    <x v="4"/>
    <s v="CHF"/>
    <x v="19"/>
    <n v="19237163.476"/>
    <n v="3043640.6422963799"/>
    <n v="22"/>
    <n v="4928000"/>
    <n v="0"/>
    <n v="0"/>
    <n v="6.3204450645940433"/>
    <n v="4928000"/>
    <n v="0"/>
    <n v="4928000"/>
  </r>
  <r>
    <x v="5"/>
    <s v="CHF"/>
    <x v="19"/>
    <n v="19359442.648499999"/>
    <n v="3062987.2502093236"/>
    <n v="22"/>
    <n v="0"/>
    <n v="0"/>
    <n v="0"/>
    <n v="6.3204450645940433"/>
    <n v="0"/>
    <n v="0"/>
    <n v="0"/>
  </r>
  <r>
    <x v="6"/>
    <s v="CHF"/>
    <x v="19"/>
    <n v="23114540.901500002"/>
    <n v="3094461.048000141"/>
    <n v="22"/>
    <n v="3520000"/>
    <n v="0"/>
    <n v="0"/>
    <n v="7.4696499787703736"/>
    <n v="3520000"/>
    <n v="0"/>
    <n v="3520000"/>
  </r>
  <r>
    <x v="7"/>
    <s v="CHF"/>
    <x v="19"/>
    <n v="23360785.162"/>
    <n v="3127427.0184538909"/>
    <n v="22"/>
    <n v="0"/>
    <n v="0"/>
    <n v="0"/>
    <n v="7.4696499787703736"/>
    <n v="0"/>
    <n v="0"/>
    <n v="0"/>
  </r>
  <r>
    <x v="8"/>
    <s v="CHF"/>
    <x v="19"/>
    <n v="23822597.981999997"/>
    <n v="3189252.2473886502"/>
    <n v="22"/>
    <n v="0"/>
    <n v="0"/>
    <n v="0"/>
    <n v="7.4696499787703736"/>
    <n v="0"/>
    <n v="0"/>
    <n v="0"/>
  </r>
  <r>
    <x v="9"/>
    <s v="CHF"/>
    <x v="19"/>
    <n v="24071380.368000001"/>
    <n v="3222558.009600678"/>
    <n v="22"/>
    <n v="0"/>
    <n v="0"/>
    <n v="0"/>
    <n v="7.4696499787703736"/>
    <n v="0"/>
    <n v="0"/>
    <n v="0"/>
  </r>
  <r>
    <x v="10"/>
    <s v="CHF"/>
    <x v="19"/>
    <n v="23966595.589499999"/>
    <n v="3208529.9388346029"/>
    <n v="22"/>
    <n v="0"/>
    <n v="0"/>
    <n v="0"/>
    <n v="7.4696499787703736"/>
    <n v="0"/>
    <n v="0"/>
    <n v="0"/>
  </r>
  <r>
    <x v="11"/>
    <s v="CHF"/>
    <x v="19"/>
    <n v="24821064.252"/>
    <n v="3322922.0007020934"/>
    <n v="22"/>
    <n v="0"/>
    <n v="0"/>
    <n v="0"/>
    <n v="7.4696499787703736"/>
    <n v="0"/>
    <n v="0"/>
    <n v="0"/>
  </r>
  <r>
    <x v="12"/>
    <s v="CHF"/>
    <x v="19"/>
    <n v="25383692.078500006"/>
    <n v="3398243.8468527244"/>
    <n v="22"/>
    <n v="0"/>
    <n v="0"/>
    <n v="0"/>
    <n v="7.4696499787703736"/>
    <n v="0"/>
    <n v="0"/>
    <n v="0"/>
  </r>
  <r>
    <x v="13"/>
    <s v="CHF"/>
    <x v="19"/>
    <n v="25485191.096999999"/>
    <n v="3411832.0362308701"/>
    <n v="22"/>
    <n v="0"/>
    <n v="0"/>
    <n v="0"/>
    <n v="7.4696499787703736"/>
    <n v="0"/>
    <n v="0"/>
    <n v="0"/>
  </r>
  <r>
    <x v="14"/>
    <s v="CHF"/>
    <x v="19"/>
    <n v="25344423.208999999"/>
    <n v="3392986.7237463389"/>
    <n v="22"/>
    <n v="0"/>
    <n v="0"/>
    <n v="0"/>
    <n v="7.4696499787703736"/>
    <n v="0"/>
    <n v="0"/>
    <n v="0"/>
  </r>
  <r>
    <x v="15"/>
    <s v="CHF"/>
    <x v="19"/>
    <n v="25716790.520499997"/>
    <n v="3442837.4279370718"/>
    <n v="22"/>
    <n v="0"/>
    <n v="0"/>
    <n v="0"/>
    <n v="7.4696499787703736"/>
    <n v="0"/>
    <n v="0"/>
    <n v="0"/>
  </r>
  <r>
    <x v="16"/>
    <s v="CHF"/>
    <x v="19"/>
    <n v="26568093.715"/>
    <n v="3556805.7125179432"/>
    <n v="22"/>
    <n v="0"/>
    <n v="0"/>
    <n v="0"/>
    <n v="7.4696499787703736"/>
    <n v="0"/>
    <n v="0"/>
    <n v="0"/>
  </r>
  <r>
    <x v="17"/>
    <s v="CHF"/>
    <x v="19"/>
    <n v="26211382.969999999"/>
    <n v="3509051.0324440692"/>
    <n v="22"/>
    <n v="0"/>
    <n v="0"/>
    <n v="0"/>
    <n v="7.4696499787703736"/>
    <n v="0"/>
    <n v="0"/>
    <n v="0"/>
  </r>
  <r>
    <x v="18"/>
    <s v="CHF"/>
    <x v="19"/>
    <n v="26208342.489999998"/>
    <n v="3508643.9879361414"/>
    <n v="22"/>
    <n v="0"/>
    <n v="0"/>
    <n v="0"/>
    <n v="7.4696499787703736"/>
    <n v="0"/>
    <n v="0"/>
    <n v="0"/>
  </r>
  <r>
    <x v="19"/>
    <s v="CHF"/>
    <x v="19"/>
    <n v="26280494.353500001"/>
    <n v="3518303.3245456303"/>
    <n v="22"/>
    <n v="0"/>
    <n v="0"/>
    <n v="0"/>
    <n v="7.4696499787703736"/>
    <n v="0"/>
    <n v="0"/>
    <n v="0"/>
  </r>
  <r>
    <x v="20"/>
    <s v="CHF"/>
    <x v="19"/>
    <n v="26475037.550999999"/>
    <n v="3544347.8109744336"/>
    <n v="22"/>
    <n v="0"/>
    <n v="0"/>
    <n v="0"/>
    <n v="7.4696499787703736"/>
    <n v="0"/>
    <n v="0"/>
    <n v="0"/>
  </r>
  <r>
    <x v="21"/>
    <s v="CHF"/>
    <x v="19"/>
    <n v="26952415.592999998"/>
    <n v="3608256.8352736663"/>
    <n v="22"/>
    <n v="0"/>
    <n v="0"/>
    <n v="0"/>
    <n v="7.4696499787703736"/>
    <n v="0"/>
    <n v="0"/>
    <n v="0"/>
  </r>
  <r>
    <x v="22"/>
    <s v="CHF"/>
    <x v="19"/>
    <n v="26969400"/>
    <n v="3610530.6241457388"/>
    <n v="22"/>
    <n v="0"/>
    <n v="0"/>
    <n v="0"/>
    <n v="7.4696499787703736"/>
    <n v="0"/>
    <n v="0"/>
    <n v="0"/>
  </r>
  <r>
    <x v="23"/>
    <s v="CHF"/>
    <x v="19"/>
    <n v="26849700"/>
    <n v="3594505.7768851304"/>
    <n v="22"/>
    <n v="0"/>
    <n v="0"/>
    <n v="0"/>
    <n v="7.4696499787703736"/>
    <n v="0"/>
    <n v="0"/>
    <n v="0"/>
  </r>
  <r>
    <x v="24"/>
    <s v="CHF"/>
    <x v="19"/>
    <n v="27071300"/>
    <n v="3624172.4949548948"/>
    <n v="22"/>
    <n v="0"/>
    <n v="0"/>
    <n v="0"/>
    <n v="7.4696499787703736"/>
    <n v="0"/>
    <n v="0"/>
    <n v="0"/>
  </r>
  <r>
    <x v="25"/>
    <s v="CHF"/>
    <x v="19"/>
    <n v="27072500"/>
    <n v="3624333.1450527455"/>
    <n v="22"/>
    <n v="0"/>
    <n v="0"/>
    <n v="0"/>
    <n v="7.4696499787703736"/>
    <n v="0"/>
    <n v="0"/>
    <n v="0"/>
  </r>
  <r>
    <x v="26"/>
    <s v="CHF"/>
    <x v="19"/>
    <n v="28347100"/>
    <n v="3794970.3239865056"/>
    <n v="22"/>
    <n v="0"/>
    <n v="0"/>
    <n v="0"/>
    <n v="7.4696499787703736"/>
    <n v="0"/>
    <n v="0"/>
    <n v="0"/>
  </r>
  <r>
    <x v="27"/>
    <s v="CHF"/>
    <x v="19"/>
    <n v="28775200"/>
    <n v="3852282.246394746"/>
    <n v="22"/>
    <n v="0"/>
    <n v="0"/>
    <n v="0"/>
    <n v="7.4696499787703736"/>
    <n v="0"/>
    <n v="0"/>
    <n v="0"/>
  </r>
  <r>
    <x v="28"/>
    <s v="CHF"/>
    <x v="19"/>
    <n v="29052532.109999999"/>
    <n v="3889410.1052352819"/>
    <n v="22"/>
    <n v="0"/>
    <n v="0"/>
    <n v="0"/>
    <n v="7.4696499787703736"/>
    <n v="0"/>
    <n v="0"/>
    <n v="0"/>
  </r>
  <r>
    <x v="29"/>
    <s v="CHF"/>
    <x v="19"/>
    <n v="29298788.057999998"/>
    <n v="3922377.6403540475"/>
    <n v="22"/>
    <n v="0"/>
    <n v="0"/>
    <n v="0"/>
    <n v="7.4696499787703736"/>
    <n v="0"/>
    <n v="0"/>
    <n v="0"/>
  </r>
  <r>
    <x v="30"/>
    <s v="CHF"/>
    <x v="19"/>
    <n v="29298788.057999998"/>
    <n v="3922377.6403540475"/>
    <n v="22"/>
    <n v="0"/>
    <n v="0"/>
    <n v="0"/>
    <n v="7.4696499787703736"/>
    <n v="0"/>
    <n v="0"/>
    <n v="-29298788.057999998"/>
  </r>
  <r>
    <x v="199"/>
    <s v="CHF"/>
    <x v="20"/>
    <n v="635000"/>
    <n v="635000"/>
    <n v="5"/>
    <n v="635000"/>
    <n v="0"/>
    <n v="0"/>
    <n v="1"/>
    <n v="635000"/>
    <n v="635000"/>
    <n v="635000"/>
  </r>
  <r>
    <x v="184"/>
    <s v="CHF"/>
    <x v="20"/>
    <n v="632739.89"/>
    <n v="632739.89"/>
    <n v="5"/>
    <n v="0"/>
    <n v="0"/>
    <n v="0"/>
    <n v="1"/>
    <n v="0"/>
    <n v="0"/>
    <n v="0"/>
  </r>
  <r>
    <x v="185"/>
    <s v="CHF"/>
    <x v="20"/>
    <n v="1030818.5330000002"/>
    <n v="634635.29199044849"/>
    <n v="5"/>
    <n v="395000"/>
    <n v="0"/>
    <n v="0"/>
    <n v="1.624269160586667"/>
    <n v="395000"/>
    <n v="0"/>
    <n v="395000"/>
  </r>
  <r>
    <x v="186"/>
    <s v="CHF"/>
    <x v="20"/>
    <n v="1491642.7845000001"/>
    <n v="659309.74724826403"/>
    <n v="5"/>
    <n v="405000"/>
    <n v="0"/>
    <n v="0"/>
    <n v="2.2624309601452319"/>
    <n v="405000"/>
    <n v="0"/>
    <n v="405000"/>
  </r>
  <r>
    <x v="187"/>
    <s v="CHF"/>
    <x v="20"/>
    <n v="2216485.2955"/>
    <n v="708828.11073888955"/>
    <n v="5"/>
    <n v="570000"/>
    <n v="0"/>
    <n v="0"/>
    <n v="3.1269714926930781"/>
    <n v="570000"/>
    <n v="0"/>
    <n v="570000"/>
  </r>
  <r>
    <x v="188"/>
    <s v="CHF"/>
    <x v="20"/>
    <n v="2609415.2404999998"/>
    <n v="712357.92409935489"/>
    <n v="5"/>
    <n v="380000"/>
    <n v="0"/>
    <n v="0"/>
    <n v="3.663067612814336"/>
    <n v="380000"/>
    <n v="0"/>
    <n v="380000"/>
  </r>
  <r>
    <x v="189"/>
    <s v="CHF"/>
    <x v="20"/>
    <n v="2566544.173"/>
    <n v="700654.32699674449"/>
    <n v="5"/>
    <n v="0"/>
    <n v="0"/>
    <n v="0"/>
    <n v="3.663067612814336"/>
    <n v="0"/>
    <n v="0"/>
    <n v="0"/>
  </r>
  <r>
    <x v="190"/>
    <s v="CHF"/>
    <x v="20"/>
    <n v="2951992.8450000002"/>
    <n v="689087.49660193"/>
    <n v="5"/>
    <n v="435000"/>
    <n v="0"/>
    <n v="0"/>
    <n v="4.2839158445872929"/>
    <n v="435000"/>
    <n v="0"/>
    <n v="435000"/>
  </r>
  <r>
    <x v="191"/>
    <s v="CHF"/>
    <x v="20"/>
    <n v="2902354.7404999998"/>
    <n v="677500.40985681617"/>
    <n v="5"/>
    <n v="0"/>
    <n v="0"/>
    <n v="0"/>
    <n v="4.2839158445872929"/>
    <n v="0"/>
    <n v="0"/>
    <n v="0"/>
  </r>
  <r>
    <x v="192"/>
    <s v="CHF"/>
    <x v="20"/>
    <n v="2909357.8735000002"/>
    <n v="679135.16022401792"/>
    <n v="5"/>
    <n v="0"/>
    <n v="0"/>
    <n v="0"/>
    <n v="4.2839158445872929"/>
    <n v="0"/>
    <n v="0"/>
    <n v="0"/>
  </r>
  <r>
    <x v="193"/>
    <s v="CHF"/>
    <x v="20"/>
    <n v="2987129.7965000002"/>
    <n v="697289.56050204032"/>
    <n v="5"/>
    <n v="0"/>
    <n v="0"/>
    <n v="0"/>
    <n v="4.2839158445872929"/>
    <n v="0"/>
    <n v="0"/>
    <n v="0"/>
  </r>
  <r>
    <x v="1"/>
    <s v="CHF"/>
    <x v="20"/>
    <n v="3236025.9185000001"/>
    <n v="697051.78115618275"/>
    <n v="5"/>
    <n v="250000"/>
    <n v="0"/>
    <n v="0"/>
    <n v="4.6424469544177667"/>
    <n v="250000"/>
    <n v="0"/>
    <n v="250000"/>
  </r>
  <r>
    <x v="2"/>
    <s v="CHF"/>
    <x v="20"/>
    <n v="3255730.7969999998"/>
    <n v="701296.28382761299"/>
    <n v="5"/>
    <n v="0"/>
    <n v="0"/>
    <n v="0"/>
    <n v="4.6424469544177667"/>
    <n v="0"/>
    <n v="0"/>
    <n v="0"/>
  </r>
  <r>
    <x v="3"/>
    <s v="CHF"/>
    <x v="20"/>
    <n v="3200749.5159999998"/>
    <n v="689453.11544252688"/>
    <n v="5"/>
    <n v="0"/>
    <n v="0"/>
    <n v="0"/>
    <n v="4.6424469544177667"/>
    <n v="0"/>
    <n v="0"/>
    <n v="0"/>
  </r>
  <r>
    <x v="4"/>
    <s v="CHF"/>
    <x v="20"/>
    <n v="4381048.6349999998"/>
    <n v="699074.92186732439"/>
    <n v="5"/>
    <n v="1120000"/>
    <n v="0"/>
    <n v="0"/>
    <n v="6.2669228976167846"/>
    <n v="1120000"/>
    <n v="0"/>
    <n v="1120000"/>
  </r>
  <r>
    <x v="5"/>
    <s v="CHF"/>
    <x v="20"/>
    <n v="4418355.5769999996"/>
    <n v="705027.91388740926"/>
    <n v="5"/>
    <n v="0"/>
    <n v="0"/>
    <n v="0"/>
    <n v="6.2669228976167846"/>
    <n v="0"/>
    <n v="0"/>
    <n v="0"/>
  </r>
  <r>
    <x v="6"/>
    <s v="CHF"/>
    <x v="20"/>
    <n v="5269900.5935000004"/>
    <n v="710630.13353066857"/>
    <n v="5"/>
    <n v="810000"/>
    <n v="0"/>
    <n v="0"/>
    <n v="7.4158135784605994"/>
    <n v="810000"/>
    <n v="0"/>
    <n v="810000"/>
  </r>
  <r>
    <x v="7"/>
    <s v="CHF"/>
    <x v="20"/>
    <n v="5328694.8640000001"/>
    <n v="718558.36283119582"/>
    <n v="5"/>
    <n v="0"/>
    <n v="0"/>
    <n v="0"/>
    <n v="7.4158135784605994"/>
    <n v="0"/>
    <n v="0"/>
    <n v="0"/>
  </r>
  <r>
    <x v="8"/>
    <s v="CHF"/>
    <x v="20"/>
    <n v="5450800.7980000004"/>
    <n v="735023.97819599672"/>
    <n v="5"/>
    <n v="0"/>
    <n v="0"/>
    <n v="0"/>
    <n v="7.4158135784605994"/>
    <n v="0"/>
    <n v="0"/>
    <n v="0"/>
  </r>
  <r>
    <x v="9"/>
    <s v="CHF"/>
    <x v="20"/>
    <n v="5487478.0259999996"/>
    <n v="739969.79130361439"/>
    <n v="5"/>
    <n v="0"/>
    <n v="0"/>
    <n v="0"/>
    <n v="7.4158135784605994"/>
    <n v="0"/>
    <n v="0"/>
    <n v="0"/>
  </r>
  <r>
    <x v="10"/>
    <s v="CHF"/>
    <x v="20"/>
    <n v="5466630.7560000001"/>
    <n v="737158.60008643614"/>
    <n v="5"/>
    <n v="0"/>
    <n v="0"/>
    <n v="0"/>
    <n v="7.4158135784605994"/>
    <n v="0"/>
    <n v="0"/>
    <n v="0"/>
  </r>
  <r>
    <x v="11"/>
    <s v="CHF"/>
    <x v="20"/>
    <n v="5686290.2635000004"/>
    <n v="766779.01936693245"/>
    <n v="5"/>
    <n v="0"/>
    <n v="0"/>
    <n v="0"/>
    <n v="7.4158135784605994"/>
    <n v="0"/>
    <n v="0"/>
    <n v="0"/>
  </r>
  <r>
    <x v="12"/>
    <s v="CHF"/>
    <x v="20"/>
    <n v="5817117.0954999998"/>
    <n v="784420.62141313124"/>
    <n v="5"/>
    <n v="0"/>
    <n v="0"/>
    <n v="0"/>
    <n v="7.4158135784605994"/>
    <n v="0"/>
    <n v="0"/>
    <n v="0"/>
  </r>
  <r>
    <x v="13"/>
    <s v="CHF"/>
    <x v="20"/>
    <n v="5840102.8295"/>
    <n v="787520.17802371853"/>
    <n v="5"/>
    <n v="0"/>
    <n v="0"/>
    <n v="0"/>
    <n v="7.4158135784605994"/>
    <n v="0"/>
    <n v="0"/>
    <n v="0"/>
  </r>
  <r>
    <x v="14"/>
    <s v="CHF"/>
    <x v="20"/>
    <n v="5813898.0944999997"/>
    <n v="783986.5488780085"/>
    <n v="5"/>
    <n v="0"/>
    <n v="0"/>
    <n v="0"/>
    <n v="7.4158135784605994"/>
    <n v="0"/>
    <n v="0"/>
    <n v="0"/>
  </r>
  <r>
    <x v="15"/>
    <s v="CHF"/>
    <x v="20"/>
    <n v="5892575.6670000004"/>
    <n v="794595.9812305856"/>
    <n v="5"/>
    <n v="0"/>
    <n v="0"/>
    <n v="0"/>
    <n v="7.4158135784605994"/>
    <n v="0"/>
    <n v="0"/>
    <n v="0"/>
  </r>
  <r>
    <x v="16"/>
    <s v="CHF"/>
    <x v="20"/>
    <n v="6089383.1540000001"/>
    <n v="821134.87476097746"/>
    <n v="5"/>
    <n v="0"/>
    <n v="0"/>
    <n v="0"/>
    <n v="7.4158135784605994"/>
    <n v="0"/>
    <n v="0"/>
    <n v="0"/>
  </r>
  <r>
    <x v="17"/>
    <s v="CHF"/>
    <x v="20"/>
    <n v="6019948.6174999997"/>
    <n v="811771.837817644"/>
    <n v="5"/>
    <n v="0"/>
    <n v="0"/>
    <n v="0"/>
    <n v="7.4158135784605994"/>
    <n v="0"/>
    <n v="0"/>
    <n v="0"/>
  </r>
  <r>
    <x v="18"/>
    <s v="CHF"/>
    <x v="20"/>
    <n v="6013073.9199999999"/>
    <n v="810844.80568188918"/>
    <n v="5"/>
    <n v="0"/>
    <n v="0"/>
    <n v="0"/>
    <n v="7.4158135784605994"/>
    <n v="0"/>
    <n v="0"/>
    <n v="0"/>
  </r>
  <r>
    <x v="19"/>
    <s v="CHF"/>
    <x v="20"/>
    <n v="6041855.9225000003"/>
    <n v="814725.97154393268"/>
    <n v="5"/>
    <n v="0"/>
    <n v="0"/>
    <n v="0"/>
    <n v="7.4158135784605994"/>
    <n v="0"/>
    <n v="0"/>
    <n v="0"/>
  </r>
  <r>
    <x v="20"/>
    <s v="CHF"/>
    <x v="20"/>
    <n v="6089193.7314999998"/>
    <n v="821109.3317105762"/>
    <n v="5"/>
    <n v="0"/>
    <n v="0"/>
    <n v="0"/>
    <n v="7.4158135784605994"/>
    <n v="0"/>
    <n v="0"/>
    <n v="0"/>
  </r>
  <r>
    <x v="21"/>
    <s v="CHF"/>
    <x v="20"/>
    <n v="6191735.0630000001"/>
    <n v="834936.71968562377"/>
    <n v="5"/>
    <n v="0"/>
    <n v="0"/>
    <n v="0"/>
    <n v="7.4158135784605994"/>
    <n v="0"/>
    <n v="0"/>
    <n v="0"/>
  </r>
  <r>
    <x v="22"/>
    <s v="CHF"/>
    <x v="20"/>
    <n v="6208000"/>
    <n v="837129.99717674649"/>
    <n v="5"/>
    <n v="0"/>
    <n v="0"/>
    <n v="0"/>
    <n v="7.4158135784605994"/>
    <n v="0"/>
    <n v="0"/>
    <n v="0"/>
  </r>
  <r>
    <x v="23"/>
    <s v="CHF"/>
    <x v="20"/>
    <n v="6183700"/>
    <n v="833853.21577671508"/>
    <n v="5"/>
    <n v="0"/>
    <n v="0"/>
    <n v="0"/>
    <n v="7.4158135784605994"/>
    <n v="0"/>
    <n v="0"/>
    <n v="0"/>
  </r>
  <r>
    <x v="24"/>
    <s v="CHF"/>
    <x v="20"/>
    <n v="6228300"/>
    <n v="839867.39069199911"/>
    <n v="5"/>
    <n v="0"/>
    <n v="0"/>
    <n v="0"/>
    <n v="7.4158135784605994"/>
    <n v="0"/>
    <n v="0"/>
    <n v="0"/>
  </r>
  <r>
    <x v="25"/>
    <s v="CHF"/>
    <x v="20"/>
    <n v="6240900"/>
    <n v="841566.4625290524"/>
    <n v="5"/>
    <n v="0"/>
    <n v="0"/>
    <n v="0"/>
    <n v="7.4158135784605994"/>
    <n v="0"/>
    <n v="0"/>
    <n v="0"/>
  </r>
  <r>
    <x v="26"/>
    <s v="CHF"/>
    <x v="20"/>
    <n v="6536500"/>
    <n v="881427.22721420799"/>
    <n v="5"/>
    <n v="0"/>
    <n v="0"/>
    <n v="0"/>
    <n v="7.4158135784605994"/>
    <n v="0"/>
    <n v="0"/>
    <n v="0"/>
  </r>
  <r>
    <x v="27"/>
    <s v="CHF"/>
    <x v="20"/>
    <n v="6627700"/>
    <n v="893725.27098716539"/>
    <n v="5"/>
    <n v="0"/>
    <n v="0"/>
    <n v="0"/>
    <n v="7.4158135784605994"/>
    <n v="0"/>
    <n v="0"/>
    <n v="0"/>
  </r>
  <r>
    <x v="28"/>
    <s v="CHF"/>
    <x v="20"/>
    <n v="6693713.79"/>
    <n v="902627.03062574891"/>
    <n v="5"/>
    <n v="0"/>
    <n v="0"/>
    <n v="0"/>
    <n v="7.4158135784605994"/>
    <n v="0"/>
    <n v="0"/>
    <n v="0"/>
  </r>
  <r>
    <x v="29"/>
    <s v="CHF"/>
    <x v="20"/>
    <n v="6763152.9685000004"/>
    <n v="911990.69352872262"/>
    <n v="5"/>
    <n v="0"/>
    <n v="0"/>
    <n v="0"/>
    <n v="7.4158135784605994"/>
    <n v="0"/>
    <n v="0"/>
    <n v="0"/>
  </r>
  <r>
    <x v="30"/>
    <s v="CHF"/>
    <x v="20"/>
    <n v="6763152.9685000004"/>
    <n v="911990.69352872262"/>
    <n v="5"/>
    <n v="0"/>
    <n v="0"/>
    <n v="0"/>
    <n v="7.4158135784605994"/>
    <n v="0"/>
    <n v="0"/>
    <n v="-6763152.9685000004"/>
  </r>
  <r>
    <x v="199"/>
    <s v="CHF"/>
    <x v="21"/>
    <n v="127000"/>
    <n v="127000"/>
    <n v="1"/>
    <n v="127000"/>
    <n v="0"/>
    <n v="0"/>
    <n v="1"/>
    <n v="127000"/>
    <n v="127000"/>
    <n v="127000"/>
  </r>
  <r>
    <x v="184"/>
    <s v="CHF"/>
    <x v="21"/>
    <n v="126485.53000000001"/>
    <n v="126485.53000000001"/>
    <n v="1"/>
    <n v="0"/>
    <n v="0"/>
    <n v="0"/>
    <n v="1"/>
    <n v="0"/>
    <n v="0"/>
    <n v="0"/>
  </r>
  <r>
    <x v="185"/>
    <s v="CHF"/>
    <x v="21"/>
    <n v="205995.76"/>
    <n v="126799.59937496719"/>
    <n v="1"/>
    <n v="79000"/>
    <n v="0"/>
    <n v="0"/>
    <n v="1.624577372605388"/>
    <n v="79000"/>
    <n v="0"/>
    <n v="79000"/>
  </r>
  <r>
    <x v="186"/>
    <s v="CHF"/>
    <x v="21"/>
    <n v="297950.1335"/>
    <n v="131639.42757035155"/>
    <n v="1"/>
    <n v="81000"/>
    <n v="0"/>
    <n v="0"/>
    <n v="2.2633806527361848"/>
    <n v="81000"/>
    <n v="0"/>
    <n v="81000"/>
  </r>
  <r>
    <x v="187"/>
    <s v="CHF"/>
    <x v="21"/>
    <n v="443107.98849999998"/>
    <n v="141595.97780052645"/>
    <n v="1"/>
    <n v="114000"/>
    <n v="0"/>
    <n v="0"/>
    <n v="3.1293825953462395"/>
    <n v="114000"/>
    <n v="0"/>
    <n v="114000"/>
  </r>
  <r>
    <x v="188"/>
    <s v="CHF"/>
    <x v="21"/>
    <n v="521304.64350000006"/>
    <n v="142195.1546953267"/>
    <n v="1"/>
    <n v="76000"/>
    <n v="0"/>
    <n v="0"/>
    <n v="3.6661210054376978"/>
    <n v="76000"/>
    <n v="0"/>
    <n v="76000"/>
  </r>
  <r>
    <x v="189"/>
    <s v="CHF"/>
    <x v="21"/>
    <n v="513419.13400000008"/>
    <n v="140044.24110346654"/>
    <n v="1"/>
    <n v="0"/>
    <n v="-5.8207660913467407E-11"/>
    <n v="0"/>
    <n v="3.6661210054376978"/>
    <n v="-5.8207660913467407E-11"/>
    <n v="0"/>
    <n v="-5.8207660913467407E-11"/>
  </r>
  <r>
    <x v="190"/>
    <s v="CHF"/>
    <x v="21"/>
    <n v="590250.81350000005"/>
    <n v="137672.53999155739"/>
    <n v="1"/>
    <n v="87000"/>
    <n v="0"/>
    <n v="0"/>
    <n v="4.2873532625765201"/>
    <n v="87000"/>
    <n v="0"/>
    <n v="87000"/>
  </r>
  <r>
    <x v="191"/>
    <s v="CHF"/>
    <x v="21"/>
    <n v="580074.91949999996"/>
    <n v="135299.07240519742"/>
    <n v="1"/>
    <n v="0"/>
    <n v="0"/>
    <n v="0"/>
    <n v="4.2873532625765201"/>
    <n v="0"/>
    <n v="0"/>
    <n v="0"/>
  </r>
  <r>
    <x v="192"/>
    <s v="CHF"/>
    <x v="21"/>
    <n v="581227.92749999999"/>
    <n v="135568.00475795323"/>
    <n v="1"/>
    <n v="0"/>
    <n v="0"/>
    <n v="0"/>
    <n v="4.2873532625765201"/>
    <n v="0"/>
    <n v="0"/>
    <n v="0"/>
  </r>
  <r>
    <x v="193"/>
    <s v="CHF"/>
    <x v="21"/>
    <n v="597283.0675"/>
    <n v="139312.77198768963"/>
    <n v="1"/>
    <n v="0"/>
    <n v="0"/>
    <n v="0"/>
    <n v="4.2873532625765201"/>
    <n v="0"/>
    <n v="0"/>
    <n v="0"/>
  </r>
  <r>
    <x v="1"/>
    <s v="CHF"/>
    <x v="21"/>
    <n v="645757.71699999995"/>
    <n v="138984.47542459777"/>
    <n v="1"/>
    <n v="50000.000000000007"/>
    <n v="0"/>
    <n v="0"/>
    <n v="4.6462579005835671"/>
    <n v="50000.000000000007"/>
    <n v="0"/>
    <n v="50000.000000000007"/>
  </r>
  <r>
    <x v="2"/>
    <s v="CHF"/>
    <x v="21"/>
    <n v="649657.47450000001"/>
    <n v="139823.80840684788"/>
    <n v="1"/>
    <n v="0"/>
    <n v="0"/>
    <n v="0"/>
    <n v="4.6462579005835671"/>
    <n v="0"/>
    <n v="0"/>
    <n v="0"/>
  </r>
  <r>
    <x v="3"/>
    <s v="CHF"/>
    <x v="21"/>
    <n v="639245.54399999999"/>
    <n v="137582.88017540119"/>
    <n v="1"/>
    <n v="0"/>
    <n v="0"/>
    <n v="0"/>
    <n v="4.6462579005835671"/>
    <n v="0"/>
    <n v="0"/>
    <n v="0"/>
  </r>
  <r>
    <x v="4"/>
    <s v="CHF"/>
    <x v="21"/>
    <n v="874826.36049999995"/>
    <n v="139428.61468272324"/>
    <n v="1"/>
    <n v="224000"/>
    <n v="0"/>
    <n v="0"/>
    <n v="6.2743674423697815"/>
    <n v="224000"/>
    <n v="0"/>
    <n v="224000"/>
  </r>
  <r>
    <x v="5"/>
    <s v="CHF"/>
    <x v="21"/>
    <n v="881054.6165"/>
    <n v="140421.26550485101"/>
    <n v="1"/>
    <n v="0"/>
    <n v="0"/>
    <n v="0"/>
    <n v="6.2743674423697815"/>
    <n v="0"/>
    <n v="0"/>
    <n v="0"/>
  </r>
  <r>
    <x v="6"/>
    <s v="CHF"/>
    <x v="21"/>
    <n v="1052905.9805000001"/>
    <n v="141747.50573997005"/>
    <n v="1"/>
    <n v="162000"/>
    <n v="0"/>
    <n v="0"/>
    <n v="7.4280388568636457"/>
    <n v="162000"/>
    <n v="0"/>
    <n v="162000"/>
  </r>
  <r>
    <x v="7"/>
    <s v="CHF"/>
    <x v="21"/>
    <n v="1064177.3629999999"/>
    <n v="143264.91601705615"/>
    <n v="1"/>
    <n v="0"/>
    <n v="0"/>
    <n v="0"/>
    <n v="7.4280388568636457"/>
    <n v="0"/>
    <n v="0"/>
    <n v="0"/>
  </r>
  <r>
    <x v="8"/>
    <s v="CHF"/>
    <x v="21"/>
    <n v="1086146.956"/>
    <n v="146222.57326997962"/>
    <n v="1"/>
    <n v="0"/>
    <n v="0"/>
    <n v="0"/>
    <n v="7.4280388568636457"/>
    <n v="0"/>
    <n v="0"/>
    <n v="0"/>
  </r>
  <r>
    <x v="9"/>
    <s v="CHF"/>
    <x v="21"/>
    <n v="1096401.9424999999"/>
    <n v="147603.15119877222"/>
    <n v="1"/>
    <n v="0"/>
    <n v="0"/>
    <n v="0"/>
    <n v="7.4280388568636457"/>
    <n v="0"/>
    <n v="0"/>
    <n v="0"/>
  </r>
  <r>
    <x v="10"/>
    <s v="CHF"/>
    <x v="21"/>
    <n v="1091721.3155"/>
    <n v="146973.02161945871"/>
    <n v="1"/>
    <n v="0"/>
    <n v="0"/>
    <n v="0"/>
    <n v="7.4280388568636457"/>
    <n v="0"/>
    <n v="0"/>
    <n v="0"/>
  </r>
  <r>
    <x v="11"/>
    <s v="CHF"/>
    <x v="21"/>
    <n v="1131767"/>
    <n v="152364.1733449235"/>
    <n v="1"/>
    <n v="0"/>
    <n v="0"/>
    <n v="0"/>
    <n v="7.4280388568636457"/>
    <n v="0"/>
    <n v="0"/>
    <n v="0"/>
  </r>
  <r>
    <x v="12"/>
    <s v="CHF"/>
    <x v="21"/>
    <n v="1157422.7285"/>
    <n v="155818.07672297242"/>
    <n v="1"/>
    <n v="0"/>
    <n v="0"/>
    <n v="0"/>
    <n v="7.4280388568636457"/>
    <n v="0"/>
    <n v="0"/>
    <n v="0"/>
  </r>
  <r>
    <x v="13"/>
    <s v="CHF"/>
    <x v="21"/>
    <n v="1162034.0804999999"/>
    <n v="156438.88015290321"/>
    <n v="1"/>
    <n v="0"/>
    <n v="0"/>
    <n v="0"/>
    <n v="7.4280388568636457"/>
    <n v="0"/>
    <n v="0"/>
    <n v="0"/>
  </r>
  <r>
    <x v="14"/>
    <s v="CHF"/>
    <x v="21"/>
    <n v="1155793.797"/>
    <n v="155598.78176081768"/>
    <n v="1"/>
    <n v="0"/>
    <n v="0"/>
    <n v="0"/>
    <n v="7.4280388568636457"/>
    <n v="0"/>
    <n v="0"/>
    <n v="0"/>
  </r>
  <r>
    <x v="15"/>
    <s v="CHF"/>
    <x v="21"/>
    <n v="1172556.2815"/>
    <n v="157855.43184343149"/>
    <n v="1"/>
    <n v="0"/>
    <n v="0"/>
    <n v="0"/>
    <n v="7.4280388568636457"/>
    <n v="0"/>
    <n v="0"/>
    <n v="0"/>
  </r>
  <r>
    <x v="16"/>
    <s v="CHF"/>
    <x v="21"/>
    <n v="1211343.575"/>
    <n v="163077.17263496757"/>
    <n v="1"/>
    <n v="0"/>
    <n v="0"/>
    <n v="0"/>
    <n v="7.4280388568636457"/>
    <n v="0"/>
    <n v="0"/>
    <n v="0"/>
  </r>
  <r>
    <x v="17"/>
    <s v="CHF"/>
    <x v="21"/>
    <n v="1195448.524"/>
    <n v="160937.30081869231"/>
    <n v="1"/>
    <n v="0"/>
    <n v="0"/>
    <n v="0"/>
    <n v="7.4280388568636457"/>
    <n v="0"/>
    <n v="0"/>
    <n v="0"/>
  </r>
  <r>
    <x v="18"/>
    <s v="CHF"/>
    <x v="21"/>
    <n v="1195151.679"/>
    <n v="160897.33804982156"/>
    <n v="1"/>
    <n v="0"/>
    <n v="0"/>
    <n v="0"/>
    <n v="7.4280388568636457"/>
    <n v="0"/>
    <n v="0"/>
    <n v="0"/>
  </r>
  <r>
    <x v="19"/>
    <s v="CHF"/>
    <x v="21"/>
    <n v="1198787.2815"/>
    <n v="161386.78116799274"/>
    <n v="1"/>
    <n v="0"/>
    <n v="0"/>
    <n v="0"/>
    <n v="7.4280388568636457"/>
    <n v="0"/>
    <n v="0"/>
    <n v="0"/>
  </r>
  <r>
    <x v="20"/>
    <s v="CHF"/>
    <x v="21"/>
    <n v="1207726.7995"/>
    <n v="162590.26410235293"/>
    <n v="1"/>
    <n v="0"/>
    <n v="0"/>
    <n v="0"/>
    <n v="7.4280388568636457"/>
    <n v="0"/>
    <n v="0"/>
    <n v="0"/>
  </r>
  <r>
    <x v="21"/>
    <s v="CHF"/>
    <x v="21"/>
    <n v="1229260.9889999998"/>
    <n v="165489.30514332728"/>
    <n v="1"/>
    <n v="0"/>
    <n v="0"/>
    <n v="0"/>
    <n v="7.4280388568636457"/>
    <n v="0"/>
    <n v="0"/>
    <n v="0"/>
  </r>
  <r>
    <x v="22"/>
    <s v="CHF"/>
    <x v="21"/>
    <n v="1230400"/>
    <n v="165642.64454043447"/>
    <n v="1"/>
    <n v="0"/>
    <n v="0"/>
    <n v="0"/>
    <n v="7.4280388568636457"/>
    <n v="0"/>
    <n v="0"/>
    <n v="0"/>
  </r>
  <r>
    <x v="23"/>
    <s v="CHF"/>
    <x v="21"/>
    <n v="1225000"/>
    <n v="164915.66934495466"/>
    <n v="1"/>
    <n v="0"/>
    <n v="0"/>
    <n v="0"/>
    <n v="7.4280388568636457"/>
    <n v="0"/>
    <n v="0"/>
    <n v="0"/>
  </r>
  <r>
    <x v="24"/>
    <s v="CHF"/>
    <x v="21"/>
    <n v="1235000"/>
    <n v="166261.9197069543"/>
    <n v="1"/>
    <n v="0"/>
    <n v="0"/>
    <n v="0"/>
    <n v="7.4280388568636457"/>
    <n v="0"/>
    <n v="0"/>
    <n v="0"/>
  </r>
  <r>
    <x v="25"/>
    <s v="CHF"/>
    <x v="21"/>
    <n v="1235400"/>
    <n v="166315.76972143428"/>
    <n v="1"/>
    <n v="0"/>
    <n v="0"/>
    <n v="0"/>
    <n v="7.4280388568636457"/>
    <n v="0"/>
    <n v="0"/>
    <n v="0"/>
  </r>
  <r>
    <x v="26"/>
    <s v="CHF"/>
    <x v="21"/>
    <n v="1293900"/>
    <n v="174191.3343391321"/>
    <n v="1"/>
    <n v="0"/>
    <n v="0"/>
    <n v="0"/>
    <n v="7.4280388568636457"/>
    <n v="0"/>
    <n v="0"/>
    <n v="0"/>
  </r>
  <r>
    <x v="27"/>
    <s v="CHF"/>
    <x v="21"/>
    <n v="1313200"/>
    <n v="176789.59753779139"/>
    <n v="1"/>
    <n v="0"/>
    <n v="0"/>
    <n v="0"/>
    <n v="7.4280388568636457"/>
    <n v="0"/>
    <n v="0"/>
    <n v="0"/>
  </r>
  <r>
    <x v="28"/>
    <s v="CHF"/>
    <x v="21"/>
    <n v="1325905.72"/>
    <n v="178500.10555273798"/>
    <n v="1"/>
    <n v="0"/>
    <n v="0"/>
    <n v="0"/>
    <n v="7.4280388568636457"/>
    <n v="0"/>
    <n v="0"/>
    <n v="0"/>
  </r>
  <r>
    <x v="29"/>
    <s v="CHF"/>
    <x v="21"/>
    <n v="1337491.1995000001"/>
    <n v="180059.80114981942"/>
    <n v="1"/>
    <n v="0"/>
    <n v="0"/>
    <n v="0"/>
    <n v="7.4280388568636457"/>
    <n v="0"/>
    <n v="0"/>
    <n v="0"/>
  </r>
  <r>
    <x v="30"/>
    <s v="CHF"/>
    <x v="21"/>
    <n v="1337491.1995000001"/>
    <n v="180059.80114981942"/>
    <n v="1"/>
    <n v="0"/>
    <n v="0"/>
    <n v="0"/>
    <n v="7.4280388568636457"/>
    <n v="0"/>
    <n v="0"/>
    <n v="-1337491.1995000001"/>
  </r>
  <r>
    <x v="200"/>
    <s v="CHF"/>
    <x v="22"/>
    <n v="504426.00000000006"/>
    <n v="504426.00000000006"/>
    <n v="5.798"/>
    <n v="504426.00000000006"/>
    <n v="0"/>
    <n v="0"/>
    <n v="1"/>
    <n v="504426.00000000006"/>
    <n v="504426.00000000006"/>
    <n v="504426.00000000006"/>
  </r>
  <r>
    <x v="190"/>
    <s v="CHF"/>
    <x v="22"/>
    <n v="502986.10999999993"/>
    <n v="502986.10999999993"/>
    <n v="5.798"/>
    <n v="0"/>
    <n v="0"/>
    <n v="0"/>
    <n v="1"/>
    <n v="0"/>
    <n v="0"/>
    <n v="0"/>
  </r>
  <r>
    <x v="191"/>
    <s v="CHF"/>
    <x v="22"/>
    <n v="500839.3"/>
    <n v="500839.3"/>
    <n v="5.798"/>
    <n v="0"/>
    <n v="0"/>
    <n v="0"/>
    <n v="1"/>
    <n v="0"/>
    <n v="0"/>
    <n v="0"/>
  </r>
  <r>
    <x v="192"/>
    <s v="CHF"/>
    <x v="22"/>
    <n v="502121.09"/>
    <n v="502121.09"/>
    <n v="5.798"/>
    <n v="0"/>
    <n v="0"/>
    <n v="0"/>
    <n v="1"/>
    <n v="0"/>
    <n v="0"/>
    <n v="0"/>
  </r>
  <r>
    <x v="193"/>
    <s v="CHF"/>
    <x v="22"/>
    <n v="500313.93999999994"/>
    <n v="500313.93999999994"/>
    <n v="5.798"/>
    <n v="0"/>
    <n v="0"/>
    <n v="0"/>
    <n v="1"/>
    <n v="0"/>
    <n v="0"/>
    <n v="0"/>
  </r>
  <r>
    <x v="1"/>
    <s v="CHF"/>
    <x v="22"/>
    <n v="938848.33"/>
    <n v="459547.31436148193"/>
    <n v="5.798"/>
    <n v="521819.99999999994"/>
    <n v="0"/>
    <n v="0"/>
    <n v="2.0429851304962643"/>
    <n v="521819.99999999994"/>
    <n v="0"/>
    <n v="521819.99999999994"/>
  </r>
  <r>
    <x v="2"/>
    <s v="CHF"/>
    <x v="22"/>
    <n v="1037218.1"/>
    <n v="507697.33196640934"/>
    <n v="5.798"/>
    <n v="0"/>
    <n v="0"/>
    <n v="0"/>
    <n v="2.0429851304962643"/>
    <n v="0"/>
    <n v="0"/>
    <n v="0"/>
  </r>
  <r>
    <x v="3"/>
    <s v="CHF"/>
    <x v="22"/>
    <n v="1030504.1"/>
    <n v="504410.96443500731"/>
    <n v="5.798"/>
    <n v="0"/>
    <n v="0"/>
    <n v="0"/>
    <n v="2.0429851304962643"/>
    <n v="0"/>
    <n v="0"/>
    <n v="0"/>
  </r>
  <r>
    <x v="4"/>
    <s v="CHF"/>
    <x v="22"/>
    <n v="2345408.2200000002"/>
    <n v="507908.77922096843"/>
    <n v="5.798"/>
    <n v="1298752"/>
    <n v="0"/>
    <n v="0"/>
    <n v="4.6177745216323931"/>
    <n v="1298752"/>
    <n v="0"/>
    <n v="1298752"/>
  </r>
  <r>
    <x v="5"/>
    <s v="CHF"/>
    <x v="22"/>
    <n v="2360166.64"/>
    <n v="511104.7819558059"/>
    <n v="5.798"/>
    <n v="0"/>
    <n v="0"/>
    <n v="0"/>
    <n v="4.6177745216323931"/>
    <n v="0"/>
    <n v="0"/>
    <n v="0"/>
  </r>
  <r>
    <x v="6"/>
    <s v="CHF"/>
    <x v="22"/>
    <n v="3289877.32"/>
    <n v="511420.45673394029"/>
    <n v="5.798"/>
    <n v="927680"/>
    <n v="0"/>
    <n v="0"/>
    <n v="6.4328230845711261"/>
    <n v="927680"/>
    <n v="0"/>
    <n v="927680"/>
  </r>
  <r>
    <x v="7"/>
    <s v="CHF"/>
    <x v="22"/>
    <n v="3340819.11"/>
    <n v="519339.49777242023"/>
    <n v="5.798"/>
    <n v="0"/>
    <n v="0"/>
    <n v="0"/>
    <n v="6.4328230845711261"/>
    <n v="0"/>
    <n v="0"/>
    <n v="0"/>
  </r>
  <r>
    <x v="8"/>
    <s v="CHF"/>
    <x v="22"/>
    <n v="3344890.68"/>
    <n v="519972.43450120511"/>
    <n v="5.798"/>
    <n v="0"/>
    <n v="0"/>
    <n v="0"/>
    <n v="6.4328230845711261"/>
    <n v="0"/>
    <n v="0"/>
    <n v="0"/>
  </r>
  <r>
    <x v="9"/>
    <s v="CHF"/>
    <x v="22"/>
    <n v="3322915.34"/>
    <n v="516556.30759842938"/>
    <n v="5.798"/>
    <n v="0"/>
    <n v="0"/>
    <n v="0"/>
    <n v="6.4328230845711261"/>
    <n v="0"/>
    <n v="0"/>
    <n v="0"/>
  </r>
  <r>
    <x v="10"/>
    <s v="CHF"/>
    <x v="22"/>
    <n v="3324291.39"/>
    <n v="516770.21834677574"/>
    <n v="5.798"/>
    <n v="0"/>
    <n v="0"/>
    <n v="0"/>
    <n v="6.4328230845711261"/>
    <n v="0"/>
    <n v="0"/>
    <n v="0"/>
  </r>
  <r>
    <x v="11"/>
    <s v="CHF"/>
    <x v="22"/>
    <n v="3483042.17"/>
    <n v="541448.46270589042"/>
    <n v="5.798"/>
    <n v="0"/>
    <n v="-4.6566128730773926E-10"/>
    <n v="0"/>
    <n v="6.4328230845711261"/>
    <n v="-4.6566128730773926E-10"/>
    <n v="0"/>
    <n v="-4.6566128730773926E-10"/>
  </r>
  <r>
    <x v="12"/>
    <s v="CHF"/>
    <x v="22"/>
    <n v="3594157.24"/>
    <n v="558721.60523432482"/>
    <n v="5.798"/>
    <n v="0"/>
    <n v="0"/>
    <n v="0"/>
    <n v="6.4328230845711261"/>
    <n v="0"/>
    <n v="0"/>
    <n v="0"/>
  </r>
  <r>
    <x v="13"/>
    <s v="CHF"/>
    <x v="22"/>
    <n v="3634138.62"/>
    <n v="564936.82046321768"/>
    <n v="5.798"/>
    <n v="0"/>
    <n v="-4.6566128730773926E-10"/>
    <n v="0"/>
    <n v="6.4328230845711261"/>
    <n v="-4.6566128730773926E-10"/>
    <n v="0"/>
    <n v="-4.6566128730773926E-10"/>
  </r>
  <r>
    <x v="14"/>
    <s v="CHF"/>
    <x v="22"/>
    <n v="6174599.0599999996"/>
    <n v="564492.36836330418"/>
    <n v="5.798"/>
    <n v="2545322"/>
    <n v="0"/>
    <n v="0"/>
    <n v="10.938321589541953"/>
    <n v="2545322"/>
    <n v="0"/>
    <n v="2545322"/>
  </r>
  <r>
    <x v="15"/>
    <s v="CHF"/>
    <x v="22"/>
    <n v="6248850.79"/>
    <n v="571280.58805424767"/>
    <n v="5.798"/>
    <n v="0"/>
    <n v="0"/>
    <n v="0"/>
    <n v="10.938321589541953"/>
    <n v="0"/>
    <n v="0"/>
    <n v="0"/>
  </r>
  <r>
    <x v="16"/>
    <s v="CHF"/>
    <x v="22"/>
    <n v="6385129.0300000003"/>
    <n v="583739.37699041271"/>
    <n v="5.798"/>
    <n v="0"/>
    <n v="0"/>
    <n v="0"/>
    <n v="10.938321589541953"/>
    <n v="0"/>
    <n v="0"/>
    <n v="0"/>
  </r>
  <r>
    <x v="17"/>
    <s v="CHF"/>
    <x v="22"/>
    <n v="6370744.6699999999"/>
    <n v="582424.33428644307"/>
    <n v="5.798"/>
    <n v="0"/>
    <n v="0"/>
    <n v="0"/>
    <n v="10.938321589541953"/>
    <n v="0"/>
    <n v="0"/>
    <n v="0"/>
  </r>
  <r>
    <x v="18"/>
    <s v="CHF"/>
    <x v="22"/>
    <n v="6393070.2000000002"/>
    <n v="584465.37228457117"/>
    <n v="5.798"/>
    <n v="0"/>
    <n v="0"/>
    <n v="0"/>
    <n v="10.938321589541953"/>
    <n v="0"/>
    <n v="0"/>
    <n v="0"/>
  </r>
  <r>
    <x v="19"/>
    <s v="CHF"/>
    <x v="22"/>
    <n v="6519843.3200000003"/>
    <n v="596055.18695240899"/>
    <n v="5.798"/>
    <n v="0"/>
    <n v="0"/>
    <n v="0"/>
    <n v="10.938321589541953"/>
    <n v="0"/>
    <n v="0"/>
    <n v="0"/>
  </r>
  <r>
    <x v="20"/>
    <s v="CHF"/>
    <x v="22"/>
    <n v="6592540.7800000003"/>
    <n v="602701.31263127958"/>
    <n v="5.798"/>
    <n v="0"/>
    <n v="0"/>
    <n v="0"/>
    <n v="10.938321589541953"/>
    <n v="0"/>
    <n v="0"/>
    <n v="0"/>
  </r>
  <r>
    <x v="21"/>
    <s v="CHF"/>
    <x v="22"/>
    <n v="6637241.5599999996"/>
    <n v="606787.93411466491"/>
    <n v="5.798"/>
    <n v="0"/>
    <n v="0"/>
    <n v="0"/>
    <n v="10.938321589541953"/>
    <n v="0"/>
    <n v="0"/>
    <n v="0"/>
  </r>
  <r>
    <x v="22"/>
    <s v="CHF"/>
    <x v="22"/>
    <n v="6663900"/>
    <n v="609225.09412882"/>
    <n v="5.798"/>
    <n v="0"/>
    <n v="0"/>
    <n v="0"/>
    <n v="10.938321589541953"/>
    <n v="0"/>
    <n v="0"/>
    <n v="0"/>
  </r>
  <r>
    <x v="23"/>
    <s v="CHF"/>
    <x v="22"/>
    <n v="6812500"/>
    <n v="622810.35936202318"/>
    <n v="5.798"/>
    <n v="0"/>
    <n v="-9.3132257461547852E-10"/>
    <n v="0"/>
    <n v="10.938321589541953"/>
    <n v="-9.3132257461547852E-10"/>
    <n v="0"/>
    <n v="-9.3132257461547852E-10"/>
  </r>
  <r>
    <x v="24"/>
    <s v="CHF"/>
    <x v="22"/>
    <n v="6768778.1600000001"/>
    <n v="618813.23424167547"/>
    <n v="5.798"/>
    <n v="0"/>
    <n v="-9.3132257461547852E-10"/>
    <n v="0"/>
    <n v="10.938321589541953"/>
    <n v="-9.3132257461547852E-10"/>
    <n v="0"/>
    <n v="-9.3132257461547852E-10"/>
  </r>
  <r>
    <x v="25"/>
    <s v="CHF"/>
    <x v="22"/>
    <n v="6802100"/>
    <n v="621859.57363910717"/>
    <n v="5.798"/>
    <n v="0"/>
    <n v="0"/>
    <n v="0"/>
    <n v="10.938321589541953"/>
    <n v="0"/>
    <n v="0"/>
    <n v="0"/>
  </r>
  <r>
    <x v="26"/>
    <s v="CHF"/>
    <x v="22"/>
    <n v="7429100"/>
    <n v="679180.98212644493"/>
    <n v="5.798"/>
    <n v="0"/>
    <n v="0"/>
    <n v="0"/>
    <n v="10.938321589541953"/>
    <n v="0"/>
    <n v="0"/>
    <n v="0"/>
  </r>
  <r>
    <x v="27"/>
    <s v="CHF"/>
    <x v="22"/>
    <n v="7632800"/>
    <n v="697803.58325702022"/>
    <n v="5.798"/>
    <n v="0"/>
    <n v="0"/>
    <n v="0"/>
    <n v="10.938321589541953"/>
    <n v="0"/>
    <n v="0"/>
    <n v="0"/>
  </r>
  <r>
    <x v="28"/>
    <s v="CHF"/>
    <x v="22"/>
    <n v="7675398.46"/>
    <n v="701698.00706338626"/>
    <n v="5.798"/>
    <n v="0"/>
    <n v="0"/>
    <n v="0"/>
    <n v="10.938321589541953"/>
    <n v="0"/>
    <n v="0"/>
    <n v="0"/>
  </r>
  <r>
    <x v="29"/>
    <s v="CHF"/>
    <x v="22"/>
    <n v="7790059.04"/>
    <n v="712180.4726831232"/>
    <n v="5.798"/>
    <n v="0"/>
    <n v="0"/>
    <n v="0"/>
    <n v="10.938321589541953"/>
    <n v="0"/>
    <n v="0"/>
    <n v="0"/>
  </r>
  <r>
    <x v="30"/>
    <s v="CHF"/>
    <x v="22"/>
    <n v="7790059.04"/>
    <n v="712180.4726831232"/>
    <n v="5.798"/>
    <n v="0"/>
    <n v="0"/>
    <n v="0"/>
    <n v="10.938321589541953"/>
    <n v="0"/>
    <n v="0"/>
    <n v="-7790059.04"/>
  </r>
  <r>
    <x v="200"/>
    <s v="CHF"/>
    <x v="23"/>
    <n v="217500"/>
    <n v="217500"/>
    <n v="2.5"/>
    <n v="217500"/>
    <n v="0"/>
    <n v="0"/>
    <n v="1"/>
    <n v="217500"/>
    <n v="217500"/>
    <n v="217500"/>
  </r>
  <r>
    <x v="190"/>
    <s v="CHF"/>
    <x v="23"/>
    <n v="216879.14"/>
    <n v="216879.14"/>
    <n v="2.5"/>
    <n v="0"/>
    <n v="0"/>
    <n v="0"/>
    <n v="1"/>
    <n v="0"/>
    <n v="0"/>
    <n v="0"/>
  </r>
  <r>
    <x v="191"/>
    <s v="CHF"/>
    <x v="23"/>
    <n v="215953.47"/>
    <n v="215953.47"/>
    <n v="2.5"/>
    <n v="0"/>
    <n v="0"/>
    <n v="0"/>
    <n v="1"/>
    <n v="0"/>
    <n v="0"/>
    <n v="0"/>
  </r>
  <r>
    <x v="192"/>
    <s v="CHF"/>
    <x v="23"/>
    <n v="216506.16"/>
    <n v="216506.16"/>
    <n v="2.5"/>
    <n v="0"/>
    <n v="0"/>
    <n v="0"/>
    <n v="1"/>
    <n v="0"/>
    <n v="0"/>
    <n v="0"/>
  </r>
  <r>
    <x v="193"/>
    <s v="CHF"/>
    <x v="23"/>
    <n v="215726.95"/>
    <n v="215726.95"/>
    <n v="2.5"/>
    <n v="0"/>
    <n v="0"/>
    <n v="0"/>
    <n v="1"/>
    <n v="0"/>
    <n v="0"/>
    <n v="0"/>
  </r>
  <r>
    <x v="1"/>
    <s v="CHF"/>
    <x v="23"/>
    <n v="404815.59"/>
    <n v="198149.06382092246"/>
    <n v="2.5"/>
    <n v="225000"/>
    <n v="0"/>
    <n v="0"/>
    <n v="2.0429851254096905"/>
    <n v="225000"/>
    <n v="0"/>
    <n v="225000"/>
  </r>
  <r>
    <x v="2"/>
    <s v="CHF"/>
    <x v="23"/>
    <n v="447231.29"/>
    <n v="218910.69319964547"/>
    <n v="2.5"/>
    <n v="0"/>
    <n v="0"/>
    <n v="0"/>
    <n v="2.0429851254096905"/>
    <n v="0"/>
    <n v="0"/>
    <n v="0"/>
  </r>
  <r>
    <x v="3"/>
    <s v="CHF"/>
    <x v="23"/>
    <n v="444336.02"/>
    <n v="217493.51694907469"/>
    <n v="2.5"/>
    <n v="0"/>
    <n v="0"/>
    <n v="0"/>
    <n v="2.0429851254096905"/>
    <n v="0"/>
    <n v="0"/>
    <n v="0"/>
  </r>
  <r>
    <x v="4"/>
    <s v="CHF"/>
    <x v="23"/>
    <n v="1011300.5400000002"/>
    <n v="219001.71531943901"/>
    <n v="2.5"/>
    <n v="560000"/>
    <n v="0"/>
    <n v="0"/>
    <n v="4.6177745161717239"/>
    <n v="560000"/>
    <n v="0"/>
    <n v="560000"/>
  </r>
  <r>
    <x v="5"/>
    <s v="CHF"/>
    <x v="23"/>
    <n v="1017664.4299999999"/>
    <n v="220379.84454114811"/>
    <n v="2.5"/>
    <n v="0"/>
    <n v="0"/>
    <n v="0"/>
    <n v="4.6177745161717239"/>
    <n v="0"/>
    <n v="0"/>
    <n v="0"/>
  </r>
  <r>
    <x v="6"/>
    <s v="CHF"/>
    <x v="23"/>
    <n v="1418539.72"/>
    <n v="220515.91078506765"/>
    <n v="2.5"/>
    <n v="400000"/>
    <n v="0"/>
    <n v="0"/>
    <n v="6.4328225339831446"/>
    <n v="400000"/>
    <n v="0"/>
    <n v="400000"/>
  </r>
  <r>
    <x v="7"/>
    <s v="CHF"/>
    <x v="23"/>
    <n v="1440504.96"/>
    <n v="223930.46790738255"/>
    <n v="2.5"/>
    <n v="0"/>
    <n v="0"/>
    <n v="0"/>
    <n v="6.4328225339831446"/>
    <n v="0"/>
    <n v="0"/>
    <n v="0"/>
  </r>
  <r>
    <x v="8"/>
    <s v="CHF"/>
    <x v="23"/>
    <n v="1442260.71"/>
    <n v="224203.40408597677"/>
    <n v="2.5"/>
    <n v="0"/>
    <n v="0"/>
    <n v="0"/>
    <n v="6.4328225339831446"/>
    <n v="0"/>
    <n v="0"/>
    <n v="0"/>
  </r>
  <r>
    <x v="9"/>
    <s v="CHF"/>
    <x v="23"/>
    <n v="1432785.16"/>
    <n v="222730.40371173312"/>
    <n v="2.5"/>
    <n v="0"/>
    <n v="0"/>
    <n v="0"/>
    <n v="6.4328225339831446"/>
    <n v="0"/>
    <n v="0"/>
    <n v="0"/>
  </r>
  <r>
    <x v="10"/>
    <s v="CHF"/>
    <x v="23"/>
    <n v="1433378.49"/>
    <n v="222822.63849621004"/>
    <n v="2.5"/>
    <n v="0"/>
    <n v="0"/>
    <n v="0"/>
    <n v="6.4328225339831446"/>
    <n v="0"/>
    <n v="0"/>
    <n v="0"/>
  </r>
  <r>
    <x v="11"/>
    <s v="CHF"/>
    <x v="23"/>
    <n v="1501829.3"/>
    <n v="233463.50564875308"/>
    <n v="2.5"/>
    <n v="0"/>
    <n v="0"/>
    <n v="0"/>
    <n v="6.4328225339831446"/>
    <n v="0"/>
    <n v="0"/>
    <n v="0"/>
  </r>
  <r>
    <x v="12"/>
    <s v="CHF"/>
    <x v="23"/>
    <n v="1549740.1"/>
    <n v="240911.37161223928"/>
    <n v="2.5"/>
    <n v="0"/>
    <n v="0"/>
    <n v="0"/>
    <n v="6.4328225339831446"/>
    <n v="0"/>
    <n v="0"/>
    <n v="0"/>
  </r>
  <r>
    <x v="13"/>
    <s v="CHF"/>
    <x v="23"/>
    <n v="1566979.4"/>
    <n v="243591.26833081475"/>
    <n v="2.5"/>
    <n v="0"/>
    <n v="0"/>
    <n v="0"/>
    <n v="6.4328225339831446"/>
    <n v="0"/>
    <n v="0"/>
    <n v="0"/>
  </r>
  <r>
    <x v="14"/>
    <s v="CHF"/>
    <x v="23"/>
    <n v="2662383.33"/>
    <n v="243399.64202294758"/>
    <n v="2.5"/>
    <n v="1097500"/>
    <n v="0"/>
    <n v="0"/>
    <n v="10.938320647772326"/>
    <n v="1097500"/>
    <n v="0"/>
    <n v="1097500"/>
  </r>
  <r>
    <x v="15"/>
    <s v="CHF"/>
    <x v="23"/>
    <n v="2694399.42"/>
    <n v="246326.60778222253"/>
    <n v="2.5"/>
    <n v="0"/>
    <n v="0"/>
    <n v="0"/>
    <n v="10.938320647772326"/>
    <n v="0"/>
    <n v="0"/>
    <n v="0"/>
  </r>
  <r>
    <x v="16"/>
    <s v="CHF"/>
    <x v="23"/>
    <n v="2753160.31"/>
    <n v="251698.62894453571"/>
    <n v="2.5"/>
    <n v="0"/>
    <n v="0"/>
    <n v="0"/>
    <n v="10.938320647772326"/>
    <n v="0"/>
    <n v="0"/>
    <n v="0"/>
  </r>
  <r>
    <x v="17"/>
    <s v="CHF"/>
    <x v="23"/>
    <n v="2746958.01"/>
    <n v="251131.60406021186"/>
    <n v="2.5"/>
    <n v="0"/>
    <n v="0"/>
    <n v="0"/>
    <n v="10.938320647772326"/>
    <n v="0"/>
    <n v="0"/>
    <n v="0"/>
  </r>
  <r>
    <x v="18"/>
    <s v="CHF"/>
    <x v="23"/>
    <n v="2756584.4"/>
    <n v="252011.66511437017"/>
    <n v="2.5"/>
    <n v="0"/>
    <n v="0"/>
    <n v="0"/>
    <n v="10.938320647772326"/>
    <n v="0"/>
    <n v="0"/>
    <n v="0"/>
  </r>
  <r>
    <x v="19"/>
    <s v="CHF"/>
    <x v="23"/>
    <n v="2811246.84"/>
    <n v="257008.99896114605"/>
    <n v="2.5"/>
    <n v="0"/>
    <n v="0"/>
    <n v="0"/>
    <n v="10.938320647772326"/>
    <n v="0"/>
    <n v="0"/>
    <n v="0"/>
  </r>
  <r>
    <x v="20"/>
    <s v="CHF"/>
    <x v="23"/>
    <n v="2842592.76"/>
    <n v="259874.69663169145"/>
    <n v="2.5"/>
    <n v="0"/>
    <n v="0"/>
    <n v="0"/>
    <n v="10.938320647772326"/>
    <n v="0"/>
    <n v="0"/>
    <n v="0"/>
  </r>
  <r>
    <x v="21"/>
    <s v="CHF"/>
    <x v="23"/>
    <n v="2861866.98"/>
    <n v="261636.77882151329"/>
    <n v="2.5"/>
    <n v="0"/>
    <n v="0"/>
    <n v="0"/>
    <n v="10.938320647772326"/>
    <n v="0"/>
    <n v="0"/>
    <n v="0"/>
  </r>
  <r>
    <x v="22"/>
    <s v="CHF"/>
    <x v="23"/>
    <n v="2873400"/>
    <n v="262691.14725441794"/>
    <n v="2.5"/>
    <n v="0"/>
    <n v="0"/>
    <n v="0"/>
    <n v="10.938320647772326"/>
    <n v="0"/>
    <n v="0"/>
    <n v="0"/>
  </r>
  <r>
    <x v="23"/>
    <s v="CHF"/>
    <x v="23"/>
    <n v="2937500"/>
    <n v="268551.27899347554"/>
    <n v="2.5"/>
    <n v="0"/>
    <n v="0"/>
    <n v="0"/>
    <n v="10.938320647772326"/>
    <n v="0"/>
    <n v="0"/>
    <n v="0"/>
  </r>
  <r>
    <x v="24"/>
    <s v="CHF"/>
    <x v="23"/>
    <n v="2918583.35"/>
    <n v="266821.8864652128"/>
    <n v="2.5"/>
    <n v="0"/>
    <n v="-4.6566128730773926E-10"/>
    <n v="0"/>
    <n v="10.938320647772326"/>
    <n v="-4.6566128730773926E-10"/>
    <n v="0"/>
    <n v="-4.6566128730773926E-10"/>
  </r>
  <r>
    <x v="25"/>
    <s v="CHF"/>
    <x v="23"/>
    <n v="2932900"/>
    <n v="268130.73911828577"/>
    <n v="2.5"/>
    <n v="0"/>
    <n v="0"/>
    <n v="0"/>
    <n v="10.938320647772326"/>
    <n v="0"/>
    <n v="0"/>
    <n v="0"/>
  </r>
  <r>
    <x v="26"/>
    <s v="CHF"/>
    <x v="23"/>
    <n v="3203300"/>
    <n v="292851.17004248517"/>
    <n v="2.5"/>
    <n v="0"/>
    <n v="0"/>
    <n v="0"/>
    <n v="10.938320647772326"/>
    <n v="0"/>
    <n v="0"/>
    <n v="0"/>
  </r>
  <r>
    <x v="27"/>
    <s v="CHF"/>
    <x v="23"/>
    <n v="3291100"/>
    <n v="300877.99635589018"/>
    <n v="2.5"/>
    <n v="0"/>
    <n v="0"/>
    <n v="0"/>
    <n v="10.938320647772326"/>
    <n v="0"/>
    <n v="0"/>
    <n v="0"/>
  </r>
  <r>
    <x v="28"/>
    <s v="CHF"/>
    <x v="23"/>
    <n v="3309502.76"/>
    <n v="302560.40818057442"/>
    <n v="2.5"/>
    <n v="0"/>
    <n v="0"/>
    <n v="0"/>
    <n v="10.938320647772326"/>
    <n v="0"/>
    <n v="0"/>
    <n v="0"/>
  </r>
  <r>
    <x v="29"/>
    <s v="CHF"/>
    <x v="23"/>
    <n v="3358942.47"/>
    <n v="307080.27110944816"/>
    <n v="2.5"/>
    <n v="0"/>
    <n v="0"/>
    <n v="0"/>
    <n v="10.938320647772326"/>
    <n v="0"/>
    <n v="0"/>
    <n v="0"/>
  </r>
  <r>
    <x v="30"/>
    <s v="CHF"/>
    <x v="23"/>
    <n v="3358942.47"/>
    <n v="307080.27110944816"/>
    <n v="2.5"/>
    <n v="0"/>
    <n v="0"/>
    <n v="0"/>
    <n v="10.938320647772326"/>
    <n v="0"/>
    <n v="0"/>
    <n v="-3358942.47"/>
  </r>
  <r>
    <x v="200"/>
    <s v="CHF"/>
    <x v="24"/>
    <n v="17835"/>
    <n v="17835"/>
    <n v="0.20499999999999999"/>
    <n v="17835"/>
    <n v="0"/>
    <n v="0"/>
    <n v="1"/>
    <n v="17835"/>
    <n v="17835"/>
    <n v="17835"/>
  </r>
  <r>
    <x v="190"/>
    <s v="CHF"/>
    <x v="24"/>
    <n v="17761.43"/>
    <n v="17761.43"/>
    <n v="0.20499999999999999"/>
    <n v="0"/>
    <n v="0"/>
    <n v="0"/>
    <n v="1"/>
    <n v="0"/>
    <n v="0"/>
    <n v="0"/>
  </r>
  <r>
    <x v="191"/>
    <s v="CHF"/>
    <x v="24"/>
    <n v="17663.07"/>
    <n v="17663.07"/>
    <n v="0.20499999999999999"/>
    <n v="0"/>
    <n v="0"/>
    <n v="0"/>
    <n v="1"/>
    <n v="0"/>
    <n v="0"/>
    <n v="0"/>
  </r>
  <r>
    <x v="192"/>
    <s v="CHF"/>
    <x v="24"/>
    <n v="17686.38"/>
    <n v="17686.38"/>
    <n v="0.20499999999999999"/>
    <n v="0"/>
    <n v="0"/>
    <n v="0"/>
    <n v="1"/>
    <n v="0"/>
    <n v="0"/>
    <n v="0"/>
  </r>
  <r>
    <x v="193"/>
    <s v="CHF"/>
    <x v="24"/>
    <n v="17667.8"/>
    <n v="17667.8"/>
    <n v="0.20499999999999999"/>
    <n v="0"/>
    <n v="0"/>
    <n v="0"/>
    <n v="1"/>
    <n v="0"/>
    <n v="0"/>
    <n v="0"/>
  </r>
  <r>
    <x v="1"/>
    <s v="CHF"/>
    <x v="24"/>
    <n v="32962.97"/>
    <n v="16124.546937133489"/>
    <n v="0.20499999999999999"/>
    <n v="18450"/>
    <n v="0"/>
    <n v="0"/>
    <n v="2.0442726315670319"/>
    <n v="18450"/>
    <n v="0"/>
    <n v="18450"/>
  </r>
  <r>
    <x v="2"/>
    <s v="CHF"/>
    <x v="24"/>
    <n v="36439.767999999996"/>
    <n v="17825.297583750944"/>
    <n v="0.20499999999999999"/>
    <n v="0"/>
    <n v="0"/>
    <n v="0"/>
    <n v="2.0442726315670319"/>
    <n v="0"/>
    <n v="0"/>
    <n v="0"/>
  </r>
  <r>
    <x v="3"/>
    <s v="CHF"/>
    <x v="24"/>
    <n v="36319.076500000003"/>
    <n v="17766.258736321146"/>
    <n v="0.20499999999999999"/>
    <n v="0"/>
    <n v="0"/>
    <n v="0"/>
    <n v="2.0442726315670319"/>
    <n v="0"/>
    <n v="0"/>
    <n v="0"/>
  </r>
  <r>
    <x v="4"/>
    <s v="CHF"/>
    <x v="24"/>
    <n v="82587.678499999995"/>
    <n v="17841.567866622467"/>
    <n v="0.20499999999999999"/>
    <n v="45920"/>
    <n v="0"/>
    <n v="0"/>
    <n v="4.6289473614313259"/>
    <n v="45920"/>
    <n v="0"/>
    <n v="45920"/>
  </r>
  <r>
    <x v="5"/>
    <s v="CHF"/>
    <x v="24"/>
    <n v="82823.069000000003"/>
    <n v="17892.41970865491"/>
    <n v="0.20499999999999999"/>
    <n v="0"/>
    <n v="0"/>
    <n v="0"/>
    <n v="4.6289473614313259"/>
    <n v="0"/>
    <n v="0"/>
    <n v="0"/>
  </r>
  <r>
    <x v="6"/>
    <s v="CHF"/>
    <x v="24"/>
    <n v="115948.15150000001"/>
    <n v="17942.72552202109"/>
    <n v="0.20499999999999999"/>
    <n v="32800"/>
    <n v="0"/>
    <n v="0"/>
    <n v="6.4621259104530662"/>
    <n v="32800"/>
    <n v="0"/>
    <n v="32800"/>
  </r>
  <r>
    <x v="7"/>
    <s v="CHF"/>
    <x v="24"/>
    <n v="117345.33900000001"/>
    <n v="18158.93726400215"/>
    <n v="0.20499999999999999"/>
    <n v="0"/>
    <n v="0"/>
    <n v="0"/>
    <n v="6.4621259104530662"/>
    <n v="0"/>
    <n v="0"/>
    <n v="0"/>
  </r>
  <r>
    <x v="8"/>
    <s v="CHF"/>
    <x v="24"/>
    <n v="116964.06299999999"/>
    <n v="18099.935628118939"/>
    <n v="0.20499999999999999"/>
    <n v="0"/>
    <n v="0"/>
    <n v="0"/>
    <n v="6.4621259104530662"/>
    <n v="0"/>
    <n v="0"/>
    <n v="0"/>
  </r>
  <r>
    <x v="9"/>
    <s v="CHF"/>
    <x v="24"/>
    <n v="116940.19500000001"/>
    <n v="18096.242106771519"/>
    <n v="0.20499999999999999"/>
    <n v="0"/>
    <n v="0"/>
    <n v="0"/>
    <n v="6.4621259104530662"/>
    <n v="0"/>
    <n v="0"/>
    <n v="0"/>
  </r>
  <r>
    <x v="10"/>
    <s v="CHF"/>
    <x v="24"/>
    <n v="116845.76850000001"/>
    <n v="18081.629810244263"/>
    <n v="0.20499999999999999"/>
    <n v="0"/>
    <n v="0"/>
    <n v="0"/>
    <n v="6.4621259104530662"/>
    <n v="0"/>
    <n v="0"/>
    <n v="0"/>
  </r>
  <r>
    <x v="11"/>
    <s v="CHF"/>
    <x v="24"/>
    <n v="120724.378"/>
    <n v="18681.836236696894"/>
    <n v="0.20499999999999999"/>
    <n v="0"/>
    <n v="0"/>
    <n v="0"/>
    <n v="6.4621259104530662"/>
    <n v="0"/>
    <n v="0"/>
    <n v="0"/>
  </r>
  <r>
    <x v="12"/>
    <s v="CHF"/>
    <x v="24"/>
    <n v="123928.079"/>
    <n v="19177.602033339408"/>
    <n v="0.20499999999999999"/>
    <n v="0"/>
    <n v="0"/>
    <n v="0"/>
    <n v="6.4621259104530662"/>
    <n v="0"/>
    <n v="0"/>
    <n v="0"/>
  </r>
  <r>
    <x v="13"/>
    <s v="CHF"/>
    <x v="24"/>
    <n v="125132.57150000001"/>
    <n v="19363.994641080404"/>
    <n v="0.20499999999999999"/>
    <n v="0"/>
    <n v="0"/>
    <n v="0"/>
    <n v="6.4621259104530662"/>
    <n v="0"/>
    <n v="0"/>
    <n v="0"/>
  </r>
  <r>
    <x v="14"/>
    <s v="CHF"/>
    <x v="24"/>
    <n v="214426.65299999999"/>
    <n v="19300.90378767097"/>
    <n v="0.20499999999999999"/>
    <n v="89995"/>
    <n v="0"/>
    <n v="0"/>
    <n v="11.109669026844818"/>
    <n v="89995"/>
    <n v="0"/>
    <n v="89995"/>
  </r>
  <r>
    <x v="15"/>
    <s v="CHF"/>
    <x v="24"/>
    <n v="217131.04699999999"/>
    <n v="19544.330841480154"/>
    <n v="0.20499999999999999"/>
    <n v="0"/>
    <n v="0"/>
    <n v="0"/>
    <n v="11.109669026844818"/>
    <n v="0"/>
    <n v="0"/>
    <n v="0"/>
  </r>
  <r>
    <x v="16"/>
    <s v="CHF"/>
    <x v="24"/>
    <n v="220971.19399999999"/>
    <n v="19889.988933608809"/>
    <n v="0.20499999999999999"/>
    <n v="0"/>
    <n v="0"/>
    <n v="0"/>
    <n v="11.109669026844818"/>
    <n v="0"/>
    <n v="0"/>
    <n v="0"/>
  </r>
  <r>
    <x v="17"/>
    <s v="CHF"/>
    <x v="24"/>
    <n v="219612.57949999999"/>
    <n v="19767.697756732425"/>
    <n v="0.20499999999999999"/>
    <n v="0"/>
    <n v="-2.9103830456733704E-11"/>
    <n v="0"/>
    <n v="11.109669026844818"/>
    <n v="-2.9103830456733704E-11"/>
    <n v="0"/>
    <n v="-2.9103830456733704E-11"/>
  </r>
  <r>
    <x v="18"/>
    <s v="CHF"/>
    <x v="24"/>
    <n v="220773.56100000002"/>
    <n v="19872.199654781292"/>
    <n v="0.20499999999999999"/>
    <n v="0"/>
    <n v="0"/>
    <n v="0"/>
    <n v="11.109669026844818"/>
    <n v="0"/>
    <n v="0"/>
    <n v="0"/>
  </r>
  <r>
    <x v="19"/>
    <s v="CHF"/>
    <x v="24"/>
    <n v="223608.829"/>
    <n v="20127.406897512737"/>
    <n v="0.20499999999999999"/>
    <n v="0"/>
    <n v="-2.9103830456733704E-11"/>
    <n v="0"/>
    <n v="11.109669026844818"/>
    <n v="-2.9103830456733704E-11"/>
    <n v="0"/>
    <n v="-2.9103830456733704E-11"/>
  </r>
  <r>
    <x v="20"/>
    <s v="CHF"/>
    <x v="24"/>
    <n v="225547.101"/>
    <n v="20301.874021179199"/>
    <n v="0.20499999999999999"/>
    <n v="0"/>
    <n v="0"/>
    <n v="0"/>
    <n v="11.109669026844818"/>
    <n v="0"/>
    <n v="0"/>
    <n v="0"/>
  </r>
  <r>
    <x v="21"/>
    <s v="CHF"/>
    <x v="24"/>
    <n v="227370.929"/>
    <n v="20466.039847865213"/>
    <n v="0.20499999999999999"/>
    <n v="0"/>
    <n v="0"/>
    <n v="0"/>
    <n v="11.109669026844818"/>
    <n v="0"/>
    <n v="0"/>
    <n v="0"/>
  </r>
  <r>
    <x v="22"/>
    <s v="CHF"/>
    <x v="24"/>
    <n v="227200"/>
    <n v="20450.654241004471"/>
    <n v="0.20499999999999999"/>
    <n v="0"/>
    <n v="0"/>
    <n v="0"/>
    <n v="11.109669026844818"/>
    <n v="0"/>
    <n v="0"/>
    <n v="0"/>
  </r>
  <r>
    <x v="23"/>
    <s v="CHF"/>
    <x v="24"/>
    <n v="231400"/>
    <n v="20828.703307079377"/>
    <n v="0.20499999999999999"/>
    <n v="0"/>
    <n v="0"/>
    <n v="0"/>
    <n v="11.109669026844818"/>
    <n v="0"/>
    <n v="0"/>
    <n v="0"/>
  </r>
  <r>
    <x v="24"/>
    <s v="CHF"/>
    <x v="24"/>
    <n v="230600"/>
    <n v="20756.693961160348"/>
    <n v="0.20499999999999999"/>
    <n v="0"/>
    <n v="0"/>
    <n v="0"/>
    <n v="11.109669026844818"/>
    <n v="0"/>
    <n v="0"/>
    <n v="0"/>
  </r>
  <r>
    <x v="25"/>
    <s v="CHF"/>
    <x v="24"/>
    <n v="230600"/>
    <n v="20756.693961160348"/>
    <n v="0.20499999999999999"/>
    <n v="0"/>
    <n v="0"/>
    <n v="0"/>
    <n v="11.109669026844818"/>
    <n v="0"/>
    <n v="0"/>
    <n v="0"/>
  </r>
  <r>
    <x v="26"/>
    <s v="CHF"/>
    <x v="24"/>
    <n v="249100"/>
    <n v="22421.910085537915"/>
    <n v="0.20499999999999999"/>
    <n v="0"/>
    <n v="-2.9103830456733704E-11"/>
    <n v="0"/>
    <n v="11.109669026844818"/>
    <n v="-2.9103830456733704E-11"/>
    <n v="0"/>
    <n v="-2.9103830456733704E-11"/>
  </r>
  <r>
    <x v="27"/>
    <s v="CHF"/>
    <x v="24"/>
    <n v="255800.00000000003"/>
    <n v="23024.988357609789"/>
    <n v="0.20499999999999999"/>
    <n v="0"/>
    <n v="0"/>
    <n v="0"/>
    <n v="11.109669026844818"/>
    <n v="0"/>
    <n v="0"/>
    <n v="0"/>
  </r>
  <r>
    <x v="28"/>
    <s v="CHF"/>
    <x v="24"/>
    <n v="256799.42"/>
    <n v="23114.947833232785"/>
    <n v="0.20499999999999999"/>
    <n v="0"/>
    <n v="0"/>
    <n v="0"/>
    <n v="11.109669026844818"/>
    <n v="0"/>
    <n v="0"/>
    <n v="0"/>
  </r>
  <r>
    <x v="29"/>
    <s v="CHF"/>
    <x v="24"/>
    <n v="259127.23499999999"/>
    <n v="23324.478377695916"/>
    <n v="0.20499999999999999"/>
    <n v="0"/>
    <n v="0"/>
    <n v="0"/>
    <n v="11.109669026844818"/>
    <n v="0"/>
    <n v="0"/>
    <n v="0"/>
  </r>
  <r>
    <x v="30"/>
    <s v="CHF"/>
    <x v="24"/>
    <n v="259127.23499999999"/>
    <n v="23324.478377695916"/>
    <n v="0.20499999999999999"/>
    <n v="0"/>
    <n v="0"/>
    <n v="0"/>
    <n v="11.109669026844818"/>
    <n v="0"/>
    <n v="0"/>
    <n v="-259127.23499999999"/>
  </r>
  <r>
    <x v="200"/>
    <s v="CHF"/>
    <x v="25"/>
    <n v="435000"/>
    <n v="435000"/>
    <n v="5"/>
    <n v="435000"/>
    <n v="0"/>
    <n v="0"/>
    <n v="1"/>
    <n v="435000"/>
    <n v="435000"/>
    <n v="435000"/>
  </r>
  <r>
    <x v="190"/>
    <s v="CHF"/>
    <x v="25"/>
    <n v="431451.33"/>
    <n v="431451.33"/>
    <n v="5"/>
    <n v="0"/>
    <n v="0"/>
    <n v="0"/>
    <n v="1"/>
    <n v="0"/>
    <n v="0"/>
    <n v="0"/>
  </r>
  <r>
    <x v="191"/>
    <s v="CHF"/>
    <x v="25"/>
    <n v="427296.18"/>
    <n v="427296.18"/>
    <n v="5"/>
    <n v="0"/>
    <n v="0"/>
    <n v="0"/>
    <n v="1"/>
    <n v="0"/>
    <n v="0"/>
    <n v="0"/>
  </r>
  <r>
    <x v="192"/>
    <s v="CHF"/>
    <x v="25"/>
    <n v="426167.74"/>
    <n v="426167.74"/>
    <n v="5"/>
    <n v="0"/>
    <n v="0"/>
    <n v="0"/>
    <n v="1"/>
    <n v="0"/>
    <n v="0"/>
    <n v="0"/>
  </r>
  <r>
    <x v="193"/>
    <s v="CHF"/>
    <x v="25"/>
    <n v="429223.25"/>
    <n v="429223.25"/>
    <n v="5"/>
    <n v="0"/>
    <n v="0"/>
    <n v="0"/>
    <n v="1"/>
    <n v="0"/>
    <n v="0"/>
    <n v="0"/>
  </r>
  <r>
    <x v="1"/>
    <s v="CHF"/>
    <x v="25"/>
    <n v="796277.43"/>
    <n v="388730.37809935928"/>
    <n v="5"/>
    <n v="450000"/>
    <n v="0"/>
    <n v="0"/>
    <n v="2.0484054626584185"/>
    <n v="450000"/>
    <n v="0"/>
    <n v="450000"/>
  </r>
  <r>
    <x v="2"/>
    <s v="CHF"/>
    <x v="25"/>
    <n v="880195.28"/>
    <n v="429697.78007606143"/>
    <n v="5"/>
    <n v="0"/>
    <n v="0"/>
    <n v="0"/>
    <n v="2.0484054626584185"/>
    <n v="0"/>
    <n v="0"/>
    <n v="0"/>
  </r>
  <r>
    <x v="3"/>
    <s v="CHF"/>
    <x v="25"/>
    <n v="879492.11"/>
    <n v="429354.50331136887"/>
    <n v="5"/>
    <n v="0"/>
    <n v="0"/>
    <n v="0"/>
    <n v="2.0484054626584185"/>
    <n v="0"/>
    <n v="0"/>
    <n v="0"/>
  </r>
  <r>
    <x v="4"/>
    <s v="CHF"/>
    <x v="25"/>
    <n v="2009582.7867999999"/>
    <n v="431521.29231937323"/>
    <n v="5"/>
    <n v="1120000"/>
    <n v="0"/>
    <n v="0"/>
    <n v="4.6569724891180746"/>
    <n v="1120000"/>
    <n v="0"/>
    <n v="1120000"/>
  </r>
  <r>
    <x v="5"/>
    <s v="CHF"/>
    <x v="25"/>
    <n v="2011728.1623999998"/>
    <n v="431981.97264441551"/>
    <n v="5"/>
    <n v="0"/>
    <n v="0"/>
    <n v="0"/>
    <n v="4.6569724891180746"/>
    <n v="0"/>
    <n v="0"/>
    <n v="0"/>
  </r>
  <r>
    <x v="6"/>
    <s v="CHF"/>
    <x v="25"/>
    <n v="2825345.0548"/>
    <n v="434074.01415785181"/>
    <n v="5"/>
    <n v="800000"/>
    <n v="0"/>
    <n v="0"/>
    <n v="6.5089016219537115"/>
    <n v="800000"/>
    <n v="0"/>
    <n v="800000"/>
  </r>
  <r>
    <x v="7"/>
    <s v="CHF"/>
    <x v="25"/>
    <n v="2862525.5484000002"/>
    <n v="439786.26727819321"/>
    <n v="5"/>
    <n v="0"/>
    <n v="0"/>
    <n v="0"/>
    <n v="6.5089016219537115"/>
    <n v="0"/>
    <n v="0"/>
    <n v="0"/>
  </r>
  <r>
    <x v="8"/>
    <s v="CHF"/>
    <x v="25"/>
    <n v="2847929.9416"/>
    <n v="437543.8602412254"/>
    <n v="5"/>
    <n v="0"/>
    <n v="0"/>
    <n v="0"/>
    <n v="6.5089016219537115"/>
    <n v="0"/>
    <n v="0"/>
    <n v="0"/>
  </r>
  <r>
    <x v="9"/>
    <s v="CHF"/>
    <x v="25"/>
    <n v="2851543.7475999999"/>
    <n v="438099.07004618098"/>
    <n v="5"/>
    <n v="0"/>
    <n v="0"/>
    <n v="0"/>
    <n v="6.5089016219537115"/>
    <n v="0"/>
    <n v="0"/>
    <n v="0"/>
  </r>
  <r>
    <x v="10"/>
    <s v="CHF"/>
    <x v="25"/>
    <n v="2849335.0024000001"/>
    <n v="437759.72781483585"/>
    <n v="5"/>
    <n v="0"/>
    <n v="0"/>
    <n v="0"/>
    <n v="6.5089016219537115"/>
    <n v="0"/>
    <n v="0"/>
    <n v="0"/>
  </r>
  <r>
    <x v="11"/>
    <s v="CHF"/>
    <x v="25"/>
    <n v="2948127.9419999998"/>
    <n v="452937.85545265162"/>
    <n v="5"/>
    <n v="0"/>
    <n v="0"/>
    <n v="0"/>
    <n v="6.5089016219537115"/>
    <n v="0"/>
    <n v="0"/>
    <n v="0"/>
  </r>
  <r>
    <x v="12"/>
    <s v="CHF"/>
    <x v="25"/>
    <n v="3033036.95"/>
    <n v="465982.9148085363"/>
    <n v="5"/>
    <n v="0"/>
    <n v="0"/>
    <n v="0"/>
    <n v="6.5089016219537115"/>
    <n v="0"/>
    <n v="0"/>
    <n v="0"/>
  </r>
  <r>
    <x v="13"/>
    <s v="CHF"/>
    <x v="25"/>
    <n v="3064835.8851999999"/>
    <n v="470868.36815334426"/>
    <n v="5"/>
    <n v="0"/>
    <n v="0"/>
    <n v="0"/>
    <n v="6.5089016219537115"/>
    <n v="0"/>
    <n v="0"/>
    <n v="0"/>
  </r>
  <r>
    <x v="14"/>
    <s v="CHF"/>
    <x v="25"/>
    <n v="5247065.8528000005"/>
    <n v="469725.17577078869"/>
    <n v="5"/>
    <n v="2195000"/>
    <n v="0"/>
    <n v="0"/>
    <n v="11.170501653844514"/>
    <n v="2195000"/>
    <n v="0"/>
    <n v="2195000"/>
  </r>
  <r>
    <x v="15"/>
    <s v="CHF"/>
    <x v="25"/>
    <n v="5314284.1991999997"/>
    <n v="475742.66258409264"/>
    <n v="5"/>
    <n v="0"/>
    <n v="0"/>
    <n v="0"/>
    <n v="11.170501653844514"/>
    <n v="0"/>
    <n v="0"/>
    <n v="0"/>
  </r>
  <r>
    <x v="16"/>
    <s v="CHF"/>
    <x v="25"/>
    <n v="5417914.7747999998"/>
    <n v="485019.82656574191"/>
    <n v="5"/>
    <n v="0"/>
    <n v="0"/>
    <n v="0"/>
    <n v="11.170501653844514"/>
    <n v="0"/>
    <n v="0"/>
    <n v="0"/>
  </r>
  <r>
    <x v="17"/>
    <s v="CHF"/>
    <x v="25"/>
    <n v="5390211.2104000002"/>
    <n v="482539.76208354702"/>
    <n v="5"/>
    <n v="0"/>
    <n v="0"/>
    <n v="0"/>
    <n v="11.170501653844514"/>
    <n v="0"/>
    <n v="0"/>
    <n v="0"/>
  </r>
  <r>
    <x v="18"/>
    <s v="CHF"/>
    <x v="25"/>
    <n v="5416544.5730000008"/>
    <n v="484897.16405312979"/>
    <n v="5"/>
    <n v="0"/>
    <n v="0"/>
    <n v="0"/>
    <n v="11.170501653844514"/>
    <n v="0"/>
    <n v="0"/>
    <n v="0"/>
  </r>
  <r>
    <x v="19"/>
    <s v="CHF"/>
    <x v="25"/>
    <n v="5499965.1496000001"/>
    <n v="492365.09872473771"/>
    <n v="5"/>
    <n v="0"/>
    <n v="0"/>
    <n v="0"/>
    <n v="11.170501653844514"/>
    <n v="0"/>
    <n v="0"/>
    <n v="0"/>
  </r>
  <r>
    <x v="20"/>
    <s v="CHF"/>
    <x v="25"/>
    <n v="5553299.0767999999"/>
    <n v="497139.63158393512"/>
    <n v="5"/>
    <n v="0"/>
    <n v="0"/>
    <n v="0"/>
    <n v="11.170501653844514"/>
    <n v="0"/>
    <n v="0"/>
    <n v="0"/>
  </r>
  <r>
    <x v="21"/>
    <s v="CHF"/>
    <x v="25"/>
    <n v="5597225.8840000005"/>
    <n v="501072.02500378503"/>
    <n v="5"/>
    <n v="0"/>
    <n v="0"/>
    <n v="0"/>
    <n v="11.170501653844514"/>
    <n v="0"/>
    <n v="0"/>
    <n v="0"/>
  </r>
  <r>
    <x v="22"/>
    <s v="CHF"/>
    <x v="25"/>
    <n v="5601100"/>
    <n v="501418.84165715048"/>
    <n v="5"/>
    <n v="0"/>
    <n v="0"/>
    <n v="0"/>
    <n v="11.170501653844514"/>
    <n v="0"/>
    <n v="0"/>
    <n v="0"/>
  </r>
  <r>
    <x v="23"/>
    <s v="CHF"/>
    <x v="25"/>
    <n v="5714600"/>
    <n v="511579.53125885129"/>
    <n v="5"/>
    <n v="0"/>
    <n v="0"/>
    <n v="0"/>
    <n v="11.170501653844514"/>
    <n v="0"/>
    <n v="0"/>
    <n v="0"/>
  </r>
  <r>
    <x v="24"/>
    <s v="CHF"/>
    <x v="25"/>
    <n v="5688500"/>
    <n v="509243.02025793155"/>
    <n v="5"/>
    <n v="0"/>
    <n v="0"/>
    <n v="0"/>
    <n v="11.170501653844514"/>
    <n v="0"/>
    <n v="0"/>
    <n v="0"/>
  </r>
  <r>
    <x v="25"/>
    <s v="CHF"/>
    <x v="25"/>
    <n v="5697458.6399999997"/>
    <n v="510045.01109752076"/>
    <n v="5"/>
    <n v="0"/>
    <n v="0"/>
    <n v="0"/>
    <n v="11.170501653844514"/>
    <n v="0"/>
    <n v="0"/>
    <n v="0"/>
  </r>
  <r>
    <x v="26"/>
    <s v="CHF"/>
    <x v="25"/>
    <n v="6189400"/>
    <n v="554084.33674684737"/>
    <n v="5"/>
    <n v="0"/>
    <n v="0"/>
    <n v="0"/>
    <n v="11.170501653844514"/>
    <n v="0"/>
    <n v="0"/>
    <n v="0"/>
  </r>
  <r>
    <x v="27"/>
    <s v="CHF"/>
    <x v="25"/>
    <n v="6360100"/>
    <n v="569365.65582182829"/>
    <n v="5"/>
    <n v="0"/>
    <n v="0"/>
    <n v="0"/>
    <n v="11.170501653844514"/>
    <n v="0"/>
    <n v="0"/>
    <n v="0"/>
  </r>
  <r>
    <x v="28"/>
    <s v="CHF"/>
    <x v="25"/>
    <n v="6389632.0999999996"/>
    <n v="572009.4135432943"/>
    <n v="5"/>
    <n v="0"/>
    <n v="0"/>
    <n v="0"/>
    <n v="11.170501653844514"/>
    <n v="0"/>
    <n v="0"/>
    <n v="0"/>
  </r>
  <r>
    <x v="29"/>
    <s v="CHF"/>
    <x v="25"/>
    <n v="6460847.2631999999"/>
    <n v="578384.70136893017"/>
    <n v="5"/>
    <n v="0"/>
    <n v="0"/>
    <n v="0"/>
    <n v="11.170501653844514"/>
    <n v="0"/>
    <n v="0"/>
    <n v="0"/>
  </r>
  <r>
    <x v="30"/>
    <s v="CHF"/>
    <x v="25"/>
    <n v="6460847.2631999999"/>
    <n v="578384.70136893017"/>
    <n v="5"/>
    <n v="0"/>
    <n v="0"/>
    <n v="0"/>
    <n v="11.170501653844514"/>
    <n v="0"/>
    <n v="0"/>
    <n v="-6460847.2631999999"/>
  </r>
  <r>
    <x v="200"/>
    <s v="CHF"/>
    <x v="26"/>
    <n v="435000"/>
    <n v="435000"/>
    <n v="5"/>
    <n v="435000"/>
    <n v="0"/>
    <n v="0"/>
    <n v="1"/>
    <n v="435000"/>
    <n v="435000"/>
    <n v="435000"/>
  </r>
  <r>
    <x v="190"/>
    <s v="CHF"/>
    <x v="26"/>
    <n v="431267.13"/>
    <n v="431267.13"/>
    <n v="5"/>
    <n v="0"/>
    <n v="0"/>
    <n v="0"/>
    <n v="1"/>
    <n v="0"/>
    <n v="0"/>
    <n v="0"/>
  </r>
  <r>
    <x v="191"/>
    <s v="CHF"/>
    <x v="26"/>
    <n v="426929.35"/>
    <n v="426929.35"/>
    <n v="5"/>
    <n v="0"/>
    <n v="0"/>
    <n v="0"/>
    <n v="1"/>
    <n v="0"/>
    <n v="0"/>
    <n v="0"/>
  </r>
  <r>
    <x v="192"/>
    <s v="CHF"/>
    <x v="26"/>
    <n v="425622.03"/>
    <n v="425622.03"/>
    <n v="5"/>
    <n v="0"/>
    <n v="0"/>
    <n v="0"/>
    <n v="1"/>
    <n v="0"/>
    <n v="0"/>
    <n v="0"/>
  </r>
  <r>
    <x v="193"/>
    <s v="CHF"/>
    <x v="26"/>
    <n v="429045.94"/>
    <n v="429045.94"/>
    <n v="5"/>
    <n v="0"/>
    <n v="0"/>
    <n v="0"/>
    <n v="1"/>
    <n v="0"/>
    <n v="0"/>
    <n v="0"/>
  </r>
  <r>
    <x v="1"/>
    <s v="CHF"/>
    <x v="26"/>
    <n v="794391.98"/>
    <n v="387727.9198713564"/>
    <n v="5"/>
    <n v="450000"/>
    <n v="0"/>
    <n v="0"/>
    <n v="2.0488387327473605"/>
    <n v="450000"/>
    <n v="0"/>
    <n v="450000"/>
  </r>
  <r>
    <x v="2"/>
    <s v="CHF"/>
    <x v="26"/>
    <n v="878532.7"/>
    <n v="428795.43712156609"/>
    <n v="5"/>
    <n v="0"/>
    <n v="0"/>
    <n v="0"/>
    <n v="2.0488387327473605"/>
    <n v="0"/>
    <n v="0"/>
    <n v="0"/>
  </r>
  <r>
    <x v="3"/>
    <s v="CHF"/>
    <x v="26"/>
    <n v="878596.73"/>
    <n v="428826.68897120003"/>
    <n v="5"/>
    <n v="0"/>
    <n v="0"/>
    <n v="0"/>
    <n v="2.0488387327473605"/>
    <n v="0"/>
    <n v="0"/>
    <n v="0"/>
  </r>
  <r>
    <x v="4"/>
    <s v="CHF"/>
    <x v="26"/>
    <n v="2007363.1189999999"/>
    <n v="430707.6394964736"/>
    <n v="5"/>
    <n v="1120000"/>
    <n v="0"/>
    <n v="0"/>
    <n v="4.6606164714114273"/>
    <n v="1120000"/>
    <n v="0"/>
    <n v="1120000"/>
  </r>
  <r>
    <x v="5"/>
    <s v="CHF"/>
    <x v="26"/>
    <n v="2007672.672"/>
    <n v="430774.05839232117"/>
    <n v="5"/>
    <n v="0"/>
    <n v="0"/>
    <n v="0"/>
    <n v="4.6606164714114273"/>
    <n v="0"/>
    <n v="0"/>
    <n v="0"/>
  </r>
  <r>
    <x v="6"/>
    <s v="CHF"/>
    <x v="26"/>
    <n v="2822378.0715000001"/>
    <n v="433030.27033827535"/>
    <n v="5"/>
    <n v="800000"/>
    <n v="0"/>
    <n v="0"/>
    <n v="6.5177385158206373"/>
    <n v="800000"/>
    <n v="0"/>
    <n v="800000"/>
  </r>
  <r>
    <x v="7"/>
    <s v="CHF"/>
    <x v="26"/>
    <n v="2855644.4704999998"/>
    <n v="438134.24910625623"/>
    <n v="5"/>
    <n v="0"/>
    <n v="0"/>
    <n v="0"/>
    <n v="6.5177385158206373"/>
    <n v="0"/>
    <n v="0"/>
    <n v="0"/>
  </r>
  <r>
    <x v="8"/>
    <s v="CHF"/>
    <x v="26"/>
    <n v="2838109.3615000001"/>
    <n v="435443.88204758451"/>
    <n v="5"/>
    <n v="0"/>
    <n v="0"/>
    <n v="0"/>
    <n v="6.5177385158206373"/>
    <n v="0"/>
    <n v="0"/>
    <n v="0"/>
  </r>
  <r>
    <x v="9"/>
    <s v="CHF"/>
    <x v="26"/>
    <n v="2846576.3985000001"/>
    <n v="436742.9579432265"/>
    <n v="5"/>
    <n v="0"/>
    <n v="0"/>
    <n v="0"/>
    <n v="6.5177385158206373"/>
    <n v="0"/>
    <n v="0"/>
    <n v="0"/>
  </r>
  <r>
    <x v="10"/>
    <s v="CHF"/>
    <x v="26"/>
    <n v="2843434.3905000002"/>
    <n v="436260.88766802702"/>
    <n v="5"/>
    <n v="0"/>
    <n v="0"/>
    <n v="0"/>
    <n v="6.5177385158206373"/>
    <n v="0"/>
    <n v="0"/>
    <n v="0"/>
  </r>
  <r>
    <x v="11"/>
    <s v="CHF"/>
    <x v="26"/>
    <n v="2927534.5890000002"/>
    <n v="449164.16666516103"/>
    <n v="5"/>
    <n v="0"/>
    <n v="0"/>
    <n v="0"/>
    <n v="6.5177385158206373"/>
    <n v="0"/>
    <n v="0"/>
    <n v="0"/>
  </r>
  <r>
    <x v="12"/>
    <s v="CHF"/>
    <x v="26"/>
    <n v="3004892.5874999999"/>
    <n v="461033.00710916275"/>
    <n v="5"/>
    <n v="0"/>
    <n v="0"/>
    <n v="0"/>
    <n v="6.5177385158206373"/>
    <n v="0"/>
    <n v="0"/>
    <n v="0"/>
  </r>
  <r>
    <x v="13"/>
    <s v="CHF"/>
    <x v="26"/>
    <n v="3034295.1839999999"/>
    <n v="465544.17251241277"/>
    <n v="5"/>
    <n v="0"/>
    <n v="0"/>
    <n v="0"/>
    <n v="6.5177385158206373"/>
    <n v="0"/>
    <n v="0"/>
    <n v="0"/>
  </r>
  <r>
    <x v="14"/>
    <s v="CHF"/>
    <x v="26"/>
    <n v="5213019.2479999997"/>
    <n v="464095.1881100465"/>
    <n v="5"/>
    <n v="2195000"/>
    <n v="0"/>
    <n v="0"/>
    <n v="11.232650933592282"/>
    <n v="2195000"/>
    <n v="0"/>
    <n v="2195000"/>
  </r>
  <r>
    <x v="15"/>
    <s v="CHF"/>
    <x v="26"/>
    <n v="5278936.3995000003"/>
    <n v="469963.54028173815"/>
    <n v="5"/>
    <n v="0"/>
    <n v="0"/>
    <n v="0"/>
    <n v="11.232650933592282"/>
    <n v="0"/>
    <n v="0"/>
    <n v="0"/>
  </r>
  <r>
    <x v="16"/>
    <s v="CHF"/>
    <x v="26"/>
    <n v="5372620.875"/>
    <n v="478303.91122835304"/>
    <n v="5"/>
    <n v="0"/>
    <n v="0"/>
    <n v="0"/>
    <n v="11.232650933592282"/>
    <n v="0"/>
    <n v="0"/>
    <n v="0"/>
  </r>
  <r>
    <x v="17"/>
    <s v="CHF"/>
    <x v="26"/>
    <n v="5339568.574"/>
    <n v="475361.39114156266"/>
    <n v="5"/>
    <n v="0"/>
    <n v="0"/>
    <n v="0"/>
    <n v="11.232650933592282"/>
    <n v="0"/>
    <n v="0"/>
    <n v="0"/>
  </r>
  <r>
    <x v="18"/>
    <s v="CHF"/>
    <x v="26"/>
    <n v="5367841.2829999998"/>
    <n v="477878.40241229022"/>
    <n v="5"/>
    <n v="0"/>
    <n v="0"/>
    <n v="0"/>
    <n v="11.232650933592282"/>
    <n v="0"/>
    <n v="0"/>
    <n v="0"/>
  </r>
  <r>
    <x v="19"/>
    <s v="CHF"/>
    <x v="26"/>
    <n v="5437080.2510000002"/>
    <n v="484042.4832164871"/>
    <n v="5"/>
    <n v="0"/>
    <n v="0"/>
    <n v="0"/>
    <n v="11.232650933592282"/>
    <n v="0"/>
    <n v="0"/>
    <n v="0"/>
  </r>
  <r>
    <x v="20"/>
    <s v="CHF"/>
    <x v="26"/>
    <n v="5484375.9170000004"/>
    <n v="488253.03567463905"/>
    <n v="5"/>
    <n v="0"/>
    <n v="0"/>
    <n v="0"/>
    <n v="11.232650933592282"/>
    <n v="0"/>
    <n v="0"/>
    <n v="0"/>
  </r>
  <r>
    <x v="21"/>
    <s v="CHF"/>
    <x v="26"/>
    <n v="5528817.9800000004"/>
    <n v="492209.542759453"/>
    <n v="5"/>
    <n v="0"/>
    <n v="0"/>
    <n v="0"/>
    <n v="11.232650933592282"/>
    <n v="0"/>
    <n v="0"/>
    <n v="0"/>
  </r>
  <r>
    <x v="22"/>
    <s v="CHF"/>
    <x v="26"/>
    <n v="5524500"/>
    <n v="491825.12949623243"/>
    <n v="5"/>
    <n v="0"/>
    <n v="0"/>
    <n v="0"/>
    <n v="11.232650933592282"/>
    <n v="0"/>
    <n v="0"/>
    <n v="0"/>
  </r>
  <r>
    <x v="23"/>
    <s v="CHF"/>
    <x v="26"/>
    <n v="5627300"/>
    <n v="500977.02076462097"/>
    <n v="5"/>
    <n v="0"/>
    <n v="0"/>
    <n v="0"/>
    <n v="11.232650933592282"/>
    <n v="0"/>
    <n v="0"/>
    <n v="0"/>
  </r>
  <r>
    <x v="24"/>
    <s v="CHF"/>
    <x v="26"/>
    <n v="5607200"/>
    <n v="499187.59455358394"/>
    <n v="5"/>
    <n v="0"/>
    <n v="0"/>
    <n v="0"/>
    <n v="11.232650933592282"/>
    <n v="0"/>
    <n v="0"/>
    <n v="0"/>
  </r>
  <r>
    <x v="25"/>
    <s v="CHF"/>
    <x v="26"/>
    <n v="5607542.5099999998"/>
    <n v="499218.08691037702"/>
    <n v="5"/>
    <n v="0"/>
    <n v="0"/>
    <n v="0"/>
    <n v="11.232650933592282"/>
    <n v="0"/>
    <n v="0"/>
    <n v="0"/>
  </r>
  <r>
    <x v="26"/>
    <s v="CHF"/>
    <x v="26"/>
    <n v="6059600"/>
    <n v="539463.03822886595"/>
    <n v="5"/>
    <n v="0"/>
    <n v="0"/>
    <n v="0"/>
    <n v="11.232650933592282"/>
    <n v="0"/>
    <n v="0"/>
    <n v="0"/>
  </r>
  <r>
    <x v="27"/>
    <s v="CHF"/>
    <x v="26"/>
    <n v="6221400"/>
    <n v="553867.47409681603"/>
    <n v="5"/>
    <n v="0"/>
    <n v="0"/>
    <n v="0"/>
    <n v="11.232650933592282"/>
    <n v="0"/>
    <n v="0"/>
    <n v="0"/>
  </r>
  <r>
    <x v="28"/>
    <s v="CHF"/>
    <x v="26"/>
    <n v="6246730.6699999999"/>
    <n v="556122.56687498174"/>
    <n v="5"/>
    <n v="0"/>
    <n v="-9.3132257461547852E-10"/>
    <n v="0"/>
    <n v="11.232650933592282"/>
    <n v="-9.3132257461547852E-10"/>
    <n v="0"/>
    <n v="-9.3132257461547852E-10"/>
  </r>
  <r>
    <x v="29"/>
    <s v="CHF"/>
    <x v="26"/>
    <n v="6303590.3959999997"/>
    <n v="561184.57105691137"/>
    <n v="5"/>
    <n v="0"/>
    <n v="0"/>
    <n v="0"/>
    <n v="11.232650933592282"/>
    <n v="0"/>
    <n v="0"/>
    <n v="0"/>
  </r>
  <r>
    <x v="30"/>
    <s v="CHF"/>
    <x v="26"/>
    <n v="6303590.3959999997"/>
    <n v="561184.57105691137"/>
    <n v="5"/>
    <n v="0"/>
    <n v="0"/>
    <n v="0"/>
    <n v="11.232650933592282"/>
    <n v="0"/>
    <n v="0"/>
    <n v="-6303590.3959999997"/>
  </r>
  <r>
    <x v="200"/>
    <s v="CHF"/>
    <x v="27"/>
    <n v="52200"/>
    <n v="52200"/>
    <n v="0.6"/>
    <n v="52200"/>
    <n v="0"/>
    <n v="0"/>
    <n v="1"/>
    <n v="52200"/>
    <n v="52200"/>
    <n v="52200"/>
  </r>
  <r>
    <x v="190"/>
    <s v="CHF"/>
    <x v="27"/>
    <n v="51989.1"/>
    <n v="51989.1"/>
    <n v="0.6"/>
    <n v="0"/>
    <n v="0"/>
    <n v="0"/>
    <n v="1"/>
    <n v="0"/>
    <n v="0"/>
    <n v="0"/>
  </r>
  <r>
    <x v="191"/>
    <s v="CHF"/>
    <x v="27"/>
    <n v="51705.58"/>
    <n v="51705.58"/>
    <n v="0.6"/>
    <n v="0"/>
    <n v="0"/>
    <n v="0"/>
    <n v="1"/>
    <n v="0"/>
    <n v="0"/>
    <n v="0"/>
  </r>
  <r>
    <x v="192"/>
    <s v="CHF"/>
    <x v="27"/>
    <n v="51778.12"/>
    <n v="51778.12"/>
    <n v="0.6"/>
    <n v="0"/>
    <n v="0"/>
    <n v="0"/>
    <n v="1"/>
    <n v="0"/>
    <n v="0"/>
    <n v="0"/>
  </r>
  <r>
    <x v="193"/>
    <s v="CHF"/>
    <x v="27"/>
    <n v="96525.96"/>
    <n v="96525.96"/>
    <n v="0.6"/>
    <n v="0"/>
    <n v="0"/>
    <n v="0"/>
    <n v="1"/>
    <n v="0"/>
    <n v="0"/>
    <n v="0"/>
  </r>
  <r>
    <x v="1"/>
    <s v="CHF"/>
    <x v="27"/>
    <n v="96522.23"/>
    <n v="61895.641868623861"/>
    <n v="0.6"/>
    <n v="54000"/>
    <n v="0"/>
    <n v="0"/>
    <n v="1.559434995518304"/>
    <n v="54000"/>
    <n v="0"/>
    <n v="54000"/>
  </r>
  <r>
    <x v="2"/>
    <s v="CHF"/>
    <x v="27"/>
    <n v="106687.86599999999"/>
    <n v="68414.436194270806"/>
    <n v="0.6"/>
    <n v="0"/>
    <n v="0"/>
    <n v="0"/>
    <n v="1.559434995518304"/>
    <n v="0"/>
    <n v="0"/>
    <n v="0"/>
  </r>
  <r>
    <x v="3"/>
    <s v="CHF"/>
    <x v="27"/>
    <n v="106318.0395"/>
    <n v="68177.282031985844"/>
    <n v="0.6"/>
    <n v="0"/>
    <n v="0"/>
    <n v="0"/>
    <n v="1.559434995518304"/>
    <n v="0"/>
    <n v="0"/>
    <n v="0"/>
  </r>
  <r>
    <x v="4"/>
    <s v="CHF"/>
    <x v="27"/>
    <n v="241765.027"/>
    <n v="68473.814698252696"/>
    <n v="0.6"/>
    <n v="134400"/>
    <n v="0"/>
    <n v="0"/>
    <n v="3.5307661485693353"/>
    <n v="134400"/>
    <n v="0"/>
    <n v="134400"/>
  </r>
  <r>
    <x v="5"/>
    <s v="CHF"/>
    <x v="27"/>
    <n v="242495.245"/>
    <n v="68680.630434348917"/>
    <n v="0.6"/>
    <n v="0"/>
    <n v="0"/>
    <n v="0"/>
    <n v="3.5307661485693353"/>
    <n v="0"/>
    <n v="0"/>
    <n v="0"/>
  </r>
  <r>
    <x v="6"/>
    <s v="CHF"/>
    <x v="27"/>
    <n v="339394.52799999999"/>
    <n v="68863.094809524686"/>
    <n v="0.6"/>
    <n v="96000"/>
    <n v="0"/>
    <n v="0"/>
    <n v="4.9285401554891664"/>
    <n v="96000"/>
    <n v="0"/>
    <n v="96000"/>
  </r>
  <r>
    <x v="7"/>
    <s v="CHF"/>
    <x v="27"/>
    <n v="343509.9645"/>
    <n v="69698.116209404412"/>
    <n v="0.6"/>
    <n v="0"/>
    <n v="0"/>
    <n v="0"/>
    <n v="4.9285401554891664"/>
    <n v="0"/>
    <n v="0"/>
    <n v="0"/>
  </r>
  <r>
    <x v="8"/>
    <s v="CHF"/>
    <x v="27"/>
    <n v="342493.25400000002"/>
    <n v="69491.82581348106"/>
    <n v="0.6"/>
    <n v="0"/>
    <n v="0"/>
    <n v="0"/>
    <n v="4.9285401554891664"/>
    <n v="0"/>
    <n v="0"/>
    <n v="0"/>
  </r>
  <r>
    <x v="9"/>
    <s v="CHF"/>
    <x v="27"/>
    <n v="342298.25550000003"/>
    <n v="69452.260649386211"/>
    <n v="0.6"/>
    <n v="0"/>
    <n v="0"/>
    <n v="0"/>
    <n v="4.9285401554891664"/>
    <n v="0"/>
    <n v="0"/>
    <n v="0"/>
  </r>
  <r>
    <x v="10"/>
    <s v="CHF"/>
    <x v="27"/>
    <n v="342048.35550000001"/>
    <n v="69401.555979825658"/>
    <n v="0.6"/>
    <n v="0"/>
    <n v="0"/>
    <n v="0"/>
    <n v="4.9285401554891664"/>
    <n v="0"/>
    <n v="0"/>
    <n v="0"/>
  </r>
  <r>
    <x v="11"/>
    <s v="CHF"/>
    <x v="27"/>
    <n v="353574.88250000001"/>
    <n v="71740.286442874087"/>
    <n v="0.6"/>
    <n v="0"/>
    <n v="0"/>
    <n v="0"/>
    <n v="4.9285401554891664"/>
    <n v="0"/>
    <n v="0"/>
    <n v="0"/>
  </r>
  <r>
    <x v="12"/>
    <s v="CHF"/>
    <x v="27"/>
    <n v="362976.40950000001"/>
    <n v="73647.85474979537"/>
    <n v="0.6"/>
    <n v="0"/>
    <n v="0"/>
    <n v="0"/>
    <n v="4.9285401554891664"/>
    <n v="0"/>
    <n v="0"/>
    <n v="0"/>
  </r>
  <r>
    <x v="13"/>
    <s v="CHF"/>
    <x v="27"/>
    <n v="366501.18099999998"/>
    <n v="74363.030316757984"/>
    <n v="0.6"/>
    <n v="0"/>
    <n v="0"/>
    <n v="0"/>
    <n v="4.9285401554891664"/>
    <n v="0"/>
    <n v="0"/>
    <n v="0"/>
  </r>
  <r>
    <x v="14"/>
    <s v="CHF"/>
    <x v="27"/>
    <n v="627958.79500000004"/>
    <n v="74133.721794466386"/>
    <n v="0.6"/>
    <n v="263400"/>
    <n v="0"/>
    <n v="0"/>
    <n v="8.4706228123956571"/>
    <n v="263400"/>
    <n v="0"/>
    <n v="263400"/>
  </r>
  <r>
    <x v="15"/>
    <s v="CHF"/>
    <x v="27"/>
    <n v="635782.39899999998"/>
    <n v="75057.33794091444"/>
    <n v="0.6"/>
    <n v="0"/>
    <n v="0"/>
    <n v="0"/>
    <n v="8.4706228123956571"/>
    <n v="0"/>
    <n v="0"/>
    <n v="0"/>
  </r>
  <r>
    <x v="16"/>
    <s v="CHF"/>
    <x v="27"/>
    <n v="647071.42749999999"/>
    <n v="76390.065031947233"/>
    <n v="0.6"/>
    <n v="0"/>
    <n v="0"/>
    <n v="0"/>
    <n v="8.4706228123956571"/>
    <n v="0"/>
    <n v="0"/>
    <n v="0"/>
  </r>
  <r>
    <x v="17"/>
    <s v="CHF"/>
    <x v="27"/>
    <n v="643274.17150000005"/>
    <n v="75941.779695189805"/>
    <n v="0.6"/>
    <n v="0"/>
    <n v="0"/>
    <n v="0"/>
    <n v="8.4706228123956571"/>
    <n v="0"/>
    <n v="0"/>
    <n v="0"/>
  </r>
  <r>
    <x v="18"/>
    <s v="CHF"/>
    <x v="27"/>
    <n v="646577.42500000005"/>
    <n v="76331.745530425207"/>
    <n v="0.6"/>
    <n v="0"/>
    <n v="0"/>
    <n v="0"/>
    <n v="8.4706228123956571"/>
    <n v="0"/>
    <n v="0"/>
    <n v="0"/>
  </r>
  <r>
    <x v="19"/>
    <s v="CHF"/>
    <x v="27"/>
    <n v="655063.90099999995"/>
    <n v="77333.617079655465"/>
    <n v="0.6"/>
    <n v="0"/>
    <n v="0"/>
    <n v="0"/>
    <n v="8.4706228123956571"/>
    <n v="0"/>
    <n v="0"/>
    <n v="0"/>
  </r>
  <r>
    <x v="20"/>
    <s v="CHF"/>
    <x v="27"/>
    <n v="660784.40949999995"/>
    <n v="78008.95213195277"/>
    <n v="0.6"/>
    <n v="0"/>
    <n v="0"/>
    <n v="0"/>
    <n v="8.4706228123956571"/>
    <n v="0"/>
    <n v="0"/>
    <n v="0"/>
  </r>
  <r>
    <x v="21"/>
    <s v="CHF"/>
    <x v="27"/>
    <n v="666029.86200000008"/>
    <n v="78628.204413181025"/>
    <n v="0.6"/>
    <n v="0"/>
    <n v="0"/>
    <n v="0"/>
    <n v="8.4706228123956571"/>
    <n v="0"/>
    <n v="0"/>
    <n v="0"/>
  </r>
  <r>
    <x v="22"/>
    <s v="CHF"/>
    <x v="27"/>
    <n v="665700"/>
    <n v="78589.262530475855"/>
    <n v="0.6"/>
    <n v="0"/>
    <n v="0"/>
    <n v="0"/>
    <n v="8.4706228123956571"/>
    <n v="0"/>
    <n v="0"/>
    <n v="0"/>
  </r>
  <r>
    <x v="23"/>
    <s v="CHF"/>
    <x v="27"/>
    <n v="678100"/>
    <n v="80053.145443766974"/>
    <n v="0.6"/>
    <n v="0"/>
    <n v="0"/>
    <n v="0"/>
    <n v="8.4706228123956571"/>
    <n v="0"/>
    <n v="0"/>
    <n v="0"/>
  </r>
  <r>
    <x v="24"/>
    <s v="CHF"/>
    <x v="27"/>
    <n v="675600"/>
    <n v="79758.0077596357"/>
    <n v="0.6"/>
    <n v="0"/>
    <n v="0"/>
    <n v="0"/>
    <n v="8.4706228123956571"/>
    <n v="0"/>
    <n v="0"/>
    <n v="0"/>
  </r>
  <r>
    <x v="25"/>
    <s v="CHF"/>
    <x v="27"/>
    <n v="675792"/>
    <n v="79780.674333776988"/>
    <n v="0.6"/>
    <n v="0"/>
    <n v="0"/>
    <n v="0"/>
    <n v="8.4706228123956571"/>
    <n v="0"/>
    <n v="0"/>
    <n v="0"/>
  </r>
  <r>
    <x v="26"/>
    <s v="CHF"/>
    <x v="27"/>
    <n v="730100"/>
    <n v="86192.009273697491"/>
    <n v="0.6"/>
    <n v="0"/>
    <n v="0"/>
    <n v="0"/>
    <n v="8.4706228123956571"/>
    <n v="0"/>
    <n v="0"/>
    <n v="0"/>
  </r>
  <r>
    <x v="27"/>
    <s v="CHF"/>
    <x v="27"/>
    <n v="749400"/>
    <n v="88470.472195190931"/>
    <n v="0.6"/>
    <n v="0"/>
    <n v="0"/>
    <n v="0"/>
    <n v="8.4706228123956571"/>
    <n v="0"/>
    <n v="0"/>
    <n v="0"/>
  </r>
  <r>
    <x v="28"/>
    <s v="CHF"/>
    <x v="27"/>
    <n v="752502.51"/>
    <n v="88836.739241748583"/>
    <n v="0.6"/>
    <n v="0"/>
    <n v="0"/>
    <n v="0"/>
    <n v="8.4706228123956571"/>
    <n v="0"/>
    <n v="0"/>
    <n v="0"/>
  </r>
  <r>
    <x v="29"/>
    <s v="CHF"/>
    <x v="27"/>
    <n v="759529.5895"/>
    <n v="89666.321629683123"/>
    <n v="0.6"/>
    <n v="0"/>
    <n v="0"/>
    <n v="0"/>
    <n v="8.4706228123956571"/>
    <n v="0"/>
    <n v="0"/>
    <n v="0"/>
  </r>
  <r>
    <x v="30"/>
    <s v="CHF"/>
    <x v="27"/>
    <n v="759529.5895"/>
    <n v="89666.321629683123"/>
    <n v="0.6"/>
    <n v="0"/>
    <n v="0"/>
    <n v="0"/>
    <n v="8.4706228123956571"/>
    <n v="0"/>
    <n v="0"/>
    <n v="-759529.5895"/>
  </r>
  <r>
    <x v="200"/>
    <s v="CHF"/>
    <x v="28"/>
    <n v="522000"/>
    <n v="522000"/>
    <n v="6"/>
    <n v="522000"/>
    <n v="0"/>
    <n v="0"/>
    <n v="1"/>
    <n v="522000"/>
    <n v="522000"/>
    <n v="522000"/>
  </r>
  <r>
    <x v="190"/>
    <s v="CHF"/>
    <x v="28"/>
    <n v="519846.82999999996"/>
    <n v="519846.82999999996"/>
    <n v="6"/>
    <n v="0"/>
    <n v="0"/>
    <n v="0"/>
    <n v="1"/>
    <n v="0"/>
    <n v="0"/>
    <n v="0"/>
  </r>
  <r>
    <x v="191"/>
    <s v="CHF"/>
    <x v="28"/>
    <n v="516967.77000000008"/>
    <n v="516967.77000000008"/>
    <n v="6"/>
    <n v="0"/>
    <n v="0"/>
    <n v="0"/>
    <n v="1"/>
    <n v="0"/>
    <n v="0"/>
    <n v="0"/>
  </r>
  <r>
    <x v="192"/>
    <s v="CHF"/>
    <x v="28"/>
    <n v="517650.21"/>
    <n v="517650.21"/>
    <n v="6"/>
    <n v="0"/>
    <n v="0"/>
    <n v="0"/>
    <n v="1"/>
    <n v="0"/>
    <n v="0"/>
    <n v="0"/>
  </r>
  <r>
    <x v="193"/>
    <s v="CHF"/>
    <x v="28"/>
    <n v="517106.36"/>
    <n v="517106.36"/>
    <n v="6"/>
    <n v="0"/>
    <n v="0"/>
    <n v="0"/>
    <n v="1"/>
    <n v="0"/>
    <n v="0"/>
    <n v="0"/>
  </r>
  <r>
    <x v="1"/>
    <s v="CHF"/>
    <x v="28"/>
    <n v="964769.83"/>
    <n v="471937.95620444359"/>
    <n v="6"/>
    <n v="540000"/>
    <n v="0"/>
    <n v="0"/>
    <n v="2.0442725941332456"/>
    <n v="540000"/>
    <n v="0"/>
    <n v="540000"/>
  </r>
  <r>
    <x v="2"/>
    <s v="CHF"/>
    <x v="28"/>
    <n v="1066538.9745"/>
    <n v="521720.5266855341"/>
    <n v="6"/>
    <n v="0"/>
    <n v="0"/>
    <n v="0"/>
    <n v="2.0442725941332456"/>
    <n v="0"/>
    <n v="0"/>
    <n v="0"/>
  </r>
  <r>
    <x v="3"/>
    <s v="CHF"/>
    <x v="28"/>
    <n v="1062997.3049999999"/>
    <n v="519988.04271536099"/>
    <n v="6"/>
    <n v="0"/>
    <n v="0"/>
    <n v="0"/>
    <n v="2.0442725941332456"/>
    <n v="0"/>
    <n v="0"/>
    <n v="0"/>
  </r>
  <r>
    <x v="4"/>
    <s v="CHF"/>
    <x v="28"/>
    <n v="2417200.3650000002"/>
    <n v="522192.22848162107"/>
    <n v="6"/>
    <n v="1344000"/>
    <n v="0"/>
    <n v="0"/>
    <n v="4.6289474127726802"/>
    <n v="1344000"/>
    <n v="0"/>
    <n v="1344000"/>
  </r>
  <r>
    <x v="5"/>
    <s v="CHF"/>
    <x v="28"/>
    <n v="2424099.0414999998"/>
    <n v="523682.56221947348"/>
    <n v="6"/>
    <n v="0"/>
    <n v="0"/>
    <n v="0"/>
    <n v="4.6289474127726802"/>
    <n v="0"/>
    <n v="0"/>
    <n v="0"/>
  </r>
  <r>
    <x v="6"/>
    <s v="CHF"/>
    <x v="28"/>
    <n v="3393604.3280000002"/>
    <n v="525153.48630529572"/>
    <n v="6"/>
    <n v="960000"/>
    <n v="0"/>
    <n v="0"/>
    <n v="6.4621190118637868"/>
    <n v="960000"/>
    <n v="0"/>
    <n v="960000"/>
  </r>
  <r>
    <x v="7"/>
    <s v="CHF"/>
    <x v="28"/>
    <n v="3434497.7259999998"/>
    <n v="531481.65790425939"/>
    <n v="6"/>
    <n v="0"/>
    <n v="0"/>
    <n v="0"/>
    <n v="6.4621190118637868"/>
    <n v="0"/>
    <n v="0"/>
    <n v="0"/>
  </r>
  <r>
    <x v="8"/>
    <s v="CHF"/>
    <x v="28"/>
    <n v="3423351.2"/>
    <n v="529756.75528647471"/>
    <n v="6"/>
    <n v="0"/>
    <n v="0"/>
    <n v="0"/>
    <n v="6.4621190118637868"/>
    <n v="0"/>
    <n v="0"/>
    <n v="0"/>
  </r>
  <r>
    <x v="9"/>
    <s v="CHF"/>
    <x v="28"/>
    <n v="3422639.9114999999"/>
    <n v="529646.68481288943"/>
    <n v="6"/>
    <n v="0"/>
    <n v="0"/>
    <n v="0"/>
    <n v="6.4621190118637868"/>
    <n v="0"/>
    <n v="0"/>
    <n v="0"/>
  </r>
  <r>
    <x v="10"/>
    <s v="CHF"/>
    <x v="28"/>
    <n v="3419876.06"/>
    <n v="529218.98431790853"/>
    <n v="6"/>
    <n v="0"/>
    <n v="0"/>
    <n v="0"/>
    <n v="6.4621190118637868"/>
    <n v="0"/>
    <n v="0"/>
    <n v="0"/>
  </r>
  <r>
    <x v="11"/>
    <s v="CHF"/>
    <x v="28"/>
    <n v="3533408.9534999998"/>
    <n v="546787.97264690173"/>
    <n v="6"/>
    <n v="0"/>
    <n v="0"/>
    <n v="0"/>
    <n v="6.4621190118637868"/>
    <n v="0"/>
    <n v="0"/>
    <n v="0"/>
  </r>
  <r>
    <x v="12"/>
    <s v="CHF"/>
    <x v="28"/>
    <n v="3627163.1970000002"/>
    <n v="561296.25442380446"/>
    <n v="6"/>
    <n v="0"/>
    <n v="0"/>
    <n v="0"/>
    <n v="6.4621190118637868"/>
    <n v="0"/>
    <n v="0"/>
    <n v="0"/>
  </r>
  <r>
    <x v="13"/>
    <s v="CHF"/>
    <x v="28"/>
    <n v="3662416.4879999999"/>
    <n v="566751.63073848991"/>
    <n v="6"/>
    <n v="0"/>
    <n v="-4.6566128730773926E-10"/>
    <n v="0"/>
    <n v="6.4621190118637868"/>
    <n v="-4.6566128730773926E-10"/>
    <n v="0"/>
    <n v="-4.6566128730773926E-10"/>
  </r>
  <r>
    <x v="14"/>
    <s v="CHF"/>
    <x v="28"/>
    <n v="5229928.6804999998"/>
    <n v="506037.19479258818"/>
    <n v="6"/>
    <n v="2195000"/>
    <n v="0"/>
    <n v="0"/>
    <n v="10.33506772687651"/>
    <n v="2195000"/>
    <n v="0"/>
    <n v="2195000"/>
  </r>
  <r>
    <x v="15"/>
    <s v="CHF"/>
    <x v="28"/>
    <n v="5295889.5985000003"/>
    <n v="512419.43821306119"/>
    <n v="6"/>
    <n v="0"/>
    <n v="0"/>
    <n v="0"/>
    <n v="10.33506772687651"/>
    <n v="0"/>
    <n v="0"/>
    <n v="0"/>
  </r>
  <r>
    <x v="16"/>
    <s v="CHF"/>
    <x v="28"/>
    <n v="5389551.7529999996"/>
    <n v="521481.99657989503"/>
    <n v="6"/>
    <n v="0"/>
    <n v="0"/>
    <n v="0"/>
    <n v="10.33506772687651"/>
    <n v="0"/>
    <n v="0"/>
    <n v="0"/>
  </r>
  <r>
    <x v="17"/>
    <s v="CHF"/>
    <x v="28"/>
    <n v="5356414.7750000004"/>
    <n v="518275.7304115732"/>
    <n v="6"/>
    <n v="0"/>
    <n v="0"/>
    <n v="0"/>
    <n v="10.33506772687651"/>
    <n v="0"/>
    <n v="0"/>
    <n v="0"/>
  </r>
  <r>
    <x v="18"/>
    <s v="CHF"/>
    <x v="28"/>
    <n v="5384731.25"/>
    <n v="521015.57457595755"/>
    <n v="6"/>
    <n v="0"/>
    <n v="0"/>
    <n v="0"/>
    <n v="10.33506772687651"/>
    <n v="0"/>
    <n v="0"/>
    <n v="0"/>
  </r>
  <r>
    <x v="19"/>
    <s v="CHF"/>
    <x v="28"/>
    <n v="5453884.2154999999"/>
    <n v="527706.67397922184"/>
    <n v="6"/>
    <n v="0"/>
    <n v="0"/>
    <n v="0"/>
    <n v="10.33506772687651"/>
    <n v="0"/>
    <n v="0"/>
    <n v="0"/>
  </r>
  <r>
    <x v="20"/>
    <s v="CHF"/>
    <x v="28"/>
    <n v="5501159.1160000004"/>
    <n v="532280.89659191563"/>
    <n v="6"/>
    <n v="0"/>
    <n v="0"/>
    <n v="0"/>
    <n v="10.33506772687651"/>
    <n v="0"/>
    <n v="0"/>
    <n v="0"/>
  </r>
  <r>
    <x v="21"/>
    <s v="CHF"/>
    <x v="28"/>
    <n v="5545642.7189999996"/>
    <n v="536585.03897158476"/>
    <n v="6"/>
    <n v="0"/>
    <n v="0"/>
    <n v="0"/>
    <n v="10.33506772687651"/>
    <n v="0"/>
    <n v="0"/>
    <n v="0"/>
  </r>
  <r>
    <x v="22"/>
    <s v="CHF"/>
    <x v="28"/>
    <n v="5541200"/>
    <n v="536155.1705742596"/>
    <n v="6"/>
    <n v="0"/>
    <n v="0"/>
    <n v="0"/>
    <n v="10.33506772687651"/>
    <n v="0"/>
    <n v="0"/>
    <n v="0"/>
  </r>
  <r>
    <x v="23"/>
    <s v="CHF"/>
    <x v="28"/>
    <n v="5644100"/>
    <n v="546111.5639641555"/>
    <n v="6"/>
    <n v="0"/>
    <n v="0"/>
    <n v="0"/>
    <n v="10.33506772687651"/>
    <n v="0"/>
    <n v="0"/>
    <n v="0"/>
  </r>
  <r>
    <x v="24"/>
    <s v="CHF"/>
    <x v="28"/>
    <n v="5623900"/>
    <n v="544157.05330841301"/>
    <n v="6"/>
    <n v="0"/>
    <n v="0"/>
    <n v="0"/>
    <n v="10.33506772687651"/>
    <n v="0"/>
    <n v="0"/>
    <n v="0"/>
  </r>
  <r>
    <x v="25"/>
    <s v="CHF"/>
    <x v="28"/>
    <n v="5624220.3300000001"/>
    <n v="544188.0477835791"/>
    <n v="6"/>
    <n v="0"/>
    <n v="0"/>
    <n v="0"/>
    <n v="10.33506772687651"/>
    <n v="0"/>
    <n v="0"/>
    <n v="0"/>
  </r>
  <r>
    <x v="26"/>
    <s v="CHF"/>
    <x v="28"/>
    <n v="6076200"/>
    <n v="587920.67556545802"/>
    <n v="6"/>
    <n v="0"/>
    <n v="0"/>
    <n v="0"/>
    <n v="10.33506772687651"/>
    <n v="0"/>
    <n v="0"/>
    <n v="0"/>
  </r>
  <r>
    <x v="27"/>
    <s v="CHF"/>
    <x v="28"/>
    <n v="6238100"/>
    <n v="603585.78819737397"/>
    <n v="6"/>
    <n v="0"/>
    <n v="0"/>
    <n v="0"/>
    <n v="10.33506772687651"/>
    <n v="0"/>
    <n v="0"/>
    <n v="0"/>
  </r>
  <r>
    <x v="28"/>
    <s v="CHF"/>
    <x v="28"/>
    <n v="6263410.5499999998"/>
    <n v="606034.78521112155"/>
    <n v="6"/>
    <n v="0"/>
    <n v="0"/>
    <n v="0"/>
    <n v="10.33506772687651"/>
    <n v="0"/>
    <n v="0"/>
    <n v="0"/>
  </r>
  <r>
    <x v="29"/>
    <s v="CHF"/>
    <x v="28"/>
    <n v="6320186.6885000002"/>
    <n v="611528.32816607994"/>
    <n v="6"/>
    <n v="0"/>
    <n v="0"/>
    <n v="0"/>
    <n v="10.33506772687651"/>
    <n v="0"/>
    <n v="0"/>
    <n v="0"/>
  </r>
  <r>
    <x v="30"/>
    <s v="CHF"/>
    <x v="28"/>
    <n v="6320186.6885000002"/>
    <n v="611528.32816607994"/>
    <n v="6"/>
    <n v="0"/>
    <n v="0"/>
    <n v="0"/>
    <n v="10.33506772687651"/>
    <n v="0"/>
    <n v="0"/>
    <n v="-6320186.6885000002"/>
  </r>
  <r>
    <x v="35"/>
    <s v="CHF"/>
    <x v="29"/>
    <n v="6860"/>
    <n v="6860"/>
    <n v="0.02"/>
    <n v="6860"/>
    <n v="0"/>
    <n v="0"/>
    <n v="1"/>
    <n v="6860"/>
    <n v="6860"/>
    <n v="6860"/>
  </r>
  <r>
    <x v="36"/>
    <s v="CHF"/>
    <x v="29"/>
    <n v="6840.53"/>
    <n v="6840.53"/>
    <n v="0.02"/>
    <n v="0"/>
    <n v="0"/>
    <n v="0"/>
    <n v="1"/>
    <n v="0"/>
    <n v="0"/>
    <n v="0"/>
  </r>
  <r>
    <x v="37"/>
    <s v="CHF"/>
    <x v="29"/>
    <n v="6835.22"/>
    <n v="6835.22"/>
    <n v="0.02"/>
    <n v="0"/>
    <n v="0"/>
    <n v="0"/>
    <n v="1"/>
    <n v="0"/>
    <n v="0"/>
    <n v="0"/>
  </r>
  <r>
    <x v="38"/>
    <s v="CHF"/>
    <x v="29"/>
    <n v="6749.94"/>
    <n v="6749.94"/>
    <n v="0.02"/>
    <n v="0"/>
    <n v="0"/>
    <n v="0"/>
    <n v="1"/>
    <n v="0"/>
    <n v="0"/>
    <n v="0"/>
  </r>
  <r>
    <x v="39"/>
    <s v="CHF"/>
    <x v="29"/>
    <n v="6575.3055722311401"/>
    <n v="6575.3055722311401"/>
    <n v="0.02"/>
    <n v="0"/>
    <n v="0"/>
    <n v="0"/>
    <n v="1"/>
    <n v="0"/>
    <n v="0"/>
    <n v="0"/>
  </r>
  <r>
    <x v="40"/>
    <s v="CHF"/>
    <x v="29"/>
    <n v="6501.3379899084402"/>
    <n v="6501.3379899084402"/>
    <n v="0.02"/>
    <n v="0"/>
    <n v="0"/>
    <n v="0"/>
    <n v="1"/>
    <n v="0"/>
    <n v="0"/>
    <n v="0"/>
  </r>
  <r>
    <x v="41"/>
    <s v="CHF"/>
    <x v="29"/>
    <n v="6495.03"/>
    <n v="6495.03"/>
    <n v="0.02"/>
    <n v="0"/>
    <n v="0"/>
    <n v="0"/>
    <n v="1"/>
    <n v="0"/>
    <n v="0"/>
    <n v="0"/>
  </r>
  <r>
    <x v="42"/>
    <s v="CHF"/>
    <x v="29"/>
    <n v="6603.5"/>
    <n v="6603.5"/>
    <n v="0.02"/>
    <n v="0"/>
    <n v="0"/>
    <n v="0"/>
    <n v="1"/>
    <n v="0"/>
    <n v="0"/>
    <n v="0"/>
  </r>
  <r>
    <x v="43"/>
    <s v="CHF"/>
    <x v="29"/>
    <n v="11218.91"/>
    <n v="6696.2599706241235"/>
    <n v="0.02"/>
    <n v="4460"/>
    <n v="0"/>
    <n v="0"/>
    <n v="1.675399409404104"/>
    <n v="4460"/>
    <n v="0"/>
    <n v="4460"/>
  </r>
  <r>
    <x v="44"/>
    <s v="CHF"/>
    <x v="29"/>
    <n v="10873.42"/>
    <n v="6490.046456365526"/>
    <n v="0.02"/>
    <n v="0"/>
    <n v="0"/>
    <n v="0"/>
    <n v="1.675399409404104"/>
    <n v="0"/>
    <n v="0"/>
    <n v="0"/>
  </r>
  <r>
    <x v="181"/>
    <s v="CHF"/>
    <x v="29"/>
    <n v="14128.13"/>
    <n v="6432.997837822184"/>
    <n v="0.02"/>
    <n v="3380"/>
    <n v="0"/>
    <n v="0"/>
    <n v="2.1961969141253297"/>
    <n v="3380"/>
    <n v="0"/>
    <n v="3380"/>
  </r>
  <r>
    <x v="182"/>
    <s v="CHF"/>
    <x v="29"/>
    <n v="14253.05"/>
    <n v="6489.8779833121216"/>
    <n v="0.02"/>
    <n v="0"/>
    <n v="0"/>
    <n v="0"/>
    <n v="2.1961969141253297"/>
    <n v="0"/>
    <n v="0"/>
    <n v="0"/>
  </r>
  <r>
    <x v="183"/>
    <s v="CHF"/>
    <x v="29"/>
    <n v="14163.07"/>
    <n v="6448.9071580544805"/>
    <n v="0.02"/>
    <n v="0"/>
    <n v="0"/>
    <n v="0"/>
    <n v="2.1961969141253297"/>
    <n v="0"/>
    <n v="0"/>
    <n v="0"/>
  </r>
  <r>
    <x v="184"/>
    <s v="CHF"/>
    <x v="29"/>
    <n v="16972.490000000002"/>
    <n v="6640.389942590069"/>
    <n v="0.02"/>
    <n v="2320"/>
    <n v="0"/>
    <n v="0"/>
    <n v="2.5559477902256926"/>
    <n v="2320"/>
    <n v="0"/>
    <n v="2320"/>
  </r>
  <r>
    <x v="185"/>
    <s v="CHF"/>
    <x v="29"/>
    <n v="17384.689999999999"/>
    <n v="6691.2730064498592"/>
    <n v="0.02"/>
    <n v="280"/>
    <n v="0"/>
    <n v="0"/>
    <n v="2.5981139886599349"/>
    <n v="280"/>
    <n v="0"/>
    <n v="280"/>
  </r>
  <r>
    <x v="186"/>
    <s v="CHF"/>
    <x v="29"/>
    <n v="18722.650000000001"/>
    <n v="6784.7530911273616"/>
    <n v="0.02"/>
    <n v="1080"/>
    <n v="0"/>
    <n v="0"/>
    <n v="2.7595182534327165"/>
    <n v="1080"/>
    <n v="0"/>
    <n v="1080"/>
  </r>
  <r>
    <x v="187"/>
    <s v="CHF"/>
    <x v="29"/>
    <n v="20231.25"/>
    <n v="7331.4427164354629"/>
    <n v="0.02"/>
    <n v="0"/>
    <n v="0"/>
    <n v="0"/>
    <n v="2.7595182534327165"/>
    <n v="0"/>
    <n v="0"/>
    <n v="0"/>
  </r>
  <r>
    <x v="188"/>
    <s v="CHF"/>
    <x v="29"/>
    <n v="20501.650000000001"/>
    <n v="7429.4308343483035"/>
    <n v="0.02"/>
    <n v="0"/>
    <n v="0"/>
    <n v="0"/>
    <n v="2.7595182534327165"/>
    <n v="0"/>
    <n v="0"/>
    <n v="0"/>
  </r>
  <r>
    <x v="189"/>
    <s v="CHF"/>
    <x v="29"/>
    <n v="20313.28"/>
    <n v="7361.1689195138288"/>
    <n v="0.02"/>
    <n v="0"/>
    <n v="0"/>
    <n v="0"/>
    <n v="2.7595182534327165"/>
    <n v="0"/>
    <n v="0"/>
    <n v="0"/>
  </r>
  <r>
    <x v="190"/>
    <s v="CHF"/>
    <x v="29"/>
    <n v="21604.3"/>
    <n v="7250.7578295563917"/>
    <n v="0.02"/>
    <n v="1620"/>
    <n v="0"/>
    <n v="0"/>
    <n v="2.9795919968439728"/>
    <n v="1620"/>
    <n v="0"/>
    <n v="1620"/>
  </r>
  <r>
    <x v="191"/>
    <s v="CHF"/>
    <x v="29"/>
    <n v="21266.32"/>
    <n v="7137.3261918160588"/>
    <n v="0.02"/>
    <n v="0"/>
    <n v="0"/>
    <n v="0"/>
    <n v="2.9795919968439728"/>
    <n v="0"/>
    <n v="0"/>
    <n v="0"/>
  </r>
  <r>
    <x v="192"/>
    <s v="CHF"/>
    <x v="29"/>
    <n v="21340.69"/>
    <n v="7162.2859849953848"/>
    <n v="0.02"/>
    <n v="0"/>
    <n v="0"/>
    <n v="0"/>
    <n v="2.9795919968439728"/>
    <n v="0"/>
    <n v="0"/>
    <n v="0"/>
  </r>
  <r>
    <x v="193"/>
    <s v="CHF"/>
    <x v="29"/>
    <n v="21913.07"/>
    <n v="7354.386111659127"/>
    <n v="0.02"/>
    <n v="0"/>
    <n v="0"/>
    <n v="0"/>
    <n v="2.9795919968439728"/>
    <n v="0"/>
    <n v="0"/>
    <n v="0"/>
  </r>
  <r>
    <x v="1"/>
    <s v="CHF"/>
    <x v="29"/>
    <n v="21874.77"/>
    <n v="7341.5320027608059"/>
    <n v="0.02"/>
    <n v="0"/>
    <n v="0"/>
    <n v="0"/>
    <n v="2.9795919968439728"/>
    <n v="0"/>
    <n v="0"/>
    <n v="0"/>
  </r>
  <r>
    <x v="2"/>
    <s v="CHF"/>
    <x v="29"/>
    <n v="22066.04"/>
    <n v="7405.7253554757399"/>
    <n v="0.02"/>
    <n v="0"/>
    <n v="0"/>
    <n v="0"/>
    <n v="2.9795919968439728"/>
    <n v="0"/>
    <n v="0"/>
    <n v="0"/>
  </r>
  <r>
    <x v="3"/>
    <s v="CHF"/>
    <x v="29"/>
    <n v="21818.23"/>
    <n v="7322.5562503558158"/>
    <n v="0.02"/>
    <n v="0"/>
    <n v="0"/>
    <n v="0"/>
    <n v="2.9795919968439728"/>
    <n v="0"/>
    <n v="0"/>
    <n v="0"/>
  </r>
  <r>
    <x v="4"/>
    <s v="CHF"/>
    <x v="29"/>
    <n v="22217.13"/>
    <n v="7456.4336404221476"/>
    <n v="0.02"/>
    <n v="0"/>
    <n v="0"/>
    <n v="0"/>
    <n v="2.9795919968439728"/>
    <n v="0"/>
    <n v="0"/>
    <n v="0"/>
  </r>
  <r>
    <x v="5"/>
    <s v="CHF"/>
    <x v="29"/>
    <n v="22639.32"/>
    <n v="7598.127536917772"/>
    <n v="0.02"/>
    <n v="0"/>
    <n v="0"/>
    <n v="0"/>
    <n v="2.9795919968439728"/>
    <n v="0"/>
    <n v="0"/>
    <n v="0"/>
  </r>
  <r>
    <x v="6"/>
    <s v="CHF"/>
    <x v="29"/>
    <n v="22939.99"/>
    <n v="7699.0373260159022"/>
    <n v="0.02"/>
    <n v="0"/>
    <n v="0"/>
    <n v="0"/>
    <n v="2.9795919968439728"/>
    <n v="0"/>
    <n v="0"/>
    <n v="0"/>
  </r>
  <r>
    <x v="7"/>
    <s v="CHF"/>
    <x v="29"/>
    <n v="23588.59"/>
    <n v="7916.7181362365645"/>
    <n v="0.02"/>
    <n v="0"/>
    <n v="0"/>
    <n v="0"/>
    <n v="2.9795919968439728"/>
    <n v="0"/>
    <n v="0"/>
    <n v="0"/>
  </r>
  <r>
    <x v="8"/>
    <s v="CHF"/>
    <x v="29"/>
    <n v="24334.89"/>
    <n v="8167.1886707226586"/>
    <n v="0.02"/>
    <n v="0"/>
    <n v="0"/>
    <n v="0"/>
    <n v="2.9795919968439728"/>
    <n v="0"/>
    <n v="0"/>
    <n v="0"/>
  </r>
  <r>
    <x v="9"/>
    <s v="CHF"/>
    <x v="29"/>
    <n v="24585.55"/>
    <n v="8251.3142826405001"/>
    <n v="0.02"/>
    <n v="0"/>
    <n v="0"/>
    <n v="0"/>
    <n v="2.9795919968439728"/>
    <n v="0"/>
    <n v="0"/>
    <n v="0"/>
  </r>
  <r>
    <x v="10"/>
    <s v="CHF"/>
    <x v="29"/>
    <n v="24540.560000000001"/>
    <n v="8236.2148998902267"/>
    <n v="0.02"/>
    <n v="0"/>
    <n v="0"/>
    <n v="0"/>
    <n v="2.9795919968439728"/>
    <n v="0"/>
    <n v="0"/>
    <n v="0"/>
  </r>
  <r>
    <x v="11"/>
    <s v="CHF"/>
    <x v="29"/>
    <n v="25683.38"/>
    <n v="8619.7640573622866"/>
    <n v="0.02"/>
    <n v="0"/>
    <n v="0"/>
    <n v="0"/>
    <n v="2.9795919968439728"/>
    <n v="0"/>
    <n v="0"/>
    <n v="0"/>
  </r>
  <r>
    <x v="12"/>
    <s v="CHF"/>
    <x v="29"/>
    <n v="26608.9"/>
    <n v="8930.3837666984382"/>
    <n v="0.02"/>
    <n v="0"/>
    <n v="0"/>
    <n v="0"/>
    <n v="2.9795919968439728"/>
    <n v="0"/>
    <n v="0"/>
    <n v="0"/>
  </r>
  <r>
    <x v="13"/>
    <s v="CHF"/>
    <x v="29"/>
    <n v="26748"/>
    <n v="8977.0680107651897"/>
    <n v="0.02"/>
    <n v="0"/>
    <n v="-3.637978807091713E-12"/>
    <n v="0"/>
    <n v="2.9795919968439728"/>
    <n v="-3.637978807091713E-12"/>
    <n v="0"/>
    <n v="-3.637978807091713E-12"/>
  </r>
  <r>
    <x v="14"/>
    <s v="CHF"/>
    <x v="29"/>
    <n v="26518.65"/>
    <n v="8900.0943847644048"/>
    <n v="0.02"/>
    <n v="0"/>
    <n v="0"/>
    <n v="0"/>
    <n v="2.9795919968439728"/>
    <n v="0"/>
    <n v="0"/>
    <n v="0"/>
  </r>
  <r>
    <x v="15"/>
    <s v="CHF"/>
    <x v="29"/>
    <n v="26905.18"/>
    <n v="9029.8201997113556"/>
    <n v="0.02"/>
    <n v="0"/>
    <n v="0"/>
    <n v="0"/>
    <n v="2.9795919968439728"/>
    <n v="0"/>
    <n v="0"/>
    <n v="0"/>
  </r>
  <r>
    <x v="16"/>
    <s v="CHF"/>
    <x v="29"/>
    <n v="28129.75"/>
    <n v="9440.8059995447165"/>
    <n v="0.02"/>
    <n v="0"/>
    <n v="0"/>
    <n v="0"/>
    <n v="2.9795919968439728"/>
    <n v="0"/>
    <n v="0"/>
    <n v="0"/>
  </r>
  <r>
    <x v="17"/>
    <s v="CHF"/>
    <x v="29"/>
    <n v="27842.63"/>
    <n v="9344.4438129419468"/>
    <n v="0.02"/>
    <n v="0"/>
    <n v="0"/>
    <n v="0"/>
    <n v="2.9795919968439728"/>
    <n v="0"/>
    <n v="0"/>
    <n v="0"/>
  </r>
  <r>
    <x v="18"/>
    <s v="CHF"/>
    <x v="29"/>
    <n v="27708.07"/>
    <n v="9299.283267423456"/>
    <n v="0.02"/>
    <n v="0"/>
    <n v="0"/>
    <n v="0"/>
    <n v="2.9795919968439728"/>
    <n v="0"/>
    <n v="0"/>
    <n v="0"/>
  </r>
  <r>
    <x v="19"/>
    <s v="CHF"/>
    <x v="29"/>
    <n v="26970.46"/>
    <n v="9051.7292396299563"/>
    <n v="0.02"/>
    <n v="0"/>
    <n v="0"/>
    <n v="0"/>
    <n v="2.9795919968439728"/>
    <n v="0"/>
    <n v="0"/>
    <n v="0"/>
  </r>
  <r>
    <x v="20"/>
    <s v="CHF"/>
    <x v="29"/>
    <n v="27976.92"/>
    <n v="9389.5137420269475"/>
    <n v="0.02"/>
    <n v="0"/>
    <n v="0"/>
    <n v="0"/>
    <n v="2.9795919968439728"/>
    <n v="0"/>
    <n v="0"/>
    <n v="0"/>
  </r>
  <r>
    <x v="21"/>
    <s v="CHF"/>
    <x v="29"/>
    <n v="28691.759999999998"/>
    <n v="9629.4257839297225"/>
    <n v="0.02"/>
    <n v="0"/>
    <n v="0"/>
    <n v="0"/>
    <n v="2.9795919968439728"/>
    <n v="0"/>
    <n v="0"/>
    <n v="0"/>
  </r>
  <r>
    <x v="22"/>
    <s v="CHF"/>
    <x v="29"/>
    <n v="28900"/>
    <n v="9699.3145472975157"/>
    <n v="0.02"/>
    <n v="0"/>
    <n v="0"/>
    <n v="0"/>
    <n v="2.9795919968439728"/>
    <n v="0"/>
    <n v="0"/>
    <n v="0"/>
  </r>
  <r>
    <x v="23"/>
    <s v="CHF"/>
    <x v="29"/>
    <n v="27700"/>
    <n v="9296.5748429114592"/>
    <n v="0.02"/>
    <n v="0"/>
    <n v="0"/>
    <n v="0"/>
    <n v="2.9795919968439728"/>
    <n v="0"/>
    <n v="0"/>
    <n v="0"/>
  </r>
  <r>
    <x v="24"/>
    <s v="CHF"/>
    <x v="29"/>
    <n v="28900"/>
    <n v="9699.3145472975157"/>
    <n v="0.02"/>
    <n v="0"/>
    <n v="0"/>
    <n v="0"/>
    <n v="2.9795919968439728"/>
    <n v="0"/>
    <n v="0"/>
    <n v="0"/>
  </r>
  <r>
    <x v="25"/>
    <s v="CHF"/>
    <x v="29"/>
    <n v="29000"/>
    <n v="9732.8761893296869"/>
    <n v="0.02"/>
    <n v="0"/>
    <n v="0"/>
    <n v="0"/>
    <n v="2.9795919968439728"/>
    <n v="0"/>
    <n v="0"/>
    <n v="0"/>
  </r>
  <r>
    <x v="26"/>
    <s v="CHF"/>
    <x v="29"/>
    <n v="29800"/>
    <n v="10001.369325587058"/>
    <n v="0.02"/>
    <n v="0"/>
    <n v="0"/>
    <n v="0"/>
    <n v="2.9795919968439728"/>
    <n v="0"/>
    <n v="0"/>
    <n v="0"/>
  </r>
  <r>
    <x v="27"/>
    <s v="CHF"/>
    <x v="29"/>
    <n v="30200"/>
    <n v="10135.615893715743"/>
    <n v="0.02"/>
    <n v="0"/>
    <n v="0"/>
    <n v="0"/>
    <n v="2.9795919968439728"/>
    <n v="0"/>
    <n v="0"/>
    <n v="0"/>
  </r>
  <r>
    <x v="28"/>
    <s v="CHF"/>
    <x v="29"/>
    <n v="30495.759999999998"/>
    <n v="10234.877806190092"/>
    <n v="0.02"/>
    <n v="0"/>
    <n v="0"/>
    <n v="0"/>
    <n v="2.9795919968439728"/>
    <n v="0"/>
    <n v="0"/>
    <n v="0"/>
  </r>
  <r>
    <x v="29"/>
    <s v="CHF"/>
    <x v="29"/>
    <n v="30758.42"/>
    <n v="10323.030815151795"/>
    <n v="0.02"/>
    <n v="0"/>
    <n v="0"/>
    <n v="0"/>
    <n v="2.9795919968439728"/>
    <n v="0"/>
    <n v="0"/>
    <n v="0"/>
  </r>
  <r>
    <x v="30"/>
    <s v="CHF"/>
    <x v="29"/>
    <n v="30758.42"/>
    <n v="10323.030815151795"/>
    <n v="0.02"/>
    <n v="0"/>
    <n v="0"/>
    <n v="0"/>
    <n v="2.9795919968439728"/>
    <n v="0"/>
    <n v="0"/>
    <n v="-30758.42"/>
  </r>
  <r>
    <x v="35"/>
    <s v="CHF"/>
    <x v="30"/>
    <n v="860000"/>
    <n v="860000"/>
    <n v="2.5"/>
    <n v="860000"/>
    <n v="0"/>
    <n v="0"/>
    <n v="1"/>
    <n v="860000"/>
    <n v="860000"/>
    <n v="860000"/>
  </r>
  <r>
    <x v="36"/>
    <s v="CHF"/>
    <x v="30"/>
    <n v="857037.12"/>
    <n v="857037.12"/>
    <n v="2.5"/>
    <n v="0"/>
    <n v="0"/>
    <n v="0"/>
    <n v="1"/>
    <n v="0"/>
    <n v="0"/>
    <n v="0"/>
  </r>
  <r>
    <x v="37"/>
    <s v="CHF"/>
    <x v="30"/>
    <n v="855336.23"/>
    <n v="855336.23"/>
    <n v="2.5"/>
    <n v="0"/>
    <n v="0"/>
    <n v="0"/>
    <n v="1"/>
    <n v="0"/>
    <n v="0"/>
    <n v="0"/>
  </r>
  <r>
    <x v="38"/>
    <s v="CHF"/>
    <x v="30"/>
    <n v="844677.64"/>
    <n v="844677.64"/>
    <n v="2.5"/>
    <n v="0"/>
    <n v="0"/>
    <n v="0"/>
    <n v="1"/>
    <n v="0"/>
    <n v="0"/>
    <n v="0"/>
  </r>
  <r>
    <x v="39"/>
    <s v="CHF"/>
    <x v="30"/>
    <n v="821330.03320277296"/>
    <n v="821330.03320277296"/>
    <n v="2.5"/>
    <n v="0"/>
    <n v="0"/>
    <n v="0"/>
    <n v="1"/>
    <n v="0"/>
    <n v="0"/>
    <n v="0"/>
  </r>
  <r>
    <x v="40"/>
    <s v="CHF"/>
    <x v="30"/>
    <n v="812089.78496929305"/>
    <n v="812089.78496929305"/>
    <n v="2.5"/>
    <n v="0"/>
    <n v="0"/>
    <n v="0"/>
    <n v="1"/>
    <n v="0"/>
    <n v="0"/>
    <n v="0"/>
  </r>
  <r>
    <x v="41"/>
    <s v="CHF"/>
    <x v="30"/>
    <n v="811293.34"/>
    <n v="811293.34"/>
    <n v="2.5"/>
    <n v="0"/>
    <n v="0"/>
    <n v="0"/>
    <n v="1"/>
    <n v="0"/>
    <n v="0"/>
    <n v="0"/>
  </r>
  <r>
    <x v="42"/>
    <s v="CHF"/>
    <x v="30"/>
    <n v="824327.46"/>
    <n v="824327.46"/>
    <n v="2.5"/>
    <n v="0"/>
    <n v="0"/>
    <n v="0"/>
    <n v="1"/>
    <n v="0"/>
    <n v="0"/>
    <n v="0"/>
  </r>
  <r>
    <x v="43"/>
    <s v="CHF"/>
    <x v="30"/>
    <n v="1405940.54"/>
    <n v="835688.23640774202"/>
    <n v="2.5"/>
    <n v="562500"/>
    <n v="0"/>
    <n v="0"/>
    <n v="1.6823744534726528"/>
    <n v="562500"/>
    <n v="0"/>
    <n v="562500"/>
  </r>
  <r>
    <x v="44"/>
    <s v="CHF"/>
    <x v="30"/>
    <n v="1361015.5"/>
    <n v="808984.88275940972"/>
    <n v="2.5"/>
    <n v="0"/>
    <n v="0"/>
    <n v="0"/>
    <n v="1.6823744534726528"/>
    <n v="0"/>
    <n v="0"/>
    <n v="0"/>
  </r>
  <r>
    <x v="181"/>
    <s v="CHF"/>
    <x v="30"/>
    <n v="1766727.95"/>
    <n v="801370.21713493508"/>
    <n v="2.5"/>
    <n v="422500"/>
    <n v="0"/>
    <n v="0"/>
    <n v="2.2046339035613518"/>
    <n v="422500"/>
    <n v="0"/>
    <n v="422500"/>
  </r>
  <r>
    <x v="182"/>
    <s v="CHF"/>
    <x v="30"/>
    <n v="1782442.72"/>
    <n v="808498.28042681061"/>
    <n v="2.5"/>
    <n v="0"/>
    <n v="0"/>
    <n v="0"/>
    <n v="2.2046339035613518"/>
    <n v="0"/>
    <n v="0"/>
    <n v="0"/>
  </r>
  <r>
    <x v="183"/>
    <s v="CHF"/>
    <x v="30"/>
    <n v="1768829.07"/>
    <n v="802323.2642583627"/>
    <n v="2.5"/>
    <n v="0"/>
    <n v="0"/>
    <n v="0"/>
    <n v="2.2046339035613518"/>
    <n v="0"/>
    <n v="0"/>
    <n v="0"/>
  </r>
  <r>
    <x v="184"/>
    <s v="CHF"/>
    <x v="30"/>
    <n v="2122046.6800000002"/>
    <n v="826959.09243510978"/>
    <n v="2.5"/>
    <n v="290000"/>
    <n v="0"/>
    <n v="0"/>
    <n v="2.5660842228015213"/>
    <n v="290000"/>
    <n v="0"/>
    <n v="290000"/>
  </r>
  <r>
    <x v="185"/>
    <s v="CHF"/>
    <x v="30"/>
    <n v="2172117.4822999998"/>
    <n v="832736.87049982778"/>
    <n v="2.5"/>
    <n v="35000"/>
    <n v="0"/>
    <n v="0"/>
    <n v="2.6084079608439157"/>
    <n v="35000"/>
    <n v="0"/>
    <n v="35000"/>
  </r>
  <r>
    <x v="186"/>
    <s v="CHF"/>
    <x v="30"/>
    <n v="2339729.5580000002"/>
    <n v="841771.51725683466"/>
    <n v="2.5"/>
    <n v="142500"/>
    <n v="0"/>
    <n v="0"/>
    <n v="2.7795304426843899"/>
    <n v="142500"/>
    <n v="0"/>
    <n v="142500"/>
  </r>
  <r>
    <x v="187"/>
    <s v="CHF"/>
    <x v="30"/>
    <n v="2519826.8267999999"/>
    <n v="906565.65155891015"/>
    <n v="2.5"/>
    <n v="0"/>
    <n v="0"/>
    <n v="0"/>
    <n v="2.7795304426843899"/>
    <n v="0"/>
    <n v="0"/>
    <n v="0"/>
  </r>
  <r>
    <x v="188"/>
    <s v="CHF"/>
    <x v="30"/>
    <n v="2545631.2373000002"/>
    <n v="915849.38168243389"/>
    <n v="2.5"/>
    <n v="0"/>
    <n v="0"/>
    <n v="0"/>
    <n v="2.7795304426843899"/>
    <n v="0"/>
    <n v="0"/>
    <n v="0"/>
  </r>
  <r>
    <x v="189"/>
    <s v="CHF"/>
    <x v="30"/>
    <n v="2519251.2548000002"/>
    <n v="906358.57629498758"/>
    <n v="2.5"/>
    <n v="0"/>
    <n v="0"/>
    <n v="0"/>
    <n v="2.7795304426843899"/>
    <n v="0"/>
    <n v="0"/>
    <n v="0"/>
  </r>
  <r>
    <x v="190"/>
    <s v="CHF"/>
    <x v="30"/>
    <n v="2667132.7740000002"/>
    <n v="893092.28527944628"/>
    <n v="2.5"/>
    <n v="187500"/>
    <n v="0"/>
    <n v="0"/>
    <n v="2.9864022094485581"/>
    <n v="187500"/>
    <n v="0"/>
    <n v="187500"/>
  </r>
  <r>
    <x v="191"/>
    <s v="CHF"/>
    <x v="30"/>
    <n v="2626523.3223000001"/>
    <n v="879494.16658949968"/>
    <n v="2.5"/>
    <n v="0"/>
    <n v="0"/>
    <n v="0"/>
    <n v="2.9864022094485581"/>
    <n v="0"/>
    <n v="0"/>
    <n v="0"/>
  </r>
  <r>
    <x v="192"/>
    <s v="CHF"/>
    <x v="30"/>
    <n v="2633600.0902999998"/>
    <n v="881863.82998500951"/>
    <n v="2.5"/>
    <n v="0"/>
    <n v="0"/>
    <n v="0"/>
    <n v="2.9864022094485581"/>
    <n v="0"/>
    <n v="0"/>
    <n v="0"/>
  </r>
  <r>
    <x v="193"/>
    <s v="CHF"/>
    <x v="30"/>
    <n v="2702863.2115000002"/>
    <n v="905056.66080359835"/>
    <n v="2.5"/>
    <n v="0"/>
    <n v="0"/>
    <n v="0"/>
    <n v="2.9864022094485581"/>
    <n v="0"/>
    <n v="0"/>
    <n v="0"/>
  </r>
  <r>
    <x v="1"/>
    <s v="CHF"/>
    <x v="30"/>
    <n v="2691209.4232999999"/>
    <n v="901154.37725882686"/>
    <n v="2.5"/>
    <n v="0"/>
    <n v="0"/>
    <n v="0"/>
    <n v="2.9864022094485581"/>
    <n v="0"/>
    <n v="0"/>
    <n v="0"/>
  </r>
  <r>
    <x v="2"/>
    <s v="CHF"/>
    <x v="30"/>
    <n v="2712651.0528000002"/>
    <n v="908334.13001689874"/>
    <n v="2.5"/>
    <n v="0"/>
    <n v="0"/>
    <n v="0"/>
    <n v="2.9864022094485581"/>
    <n v="0"/>
    <n v="0"/>
    <n v="0"/>
  </r>
  <r>
    <x v="3"/>
    <s v="CHF"/>
    <x v="30"/>
    <n v="2687325.5980000002"/>
    <n v="899853.87416928587"/>
    <n v="2.5"/>
    <n v="0"/>
    <n v="0"/>
    <n v="0"/>
    <n v="2.9864022094485581"/>
    <n v="0"/>
    <n v="0"/>
    <n v="0"/>
  </r>
  <r>
    <x v="4"/>
    <s v="CHF"/>
    <x v="30"/>
    <n v="2731798.4139999999"/>
    <n v="914745.6445608607"/>
    <n v="2.5"/>
    <n v="0"/>
    <n v="0"/>
    <n v="0"/>
    <n v="2.9864022094485581"/>
    <n v="0"/>
    <n v="0"/>
    <n v="0"/>
  </r>
  <r>
    <x v="5"/>
    <s v="CHF"/>
    <x v="30"/>
    <n v="2774104.4082999998"/>
    <n v="928911.85236975853"/>
    <n v="2.5"/>
    <n v="0"/>
    <n v="0"/>
    <n v="0"/>
    <n v="2.9864022094485581"/>
    <n v="0"/>
    <n v="0"/>
    <n v="0"/>
  </r>
  <r>
    <x v="6"/>
    <s v="CHF"/>
    <x v="30"/>
    <n v="2816951.7217999999"/>
    <n v="943259.32149646804"/>
    <n v="2.5"/>
    <n v="0"/>
    <n v="0"/>
    <n v="0"/>
    <n v="2.9864022094485581"/>
    <n v="0"/>
    <n v="0"/>
    <n v="0"/>
  </r>
  <r>
    <x v="7"/>
    <s v="CHF"/>
    <x v="30"/>
    <n v="2890121.2659999998"/>
    <n v="967760.22226880933"/>
    <n v="2.5"/>
    <n v="0"/>
    <n v="0"/>
    <n v="0"/>
    <n v="2.9864022094485581"/>
    <n v="0"/>
    <n v="0"/>
    <n v="0"/>
  </r>
  <r>
    <x v="8"/>
    <s v="CHF"/>
    <x v="30"/>
    <n v="2965002.4580000001"/>
    <n v="992834.27015260968"/>
    <n v="2.5"/>
    <n v="0"/>
    <n v="0"/>
    <n v="0"/>
    <n v="2.9864022094485581"/>
    <n v="0"/>
    <n v="0"/>
    <n v="0"/>
  </r>
  <r>
    <x v="9"/>
    <s v="CHF"/>
    <x v="30"/>
    <n v="3007110.5022999998"/>
    <n v="1006934.1941905627"/>
    <n v="2.5"/>
    <n v="0"/>
    <n v="0"/>
    <n v="0"/>
    <n v="2.9864022094485581"/>
    <n v="0"/>
    <n v="0"/>
    <n v="0"/>
  </r>
  <r>
    <x v="10"/>
    <s v="CHF"/>
    <x v="30"/>
    <n v="2999997.983"/>
    <n v="1004552.5594336981"/>
    <n v="2.5"/>
    <n v="0"/>
    <n v="0"/>
    <n v="0"/>
    <n v="2.9864022094485581"/>
    <n v="0"/>
    <n v="0"/>
    <n v="0"/>
  </r>
  <r>
    <x v="11"/>
    <s v="CHF"/>
    <x v="30"/>
    <n v="3115391.6313"/>
    <n v="1043192.2469931671"/>
    <n v="2.5"/>
    <n v="0"/>
    <n v="0"/>
    <n v="0"/>
    <n v="2.9864022094485581"/>
    <n v="0"/>
    <n v="0"/>
    <n v="0"/>
  </r>
  <r>
    <x v="12"/>
    <s v="CHF"/>
    <x v="30"/>
    <n v="3220469.1060000001"/>
    <n v="1078377.5526989924"/>
    <n v="2.5"/>
    <n v="0"/>
    <n v="0"/>
    <n v="0"/>
    <n v="2.9864022094485581"/>
    <n v="0"/>
    <n v="0"/>
    <n v="0"/>
  </r>
  <r>
    <x v="13"/>
    <s v="CHF"/>
    <x v="30"/>
    <n v="3236605.5090000001"/>
    <n v="1083780.8446430403"/>
    <n v="2.5"/>
    <n v="0"/>
    <n v="0"/>
    <n v="0"/>
    <n v="2.9864022094485581"/>
    <n v="0"/>
    <n v="0"/>
    <n v="0"/>
  </r>
  <r>
    <x v="14"/>
    <s v="CHF"/>
    <x v="30"/>
    <n v="3206329.889"/>
    <n v="1073643.0206405625"/>
    <n v="2.5"/>
    <n v="0"/>
    <n v="0"/>
    <n v="0"/>
    <n v="2.9864022094485581"/>
    <n v="0"/>
    <n v="0"/>
    <n v="0"/>
  </r>
  <r>
    <x v="15"/>
    <s v="CHF"/>
    <x v="30"/>
    <n v="3254896.5792999999"/>
    <n v="1089905.6292558194"/>
    <n v="2.5"/>
    <n v="0"/>
    <n v="0"/>
    <n v="0"/>
    <n v="2.9864022094485581"/>
    <n v="0"/>
    <n v="0"/>
    <n v="0"/>
  </r>
  <r>
    <x v="16"/>
    <s v="CHF"/>
    <x v="30"/>
    <n v="3394294.4863"/>
    <n v="1136583.1687242019"/>
    <n v="2.5"/>
    <n v="0"/>
    <n v="0"/>
    <n v="0"/>
    <n v="2.9864022094485581"/>
    <n v="0"/>
    <n v="0"/>
    <n v="0"/>
  </r>
  <r>
    <x v="17"/>
    <s v="CHF"/>
    <x v="30"/>
    <n v="3353483.9024999999"/>
    <n v="1122917.7007336945"/>
    <n v="2.5"/>
    <n v="0"/>
    <n v="0"/>
    <n v="0"/>
    <n v="2.9864022094485581"/>
    <n v="0"/>
    <n v="0"/>
    <n v="0"/>
  </r>
  <r>
    <x v="18"/>
    <s v="CHF"/>
    <x v="30"/>
    <n v="3342040.2650000001"/>
    <n v="1119085.7863774186"/>
    <n v="2.5"/>
    <n v="0"/>
    <n v="0"/>
    <n v="0"/>
    <n v="2.9864022094485581"/>
    <n v="0"/>
    <n v="0"/>
    <n v="0"/>
  </r>
  <r>
    <x v="19"/>
    <s v="CHF"/>
    <x v="30"/>
    <n v="3248797.0923000001"/>
    <n v="1087863.2094569383"/>
    <n v="2.5"/>
    <n v="0"/>
    <n v="0"/>
    <n v="0"/>
    <n v="2.9864022094485581"/>
    <n v="0"/>
    <n v="0"/>
    <n v="0"/>
  </r>
  <r>
    <x v="20"/>
    <s v="CHF"/>
    <x v="30"/>
    <n v="3363062.7955"/>
    <n v="1126125.203383436"/>
    <n v="2.5"/>
    <n v="0"/>
    <n v="0"/>
    <n v="0"/>
    <n v="2.9864022094485581"/>
    <n v="0"/>
    <n v="0"/>
    <n v="0"/>
  </r>
  <r>
    <x v="21"/>
    <s v="CHF"/>
    <x v="30"/>
    <n v="3449585.14"/>
    <n v="1155097.3037342378"/>
    <n v="2.5"/>
    <n v="0"/>
    <n v="0"/>
    <n v="0"/>
    <n v="2.9864022094485581"/>
    <n v="0"/>
    <n v="0"/>
    <n v="0"/>
  </r>
  <r>
    <x v="22"/>
    <s v="CHF"/>
    <x v="30"/>
    <n v="3469000"/>
    <n v="1161598.3905398175"/>
    <n v="2.5"/>
    <n v="0"/>
    <n v="0"/>
    <n v="0"/>
    <n v="2.9864022094485581"/>
    <n v="0"/>
    <n v="0"/>
    <n v="0"/>
  </r>
  <r>
    <x v="23"/>
    <s v="CHF"/>
    <x v="30"/>
    <n v="3330500"/>
    <n v="1115221.5161985767"/>
    <n v="2.5"/>
    <n v="0"/>
    <n v="0"/>
    <n v="0"/>
    <n v="2.9864022094485581"/>
    <n v="0"/>
    <n v="0"/>
    <n v="0"/>
  </r>
  <r>
    <x v="24"/>
    <s v="CHF"/>
    <x v="30"/>
    <n v="3464600"/>
    <n v="1160125.0457954027"/>
    <n v="2.5"/>
    <n v="0"/>
    <n v="-4.6566128730773926E-10"/>
    <n v="0"/>
    <n v="2.9864022094485581"/>
    <n v="-4.6566128730773926E-10"/>
    <n v="0"/>
    <n v="-4.6566128730773926E-10"/>
  </r>
  <r>
    <x v="25"/>
    <s v="CHF"/>
    <x v="30"/>
    <n v="3468500"/>
    <n v="1161430.9650006795"/>
    <n v="2.5"/>
    <n v="0"/>
    <n v="0"/>
    <n v="0"/>
    <n v="2.9864022094485581"/>
    <n v="0"/>
    <n v="0"/>
    <n v="0"/>
  </r>
  <r>
    <x v="26"/>
    <s v="CHF"/>
    <x v="30"/>
    <n v="3560200"/>
    <n v="1192136.8088785985"/>
    <n v="2.5"/>
    <n v="0"/>
    <n v="0"/>
    <n v="0"/>
    <n v="2.9864022094485581"/>
    <n v="0"/>
    <n v="0"/>
    <n v="0"/>
  </r>
  <r>
    <x v="27"/>
    <s v="CHF"/>
    <x v="30"/>
    <n v="3606800"/>
    <n v="1207740.8691262652"/>
    <n v="2.5"/>
    <n v="0"/>
    <n v="0"/>
    <n v="0"/>
    <n v="2.9864022094485581"/>
    <n v="0"/>
    <n v="0"/>
    <n v="0"/>
  </r>
  <r>
    <x v="28"/>
    <s v="CHF"/>
    <x v="30"/>
    <n v="3644015.38"/>
    <n v="1220202.4792477202"/>
    <n v="2.5"/>
    <n v="0"/>
    <n v="0"/>
    <n v="0"/>
    <n v="2.9864022094485581"/>
    <n v="0"/>
    <n v="0"/>
    <n v="0"/>
  </r>
  <r>
    <x v="29"/>
    <s v="CHF"/>
    <x v="30"/>
    <n v="3665818.0704999999"/>
    <n v="1227503.1336709654"/>
    <n v="2.5"/>
    <n v="0"/>
    <n v="0"/>
    <n v="0"/>
    <n v="2.9864022094485581"/>
    <n v="0"/>
    <n v="0"/>
    <n v="0"/>
  </r>
  <r>
    <x v="30"/>
    <s v="CHF"/>
    <x v="30"/>
    <n v="3665818.0704999999"/>
    <n v="1227503.1336709654"/>
    <n v="2.5"/>
    <n v="0"/>
    <n v="0"/>
    <n v="0"/>
    <n v="2.9864022094485581"/>
    <n v="0"/>
    <n v="0"/>
    <n v="-3665818.0704999999"/>
  </r>
  <r>
    <x v="197"/>
    <s v="CHF"/>
    <x v="31"/>
    <n v="28500"/>
    <n v="28500"/>
    <n v="0.25"/>
    <n v="28500"/>
    <n v="0"/>
    <n v="0"/>
    <n v="1"/>
    <n v="28500"/>
    <n v="28500"/>
    <n v="28500"/>
  </r>
  <r>
    <x v="198"/>
    <s v="CHF"/>
    <x v="31"/>
    <n v="63250"/>
    <n v="28500"/>
    <n v="0.25"/>
    <n v="34750"/>
    <n v="0"/>
    <n v="0"/>
    <n v="2.2192982456140351"/>
    <n v="34750"/>
    <n v="0"/>
    <n v="34750"/>
  </r>
  <r>
    <x v="43"/>
    <s v="CHF"/>
    <x v="31"/>
    <n v="61810.62"/>
    <n v="27851.425612648221"/>
    <n v="0.25"/>
    <n v="0"/>
    <n v="0"/>
    <n v="0"/>
    <n v="2.2192982456140351"/>
    <n v="0"/>
    <n v="0"/>
    <n v="0"/>
  </r>
  <r>
    <x v="44"/>
    <s v="CHF"/>
    <x v="31"/>
    <n v="61386.87"/>
    <n v="27660.486877470357"/>
    <n v="0.25"/>
    <n v="0"/>
    <n v="0"/>
    <n v="0"/>
    <n v="2.2192982456140351"/>
    <n v="0"/>
    <n v="0"/>
    <n v="0"/>
  </r>
  <r>
    <x v="181"/>
    <s v="CHF"/>
    <x v="31"/>
    <n v="104341.77"/>
    <n v="27848.623369820321"/>
    <n v="0.25"/>
    <n v="42250"/>
    <n v="0"/>
    <n v="0"/>
    <n v="3.7467478594678276"/>
    <n v="42250"/>
    <n v="0"/>
    <n v="42250"/>
  </r>
  <r>
    <x v="182"/>
    <s v="CHF"/>
    <x v="31"/>
    <n v="106492.28"/>
    <n v="28422.590468931558"/>
    <n v="0.25"/>
    <n v="0"/>
    <n v="0"/>
    <n v="0"/>
    <n v="3.7467478594678276"/>
    <n v="0"/>
    <n v="0"/>
    <n v="0"/>
  </r>
  <r>
    <x v="183"/>
    <s v="CHF"/>
    <x v="31"/>
    <n v="106368.18"/>
    <n v="28389.468410908248"/>
    <n v="0.25"/>
    <n v="0"/>
    <n v="0"/>
    <n v="0"/>
    <n v="3.7467478594678276"/>
    <n v="0"/>
    <n v="0"/>
    <n v="0"/>
  </r>
  <r>
    <x v="184"/>
    <s v="CHF"/>
    <x v="31"/>
    <n v="140286.5"/>
    <n v="29420.940432433086"/>
    <n v="0.25"/>
    <n v="29000"/>
    <n v="0"/>
    <n v="0"/>
    <n v="4.7682534255550451"/>
    <n v="29000"/>
    <n v="0"/>
    <n v="29000"/>
  </r>
  <r>
    <x v="185"/>
    <s v="CHF"/>
    <x v="31"/>
    <n v="153766.51999999999"/>
    <n v="29780.205089295614"/>
    <n v="0.25"/>
    <n v="11625"/>
    <n v="0"/>
    <n v="0"/>
    <n v="5.1633801560107724"/>
    <n v="11625"/>
    <n v="0"/>
    <n v="11625"/>
  </r>
  <r>
    <x v="186"/>
    <s v="CHF"/>
    <x v="31"/>
    <n v="174059.74"/>
    <n v="30221.781289577651"/>
    <n v="0.25"/>
    <n v="17750"/>
    <n v="0"/>
    <n v="0"/>
    <n v="5.7594136603730437"/>
    <n v="17750"/>
    <n v="0"/>
    <n v="17750"/>
  </r>
  <r>
    <x v="187"/>
    <s v="CHF"/>
    <x v="31"/>
    <n v="192822.85"/>
    <n v="33005.542488525636"/>
    <n v="0.25"/>
    <n v="2500"/>
    <n v="0"/>
    <n v="0"/>
    <n v="5.8421354554931133"/>
    <n v="2500"/>
    <n v="0"/>
    <n v="2500"/>
  </r>
  <r>
    <x v="188"/>
    <s v="CHF"/>
    <x v="31"/>
    <n v="199382.9"/>
    <n v="32850.674685566111"/>
    <n v="0.25"/>
    <n v="7500"/>
    <n v="0"/>
    <n v="0"/>
    <n v="6.0693700177672332"/>
    <n v="7500"/>
    <n v="0"/>
    <n v="7500"/>
  </r>
  <r>
    <x v="189"/>
    <s v="CHF"/>
    <x v="31"/>
    <n v="196327.05"/>
    <n v="32347.187504680052"/>
    <n v="0.25"/>
    <n v="0"/>
    <n v="0"/>
    <n v="0"/>
    <n v="6.0693700177672332"/>
    <n v="0"/>
    <n v="0"/>
    <n v="0"/>
  </r>
  <r>
    <x v="190"/>
    <s v="CHF"/>
    <x v="31"/>
    <n v="199962.78"/>
    <n v="31772.901408174876"/>
    <n v="0.25"/>
    <n v="7250"/>
    <n v="0"/>
    <n v="0"/>
    <n v="6.2935007864453771"/>
    <n v="7250"/>
    <n v="0"/>
    <n v="7250"/>
  </r>
  <r>
    <x v="191"/>
    <s v="CHF"/>
    <x v="31"/>
    <n v="196588.61"/>
    <n v="31236.765779612288"/>
    <n v="0.25"/>
    <n v="0"/>
    <n v="0"/>
    <n v="0"/>
    <n v="6.2935007864453771"/>
    <n v="0"/>
    <n v="0"/>
    <n v="0"/>
  </r>
  <r>
    <x v="192"/>
    <s v="CHF"/>
    <x v="31"/>
    <n v="197567.39"/>
    <n v="31392.288124522147"/>
    <n v="0.25"/>
    <n v="0"/>
    <n v="0"/>
    <n v="0"/>
    <n v="6.2935007864453771"/>
    <n v="0"/>
    <n v="0"/>
    <n v="0"/>
  </r>
  <r>
    <x v="193"/>
    <s v="CHF"/>
    <x v="31"/>
    <n v="203778.71"/>
    <n v="32379.230084293984"/>
    <n v="0.25"/>
    <n v="0"/>
    <n v="0"/>
    <n v="0"/>
    <n v="6.2935007864453771"/>
    <n v="0"/>
    <n v="0"/>
    <n v="0"/>
  </r>
  <r>
    <x v="1"/>
    <s v="CHF"/>
    <x v="31"/>
    <n v="214341.23"/>
    <n v="32350.933367942111"/>
    <n v="0.25"/>
    <n v="10750"/>
    <n v="0"/>
    <n v="0"/>
    <n v="6.6255037393264109"/>
    <n v="10750"/>
    <n v="0"/>
    <n v="10750"/>
  </r>
  <r>
    <x v="2"/>
    <s v="CHF"/>
    <x v="31"/>
    <n v="216432.91"/>
    <n v="32666.634646259197"/>
    <n v="0.25"/>
    <n v="0"/>
    <n v="0"/>
    <n v="0"/>
    <n v="6.6255037393264109"/>
    <n v="0"/>
    <n v="0"/>
    <n v="0"/>
  </r>
  <r>
    <x v="3"/>
    <s v="CHF"/>
    <x v="31"/>
    <n v="213263.95"/>
    <n v="32188.337429220395"/>
    <n v="0.25"/>
    <n v="0"/>
    <n v="0"/>
    <n v="0"/>
    <n v="6.6255037393264109"/>
    <n v="0"/>
    <n v="0"/>
    <n v="0"/>
  </r>
  <r>
    <x v="4"/>
    <s v="CHF"/>
    <x v="31"/>
    <n v="276202.56"/>
    <n v="32759.260095499434"/>
    <n v="0.25"/>
    <n v="58125"/>
    <n v="0"/>
    <n v="0"/>
    <n v="8.4312820007172729"/>
    <n v="58125"/>
    <n v="0"/>
    <n v="58125"/>
  </r>
  <r>
    <x v="5"/>
    <s v="CHF"/>
    <x v="31"/>
    <n v="279736.03000000003"/>
    <n v="33178.350573044772"/>
    <n v="0.25"/>
    <n v="0"/>
    <n v="0"/>
    <n v="0"/>
    <n v="8.4312820007172729"/>
    <n v="0"/>
    <n v="0"/>
    <n v="0"/>
  </r>
  <r>
    <x v="6"/>
    <s v="CHF"/>
    <x v="31"/>
    <n v="283076.76"/>
    <n v="33574.580944620029"/>
    <n v="0.25"/>
    <n v="0"/>
    <n v="0"/>
    <n v="0"/>
    <n v="8.4312820007172729"/>
    <n v="0"/>
    <n v="0"/>
    <n v="0"/>
  </r>
  <r>
    <x v="7"/>
    <s v="CHF"/>
    <x v="31"/>
    <n v="287267.21999999997"/>
    <n v="34071.594328781954"/>
    <n v="0.25"/>
    <n v="0"/>
    <n v="0"/>
    <n v="0"/>
    <n v="8.4312820007172729"/>
    <n v="0"/>
    <n v="0"/>
    <n v="0"/>
  </r>
  <r>
    <x v="8"/>
    <s v="CHF"/>
    <x v="31"/>
    <n v="296689.8"/>
    <n v="35189.168144863346"/>
    <n v="0.25"/>
    <n v="0"/>
    <n v="0"/>
    <n v="0"/>
    <n v="8.4312820007172729"/>
    <n v="0"/>
    <n v="0"/>
    <n v="0"/>
  </r>
  <r>
    <x v="9"/>
    <s v="CHF"/>
    <x v="31"/>
    <n v="299654.90000000002"/>
    <n v="35540.846572858973"/>
    <n v="0.25"/>
    <n v="0"/>
    <n v="0"/>
    <n v="0"/>
    <n v="8.4312820007172729"/>
    <n v="0"/>
    <n v="0"/>
    <n v="0"/>
  </r>
  <r>
    <x v="10"/>
    <s v="CHF"/>
    <x v="31"/>
    <n v="299119.86"/>
    <n v="35477.387658787004"/>
    <n v="0.25"/>
    <n v="0"/>
    <n v="0"/>
    <n v="0"/>
    <n v="8.4312820007172729"/>
    <n v="0"/>
    <n v="0"/>
    <n v="0"/>
  </r>
  <r>
    <x v="11"/>
    <s v="CHF"/>
    <x v="31"/>
    <n v="313535.59999999998"/>
    <n v="37187.179834967756"/>
    <n v="0.25"/>
    <n v="0"/>
    <n v="0"/>
    <n v="0"/>
    <n v="8.4312820007172729"/>
    <n v="0"/>
    <n v="0"/>
    <n v="0"/>
  </r>
  <r>
    <x v="12"/>
    <s v="CHF"/>
    <x v="31"/>
    <n v="325043.51"/>
    <n v="38552.08614447336"/>
    <n v="0.25"/>
    <n v="0"/>
    <n v="0"/>
    <n v="0"/>
    <n v="8.4312820007172729"/>
    <n v="0"/>
    <n v="0"/>
    <n v="0"/>
  </r>
  <r>
    <x v="13"/>
    <s v="CHF"/>
    <x v="31"/>
    <n v="326779.74"/>
    <n v="38758.013309506183"/>
    <n v="0.25"/>
    <n v="0"/>
    <n v="0"/>
    <n v="0"/>
    <n v="8.4312820007172729"/>
    <n v="0"/>
    <n v="0"/>
    <n v="0"/>
  </r>
  <r>
    <x v="14"/>
    <s v="CHF"/>
    <x v="31"/>
    <n v="324924.71999999997"/>
    <n v="38537.996946651496"/>
    <n v="0.25"/>
    <n v="0"/>
    <n v="0"/>
    <n v="0"/>
    <n v="8.4312820007172729"/>
    <n v="0"/>
    <n v="0"/>
    <n v="0"/>
  </r>
  <r>
    <x v="15"/>
    <s v="CHF"/>
    <x v="31"/>
    <n v="329969.42"/>
    <n v="39136.328256121495"/>
    <n v="0.25"/>
    <n v="0"/>
    <n v="0"/>
    <n v="0"/>
    <n v="8.4312820007172729"/>
    <n v="0"/>
    <n v="0"/>
    <n v="0"/>
  </r>
  <r>
    <x v="16"/>
    <s v="CHF"/>
    <x v="31"/>
    <n v="344746.22"/>
    <n v="40888.944287555729"/>
    <n v="0.25"/>
    <n v="0"/>
    <n v="0"/>
    <n v="0"/>
    <n v="8.4312820007172729"/>
    <n v="0"/>
    <n v="0"/>
    <n v="0"/>
  </r>
  <r>
    <x v="17"/>
    <s v="CHF"/>
    <x v="31"/>
    <n v="340148.43"/>
    <n v="40343.61915199404"/>
    <n v="0.25"/>
    <n v="0"/>
    <n v="0"/>
    <n v="0"/>
    <n v="8.4312820007172729"/>
    <n v="0"/>
    <n v="0"/>
    <n v="0"/>
  </r>
  <r>
    <x v="18"/>
    <s v="CHF"/>
    <x v="31"/>
    <n v="338298.88"/>
    <n v="40124.251563548693"/>
    <n v="0.25"/>
    <n v="0"/>
    <n v="0"/>
    <n v="0"/>
    <n v="8.4312820007172729"/>
    <n v="0"/>
    <n v="0"/>
    <n v="0"/>
  </r>
  <r>
    <x v="19"/>
    <s v="CHF"/>
    <x v="31"/>
    <n v="329788.44"/>
    <n v="39114.862955828539"/>
    <n v="0.25"/>
    <n v="0"/>
    <n v="0"/>
    <n v="0"/>
    <n v="8.4312820007172729"/>
    <n v="0"/>
    <n v="0"/>
    <n v="0"/>
  </r>
  <r>
    <x v="20"/>
    <s v="CHF"/>
    <x v="31"/>
    <n v="343241.2"/>
    <n v="40710.439998424859"/>
    <n v="0.25"/>
    <n v="0"/>
    <n v="0"/>
    <n v="0"/>
    <n v="8.4312820007172729"/>
    <n v="0"/>
    <n v="0"/>
    <n v="0"/>
  </r>
  <r>
    <x v="21"/>
    <s v="CHF"/>
    <x v="31"/>
    <n v="351239.95"/>
    <n v="41659.139140420048"/>
    <n v="0.25"/>
    <n v="0"/>
    <n v="0"/>
    <n v="0"/>
    <n v="8.4312820007172729"/>
    <n v="0"/>
    <n v="0"/>
    <n v="0"/>
  </r>
  <r>
    <x v="22"/>
    <s v="CHF"/>
    <x v="31"/>
    <n v="353500"/>
    <n v="41927.194461047176"/>
    <n v="0.25"/>
    <n v="0"/>
    <n v="0"/>
    <n v="0"/>
    <n v="8.4312820007172729"/>
    <n v="0"/>
    <n v="0"/>
    <n v="0"/>
  </r>
  <r>
    <x v="23"/>
    <s v="CHF"/>
    <x v="31"/>
    <n v="340500"/>
    <n v="40385.317437019985"/>
    <n v="0.25"/>
    <n v="0"/>
    <n v="0"/>
    <n v="0"/>
    <n v="8.4312820007172729"/>
    <n v="0"/>
    <n v="0"/>
    <n v="0"/>
  </r>
  <r>
    <x v="24"/>
    <s v="CHF"/>
    <x v="31"/>
    <n v="353600"/>
    <n v="41939.055053539691"/>
    <n v="0.25"/>
    <n v="0"/>
    <n v="0"/>
    <n v="0"/>
    <n v="8.4312820007172729"/>
    <n v="0"/>
    <n v="0"/>
    <n v="0"/>
  </r>
  <r>
    <x v="25"/>
    <s v="CHF"/>
    <x v="31"/>
    <n v="355400"/>
    <n v="42152.545718404996"/>
    <n v="0.25"/>
    <n v="0"/>
    <n v="0"/>
    <n v="0"/>
    <n v="8.4312820007172729"/>
    <n v="0"/>
    <n v="0"/>
    <n v="0"/>
  </r>
  <r>
    <x v="26"/>
    <s v="CHF"/>
    <x v="31"/>
    <n v="373900"/>
    <n v="44346.755329520623"/>
    <n v="0.25"/>
    <n v="0"/>
    <n v="0"/>
    <n v="0"/>
    <n v="8.4312820007172729"/>
    <n v="0"/>
    <n v="0"/>
    <n v="0"/>
  </r>
  <r>
    <x v="27"/>
    <s v="CHF"/>
    <x v="31"/>
    <n v="378600"/>
    <n v="44904.203176668911"/>
    <n v="0.25"/>
    <n v="0"/>
    <n v="0"/>
    <n v="0"/>
    <n v="8.4312820007172729"/>
    <n v="0"/>
    <n v="0"/>
    <n v="0"/>
  </r>
  <r>
    <x v="28"/>
    <s v="CHF"/>
    <x v="31"/>
    <n v="382487.18"/>
    <n v="45365.245755919532"/>
    <n v="0.25"/>
    <n v="0"/>
    <n v="0"/>
    <n v="0"/>
    <n v="8.4312820007172729"/>
    <n v="0"/>
    <n v="0"/>
    <n v="0"/>
  </r>
  <r>
    <x v="29"/>
    <s v="CHF"/>
    <x v="31"/>
    <n v="386694.81"/>
    <n v="45864.295603812418"/>
    <n v="0.25"/>
    <n v="0"/>
    <n v="0"/>
    <n v="0"/>
    <n v="8.4312820007172729"/>
    <n v="0"/>
    <n v="0"/>
    <n v="0"/>
  </r>
  <r>
    <x v="30"/>
    <s v="CHF"/>
    <x v="31"/>
    <n v="386694.81"/>
    <n v="45864.295603812418"/>
    <n v="0.25"/>
    <n v="0"/>
    <n v="0"/>
    <n v="0"/>
    <n v="8.4312820007172729"/>
    <n v="0"/>
    <n v="0"/>
    <n v="-386694.81"/>
  </r>
  <r>
    <x v="197"/>
    <s v="CHF"/>
    <x v="32"/>
    <n v="171000"/>
    <n v="171000"/>
    <n v="1.5"/>
    <n v="171000"/>
    <n v="0"/>
    <n v="0"/>
    <n v="1"/>
    <n v="171000"/>
    <n v="171000"/>
    <n v="171000"/>
  </r>
  <r>
    <x v="198"/>
    <s v="CHF"/>
    <x v="32"/>
    <n v="379500"/>
    <n v="171000"/>
    <n v="1.5"/>
    <n v="208500"/>
    <n v="0"/>
    <n v="0"/>
    <n v="2.2192982456140351"/>
    <n v="208500"/>
    <n v="0"/>
    <n v="208500"/>
  </r>
  <r>
    <x v="43"/>
    <s v="CHF"/>
    <x v="32"/>
    <n v="370421.75"/>
    <n v="166909.40513833991"/>
    <n v="1.5"/>
    <n v="0"/>
    <n v="0"/>
    <n v="0"/>
    <n v="2.2192982456140351"/>
    <n v="0"/>
    <n v="0"/>
    <n v="0"/>
  </r>
  <r>
    <x v="44"/>
    <s v="CHF"/>
    <x v="32"/>
    <n v="365516.54"/>
    <n v="164699.15241106719"/>
    <n v="1.5"/>
    <n v="0"/>
    <n v="0"/>
    <n v="0"/>
    <n v="2.2192982456140351"/>
    <n v="0"/>
    <n v="0"/>
    <n v="0"/>
  </r>
  <r>
    <x v="181"/>
    <s v="CHF"/>
    <x v="32"/>
    <n v="622083.77"/>
    <n v="165515.23752124826"/>
    <n v="1.5"/>
    <n v="253500"/>
    <n v="0"/>
    <n v="0"/>
    <n v="3.7584682795149851"/>
    <n v="253500"/>
    <n v="0"/>
    <n v="253500"/>
  </r>
  <r>
    <x v="182"/>
    <s v="CHF"/>
    <x v="32"/>
    <n v="634771.78249999997"/>
    <n v="168891.08415780342"/>
    <n v="1.5"/>
    <n v="0"/>
    <n v="0"/>
    <n v="0"/>
    <n v="3.7584682795149851"/>
    <n v="0"/>
    <n v="0"/>
    <n v="0"/>
  </r>
  <r>
    <x v="183"/>
    <s v="CHF"/>
    <x v="32"/>
    <n v="631909.4"/>
    <n v="168129.50196869703"/>
    <n v="1.5"/>
    <n v="0"/>
    <n v="0"/>
    <n v="0"/>
    <n v="3.7584682795149851"/>
    <n v="0"/>
    <n v="0"/>
    <n v="0"/>
  </r>
  <r>
    <x v="184"/>
    <s v="CHF"/>
    <x v="32"/>
    <n v="833005.94550000003"/>
    <n v="173782.40625295919"/>
    <n v="1.5"/>
    <n v="174000"/>
    <n v="0"/>
    <n v="0"/>
    <n v="4.7933848049466485"/>
    <n v="174000"/>
    <n v="0"/>
    <n v="174000"/>
  </r>
  <r>
    <x v="185"/>
    <s v="CHF"/>
    <x v="32"/>
    <n v="911053.33100000001"/>
    <n v="175379.67030310043"/>
    <n v="1.5"/>
    <n v="69750"/>
    <n v="0"/>
    <n v="0"/>
    <n v="5.1947487951452382"/>
    <n v="69750"/>
    <n v="0"/>
    <n v="69750"/>
  </r>
  <r>
    <x v="186"/>
    <s v="CHF"/>
    <x v="32"/>
    <n v="1033516.7045"/>
    <n v="176827.69608789933"/>
    <n v="1.5"/>
    <n v="114000"/>
    <n v="0"/>
    <n v="0"/>
    <n v="5.8447671228281397"/>
    <n v="114000"/>
    <n v="0"/>
    <n v="114000"/>
  </r>
  <r>
    <x v="187"/>
    <s v="CHF"/>
    <x v="32"/>
    <n v="1136860.0689999999"/>
    <n v="191726.41304886359"/>
    <n v="1.5"/>
    <n v="15000"/>
    <n v="0"/>
    <n v="0"/>
    <n v="5.9295954632513705"/>
    <n v="15000"/>
    <n v="0"/>
    <n v="15000"/>
  </r>
  <r>
    <x v="188"/>
    <s v="CHF"/>
    <x v="32"/>
    <n v="1171814.7520000001"/>
    <n v="190096.81860966884"/>
    <n v="1.5"/>
    <n v="45000"/>
    <n v="0"/>
    <n v="0"/>
    <n v="6.1643049082589876"/>
    <n v="45000"/>
    <n v="0"/>
    <n v="45000"/>
  </r>
  <r>
    <x v="189"/>
    <s v="CHF"/>
    <x v="32"/>
    <n v="1151869.9609999999"/>
    <n v="186861.28900871123"/>
    <n v="1.5"/>
    <n v="0"/>
    <n v="0"/>
    <n v="0"/>
    <n v="6.1643049082589876"/>
    <n v="0"/>
    <n v="0"/>
    <n v="0"/>
  </r>
  <r>
    <x v="190"/>
    <s v="CHF"/>
    <x v="32"/>
    <n v="1175500.446"/>
    <n v="183755.26885929084"/>
    <n v="1.5"/>
    <n v="43500"/>
    <n v="0"/>
    <n v="0"/>
    <n v="6.3970979079796093"/>
    <n v="43500"/>
    <n v="0"/>
    <n v="43500"/>
  </r>
  <r>
    <x v="191"/>
    <s v="CHF"/>
    <x v="32"/>
    <n v="1156899.301"/>
    <n v="180847.5214295075"/>
    <n v="1.5"/>
    <n v="0"/>
    <n v="0"/>
    <n v="0"/>
    <n v="6.3970979079796093"/>
    <n v="0"/>
    <n v="0"/>
    <n v="0"/>
  </r>
  <r>
    <x v="192"/>
    <s v="CHF"/>
    <x v="32"/>
    <n v="1160503.0120000001"/>
    <n v="181410.85671870245"/>
    <n v="1.5"/>
    <n v="0"/>
    <n v="0"/>
    <n v="0"/>
    <n v="6.3970979079796093"/>
    <n v="0"/>
    <n v="0"/>
    <n v="0"/>
  </r>
  <r>
    <x v="193"/>
    <s v="CHF"/>
    <x v="32"/>
    <n v="1194984.061"/>
    <n v="186800.96477957626"/>
    <n v="1.5"/>
    <n v="0"/>
    <n v="0"/>
    <n v="0"/>
    <n v="6.3970979079796093"/>
    <n v="0"/>
    <n v="0"/>
    <n v="0"/>
  </r>
  <r>
    <x v="1"/>
    <s v="CHF"/>
    <x v="32"/>
    <n v="1251678.7405000001"/>
    <n v="185643.31503635034"/>
    <n v="1.5"/>
    <n v="64500"/>
    <n v="0"/>
    <n v="0"/>
    <n v="6.7423852038782659"/>
    <n v="64500"/>
    <n v="0"/>
    <n v="64500"/>
  </r>
  <r>
    <x v="2"/>
    <s v="CHF"/>
    <x v="32"/>
    <n v="1261897.959"/>
    <n v="187158.9831850823"/>
    <n v="1.5"/>
    <n v="0"/>
    <n v="0"/>
    <n v="0"/>
    <n v="6.7423852038782659"/>
    <n v="0"/>
    <n v="0"/>
    <n v="0"/>
  </r>
  <r>
    <x v="3"/>
    <s v="CHF"/>
    <x v="32"/>
    <n v="1248832.405"/>
    <n v="185221.15946173813"/>
    <n v="1.5"/>
    <n v="0"/>
    <n v="0"/>
    <n v="0"/>
    <n v="6.7423852038782659"/>
    <n v="0"/>
    <n v="0"/>
    <n v="0"/>
  </r>
  <r>
    <x v="4"/>
    <s v="CHF"/>
    <x v="32"/>
    <n v="1612599.959"/>
    <n v="187844.122552838"/>
    <n v="1.5"/>
    <n v="341250"/>
    <n v="0"/>
    <n v="0"/>
    <n v="8.5847772987754656"/>
    <n v="341250"/>
    <n v="0"/>
    <n v="341250"/>
  </r>
  <r>
    <x v="5"/>
    <s v="CHF"/>
    <x v="32"/>
    <n v="1624318.0589999999"/>
    <n v="189209.10845662741"/>
    <n v="1.5"/>
    <n v="0"/>
    <n v="0"/>
    <n v="0"/>
    <n v="8.5847772987754656"/>
    <n v="0"/>
    <n v="0"/>
    <n v="0"/>
  </r>
  <r>
    <x v="6"/>
    <s v="CHF"/>
    <x v="32"/>
    <n v="1649388.7239999999"/>
    <n v="192129.47134170495"/>
    <n v="1.5"/>
    <n v="0"/>
    <n v="0"/>
    <n v="0"/>
    <n v="8.5847772987754656"/>
    <n v="0"/>
    <n v="0"/>
    <n v="0"/>
  </r>
  <r>
    <x v="7"/>
    <s v="CHF"/>
    <x v="32"/>
    <n v="1668831.08"/>
    <n v="194394.2191998437"/>
    <n v="1.5"/>
    <n v="0"/>
    <n v="0"/>
    <n v="0"/>
    <n v="8.5847772987754656"/>
    <n v="0"/>
    <n v="0"/>
    <n v="0"/>
  </r>
  <r>
    <x v="8"/>
    <s v="CHF"/>
    <x v="32"/>
    <n v="1705241.6035"/>
    <n v="198635.50842993165"/>
    <n v="1.5"/>
    <n v="0"/>
    <n v="0"/>
    <n v="0"/>
    <n v="8.5847772987754656"/>
    <n v="0"/>
    <n v="0"/>
    <n v="0"/>
  </r>
  <r>
    <x v="9"/>
    <s v="CHF"/>
    <x v="32"/>
    <n v="1733841.409"/>
    <n v="201966.96415727818"/>
    <n v="1.5"/>
    <n v="0"/>
    <n v="0"/>
    <n v="0"/>
    <n v="8.5847772987754656"/>
    <n v="0"/>
    <n v="0"/>
    <n v="0"/>
  </r>
  <r>
    <x v="10"/>
    <s v="CHF"/>
    <x v="32"/>
    <n v="1729066.0665"/>
    <n v="201410.70715330431"/>
    <n v="1.5"/>
    <n v="0"/>
    <n v="-2.3283064365386963E-10"/>
    <n v="0"/>
    <n v="8.5847772987754656"/>
    <n v="-2.3283064365386963E-10"/>
    <n v="0"/>
    <n v="-2.3283064365386963E-10"/>
  </r>
  <r>
    <x v="11"/>
    <s v="CHF"/>
    <x v="32"/>
    <n v="1785250.004"/>
    <n v="207955.30761813105"/>
    <n v="1.5"/>
    <n v="0"/>
    <n v="0"/>
    <n v="0"/>
    <n v="8.5847772987754656"/>
    <n v="0"/>
    <n v="0"/>
    <n v="0"/>
  </r>
  <r>
    <x v="12"/>
    <s v="CHF"/>
    <x v="32"/>
    <n v="1841875.1170000001"/>
    <n v="214551.29852497461"/>
    <n v="1.5"/>
    <n v="0"/>
    <n v="0"/>
    <n v="0"/>
    <n v="8.5847772987754656"/>
    <n v="0"/>
    <n v="0"/>
    <n v="0"/>
  </r>
  <r>
    <x v="13"/>
    <s v="CHF"/>
    <x v="32"/>
    <n v="1850785.497"/>
    <n v="215589.22643968835"/>
    <n v="1.5"/>
    <n v="0"/>
    <n v="0"/>
    <n v="0"/>
    <n v="8.5847772987754656"/>
    <n v="0"/>
    <n v="0"/>
    <n v="0"/>
  </r>
  <r>
    <x v="14"/>
    <s v="CHF"/>
    <x v="32"/>
    <n v="1837298.9380000001"/>
    <n v="214018.24113271671"/>
    <n v="1.5"/>
    <n v="0"/>
    <n v="0"/>
    <n v="0"/>
    <n v="8.5847772987754656"/>
    <n v="0"/>
    <n v="0"/>
    <n v="0"/>
  </r>
  <r>
    <x v="15"/>
    <s v="CHF"/>
    <x v="32"/>
    <n v="1867170.6835"/>
    <n v="217497.85911934299"/>
    <n v="1.5"/>
    <n v="0"/>
    <n v="0"/>
    <n v="0"/>
    <n v="8.5847772987754656"/>
    <n v="0"/>
    <n v="0"/>
    <n v="0"/>
  </r>
  <r>
    <x v="16"/>
    <s v="CHF"/>
    <x v="32"/>
    <n v="1940184.4765000001"/>
    <n v="226002.8896470906"/>
    <n v="1.5"/>
    <n v="0"/>
    <n v="0"/>
    <n v="0"/>
    <n v="8.5847772987754656"/>
    <n v="0"/>
    <n v="0"/>
    <n v="0"/>
  </r>
  <r>
    <x v="17"/>
    <s v="CHF"/>
    <x v="32"/>
    <n v="1908620.007"/>
    <n v="222326.0942683098"/>
    <n v="1.5"/>
    <n v="0"/>
    <n v="0"/>
    <n v="0"/>
    <n v="8.5847772987754656"/>
    <n v="0"/>
    <n v="0"/>
    <n v="0"/>
  </r>
  <r>
    <x v="18"/>
    <s v="CHF"/>
    <x v="32"/>
    <n v="1903525.014"/>
    <n v="221732.60269331845"/>
    <n v="1.5"/>
    <n v="0"/>
    <n v="0"/>
    <n v="0"/>
    <n v="8.5847772987754656"/>
    <n v="0"/>
    <n v="0"/>
    <n v="0"/>
  </r>
  <r>
    <x v="19"/>
    <s v="CHF"/>
    <x v="32"/>
    <n v="1851576.9745"/>
    <n v="215681.42190061347"/>
    <n v="1.5"/>
    <n v="0"/>
    <n v="0"/>
    <n v="0"/>
    <n v="8.5847772987754656"/>
    <n v="0"/>
    <n v="0"/>
    <n v="0"/>
  </r>
  <r>
    <x v="20"/>
    <s v="CHF"/>
    <x v="32"/>
    <n v="1917871.4325000001"/>
    <n v="223403.74895613958"/>
    <n v="1.5"/>
    <n v="0"/>
    <n v="0"/>
    <n v="0"/>
    <n v="8.5847772987754656"/>
    <n v="0"/>
    <n v="0"/>
    <n v="0"/>
  </r>
  <r>
    <x v="21"/>
    <s v="CHF"/>
    <x v="32"/>
    <n v="1962810.372"/>
    <n v="228638.47292578872"/>
    <n v="1.5"/>
    <n v="0"/>
    <n v="0"/>
    <n v="0"/>
    <n v="8.5847772987754656"/>
    <n v="0"/>
    <n v="0"/>
    <n v="0"/>
  </r>
  <r>
    <x v="22"/>
    <s v="CHF"/>
    <x v="32"/>
    <n v="1965700"/>
    <n v="228975.0719893908"/>
    <n v="1.5"/>
    <n v="0"/>
    <n v="0"/>
    <n v="0"/>
    <n v="8.5847772987754656"/>
    <n v="0"/>
    <n v="0"/>
    <n v="0"/>
  </r>
  <r>
    <x v="23"/>
    <s v="CHF"/>
    <x v="32"/>
    <n v="1897500"/>
    <n v="221030.77738203644"/>
    <n v="1.5"/>
    <n v="0"/>
    <n v="0"/>
    <n v="0"/>
    <n v="8.5847772987754656"/>
    <n v="0"/>
    <n v="0"/>
    <n v="0"/>
  </r>
  <r>
    <x v="24"/>
    <s v="CHF"/>
    <x v="32"/>
    <n v="1968200"/>
    <n v="229266.28513482166"/>
    <n v="1.5"/>
    <n v="0"/>
    <n v="0"/>
    <n v="0"/>
    <n v="8.5847772987754656"/>
    <n v="0"/>
    <n v="0"/>
    <n v="0"/>
  </r>
  <r>
    <x v="25"/>
    <s v="CHF"/>
    <x v="32"/>
    <n v="1968900"/>
    <n v="229347.82481554232"/>
    <n v="1.5"/>
    <n v="0"/>
    <n v="0"/>
    <n v="0"/>
    <n v="8.5847772987754656"/>
    <n v="0"/>
    <n v="0"/>
    <n v="0"/>
  </r>
  <r>
    <x v="26"/>
    <s v="CHF"/>
    <x v="32"/>
    <n v="2058600.0000000002"/>
    <n v="239796.55247360223"/>
    <n v="1.5"/>
    <n v="0"/>
    <n v="0"/>
    <n v="0"/>
    <n v="8.5847772987754656"/>
    <n v="0"/>
    <n v="0"/>
    <n v="0"/>
  </r>
  <r>
    <x v="27"/>
    <s v="CHF"/>
    <x v="32"/>
    <n v="2086800.0000000002"/>
    <n v="243081.43675406254"/>
    <n v="1.5"/>
    <n v="0"/>
    <n v="0"/>
    <n v="0"/>
    <n v="8.5847772987754656"/>
    <n v="0"/>
    <n v="0"/>
    <n v="0"/>
  </r>
  <r>
    <x v="28"/>
    <s v="CHF"/>
    <x v="32"/>
    <n v="2104762.9"/>
    <n v="245173.84979808662"/>
    <n v="1.5"/>
    <n v="0"/>
    <n v="0"/>
    <n v="0"/>
    <n v="8.5847772987754656"/>
    <n v="0"/>
    <n v="0"/>
    <n v="0"/>
  </r>
  <r>
    <x v="29"/>
    <s v="CHF"/>
    <x v="32"/>
    <n v="2116774.7390000001"/>
    <n v="246573.05196512636"/>
    <n v="1.5"/>
    <n v="0"/>
    <n v="0"/>
    <n v="0"/>
    <n v="8.5847772987754656"/>
    <n v="0"/>
    <n v="0"/>
    <n v="0"/>
  </r>
  <r>
    <x v="30"/>
    <s v="CHF"/>
    <x v="32"/>
    <n v="2116774.7390000001"/>
    <n v="246573.05196512636"/>
    <n v="1.5"/>
    <n v="0"/>
    <n v="0"/>
    <n v="0"/>
    <n v="8.5847772987754656"/>
    <n v="0"/>
    <n v="0"/>
    <n v="-2116774.7390000001"/>
  </r>
  <r>
    <x v="200"/>
    <s v="CHF"/>
    <x v="33"/>
    <n v="1831350"/>
    <n v="1831350"/>
    <n v="21.05"/>
    <n v="1831350"/>
    <n v="0"/>
    <n v="0"/>
    <n v="1"/>
    <n v="1831350"/>
    <n v="1831350"/>
    <n v="1831350"/>
  </r>
  <r>
    <x v="190"/>
    <s v="CHF"/>
    <x v="33"/>
    <n v="1820369.53"/>
    <n v="1820369.53"/>
    <n v="21.05"/>
    <n v="0"/>
    <n v="0"/>
    <n v="0"/>
    <n v="1"/>
    <n v="0"/>
    <n v="0"/>
    <n v="0"/>
  </r>
  <r>
    <x v="191"/>
    <s v="CHF"/>
    <x v="33"/>
    <n v="1806851.16"/>
    <n v="1806851.16"/>
    <n v="21.05"/>
    <n v="0"/>
    <n v="0"/>
    <n v="0"/>
    <n v="1"/>
    <n v="0"/>
    <n v="0"/>
    <n v="0"/>
  </r>
  <r>
    <x v="192"/>
    <s v="CHF"/>
    <x v="33"/>
    <n v="1805815.34"/>
    <n v="1805815.34"/>
    <n v="21.05"/>
    <n v="0"/>
    <n v="0"/>
    <n v="0"/>
    <n v="1"/>
    <n v="0"/>
    <n v="0"/>
    <n v="0"/>
  </r>
  <r>
    <x v="193"/>
    <s v="CHF"/>
    <x v="33"/>
    <n v="1800195.78"/>
    <n v="1800195.78"/>
    <n v="21.05"/>
    <n v="0"/>
    <n v="0"/>
    <n v="0"/>
    <n v="1"/>
    <n v="0"/>
    <n v="0"/>
    <n v="0"/>
  </r>
  <r>
    <x v="1"/>
    <s v="CHF"/>
    <x v="33"/>
    <n v="3367839.44"/>
    <n v="1640938.9862148715"/>
    <n v="21.05"/>
    <n v="1894500"/>
    <n v="0"/>
    <n v="0"/>
    <n v="2.0523855355332516"/>
    <n v="1894500"/>
    <n v="0"/>
    <n v="1894500"/>
  </r>
  <r>
    <x v="2"/>
    <s v="CHF"/>
    <x v="33"/>
    <n v="3720124.38"/>
    <n v="1812585.5574369149"/>
    <n v="21.05"/>
    <n v="0"/>
    <n v="0"/>
    <n v="0"/>
    <n v="2.0523855355332516"/>
    <n v="0"/>
    <n v="0"/>
    <n v="0"/>
  </r>
  <r>
    <x v="3"/>
    <s v="CHF"/>
    <x v="33"/>
    <n v="3704328.18"/>
    <n v="1804889.0502619627"/>
    <n v="21.05"/>
    <n v="0"/>
    <n v="0"/>
    <n v="0"/>
    <n v="2.0523855355332516"/>
    <n v="0"/>
    <n v="0"/>
    <n v="0"/>
  </r>
  <r>
    <x v="4"/>
    <s v="CHF"/>
    <x v="33"/>
    <n v="8442957.6040000003"/>
    <n v="1809911.6013987351"/>
    <n v="21.05"/>
    <n v="4715200"/>
    <n v="0"/>
    <n v="0"/>
    <n v="4.6648452871814943"/>
    <n v="4715200"/>
    <n v="0"/>
    <n v="4715200"/>
  </r>
  <r>
    <x v="5"/>
    <s v="CHF"/>
    <x v="33"/>
    <n v="8474713.2809999995"/>
    <n v="1816719.0462431032"/>
    <n v="21.05"/>
    <n v="0"/>
    <n v="0"/>
    <n v="0"/>
    <n v="4.6648452871814943"/>
    <n v="0"/>
    <n v="0"/>
    <n v="0"/>
  </r>
  <r>
    <x v="6"/>
    <s v="CHF"/>
    <x v="33"/>
    <n v="11874267.287"/>
    <n v="1821559.555535635"/>
    <n v="21.05"/>
    <n v="3368000"/>
    <n v="0"/>
    <n v="0"/>
    <n v="6.5187367884374972"/>
    <n v="3368000"/>
    <n v="0"/>
    <n v="3368000"/>
  </r>
  <r>
    <x v="7"/>
    <s v="CHF"/>
    <x v="33"/>
    <n v="12017034.715"/>
    <n v="1843460.6435275956"/>
    <n v="21.05"/>
    <n v="0"/>
    <n v="0"/>
    <n v="0"/>
    <n v="6.5187367884374972"/>
    <n v="0"/>
    <n v="0"/>
    <n v="0"/>
  </r>
  <r>
    <x v="8"/>
    <s v="CHF"/>
    <x v="33"/>
    <n v="11969811.537"/>
    <n v="1836216.4212905879"/>
    <n v="21.05"/>
    <n v="0"/>
    <n v="0"/>
    <n v="0"/>
    <n v="6.5187367884374972"/>
    <n v="0"/>
    <n v="0"/>
    <n v="0"/>
  </r>
  <r>
    <x v="9"/>
    <s v="CHF"/>
    <x v="33"/>
    <n v="11975009.669500001"/>
    <n v="1837013.8353707544"/>
    <n v="21.05"/>
    <n v="0"/>
    <n v="0"/>
    <n v="0"/>
    <n v="6.5187367884374972"/>
    <n v="0"/>
    <n v="0"/>
    <n v="0"/>
  </r>
  <r>
    <x v="10"/>
    <s v="CHF"/>
    <x v="33"/>
    <n v="11962083.6855"/>
    <n v="1835030.9383127035"/>
    <n v="21.05"/>
    <n v="0"/>
    <n v="0"/>
    <n v="0"/>
    <n v="6.5187367884374972"/>
    <n v="0"/>
    <n v="0"/>
    <n v="0"/>
  </r>
  <r>
    <x v="11"/>
    <s v="CHF"/>
    <x v="33"/>
    <n v="12346544.083000001"/>
    <n v="1894008.6835381177"/>
    <n v="21.05"/>
    <n v="0"/>
    <n v="0"/>
    <n v="0"/>
    <n v="6.5187367884374972"/>
    <n v="0"/>
    <n v="0"/>
    <n v="0"/>
  </r>
  <r>
    <x v="12"/>
    <s v="CHF"/>
    <x v="33"/>
    <n v="12683243.584000001"/>
    <n v="1945659.7183823555"/>
    <n v="21.05"/>
    <n v="0"/>
    <n v="0"/>
    <n v="0"/>
    <n v="6.5187367884374972"/>
    <n v="0"/>
    <n v="0"/>
    <n v="0"/>
  </r>
  <r>
    <x v="13"/>
    <s v="CHF"/>
    <x v="33"/>
    <n v="12803643.772"/>
    <n v="1964129.5833128672"/>
    <n v="21.05"/>
    <n v="0"/>
    <n v="0"/>
    <n v="0"/>
    <n v="6.5187367884374972"/>
    <n v="0"/>
    <n v="0"/>
    <n v="0"/>
  </r>
  <r>
    <x v="14"/>
    <s v="CHF"/>
    <x v="33"/>
    <n v="23005376.302000001"/>
    <n v="2009711.6425522196"/>
    <n v="21.05"/>
    <n v="9679950"/>
    <n v="0"/>
    <n v="0"/>
    <n v="11.447103064390113"/>
    <n v="9679950"/>
    <n v="0"/>
    <n v="9679950"/>
  </r>
  <r>
    <x v="15"/>
    <s v="CHF"/>
    <x v="33"/>
    <n v="23291460.614999998"/>
    <n v="2034703.4951974496"/>
    <n v="21.05"/>
    <n v="0"/>
    <n v="0"/>
    <n v="0"/>
    <n v="11.447103064390113"/>
    <n v="0"/>
    <n v="0"/>
    <n v="0"/>
  </r>
  <r>
    <x v="16"/>
    <s v="CHF"/>
    <x v="33"/>
    <n v="23702772.1215"/>
    <n v="2070634.9884483069"/>
    <n v="21.05"/>
    <n v="0"/>
    <n v="0"/>
    <n v="0"/>
    <n v="11.447103064390113"/>
    <n v="0"/>
    <n v="0"/>
    <n v="0"/>
  </r>
  <r>
    <x v="17"/>
    <s v="CHF"/>
    <x v="33"/>
    <n v="23556426.006499998"/>
    <n v="2057850.4337730494"/>
    <n v="21.05"/>
    <n v="0"/>
    <n v="0"/>
    <n v="0"/>
    <n v="11.447103064390113"/>
    <n v="0"/>
    <n v="0"/>
    <n v="0"/>
  </r>
  <r>
    <x v="18"/>
    <s v="CHF"/>
    <x v="33"/>
    <n v="23679333.369999997"/>
    <n v="2068587.4178648887"/>
    <n v="21.05"/>
    <n v="0"/>
    <n v="0"/>
    <n v="0"/>
    <n v="11.447103064390113"/>
    <n v="0"/>
    <n v="0"/>
    <n v="0"/>
  </r>
  <r>
    <x v="19"/>
    <s v="CHF"/>
    <x v="33"/>
    <n v="23992307.519499999"/>
    <n v="2095928.3221739978"/>
    <n v="21.05"/>
    <n v="0"/>
    <n v="0"/>
    <n v="0"/>
    <n v="11.447103064390113"/>
    <n v="0"/>
    <n v="0"/>
    <n v="0"/>
  </r>
  <r>
    <x v="20"/>
    <s v="CHF"/>
    <x v="33"/>
    <n v="24187274.170000002"/>
    <n v="2112960.2864538087"/>
    <n v="21.05"/>
    <n v="0"/>
    <n v="-3.7252902984619141E-9"/>
    <n v="0"/>
    <n v="11.447103064390113"/>
    <n v="-3.7252902984619141E-9"/>
    <n v="0"/>
    <n v="-3.7252902984619141E-9"/>
  </r>
  <r>
    <x v="21"/>
    <s v="CHF"/>
    <x v="33"/>
    <n v="24403627.09"/>
    <n v="2131860.519882564"/>
    <n v="21.05"/>
    <n v="0"/>
    <n v="0"/>
    <n v="0"/>
    <n v="11.447103064390113"/>
    <n v="0"/>
    <n v="0"/>
    <n v="0"/>
  </r>
  <r>
    <x v="22"/>
    <s v="CHF"/>
    <x v="33"/>
    <n v="24382200"/>
    <n v="2129988.684722221"/>
    <n v="21.05"/>
    <n v="0"/>
    <n v="-3.7252902984619141E-9"/>
    <n v="0"/>
    <n v="11.447103064390113"/>
    <n v="-3.7252902984619141E-9"/>
    <n v="0"/>
    <n v="-3.7252902984619141E-9"/>
  </r>
  <r>
    <x v="23"/>
    <s v="CHF"/>
    <x v="33"/>
    <n v="24836600"/>
    <n v="2169684.317533771"/>
    <n v="21.05"/>
    <n v="0"/>
    <n v="0"/>
    <n v="0"/>
    <n v="11.447103064390113"/>
    <n v="0"/>
    <n v="0"/>
    <n v="0"/>
  </r>
  <r>
    <x v="24"/>
    <s v="CHF"/>
    <x v="33"/>
    <n v="24745400"/>
    <n v="2161717.236300467"/>
    <n v="21.05"/>
    <n v="0"/>
    <n v="-3.7252902984619141E-9"/>
    <n v="0"/>
    <n v="11.447103064390113"/>
    <n v="-3.7252902984619141E-9"/>
    <n v="0"/>
    <n v="-3.7252902984619141E-9"/>
  </r>
  <r>
    <x v="25"/>
    <s v="CHF"/>
    <x v="33"/>
    <n v="24745809.349999998"/>
    <n v="2161752.9964397522"/>
    <n v="21.05"/>
    <n v="0"/>
    <n v="0"/>
    <n v="0"/>
    <n v="11.447103064390113"/>
    <n v="0"/>
    <n v="0"/>
    <n v="0"/>
  </r>
  <r>
    <x v="26"/>
    <s v="CHF"/>
    <x v="33"/>
    <n v="26709200"/>
    <n v="2333271.5578570734"/>
    <n v="21.05"/>
    <n v="0"/>
    <n v="0"/>
    <n v="0"/>
    <n v="11.447103064390113"/>
    <n v="0"/>
    <n v="0"/>
    <n v="0"/>
  </r>
  <r>
    <x v="27"/>
    <s v="CHF"/>
    <x v="33"/>
    <n v="27448400"/>
    <n v="2397846.8478533276"/>
    <n v="21.05"/>
    <n v="0"/>
    <n v="0"/>
    <n v="0"/>
    <n v="11.447103064390113"/>
    <n v="0"/>
    <n v="0"/>
    <n v="0"/>
  </r>
  <r>
    <x v="28"/>
    <s v="CHF"/>
    <x v="33"/>
    <n v="27557653.829999998"/>
    <n v="2407391.081829858"/>
    <n v="21.05"/>
    <n v="0"/>
    <n v="0"/>
    <n v="0"/>
    <n v="11.447103064390113"/>
    <n v="0"/>
    <n v="0"/>
    <n v="0"/>
  </r>
  <r>
    <x v="29"/>
    <s v="CHF"/>
    <x v="33"/>
    <n v="27778505.8015"/>
    <n v="2426684.3449600758"/>
    <n v="21.05"/>
    <n v="0"/>
    <n v="0"/>
    <n v="0"/>
    <n v="11.447103064390113"/>
    <n v="0"/>
    <n v="0"/>
    <n v="0"/>
  </r>
  <r>
    <x v="30"/>
    <s v="CHF"/>
    <x v="33"/>
    <n v="27778505.8015"/>
    <n v="2426684.3449600758"/>
    <n v="21.05"/>
    <n v="0"/>
    <n v="0"/>
    <n v="0"/>
    <n v="11.447103064390113"/>
    <n v="0"/>
    <n v="0"/>
    <n v="-27778505.8015"/>
  </r>
  <r>
    <x v="201"/>
    <s v="CHF2"/>
    <x v="34"/>
    <n v="1130000"/>
    <n v="1185100.4951278451"/>
    <n v="36"/>
    <n v="1130000"/>
    <m/>
    <n v="0"/>
    <n v="0.95350563487706508"/>
    <n v="1130000"/>
    <n v="1185100.4951278451"/>
    <n v="1130000"/>
  </r>
  <r>
    <x v="202"/>
    <s v="CHF2"/>
    <x v="34"/>
    <n v="2922000"/>
    <n v="3064481.1033305866"/>
    <n v="36"/>
    <n v="1792000"/>
    <m/>
    <n v="0"/>
    <n v="0.95350563487706508"/>
    <n v="1792000"/>
    <n v="0"/>
    <n v="1792000"/>
  </r>
  <r>
    <x v="11"/>
    <s v="CHF2"/>
    <x v="34"/>
    <n v="7176045.4299999997"/>
    <n v="7525960.1700468222"/>
    <n v="36"/>
    <n v="3984000"/>
    <m/>
    <n v="0"/>
    <n v="0.95350563487706508"/>
    <n v="3984000"/>
    <n v="0"/>
    <n v="3984000"/>
  </r>
  <r>
    <x v="12"/>
    <s v="CHF2"/>
    <x v="34"/>
    <n v="13092899.6152148"/>
    <n v="7718571.5075721666"/>
    <n v="36"/>
    <n v="8287250"/>
    <m/>
    <n v="0"/>
    <n v="1.6962853297880631"/>
    <n v="8287250"/>
    <n v="0"/>
    <n v="8287250"/>
  </r>
  <r>
    <x v="13"/>
    <s v="CHF2"/>
    <x v="34"/>
    <n v="17627782.269499999"/>
    <n v="6564539.3912431067"/>
    <n v="74.537999999999997"/>
    <n v="4500202"/>
    <n v="-2831250"/>
    <n v="0"/>
    <n v="2.685303753834567"/>
    <n v="1668952"/>
    <n v="0"/>
    <n v="1668952"/>
  </r>
  <r>
    <x v="14"/>
    <s v="CHF2"/>
    <x v="34"/>
    <n v="17475538.215"/>
    <n v="6507844.1089002443"/>
    <n v="74.537999999999997"/>
    <n v="0"/>
    <m/>
    <n v="0"/>
    <n v="2.685303753834567"/>
    <n v="0"/>
    <n v="0"/>
    <n v="0"/>
  </r>
  <r>
    <x v="15"/>
    <s v="CHF2"/>
    <x v="34"/>
    <n v="17783883.1611"/>
    <n v="6622670.9494987018"/>
    <n v="74.537999999999997"/>
    <n v="0"/>
    <m/>
    <n v="0"/>
    <n v="2.685303753834567"/>
    <n v="0"/>
    <n v="0"/>
    <n v="0"/>
  </r>
  <r>
    <x v="16"/>
    <s v="CHF2"/>
    <x v="34"/>
    <n v="18786676.1822"/>
    <n v="6089892.1368390908"/>
    <n v="74.537999999999997"/>
    <n v="3596080.1712053102"/>
    <n v="-2911008.1712053102"/>
    <n v="0"/>
    <n v="3.0848947337761996"/>
    <n v="685072"/>
    <n v="0"/>
    <n v="685072"/>
  </r>
  <r>
    <x v="17"/>
    <s v="CHF2"/>
    <x v="34"/>
    <n v="18556552.472599998"/>
    <n v="6015295.1961135613"/>
    <n v="74.537999999999997"/>
    <n v="0"/>
    <m/>
    <n v="0"/>
    <n v="3.0848947337761996"/>
    <n v="0"/>
    <n v="0"/>
    <n v="0"/>
  </r>
  <r>
    <x v="18"/>
    <s v="CHF2"/>
    <x v="34"/>
    <n v="23066715.839000002"/>
    <n v="6515580.0667074686"/>
    <n v="74.537999999999997"/>
    <n v="4372208.1712053102"/>
    <m/>
    <n v="0"/>
    <n v="3.5402397948977016"/>
    <n v="4372208.1712053102"/>
    <n v="0"/>
    <n v="4372208.1712053102"/>
  </r>
  <r>
    <x v="19"/>
    <s v="CHF2"/>
    <x v="34"/>
    <n v="28176673.344900001"/>
    <n v="6418787.9340426233"/>
    <n v="74.537999999999997"/>
    <n v="5523124"/>
    <m/>
    <n v="0"/>
    <n v="4.3897186874584939"/>
    <n v="5523124"/>
    <n v="0"/>
    <n v="5523124"/>
  </r>
  <r>
    <x v="20"/>
    <s v="CHF2"/>
    <x v="34"/>
    <n v="28432320.887799997"/>
    <n v="6477025.7303803209"/>
    <n v="74.537999999999997"/>
    <n v="0"/>
    <m/>
    <n v="0"/>
    <n v="4.3897186874584939"/>
    <n v="0"/>
    <n v="0"/>
    <n v="0"/>
  </r>
  <r>
    <x v="21"/>
    <s v="CHF2"/>
    <x v="34"/>
    <n v="31797702.376799993"/>
    <n v="7243676.5635225344"/>
    <n v="74.537999999999997"/>
    <n v="3544857"/>
    <m/>
    <n v="0"/>
    <n v="4.3897186874584939"/>
    <n v="3544857"/>
    <n v="0"/>
    <n v="3544857"/>
  </r>
  <r>
    <x v="22"/>
    <s v="CHF2"/>
    <x v="34"/>
    <n v="34691848.988899998"/>
    <n v="7195974.0955891544"/>
    <n v="74.537999999999997"/>
    <n v="3055143"/>
    <m/>
    <n v="0"/>
    <n v="4.8210080425615649"/>
    <n v="3055143"/>
    <n v="0"/>
    <n v="3055143"/>
  </r>
  <r>
    <x v="23"/>
    <s v="CHF2"/>
    <x v="34"/>
    <n v="34829882.954700008"/>
    <n v="7224605.8598553408"/>
    <n v="74.537999999999997"/>
    <n v="0"/>
    <m/>
    <n v="0"/>
    <n v="4.8210080425615649"/>
    <n v="0"/>
    <n v="0"/>
    <n v="0"/>
  </r>
  <r>
    <x v="24"/>
    <s v="CHF2"/>
    <x v="34"/>
    <n v="34983527.107299998"/>
    <n v="7256475.5749115208"/>
    <n v="74.537999999999997"/>
    <n v="0"/>
    <m/>
    <n v="0"/>
    <n v="4.8210080425615649"/>
    <n v="0"/>
    <n v="0"/>
    <n v="0"/>
  </r>
  <r>
    <x v="25"/>
    <s v="CHF2"/>
    <x v="34"/>
    <n v="34825600.103399977"/>
    <n v="7223717.4872863218"/>
    <n v="74.537999999999997"/>
    <n v="0"/>
    <m/>
    <n v="0"/>
    <n v="4.8210080425615649"/>
    <n v="0"/>
    <n v="0"/>
    <n v="0"/>
  </r>
  <r>
    <x v="26"/>
    <s v="CHF2"/>
    <x v="34"/>
    <n v="47110071.531199999"/>
    <n v="8627806.5359952487"/>
    <n v="93.427999999999997"/>
    <n v="6540000"/>
    <m/>
    <n v="0"/>
    <n v="5.4602605348945374"/>
    <n v="6540000"/>
    <n v="0"/>
    <n v="6540000"/>
  </r>
  <r>
    <x v="27"/>
    <s v="CHF2"/>
    <x v="34"/>
    <n v="49630993.448900014"/>
    <n v="9089491.8166864756"/>
    <n v="93.427999999999997"/>
    <n v="0"/>
    <m/>
    <n v="0"/>
    <n v="5.4602605348945374"/>
    <n v="0"/>
    <n v="0"/>
    <n v="0"/>
  </r>
  <r>
    <x v="28"/>
    <s v="CHF2"/>
    <x v="34"/>
    <n v="49788653.473799989"/>
    <n v="9118365.9013372771"/>
    <n v="93.427999999999997"/>
    <n v="0"/>
    <m/>
    <n v="0"/>
    <n v="5.4602605348945374"/>
    <n v="0"/>
    <n v="0"/>
    <n v="0"/>
  </r>
  <r>
    <x v="29"/>
    <s v="CHF2"/>
    <x v="34"/>
    <n v="50077024.678499967"/>
    <n v="9171178.6202280875"/>
    <n v="93.427999999999997"/>
    <n v="0"/>
    <m/>
    <n v="0"/>
    <n v="5.4602605348945374"/>
    <n v="0"/>
    <n v="0"/>
    <n v="0"/>
  </r>
  <r>
    <x v="30"/>
    <s v="CHF2"/>
    <x v="34"/>
    <n v="50077024.678499967"/>
    <n v="9171178.6202280875"/>
    <n v="93.427999999999997"/>
    <n v="0"/>
    <m/>
    <n v="0"/>
    <n v="5.4602605348945374"/>
    <n v="0"/>
    <n v="0"/>
    <n v="-50077024.678499967"/>
  </r>
  <r>
    <x v="201"/>
    <s v="CHF2"/>
    <x v="35"/>
    <n v="-108827696.9986386"/>
    <n v="-114134298.75815018"/>
    <n v="36"/>
    <n v="2030000"/>
    <m/>
    <n v="0"/>
    <n v="0.95350563487706508"/>
    <n v="2030000"/>
    <n v="-114134298.75815018"/>
    <n v="2030000"/>
  </r>
  <r>
    <x v="202"/>
    <s v="CHF2"/>
    <x v="35"/>
    <n v="-3938000"/>
    <n v="-4130022.787445534"/>
    <n v="36"/>
    <n v="-5968000"/>
    <m/>
    <n v="0"/>
    <n v="0.95350563487706508"/>
    <n v="-5968000"/>
    <n v="0"/>
    <n v="-5968000"/>
  </r>
  <r>
    <x v="11"/>
    <s v="CHF2"/>
    <x v="35"/>
    <n v="5758690.3006999996"/>
    <n v="6039492.6784491045"/>
    <n v="36"/>
    <n v="8964000"/>
    <m/>
    <n v="0"/>
    <n v="0.95350563487706508"/>
    <n v="8964000"/>
    <n v="0"/>
    <n v="8964000"/>
  </r>
  <r>
    <x v="12"/>
    <s v="CHF2"/>
    <x v="35"/>
    <n v="19275730.603"/>
    <n v="11363495.435881853"/>
    <n v="36"/>
    <n v="6820000"/>
    <n v="-2831250"/>
    <n v="0"/>
    <n v="1.6962853297880631"/>
    <n v="3988750"/>
    <n v="0"/>
    <n v="3988750"/>
  </r>
  <r>
    <x v="13"/>
    <s v="CHF2"/>
    <x v="35"/>
    <n v="36302207.653397478"/>
    <n v="13518845.903953532"/>
    <n v="74.537999999999997"/>
    <n v="19900452"/>
    <m/>
    <n v="0"/>
    <n v="2.685303753834567"/>
    <n v="19900452"/>
    <n v="0"/>
    <n v="19900452"/>
  </r>
  <r>
    <x v="14"/>
    <s v="CHF2"/>
    <x v="35"/>
    <n v="35709271.634311527"/>
    <n v="13298038.102139957"/>
    <n v="74.537999999999997"/>
    <n v="0"/>
    <m/>
    <n v="0"/>
    <n v="2.685303753834567"/>
    <n v="0"/>
    <n v="0"/>
    <n v="0"/>
  </r>
  <r>
    <x v="15"/>
    <s v="CHF2"/>
    <x v="35"/>
    <n v="36738554.103972144"/>
    <n v="13681340.165525084"/>
    <n v="74.537999999999997"/>
    <n v="0"/>
    <m/>
    <n v="0"/>
    <n v="2.685303753834567"/>
    <n v="0"/>
    <n v="0"/>
    <n v="0"/>
  </r>
  <r>
    <x v="16"/>
    <s v="CHF2"/>
    <x v="35"/>
    <n v="44812545.086476021"/>
    <n v="14526442.214001019"/>
    <n v="74.537999999999997"/>
    <n v="7006572"/>
    <m/>
    <n v="0"/>
    <n v="3.0848947337761996"/>
    <n v="7006572"/>
    <n v="0"/>
    <n v="7006572"/>
  </r>
  <r>
    <x v="17"/>
    <s v="CHF2"/>
    <x v="35"/>
    <n v="44012309.234690562"/>
    <n v="14267037.624591935"/>
    <n v="74.537999999999997"/>
    <n v="0"/>
    <m/>
    <n v="0"/>
    <n v="3.0848947337761996"/>
    <n v="0"/>
    <n v="0"/>
    <n v="0"/>
  </r>
  <r>
    <x v="18"/>
    <s v="CHF2"/>
    <x v="35"/>
    <n v="52355257.74372042"/>
    <n v="14788619.070147838"/>
    <n v="74.537999999999997"/>
    <n v="10961112.171205308"/>
    <n v="-2911008.1712053102"/>
    <n v="0"/>
    <n v="3.5402397948977016"/>
    <n v="8050103.9999999981"/>
    <n v="0"/>
    <n v="8050103.9999999981"/>
  </r>
  <r>
    <x v="19"/>
    <s v="CHF2"/>
    <x v="35"/>
    <n v="66128008.501740895"/>
    <n v="15064293.001433058"/>
    <n v="74.537999999999997"/>
    <n v="15110122"/>
    <m/>
    <n v="0"/>
    <n v="4.3897186874584939"/>
    <n v="15110122"/>
    <n v="0"/>
    <n v="15110122"/>
  </r>
  <r>
    <x v="20"/>
    <s v="CHF2"/>
    <x v="35"/>
    <n v="67001047.869916238"/>
    <n v="15263175.761430783"/>
    <n v="74.537999999999997"/>
    <n v="0"/>
    <m/>
    <n v="0"/>
    <n v="4.3897186874584939"/>
    <n v="0"/>
    <n v="0"/>
    <n v="0"/>
  </r>
  <r>
    <x v="21"/>
    <s v="CHF2"/>
    <x v="35"/>
    <n v="66453327.023072362"/>
    <n v="15138402.197145509"/>
    <n v="74.537999999999997"/>
    <n v="0"/>
    <m/>
    <n v="0"/>
    <n v="4.3897186874584939"/>
    <n v="0"/>
    <n v="0"/>
    <n v="0"/>
  </r>
  <r>
    <x v="22"/>
    <s v="CHF2"/>
    <x v="35"/>
    <n v="84718780"/>
    <n v="17572835.23530196"/>
    <n v="74.537999999999997"/>
    <n v="7600000"/>
    <m/>
    <n v="0"/>
    <n v="4.8210080425615649"/>
    <n v="7600000"/>
    <n v="0"/>
    <n v="7600000"/>
  </r>
  <r>
    <x v="23"/>
    <s v="CHF2"/>
    <x v="35"/>
    <n v="74759079.5028404"/>
    <n v="15506939.387539037"/>
    <n v="74.537999999999997"/>
    <n v="-10380000"/>
    <m/>
    <n v="0"/>
    <n v="4.8210080425615649"/>
    <n v="-10380000"/>
    <n v="0"/>
    <n v="-10380000"/>
  </r>
  <r>
    <x v="24"/>
    <s v="CHF2"/>
    <x v="35"/>
    <n v="74376228.368031472"/>
    <n v="15427526.299772125"/>
    <n v="74.537999999999997"/>
    <n v="0"/>
    <m/>
    <n v="0"/>
    <n v="4.8210080425615649"/>
    <n v="0"/>
    <n v="0"/>
    <n v="0"/>
  </r>
  <r>
    <x v="25"/>
    <s v="CHF2"/>
    <x v="35"/>
    <n v="72203380.454868108"/>
    <n v="14976822.236642445"/>
    <n v="74.537999999999997"/>
    <n v="0"/>
    <m/>
    <n v="0"/>
    <n v="4.8210080425615649"/>
    <n v="0"/>
    <n v="0"/>
    <n v="0"/>
  </r>
  <r>
    <x v="26"/>
    <s v="CHF2"/>
    <x v="35"/>
    <n v="98755368.507614195"/>
    <n v="18086200.809742425"/>
    <n v="93.427999999999997"/>
    <n v="11290000"/>
    <m/>
    <n v="0"/>
    <n v="5.4602605348945374"/>
    <n v="11290000"/>
    <n v="0"/>
    <n v="11290000"/>
  </r>
  <r>
    <x v="27"/>
    <s v="CHF2"/>
    <x v="35"/>
    <n v="113187814.5"/>
    <n v="20729379.811944481"/>
    <n v="93.427999999999997"/>
    <n v="-5440000"/>
    <m/>
    <n v="0"/>
    <n v="5.4602605348945374"/>
    <n v="-5440000"/>
    <n v="0"/>
    <n v="-5440000"/>
  </r>
  <r>
    <x v="28"/>
    <s v="CHF2"/>
    <x v="35"/>
    <n v="111685668.58795983"/>
    <n v="20454274.64023326"/>
    <n v="93.427999999999997"/>
    <n v="-1440000"/>
    <m/>
    <n v="0"/>
    <n v="5.4602605348945374"/>
    <n v="-1440000"/>
    <n v="0"/>
    <n v="-1440000"/>
  </r>
  <r>
    <x v="29"/>
    <s v="CHF2"/>
    <x v="35"/>
    <n v="110316213.81034848"/>
    <n v="20203470.714512195"/>
    <n v="93.427999999999997"/>
    <n v="-2240000"/>
    <m/>
    <n v="0"/>
    <n v="5.4602605348945374"/>
    <n v="-2240000"/>
    <n v="0"/>
    <n v="-2240000"/>
  </r>
  <r>
    <x v="30"/>
    <s v="CHF2"/>
    <x v="35"/>
    <n v="110857696.9986386"/>
    <n v="20302638.72761884"/>
    <n v="93.427999999999997"/>
    <n v="0"/>
    <m/>
    <n v="0"/>
    <n v="5.4602605348945374"/>
    <n v="0"/>
    <n v="0"/>
    <n v="-110857696.9986386"/>
  </r>
  <r>
    <x v="31"/>
    <s v="COL"/>
    <x v="36"/>
    <n v="10000000"/>
    <n v="10000000"/>
    <m/>
    <n v="10000000"/>
    <m/>
    <m/>
    <n v="1"/>
    <n v="10000000"/>
    <n v="10000000"/>
    <n v="10000000"/>
  </r>
  <r>
    <x v="32"/>
    <s v="COL"/>
    <x v="36"/>
    <n v="10000000"/>
    <n v="10000000"/>
    <m/>
    <m/>
    <m/>
    <m/>
    <n v="1"/>
    <n v="0"/>
    <n v="0"/>
    <n v="0"/>
  </r>
  <r>
    <x v="33"/>
    <s v="COL"/>
    <x v="36"/>
    <n v="10000000"/>
    <n v="10000000"/>
    <m/>
    <m/>
    <m/>
    <m/>
    <n v="1"/>
    <n v="0"/>
    <n v="0"/>
    <n v="0"/>
  </r>
  <r>
    <x v="34"/>
    <s v="COL"/>
    <x v="36"/>
    <n v="10164368.672502527"/>
    <n v="10164368.672502527"/>
    <m/>
    <m/>
    <m/>
    <m/>
    <n v="1"/>
    <n v="0"/>
    <n v="0"/>
    <n v="0"/>
  </r>
  <r>
    <x v="35"/>
    <s v="COL"/>
    <x v="36"/>
    <n v="10257937.023066772"/>
    <n v="10257937.023066772"/>
    <m/>
    <m/>
    <m/>
    <m/>
    <n v="1"/>
    <n v="0"/>
    <n v="0"/>
    <n v="0"/>
  </r>
  <r>
    <x v="36"/>
    <s v="COL"/>
    <x v="36"/>
    <n v="10346527.986370357"/>
    <n v="10346527.986370357"/>
    <m/>
    <m/>
    <m/>
    <m/>
    <n v="1"/>
    <n v="0"/>
    <n v="0"/>
    <n v="0"/>
  </r>
  <r>
    <x v="37"/>
    <s v="COL"/>
    <x v="36"/>
    <n v="10432846.72352398"/>
    <n v="10432846.72352398"/>
    <m/>
    <m/>
    <m/>
    <m/>
    <n v="1"/>
    <n v="0"/>
    <n v="0"/>
    <n v="0"/>
  </r>
  <r>
    <x v="38"/>
    <s v="COL"/>
    <x v="36"/>
    <n v="10525942.206504317"/>
    <n v="10525942.206504317"/>
    <m/>
    <m/>
    <m/>
    <m/>
    <n v="1"/>
    <n v="0"/>
    <n v="0"/>
    <n v="0"/>
  </r>
  <r>
    <x v="39"/>
    <s v="COL"/>
    <x v="36"/>
    <n v="10616825.116279578"/>
    <n v="10616825.116279578"/>
    <m/>
    <m/>
    <m/>
    <m/>
    <n v="1"/>
    <n v="0"/>
    <n v="0"/>
    <n v="0"/>
  </r>
  <r>
    <x v="40"/>
    <s v="COL"/>
    <x v="36"/>
    <n v="10708493.105861999"/>
    <n v="10708493.105861999"/>
    <m/>
    <m/>
    <m/>
    <m/>
    <n v="1"/>
    <n v="0"/>
    <n v="0"/>
    <n v="0"/>
  </r>
  <r>
    <x v="41"/>
    <s v="COL"/>
    <x v="36"/>
    <n v="10804043.874846555"/>
    <n v="10804043.874846555"/>
    <m/>
    <m/>
    <m/>
    <m/>
    <n v="1"/>
    <n v="0"/>
    <n v="0"/>
    <n v="0"/>
  </r>
  <r>
    <x v="42"/>
    <s v="COL"/>
    <x v="36"/>
    <n v="10900453.286927642"/>
    <n v="10900453.286927642"/>
    <m/>
    <m/>
    <m/>
    <m/>
    <n v="1"/>
    <n v="0"/>
    <n v="0"/>
    <n v="0"/>
  </r>
  <r>
    <x v="43"/>
    <s v="COL"/>
    <x v="36"/>
    <n v="0"/>
    <n v="0"/>
    <m/>
    <m/>
    <m/>
    <n v="-10913284.529999999"/>
    <n v="1"/>
    <n v="-10913284.529999999"/>
    <n v="-10913284.529999999"/>
    <n v="-10913284.529999999"/>
  </r>
  <r>
    <x v="203"/>
    <s v="Conrex"/>
    <x v="37"/>
    <n v="10377013.1771596"/>
    <n v="10374027.213771095"/>
    <m/>
    <n v="10380000"/>
    <n v="0"/>
    <n v="0"/>
    <n v="1.0002878306878298"/>
    <n v="10380000"/>
    <n v="0"/>
    <n v="10380000"/>
  </r>
  <r>
    <x v="7"/>
    <s v="Conrex"/>
    <x v="37"/>
    <n v="10486724.781968523"/>
    <n v="10483707.249299951"/>
    <m/>
    <m/>
    <n v="0"/>
    <n v="0"/>
    <n v="1.0002878306878298"/>
    <n v="0"/>
    <n v="0"/>
    <n v="0"/>
  </r>
  <r>
    <x v="8"/>
    <s v="Conrex"/>
    <x v="37"/>
    <n v="12941662.31513188"/>
    <n v="12937938.379429029"/>
    <m/>
    <m/>
    <n v="0"/>
    <n v="0"/>
    <n v="1.0002878306878298"/>
    <n v="0"/>
    <n v="0"/>
    <n v="0"/>
  </r>
  <r>
    <x v="9"/>
    <s v="Conrex"/>
    <x v="37"/>
    <n v="12939780.3823858"/>
    <n v="12936056.988205079"/>
    <m/>
    <m/>
    <n v="0"/>
    <n v="0"/>
    <n v="1.0002878306878298"/>
    <n v="0"/>
    <n v="0"/>
    <n v="0"/>
  </r>
  <r>
    <x v="151"/>
    <s v="COPT1"/>
    <x v="38"/>
    <n v="5105687.4799999995"/>
    <n v="5191641.8038094388"/>
    <n v="20"/>
    <n v="5440000"/>
    <n v="0"/>
    <n v="0"/>
    <n v="0.98344371066848857"/>
    <n v="5440000"/>
    <n v="5191641.8038094388"/>
    <n v="5440000"/>
  </r>
  <r>
    <x v="152"/>
    <s v="COPT1"/>
    <x v="38"/>
    <n v="7096472.4020401612"/>
    <n v="5725468.5507154055"/>
    <n v="20"/>
    <n v="1440000"/>
    <n v="0"/>
    <n v="0"/>
    <n v="1.2394570573885078"/>
    <n v="1440000"/>
    <n v="0"/>
    <n v="1440000"/>
  </r>
  <r>
    <x v="153"/>
    <s v="COPT1"/>
    <x v="38"/>
    <n v="9414508.9496514928"/>
    <n v="5791040.7530600028"/>
    <n v="20"/>
    <n v="2240000"/>
    <n v="0"/>
    <n v="0"/>
    <n v="1.6257024170788021"/>
    <n v="2240000"/>
    <n v="0"/>
    <n v="2240000"/>
  </r>
  <r>
    <x v="154"/>
    <s v="COPT1"/>
    <x v="38"/>
    <n v="8873025.7613613755"/>
    <n v="5457964.3040115358"/>
    <n v="20"/>
    <n v="0"/>
    <n v="0"/>
    <n v="0"/>
    <n v="1.6257024170788021"/>
    <n v="0"/>
    <n v="0"/>
    <n v="0"/>
  </r>
  <r>
    <x v="155"/>
    <s v="COPT1"/>
    <x v="38"/>
    <n v="11348514.521710295"/>
    <n v="5868691.9863165161"/>
    <n v="20"/>
    <n v="1756624"/>
    <n v="0"/>
    <n v="0"/>
    <n v="1.9337383096898888"/>
    <n v="1756624"/>
    <n v="0"/>
    <n v="1756624"/>
  </r>
  <r>
    <x v="156"/>
    <s v="COPT1"/>
    <x v="38"/>
    <n v="11176671.242518699"/>
    <n v="5502367.0760608409"/>
    <n v="20"/>
    <n v="580000"/>
    <n v="0"/>
    <n v="0"/>
    <n v="2.0312478407965662"/>
    <n v="580000"/>
    <n v="0"/>
    <n v="580000"/>
  </r>
  <r>
    <x v="157"/>
    <s v="COPT1"/>
    <x v="38"/>
    <n v="12214512.556955269"/>
    <n v="5553860.0519012511"/>
    <n v="20"/>
    <n v="960000"/>
    <n v="0"/>
    <n v="0"/>
    <n v="2.1992834610180498"/>
    <n v="960000"/>
    <n v="0"/>
    <n v="960000"/>
  </r>
  <r>
    <x v="158"/>
    <s v="COPT1"/>
    <x v="38"/>
    <n v="12064088.53984528"/>
    <n v="5485463.2218535421"/>
    <n v="20"/>
    <n v="0"/>
    <n v="0"/>
    <n v="0"/>
    <n v="2.1992834610180498"/>
    <n v="0"/>
    <n v="0"/>
    <n v="0"/>
  </r>
  <r>
    <x v="159"/>
    <s v="COPT1"/>
    <x v="38"/>
    <n v="13299160.111936191"/>
    <n v="5608244.0006254539"/>
    <n v="20"/>
    <n v="960000"/>
    <n v="0"/>
    <n v="0"/>
    <n v="2.3713590404506322"/>
    <n v="960000"/>
    <n v="0"/>
    <n v="960000"/>
  </r>
  <r>
    <x v="160"/>
    <s v="COPT1"/>
    <x v="38"/>
    <n v="18951490.220351923"/>
    <n v="5769794.9454730824"/>
    <n v="20"/>
    <n v="5200000"/>
    <n v="0"/>
    <n v="0"/>
    <n v="3.2846037683230067"/>
    <n v="5200000"/>
    <n v="0"/>
    <n v="5200000"/>
  </r>
  <r>
    <x v="161"/>
    <s v="COPT1"/>
    <x v="38"/>
    <n v="18597916.244944025"/>
    <n v="5662149.0921687065"/>
    <n v="20"/>
    <n v="0"/>
    <n v="0"/>
    <n v="0"/>
    <n v="3.2846037683230067"/>
    <n v="0"/>
    <n v="0"/>
    <n v="0"/>
  </r>
  <r>
    <x v="162"/>
    <s v="COPT1"/>
    <x v="38"/>
    <n v="20255177.932901535"/>
    <n v="5737651.7836998114"/>
    <n v="20"/>
    <n v="1423376"/>
    <n v="0"/>
    <n v="-506667"/>
    <n v="3.5302208458249069"/>
    <n v="916709"/>
    <n v="-143522.7488952202"/>
    <n v="916709"/>
  </r>
  <r>
    <x v="163"/>
    <s v="COPT1"/>
    <x v="38"/>
    <n v="21138907.740123134"/>
    <n v="5987984.5095593743"/>
    <n v="20"/>
    <n v="0"/>
    <n v="0"/>
    <n v="0"/>
    <n v="3.5302208458249069"/>
    <n v="0"/>
    <n v="0"/>
    <n v="0"/>
  </r>
  <r>
    <x v="164"/>
    <s v="COPT1"/>
    <x v="38"/>
    <n v="21889669.382822648"/>
    <n v="6200651.5566047225"/>
    <n v="20"/>
    <n v="0"/>
    <n v="0"/>
    <n v="0"/>
    <n v="3.5302208458249069"/>
    <n v="0"/>
    <n v="0"/>
    <n v="0"/>
  </r>
  <r>
    <x v="165"/>
    <s v="COPT1"/>
    <x v="38"/>
    <n v="21247369.831817243"/>
    <n v="6018708.3924072087"/>
    <n v="20"/>
    <n v="0"/>
    <n v="0"/>
    <n v="0"/>
    <n v="3.5302208458249069"/>
    <n v="0"/>
    <n v="0"/>
    <n v="0"/>
  </r>
  <r>
    <x v="166"/>
    <s v="COPT1"/>
    <x v="38"/>
    <n v="15504701.970462507"/>
    <n v="4391992.0729037337"/>
    <n v="20"/>
    <n v="0"/>
    <n v="0"/>
    <n v="-5084657.16"/>
    <n v="3.5302208458249069"/>
    <n v="-5084657.16"/>
    <n v="-1440322.6829317156"/>
    <n v="-5084657.16"/>
  </r>
  <r>
    <x v="167"/>
    <s v="COPT1"/>
    <x v="38"/>
    <n v="16517633.972455572"/>
    <n v="4678923.6973631587"/>
    <n v="20"/>
    <n v="0"/>
    <n v="0"/>
    <n v="0"/>
    <n v="3.5302208458249069"/>
    <n v="0"/>
    <n v="0"/>
    <n v="0"/>
  </r>
  <r>
    <x v="168"/>
    <s v="COPT1"/>
    <x v="38"/>
    <n v="16203955.186840674"/>
    <n v="4590068.4105938124"/>
    <n v="20"/>
    <n v="0"/>
    <n v="0"/>
    <n v="0"/>
    <n v="3.5302208458249069"/>
    <n v="0"/>
    <n v="0"/>
    <n v="0"/>
  </r>
  <r>
    <x v="169"/>
    <s v="COPT1"/>
    <x v="38"/>
    <n v="15554078.9"/>
    <n v="4405978.9965818636"/>
    <n v="20"/>
    <n v="0"/>
    <n v="0"/>
    <n v="0"/>
    <n v="3.5302208458249069"/>
    <n v="0"/>
    <n v="0"/>
    <n v="0"/>
  </r>
  <r>
    <x v="170"/>
    <s v="COPT1"/>
    <x v="38"/>
    <n v="14210428.111999996"/>
    <n v="4025365.191757414"/>
    <n v="20"/>
    <n v="0"/>
    <n v="0"/>
    <n v="-2196798.5"/>
    <n v="3.5302208458249069"/>
    <n v="-2196798.5"/>
    <n v="-622283.58959414449"/>
    <n v="-2196798.5"/>
  </r>
  <r>
    <x v="171"/>
    <s v="COPT1"/>
    <x v="38"/>
    <n v="14088542.867000004"/>
    <n v="3990838.9537901371"/>
    <n v="20"/>
    <n v="0"/>
    <n v="0"/>
    <n v="0"/>
    <n v="3.5302208458249069"/>
    <n v="0"/>
    <n v="0"/>
    <n v="0"/>
  </r>
  <r>
    <x v="172"/>
    <s v="COPT1"/>
    <x v="38"/>
    <n v="14839681.676499996"/>
    <n v="4203612.8402704522"/>
    <n v="20"/>
    <n v="0"/>
    <n v="0"/>
    <n v="0"/>
    <n v="3.5302208458249069"/>
    <n v="0"/>
    <n v="0"/>
    <n v="0"/>
  </r>
  <r>
    <x v="173"/>
    <s v="COPT1"/>
    <x v="38"/>
    <n v="12025441.738499999"/>
    <n v="3406427.6043019099"/>
    <n v="20"/>
    <n v="0"/>
    <n v="0"/>
    <n v="-3991693.48"/>
    <n v="3.5302208458249069"/>
    <n v="-3991693.48"/>
    <n v="-1130720.6133352432"/>
    <n v="-3991693.48"/>
  </r>
  <r>
    <x v="174"/>
    <s v="COPT1"/>
    <x v="38"/>
    <n v="10661931.3125"/>
    <n v="3020188.1916564982"/>
    <n v="20"/>
    <n v="0"/>
    <n v="0"/>
    <n v="0"/>
    <n v="3.5302208458249069"/>
    <n v="0"/>
    <n v="0"/>
    <n v="0"/>
  </r>
  <r>
    <x v="175"/>
    <s v="COPT1"/>
    <x v="38"/>
    <n v="8139218.8914999999"/>
    <n v="2305583.4881055742"/>
    <n v="20"/>
    <n v="0"/>
    <n v="0"/>
    <n v="-1504579.72"/>
    <n v="3.5302208458249069"/>
    <n v="-1504579.72"/>
    <n v="-426199.8854206031"/>
    <n v="-1504579.72"/>
  </r>
  <r>
    <x v="176"/>
    <s v="COPT1"/>
    <x v="38"/>
    <n v="8155359.7984999977"/>
    <n v="2310155.6969573484"/>
    <n v="20"/>
    <n v="0"/>
    <n v="0"/>
    <n v="0"/>
    <n v="3.5302208458249069"/>
    <n v="0"/>
    <n v="0"/>
    <n v="0"/>
  </r>
  <r>
    <x v="177"/>
    <s v="COPT1"/>
    <x v="38"/>
    <n v="8001354.2293000007"/>
    <n v="2266530.7862432962"/>
    <n v="20"/>
    <n v="0"/>
    <n v="0"/>
    <n v="-909125.73"/>
    <n v="3.5302208458249069"/>
    <n v="-909125.73"/>
    <n v="-257526.58819495598"/>
    <n v="-909125.73"/>
  </r>
  <r>
    <x v="178"/>
    <s v="COPT1"/>
    <x v="38"/>
    <n v="7825942.8175000008"/>
    <n v="2216842.2768098274"/>
    <n v="20"/>
    <n v="0"/>
    <n v="0"/>
    <n v="0"/>
    <n v="3.5302208458249069"/>
    <n v="0"/>
    <n v="0"/>
    <n v="0"/>
  </r>
  <r>
    <x v="179"/>
    <s v="COPT1"/>
    <x v="38"/>
    <n v="6975984.7909999983"/>
    <n v="1976076.0291386019"/>
    <n v="20"/>
    <n v="0"/>
    <n v="0"/>
    <n v="0"/>
    <n v="3.5302208458249069"/>
    <n v="0"/>
    <n v="0"/>
    <n v="0"/>
  </r>
  <r>
    <x v="180"/>
    <s v="COPT1"/>
    <x v="38"/>
    <n v="6958086.9919999987"/>
    <n v="1971006.1483063113"/>
    <n v="20"/>
    <n v="0"/>
    <n v="0"/>
    <n v="0"/>
    <n v="3.5302208458249069"/>
    <n v="0"/>
    <n v="0"/>
    <n v="0"/>
  </r>
  <r>
    <x v="32"/>
    <s v="COPT1"/>
    <x v="38"/>
    <n v="5966661.7465000004"/>
    <n v="1690166.7082830253"/>
    <n v="20"/>
    <n v="0"/>
    <n v="-9.3132257461547852E-10"/>
    <n v="-1568165.29"/>
    <n v="3.5302208458249069"/>
    <n v="-1568165.290000001"/>
    <n v="-444211.66790588328"/>
    <n v="-1568165.290000001"/>
  </r>
  <r>
    <x v="33"/>
    <s v="COPT1"/>
    <x v="38"/>
    <n v="6020932.4734999994"/>
    <n v="1705539.890123528"/>
    <n v="20"/>
    <n v="0"/>
    <n v="0"/>
    <n v="0"/>
    <n v="3.5302208458249069"/>
    <n v="0"/>
    <n v="0"/>
    <n v="0"/>
  </r>
  <r>
    <x v="34"/>
    <s v="COPT1"/>
    <x v="38"/>
    <n v="5541711.6689999998"/>
    <n v="1569791.7810309308"/>
    <n v="20"/>
    <n v="0"/>
    <n v="-9.3132257461547852E-10"/>
    <n v="0"/>
    <n v="3.5302208458249069"/>
    <n v="-9.3132257461547852E-10"/>
    <n v="0"/>
    <n v="-9.3132257461547852E-10"/>
  </r>
  <r>
    <x v="35"/>
    <s v="COPT1"/>
    <x v="38"/>
    <n v="5922046.4455000004"/>
    <n v="1677528.6034877503"/>
    <n v="20"/>
    <n v="0"/>
    <n v="0"/>
    <n v="0"/>
    <n v="3.5302208458249069"/>
    <n v="0"/>
    <n v="0"/>
    <n v="0"/>
  </r>
  <r>
    <x v="36"/>
    <s v="COPT1"/>
    <x v="38"/>
    <n v="5473871.3090000004"/>
    <n v="1550574.7510028428"/>
    <n v="20"/>
    <n v="0"/>
    <n v="-9.3132257461547852E-10"/>
    <n v="0"/>
    <n v="3.5302208458249069"/>
    <n v="-9.3132257461547852E-10"/>
    <n v="0"/>
    <n v="-9.3132257461547852E-10"/>
  </r>
  <r>
    <x v="37"/>
    <s v="COPT1"/>
    <x v="38"/>
    <n v="5188865.7225000001"/>
    <n v="1469841.6753832062"/>
    <n v="20"/>
    <n v="0"/>
    <n v="0"/>
    <n v="0"/>
    <n v="3.5302208458249069"/>
    <n v="0"/>
    <n v="0"/>
    <n v="0"/>
  </r>
  <r>
    <x v="38"/>
    <s v="COPT1"/>
    <x v="38"/>
    <n v="4312311.2069999995"/>
    <n v="1221541.4829075208"/>
    <n v="20"/>
    <n v="0"/>
    <n v="0"/>
    <n v="-1000000"/>
    <n v="3.5302208458249069"/>
    <n v="-1000000"/>
    <n v="-283268.39698504185"/>
    <n v="-1000000"/>
  </r>
  <r>
    <x v="39"/>
    <s v="COPT1"/>
    <x v="38"/>
    <n v="4351872.595999999"/>
    <n v="1232747.9741520523"/>
    <n v="20"/>
    <n v="0"/>
    <n v="0"/>
    <n v="0"/>
    <n v="3.5302208458249069"/>
    <n v="0"/>
    <n v="0"/>
    <n v="0"/>
  </r>
  <r>
    <x v="40"/>
    <s v="COPT1"/>
    <x v="38"/>
    <n v="3841893.0909999995"/>
    <n v="1088286.8972754774"/>
    <n v="20"/>
    <n v="0"/>
    <n v="0"/>
    <n v="-400000"/>
    <n v="3.5302208458249069"/>
    <n v="-400000"/>
    <n v="-113307.35879401675"/>
    <n v="-400000"/>
  </r>
  <r>
    <x v="41"/>
    <s v="COPT1"/>
    <x v="38"/>
    <n v="3881844.6055000005"/>
    <n v="1099603.8987450174"/>
    <n v="20"/>
    <n v="0"/>
    <n v="0"/>
    <n v="0"/>
    <n v="3.5302208458249069"/>
    <n v="0"/>
    <n v="0"/>
    <n v="0"/>
  </r>
  <r>
    <x v="42"/>
    <s v="COPT1"/>
    <x v="38"/>
    <n v="3849791.8690000009"/>
    <n v="1090524.3714576785"/>
    <n v="20"/>
    <n v="0"/>
    <n v="0"/>
    <n v="0"/>
    <n v="3.5302208458249069"/>
    <n v="0"/>
    <n v="0"/>
    <n v="0"/>
  </r>
  <r>
    <x v="43"/>
    <s v="COPT1"/>
    <x v="38"/>
    <n v="4466239.4240000006"/>
    <n v="1265144.4821878769"/>
    <n v="20"/>
    <n v="0"/>
    <n v="0"/>
    <n v="0"/>
    <n v="3.5302208458249069"/>
    <n v="0"/>
    <n v="0"/>
    <n v="0"/>
  </r>
  <r>
    <x v="44"/>
    <s v="COPT1"/>
    <x v="38"/>
    <n v="4148279.2340000002"/>
    <n v="1175076.4088615174"/>
    <n v="20"/>
    <n v="0"/>
    <n v="0"/>
    <n v="0"/>
    <n v="3.5302208458249069"/>
    <n v="0"/>
    <n v="0"/>
    <n v="0"/>
  </r>
  <r>
    <x v="181"/>
    <s v="COPT1"/>
    <x v="38"/>
    <n v="3611646.2014999995"/>
    <n v="1023065.2299760204"/>
    <n v="20"/>
    <n v="0"/>
    <n v="0"/>
    <n v="0"/>
    <n v="3.5302208458249069"/>
    <n v="0"/>
    <n v="0"/>
    <n v="0"/>
  </r>
  <r>
    <x v="182"/>
    <s v="COPT1"/>
    <x v="38"/>
    <n v="3217685.0579000004"/>
    <n v="911468.48835405475"/>
    <n v="20"/>
    <n v="0"/>
    <n v="0"/>
    <n v="0"/>
    <n v="3.5302208458249069"/>
    <n v="0"/>
    <n v="0"/>
    <n v="0"/>
  </r>
  <r>
    <x v="183"/>
    <s v="COPT1"/>
    <x v="38"/>
    <n v="3190332.9805000005"/>
    <n v="903720.50923474599"/>
    <n v="20"/>
    <n v="0"/>
    <n v="0"/>
    <n v="-480000"/>
    <n v="3.5302208458249069"/>
    <n v="-480000"/>
    <n v="-135968.83055282009"/>
    <n v="-480000"/>
  </r>
  <r>
    <x v="184"/>
    <s v="COPT1"/>
    <x v="38"/>
    <n v="2990264.5005999999"/>
    <n v="847047.43164623878"/>
    <n v="20"/>
    <n v="0"/>
    <n v="0"/>
    <n v="0"/>
    <n v="3.5302208458249069"/>
    <n v="0"/>
    <n v="0"/>
    <n v="0"/>
  </r>
  <r>
    <x v="185"/>
    <s v="COPT1"/>
    <x v="38"/>
    <n v="3515057.5614999994"/>
    <n v="995704.72075625497"/>
    <n v="20"/>
    <n v="0"/>
    <n v="-4.6566128730773926E-10"/>
    <n v="0"/>
    <n v="3.5302208458249069"/>
    <n v="-4.6566128730773926E-10"/>
    <n v="0"/>
    <n v="-4.6566128730773926E-10"/>
  </r>
  <r>
    <x v="186"/>
    <s v="COPT1"/>
    <x v="38"/>
    <n v="2732688.7604"/>
    <n v="774084.36461754912"/>
    <n v="20"/>
    <n v="0"/>
    <n v="0"/>
    <n v="-477919.5"/>
    <n v="3.5302208458249069"/>
    <n v="-477919.5"/>
    <n v="-135379.49065289271"/>
    <n v="-477919.5"/>
  </r>
  <r>
    <x v="187"/>
    <s v="COPT1"/>
    <x v="38"/>
    <n v="2918353.0616000001"/>
    <n v="826677.19359582115"/>
    <n v="20"/>
    <n v="0"/>
    <n v="0"/>
    <n v="0"/>
    <n v="3.5302208458249069"/>
    <n v="0"/>
    <n v="0"/>
    <n v="0"/>
  </r>
  <r>
    <x v="188"/>
    <s v="COPT1"/>
    <x v="38"/>
    <n v="2885563.9350999999"/>
    <n v="817389.0702936264"/>
    <n v="20"/>
    <n v="0"/>
    <n v="0"/>
    <n v="0"/>
    <n v="3.5302208458249069"/>
    <n v="0"/>
    <n v="0"/>
    <n v="0"/>
  </r>
  <r>
    <x v="189"/>
    <s v="COPT1"/>
    <x v="38"/>
    <n v="2746465.5283999997"/>
    <n v="777986.88760454394"/>
    <n v="20"/>
    <n v="0"/>
    <n v="0"/>
    <n v="0"/>
    <n v="3.5302208458249069"/>
    <n v="0"/>
    <n v="0"/>
    <n v="0"/>
  </r>
  <r>
    <x v="190"/>
    <s v="COPT1"/>
    <x v="38"/>
    <n v="2224986.5419000005"/>
    <n v="630268.37103730487"/>
    <n v="20"/>
    <n v="0"/>
    <n v="0"/>
    <n v="-250000"/>
    <n v="3.5302208458249069"/>
    <n v="-250000"/>
    <n v="-70817.099246260463"/>
    <n v="-250000"/>
  </r>
  <r>
    <x v="191"/>
    <s v="COPT1"/>
    <x v="38"/>
    <n v="2647036.4640000002"/>
    <n v="749821.77591823356"/>
    <n v="20"/>
    <n v="0"/>
    <n v="0"/>
    <n v="0"/>
    <n v="3.5302208458249069"/>
    <n v="0"/>
    <n v="0"/>
    <n v="0"/>
  </r>
  <r>
    <x v="192"/>
    <s v="COPT1"/>
    <x v="38"/>
    <n v="2454972.1269999999"/>
    <n v="695416.01905824861"/>
    <n v="20"/>
    <n v="0"/>
    <n v="0"/>
    <n v="0"/>
    <n v="3.5302208458249069"/>
    <n v="0"/>
    <n v="0"/>
    <n v="0"/>
  </r>
  <r>
    <x v="193"/>
    <s v="COPT1"/>
    <x v="38"/>
    <n v="2421920.6941000004"/>
    <n v="686053.59264260705"/>
    <n v="20"/>
    <n v="0"/>
    <n v="0"/>
    <n v="0"/>
    <n v="3.5302208458249069"/>
    <n v="0"/>
    <n v="0"/>
    <n v="0"/>
  </r>
  <r>
    <x v="1"/>
    <s v="COPT1"/>
    <x v="38"/>
    <n v="2167416.0992999999"/>
    <n v="613960.48404828331"/>
    <n v="20"/>
    <n v="0"/>
    <n v="0"/>
    <n v="-290000"/>
    <n v="3.5302208458249069"/>
    <n v="-290000"/>
    <n v="-82147.835125662139"/>
    <n v="-290000"/>
  </r>
  <r>
    <x v="2"/>
    <s v="COPT1"/>
    <x v="38"/>
    <n v="1513427.1763999995"/>
    <n v="428706.09021242603"/>
    <n v="20"/>
    <n v="0"/>
    <n v="0"/>
    <n v="-406740"/>
    <n v="3.5302208458249069"/>
    <n v="-406740"/>
    <n v="-115216.58778969593"/>
    <n v="-406740"/>
  </r>
  <r>
    <x v="3"/>
    <s v="COPT1"/>
    <x v="38"/>
    <n v="1521725.9983000001"/>
    <n v="431056.88418890355"/>
    <n v="20"/>
    <n v="0"/>
    <n v="0"/>
    <n v="0"/>
    <n v="3.5302208458249069"/>
    <n v="0"/>
    <n v="0"/>
    <n v="0"/>
  </r>
  <r>
    <x v="4"/>
    <s v="COPT1"/>
    <x v="38"/>
    <n v="1727439.6794999996"/>
    <n v="489329.0689003194"/>
    <n v="20"/>
    <n v="0"/>
    <n v="0"/>
    <n v="0"/>
    <n v="3.5302208458249069"/>
    <n v="0"/>
    <n v="0"/>
    <n v="0"/>
  </r>
  <r>
    <x v="5"/>
    <s v="COPT1"/>
    <x v="38"/>
    <n v="1644683.3346000002"/>
    <n v="465886.81174015527"/>
    <n v="20"/>
    <n v="0"/>
    <n v="-2.3283064365386963E-10"/>
    <n v="0"/>
    <n v="3.5302208458249069"/>
    <n v="-2.3283064365386963E-10"/>
    <n v="0"/>
    <n v="-2.3283064365386963E-10"/>
  </r>
  <r>
    <x v="6"/>
    <s v="COPT1"/>
    <x v="38"/>
    <n v="1863238.4697999998"/>
    <n v="527796.57454110833"/>
    <n v="20"/>
    <n v="0"/>
    <n v="0"/>
    <n v="0"/>
    <n v="3.5302208458249069"/>
    <n v="0"/>
    <n v="0"/>
    <n v="0"/>
  </r>
  <r>
    <x v="7"/>
    <s v="COPT1"/>
    <x v="38"/>
    <n v="1826103.8178000003"/>
    <n v="517277.50119647104"/>
    <n v="20"/>
    <n v="0"/>
    <n v="0"/>
    <n v="0"/>
    <n v="3.5302208458249069"/>
    <n v="0"/>
    <n v="0"/>
    <n v="0"/>
  </r>
  <r>
    <x v="8"/>
    <s v="COPT1"/>
    <x v="38"/>
    <n v="1962389.7850999995"/>
    <n v="555883.00868509768"/>
    <n v="20"/>
    <n v="0"/>
    <n v="0"/>
    <n v="0"/>
    <n v="3.5302208458249069"/>
    <n v="0"/>
    <n v="0"/>
    <n v="0"/>
  </r>
  <r>
    <x v="9"/>
    <s v="COPT1"/>
    <x v="38"/>
    <n v="2422506.1850000001"/>
    <n v="686219.44371129933"/>
    <n v="20"/>
    <n v="0"/>
    <n v="0"/>
    <n v="0"/>
    <n v="3.5302208458249069"/>
    <n v="0"/>
    <n v="0"/>
    <n v="0"/>
  </r>
  <r>
    <x v="10"/>
    <s v="COPT1"/>
    <x v="38"/>
    <n v="2361871.7313000006"/>
    <n v="669043.6192096367"/>
    <n v="20"/>
    <n v="0"/>
    <n v="0"/>
    <n v="0"/>
    <n v="3.5302208458249069"/>
    <n v="0"/>
    <n v="0"/>
    <n v="0"/>
  </r>
  <r>
    <x v="11"/>
    <s v="COPT1"/>
    <x v="38"/>
    <n v="2660607.1380999996"/>
    <n v="753665.9190165468"/>
    <n v="20"/>
    <n v="0"/>
    <n v="-4.6566128730773926E-10"/>
    <n v="0"/>
    <n v="3.5302208458249069"/>
    <n v="-4.6566128730773926E-10"/>
    <n v="0"/>
    <n v="-4.6566128730773926E-10"/>
  </r>
  <r>
    <x v="12"/>
    <s v="COPT1"/>
    <x v="38"/>
    <n v="2949552.8422000003"/>
    <n v="835515.10543266824"/>
    <n v="20"/>
    <n v="0"/>
    <n v="0"/>
    <n v="0"/>
    <n v="3.5302208458249069"/>
    <n v="0"/>
    <n v="0"/>
    <n v="0"/>
  </r>
  <r>
    <x v="13"/>
    <s v="COPT1"/>
    <x v="38"/>
    <n v="1554291.6033999994"/>
    <n v="440281.69094242831"/>
    <n v="20"/>
    <n v="0"/>
    <n v="0"/>
    <n v="-305055"/>
    <n v="3.5302208458249069"/>
    <n v="-305055"/>
    <n v="-86412.440842271943"/>
    <n v="-305055"/>
  </r>
  <r>
    <x v="14"/>
    <s v="COPT1"/>
    <x v="38"/>
    <n v="1671506.8453999998"/>
    <n v="473485.06464598211"/>
    <n v="20"/>
    <n v="0"/>
    <n v="0"/>
    <n v="-488088"/>
    <n v="3.5302208458249069"/>
    <n v="-488088"/>
    <n v="-138259.90534763513"/>
    <n v="-488088"/>
  </r>
  <r>
    <x v="15"/>
    <s v="COPT1"/>
    <x v="38"/>
    <n v="1721681.057"/>
    <n v="487697.83313590247"/>
    <n v="20"/>
    <n v="0"/>
    <n v="0"/>
    <n v="0"/>
    <n v="3.5302208458249069"/>
    <n v="0"/>
    <n v="0"/>
    <n v="0"/>
  </r>
  <r>
    <x v="16"/>
    <s v="COPT1"/>
    <x v="38"/>
    <n v="1737339.4041999995"/>
    <n v="492133.34804668155"/>
    <n v="20"/>
    <n v="0"/>
    <n v="0"/>
    <n v="0"/>
    <n v="3.5302208458249069"/>
    <n v="0"/>
    <n v="0"/>
    <n v="0"/>
  </r>
  <r>
    <x v="17"/>
    <s v="COPT1"/>
    <x v="38"/>
    <n v="1369682.3359000003"/>
    <n v="387987.71966912074"/>
    <n v="20"/>
    <n v="0"/>
    <n v="0"/>
    <n v="-305055"/>
    <n v="3.5302208458249069"/>
    <n v="-305055"/>
    <n v="-86412.440842271943"/>
    <n v="-305055"/>
  </r>
  <r>
    <x v="18"/>
    <s v="COPT1"/>
    <x v="38"/>
    <n v="1389994.0784000002"/>
    <n v="393741.39440706867"/>
    <n v="20"/>
    <n v="0"/>
    <n v="0"/>
    <n v="0"/>
    <n v="3.5302208458249069"/>
    <n v="0"/>
    <n v="0"/>
    <n v="0"/>
  </r>
  <r>
    <x v="19"/>
    <s v="COPT1"/>
    <x v="38"/>
    <n v="1322589.5035999999"/>
    <n v="374647.80855401425"/>
    <n v="20"/>
    <n v="0"/>
    <n v="0"/>
    <n v="0"/>
    <n v="3.5302208458249069"/>
    <n v="0"/>
    <n v="0"/>
    <n v="0"/>
  </r>
  <r>
    <x v="20"/>
    <s v="COPT1"/>
    <x v="38"/>
    <n v="1365493.7997000001"/>
    <n v="386801.23973403289"/>
    <n v="20"/>
    <n v="0"/>
    <n v="0"/>
    <n v="0"/>
    <n v="3.5302208458249069"/>
    <n v="0"/>
    <n v="0"/>
    <n v="0"/>
  </r>
  <r>
    <x v="21"/>
    <s v="COPT1"/>
    <x v="38"/>
    <n v="850967.75969999982"/>
    <n v="241052.27317617126"/>
    <n v="20"/>
    <n v="0"/>
    <n v="0"/>
    <n v="-427077"/>
    <n v="3.5302208458249069"/>
    <n v="-427077"/>
    <n v="-120977.41717918073"/>
    <n v="-427077"/>
  </r>
  <r>
    <x v="22"/>
    <s v="COPT1"/>
    <x v="38"/>
    <n v="946384.33199999994"/>
    <n v="268080.77265739965"/>
    <n v="20"/>
    <n v="0"/>
    <n v="0"/>
    <n v="0"/>
    <n v="3.5302208458249069"/>
    <n v="0"/>
    <n v="0"/>
    <n v="0"/>
  </r>
  <r>
    <x v="23"/>
    <s v="COPT1"/>
    <x v="38"/>
    <n v="879900.00000000023"/>
    <n v="249247.8625071384"/>
    <n v="20"/>
    <n v="0"/>
    <n v="0"/>
    <n v="0"/>
    <n v="3.5302208458249069"/>
    <n v="0"/>
    <n v="0"/>
    <n v="0"/>
  </r>
  <r>
    <x v="24"/>
    <s v="COPT1"/>
    <x v="38"/>
    <n v="2191500"/>
    <n v="620782.69199271919"/>
    <n v="20"/>
    <n v="0"/>
    <n v="0"/>
    <n v="0"/>
    <n v="3.5302208458249069"/>
    <n v="0"/>
    <n v="0"/>
    <n v="0"/>
  </r>
  <r>
    <x v="25"/>
    <s v="COPT1"/>
    <x v="38"/>
    <n v="1452192.23"/>
    <n v="411360.16510623321"/>
    <n v="20"/>
    <n v="0"/>
    <n v="0"/>
    <n v="0"/>
    <n v="3.5302208458249069"/>
    <n v="0"/>
    <n v="0"/>
    <n v="0"/>
  </r>
  <r>
    <x v="26"/>
    <s v="COPT1"/>
    <x v="38"/>
    <n v="207400"/>
    <n v="58749.865534697681"/>
    <n v="20"/>
    <n v="0"/>
    <n v="0"/>
    <n v="-586065.87"/>
    <n v="3.5302208458249069"/>
    <n v="-586065.87"/>
    <n v="-166013.93952254392"/>
    <n v="-586065.87"/>
  </r>
  <r>
    <x v="27"/>
    <s v="COPT1"/>
    <x v="38"/>
    <n v="835000.99"/>
    <n v="236529.39191822297"/>
    <n v="20"/>
    <n v="0"/>
    <n v="0"/>
    <n v="0"/>
    <n v="3.5302208458249069"/>
    <n v="0"/>
    <n v="0"/>
    <n v="0"/>
  </r>
  <r>
    <x v="28"/>
    <s v="COPT1"/>
    <x v="38"/>
    <n v="894499.99999999977"/>
    <n v="253383.58110311988"/>
    <n v="20"/>
    <n v="0"/>
    <n v="0"/>
    <n v="0"/>
    <n v="3.5302208458249069"/>
    <n v="0"/>
    <n v="0"/>
    <n v="0"/>
  </r>
  <r>
    <x v="29"/>
    <s v="COPT1"/>
    <x v="38"/>
    <n v="425895"/>
    <n v="120642.5939339444"/>
    <n v="20"/>
    <n v="0"/>
    <n v="0"/>
    <n v="-441006.77"/>
    <n v="3.5302208458249069"/>
    <n v="-441006.77"/>
    <n v="-124923.28079745105"/>
    <n v="-441006.77"/>
  </r>
  <r>
    <x v="30"/>
    <s v="COPT1"/>
    <x v="38"/>
    <n v="425895"/>
    <n v="120642.5939339444"/>
    <n v="20"/>
    <n v="0"/>
    <n v="0"/>
    <n v="-441006.77"/>
    <n v="3.5302208458249069"/>
    <n v="-441006.77"/>
    <n v="-124923.28079745105"/>
    <n v="-866901.77"/>
  </r>
  <r>
    <x v="151"/>
    <s v="COPT1"/>
    <x v="39"/>
    <n v="91662.649670138489"/>
    <n v="91661.299360169098"/>
    <n v="0.33700000000000002"/>
    <n v="91664"/>
    <n v="0"/>
    <n v="0"/>
    <n v="1.0000147315167778"/>
    <n v="91664"/>
    <n v="91661.299360169098"/>
    <n v="91664"/>
  </r>
  <r>
    <x v="152"/>
    <s v="COPT1"/>
    <x v="39"/>
    <n v="224912.18510616751"/>
    <n v="177834.37360975149"/>
    <n v="0.33700000000000002"/>
    <n v="24264"/>
    <n v="0"/>
    <n v="0"/>
    <n v="1.264728412965459"/>
    <n v="24264"/>
    <n v="0"/>
    <n v="24264"/>
  </r>
  <r>
    <x v="153"/>
    <s v="COPT1"/>
    <x v="39"/>
    <n v="397802.57780292595"/>
    <n v="269336.78418931179"/>
    <n v="0.33700000000000002"/>
    <n v="37744"/>
    <n v="0"/>
    <n v="0"/>
    <n v="1.4769708452571333"/>
    <n v="37744"/>
    <n v="0"/>
    <n v="37744"/>
  </r>
  <r>
    <x v="154"/>
    <s v="COPT1"/>
    <x v="39"/>
    <n v="153624.87831530557"/>
    <n v="104013.48056979435"/>
    <n v="0.33700000000000002"/>
    <n v="0"/>
    <n v="0"/>
    <n v="0"/>
    <n v="1.4769708452571333"/>
    <n v="0"/>
    <n v="0"/>
    <n v="0"/>
  </r>
  <r>
    <x v="155"/>
    <s v="COPT1"/>
    <x v="39"/>
    <n v="427998.79467020038"/>
    <n v="242968.5733248968"/>
    <n v="0.33700000000000002"/>
    <n v="29599"/>
    <n v="0"/>
    <n v="0"/>
    <n v="1.7615397284235677"/>
    <n v="29599"/>
    <n v="0"/>
    <n v="29599"/>
  </r>
  <r>
    <x v="156"/>
    <s v="COPT1"/>
    <x v="39"/>
    <n v="192298.34855347683"/>
    <n v="106727.87961584142"/>
    <n v="0.33700000000000002"/>
    <n v="9773"/>
    <n v="0"/>
    <n v="0"/>
    <n v="1.8017630374147744"/>
    <n v="9773"/>
    <n v="0"/>
    <n v="9773"/>
  </r>
  <r>
    <x v="157"/>
    <s v="COPT1"/>
    <x v="39"/>
    <n v="205590.45550874621"/>
    <n v="105251.47836149708"/>
    <n v="0.33700000000000002"/>
    <n v="16176"/>
    <n v="0"/>
    <n v="0"/>
    <n v="1.9533260597311948"/>
    <n v="16176"/>
    <n v="0"/>
    <n v="16176"/>
  </r>
  <r>
    <x v="158"/>
    <s v="COPT1"/>
    <x v="39"/>
    <n v="203318.06723874202"/>
    <n v="104088.13532479132"/>
    <n v="0.33700000000000002"/>
    <n v="0"/>
    <n v="0"/>
    <n v="0"/>
    <n v="1.9533260597311948"/>
    <n v="0"/>
    <n v="0"/>
    <n v="0"/>
  </r>
  <r>
    <x v="159"/>
    <s v="COPT1"/>
    <x v="39"/>
    <n v="223746.514155577"/>
    <n v="106104.7240905349"/>
    <n v="0.33700000000000002"/>
    <n v="16176"/>
    <n v="0"/>
    <n v="0"/>
    <n v="2.1087328210256038"/>
    <n v="16176"/>
    <n v="0"/>
    <n v="16176"/>
  </r>
  <r>
    <x v="160"/>
    <s v="COPT1"/>
    <x v="39"/>
    <n v="436697.39385868312"/>
    <n v="148813.87169102972"/>
    <n v="0.33700000000000002"/>
    <n v="87620"/>
    <n v="0"/>
    <n v="0"/>
    <n v="2.9345207465965459"/>
    <n v="87620"/>
    <n v="0"/>
    <n v="87620"/>
  </r>
  <r>
    <x v="161"/>
    <s v="COPT1"/>
    <x v="39"/>
    <n v="346506.59522356617"/>
    <n v="118079.44981320856"/>
    <n v="0.33700000000000002"/>
    <n v="0"/>
    <n v="0"/>
    <n v="0"/>
    <n v="2.9345207465965459"/>
    <n v="0"/>
    <n v="0"/>
    <n v="0"/>
  </r>
  <r>
    <x v="162"/>
    <s v="COPT1"/>
    <x v="39"/>
    <n v="730024.2263319667"/>
    <n v="232666.79399398909"/>
    <n v="0.33700000000000002"/>
    <n v="23984"/>
    <n v="0"/>
    <n v="-8537"/>
    <n v="3.1376382241757574"/>
    <n v="15447"/>
    <n v="-2720.8363074562649"/>
    <n v="15447"/>
  </r>
  <r>
    <x v="163"/>
    <s v="COPT1"/>
    <x v="39"/>
    <n v="1482653.4895216525"/>
    <n v="472538.06321509182"/>
    <n v="0.33700000000000002"/>
    <n v="0"/>
    <n v="0"/>
    <n v="0"/>
    <n v="3.1376382241757574"/>
    <n v="0"/>
    <n v="0"/>
    <n v="0"/>
  </r>
  <r>
    <x v="164"/>
    <s v="COPT1"/>
    <x v="39"/>
    <n v="2375518.9952369593"/>
    <n v="757104.17374871089"/>
    <n v="0.33700000000000002"/>
    <n v="0"/>
    <n v="0"/>
    <n v="0"/>
    <n v="3.1376382241757574"/>
    <n v="0"/>
    <n v="0"/>
    <n v="0"/>
  </r>
  <r>
    <x v="165"/>
    <s v="COPT1"/>
    <x v="39"/>
    <n v="2517481.5755533935"/>
    <n v="802349.21800607652"/>
    <n v="0.33700000000000002"/>
    <n v="0"/>
    <n v="0"/>
    <n v="0"/>
    <n v="3.1376382241757574"/>
    <n v="0"/>
    <n v="0"/>
    <n v="0"/>
  </r>
  <r>
    <x v="166"/>
    <s v="COPT1"/>
    <x v="39"/>
    <n v="2166176.8995844284"/>
    <n v="690384.53282913857"/>
    <n v="0.33700000000000002"/>
    <n v="0"/>
    <n v="0"/>
    <n v="-85676.47"/>
    <n v="3.1376382241757574"/>
    <n v="-85676.47"/>
    <n v="-27306.038452698544"/>
    <n v="-85676.47"/>
  </r>
  <r>
    <x v="167"/>
    <s v="COPT1"/>
    <x v="39"/>
    <n v="2559239.6231593285"/>
    <n v="815657.96956455312"/>
    <n v="0.33700000000000002"/>
    <n v="0"/>
    <n v="0"/>
    <n v="0"/>
    <n v="3.1376382241757574"/>
    <n v="0"/>
    <n v="0"/>
    <n v="0"/>
  </r>
  <r>
    <x v="168"/>
    <s v="COPT1"/>
    <x v="39"/>
    <n v="2599512.81"/>
    <n v="828493.47957662633"/>
    <n v="0.33700000000000002"/>
    <n v="0"/>
    <n v="0"/>
    <n v="0"/>
    <n v="3.1376382241757574"/>
    <n v="0"/>
    <n v="0"/>
    <n v="0"/>
  </r>
  <r>
    <x v="169"/>
    <s v="COPT1"/>
    <x v="39"/>
    <n v="2225794.1400000015"/>
    <n v="709385.20663410996"/>
    <n v="0.33700000000000002"/>
    <n v="0"/>
    <n v="0"/>
    <n v="0"/>
    <n v="3.1376382241757574"/>
    <n v="0"/>
    <n v="0"/>
    <n v="0"/>
  </r>
  <r>
    <x v="170"/>
    <s v="COPT1"/>
    <x v="39"/>
    <n v="2491441.2019999973"/>
    <n v="794049.86298396043"/>
    <n v="0.33700000000000002"/>
    <n v="0"/>
    <n v="0"/>
    <n v="-37016.06"/>
    <n v="3.1376382241757574"/>
    <n v="-37016.06"/>
    <n v="-11797.427668616556"/>
    <n v="-37016.06"/>
  </r>
  <r>
    <x v="171"/>
    <s v="COPT1"/>
    <x v="39"/>
    <n v="2570942.1390000032"/>
    <n v="819387.69077667559"/>
    <n v="0.33700000000000002"/>
    <n v="0"/>
    <n v="0"/>
    <n v="0"/>
    <n v="3.1376382241757574"/>
    <n v="0"/>
    <n v="0"/>
    <n v="0"/>
  </r>
  <r>
    <x v="172"/>
    <s v="COPT1"/>
    <x v="39"/>
    <n v="3058050.1055000015"/>
    <n v="974634.38644311414"/>
    <n v="0.33700000000000002"/>
    <n v="0"/>
    <n v="0"/>
    <n v="0"/>
    <n v="3.1376382241757574"/>
    <n v="0"/>
    <n v="0"/>
    <n v="0"/>
  </r>
  <r>
    <x v="173"/>
    <s v="COPT1"/>
    <x v="39"/>
    <n v="4024675.1740000006"/>
    <n v="1282708.4853153406"/>
    <n v="0.33700000000000002"/>
    <n v="0"/>
    <n v="-4.6566128730773926E-10"/>
    <n v="-67260.039999999994"/>
    <n v="3.1376382241757574"/>
    <n v="-67260.040000000459"/>
    <n v="-21436.518551360041"/>
    <n v="-67260.040000000459"/>
  </r>
  <r>
    <x v="174"/>
    <s v="COPT1"/>
    <x v="39"/>
    <n v="3781665.4965000004"/>
    <n v="1205258.6137439176"/>
    <n v="0.33700000000000002"/>
    <n v="0"/>
    <n v="-4.6566128730773926E-10"/>
    <n v="0"/>
    <n v="3.1376382241757574"/>
    <n v="-4.6566128730773926E-10"/>
    <n v="0"/>
    <n v="-4.6566128730773926E-10"/>
  </r>
  <r>
    <x v="175"/>
    <s v="COPT1"/>
    <x v="39"/>
    <n v="2995614.1480000014"/>
    <n v="954735.35633220908"/>
    <n v="0.33700000000000002"/>
    <n v="0"/>
    <n v="0"/>
    <n v="-24932.06"/>
    <n v="3.1376382241757574"/>
    <n v="-24932.06"/>
    <n v="-7946.1232362279543"/>
    <n v="-24932.06"/>
  </r>
  <r>
    <x v="176"/>
    <s v="COPT1"/>
    <x v="39"/>
    <n v="2528752.7364999996"/>
    <n v="805941.46164326859"/>
    <n v="0.33700000000000002"/>
    <n v="0"/>
    <n v="0"/>
    <n v="0"/>
    <n v="3.1376382241757574"/>
    <n v="0"/>
    <n v="0"/>
    <n v="0"/>
  </r>
  <r>
    <x v="177"/>
    <s v="COPT1"/>
    <x v="39"/>
    <n v="2691851.9058000003"/>
    <n v="857922.97055124538"/>
    <n v="0.33700000000000002"/>
    <n v="0"/>
    <n v="0"/>
    <n v="-15318.77"/>
    <n v="3.1376382241757574"/>
    <n v="-15318.77"/>
    <n v="-4882.261403487385"/>
    <n v="-15318.77"/>
  </r>
  <r>
    <x v="178"/>
    <s v="COPT1"/>
    <x v="39"/>
    <n v="2681525.3633000022"/>
    <n v="854631.78725916566"/>
    <n v="0.33700000000000002"/>
    <n v="0"/>
    <n v="0"/>
    <n v="0"/>
    <n v="3.1376382241757574"/>
    <n v="0"/>
    <n v="0"/>
    <n v="0"/>
  </r>
  <r>
    <x v="179"/>
    <s v="COPT1"/>
    <x v="39"/>
    <n v="2161177.1543000005"/>
    <n v="688791.05871669808"/>
    <n v="0.33700000000000002"/>
    <n v="0"/>
    <n v="0"/>
    <n v="0"/>
    <n v="3.1376382241757574"/>
    <n v="0"/>
    <n v="0"/>
    <n v="0"/>
  </r>
  <r>
    <x v="180"/>
    <s v="COPT1"/>
    <x v="39"/>
    <n v="1834764.7962999991"/>
    <n v="584759.83055120485"/>
    <n v="0.33700000000000002"/>
    <n v="0"/>
    <n v="0"/>
    <n v="0"/>
    <n v="3.1376382241757574"/>
    <n v="0"/>
    <n v="0"/>
    <n v="0"/>
  </r>
  <r>
    <x v="32"/>
    <s v="COPT1"/>
    <x v="39"/>
    <n v="1971752.4828000003"/>
    <n v="628419.32113380288"/>
    <n v="0.33700000000000002"/>
    <n v="0"/>
    <n v="0"/>
    <n v="-26423.59"/>
    <n v="3.1376382241757574"/>
    <n v="-26423.59"/>
    <n v="-8421.4903414944692"/>
    <n v="-26423.59"/>
  </r>
  <r>
    <x v="33"/>
    <s v="COPT1"/>
    <x v="39"/>
    <n v="2083476.1063000001"/>
    <n v="664026.8754525769"/>
    <n v="0.33700000000000002"/>
    <n v="0"/>
    <n v="-2.3283064365386963E-10"/>
    <n v="0"/>
    <n v="3.1376382241757574"/>
    <n v="-2.3283064365386963E-10"/>
    <n v="0"/>
    <n v="-2.3283064365386963E-10"/>
  </r>
  <r>
    <x v="34"/>
    <s v="COPT1"/>
    <x v="39"/>
    <n v="1860346.6252999993"/>
    <n v="592913.04235328257"/>
    <n v="0.33700000000000002"/>
    <n v="0"/>
    <n v="0"/>
    <n v="0"/>
    <n v="3.1376382241757574"/>
    <n v="0"/>
    <n v="0"/>
    <n v="0"/>
  </r>
  <r>
    <x v="35"/>
    <s v="COPT1"/>
    <x v="39"/>
    <n v="1949589.1707999995"/>
    <n v="621355.62850371224"/>
    <n v="0.33700000000000002"/>
    <n v="0"/>
    <n v="0"/>
    <n v="0"/>
    <n v="3.1376382241757574"/>
    <n v="0"/>
    <n v="0"/>
    <n v="0"/>
  </r>
  <r>
    <x v="36"/>
    <s v="COPT1"/>
    <x v="39"/>
    <n v="1731389.8297999995"/>
    <n v="551813.08554297313"/>
    <n v="0.33700000000000002"/>
    <n v="0"/>
    <n v="0"/>
    <n v="0"/>
    <n v="3.1376382241757574"/>
    <n v="0"/>
    <n v="0"/>
    <n v="0"/>
  </r>
  <r>
    <x v="37"/>
    <s v="COPT1"/>
    <x v="39"/>
    <n v="1426557.8423000004"/>
    <n v="454659.76010499115"/>
    <n v="0.33700000000000002"/>
    <n v="0"/>
    <n v="0"/>
    <n v="0"/>
    <n v="3.1376382241757574"/>
    <n v="0"/>
    <n v="0"/>
    <n v="0"/>
  </r>
  <r>
    <x v="38"/>
    <s v="COPT1"/>
    <x v="39"/>
    <n v="1308862.3093000003"/>
    <n v="417148.89218747715"/>
    <n v="0.33700000000000002"/>
    <n v="0"/>
    <n v="0"/>
    <n v="-16850"/>
    <n v="3.1376382241757574"/>
    <n v="-16850"/>
    <n v="-5370.2813377811954"/>
    <n v="-16850"/>
  </r>
  <r>
    <x v="39"/>
    <s v="COPT1"/>
    <x v="39"/>
    <n v="1259938.4853000003"/>
    <n v="401556.32844859932"/>
    <n v="0.33700000000000002"/>
    <n v="0"/>
    <n v="0"/>
    <n v="0"/>
    <n v="3.1376382241757574"/>
    <n v="0"/>
    <n v="0"/>
    <n v="0"/>
  </r>
  <r>
    <x v="40"/>
    <s v="COPT1"/>
    <x v="39"/>
    <n v="1159868.1062999994"/>
    <n v="369662.79202080134"/>
    <n v="0.33700000000000002"/>
    <n v="0"/>
    <n v="0"/>
    <n v="-6740"/>
    <n v="3.1376382241757574"/>
    <n v="-6740"/>
    <n v="-2148.1125351124779"/>
    <n v="-6740"/>
  </r>
  <r>
    <x v="41"/>
    <s v="COPT1"/>
    <x v="39"/>
    <n v="1121934.5717999993"/>
    <n v="357572.95508303103"/>
    <n v="0.33700000000000002"/>
    <n v="0"/>
    <n v="0"/>
    <n v="0"/>
    <n v="3.1376382241757574"/>
    <n v="0"/>
    <n v="0"/>
    <n v="0"/>
  </r>
  <r>
    <x v="42"/>
    <s v="COPT1"/>
    <x v="39"/>
    <n v="1078114.6608000002"/>
    <n v="343607.06485949818"/>
    <n v="0.33700000000000002"/>
    <n v="0"/>
    <n v="0"/>
    <n v="0"/>
    <n v="3.1376382241757574"/>
    <n v="0"/>
    <n v="0"/>
    <n v="0"/>
  </r>
  <r>
    <x v="43"/>
    <s v="COPT1"/>
    <x v="39"/>
    <n v="1420225.6947999999"/>
    <n v="452641.63467191521"/>
    <n v="0.33700000000000002"/>
    <n v="0"/>
    <n v="0"/>
    <n v="0"/>
    <n v="3.1376382241757574"/>
    <n v="0"/>
    <n v="0"/>
    <n v="0"/>
  </r>
  <r>
    <x v="44"/>
    <s v="COPT1"/>
    <x v="39"/>
    <n v="1434062.8288"/>
    <n v="457051.68229735008"/>
    <n v="0.33700000000000002"/>
    <n v="0"/>
    <n v="0"/>
    <n v="0"/>
    <n v="3.1376382241757574"/>
    <n v="0"/>
    <n v="0"/>
    <n v="0"/>
  </r>
  <r>
    <x v="181"/>
    <s v="COPT1"/>
    <x v="39"/>
    <n v="1120008.3302999993"/>
    <n v="356959.04061540432"/>
    <n v="0.33700000000000002"/>
    <n v="0"/>
    <n v="0"/>
    <n v="0"/>
    <n v="3.1376382241757574"/>
    <n v="0"/>
    <n v="0"/>
    <n v="0"/>
  </r>
  <r>
    <x v="182"/>
    <s v="COPT1"/>
    <x v="39"/>
    <n v="683005.10819999967"/>
    <n v="217681.28107867562"/>
    <n v="0.33700000000000002"/>
    <n v="0"/>
    <n v="0"/>
    <n v="0"/>
    <n v="3.1376382241757574"/>
    <n v="0"/>
    <n v="0"/>
    <n v="0"/>
  </r>
  <r>
    <x v="183"/>
    <s v="COPT1"/>
    <x v="39"/>
    <n v="701247.37870000023"/>
    <n v="223495.29442140021"/>
    <n v="0.33700000000000002"/>
    <n v="0"/>
    <n v="0"/>
    <n v="-8088"/>
    <n v="3.1376382241757574"/>
    <n v="-8088"/>
    <n v="-2577.7350421349738"/>
    <n v="-8088"/>
  </r>
  <r>
    <x v="184"/>
    <s v="COPT1"/>
    <x v="39"/>
    <n v="563722.46930000046"/>
    <n v="179664.58495962759"/>
    <n v="0.33700000000000002"/>
    <n v="0"/>
    <n v="0"/>
    <n v="0"/>
    <n v="3.1376382241757574"/>
    <n v="0"/>
    <n v="0"/>
    <n v="0"/>
  </r>
  <r>
    <x v="185"/>
    <s v="COPT1"/>
    <x v="39"/>
    <n v="791148.03080000007"/>
    <n v="252147.62642300193"/>
    <n v="0.33700000000000002"/>
    <n v="0"/>
    <n v="0"/>
    <n v="0"/>
    <n v="3.1376382241757574"/>
    <n v="0"/>
    <n v="0"/>
    <n v="0"/>
  </r>
  <r>
    <x v="186"/>
    <s v="COPT1"/>
    <x v="39"/>
    <n v="732024.51120000007"/>
    <n v="233304.30690182562"/>
    <n v="0.33700000000000002"/>
    <n v="0"/>
    <n v="0"/>
    <n v="-7919.4999999999991"/>
    <n v="3.1376382241757574"/>
    <n v="-7919.4999999999991"/>
    <n v="-2524.0322287571612"/>
    <n v="-7919.4999999999991"/>
  </r>
  <r>
    <x v="187"/>
    <s v="COPT1"/>
    <x v="39"/>
    <n v="803273.9828"/>
    <n v="256012.30142172182"/>
    <n v="0.33700000000000002"/>
    <n v="0"/>
    <n v="0"/>
    <n v="0"/>
    <n v="3.1376382241757574"/>
    <n v="0"/>
    <n v="0"/>
    <n v="0"/>
  </r>
  <r>
    <x v="188"/>
    <s v="COPT1"/>
    <x v="39"/>
    <n v="821980.5079000002"/>
    <n v="261974.27783948244"/>
    <n v="0.33700000000000002"/>
    <n v="0"/>
    <n v="0"/>
    <n v="0"/>
    <n v="3.1376382241757574"/>
    <n v="0"/>
    <n v="0"/>
    <n v="0"/>
  </r>
  <r>
    <x v="189"/>
    <s v="COPT1"/>
    <x v="39"/>
    <n v="744855.38629999931"/>
    <n v="237393.64868799341"/>
    <n v="0.33700000000000002"/>
    <n v="0"/>
    <n v="0"/>
    <n v="0"/>
    <n v="3.1376382241757574"/>
    <n v="0"/>
    <n v="0"/>
    <n v="0"/>
  </r>
  <r>
    <x v="190"/>
    <s v="COPT1"/>
    <x v="39"/>
    <n v="529720.00819999992"/>
    <n v="168827.62458669205"/>
    <n v="0.33700000000000002"/>
    <n v="0"/>
    <n v="0"/>
    <n v="-4212.5"/>
    <n v="3.1376382241757574"/>
    <n v="-4212.5"/>
    <n v="-1342.5703344452988"/>
    <n v="-4212.5"/>
  </r>
  <r>
    <x v="191"/>
    <s v="COPT1"/>
    <x v="39"/>
    <n v="649985.87220000022"/>
    <n v="207157.68541822516"/>
    <n v="0.33700000000000002"/>
    <n v="0"/>
    <n v="0"/>
    <n v="0"/>
    <n v="3.1376382241757574"/>
    <n v="0"/>
    <n v="0"/>
    <n v="0"/>
  </r>
  <r>
    <x v="192"/>
    <s v="COPT1"/>
    <x v="39"/>
    <n v="602848.56919999979"/>
    <n v="192134.50567850767"/>
    <n v="0.33700000000000002"/>
    <n v="0"/>
    <n v="0"/>
    <n v="0"/>
    <n v="3.1376382241757574"/>
    <n v="0"/>
    <n v="0"/>
    <n v="0"/>
  </r>
  <r>
    <x v="193"/>
    <s v="COPT1"/>
    <x v="39"/>
    <n v="550361.43330000003"/>
    <n v="175406.27503178042"/>
    <n v="0.33700000000000002"/>
    <n v="0"/>
    <n v="0"/>
    <n v="0"/>
    <n v="3.1376382241757574"/>
    <n v="0"/>
    <n v="0"/>
    <n v="0"/>
  </r>
  <r>
    <x v="1"/>
    <s v="COPT1"/>
    <x v="39"/>
    <n v="534455.69260000042"/>
    <n v="170336.93957511606"/>
    <n v="0.33700000000000002"/>
    <n v="0"/>
    <n v="0"/>
    <n v="-4886.5"/>
    <n v="3.1376382241757574"/>
    <n v="-4886.5"/>
    <n v="-1557.3815879565466"/>
    <n v="-4886.5"/>
  </r>
  <r>
    <x v="2"/>
    <s v="COPT1"/>
    <x v="39"/>
    <n v="369057.6590000001"/>
    <n v="117622.75719245797"/>
    <n v="0.33700000000000002"/>
    <n v="0"/>
    <n v="0"/>
    <n v="-6740"/>
    <n v="3.1376382241757574"/>
    <n v="-6740"/>
    <n v="-2148.1125351124779"/>
    <n v="-6740"/>
  </r>
  <r>
    <x v="3"/>
    <s v="COPT1"/>
    <x v="39"/>
    <n v="278972.3073000001"/>
    <n v="88911.559385813132"/>
    <n v="0.33700000000000002"/>
    <n v="0"/>
    <n v="0"/>
    <n v="0"/>
    <n v="3.1376382241757574"/>
    <n v="0"/>
    <n v="0"/>
    <n v="0"/>
  </r>
  <r>
    <x v="4"/>
    <s v="COPT1"/>
    <x v="39"/>
    <n v="340868.86679999973"/>
    <n v="108638.67738911943"/>
    <n v="0.33700000000000002"/>
    <n v="0"/>
    <n v="0"/>
    <n v="0"/>
    <n v="3.1376382241757574"/>
    <n v="0"/>
    <n v="0"/>
    <n v="0"/>
  </r>
  <r>
    <x v="5"/>
    <s v="COPT1"/>
    <x v="39"/>
    <n v="326620.88140000001"/>
    <n v="104097.68687905431"/>
    <n v="0.33700000000000002"/>
    <n v="0"/>
    <n v="0"/>
    <n v="0"/>
    <n v="3.1376382241757574"/>
    <n v="0"/>
    <n v="0"/>
    <n v="0"/>
  </r>
  <r>
    <x v="6"/>
    <s v="COPT1"/>
    <x v="39"/>
    <n v="441118.7111999999"/>
    <n v="140589.41142453722"/>
    <n v="0.33700000000000002"/>
    <n v="0"/>
    <n v="0"/>
    <n v="0"/>
    <n v="3.1376382241757574"/>
    <n v="0"/>
    <n v="0"/>
    <n v="0"/>
  </r>
  <r>
    <x v="7"/>
    <s v="COPT1"/>
    <x v="39"/>
    <n v="484726.99900000024"/>
    <n v="154487.85499396946"/>
    <n v="0.33700000000000002"/>
    <n v="0"/>
    <n v="0"/>
    <n v="0"/>
    <n v="3.1376382241757574"/>
    <n v="0"/>
    <n v="0"/>
    <n v="0"/>
  </r>
  <r>
    <x v="8"/>
    <s v="COPT1"/>
    <x v="39"/>
    <n v="593386.22410000011"/>
    <n v="189118.75165463981"/>
    <n v="0.33700000000000002"/>
    <n v="0"/>
    <n v="0"/>
    <n v="0"/>
    <n v="3.1376382241757574"/>
    <n v="0"/>
    <n v="0"/>
    <n v="0"/>
  </r>
  <r>
    <x v="9"/>
    <s v="COPT1"/>
    <x v="39"/>
    <n v="932179.00909999991"/>
    <n v="297095.75881549536"/>
    <n v="0.33700000000000002"/>
    <n v="0"/>
    <n v="-1.1641532182693481E-10"/>
    <n v="0"/>
    <n v="3.1376382241757574"/>
    <n v="-1.1641532182693481E-10"/>
    <n v="0"/>
    <n v="-1.1641532182693481E-10"/>
  </r>
  <r>
    <x v="10"/>
    <s v="COPT1"/>
    <x v="39"/>
    <n v="1096118.6204000004"/>
    <n v="349345.12588300247"/>
    <n v="0.33700000000000002"/>
    <n v="0"/>
    <n v="0"/>
    <n v="0"/>
    <n v="3.1376382241757574"/>
    <n v="0"/>
    <n v="0"/>
    <n v="0"/>
  </r>
  <r>
    <x v="11"/>
    <s v="COPT1"/>
    <x v="39"/>
    <n v="1372799.7185"/>
    <n v="437526.45155915892"/>
    <n v="0.33700000000000002"/>
    <n v="0"/>
    <n v="0"/>
    <n v="0"/>
    <n v="3.1376382241757574"/>
    <n v="0"/>
    <n v="0"/>
    <n v="0"/>
  </r>
  <r>
    <x v="12"/>
    <s v="COPT1"/>
    <x v="39"/>
    <n v="1938426.5207000007"/>
    <n v="617797.96847331442"/>
    <n v="0.33700000000000002"/>
    <n v="0"/>
    <n v="-2.3283064365386963E-10"/>
    <n v="0"/>
    <n v="3.1376382241757574"/>
    <n v="-2.3283064365386963E-10"/>
    <n v="0"/>
    <n v="-2.3283064365386963E-10"/>
  </r>
  <r>
    <x v="13"/>
    <s v="COPT1"/>
    <x v="39"/>
    <n v="1387431.7341000002"/>
    <n v="442189.83674080909"/>
    <n v="0.33700000000000002"/>
    <n v="0"/>
    <n v="0"/>
    <n v="-5055"/>
    <n v="3.1376382241757574"/>
    <n v="-5055"/>
    <n v="-1611.0844013343585"/>
    <n v="-5055"/>
  </r>
  <r>
    <x v="14"/>
    <s v="COPT1"/>
    <x v="39"/>
    <n v="1410571.2895"/>
    <n v="449564.66893838608"/>
    <n v="0.33700000000000002"/>
    <n v="0"/>
    <n v="0"/>
    <n v="-8088"/>
    <n v="3.1376382241757574"/>
    <n v="-8088"/>
    <n v="-2577.7350421349738"/>
    <n v="-8088"/>
  </r>
  <r>
    <x v="15"/>
    <s v="COPT1"/>
    <x v="39"/>
    <n v="1453456.0765000002"/>
    <n v="463232.52480193641"/>
    <n v="0.33700000000000002"/>
    <n v="0"/>
    <n v="0"/>
    <n v="0"/>
    <n v="3.1376382241757574"/>
    <n v="0"/>
    <n v="0"/>
    <n v="0"/>
  </r>
  <r>
    <x v="16"/>
    <s v="COPT1"/>
    <x v="39"/>
    <n v="1487086.4406999997"/>
    <n v="473950.8937779626"/>
    <n v="0.33700000000000002"/>
    <n v="0"/>
    <n v="0"/>
    <n v="0"/>
    <n v="3.1376382241757574"/>
    <n v="0"/>
    <n v="0"/>
    <n v="0"/>
  </r>
  <r>
    <x v="17"/>
    <s v="COPT1"/>
    <x v="39"/>
    <n v="1463682.2866"/>
    <n v="466491.73104859859"/>
    <n v="0.33700000000000002"/>
    <n v="0"/>
    <n v="0"/>
    <n v="-5055"/>
    <n v="3.1376382241757574"/>
    <n v="-5055"/>
    <n v="-1611.0844013343585"/>
    <n v="-5055"/>
  </r>
  <r>
    <x v="18"/>
    <s v="COPT1"/>
    <x v="39"/>
    <n v="1461109.1350000002"/>
    <n v="465671.63917816774"/>
    <n v="0.33700000000000002"/>
    <n v="0"/>
    <n v="0"/>
    <n v="0"/>
    <n v="3.1376382241757574"/>
    <n v="0"/>
    <n v="0"/>
    <n v="0"/>
  </r>
  <r>
    <x v="19"/>
    <s v="COPT1"/>
    <x v="39"/>
    <n v="1418602.9186000002"/>
    <n v="452124.43795130664"/>
    <n v="0.33700000000000002"/>
    <n v="0"/>
    <n v="0"/>
    <n v="0"/>
    <n v="3.1376382241757574"/>
    <n v="0"/>
    <n v="0"/>
    <n v="0"/>
  </r>
  <r>
    <x v="20"/>
    <s v="COPT1"/>
    <x v="39"/>
    <n v="1418482.7183000003"/>
    <n v="452086.12878644699"/>
    <n v="0.33700000000000002"/>
    <n v="0"/>
    <n v="0"/>
    <n v="0"/>
    <n v="3.1376382241757574"/>
    <n v="0"/>
    <n v="0"/>
    <n v="0"/>
  </r>
  <r>
    <x v="21"/>
    <s v="COPT1"/>
    <x v="39"/>
    <n v="1359115.6680000001"/>
    <n v="433165.19333806663"/>
    <n v="0.33700000000000002"/>
    <n v="0"/>
    <n v="0"/>
    <n v="-7077"/>
    <n v="3.1376382241757574"/>
    <n v="-7077"/>
    <n v="-2255.5181618681017"/>
    <n v="-7077"/>
  </r>
  <r>
    <x v="22"/>
    <s v="COPT1"/>
    <x v="39"/>
    <n v="1380399.9999999998"/>
    <n v="439948.7453218493"/>
    <n v="0.33700000000000002"/>
    <n v="0"/>
    <n v="0"/>
    <n v="0"/>
    <n v="3.1376382241757574"/>
    <n v="0"/>
    <n v="0"/>
    <n v="0"/>
  </r>
  <r>
    <x v="23"/>
    <s v="COPT1"/>
    <x v="39"/>
    <n v="1357100"/>
    <n v="432522.7776559561"/>
    <n v="0.33700000000000002"/>
    <n v="0"/>
    <n v="0"/>
    <n v="0"/>
    <n v="3.1376382241757574"/>
    <n v="0"/>
    <n v="0"/>
    <n v="0"/>
  </r>
  <r>
    <x v="24"/>
    <s v="COPT1"/>
    <x v="39"/>
    <n v="2081907.77"/>
    <n v="663527.02933012845"/>
    <n v="0.33700000000000002"/>
    <n v="0"/>
    <n v="0"/>
    <n v="0"/>
    <n v="3.1376382241757574"/>
    <n v="0"/>
    <n v="0"/>
    <n v="0"/>
  </r>
  <r>
    <x v="25"/>
    <s v="COPT1"/>
    <x v="39"/>
    <n v="2073200"/>
    <n v="660751.76673519134"/>
    <n v="0.33700000000000002"/>
    <n v="0"/>
    <n v="0"/>
    <n v="0"/>
    <n v="3.1376382241757574"/>
    <n v="0"/>
    <n v="0"/>
    <n v="0"/>
  </r>
  <r>
    <x v="26"/>
    <s v="COPT1"/>
    <x v="39"/>
    <n v="1417399.01"/>
    <n v="451740.7389669164"/>
    <n v="0.33700000000000002"/>
    <n v="0"/>
    <n v="0"/>
    <n v="-639091.62"/>
    <n v="3.1376382241757574"/>
    <n v="-639091.62"/>
    <n v="-203685.56676666773"/>
    <n v="-639091.62"/>
  </r>
  <r>
    <x v="27"/>
    <s v="COPT1"/>
    <x v="39"/>
    <n v="1400400.0000000002"/>
    <n v="446322.96649429004"/>
    <n v="0.33700000000000002"/>
    <n v="0"/>
    <n v="0"/>
    <n v="0"/>
    <n v="3.1376382241757574"/>
    <n v="0"/>
    <n v="0"/>
    <n v="0"/>
  </r>
  <r>
    <x v="28"/>
    <s v="COPT1"/>
    <x v="39"/>
    <n v="1426000.0000000002"/>
    <n v="454481.969595014"/>
    <n v="0.33700000000000002"/>
    <n v="0"/>
    <n v="0"/>
    <n v="0"/>
    <n v="3.1376382241757574"/>
    <n v="0"/>
    <n v="0"/>
    <n v="0"/>
  </r>
  <r>
    <x v="29"/>
    <s v="COPT1"/>
    <x v="39"/>
    <n v="817929.08100000001"/>
    <n v="260683.04328325362"/>
    <n v="0.33700000000000002"/>
    <n v="0"/>
    <n v="0"/>
    <n v="-604998.24"/>
    <n v="3.1376382241757574"/>
    <n v="-604998.24"/>
    <n v="-192819.62953486459"/>
    <n v="-604998.24"/>
  </r>
  <r>
    <x v="30"/>
    <s v="COPT1"/>
    <x v="39"/>
    <n v="817929.08100000001"/>
    <n v="260683.04328325362"/>
    <n v="0.33700000000000002"/>
    <n v="0"/>
    <n v="0"/>
    <n v="-604998.24"/>
    <n v="3.1376382241757574"/>
    <n v="-604998.24"/>
    <n v="-192819.62953486459"/>
    <n v="-1422927.321"/>
  </r>
  <r>
    <x v="151"/>
    <s v="COPT1"/>
    <x v="40"/>
    <n v="45455421.530000001"/>
    <n v="45426861.016401105"/>
    <n v="166"/>
    <n v="45484000"/>
    <n v="0"/>
    <n v="0"/>
    <n v="1.0006287142223758"/>
    <n v="45484000"/>
    <n v="45426861.016401105"/>
    <n v="45484000"/>
  </r>
  <r>
    <x v="152"/>
    <s v="COPT1"/>
    <x v="40"/>
    <n v="57966939.544166863"/>
    <n v="45869611.21120733"/>
    <n v="166"/>
    <n v="11952000"/>
    <n v="0"/>
    <n v="0"/>
    <n v="1.2637329598730889"/>
    <n v="11952000"/>
    <n v="0"/>
    <n v="11952000"/>
  </r>
  <r>
    <x v="153"/>
    <s v="COPT1"/>
    <x v="40"/>
    <n v="76705780.747440457"/>
    <n v="45957589.818853274"/>
    <n v="166"/>
    <n v="18592000"/>
    <n v="0"/>
    <n v="0"/>
    <n v="1.6690557762011551"/>
    <n v="18592000"/>
    <n v="0"/>
    <n v="18592000"/>
  </r>
  <r>
    <x v="154"/>
    <s v="COPT1"/>
    <x v="40"/>
    <n v="75836477.478575513"/>
    <n v="45436754.457171403"/>
    <n v="166"/>
    <n v="0"/>
    <n v="0"/>
    <n v="0"/>
    <n v="1.6690557762011551"/>
    <n v="0"/>
    <n v="0"/>
    <n v="0"/>
  </r>
  <r>
    <x v="155"/>
    <s v="COPT1"/>
    <x v="40"/>
    <n v="91808650.171970159"/>
    <n v="46136368.011183135"/>
    <n v="166"/>
    <n v="14579983"/>
    <n v="0"/>
    <n v="0"/>
    <n v="1.9899409972999258"/>
    <n v="14579983"/>
    <n v="0"/>
    <n v="14579983"/>
  </r>
  <r>
    <x v="156"/>
    <s v="COPT1"/>
    <x v="40"/>
    <n v="94759262.790074378"/>
    <n v="45246618.808014639"/>
    <n v="166"/>
    <n v="4814000"/>
    <n v="0"/>
    <n v="0"/>
    <n v="2.0942838445486109"/>
    <n v="4814000"/>
    <n v="0"/>
    <n v="4814000"/>
  </r>
  <r>
    <x v="157"/>
    <s v="COPT1"/>
    <x v="40"/>
    <n v="101240094.92325184"/>
    <n v="44591589.989509508"/>
    <n v="166"/>
    <n v="7968000"/>
    <n v="0"/>
    <n v="0"/>
    <n v="2.2703854010827893"/>
    <n v="7968000"/>
    <n v="0"/>
    <n v="7968000"/>
  </r>
  <r>
    <x v="158"/>
    <s v="COPT1"/>
    <x v="40"/>
    <n v="100052733.59144756"/>
    <n v="44068612.114811227"/>
    <n v="166"/>
    <n v="0"/>
    <n v="0"/>
    <n v="0"/>
    <n v="2.2703854010827893"/>
    <n v="0"/>
    <n v="0"/>
    <n v="0"/>
  </r>
  <r>
    <x v="159"/>
    <s v="COPT1"/>
    <x v="40"/>
    <n v="110706569.4513956"/>
    <n v="44888409.866782501"/>
    <n v="166"/>
    <n v="8632000"/>
    <n v="0"/>
    <n v="0"/>
    <n v="2.4662617762568293"/>
    <n v="8632000"/>
    <n v="0"/>
    <n v="8632000"/>
  </r>
  <r>
    <x v="160"/>
    <s v="COPT1"/>
    <x v="40"/>
    <n v="155809622.75436318"/>
    <n v="45455268.368714377"/>
    <n v="166"/>
    <n v="43160000"/>
    <n v="0"/>
    <n v="0"/>
    <n v="3.4277571851627808"/>
    <n v="43160000"/>
    <n v="0"/>
    <n v="43160000"/>
  </r>
  <r>
    <x v="161"/>
    <s v="COPT1"/>
    <x v="40"/>
    <n v="155361118.26698914"/>
    <n v="45324423.48585178"/>
    <n v="166"/>
    <n v="0"/>
    <n v="0"/>
    <n v="0"/>
    <n v="3.4277571851627808"/>
    <n v="0"/>
    <n v="0"/>
    <n v="0"/>
  </r>
  <r>
    <x v="162"/>
    <s v="COPT1"/>
    <x v="40"/>
    <n v="167970974.18795109"/>
    <n v="45813137.462739617"/>
    <n v="166"/>
    <n v="10818017"/>
    <n v="0"/>
    <n v="0"/>
    <n v="3.6664368233798426"/>
    <n v="10818017"/>
    <n v="0"/>
    <n v="10818017"/>
  </r>
  <r>
    <x v="163"/>
    <s v="COPT1"/>
    <x v="40"/>
    <n v="171505407.63952401"/>
    <n v="46777134.286313616"/>
    <n v="166"/>
    <n v="0"/>
    <n v="0"/>
    <n v="0"/>
    <n v="3.6664368233798426"/>
    <n v="0"/>
    <n v="0"/>
    <n v="0"/>
  </r>
  <r>
    <x v="164"/>
    <s v="COPT1"/>
    <x v="40"/>
    <n v="175710406.576123"/>
    <n v="47924024.070363589"/>
    <n v="166"/>
    <n v="0"/>
    <n v="0"/>
    <n v="0"/>
    <n v="3.6664368233798426"/>
    <n v="0"/>
    <n v="0"/>
    <n v="0"/>
  </r>
  <r>
    <x v="165"/>
    <s v="COPT1"/>
    <x v="40"/>
    <n v="176373895.738648"/>
    <n v="48104987.00372006"/>
    <n v="166"/>
    <n v="0"/>
    <n v="0"/>
    <n v="0"/>
    <n v="3.6664368233798426"/>
    <n v="0"/>
    <n v="0"/>
    <n v="0"/>
  </r>
  <r>
    <x v="166"/>
    <s v="COPT1"/>
    <x v="40"/>
    <n v="132936435.45803101"/>
    <n v="36257664.28329885"/>
    <n v="166"/>
    <n v="0"/>
    <n v="0"/>
    <n v="-42202654.469999999"/>
    <n v="3.6664368233798426"/>
    <n v="-42202654.469999999"/>
    <n v="-11510536.388049964"/>
    <n v="-42202654.469999999"/>
  </r>
  <r>
    <x v="167"/>
    <s v="COPT1"/>
    <x v="40"/>
    <n v="134749839.169386"/>
    <n v="36752259.935347572"/>
    <n v="166"/>
    <n v="0"/>
    <n v="0"/>
    <n v="0"/>
    <n v="3.6664368233798426"/>
    <n v="0"/>
    <n v="0"/>
    <n v="0"/>
  </r>
  <r>
    <x v="168"/>
    <s v="COPT1"/>
    <x v="40"/>
    <n v="134946857.1805"/>
    <n v="36805995.488584891"/>
    <n v="166"/>
    <n v="0"/>
    <n v="0"/>
    <n v="0"/>
    <n v="3.6664368233798426"/>
    <n v="0"/>
    <n v="0"/>
    <n v="0"/>
  </r>
  <r>
    <x v="169"/>
    <s v="COPT1"/>
    <x v="40"/>
    <n v="133212483.83499999"/>
    <n v="36332954.923849016"/>
    <n v="166"/>
    <n v="0"/>
    <n v="0"/>
    <n v="0"/>
    <n v="3.6664368233798426"/>
    <n v="0"/>
    <n v="0"/>
    <n v="0"/>
  </r>
  <r>
    <x v="170"/>
    <s v="COPT1"/>
    <x v="40"/>
    <n v="116414686.05599999"/>
    <n v="31751450.158272494"/>
    <n v="166"/>
    <n v="0"/>
    <n v="0"/>
    <n v="-18233427.600000001"/>
    <n v="3.6664368233798426"/>
    <n v="-18233427.600000001"/>
    <n v="-4973064.7160563441"/>
    <n v="-18233427.600000001"/>
  </r>
  <r>
    <x v="171"/>
    <s v="COPT1"/>
    <x v="40"/>
    <n v="116801795.11300001"/>
    <n v="31857031.973982919"/>
    <n v="166"/>
    <n v="0"/>
    <n v="0"/>
    <n v="0"/>
    <n v="3.6664368233798426"/>
    <n v="0"/>
    <n v="0"/>
    <n v="0"/>
  </r>
  <r>
    <x v="172"/>
    <s v="COPT1"/>
    <x v="40"/>
    <n v="119155354.69850001"/>
    <n v="32498952.099400602"/>
    <n v="166"/>
    <n v="0"/>
    <n v="0"/>
    <n v="0"/>
    <n v="3.6664368233798426"/>
    <n v="0"/>
    <n v="0"/>
    <n v="0"/>
  </r>
  <r>
    <x v="173"/>
    <s v="COPT1"/>
    <x v="40"/>
    <n v="90893976.321999997"/>
    <n v="24790820.270622019"/>
    <n v="166"/>
    <n v="0"/>
    <n v="0"/>
    <n v="-33131055.840000004"/>
    <n v="3.6664368233798426"/>
    <n v="-33131055.840000004"/>
    <n v="-9036308.938621968"/>
    <n v="-33131055.840000004"/>
  </r>
  <r>
    <x v="174"/>
    <s v="COPT1"/>
    <x v="40"/>
    <n v="89760068.119499996"/>
    <n v="24481553.192768831"/>
    <n v="166"/>
    <n v="0"/>
    <n v="0"/>
    <n v="0"/>
    <n v="3.6664368233798426"/>
    <n v="0"/>
    <n v="0"/>
    <n v="0"/>
  </r>
  <r>
    <x v="175"/>
    <s v="COPT1"/>
    <x v="40"/>
    <n v="73911483.362000003"/>
    <n v="20158940.934339065"/>
    <n v="166"/>
    <n v="0"/>
    <n v="0"/>
    <n v="-12281075.470000001"/>
    <n v="3.6664368233798426"/>
    <n v="-12281075.470000001"/>
    <n v="-3349594.1868374809"/>
    <n v="-12281075.470000001"/>
  </r>
  <r>
    <x v="176"/>
    <s v="COPT1"/>
    <x v="40"/>
    <n v="71728085.667500004"/>
    <n v="19563431.506608829"/>
    <n v="166"/>
    <n v="0"/>
    <n v="0"/>
    <n v="0"/>
    <n v="3.6664368233798426"/>
    <n v="0"/>
    <n v="0"/>
    <n v="0"/>
  </r>
  <r>
    <x v="177"/>
    <s v="COPT1"/>
    <x v="40"/>
    <n v="65026495.470299989"/>
    <n v="17735610.513085678"/>
    <n v="166"/>
    <n v="0"/>
    <n v="-7.4505805969238281E-9"/>
    <n v="-7545743.6550000003"/>
    <n v="3.6664368233798426"/>
    <n v="-7545743.6550000077"/>
    <n v="-2058059.0962001316"/>
    <n v="-7545743.6550000077"/>
  </r>
  <r>
    <x v="178"/>
    <s v="COPT1"/>
    <x v="40"/>
    <n v="64977431.030800007"/>
    <n v="17722228.463465426"/>
    <n v="166"/>
    <n v="0"/>
    <n v="0"/>
    <n v="0"/>
    <n v="3.6664368233798426"/>
    <n v="0"/>
    <n v="0"/>
    <n v="0"/>
  </r>
  <r>
    <x v="179"/>
    <s v="COPT1"/>
    <x v="40"/>
    <n v="62539624.587800004"/>
    <n v="17057330.482009754"/>
    <n v="166"/>
    <n v="0"/>
    <n v="0"/>
    <n v="0"/>
    <n v="3.6664368233798426"/>
    <n v="0"/>
    <n v="0"/>
    <n v="0"/>
  </r>
  <r>
    <x v="180"/>
    <s v="COPT1"/>
    <x v="40"/>
    <n v="61010187.491800003"/>
    <n v="16640185.125447981"/>
    <n v="166"/>
    <n v="0"/>
    <n v="0"/>
    <n v="0"/>
    <n v="3.6664368233798426"/>
    <n v="0"/>
    <n v="0"/>
    <n v="0"/>
  </r>
  <r>
    <x v="32"/>
    <s v="COPT1"/>
    <x v="40"/>
    <n v="48764910.963299997"/>
    <n v="13300354.89834157"/>
    <n v="166"/>
    <n v="0"/>
    <n v="0"/>
    <n v="-13015771.939999999"/>
    <n v="3.6664368233798426"/>
    <n v="-13015771.939999999"/>
    <n v="-3549978.5123807564"/>
    <n v="-13015771.939999999"/>
  </r>
  <r>
    <x v="33"/>
    <s v="COPT1"/>
    <x v="40"/>
    <n v="49296549.149800003"/>
    <n v="13445356.220363513"/>
    <n v="166"/>
    <n v="0"/>
    <n v="0"/>
    <n v="0"/>
    <n v="3.6664368233798426"/>
    <n v="0"/>
    <n v="0"/>
    <n v="0"/>
  </r>
  <r>
    <x v="34"/>
    <s v="COPT1"/>
    <x v="40"/>
    <n v="48251123.456799999"/>
    <n v="13160222.248782817"/>
    <n v="166"/>
    <n v="0"/>
    <n v="0"/>
    <n v="0"/>
    <n v="3.6664368233798426"/>
    <n v="0"/>
    <n v="0"/>
    <n v="0"/>
  </r>
  <r>
    <x v="35"/>
    <s v="COPT1"/>
    <x v="40"/>
    <n v="48700587.553300001"/>
    <n v="13282811.050431844"/>
    <n v="166"/>
    <n v="0"/>
    <n v="0"/>
    <n v="0"/>
    <n v="3.6664368233798426"/>
    <n v="0"/>
    <n v="0"/>
    <n v="0"/>
  </r>
  <r>
    <x v="36"/>
    <s v="COPT1"/>
    <x v="40"/>
    <n v="47680249.746299997"/>
    <n v="13004519.658502329"/>
    <n v="166"/>
    <n v="0"/>
    <n v="0"/>
    <n v="0"/>
    <n v="3.6664368233798426"/>
    <n v="0"/>
    <n v="0"/>
    <n v="0"/>
  </r>
  <r>
    <x v="37"/>
    <s v="COPT1"/>
    <x v="40"/>
    <n v="46255086.561800003"/>
    <n v="12615814.424196335"/>
    <n v="166"/>
    <n v="0"/>
    <n v="0"/>
    <n v="0"/>
    <n v="3.6664368233798426"/>
    <n v="0"/>
    <n v="0"/>
    <n v="0"/>
  </r>
  <r>
    <x v="38"/>
    <s v="COPT1"/>
    <x v="40"/>
    <n v="37483452.4168"/>
    <n v="10223400.599126242"/>
    <n v="166"/>
    <n v="0"/>
    <n v="0"/>
    <n v="-8300000.0000000009"/>
    <n v="3.6664368233798426"/>
    <n v="-8300000.0000000009"/>
    <n v="-2263778.2675193585"/>
    <n v="-8300000.0000000009"/>
  </r>
  <r>
    <x v="39"/>
    <s v="COPT1"/>
    <x v="40"/>
    <n v="37255948.658799998"/>
    <n v="10161350.230073305"/>
    <n v="166"/>
    <n v="0"/>
    <n v="0"/>
    <n v="0"/>
    <n v="3.6664368233798426"/>
    <n v="0"/>
    <n v="0"/>
    <n v="0"/>
  </r>
  <r>
    <x v="40"/>
    <s v="COPT1"/>
    <x v="40"/>
    <n v="32837970.873799995"/>
    <n v="8956371.6642821822"/>
    <n v="166"/>
    <n v="0"/>
    <n v="-3.7252902984619141E-9"/>
    <n v="-3984000"/>
    <n v="3.6664368233798426"/>
    <n v="-3984000.0000000037"/>
    <n v="-1086613.568409292"/>
    <n v="-3984000.0000000037"/>
  </r>
  <r>
    <x v="41"/>
    <s v="COPT1"/>
    <x v="40"/>
    <n v="32662030.8783"/>
    <n v="8908385.0211255141"/>
    <n v="166"/>
    <n v="0"/>
    <n v="0"/>
    <n v="0"/>
    <n v="3.6664368233798426"/>
    <n v="0"/>
    <n v="0"/>
    <n v="0"/>
  </r>
  <r>
    <x v="42"/>
    <s v="COPT1"/>
    <x v="40"/>
    <n v="32458143.367300004"/>
    <n v="8852775.8504724521"/>
    <n v="166"/>
    <n v="0"/>
    <n v="0"/>
    <n v="0"/>
    <n v="3.6664368233798426"/>
    <n v="0"/>
    <n v="0"/>
    <n v="0"/>
  </r>
  <r>
    <x v="43"/>
    <s v="COPT1"/>
    <x v="40"/>
    <n v="34065376.883299999"/>
    <n v="9291139.7425627559"/>
    <n v="166"/>
    <n v="0"/>
    <n v="0"/>
    <n v="0"/>
    <n v="3.6664368233798426"/>
    <n v="0"/>
    <n v="0"/>
    <n v="0"/>
  </r>
  <r>
    <x v="44"/>
    <s v="COPT1"/>
    <x v="40"/>
    <n v="34132872.3913"/>
    <n v="9309548.7623417415"/>
    <n v="166"/>
    <n v="0"/>
    <n v="0"/>
    <n v="0"/>
    <n v="3.6664368233798426"/>
    <n v="0"/>
    <n v="0"/>
    <n v="0"/>
  </r>
  <r>
    <x v="181"/>
    <s v="COPT1"/>
    <x v="40"/>
    <n v="32660201.873799998"/>
    <n v="8907886.1704462003"/>
    <n v="166"/>
    <n v="0"/>
    <n v="0"/>
    <n v="0"/>
    <n v="3.6664368233798426"/>
    <n v="0"/>
    <n v="0"/>
    <n v="0"/>
  </r>
  <r>
    <x v="182"/>
    <s v="COPT1"/>
    <x v="40"/>
    <n v="30664346.4538"/>
    <n v="8363527.8421441866"/>
    <n v="166"/>
    <n v="0"/>
    <n v="0"/>
    <n v="0"/>
    <n v="3.6664368233798426"/>
    <n v="0"/>
    <n v="0"/>
    <n v="0"/>
  </r>
  <r>
    <x v="183"/>
    <s v="COPT1"/>
    <x v="40"/>
    <n v="26745883.417300001"/>
    <n v="7294789.1115289321"/>
    <n v="166"/>
    <n v="0"/>
    <n v="0"/>
    <n v="-3984000"/>
    <n v="3.6664368233798426"/>
    <n v="-3984000"/>
    <n v="-1086613.568409292"/>
    <n v="-3984000"/>
  </r>
  <r>
    <x v="184"/>
    <s v="COPT1"/>
    <x v="40"/>
    <n v="26494746.789799999"/>
    <n v="7226293.0103828348"/>
    <n v="166"/>
    <n v="0"/>
    <n v="0"/>
    <n v="0"/>
    <n v="3.6664368233798426"/>
    <n v="0"/>
    <n v="0"/>
    <n v="0"/>
  </r>
  <r>
    <x v="185"/>
    <s v="COPT1"/>
    <x v="40"/>
    <n v="27633170.992699999"/>
    <n v="7536791.8019181443"/>
    <n v="166"/>
    <n v="0"/>
    <n v="0"/>
    <n v="0"/>
    <n v="3.6664368233798426"/>
    <n v="0"/>
    <n v="0"/>
    <n v="0"/>
  </r>
  <r>
    <x v="186"/>
    <s v="COPT1"/>
    <x v="40"/>
    <n v="23560229.002300002"/>
    <n v="6425919.8064079564"/>
    <n v="166"/>
    <n v="0"/>
    <n v="0"/>
    <n v="-3901000"/>
    <n v="3.6664368233798426"/>
    <n v="-3901000"/>
    <n v="-1063975.7857340984"/>
    <n v="-3901000"/>
  </r>
  <r>
    <x v="187"/>
    <s v="COPT1"/>
    <x v="40"/>
    <n v="23959889.320900001"/>
    <n v="6534924.9080509134"/>
    <n v="166"/>
    <n v="0"/>
    <n v="0"/>
    <n v="0"/>
    <n v="3.6664368233798426"/>
    <n v="0"/>
    <n v="0"/>
    <n v="0"/>
  </r>
  <r>
    <x v="188"/>
    <s v="COPT1"/>
    <x v="40"/>
    <n v="24108507.849199999"/>
    <n v="6575459.7748600999"/>
    <n v="166"/>
    <n v="0"/>
    <n v="0"/>
    <n v="0"/>
    <n v="3.6664368233798426"/>
    <n v="0"/>
    <n v="0"/>
    <n v="0"/>
  </r>
  <r>
    <x v="189"/>
    <s v="COPT1"/>
    <x v="40"/>
    <n v="23813479.602899998"/>
    <n v="6494992.4818145223"/>
    <n v="166"/>
    <n v="0"/>
    <n v="0"/>
    <n v="0"/>
    <n v="3.6664368233798426"/>
    <n v="0"/>
    <n v="0"/>
    <n v="0"/>
  </r>
  <r>
    <x v="190"/>
    <s v="COPT1"/>
    <x v="40"/>
    <n v="20805701.559"/>
    <n v="5674637.9553925106"/>
    <n v="166"/>
    <n v="0"/>
    <n v="0"/>
    <n v="-2075000.0000000002"/>
    <n v="3.6664368233798426"/>
    <n v="-2075000.0000000002"/>
    <n v="-565944.56687983964"/>
    <n v="-2075000.0000000002"/>
  </r>
  <r>
    <x v="191"/>
    <s v="COPT1"/>
    <x v="40"/>
    <n v="21425847.437100001"/>
    <n v="5843779.2519629309"/>
    <n v="166"/>
    <n v="0"/>
    <n v="0"/>
    <n v="0"/>
    <n v="3.6664368233798426"/>
    <n v="0"/>
    <n v="0"/>
    <n v="0"/>
  </r>
  <r>
    <x v="192"/>
    <s v="COPT1"/>
    <x v="40"/>
    <n v="21260417.132599998"/>
    <n v="5798659.0678525437"/>
    <n v="166"/>
    <n v="0"/>
    <n v="0"/>
    <n v="0"/>
    <n v="3.6664368233798426"/>
    <n v="0"/>
    <n v="0"/>
    <n v="0"/>
  </r>
  <r>
    <x v="193"/>
    <s v="COPT1"/>
    <x v="40"/>
    <n v="21073536.754999999"/>
    <n v="5747688.4970770385"/>
    <n v="166"/>
    <n v="0"/>
    <n v="0"/>
    <n v="0"/>
    <n v="3.6664368233798426"/>
    <n v="0"/>
    <n v="0"/>
    <n v="0"/>
  </r>
  <r>
    <x v="1"/>
    <s v="COPT1"/>
    <x v="40"/>
    <n v="18666487.9903"/>
    <n v="5091179.4991990654"/>
    <n v="166"/>
    <n v="0"/>
    <n v="0"/>
    <n v="-2407000"/>
    <n v="3.6664368233798426"/>
    <n v="-2407000"/>
    <n v="-656495.69758061389"/>
    <n v="-2407000"/>
  </r>
  <r>
    <x v="2"/>
    <s v="COPT1"/>
    <x v="40"/>
    <n v="14615185.301000001"/>
    <n v="3986209.5012255632"/>
    <n v="166"/>
    <n v="0"/>
    <n v="0"/>
    <n v="-3320000"/>
    <n v="3.6664368233798426"/>
    <n v="-3320000"/>
    <n v="-905511.30700774339"/>
    <n v="-3320000"/>
  </r>
  <r>
    <x v="3"/>
    <s v="COPT1"/>
    <x v="40"/>
    <n v="14147926.432700001"/>
    <n v="3858767.2757601137"/>
    <n v="166"/>
    <n v="0"/>
    <n v="0"/>
    <n v="0"/>
    <n v="3.6664368233798426"/>
    <n v="0"/>
    <n v="0"/>
    <n v="0"/>
  </r>
  <r>
    <x v="4"/>
    <s v="COPT1"/>
    <x v="40"/>
    <n v="14532908.953199999"/>
    <n v="3963769.0906134541"/>
    <n v="166"/>
    <n v="0"/>
    <n v="0"/>
    <n v="0"/>
    <n v="3.6664368233798426"/>
    <n v="0"/>
    <n v="0"/>
    <n v="0"/>
  </r>
  <r>
    <x v="5"/>
    <s v="COPT1"/>
    <x v="40"/>
    <n v="14492167.5286"/>
    <n v="3952657.0964451097"/>
    <n v="166"/>
    <n v="0"/>
    <n v="0"/>
    <n v="0"/>
    <n v="3.6664368233798426"/>
    <n v="0"/>
    <n v="0"/>
    <n v="0"/>
  </r>
  <r>
    <x v="6"/>
    <s v="COPT1"/>
    <x v="40"/>
    <n v="15131296.208799999"/>
    <n v="4126975.8454071684"/>
    <n v="166"/>
    <n v="0"/>
    <n v="0"/>
    <n v="0"/>
    <n v="3.6664368233798426"/>
    <n v="0"/>
    <n v="0"/>
    <n v="0"/>
  </r>
  <r>
    <x v="7"/>
    <s v="COPT1"/>
    <x v="40"/>
    <n v="15375532.3751"/>
    <n v="4193589.8846134557"/>
    <n v="166"/>
    <n v="0"/>
    <n v="0"/>
    <n v="0"/>
    <n v="3.6664368233798426"/>
    <n v="0"/>
    <n v="0"/>
    <n v="0"/>
  </r>
  <r>
    <x v="8"/>
    <s v="COPT1"/>
    <x v="40"/>
    <n v="15883809.908199999"/>
    <n v="4332219.7199508213"/>
    <n v="166"/>
    <n v="0"/>
    <n v="0"/>
    <n v="0"/>
    <n v="3.6664368233798426"/>
    <n v="0"/>
    <n v="0"/>
    <n v="0"/>
  </r>
  <r>
    <x v="9"/>
    <s v="COPT1"/>
    <x v="40"/>
    <n v="17511862.707400002"/>
    <n v="4776261.9543126309"/>
    <n v="166"/>
    <n v="0"/>
    <n v="0"/>
    <n v="0"/>
    <n v="3.6664368233798426"/>
    <n v="0"/>
    <n v="0"/>
    <n v="0"/>
  </r>
  <r>
    <x v="10"/>
    <s v="COPT1"/>
    <x v="40"/>
    <n v="18323958.088100001"/>
    <n v="4997756.3969610073"/>
    <n v="166"/>
    <n v="0"/>
    <n v="0"/>
    <n v="0"/>
    <n v="3.6664368233798426"/>
    <n v="0"/>
    <n v="0"/>
    <n v="0"/>
  </r>
  <r>
    <x v="11"/>
    <s v="COPT1"/>
    <x v="40"/>
    <n v="19641859.5502"/>
    <n v="5357206.6004108824"/>
    <n v="166"/>
    <n v="0"/>
    <n v="0"/>
    <n v="0"/>
    <n v="3.6664368233798426"/>
    <n v="0"/>
    <n v="0"/>
    <n v="0"/>
  </r>
  <r>
    <x v="12"/>
    <s v="COPT1"/>
    <x v="40"/>
    <n v="21261530.336100001"/>
    <n v="5798962.6878393665"/>
    <n v="166"/>
    <n v="0"/>
    <n v="0"/>
    <n v="0"/>
    <n v="3.6664368233798426"/>
    <n v="0"/>
    <n v="0"/>
    <n v="0"/>
  </r>
  <r>
    <x v="13"/>
    <s v="COPT1"/>
    <x v="40"/>
    <n v="17312951.462000001"/>
    <n v="4722010.0320835067"/>
    <n v="166"/>
    <n v="0"/>
    <n v="0"/>
    <n v="-2490000"/>
    <n v="3.6664368233798426"/>
    <n v="-2490000"/>
    <n v="-679133.48025580752"/>
    <n v="-2490000"/>
  </r>
  <r>
    <x v="14"/>
    <s v="COPT1"/>
    <x v="40"/>
    <n v="13494317.740700001"/>
    <n v="3680499.1851081434"/>
    <n v="166"/>
    <n v="0"/>
    <n v="0"/>
    <n v="-3984000"/>
    <n v="3.6664368233798426"/>
    <n v="-3984000"/>
    <n v="-1086613.568409292"/>
    <n v="-3984000"/>
  </r>
  <r>
    <x v="15"/>
    <s v="COPT1"/>
    <x v="40"/>
    <n v="13711362.126399999"/>
    <n v="3739696.8192569083"/>
    <n v="166"/>
    <n v="0"/>
    <n v="0"/>
    <n v="0"/>
    <n v="3.6664368233798426"/>
    <n v="0"/>
    <n v="0"/>
    <n v="0"/>
  </r>
  <r>
    <x v="16"/>
    <s v="COPT1"/>
    <x v="40"/>
    <n v="13889828.339500001"/>
    <n v="3788372.4740403132"/>
    <n v="166"/>
    <n v="0"/>
    <n v="0"/>
    <n v="0"/>
    <n v="3.6664368233798426"/>
    <n v="0"/>
    <n v="0"/>
    <n v="0"/>
  </r>
  <r>
    <x v="17"/>
    <s v="COPT1"/>
    <x v="40"/>
    <n v="11326239.392999999"/>
    <n v="3089168.0229632589"/>
    <n v="166"/>
    <n v="0"/>
    <n v="0"/>
    <n v="-2490000"/>
    <n v="3.6664368233798426"/>
    <n v="-2490000"/>
    <n v="-679133.48025580752"/>
    <n v="-2490000"/>
  </r>
  <r>
    <x v="18"/>
    <s v="COPT1"/>
    <x v="40"/>
    <n v="11323798.039999999"/>
    <n v="3088502.1576783499"/>
    <n v="166"/>
    <n v="0"/>
    <n v="0"/>
    <n v="0"/>
    <n v="3.6664368233798426"/>
    <n v="0"/>
    <n v="0"/>
    <n v="0"/>
  </r>
  <r>
    <x v="19"/>
    <s v="COPT1"/>
    <x v="40"/>
    <n v="11131427.014699999"/>
    <n v="3036034.0436573192"/>
    <n v="166"/>
    <n v="0"/>
    <n v="0"/>
    <n v="0"/>
    <n v="3.6664368233798426"/>
    <n v="0"/>
    <n v="0"/>
    <n v="0"/>
  </r>
  <r>
    <x v="20"/>
    <s v="COPT1"/>
    <x v="40"/>
    <n v="11136392.9254"/>
    <n v="3037388.4678405845"/>
    <n v="166"/>
    <n v="0"/>
    <n v="0"/>
    <n v="0"/>
    <n v="3.6664368233798426"/>
    <n v="0"/>
    <n v="0"/>
    <n v="0"/>
  </r>
  <r>
    <x v="21"/>
    <s v="COPT1"/>
    <x v="40"/>
    <n v="7401068.1880000001"/>
    <n v="2018599.6771594312"/>
    <n v="166"/>
    <n v="0"/>
    <n v="0"/>
    <n v="-3486000"/>
    <n v="3.6664368233798426"/>
    <n v="-3486000"/>
    <n v="-950786.87235813052"/>
    <n v="-3486000"/>
  </r>
  <r>
    <x v="22"/>
    <s v="COPT1"/>
    <x v="40"/>
    <n v="7505600"/>
    <n v="2047110.1403244936"/>
    <n v="166"/>
    <n v="0"/>
    <n v="0"/>
    <n v="0"/>
    <n v="3.6664368233798426"/>
    <n v="0"/>
    <n v="0"/>
    <n v="0"/>
  </r>
  <r>
    <x v="23"/>
    <s v="COPT1"/>
    <x v="40"/>
    <n v="7342700"/>
    <n v="2002680.0825198065"/>
    <n v="166"/>
    <n v="0"/>
    <n v="0"/>
    <n v="0"/>
    <n v="3.6664368233798426"/>
    <n v="0"/>
    <n v="0"/>
    <n v="0"/>
  </r>
  <r>
    <x v="24"/>
    <s v="COPT1"/>
    <x v="40"/>
    <n v="11324900"/>
    <n v="3088802.7110638535"/>
    <n v="166"/>
    <n v="0"/>
    <n v="0"/>
    <n v="0"/>
    <n v="3.6664368233798426"/>
    <n v="0"/>
    <n v="0"/>
    <n v="0"/>
  </r>
  <r>
    <x v="25"/>
    <s v="COPT1"/>
    <x v="40"/>
    <n v="11286200"/>
    <n v="3078247.5039610825"/>
    <n v="166"/>
    <n v="0"/>
    <n v="0"/>
    <n v="0"/>
    <n v="3.6664368233798426"/>
    <n v="0"/>
    <n v="0"/>
    <n v="0"/>
  </r>
  <r>
    <x v="26"/>
    <s v="COPT1"/>
    <x v="40"/>
    <n v="6958600"/>
    <n v="1897918.9701638804"/>
    <n v="166"/>
    <n v="0"/>
    <n v="0"/>
    <n v="-4245335.18"/>
    <n v="3.6664368233798426"/>
    <n v="-4245335.18"/>
    <n v="-1157891.2673276365"/>
    <n v="-4245335.18"/>
  </r>
  <r>
    <x v="27"/>
    <s v="COPT1"/>
    <x v="40"/>
    <n v="6879600"/>
    <n v="1876372.1649670093"/>
    <n v="166"/>
    <n v="0"/>
    <n v="0"/>
    <n v="0"/>
    <n v="3.6664368233798426"/>
    <n v="0"/>
    <n v="0"/>
    <n v="0"/>
  </r>
  <r>
    <x v="28"/>
    <s v="COPT1"/>
    <x v="40"/>
    <n v="6999000"/>
    <n v="1908937.8426949384"/>
    <n v="166"/>
    <n v="0"/>
    <n v="0"/>
    <n v="0"/>
    <n v="3.6664368233798426"/>
    <n v="0"/>
    <n v="0"/>
    <n v="0"/>
  </r>
  <r>
    <x v="29"/>
    <s v="COPT1"/>
    <x v="40"/>
    <n v="3873139.8689999999"/>
    <n v="1056377.0918680693"/>
    <n v="166"/>
    <n v="0"/>
    <n v="0"/>
    <n v="-3111302.82"/>
    <n v="3.6664368233798426"/>
    <n v="-3111302.82"/>
    <n v="-848590.32621538476"/>
    <n v="-3111302.82"/>
  </r>
  <r>
    <x v="30"/>
    <s v="COPT1"/>
    <x v="40"/>
    <n v="3873139.8689999999"/>
    <n v="1056377.0918680693"/>
    <n v="166"/>
    <n v="0"/>
    <n v="0"/>
    <n v="-3111302.82"/>
    <n v="3.6664368233798426"/>
    <n v="-3111302.82"/>
    <n v="-848590.32621538476"/>
    <n v="-6984442.6889999993"/>
  </r>
  <r>
    <x v="151"/>
    <s v="COPT1"/>
    <x v="41"/>
    <n v="698494.09991152771"/>
    <n v="696991.43944459327"/>
    <n v="2.5"/>
    <n v="700000"/>
    <n v="0"/>
    <n v="0"/>
    <n v="1.0021559238491249"/>
    <n v="700000"/>
    <n v="696991.43944459327"/>
    <n v="700000"/>
  </r>
  <r>
    <x v="152"/>
    <s v="COPT1"/>
    <x v="41"/>
    <n v="885716.25064541516"/>
    <n v="702721.44632387103"/>
    <n v="2.5"/>
    <n v="180000"/>
    <n v="0"/>
    <n v="0"/>
    <n v="1.2604087370306403"/>
    <n v="180000"/>
    <n v="0"/>
    <n v="180000"/>
  </r>
  <r>
    <x v="153"/>
    <s v="COPT1"/>
    <x v="41"/>
    <n v="1166764.3727162105"/>
    <n v="703353.27920524799"/>
    <n v="2.5"/>
    <n v="280000"/>
    <n v="0"/>
    <n v="0"/>
    <n v="1.6588596473661039"/>
    <n v="280000"/>
    <n v="0"/>
    <n v="280000"/>
  </r>
  <r>
    <x v="154"/>
    <s v="COPT1"/>
    <x v="41"/>
    <n v="885716.25064541516"/>
    <n v="533930.79520122963"/>
    <n v="2.5"/>
    <n v="0"/>
    <n v="-1.1641532182693481E-10"/>
    <n v="0"/>
    <n v="1.6588596473661039"/>
    <n v="-1.1641532182693481E-10"/>
    <n v="0"/>
    <n v="-1.1641532182693481E-10"/>
  </r>
  <r>
    <x v="155"/>
    <s v="COPT1"/>
    <x v="41"/>
    <n v="1391806.9162973689"/>
    <n v="672335.5098891448"/>
    <n v="2.5"/>
    <n v="219578"/>
    <n v="0"/>
    <n v="0"/>
    <n v="2.0701077004349377"/>
    <n v="219578"/>
    <n v="0"/>
    <n v="219578"/>
  </r>
  <r>
    <x v="156"/>
    <s v="COPT1"/>
    <x v="41"/>
    <n v="1434720.3104248999"/>
    <n v="658750.84022477246"/>
    <n v="2.5"/>
    <n v="72500"/>
    <n v="0"/>
    <n v="0"/>
    <n v="2.1779407673094715"/>
    <n v="72500"/>
    <n v="0"/>
    <n v="72500"/>
  </r>
  <r>
    <x v="157"/>
    <s v="COPT1"/>
    <x v="41"/>
    <n v="1531054.6660233366"/>
    <n v="648723.46550698159"/>
    <n v="2.5"/>
    <n v="120000"/>
    <n v="0"/>
    <n v="0"/>
    <n v="2.3601037228194102"/>
    <n v="120000"/>
    <n v="0"/>
    <n v="120000"/>
  </r>
  <r>
    <x v="158"/>
    <s v="COPT1"/>
    <x v="41"/>
    <n v="1511874.1302845422"/>
    <n v="640596.47703891504"/>
    <n v="2.5"/>
    <n v="0"/>
    <n v="0"/>
    <n v="0"/>
    <n v="2.3601037228194102"/>
    <n v="0"/>
    <n v="0"/>
    <n v="0"/>
  </r>
  <r>
    <x v="159"/>
    <s v="COPT1"/>
    <x v="41"/>
    <n v="1678523.2737329511"/>
    <n v="651917.64320667309"/>
    <n v="2.5"/>
    <n v="137500"/>
    <n v="0"/>
    <n v="0"/>
    <n v="2.5747474258812475"/>
    <n v="137500"/>
    <n v="0"/>
    <n v="137500"/>
  </r>
  <r>
    <x v="160"/>
    <s v="COPT1"/>
    <x v="41"/>
    <n v="2358030.7045429787"/>
    <n v="660178.85105791281"/>
    <n v="2.5"/>
    <n v="650000"/>
    <n v="0"/>
    <n v="0"/>
    <n v="3.5718058837606192"/>
    <n v="650000"/>
    <n v="0"/>
    <n v="650000"/>
  </r>
  <r>
    <x v="161"/>
    <s v="COPT1"/>
    <x v="41"/>
    <n v="2348572.4309151429"/>
    <n v="657530.81420046824"/>
    <n v="2.5"/>
    <n v="0"/>
    <n v="0"/>
    <n v="0"/>
    <n v="3.5718058837606192"/>
    <n v="0"/>
    <n v="0"/>
    <n v="0"/>
  </r>
  <r>
    <x v="162"/>
    <s v="COPT1"/>
    <x v="41"/>
    <n v="2515481.670588511"/>
    <n v="664528.08830121788"/>
    <n v="2.5"/>
    <n v="140422"/>
    <n v="0"/>
    <n v="0"/>
    <n v="3.7853654568898993"/>
    <n v="140422"/>
    <n v="0"/>
    <n v="140422"/>
  </r>
  <r>
    <x v="163"/>
    <s v="COPT1"/>
    <x v="41"/>
    <n v="2564402.1641417602"/>
    <n v="677451.67364862654"/>
    <n v="2.5"/>
    <n v="0"/>
    <n v="0"/>
    <n v="0"/>
    <n v="3.7853654568898993"/>
    <n v="0"/>
    <n v="0"/>
    <n v="0"/>
  </r>
  <r>
    <x v="164"/>
    <s v="COPT1"/>
    <x v="41"/>
    <n v="2622754.3313792697"/>
    <n v="692866.87408358068"/>
    <n v="2.5"/>
    <n v="0"/>
    <n v="0"/>
    <n v="0"/>
    <n v="3.7853654568898993"/>
    <n v="0"/>
    <n v="0"/>
    <n v="0"/>
  </r>
  <r>
    <x v="165"/>
    <s v="COPT1"/>
    <x v="41"/>
    <n v="2630903.9288705401"/>
    <n v="695019.79632691049"/>
    <n v="2.5"/>
    <n v="0"/>
    <n v="0"/>
    <n v="0"/>
    <n v="3.7853654568898993"/>
    <n v="0"/>
    <n v="0"/>
    <n v="0"/>
  </r>
  <r>
    <x v="166"/>
    <s v="COPT1"/>
    <x v="41"/>
    <n v="1976938.7068198901"/>
    <n v="522258.3471356993"/>
    <n v="2.5"/>
    <n v="0"/>
    <n v="0"/>
    <n v="-635582.14999999991"/>
    <n v="3.7853654568898993"/>
    <n v="-635582.14999999991"/>
    <n v="-167905.0958852997"/>
    <n v="-635582.14999999991"/>
  </r>
  <r>
    <x v="167"/>
    <s v="COPT1"/>
    <x v="41"/>
    <n v="2001656.2666096399"/>
    <n v="528788.1155480888"/>
    <n v="2.5"/>
    <n v="0"/>
    <n v="-2.3283064365386963E-10"/>
    <n v="0"/>
    <n v="3.7853654568898993"/>
    <n v="-2.3283064365386963E-10"/>
    <n v="0"/>
    <n v="-2.3283064365386963E-10"/>
  </r>
  <r>
    <x v="168"/>
    <s v="COPT1"/>
    <x v="41"/>
    <n v="2003493.0580000002"/>
    <n v="529273.35043789761"/>
    <n v="2.5"/>
    <n v="0"/>
    <n v="0"/>
    <n v="0"/>
    <n v="3.7853654568898993"/>
    <n v="0"/>
    <n v="0"/>
    <n v="0"/>
  </r>
  <r>
    <x v="169"/>
    <s v="COPT1"/>
    <x v="41"/>
    <n v="1978060.466"/>
    <n v="522554.68818727945"/>
    <n v="2.5"/>
    <n v="0"/>
    <n v="0"/>
    <n v="0"/>
    <n v="3.7853654568898993"/>
    <n v="0"/>
    <n v="0"/>
    <n v="0"/>
  </r>
  <r>
    <x v="170"/>
    <s v="COPT1"/>
    <x v="41"/>
    <n v="1722936.112"/>
    <n v="455157.13915125764"/>
    <n v="2.5"/>
    <n v="0"/>
    <n v="0"/>
    <n v="-274599.81"/>
    <n v="3.7853654568898993"/>
    <n v="-274599.81"/>
    <n v="-72542.48318354298"/>
    <n v="-274599.81"/>
  </r>
  <r>
    <x v="171"/>
    <s v="COPT1"/>
    <x v="41"/>
    <n v="1727626.872"/>
    <n v="456396.32201310317"/>
    <n v="2.5"/>
    <n v="0"/>
    <n v="0"/>
    <n v="0"/>
    <n v="3.7853654568898993"/>
    <n v="0"/>
    <n v="0"/>
    <n v="0"/>
  </r>
  <r>
    <x v="172"/>
    <s v="COPT1"/>
    <x v="41"/>
    <n v="1760145.44"/>
    <n v="464986.92399601388"/>
    <n v="2.5"/>
    <n v="0"/>
    <n v="0"/>
    <n v="0"/>
    <n v="3.7853654568898993"/>
    <n v="0"/>
    <n v="0"/>
    <n v="0"/>
  </r>
  <r>
    <x v="173"/>
    <s v="COPT1"/>
    <x v="41"/>
    <n v="1329563.5919999999"/>
    <n v="351237.84140313498"/>
    <n v="2.5"/>
    <n v="0"/>
    <n v="0"/>
    <n v="-498961.68"/>
    <n v="3.7853654568898993"/>
    <n v="-498961.68"/>
    <n v="-131813.34422857885"/>
    <n v="-498961.68"/>
  </r>
  <r>
    <x v="174"/>
    <s v="COPT1"/>
    <x v="41"/>
    <n v="1312918.304"/>
    <n v="346840.56769480562"/>
    <n v="2.5"/>
    <n v="0"/>
    <n v="0"/>
    <n v="0"/>
    <n v="3.7853654568898993"/>
    <n v="0"/>
    <n v="0"/>
    <n v="0"/>
  </r>
  <r>
    <x v="175"/>
    <s v="COPT1"/>
    <x v="41"/>
    <n v="1076928.1359999999"/>
    <n v="284497.79770664911"/>
    <n v="2.5"/>
    <n v="0"/>
    <n v="0"/>
    <n v="-184955.96"/>
    <n v="3.7853654568898993"/>
    <n v="-184955.96"/>
    <n v="-48860.793523477114"/>
    <n v="-184955.96"/>
  </r>
  <r>
    <x v="176"/>
    <s v="COPT1"/>
    <x v="41"/>
    <n v="1045449.552"/>
    <n v="276181.93379377259"/>
    <n v="2.5"/>
    <n v="0"/>
    <n v="0"/>
    <n v="0"/>
    <n v="3.7853654568898993"/>
    <n v="0"/>
    <n v="0"/>
    <n v="0"/>
  </r>
  <r>
    <x v="177"/>
    <s v="COPT1"/>
    <x v="41"/>
    <n v="943323.60800000001"/>
    <n v="249202.78338859408"/>
    <n v="2.5"/>
    <n v="0"/>
    <n v="0"/>
    <n v="-113640.72"/>
    <n v="3.7853654568898993"/>
    <n v="-113640.72"/>
    <n v="-30021.069641547518"/>
    <n v="-113640.72"/>
  </r>
  <r>
    <x v="178"/>
    <s v="COPT1"/>
    <x v="41"/>
    <n v="942222.12800000003"/>
    <n v="248911.79959520759"/>
    <n v="2.5"/>
    <n v="0"/>
    <n v="0"/>
    <n v="0"/>
    <n v="3.7853654568898993"/>
    <n v="0"/>
    <n v="0"/>
    <n v="0"/>
  </r>
  <r>
    <x v="179"/>
    <s v="COPT1"/>
    <x v="41"/>
    <n v="907211.67200000002"/>
    <n v="239662.90238865756"/>
    <n v="2.5"/>
    <n v="0"/>
    <n v="0"/>
    <n v="0"/>
    <n v="3.7853654568898993"/>
    <n v="0"/>
    <n v="0"/>
    <n v="0"/>
  </r>
  <r>
    <x v="180"/>
    <s v="COPT1"/>
    <x v="41"/>
    <n v="885131.28799999994"/>
    <n v="233829.81064323289"/>
    <n v="2.5"/>
    <n v="0"/>
    <n v="0"/>
    <n v="0"/>
    <n v="3.7853654568898993"/>
    <n v="0"/>
    <n v="0"/>
    <n v="0"/>
  </r>
  <r>
    <x v="32"/>
    <s v="COPT1"/>
    <x v="41"/>
    <n v="699704.20400000003"/>
    <n v="184844.5578025867"/>
    <n v="2.5"/>
    <n v="0"/>
    <n v="0"/>
    <n v="-196020.66"/>
    <n v="3.7853654568898993"/>
    <n v="-196020.66"/>
    <n v="-51783.813804084552"/>
    <n v="-196020.66"/>
  </r>
  <r>
    <x v="33"/>
    <s v="COPT1"/>
    <x v="41"/>
    <n v="706908.06"/>
    <n v="186747.63851752481"/>
    <n v="2.5"/>
    <n v="0"/>
    <n v="0"/>
    <n v="0"/>
    <n v="3.7853654568898993"/>
    <n v="0"/>
    <n v="0"/>
    <n v="0"/>
  </r>
  <r>
    <x v="34"/>
    <s v="COPT1"/>
    <x v="41"/>
    <n v="691788.14"/>
    <n v="182753.32933596885"/>
    <n v="2.5"/>
    <n v="0"/>
    <n v="0"/>
    <n v="0"/>
    <n v="3.7853654568898993"/>
    <n v="0"/>
    <n v="0"/>
    <n v="0"/>
  </r>
  <r>
    <x v="35"/>
    <s v="COPT1"/>
    <x v="41"/>
    <n v="697822.54799999995"/>
    <n v="184347.4707917209"/>
    <n v="2.5"/>
    <n v="0"/>
    <n v="0"/>
    <n v="0"/>
    <n v="3.7853654568898993"/>
    <n v="0"/>
    <n v="0"/>
    <n v="0"/>
  </r>
  <r>
    <x v="36"/>
    <s v="COPT1"/>
    <x v="41"/>
    <n v="683053.26"/>
    <n v="180445.78991884302"/>
    <n v="2.5"/>
    <n v="0"/>
    <n v="0"/>
    <n v="0"/>
    <n v="3.7853654568898993"/>
    <n v="0"/>
    <n v="0"/>
    <n v="0"/>
  </r>
  <r>
    <x v="37"/>
    <s v="COPT1"/>
    <x v="41"/>
    <n v="662567.67599999998"/>
    <n v="175034.00491860919"/>
    <n v="2.5"/>
    <n v="0"/>
    <n v="0"/>
    <n v="0"/>
    <n v="3.7853654568898993"/>
    <n v="0"/>
    <n v="0"/>
    <n v="0"/>
  </r>
  <r>
    <x v="38"/>
    <s v="COPT1"/>
    <x v="41"/>
    <n v="530641.91599999997"/>
    <n v="140182.47961611126"/>
    <n v="2.5"/>
    <n v="0"/>
    <n v="0"/>
    <n v="-125000"/>
    <n v="3.7853654568898993"/>
    <n v="-125000"/>
    <n v="-33021.91067773453"/>
    <n v="-125000"/>
  </r>
  <r>
    <x v="39"/>
    <s v="COPT1"/>
    <x v="41"/>
    <n v="527186.46"/>
    <n v="139269.6335410485"/>
    <n v="2.5"/>
    <n v="0"/>
    <n v="0"/>
    <n v="0"/>
    <n v="3.7853654568898993"/>
    <n v="0"/>
    <n v="0"/>
    <n v="0"/>
  </r>
  <r>
    <x v="40"/>
    <s v="COPT1"/>
    <x v="41"/>
    <n v="470825.98"/>
    <n v="124380.58765053458"/>
    <n v="2.5"/>
    <n v="0"/>
    <n v="0"/>
    <n v="-50000"/>
    <n v="3.7853654568898993"/>
    <n v="-50000"/>
    <n v="-13208.764271093811"/>
    <n v="-50000"/>
  </r>
  <r>
    <x v="41"/>
    <s v="COPT1"/>
    <x v="41"/>
    <n v="468117.78"/>
    <n v="123665.14814255506"/>
    <n v="2.5"/>
    <n v="0"/>
    <n v="0"/>
    <n v="0"/>
    <n v="3.7853654568898993"/>
    <n v="0"/>
    <n v="0"/>
    <n v="0"/>
  </r>
  <r>
    <x v="42"/>
    <s v="COPT1"/>
    <x v="41"/>
    <n v="465015.43599999999"/>
    <n v="122845.5855308782"/>
    <n v="2.5"/>
    <n v="0"/>
    <n v="0"/>
    <n v="0"/>
    <n v="3.7853654568898993"/>
    <n v="0"/>
    <n v="0"/>
    <n v="0"/>
  </r>
  <r>
    <x v="43"/>
    <s v="COPT1"/>
    <x v="41"/>
    <n v="487585.83600000001"/>
    <n v="128808.12739296413"/>
    <n v="2.5"/>
    <n v="0"/>
    <n v="0"/>
    <n v="0"/>
    <n v="3.7853654568898993"/>
    <n v="0"/>
    <n v="0"/>
    <n v="0"/>
  </r>
  <r>
    <x v="44"/>
    <s v="COPT1"/>
    <x v="41"/>
    <n v="488484.26"/>
    <n v="129045.46880959399"/>
    <n v="2.5"/>
    <n v="0"/>
    <n v="0"/>
    <n v="0"/>
    <n v="3.7853654568898993"/>
    <n v="0"/>
    <n v="0"/>
    <n v="0"/>
  </r>
  <r>
    <x v="181"/>
    <s v="COPT1"/>
    <x v="41"/>
    <n v="467610.12400000001"/>
    <n v="123531.03797385893"/>
    <n v="2.5"/>
    <n v="0"/>
    <n v="0"/>
    <n v="0"/>
    <n v="3.7853654568898993"/>
    <n v="0"/>
    <n v="0"/>
    <n v="0"/>
  </r>
  <r>
    <x v="182"/>
    <s v="COPT1"/>
    <x v="41"/>
    <n v="439319.804"/>
    <n v="116057.43461318272"/>
    <n v="2.5"/>
    <n v="0"/>
    <n v="0"/>
    <n v="0"/>
    <n v="3.7853654568898993"/>
    <n v="0"/>
    <n v="0"/>
    <n v="0"/>
  </r>
  <r>
    <x v="183"/>
    <s v="COPT1"/>
    <x v="41"/>
    <n v="380249.12400000001"/>
    <n v="100452.42086411841"/>
    <n v="2.5"/>
    <n v="0"/>
    <n v="0"/>
    <n v="-60000"/>
    <n v="3.7853654568898993"/>
    <n v="-60000"/>
    <n v="-15850.517125312572"/>
    <n v="-60000"/>
  </r>
  <r>
    <x v="184"/>
    <s v="COPT1"/>
    <x v="41"/>
    <n v="377084.1115"/>
    <n v="99616.302783567095"/>
    <n v="2.5"/>
    <n v="0"/>
    <n v="0"/>
    <n v="0"/>
    <n v="3.7853654568898993"/>
    <n v="0"/>
    <n v="0"/>
    <n v="0"/>
  </r>
  <r>
    <x v="185"/>
    <s v="COPT1"/>
    <x v="41"/>
    <n v="393289.81140000001"/>
    <n v="103897.44818011086"/>
    <n v="2.5"/>
    <n v="0"/>
    <n v="0"/>
    <n v="0"/>
    <n v="3.7853654568898993"/>
    <n v="0"/>
    <n v="0"/>
    <n v="0"/>
  </r>
  <r>
    <x v="186"/>
    <s v="COPT1"/>
    <x v="41"/>
    <n v="332170.0001"/>
    <n v="87751.104585002147"/>
    <n v="2.5"/>
    <n v="0"/>
    <n v="0"/>
    <n v="-58750"/>
    <n v="3.7853654568898993"/>
    <n v="-58750"/>
    <n v="-15520.298018535228"/>
    <n v="-58750"/>
  </r>
  <r>
    <x v="187"/>
    <s v="COPT1"/>
    <x v="41"/>
    <n v="337898.42499999999"/>
    <n v="89264.412867977429"/>
    <n v="2.5"/>
    <n v="0"/>
    <n v="0"/>
    <n v="0"/>
    <n v="3.7853654568898993"/>
    <n v="0"/>
    <n v="0"/>
    <n v="0"/>
  </r>
  <r>
    <x v="188"/>
    <s v="COPT1"/>
    <x v="41"/>
    <n v="340065.67599999998"/>
    <n v="89836.947019483268"/>
    <n v="2.5"/>
    <n v="0"/>
    <n v="0"/>
    <n v="0"/>
    <n v="3.7853654568898993"/>
    <n v="0"/>
    <n v="0"/>
    <n v="0"/>
  </r>
  <r>
    <x v="189"/>
    <s v="COPT1"/>
    <x v="41"/>
    <n v="335951.05670000002"/>
    <n v="88749.966291503428"/>
    <n v="2.5"/>
    <n v="0"/>
    <n v="0"/>
    <n v="0"/>
    <n v="3.7853654568898993"/>
    <n v="0"/>
    <n v="0"/>
    <n v="0"/>
  </r>
  <r>
    <x v="190"/>
    <s v="COPT1"/>
    <x v="41"/>
    <n v="291538.7746"/>
    <n v="77017.33899149904"/>
    <n v="2.5"/>
    <n v="0"/>
    <n v="0"/>
    <n v="-31250"/>
    <n v="3.7853654568898993"/>
    <n v="-31250"/>
    <n v="-8255.4776694336324"/>
    <n v="-31250"/>
  </r>
  <r>
    <x v="191"/>
    <s v="COPT1"/>
    <x v="41"/>
    <n v="300387.94050000003"/>
    <n v="79355.069918877081"/>
    <n v="2.5"/>
    <n v="0"/>
    <n v="0"/>
    <n v="0"/>
    <n v="3.7853654568898993"/>
    <n v="0"/>
    <n v="0"/>
    <n v="0"/>
  </r>
  <r>
    <x v="192"/>
    <s v="COPT1"/>
    <x v="41"/>
    <n v="298100.16950000002"/>
    <n v="78750.697361972183"/>
    <n v="2.5"/>
    <n v="0"/>
    <n v="0"/>
    <n v="0"/>
    <n v="3.7853654568898993"/>
    <n v="0"/>
    <n v="0"/>
    <n v="0"/>
  </r>
  <r>
    <x v="193"/>
    <s v="COPT1"/>
    <x v="41"/>
    <n v="295508.35840000003"/>
    <n v="78066.004924870096"/>
    <n v="2.5"/>
    <n v="0"/>
    <n v="0"/>
    <n v="0"/>
    <n v="3.7853654568898993"/>
    <n v="0"/>
    <n v="0"/>
    <n v="0"/>
  </r>
  <r>
    <x v="1"/>
    <s v="COPT1"/>
    <x v="41"/>
    <n v="259309.42220000003"/>
    <n v="68503.140622266816"/>
    <n v="2.5"/>
    <n v="0"/>
    <n v="-2.9103830456733704E-11"/>
    <n v="-36250"/>
    <n v="3.7853654568898993"/>
    <n v="-36250.000000000029"/>
    <n v="-9576.3540965430129"/>
    <n v="-36250.000000000029"/>
  </r>
  <r>
    <x v="2"/>
    <s v="COPT1"/>
    <x v="41"/>
    <n v="198343.4"/>
    <n v="52397.424306545363"/>
    <n v="2.5"/>
    <n v="0"/>
    <n v="0"/>
    <n v="-50000"/>
    <n v="3.7853654568898993"/>
    <n v="-50000"/>
    <n v="-13208.764271093811"/>
    <n v="-50000"/>
  </r>
  <r>
    <x v="3"/>
    <s v="COPT1"/>
    <x v="41"/>
    <n v="189966.67"/>
    <n v="50184.49926789337"/>
    <n v="2.5"/>
    <n v="0"/>
    <n v="0"/>
    <n v="0"/>
    <n v="3.7853654568898993"/>
    <n v="0"/>
    <n v="0"/>
    <n v="0"/>
  </r>
  <r>
    <x v="4"/>
    <s v="COPT1"/>
    <x v="41"/>
    <n v="196683.14"/>
    <n v="51958.824647170841"/>
    <n v="2.5"/>
    <n v="0"/>
    <n v="0"/>
    <n v="0"/>
    <n v="3.7853654568898993"/>
    <n v="0"/>
    <n v="0"/>
    <n v="0"/>
  </r>
  <r>
    <x v="5"/>
    <s v="COPT1"/>
    <x v="41"/>
    <n v="195856.66"/>
    <n v="51740.489057275365"/>
    <n v="2.5"/>
    <n v="0"/>
    <n v="0"/>
    <n v="0"/>
    <n v="3.7853654568898993"/>
    <n v="0"/>
    <n v="0"/>
    <n v="0"/>
  </r>
  <r>
    <x v="6"/>
    <s v="COPT1"/>
    <x v="41"/>
    <n v="206462.21040000001"/>
    <n v="54542.213361251459"/>
    <n v="2.5"/>
    <n v="0"/>
    <n v="0"/>
    <n v="0"/>
    <n v="3.7853654568898993"/>
    <n v="0"/>
    <n v="0"/>
    <n v="0"/>
  </r>
  <r>
    <x v="7"/>
    <s v="COPT1"/>
    <x v="41"/>
    <n v="209967.08970000001"/>
    <n v="55468.115850698188"/>
    <n v="2.5"/>
    <n v="0"/>
    <n v="0"/>
    <n v="0"/>
    <n v="3.7853654568898993"/>
    <n v="0"/>
    <n v="0"/>
    <n v="0"/>
  </r>
  <r>
    <x v="8"/>
    <s v="COPT1"/>
    <x v="41"/>
    <n v="217211.89790000001"/>
    <n v="57382.015124759935"/>
    <n v="2.5"/>
    <n v="0"/>
    <n v="0"/>
    <n v="0"/>
    <n v="3.7853654568898993"/>
    <n v="0"/>
    <n v="0"/>
    <n v="0"/>
  </r>
  <r>
    <x v="9"/>
    <s v="COPT1"/>
    <x v="41"/>
    <n v="240327.4387"/>
    <n v="63488.569713280958"/>
    <n v="2.5"/>
    <n v="0"/>
    <n v="0"/>
    <n v="0"/>
    <n v="3.7853654568898993"/>
    <n v="0"/>
    <n v="0"/>
    <n v="0"/>
  </r>
  <r>
    <x v="10"/>
    <s v="COPT1"/>
    <x v="41"/>
    <n v="251882.35339999999"/>
    <n v="66541.092602178891"/>
    <n v="2.5"/>
    <n v="0"/>
    <n v="0"/>
    <n v="0"/>
    <n v="3.7853654568898993"/>
    <n v="0"/>
    <n v="0"/>
    <n v="0"/>
  </r>
  <r>
    <x v="11"/>
    <s v="COPT1"/>
    <x v="41"/>
    <n v="270603.0417"/>
    <n v="71486.635777125368"/>
    <n v="2.5"/>
    <n v="0"/>
    <n v="0"/>
    <n v="0"/>
    <n v="3.7853654568898993"/>
    <n v="0"/>
    <n v="0"/>
    <n v="0"/>
  </r>
  <r>
    <x v="12"/>
    <s v="COPT1"/>
    <x v="41"/>
    <n v="293602.46950000001"/>
    <n v="77562.516180730207"/>
    <n v="2.5"/>
    <n v="0"/>
    <n v="0"/>
    <n v="0"/>
    <n v="3.7853654568898993"/>
    <n v="0"/>
    <n v="0"/>
    <n v="0"/>
  </r>
  <r>
    <x v="13"/>
    <s v="COPT1"/>
    <x v="41"/>
    <n v="235461.14360000001"/>
    <n v="62203.014816291383"/>
    <n v="2.5"/>
    <n v="0"/>
    <n v="0"/>
    <n v="-37500"/>
    <n v="3.7853654568898993"/>
    <n v="-37500"/>
    <n v="-9906.5732033203585"/>
    <n v="-37500"/>
  </r>
  <r>
    <x v="14"/>
    <s v="COPT1"/>
    <x v="41"/>
    <n v="177826.60140000001"/>
    <n v="46977.393180447216"/>
    <n v="2.5"/>
    <n v="0"/>
    <n v="0"/>
    <n v="-60000"/>
    <n v="3.7853654568898993"/>
    <n v="-60000"/>
    <n v="-15850.517125312572"/>
    <n v="-60000"/>
  </r>
  <r>
    <x v="15"/>
    <s v="COPT1"/>
    <x v="41"/>
    <n v="180923.18410000001"/>
    <n v="47795.43379905216"/>
    <n v="2.5"/>
    <n v="0"/>
    <n v="0"/>
    <n v="0"/>
    <n v="3.7853654568898993"/>
    <n v="0"/>
    <n v="0"/>
    <n v="0"/>
  </r>
  <r>
    <x v="16"/>
    <s v="COPT1"/>
    <x v="41"/>
    <n v="183475.82620000001"/>
    <n v="48469.778754399558"/>
    <n v="2.5"/>
    <n v="0"/>
    <n v="0"/>
    <n v="0"/>
    <n v="3.7853654568898993"/>
    <n v="0"/>
    <n v="0"/>
    <n v="0"/>
  </r>
  <r>
    <x v="17"/>
    <s v="COPT1"/>
    <x v="41"/>
    <n v="144947.53539999999"/>
    <n v="38291.556535492506"/>
    <n v="2.5"/>
    <n v="0"/>
    <n v="0"/>
    <n v="-37500"/>
    <n v="3.7853654568898993"/>
    <n v="-37500"/>
    <n v="-9906.5732033203585"/>
    <n v="-37500"/>
  </r>
  <r>
    <x v="18"/>
    <s v="COPT1"/>
    <x v="41"/>
    <n v="144926.28599999999"/>
    <n v="38285.942969182463"/>
    <n v="2.5"/>
    <n v="0"/>
    <n v="0"/>
    <n v="0"/>
    <n v="3.7853654568898993"/>
    <n v="0"/>
    <n v="0"/>
    <n v="0"/>
  </r>
  <r>
    <x v="19"/>
    <s v="COPT1"/>
    <x v="41"/>
    <n v="142215.29800000001"/>
    <n v="37569.766940507187"/>
    <n v="2.5"/>
    <n v="0"/>
    <n v="0"/>
    <n v="0"/>
    <n v="3.7853654568898993"/>
    <n v="0"/>
    <n v="0"/>
    <n v="0"/>
  </r>
  <r>
    <x v="20"/>
    <s v="COPT1"/>
    <x v="41"/>
    <n v="142299.9915"/>
    <n v="37592.140870043062"/>
    <n v="2.5"/>
    <n v="0"/>
    <n v="0"/>
    <n v="0"/>
    <n v="3.7853654568898993"/>
    <n v="0"/>
    <n v="0"/>
    <n v="0"/>
  </r>
  <r>
    <x v="21"/>
    <s v="COPT1"/>
    <x v="41"/>
    <n v="86270.338000000003"/>
    <n v="22790.491164591735"/>
    <n v="2.5"/>
    <n v="0"/>
    <n v="0"/>
    <n v="-52500"/>
    <n v="3.7853654568898993"/>
    <n v="-52500"/>
    <n v="-13869.2024846485"/>
    <n v="-52500"/>
  </r>
  <r>
    <x v="22"/>
    <s v="COPT1"/>
    <x v="41"/>
    <n v="87700"/>
    <n v="23168.172531498545"/>
    <n v="2.5"/>
    <n v="0"/>
    <n v="0"/>
    <n v="0"/>
    <n v="3.7853654568898993"/>
    <n v="0"/>
    <n v="0"/>
    <n v="0"/>
  </r>
  <r>
    <x v="23"/>
    <s v="COPT1"/>
    <x v="41"/>
    <n v="85400"/>
    <n v="22560.56937502823"/>
    <n v="2.5"/>
    <n v="0"/>
    <n v="0"/>
    <n v="0"/>
    <n v="3.7853654568898993"/>
    <n v="0"/>
    <n v="0"/>
    <n v="0"/>
  </r>
  <r>
    <x v="24"/>
    <s v="COPT1"/>
    <x v="41"/>
    <n v="141900"/>
    <n v="37486.473001364233"/>
    <n v="2.5"/>
    <n v="0"/>
    <n v="0"/>
    <n v="0"/>
    <n v="3.7853654568898993"/>
    <n v="0"/>
    <n v="0"/>
    <n v="0"/>
  </r>
  <r>
    <x v="25"/>
    <s v="COPT1"/>
    <x v="41"/>
    <n v="141300"/>
    <n v="37327.967830111105"/>
    <n v="2.5"/>
    <n v="0"/>
    <n v="0"/>
    <n v="0"/>
    <n v="3.7853654568898993"/>
    <n v="0"/>
    <n v="0"/>
    <n v="0"/>
  </r>
  <r>
    <x v="26"/>
    <s v="COPT1"/>
    <x v="41"/>
    <n v="77100"/>
    <n v="20367.914506026656"/>
    <n v="2.5"/>
    <n v="0"/>
    <n v="0"/>
    <n v="-63053.37999999999"/>
    <n v="3.7853654568898993"/>
    <n v="-63053.37999999999"/>
    <n v="-16657.144658314017"/>
    <n v="-63053.37999999999"/>
  </r>
  <r>
    <x v="27"/>
    <s v="COPT1"/>
    <x v="41"/>
    <n v="76000"/>
    <n v="20077.321692062593"/>
    <n v="2.5"/>
    <n v="0"/>
    <n v="0"/>
    <n v="0"/>
    <n v="3.7853654568898993"/>
    <n v="0"/>
    <n v="0"/>
    <n v="0"/>
  </r>
  <r>
    <x v="28"/>
    <s v="COPT1"/>
    <x v="41"/>
    <n v="77700"/>
    <n v="20526.41967727978"/>
    <n v="2.5"/>
    <n v="0"/>
    <n v="0"/>
    <n v="0"/>
    <n v="3.7853654568898993"/>
    <n v="0"/>
    <n v="0"/>
    <n v="0"/>
  </r>
  <r>
    <x v="29"/>
    <s v="COPT1"/>
    <x v="41"/>
    <n v="33381.375999999997"/>
    <n v="8818.5345325749677"/>
    <n v="2.5"/>
    <n v="0"/>
    <n v="0"/>
    <n v="-44100.67"/>
    <n v="3.7853654568898993"/>
    <n v="-44100.67"/>
    <n v="-11650.307084545973"/>
    <n v="-44100.67"/>
  </r>
  <r>
    <x v="30"/>
    <s v="COPT1"/>
    <x v="41"/>
    <n v="33381.375999999997"/>
    <n v="8818.5345325749677"/>
    <n v="2.5"/>
    <n v="0"/>
    <n v="0"/>
    <n v="-44100.67"/>
    <n v="3.7853654568898993"/>
    <n v="-44100.67"/>
    <n v="-11650.307084545973"/>
    <n v="-77482.046000000002"/>
  </r>
  <r>
    <x v="152"/>
    <s v="COPT1"/>
    <x v="42"/>
    <n v="5881830.4138641013"/>
    <n v="5932086.5942141199"/>
    <n v="21.6"/>
    <n v="5832000"/>
    <n v="0"/>
    <n v="0"/>
    <n v="0.99152807708521384"/>
    <n v="5832000"/>
    <n v="5932086.5942141199"/>
    <n v="5832000"/>
  </r>
  <r>
    <x v="153"/>
    <s v="COPT1"/>
    <x v="42"/>
    <n v="8303999.8597596977"/>
    <n v="5934208.6211567139"/>
    <n v="21.6"/>
    <n v="2419200"/>
    <n v="0"/>
    <n v="0"/>
    <n v="1.3993441063319167"/>
    <n v="2419200"/>
    <n v="0"/>
    <n v="2419200"/>
  </r>
  <r>
    <x v="154"/>
    <s v="COPT1"/>
    <x v="42"/>
    <n v="8197024.5573718296"/>
    <n v="5857761.8759252774"/>
    <n v="21.6"/>
    <n v="0"/>
    <n v="0"/>
    <n v="0"/>
    <n v="1.3993441063319167"/>
    <n v="0"/>
    <n v="0"/>
    <n v="0"/>
  </r>
  <r>
    <x v="155"/>
    <s v="COPT1"/>
    <x v="42"/>
    <n v="10689839.874732964"/>
    <n v="5946778.7081141779"/>
    <n v="21.6"/>
    <n v="2332800"/>
    <n v="0"/>
    <n v="0"/>
    <n v="1.7975849446267504"/>
    <n v="2332800"/>
    <n v="0"/>
    <n v="2332800"/>
  </r>
  <r>
    <x v="156"/>
    <s v="COPT1"/>
    <x v="42"/>
    <n v="11060972.135927849"/>
    <n v="5812633.3762019267"/>
    <n v="21.6"/>
    <n v="626400"/>
    <n v="0"/>
    <n v="0"/>
    <n v="1.9029192828871095"/>
    <n v="626400"/>
    <n v="0"/>
    <n v="626400"/>
  </r>
  <r>
    <x v="157"/>
    <s v="COPT1"/>
    <x v="42"/>
    <n v="11936365.475471746"/>
    <n v="5735082.093935485"/>
    <n v="21.6"/>
    <n v="1036800"/>
    <n v="0"/>
    <n v="0"/>
    <n v="2.0812893834760895"/>
    <n v="1036800"/>
    <n v="0"/>
    <n v="1036800"/>
  </r>
  <r>
    <x v="158"/>
    <s v="COPT1"/>
    <x v="42"/>
    <n v="11761832.851621341"/>
    <n v="5651224.1618112614"/>
    <n v="21.6"/>
    <n v="0"/>
    <n v="0"/>
    <n v="0"/>
    <n v="2.0812893834760895"/>
    <n v="0"/>
    <n v="0"/>
    <n v="0"/>
  </r>
  <r>
    <x v="159"/>
    <s v="COPT1"/>
    <x v="42"/>
    <n v="13174938.9966515"/>
    <n v="5759065.0201608147"/>
    <n v="21.6"/>
    <n v="1166400"/>
    <n v="0"/>
    <n v="0"/>
    <n v="2.2876871420152165"/>
    <n v="1166400"/>
    <n v="0"/>
    <n v="1166400"/>
  </r>
  <r>
    <x v="160"/>
    <s v="COPT1"/>
    <x v="42"/>
    <n v="19070372.654865604"/>
    <n v="5844706.1159444368"/>
    <n v="21.6"/>
    <n v="5616000"/>
    <n v="0"/>
    <n v="0"/>
    <n v="3.2628454325259182"/>
    <n v="5616000"/>
    <n v="0"/>
    <n v="5616000"/>
  </r>
  <r>
    <x v="161"/>
    <s v="COPT1"/>
    <x v="42"/>
    <n v="18987162.529326625"/>
    <n v="5819203.7968000807"/>
    <n v="21.6"/>
    <n v="0"/>
    <n v="0"/>
    <n v="0"/>
    <n v="3.2628454325259182"/>
    <n v="0"/>
    <n v="0"/>
    <n v="0"/>
  </r>
  <r>
    <x v="162"/>
    <s v="COPT1"/>
    <x v="42"/>
    <n v="21773988.077221259"/>
    <n v="5877625.2611154309"/>
    <n v="21.6"/>
    <n v="2570400"/>
    <n v="0"/>
    <n v="0"/>
    <n v="3.7045553450423756"/>
    <n v="2570400"/>
    <n v="0"/>
    <n v="2570400"/>
  </r>
  <r>
    <x v="163"/>
    <s v="COPT1"/>
    <x v="42"/>
    <n v="22206005.1703123"/>
    <n v="5994243.0607844759"/>
    <n v="21.6"/>
    <n v="0"/>
    <n v="0"/>
    <n v="0"/>
    <n v="3.7045553450423756"/>
    <n v="0"/>
    <n v="0"/>
    <n v="0"/>
  </r>
  <r>
    <x v="164"/>
    <s v="COPT1"/>
    <x v="42"/>
    <n v="22709731.070482198"/>
    <n v="6130217.7873718413"/>
    <n v="21.6"/>
    <n v="0"/>
    <n v="0"/>
    <n v="0"/>
    <n v="3.7045553450423756"/>
    <n v="0"/>
    <n v="0"/>
    <n v="0"/>
  </r>
  <r>
    <x v="165"/>
    <s v="COPT1"/>
    <x v="42"/>
    <n v="22793766.635628801"/>
    <n v="6152902.1738418834"/>
    <n v="21.6"/>
    <n v="0"/>
    <n v="0"/>
    <n v="0"/>
    <n v="3.7045553450423756"/>
    <n v="0"/>
    <n v="0"/>
    <n v="0"/>
  </r>
  <r>
    <x v="166"/>
    <s v="COPT1"/>
    <x v="42"/>
    <n v="17140938.4730247"/>
    <n v="4626989.4431361584"/>
    <n v="21.6"/>
    <n v="0"/>
    <n v="0"/>
    <n v="-5491429.75"/>
    <n v="3.7045553450423756"/>
    <n v="-5491429.75"/>
    <n v="-1482345.1773635696"/>
    <n v="-5491429.75"/>
  </r>
  <r>
    <x v="167"/>
    <s v="COPT1"/>
    <x v="42"/>
    <n v="17390320.8747258"/>
    <n v="4694307.2123347847"/>
    <n v="21.6"/>
    <n v="0"/>
    <n v="0"/>
    <n v="0"/>
    <n v="3.7045553450423756"/>
    <n v="0"/>
    <n v="0"/>
    <n v="0"/>
  </r>
  <r>
    <x v="168"/>
    <s v="COPT1"/>
    <x v="42"/>
    <n v="17407868.377999999"/>
    <n v="4699043.9490386052"/>
    <n v="21.6"/>
    <n v="0"/>
    <n v="0"/>
    <n v="0"/>
    <n v="3.7045553450423756"/>
    <n v="0"/>
    <n v="0"/>
    <n v="0"/>
  </r>
  <r>
    <x v="169"/>
    <s v="COPT1"/>
    <x v="42"/>
    <n v="17178589.282000002"/>
    <n v="4637152.8245594343"/>
    <n v="21.6"/>
    <n v="0"/>
    <n v="0"/>
    <n v="0"/>
    <n v="3.7045553450423756"/>
    <n v="0"/>
    <n v="0"/>
    <n v="0"/>
  </r>
  <r>
    <x v="170"/>
    <s v="COPT1"/>
    <x v="42"/>
    <n v="15083813.619999999"/>
    <n v="4071693.4193427358"/>
    <n v="21.6"/>
    <n v="0"/>
    <n v="0"/>
    <n v="-2258158.0299999998"/>
    <n v="3.7045553450423756"/>
    <n v="-2258158.0299999998"/>
    <n v="-609562.50337087875"/>
    <n v="-2258158.0299999998"/>
  </r>
  <r>
    <x v="171"/>
    <s v="COPT1"/>
    <x v="42"/>
    <n v="15119541.995999999"/>
    <n v="4081337.8631888279"/>
    <n v="21.6"/>
    <n v="0"/>
    <n v="0"/>
    <n v="0"/>
    <n v="3.7045553450423756"/>
    <n v="0"/>
    <n v="0"/>
    <n v="0"/>
  </r>
  <r>
    <x v="172"/>
    <s v="COPT1"/>
    <x v="42"/>
    <n v="15350965.075999999"/>
    <n v="4143807.7302700961"/>
    <n v="21.6"/>
    <n v="0"/>
    <n v="0"/>
    <n v="0"/>
    <n v="3.7045553450423756"/>
    <n v="0"/>
    <n v="0"/>
    <n v="0"/>
  </r>
  <r>
    <x v="173"/>
    <s v="COPT1"/>
    <x v="42"/>
    <n v="11622636.412"/>
    <n v="3137390.4097705013"/>
    <n v="21.6"/>
    <n v="0"/>
    <n v="0"/>
    <n v="-4311028.96"/>
    <n v="3.7045553450423756"/>
    <n v="-4311028.96"/>
    <n v="-1163710.2319902545"/>
    <n v="-4311028.96"/>
  </r>
  <r>
    <x v="174"/>
    <s v="COPT1"/>
    <x v="42"/>
    <n v="11478019.98"/>
    <n v="3098352.9495275244"/>
    <n v="21.6"/>
    <n v="0"/>
    <n v="0"/>
    <n v="0"/>
    <n v="3.7045553450423756"/>
    <n v="0"/>
    <n v="0"/>
    <n v="0"/>
  </r>
  <r>
    <x v="175"/>
    <s v="COPT1"/>
    <x v="42"/>
    <n v="9507131.5940000005"/>
    <n v="2566335.4191004131"/>
    <n v="21.6"/>
    <n v="0"/>
    <n v="0"/>
    <n v="-1529388.85"/>
    <n v="3.7045553450423756"/>
    <n v="-1529388.85"/>
    <n v="-412840.05975149112"/>
    <n v="-1529388.85"/>
  </r>
  <r>
    <x v="176"/>
    <s v="COPT1"/>
    <x v="42"/>
    <n v="9232811.9539999999"/>
    <n v="2492286.143424964"/>
    <n v="21.6"/>
    <n v="0"/>
    <n v="0"/>
    <n v="0"/>
    <n v="3.7045553450423756"/>
    <n v="0"/>
    <n v="0"/>
    <n v="0"/>
  </r>
  <r>
    <x v="177"/>
    <s v="COPT1"/>
    <x v="42"/>
    <n v="8314489.0260000005"/>
    <n v="2244395.9535189215"/>
    <n v="21.6"/>
    <n v="0"/>
    <n v="0"/>
    <n v="-1016171.1200000001"/>
    <n v="3.7045553450423756"/>
    <n v="-1016171.1200000001"/>
    <n v="-274303.12827149202"/>
    <n v="-1016171.1200000001"/>
  </r>
  <r>
    <x v="178"/>
    <s v="COPT1"/>
    <x v="42"/>
    <n v="8309051.898"/>
    <n v="2242928.2664435278"/>
    <n v="21.6"/>
    <n v="0"/>
    <n v="0"/>
    <n v="0"/>
    <n v="3.7045553450423756"/>
    <n v="0"/>
    <n v="0"/>
    <n v="0"/>
  </r>
  <r>
    <x v="179"/>
    <s v="COPT1"/>
    <x v="42"/>
    <n v="8006385.7860000012"/>
    <n v="2161227.2028043945"/>
    <n v="21.6"/>
    <n v="0"/>
    <n v="-9.3132257461547852E-10"/>
    <n v="0"/>
    <n v="3.7045553450423756"/>
    <n v="-9.3132257461547852E-10"/>
    <n v="0"/>
    <n v="-9.3132257461547852E-10"/>
  </r>
  <r>
    <x v="180"/>
    <s v="COPT1"/>
    <x v="42"/>
    <n v="7816696.9539999999"/>
    <n v="2110022.9922224544"/>
    <n v="21.6"/>
    <n v="0"/>
    <n v="0"/>
    <n v="0"/>
    <n v="3.7045553450423756"/>
    <n v="0"/>
    <n v="0"/>
    <n v="0"/>
  </r>
  <r>
    <x v="32"/>
    <s v="COPT1"/>
    <x v="42"/>
    <n v="6214611.7300000004"/>
    <n v="1677559.4237825896"/>
    <n v="21.6"/>
    <n v="0"/>
    <n v="0"/>
    <n v="-1693618.52"/>
    <n v="3.7045553450423756"/>
    <n v="-1693618.52"/>
    <n v="-457171.87685331423"/>
    <n v="-1693618.52"/>
  </r>
  <r>
    <x v="33"/>
    <s v="COPT1"/>
    <x v="42"/>
    <n v="6273667.7139999997"/>
    <n v="1693500.8738351665"/>
    <n v="21.6"/>
    <n v="0"/>
    <n v="0"/>
    <n v="0"/>
    <n v="3.7045553450423756"/>
    <n v="0"/>
    <n v="0"/>
    <n v="0"/>
  </r>
  <r>
    <x v="34"/>
    <s v="COPT1"/>
    <x v="42"/>
    <n v="6143947.6579999998"/>
    <n v="1658484.5104884566"/>
    <n v="21.6"/>
    <n v="0"/>
    <n v="0"/>
    <n v="0"/>
    <n v="3.7045553450423756"/>
    <n v="0"/>
    <n v="0"/>
    <n v="0"/>
  </r>
  <r>
    <x v="35"/>
    <s v="COPT1"/>
    <x v="42"/>
    <n v="6173033.9780000001"/>
    <n v="1666336.0114894945"/>
    <n v="21.6"/>
    <n v="0"/>
    <n v="0"/>
    <n v="0"/>
    <n v="3.7045553450423756"/>
    <n v="0"/>
    <n v="0"/>
    <n v="0"/>
  </r>
  <r>
    <x v="36"/>
    <s v="COPT1"/>
    <x v="42"/>
    <n v="6044729.7539999997"/>
    <n v="1631701.8349015529"/>
    <n v="21.6"/>
    <n v="0"/>
    <n v="0"/>
    <n v="0"/>
    <n v="3.7045553450423756"/>
    <n v="0"/>
    <n v="0"/>
    <n v="0"/>
  </r>
  <r>
    <x v="37"/>
    <s v="COPT1"/>
    <x v="42"/>
    <n v="5865255.25"/>
    <n v="1583254.8588723834"/>
    <n v="21.6"/>
    <n v="0"/>
    <n v="0"/>
    <n v="0"/>
    <n v="3.7045553450423756"/>
    <n v="0"/>
    <n v="0"/>
    <n v="0"/>
  </r>
  <r>
    <x v="38"/>
    <s v="COPT1"/>
    <x v="42"/>
    <n v="4726009.898"/>
    <n v="1275729.3272253543"/>
    <n v="21.6"/>
    <n v="0"/>
    <n v="0"/>
    <n v="-1080000"/>
    <n v="3.7045553450423756"/>
    <n v="-1080000"/>
    <n v="-291532.96398859605"/>
    <n v="-1080000"/>
  </r>
  <r>
    <x v="39"/>
    <s v="COPT1"/>
    <x v="42"/>
    <n v="4696329.7060000002"/>
    <n v="1267717.5176461779"/>
    <n v="21.6"/>
    <n v="0"/>
    <n v="0"/>
    <n v="0"/>
    <n v="3.7045553450423756"/>
    <n v="0"/>
    <n v="0"/>
    <n v="0"/>
  </r>
  <r>
    <x v="40"/>
    <s v="COPT1"/>
    <x v="42"/>
    <n v="3991671.29"/>
    <n v="1077503.4837424841"/>
    <n v="21.6"/>
    <n v="0"/>
    <n v="0"/>
    <n v="-648000"/>
    <n v="3.7045553450423756"/>
    <n v="-648000"/>
    <n v="-174919.77839315764"/>
    <n v="-648000"/>
  </r>
  <r>
    <x v="41"/>
    <s v="COPT1"/>
    <x v="42"/>
    <n v="3968333.57"/>
    <n v="1071203.7479236545"/>
    <n v="21.6"/>
    <n v="0"/>
    <n v="0"/>
    <n v="0"/>
    <n v="3.7045553450423756"/>
    <n v="0"/>
    <n v="0"/>
    <n v="0"/>
  </r>
  <r>
    <x v="42"/>
    <s v="COPT1"/>
    <x v="42"/>
    <n v="3941840.466"/>
    <n v="1064052.2542807118"/>
    <n v="21.6"/>
    <n v="0"/>
    <n v="0"/>
    <n v="0"/>
    <n v="3.7045553450423756"/>
    <n v="0"/>
    <n v="0"/>
    <n v="0"/>
  </r>
  <r>
    <x v="43"/>
    <s v="COPT1"/>
    <x v="42"/>
    <n v="4137659.6260000006"/>
    <n v="1116911.2729108576"/>
    <n v="21.6"/>
    <n v="0"/>
    <n v="-4.6566128730773926E-10"/>
    <n v="0"/>
    <n v="3.7045553450423756"/>
    <n v="-4.6566128730773926E-10"/>
    <n v="0"/>
    <n v="-4.6566128730773926E-10"/>
  </r>
  <r>
    <x v="44"/>
    <s v="COPT1"/>
    <x v="42"/>
    <n v="4143770.6900000004"/>
    <n v="1118560.880874787"/>
    <n v="21.6"/>
    <n v="0"/>
    <n v="0"/>
    <n v="0"/>
    <n v="3.7045553450423756"/>
    <n v="0"/>
    <n v="0"/>
    <n v="0"/>
  </r>
  <r>
    <x v="181"/>
    <s v="COPT1"/>
    <x v="42"/>
    <n v="3962028.122"/>
    <n v="1069501.6683452139"/>
    <n v="21.6"/>
    <n v="0"/>
    <n v="0"/>
    <n v="0"/>
    <n v="3.7045553450423756"/>
    <n v="0"/>
    <n v="0"/>
    <n v="0"/>
  </r>
  <r>
    <x v="182"/>
    <s v="COPT1"/>
    <x v="42"/>
    <n v="3717759.3539999998"/>
    <n v="1003564.2628406928"/>
    <n v="21.6"/>
    <n v="0"/>
    <n v="0"/>
    <n v="0"/>
    <n v="3.7045553450423756"/>
    <n v="0"/>
    <n v="0"/>
    <n v="0"/>
  </r>
  <r>
    <x v="183"/>
    <s v="COPT1"/>
    <x v="42"/>
    <n v="3209316.37"/>
    <n v="866316.21641039068"/>
    <n v="21.6"/>
    <n v="0"/>
    <n v="0"/>
    <n v="-518400"/>
    <n v="3.7045553450423756"/>
    <n v="-518400"/>
    <n v="-139935.82271452612"/>
    <n v="-518400"/>
  </r>
  <r>
    <x v="184"/>
    <s v="COPT1"/>
    <x v="42"/>
    <n v="3179390.8892999999"/>
    <n v="858238.1941073772"/>
    <n v="21.6"/>
    <n v="0"/>
    <n v="0"/>
    <n v="0"/>
    <n v="3.7045553450423756"/>
    <n v="0"/>
    <n v="0"/>
    <n v="0"/>
  </r>
  <r>
    <x v="185"/>
    <s v="COPT1"/>
    <x v="42"/>
    <n v="3319515.1650999999"/>
    <n v="896063.05100620072"/>
    <n v="21.6"/>
    <n v="0"/>
    <n v="0"/>
    <n v="0"/>
    <n v="3.7045553450423756"/>
    <n v="0"/>
    <n v="0"/>
    <n v="0"/>
  </r>
  <r>
    <x v="186"/>
    <s v="COPT1"/>
    <x v="42"/>
    <n v="2790645.7563999998"/>
    <n v="753301.13778286078"/>
    <n v="21.6"/>
    <n v="0"/>
    <n v="0"/>
    <n v="-507600.00000000006"/>
    <n v="3.7045553450423756"/>
    <n v="-507600.00000000006"/>
    <n v="-137020.49307464017"/>
    <n v="-507600.00000000006"/>
  </r>
  <r>
    <x v="187"/>
    <s v="COPT1"/>
    <x v="42"/>
    <n v="2838513.8612000002"/>
    <n v="766222.55488736148"/>
    <n v="21.6"/>
    <n v="0"/>
    <n v="0"/>
    <n v="0"/>
    <n v="3.7045553450423756"/>
    <n v="0"/>
    <n v="0"/>
    <n v="0"/>
  </r>
  <r>
    <x v="188"/>
    <s v="COPT1"/>
    <x v="42"/>
    <n v="2857554.9268"/>
    <n v="771362.46071316639"/>
    <n v="21.6"/>
    <n v="0"/>
    <n v="0"/>
    <n v="0"/>
    <n v="3.7045553450423756"/>
    <n v="0"/>
    <n v="0"/>
    <n v="0"/>
  </r>
  <r>
    <x v="189"/>
    <s v="COPT1"/>
    <x v="42"/>
    <n v="2822405.6140999999"/>
    <n v="761874.32801539509"/>
    <n v="21.6"/>
    <n v="0"/>
    <n v="0"/>
    <n v="0"/>
    <n v="3.7045553450423756"/>
    <n v="0"/>
    <n v="0"/>
    <n v="0"/>
  </r>
  <r>
    <x v="190"/>
    <s v="COPT1"/>
    <x v="42"/>
    <n v="2439555.3780999999"/>
    <n v="658528.5279553826"/>
    <n v="21.6"/>
    <n v="0"/>
    <n v="0"/>
    <n v="-270000"/>
    <n v="3.7045553450423756"/>
    <n v="-270000"/>
    <n v="-72883.240997149012"/>
    <n v="-270000"/>
  </r>
  <r>
    <x v="191"/>
    <s v="COPT1"/>
    <x v="42"/>
    <n v="2518431.3502000002"/>
    <n v="679820.14456074825"/>
    <n v="21.6"/>
    <n v="0"/>
    <n v="0"/>
    <n v="0"/>
    <n v="3.7045553450423756"/>
    <n v="0"/>
    <n v="0"/>
    <n v="0"/>
  </r>
  <r>
    <x v="192"/>
    <s v="COPT1"/>
    <x v="42"/>
    <n v="2499237.2086999998"/>
    <n v="674638.91774342267"/>
    <n v="21.6"/>
    <n v="0"/>
    <n v="0"/>
    <n v="0"/>
    <n v="3.7045553450423756"/>
    <n v="0"/>
    <n v="0"/>
    <n v="0"/>
  </r>
  <r>
    <x v="193"/>
    <s v="COPT1"/>
    <x v="42"/>
    <n v="2474293.9232999999"/>
    <n v="667905.778924649"/>
    <n v="21.6"/>
    <n v="0"/>
    <n v="0"/>
    <n v="0"/>
    <n v="3.7045553450423756"/>
    <n v="0"/>
    <n v="0"/>
    <n v="0"/>
  </r>
  <r>
    <x v="1"/>
    <s v="COPT1"/>
    <x v="42"/>
    <n v="2160366.0350000001"/>
    <n v="583164.73470726027"/>
    <n v="21.6"/>
    <n v="0"/>
    <n v="0"/>
    <n v="-313200"/>
    <n v="3.7045553450423756"/>
    <n v="-313200"/>
    <n v="-84544.559556692868"/>
    <n v="-313200"/>
  </r>
  <r>
    <x v="2"/>
    <s v="COPT1"/>
    <x v="42"/>
    <n v="1634391.7"/>
    <n v="441184.31168459286"/>
    <n v="21.6"/>
    <n v="0"/>
    <n v="0"/>
    <n v="-432000"/>
    <n v="3.7045553450423756"/>
    <n v="-432000"/>
    <n v="-116613.18559543844"/>
    <n v="-432000"/>
  </r>
  <r>
    <x v="3"/>
    <s v="COPT1"/>
    <x v="42"/>
    <n v="1566116.28"/>
    <n v="422754.1861659204"/>
    <n v="21.6"/>
    <n v="0"/>
    <n v="0"/>
    <n v="0"/>
    <n v="3.7045553450423756"/>
    <n v="0"/>
    <n v="0"/>
    <n v="0"/>
  </r>
  <r>
    <x v="4"/>
    <s v="COPT1"/>
    <x v="42"/>
    <n v="1622956.34"/>
    <n v="438097.47428174416"/>
    <n v="21.6"/>
    <n v="0"/>
    <n v="0"/>
    <n v="0"/>
    <n v="3.7045553450423756"/>
    <n v="0"/>
    <n v="0"/>
    <n v="0"/>
  </r>
  <r>
    <x v="5"/>
    <s v="COPT1"/>
    <x v="42"/>
    <n v="1612981.51"/>
    <n v="435404.88932324195"/>
    <n v="21.6"/>
    <n v="0"/>
    <n v="0"/>
    <n v="0"/>
    <n v="3.7045553450423756"/>
    <n v="0"/>
    <n v="0"/>
    <n v="0"/>
  </r>
  <r>
    <x v="6"/>
    <s v="COPT1"/>
    <x v="42"/>
    <n v="1702819.5495"/>
    <n v="459655.58370690822"/>
    <n v="21.6"/>
    <n v="0"/>
    <n v="0"/>
    <n v="0"/>
    <n v="3.7045553450423756"/>
    <n v="0"/>
    <n v="0"/>
    <n v="0"/>
  </r>
  <r>
    <x v="7"/>
    <s v="COPT1"/>
    <x v="42"/>
    <n v="1733756.0562"/>
    <n v="468006.52027515275"/>
    <n v="21.6"/>
    <n v="0"/>
    <n v="0"/>
    <n v="0"/>
    <n v="3.7045553450423756"/>
    <n v="0"/>
    <n v="0"/>
    <n v="0"/>
  </r>
  <r>
    <x v="8"/>
    <s v="COPT1"/>
    <x v="42"/>
    <n v="1830080.2498000001"/>
    <n v="494008.07366776327"/>
    <n v="21.6"/>
    <n v="0"/>
    <n v="0"/>
    <n v="0"/>
    <n v="3.7045553450423756"/>
    <n v="0"/>
    <n v="0"/>
    <n v="0"/>
  </r>
  <r>
    <x v="9"/>
    <s v="COPT1"/>
    <x v="42"/>
    <n v="2028854.8348000001"/>
    <n v="547664.87360355316"/>
    <n v="21.6"/>
    <n v="0"/>
    <n v="0"/>
    <n v="0"/>
    <n v="3.7045553450423756"/>
    <n v="0"/>
    <n v="0"/>
    <n v="0"/>
  </r>
  <r>
    <x v="10"/>
    <s v="COPT1"/>
    <x v="42"/>
    <n v="2127885.7980999998"/>
    <n v="574397.08680493722"/>
    <n v="21.6"/>
    <n v="0"/>
    <n v="0"/>
    <n v="0"/>
    <n v="3.7045553450423756"/>
    <n v="0"/>
    <n v="0"/>
    <n v="0"/>
  </r>
  <r>
    <x v="11"/>
    <s v="COPT1"/>
    <x v="42"/>
    <n v="2305587.6395999999"/>
    <n v="622365.55398894346"/>
    <n v="21.6"/>
    <n v="0"/>
    <n v="0"/>
    <n v="0"/>
    <n v="3.7045553450423756"/>
    <n v="0"/>
    <n v="0"/>
    <n v="0"/>
  </r>
  <r>
    <x v="12"/>
    <s v="COPT1"/>
    <x v="42"/>
    <n v="2505019.7538000001"/>
    <n v="676199.84599564562"/>
    <n v="21.6"/>
    <n v="0"/>
    <n v="0"/>
    <n v="0"/>
    <n v="3.7045553450423756"/>
    <n v="0"/>
    <n v="0"/>
    <n v="0"/>
  </r>
  <r>
    <x v="13"/>
    <s v="COPT1"/>
    <x v="42"/>
    <n v="2001996.8402999998"/>
    <n v="540414.88217450271"/>
    <n v="21.6"/>
    <n v="0"/>
    <n v="0"/>
    <n v="-324000"/>
    <n v="3.7045553450423756"/>
    <n v="-324000"/>
    <n v="-87459.889196578821"/>
    <n v="-324000"/>
  </r>
  <r>
    <x v="14"/>
    <s v="COPT1"/>
    <x v="42"/>
    <n v="1502309.4084000001"/>
    <n v="405530.29135074659"/>
    <n v="21.6"/>
    <n v="0"/>
    <n v="0"/>
    <n v="-518400"/>
    <n v="3.7045553450423756"/>
    <n v="-518400"/>
    <n v="-139935.82271452612"/>
    <n v="-518400"/>
  </r>
  <r>
    <x v="15"/>
    <s v="COPT1"/>
    <x v="42"/>
    <n v="1529018.003"/>
    <n v="412739.95408010564"/>
    <n v="21.6"/>
    <n v="0"/>
    <n v="0"/>
    <n v="0"/>
    <n v="3.7045553450423756"/>
    <n v="0"/>
    <n v="0"/>
    <n v="0"/>
  </r>
  <r>
    <x v="16"/>
    <s v="COPT1"/>
    <x v="42"/>
    <n v="1548789.9136000001"/>
    <n v="418077.14269208303"/>
    <n v="21.6"/>
    <n v="0"/>
    <n v="0"/>
    <n v="0"/>
    <n v="3.7045553450423756"/>
    <n v="0"/>
    <n v="0"/>
    <n v="0"/>
  </r>
  <r>
    <x v="17"/>
    <s v="COPT1"/>
    <x v="42"/>
    <n v="1212858.6850999999"/>
    <n v="327396.56237640209"/>
    <n v="21.6"/>
    <n v="0"/>
    <n v="0"/>
    <n v="-324000"/>
    <n v="3.7045553450423756"/>
    <n v="-324000"/>
    <n v="-87459.889196578821"/>
    <n v="-324000"/>
  </r>
  <r>
    <x v="18"/>
    <s v="COPT1"/>
    <x v="42"/>
    <n v="1211369.1230000001"/>
    <n v="326994.4730670891"/>
    <n v="21.6"/>
    <n v="0"/>
    <n v="0"/>
    <n v="0"/>
    <n v="3.7045553450423756"/>
    <n v="0"/>
    <n v="0"/>
    <n v="0"/>
  </r>
  <r>
    <x v="19"/>
    <s v="COPT1"/>
    <x v="42"/>
    <n v="1189975.8287"/>
    <n v="321219.61149601563"/>
    <n v="21.6"/>
    <n v="0"/>
    <n v="0"/>
    <n v="0"/>
    <n v="3.7045553450423756"/>
    <n v="0"/>
    <n v="0"/>
    <n v="0"/>
  </r>
  <r>
    <x v="20"/>
    <s v="COPT1"/>
    <x v="42"/>
    <n v="1193395.1847999999"/>
    <n v="322142.62540227995"/>
    <n v="21.6"/>
    <n v="0"/>
    <n v="0"/>
    <n v="0"/>
    <n v="3.7045553450423756"/>
    <n v="0"/>
    <n v="0"/>
    <n v="0"/>
  </r>
  <r>
    <x v="21"/>
    <s v="COPT1"/>
    <x v="42"/>
    <n v="710196.65600000008"/>
    <n v="191709.0149430272"/>
    <n v="21.6"/>
    <n v="0"/>
    <n v="0"/>
    <n v="-453600"/>
    <n v="3.7045553450423756"/>
    <n v="-453600"/>
    <n v="-122443.84487521036"/>
    <n v="-453600"/>
  </r>
  <r>
    <x v="22"/>
    <s v="COPT1"/>
    <x v="42"/>
    <n v="721500"/>
    <n v="194760.21622015932"/>
    <n v="21.6"/>
    <n v="0"/>
    <n v="0"/>
    <n v="0"/>
    <n v="3.7045553450423756"/>
    <n v="0"/>
    <n v="0"/>
    <n v="0"/>
  </r>
  <r>
    <x v="23"/>
    <s v="COPT1"/>
    <x v="42"/>
    <n v="700700"/>
    <n v="189145.50728408265"/>
    <n v="21.6"/>
    <n v="0"/>
    <n v="0"/>
    <n v="0"/>
    <n v="3.7045553450423756"/>
    <n v="0"/>
    <n v="0"/>
    <n v="0"/>
  </r>
  <r>
    <x v="24"/>
    <s v="COPT1"/>
    <x v="42"/>
    <n v="731700"/>
    <n v="197513.58310227384"/>
    <n v="21.6"/>
    <n v="0"/>
    <n v="0"/>
    <n v="0"/>
    <n v="3.7045553450423756"/>
    <n v="0"/>
    <n v="0"/>
    <n v="0"/>
  </r>
  <r>
    <x v="25"/>
    <s v="COPT1"/>
    <x v="42"/>
    <n v="734100"/>
    <n v="198161.43413335961"/>
    <n v="21.6"/>
    <n v="0"/>
    <n v="0"/>
    <n v="0"/>
    <n v="3.7045553450423756"/>
    <n v="0"/>
    <n v="0"/>
    <n v="0"/>
  </r>
  <r>
    <x v="26"/>
    <s v="COPT1"/>
    <x v="42"/>
    <n v="671000"/>
    <n v="181128.35077439627"/>
    <n v="21.6"/>
    <n v="0"/>
    <n v="0"/>
    <n v="-56453.95"/>
    <n v="3.7045553450423756"/>
    <n v="-56453.95"/>
    <n v="-15239.062381818521"/>
    <n v="-56453.95"/>
  </r>
  <r>
    <x v="27"/>
    <s v="COPT1"/>
    <x v="42"/>
    <n v="660700"/>
    <n v="178347.99009931984"/>
    <n v="21.6"/>
    <n v="0"/>
    <n v="0"/>
    <n v="0"/>
    <n v="3.7045553450423756"/>
    <n v="0"/>
    <n v="0"/>
    <n v="0"/>
  </r>
  <r>
    <x v="28"/>
    <s v="COPT1"/>
    <x v="42"/>
    <n v="675400"/>
    <n v="182316.07766472019"/>
    <n v="21.6"/>
    <n v="0"/>
    <n v="0"/>
    <n v="0"/>
    <n v="3.7045553450423756"/>
    <n v="0"/>
    <n v="0"/>
    <n v="0"/>
  </r>
  <r>
    <x v="29"/>
    <s v="COPT1"/>
    <x v="42"/>
    <n v="475645.864"/>
    <n v="128394.85976003396"/>
    <n v="21.6"/>
    <n v="0"/>
    <n v="0"/>
    <n v="-198591.5"/>
    <n v="3.7045553450423756"/>
    <n v="-198591.5"/>
    <n v="-53607.378349945626"/>
    <n v="-198591.5"/>
  </r>
  <r>
    <x v="30"/>
    <s v="COPT1"/>
    <x v="42"/>
    <n v="475645.864"/>
    <n v="128394.85976003396"/>
    <n v="21.6"/>
    <n v="0"/>
    <n v="0"/>
    <n v="-198591.5"/>
    <n v="3.7045553450423756"/>
    <n v="-198591.5"/>
    <n v="-53607.378349945626"/>
    <n v="-674237.36400000006"/>
  </r>
  <r>
    <x v="166"/>
    <s v="COPT2"/>
    <x v="43"/>
    <n v="1380555.8131449497"/>
    <n v="1417922.1138898418"/>
    <n v="20"/>
    <n v="4000000"/>
    <n v="0"/>
    <n v="0"/>
    <n v="0.97364714156098209"/>
    <n v="4000000"/>
    <n v="1417922.1138898418"/>
    <n v="4000000"/>
  </r>
  <r>
    <x v="167"/>
    <s v="COPT2"/>
    <x v="43"/>
    <n v="3993177.6100371201"/>
    <n v="4101257.4675001157"/>
    <n v="20"/>
    <n v="0"/>
    <n v="0"/>
    <n v="0"/>
    <n v="0.97364714156098209"/>
    <n v="0"/>
    <n v="0"/>
    <n v="0"/>
  </r>
  <r>
    <x v="168"/>
    <s v="COPT2"/>
    <x v="43"/>
    <n v="6422675.9002600312"/>
    <n v="4215311.1038288111"/>
    <n v="20"/>
    <n v="2300000"/>
    <n v="0"/>
    <n v="0"/>
    <n v="1.5236540653965605"/>
    <n v="2300000"/>
    <n v="0"/>
    <n v="2300000"/>
  </r>
  <r>
    <x v="169"/>
    <s v="COPT2"/>
    <x v="43"/>
    <n v="7459112.1600000001"/>
    <n v="4120217.7396877436"/>
    <n v="20"/>
    <n v="1220000"/>
    <n v="0"/>
    <n v="0"/>
    <n v="1.8103684395488524"/>
    <n v="1220000"/>
    <n v="0"/>
    <n v="1220000"/>
  </r>
  <r>
    <x v="170"/>
    <s v="COPT2"/>
    <x v="43"/>
    <n v="7593995.1275000004"/>
    <n v="4194723.549971099"/>
    <n v="20"/>
    <n v="0"/>
    <n v="-9.3132257461547852E-10"/>
    <n v="0"/>
    <n v="1.8103684395488524"/>
    <n v="-9.3132257461547852E-10"/>
    <n v="0"/>
    <n v="-9.3132257461547852E-10"/>
  </r>
  <r>
    <x v="171"/>
    <s v="COPT2"/>
    <x v="43"/>
    <n v="12340049.318499997"/>
    <n v="4212073.6147136269"/>
    <n v="20"/>
    <n v="4760000"/>
    <n v="0"/>
    <n v="0"/>
    <n v="2.9296851022246391"/>
    <n v="4760000"/>
    <n v="0"/>
    <n v="4760000"/>
  </r>
  <r>
    <x v="172"/>
    <s v="COPT2"/>
    <x v="43"/>
    <n v="14054662.072000001"/>
    <n v="4259763.8039280847"/>
    <n v="20"/>
    <n v="1580000"/>
    <n v="0"/>
    <n v="0"/>
    <n v="3.2993993843132055"/>
    <n v="1580000"/>
    <n v="0"/>
    <n v="1580000"/>
  </r>
  <r>
    <x v="173"/>
    <s v="COPT2"/>
    <x v="43"/>
    <n v="13697438.600999998"/>
    <n v="4151494.5617446741"/>
    <n v="20"/>
    <n v="0"/>
    <n v="-1.862645149230957E-9"/>
    <n v="0"/>
    <n v="3.2993993843132055"/>
    <n v="-1.862645149230957E-9"/>
    <n v="0"/>
    <n v="-1.862645149230957E-9"/>
  </r>
  <r>
    <x v="174"/>
    <s v="COPT2"/>
    <x v="43"/>
    <n v="15670697.859999999"/>
    <n v="4250907.880227495"/>
    <n v="20"/>
    <n v="1660000"/>
    <n v="0"/>
    <n v="0"/>
    <n v="3.6864355336633059"/>
    <n v="1660000"/>
    <n v="0"/>
    <n v="1660000"/>
  </r>
  <r>
    <x v="175"/>
    <s v="COPT2"/>
    <x v="43"/>
    <n v="16679614.2785"/>
    <n v="4215947.4994499329"/>
    <n v="20"/>
    <n v="1180000"/>
    <n v="0"/>
    <n v="0"/>
    <n v="3.9563145130901747"/>
    <n v="1180000"/>
    <n v="0"/>
    <n v="1180000"/>
  </r>
  <r>
    <x v="176"/>
    <s v="COPT2"/>
    <x v="43"/>
    <n v="17004081.006999996"/>
    <n v="4142006.7386327209"/>
    <n v="20"/>
    <n v="648960"/>
    <n v="0"/>
    <n v="0"/>
    <n v="4.1052760364685099"/>
    <n v="648960"/>
    <n v="0"/>
    <n v="648960"/>
  </r>
  <r>
    <x v="177"/>
    <s v="COPT2"/>
    <x v="43"/>
    <n v="17450999.526000001"/>
    <n v="4250871.1645641029"/>
    <n v="20"/>
    <n v="0"/>
    <n v="0"/>
    <n v="0"/>
    <n v="4.1052760364685099"/>
    <n v="0"/>
    <n v="0"/>
    <n v="0"/>
  </r>
  <r>
    <x v="178"/>
    <s v="COPT2"/>
    <x v="43"/>
    <n v="17471804.8215"/>
    <n v="4255939.1052616788"/>
    <n v="20"/>
    <n v="0"/>
    <n v="0"/>
    <n v="0"/>
    <n v="4.1052760364685099"/>
    <n v="0"/>
    <n v="0"/>
    <n v="0"/>
  </r>
  <r>
    <x v="179"/>
    <s v="COPT2"/>
    <x v="43"/>
    <n v="16701083.517999999"/>
    <n v="4068199.8895174921"/>
    <n v="20"/>
    <n v="0"/>
    <n v="0"/>
    <n v="0"/>
    <n v="4.1052760364685099"/>
    <n v="0"/>
    <n v="0"/>
    <n v="0"/>
  </r>
  <r>
    <x v="180"/>
    <s v="COPT2"/>
    <x v="43"/>
    <n v="16651315.780000003"/>
    <n v="4056077.0170095549"/>
    <n v="20"/>
    <n v="0"/>
    <n v="0"/>
    <n v="0"/>
    <n v="4.1052760364685099"/>
    <n v="0"/>
    <n v="0"/>
    <n v="0"/>
  </r>
  <r>
    <x v="32"/>
    <s v="COPT2"/>
    <x v="43"/>
    <n v="19363943.730000004"/>
    <n v="4075017.3692810521"/>
    <n v="20"/>
    <n v="2660000"/>
    <n v="0"/>
    <n v="0"/>
    <n v="4.7518677775393998"/>
    <n v="2660000"/>
    <n v="0"/>
    <n v="2660000"/>
  </r>
  <r>
    <x v="33"/>
    <s v="COPT2"/>
    <x v="43"/>
    <n v="16605934.815000001"/>
    <n v="3494612.1383029823"/>
    <n v="20"/>
    <n v="0"/>
    <n v="0"/>
    <n v="-3224867.42"/>
    <n v="4.7518677775393998"/>
    <n v="-3224867.42"/>
    <n v="-678652.59956157545"/>
    <n v="-3224867.42"/>
  </r>
  <r>
    <x v="34"/>
    <s v="COPT2"/>
    <x v="43"/>
    <n v="16395462.897999998"/>
    <n v="3450319.6775584221"/>
    <n v="20"/>
    <n v="0"/>
    <n v="0"/>
    <n v="0"/>
    <n v="4.7518677775393998"/>
    <n v="0"/>
    <n v="0"/>
    <n v="0"/>
  </r>
  <r>
    <x v="35"/>
    <s v="COPT2"/>
    <x v="43"/>
    <n v="17030605.067500003"/>
    <n v="3583981.2605894408"/>
    <n v="20"/>
    <n v="0"/>
    <n v="0"/>
    <n v="0"/>
    <n v="4.7518677775393998"/>
    <n v="0"/>
    <n v="0"/>
    <n v="0"/>
  </r>
  <r>
    <x v="36"/>
    <s v="COPT2"/>
    <x v="43"/>
    <n v="17210562.780000001"/>
    <n v="3621852.2033270737"/>
    <n v="20"/>
    <n v="0"/>
    <n v="0"/>
    <n v="0"/>
    <n v="4.7518677775393998"/>
    <n v="0"/>
    <n v="0"/>
    <n v="0"/>
  </r>
  <r>
    <x v="37"/>
    <s v="COPT2"/>
    <x v="43"/>
    <n v="17149703.651999999"/>
    <n v="3609044.7914105081"/>
    <n v="20"/>
    <n v="0"/>
    <n v="0"/>
    <n v="0"/>
    <n v="4.7518677775393998"/>
    <n v="0"/>
    <n v="0"/>
    <n v="0"/>
  </r>
  <r>
    <x v="38"/>
    <s v="COPT2"/>
    <x v="43"/>
    <n v="16468787.969999995"/>
    <n v="3465750.4671832053"/>
    <n v="20"/>
    <n v="0"/>
    <n v="0"/>
    <n v="-875800"/>
    <n v="4.7518677775393998"/>
    <n v="-875800"/>
    <n v="-184306.4750537955"/>
    <n v="-875800"/>
  </r>
  <r>
    <x v="39"/>
    <s v="COPT2"/>
    <x v="43"/>
    <n v="15701028.289999999"/>
    <n v="3304180.3823359464"/>
    <n v="20"/>
    <n v="0"/>
    <n v="0"/>
    <n v="0"/>
    <n v="4.7518677775393998"/>
    <n v="0"/>
    <n v="0"/>
    <n v="0"/>
  </r>
  <r>
    <x v="40"/>
    <s v="COPT2"/>
    <x v="43"/>
    <n v="16367064.157"/>
    <n v="3444343.3452340611"/>
    <n v="20"/>
    <n v="0"/>
    <n v="0"/>
    <n v="0"/>
    <n v="4.7518677775393998"/>
    <n v="0"/>
    <n v="0"/>
    <n v="0"/>
  </r>
  <r>
    <x v="41"/>
    <s v="COPT2"/>
    <x v="43"/>
    <n v="16320608.818999996"/>
    <n v="3434567.1182482047"/>
    <n v="20"/>
    <n v="0"/>
    <n v="0"/>
    <n v="0"/>
    <n v="4.7518677775393998"/>
    <n v="0"/>
    <n v="0"/>
    <n v="0"/>
  </r>
  <r>
    <x v="42"/>
    <s v="COPT2"/>
    <x v="43"/>
    <n v="15093467.135000002"/>
    <n v="3176323.046348664"/>
    <n v="20"/>
    <n v="0"/>
    <n v="0"/>
    <n v="-1313200"/>
    <n v="4.7518677775393998"/>
    <n v="-1313200"/>
    <n v="-276354.4907977212"/>
    <n v="-1313200"/>
  </r>
  <r>
    <x v="43"/>
    <s v="COPT2"/>
    <x v="43"/>
    <n v="11893084.588499999"/>
    <n v="2502823.1308781165"/>
    <n v="20"/>
    <n v="0"/>
    <n v="0"/>
    <n v="-3764982"/>
    <n v="4.7518677775393998"/>
    <n v="-3764982"/>
    <n v="-792316.23779514618"/>
    <n v="-3764982"/>
  </r>
  <r>
    <x v="44"/>
    <s v="COPT2"/>
    <x v="43"/>
    <n v="12299953.469000001"/>
    <n v="2588446.0689621991"/>
    <n v="20"/>
    <n v="0"/>
    <n v="0"/>
    <n v="0"/>
    <n v="4.7518677775393998"/>
    <n v="0"/>
    <n v="0"/>
    <n v="0"/>
  </r>
  <r>
    <x v="181"/>
    <s v="COPT2"/>
    <x v="43"/>
    <n v="8961539.432500001"/>
    <n v="1885898.3145234825"/>
    <n v="20"/>
    <n v="0"/>
    <n v="0"/>
    <n v="-1865000"/>
    <n v="4.7518677775393998"/>
    <n v="-1865000"/>
    <n v="-392477.25048564578"/>
    <n v="-1865000"/>
  </r>
  <r>
    <x v="182"/>
    <s v="COPT2"/>
    <x v="43"/>
    <n v="8669381.3660000004"/>
    <n v="1824415.5291899047"/>
    <n v="20"/>
    <n v="0"/>
    <n v="0"/>
    <n v="0"/>
    <n v="4.7518677775393998"/>
    <n v="0"/>
    <n v="0"/>
    <n v="0"/>
  </r>
  <r>
    <x v="183"/>
    <s v="COPT2"/>
    <x v="43"/>
    <n v="7943271.0544999996"/>
    <n v="1671610.2859691025"/>
    <n v="20"/>
    <n v="0"/>
    <n v="0"/>
    <n v="-1150000"/>
    <n v="4.7518677775393998"/>
    <n v="-1150000"/>
    <n v="-242010.10083565291"/>
    <n v="-1150000"/>
  </r>
  <r>
    <x v="184"/>
    <s v="COPT2"/>
    <x v="43"/>
    <n v="8498719.1549999993"/>
    <n v="1788500.7649351694"/>
    <n v="20"/>
    <n v="0"/>
    <n v="0"/>
    <n v="0"/>
    <n v="4.7518677775393998"/>
    <n v="0"/>
    <n v="0"/>
    <n v="0"/>
  </r>
  <r>
    <x v="185"/>
    <s v="COPT2"/>
    <x v="43"/>
    <n v="8856699.8815000001"/>
    <n v="1863835.5055590696"/>
    <n v="20"/>
    <n v="0"/>
    <n v="0"/>
    <n v="0"/>
    <n v="4.7518677775393998"/>
    <n v="0"/>
    <n v="0"/>
    <n v="0"/>
  </r>
  <r>
    <x v="186"/>
    <s v="COPT2"/>
    <x v="43"/>
    <n v="8471906.6380000003"/>
    <n v="1782858.2432457542"/>
    <n v="20"/>
    <n v="0"/>
    <n v="0"/>
    <n v="0"/>
    <n v="4.7518677775393998"/>
    <n v="0"/>
    <n v="0"/>
    <n v="0"/>
  </r>
  <r>
    <x v="187"/>
    <s v="COPT2"/>
    <x v="43"/>
    <n v="8416919.061999999"/>
    <n v="1771286.4616696946"/>
    <n v="20"/>
    <n v="0"/>
    <n v="0"/>
    <n v="-643000"/>
    <n v="4.7518677775393998"/>
    <n v="-643000"/>
    <n v="-135315.21290202157"/>
    <n v="-643000"/>
  </r>
  <r>
    <x v="188"/>
    <s v="COPT2"/>
    <x v="43"/>
    <n v="8137292.6745000016"/>
    <n v="1712440.8875521435"/>
    <n v="20"/>
    <n v="0"/>
    <n v="0"/>
    <n v="0"/>
    <n v="4.7518677775393998"/>
    <n v="0"/>
    <n v="0"/>
    <n v="0"/>
  </r>
  <r>
    <x v="189"/>
    <s v="COPT2"/>
    <x v="43"/>
    <n v="8592707.7254999988"/>
    <n v="1808280.0548691726"/>
    <n v="20"/>
    <n v="0"/>
    <n v="0"/>
    <n v="0"/>
    <n v="4.7518677775393998"/>
    <n v="0"/>
    <n v="0"/>
    <n v="0"/>
  </r>
  <r>
    <x v="190"/>
    <s v="COPT2"/>
    <x v="43"/>
    <n v="6596735.5820000004"/>
    <n v="1388240.5594660519"/>
    <n v="20"/>
    <n v="0"/>
    <n v="0"/>
    <n v="-906600"/>
    <n v="4.7518677775393998"/>
    <n v="-906600"/>
    <n v="-190788.1368848721"/>
    <n v="-906600"/>
  </r>
  <r>
    <x v="191"/>
    <s v="COPT2"/>
    <x v="43"/>
    <n v="6980975.6559999995"/>
    <n v="1469101.4108172157"/>
    <n v="20"/>
    <n v="0"/>
    <n v="0"/>
    <n v="0"/>
    <n v="4.7518677775393998"/>
    <n v="0"/>
    <n v="0"/>
    <n v="0"/>
  </r>
  <r>
    <x v="192"/>
    <s v="COPT2"/>
    <x v="43"/>
    <n v="6420794.6904999996"/>
    <n v="1351214.930863417"/>
    <n v="20"/>
    <n v="0"/>
    <n v="0"/>
    <n v="-569178.48"/>
    <n v="4.7518677775393998"/>
    <n v="-569178.48"/>
    <n v="-119779.94898981186"/>
    <n v="-569178.48"/>
  </r>
  <r>
    <x v="193"/>
    <s v="COPT2"/>
    <x v="43"/>
    <n v="6616055.3744999999"/>
    <n v="1392306.2854930507"/>
    <n v="20"/>
    <n v="0"/>
    <n v="0"/>
    <n v="0"/>
    <n v="4.7518677775393998"/>
    <n v="0"/>
    <n v="0"/>
    <n v="0"/>
  </r>
  <r>
    <x v="1"/>
    <s v="COPT2"/>
    <x v="43"/>
    <n v="6401389.2284999993"/>
    <n v="1347131.1762413452"/>
    <n v="20"/>
    <n v="0"/>
    <n v="-9.3132257461547852E-10"/>
    <n v="0"/>
    <n v="4.7518677775393998"/>
    <n v="-9.3132257461547852E-10"/>
    <n v="0"/>
    <n v="-9.3132257461547852E-10"/>
  </r>
  <r>
    <x v="2"/>
    <s v="COPT2"/>
    <x v="43"/>
    <n v="3815775.7135000015"/>
    <n v="803005.44799162669"/>
    <n v="20"/>
    <n v="0"/>
    <n v="0"/>
    <n v="-1277640"/>
    <n v="4.7518677775393998"/>
    <n v="-1277640"/>
    <n v="-268871.11759275093"/>
    <n v="-1277640"/>
  </r>
  <r>
    <x v="3"/>
    <s v="COPT2"/>
    <x v="43"/>
    <n v="4447444.398"/>
    <n v="935936.05845299095"/>
    <n v="20"/>
    <n v="0"/>
    <n v="0"/>
    <n v="0"/>
    <n v="4.7518677775393998"/>
    <n v="0"/>
    <n v="0"/>
    <n v="0"/>
  </r>
  <r>
    <x v="4"/>
    <s v="COPT2"/>
    <x v="43"/>
    <n v="4683225.9771000007"/>
    <n v="985554.77474271331"/>
    <n v="20"/>
    <n v="0"/>
    <n v="0"/>
    <n v="0"/>
    <n v="4.7518677775393998"/>
    <n v="0"/>
    <n v="0"/>
    <n v="0"/>
  </r>
  <r>
    <x v="5"/>
    <s v="COPT2"/>
    <x v="43"/>
    <n v="4566941.8993999995"/>
    <n v="961083.53876901045"/>
    <n v="20"/>
    <n v="0"/>
    <n v="0"/>
    <n v="0"/>
    <n v="4.7518677775393998"/>
    <n v="0"/>
    <n v="0"/>
    <n v="0"/>
  </r>
  <r>
    <x v="6"/>
    <s v="COPT2"/>
    <x v="43"/>
    <n v="5098447.1996999998"/>
    <n v="1072935.4094823035"/>
    <n v="20"/>
    <n v="0"/>
    <n v="0"/>
    <n v="0"/>
    <n v="4.7518677775393998"/>
    <n v="0"/>
    <n v="0"/>
    <n v="0"/>
  </r>
  <r>
    <x v="7"/>
    <s v="COPT2"/>
    <x v="43"/>
    <n v="4763135.3660999993"/>
    <n v="1002371.1915162829"/>
    <n v="20"/>
    <n v="0"/>
    <n v="-9.3132257461547852E-10"/>
    <n v="0"/>
    <n v="4.7518677775393998"/>
    <n v="-9.3132257461547852E-10"/>
    <n v="0"/>
    <n v="-9.3132257461547852E-10"/>
  </r>
  <r>
    <x v="8"/>
    <s v="COPT2"/>
    <x v="43"/>
    <n v="4880058.5191000002"/>
    <n v="1026976.9167750244"/>
    <n v="20"/>
    <n v="0"/>
    <n v="0"/>
    <n v="0"/>
    <n v="4.7518677775393998"/>
    <n v="0"/>
    <n v="0"/>
    <n v="0"/>
  </r>
  <r>
    <x v="9"/>
    <s v="COPT2"/>
    <x v="43"/>
    <n v="5033476.5882000001"/>
    <n v="1059262.7623166784"/>
    <n v="20"/>
    <n v="0"/>
    <n v="0"/>
    <n v="0"/>
    <n v="4.7518677775393998"/>
    <n v="0"/>
    <n v="0"/>
    <n v="0"/>
  </r>
  <r>
    <x v="10"/>
    <s v="COPT2"/>
    <x v="43"/>
    <n v="4988129.5458000004"/>
    <n v="1049719.7690090067"/>
    <n v="20"/>
    <n v="0"/>
    <n v="0"/>
    <n v="0"/>
    <n v="4.7518677775393998"/>
    <n v="0"/>
    <n v="0"/>
    <n v="0"/>
  </r>
  <r>
    <x v="11"/>
    <s v="COPT2"/>
    <x v="43"/>
    <n v="4897435.7983999997"/>
    <n v="1030633.8533973219"/>
    <n v="20"/>
    <n v="0"/>
    <n v="0"/>
    <n v="0"/>
    <n v="4.7518677775393998"/>
    <n v="0"/>
    <n v="0"/>
    <n v="0"/>
  </r>
  <r>
    <x v="12"/>
    <s v="COPT2"/>
    <x v="43"/>
    <n v="4998384.4157999996"/>
    <n v="1051877.840420099"/>
    <n v="20"/>
    <n v="0"/>
    <n v="0"/>
    <n v="0"/>
    <n v="4.7518677775393998"/>
    <n v="0"/>
    <n v="0"/>
    <n v="0"/>
  </r>
  <r>
    <x v="13"/>
    <s v="COPT2"/>
    <x v="43"/>
    <n v="4084162.9670000011"/>
    <n v="859485.81867209531"/>
    <n v="20"/>
    <n v="0"/>
    <n v="0"/>
    <n v="-305055"/>
    <n v="4.7518677775393998"/>
    <n v="-305055"/>
    <n v="-64196.862009060955"/>
    <n v="-305055"/>
  </r>
  <r>
    <x v="14"/>
    <s v="COPT2"/>
    <x v="43"/>
    <n v="3571017.7698000004"/>
    <n v="751497.71352626651"/>
    <n v="20"/>
    <n v="0"/>
    <n v="0"/>
    <n v="-154128"/>
    <n v="4.7518677775393998"/>
    <n v="-154128"/>
    <n v="-32435.245931823923"/>
    <n v="-154128"/>
  </r>
  <r>
    <x v="15"/>
    <s v="COPT2"/>
    <x v="43"/>
    <n v="3579466.7500999998"/>
    <n v="753275.74706918932"/>
    <n v="20"/>
    <n v="0"/>
    <n v="0"/>
    <n v="0"/>
    <n v="4.7518677775393998"/>
    <n v="0"/>
    <n v="0"/>
    <n v="0"/>
  </r>
  <r>
    <x v="16"/>
    <s v="COPT2"/>
    <x v="43"/>
    <n v="3639399.0500999996"/>
    <n v="765888.11399641761"/>
    <n v="20"/>
    <n v="0"/>
    <n v="0"/>
    <n v="0"/>
    <n v="4.7518677775393998"/>
    <n v="0"/>
    <n v="0"/>
    <n v="0"/>
  </r>
  <r>
    <x v="17"/>
    <s v="COPT2"/>
    <x v="43"/>
    <n v="4012398.9397999994"/>
    <n v="844383.54088162142"/>
    <n v="20"/>
    <n v="0"/>
    <n v="0"/>
    <n v="-243360"/>
    <n v="4.7518677775393998"/>
    <n v="-243360"/>
    <n v="-51213.546208143038"/>
    <n v="-243360"/>
  </r>
  <r>
    <x v="18"/>
    <s v="COPT2"/>
    <x v="43"/>
    <n v="3630475.0752999997"/>
    <n v="764010.12091711082"/>
    <n v="20"/>
    <n v="0"/>
    <n v="0"/>
    <n v="-233220"/>
    <n v="4.7518677775393998"/>
    <n v="-233220"/>
    <n v="-49079.648449470405"/>
    <n v="-233220"/>
  </r>
  <r>
    <x v="19"/>
    <s v="COPT2"/>
    <x v="43"/>
    <n v="3146673.7811000003"/>
    <n v="662197.25135731848"/>
    <n v="20"/>
    <n v="0"/>
    <n v="0"/>
    <n v="0"/>
    <n v="4.7518677775393998"/>
    <n v="0"/>
    <n v="0"/>
    <n v="0"/>
  </r>
  <r>
    <x v="20"/>
    <s v="COPT2"/>
    <x v="43"/>
    <n v="3135310.8147"/>
    <n v="659805.98818840005"/>
    <n v="20"/>
    <n v="0"/>
    <n v="0"/>
    <n v="0"/>
    <n v="4.7518677775393998"/>
    <n v="0"/>
    <n v="0"/>
    <n v="0"/>
  </r>
  <r>
    <x v="21"/>
    <s v="COPT2"/>
    <x v="43"/>
    <n v="3546590.2502000006"/>
    <n v="746357.0991944744"/>
    <n v="20"/>
    <n v="0"/>
    <n v="0"/>
    <n v="0"/>
    <n v="4.7518677775393998"/>
    <n v="0"/>
    <n v="0"/>
    <n v="0"/>
  </r>
  <r>
    <x v="22"/>
    <s v="COPT2"/>
    <x v="43"/>
    <n v="4161748.909"/>
    <n v="875813.28097370302"/>
    <n v="20"/>
    <n v="0"/>
    <n v="0"/>
    <n v="0"/>
    <n v="4.7518677775393998"/>
    <n v="0"/>
    <n v="0"/>
    <n v="0"/>
  </r>
  <r>
    <x v="23"/>
    <s v="COPT2"/>
    <x v="43"/>
    <n v="3684500"/>
    <n v="775379.31872083747"/>
    <n v="20"/>
    <n v="0"/>
    <n v="0"/>
    <n v="0"/>
    <n v="4.7518677775393998"/>
    <n v="0"/>
    <n v="0"/>
    <n v="0"/>
  </r>
  <r>
    <x v="24"/>
    <s v="COPT2"/>
    <x v="43"/>
    <n v="3663900"/>
    <n v="771044.18126239011"/>
    <n v="20"/>
    <n v="0"/>
    <n v="0"/>
    <n v="0"/>
    <n v="4.7518677775393998"/>
    <n v="0"/>
    <n v="0"/>
    <n v="0"/>
  </r>
  <r>
    <x v="25"/>
    <s v="COPT2"/>
    <x v="43"/>
    <n v="2570986.12"/>
    <n v="541047.48708544695"/>
    <n v="20"/>
    <n v="0"/>
    <n v="0"/>
    <n v="-877134.23"/>
    <n v="4.7518677775393998"/>
    <n v="-877134.23"/>
    <n v="-184587.25517278502"/>
    <n v="-877134.23"/>
  </r>
  <r>
    <x v="26"/>
    <s v="COPT2"/>
    <x v="43"/>
    <n v="2765842.85"/>
    <n v="582053.8321948431"/>
    <n v="20"/>
    <n v="0"/>
    <n v="0"/>
    <n v="0"/>
    <n v="4.7518677775393998"/>
    <n v="0"/>
    <n v="0"/>
    <n v="0"/>
  </r>
  <r>
    <x v="27"/>
    <s v="COPT2"/>
    <x v="43"/>
    <n v="2855357.56"/>
    <n v="600891.62697169033"/>
    <n v="20"/>
    <n v="0"/>
    <n v="0"/>
    <n v="0"/>
    <n v="4.7518677775393998"/>
    <n v="0"/>
    <n v="0"/>
    <n v="0"/>
  </r>
  <r>
    <x v="28"/>
    <s v="COPT2"/>
    <x v="43"/>
    <n v="2611656.2000000002"/>
    <n v="549606.24374787661"/>
    <n v="20"/>
    <n v="0"/>
    <n v="0"/>
    <n v="0"/>
    <n v="4.7518677775393998"/>
    <n v="0"/>
    <n v="0"/>
    <n v="0"/>
  </r>
  <r>
    <x v="29"/>
    <s v="COPT2"/>
    <x v="43"/>
    <n v="2727708.7"/>
    <n v="574028.74568459799"/>
    <n v="20"/>
    <n v="0"/>
    <n v="0"/>
    <n v="0"/>
    <n v="4.7518677775393998"/>
    <n v="0"/>
    <n v="0"/>
    <n v="0"/>
  </r>
  <r>
    <x v="30"/>
    <s v="COPT2"/>
    <x v="43"/>
    <n v="2727708.7"/>
    <n v="574028.74568459799"/>
    <n v="20"/>
    <n v="0"/>
    <n v="0"/>
    <n v="0"/>
    <n v="4.7518677775393998"/>
    <n v="0"/>
    <n v="0"/>
    <n v="-2727708.7"/>
  </r>
  <r>
    <x v="166"/>
    <s v="COPT2"/>
    <x v="44"/>
    <n v="78386.453144950079"/>
    <n v="109722.07208295455"/>
    <n v="0.28000000000000003"/>
    <n v="56000"/>
    <n v="0"/>
    <n v="0"/>
    <n v="0.71440915812897332"/>
    <n v="56000"/>
    <n v="109722.07208295455"/>
    <n v="56000"/>
  </r>
  <r>
    <x v="167"/>
    <s v="COPT2"/>
    <x v="44"/>
    <n v="60633.369739969465"/>
    <n v="84872.04993111697"/>
    <n v="0.28000000000000003"/>
    <n v="0"/>
    <n v="0"/>
    <n v="0"/>
    <n v="0.71440915812897332"/>
    <n v="0"/>
    <n v="0"/>
    <n v="0"/>
  </r>
  <r>
    <x v="168"/>
    <s v="COPT2"/>
    <x v="44"/>
    <n v="129079.27000000008"/>
    <n v="118009.52910788672"/>
    <n v="0.28000000000000003"/>
    <n v="32200"/>
    <n v="0"/>
    <n v="0"/>
    <n v="1.0938037883533387"/>
    <n v="32200"/>
    <n v="0"/>
    <n v="32200"/>
  </r>
  <r>
    <x v="169"/>
    <s v="COPT2"/>
    <x v="44"/>
    <n v="104767.9300000004"/>
    <n v="84590.009822217078"/>
    <n v="0.28000000000000003"/>
    <n v="17080"/>
    <n v="0"/>
    <n v="0"/>
    <n v="1.2385378630430623"/>
    <n v="17080"/>
    <n v="0"/>
    <n v="17080"/>
  </r>
  <r>
    <x v="170"/>
    <s v="COPT2"/>
    <x v="44"/>
    <n v="180166.11750000066"/>
    <n v="145466.78214369336"/>
    <n v="0.28000000000000003"/>
    <n v="0"/>
    <n v="0"/>
    <n v="0"/>
    <n v="1.2385378630430623"/>
    <n v="0"/>
    <n v="0"/>
    <n v="0"/>
  </r>
  <r>
    <x v="171"/>
    <s v="COPT2"/>
    <x v="44"/>
    <n v="274555.73599999992"/>
    <n v="161822.32369103763"/>
    <n v="0.28000000000000003"/>
    <n v="66640"/>
    <n v="0"/>
    <n v="0"/>
    <n v="1.6966493233912567"/>
    <n v="66640"/>
    <n v="0"/>
    <n v="66640"/>
  </r>
  <r>
    <x v="172"/>
    <s v="COPT2"/>
    <x v="44"/>
    <n v="453702.02800000214"/>
    <n v="247472.60232396147"/>
    <n v="0.28000000000000003"/>
    <n v="22120"/>
    <n v="0"/>
    <n v="0"/>
    <n v="1.833342453828767"/>
    <n v="22120"/>
    <n v="0"/>
    <n v="22120"/>
  </r>
  <r>
    <x v="173"/>
    <s v="COPT2"/>
    <x v="44"/>
    <n v="447615.38900000096"/>
    <n v="244152.63393110075"/>
    <n v="0.28000000000000003"/>
    <n v="0"/>
    <n v="0"/>
    <n v="0"/>
    <n v="1.833342453828767"/>
    <n v="0"/>
    <n v="0"/>
    <n v="0"/>
  </r>
  <r>
    <x v="174"/>
    <s v="COPT2"/>
    <x v="44"/>
    <n v="556312.20900000143"/>
    <n v="288464.55682251754"/>
    <n v="0.28000000000000003"/>
    <n v="23240"/>
    <n v="0"/>
    <n v="0"/>
    <n v="1.9285288117468153"/>
    <n v="23240"/>
    <n v="0"/>
    <n v="23240"/>
  </r>
  <r>
    <x v="175"/>
    <s v="COPT2"/>
    <x v="44"/>
    <n v="496611.30750000384"/>
    <n v="250081.53955085864"/>
    <n v="0.28000000000000003"/>
    <n v="16520"/>
    <n v="0"/>
    <n v="0"/>
    <n v="1.9857975458400794"/>
    <n v="16520"/>
    <n v="0"/>
    <n v="16520"/>
  </r>
  <r>
    <x v="176"/>
    <s v="COPT2"/>
    <x v="44"/>
    <n v="311626.83450000017"/>
    <n v="154146.64040664549"/>
    <n v="0.28000000000000003"/>
    <n v="8960"/>
    <n v="0"/>
    <n v="0"/>
    <n v="2.0216258601414547"/>
    <n v="8960"/>
    <n v="0"/>
    <n v="8960"/>
  </r>
  <r>
    <x v="177"/>
    <s v="COPT2"/>
    <x v="44"/>
    <n v="478102.50050000037"/>
    <n v="236494.05655433552"/>
    <n v="0.28000000000000003"/>
    <n v="0"/>
    <n v="0"/>
    <n v="0"/>
    <n v="2.0216258601414547"/>
    <n v="0"/>
    <n v="0"/>
    <n v="0"/>
  </r>
  <r>
    <x v="178"/>
    <s v="COPT2"/>
    <x v="44"/>
    <n v="485631.06199999951"/>
    <n v="240218.06980942533"/>
    <n v="0.28000000000000003"/>
    <n v="0"/>
    <n v="0"/>
    <n v="0"/>
    <n v="2.0216258601414547"/>
    <n v="0"/>
    <n v="0"/>
    <n v="0"/>
  </r>
  <r>
    <x v="179"/>
    <s v="COPT2"/>
    <x v="44"/>
    <n v="237291.91999999699"/>
    <n v="117376.77315989294"/>
    <n v="0.28000000000000003"/>
    <n v="0"/>
    <n v="0"/>
    <n v="0"/>
    <n v="2.0216258601414547"/>
    <n v="0"/>
    <n v="0"/>
    <n v="0"/>
  </r>
  <r>
    <x v="180"/>
    <s v="COPT2"/>
    <x v="44"/>
    <n v="233176.03999999649"/>
    <n v="115340.84748187826"/>
    <n v="0.28000000000000003"/>
    <n v="0"/>
    <n v="0"/>
    <n v="0"/>
    <n v="2.0216258601414547"/>
    <n v="0"/>
    <n v="0"/>
    <n v="0"/>
  </r>
  <r>
    <x v="32"/>
    <s v="COPT2"/>
    <x v="44"/>
    <n v="270571.66999999894"/>
    <n v="115407.22851494822"/>
    <n v="0.28000000000000003"/>
    <n v="37240"/>
    <n v="0"/>
    <n v="0"/>
    <n v="2.3444949981183623"/>
    <n v="37240"/>
    <n v="0"/>
    <n v="37240"/>
  </r>
  <r>
    <x v="33"/>
    <s v="COPT2"/>
    <x v="44"/>
    <n v="458784.08500000136"/>
    <n v="195685.67447071156"/>
    <n v="0.28000000000000003"/>
    <n v="0"/>
    <n v="0"/>
    <n v="-44524.800000000003"/>
    <n v="2.3444949981183623"/>
    <n v="-44524.800000000003"/>
    <n v="-18991.211342201448"/>
    <n v="-44524.800000000003"/>
  </r>
  <r>
    <x v="34"/>
    <s v="COPT2"/>
    <x v="44"/>
    <n v="486693.02299999731"/>
    <n v="207589.70413270488"/>
    <n v="0.28000000000000003"/>
    <n v="0"/>
    <n v="0"/>
    <n v="0"/>
    <n v="2.3444949981183623"/>
    <n v="0"/>
    <n v="0"/>
    <n v="0"/>
  </r>
  <r>
    <x v="35"/>
    <s v="COPT2"/>
    <x v="44"/>
    <n v="877577.61050000123"/>
    <n v="374314.13212837937"/>
    <n v="0.28000000000000003"/>
    <n v="0"/>
    <n v="0"/>
    <n v="0"/>
    <n v="2.3444949981183623"/>
    <n v="0"/>
    <n v="0"/>
    <n v="0"/>
  </r>
  <r>
    <x v="36"/>
    <s v="COPT2"/>
    <x v="44"/>
    <n v="1182538.8305000039"/>
    <n v="504389.57278607221"/>
    <n v="0.28000000000000003"/>
    <n v="0"/>
    <n v="0"/>
    <n v="0"/>
    <n v="2.3444949981183623"/>
    <n v="0"/>
    <n v="0"/>
    <n v="0"/>
  </r>
  <r>
    <x v="37"/>
    <s v="COPT2"/>
    <x v="44"/>
    <n v="1330146.8225000051"/>
    <n v="567348.97006287088"/>
    <n v="0.28000000000000003"/>
    <n v="0"/>
    <n v="0"/>
    <n v="0"/>
    <n v="2.3444949981183623"/>
    <n v="0"/>
    <n v="0"/>
    <n v="0"/>
  </r>
  <r>
    <x v="38"/>
    <s v="COPT2"/>
    <x v="44"/>
    <n v="1477897.4325000008"/>
    <n v="630369.19835023209"/>
    <n v="0.28000000000000003"/>
    <n v="0"/>
    <n v="0"/>
    <n v="-12261.2"/>
    <n v="2.3444949981183623"/>
    <n v="-12261.2"/>
    <n v="-5229.7829638538606"/>
    <n v="-12261.2"/>
  </r>
  <r>
    <x v="39"/>
    <s v="COPT2"/>
    <x v="44"/>
    <n v="1043442.6025000007"/>
    <n v="445060.70746043127"/>
    <n v="0.28000000000000003"/>
    <n v="0"/>
    <n v="0"/>
    <n v="0"/>
    <n v="2.3444949981183623"/>
    <n v="0"/>
    <n v="0"/>
    <n v="0"/>
  </r>
  <r>
    <x v="40"/>
    <s v="COPT2"/>
    <x v="44"/>
    <n v="1199680.2195000029"/>
    <n v="511700.908068833"/>
    <n v="0.28000000000000003"/>
    <n v="0"/>
    <n v="0"/>
    <n v="0"/>
    <n v="2.3444949981183623"/>
    <n v="0"/>
    <n v="0"/>
    <n v="0"/>
  </r>
  <r>
    <x v="41"/>
    <s v="COPT2"/>
    <x v="44"/>
    <n v="1277948.3784999996"/>
    <n v="545084.7110041402"/>
    <n v="0.28000000000000003"/>
    <n v="0"/>
    <n v="0"/>
    <n v="0"/>
    <n v="2.3444949981183623"/>
    <n v="0"/>
    <n v="0"/>
    <n v="0"/>
  </r>
  <r>
    <x v="42"/>
    <s v="COPT2"/>
    <x v="44"/>
    <n v="1425943.6935000008"/>
    <n v="608209.31358114665"/>
    <n v="0.28000000000000003"/>
    <n v="0"/>
    <n v="0"/>
    <n v="-18384.8"/>
    <n v="2.3444949981183623"/>
    <n v="-18384.8"/>
    <n v="-7841.6887281718309"/>
    <n v="-18384.8"/>
  </r>
  <r>
    <x v="43"/>
    <s v="COPT2"/>
    <x v="44"/>
    <n v="1766903.7620000001"/>
    <n v="753639.3822200842"/>
    <n v="0.28000000000000003"/>
    <n v="0"/>
    <n v="0"/>
    <n v="-51982"/>
    <n v="2.3444949981183623"/>
    <n v="-51982"/>
    <n v="-22171.938964134944"/>
    <n v="-51982"/>
  </r>
  <r>
    <x v="44"/>
    <s v="COPT2"/>
    <x v="44"/>
    <n v="2143580.7110000001"/>
    <n v="914303.81072273082"/>
    <n v="0.28000000000000003"/>
    <n v="0"/>
    <n v="0"/>
    <n v="0"/>
    <n v="2.3444949981183623"/>
    <n v="0"/>
    <n v="0"/>
    <n v="0"/>
  </r>
  <r>
    <x v="181"/>
    <s v="COPT2"/>
    <x v="44"/>
    <n v="1484449.6634999996"/>
    <n v="633163.92856089887"/>
    <n v="0.28000000000000003"/>
    <n v="0"/>
    <n v="0"/>
    <n v="-26110"/>
    <n v="2.3444949981183623"/>
    <n v="-26110"/>
    <n v="-11136.726681419788"/>
    <n v="-26110"/>
  </r>
  <r>
    <x v="182"/>
    <s v="COPT2"/>
    <x v="44"/>
    <n v="911188.46950000082"/>
    <n v="388650.20835245959"/>
    <n v="0.28000000000000003"/>
    <n v="0"/>
    <n v="0"/>
    <n v="0"/>
    <n v="2.3444949981183623"/>
    <n v="0"/>
    <n v="0"/>
    <n v="0"/>
  </r>
  <r>
    <x v="183"/>
    <s v="COPT2"/>
    <x v="44"/>
    <n v="751423.44400000025"/>
    <n v="320505.45836228074"/>
    <n v="0.28000000000000003"/>
    <n v="0"/>
    <n v="0"/>
    <n v="-16100"/>
    <n v="2.3444949981183623"/>
    <n v="-16100"/>
    <n v="-6867.1505006073758"/>
    <n v="-16100"/>
  </r>
  <r>
    <x v="184"/>
    <s v="COPT2"/>
    <x v="44"/>
    <n v="955518.41900000058"/>
    <n v="407558.30989909457"/>
    <n v="0.28000000000000003"/>
    <n v="0"/>
    <n v="0"/>
    <n v="0"/>
    <n v="2.3444949981183623"/>
    <n v="0"/>
    <n v="0"/>
    <n v="0"/>
  </r>
  <r>
    <x v="185"/>
    <s v="COPT2"/>
    <x v="44"/>
    <n v="1309694.0205000003"/>
    <n v="558625.21419373073"/>
    <n v="0.28000000000000003"/>
    <n v="0"/>
    <n v="0"/>
    <n v="0"/>
    <n v="2.3444949981183623"/>
    <n v="0"/>
    <n v="0"/>
    <n v="0"/>
  </r>
  <r>
    <x v="186"/>
    <s v="COPT2"/>
    <x v="44"/>
    <n v="1255656.9985000009"/>
    <n v="535576.74446213886"/>
    <n v="0.28000000000000003"/>
    <n v="0"/>
    <n v="0"/>
    <n v="0"/>
    <n v="2.3444949981183623"/>
    <n v="0"/>
    <n v="0"/>
    <n v="0"/>
  </r>
  <r>
    <x v="187"/>
    <s v="COPT2"/>
    <x v="44"/>
    <n v="1636451.1004999985"/>
    <n v="697997.26670919603"/>
    <n v="0.28000000000000003"/>
    <n v="0"/>
    <n v="0"/>
    <n v="-9002"/>
    <n v="2.3444949981183623"/>
    <n v="-9002"/>
    <n v="-3839.6328451222112"/>
    <n v="-9002"/>
  </r>
  <r>
    <x v="188"/>
    <s v="COPT2"/>
    <x v="44"/>
    <n v="1690735.1550000005"/>
    <n v="721151.10348153685"/>
    <n v="0.28000000000000003"/>
    <n v="0"/>
    <n v="0"/>
    <n v="0"/>
    <n v="2.3444949981183623"/>
    <n v="0"/>
    <n v="0"/>
    <n v="0"/>
  </r>
  <r>
    <x v="189"/>
    <s v="COPT2"/>
    <x v="44"/>
    <n v="1974023.0004999989"/>
    <n v="841982.17615490942"/>
    <n v="0.28000000000000003"/>
    <n v="0"/>
    <n v="0"/>
    <n v="0"/>
    <n v="2.3444949981183623"/>
    <n v="0"/>
    <n v="0"/>
    <n v="0"/>
  </r>
  <r>
    <x v="190"/>
    <s v="COPT2"/>
    <x v="44"/>
    <n v="1464244.7025000004"/>
    <n v="624545.88458289288"/>
    <n v="0.28000000000000003"/>
    <n v="0"/>
    <n v="0"/>
    <n v="-12692.4"/>
    <n v="2.3444949981183623"/>
    <n v="-12692.4"/>
    <n v="-5413.7031685657794"/>
    <n v="-12692.4"/>
  </r>
  <r>
    <x v="191"/>
    <s v="COPT2"/>
    <x v="44"/>
    <n v="1288396.2585000007"/>
    <n v="549541.0566173261"/>
    <n v="0.28000000000000003"/>
    <n v="0"/>
    <n v="0"/>
    <n v="0"/>
    <n v="2.3444949981183623"/>
    <n v="0"/>
    <n v="0"/>
    <n v="0"/>
  </r>
  <r>
    <x v="192"/>
    <s v="COPT2"/>
    <x v="44"/>
    <n v="1135095.3690000002"/>
    <n v="484153.46158170589"/>
    <n v="0.28000000000000003"/>
    <n v="0"/>
    <n v="0"/>
    <n v="-7858.48"/>
    <n v="2.3444949981183623"/>
    <n v="-7858.48"/>
    <n v="-3351.8860165225497"/>
    <n v="-7858.48"/>
  </r>
  <r>
    <x v="193"/>
    <s v="COPT2"/>
    <x v="44"/>
    <n v="1211974.8235000004"/>
    <n v="516944.93887711578"/>
    <n v="0.28000000000000003"/>
    <n v="0"/>
    <n v="0"/>
    <n v="0"/>
    <n v="2.3444949981183623"/>
    <n v="0"/>
    <n v="0"/>
    <n v="0"/>
  </r>
  <r>
    <x v="1"/>
    <s v="COPT2"/>
    <x v="44"/>
    <n v="1092034.5519999994"/>
    <n v="465786.68449983525"/>
    <n v="0.28000000000000003"/>
    <n v="0"/>
    <n v="0"/>
    <n v="0"/>
    <n v="2.3444949981183623"/>
    <n v="0"/>
    <n v="0"/>
    <n v="0"/>
  </r>
  <r>
    <x v="2"/>
    <s v="COPT2"/>
    <x v="44"/>
    <n v="213186.48549999963"/>
    <n v="90930.663392798102"/>
    <n v="0.28000000000000003"/>
    <n v="0"/>
    <n v="0"/>
    <n v="-17640"/>
    <n v="2.3444949981183623"/>
    <n v="-17640"/>
    <n v="-7524.0083745785159"/>
    <n v="-17640"/>
  </r>
  <r>
    <x v="3"/>
    <s v="COPT2"/>
    <x v="44"/>
    <n v="82824.983499999231"/>
    <n v="35327.430242535236"/>
    <n v="0.28000000000000003"/>
    <n v="0"/>
    <n v="0"/>
    <n v="0"/>
    <n v="2.3444949981183623"/>
    <n v="0"/>
    <n v="0"/>
    <n v="0"/>
  </r>
  <r>
    <x v="4"/>
    <s v="COPT2"/>
    <x v="44"/>
    <n v="142656.46060000049"/>
    <n v="60847.41520647017"/>
    <n v="0.28000000000000003"/>
    <n v="0"/>
    <n v="0"/>
    <n v="0"/>
    <n v="2.3444949981183623"/>
    <n v="0"/>
    <n v="0"/>
    <n v="0"/>
  </r>
  <r>
    <x v="5"/>
    <s v="COPT2"/>
    <x v="44"/>
    <n v="86203.86000000035"/>
    <n v="36768.626108900033"/>
    <n v="0.28000000000000003"/>
    <n v="0"/>
    <n v="0"/>
    <n v="0"/>
    <n v="2.3444949981183623"/>
    <n v="0"/>
    <n v="0"/>
    <n v="0"/>
  </r>
  <r>
    <x v="6"/>
    <s v="COPT2"/>
    <x v="44"/>
    <n v="343408.91970000078"/>
    <n v="146474.57980316141"/>
    <n v="0.28000000000000003"/>
    <n v="0"/>
    <n v="-5.8207660913467407E-11"/>
    <n v="0"/>
    <n v="2.3444949981183623"/>
    <n v="-5.8207660913467407E-11"/>
    <n v="0"/>
    <n v="-5.8207660913467407E-11"/>
  </r>
  <r>
    <x v="7"/>
    <s v="COPT2"/>
    <x v="44"/>
    <n v="295752.50579999946"/>
    <n v="126147.63778014609"/>
    <n v="0.28000000000000003"/>
    <n v="0"/>
    <n v="0"/>
    <n v="0"/>
    <n v="2.3444949981183623"/>
    <n v="0"/>
    <n v="0"/>
    <n v="0"/>
  </r>
  <r>
    <x v="8"/>
    <s v="COPT2"/>
    <x v="44"/>
    <n v="303915.9249000001"/>
    <n v="129629.58980245897"/>
    <n v="0.28000000000000003"/>
    <n v="0"/>
    <n v="0"/>
    <n v="0"/>
    <n v="2.3444949981183623"/>
    <n v="0"/>
    <n v="0"/>
    <n v="0"/>
  </r>
  <r>
    <x v="9"/>
    <s v="COPT2"/>
    <x v="44"/>
    <n v="396955.81309999997"/>
    <n v="169313.99445022811"/>
    <n v="0.28000000000000003"/>
    <n v="0"/>
    <n v="0"/>
    <n v="0"/>
    <n v="2.3444949981183623"/>
    <n v="0"/>
    <n v="0"/>
    <n v="0"/>
  </r>
  <r>
    <x v="10"/>
    <s v="COPT2"/>
    <x v="44"/>
    <n v="412648.15890000062"/>
    <n v="176007.267761792"/>
    <n v="0.28000000000000003"/>
    <n v="0"/>
    <n v="0"/>
    <n v="0"/>
    <n v="2.3444949981183623"/>
    <n v="0"/>
    <n v="0"/>
    <n v="0"/>
  </r>
  <r>
    <x v="11"/>
    <s v="COPT2"/>
    <x v="44"/>
    <n v="397240.21729999938"/>
    <n v="169435.30168279959"/>
    <n v="0.28000000000000003"/>
    <n v="0"/>
    <n v="0"/>
    <n v="0"/>
    <n v="2.3444949981183623"/>
    <n v="0"/>
    <n v="0"/>
    <n v="0"/>
  </r>
  <r>
    <x v="12"/>
    <s v="COPT2"/>
    <x v="44"/>
    <n v="482780.89309999929"/>
    <n v="205921.05911399605"/>
    <n v="0.28000000000000003"/>
    <n v="0"/>
    <n v="-5.8207660913467407E-11"/>
    <n v="0"/>
    <n v="2.3444949981183623"/>
    <n v="-5.8207660913467407E-11"/>
    <n v="0"/>
    <n v="-5.8207660913467407E-11"/>
  </r>
  <r>
    <x v="13"/>
    <s v="COPT2"/>
    <x v="44"/>
    <n v="441943.6001000001"/>
    <n v="188502.68414080382"/>
    <n v="0.28000000000000003"/>
    <n v="0"/>
    <n v="0"/>
    <n v="-10470.879999999999"/>
    <n v="2.3444949981183623"/>
    <n v="-10470.879999999999"/>
    <n v="-4466.1558281863199"/>
    <n v="-10470.879999999999"/>
  </r>
  <r>
    <x v="14"/>
    <s v="COPT2"/>
    <x v="44"/>
    <n v="202956.4299000004"/>
    <n v="86567.226657718857"/>
    <n v="0.28000000000000003"/>
    <n v="0"/>
    <n v="0"/>
    <n v="-2128"/>
    <n v="2.3444949981183623"/>
    <n v="-2128"/>
    <n v="-907.65815312375753"/>
    <n v="-2128"/>
  </r>
  <r>
    <x v="15"/>
    <s v="COPT2"/>
    <x v="44"/>
    <n v="202956.4299000004"/>
    <n v="86567.226657718857"/>
    <n v="0.28000000000000003"/>
    <n v="0"/>
    <n v="0"/>
    <n v="0"/>
    <n v="2.3444949981183623"/>
    <n v="0"/>
    <n v="0"/>
    <n v="0"/>
  </r>
  <r>
    <x v="16"/>
    <s v="COPT2"/>
    <x v="44"/>
    <n v="202956.4299000004"/>
    <n v="86567.226657718857"/>
    <n v="0.28000000000000003"/>
    <n v="0"/>
    <n v="0"/>
    <n v="0"/>
    <n v="2.3444949981183623"/>
    <n v="0"/>
    <n v="0"/>
    <n v="0"/>
  </r>
  <r>
    <x v="17"/>
    <s v="COPT2"/>
    <x v="44"/>
    <n v="462331.24970000004"/>
    <n v="197198.65048594962"/>
    <n v="0.28000000000000003"/>
    <n v="0"/>
    <n v="0"/>
    <n v="-3360"/>
    <n v="2.3444949981183623"/>
    <n v="-3360"/>
    <n v="-1433.1444523006696"/>
    <n v="-3360"/>
  </r>
  <r>
    <x v="18"/>
    <s v="COPT2"/>
    <x v="44"/>
    <n v="514621.20499999961"/>
    <n v="219501.94195893902"/>
    <n v="0.28000000000000003"/>
    <n v="0"/>
    <n v="0"/>
    <n v="-3220"/>
    <n v="2.3444949981183623"/>
    <n v="-3220"/>
    <n v="-1373.4301001214751"/>
    <n v="-3220"/>
  </r>
  <r>
    <x v="19"/>
    <s v="COPT2"/>
    <x v="44"/>
    <n v="299872.14609999978"/>
    <n v="127904.79243533054"/>
    <n v="0.28000000000000003"/>
    <n v="0"/>
    <n v="0"/>
    <n v="0"/>
    <n v="2.3444949981183623"/>
    <n v="0"/>
    <n v="0"/>
    <n v="0"/>
  </r>
  <r>
    <x v="20"/>
    <s v="COPT2"/>
    <x v="44"/>
    <n v="196940.84079999995"/>
    <n v="84001.390899984923"/>
    <n v="0.28000000000000003"/>
    <n v="0"/>
    <n v="-2.9103830456733704E-11"/>
    <n v="0"/>
    <n v="2.3444949981183623"/>
    <n v="-2.9103830456733704E-11"/>
    <n v="0"/>
    <n v="-2.9103830456733704E-11"/>
  </r>
  <r>
    <x v="21"/>
    <s v="COPT2"/>
    <x v="44"/>
    <n v="351551.09100000013"/>
    <n v="149947.46897824347"/>
    <n v="0.28000000000000003"/>
    <n v="0"/>
    <n v="0"/>
    <n v="0"/>
    <n v="2.3444949981183623"/>
    <n v="0"/>
    <n v="0"/>
    <n v="0"/>
  </r>
  <r>
    <x v="22"/>
    <s v="COPT2"/>
    <x v="44"/>
    <n v="746300.00000000023"/>
    <n v="318320.15022380662"/>
    <n v="0.28000000000000003"/>
    <n v="0"/>
    <n v="0"/>
    <n v="0"/>
    <n v="2.3444949981183623"/>
    <n v="0"/>
    <n v="0"/>
    <n v="0"/>
  </r>
  <r>
    <x v="23"/>
    <s v="COPT2"/>
    <x v="44"/>
    <n v="728300"/>
    <n v="310642.59065791004"/>
    <n v="0.28000000000000003"/>
    <n v="0"/>
    <n v="0"/>
    <n v="0"/>
    <n v="2.3444949981183623"/>
    <n v="0"/>
    <n v="0"/>
    <n v="0"/>
  </r>
  <r>
    <x v="24"/>
    <s v="COPT2"/>
    <x v="44"/>
    <n v="697413.88"/>
    <n v="297468.70032127528"/>
    <n v="0.28000000000000003"/>
    <n v="0"/>
    <n v="0"/>
    <n v="0"/>
    <n v="2.3444949981183623"/>
    <n v="0"/>
    <n v="0"/>
    <n v="0"/>
  </r>
  <r>
    <x v="25"/>
    <s v="COPT2"/>
    <x v="44"/>
    <n v="553957.15"/>
    <n v="236279.94533773512"/>
    <n v="0.28000000000000003"/>
    <n v="0"/>
    <n v="0"/>
    <n v="-12110.33"/>
    <n v="2.3444949981183623"/>
    <n v="-12110.33"/>
    <n v="-5165.4322187590387"/>
    <n v="-12110.33"/>
  </r>
  <r>
    <x v="26"/>
    <s v="COPT2"/>
    <x v="44"/>
    <n v="577042.43999999994"/>
    <n v="246126.5391750125"/>
    <n v="0.28000000000000003"/>
    <n v="0"/>
    <n v="0"/>
    <n v="0"/>
    <n v="2.3444949981183623"/>
    <n v="0"/>
    <n v="0"/>
    <n v="0"/>
  </r>
  <r>
    <x v="27"/>
    <s v="COPT2"/>
    <x v="44"/>
    <n v="631743.80000000005"/>
    <n v="269458.36971587618"/>
    <n v="0.28000000000000003"/>
    <n v="0"/>
    <n v="0"/>
    <n v="0"/>
    <n v="2.3444949981183623"/>
    <n v="0"/>
    <n v="0"/>
    <n v="0"/>
  </r>
  <r>
    <x v="28"/>
    <s v="COPT2"/>
    <x v="44"/>
    <n v="530800"/>
    <n v="226402.70097654627"/>
    <n v="0.28000000000000003"/>
    <n v="0"/>
    <n v="0"/>
    <n v="0"/>
    <n v="2.3444949981183623"/>
    <n v="0"/>
    <n v="0"/>
    <n v="0"/>
  </r>
  <r>
    <x v="29"/>
    <s v="COPT2"/>
    <x v="44"/>
    <n v="540117.25379999995"/>
    <n v="230376.79936766153"/>
    <n v="0.28000000000000003"/>
    <n v="0"/>
    <n v="0"/>
    <n v="0"/>
    <n v="2.3444949981183623"/>
    <n v="0"/>
    <n v="0"/>
    <n v="0"/>
  </r>
  <r>
    <x v="30"/>
    <s v="COPT2"/>
    <x v="44"/>
    <n v="540117.25379999995"/>
    <n v="230376.79936766153"/>
    <n v="0.28000000000000003"/>
    <n v="0"/>
    <n v="0"/>
    <n v="0"/>
    <n v="2.3444949981183623"/>
    <n v="0"/>
    <n v="0"/>
    <n v="-540117.25379999995"/>
  </r>
  <r>
    <x v="166"/>
    <s v="COPT2"/>
    <x v="45"/>
    <n v="21564486.290804401"/>
    <n v="21689695.381823272"/>
    <n v="107.2"/>
    <n v="21440000"/>
    <n v="0"/>
    <n v="0"/>
    <n v="0.99422725451811556"/>
    <n v="21440000"/>
    <n v="21689695.381823272"/>
    <n v="21440000"/>
  </r>
  <r>
    <x v="167"/>
    <s v="COPT2"/>
    <x v="45"/>
    <n v="21465388.593513399"/>
    <n v="21590022.297183249"/>
    <n v="107.2"/>
    <n v="0"/>
    <n v="0"/>
    <n v="0"/>
    <n v="0.99422725451811556"/>
    <n v="0"/>
    <n v="0"/>
    <n v="0"/>
  </r>
  <r>
    <x v="168"/>
    <s v="COPT2"/>
    <x v="45"/>
    <n v="34185331.941"/>
    <n v="21702736.619092535"/>
    <n v="107.2"/>
    <n v="12542400"/>
    <n v="0"/>
    <n v="0"/>
    <n v="1.5751622728963204"/>
    <n v="12542400"/>
    <n v="0"/>
    <n v="12542400"/>
  </r>
  <r>
    <x v="169"/>
    <s v="COPT2"/>
    <x v="45"/>
    <n v="40248978.190000005"/>
    <n v="21449306.627039418"/>
    <n v="107.2"/>
    <n v="6539200"/>
    <n v="0"/>
    <n v="0"/>
    <n v="1.8764698966660931"/>
    <n v="6539200"/>
    <n v="0"/>
    <n v="6539200"/>
  </r>
  <r>
    <x v="170"/>
    <s v="COPT2"/>
    <x v="45"/>
    <n v="40408338.159999996"/>
    <n v="21534232.03420056"/>
    <n v="107.2"/>
    <n v="0"/>
    <n v="0"/>
    <n v="0"/>
    <n v="1.8764698966660931"/>
    <n v="0"/>
    <n v="0"/>
    <n v="0"/>
  </r>
  <r>
    <x v="171"/>
    <s v="COPT2"/>
    <x v="45"/>
    <n v="65702283.609999992"/>
    <n v="21462479.106736753"/>
    <n v="107.2"/>
    <n v="25513600"/>
    <n v="0"/>
    <n v="0"/>
    <n v="3.061262554211504"/>
    <n v="25513600"/>
    <n v="0"/>
    <n v="25513600"/>
  </r>
  <r>
    <x v="172"/>
    <s v="COPT2"/>
    <x v="45"/>
    <n v="74387873.519999996"/>
    <n v="21525210.412354339"/>
    <n v="107.2"/>
    <n v="8468800"/>
    <n v="0"/>
    <n v="0"/>
    <n v="3.4558488439818116"/>
    <n v="8468800"/>
    <n v="0"/>
    <n v="8468800"/>
  </r>
  <r>
    <x v="173"/>
    <s v="COPT2"/>
    <x v="45"/>
    <n v="73416224.450000003"/>
    <n v="21244049.657394797"/>
    <n v="107.2"/>
    <n v="0"/>
    <n v="0"/>
    <n v="0"/>
    <n v="3.4558488439818116"/>
    <n v="0"/>
    <n v="0"/>
    <n v="0"/>
  </r>
  <r>
    <x v="174"/>
    <s v="COPT2"/>
    <x v="45"/>
    <n v="83755163.390000001"/>
    <n v="21504017.571929634"/>
    <n v="107.2"/>
    <n v="9326400"/>
    <n v="0"/>
    <n v="0"/>
    <n v="3.8948611862803806"/>
    <n v="9326400"/>
    <n v="0"/>
    <n v="9326400"/>
  </r>
  <r>
    <x v="175"/>
    <s v="COPT2"/>
    <x v="45"/>
    <n v="90010294"/>
    <n v="21487385.995601173"/>
    <n v="107.2"/>
    <n v="6324800"/>
    <n v="0"/>
    <n v="0"/>
    <n v="4.1889829697491638"/>
    <n v="6324800"/>
    <n v="0"/>
    <n v="6324800"/>
  </r>
  <r>
    <x v="176"/>
    <s v="COPT2"/>
    <x v="45"/>
    <n v="92354108.739999995"/>
    <n v="21237517.593524121"/>
    <n v="107.2"/>
    <n v="3430400"/>
    <n v="0"/>
    <n v="0"/>
    <n v="4.3486301227673234"/>
    <n v="3430400"/>
    <n v="0"/>
    <n v="3430400"/>
  </r>
  <r>
    <x v="177"/>
    <s v="COPT2"/>
    <x v="45"/>
    <n v="92802667.760000005"/>
    <n v="21340667.092869118"/>
    <n v="107.2"/>
    <n v="0"/>
    <n v="0"/>
    <n v="0"/>
    <n v="4.3486301227673234"/>
    <n v="0"/>
    <n v="0"/>
    <n v="0"/>
  </r>
  <r>
    <x v="178"/>
    <s v="COPT2"/>
    <x v="45"/>
    <n v="93690147.041999996"/>
    <n v="21544749.587113358"/>
    <n v="107.2"/>
    <n v="0"/>
    <n v="0"/>
    <n v="0"/>
    <n v="4.3486301227673234"/>
    <n v="0"/>
    <n v="0"/>
    <n v="0"/>
  </r>
  <r>
    <x v="179"/>
    <s v="COPT2"/>
    <x v="45"/>
    <n v="90883198.959999993"/>
    <n v="20899270.895489488"/>
    <n v="107.2"/>
    <n v="0"/>
    <n v="0"/>
    <n v="0"/>
    <n v="4.3486301227673234"/>
    <n v="0"/>
    <n v="0"/>
    <n v="0"/>
  </r>
  <r>
    <x v="180"/>
    <s v="COPT2"/>
    <x v="45"/>
    <n v="89248684.510000005"/>
    <n v="20523402.08074655"/>
    <n v="107.2"/>
    <n v="0"/>
    <n v="0"/>
    <n v="0"/>
    <n v="4.3486301227673234"/>
    <n v="0"/>
    <n v="0"/>
    <n v="0"/>
  </r>
  <r>
    <x v="32"/>
    <s v="COPT2"/>
    <x v="45"/>
    <n v="102852261.5"/>
    <n v="20521242.657013416"/>
    <n v="107.2"/>
    <n v="13614400"/>
    <n v="0"/>
    <n v="0"/>
    <n v="5.0119899276591235"/>
    <n v="13614400"/>
    <n v="0"/>
    <n v="13614400"/>
  </r>
  <r>
    <x v="33"/>
    <s v="COPT2"/>
    <x v="45"/>
    <n v="87194844.069999993"/>
    <n v="17397250.459105533"/>
    <n v="107.2"/>
    <n v="0"/>
    <n v="0"/>
    <n v="-17046636.449999999"/>
    <n v="5.0119899276591235"/>
    <n v="-17046636.449999999"/>
    <n v="-3401171.330358543"/>
    <n v="-17046636.449999999"/>
  </r>
  <r>
    <x v="34"/>
    <s v="COPT2"/>
    <x v="45"/>
    <n v="86864580.400000006"/>
    <n v="17331355.73968932"/>
    <n v="107.2"/>
    <n v="0"/>
    <n v="0"/>
    <n v="0"/>
    <n v="5.0119899276591235"/>
    <n v="0"/>
    <n v="0"/>
    <n v="0"/>
  </r>
  <r>
    <x v="35"/>
    <s v="COPT2"/>
    <x v="45"/>
    <n v="88246023.480000004"/>
    <n v="17606983.404536843"/>
    <n v="107.2"/>
    <n v="0"/>
    <n v="0"/>
    <n v="0"/>
    <n v="5.0119899276591235"/>
    <n v="0"/>
    <n v="0"/>
    <n v="0"/>
  </r>
  <r>
    <x v="36"/>
    <s v="COPT2"/>
    <x v="45"/>
    <n v="89604709.474648759"/>
    <n v="17878070.540436842"/>
    <n v="107.2"/>
    <n v="0"/>
    <n v="0"/>
    <n v="0"/>
    <n v="5.0119899276591235"/>
    <n v="0"/>
    <n v="0"/>
    <n v="0"/>
  </r>
  <r>
    <x v="37"/>
    <s v="COPT2"/>
    <x v="45"/>
    <n v="90059351.859999999"/>
    <n v="17968781.493952982"/>
    <n v="107.2"/>
    <n v="0"/>
    <n v="0"/>
    <n v="0"/>
    <n v="5.0119899276591235"/>
    <n v="0"/>
    <n v="0"/>
    <n v="0"/>
  </r>
  <r>
    <x v="38"/>
    <s v="COPT2"/>
    <x v="45"/>
    <n v="86346832.568000004"/>
    <n v="17228053.889631167"/>
    <n v="107.2"/>
    <n v="0"/>
    <n v="0"/>
    <n v="-4554928"/>
    <n v="5.0119899276591235"/>
    <n v="-4554928"/>
    <n v="-908806.29565179581"/>
    <n v="-4554928"/>
  </r>
  <r>
    <x v="39"/>
    <s v="COPT2"/>
    <x v="45"/>
    <n v="85418509.659999996"/>
    <n v="17042833.46393219"/>
    <n v="107.2"/>
    <n v="0"/>
    <n v="0"/>
    <n v="0"/>
    <n v="5.0119899276591235"/>
    <n v="0"/>
    <n v="0"/>
    <n v="0"/>
  </r>
  <r>
    <x v="40"/>
    <s v="COPT2"/>
    <x v="45"/>
    <n v="85733877.635499999"/>
    <n v="17105756.171290323"/>
    <n v="107.2"/>
    <n v="0"/>
    <n v="0"/>
    <n v="0"/>
    <n v="5.0119899276591235"/>
    <n v="0"/>
    <n v="0"/>
    <n v="0"/>
  </r>
  <r>
    <x v="41"/>
    <s v="COPT2"/>
    <x v="45"/>
    <n v="85824662.684499994"/>
    <n v="17123869.745002631"/>
    <n v="107.2"/>
    <n v="0"/>
    <n v="0"/>
    <n v="0"/>
    <n v="5.0119899276591235"/>
    <n v="0"/>
    <n v="0"/>
    <n v="0"/>
  </r>
  <r>
    <x v="42"/>
    <s v="COPT2"/>
    <x v="45"/>
    <n v="78828553.246000007"/>
    <n v="15727995.144399123"/>
    <n v="107.2"/>
    <n v="0"/>
    <n v="0"/>
    <n v="-7017312"/>
    <n v="5.0119899276591235"/>
    <n v="-7017312"/>
    <n v="-1400104.9685423994"/>
    <n v="-7017312"/>
  </r>
  <r>
    <x v="43"/>
    <s v="COPT2"/>
    <x v="45"/>
    <n v="60936373.511"/>
    <n v="12158119.707048304"/>
    <n v="107.2"/>
    <n v="0"/>
    <n v="0"/>
    <n v="-19312080"/>
    <n v="5.0119899276591235"/>
    <n v="-19312080"/>
    <n v="-3853176.1393662277"/>
    <n v="-19312080"/>
  </r>
  <r>
    <x v="44"/>
    <s v="COPT2"/>
    <x v="45"/>
    <n v="62588137.243500002"/>
    <n v="12487682.167536223"/>
    <n v="107.2"/>
    <n v="0"/>
    <n v="0"/>
    <n v="0"/>
    <n v="5.0119899276591235"/>
    <n v="0"/>
    <n v="0"/>
    <n v="0"/>
  </r>
  <r>
    <x v="181"/>
    <s v="COPT2"/>
    <x v="45"/>
    <n v="50842057.759000003"/>
    <n v="10144086.179907002"/>
    <n v="107.2"/>
    <n v="0"/>
    <n v="-7.4505805969238281E-9"/>
    <n v="-9728400"/>
    <n v="5.0119899276591235"/>
    <n v="-9728400.0000000075"/>
    <n v="-1941025.4490562596"/>
    <n v="-9728400.0000000075"/>
  </r>
  <r>
    <x v="182"/>
    <s v="COPT2"/>
    <x v="45"/>
    <n v="49011244.07"/>
    <n v="9778799.3945332933"/>
    <n v="107.2"/>
    <n v="0"/>
    <n v="0"/>
    <n v="0"/>
    <n v="5.0119899276591235"/>
    <n v="0"/>
    <n v="0"/>
    <n v="0"/>
  </r>
  <r>
    <x v="183"/>
    <s v="COPT2"/>
    <x v="45"/>
    <n v="42873837.030000001"/>
    <n v="8554254.4276469555"/>
    <n v="107.2"/>
    <n v="0"/>
    <n v="0"/>
    <n v="-6164000"/>
    <n v="5.0119899276591235"/>
    <n v="-6164000"/>
    <n v="-1229850.8354901921"/>
    <n v="-6164000"/>
  </r>
  <r>
    <x v="184"/>
    <s v="COPT2"/>
    <x v="45"/>
    <n v="43795100.853500001"/>
    <n v="8738066.4138634317"/>
    <n v="107.2"/>
    <n v="0"/>
    <n v="0"/>
    <n v="0"/>
    <n v="5.0119899276591235"/>
    <n v="0"/>
    <n v="0"/>
    <n v="0"/>
  </r>
  <r>
    <x v="185"/>
    <s v="COPT2"/>
    <x v="45"/>
    <n v="44718811.365999997"/>
    <n v="8922366.5672620684"/>
    <n v="107.2"/>
    <n v="0"/>
    <n v="0"/>
    <n v="0"/>
    <n v="5.0119899276591235"/>
    <n v="0"/>
    <n v="0"/>
    <n v="0"/>
  </r>
  <r>
    <x v="186"/>
    <s v="COPT2"/>
    <x v="45"/>
    <n v="44798269.722999997"/>
    <n v="8938220.2218277939"/>
    <n v="107.2"/>
    <n v="0"/>
    <n v="0"/>
    <n v="0"/>
    <n v="5.0119899276591235"/>
    <n v="0"/>
    <n v="0"/>
    <n v="0"/>
  </r>
  <r>
    <x v="187"/>
    <s v="COPT2"/>
    <x v="45"/>
    <n v="42078711.987000003"/>
    <n v="8395609.846457351"/>
    <n v="107.2"/>
    <n v="0"/>
    <n v="0"/>
    <n v="-3392880"/>
    <n v="5.0119899276591235"/>
    <n v="-3392880"/>
    <n v="-676952.67727416649"/>
    <n v="-3392880"/>
  </r>
  <r>
    <x v="188"/>
    <s v="COPT2"/>
    <x v="45"/>
    <n v="42268326.825000003"/>
    <n v="8433442.0928777978"/>
    <n v="107.2"/>
    <n v="0"/>
    <n v="0"/>
    <n v="0"/>
    <n v="5.0119899276591235"/>
    <n v="0"/>
    <n v="0"/>
    <n v="0"/>
  </r>
  <r>
    <x v="189"/>
    <s v="COPT2"/>
    <x v="45"/>
    <n v="43273072.597499996"/>
    <n v="8633910.5269732475"/>
    <n v="107.2"/>
    <n v="0"/>
    <n v="0"/>
    <n v="0"/>
    <n v="5.0119899276591235"/>
    <n v="0"/>
    <n v="0"/>
    <n v="0"/>
  </r>
  <r>
    <x v="190"/>
    <s v="COPT2"/>
    <x v="45"/>
    <n v="37054163.838"/>
    <n v="7393104.2106675468"/>
    <n v="107.2"/>
    <n v="0"/>
    <n v="0"/>
    <n v="-4848656"/>
    <n v="5.0119899276591235"/>
    <n v="-4848656"/>
    <n v="-967411.36155167629"/>
    <n v="-4848656"/>
  </r>
  <r>
    <x v="191"/>
    <s v="COPT2"/>
    <x v="45"/>
    <n v="37261751.645499997"/>
    <n v="7434522.4518244984"/>
    <n v="107.2"/>
    <n v="0"/>
    <n v="0"/>
    <n v="0"/>
    <n v="5.0119899276591235"/>
    <n v="0"/>
    <n v="0"/>
    <n v="0"/>
  </r>
  <r>
    <x v="192"/>
    <s v="COPT2"/>
    <x v="45"/>
    <n v="34137395.222000003"/>
    <n v="6811146.0148013616"/>
    <n v="107.2"/>
    <n v="0"/>
    <n v="0"/>
    <n v="-3006531.2"/>
    <n v="5.0119899276591235"/>
    <n v="-3006531.2"/>
    <n v="-599867.76577665959"/>
    <n v="-3006531.2"/>
  </r>
  <r>
    <x v="193"/>
    <s v="COPT2"/>
    <x v="45"/>
    <n v="33959257.593999997"/>
    <n v="6775603.7191121904"/>
    <n v="107.2"/>
    <n v="0"/>
    <n v="0"/>
    <n v="0"/>
    <n v="5.0119899276591235"/>
    <n v="0"/>
    <n v="0"/>
    <n v="0"/>
  </r>
  <r>
    <x v="1"/>
    <s v="COPT2"/>
    <x v="45"/>
    <n v="33858582.710000001"/>
    <n v="6755516.9101893688"/>
    <n v="107.2"/>
    <n v="0"/>
    <n v="0"/>
    <n v="0"/>
    <n v="5.0119899276591235"/>
    <n v="0"/>
    <n v="0"/>
    <n v="0"/>
  </r>
  <r>
    <x v="2"/>
    <s v="COPT2"/>
    <x v="45"/>
    <n v="24371097.879999999"/>
    <n v="4862559.2293204488"/>
    <n v="107.2"/>
    <n v="0"/>
    <n v="0"/>
    <n v="-6753600"/>
    <n v="5.0119899276591235"/>
    <n v="-6753600"/>
    <n v="-1347488.7414936016"/>
    <n v="-6753600"/>
  </r>
  <r>
    <x v="3"/>
    <s v="COPT2"/>
    <x v="45"/>
    <n v="23745565.359999999"/>
    <n v="4737752.011223712"/>
    <n v="107.2"/>
    <n v="0"/>
    <n v="0"/>
    <n v="0"/>
    <n v="5.0119899276591235"/>
    <n v="0"/>
    <n v="0"/>
    <n v="0"/>
  </r>
  <r>
    <x v="4"/>
    <s v="COPT2"/>
    <x v="45"/>
    <n v="23989685.510000002"/>
    <n v="4786459.2419890417"/>
    <n v="107.2"/>
    <n v="0"/>
    <n v="0"/>
    <n v="0"/>
    <n v="5.0119899276591235"/>
    <n v="0"/>
    <n v="0"/>
    <n v="0"/>
  </r>
  <r>
    <x v="5"/>
    <s v="COPT2"/>
    <x v="45"/>
    <n v="24451655.23"/>
    <n v="4878632.1566732032"/>
    <n v="107.2"/>
    <n v="0"/>
    <n v="0"/>
    <n v="0"/>
    <n v="5.0119899276591235"/>
    <n v="0"/>
    <n v="0"/>
    <n v="0"/>
  </r>
  <r>
    <x v="6"/>
    <s v="COPT2"/>
    <x v="45"/>
    <n v="25156356.460000001"/>
    <n v="5019235.2385172108"/>
    <n v="107.2"/>
    <n v="0"/>
    <n v="0"/>
    <n v="0"/>
    <n v="5.0119899276591235"/>
    <n v="0"/>
    <n v="0"/>
    <n v="0"/>
  </r>
  <r>
    <x v="7"/>
    <s v="COPT2"/>
    <x v="45"/>
    <n v="24994116.350000001"/>
    <n v="4986864.8402638817"/>
    <n v="107.2"/>
    <n v="0"/>
    <n v="0"/>
    <n v="0"/>
    <n v="5.0119899276591235"/>
    <n v="0"/>
    <n v="0"/>
    <n v="0"/>
  </r>
  <r>
    <x v="8"/>
    <s v="COPT2"/>
    <x v="45"/>
    <n v="25321518.949999999"/>
    <n v="5052188.7145584403"/>
    <n v="107.2"/>
    <n v="0"/>
    <n v="0"/>
    <n v="0"/>
    <n v="5.0119899276591235"/>
    <n v="0"/>
    <n v="0"/>
    <n v="0"/>
  </r>
  <r>
    <x v="9"/>
    <s v="COPT2"/>
    <x v="45"/>
    <n v="25689342.75"/>
    <n v="5125577.4893383207"/>
    <n v="107.2"/>
    <n v="0"/>
    <n v="-3.7252902984619141E-9"/>
    <n v="0"/>
    <n v="5.0119899276591235"/>
    <n v="-3.7252902984619141E-9"/>
    <n v="0"/>
    <n v="-3.7252902984619141E-9"/>
  </r>
  <r>
    <x v="10"/>
    <s v="COPT2"/>
    <x v="45"/>
    <n v="25860682.059999999"/>
    <n v="5159763.3740813136"/>
    <n v="107.2"/>
    <n v="0"/>
    <n v="0"/>
    <n v="0"/>
    <n v="5.0119899276591235"/>
    <n v="0"/>
    <n v="0"/>
    <n v="0"/>
  </r>
  <r>
    <x v="11"/>
    <s v="COPT2"/>
    <x v="45"/>
    <n v="25541955.66"/>
    <n v="5096170.5886606807"/>
    <n v="107.2"/>
    <n v="0"/>
    <n v="0"/>
    <n v="0"/>
    <n v="5.0119899276591235"/>
    <n v="0"/>
    <n v="0"/>
    <n v="0"/>
  </r>
  <r>
    <x v="12"/>
    <s v="COPT2"/>
    <x v="45"/>
    <n v="25710613.469999999"/>
    <n v="5129821.4563667886"/>
    <n v="107.2"/>
    <n v="0"/>
    <n v="0"/>
    <n v="0"/>
    <n v="5.0119899276591235"/>
    <n v="0"/>
    <n v="0"/>
    <n v="0"/>
  </r>
  <r>
    <x v="13"/>
    <s v="COPT2"/>
    <x v="45"/>
    <n v="21332360.329999998"/>
    <n v="4256265.6026652055"/>
    <n v="107.2"/>
    <n v="0"/>
    <n v="0"/>
    <n v="-3995987.2"/>
    <n v="5.0119899276591235"/>
    <n v="-3995987.2"/>
    <n v="-797285.56076056347"/>
    <n v="-3995987.2"/>
  </r>
  <r>
    <x v="14"/>
    <s v="COPT2"/>
    <x v="45"/>
    <n v="19647440.100000001"/>
    <n v="3920087.7063965774"/>
    <n v="107.2"/>
    <n v="0"/>
    <n v="0"/>
    <n v="-814720"/>
    <n v="5.0119899276591235"/>
    <n v="-814720"/>
    <n v="-162554.19738652973"/>
    <n v="-814720"/>
  </r>
  <r>
    <x v="15"/>
    <s v="COPT2"/>
    <x v="45"/>
    <n v="19500015.859999999"/>
    <n v="3890673.3934933473"/>
    <n v="107.2"/>
    <n v="0"/>
    <n v="0"/>
    <n v="0"/>
    <n v="5.0119899276591235"/>
    <n v="0"/>
    <n v="0"/>
    <n v="0"/>
  </r>
  <r>
    <x v="16"/>
    <s v="COPT2"/>
    <x v="45"/>
    <n v="19820782.879999999"/>
    <n v="3954673.3265797682"/>
    <n v="107.2"/>
    <n v="0"/>
    <n v="0"/>
    <n v="0"/>
    <n v="5.0119899276591235"/>
    <n v="0"/>
    <n v="0"/>
    <n v="0"/>
  </r>
  <r>
    <x v="17"/>
    <s v="COPT2"/>
    <x v="45"/>
    <n v="19340988.010000002"/>
    <n v="3858943.910334894"/>
    <n v="107.2"/>
    <n v="0"/>
    <n v="0"/>
    <n v="-1286400"/>
    <n v="5.0119899276591235"/>
    <n v="-1286400"/>
    <n v="-256664.52218925746"/>
    <n v="-1286400"/>
  </r>
  <r>
    <x v="18"/>
    <s v="COPT2"/>
    <x v="45"/>
    <n v="18403540.27"/>
    <n v="3671902.8840098786"/>
    <n v="107.2"/>
    <n v="0"/>
    <n v="0"/>
    <n v="-1232800"/>
    <n v="5.0119899276591235"/>
    <n v="-1232800"/>
    <n v="-245970.16709803839"/>
    <n v="-1232800"/>
  </r>
  <r>
    <x v="19"/>
    <s v="COPT2"/>
    <x v="45"/>
    <n v="17242492.890000001"/>
    <n v="3440248.9108858202"/>
    <n v="107.2"/>
    <n v="0"/>
    <n v="0"/>
    <n v="0"/>
    <n v="5.0119899276591235"/>
    <n v="0"/>
    <n v="0"/>
    <n v="0"/>
  </r>
  <r>
    <x v="20"/>
    <s v="COPT2"/>
    <x v="45"/>
    <n v="16583133.810000001"/>
    <n v="3308692.5650996352"/>
    <n v="107.2"/>
    <n v="0"/>
    <n v="0"/>
    <n v="0"/>
    <n v="5.0119899276591235"/>
    <n v="0"/>
    <n v="0"/>
    <n v="0"/>
  </r>
  <r>
    <x v="21"/>
    <s v="COPT2"/>
    <x v="45"/>
    <n v="17403153.66"/>
    <n v="3472304.1967740417"/>
    <n v="107.2"/>
    <n v="0"/>
    <n v="0"/>
    <n v="0"/>
    <n v="5.0119899276591235"/>
    <n v="0"/>
    <n v="0"/>
    <n v="0"/>
  </r>
  <r>
    <x v="22"/>
    <s v="COPT2"/>
    <x v="45"/>
    <n v="19412700"/>
    <n v="3873251.9977482883"/>
    <n v="107.2"/>
    <n v="0"/>
    <n v="0"/>
    <n v="0"/>
    <n v="5.0119899276591235"/>
    <n v="0"/>
    <n v="0"/>
    <n v="0"/>
  </r>
  <r>
    <x v="23"/>
    <s v="COPT2"/>
    <x v="45"/>
    <n v="19067100"/>
    <n v="3804297.3499959507"/>
    <n v="107.2"/>
    <n v="0"/>
    <n v="0"/>
    <n v="0"/>
    <n v="5.0119899276591235"/>
    <n v="0"/>
    <n v="0"/>
    <n v="0"/>
  </r>
  <r>
    <x v="24"/>
    <s v="COPT2"/>
    <x v="45"/>
    <n v="19025700"/>
    <n v="3796037.157817285"/>
    <n v="107.2"/>
    <n v="0"/>
    <n v="0"/>
    <n v="0"/>
    <n v="5.0119899276591235"/>
    <n v="0"/>
    <n v="0"/>
    <n v="0"/>
  </r>
  <r>
    <x v="25"/>
    <s v="COPT2"/>
    <x v="45"/>
    <n v="13776900"/>
    <n v="2748788.4450786547"/>
    <n v="107.2"/>
    <n v="0"/>
    <n v="-1.862645149230957E-9"/>
    <n v="-4631546.51"/>
    <n v="5.0119899276591235"/>
    <n v="-4631546.5100000016"/>
    <n v="-924093.33954172337"/>
    <n v="-4631546.5100000016"/>
  </r>
  <r>
    <x v="26"/>
    <s v="COPT2"/>
    <x v="45"/>
    <n v="13929100"/>
    <n v="2779155.6250205114"/>
    <n v="107.2"/>
    <n v="0"/>
    <n v="0"/>
    <n v="0"/>
    <n v="5.0119899276591235"/>
    <n v="0"/>
    <n v="0"/>
    <n v="0"/>
  </r>
  <r>
    <x v="27"/>
    <s v="COPT2"/>
    <x v="45"/>
    <n v="14239200"/>
    <n v="2841027.2577404189"/>
    <n v="107.2"/>
    <n v="0"/>
    <n v="0"/>
    <n v="0"/>
    <n v="5.0119899276591235"/>
    <n v="0"/>
    <n v="0"/>
    <n v="0"/>
  </r>
  <r>
    <x v="28"/>
    <s v="COPT2"/>
    <x v="45"/>
    <n v="13767500"/>
    <n v="2746912.9425066868"/>
    <n v="107.2"/>
    <n v="0"/>
    <n v="0"/>
    <n v="0"/>
    <n v="5.0119899276591235"/>
    <n v="0"/>
    <n v="0"/>
    <n v="0"/>
  </r>
  <r>
    <x v="29"/>
    <s v="COPT2"/>
    <x v="45"/>
    <n v="13848225.35"/>
    <n v="2763019.389479876"/>
    <n v="107.2"/>
    <n v="0"/>
    <n v="0"/>
    <n v="0"/>
    <n v="5.0119899276591235"/>
    <n v="0"/>
    <n v="0"/>
    <n v="0"/>
  </r>
  <r>
    <x v="30"/>
    <s v="COPT2"/>
    <x v="45"/>
    <n v="13848225.35"/>
    <n v="2763019.389479876"/>
    <n v="107.2"/>
    <n v="0"/>
    <n v="0"/>
    <n v="0"/>
    <n v="5.0119899276591235"/>
    <n v="0"/>
    <n v="0"/>
    <n v="-13848225.35"/>
  </r>
  <r>
    <x v="167"/>
    <s v="COPT2"/>
    <x v="46"/>
    <n v="14625000"/>
    <n v="14625000"/>
    <n v="125"/>
    <n v="14625000"/>
    <n v="0"/>
    <n v="0"/>
    <n v="1"/>
    <n v="14625000"/>
    <n v="14625000"/>
    <n v="14625000"/>
  </r>
  <r>
    <x v="168"/>
    <s v="COPT2"/>
    <x v="46"/>
    <n v="14649420.602"/>
    <n v="14649420.602"/>
    <n v="125"/>
    <n v="0"/>
    <n v="0"/>
    <n v="0"/>
    <n v="1"/>
    <n v="0"/>
    <n v="0"/>
    <n v="0"/>
  </r>
  <r>
    <x v="169"/>
    <s v="COPT2"/>
    <x v="46"/>
    <n v="22130551.629999999"/>
    <n v="14554800.98786664"/>
    <n v="125"/>
    <n v="7625000"/>
    <n v="0"/>
    <n v="0"/>
    <n v="1.5204984010738967"/>
    <n v="7625000"/>
    <n v="0"/>
    <n v="7625000"/>
  </r>
  <r>
    <x v="170"/>
    <s v="COPT2"/>
    <x v="46"/>
    <n v="22642503.828499999"/>
    <n v="14891501.242295332"/>
    <n v="125"/>
    <n v="0"/>
    <n v="0"/>
    <n v="0"/>
    <n v="1.5204984010738967"/>
    <n v="0"/>
    <n v="0"/>
    <n v="0"/>
  </r>
  <r>
    <x v="171"/>
    <s v="COPT2"/>
    <x v="46"/>
    <n v="52540034.818000004"/>
    <n v="14933433.918782942"/>
    <n v="125"/>
    <n v="29750000"/>
    <n v="0"/>
    <n v="0"/>
    <n v="3.5182822051340992"/>
    <n v="29750000"/>
    <n v="0"/>
    <n v="29750000"/>
  </r>
  <r>
    <x v="172"/>
    <s v="COPT2"/>
    <x v="46"/>
    <n v="63206583.82"/>
    <n v="15122820.093913885"/>
    <n v="125"/>
    <n v="9875000"/>
    <n v="0"/>
    <n v="0"/>
    <n v="4.1795500725051422"/>
    <n v="9875000"/>
    <n v="0"/>
    <n v="9875000"/>
  </r>
  <r>
    <x v="173"/>
    <s v="COPT2"/>
    <x v="46"/>
    <n v="63194305.892999999"/>
    <n v="15119882.47460391"/>
    <n v="125"/>
    <n v="0"/>
    <n v="0"/>
    <n v="0"/>
    <n v="4.1795500725051422"/>
    <n v="0"/>
    <n v="0"/>
    <n v="0"/>
  </r>
  <r>
    <x v="174"/>
    <s v="COPT2"/>
    <x v="46"/>
    <n v="74490460.731000006"/>
    <n v="15205853.465926142"/>
    <n v="125"/>
    <n v="10875000"/>
    <n v="0"/>
    <n v="0"/>
    <n v="4.8988016948815849"/>
    <n v="10875000"/>
    <n v="0"/>
    <n v="10875000"/>
  </r>
  <r>
    <x v="175"/>
    <s v="COPT2"/>
    <x v="46"/>
    <n v="81488648.310499996"/>
    <n v="15135863.577649677"/>
    <n v="125"/>
    <n v="7375000"/>
    <n v="0"/>
    <n v="0"/>
    <n v="5.3838122874488601"/>
    <n v="7375000"/>
    <n v="0"/>
    <n v="7375000"/>
  </r>
  <r>
    <x v="176"/>
    <s v="COPT2"/>
    <x v="46"/>
    <n v="84527219.515499994"/>
    <n v="14965641.502925906"/>
    <n v="125"/>
    <n v="4000000"/>
    <n v="0"/>
    <n v="0"/>
    <n v="5.6480852824768135"/>
    <n v="4000000"/>
    <n v="0"/>
    <n v="4000000"/>
  </r>
  <r>
    <x v="177"/>
    <s v="COPT2"/>
    <x v="46"/>
    <n v="85370854.103499994"/>
    <n v="15115007.977723548"/>
    <n v="125"/>
    <n v="0"/>
    <n v="0"/>
    <n v="0"/>
    <n v="5.6480852824768135"/>
    <n v="0"/>
    <n v="0"/>
    <n v="0"/>
  </r>
  <r>
    <x v="178"/>
    <s v="COPT2"/>
    <x v="46"/>
    <n v="85309280.282000005"/>
    <n v="15104106.261757782"/>
    <n v="125"/>
    <n v="0"/>
    <n v="0"/>
    <n v="0"/>
    <n v="5.6480852824768135"/>
    <n v="0"/>
    <n v="0"/>
    <n v="0"/>
  </r>
  <r>
    <x v="179"/>
    <s v="COPT2"/>
    <x v="46"/>
    <n v="83127841.189999998"/>
    <n v="14717879.959763383"/>
    <n v="125"/>
    <n v="0"/>
    <n v="0"/>
    <n v="0"/>
    <n v="5.6480852824768135"/>
    <n v="0"/>
    <n v="0"/>
    <n v="0"/>
  </r>
  <r>
    <x v="180"/>
    <s v="COPT2"/>
    <x v="46"/>
    <n v="82013250.579999998"/>
    <n v="14520540.409410272"/>
    <n v="125"/>
    <n v="0"/>
    <n v="0"/>
    <n v="0"/>
    <n v="5.6480852824768135"/>
    <n v="0"/>
    <n v="0"/>
    <n v="0"/>
  </r>
  <r>
    <x v="32"/>
    <s v="COPT2"/>
    <x v="46"/>
    <n v="124195018.06"/>
    <n v="14674948.743075097"/>
    <n v="125"/>
    <n v="40875000"/>
    <n v="0"/>
    <n v="0"/>
    <n v="8.4630631584731013"/>
    <n v="40875000"/>
    <n v="0"/>
    <n v="40875000"/>
  </r>
  <r>
    <x v="33"/>
    <s v="COPT2"/>
    <x v="46"/>
    <n v="110091599.789"/>
    <n v="13008481.412404187"/>
    <n v="125"/>
    <n v="0"/>
    <n v="0"/>
    <n v="-16151066.669999998"/>
    <n v="8.4630631584731013"/>
    <n v="-16151066.669999998"/>
    <n v="-1908418.543920445"/>
    <n v="-16151066.669999998"/>
  </r>
  <r>
    <x v="34"/>
    <s v="COPT2"/>
    <x v="46"/>
    <n v="110241771.193"/>
    <n v="13026225.744590772"/>
    <n v="125"/>
    <n v="0"/>
    <n v="0"/>
    <n v="0"/>
    <n v="8.4630631584731013"/>
    <n v="0"/>
    <n v="0"/>
    <n v="0"/>
  </r>
  <r>
    <x v="35"/>
    <s v="COPT2"/>
    <x v="46"/>
    <n v="112194403.88349999"/>
    <n v="13256949.851682546"/>
    <n v="125"/>
    <n v="0"/>
    <n v="0"/>
    <n v="0"/>
    <n v="8.4630631584731013"/>
    <n v="0"/>
    <n v="0"/>
    <n v="0"/>
  </r>
  <r>
    <x v="36"/>
    <s v="COPT2"/>
    <x v="46"/>
    <n v="113714706.19949999"/>
    <n v="13436589.574030345"/>
    <n v="125"/>
    <n v="0"/>
    <n v="0"/>
    <n v="0"/>
    <n v="8.4630631584731013"/>
    <n v="0"/>
    <n v="0"/>
    <n v="0"/>
  </r>
  <r>
    <x v="37"/>
    <s v="COPT2"/>
    <x v="46"/>
    <n v="114456044.5795"/>
    <n v="13524186.507447744"/>
    <n v="125"/>
    <n v="0"/>
    <n v="0"/>
    <n v="0"/>
    <n v="8.4630631584731013"/>
    <n v="0"/>
    <n v="0"/>
    <n v="0"/>
  </r>
  <r>
    <x v="38"/>
    <s v="COPT2"/>
    <x v="46"/>
    <n v="109278725.9515"/>
    <n v="12912431.811653404"/>
    <n v="125"/>
    <n v="0"/>
    <n v="0"/>
    <n v="-5311250"/>
    <n v="8.4630631584731013"/>
    <n v="-5311250"/>
    <n v="-627580.09724675759"/>
    <n v="-5311250"/>
  </r>
  <r>
    <x v="39"/>
    <s v="COPT2"/>
    <x v="46"/>
    <n v="107779562.5235"/>
    <n v="12735289.871444784"/>
    <n v="125"/>
    <n v="0"/>
    <n v="0"/>
    <n v="0"/>
    <n v="8.4630631584731013"/>
    <n v="0"/>
    <n v="0"/>
    <n v="0"/>
  </r>
  <r>
    <x v="40"/>
    <s v="COPT2"/>
    <x v="46"/>
    <n v="108445817.233"/>
    <n v="12814014.878812"/>
    <n v="125"/>
    <n v="0"/>
    <n v="0"/>
    <n v="0"/>
    <n v="8.4630631584731013"/>
    <n v="0"/>
    <n v="0"/>
    <n v="0"/>
  </r>
  <r>
    <x v="41"/>
    <s v="COPT2"/>
    <x v="46"/>
    <n v="108762817.355"/>
    <n v="12851471.780180227"/>
    <n v="125"/>
    <n v="0"/>
    <n v="0"/>
    <n v="0"/>
    <n v="8.4630631584731013"/>
    <n v="0"/>
    <n v="0"/>
    <n v="0"/>
  </r>
  <r>
    <x v="42"/>
    <s v="COPT2"/>
    <x v="46"/>
    <n v="101152810.1225"/>
    <n v="11952269.317667471"/>
    <n v="125"/>
    <n v="0"/>
    <n v="0"/>
    <n v="-8432500"/>
    <n v="8.4630631584731013"/>
    <n v="-8432500"/>
    <n v="-996388.64109828812"/>
    <n v="-8432500"/>
  </r>
  <r>
    <x v="43"/>
    <s v="COPT2"/>
    <x v="46"/>
    <n v="72456057.649000004"/>
    <n v="8561445.9318382852"/>
    <n v="125"/>
    <n v="0"/>
    <n v="0"/>
    <n v="-29393750"/>
    <n v="8.4630631584731013"/>
    <n v="-29393750"/>
    <n v="-3473180.9806442703"/>
    <n v="-29393750"/>
  </r>
  <r>
    <x v="44"/>
    <s v="COPT2"/>
    <x v="46"/>
    <n v="72862376.221499994"/>
    <n v="8609456.7483584471"/>
    <n v="125"/>
    <n v="0"/>
    <n v="0"/>
    <n v="0"/>
    <n v="8.4630631584731013"/>
    <n v="0"/>
    <n v="0"/>
    <n v="0"/>
  </r>
  <r>
    <x v="181"/>
    <s v="COPT2"/>
    <x v="46"/>
    <n v="57035648.439499997"/>
    <n v="6739362.2582618557"/>
    <n v="125"/>
    <n v="0"/>
    <n v="0"/>
    <n v="-14468750"/>
    <n v="8.4630631584731013"/>
    <n v="-14468750"/>
    <n v="-1709635.1201767989"/>
    <n v="-14468750"/>
  </r>
  <r>
    <x v="182"/>
    <s v="COPT2"/>
    <x v="46"/>
    <n v="55339365.846500002"/>
    <n v="6538928.613701175"/>
    <n v="125"/>
    <n v="0"/>
    <n v="0"/>
    <n v="0"/>
    <n v="8.4630631584731013"/>
    <n v="0"/>
    <n v="0"/>
    <n v="0"/>
  </r>
  <r>
    <x v="183"/>
    <s v="COPT2"/>
    <x v="46"/>
    <n v="47432063.873999998"/>
    <n v="5604597.6481354358"/>
    <n v="125"/>
    <n v="0"/>
    <n v="0"/>
    <n v="-7187500"/>
    <n v="8.4630631584731013"/>
    <n v="-7187500"/>
    <n v="-849278.78540100157"/>
    <n v="-7187500"/>
  </r>
  <r>
    <x v="184"/>
    <s v="COPT2"/>
    <x v="46"/>
    <n v="48075837.681500003"/>
    <n v="5680666.3002824383"/>
    <n v="125"/>
    <n v="0"/>
    <n v="0"/>
    <n v="0"/>
    <n v="8.4630631584731013"/>
    <n v="0"/>
    <n v="0"/>
    <n v="0"/>
  </r>
  <r>
    <x v="185"/>
    <s v="COPT2"/>
    <x v="46"/>
    <n v="49024080.205499999"/>
    <n v="5792711.1363239409"/>
    <n v="125"/>
    <n v="0"/>
    <n v="0"/>
    <n v="0"/>
    <n v="8.4630631584731013"/>
    <n v="0"/>
    <n v="0"/>
    <n v="0"/>
  </r>
  <r>
    <x v="186"/>
    <s v="COPT2"/>
    <x v="46"/>
    <n v="48683406.614500001"/>
    <n v="5752456.965390699"/>
    <n v="125"/>
    <n v="0"/>
    <n v="0"/>
    <n v="0"/>
    <n v="8.4630631584731013"/>
    <n v="0"/>
    <n v="0"/>
    <n v="0"/>
  </r>
  <r>
    <x v="187"/>
    <s v="COPT2"/>
    <x v="46"/>
    <n v="45455255.158500001"/>
    <n v="5371016.8891970078"/>
    <n v="125"/>
    <n v="0"/>
    <n v="0"/>
    <n v="-4581250"/>
    <n v="8.4630631584731013"/>
    <n v="-4581250"/>
    <n v="-541322.91278168187"/>
    <n v="-4581250"/>
  </r>
  <r>
    <x v="188"/>
    <s v="COPT2"/>
    <x v="46"/>
    <n v="45559086.968000002"/>
    <n v="5383285.7104920549"/>
    <n v="125"/>
    <n v="0"/>
    <n v="0"/>
    <n v="0"/>
    <n v="8.4630631584731013"/>
    <n v="0"/>
    <n v="0"/>
    <n v="0"/>
  </r>
  <r>
    <x v="189"/>
    <s v="COPT2"/>
    <x v="46"/>
    <n v="46078338.946000002"/>
    <n v="5444640.7976841116"/>
    <n v="125"/>
    <n v="0"/>
    <n v="0"/>
    <n v="0"/>
    <n v="8.4630631584731013"/>
    <n v="0"/>
    <n v="0"/>
    <n v="0"/>
  </r>
  <r>
    <x v="190"/>
    <s v="COPT2"/>
    <x v="46"/>
    <n v="39977600.859499998"/>
    <n v="4723774.3723411756"/>
    <n v="125"/>
    <n v="0"/>
    <n v="0"/>
    <n v="-4841250"/>
    <n v="8.4630631584731013"/>
    <n v="-4841250"/>
    <n v="-572044.64971444861"/>
    <n v="-4841250"/>
  </r>
  <r>
    <x v="191"/>
    <s v="COPT2"/>
    <x v="46"/>
    <n v="38908789.685999997"/>
    <n v="4597483.0811755266"/>
    <n v="125"/>
    <n v="0"/>
    <n v="0"/>
    <n v="0"/>
    <n v="8.4630631584731013"/>
    <n v="0"/>
    <n v="0"/>
    <n v="0"/>
  </r>
  <r>
    <x v="192"/>
    <s v="COPT2"/>
    <x v="46"/>
    <n v="36942954.142999999"/>
    <n v="4365198.9180788789"/>
    <n v="125"/>
    <n v="0"/>
    <n v="0"/>
    <n v="-1343250"/>
    <n v="8.4630631584731013"/>
    <n v="-1343250"/>
    <n v="-158719.12744207241"/>
    <n v="-1343250"/>
  </r>
  <r>
    <x v="193"/>
    <s v="COPT2"/>
    <x v="46"/>
    <n v="37491551.648500003"/>
    <n v="4430021.4882555827"/>
    <n v="125"/>
    <n v="0"/>
    <n v="0"/>
    <n v="0"/>
    <n v="8.4630631584731013"/>
    <n v="0"/>
    <n v="0"/>
    <n v="0"/>
  </r>
  <r>
    <x v="1"/>
    <s v="COPT2"/>
    <x v="46"/>
    <n v="36981524.983999997"/>
    <n v="4369756.4689653302"/>
    <n v="125"/>
    <n v="0"/>
    <n v="0"/>
    <n v="0"/>
    <n v="8.4630631584731013"/>
    <n v="0"/>
    <n v="0"/>
    <n v="0"/>
  </r>
  <r>
    <x v="2"/>
    <s v="COPT2"/>
    <x v="46"/>
    <n v="27250049.944499999"/>
    <n v="3219880.2530756998"/>
    <n v="125"/>
    <n v="0"/>
    <n v="0"/>
    <n v="-6875000"/>
    <n v="8.4630631584731013"/>
    <n v="-6875000"/>
    <n v="-812353.62081834942"/>
    <n v="-6875000"/>
  </r>
  <r>
    <x v="3"/>
    <s v="COPT2"/>
    <x v="46"/>
    <n v="26520602.316500001"/>
    <n v="3133688.3371770587"/>
    <n v="125"/>
    <n v="0"/>
    <n v="0"/>
    <n v="0"/>
    <n v="8.4630631584731013"/>
    <n v="0"/>
    <n v="0"/>
    <n v="0"/>
  </r>
  <r>
    <x v="4"/>
    <s v="COPT2"/>
    <x v="46"/>
    <n v="26933974.889400002"/>
    <n v="3182532.6580995773"/>
    <n v="125"/>
    <n v="0"/>
    <n v="0"/>
    <n v="0"/>
    <n v="8.4630631584731013"/>
    <n v="0"/>
    <n v="0"/>
    <n v="0"/>
  </r>
  <r>
    <x v="5"/>
    <s v="COPT2"/>
    <x v="46"/>
    <n v="27733729.631299999"/>
    <n v="3277032.0996049019"/>
    <n v="125"/>
    <n v="0"/>
    <n v="0"/>
    <n v="0"/>
    <n v="8.4630631584731013"/>
    <n v="0"/>
    <n v="0"/>
    <n v="0"/>
  </r>
  <r>
    <x v="6"/>
    <s v="COPT2"/>
    <x v="46"/>
    <n v="28227498.960299999"/>
    <n v="3335376.1435703123"/>
    <n v="125"/>
    <n v="0"/>
    <n v="0"/>
    <n v="0"/>
    <n v="8.4630631584731013"/>
    <n v="0"/>
    <n v="0"/>
    <n v="0"/>
  </r>
  <r>
    <x v="7"/>
    <s v="COPT2"/>
    <x v="46"/>
    <n v="28052239.994199999"/>
    <n v="3314667.4518332626"/>
    <n v="125"/>
    <n v="0"/>
    <n v="0"/>
    <n v="0"/>
    <n v="8.4630631584731013"/>
    <n v="0"/>
    <n v="0"/>
    <n v="0"/>
  </r>
  <r>
    <x v="8"/>
    <s v="COPT2"/>
    <x v="46"/>
    <n v="28180256.575100001"/>
    <n v="3329793.958454194"/>
    <n v="125"/>
    <n v="0"/>
    <n v="0"/>
    <n v="0"/>
    <n v="8.4630631584731013"/>
    <n v="0"/>
    <n v="0"/>
    <n v="0"/>
  </r>
  <r>
    <x v="9"/>
    <s v="COPT2"/>
    <x v="46"/>
    <n v="28778298.642499998"/>
    <n v="3400458.9241056964"/>
    <n v="125"/>
    <n v="0"/>
    <n v="0"/>
    <n v="0"/>
    <n v="8.4630631584731013"/>
    <n v="0"/>
    <n v="0"/>
    <n v="0"/>
  </r>
  <r>
    <x v="10"/>
    <s v="COPT2"/>
    <x v="46"/>
    <n v="28950560.492899999"/>
    <n v="3420813.4750731597"/>
    <n v="125"/>
    <n v="0"/>
    <n v="0"/>
    <n v="0"/>
    <n v="8.4630631584731013"/>
    <n v="0"/>
    <n v="0"/>
    <n v="0"/>
  </r>
  <r>
    <x v="11"/>
    <s v="COPT2"/>
    <x v="46"/>
    <n v="28964242.230799999"/>
    <n v="3422430.1164291091"/>
    <n v="125"/>
    <n v="0"/>
    <n v="0"/>
    <n v="0"/>
    <n v="8.4630631584731013"/>
    <n v="0"/>
    <n v="0"/>
    <n v="0"/>
  </r>
  <r>
    <x v="12"/>
    <s v="COPT2"/>
    <x v="46"/>
    <n v="29323314.481199998"/>
    <n v="3464858.2826469755"/>
    <n v="125"/>
    <n v="0"/>
    <n v="0"/>
    <n v="0"/>
    <n v="8.4630631584731013"/>
    <n v="0"/>
    <n v="0"/>
    <n v="0"/>
  </r>
  <r>
    <x v="13"/>
    <s v="COPT2"/>
    <x v="46"/>
    <n v="24595750.854699999"/>
    <n v="2906246.8746998627"/>
    <n v="125"/>
    <n v="0"/>
    <n v="0"/>
    <n v="-4809500"/>
    <n v="8.4630631584731013"/>
    <n v="-4809500"/>
    <n v="-568293.05299285112"/>
    <n v="-4809500"/>
  </r>
  <r>
    <x v="14"/>
    <s v="COPT2"/>
    <x v="46"/>
    <n v="22426532.2502"/>
    <n v="2649930.861941739"/>
    <n v="125"/>
    <n v="0"/>
    <n v="0"/>
    <n v="-950000"/>
    <n v="8.4630631584731013"/>
    <n v="-950000"/>
    <n v="-112252.50033126283"/>
    <n v="-950000"/>
  </r>
  <r>
    <x v="15"/>
    <s v="COPT2"/>
    <x v="46"/>
    <n v="22531804.418699998"/>
    <n v="2662369.8768148115"/>
    <n v="125"/>
    <n v="0"/>
    <n v="0"/>
    <n v="0"/>
    <n v="8.4630631584731013"/>
    <n v="0"/>
    <n v="0"/>
    <n v="0"/>
  </r>
  <r>
    <x v="16"/>
    <s v="COPT2"/>
    <x v="46"/>
    <n v="22884848.463"/>
    <n v="2704085.74702506"/>
    <n v="125"/>
    <n v="0"/>
    <n v="0"/>
    <n v="0"/>
    <n v="8.4630631584731013"/>
    <n v="0"/>
    <n v="0"/>
    <n v="0"/>
  </r>
  <r>
    <x v="17"/>
    <s v="COPT2"/>
    <x v="46"/>
    <n v="22544162.391100001"/>
    <n v="2663830.1013421007"/>
    <n v="125"/>
    <n v="0"/>
    <n v="0"/>
    <n v="-1500000"/>
    <n v="8.4630631584731013"/>
    <n v="-1500000"/>
    <n v="-177240.78999673077"/>
    <n v="-1500000"/>
  </r>
  <r>
    <x v="18"/>
    <s v="COPT2"/>
    <x v="46"/>
    <n v="21436383.200000003"/>
    <n v="2532934.3286937652"/>
    <n v="125"/>
    <n v="0"/>
    <n v="0"/>
    <n v="-1437500"/>
    <n v="8.4630631584731013"/>
    <n v="-1437500"/>
    <n v="-169855.75708020033"/>
    <n v="-1437500"/>
  </r>
  <r>
    <x v="19"/>
    <s v="COPT2"/>
    <x v="46"/>
    <n v="20393130.023899999"/>
    <n v="2409662.9839613899"/>
    <n v="125"/>
    <n v="0"/>
    <n v="0"/>
    <n v="0"/>
    <n v="8.4630631584731013"/>
    <n v="0"/>
    <n v="0"/>
    <n v="0"/>
  </r>
  <r>
    <x v="20"/>
    <s v="COPT2"/>
    <x v="46"/>
    <n v="19877874.0592"/>
    <n v="2348780.0678054197"/>
    <n v="125"/>
    <n v="0"/>
    <n v="0"/>
    <n v="0"/>
    <n v="8.4630631584731013"/>
    <n v="0"/>
    <n v="0"/>
    <n v="0"/>
  </r>
  <r>
    <x v="21"/>
    <s v="COPT2"/>
    <x v="46"/>
    <n v="20801993.010000002"/>
    <n v="2457974.4497325812"/>
    <n v="125"/>
    <n v="0"/>
    <n v="0"/>
    <n v="0"/>
    <n v="8.4630631584731013"/>
    <n v="0"/>
    <n v="0"/>
    <n v="0"/>
  </r>
  <r>
    <x v="22"/>
    <s v="COPT2"/>
    <x v="46"/>
    <n v="22831500"/>
    <n v="2697782.0645402391"/>
    <n v="125"/>
    <n v="0"/>
    <n v="0"/>
    <n v="0"/>
    <n v="8.4630631584731013"/>
    <n v="0"/>
    <n v="0"/>
    <n v="0"/>
  </r>
  <r>
    <x v="23"/>
    <s v="COPT2"/>
    <x v="46"/>
    <n v="22802400"/>
    <n v="2694343.5932143023"/>
    <n v="125"/>
    <n v="0"/>
    <n v="0"/>
    <n v="0"/>
    <n v="8.4630631584731013"/>
    <n v="0"/>
    <n v="0"/>
    <n v="0"/>
  </r>
  <r>
    <x v="24"/>
    <s v="COPT2"/>
    <x v="46"/>
    <n v="22710200"/>
    <n v="2683449.1926558367"/>
    <n v="125"/>
    <n v="0"/>
    <n v="0"/>
    <n v="0"/>
    <n v="8.4630631584731013"/>
    <n v="0"/>
    <n v="0"/>
    <n v="0"/>
  </r>
  <r>
    <x v="25"/>
    <s v="COPT2"/>
    <x v="46"/>
    <n v="16640400"/>
    <n v="1966238.4279077325"/>
    <n v="125"/>
    <n v="0"/>
    <n v="0"/>
    <n v="-5458677.6900000004"/>
    <n v="8.4630631584731013"/>
    <n v="-5458677.6900000004"/>
    <n v="-645000.23074208631"/>
    <n v="-5458677.6900000004"/>
  </r>
  <r>
    <x v="26"/>
    <s v="COPT2"/>
    <x v="46"/>
    <n v="16793600"/>
    <n v="1984340.620592732"/>
    <n v="125"/>
    <n v="0"/>
    <n v="0"/>
    <n v="0"/>
    <n v="8.4630631584731013"/>
    <n v="0"/>
    <n v="0"/>
    <n v="0"/>
  </r>
  <r>
    <x v="27"/>
    <s v="COPT2"/>
    <x v="46"/>
    <n v="17109100"/>
    <n v="2021620.2667553776"/>
    <n v="125"/>
    <n v="0"/>
    <n v="0"/>
    <n v="0"/>
    <n v="8.4630631584731013"/>
    <n v="0"/>
    <n v="0"/>
    <n v="0"/>
  </r>
  <r>
    <x v="28"/>
    <s v="COPT2"/>
    <x v="46"/>
    <n v="16645900.000000002"/>
    <n v="1966888.3108043873"/>
    <n v="125"/>
    <n v="0"/>
    <n v="0"/>
    <n v="0"/>
    <n v="8.4630631584731013"/>
    <n v="0"/>
    <n v="0"/>
    <n v="0"/>
  </r>
  <r>
    <x v="29"/>
    <s v="COPT2"/>
    <x v="46"/>
    <n v="16731182.0178"/>
    <n v="1976965.2789426453"/>
    <n v="125"/>
    <n v="0"/>
    <n v="0"/>
    <n v="0"/>
    <n v="8.4630631584731013"/>
    <n v="0"/>
    <n v="0"/>
    <n v="0"/>
  </r>
  <r>
    <x v="30"/>
    <s v="COPT2"/>
    <x v="46"/>
    <n v="16731182.0178"/>
    <n v="1976965.2789426453"/>
    <n v="125"/>
    <n v="0"/>
    <n v="0"/>
    <n v="0"/>
    <n v="8.4630631584731013"/>
    <n v="0"/>
    <n v="0"/>
    <n v="-16731182.0178"/>
  </r>
  <r>
    <x v="167"/>
    <s v="COPT2"/>
    <x v="47"/>
    <n v="1440000"/>
    <n v="1440000"/>
    <n v="12"/>
    <n v="1440000"/>
    <n v="0"/>
    <n v="0"/>
    <n v="1"/>
    <n v="1440000"/>
    <n v="1440000"/>
    <n v="1440000"/>
  </r>
  <r>
    <x v="168"/>
    <s v="COPT2"/>
    <x v="47"/>
    <n v="1437405.52"/>
    <n v="1437405.52"/>
    <n v="12"/>
    <n v="0"/>
    <n v="0"/>
    <n v="0"/>
    <n v="1"/>
    <n v="0"/>
    <n v="0"/>
    <n v="0"/>
  </r>
  <r>
    <x v="169"/>
    <s v="COPT2"/>
    <x v="47"/>
    <n v="2150247.52"/>
    <n v="1424711.8052019663"/>
    <n v="12"/>
    <n v="732000"/>
    <n v="0"/>
    <n v="0"/>
    <n v="1.5092508619279548"/>
    <n v="732000"/>
    <n v="0"/>
    <n v="732000"/>
  </r>
  <r>
    <x v="170"/>
    <s v="COPT2"/>
    <x v="47"/>
    <n v="2194561.5040000002"/>
    <n v="1454073.3812777901"/>
    <n v="12"/>
    <n v="0"/>
    <n v="0"/>
    <n v="0"/>
    <n v="1.5092508619279548"/>
    <n v="0"/>
    <n v="0"/>
    <n v="0"/>
  </r>
  <r>
    <x v="171"/>
    <s v="COPT2"/>
    <x v="47"/>
    <n v="5059264.9359999998"/>
    <n v="1456579.1281708707"/>
    <n v="12"/>
    <n v="2856000"/>
    <n v="0"/>
    <n v="0"/>
    <n v="3.4733883234708136"/>
    <n v="2856000"/>
    <n v="0"/>
    <n v="2856000"/>
  </r>
  <r>
    <x v="172"/>
    <s v="COPT2"/>
    <x v="47"/>
    <n v="6073837.7120000003"/>
    <n v="1472721.0025611424"/>
    <n v="12"/>
    <n v="948000"/>
    <n v="0"/>
    <n v="0"/>
    <n v="4.1242283510843292"/>
    <n v="948000"/>
    <n v="0"/>
    <n v="948000"/>
  </r>
  <r>
    <x v="173"/>
    <s v="COPT2"/>
    <x v="47"/>
    <n v="6067789.4079999998"/>
    <n v="1471254.4727075249"/>
    <n v="12"/>
    <n v="0"/>
    <n v="0"/>
    <n v="0"/>
    <n v="4.1242283510843292"/>
    <n v="0"/>
    <n v="0"/>
    <n v="0"/>
  </r>
  <r>
    <x v="174"/>
    <s v="COPT2"/>
    <x v="47"/>
    <n v="7181216.2800000003"/>
    <n v="1478134.8425857392"/>
    <n v="12"/>
    <n v="1080000"/>
    <n v="0"/>
    <n v="0"/>
    <n v="4.8582957881147797"/>
    <n v="1080000"/>
    <n v="0"/>
    <n v="1080000"/>
  </r>
  <r>
    <x v="175"/>
    <s v="COPT2"/>
    <x v="47"/>
    <n v="7850468.3119999999"/>
    <n v="1470874.9678976291"/>
    <n v="12"/>
    <n v="708000"/>
    <n v="0"/>
    <n v="0"/>
    <n v="5.3372777994998017"/>
    <n v="708000"/>
    <n v="0"/>
    <n v="708000"/>
  </r>
  <r>
    <x v="176"/>
    <s v="COPT2"/>
    <x v="47"/>
    <n v="8140580.2400000002"/>
    <n v="1454104.2901007733"/>
    <n v="12"/>
    <n v="384000"/>
    <n v="0"/>
    <n v="0"/>
    <n v="5.5983468967248804"/>
    <n v="384000"/>
    <n v="0"/>
    <n v="384000"/>
  </r>
  <r>
    <x v="177"/>
    <s v="COPT2"/>
    <x v="47"/>
    <n v="8213050.256000001"/>
    <n v="1467049.1856810022"/>
    <n v="12"/>
    <n v="0"/>
    <n v="-9.3132257461547852E-10"/>
    <n v="0"/>
    <n v="5.5983468967248804"/>
    <n v="-9.3132257461547852E-10"/>
    <n v="0"/>
    <n v="-9.3132257461547852E-10"/>
  </r>
  <r>
    <x v="178"/>
    <s v="COPT2"/>
    <x v="47"/>
    <n v="8202764.3039999986"/>
    <n v="1465211.8661669113"/>
    <n v="12"/>
    <n v="0"/>
    <n v="0"/>
    <n v="0"/>
    <n v="5.5983468967248804"/>
    <n v="0"/>
    <n v="0"/>
    <n v="0"/>
  </r>
  <r>
    <x v="179"/>
    <s v="COPT2"/>
    <x v="47"/>
    <n v="7980169.54"/>
    <n v="1425451.0638968304"/>
    <n v="12"/>
    <n v="0"/>
    <n v="0"/>
    <n v="0"/>
    <n v="5.5983468967248804"/>
    <n v="0"/>
    <n v="0"/>
    <n v="0"/>
  </r>
  <r>
    <x v="180"/>
    <s v="COPT2"/>
    <x v="47"/>
    <n v="7867053.1500000004"/>
    <n v="1405245.7439895959"/>
    <n v="12"/>
    <n v="0"/>
    <n v="0"/>
    <n v="0"/>
    <n v="5.5983468967248804"/>
    <n v="0"/>
    <n v="0"/>
    <n v="0"/>
  </r>
  <r>
    <x v="32"/>
    <s v="COPT2"/>
    <x v="47"/>
    <n v="11837461.41"/>
    <n v="1419444.220717062"/>
    <n v="12"/>
    <n v="3852000"/>
    <n v="0"/>
    <n v="0"/>
    <n v="8.3395044604289268"/>
    <n v="3852000"/>
    <n v="0"/>
    <n v="3852000"/>
  </r>
  <r>
    <x v="33"/>
    <s v="COPT2"/>
    <x v="47"/>
    <n v="10488065.176000001"/>
    <n v="1257636.4969604642"/>
    <n v="12"/>
    <n v="0"/>
    <n v="0"/>
    <n v="-1550502.4"/>
    <n v="8.3395044604289268"/>
    <n v="-1550502.4"/>
    <n v="-185922.605756392"/>
    <n v="-1550502.4"/>
  </r>
  <r>
    <x v="34"/>
    <s v="COPT2"/>
    <x v="47"/>
    <n v="10496507.024"/>
    <n v="1258648.7690972628"/>
    <n v="12"/>
    <n v="0"/>
    <n v="-1.862645149230957E-9"/>
    <n v="0"/>
    <n v="8.3395044604289268"/>
    <n v="-1.862645149230957E-9"/>
    <n v="0"/>
    <n v="-1.862645149230957E-9"/>
  </r>
  <r>
    <x v="35"/>
    <s v="COPT2"/>
    <x v="47"/>
    <n v="10666475.096000001"/>
    <n v="1279029.844832218"/>
    <n v="12"/>
    <n v="0"/>
    <n v="0"/>
    <n v="0"/>
    <n v="8.3395044604289268"/>
    <n v="0"/>
    <n v="0"/>
    <n v="0"/>
  </r>
  <r>
    <x v="36"/>
    <s v="COPT2"/>
    <x v="47"/>
    <n v="10798276.039999999"/>
    <n v="1294834.2543898118"/>
    <n v="12"/>
    <n v="0"/>
    <n v="0"/>
    <n v="0"/>
    <n v="8.3395044604289268"/>
    <n v="0"/>
    <n v="0"/>
    <n v="0"/>
  </r>
  <r>
    <x v="37"/>
    <s v="COPT2"/>
    <x v="47"/>
    <n v="10860006.648"/>
    <n v="1302236.4457661596"/>
    <n v="12"/>
    <n v="0"/>
    <n v="0"/>
    <n v="0"/>
    <n v="8.3395044604289268"/>
    <n v="0"/>
    <n v="0"/>
    <n v="0"/>
  </r>
  <r>
    <x v="38"/>
    <s v="COPT2"/>
    <x v="47"/>
    <n v="10370488.328"/>
    <n v="1243537.7158448829"/>
    <n v="12"/>
    <n v="0"/>
    <n v="0"/>
    <n v="-495840"/>
    <n v="8.3395044604289268"/>
    <n v="-495840"/>
    <n v="-59456.770165753638"/>
    <n v="-495840"/>
  </r>
  <r>
    <x v="39"/>
    <s v="COPT2"/>
    <x v="47"/>
    <n v="10229573.304"/>
    <n v="1226640.4260036645"/>
    <n v="12"/>
    <n v="0"/>
    <n v="0"/>
    <n v="0"/>
    <n v="8.3395044604289268"/>
    <n v="0"/>
    <n v="0"/>
    <n v="0"/>
  </r>
  <r>
    <x v="40"/>
    <s v="COPT2"/>
    <x v="47"/>
    <n v="10284400.912"/>
    <n v="1233214.8703558631"/>
    <n v="12"/>
    <n v="0"/>
    <n v="0"/>
    <n v="0"/>
    <n v="8.3395044604289268"/>
    <n v="0"/>
    <n v="0"/>
    <n v="0"/>
  </r>
  <r>
    <x v="41"/>
    <s v="COPT2"/>
    <x v="47"/>
    <n v="10307860.392000001"/>
    <n v="1236027.9247898904"/>
    <n v="12"/>
    <n v="0"/>
    <n v="0"/>
    <n v="0"/>
    <n v="8.3395044604289268"/>
    <n v="0"/>
    <n v="0"/>
    <n v="0"/>
  </r>
  <r>
    <x v="42"/>
    <s v="COPT2"/>
    <x v="47"/>
    <n v="9569556.6879999992"/>
    <n v="1147497.0405505134"/>
    <n v="12"/>
    <n v="0"/>
    <n v="0"/>
    <n v="-807360"/>
    <n v="8.3395044604289268"/>
    <n v="-807360"/>
    <n v="-96811.507665825382"/>
    <n v="-807360"/>
  </r>
  <r>
    <x v="43"/>
    <s v="COPT2"/>
    <x v="47"/>
    <n v="6866743.608"/>
    <n v="823399.47662151884"/>
    <n v="12"/>
    <n v="0"/>
    <n v="0"/>
    <n v="-2762400"/>
    <n v="8.3395044604289268"/>
    <n v="-2762400"/>
    <n v="-331242.70310156071"/>
    <n v="-2762400"/>
  </r>
  <r>
    <x v="44"/>
    <s v="COPT2"/>
    <x v="47"/>
    <n v="6899902.9040000001"/>
    <n v="827375.64764670876"/>
    <n v="12"/>
    <n v="0"/>
    <n v="0"/>
    <n v="0"/>
    <n v="8.3395044604289268"/>
    <n v="0"/>
    <n v="0"/>
    <n v="0"/>
  </r>
  <r>
    <x v="181"/>
    <s v="COPT2"/>
    <x v="47"/>
    <n v="5413141.5279999999"/>
    <n v="649096.30466479599"/>
    <n v="12"/>
    <n v="0"/>
    <n v="0"/>
    <n v="-1362000"/>
    <n v="8.3395044604289268"/>
    <n v="-1362000"/>
    <n v="-163319.05648143849"/>
    <n v="-1362000"/>
  </r>
  <r>
    <x v="182"/>
    <s v="COPT2"/>
    <x v="47"/>
    <n v="5257287.5839999998"/>
    <n v="630407.6709768438"/>
    <n v="12"/>
    <n v="0"/>
    <n v="0"/>
    <n v="0"/>
    <n v="8.3395044604289268"/>
    <n v="0"/>
    <n v="0"/>
    <n v="0"/>
  </r>
  <r>
    <x v="183"/>
    <s v="COPT2"/>
    <x v="47"/>
    <n v="4500140.9519999996"/>
    <n v="539617.30860067718"/>
    <n v="12"/>
    <n v="0"/>
    <n v="0"/>
    <n v="-690000"/>
    <n v="8.3395044604289268"/>
    <n v="-690000"/>
    <n v="-82738.729054473239"/>
    <n v="-690000"/>
  </r>
  <r>
    <x v="184"/>
    <s v="COPT2"/>
    <x v="47"/>
    <n v="4555981.7359999996"/>
    <n v="546313.24410439504"/>
    <n v="12"/>
    <n v="0"/>
    <n v="0"/>
    <n v="0"/>
    <n v="8.3395044604289268"/>
    <n v="0"/>
    <n v="0"/>
    <n v="0"/>
  </r>
  <r>
    <x v="185"/>
    <s v="COPT2"/>
    <x v="47"/>
    <n v="4639663.1279999996"/>
    <n v="556347.58036466921"/>
    <n v="12"/>
    <n v="0"/>
    <n v="0"/>
    <n v="0"/>
    <n v="8.3395044604289268"/>
    <n v="0"/>
    <n v="0"/>
    <n v="0"/>
  </r>
  <r>
    <x v="186"/>
    <s v="COPT2"/>
    <x v="47"/>
    <n v="4606590.784"/>
    <n v="552381.8358582746"/>
    <n v="12"/>
    <n v="0"/>
    <n v="0"/>
    <n v="0"/>
    <n v="8.3395044604289268"/>
    <n v="0"/>
    <n v="0"/>
    <n v="0"/>
  </r>
  <r>
    <x v="187"/>
    <s v="COPT2"/>
    <x v="47"/>
    <n v="4292382.3439999996"/>
    <n v="514704.72428756621"/>
    <n v="12"/>
    <n v="0"/>
    <n v="0"/>
    <n v="-434400"/>
    <n v="8.3395044604289268"/>
    <n v="-434400"/>
    <n v="-52089.425943859671"/>
    <n v="-434400"/>
  </r>
  <r>
    <x v="188"/>
    <s v="COPT2"/>
    <x v="47"/>
    <n v="4299754.2719999999"/>
    <n v="515588.70103162579"/>
    <n v="12"/>
    <n v="0"/>
    <n v="0"/>
    <n v="0"/>
    <n v="8.3395044604289268"/>
    <n v="0"/>
    <n v="0"/>
    <n v="0"/>
  </r>
  <r>
    <x v="189"/>
    <s v="COPT2"/>
    <x v="47"/>
    <n v="4344463.4960000003"/>
    <n v="520949.83780086029"/>
    <n v="12"/>
    <n v="0"/>
    <n v="0"/>
    <n v="0"/>
    <n v="8.3395044604289268"/>
    <n v="0"/>
    <n v="0"/>
    <n v="0"/>
  </r>
  <r>
    <x v="190"/>
    <s v="COPT2"/>
    <x v="47"/>
    <n v="3765320.72"/>
    <n v="451504.13167431031"/>
    <n v="12"/>
    <n v="0"/>
    <n v="0"/>
    <n v="-463680"/>
    <n v="8.3395044604289268"/>
    <n v="-463680"/>
    <n v="-55600.425924606017"/>
    <n v="-463680"/>
  </r>
  <r>
    <x v="191"/>
    <s v="COPT2"/>
    <x v="47"/>
    <n v="3667031.92"/>
    <n v="439718.20356954314"/>
    <n v="12"/>
    <n v="0"/>
    <n v="0"/>
    <n v="0"/>
    <n v="8.3395044604289268"/>
    <n v="0"/>
    <n v="0"/>
    <n v="0"/>
  </r>
  <r>
    <x v="192"/>
    <s v="COPT2"/>
    <x v="47"/>
    <n v="3480368.0559999999"/>
    <n v="417335.11535540252"/>
    <n v="12"/>
    <n v="0"/>
    <n v="0"/>
    <n v="-128735.99999999999"/>
    <n v="8.3395044604289268"/>
    <n v="-128735.99999999999"/>
    <n v="-15436.888439937196"/>
    <n v="-128735.99999999999"/>
  </r>
  <r>
    <x v="193"/>
    <s v="COPT2"/>
    <x v="47"/>
    <n v="3528340.304"/>
    <n v="423087.52525309235"/>
    <n v="12"/>
    <n v="0"/>
    <n v="0"/>
    <n v="0"/>
    <n v="8.3395044604289268"/>
    <n v="0"/>
    <n v="0"/>
    <n v="0"/>
  </r>
  <r>
    <x v="1"/>
    <s v="COPT2"/>
    <x v="47"/>
    <n v="3480662.0639999998"/>
    <n v="417370.37020794139"/>
    <n v="12"/>
    <n v="0"/>
    <n v="0"/>
    <n v="0"/>
    <n v="8.3395044604289268"/>
    <n v="0"/>
    <n v="0"/>
    <n v="0"/>
  </r>
  <r>
    <x v="2"/>
    <s v="COPT2"/>
    <x v="47"/>
    <n v="2540648.9300000002"/>
    <n v="304652.26585769182"/>
    <n v="12"/>
    <n v="0"/>
    <n v="0"/>
    <n v="-660000"/>
    <n v="8.3395044604289268"/>
    <n v="-660000"/>
    <n v="-79141.393008626575"/>
    <n v="-660000"/>
  </r>
  <r>
    <x v="3"/>
    <s v="COPT2"/>
    <x v="47"/>
    <n v="2457018.16"/>
    <n v="294623.99974226143"/>
    <n v="12"/>
    <n v="0"/>
    <n v="0"/>
    <n v="0"/>
    <n v="8.3395044604289268"/>
    <n v="0"/>
    <n v="0"/>
    <n v="0"/>
  </r>
  <r>
    <x v="4"/>
    <s v="COPT2"/>
    <x v="47"/>
    <n v="2502177.31"/>
    <n v="300039.08767875464"/>
    <n v="12"/>
    <n v="0"/>
    <n v="0"/>
    <n v="0"/>
    <n v="8.3395044604289268"/>
    <n v="0"/>
    <n v="0"/>
    <n v="0"/>
  </r>
  <r>
    <x v="5"/>
    <s v="COPT2"/>
    <x v="47"/>
    <n v="2590978.1"/>
    <n v="310687.29710430995"/>
    <n v="12"/>
    <n v="0"/>
    <n v="0"/>
    <n v="0"/>
    <n v="8.3395044604289268"/>
    <n v="0"/>
    <n v="0"/>
    <n v="0"/>
  </r>
  <r>
    <x v="6"/>
    <s v="COPT2"/>
    <x v="47"/>
    <n v="2645235.09"/>
    <n v="317193.31796651467"/>
    <n v="12"/>
    <n v="0"/>
    <n v="0"/>
    <n v="0"/>
    <n v="8.3395044604289268"/>
    <n v="0"/>
    <n v="0"/>
    <n v="0"/>
  </r>
  <r>
    <x v="7"/>
    <s v="COPT2"/>
    <x v="47"/>
    <n v="2623974.2400000002"/>
    <n v="314643.90389750339"/>
    <n v="12"/>
    <n v="0"/>
    <n v="0"/>
    <n v="0"/>
    <n v="8.3395044604289268"/>
    <n v="0"/>
    <n v="0"/>
    <n v="0"/>
  </r>
  <r>
    <x v="8"/>
    <s v="COPT2"/>
    <x v="47"/>
    <n v="2636954.2000000002"/>
    <n v="316200.34649689164"/>
    <n v="12"/>
    <n v="0"/>
    <n v="0"/>
    <n v="0"/>
    <n v="8.3395044604289268"/>
    <n v="0"/>
    <n v="0"/>
    <n v="0"/>
  </r>
  <r>
    <x v="9"/>
    <s v="COPT2"/>
    <x v="47"/>
    <n v="2701806.6943999999"/>
    <n v="323976.88702249795"/>
    <n v="12"/>
    <n v="0"/>
    <n v="0"/>
    <n v="0"/>
    <n v="8.3395044604289268"/>
    <n v="0"/>
    <n v="0"/>
    <n v="0"/>
  </r>
  <r>
    <x v="10"/>
    <s v="COPT2"/>
    <x v="47"/>
    <n v="2717973.0781999999"/>
    <n v="325915.41752832232"/>
    <n v="12"/>
    <n v="0"/>
    <n v="0"/>
    <n v="0"/>
    <n v="8.3395044604289268"/>
    <n v="0"/>
    <n v="0"/>
    <n v="0"/>
  </r>
  <r>
    <x v="11"/>
    <s v="COPT2"/>
    <x v="47"/>
    <n v="2719825.9819"/>
    <n v="326137.60143730539"/>
    <n v="12"/>
    <n v="0"/>
    <n v="0"/>
    <n v="0"/>
    <n v="8.3395044604289268"/>
    <n v="0"/>
    <n v="0"/>
    <n v="0"/>
  </r>
  <r>
    <x v="12"/>
    <s v="COPT2"/>
    <x v="47"/>
    <n v="2752826.8056000001"/>
    <n v="330094.76985859347"/>
    <n v="12"/>
    <n v="0"/>
    <n v="0"/>
    <n v="0"/>
    <n v="8.3395044604289268"/>
    <n v="0"/>
    <n v="0"/>
    <n v="0"/>
  </r>
  <r>
    <x v="13"/>
    <s v="COPT2"/>
    <x v="47"/>
    <n v="2300339.1252000001"/>
    <n v="275836.42842511128"/>
    <n v="12"/>
    <n v="0"/>
    <n v="0"/>
    <n v="-460416"/>
    <n v="8.3395044604289268"/>
    <n v="-460416"/>
    <n v="-55209.035762817897"/>
    <n v="-460416"/>
  </r>
  <r>
    <x v="14"/>
    <s v="COPT2"/>
    <x v="47"/>
    <n v="2078110.1500000001"/>
    <n v="249188.68499449384"/>
    <n v="12"/>
    <n v="0"/>
    <n v="0"/>
    <n v="-91200"/>
    <n v="8.3395044604289268"/>
    <n v="-91200"/>
    <n v="-10935.901579373854"/>
    <n v="-91200"/>
  </r>
  <r>
    <x v="15"/>
    <s v="COPT2"/>
    <x v="47"/>
    <n v="2088967.8100000003"/>
    <n v="250490.64005087878"/>
    <n v="12"/>
    <n v="0"/>
    <n v="0"/>
    <n v="0"/>
    <n v="8.3395044604289268"/>
    <n v="0"/>
    <n v="0"/>
    <n v="0"/>
  </r>
  <r>
    <x v="16"/>
    <s v="COPT2"/>
    <x v="47"/>
    <n v="2127566.54"/>
    <n v="255119.06014264218"/>
    <n v="12"/>
    <n v="0"/>
    <n v="0"/>
    <n v="0"/>
    <n v="8.3395044604289268"/>
    <n v="0"/>
    <n v="0"/>
    <n v="0"/>
  </r>
  <r>
    <x v="17"/>
    <s v="COPT2"/>
    <x v="47"/>
    <n v="2103141.7192000002"/>
    <n v="252190.25053340266"/>
    <n v="12"/>
    <n v="0"/>
    <n v="0"/>
    <n v="-144000"/>
    <n v="8.3395044604289268"/>
    <n v="-144000"/>
    <n v="-17267.21302006398"/>
    <n v="-144000"/>
  </r>
  <r>
    <x v="18"/>
    <s v="COPT2"/>
    <x v="47"/>
    <n v="1995282.7890000001"/>
    <n v="239256.75661757204"/>
    <n v="12"/>
    <n v="0"/>
    <n v="0"/>
    <n v="-138000"/>
    <n v="8.3395044604289268"/>
    <n v="-138000"/>
    <n v="-16547.745810894648"/>
    <n v="-138000"/>
  </r>
  <r>
    <x v="19"/>
    <s v="COPT2"/>
    <x v="47"/>
    <n v="1892755.22"/>
    <n v="226962.55262901433"/>
    <n v="12"/>
    <n v="0"/>
    <n v="0"/>
    <n v="0"/>
    <n v="8.3395044604289268"/>
    <n v="0"/>
    <n v="0"/>
    <n v="0"/>
  </r>
  <r>
    <x v="20"/>
    <s v="COPT2"/>
    <x v="47"/>
    <n v="1833664.41"/>
    <n v="219876.90260263844"/>
    <n v="12"/>
    <n v="0"/>
    <n v="0"/>
    <n v="0"/>
    <n v="8.3395044604289268"/>
    <n v="0"/>
    <n v="0"/>
    <n v="0"/>
  </r>
  <r>
    <x v="21"/>
    <s v="COPT2"/>
    <x v="47"/>
    <n v="1936611.27"/>
    <n v="232221.38427879612"/>
    <n v="12"/>
    <n v="0"/>
    <n v="0"/>
    <n v="0"/>
    <n v="8.3395044604289268"/>
    <n v="0"/>
    <n v="0"/>
    <n v="0"/>
  </r>
  <r>
    <x v="22"/>
    <s v="COPT2"/>
    <x v="47"/>
    <n v="2122800"/>
    <n v="254547.49860410983"/>
    <n v="12"/>
    <n v="0"/>
    <n v="0"/>
    <n v="0"/>
    <n v="8.3395044604289268"/>
    <n v="0"/>
    <n v="0"/>
    <n v="0"/>
  </r>
  <r>
    <x v="23"/>
    <s v="COPT2"/>
    <x v="47"/>
    <n v="2120500"/>
    <n v="254271.70284059492"/>
    <n v="12"/>
    <n v="0"/>
    <n v="0"/>
    <n v="0"/>
    <n v="8.3395044604289268"/>
    <n v="0"/>
    <n v="0"/>
    <n v="0"/>
  </r>
  <r>
    <x v="24"/>
    <s v="COPT2"/>
    <x v="47"/>
    <n v="2112600"/>
    <n v="253324.40434852196"/>
    <n v="12"/>
    <n v="0"/>
    <n v="0"/>
    <n v="0"/>
    <n v="8.3395044604289268"/>
    <n v="0"/>
    <n v="0"/>
    <n v="0"/>
  </r>
  <r>
    <x v="25"/>
    <s v="COPT2"/>
    <x v="47"/>
    <n v="1534200"/>
    <n v="183967.76538459831"/>
    <n v="12"/>
    <n v="0"/>
    <n v="0"/>
    <n v="-523531.19000000006"/>
    <n v="8.3395044604289268"/>
    <n v="-523531.19000000006"/>
    <n v="-62777.254030399934"/>
    <n v="-523531.19000000006"/>
  </r>
  <r>
    <x v="26"/>
    <s v="COPT2"/>
    <x v="47"/>
    <n v="1548400"/>
    <n v="185670.50444629908"/>
    <n v="12"/>
    <n v="0"/>
    <n v="0"/>
    <n v="0"/>
    <n v="8.3395044604289268"/>
    <n v="0"/>
    <n v="0"/>
    <n v="0"/>
  </r>
  <r>
    <x v="27"/>
    <s v="COPT2"/>
    <x v="47"/>
    <n v="1577200"/>
    <n v="189123.94705031186"/>
    <n v="12"/>
    <n v="0"/>
    <n v="0"/>
    <n v="0"/>
    <n v="8.3395044604289268"/>
    <n v="0"/>
    <n v="0"/>
    <n v="0"/>
  </r>
  <r>
    <x v="28"/>
    <s v="COPT2"/>
    <x v="47"/>
    <n v="1535700"/>
    <n v="184147.63218689064"/>
    <n v="12"/>
    <n v="0"/>
    <n v="0"/>
    <n v="0"/>
    <n v="8.3395044604289268"/>
    <n v="0"/>
    <n v="0"/>
    <n v="0"/>
  </r>
  <r>
    <x v="29"/>
    <s v="COPT2"/>
    <x v="47"/>
    <n v="1543673.3884000001"/>
    <n v="185103.73077018585"/>
    <n v="12"/>
    <n v="0"/>
    <n v="0"/>
    <n v="0"/>
    <n v="8.3395044604289268"/>
    <n v="0"/>
    <n v="0"/>
    <n v="0"/>
  </r>
  <r>
    <x v="30"/>
    <s v="COPT2"/>
    <x v="47"/>
    <n v="1543673.3884000001"/>
    <n v="185103.73077018585"/>
    <n v="12"/>
    <n v="0"/>
    <n v="0"/>
    <n v="0"/>
    <n v="8.3395044604289268"/>
    <n v="0"/>
    <n v="0"/>
    <n v="-1543673.3884000001"/>
  </r>
  <r>
    <x v="167"/>
    <s v="COPT2"/>
    <x v="48"/>
    <n v="23966"/>
    <n v="23966"/>
    <n v="0.2084"/>
    <n v="23966"/>
    <n v="0"/>
    <n v="0"/>
    <n v="1"/>
    <n v="23966"/>
    <n v="23966"/>
    <n v="23966"/>
  </r>
  <r>
    <x v="168"/>
    <s v="COPT2"/>
    <x v="48"/>
    <n v="24030.47"/>
    <n v="24030.47"/>
    <n v="0.2084"/>
    <n v="0"/>
    <n v="0"/>
    <n v="0"/>
    <n v="1"/>
    <n v="0"/>
    <n v="0"/>
    <n v="0"/>
  </r>
  <r>
    <x v="169"/>
    <s v="COPT2"/>
    <x v="48"/>
    <n v="36518.019999999997"/>
    <n v="23883.6742350038"/>
    <n v="0.2084"/>
    <n v="12712"/>
    <n v="0"/>
    <n v="0"/>
    <n v="1.5289950633508207"/>
    <n v="12712"/>
    <n v="0"/>
    <n v="12712"/>
  </r>
  <r>
    <x v="170"/>
    <s v="COPT2"/>
    <x v="48"/>
    <n v="37514.35"/>
    <n v="24535.298314035503"/>
    <n v="0.2084"/>
    <n v="0"/>
    <n v="0"/>
    <n v="0"/>
    <n v="1.5289950633508207"/>
    <n v="0"/>
    <n v="0"/>
    <n v="0"/>
  </r>
  <r>
    <x v="171"/>
    <s v="COPT2"/>
    <x v="48"/>
    <n v="87460.31"/>
    <n v="24633.018894211076"/>
    <n v="0.2084"/>
    <n v="49599"/>
    <n v="0"/>
    <n v="0"/>
    <n v="3.5505315193239979"/>
    <n v="49599"/>
    <n v="0"/>
    <n v="49599"/>
  </r>
  <r>
    <x v="172"/>
    <s v="COPT2"/>
    <x v="48"/>
    <n v="105548.58"/>
    <n v="25018.065253550394"/>
    <n v="0.2084"/>
    <n v="16463.8"/>
    <n v="0"/>
    <n v="0"/>
    <n v="4.2188945839855165"/>
    <n v="16463.8"/>
    <n v="0"/>
    <n v="16463.8"/>
  </r>
  <r>
    <x v="173"/>
    <s v="COPT2"/>
    <x v="48"/>
    <n v="105596.19"/>
    <n v="25029.350200128752"/>
    <n v="0.2084"/>
    <n v="0"/>
    <n v="0"/>
    <n v="0"/>
    <n v="4.2188945839855165"/>
    <n v="0"/>
    <n v="0"/>
    <n v="0"/>
  </r>
  <r>
    <x v="174"/>
    <s v="COPT2"/>
    <x v="48"/>
    <n v="123795.62"/>
    <n v="25213.145872623725"/>
    <n v="0.2084"/>
    <n v="17297"/>
    <n v="0"/>
    <n v="0"/>
    <n v="4.9099632638232782"/>
    <n v="17297"/>
    <n v="0"/>
    <n v="17297"/>
  </r>
  <r>
    <x v="175"/>
    <s v="COPT2"/>
    <x v="48"/>
    <n v="135436.21"/>
    <n v="25091.720703782496"/>
    <n v="0.2084"/>
    <n v="12296"/>
    <n v="0"/>
    <n v="0"/>
    <n v="5.3976453667278159"/>
    <n v="12296"/>
    <n v="0"/>
    <n v="12296"/>
  </r>
  <r>
    <x v="176"/>
    <s v="COPT2"/>
    <x v="48"/>
    <n v="140321.54"/>
    <n v="24776.775534159824"/>
    <n v="0.2084"/>
    <n v="6669"/>
    <n v="0"/>
    <n v="0"/>
    <n v="5.6634302476744089"/>
    <n v="6669"/>
    <n v="0"/>
    <n v="6669"/>
  </r>
  <r>
    <x v="177"/>
    <s v="COPT2"/>
    <x v="48"/>
    <n v="142073.28"/>
    <n v="25086.082777895954"/>
    <n v="0.2084"/>
    <n v="0"/>
    <n v="0"/>
    <n v="0"/>
    <n v="5.6634302476744089"/>
    <n v="0"/>
    <n v="0"/>
    <n v="0"/>
  </r>
  <r>
    <x v="178"/>
    <s v="COPT2"/>
    <x v="48"/>
    <n v="142040.06"/>
    <n v="25080.217074859593"/>
    <n v="0.2084"/>
    <n v="0"/>
    <n v="0"/>
    <n v="0"/>
    <n v="5.6634302476744089"/>
    <n v="0"/>
    <n v="0"/>
    <n v="0"/>
  </r>
  <r>
    <x v="179"/>
    <s v="COPT2"/>
    <x v="48"/>
    <n v="138155.04999999999"/>
    <n v="24394.235288186166"/>
    <n v="0.2084"/>
    <n v="0"/>
    <n v="0"/>
    <n v="0"/>
    <n v="5.6634302476744089"/>
    <n v="0"/>
    <n v="0"/>
    <n v="0"/>
  </r>
  <r>
    <x v="180"/>
    <s v="COPT2"/>
    <x v="48"/>
    <n v="136386.76999999999"/>
    <n v="24082.007552932235"/>
    <n v="0.2084"/>
    <n v="0"/>
    <n v="0"/>
    <n v="0"/>
    <n v="5.6634302476744089"/>
    <n v="0"/>
    <n v="0"/>
    <n v="0"/>
  </r>
  <r>
    <x v="32"/>
    <s v="COPT2"/>
    <x v="48"/>
    <n v="208104.12"/>
    <n v="24353.548336860171"/>
    <n v="0.2084"/>
    <n v="69397"/>
    <n v="0"/>
    <n v="0"/>
    <n v="8.5451252163129432"/>
    <n v="69397"/>
    <n v="0"/>
    <n v="69397"/>
  </r>
  <r>
    <x v="33"/>
    <s v="COPT2"/>
    <x v="48"/>
    <n v="185094.82"/>
    <n v="21660.866905337738"/>
    <n v="0.2084"/>
    <n v="0"/>
    <n v="0"/>
    <n v="-26927.06"/>
    <n v="8.5451252163129432"/>
    <n v="-26927.06"/>
    <n v="-3151.1603772166263"/>
    <n v="-26927.06"/>
  </r>
  <r>
    <x v="34"/>
    <s v="COPT2"/>
    <x v="48"/>
    <n v="185518.41"/>
    <n v="21710.437858281919"/>
    <n v="0.2084"/>
    <n v="0"/>
    <n v="0"/>
    <n v="0"/>
    <n v="8.5451252163129432"/>
    <n v="0"/>
    <n v="0"/>
    <n v="0"/>
  </r>
  <r>
    <x v="35"/>
    <s v="COPT2"/>
    <x v="48"/>
    <n v="189510.3"/>
    <n v="22177.591925536468"/>
    <n v="0.2084"/>
    <n v="0"/>
    <n v="0"/>
    <n v="0"/>
    <n v="8.5451252163129432"/>
    <n v="0"/>
    <n v="0"/>
    <n v="0"/>
  </r>
  <r>
    <x v="36"/>
    <s v="COPT2"/>
    <x v="48"/>
    <n v="192632.46"/>
    <n v="22542.965155414913"/>
    <n v="0.2084"/>
    <n v="0"/>
    <n v="0"/>
    <n v="0"/>
    <n v="8.5451252163129432"/>
    <n v="0"/>
    <n v="0"/>
    <n v="0"/>
  </r>
  <r>
    <x v="37"/>
    <s v="COPT2"/>
    <x v="48"/>
    <n v="194219.23"/>
    <n v="22728.658162811786"/>
    <n v="0.2084"/>
    <n v="0"/>
    <n v="0"/>
    <n v="0"/>
    <n v="8.5451252163129432"/>
    <n v="0"/>
    <n v="0"/>
    <n v="0"/>
  </r>
  <r>
    <x v="38"/>
    <s v="COPT2"/>
    <x v="48"/>
    <n v="185501.59"/>
    <n v="21708.469484551377"/>
    <n v="0.2084"/>
    <n v="0"/>
    <n v="0"/>
    <n v="-9125.8340000000007"/>
    <n v="8.5451252163129432"/>
    <n v="-9125.8340000000007"/>
    <n v="-1067.9579021941615"/>
    <n v="-9125.8340000000007"/>
  </r>
  <r>
    <x v="39"/>
    <s v="COPT2"/>
    <x v="48"/>
    <n v="182698.87"/>
    <n v="21380.478971943143"/>
    <n v="0.2084"/>
    <n v="0"/>
    <n v="0"/>
    <n v="0"/>
    <n v="8.5451252163129432"/>
    <n v="0"/>
    <n v="0"/>
    <n v="0"/>
  </r>
  <r>
    <x v="40"/>
    <s v="COPT2"/>
    <x v="48"/>
    <n v="184141.42"/>
    <n v="21549.29452039715"/>
    <n v="0.2084"/>
    <n v="0"/>
    <n v="0"/>
    <n v="0"/>
    <n v="8.5451252163129432"/>
    <n v="0"/>
    <n v="0"/>
    <n v="0"/>
  </r>
  <r>
    <x v="41"/>
    <s v="COPT2"/>
    <x v="48"/>
    <n v="184894.77"/>
    <n v="21637.455896729214"/>
    <n v="0.2084"/>
    <n v="0"/>
    <n v="0"/>
    <n v="0"/>
    <n v="8.5451252163129432"/>
    <n v="0"/>
    <n v="0"/>
    <n v="0"/>
  </r>
  <r>
    <x v="42"/>
    <s v="COPT2"/>
    <x v="48"/>
    <n v="172540.97"/>
    <n v="20191.742734280037"/>
    <n v="0.2084"/>
    <n v="0"/>
    <n v="0"/>
    <n v="-14100.34"/>
    <n v="8.5451252163129432"/>
    <n v="-14100.34"/>
    <n v="-1650.1033797704868"/>
    <n v="-14100.34"/>
  </r>
  <r>
    <x v="43"/>
    <s v="COPT2"/>
    <x v="48"/>
    <n v="123842.33"/>
    <n v="14492.746082126527"/>
    <n v="0.2084"/>
    <n v="0"/>
    <n v="0"/>
    <n v="-50151.46"/>
    <n v="8.5451252163129432"/>
    <n v="-50151.46"/>
    <n v="-5869.0140554358532"/>
    <n v="-50151.46"/>
  </r>
  <r>
    <x v="44"/>
    <s v="COPT2"/>
    <x v="48"/>
    <n v="124729.49"/>
    <n v="14596.566678963"/>
    <n v="0.2084"/>
    <n v="0"/>
    <n v="0"/>
    <n v="0"/>
    <n v="8.5451252163129432"/>
    <n v="0"/>
    <n v="0"/>
    <n v="0"/>
  </r>
  <r>
    <x v="181"/>
    <s v="COPT2"/>
    <x v="48"/>
    <n v="97475.71"/>
    <n v="11407.171636749741"/>
    <n v="0.2084"/>
    <n v="0"/>
    <n v="0"/>
    <n v="-24643.3"/>
    <n v="8.5451252163129432"/>
    <n v="-24643.3"/>
    <n v="-2883.9015668202355"/>
    <n v="-24643.3"/>
  </r>
  <r>
    <x v="182"/>
    <s v="COPT2"/>
    <x v="48"/>
    <n v="94214.06"/>
    <n v="11025.474479899025"/>
    <n v="0.2084"/>
    <n v="0"/>
    <n v="0"/>
    <n v="0"/>
    <n v="8.5451252163129432"/>
    <n v="0"/>
    <n v="0"/>
    <n v="0"/>
  </r>
  <r>
    <x v="183"/>
    <s v="COPT2"/>
    <x v="48"/>
    <n v="80873.47"/>
    <n v="9464.2814414948207"/>
    <n v="0.2084"/>
    <n v="0"/>
    <n v="0"/>
    <n v="-11983"/>
    <n v="8.5451252163129432"/>
    <n v="-11983"/>
    <n v="-1402.3200007793957"/>
    <n v="-11983"/>
  </r>
  <r>
    <x v="184"/>
    <s v="COPT2"/>
    <x v="48"/>
    <n v="82195.399999999994"/>
    <n v="9618.9813395696183"/>
    <n v="0.2084"/>
    <n v="0"/>
    <n v="0"/>
    <n v="0"/>
    <n v="8.5451252163129432"/>
    <n v="0"/>
    <n v="0"/>
    <n v="0"/>
  </r>
  <r>
    <x v="185"/>
    <s v="COPT2"/>
    <x v="48"/>
    <n v="84106.42"/>
    <n v="9842.6199582702302"/>
    <n v="0.2084"/>
    <n v="0"/>
    <n v="0"/>
    <n v="0"/>
    <n v="8.5451252163129432"/>
    <n v="0"/>
    <n v="0"/>
    <n v="0"/>
  </r>
  <r>
    <x v="186"/>
    <s v="COPT2"/>
    <x v="48"/>
    <n v="83496.98"/>
    <n v="9771.299762887189"/>
    <n v="0.2084"/>
    <n v="0"/>
    <n v="0"/>
    <n v="0"/>
    <n v="8.5451252163129432"/>
    <n v="0"/>
    <n v="0"/>
    <n v="0"/>
  </r>
  <r>
    <x v="187"/>
    <s v="COPT2"/>
    <x v="48"/>
    <n v="78461.820000000007"/>
    <n v="9182.0562032506732"/>
    <n v="0.2084"/>
    <n v="0"/>
    <n v="0"/>
    <n v="-7742.06"/>
    <n v="8.5451252163129432"/>
    <n v="-7742.06"/>
    <n v="-906.02066137312261"/>
    <n v="-7742.06"/>
  </r>
  <r>
    <x v="188"/>
    <s v="COPT2"/>
    <x v="48"/>
    <n v="78717.03"/>
    <n v="9211.9223542478267"/>
    <n v="0.2084"/>
    <n v="0"/>
    <n v="0"/>
    <n v="0"/>
    <n v="8.5451252163129432"/>
    <n v="0"/>
    <n v="0"/>
    <n v="0"/>
  </r>
  <r>
    <x v="189"/>
    <s v="COPT2"/>
    <x v="48"/>
    <n v="79792.2"/>
    <n v="9337.7449692222053"/>
    <n v="0.2084"/>
    <n v="0"/>
    <n v="0"/>
    <n v="0"/>
    <n v="8.5451252163129432"/>
    <n v="0"/>
    <n v="0"/>
    <n v="0"/>
  </r>
  <r>
    <x v="190"/>
    <s v="COPT2"/>
    <x v="48"/>
    <n v="69273"/>
    <n v="8106.727314861977"/>
    <n v="0.2084"/>
    <n v="0"/>
    <n v="0"/>
    <n v="-8092.1699999999992"/>
    <n v="8.5451252163129432"/>
    <n v="-8092.1699999999992"/>
    <n v="-946.9925595182342"/>
    <n v="-8092.1699999999992"/>
  </r>
  <r>
    <x v="191"/>
    <s v="COPT2"/>
    <x v="48"/>
    <n v="67221.3"/>
    <n v="7866.6255085030452"/>
    <n v="0.2084"/>
    <n v="0"/>
    <n v="0"/>
    <n v="0"/>
    <n v="8.5451252163129432"/>
    <n v="0"/>
    <n v="0"/>
    <n v="0"/>
  </r>
  <r>
    <x v="192"/>
    <s v="COPT2"/>
    <x v="48"/>
    <n v="63800.04"/>
    <n v="7466.2498658537488"/>
    <n v="0.2084"/>
    <n v="0"/>
    <n v="0"/>
    <n v="-2243.63"/>
    <n v="8.5451252163129432"/>
    <n v="-2243.63"/>
    <n v="-262.56256558029503"/>
    <n v="-2243.63"/>
  </r>
  <r>
    <x v="193"/>
    <s v="COPT2"/>
    <x v="48"/>
    <n v="64917.710000000006"/>
    <n v="7597.0460767584573"/>
    <n v="0.2084"/>
    <n v="0"/>
    <n v="0"/>
    <n v="0"/>
    <n v="8.5451252163129432"/>
    <n v="0"/>
    <n v="0"/>
    <n v="0"/>
  </r>
  <r>
    <x v="1"/>
    <s v="COPT2"/>
    <x v="48"/>
    <n v="63959.130000000005"/>
    <n v="7484.8674982433013"/>
    <n v="0.2084"/>
    <n v="0"/>
    <n v="0"/>
    <n v="0"/>
    <n v="8.5451252163129432"/>
    <n v="0"/>
    <n v="0"/>
    <n v="0"/>
  </r>
  <r>
    <x v="2"/>
    <s v="COPT2"/>
    <x v="48"/>
    <n v="46922.41"/>
    <n v="5491.1319392281675"/>
    <n v="0.2084"/>
    <n v="0"/>
    <n v="0"/>
    <n v="-11462"/>
    <n v="8.5451252163129432"/>
    <n v="-11462"/>
    <n v="-1341.3495659629002"/>
    <n v="-11462"/>
  </r>
  <r>
    <x v="3"/>
    <s v="COPT2"/>
    <x v="48"/>
    <n v="45518.54"/>
    <n v="5326.8429481996955"/>
    <n v="0.2084"/>
    <n v="0"/>
    <n v="0"/>
    <n v="0"/>
    <n v="8.5451252163129432"/>
    <n v="0"/>
    <n v="0"/>
    <n v="0"/>
  </r>
  <r>
    <x v="4"/>
    <s v="COPT2"/>
    <x v="48"/>
    <n v="46310.8"/>
    <n v="5419.557797888212"/>
    <n v="0.2084"/>
    <n v="0"/>
    <n v="0"/>
    <n v="0"/>
    <n v="8.5451252163129432"/>
    <n v="0"/>
    <n v="0"/>
    <n v="0"/>
  </r>
  <r>
    <x v="5"/>
    <s v="COPT2"/>
    <x v="48"/>
    <n v="47853.279999999999"/>
    <n v="5600.0677331967481"/>
    <n v="0.2084"/>
    <n v="0"/>
    <n v="0"/>
    <n v="0"/>
    <n v="8.5451252163129432"/>
    <n v="0"/>
    <n v="0"/>
    <n v="0"/>
  </r>
  <r>
    <x v="6"/>
    <s v="COPT2"/>
    <x v="48"/>
    <n v="48798.9"/>
    <n v="5710.7296575176206"/>
    <n v="0.2084"/>
    <n v="0"/>
    <n v="0"/>
    <n v="0"/>
    <n v="8.5451252163129432"/>
    <n v="0"/>
    <n v="0"/>
    <n v="0"/>
  </r>
  <r>
    <x v="7"/>
    <s v="COPT2"/>
    <x v="48"/>
    <n v="48426.07"/>
    <n v="5667.098933501049"/>
    <n v="0.2084"/>
    <n v="0"/>
    <n v="0"/>
    <n v="0"/>
    <n v="8.5451252163129432"/>
    <n v="0"/>
    <n v="0"/>
    <n v="0"/>
  </r>
  <r>
    <x v="8"/>
    <s v="COPT2"/>
    <x v="48"/>
    <n v="48651.9"/>
    <n v="5693.5268668880144"/>
    <n v="0.2084"/>
    <n v="0"/>
    <n v="0"/>
    <n v="0"/>
    <n v="8.5451252163129432"/>
    <n v="0"/>
    <n v="0"/>
    <n v="0"/>
  </r>
  <r>
    <x v="9"/>
    <s v="COPT2"/>
    <x v="48"/>
    <n v="49799.42"/>
    <n v="5827.8162975226114"/>
    <n v="0.2084"/>
    <n v="0"/>
    <n v="0"/>
    <n v="0"/>
    <n v="8.5451252163129432"/>
    <n v="0"/>
    <n v="0"/>
    <n v="0"/>
  </r>
  <r>
    <x v="10"/>
    <s v="COPT2"/>
    <x v="48"/>
    <n v="50109.63"/>
    <n v="5864.1188667825436"/>
    <n v="0.2084"/>
    <n v="0"/>
    <n v="0"/>
    <n v="0"/>
    <n v="8.5451252163129432"/>
    <n v="0"/>
    <n v="0"/>
    <n v="0"/>
  </r>
  <r>
    <x v="11"/>
    <s v="COPT2"/>
    <x v="48"/>
    <n v="50109.63"/>
    <n v="5864.1188667825436"/>
    <n v="0.2084"/>
    <n v="0"/>
    <n v="0"/>
    <n v="0"/>
    <n v="8.5451252163129432"/>
    <n v="0"/>
    <n v="0"/>
    <n v="0"/>
  </r>
  <r>
    <x v="12"/>
    <s v="COPT2"/>
    <x v="48"/>
    <n v="50788.12"/>
    <n v="5943.5196927300376"/>
    <n v="0.2084"/>
    <n v="0"/>
    <n v="0"/>
    <n v="0"/>
    <n v="8.5451252163129432"/>
    <n v="0"/>
    <n v="0"/>
    <n v="0"/>
  </r>
  <r>
    <x v="13"/>
    <s v="COPT2"/>
    <x v="48"/>
    <n v="42883.31"/>
    <n v="5018.4530845884219"/>
    <n v="0.2084"/>
    <n v="0"/>
    <n v="0"/>
    <n v="-8043.4099999999989"/>
    <n v="8.5451252163129432"/>
    <n v="-8043.4099999999989"/>
    <n v="-941.28638216381523"/>
    <n v="-8043.4099999999989"/>
  </r>
  <r>
    <x v="14"/>
    <s v="COPT2"/>
    <x v="48"/>
    <n v="38881.440000000002"/>
    <n v="4550.131099983646"/>
    <n v="0.2084"/>
    <n v="0"/>
    <n v="0"/>
    <n v="-1583.84"/>
    <n v="8.5451252163129432"/>
    <n v="-1583.84"/>
    <n v="-185.35012184214619"/>
    <n v="-1583.84"/>
  </r>
  <r>
    <x v="15"/>
    <s v="COPT2"/>
    <x v="48"/>
    <n v="39068.47"/>
    <n v="4572.0184328506884"/>
    <n v="0.2084"/>
    <n v="0"/>
    <n v="0"/>
    <n v="0"/>
    <n v="8.5451252163129432"/>
    <n v="0"/>
    <n v="0"/>
    <n v="0"/>
  </r>
  <r>
    <x v="16"/>
    <s v="COPT2"/>
    <x v="48"/>
    <n v="39740.54"/>
    <n v="4650.6679532482358"/>
    <n v="0.2084"/>
    <n v="0"/>
    <n v="0"/>
    <n v="0"/>
    <n v="8.5451252163129432"/>
    <n v="0"/>
    <n v="0"/>
    <n v="0"/>
  </r>
  <r>
    <x v="17"/>
    <s v="COPT2"/>
    <x v="48"/>
    <n v="39496.39"/>
    <n v="4622.0961074508314"/>
    <n v="0.2084"/>
    <n v="0"/>
    <n v="0"/>
    <n v="-2500.8000000000002"/>
    <n v="8.5451252163129432"/>
    <n v="-2500.8000000000002"/>
    <n v="-292.65808711917822"/>
    <n v="-2500.8000000000002"/>
  </r>
  <r>
    <x v="18"/>
    <s v="COPT2"/>
    <x v="48"/>
    <n v="37731.120000000003"/>
    <n v="4415.5139971465806"/>
    <n v="0.2084"/>
    <n v="0"/>
    <n v="0"/>
    <n v="-2396.6"/>
    <n v="8.5451252163129432"/>
    <n v="-2396.6"/>
    <n v="-280.46400015587915"/>
    <n v="-2396.6"/>
  </r>
  <r>
    <x v="19"/>
    <s v="COPT2"/>
    <x v="48"/>
    <n v="35664.46"/>
    <n v="4173.6614850201722"/>
    <n v="0.2084"/>
    <n v="0"/>
    <n v="0"/>
    <n v="0"/>
    <n v="8.5451252163129432"/>
    <n v="0"/>
    <n v="0"/>
    <n v="0"/>
  </r>
  <r>
    <x v="20"/>
    <s v="COPT2"/>
    <x v="48"/>
    <n v="34634.97"/>
    <n v="4053.1846079774969"/>
    <n v="0.2084"/>
    <n v="0"/>
    <n v="0"/>
    <n v="0"/>
    <n v="8.5451252163129432"/>
    <n v="0"/>
    <n v="0"/>
    <n v="0"/>
  </r>
  <r>
    <x v="21"/>
    <s v="COPT2"/>
    <x v="48"/>
    <n v="36437.64"/>
    <n v="4264.1434827004368"/>
    <n v="0.2084"/>
    <n v="0"/>
    <n v="0"/>
    <n v="0"/>
    <n v="8.5451252163129432"/>
    <n v="0"/>
    <n v="0"/>
    <n v="0"/>
  </r>
  <r>
    <x v="22"/>
    <s v="COPT2"/>
    <x v="48"/>
    <n v="40400"/>
    <n v="4727.8417784768071"/>
    <n v="0.2084"/>
    <n v="0"/>
    <n v="0"/>
    <n v="0"/>
    <n v="8.5451252163129432"/>
    <n v="0"/>
    <n v="0"/>
    <n v="0"/>
  </r>
  <r>
    <x v="23"/>
    <s v="COPT2"/>
    <x v="48"/>
    <n v="40300"/>
    <n v="4716.1391998172112"/>
    <n v="0.2084"/>
    <n v="0"/>
    <n v="0"/>
    <n v="0"/>
    <n v="8.5451252163129432"/>
    <n v="0"/>
    <n v="0"/>
    <n v="0"/>
  </r>
  <r>
    <x v="24"/>
    <s v="COPT2"/>
    <x v="48"/>
    <n v="40100"/>
    <n v="4692.7340424980193"/>
    <n v="0.2084"/>
    <n v="0"/>
    <n v="0"/>
    <n v="0"/>
    <n v="8.5451252163129432"/>
    <n v="0"/>
    <n v="0"/>
    <n v="0"/>
  </r>
  <r>
    <x v="25"/>
    <s v="COPT2"/>
    <x v="48"/>
    <n v="29800"/>
    <n v="3487.3684405596255"/>
    <n v="0.2084"/>
    <n v="0"/>
    <n v="0"/>
    <n v="-9110.3917249999995"/>
    <n v="8.5451252163129432"/>
    <n v="-9110.3917249999995"/>
    <n v="-1066.1507578154551"/>
    <n v="-9110.3917249999995"/>
  </r>
  <r>
    <x v="26"/>
    <s v="COPT2"/>
    <x v="48"/>
    <n v="30100"/>
    <n v="3522.4761765384137"/>
    <n v="0.2084"/>
    <n v="0"/>
    <n v="0"/>
    <n v="0"/>
    <n v="8.5451252163129432"/>
    <n v="0"/>
    <n v="0"/>
    <n v="0"/>
  </r>
  <r>
    <x v="27"/>
    <s v="COPT2"/>
    <x v="48"/>
    <n v="30700"/>
    <n v="3592.6916484959897"/>
    <n v="0.2084"/>
    <n v="0"/>
    <n v="0"/>
    <n v="0"/>
    <n v="8.5451252163129432"/>
    <n v="0"/>
    <n v="0"/>
    <n v="0"/>
  </r>
  <r>
    <x v="28"/>
    <s v="COPT2"/>
    <x v="48"/>
    <n v="29800"/>
    <n v="3487.3684405596255"/>
    <n v="0.2084"/>
    <n v="0"/>
    <n v="0"/>
    <n v="0"/>
    <n v="8.5451252163129432"/>
    <n v="0"/>
    <n v="0"/>
    <n v="0"/>
  </r>
  <r>
    <x v="29"/>
    <s v="COPT2"/>
    <x v="48"/>
    <n v="29936.85"/>
    <n v="3503.3834194552824"/>
    <n v="0.2084"/>
    <n v="0"/>
    <n v="0"/>
    <n v="0"/>
    <n v="8.5451252163129432"/>
    <n v="0"/>
    <n v="0"/>
    <n v="0"/>
  </r>
  <r>
    <x v="30"/>
    <s v="COPT2"/>
    <x v="48"/>
    <n v="29936.85"/>
    <n v="3503.3834194552824"/>
    <n v="0.2084"/>
    <n v="0"/>
    <n v="0"/>
    <n v="0"/>
    <n v="8.5451252163129432"/>
    <n v="0"/>
    <n v="0"/>
    <n v="-29936.85"/>
  </r>
  <r>
    <x v="204"/>
    <s v="COTT"/>
    <x v="49"/>
    <n v="19979521.940000001"/>
    <n v="1000"/>
    <m/>
    <n v="19979521.940000001"/>
    <n v="0"/>
    <n v="0"/>
    <n v="19979.521940000002"/>
    <n v="19979521.940000001"/>
    <n v="1000"/>
    <n v="1000"/>
  </r>
  <r>
    <x v="127"/>
    <s v="COTT"/>
    <x v="49"/>
    <n v="39674246.759999998"/>
    <n v="991.34800000000007"/>
    <m/>
    <n v="19715183.850466557"/>
    <n v="0"/>
    <n v="0"/>
    <n v="40020.504162009704"/>
    <n v="19715183.850466557"/>
    <n v="0"/>
    <n v="0"/>
  </r>
  <r>
    <x v="128"/>
    <s v="COTT"/>
    <x v="49"/>
    <n v="39876208.07"/>
    <n v="996.39450000000011"/>
    <m/>
    <n v="0"/>
    <n v="-2.1642535850405693"/>
    <n v="0"/>
    <n v="40020.501989924669"/>
    <n v="-2.1642535850405693"/>
    <n v="0"/>
    <n v="0"/>
  </r>
  <r>
    <x v="129"/>
    <s v="COTT"/>
    <x v="49"/>
    <n v="40149829.530000001"/>
    <n v="1003.2314999999999"/>
    <m/>
    <n v="1.2878948971629143"/>
    <n v="0"/>
    <n v="0"/>
    <n v="40020.503273671136"/>
    <n v="1.2878948971629143"/>
    <n v="0"/>
    <n v="0"/>
  </r>
  <r>
    <x v="130"/>
    <s v="COTT"/>
    <x v="49"/>
    <n v="20132711.030000001"/>
    <n v="1002.3792999999999"/>
    <m/>
    <n v="0"/>
    <n v="-19983013.027110182"/>
    <n v="-348445.29468541307"/>
    <n v="20084.922972770888"/>
    <n v="-20331458.321795594"/>
    <n v="-17.348600000000001"/>
    <n v="-17.348600000000001"/>
  </r>
  <r>
    <x v="131"/>
    <s v="COTT"/>
    <x v="49"/>
    <n v="26460241.32"/>
    <n v="1055.3257999999998"/>
    <m/>
    <n v="5264103.9158221893"/>
    <n v="0"/>
    <n v="0"/>
    <n v="25073.054520224941"/>
    <n v="5264103.9158221893"/>
    <n v="0"/>
    <n v="0"/>
  </r>
  <r>
    <x v="132"/>
    <s v="COTT"/>
    <x v="49"/>
    <n v="41833139.82"/>
    <n v="1067.1639"/>
    <m/>
    <n v="15076081.173284121"/>
    <n v="0"/>
    <n v="0"/>
    <n v="39200.295118678587"/>
    <n v="15076081.173284121"/>
    <n v="0"/>
    <n v="0"/>
  </r>
  <r>
    <x v="133"/>
    <s v="COTT"/>
    <x v="49"/>
    <n v="42577963.890000001"/>
    <n v="1083.7762"/>
    <m/>
    <n v="93617.007399968803"/>
    <n v="0"/>
    <n v="-350523.57619530486"/>
    <n v="39286.675505514882"/>
    <n v="-256906.56879533606"/>
    <n v="-8.9222000000000001"/>
    <n v="-8.9222000000000001"/>
  </r>
  <r>
    <x v="134"/>
    <s v="COTT"/>
    <x v="49"/>
    <n v="42967687.509999998"/>
    <n v="1093.6962000000001"/>
    <m/>
    <n v="0"/>
    <n v="-0.20101471245288849"/>
    <n v="0"/>
    <n v="39286.675321720963"/>
    <n v="-0.20101471245288849"/>
    <n v="0"/>
    <n v="0"/>
  </r>
  <r>
    <x v="135"/>
    <s v="COTT"/>
    <x v="49"/>
    <n v="43049081.469999999"/>
    <n v="1095.768"/>
    <m/>
    <n v="0"/>
    <n v="-0.1739315390586853"/>
    <n v="0"/>
    <n v="39286.675162990701"/>
    <n v="-0.1739315390586853"/>
    <n v="0"/>
    <n v="0"/>
  </r>
  <r>
    <x v="136"/>
    <s v="COTT"/>
    <x v="49"/>
    <n v="42607957.950000003"/>
    <n v="1084.5396999999998"/>
    <m/>
    <n v="0"/>
    <n v="-0.94526737928390503"/>
    <n v="-397011.48705181101"/>
    <n v="39286.674291406765"/>
    <n v="-397012.43231919029"/>
    <n v="-10.105499999999999"/>
    <n v="-10.105499999999999"/>
  </r>
  <r>
    <x v="137"/>
    <s v="COTT"/>
    <x v="49"/>
    <n v="43082944.210000001"/>
    <n v="1101.2674"/>
    <m/>
    <n v="0"/>
    <n v="-182189.44154436886"/>
    <n v="0"/>
    <n v="39121.23813889343"/>
    <n v="-182189.44154436886"/>
    <n v="0"/>
    <n v="0"/>
  </r>
  <r>
    <x v="138"/>
    <s v="COTT"/>
    <x v="49"/>
    <n v="42543722.520000003"/>
    <n v="1087.4839999999999"/>
    <m/>
    <n v="1.9837636202573776"/>
    <n v="0"/>
    <n v="0"/>
    <n v="39121.23996307073"/>
    <n v="1.9837636202573776"/>
    <n v="0"/>
    <n v="0"/>
  </r>
  <r>
    <x v="139"/>
    <s v="COTT"/>
    <x v="49"/>
    <n v="44934865.420000002"/>
    <n v="1148.6053999999999"/>
    <m/>
    <n v="0"/>
    <n v="-2.056278832256794"/>
    <n v="0"/>
    <n v="39121.238172831159"/>
    <n v="-2.056278832256794"/>
    <n v="0"/>
    <n v="0"/>
  </r>
  <r>
    <x v="140"/>
    <s v="COTT"/>
    <x v="49"/>
    <n v="46216769.770000003"/>
    <n v="1181.3729000000001"/>
    <m/>
    <n v="0"/>
    <n v="-0.82182824611663818"/>
    <n v="0"/>
    <n v="39121.237477175921"/>
    <n v="-0.82182824611663818"/>
    <n v="0"/>
    <n v="0"/>
  </r>
  <r>
    <x v="141"/>
    <s v="COTT"/>
    <x v="49"/>
    <n v="45710298.93"/>
    <n v="1168.4267"/>
    <m/>
    <n v="0.52462701499462128"/>
    <n v="0"/>
    <n v="0"/>
    <n v="39121.237926178852"/>
    <n v="0.52462701499462128"/>
    <n v="0"/>
    <n v="0"/>
  </r>
  <r>
    <x v="142"/>
    <s v="COTT"/>
    <x v="49"/>
    <n v="45569820.68"/>
    <n v="1164.8358000000001"/>
    <m/>
    <n v="2.2032691165804863"/>
    <n v="0"/>
    <n v="-939715.65316416963"/>
    <n v="39121.239817663569"/>
    <n v="-939713.44989505305"/>
    <n v="-24.020600000000002"/>
    <n v="-24.020600000000002"/>
  </r>
  <r>
    <x v="143"/>
    <s v="COTT"/>
    <x v="49"/>
    <n v="46933792.829999998"/>
    <n v="1188.8563999999997"/>
    <m/>
    <n v="424256.49683584273"/>
    <n v="0"/>
    <n v="0"/>
    <n v="39478.100828661904"/>
    <n v="424256.49683584273"/>
    <n v="0"/>
    <n v="0"/>
  </r>
  <r>
    <x v="144"/>
    <s v="COTT"/>
    <x v="49"/>
    <n v="50006313.68"/>
    <n v="1213.5954999999997"/>
    <m/>
    <n v="2095868.1657896563"/>
    <n v="0"/>
    <n v="0"/>
    <n v="41205.091548213561"/>
    <n v="2095868.1657896563"/>
    <n v="0"/>
    <n v="0"/>
  </r>
  <r>
    <x v="145"/>
    <s v="COTT"/>
    <x v="49"/>
    <n v="57583797.530000001"/>
    <n v="1214.5748000000001"/>
    <m/>
    <n v="7537131.7038468197"/>
    <n v="0"/>
    <n v="-1383343.6079445968"/>
    <n v="47410.663822433991"/>
    <n v="6153788.0959022231"/>
    <n v="-29.177900000000001"/>
    <n v="-29.177900000000001"/>
  </r>
  <r>
    <x v="146"/>
    <s v="COTT"/>
    <x v="49"/>
    <n v="65773613.276856452"/>
    <n v="1242.0356999999999"/>
    <m/>
    <n v="6887876.2486949787"/>
    <n v="0"/>
    <n v="0"/>
    <n v="52956.298500000004"/>
    <n v="6887876.2486949787"/>
    <n v="0"/>
    <n v="0"/>
  </r>
  <r>
    <x v="147"/>
    <s v="COTT"/>
    <x v="49"/>
    <n v="66222910.400219984"/>
    <n v="1250.52"/>
    <m/>
    <n v="0"/>
    <n v="-2.2351741790771484E-8"/>
    <n v="0"/>
    <n v="52956.29849999999"/>
    <n v="-2.2351741790771484E-8"/>
    <n v="0"/>
    <n v="0"/>
  </r>
  <r>
    <x v="148"/>
    <s v="COTT"/>
    <x v="49"/>
    <n v="67377468.915746853"/>
    <n v="1272.3221000000003"/>
    <m/>
    <n v="0"/>
    <n v="0"/>
    <n v="0"/>
    <n v="52956.29849999999"/>
    <n v="0"/>
    <n v="0"/>
    <n v="0"/>
  </r>
  <r>
    <x v="149"/>
    <s v="COTT"/>
    <x v="49"/>
    <n v="67885756.356959596"/>
    <n v="1284.8171"/>
    <m/>
    <n v="0"/>
    <n v="-153401.50854474306"/>
    <n v="0"/>
    <n v="52836.902900000001"/>
    <n v="-153401.50854474306"/>
    <n v="0"/>
    <n v="0"/>
  </r>
  <r>
    <x v="150"/>
    <s v="COTT"/>
    <x v="49"/>
    <n v="68114799.04734081"/>
    <n v="1289.1520000000003"/>
    <m/>
    <n v="0"/>
    <n v="0"/>
    <n v="0"/>
    <n v="52836.902900000001"/>
    <n v="0"/>
    <n v="0"/>
    <n v="0"/>
  </r>
  <r>
    <x v="151"/>
    <s v="COTT"/>
    <x v="49"/>
    <n v="60182122.25"/>
    <n v="1139.0168000000001"/>
    <m/>
    <n v="2.186931274831295"/>
    <n v="0"/>
    <n v="-8799986.4977737814"/>
    <n v="52836.904820016694"/>
    <n v="-8799984.3108425066"/>
    <n v="-166.55"/>
    <n v="-166.55"/>
  </r>
  <r>
    <x v="152"/>
    <s v="COTT"/>
    <x v="49"/>
    <n v="66433785.296136305"/>
    <n v="1140.3630000000001"/>
    <m/>
    <n v="6180534.0048676059"/>
    <n v="0"/>
    <n v="0"/>
    <n v="58256.700100000002"/>
    <n v="6180534.0048676059"/>
    <n v="0"/>
    <n v="0"/>
  </r>
  <r>
    <x v="153"/>
    <s v="COTT"/>
    <x v="49"/>
    <n v="67489973.196942776"/>
    <n v="1146.9009000000001"/>
    <m/>
    <n v="675311.42122267932"/>
    <n v="0"/>
    <n v="0"/>
    <n v="58845.514199999991"/>
    <n v="675311.42122267932"/>
    <n v="0"/>
    <n v="0"/>
  </r>
  <r>
    <x v="154"/>
    <s v="COTT"/>
    <x v="49"/>
    <n v="49220600.577635519"/>
    <n v="827.85119999999995"/>
    <m/>
    <n v="505271.03254848719"/>
    <n v="0"/>
    <n v="-20000949.487440001"/>
    <n v="59455.854600000006"/>
    <n v="-19495678.454891514"/>
    <n v="-336.4"/>
    <n v="-336.4"/>
  </r>
  <r>
    <x v="155"/>
    <s v="COTT"/>
    <x v="49"/>
    <n v="60018032.444239162"/>
    <n v="835.81129999999996"/>
    <m/>
    <n v="10324157.318402179"/>
    <n v="0"/>
    <n v="0"/>
    <n v="71808.113200000007"/>
    <n v="10324157.318402179"/>
    <n v="0"/>
    <n v="0"/>
  </r>
  <r>
    <x v="156"/>
    <s v="COTT"/>
    <x v="49"/>
    <n v="59049183.019322127"/>
    <n v="822.31910000000005"/>
    <m/>
    <n v="0"/>
    <n v="0"/>
    <n v="0"/>
    <n v="71808.113200000007"/>
    <n v="0"/>
    <n v="0"/>
    <n v="0"/>
  </r>
  <r>
    <x v="157"/>
    <s v="COTT"/>
    <x v="49"/>
    <n v="59709573.513177246"/>
    <n v="831.51570000000004"/>
    <m/>
    <n v="0"/>
    <n v="0"/>
    <n v="0"/>
    <n v="71808.113200000007"/>
    <n v="0"/>
    <n v="0"/>
    <n v="0"/>
  </r>
  <r>
    <x v="158"/>
    <s v="COTT"/>
    <x v="49"/>
    <n v="48835268.805867329"/>
    <n v="680.08010000000002"/>
    <m/>
    <n v="0"/>
    <n v="0"/>
    <n v="-11008183.753560001"/>
    <n v="71808.113200000007"/>
    <n v="-11008183.753560001"/>
    <n v="-153.30000000000001"/>
    <n v="-153.30000000000001"/>
  </r>
  <r>
    <x v="159"/>
    <s v="COTT"/>
    <x v="49"/>
    <n v="54901663.88568835"/>
    <n v="680.76589999999999"/>
    <m/>
    <n v="6017149.0757884681"/>
    <n v="0"/>
    <n v="0"/>
    <n v="80646.906499999997"/>
    <n v="6017149.0757884681"/>
    <n v="0"/>
    <n v="0"/>
  </r>
  <r>
    <x v="160"/>
    <s v="COTT"/>
    <x v="49"/>
    <n v="54503703.66087345"/>
    <n v="675.83130000000006"/>
    <m/>
    <n v="0"/>
    <n v="0"/>
    <n v="0"/>
    <n v="80646.906499999997"/>
    <n v="0"/>
    <n v="0"/>
    <n v="0"/>
  </r>
  <r>
    <x v="161"/>
    <s v="COTT"/>
    <x v="49"/>
    <n v="60818698.849999994"/>
    <n v="693.82360000000006"/>
    <m/>
    <n v="4863971.8533065915"/>
    <n v="0"/>
    <n v="0"/>
    <n v="87657.293366786587"/>
    <n v="4863971.8533065915"/>
    <n v="0"/>
    <n v="0"/>
  </r>
  <r>
    <x v="162"/>
    <s v="COTT"/>
    <x v="49"/>
    <n v="53866852.88209974"/>
    <n v="669.56229999999994"/>
    <m/>
    <n v="0"/>
    <n v="-4825166.0763406232"/>
    <n v="0"/>
    <n v="80450.84510000002"/>
    <n v="-4825166.0763406232"/>
    <n v="0"/>
    <n v="0"/>
  </r>
  <r>
    <x v="163"/>
    <s v="COTT"/>
    <x v="49"/>
    <n v="52272194.220000006"/>
    <n v="649.74069999999995"/>
    <m/>
    <n v="5.8091344237327576"/>
    <n v="0"/>
    <n v="0"/>
    <n v="80450.854040696562"/>
    <n v="5.8091344237327576"/>
    <n v="0"/>
    <n v="0"/>
  </r>
  <r>
    <x v="164"/>
    <s v="COTT"/>
    <x v="49"/>
    <n v="52853941.723234795"/>
    <n v="656.97180000000003"/>
    <m/>
    <n v="0"/>
    <n v="-0.66741890460252762"/>
    <n v="0"/>
    <n v="80450.853024794662"/>
    <n v="-0.66741890460252762"/>
    <n v="0"/>
    <n v="0"/>
  </r>
  <r>
    <x v="165"/>
    <s v="COTT"/>
    <x v="49"/>
    <n v="52741750.949999996"/>
    <n v="655.57730000000004"/>
    <m/>
    <n v="0"/>
    <n v="-2.0586917251348495"/>
    <n v="0"/>
    <n v="80450.849884521609"/>
    <n v="-2.0586917251348495"/>
    <n v="0"/>
    <n v="0"/>
  </r>
  <r>
    <x v="166"/>
    <s v="COTT"/>
    <x v="49"/>
    <n v="52275733.001161598"/>
    <n v="649.78470000000004"/>
    <m/>
    <n v="1.6442026868462563"/>
    <n v="0"/>
    <n v="0"/>
    <n v="80450.852414902343"/>
    <n v="1.6442026868462563"/>
    <n v="0"/>
    <n v="0"/>
  </r>
  <r>
    <x v="167"/>
    <s v="COTT"/>
    <x v="49"/>
    <n v="52353735.550000004"/>
    <n v="650.75429999999994"/>
    <m/>
    <n v="0"/>
    <n v="-2.5976630747318268"/>
    <n v="0"/>
    <n v="80450.848423129908"/>
    <n v="-2.5976630747318268"/>
    <n v="0"/>
    <n v="0"/>
  </r>
  <r>
    <x v="168"/>
    <s v="COTT"/>
    <x v="49"/>
    <n v="51015870.414686196"/>
    <n v="634.12469999999996"/>
    <m/>
    <n v="0.29362346976995468"/>
    <n v="0"/>
    <n v="0"/>
    <n v="80450.84888616734"/>
    <n v="0.29362346976995468"/>
    <n v="0"/>
    <n v="0"/>
  </r>
  <r>
    <x v="169"/>
    <s v="COTT"/>
    <x v="49"/>
    <n v="49034086.2249512"/>
    <n v="609.49120000000005"/>
    <m/>
    <n v="1.7963024005293846"/>
    <n v="0"/>
    <n v="0"/>
    <n v="80450.85183338364"/>
    <n v="1.7963024005293846"/>
    <n v="0"/>
    <n v="0"/>
  </r>
  <r>
    <x v="170"/>
    <s v="COTT"/>
    <x v="49"/>
    <n v="48636220.742568232"/>
    <n v="604.54579999999999"/>
    <m/>
    <n v="0"/>
    <n v="-3.8397261425852776"/>
    <n v="0"/>
    <n v="80450.845481960569"/>
    <n v="-3.8397261425852776"/>
    <n v="0"/>
    <n v="0"/>
  </r>
  <r>
    <x v="171"/>
    <s v="COTT"/>
    <x v="49"/>
    <n v="48557147.744355425"/>
    <n v="603.56290000000013"/>
    <m/>
    <n v="2.1378113999962807"/>
    <n v="0"/>
    <n v="0"/>
    <n v="80450.849023946663"/>
    <n v="2.1378113999962807"/>
    <n v="0"/>
    <n v="0"/>
  </r>
  <r>
    <x v="172"/>
    <s v="COTT"/>
    <x v="49"/>
    <n v="50045287.809339911"/>
    <n v="622.06039999999996"/>
    <m/>
    <n v="0.48516404628753662"/>
    <n v="0"/>
    <n v="0"/>
    <n v="80450.849803877427"/>
    <n v="0.48516404628753662"/>
    <n v="0"/>
    <n v="0"/>
  </r>
  <r>
    <x v="173"/>
    <s v="COTT"/>
    <x v="49"/>
    <n v="49458795.79398603"/>
    <n v="628.77359999999999"/>
    <m/>
    <n v="0"/>
    <n v="-1126574.6602572724"/>
    <n v="0"/>
    <n v="78659.148211671156"/>
    <n v="-1126574.6602572724"/>
    <n v="0"/>
    <n v="0"/>
  </r>
  <r>
    <x v="174"/>
    <s v="COTT"/>
    <x v="49"/>
    <n v="48881722.736701936"/>
    <n v="621.43720000000008"/>
    <m/>
    <n v="1.9176559969782829"/>
    <n v="0"/>
    <n v="0"/>
    <n v="78659.151297511533"/>
    <n v="1.9176559969782829"/>
    <n v="0"/>
    <n v="0"/>
  </r>
  <r>
    <x v="175"/>
    <s v="COTT"/>
    <x v="49"/>
    <n v="47581388.588106476"/>
    <n v="602.44110000000001"/>
    <m/>
    <n v="193882.95536720008"/>
    <n v="0"/>
    <n v="0"/>
    <n v="78980.980195585056"/>
    <n v="193882.95536720008"/>
    <n v="0"/>
    <n v="0"/>
  </r>
  <r>
    <x v="176"/>
    <s v="COTT"/>
    <x v="49"/>
    <n v="47584161.415014409"/>
    <n v="602.47619999999995"/>
    <m/>
    <n v="0.59450306743383408"/>
    <n v="0"/>
    <n v="0"/>
    <n v="78980.981182351126"/>
    <n v="0.59450306743383408"/>
    <n v="0"/>
    <n v="0"/>
  </r>
  <r>
    <x v="177"/>
    <s v="COTT"/>
    <x v="49"/>
    <n v="48612375.418983497"/>
    <n v="615.49469999999997"/>
    <m/>
    <n v="0.10044664889574051"/>
    <n v="0"/>
    <n v="0"/>
    <n v="78980.981345547742"/>
    <n v="0.10044664889574051"/>
    <n v="0"/>
    <n v="0"/>
  </r>
  <r>
    <x v="178"/>
    <s v="COTT"/>
    <x v="49"/>
    <n v="48304948.170925021"/>
    <n v="611.60230000000001"/>
    <m/>
    <n v="0"/>
    <n v="-1.6762690767645836"/>
    <n v="0"/>
    <n v="78980.978604764925"/>
    <n v="-1.6762690767645836"/>
    <n v="0"/>
    <n v="0"/>
  </r>
  <r>
    <x v="179"/>
    <s v="COTT"/>
    <x v="49"/>
    <n v="47924215.662898466"/>
    <n v="606.7817"/>
    <m/>
    <n v="3.1974355801939964"/>
    <n v="0"/>
    <n v="0"/>
    <n v="78980.983874263955"/>
    <n v="3.1974355801939964"/>
    <n v="0"/>
    <n v="0"/>
  </r>
  <r>
    <x v="180"/>
    <s v="COTT"/>
    <x v="49"/>
    <n v="47867935.315209247"/>
    <n v="606.06910000000016"/>
    <m/>
    <n v="1.5014195665717125"/>
    <n v="0"/>
    <n v="0"/>
    <n v="78980.986351571526"/>
    <n v="1.5014195665717125"/>
    <n v="0"/>
    <n v="0"/>
  </r>
  <r>
    <x v="32"/>
    <s v="COTT"/>
    <x v="49"/>
    <n v="48555486.880895033"/>
    <n v="614.77440000000001"/>
    <m/>
    <n v="0"/>
    <n v="-1.6148005425930023"/>
    <n v="0"/>
    <n v="78980.983724916048"/>
    <n v="-1.6148005425930023"/>
    <n v="0"/>
    <n v="0"/>
  </r>
  <r>
    <x v="33"/>
    <s v="COTT"/>
    <x v="49"/>
    <n v="49993123.76923421"/>
    <n v="632.97670000000005"/>
    <m/>
    <n v="1.3282831385731697"/>
    <n v="0"/>
    <n v="-1998218.9413316878"/>
    <n v="78980.985823386873"/>
    <n v="-1998217.6130485493"/>
    <n v="-25.3"/>
    <n v="-25.3"/>
  </r>
  <r>
    <x v="34"/>
    <s v="COTT"/>
    <x v="49"/>
    <n v="49504890.888494551"/>
    <n v="626.79510000000005"/>
    <m/>
    <n v="0"/>
    <n v="-4.0187738090753555"/>
    <n v="0"/>
    <n v="78980.979411763983"/>
    <n v="-4.0187738090753555"/>
    <n v="0"/>
    <n v="0"/>
  </r>
  <r>
    <x v="35"/>
    <s v="COTT"/>
    <x v="49"/>
    <n v="49968254.353459559"/>
    <n v="632.66190000000006"/>
    <m/>
    <n v="0"/>
    <n v="-2.1450479328632355"/>
    <n v="0"/>
    <n v="78980.976021251729"/>
    <n v="-2.1450479328632355"/>
    <n v="0"/>
    <n v="0"/>
  </r>
  <r>
    <x v="36"/>
    <s v="COTT"/>
    <x v="49"/>
    <n v="49621002.863176726"/>
    <n v="633.66210000000001"/>
    <m/>
    <n v="0"/>
    <n v="-426248.26249928772"/>
    <n v="0"/>
    <n v="78308.301637697325"/>
    <n v="-426248.26249928772"/>
    <n v="0"/>
    <n v="0"/>
  </r>
  <r>
    <x v="37"/>
    <s v="COTT"/>
    <x v="49"/>
    <n v="50549346.715868704"/>
    <n v="645.51710000000003"/>
    <m/>
    <n v="0"/>
    <n v="-1.0632229223847389"/>
    <n v="0"/>
    <n v="78308.299990610161"/>
    <n v="-1.0632229223847389"/>
    <n v="0"/>
    <n v="0"/>
  </r>
  <r>
    <x v="38"/>
    <s v="COTT"/>
    <x v="49"/>
    <n v="50602153.999588817"/>
    <n v="646.19140000000016"/>
    <m/>
    <n v="3.9970364347100258"/>
    <n v="0"/>
    <n v="0"/>
    <n v="78308.306176140395"/>
    <n v="3.9970364347100258"/>
    <n v="0"/>
    <n v="0"/>
  </r>
  <r>
    <x v="39"/>
    <s v="COTT"/>
    <x v="49"/>
    <n v="50555630.517183371"/>
    <n v="645.59730000000002"/>
    <m/>
    <n v="0"/>
    <n v="-0.51770619302988052"/>
    <n v="0"/>
    <n v="78308.305374237738"/>
    <n v="-0.51770619302988052"/>
    <n v="0"/>
    <n v="0"/>
  </r>
  <r>
    <x v="40"/>
    <s v="COTT"/>
    <x v="49"/>
    <n v="50860236.393205814"/>
    <n v="648.76409999999987"/>
    <m/>
    <n v="56619.134563311934"/>
    <n v="0"/>
    <n v="0"/>
    <n v="78395.577673311185"/>
    <n v="56619.134563311934"/>
    <n v="0"/>
    <n v="0"/>
  </r>
  <r>
    <x v="41"/>
    <s v="COTT"/>
    <x v="49"/>
    <n v="47380646.734462"/>
    <n v="604.37910000000011"/>
    <m/>
    <n v="0"/>
    <n v="-1.9437139183282852"/>
    <n v="-4993798.0929274838"/>
    <n v="78395.574457260343"/>
    <n v="-4993800.0366414022"/>
    <n v="-63.7"/>
    <n v="-63.7"/>
  </r>
  <r>
    <x v="42"/>
    <s v="COTT"/>
    <x v="49"/>
    <n v="47924162.465852939"/>
    <n v="611.31200000000001"/>
    <m/>
    <n v="7.0532362014055252"/>
    <n v="0"/>
    <n v="0"/>
    <n v="78395.585995126778"/>
    <n v="7.0532362014055252"/>
    <n v="0"/>
    <n v="0"/>
  </r>
  <r>
    <x v="43"/>
    <s v="COTT"/>
    <x v="49"/>
    <n v="48205564.307471372"/>
    <n v="614.90160000000014"/>
    <m/>
    <n v="0"/>
    <n v="-6.9538696855306625"/>
    <n v="0"/>
    <n v="78395.574686212174"/>
    <n v="-6.9538696855306625"/>
    <n v="0"/>
    <n v="0"/>
  </r>
  <r>
    <x v="44"/>
    <s v="COTT"/>
    <x v="49"/>
    <n v="47792846.84105707"/>
    <n v="609.63699999999994"/>
    <m/>
    <n v="3.8760787397623062"/>
    <n v="0"/>
    <n v="0"/>
    <n v="78395.58104422316"/>
    <n v="3.8760787397623062"/>
    <n v="0"/>
    <n v="0"/>
  </r>
  <r>
    <x v="181"/>
    <s v="COTT"/>
    <x v="49"/>
    <n v="25080401.97889575"/>
    <n v="319.92109999999997"/>
    <m/>
    <n v="1.4560887292027473"/>
    <n v="0"/>
    <n v="-22600004.84844305"/>
    <n v="78395.585595622644"/>
    <n v="-22600003.392354321"/>
    <n v="-288.28160000000003"/>
    <n v="-288.28160000000003"/>
  </r>
  <r>
    <x v="182"/>
    <s v="COTT"/>
    <x v="49"/>
    <n v="24722933.687332001"/>
    <n v="315.36130000000003"/>
    <m/>
    <n v="0"/>
    <n v="-0.10036483407020569"/>
    <n v="0"/>
    <n v="78395.585277369159"/>
    <n v="-0.10036483407020569"/>
    <n v="0"/>
    <n v="0"/>
  </r>
  <r>
    <x v="183"/>
    <s v="COTT"/>
    <x v="49"/>
    <n v="24349114.725628544"/>
    <n v="310.59289999999999"/>
    <m/>
    <n v="2.5471331551671028"/>
    <n v="0"/>
    <n v="0"/>
    <n v="78395.593478242881"/>
    <n v="2.5471331551671028"/>
    <n v="0"/>
    <n v="0"/>
  </r>
  <r>
    <x v="184"/>
    <s v="COTT"/>
    <x v="49"/>
    <n v="38648777.320519373"/>
    <n v="316.32560000000001"/>
    <m/>
    <n v="13850244.176158104"/>
    <n v="0"/>
    <n v="0"/>
    <n v="122180.36516968394"/>
    <n v="13850244.176158104"/>
    <n v="0"/>
    <n v="0"/>
  </r>
  <r>
    <x v="185"/>
    <s v="COTT"/>
    <x v="49"/>
    <n v="39200325.015439585"/>
    <n v="320.83980000000008"/>
    <m/>
    <n v="1.0904712155461311"/>
    <n v="0"/>
    <n v="0"/>
    <n v="122180.36856848675"/>
    <n v="1.0904712155461311"/>
    <n v="0"/>
    <n v="0"/>
  </r>
  <r>
    <x v="186"/>
    <s v="COTT"/>
    <x v="49"/>
    <n v="39923653.93330612"/>
    <n v="326.76"/>
    <m/>
    <n v="0"/>
    <n v="-3.3001326099038124"/>
    <n v="0"/>
    <n v="122180.35846892558"/>
    <n v="-3.3001326099038124"/>
    <n v="0"/>
    <n v="0"/>
  </r>
  <r>
    <x v="187"/>
    <s v="COTT"/>
    <x v="49"/>
    <n v="44199557.442608364"/>
    <n v="337.36099999999993"/>
    <m/>
    <n v="2980669.529173173"/>
    <n v="0"/>
    <n v="0"/>
    <n v="131015.61070369239"/>
    <n v="2980669.529173173"/>
    <n v="0"/>
    <n v="0"/>
  </r>
  <r>
    <x v="188"/>
    <s v="COTT"/>
    <x v="49"/>
    <n v="44280514.292427242"/>
    <n v="337.97899999999998"/>
    <m/>
    <n v="0"/>
    <n v="-10.797596007585526"/>
    <n v="0"/>
    <n v="131015.57875615716"/>
    <n v="-10.797596007585526"/>
    <n v="0"/>
    <n v="0"/>
  </r>
  <r>
    <x v="189"/>
    <s v="COTT"/>
    <x v="49"/>
    <n v="43511149.947448865"/>
    <n v="332.10669999999999"/>
    <m/>
    <n v="0"/>
    <n v="-1.5618485957384109"/>
    <n v="0"/>
    <n v="131015.57405330536"/>
    <n v="-1.5618485957384109"/>
    <n v="0"/>
    <n v="0"/>
  </r>
  <r>
    <x v="190"/>
    <s v="COTT"/>
    <x v="49"/>
    <n v="43024591.898314565"/>
    <n v="328.3929"/>
    <m/>
    <n v="7.5897848606109619"/>
    <n v="0"/>
    <n v="0"/>
    <n v="131015.59716520841"/>
    <n v="7.5897848606109619"/>
    <n v="0"/>
    <n v="0"/>
  </r>
  <r>
    <x v="191"/>
    <s v="COTT"/>
    <x v="49"/>
    <n v="37212533.148588687"/>
    <n v="324.02699999999999"/>
    <m/>
    <n v="0"/>
    <n v="-5240057.754062295"/>
    <n v="0"/>
    <n v="114843.92704493357"/>
    <n v="-5240057.754062295"/>
    <n v="0"/>
    <n v="0"/>
  </r>
  <r>
    <x v="192"/>
    <s v="COTT"/>
    <x v="49"/>
    <n v="36200515.604115196"/>
    <n v="315.2149"/>
    <m/>
    <n v="0"/>
    <n v="-1.3749608397483826"/>
    <n v="0"/>
    <n v="114843.92268295438"/>
    <n v="-1.3749608397483826"/>
    <n v="0"/>
    <n v="0"/>
  </r>
  <r>
    <x v="193"/>
    <s v="COTT"/>
    <x v="49"/>
    <n v="37114369.528997466"/>
    <n v="323.17230000000006"/>
    <m/>
    <n v="0"/>
    <n v="-5.1054750755429268"/>
    <n v="0"/>
    <n v="114843.90688495722"/>
    <n v="-5.1054750755429268"/>
    <n v="0"/>
    <n v="0"/>
  </r>
  <r>
    <x v="1"/>
    <s v="COTT"/>
    <x v="49"/>
    <n v="37012786.193273231"/>
    <n v="322.2878"/>
    <m/>
    <n v="0"/>
    <n v="-3.900084488093853"/>
    <n v="0"/>
    <n v="114843.89478370956"/>
    <n v="-3.900084488093853"/>
    <n v="0"/>
    <n v="0"/>
  </r>
  <r>
    <x v="2"/>
    <s v="COTT"/>
    <x v="49"/>
    <n v="34971483.686761446"/>
    <n v="304.51319999999998"/>
    <m/>
    <n v="1.7857107445597649"/>
    <n v="0"/>
    <n v="0"/>
    <n v="114843.90064785845"/>
    <n v="1.7857107445597649"/>
    <n v="0"/>
    <n v="0"/>
  </r>
  <r>
    <x v="3"/>
    <s v="COTT"/>
    <x v="49"/>
    <n v="34791574.441258118"/>
    <n v="305.05109999999996"/>
    <m/>
    <n v="0"/>
    <n v="-241683.77966181189"/>
    <n v="0"/>
    <n v="114051.6275511156"/>
    <n v="-241683.77966181189"/>
    <n v="0"/>
    <n v="0"/>
  </r>
  <r>
    <x v="4"/>
    <s v="COTT"/>
    <x v="49"/>
    <n v="35720133.833626002"/>
    <n v="313.1927"/>
    <m/>
    <n v="0"/>
    <n v="-3.3385022804141045"/>
    <n v="0"/>
    <n v="114051.61689153675"/>
    <n v="-3.3385022804141045"/>
    <n v="0"/>
    <n v="0"/>
  </r>
  <r>
    <x v="5"/>
    <s v="COTT"/>
    <x v="49"/>
    <n v="36103572.701761097"/>
    <n v="316.55470000000003"/>
    <m/>
    <n v="0"/>
    <n v="-2.6678542494773865"/>
    <n v="0"/>
    <n v="114051.60846375395"/>
    <n v="-2.6678542494773865"/>
    <n v="0"/>
    <n v="0"/>
  </r>
  <r>
    <x v="6"/>
    <s v="COTT"/>
    <x v="49"/>
    <n v="36784900.021408923"/>
    <n v="322.52850000000001"/>
    <m/>
    <n v="5.8210070580244064"/>
    <n v="0"/>
    <n v="0"/>
    <n v="114051.62651179329"/>
    <n v="5.8210070580244064"/>
    <n v="0"/>
    <n v="0"/>
  </r>
  <r>
    <x v="7"/>
    <s v="COTT"/>
    <x v="49"/>
    <n v="37012590.620924376"/>
    <n v="324.52489999999995"/>
    <m/>
    <n v="0"/>
    <n v="-2.0676526874303818"/>
    <n v="0"/>
    <n v="114051.62014047113"/>
    <n v="-2.0676526874303818"/>
    <n v="0"/>
    <n v="0"/>
  </r>
  <r>
    <x v="8"/>
    <s v="COTT"/>
    <x v="49"/>
    <n v="38510896.825249612"/>
    <n v="337.66199999999998"/>
    <m/>
    <n v="0"/>
    <n v="-1.3346221521496773"/>
    <n v="0"/>
    <n v="114051.61618793235"/>
    <n v="-1.3346221521496773"/>
    <n v="0"/>
    <n v="0"/>
  </r>
  <r>
    <x v="9"/>
    <s v="COTT"/>
    <x v="49"/>
    <n v="38525017.988930903"/>
    <n v="339.91899999999993"/>
    <m/>
    <n v="0"/>
    <n v="-243293.33405486494"/>
    <n v="0"/>
    <n v="113335.87704403375"/>
    <n v="-243293.33405486494"/>
    <n v="0"/>
    <n v="0"/>
  </r>
  <r>
    <x v="10"/>
    <s v="COTT"/>
    <x v="49"/>
    <n v="38278706.6967737"/>
    <n v="337.7457"/>
    <m/>
    <n v="1.5694225877523422"/>
    <n v="0"/>
    <n v="0"/>
    <n v="113335.88169079192"/>
    <n v="1.5694225877523422"/>
    <n v="0"/>
    <n v="0"/>
  </r>
  <r>
    <x v="11"/>
    <s v="COTT"/>
    <x v="49"/>
    <n v="40167494.279139601"/>
    <n v="354.41109999999998"/>
    <m/>
    <n v="0"/>
    <n v="-0.22036382555961609"/>
    <n v="0"/>
    <n v="113335.88106901731"/>
    <n v="-0.22036382555961609"/>
    <n v="0"/>
    <n v="0"/>
  </r>
  <r>
    <x v="12"/>
    <s v="COTT"/>
    <x v="49"/>
    <n v="40978146.452339955"/>
    <n v="361.56369999999998"/>
    <m/>
    <n v="5.9502661004662514"/>
    <n v="0"/>
    <n v="0"/>
    <n v="113335.89752605131"/>
    <n v="5.9502661004662514"/>
    <n v="0"/>
    <n v="0"/>
  </r>
  <r>
    <x v="13"/>
    <s v="COTT"/>
    <x v="49"/>
    <n v="40860433.568360403"/>
    <n v="360.52509999999995"/>
    <m/>
    <n v="0"/>
    <n v="-2.2208089902997017"/>
    <n v="0"/>
    <n v="113335.89136612238"/>
    <n v="-2.2208089902997017"/>
    <n v="0"/>
    <n v="0"/>
  </r>
  <r>
    <x v="14"/>
    <s v="COTT"/>
    <x v="49"/>
    <n v="39606680.615125783"/>
    <n v="360.03649999999999"/>
    <m/>
    <n v="0"/>
    <n v="-1198377.0367131382"/>
    <n v="0"/>
    <n v="110007.40373580396"/>
    <n v="-1198377.0367131382"/>
    <n v="0"/>
    <n v="0"/>
  </r>
  <r>
    <x v="15"/>
    <s v="COTT"/>
    <x v="49"/>
    <n v="39296709.031208202"/>
    <n v="357.21870000000001"/>
    <m/>
    <n v="7.2783291637897491"/>
    <n v="0"/>
    <n v="0"/>
    <n v="110007.42411079879"/>
    <n v="7.2783291637897491"/>
    <n v="0"/>
    <n v="0"/>
  </r>
  <r>
    <x v="16"/>
    <s v="COTT"/>
    <x v="49"/>
    <n v="39990175.47273083"/>
    <n v="369.30579999999992"/>
    <m/>
    <n v="0"/>
    <n v="-636204.29444699734"/>
    <n v="0"/>
    <n v="108284.72088099032"/>
    <n v="-636204.29444699734"/>
    <n v="0"/>
    <n v="0"/>
  </r>
  <r>
    <x v="17"/>
    <s v="COTT"/>
    <x v="49"/>
    <n v="39677061.627127267"/>
    <n v="366.41419999999999"/>
    <m/>
    <n v="2.2532959058880806"/>
    <n v="0"/>
    <n v="0"/>
    <n v="108284.72703057705"/>
    <n v="2.2532959058880806"/>
    <n v="0"/>
    <n v="0"/>
  </r>
  <r>
    <x v="18"/>
    <s v="COTT"/>
    <x v="49"/>
    <n v="39535342.370000005"/>
    <n v="365.10550000000006"/>
    <m/>
    <n v="0"/>
    <n v="-7.0348623543977737"/>
    <n v="0"/>
    <n v="108284.70776255082"/>
    <n v="-7.0348623543977737"/>
    <n v="0"/>
    <n v="0"/>
  </r>
  <r>
    <x v="19"/>
    <s v="COTT"/>
    <x v="49"/>
    <n v="37875996.793296397"/>
    <n v="349.78149999999999"/>
    <m/>
    <n v="9.2850497290492058"/>
    <n v="0"/>
    <n v="0"/>
    <n v="108284.73430783617"/>
    <n v="9.2850497290492058"/>
    <n v="0"/>
    <n v="0"/>
  </r>
  <r>
    <x v="20"/>
    <s v="COTT"/>
    <x v="49"/>
    <n v="37808882.209424123"/>
    <n v="349.16180000000003"/>
    <m/>
    <n v="0"/>
    <n v="-10.534021712839603"/>
    <n v="0"/>
    <n v="108284.70413837975"/>
    <n v="-10.534021712839603"/>
    <n v="0"/>
    <n v="0"/>
  </r>
  <r>
    <x v="21"/>
    <s v="COTT"/>
    <x v="49"/>
    <n v="36962039.780000001"/>
    <n v="341.34120000000001"/>
    <m/>
    <n v="8.9277604892849922"/>
    <n v="0"/>
    <n v="0"/>
    <n v="108284.73029332526"/>
    <n v="8.9277604892849922"/>
    <n v="0"/>
    <n v="0"/>
  </r>
  <r>
    <x v="22"/>
    <s v="COTT"/>
    <x v="49"/>
    <n v="37670000"/>
    <n v="347.87959999999998"/>
    <m/>
    <n v="0"/>
    <n v="-48.660549871623516"/>
    <n v="0"/>
    <n v="108284.59041576454"/>
    <n v="-48.660549871623516"/>
    <n v="0"/>
    <n v="0"/>
  </r>
  <r>
    <x v="23"/>
    <s v="COTT"/>
    <x v="49"/>
    <n v="36996300"/>
    <n v="341.65800000000002"/>
    <m/>
    <n v="3.4077307134866714"/>
    <n v="0"/>
    <n v="0"/>
    <n v="108284.60038986354"/>
    <n v="3.4077307134866714"/>
    <n v="0"/>
    <n v="0"/>
  </r>
  <r>
    <x v="24"/>
    <s v="COTT"/>
    <x v="49"/>
    <n v="36253200"/>
    <n v="334.79489999999998"/>
    <m/>
    <n v="68.040935680270195"/>
    <n v="0"/>
    <n v="0"/>
    <n v="108284.80362156055"/>
    <n v="68.040935680270195"/>
    <n v="0"/>
    <n v="0"/>
  </r>
  <r>
    <x v="25"/>
    <s v="COTT"/>
    <x v="49"/>
    <n v="36213318.939999998"/>
    <n v="334.42689999999993"/>
    <m/>
    <n v="0"/>
    <n v="-32.252267263829708"/>
    <n v="0"/>
    <n v="108284.70718115081"/>
    <n v="-32.252267263829708"/>
    <n v="0"/>
    <n v="0"/>
  </r>
  <r>
    <x v="26"/>
    <s v="COTT"/>
    <x v="49"/>
    <n v="35787200"/>
    <n v="330.49180000000007"/>
    <m/>
    <n v="0"/>
    <n v="-7.788771465420723"/>
    <n v="0"/>
    <n v="108284.68361393534"/>
    <n v="-7.788771465420723"/>
    <n v="0"/>
    <n v="0"/>
  </r>
  <r>
    <x v="27"/>
    <s v="COTT"/>
    <x v="49"/>
    <n v="35143700"/>
    <n v="330.08280000000002"/>
    <m/>
    <n v="0"/>
    <n v="-599211.56440189481"/>
    <n v="0"/>
    <n v="106469.34647912584"/>
    <n v="-599211.56440189481"/>
    <n v="0"/>
    <n v="0"/>
  </r>
  <r>
    <x v="28"/>
    <s v="COTT"/>
    <x v="49"/>
    <n v="38372000"/>
    <n v="360.40450000000004"/>
    <m/>
    <n v="0"/>
    <n v="-31.583136111497879"/>
    <n v="0"/>
    <n v="106469.25884665702"/>
    <n v="-31.583136111497879"/>
    <n v="0"/>
    <n v="0"/>
  </r>
  <r>
    <x v="29"/>
    <s v="COTT"/>
    <x v="49"/>
    <n v="39107903.892808802"/>
    <n v="367.31650000000002"/>
    <m/>
    <n v="0"/>
    <n v="0"/>
    <n v="0"/>
    <n v="106469.22719999999"/>
    <n v="0"/>
    <n v="0"/>
    <n v="0"/>
  </r>
  <r>
    <x v="30"/>
    <s v="COTT"/>
    <x v="49"/>
    <n v="39107903.892808802"/>
    <n v="367.31650000000002"/>
    <m/>
    <n v="0"/>
    <n v="0"/>
    <n v="0"/>
    <n v="106469.22719999999"/>
    <n v="0"/>
    <n v="0"/>
    <n v="-367.31650000000002"/>
  </r>
  <r>
    <x v="17"/>
    <s v="Donald"/>
    <x v="50"/>
    <n v="10000000"/>
    <n v="10000000"/>
    <m/>
    <n v="10000000"/>
    <n v="0"/>
    <n v="0"/>
    <n v="1"/>
    <n v="10000000"/>
    <n v="10000000"/>
    <n v="10000000"/>
  </r>
  <r>
    <x v="18"/>
    <s v="Donald"/>
    <x v="50"/>
    <n v="10000000"/>
    <n v="10000000"/>
    <m/>
    <m/>
    <n v="0"/>
    <n v="0"/>
    <n v="1"/>
    <n v="0"/>
    <n v="0"/>
    <n v="0"/>
  </r>
  <r>
    <x v="19"/>
    <s v="Donald"/>
    <x v="50"/>
    <n v="10055696.75"/>
    <n v="10055696.75"/>
    <m/>
    <m/>
    <n v="0"/>
    <n v="0"/>
    <n v="1"/>
    <n v="0"/>
    <n v="0"/>
    <n v="0"/>
  </r>
  <r>
    <x v="20"/>
    <s v="Donald"/>
    <x v="50"/>
    <n v="10168024.49"/>
    <n v="10168024.49"/>
    <m/>
    <m/>
    <n v="0"/>
    <n v="0"/>
    <n v="1"/>
    <n v="0"/>
    <n v="0"/>
    <n v="0"/>
  </r>
  <r>
    <x v="21"/>
    <s v="Donald"/>
    <x v="50"/>
    <n v="10283744.219999999"/>
    <n v="10283744.219999999"/>
    <m/>
    <m/>
    <n v="0"/>
    <n v="-183750"/>
    <n v="1"/>
    <n v="-183750"/>
    <n v="-183750"/>
    <n v="-183750"/>
  </r>
  <r>
    <x v="22"/>
    <s v="Donald"/>
    <x v="50"/>
    <n v="10216672.289999999"/>
    <n v="10216672.289999999"/>
    <m/>
    <m/>
    <n v="0"/>
    <n v="0"/>
    <n v="1"/>
    <n v="0"/>
    <n v="0"/>
    <n v="0"/>
  </r>
  <r>
    <x v="23"/>
    <s v="Donald"/>
    <x v="50"/>
    <n v="10327045.119999999"/>
    <n v="10327045.119999999"/>
    <m/>
    <m/>
    <n v="0"/>
    <n v="0"/>
    <n v="1"/>
    <n v="0"/>
    <n v="0"/>
    <n v="0"/>
  </r>
  <r>
    <x v="24"/>
    <s v="Donald"/>
    <x v="50"/>
    <n v="10109069.619999999"/>
    <n v="10109069.619999999"/>
    <m/>
    <m/>
    <n v="0"/>
    <n v="-351251.8"/>
    <n v="1"/>
    <n v="-351251.8"/>
    <n v="-351251.8"/>
    <n v="-351251.8"/>
  </r>
  <r>
    <x v="25"/>
    <s v="Donald"/>
    <x v="50"/>
    <n v="10112994.91"/>
    <n v="10112994.91"/>
    <m/>
    <m/>
    <n v="0"/>
    <n v="0"/>
    <n v="1"/>
    <n v="0"/>
    <n v="0"/>
    <n v="0"/>
  </r>
  <r>
    <x v="26"/>
    <s v="Donald"/>
    <x v="50"/>
    <n v="10110400.57"/>
    <n v="10110400.57"/>
    <m/>
    <m/>
    <n v="0"/>
    <n v="0"/>
    <n v="1"/>
    <n v="0"/>
    <n v="0"/>
    <n v="0"/>
  </r>
  <r>
    <x v="27"/>
    <s v="Donald"/>
    <x v="50"/>
    <n v="10117935.5"/>
    <n v="10117935.5"/>
    <m/>
    <m/>
    <n v="0"/>
    <n v="-337500"/>
    <n v="1"/>
    <n v="-337500"/>
    <n v="-337500"/>
    <n v="-337500"/>
  </r>
  <r>
    <x v="28"/>
    <s v="Donald"/>
    <x v="50"/>
    <n v="10203462.119999999"/>
    <n v="10203462.119999999"/>
    <m/>
    <m/>
    <n v="0"/>
    <n v="0"/>
    <n v="1"/>
    <n v="0"/>
    <n v="0"/>
    <n v="0"/>
  </r>
  <r>
    <x v="29"/>
    <s v="Donald"/>
    <x v="50"/>
    <n v="10310951.2764144"/>
    <n v="10310951.2764144"/>
    <m/>
    <m/>
    <n v="0"/>
    <n v="0"/>
    <n v="1"/>
    <n v="0"/>
    <n v="0"/>
    <n v="0"/>
  </r>
  <r>
    <x v="30"/>
    <s v="Donald"/>
    <x v="50"/>
    <n v="10310951.2764144"/>
    <n v="10310951.2764144"/>
    <m/>
    <m/>
    <n v="0"/>
    <n v="0"/>
    <n v="1"/>
    <n v="0"/>
    <n v="0"/>
    <n v="-10310951.2764144"/>
  </r>
  <r>
    <x v="205"/>
    <s v="DTK"/>
    <x v="51"/>
    <n v="56000000"/>
    <n v="103.70370370370371"/>
    <m/>
    <n v="56000000"/>
    <n v="0"/>
    <n v="0"/>
    <n v="540000"/>
    <n v="56000000"/>
    <n v="103.70370370370371"/>
    <n v="56000000"/>
  </r>
  <r>
    <x v="44"/>
    <s v="DTK"/>
    <x v="51"/>
    <n v="55978302.18"/>
    <n v="103.66352255555556"/>
    <m/>
    <n v="0"/>
    <n v="0"/>
    <n v="0"/>
    <n v="540000"/>
    <n v="0"/>
    <n v="0"/>
    <n v="0"/>
  </r>
  <r>
    <x v="181"/>
    <s v="DTK"/>
    <x v="51"/>
    <n v="55978302.18"/>
    <n v="103.66352255555556"/>
    <m/>
    <n v="0"/>
    <n v="0"/>
    <n v="0"/>
    <n v="540000"/>
    <n v="0"/>
    <n v="0"/>
    <n v="0"/>
  </r>
  <r>
    <x v="182"/>
    <s v="DTK"/>
    <x v="51"/>
    <n v="55978302.18"/>
    <n v="103.66352255555556"/>
    <m/>
    <n v="0"/>
    <n v="0"/>
    <n v="0"/>
    <n v="540000"/>
    <n v="0"/>
    <n v="0"/>
    <n v="0"/>
  </r>
  <r>
    <x v="183"/>
    <s v="DTK"/>
    <x v="51"/>
    <n v="55572933.236718029"/>
    <n v="102.91283932725561"/>
    <m/>
    <n v="0"/>
    <n v="0"/>
    <n v="0"/>
    <n v="540000"/>
    <n v="0"/>
    <n v="0"/>
    <n v="0"/>
  </r>
  <r>
    <x v="184"/>
    <s v="DTK"/>
    <x v="51"/>
    <n v="55572933.236717999"/>
    <n v="102.91283932725558"/>
    <m/>
    <n v="0"/>
    <n v="-1.4901161193847656E-8"/>
    <n v="0"/>
    <n v="539999.99999999988"/>
    <n v="-1.4901161193847656E-8"/>
    <n v="0"/>
    <n v="-1.4901161193847656E-8"/>
  </r>
  <r>
    <x v="185"/>
    <s v="DTK"/>
    <x v="51"/>
    <n v="55572933.236717999"/>
    <n v="102.91283932725558"/>
    <m/>
    <n v="0"/>
    <n v="0"/>
    <n v="0"/>
    <n v="539999.99999999988"/>
    <n v="0"/>
    <n v="0"/>
    <n v="0"/>
  </r>
  <r>
    <x v="186"/>
    <s v="DTK"/>
    <x v="51"/>
    <n v="55376503.040502302"/>
    <n v="102.54907970463391"/>
    <m/>
    <n v="0"/>
    <n v="0"/>
    <n v="0"/>
    <n v="539999.99999999988"/>
    <n v="0"/>
    <n v="0"/>
    <n v="0"/>
  </r>
  <r>
    <x v="187"/>
    <s v="DTK"/>
    <x v="51"/>
    <n v="55376503.040502302"/>
    <n v="102.54907970463391"/>
    <m/>
    <n v="0"/>
    <n v="0"/>
    <n v="0"/>
    <n v="539999.99999999988"/>
    <n v="0"/>
    <n v="0"/>
    <n v="0"/>
  </r>
  <r>
    <x v="188"/>
    <s v="DTK"/>
    <x v="51"/>
    <n v="55376503.040502302"/>
    <n v="102.54907970463391"/>
    <m/>
    <n v="0"/>
    <n v="0"/>
    <n v="0"/>
    <n v="539999.99999999988"/>
    <n v="0"/>
    <n v="0"/>
    <n v="0"/>
  </r>
  <r>
    <x v="189"/>
    <s v="DTK"/>
    <x v="51"/>
    <n v="54986154.609450459"/>
    <n v="101.82621223972309"/>
    <m/>
    <n v="0"/>
    <n v="0"/>
    <n v="0"/>
    <n v="539999.99999999988"/>
    <n v="0"/>
    <n v="0"/>
    <n v="0"/>
  </r>
  <r>
    <x v="190"/>
    <s v="DTK"/>
    <x v="51"/>
    <n v="54986154.609450459"/>
    <n v="101.82621223972309"/>
    <m/>
    <n v="0"/>
    <n v="0"/>
    <n v="0"/>
    <n v="539999.99999999988"/>
    <n v="0"/>
    <n v="0"/>
    <n v="0"/>
  </r>
  <r>
    <x v="191"/>
    <s v="DTK"/>
    <x v="51"/>
    <n v="71186154.609450504"/>
    <n v="101.40477864594089"/>
    <m/>
    <n v="16200000"/>
    <n v="0"/>
    <n v="0"/>
    <n v="702000"/>
    <n v="16200000"/>
    <n v="0"/>
    <n v="16200000"/>
  </r>
  <r>
    <x v="192"/>
    <s v="DTK"/>
    <x v="51"/>
    <n v="70994040.009999931"/>
    <n v="101.13111112535601"/>
    <m/>
    <n v="1.4901161193847656E-8"/>
    <n v="0"/>
    <n v="0"/>
    <n v="702000.00000000012"/>
    <n v="1.4901161193847656E-8"/>
    <n v="0"/>
    <n v="1.4901161193847656E-8"/>
  </r>
  <r>
    <x v="193"/>
    <s v="DTK"/>
    <x v="51"/>
    <n v="70994040.009999931"/>
    <n v="101.13111112535601"/>
    <m/>
    <n v="0"/>
    <n v="0"/>
    <n v="0"/>
    <n v="702000.00000000012"/>
    <n v="0"/>
    <n v="0"/>
    <n v="0"/>
  </r>
  <r>
    <x v="1"/>
    <s v="DTK"/>
    <x v="51"/>
    <n v="70994040.009999931"/>
    <n v="101.13111112535601"/>
    <m/>
    <n v="0"/>
    <n v="0"/>
    <n v="0"/>
    <n v="702000.00000000012"/>
    <n v="0"/>
    <n v="0"/>
    <n v="0"/>
  </r>
  <r>
    <x v="2"/>
    <s v="DTK"/>
    <x v="51"/>
    <n v="70994040.009999931"/>
    <n v="101.13111112535601"/>
    <m/>
    <n v="0"/>
    <n v="0"/>
    <n v="0"/>
    <n v="702000.00000000012"/>
    <n v="0"/>
    <n v="0"/>
    <n v="0"/>
  </r>
  <r>
    <x v="3"/>
    <s v="DTK"/>
    <x v="51"/>
    <n v="70994040.009999931"/>
    <n v="101.13111112535601"/>
    <m/>
    <n v="0"/>
    <n v="0"/>
    <n v="0"/>
    <n v="702000.00000000012"/>
    <n v="0"/>
    <n v="0"/>
    <n v="0"/>
  </r>
  <r>
    <x v="4"/>
    <s v="DTK"/>
    <x v="51"/>
    <n v="70994040.009999931"/>
    <n v="101.13111112535601"/>
    <m/>
    <n v="0"/>
    <n v="0"/>
    <n v="0"/>
    <n v="702000.00000000012"/>
    <n v="0"/>
    <n v="0"/>
    <n v="0"/>
  </r>
  <r>
    <x v="5"/>
    <s v="DTK"/>
    <x v="51"/>
    <n v="70994040.009999931"/>
    <n v="101.13111112535601"/>
    <m/>
    <n v="0"/>
    <n v="0"/>
    <n v="0"/>
    <n v="702000.00000000012"/>
    <n v="0"/>
    <n v="0"/>
    <n v="0"/>
  </r>
  <r>
    <x v="6"/>
    <s v="DTK"/>
    <x v="51"/>
    <n v="70994040.009999931"/>
    <n v="101.13111112535601"/>
    <m/>
    <n v="0"/>
    <n v="0"/>
    <n v="0"/>
    <n v="702000.00000000012"/>
    <n v="0"/>
    <n v="0"/>
    <n v="0"/>
  </r>
  <r>
    <x v="7"/>
    <s v="DTK"/>
    <x v="51"/>
    <n v="70994040.009999931"/>
    <n v="101.13111112535601"/>
    <m/>
    <n v="0"/>
    <n v="0"/>
    <n v="0"/>
    <n v="702000.00000000012"/>
    <n v="0"/>
    <n v="0"/>
    <n v="0"/>
  </r>
  <r>
    <x v="8"/>
    <s v="DTK"/>
    <x v="51"/>
    <n v="279792593.61467302"/>
    <n v="398.5649481690499"/>
    <m/>
    <n v="0"/>
    <n v="-5.9604644775390625E-8"/>
    <n v="0"/>
    <n v="702000"/>
    <n v="-5.9604644775390625E-8"/>
    <n v="0"/>
    <n v="-5.9604644775390625E-8"/>
  </r>
  <r>
    <x v="9"/>
    <s v="DTK"/>
    <x v="51"/>
    <n v="279792593.61467302"/>
    <n v="398.5649481690499"/>
    <m/>
    <n v="0"/>
    <n v="0"/>
    <n v="0"/>
    <n v="702000"/>
    <n v="0"/>
    <n v="0"/>
    <n v="0"/>
  </r>
  <r>
    <x v="10"/>
    <s v="DTK"/>
    <x v="51"/>
    <n v="279792593.61467302"/>
    <n v="398.5649481690499"/>
    <m/>
    <n v="0"/>
    <n v="0"/>
    <n v="0"/>
    <n v="702000"/>
    <n v="0"/>
    <n v="0"/>
    <n v="0"/>
  </r>
  <r>
    <x v="11"/>
    <s v="DTK"/>
    <x v="51"/>
    <n v="279298972.78955799"/>
    <n v="397.86178460050991"/>
    <m/>
    <n v="5.9604644775390625E-8"/>
    <n v="0"/>
    <n v="0"/>
    <n v="702000.00000000012"/>
    <n v="5.9604644775390625E-8"/>
    <n v="0"/>
    <n v="5.9604644775390625E-8"/>
  </r>
  <r>
    <x v="12"/>
    <s v="DTK"/>
    <x v="51"/>
    <n v="279298972.78955799"/>
    <n v="397.86178460050991"/>
    <m/>
    <n v="0"/>
    <n v="0"/>
    <n v="0"/>
    <n v="702000.00000000012"/>
    <n v="0"/>
    <n v="0"/>
    <n v="0"/>
  </r>
  <r>
    <x v="13"/>
    <s v="DTK"/>
    <x v="51"/>
    <n v="278335423.63999999"/>
    <n v="388.87999999999994"/>
    <m/>
    <n v="0"/>
    <n v="0"/>
    <n v="0"/>
    <n v="715736.02046903933"/>
    <n v="0"/>
    <n v="0"/>
    <n v="0"/>
  </r>
  <r>
    <x v="14"/>
    <s v="DTK"/>
    <x v="51"/>
    <n v="297515423.63999999"/>
    <n v="388.88"/>
    <m/>
    <n v="19187000"/>
    <n v="0"/>
    <n v="0"/>
    <n v="765057.14780909277"/>
    <n v="19187000"/>
    <n v="0"/>
    <n v="19187000"/>
  </r>
  <r>
    <x v="15"/>
    <s v="DTK"/>
    <x v="51"/>
    <n v="297515423.63999999"/>
    <n v="388.88"/>
    <m/>
    <n v="0"/>
    <n v="0"/>
    <n v="0"/>
    <n v="765057.14780909277"/>
    <n v="0"/>
    <n v="0"/>
    <n v="0"/>
  </r>
  <r>
    <x v="16"/>
    <s v="DTK"/>
    <x v="51"/>
    <n v="297515423.63999999"/>
    <n v="388.88"/>
    <m/>
    <n v="0"/>
    <n v="0"/>
    <n v="0"/>
    <n v="765057.14780909277"/>
    <n v="0"/>
    <n v="0"/>
    <n v="0"/>
  </r>
  <r>
    <x v="17"/>
    <s v="DTK"/>
    <x v="51"/>
    <n v="297515423.63999999"/>
    <n v="388.88"/>
    <m/>
    <n v="0"/>
    <n v="0"/>
    <n v="0"/>
    <n v="765057.14780909277"/>
    <n v="0"/>
    <n v="0"/>
    <n v="0"/>
  </r>
  <r>
    <x v="18"/>
    <s v="DTK"/>
    <x v="51"/>
    <n v="297515423.63999999"/>
    <n v="388.88"/>
    <m/>
    <n v="0"/>
    <n v="0"/>
    <n v="0"/>
    <n v="765057.14780909277"/>
    <n v="0"/>
    <n v="0"/>
    <n v="0"/>
  </r>
  <r>
    <x v="19"/>
    <s v="DTK"/>
    <x v="51"/>
    <n v="297515423.63999999"/>
    <n v="388.88"/>
    <m/>
    <n v="0"/>
    <n v="0"/>
    <n v="0"/>
    <n v="765057.14780909277"/>
    <n v="0"/>
    <n v="0"/>
    <n v="0"/>
  </r>
  <r>
    <x v="20"/>
    <s v="DTK"/>
    <x v="51"/>
    <n v="365229912.22000003"/>
    <n v="388.88000000000005"/>
    <m/>
    <n v="0"/>
    <n v="0"/>
    <n v="0"/>
    <n v="939184.09848796541"/>
    <n v="0"/>
    <n v="0"/>
    <n v="0"/>
  </r>
  <r>
    <x v="21"/>
    <s v="DTK"/>
    <x v="51"/>
    <n v="365229912.22000003"/>
    <n v="388.88000000000005"/>
    <m/>
    <n v="0"/>
    <n v="0"/>
    <n v="0"/>
    <n v="939184.09848796541"/>
    <n v="0"/>
    <n v="0"/>
    <n v="0"/>
  </r>
  <r>
    <x v="22"/>
    <s v="DTK"/>
    <x v="51"/>
    <n v="365229912.22000003"/>
    <n v="388.88000000000005"/>
    <m/>
    <n v="0"/>
    <n v="0"/>
    <n v="0"/>
    <n v="939184.09848796541"/>
    <n v="0"/>
    <n v="0"/>
    <n v="0"/>
  </r>
  <r>
    <x v="23"/>
    <s v="DTK"/>
    <x v="51"/>
    <n v="365229912.22000003"/>
    <n v="388.88000000000005"/>
    <m/>
    <n v="0"/>
    <n v="0"/>
    <n v="0"/>
    <n v="939184.09848796541"/>
    <n v="0"/>
    <n v="0"/>
    <n v="0"/>
  </r>
  <r>
    <x v="24"/>
    <s v="DTK"/>
    <x v="51"/>
    <n v="365229912.22000003"/>
    <n v="388.88000000000005"/>
    <m/>
    <n v="0"/>
    <n v="0"/>
    <n v="0"/>
    <n v="939184.09848796541"/>
    <n v="0"/>
    <n v="0"/>
    <n v="0"/>
  </r>
  <r>
    <x v="25"/>
    <s v="DTK"/>
    <x v="51"/>
    <n v="365869890"/>
    <n v="388.88"/>
    <m/>
    <n v="639977.78000003099"/>
    <n v="0"/>
    <n v="0"/>
    <n v="940829.79325241724"/>
    <n v="639977.78000003099"/>
    <n v="0"/>
    <n v="639977.78000003099"/>
  </r>
  <r>
    <x v="26"/>
    <s v="DTK"/>
    <x v="51"/>
    <n v="365869890"/>
    <n v="388.88"/>
    <m/>
    <n v="0"/>
    <n v="0"/>
    <n v="0"/>
    <n v="940829.79325241724"/>
    <n v="0"/>
    <n v="0"/>
    <n v="0"/>
  </r>
  <r>
    <x v="27"/>
    <s v="DTK"/>
    <x v="51"/>
    <n v="365869890"/>
    <n v="388.88"/>
    <m/>
    <n v="0"/>
    <n v="0"/>
    <n v="0"/>
    <n v="940829.79325241724"/>
    <n v="0"/>
    <n v="0"/>
    <n v="0"/>
  </r>
  <r>
    <x v="28"/>
    <s v="DTK"/>
    <x v="51"/>
    <n v="378493319.47299999"/>
    <n v="402.29733601926148"/>
    <m/>
    <n v="0"/>
    <n v="0"/>
    <n v="0"/>
    <n v="940829.79325241724"/>
    <n v="0"/>
    <n v="0"/>
    <n v="0"/>
  </r>
  <r>
    <x v="29"/>
    <s v="DTK"/>
    <x v="51"/>
    <n v="365869789.18608689"/>
    <n v="472.06850535610829"/>
    <m/>
    <n v="0"/>
    <n v="0"/>
    <n v="0"/>
    <n v="775035.37100000004"/>
    <n v="0"/>
    <n v="0"/>
    <n v="0"/>
  </r>
  <r>
    <x v="30"/>
    <s v="DTK"/>
    <x v="51"/>
    <n v="365869789.18608689"/>
    <n v="472.06850535610829"/>
    <m/>
    <n v="0"/>
    <n v="0"/>
    <n v="0"/>
    <n v="775035.37100000004"/>
    <n v="0"/>
    <n v="0"/>
    <n v="-365869789.18608689"/>
  </r>
  <r>
    <x v="27"/>
    <s v="Gloves"/>
    <x v="52"/>
    <n v="10069896.939999999"/>
    <n v="10140282.438222136"/>
    <m/>
    <n v="10000000"/>
    <n v="0"/>
    <n v="0"/>
    <n v="0.99305882270528978"/>
    <n v="10000000"/>
    <n v="10140282.438222136"/>
    <n v="10000000"/>
  </r>
  <r>
    <x v="28"/>
    <s v="Gloves"/>
    <x v="52"/>
    <n v="9921204.7799999993"/>
    <n v="9990550.9655235372"/>
    <m/>
    <m/>
    <n v="0"/>
    <n v="-404736.48"/>
    <n v="0.99305882270528978"/>
    <n v="-404736.48"/>
    <n v="-407565.46414583712"/>
    <n v="-404736.48"/>
  </r>
  <r>
    <x v="29"/>
    <s v="Gloves"/>
    <x v="52"/>
    <n v="9921204.7799999993"/>
    <n v="9990550.9655235372"/>
    <m/>
    <m/>
    <n v="0"/>
    <n v="0"/>
    <n v="0.99305882270528978"/>
    <n v="0"/>
    <n v="0"/>
    <n v="0"/>
  </r>
  <r>
    <x v="30"/>
    <s v="Gloves"/>
    <x v="52"/>
    <n v="9921204.7799999993"/>
    <n v="9990550.9655235372"/>
    <m/>
    <m/>
    <n v="0"/>
    <n v="0"/>
    <n v="0.99305882270528978"/>
    <n v="0"/>
    <n v="0"/>
    <n v="-9921204.7799999993"/>
  </r>
  <r>
    <x v="89"/>
    <s v="HRF"/>
    <x v="53"/>
    <n v="24929000"/>
    <n v="998.58931883260755"/>
    <m/>
    <n v="24929000"/>
    <n v="0"/>
    <n v="0"/>
    <n v="24964.216550145997"/>
    <n v="24929000"/>
    <n v="998.58931883260755"/>
    <n v="998.58931883260755"/>
  </r>
  <r>
    <x v="90"/>
    <s v="HRF"/>
    <x v="53"/>
    <n v="40220000"/>
    <n v="998.58931883260755"/>
    <m/>
    <n v="15291000"/>
    <n v="0"/>
    <n v="0"/>
    <n v="40276.817748279995"/>
    <n v="15291000"/>
    <n v="0"/>
    <n v="0"/>
  </r>
  <r>
    <x v="91"/>
    <s v="HRF"/>
    <x v="53"/>
    <n v="50836000"/>
    <n v="998.58931883260755"/>
    <m/>
    <n v="10616000"/>
    <n v="0"/>
    <n v="0"/>
    <n v="50907.814695463996"/>
    <n v="10616000"/>
    <n v="0"/>
    <n v="0"/>
  </r>
  <r>
    <x v="92"/>
    <s v="HRF"/>
    <x v="53"/>
    <n v="51139000"/>
    <n v="998.58931883260743"/>
    <m/>
    <n v="303000.00000000745"/>
    <n v="0"/>
    <n v="0"/>
    <n v="51211.242735685999"/>
    <n v="303000.00000000745"/>
    <n v="0"/>
    <n v="0"/>
  </r>
  <r>
    <x v="93"/>
    <s v="HRF"/>
    <x v="53"/>
    <n v="51046000"/>
    <n v="998.58931883260755"/>
    <m/>
    <n v="0"/>
    <n v="-93000"/>
    <n v="0"/>
    <n v="51118.111357003996"/>
    <n v="-93000"/>
    <n v="0"/>
    <n v="0"/>
  </r>
  <r>
    <x v="94"/>
    <s v="HRF"/>
    <x v="53"/>
    <n v="50620000"/>
    <n v="1010.9585771891899"/>
    <m/>
    <n v="0"/>
    <n v="-1058293.1260753274"/>
    <n v="0"/>
    <n v="50071.289904617937"/>
    <n v="-1058293.1260753274"/>
    <n v="0"/>
    <n v="0"/>
  </r>
  <r>
    <x v="95"/>
    <s v="HRF"/>
    <x v="53"/>
    <n v="51400000"/>
    <n v="1024.7994000000001"/>
    <m/>
    <n v="86972.148521475494"/>
    <n v="0"/>
    <n v="0"/>
    <n v="50156.157390412205"/>
    <n v="86972.148521475494"/>
    <n v="0"/>
    <n v="0"/>
  </r>
  <r>
    <x v="96"/>
    <s v="HRF"/>
    <x v="53"/>
    <n v="51500000"/>
    <n v="1028.0932"/>
    <m/>
    <n v="0"/>
    <n v="-65204.351212531328"/>
    <n v="0"/>
    <n v="50092.734783188913"/>
    <n v="-65204.351212531328"/>
    <n v="0"/>
    <n v="0"/>
  </r>
  <r>
    <x v="97"/>
    <s v="HRF"/>
    <x v="53"/>
    <n v="53100000"/>
    <n v="1049.6315"/>
    <m/>
    <n v="521087.65041925013"/>
    <n v="0"/>
    <n v="0"/>
    <n v="50589.182965640801"/>
    <n v="521087.65041925013"/>
    <n v="0"/>
    <n v="0"/>
  </r>
  <r>
    <x v="98"/>
    <s v="HRF"/>
    <x v="53"/>
    <n v="54270000"/>
    <n v="1083.8539000000001"/>
    <m/>
    <n v="0"/>
    <n v="-561283.25512335449"/>
    <n v="0"/>
    <n v="50071.324188619881"/>
    <n v="-561283.25512335449"/>
    <n v="0"/>
    <n v="0"/>
  </r>
  <r>
    <x v="99"/>
    <s v="HRF"/>
    <x v="53"/>
    <n v="56200000"/>
    <n v="1122.4797000000001"/>
    <m/>
    <n v="0"/>
    <n v="-4044.9538447931409"/>
    <n v="0"/>
    <n v="50067.720601094166"/>
    <n v="-4044.9538447931409"/>
    <n v="0"/>
    <n v="0"/>
  </r>
  <r>
    <x v="100"/>
    <s v="HRF"/>
    <x v="53"/>
    <n v="58560000"/>
    <n v="1169.4659999999999"/>
    <m/>
    <n v="7503.0595208182931"/>
    <n v="0"/>
    <n v="0"/>
    <n v="50074.136400716226"/>
    <n v="7503.0595208182931"/>
    <n v="0"/>
    <n v="0"/>
  </r>
  <r>
    <x v="101"/>
    <s v="HRF"/>
    <x v="53"/>
    <n v="60720000"/>
    <n v="1212.6121490124165"/>
    <m/>
    <n v="0"/>
    <n v="-506.15081337094307"/>
    <n v="0"/>
    <n v="50073.718995353942"/>
    <n v="-506.15081337094307"/>
    <n v="0"/>
    <n v="0"/>
  </r>
  <r>
    <x v="102"/>
    <s v="HRF"/>
    <x v="53"/>
    <n v="67050000"/>
    <n v="1237.8916999999999"/>
    <m/>
    <n v="5064158.867519021"/>
    <n v="0"/>
    <n v="0"/>
    <n v="54164.673694798992"/>
    <n v="5064158.867519021"/>
    <n v="0"/>
    <n v="0"/>
  </r>
  <r>
    <x v="103"/>
    <s v="HRF"/>
    <x v="53"/>
    <n v="75020000"/>
    <n v="1289.7640000000001"/>
    <m/>
    <n v="5160353.7967012674"/>
    <n v="0"/>
    <n v="0"/>
    <n v="58165.679922838593"/>
    <n v="5160353.7967012674"/>
    <n v="0"/>
    <n v="0"/>
  </r>
  <r>
    <x v="104"/>
    <s v="HRF"/>
    <x v="53"/>
    <n v="83477240.517945811"/>
    <n v="1346.7928092107445"/>
    <m/>
    <n v="5140121.0550130159"/>
    <n v="0"/>
    <n v="0"/>
    <n v="61982.243999999999"/>
    <n v="5140121.0550130159"/>
    <n v="0"/>
    <n v="0"/>
  </r>
  <r>
    <x v="105"/>
    <s v="HRF"/>
    <x v="53"/>
    <n v="86187214.805608019"/>
    <n v="1390.5146"/>
    <m/>
    <n v="0"/>
    <n v="-0.41715437173843384"/>
    <n v="0"/>
    <n v="61982.243699999999"/>
    <n v="-0.41715437173843384"/>
    <n v="0"/>
    <n v="0"/>
  </r>
  <r>
    <x v="106"/>
    <s v="HRF"/>
    <x v="53"/>
    <n v="90814746.693594009"/>
    <n v="1386.9100000000003"/>
    <m/>
    <n v="4850953.0836269855"/>
    <n v="0"/>
    <n v="0"/>
    <n v="65479.91339999999"/>
    <n v="4850953.0836269855"/>
    <n v="0"/>
    <n v="0"/>
  </r>
  <r>
    <x v="107"/>
    <s v="HRF"/>
    <x v="53"/>
    <n v="92672791.620249718"/>
    <n v="1415.2858000000001"/>
    <m/>
    <n v="0"/>
    <n v="0"/>
    <n v="0"/>
    <n v="65479.91339999999"/>
    <n v="0"/>
    <n v="0"/>
    <n v="0"/>
  </r>
  <r>
    <x v="108"/>
    <s v="HRF"/>
    <x v="53"/>
    <n v="97000000"/>
    <n v="1344.0094999999999"/>
    <m/>
    <n v="8994374.331222713"/>
    <n v="0"/>
    <n v="0"/>
    <n v="72172.108902504042"/>
    <n v="8994374.331222713"/>
    <n v="0"/>
    <n v="0"/>
  </r>
  <r>
    <x v="109"/>
    <s v="HRF"/>
    <x v="53"/>
    <n v="98260000"/>
    <n v="1358.4600999999998"/>
    <m/>
    <n v="217069.72309347987"/>
    <n v="0"/>
    <n v="0"/>
    <n v="72331.899921094489"/>
    <n v="217069.72309347987"/>
    <n v="0"/>
    <n v="0"/>
  </r>
  <r>
    <x v="110"/>
    <s v="HRF"/>
    <x v="53"/>
    <n v="99300000"/>
    <n v="1372.7299000000003"/>
    <m/>
    <n v="7838.2545059323311"/>
    <n v="0"/>
    <n v="0"/>
    <n v="72337.609896892303"/>
    <n v="7838.2545059323311"/>
    <n v="0"/>
    <n v="0"/>
  </r>
  <r>
    <x v="111"/>
    <s v="HRF"/>
    <x v="53"/>
    <n v="100550000"/>
    <n v="1390.0980999999999"/>
    <m/>
    <n v="0"/>
    <n v="-6374.0762111842632"/>
    <n v="0"/>
    <n v="72333.024554166361"/>
    <n v="-6374.0762111842632"/>
    <n v="0"/>
    <n v="0"/>
  </r>
  <r>
    <x v="112"/>
    <s v="HRF"/>
    <x v="53"/>
    <n v="105370000"/>
    <n v="1389.5148999999999"/>
    <m/>
    <n v="4862184.6199199855"/>
    <n v="0"/>
    <n v="0"/>
    <n v="75832.220295010877"/>
    <n v="4862184.6199199855"/>
    <n v="0"/>
    <n v="0"/>
  </r>
  <r>
    <x v="113"/>
    <s v="HRF"/>
    <x v="53"/>
    <n v="104033198.98867595"/>
    <n v="1362.8155000000002"/>
    <m/>
    <n v="687873.77122054994"/>
    <n v="0"/>
    <n v="0"/>
    <n v="76336.964899999992"/>
    <n v="687873.77122054994"/>
    <n v="0"/>
    <n v="0"/>
  </r>
  <r>
    <x v="114"/>
    <s v="HRF"/>
    <x v="53"/>
    <n v="105217953.83456975"/>
    <n v="1378.3355674724996"/>
    <m/>
    <n v="0"/>
    <n v="-2.9802322387695313E-8"/>
    <n v="0"/>
    <n v="76336.964899999977"/>
    <n v="-2.9802322387695313E-8"/>
    <n v="0"/>
    <n v="0"/>
  </r>
  <r>
    <x v="115"/>
    <s v="HRF"/>
    <x v="53"/>
    <n v="101967651.478034"/>
    <n v="1335.7572129257455"/>
    <m/>
    <n v="0"/>
    <n v="-4.3213367462158203E-7"/>
    <n v="0"/>
    <n v="76336.964899999657"/>
    <n v="-4.3213367462158203E-7"/>
    <n v="0"/>
    <n v="0"/>
  </r>
  <r>
    <x v="116"/>
    <s v="HRF"/>
    <x v="53"/>
    <n v="100177833.03881393"/>
    <n v="1312.3109252515483"/>
    <m/>
    <n v="4.1723251342773438E-7"/>
    <n v="0"/>
    <n v="0"/>
    <n v="76336.964899999977"/>
    <n v="4.1723251342773438E-7"/>
    <n v="0"/>
    <n v="0"/>
  </r>
  <r>
    <x v="117"/>
    <s v="HRF"/>
    <x v="53"/>
    <n v="98649298.7052131"/>
    <n v="1292.2874106200302"/>
    <m/>
    <n v="0"/>
    <n v="0"/>
    <n v="0"/>
    <n v="76336.964899999977"/>
    <n v="0"/>
    <n v="0"/>
    <n v="0"/>
  </r>
  <r>
    <x v="118"/>
    <s v="HRF"/>
    <x v="53"/>
    <n v="100340000"/>
    <n v="1314.3789891435765"/>
    <m/>
    <n v="4297.2404493540525"/>
    <n v="0"/>
    <n v="0"/>
    <n v="76340.234307442457"/>
    <n v="4297.2404493540525"/>
    <n v="0"/>
    <n v="0"/>
  </r>
  <r>
    <x v="119"/>
    <s v="HRF"/>
    <x v="53"/>
    <n v="97200000"/>
    <n v="1273.3309087439413"/>
    <m/>
    <n v="0"/>
    <n v="-6379.9244211167097"/>
    <n v="0"/>
    <n v="76335.223886052932"/>
    <n v="-6379.9244211167097"/>
    <n v="0"/>
    <n v="0"/>
  </r>
  <r>
    <x v="120"/>
    <s v="HRF"/>
    <x v="53"/>
    <n v="91780000"/>
    <n v="1202.2570632626241"/>
    <m/>
    <n v="5437.9072590768337"/>
    <n v="0"/>
    <n v="0"/>
    <n v="76339.746968033694"/>
    <n v="5437.9072590768337"/>
    <n v="0"/>
    <n v="0"/>
  </r>
  <r>
    <x v="121"/>
    <s v="HRF"/>
    <x v="53"/>
    <n v="89580000"/>
    <n v="1173.5172"/>
    <m/>
    <n v="0"/>
    <n v="-6006.1106353849173"/>
    <n v="0"/>
    <n v="76334.628925762649"/>
    <n v="-6006.1106353849173"/>
    <n v="0"/>
    <n v="0"/>
  </r>
  <r>
    <x v="122"/>
    <s v="HRF"/>
    <x v="53"/>
    <n v="84960000"/>
    <n v="1112.9547132416715"/>
    <m/>
    <n v="3014.953518435359"/>
    <n v="0"/>
    <n v="0"/>
    <n v="76337.337889103714"/>
    <n v="3014.953518435359"/>
    <n v="0"/>
    <n v="0"/>
  </r>
  <r>
    <x v="123"/>
    <s v="HRF"/>
    <x v="53"/>
    <n v="82270000"/>
    <n v="1077.7607641598856"/>
    <m/>
    <n v="0"/>
    <n v="-3387.6172918081284"/>
    <n v="0"/>
    <n v="76334.194689421129"/>
    <n v="-3387.6172918081284"/>
    <n v="0"/>
    <n v="0"/>
  </r>
  <r>
    <x v="124"/>
    <s v="HRF"/>
    <x v="53"/>
    <n v="81210000"/>
    <n v="1063.8877000000002"/>
    <m/>
    <n v="0"/>
    <n v="-1010.8194804787636"/>
    <n v="0"/>
    <n v="76333.244570832045"/>
    <n v="-1010.8194804787636"/>
    <n v="0"/>
    <n v="0"/>
  </r>
  <r>
    <x v="125"/>
    <s v="HRF"/>
    <x v="53"/>
    <n v="82490000"/>
    <n v="1080.6556"/>
    <m/>
    <n v="51.788360744714737"/>
    <n v="0"/>
    <n v="0"/>
    <n v="76333.292493926827"/>
    <n v="51.788360744714737"/>
    <n v="0"/>
    <n v="0"/>
  </r>
  <r>
    <x v="126"/>
    <s v="HRF"/>
    <x v="53"/>
    <n v="81710000"/>
    <n v="1070.3797"/>
    <m/>
    <n v="4393.2803383618593"/>
    <n v="0"/>
    <n v="0"/>
    <n v="76337.396906910697"/>
    <n v="4393.2803383618593"/>
    <n v="0"/>
    <n v="0"/>
  </r>
  <r>
    <x v="127"/>
    <s v="HRF"/>
    <x v="53"/>
    <n v="78530000"/>
    <n v="1028.6811737056728"/>
    <m/>
    <n v="3156.9521633088589"/>
    <n v="0"/>
    <n v="0"/>
    <n v="76340.465838513614"/>
    <n v="3156.9521633088589"/>
    <n v="0"/>
    <n v="0"/>
  </r>
  <r>
    <x v="128"/>
    <s v="HRF"/>
    <x v="53"/>
    <n v="77300000"/>
    <n v="1012.6589000000001"/>
    <m/>
    <n v="0"/>
    <n v="-6852.1615167856216"/>
    <n v="0"/>
    <n v="76333.699333507058"/>
    <n v="-6852.1615167856216"/>
    <n v="0"/>
    <n v="0"/>
  </r>
  <r>
    <x v="129"/>
    <s v="HRF"/>
    <x v="53"/>
    <n v="79820000"/>
    <n v="1045.5875000000001"/>
    <m/>
    <n v="6438.1481266766787"/>
    <n v="0"/>
    <n v="0"/>
    <n v="76339.856779083522"/>
    <n v="6438.1481266766787"/>
    <n v="0"/>
    <n v="0"/>
  </r>
  <r>
    <x v="130"/>
    <s v="HRF"/>
    <x v="53"/>
    <n v="78841958.320000008"/>
    <n v="1032.8149000000001"/>
    <m/>
    <n v="0"/>
    <n v="-2983.2253034710884"/>
    <n v="0"/>
    <n v="76336.968337695362"/>
    <n v="-2983.2253034710884"/>
    <n v="0"/>
    <n v="0"/>
  </r>
  <r>
    <x v="131"/>
    <s v="HRF"/>
    <x v="53"/>
    <n v="81210000"/>
    <n v="1063.8269000000003"/>
    <m/>
    <n v="679.61791136860847"/>
    <n v="0"/>
    <n v="0"/>
    <n v="76337.60718026587"/>
    <n v="679.61791136860847"/>
    <n v="0"/>
    <n v="0"/>
  </r>
  <r>
    <x v="132"/>
    <s v="HRF"/>
    <x v="53"/>
    <n v="80580000"/>
    <n v="1055.6198999999999"/>
    <m/>
    <n v="0"/>
    <n v="-3497.2578715384007"/>
    <n v="0"/>
    <n v="76334.29419055098"/>
    <n v="-3497.2578715384007"/>
    <n v="0"/>
    <n v="0"/>
  </r>
  <r>
    <x v="133"/>
    <s v="HRF"/>
    <x v="53"/>
    <n v="87323228.21447818"/>
    <n v="1143.9180000000001"/>
    <m/>
    <n v="3055.0726114809513"/>
    <n v="0"/>
    <n v="0"/>
    <n v="76336.964899999977"/>
    <n v="3055.0726114809513"/>
    <n v="0"/>
    <n v="0"/>
  </r>
  <r>
    <x v="134"/>
    <s v="HRF"/>
    <x v="53"/>
    <n v="87635339.529168323"/>
    <n v="1148.0066000000002"/>
    <m/>
    <n v="0"/>
    <n v="0"/>
    <n v="0"/>
    <n v="76336.964899999977"/>
    <n v="0"/>
    <n v="0"/>
    <n v="0"/>
  </r>
  <r>
    <x v="135"/>
    <s v="HRF"/>
    <x v="53"/>
    <n v="92205431.659999996"/>
    <n v="1207.8739999999998"/>
    <m/>
    <n v="0"/>
    <n v="-3.4816225618124008"/>
    <n v="0"/>
    <n v="76336.96201756144"/>
    <n v="-3.4816225618124008"/>
    <n v="0"/>
    <n v="0"/>
  </r>
  <r>
    <x v="136"/>
    <s v="HRF"/>
    <x v="53"/>
    <n v="91418042.249768555"/>
    <n v="1197.5592999999999"/>
    <m/>
    <n v="3.4518910944461823"/>
    <n v="0"/>
    <n v="0"/>
    <n v="76336.964899999992"/>
    <n v="3.4518910944461823"/>
    <n v="0"/>
    <n v="0"/>
  </r>
  <r>
    <x v="137"/>
    <s v="HRF"/>
    <x v="53"/>
    <n v="93353398.053485274"/>
    <n v="1222.9121000000002"/>
    <m/>
    <n v="0"/>
    <n v="-2.9802322387695313E-8"/>
    <n v="0"/>
    <n v="76336.964899999977"/>
    <n v="-2.9802322387695313E-8"/>
    <n v="0"/>
    <n v="0"/>
  </r>
  <r>
    <x v="138"/>
    <s v="HRF"/>
    <x v="53"/>
    <n v="94186318.31120567"/>
    <n v="1233.8232000000003"/>
    <m/>
    <n v="0"/>
    <n v="0"/>
    <n v="0"/>
    <n v="76336.964899999977"/>
    <n v="0"/>
    <n v="0"/>
    <n v="0"/>
  </r>
  <r>
    <x v="139"/>
    <s v="HRF"/>
    <x v="53"/>
    <n v="99176603.113255486"/>
    <n v="1299.1950000000002"/>
    <m/>
    <n v="0"/>
    <n v="0"/>
    <n v="0"/>
    <n v="76336.964899999977"/>
    <n v="0"/>
    <n v="0"/>
    <n v="0"/>
  </r>
  <r>
    <x v="140"/>
    <s v="HRF"/>
    <x v="53"/>
    <n v="103222882.10626243"/>
    <n v="1352.2005000000001"/>
    <m/>
    <n v="0"/>
    <n v="0"/>
    <n v="0"/>
    <n v="76336.964899999977"/>
    <n v="0"/>
    <n v="0"/>
    <n v="0"/>
  </r>
  <r>
    <x v="141"/>
    <s v="HRF"/>
    <x v="53"/>
    <n v="100230076.12996496"/>
    <n v="1312.9953000000003"/>
    <m/>
    <n v="0"/>
    <n v="0"/>
    <n v="0"/>
    <n v="76336.964899999977"/>
    <n v="0"/>
    <n v="0"/>
    <n v="0"/>
  </r>
  <r>
    <x v="142"/>
    <s v="HRF"/>
    <x v="53"/>
    <n v="107482446.57919998"/>
    <n v="1408.0000000000002"/>
    <m/>
    <n v="0"/>
    <n v="0"/>
    <n v="0"/>
    <n v="76336.964899999977"/>
    <n v="0"/>
    <n v="0"/>
    <n v="0"/>
  </r>
  <r>
    <x v="143"/>
    <s v="HRF"/>
    <x v="53"/>
    <n v="113564342.34562333"/>
    <n v="1485.1492273943418"/>
    <m/>
    <n v="192557.90275937319"/>
    <n v="0"/>
    <n v="0"/>
    <n v="76466.620492318616"/>
    <n v="192557.90275937319"/>
    <n v="0"/>
    <n v="0"/>
  </r>
  <r>
    <x v="144"/>
    <s v="HRF"/>
    <x v="53"/>
    <n v="113727634.7472409"/>
    <n v="1489.8108000000002"/>
    <m/>
    <n v="0"/>
    <n v="-193162.3017167002"/>
    <n v="0"/>
    <n v="76336.964899999977"/>
    <n v="-193162.3017167002"/>
    <n v="0"/>
    <n v="0"/>
  </r>
  <r>
    <x v="145"/>
    <s v="HRF"/>
    <x v="53"/>
    <n v="117979725.83131476"/>
    <n v="1545.5124000000001"/>
    <m/>
    <n v="2.9802322387695313E-8"/>
    <n v="0"/>
    <n v="0"/>
    <n v="76336.964899999992"/>
    <n v="2.9802322387695313E-8"/>
    <n v="0"/>
    <n v="0"/>
  </r>
  <r>
    <x v="146"/>
    <s v="HRF"/>
    <x v="53"/>
    <n v="124157589.73"/>
    <n v="1626.4413"/>
    <m/>
    <n v="0"/>
    <n v="-2.7000103443861008"/>
    <n v="0"/>
    <n v="76336.963239927572"/>
    <n v="-2.7000103443861008"/>
    <n v="0"/>
    <n v="0"/>
  </r>
  <r>
    <x v="147"/>
    <s v="HRF"/>
    <x v="53"/>
    <n v="127900569.39407663"/>
    <n v="1675.4736000000005"/>
    <m/>
    <n v="2.7814074754714966"/>
    <n v="0"/>
    <n v="0"/>
    <n v="76336.964899999977"/>
    <n v="2.7814074754714966"/>
    <n v="0"/>
    <n v="0"/>
  </r>
  <r>
    <x v="148"/>
    <s v="HRF"/>
    <x v="53"/>
    <n v="130481056.52185972"/>
    <n v="1709.2775000000001"/>
    <m/>
    <n v="0"/>
    <n v="0"/>
    <n v="0"/>
    <n v="76336.964899999977"/>
    <n v="0"/>
    <n v="0"/>
    <n v="0"/>
  </r>
  <r>
    <x v="149"/>
    <s v="HRF"/>
    <x v="53"/>
    <n v="132479426.32791139"/>
    <n v="1735.0281999999997"/>
    <m/>
    <n v="32639.524001270533"/>
    <n v="0"/>
    <n v="0"/>
    <n v="76355.777000000002"/>
    <n v="32639.524001270533"/>
    <n v="0"/>
    <n v="0"/>
  </r>
  <r>
    <x v="150"/>
    <s v="HRF"/>
    <x v="53"/>
    <n v="132481465.02715729"/>
    <n v="1735.0548999999999"/>
    <m/>
    <n v="0"/>
    <n v="0"/>
    <n v="0"/>
    <n v="76355.777000000002"/>
    <n v="0"/>
    <n v="0"/>
    <n v="0"/>
  </r>
  <r>
    <x v="151"/>
    <s v="HRF"/>
    <x v="53"/>
    <n v="136692982.4412578"/>
    <n v="1790.2113999999997"/>
    <m/>
    <n v="2.9802322387695313E-8"/>
    <n v="0"/>
    <n v="0"/>
    <n v="76355.777000000016"/>
    <n v="2.9802322387695313E-8"/>
    <n v="0"/>
    <n v="0"/>
  </r>
  <r>
    <x v="152"/>
    <s v="HRF"/>
    <x v="53"/>
    <n v="139412439.252579"/>
    <n v="1825.827"/>
    <m/>
    <n v="0"/>
    <n v="-2.9802322387695313E-8"/>
    <n v="0"/>
    <n v="76355.777000000002"/>
    <n v="-2.9802322387695313E-8"/>
    <n v="0"/>
    <n v="0"/>
  </r>
  <r>
    <x v="153"/>
    <s v="HRF"/>
    <x v="53"/>
    <n v="140520071.424896"/>
    <n v="1840.3332"/>
    <m/>
    <n v="0"/>
    <n v="-4.1723251342773438E-7"/>
    <n v="0"/>
    <n v="76355.776999999784"/>
    <n v="-4.1723251342773438E-7"/>
    <n v="0"/>
    <n v="0"/>
  </r>
  <r>
    <x v="154"/>
    <s v="HRF"/>
    <x v="53"/>
    <n v="140794211.57105953"/>
    <n v="1843.9234999999999"/>
    <m/>
    <n v="4.4703483581542969E-7"/>
    <n v="0"/>
    <n v="0"/>
    <n v="76355.777000000016"/>
    <n v="4.4703483581542969E-7"/>
    <n v="0"/>
    <n v="0"/>
  </r>
  <r>
    <x v="155"/>
    <s v="HRF"/>
    <x v="53"/>
    <n v="134609886.65266526"/>
    <n v="1897.7165000000002"/>
    <m/>
    <n v="0"/>
    <n v="-10291731.230555296"/>
    <n v="0"/>
    <n v="70932.558499999999"/>
    <n v="-10291731.230555296"/>
    <n v="0"/>
    <n v="0"/>
  </r>
  <r>
    <x v="156"/>
    <s v="HRF"/>
    <x v="53"/>
    <n v="126560545.03315544"/>
    <n v="1784.2376999999999"/>
    <m/>
    <n v="0"/>
    <n v="0"/>
    <n v="0"/>
    <n v="70932.558499999999"/>
    <n v="0"/>
    <n v="0"/>
    <n v="0"/>
  </r>
  <r>
    <x v="157"/>
    <s v="HRF"/>
    <x v="53"/>
    <n v="117352349.83240774"/>
    <n v="1654.4214999999999"/>
    <m/>
    <n v="0"/>
    <n v="0"/>
    <n v="0"/>
    <n v="70932.558499999999"/>
    <n v="0"/>
    <n v="0"/>
    <n v="0"/>
  </r>
  <r>
    <x v="158"/>
    <s v="HRF"/>
    <x v="53"/>
    <n v="109107476.907912"/>
    <n v="1681.47"/>
    <m/>
    <n v="0"/>
    <n v="-10163492.233082995"/>
    <n v="0"/>
    <n v="64888.149599999997"/>
    <n v="-10163492.233082995"/>
    <n v="0"/>
    <n v="0"/>
  </r>
  <r>
    <x v="159"/>
    <s v="HRF"/>
    <x v="53"/>
    <n v="105500941.64262432"/>
    <n v="1625.8892000000003"/>
    <m/>
    <n v="0"/>
    <n v="-1.4901161193847656E-8"/>
    <n v="0"/>
    <n v="64888.14959999999"/>
    <n v="-1.4901161193847656E-8"/>
    <n v="0"/>
    <n v="0"/>
  </r>
  <r>
    <x v="160"/>
    <s v="HRF"/>
    <x v="53"/>
    <n v="106979768.52726816"/>
    <n v="1648.6795999999999"/>
    <m/>
    <n v="1.4901161193847656E-8"/>
    <n v="0"/>
    <n v="0"/>
    <n v="64888.149599999997"/>
    <n v="1.4901161193847656E-8"/>
    <n v="0"/>
    <n v="0"/>
  </r>
  <r>
    <x v="161"/>
    <s v="HRF"/>
    <x v="53"/>
    <n v="89493725.005111426"/>
    <n v="1758.0934"/>
    <m/>
    <n v="0"/>
    <n v="-24585702.544861212"/>
    <n v="0"/>
    <n v="50903.851300000002"/>
    <n v="-24585702.544861212"/>
    <n v="0"/>
    <n v="0"/>
  </r>
  <r>
    <x v="162"/>
    <s v="HRF"/>
    <x v="53"/>
    <n v="93715853.324257582"/>
    <n v="1841.0365999999999"/>
    <m/>
    <n v="0"/>
    <n v="0"/>
    <n v="0"/>
    <n v="50903.851300000002"/>
    <n v="0"/>
    <n v="0"/>
    <n v="0"/>
  </r>
  <r>
    <x v="163"/>
    <s v="HRF"/>
    <x v="53"/>
    <n v="92777910.430000007"/>
    <n v="1822.6107999999999"/>
    <m/>
    <n v="1.2890259623527527"/>
    <n v="0"/>
    <n v="0"/>
    <n v="50903.852007241483"/>
    <n v="1.2890259623527527"/>
    <n v="0"/>
    <n v="0"/>
  </r>
  <r>
    <x v="164"/>
    <s v="HRF"/>
    <x v="53"/>
    <n v="96447185.289999992"/>
    <n v="1894.6932999999999"/>
    <m/>
    <n v="0"/>
    <n v="-2.0523119866847992"/>
    <n v="0"/>
    <n v="50903.850924051927"/>
    <n v="-2.0523119866847992"/>
    <n v="0"/>
    <n v="0"/>
  </r>
  <r>
    <x v="165"/>
    <s v="HRF"/>
    <x v="53"/>
    <n v="94895815.619658604"/>
    <n v="1864.2167999999999"/>
    <m/>
    <n v="1.5423454791307449"/>
    <n v="0"/>
    <n v="0"/>
    <n v="50903.851751394264"/>
    <n v="1.5423454791307449"/>
    <n v="0"/>
    <n v="0"/>
  </r>
  <r>
    <x v="166"/>
    <s v="HRF"/>
    <x v="53"/>
    <n v="105226430.46118"/>
    <n v="1820.3407"/>
    <m/>
    <n v="12564077.331350744"/>
    <n v="0"/>
    <n v="0"/>
    <n v="57805.898896387916"/>
    <n v="12564077.331350744"/>
    <n v="0"/>
    <n v="0"/>
  </r>
  <r>
    <x v="167"/>
    <s v="HRF"/>
    <x v="53"/>
    <n v="106367658.77000001"/>
    <n v="1840.0832"/>
    <m/>
    <n v="0"/>
    <n v="-4.6501419395208359"/>
    <n v="0"/>
    <n v="57805.896369251132"/>
    <n v="-4.6501419395208359"/>
    <n v="0"/>
    <n v="0"/>
  </r>
  <r>
    <x v="168"/>
    <s v="HRF"/>
    <x v="53"/>
    <n v="111126878.56317499"/>
    <n v="1922.4141999999999"/>
    <m/>
    <n v="2.53919817507267"/>
    <n v="0"/>
    <n v="0"/>
    <n v="57805.897690089369"/>
    <n v="2.53919817507267"/>
    <n v="0"/>
    <n v="0"/>
  </r>
  <r>
    <x v="169"/>
    <s v="HRF"/>
    <x v="53"/>
    <n v="117150698.33232999"/>
    <n v="2026.6219000000001"/>
    <m/>
    <n v="0.12443545460700989"/>
    <n v="0"/>
    <n v="0"/>
    <n v="57805.8977514898"/>
    <n v="0.12443545460700989"/>
    <n v="0"/>
    <n v="0"/>
  </r>
  <r>
    <x v="170"/>
    <s v="HRF"/>
    <x v="53"/>
    <n v="115904530.12483177"/>
    <n v="2005.0642"/>
    <m/>
    <n v="0"/>
    <n v="-6.0055409371852875"/>
    <n v="0"/>
    <n v="57805.894756303445"/>
    <n v="-6.0055409371852875"/>
    <n v="0"/>
    <n v="0"/>
  </r>
  <r>
    <x v="171"/>
    <s v="HRF"/>
    <x v="53"/>
    <n v="115716603.81628507"/>
    <n v="2001.8132000000003"/>
    <m/>
    <n v="0.65530604124069214"/>
    <n v="0"/>
    <n v="0"/>
    <n v="57805.895083659685"/>
    <n v="0.65530604124069214"/>
    <n v="0"/>
    <n v="0"/>
  </r>
  <r>
    <x v="172"/>
    <s v="HRF"/>
    <x v="53"/>
    <n v="120184119.71912195"/>
    <n v="2079.0979000000002"/>
    <m/>
    <n v="4.6430647671222687"/>
    <n v="0"/>
    <n v="0"/>
    <n v="57805.897316870905"/>
    <n v="4.6430647671222687"/>
    <n v="0"/>
    <n v="0"/>
  </r>
  <r>
    <x v="173"/>
    <s v="HRF"/>
    <x v="53"/>
    <n v="124648786.45471448"/>
    <n v="2152.9526999999998"/>
    <m/>
    <n v="195423.75043451786"/>
    <n v="0"/>
    <n v="0"/>
    <n v="57896.667425491738"/>
    <n v="195423.75043451786"/>
    <n v="0"/>
    <n v="0"/>
  </r>
  <r>
    <x v="174"/>
    <s v="HRF"/>
    <x v="53"/>
    <n v="126164865.61337222"/>
    <n v="2179.1387"/>
    <m/>
    <n v="0"/>
    <n v="-2.9745461940765381"/>
    <n v="0"/>
    <n v="57896.666060481708"/>
    <n v="-2.9745461940765381"/>
    <n v="0"/>
    <n v="0"/>
  </r>
  <r>
    <x v="175"/>
    <s v="HRF"/>
    <x v="53"/>
    <n v="126276143.44013076"/>
    <n v="2181.0607"/>
    <m/>
    <n v="0.43459028005599976"/>
    <n v="0"/>
    <n v="0"/>
    <n v="57896.6662597381"/>
    <n v="0.43459028005599976"/>
    <n v="0"/>
    <n v="0"/>
  </r>
  <r>
    <x v="176"/>
    <s v="HRF"/>
    <x v="53"/>
    <n v="126443760.47416349"/>
    <n v="2183.9559000000004"/>
    <m/>
    <n v="0"/>
    <n v="-5.3941224962472916"/>
    <n v="0"/>
    <n v="57896.663789851918"/>
    <n v="-5.3941224962472916"/>
    <n v="0"/>
    <n v="0"/>
  </r>
  <r>
    <x v="177"/>
    <s v="HRF"/>
    <x v="53"/>
    <n v="131705258.52871521"/>
    <n v="2274.8332"/>
    <m/>
    <n v="5.5703222453594208"/>
    <n v="0"/>
    <n v="0"/>
    <n v="57896.66623852474"/>
    <n v="5.5703222453594208"/>
    <n v="0"/>
    <n v="0"/>
  </r>
  <r>
    <x v="178"/>
    <s v="HRF"/>
    <x v="53"/>
    <n v="126690978.86147915"/>
    <n v="2188.2258000000002"/>
    <m/>
    <n v="6.4350351691246033E-2"/>
    <n v="0"/>
    <n v="0"/>
    <n v="57896.666267932284"/>
    <n v="6.4350351691246033E-2"/>
    <n v="0"/>
    <n v="0"/>
  </r>
  <r>
    <x v="179"/>
    <s v="HRF"/>
    <x v="53"/>
    <n v="124642338.01894009"/>
    <n v="2152.8413999999998"/>
    <m/>
    <n v="0"/>
    <n v="-2.0446480065584183"/>
    <n v="0"/>
    <n v="57896.665318188374"/>
    <n v="-2.0446480065584183"/>
    <n v="0"/>
    <n v="0"/>
  </r>
  <r>
    <x v="180"/>
    <s v="HRF"/>
    <x v="53"/>
    <n v="121467272.88111438"/>
    <n v="2098.0011"/>
    <m/>
    <n v="5.357223317027092"/>
    <n v="0"/>
    <n v="0"/>
    <n v="57896.667871677659"/>
    <n v="5.357223317027092"/>
    <n v="0"/>
    <n v="0"/>
  </r>
  <r>
    <x v="32"/>
    <s v="HRF"/>
    <x v="53"/>
    <n v="120920211.13337706"/>
    <n v="2088.5522000000001"/>
    <m/>
    <n v="0"/>
    <n v="-1.9226846396923065"/>
    <n v="0"/>
    <n v="57896.666951095147"/>
    <n v="-1.9226846396923065"/>
    <n v="0"/>
    <n v="0"/>
  </r>
  <r>
    <x v="33"/>
    <s v="HRF"/>
    <x v="53"/>
    <n v="122750712.71748152"/>
    <n v="2120.1690000000008"/>
    <m/>
    <n v="0"/>
    <n v="-5.7555549740791321"/>
    <n v="0"/>
    <n v="57896.664236427139"/>
    <n v="-5.7555549740791321"/>
    <n v="0"/>
    <n v="0"/>
  </r>
  <r>
    <x v="34"/>
    <s v="HRF"/>
    <x v="53"/>
    <n v="121394588.26288603"/>
    <n v="2096.7456999999999"/>
    <m/>
    <n v="6.4808136522769928"/>
    <n v="0"/>
    <n v="0"/>
    <n v="57896.667327318726"/>
    <n v="6.4808136522769928"/>
    <n v="0"/>
    <n v="0"/>
  </r>
  <r>
    <x v="35"/>
    <s v="HRF"/>
    <x v="53"/>
    <n v="122373903.61101939"/>
    <n v="2113.6606000000002"/>
    <m/>
    <n v="0"/>
    <n v="-0.99004150927066803"/>
    <n v="0"/>
    <n v="57896.666858917357"/>
    <n v="-0.99004150927066803"/>
    <n v="0"/>
    <n v="0"/>
  </r>
  <r>
    <x v="36"/>
    <s v="HRF"/>
    <x v="53"/>
    <n v="123348933.43208557"/>
    <n v="2130.5014999999999"/>
    <m/>
    <n v="0"/>
    <n v="-2.1558381319046021"/>
    <n v="0"/>
    <n v="57896.665847025019"/>
    <n v="-2.1558381319046021"/>
    <n v="0"/>
    <n v="0"/>
  </r>
  <r>
    <x v="37"/>
    <s v="HRF"/>
    <x v="53"/>
    <n v="122559881.30965824"/>
    <n v="2116.8728000000001"/>
    <m/>
    <n v="4.1674020141363144"/>
    <n v="0"/>
    <n v="0"/>
    <n v="57896.667815684646"/>
    <n v="4.1674020141363144"/>
    <n v="0"/>
    <n v="0"/>
  </r>
  <r>
    <x v="38"/>
    <s v="HRF"/>
    <x v="53"/>
    <n v="122156170.99987981"/>
    <n v="2109.8998999999999"/>
    <m/>
    <n v="0"/>
    <n v="-2.6347664445638657"/>
    <n v="0"/>
    <n v="57896.666566920925"/>
    <n v="-2.6347664445638657"/>
    <n v="0"/>
    <n v="0"/>
  </r>
  <r>
    <x v="39"/>
    <s v="HRF"/>
    <x v="53"/>
    <n v="125717462.65811197"/>
    <n v="2171.4110000000001"/>
    <m/>
    <n v="4.0113676339387894"/>
    <n v="0"/>
    <n v="0"/>
    <n v="57896.668414276231"/>
    <n v="4.0113676339387894"/>
    <n v="0"/>
    <n v="0"/>
  </r>
  <r>
    <x v="40"/>
    <s v="HRF"/>
    <x v="53"/>
    <n v="122579795.1965078"/>
    <n v="2117.2168000000001"/>
    <m/>
    <n v="0"/>
    <n v="-3.8342272043228149"/>
    <n v="0"/>
    <n v="57896.66660330099"/>
    <n v="-3.8342272043228149"/>
    <n v="0"/>
    <n v="0"/>
  </r>
  <r>
    <x v="41"/>
    <s v="HRF"/>
    <x v="53"/>
    <n v="119781084.55260624"/>
    <n v="2068.8771000000002"/>
    <m/>
    <n v="0"/>
    <n v="-3.1492979675531387"/>
    <n v="0"/>
    <n v="57896.665081075247"/>
    <n v="-3.1492979675531387"/>
    <n v="0"/>
    <n v="0"/>
  </r>
  <r>
    <x v="42"/>
    <s v="HRF"/>
    <x v="53"/>
    <n v="116126136.83612441"/>
    <n v="2005.7483"/>
    <m/>
    <n v="0"/>
    <n v="-0.72591163218021393"/>
    <n v="0"/>
    <n v="57896.664719159628"/>
    <n v="-0.72591163218021393"/>
    <n v="0"/>
    <n v="0"/>
  </r>
  <r>
    <x v="43"/>
    <s v="HRF"/>
    <x v="53"/>
    <n v="110904050.70862301"/>
    <n v="2001.7398000000001"/>
    <m/>
    <n v="0"/>
    <n v="-4990007.3469746411"/>
    <n v="0"/>
    <n v="55403.829562974672"/>
    <n v="-4990007.3469746411"/>
    <n v="0"/>
    <n v="0"/>
  </r>
  <r>
    <x v="44"/>
    <s v="HRF"/>
    <x v="53"/>
    <n v="107843228.69521548"/>
    <n v="1946.4940999999999"/>
    <m/>
    <n v="1.3334797024726868"/>
    <n v="0"/>
    <n v="0"/>
    <n v="55403.830248042097"/>
    <n v="1.3334797024726868"/>
    <n v="0"/>
    <n v="0"/>
  </r>
  <r>
    <x v="181"/>
    <s v="HRF"/>
    <x v="53"/>
    <n v="102714681.64907247"/>
    <n v="1944.0610999999997"/>
    <m/>
    <n v="0"/>
    <n v="-4993749.5271494985"/>
    <n v="0"/>
    <n v="52835.109785938563"/>
    <n v="-4993749.5271494985"/>
    <n v="0"/>
    <n v="0"/>
  </r>
  <r>
    <x v="182"/>
    <s v="HRF"/>
    <x v="53"/>
    <n v="98615730.848852426"/>
    <n v="1866.481"/>
    <m/>
    <n v="2.3004840314388275"/>
    <n v="0"/>
    <n v="0"/>
    <n v="52835.111018463314"/>
    <n v="2.3004840314388275"/>
    <n v="0"/>
    <n v="0"/>
  </r>
  <r>
    <x v="183"/>
    <s v="HRF"/>
    <x v="53"/>
    <n v="94474764.687180534"/>
    <n v="1788.1058"/>
    <m/>
    <n v="0"/>
    <n v="-3.7685776352882385"/>
    <n v="0"/>
    <n v="52835.108910882416"/>
    <n v="-3.7685776352882385"/>
    <n v="0"/>
    <n v="0"/>
  </r>
  <r>
    <x v="184"/>
    <s v="HRF"/>
    <x v="53"/>
    <n v="91526561.361671776"/>
    <n v="1829.1098"/>
    <m/>
    <n v="0"/>
    <n v="-5114654.1312905699"/>
    <n v="0"/>
    <n v="50038.855710942982"/>
    <n v="-5114654.1312905699"/>
    <n v="0"/>
    <n v="0"/>
  </r>
  <r>
    <x v="185"/>
    <s v="HRF"/>
    <x v="53"/>
    <n v="91224092.17975013"/>
    <n v="1823.0652"/>
    <m/>
    <n v="0"/>
    <n v="-4.3146912753582001"/>
    <n v="0"/>
    <n v="50038.853344219468"/>
    <n v="-4.3146912753582001"/>
    <n v="0"/>
    <n v="0"/>
  </r>
  <r>
    <x v="186"/>
    <s v="HRF"/>
    <x v="53"/>
    <n v="85851590.800057724"/>
    <n v="1715.6985999999999"/>
    <m/>
    <n v="0.17177507281303406"/>
    <n v="0"/>
    <n v="0"/>
    <n v="50038.853444339074"/>
    <n v="0.17177507281303406"/>
    <n v="0"/>
    <n v="0"/>
  </r>
  <r>
    <x v="187"/>
    <s v="HRF"/>
    <x v="53"/>
    <n v="83991517.084733859"/>
    <n v="1678.5260000000001"/>
    <m/>
    <n v="0.56822116672992706"/>
    <n v="0"/>
    <n v="0"/>
    <n v="50038.853782862971"/>
    <n v="0.56822116672992706"/>
    <n v="0"/>
    <n v="0"/>
  </r>
  <r>
    <x v="188"/>
    <s v="HRF"/>
    <x v="53"/>
    <n v="79740760.0835087"/>
    <n v="1593.5768"/>
    <m/>
    <n v="3.5965460240840912"/>
    <n v="0"/>
    <n v="-5000000"/>
    <n v="50038.856039764571"/>
    <n v="-4999996.4034539759"/>
    <n v="-99.922348265248729"/>
    <n v="-99.922348265248729"/>
  </r>
  <r>
    <x v="189"/>
    <s v="HRF"/>
    <x v="53"/>
    <n v="76491035.622110069"/>
    <n v="1528.6327999999999"/>
    <m/>
    <n v="0"/>
    <n v="-0.99475215375423431"/>
    <n v="0"/>
    <n v="50038.855389018259"/>
    <n v="-0.99475215375423431"/>
    <n v="0"/>
    <n v="0"/>
  </r>
  <r>
    <x v="190"/>
    <s v="HRF"/>
    <x v="53"/>
    <n v="72146129.890763551"/>
    <n v="1441.8022000000001"/>
    <m/>
    <n v="0"/>
    <n v="-1.8946048319339752"/>
    <n v="0"/>
    <n v="50038.854074965027"/>
    <n v="-1.8946048319339752"/>
    <n v="0"/>
    <n v="0"/>
  </r>
  <r>
    <x v="191"/>
    <s v="HRF"/>
    <x v="53"/>
    <n v="63798897.999580681"/>
    <n v="1274.9872"/>
    <m/>
    <n v="0"/>
    <n v="-0.44866757094860077"/>
    <n v="-4999999.7685099747"/>
    <n v="50038.85372306536"/>
    <n v="-5000000.2171775457"/>
    <n v="-99.922348265248729"/>
    <n v="-99.922348265248729"/>
  </r>
  <r>
    <x v="192"/>
    <s v="HRF"/>
    <x v="53"/>
    <n v="66392707.737291358"/>
    <n v="1326.8231000000001"/>
    <m/>
    <n v="0.72000723332166672"/>
    <n v="0"/>
    <n v="0"/>
    <n v="50038.854265720394"/>
    <n v="0.72000723332166672"/>
    <n v="0"/>
    <n v="0"/>
  </r>
  <r>
    <x v="193"/>
    <s v="HRF"/>
    <x v="53"/>
    <n v="60699761.078674696"/>
    <n v="1213.0526"/>
    <m/>
    <n v="0"/>
    <n v="-1.1893785148859024"/>
    <n v="-8000001.7000598162"/>
    <n v="50038.853285236517"/>
    <n v="-8000002.8894383311"/>
    <n v="-159.8758"/>
    <n v="-159.8758"/>
  </r>
  <r>
    <x v="1"/>
    <s v="HRF"/>
    <x v="53"/>
    <n v="59083182.035678342"/>
    <n v="1180.7461000000001"/>
    <m/>
    <n v="1.170663133263588"/>
    <n v="0"/>
    <n v="0"/>
    <n v="50038.854276697028"/>
    <n v="1.170663133263588"/>
    <n v="0"/>
    <n v="0"/>
  </r>
  <r>
    <x v="2"/>
    <s v="HRF"/>
    <x v="53"/>
    <n v="58532501.923675448"/>
    <n v="1169.741"/>
    <m/>
    <n v="2.4831975921988487"/>
    <n v="0"/>
    <n v="0"/>
    <n v="50038.856399558063"/>
    <n v="2.4831975921988487"/>
    <n v="0"/>
    <n v="0"/>
  </r>
  <r>
    <x v="3"/>
    <s v="HRF"/>
    <x v="53"/>
    <n v="54823626.126298875"/>
    <n v="1095.6211000000001"/>
    <m/>
    <n v="0"/>
    <n v="-0.7649269700050354"/>
    <n v="0"/>
    <n v="50038.855701390625"/>
    <n v="-0.7649269700050354"/>
    <n v="0"/>
    <n v="0"/>
  </r>
  <r>
    <x v="4"/>
    <s v="HRF"/>
    <x v="53"/>
    <n v="55962519.612347901"/>
    <n v="1118.3813"/>
    <m/>
    <n v="0"/>
    <n v="-0.87748575955629349"/>
    <n v="0"/>
    <n v="50038.854916787241"/>
    <n v="-0.87748575955629349"/>
    <n v="0"/>
    <n v="0"/>
  </r>
  <r>
    <x v="5"/>
    <s v="HRF"/>
    <x v="53"/>
    <n v="59250891.208987646"/>
    <n v="1184.0977"/>
    <m/>
    <n v="0"/>
    <n v="-1.8086138218641281"/>
    <n v="0"/>
    <n v="50038.853389367825"/>
    <n v="-1.8086138218641281"/>
    <n v="0"/>
    <n v="0"/>
  </r>
  <r>
    <x v="6"/>
    <s v="HRF"/>
    <x v="53"/>
    <n v="58879114.100439511"/>
    <n v="1176.6678999999999"/>
    <m/>
    <n v="1.5643641948699951"/>
    <n v="0"/>
    <n v="0"/>
    <n v="50038.854718854411"/>
    <n v="1.5643641948699951"/>
    <n v="0"/>
    <n v="0"/>
  </r>
  <r>
    <x v="7"/>
    <s v="HRF"/>
    <x v="53"/>
    <n v="59265313.027914785"/>
    <n v="1184.3859"/>
    <m/>
    <n v="0"/>
    <n v="-0.95324484258890152"/>
    <n v="0"/>
    <n v="50038.853914011292"/>
    <n v="-0.95324484258890152"/>
    <n v="0"/>
    <n v="0"/>
  </r>
  <r>
    <x v="8"/>
    <s v="HRF"/>
    <x v="53"/>
    <n v="50966114.59724196"/>
    <n v="1018.5308"/>
    <m/>
    <n v="0.68912091106176376"/>
    <n v="0"/>
    <n v="-9000003.3983207159"/>
    <n v="50038.854590594572"/>
    <n v="-9000002.7091998048"/>
    <n v="-179.86029999999997"/>
    <n v="-179.86029999999997"/>
  </r>
  <r>
    <x v="9"/>
    <s v="HRF"/>
    <x v="53"/>
    <n v="51150445.813132003"/>
    <n v="1022.2146"/>
    <m/>
    <n v="0"/>
    <n v="-1.9166507944464684"/>
    <n v="0"/>
    <n v="50038.85271559612"/>
    <n v="-1.9166507944464684"/>
    <n v="0"/>
    <n v="0"/>
  </r>
  <r>
    <x v="10"/>
    <s v="HRF"/>
    <x v="53"/>
    <n v="51397715.603005096"/>
    <n v="1027.1560999999999"/>
    <m/>
    <n v="2.7991789802908897"/>
    <n v="0"/>
    <n v="0"/>
    <n v="50038.855440770007"/>
    <n v="2.7991789802908897"/>
    <n v="0"/>
    <n v="0"/>
  </r>
  <r>
    <x v="11"/>
    <s v="HRF"/>
    <x v="53"/>
    <n v="52478673.193884797"/>
    <n v="1048.7584999999999"/>
    <m/>
    <n v="0"/>
    <n v="-1.7798939868807793"/>
    <n v="0"/>
    <n v="50038.853743626205"/>
    <n v="-1.7798939868807793"/>
    <n v="0"/>
    <n v="0"/>
  </r>
  <r>
    <x v="12"/>
    <s v="HRF"/>
    <x v="53"/>
    <n v="53029646.579744205"/>
    <n v="1059.7693999999999"/>
    <m/>
    <n v="0.57117371261119843"/>
    <n v="0"/>
    <n v="0"/>
    <n v="50038.854282586581"/>
    <n v="0.57117371261119843"/>
    <n v="0"/>
    <n v="0"/>
  </r>
  <r>
    <x v="13"/>
    <s v="HRF"/>
    <x v="53"/>
    <n v="48683225.941388197"/>
    <n v="972.90850000000012"/>
    <m/>
    <n v="0"/>
    <n v="-0.72040169686079025"/>
    <n v="-5000002.3391775973"/>
    <n v="50038.853542124663"/>
    <n v="-5000003.0595792942"/>
    <n v="-99.922399999999996"/>
    <n v="-99.922399999999996"/>
  </r>
  <r>
    <x v="14"/>
    <s v="HRF"/>
    <x v="53"/>
    <n v="46799358.9920367"/>
    <n v="935.2604"/>
    <m/>
    <n v="0.81268776953220367"/>
    <n v="0"/>
    <n v="-2501942.7205533721"/>
    <n v="50038.854411067441"/>
    <n v="-2501941.9078656025"/>
    <n v="-50"/>
    <n v="-50"/>
  </r>
  <r>
    <x v="15"/>
    <s v="HRF"/>
    <x v="53"/>
    <n v="47697202.9374841"/>
    <n v="953.20330000000001"/>
    <m/>
    <n v="1.7846350595355034"/>
    <n v="0"/>
    <n v="0"/>
    <n v="50038.856283317633"/>
    <n v="1.7846350595355034"/>
    <n v="0"/>
    <n v="0"/>
  </r>
  <r>
    <x v="16"/>
    <s v="HRF"/>
    <x v="53"/>
    <n v="52385174.57618285"/>
    <n v="1046.8900000000001"/>
    <m/>
    <n v="0"/>
    <n v="-3.678259551525116"/>
    <n v="0"/>
    <n v="50038.85276980661"/>
    <n v="-3.678259551525116"/>
    <n v="0"/>
    <n v="0"/>
  </r>
  <r>
    <x v="17"/>
    <s v="HRF"/>
    <x v="53"/>
    <n v="55261929.882489793"/>
    <n v="1104.3804"/>
    <m/>
    <n v="1.6450296640396118"/>
    <n v="0"/>
    <n v="0"/>
    <n v="50038.854259356463"/>
    <n v="1.6450296640396118"/>
    <n v="0"/>
    <n v="0"/>
  </r>
  <r>
    <x v="18"/>
    <s v="HRF"/>
    <x v="53"/>
    <n v="54478214.1233273"/>
    <n v="1088.7182"/>
    <m/>
    <n v="2.7840183973312378"/>
    <n v="0"/>
    <n v="0"/>
    <n v="50038.856816508895"/>
    <n v="2.7840183973312378"/>
    <n v="0"/>
    <n v="0"/>
  </r>
  <r>
    <x v="19"/>
    <s v="HRF"/>
    <x v="53"/>
    <n v="52826456.611245103"/>
    <n v="1055.7086999999999"/>
    <m/>
    <n v="0.13200236111879349"/>
    <n v="0"/>
    <n v="0"/>
    <n v="50038.856941545622"/>
    <n v="0.13200236111879349"/>
    <n v="0"/>
    <n v="0"/>
  </r>
  <r>
    <x v="20"/>
    <s v="HRF"/>
    <x v="53"/>
    <n v="52909784.242713489"/>
    <n v="1057.374"/>
    <m/>
    <n v="0"/>
    <n v="-2.0769963711500168"/>
    <n v="0"/>
    <n v="50038.854977248819"/>
    <n v="-2.0769963711500168"/>
    <n v="0"/>
    <n v="0"/>
  </r>
  <r>
    <x v="21"/>
    <s v="HRF"/>
    <x v="53"/>
    <n v="53972888.810000002"/>
    <n v="1078.6196"/>
    <m/>
    <n v="0"/>
    <n v="-0.93001812696456909"/>
    <n v="0"/>
    <n v="50038.854115018861"/>
    <n v="-0.93001812696456909"/>
    <n v="0"/>
    <n v="0"/>
  </r>
  <r>
    <x v="22"/>
    <s v="HRF"/>
    <x v="53"/>
    <n v="54809300"/>
    <n v="1095.335"/>
    <m/>
    <n v="0"/>
    <n v="-8.2720741853117943"/>
    <n v="0"/>
    <n v="50038.846562923674"/>
    <n v="-8.2720741853117943"/>
    <n v="0"/>
    <n v="0"/>
  </r>
  <r>
    <x v="23"/>
    <s v="HRF"/>
    <x v="53"/>
    <n v="53853700"/>
    <n v="1076.2379999999998"/>
    <m/>
    <n v="0"/>
    <n v="-8.1471878439188004"/>
    <n v="0"/>
    <n v="50038.838992862176"/>
    <n v="-8.1471878439188004"/>
    <n v="0"/>
    <n v="0"/>
  </r>
  <r>
    <x v="24"/>
    <s v="HRF"/>
    <x v="53"/>
    <n v="55842400"/>
    <n v="1115.9811000000002"/>
    <m/>
    <n v="1.4180227667093277"/>
    <n v="0"/>
    <n v="0"/>
    <n v="50038.840263513419"/>
    <n v="1.4180227667093277"/>
    <n v="0"/>
    <n v="0"/>
  </r>
  <r>
    <x v="25"/>
    <s v="HRF"/>
    <x v="53"/>
    <n v="54286200"/>
    <n v="1084.8819000000001"/>
    <m/>
    <n v="0"/>
    <n v="-32.098876945674419"/>
    <n v="0"/>
    <n v="50038.810676074507"/>
    <n v="-32.098876945674419"/>
    <n v="0"/>
    <n v="0"/>
  </r>
  <r>
    <x v="26"/>
    <s v="HRF"/>
    <x v="53"/>
    <n v="52643700"/>
    <n v="1052.0561"/>
    <m/>
    <n v="63.991490691900253"/>
    <n v="0"/>
    <n v="0"/>
    <n v="50038.871501244088"/>
    <n v="63.991490691900253"/>
    <n v="0"/>
    <n v="0"/>
  </r>
  <r>
    <x v="27"/>
    <s v="HRF"/>
    <x v="53"/>
    <n v="37863400"/>
    <n v="1135.0195000000001"/>
    <m/>
    <n v="0"/>
    <n v="-18931694.911906317"/>
    <n v="0"/>
    <n v="33359.250656045995"/>
    <n v="-18931694.911906317"/>
    <n v="0"/>
    <n v="0"/>
  </r>
  <r>
    <x v="28"/>
    <s v="HRF"/>
    <x v="53"/>
    <n v="37010885.307930604"/>
    <n v="1109.4644000000001"/>
    <m/>
    <n v="0"/>
    <n v="-1.0135596767067909"/>
    <n v="0"/>
    <n v="33359.236499999999"/>
    <n v="-1.0135596767067909"/>
    <n v="0"/>
    <n v="0"/>
  </r>
  <r>
    <x v="29"/>
    <s v="HRF"/>
    <x v="53"/>
    <n v="36398236.2577608"/>
    <n v="1091.0992000000001"/>
    <m/>
    <n v="0"/>
    <n v="0"/>
    <n v="0"/>
    <n v="33359.236499999999"/>
    <n v="0"/>
    <n v="0"/>
    <n v="0"/>
  </r>
  <r>
    <x v="30"/>
    <s v="HRF"/>
    <x v="53"/>
    <n v="36398236.2577608"/>
    <n v="1091.0992000000001"/>
    <m/>
    <n v="0"/>
    <n v="0"/>
    <n v="0"/>
    <n v="33359.236499999999"/>
    <n v="0"/>
    <n v="0"/>
    <n v="-1091.0992000000001"/>
  </r>
  <r>
    <x v="24"/>
    <s v="Leopark 2"/>
    <x v="54"/>
    <n v="5000000"/>
    <n v="5000000"/>
    <m/>
    <n v="5000000"/>
    <n v="0"/>
    <n v="0"/>
    <n v="1"/>
    <n v="5000000"/>
    <n v="5000000"/>
    <n v="5000000"/>
  </r>
  <r>
    <x v="25"/>
    <s v="Leopark 2"/>
    <x v="54"/>
    <n v="4885734"/>
    <n v="4885734"/>
    <m/>
    <m/>
    <n v="0"/>
    <n v="0"/>
    <n v="1"/>
    <n v="0"/>
    <n v="0"/>
    <n v="0"/>
  </r>
  <r>
    <x v="26"/>
    <s v="Leopark 2"/>
    <x v="54"/>
    <n v="4906550.93"/>
    <n v="4906550.93"/>
    <m/>
    <m/>
    <n v="0"/>
    <n v="0"/>
    <n v="1"/>
    <n v="0"/>
    <n v="0"/>
    <n v="0"/>
  </r>
  <r>
    <x v="27"/>
    <s v="Leopark 2"/>
    <x v="54"/>
    <n v="4829312.1500000004"/>
    <n v="4829312.1500000004"/>
    <m/>
    <m/>
    <n v="0"/>
    <n v="-149722.22"/>
    <n v="1"/>
    <n v="-149722.22"/>
    <n v="-149722.22"/>
    <n v="-149722.22"/>
  </r>
  <r>
    <x v="28"/>
    <s v="Leopark 2"/>
    <x v="54"/>
    <n v="4890910.379999999"/>
    <n v="4890910.379999999"/>
    <m/>
    <m/>
    <n v="0"/>
    <n v="0"/>
    <n v="1"/>
    <n v="0"/>
    <n v="0"/>
    <n v="0"/>
  </r>
  <r>
    <x v="29"/>
    <s v="Leopark 2"/>
    <x v="54"/>
    <n v="4953556.8371344563"/>
    <n v="4953556.8371344563"/>
    <m/>
    <m/>
    <n v="0"/>
    <n v="0"/>
    <n v="1"/>
    <n v="0"/>
    <n v="0"/>
    <n v="0"/>
  </r>
  <r>
    <x v="30"/>
    <s v="Leopark 2"/>
    <x v="54"/>
    <n v="4953556.8371344563"/>
    <n v="4953556.8371344563"/>
    <m/>
    <m/>
    <n v="0"/>
    <n v="0"/>
    <n v="1"/>
    <n v="0"/>
    <n v="0"/>
    <n v="-4953556.8371344563"/>
  </r>
  <r>
    <x v="206"/>
    <s v="Mercury"/>
    <x v="55"/>
    <n v="4000000"/>
    <n v="4000000"/>
    <m/>
    <n v="4000000"/>
    <n v="0"/>
    <n v="0"/>
    <n v="1"/>
    <n v="4000000"/>
    <n v="4000000"/>
    <n v="4000000"/>
  </r>
  <r>
    <x v="13"/>
    <s v="Mercury"/>
    <x v="55"/>
    <n v="4000000"/>
    <n v="4000000"/>
    <m/>
    <m/>
    <n v="0"/>
    <n v="-140000"/>
    <n v="1"/>
    <n v="-140000"/>
    <n v="-140000"/>
    <n v="-140000"/>
  </r>
  <r>
    <x v="14"/>
    <s v="Mercury"/>
    <x v="55"/>
    <n v="4000000"/>
    <n v="4000000"/>
    <m/>
    <m/>
    <n v="0"/>
    <n v="0"/>
    <n v="1"/>
    <n v="0"/>
    <n v="0"/>
    <n v="0"/>
  </r>
  <r>
    <x v="15"/>
    <s v="Mercury"/>
    <x v="55"/>
    <n v="4000000"/>
    <n v="4000000"/>
    <m/>
    <m/>
    <n v="0"/>
    <n v="0"/>
    <n v="1"/>
    <n v="0"/>
    <n v="0"/>
    <n v="0"/>
  </r>
  <r>
    <x v="16"/>
    <s v="Mercury"/>
    <x v="55"/>
    <n v="4000000"/>
    <n v="4000000"/>
    <m/>
    <m/>
    <n v="0"/>
    <n v="-140000"/>
    <n v="1"/>
    <n v="-140000"/>
    <n v="-140000"/>
    <n v="-140000"/>
  </r>
  <r>
    <x v="17"/>
    <s v="Mercury"/>
    <x v="55"/>
    <n v="4000000"/>
    <n v="4000000"/>
    <m/>
    <m/>
    <n v="0"/>
    <n v="0"/>
    <n v="1"/>
    <n v="0"/>
    <n v="0"/>
    <n v="0"/>
  </r>
  <r>
    <x v="18"/>
    <s v="Mercury"/>
    <x v="55"/>
    <n v="4000000"/>
    <n v="4000000"/>
    <m/>
    <m/>
    <n v="0"/>
    <n v="0"/>
    <n v="1"/>
    <n v="0"/>
    <n v="0"/>
    <n v="0"/>
  </r>
  <r>
    <x v="19"/>
    <s v="Mercury"/>
    <x v="55"/>
    <n v="4000000"/>
    <n v="4000000"/>
    <m/>
    <m/>
    <n v="0"/>
    <n v="-140000"/>
    <n v="1"/>
    <n v="-140000"/>
    <n v="-140000"/>
    <n v="-140000"/>
  </r>
  <r>
    <x v="20"/>
    <s v="Mercury"/>
    <x v="55"/>
    <n v="4000000"/>
    <n v="4000000"/>
    <m/>
    <m/>
    <n v="0"/>
    <n v="0"/>
    <n v="1"/>
    <n v="0"/>
    <n v="0"/>
    <n v="0"/>
  </r>
  <r>
    <x v="21"/>
    <s v="Mercury"/>
    <x v="55"/>
    <n v="4000000"/>
    <n v="4000000"/>
    <m/>
    <m/>
    <n v="0"/>
    <n v="0"/>
    <n v="1"/>
    <n v="0"/>
    <n v="0"/>
    <n v="0"/>
  </r>
  <r>
    <x v="22"/>
    <s v="Mercury"/>
    <x v="55"/>
    <n v="4000000"/>
    <n v="4000000"/>
    <m/>
    <m/>
    <n v="0"/>
    <n v="-140000"/>
    <n v="1"/>
    <n v="-140000"/>
    <n v="-140000"/>
    <n v="-140000"/>
  </r>
  <r>
    <x v="23"/>
    <s v="Mercury"/>
    <x v="55"/>
    <n v="4000000"/>
    <n v="4000000"/>
    <m/>
    <m/>
    <n v="0"/>
    <n v="0"/>
    <n v="1"/>
    <n v="0"/>
    <n v="0"/>
    <n v="0"/>
  </r>
  <r>
    <x v="24"/>
    <s v="Mercury"/>
    <x v="55"/>
    <n v="4000000"/>
    <n v="4000000"/>
    <m/>
    <m/>
    <n v="0"/>
    <n v="0"/>
    <n v="1"/>
    <n v="0"/>
    <n v="0"/>
    <n v="0"/>
  </r>
  <r>
    <x v="25"/>
    <s v="Mercury"/>
    <x v="55"/>
    <n v="4000000"/>
    <n v="4000000"/>
    <m/>
    <m/>
    <n v="0"/>
    <n v="-140000"/>
    <n v="1"/>
    <n v="-140000"/>
    <n v="-140000"/>
    <n v="-140000"/>
  </r>
  <r>
    <x v="26"/>
    <s v="Mercury"/>
    <x v="55"/>
    <n v="4000000"/>
    <n v="4000000"/>
    <m/>
    <m/>
    <n v="0"/>
    <n v="0"/>
    <n v="1"/>
    <n v="0"/>
    <n v="0"/>
    <n v="0"/>
  </r>
  <r>
    <x v="27"/>
    <s v="Mercury"/>
    <x v="55"/>
    <n v="4000000"/>
    <n v="4000000"/>
    <m/>
    <m/>
    <n v="0"/>
    <n v="0"/>
    <n v="1"/>
    <n v="0"/>
    <n v="0"/>
    <n v="0"/>
  </r>
  <r>
    <x v="28"/>
    <s v="Mercury"/>
    <x v="55"/>
    <n v="3932770.77"/>
    <n v="3932770.77"/>
    <m/>
    <m/>
    <n v="0"/>
    <n v="-140000"/>
    <n v="1"/>
    <n v="-140000"/>
    <n v="-140000"/>
    <n v="-140000"/>
  </r>
  <r>
    <x v="29"/>
    <s v="Mercury"/>
    <x v="55"/>
    <n v="4000000"/>
    <n v="4000000"/>
    <m/>
    <m/>
    <n v="0"/>
    <n v="0"/>
    <n v="1"/>
    <n v="0"/>
    <n v="0"/>
    <n v="0"/>
  </r>
  <r>
    <x v="30"/>
    <s v="Mercury"/>
    <x v="55"/>
    <n v="4000000"/>
    <n v="4000000"/>
    <m/>
    <m/>
    <n v="0"/>
    <n v="0"/>
    <n v="1"/>
    <n v="0"/>
    <n v="0"/>
    <n v="-4000000"/>
  </r>
  <r>
    <x v="207"/>
    <s v="New BMTR"/>
    <x v="56"/>
    <n v="64557926.877264522"/>
    <n v="64557926.877264522"/>
    <m/>
    <n v="64557926.877264522"/>
    <n v="0"/>
    <n v="0"/>
    <n v="1"/>
    <n v="64557926.877264522"/>
    <n v="64557926.877264522"/>
    <n v="64557926.877264522"/>
  </r>
  <r>
    <x v="89"/>
    <s v="OPL"/>
    <x v="57"/>
    <n v="9005953.0999999996"/>
    <n v="9005953.0999999996"/>
    <m/>
    <n v="9005953.0999999996"/>
    <m/>
    <n v="0"/>
    <n v="1"/>
    <n v="9005953.0999999996"/>
    <n v="9005953.0999999996"/>
    <n v="9005953.0999999996"/>
  </r>
  <r>
    <x v="90"/>
    <s v="OPL"/>
    <x v="57"/>
    <n v="9005953.0999999996"/>
    <n v="9005953.0999999996"/>
    <m/>
    <m/>
    <m/>
    <n v="0"/>
    <n v="1"/>
    <n v="0"/>
    <n v="0"/>
    <n v="0"/>
  </r>
  <r>
    <x v="91"/>
    <s v="OPL"/>
    <x v="57"/>
    <n v="8850861.3900000006"/>
    <n v="8850861.3900000006"/>
    <m/>
    <m/>
    <n v="0"/>
    <n v="0"/>
    <n v="1"/>
    <n v="0"/>
    <n v="0"/>
    <n v="0"/>
  </r>
  <r>
    <x v="92"/>
    <s v="OPL"/>
    <x v="57"/>
    <n v="9501453.4678000007"/>
    <n v="9501453.4678000007"/>
    <m/>
    <m/>
    <n v="0"/>
    <n v="0"/>
    <n v="1"/>
    <n v="0"/>
    <n v="0"/>
    <n v="0"/>
  </r>
  <r>
    <x v="93"/>
    <s v="OPL"/>
    <x v="57"/>
    <n v="9883443.0380000006"/>
    <n v="9883443.0380000006"/>
    <m/>
    <m/>
    <n v="0"/>
    <n v="0"/>
    <n v="1"/>
    <n v="0"/>
    <n v="0"/>
    <n v="0"/>
  </r>
  <r>
    <x v="94"/>
    <s v="OPL"/>
    <x v="57"/>
    <n v="9418784.0607000012"/>
    <n v="9418784.0607000012"/>
    <m/>
    <m/>
    <n v="0"/>
    <n v="-409619"/>
    <n v="1"/>
    <n v="-409619"/>
    <n v="-409619"/>
    <n v="-409619"/>
  </r>
  <r>
    <x v="95"/>
    <s v="OPL"/>
    <x v="57"/>
    <n v="9975706.5765000004"/>
    <n v="9975706.5765000004"/>
    <m/>
    <m/>
    <n v="0"/>
    <n v="0"/>
    <n v="1"/>
    <n v="0"/>
    <n v="0"/>
    <n v="0"/>
  </r>
  <r>
    <x v="96"/>
    <s v="OPL"/>
    <x v="57"/>
    <n v="9352477.5504999999"/>
    <n v="9352477.5504999999"/>
    <m/>
    <m/>
    <n v="0"/>
    <n v="0"/>
    <n v="1"/>
    <n v="0"/>
    <n v="0"/>
    <n v="0"/>
  </r>
  <r>
    <x v="97"/>
    <s v="OPL"/>
    <x v="57"/>
    <n v="10421864.596500002"/>
    <n v="10421864.596500002"/>
    <m/>
    <m/>
    <n v="0"/>
    <n v="0"/>
    <n v="1"/>
    <n v="0"/>
    <n v="0"/>
    <n v="0"/>
  </r>
  <r>
    <x v="98"/>
    <s v="OPL"/>
    <x v="57"/>
    <n v="12168472.222199999"/>
    <n v="12168472.222199999"/>
    <m/>
    <m/>
    <n v="0"/>
    <n v="0"/>
    <n v="1"/>
    <n v="0"/>
    <n v="0"/>
    <n v="0"/>
  </r>
  <r>
    <x v="99"/>
    <s v="OPL"/>
    <x v="57"/>
    <n v="11944091.729500001"/>
    <n v="11944091.729500001"/>
    <m/>
    <m/>
    <n v="0"/>
    <n v="-1648157.33"/>
    <n v="1"/>
    <n v="-1648157.33"/>
    <n v="-1648157.33"/>
    <n v="-1648157.33"/>
  </r>
  <r>
    <x v="100"/>
    <s v="OPL"/>
    <x v="57"/>
    <n v="13165898.005399998"/>
    <n v="13165898.005399998"/>
    <m/>
    <m/>
    <n v="0"/>
    <n v="0"/>
    <n v="1"/>
    <n v="0"/>
    <n v="0"/>
    <n v="0"/>
  </r>
  <r>
    <x v="101"/>
    <s v="OPL"/>
    <x v="57"/>
    <n v="13654606.895299999"/>
    <n v="13654606.895299999"/>
    <m/>
    <m/>
    <n v="0"/>
    <n v="0"/>
    <n v="1"/>
    <n v="0"/>
    <n v="0"/>
    <n v="0"/>
  </r>
  <r>
    <x v="102"/>
    <s v="OPL"/>
    <x v="57"/>
    <n v="13648686.7699"/>
    <n v="13648686.7699"/>
    <m/>
    <m/>
    <n v="0"/>
    <n v="0"/>
    <n v="1"/>
    <n v="0"/>
    <n v="0"/>
    <n v="0"/>
  </r>
  <r>
    <x v="103"/>
    <s v="OPL"/>
    <x v="57"/>
    <n v="16072364.949200001"/>
    <n v="16072364.949200001"/>
    <m/>
    <m/>
    <n v="0"/>
    <n v="-832219.91"/>
    <n v="1"/>
    <n v="-832219.91"/>
    <n v="-832219.91"/>
    <n v="-832219.91"/>
  </r>
  <r>
    <x v="104"/>
    <s v="OPL"/>
    <x v="57"/>
    <n v="18884341.082600001"/>
    <n v="18884341.082600001"/>
    <m/>
    <m/>
    <n v="0"/>
    <n v="0"/>
    <n v="1"/>
    <n v="0"/>
    <n v="0"/>
    <n v="0"/>
  </r>
  <r>
    <x v="105"/>
    <s v="OPL"/>
    <x v="57"/>
    <n v="20933279.1941"/>
    <n v="20933279.1941"/>
    <m/>
    <m/>
    <n v="0"/>
    <n v="-1571283.66"/>
    <n v="1"/>
    <n v="-1571283.66"/>
    <n v="-1571283.66"/>
    <n v="-1571283.66"/>
  </r>
  <r>
    <x v="106"/>
    <s v="OPL"/>
    <x v="57"/>
    <n v="17347487.535700001"/>
    <n v="17347487.535700001"/>
    <m/>
    <m/>
    <n v="0"/>
    <n v="-2328706.88"/>
    <n v="1"/>
    <n v="-2328706.88"/>
    <n v="-2328706.88"/>
    <n v="-2328706.88"/>
  </r>
  <r>
    <x v="107"/>
    <s v="OPL"/>
    <x v="57"/>
    <n v="16650986.466100002"/>
    <n v="16650986.466100002"/>
    <m/>
    <m/>
    <n v="0"/>
    <n v="0"/>
    <n v="1"/>
    <n v="0"/>
    <n v="0"/>
    <n v="0"/>
  </r>
  <r>
    <x v="108"/>
    <s v="OPL"/>
    <x v="57"/>
    <n v="17279581.752300002"/>
    <n v="17279581.752300002"/>
    <m/>
    <m/>
    <n v="0"/>
    <n v="-2134414.79"/>
    <n v="1"/>
    <n v="-2134414.79"/>
    <n v="-2134414.79"/>
    <n v="-2134414.79"/>
  </r>
  <r>
    <x v="109"/>
    <s v="OPL"/>
    <x v="57"/>
    <n v="17240114.835999999"/>
    <n v="17240114.835999999"/>
    <m/>
    <m/>
    <n v="0"/>
    <n v="0"/>
    <n v="1"/>
    <n v="0"/>
    <n v="0"/>
    <n v="0"/>
  </r>
  <r>
    <x v="110"/>
    <s v="OPL"/>
    <x v="57"/>
    <n v="17627440.259099998"/>
    <n v="17627440.259099998"/>
    <m/>
    <m/>
    <n v="0"/>
    <n v="0"/>
    <n v="1"/>
    <n v="0"/>
    <n v="0"/>
    <n v="0"/>
  </r>
  <r>
    <x v="111"/>
    <s v="OPL"/>
    <x v="57"/>
    <n v="17281942.715799998"/>
    <n v="17281942.715799998"/>
    <m/>
    <m/>
    <n v="0"/>
    <n v="-3066750.1"/>
    <n v="1"/>
    <n v="-3066750.1"/>
    <n v="-3066750.1"/>
    <n v="-3066750.1"/>
  </r>
  <r>
    <x v="112"/>
    <s v="OPL"/>
    <x v="57"/>
    <n v="14607353.548899999"/>
    <n v="14607353.548899999"/>
    <m/>
    <m/>
    <n v="0"/>
    <n v="0"/>
    <n v="1"/>
    <n v="0"/>
    <n v="0"/>
    <n v="0"/>
  </r>
  <r>
    <x v="113"/>
    <s v="OPL"/>
    <x v="57"/>
    <n v="13312883.375400001"/>
    <n v="13312883.375400001"/>
    <m/>
    <m/>
    <n v="0"/>
    <n v="0"/>
    <n v="1"/>
    <n v="0"/>
    <n v="0"/>
    <n v="0"/>
  </r>
  <r>
    <x v="114"/>
    <s v="OPL"/>
    <x v="57"/>
    <n v="13858374.7568"/>
    <n v="13858374.7568"/>
    <m/>
    <m/>
    <n v="0"/>
    <n v="0"/>
    <n v="1"/>
    <n v="0"/>
    <n v="0"/>
    <n v="0"/>
  </r>
  <r>
    <x v="115"/>
    <s v="OPL"/>
    <x v="57"/>
    <n v="13198675.3157"/>
    <n v="13198675.3157"/>
    <m/>
    <m/>
    <n v="0"/>
    <n v="0"/>
    <n v="1"/>
    <n v="0"/>
    <n v="0"/>
    <n v="0"/>
  </r>
  <r>
    <x v="116"/>
    <s v="OPL"/>
    <x v="57"/>
    <n v="13212696.137141576"/>
    <n v="13212696.137141576"/>
    <m/>
    <m/>
    <n v="0"/>
    <n v="0"/>
    <n v="1"/>
    <n v="0"/>
    <n v="0"/>
    <n v="0"/>
  </r>
  <r>
    <x v="117"/>
    <s v="OPL"/>
    <x v="57"/>
    <n v="12541219.000179252"/>
    <n v="12541219.000179252"/>
    <m/>
    <m/>
    <n v="0"/>
    <n v="0"/>
    <n v="1"/>
    <n v="0"/>
    <n v="0"/>
    <n v="0"/>
  </r>
  <r>
    <x v="118"/>
    <s v="OPL"/>
    <x v="57"/>
    <n v="11973988.358993264"/>
    <n v="11973988.358993264"/>
    <m/>
    <m/>
    <n v="0"/>
    <n v="0"/>
    <n v="1"/>
    <n v="0"/>
    <n v="0"/>
    <n v="0"/>
  </r>
  <r>
    <x v="119"/>
    <s v="OPL"/>
    <x v="57"/>
    <n v="10851614.452166066"/>
    <n v="10851614.452166066"/>
    <m/>
    <m/>
    <n v="0"/>
    <n v="0"/>
    <n v="1"/>
    <n v="0"/>
    <n v="0"/>
    <n v="0"/>
  </r>
  <r>
    <x v="120"/>
    <s v="OPL"/>
    <x v="57"/>
    <n v="8959547.3835000005"/>
    <n v="8959547.3835000005"/>
    <m/>
    <m/>
    <n v="0"/>
    <n v="0"/>
    <n v="1"/>
    <n v="0"/>
    <n v="0"/>
    <n v="0"/>
  </r>
  <r>
    <x v="121"/>
    <s v="OPL"/>
    <x v="57"/>
    <n v="7731420.3601257904"/>
    <n v="7731420.3601257904"/>
    <m/>
    <m/>
    <n v="0"/>
    <n v="0"/>
    <n v="1"/>
    <n v="0"/>
    <n v="0"/>
    <n v="0"/>
  </r>
  <r>
    <x v="122"/>
    <s v="OPL"/>
    <x v="57"/>
    <n v="5292774.6245671185"/>
    <n v="5292774.6245671185"/>
    <m/>
    <m/>
    <n v="0"/>
    <n v="0"/>
    <n v="1"/>
    <n v="0"/>
    <n v="0"/>
    <n v="0"/>
  </r>
  <r>
    <x v="123"/>
    <s v="OPL"/>
    <x v="57"/>
    <n v="5177830.7596805431"/>
    <n v="5177830.7596805431"/>
    <m/>
    <m/>
    <n v="0"/>
    <n v="0"/>
    <n v="1"/>
    <n v="0"/>
    <n v="0"/>
    <n v="0"/>
  </r>
  <r>
    <x v="124"/>
    <s v="OPL"/>
    <x v="57"/>
    <n v="4669857.4962914446"/>
    <n v="4669857.4962914446"/>
    <m/>
    <m/>
    <n v="0"/>
    <n v="0"/>
    <n v="1"/>
    <n v="0"/>
    <n v="0"/>
    <n v="0"/>
  </r>
  <r>
    <x v="125"/>
    <s v="OPL"/>
    <x v="57"/>
    <n v="4318747.7726973919"/>
    <n v="4318747.7726973919"/>
    <m/>
    <m/>
    <n v="0"/>
    <n v="0"/>
    <n v="1"/>
    <n v="0"/>
    <n v="0"/>
    <n v="0"/>
  </r>
  <r>
    <x v="126"/>
    <s v="OPL"/>
    <x v="57"/>
    <n v="4224381.8455724195"/>
    <n v="4224381.8455724195"/>
    <m/>
    <m/>
    <n v="0"/>
    <n v="0"/>
    <n v="1"/>
    <n v="0"/>
    <n v="0"/>
    <n v="0"/>
  </r>
  <r>
    <x v="127"/>
    <s v="OPL"/>
    <x v="57"/>
    <n v="4152757.4557141424"/>
    <n v="4152757.4557141424"/>
    <m/>
    <m/>
    <n v="0"/>
    <n v="0"/>
    <n v="1"/>
    <n v="0"/>
    <n v="0"/>
    <n v="0"/>
  </r>
  <r>
    <x v="128"/>
    <s v="OPL"/>
    <x v="57"/>
    <n v="4184828.7385757361"/>
    <n v="4184828.7385757361"/>
    <m/>
    <m/>
    <n v="0"/>
    <n v="0"/>
    <n v="1"/>
    <n v="0"/>
    <n v="0"/>
    <n v="0"/>
  </r>
  <r>
    <x v="129"/>
    <s v="OPL"/>
    <x v="57"/>
    <n v="4284028.4058595886"/>
    <n v="4284028.4058595886"/>
    <m/>
    <m/>
    <n v="0"/>
    <n v="0"/>
    <n v="1"/>
    <n v="0"/>
    <n v="0"/>
    <n v="0"/>
  </r>
  <r>
    <x v="130"/>
    <s v="OPL"/>
    <x v="57"/>
    <n v="4039300.7496487615"/>
    <n v="4039300.7496487615"/>
    <m/>
    <m/>
    <n v="0"/>
    <n v="0"/>
    <n v="1"/>
    <n v="0"/>
    <n v="0"/>
    <n v="0"/>
  </r>
  <r>
    <x v="131"/>
    <s v="OPL"/>
    <x v="57"/>
    <n v="4199125.3059773697"/>
    <n v="4199125.3059773697"/>
    <m/>
    <m/>
    <n v="0"/>
    <n v="0"/>
    <n v="1"/>
    <n v="0"/>
    <n v="0"/>
    <n v="0"/>
  </r>
  <r>
    <x v="132"/>
    <s v="OPL"/>
    <x v="57"/>
    <n v="4518652.24"/>
    <n v="4518652.24"/>
    <m/>
    <m/>
    <n v="0"/>
    <n v="0"/>
    <n v="1"/>
    <n v="0"/>
    <n v="0"/>
    <n v="0"/>
  </r>
  <r>
    <x v="133"/>
    <s v="OPL"/>
    <x v="57"/>
    <n v="6526871.8700000001"/>
    <n v="6526871.8700000001"/>
    <m/>
    <m/>
    <n v="0"/>
    <n v="0"/>
    <n v="1"/>
    <n v="0"/>
    <n v="0"/>
    <n v="0"/>
  </r>
  <r>
    <x v="134"/>
    <s v="OPL"/>
    <x v="57"/>
    <n v="6667129.0700000003"/>
    <n v="6667129.0700000003"/>
    <m/>
    <m/>
    <n v="0"/>
    <n v="0"/>
    <n v="1"/>
    <n v="0"/>
    <n v="0"/>
    <n v="0"/>
  </r>
  <r>
    <x v="135"/>
    <s v="OPL"/>
    <x v="57"/>
    <n v="8278917.5700000012"/>
    <n v="8278917.5700000012"/>
    <m/>
    <m/>
    <n v="0"/>
    <n v="0"/>
    <n v="1"/>
    <n v="0"/>
    <n v="0"/>
    <n v="0"/>
  </r>
  <r>
    <x v="136"/>
    <s v="OPL"/>
    <x v="57"/>
    <n v="6543605.8300000001"/>
    <n v="6543605.8300000001"/>
    <m/>
    <m/>
    <n v="0"/>
    <n v="-1835991.59"/>
    <n v="1"/>
    <n v="-1835991.59"/>
    <n v="-1835991.59"/>
    <n v="-1835991.59"/>
  </r>
  <r>
    <x v="137"/>
    <s v="OPL"/>
    <x v="57"/>
    <n v="6530913.1100000003"/>
    <n v="6530913.1100000003"/>
    <m/>
    <m/>
    <n v="0"/>
    <n v="0"/>
    <n v="1"/>
    <n v="0"/>
    <n v="0"/>
    <n v="0"/>
  </r>
  <r>
    <x v="138"/>
    <s v="OPL"/>
    <x v="57"/>
    <n v="6800882.0099999998"/>
    <n v="6800882.0099999998"/>
    <m/>
    <m/>
    <n v="0"/>
    <n v="0"/>
    <n v="1"/>
    <n v="0"/>
    <n v="0"/>
    <n v="0"/>
  </r>
  <r>
    <x v="139"/>
    <s v="OPL"/>
    <x v="57"/>
    <n v="7315920.7999999998"/>
    <n v="7315920.7999999998"/>
    <m/>
    <m/>
    <n v="0"/>
    <n v="0"/>
    <n v="1"/>
    <n v="0"/>
    <n v="0"/>
    <n v="0"/>
  </r>
  <r>
    <x v="140"/>
    <s v="OPL"/>
    <x v="57"/>
    <n v="7671479.3700000001"/>
    <n v="7671479.3700000001"/>
    <m/>
    <m/>
    <n v="0"/>
    <n v="0"/>
    <n v="1"/>
    <n v="0"/>
    <n v="0"/>
    <n v="0"/>
  </r>
  <r>
    <x v="141"/>
    <s v="OPL"/>
    <x v="57"/>
    <n v="6458096.7400000002"/>
    <n v="6458096.7400000002"/>
    <m/>
    <m/>
    <n v="0"/>
    <n v="-468343.73"/>
    <n v="1"/>
    <n v="-468343.73"/>
    <n v="-468343.73"/>
    <n v="-468343.73"/>
  </r>
  <r>
    <x v="142"/>
    <s v="OPL"/>
    <x v="57"/>
    <n v="7782077.1200000001"/>
    <n v="7782077.1200000001"/>
    <m/>
    <m/>
    <n v="0"/>
    <n v="0"/>
    <n v="1"/>
    <n v="0"/>
    <n v="0"/>
    <n v="0"/>
  </r>
  <r>
    <x v="143"/>
    <s v="OPL"/>
    <x v="57"/>
    <n v="8892084.9900000002"/>
    <n v="8892084.9900000002"/>
    <m/>
    <m/>
    <n v="0"/>
    <n v="0"/>
    <n v="1"/>
    <n v="0"/>
    <n v="0"/>
    <n v="0"/>
  </r>
  <r>
    <x v="144"/>
    <s v="OPL"/>
    <x v="57"/>
    <n v="8548219.9499999993"/>
    <n v="8548219.9499999993"/>
    <m/>
    <m/>
    <n v="0"/>
    <n v="0"/>
    <n v="1"/>
    <n v="0"/>
    <n v="0"/>
    <n v="0"/>
  </r>
  <r>
    <x v="145"/>
    <s v="OPL"/>
    <x v="57"/>
    <n v="9010054.2200000007"/>
    <n v="9010054.2200000007"/>
    <m/>
    <m/>
    <n v="0"/>
    <n v="0"/>
    <n v="1"/>
    <n v="0"/>
    <n v="0"/>
    <n v="0"/>
  </r>
  <r>
    <x v="146"/>
    <s v="OPL"/>
    <x v="57"/>
    <n v="9492515.5800000001"/>
    <n v="9492515.5800000001"/>
    <m/>
    <m/>
    <n v="0"/>
    <n v="0"/>
    <n v="1"/>
    <n v="0"/>
    <n v="0"/>
    <n v="0"/>
  </r>
  <r>
    <x v="147"/>
    <s v="OPL"/>
    <x v="57"/>
    <n v="10907065.949999999"/>
    <n v="10907065.949999999"/>
    <m/>
    <m/>
    <n v="0"/>
    <n v="0"/>
    <n v="1"/>
    <n v="0"/>
    <n v="0"/>
    <n v="0"/>
  </r>
  <r>
    <x v="148"/>
    <s v="OPL"/>
    <x v="57"/>
    <n v="9254283.2300000004"/>
    <n v="9254283.2300000004"/>
    <m/>
    <m/>
    <n v="0"/>
    <n v="-2011987.9699999997"/>
    <n v="1"/>
    <n v="-2011987.9699999997"/>
    <n v="-2011987.9699999997"/>
    <n v="-2011987.9699999997"/>
  </r>
  <r>
    <x v="149"/>
    <s v="OPL"/>
    <x v="57"/>
    <n v="9927969.2599999998"/>
    <n v="9927969.2599999998"/>
    <m/>
    <m/>
    <n v="0"/>
    <n v="0"/>
    <n v="1"/>
    <n v="0"/>
    <n v="0"/>
    <n v="0"/>
  </r>
  <r>
    <x v="150"/>
    <s v="OPL"/>
    <x v="57"/>
    <n v="10574605.560000001"/>
    <n v="10574605.560000001"/>
    <m/>
    <m/>
    <n v="0"/>
    <n v="0"/>
    <n v="1"/>
    <n v="0"/>
    <n v="0"/>
    <n v="0"/>
  </r>
  <r>
    <x v="151"/>
    <s v="OPL"/>
    <x v="57"/>
    <n v="11518178.51"/>
    <n v="11518178.51"/>
    <m/>
    <m/>
    <n v="0"/>
    <n v="0"/>
    <n v="1"/>
    <n v="0"/>
    <n v="0"/>
    <n v="0"/>
  </r>
  <r>
    <x v="152"/>
    <s v="OPL"/>
    <x v="57"/>
    <n v="12316067.75"/>
    <n v="12316067.75"/>
    <m/>
    <m/>
    <n v="0"/>
    <n v="0"/>
    <n v="1"/>
    <n v="0"/>
    <n v="0"/>
    <n v="0"/>
  </r>
  <r>
    <x v="153"/>
    <s v="OPL"/>
    <x v="57"/>
    <n v="12753495.609999999"/>
    <n v="12753495.609999999"/>
    <m/>
    <m/>
    <n v="0"/>
    <n v="0"/>
    <n v="1"/>
    <n v="0"/>
    <n v="0"/>
    <n v="0"/>
  </r>
  <r>
    <x v="154"/>
    <s v="OPL"/>
    <x v="57"/>
    <n v="10370453.630000001"/>
    <n v="10370453.630000001"/>
    <m/>
    <m/>
    <n v="0"/>
    <n v="-2978130.2"/>
    <n v="1"/>
    <n v="-2978130.2"/>
    <n v="-2978130.2"/>
    <n v="-2978130.2"/>
  </r>
  <r>
    <x v="155"/>
    <s v="OPL"/>
    <x v="57"/>
    <n v="10458301.76"/>
    <n v="10458301.76"/>
    <m/>
    <m/>
    <n v="0"/>
    <n v="0"/>
    <n v="1"/>
    <n v="0"/>
    <n v="0"/>
    <n v="0"/>
  </r>
  <r>
    <x v="156"/>
    <s v="OPL"/>
    <x v="57"/>
    <n v="9288797.9000000004"/>
    <n v="9288797.9000000004"/>
    <m/>
    <m/>
    <n v="0"/>
    <n v="0"/>
    <n v="1"/>
    <n v="0"/>
    <n v="0"/>
    <n v="0"/>
  </r>
  <r>
    <x v="157"/>
    <s v="OPL"/>
    <x v="57"/>
    <n v="8044249.4800000014"/>
    <n v="8044249.4800000014"/>
    <m/>
    <m/>
    <n v="0"/>
    <n v="0"/>
    <n v="1"/>
    <n v="0"/>
    <n v="0"/>
    <n v="0"/>
  </r>
  <r>
    <x v="158"/>
    <s v="OPL"/>
    <x v="57"/>
    <n v="9118415.7899999991"/>
    <n v="9118415.7899999991"/>
    <m/>
    <m/>
    <n v="0"/>
    <n v="0"/>
    <n v="1"/>
    <n v="0"/>
    <n v="0"/>
    <n v="0"/>
  </r>
  <r>
    <x v="159"/>
    <s v="OPL"/>
    <x v="57"/>
    <n v="8604088.0899999999"/>
    <n v="8604088.0899999999"/>
    <m/>
    <m/>
    <n v="0"/>
    <n v="0"/>
    <n v="1"/>
    <n v="0"/>
    <n v="0"/>
    <n v="0"/>
  </r>
  <r>
    <x v="160"/>
    <s v="OPL"/>
    <x v="57"/>
    <n v="7934380.5999999996"/>
    <n v="7934380.5999999996"/>
    <m/>
    <m/>
    <n v="0"/>
    <n v="-600506.10366267851"/>
    <n v="1"/>
    <n v="-600506.10366267851"/>
    <n v="-600506.10366267851"/>
    <n v="-600506.10366267851"/>
  </r>
  <r>
    <x v="161"/>
    <s v="OPL"/>
    <x v="57"/>
    <n v="8635682.4299999997"/>
    <n v="8635682.4299999997"/>
    <m/>
    <m/>
    <n v="0"/>
    <n v="0"/>
    <n v="1"/>
    <n v="0"/>
    <n v="0"/>
    <n v="0"/>
  </r>
  <r>
    <x v="162"/>
    <s v="OPL"/>
    <x v="57"/>
    <n v="9925296.3699999992"/>
    <n v="9925296.3699999992"/>
    <m/>
    <m/>
    <n v="0"/>
    <n v="0"/>
    <n v="1"/>
    <n v="0"/>
    <n v="0"/>
    <n v="0"/>
  </r>
  <r>
    <x v="163"/>
    <s v="OPL"/>
    <x v="57"/>
    <n v="9822358.0399999991"/>
    <n v="9822358.0399999991"/>
    <m/>
    <m/>
    <n v="0"/>
    <n v="0"/>
    <n v="1"/>
    <n v="0"/>
    <n v="0"/>
    <n v="0"/>
  </r>
  <r>
    <x v="164"/>
    <s v="OPL"/>
    <x v="57"/>
    <n v="10107152.790000001"/>
    <n v="10107152.790000001"/>
    <m/>
    <m/>
    <n v="0"/>
    <n v="0"/>
    <n v="1"/>
    <n v="0"/>
    <n v="0"/>
    <n v="0"/>
  </r>
  <r>
    <x v="165"/>
    <s v="OPL"/>
    <x v="57"/>
    <n v="9913889.6500000004"/>
    <n v="9913889.6500000004"/>
    <m/>
    <m/>
    <n v="0"/>
    <n v="0"/>
    <n v="1"/>
    <n v="0"/>
    <n v="0"/>
    <n v="0"/>
  </r>
  <r>
    <x v="166"/>
    <s v="OPL"/>
    <x v="57"/>
    <n v="9542944.9800000004"/>
    <n v="9542944.9800000004"/>
    <m/>
    <m/>
    <n v="0"/>
    <n v="0"/>
    <n v="1"/>
    <n v="0"/>
    <n v="0"/>
    <n v="0"/>
  </r>
  <r>
    <x v="167"/>
    <s v="OPL"/>
    <x v="57"/>
    <n v="9757848.9900000002"/>
    <n v="9757848.9900000002"/>
    <m/>
    <m/>
    <n v="0"/>
    <n v="0"/>
    <n v="1"/>
    <n v="0"/>
    <n v="0"/>
    <n v="0"/>
  </r>
  <r>
    <x v="168"/>
    <s v="OPL"/>
    <x v="57"/>
    <n v="11299019.74"/>
    <n v="11299019.74"/>
    <m/>
    <m/>
    <n v="0"/>
    <n v="0"/>
    <n v="1"/>
    <n v="0"/>
    <n v="0"/>
    <n v="0"/>
  </r>
  <r>
    <x v="169"/>
    <s v="OPL"/>
    <x v="57"/>
    <n v="12259013.873834601"/>
    <n v="12259013.873834601"/>
    <m/>
    <m/>
    <n v="0"/>
    <n v="0"/>
    <n v="1"/>
    <n v="0"/>
    <n v="0"/>
    <n v="0"/>
  </r>
  <r>
    <x v="170"/>
    <s v="OPL"/>
    <x v="57"/>
    <n v="12360190.223033275"/>
    <n v="12360190.223033275"/>
    <m/>
    <m/>
    <n v="0"/>
    <n v="0"/>
    <n v="1"/>
    <n v="0"/>
    <n v="0"/>
    <n v="0"/>
  </r>
  <r>
    <x v="171"/>
    <s v="OPL"/>
    <x v="57"/>
    <n v="12522151.163343713"/>
    <n v="12522151.163343713"/>
    <m/>
    <m/>
    <n v="0"/>
    <n v="0"/>
    <n v="1"/>
    <n v="0"/>
    <n v="0"/>
    <n v="0"/>
  </r>
  <r>
    <x v="172"/>
    <s v="OPL"/>
    <x v="57"/>
    <n v="11663643.111214403"/>
    <n v="11663643.111214403"/>
    <m/>
    <m/>
    <n v="0"/>
    <n v="-2477026.73"/>
    <n v="1"/>
    <n v="-2477026.73"/>
    <n v="-2477026.73"/>
    <n v="-2477026.73"/>
  </r>
  <r>
    <x v="173"/>
    <s v="OPL"/>
    <x v="57"/>
    <n v="12249015.800824463"/>
    <n v="12249015.800824463"/>
    <m/>
    <m/>
    <n v="0"/>
    <n v="0"/>
    <n v="1"/>
    <n v="0"/>
    <n v="0"/>
    <n v="0"/>
  </r>
  <r>
    <x v="174"/>
    <s v="OPL"/>
    <x v="57"/>
    <n v="12311712.423821142"/>
    <n v="12311712.423821142"/>
    <m/>
    <m/>
    <n v="0"/>
    <n v="0"/>
    <n v="1"/>
    <n v="0"/>
    <n v="0"/>
    <n v="0"/>
  </r>
  <r>
    <x v="175"/>
    <s v="OPL"/>
    <x v="57"/>
    <n v="11729882.238661507"/>
    <n v="11729882.238661507"/>
    <m/>
    <m/>
    <n v="0"/>
    <n v="-662953.29"/>
    <n v="1"/>
    <n v="-662953.29"/>
    <n v="-662953.29"/>
    <n v="-662953.29"/>
  </r>
  <r>
    <x v="176"/>
    <s v="OPL"/>
    <x v="57"/>
    <n v="11735901.6124679"/>
    <n v="11735901.6124679"/>
    <m/>
    <m/>
    <n v="0"/>
    <n v="0"/>
    <n v="1"/>
    <n v="0"/>
    <n v="0"/>
    <n v="0"/>
  </r>
  <r>
    <x v="177"/>
    <s v="OPL"/>
    <x v="57"/>
    <n v="13266416.386573002"/>
    <n v="13266416.386573002"/>
    <m/>
    <m/>
    <n v="0"/>
    <n v="0"/>
    <n v="1"/>
    <n v="0"/>
    <n v="0"/>
    <n v="0"/>
  </r>
  <r>
    <x v="178"/>
    <s v="OPL"/>
    <x v="57"/>
    <n v="11808721.390754219"/>
    <n v="11808721.390754219"/>
    <m/>
    <m/>
    <n v="0"/>
    <n v="0"/>
    <n v="1"/>
    <n v="0"/>
    <n v="0"/>
    <n v="0"/>
  </r>
  <r>
    <x v="179"/>
    <s v="OPL"/>
    <x v="57"/>
    <n v="11736773.782846084"/>
    <n v="11736773.782846084"/>
    <m/>
    <m/>
    <n v="0"/>
    <n v="0"/>
    <n v="1"/>
    <n v="0"/>
    <n v="0"/>
    <n v="0"/>
  </r>
  <r>
    <x v="180"/>
    <s v="OPL"/>
    <x v="57"/>
    <n v="11566719.12818744"/>
    <n v="11566719.12818744"/>
    <m/>
    <m/>
    <n v="0"/>
    <n v="0"/>
    <n v="1"/>
    <n v="0"/>
    <n v="0"/>
    <n v="0"/>
  </r>
  <r>
    <x v="32"/>
    <s v="OPL"/>
    <x v="57"/>
    <n v="11750427.537092499"/>
    <n v="11750427.537092499"/>
    <m/>
    <m/>
    <n v="0"/>
    <n v="0"/>
    <n v="1"/>
    <n v="0"/>
    <n v="0"/>
    <n v="0"/>
  </r>
  <r>
    <x v="33"/>
    <s v="OPL"/>
    <x v="57"/>
    <n v="11887180.954927858"/>
    <n v="11887180.954927858"/>
    <m/>
    <m/>
    <n v="0"/>
    <n v="0"/>
    <n v="1"/>
    <n v="0"/>
    <n v="0"/>
    <n v="0"/>
  </r>
  <r>
    <x v="34"/>
    <s v="OPL"/>
    <x v="57"/>
    <n v="11702406.115568081"/>
    <n v="11702406.115568081"/>
    <m/>
    <m/>
    <n v="0"/>
    <n v="0"/>
    <n v="1"/>
    <n v="0"/>
    <n v="0"/>
    <n v="0"/>
  </r>
  <r>
    <x v="35"/>
    <s v="OPL"/>
    <x v="57"/>
    <n v="11764090.47267909"/>
    <n v="11764090.47267909"/>
    <m/>
    <m/>
    <n v="0"/>
    <n v="0"/>
    <n v="1"/>
    <n v="0"/>
    <n v="0"/>
    <n v="0"/>
  </r>
  <r>
    <x v="36"/>
    <s v="OPL"/>
    <x v="57"/>
    <n v="11676868.879779583"/>
    <n v="11676868.879779583"/>
    <m/>
    <m/>
    <n v="0"/>
    <n v="0"/>
    <n v="1"/>
    <n v="0"/>
    <n v="0"/>
    <n v="0"/>
  </r>
  <r>
    <x v="37"/>
    <s v="OPL"/>
    <x v="57"/>
    <n v="11583844.626509063"/>
    <n v="11583844.626509063"/>
    <m/>
    <m/>
    <n v="0"/>
    <n v="0"/>
    <n v="1"/>
    <n v="0"/>
    <n v="0"/>
    <n v="0"/>
  </r>
  <r>
    <x v="38"/>
    <s v="OPL"/>
    <x v="57"/>
    <n v="11430571.1"/>
    <n v="11430571.1"/>
    <m/>
    <m/>
    <n v="0"/>
    <n v="0"/>
    <n v="1"/>
    <n v="0"/>
    <n v="0"/>
    <n v="0"/>
  </r>
  <r>
    <x v="39"/>
    <s v="OPL"/>
    <x v="57"/>
    <n v="12077816.77"/>
    <n v="12077816.77"/>
    <m/>
    <m/>
    <n v="0"/>
    <n v="0"/>
    <n v="1"/>
    <n v="0"/>
    <n v="0"/>
    <n v="0"/>
  </r>
  <r>
    <x v="40"/>
    <s v="OPL"/>
    <x v="57"/>
    <n v="10377040.9767846"/>
    <n v="10377040.9767846"/>
    <m/>
    <m/>
    <n v="0"/>
    <n v="-346558.62999999902"/>
    <n v="1"/>
    <n v="-346558.62999999902"/>
    <n v="-346558.62999999902"/>
    <n v="-346558.62999999902"/>
  </r>
  <r>
    <x v="41"/>
    <s v="OPL"/>
    <x v="57"/>
    <n v="9796896.9100000001"/>
    <n v="9796896.9100000001"/>
    <m/>
    <m/>
    <n v="0"/>
    <n v="0"/>
    <n v="1"/>
    <n v="0"/>
    <n v="0"/>
    <n v="0"/>
  </r>
  <r>
    <x v="42"/>
    <s v="OPL"/>
    <x v="57"/>
    <n v="9352044.7416898012"/>
    <n v="9352044.7416898012"/>
    <m/>
    <m/>
    <n v="0"/>
    <n v="0"/>
    <n v="1"/>
    <n v="0"/>
    <n v="0"/>
    <n v="0"/>
  </r>
  <r>
    <x v="43"/>
    <s v="OPL"/>
    <x v="57"/>
    <n v="8890893.009968942"/>
    <n v="8890893.009968942"/>
    <m/>
    <m/>
    <n v="0"/>
    <n v="0"/>
    <n v="1"/>
    <n v="0"/>
    <n v="0"/>
    <n v="0"/>
  </r>
  <r>
    <x v="44"/>
    <s v="OPL"/>
    <x v="57"/>
    <n v="8044295.8954608878"/>
    <n v="8044295.8954608878"/>
    <m/>
    <m/>
    <n v="0"/>
    <n v="0"/>
    <n v="1"/>
    <n v="0"/>
    <n v="0"/>
    <n v="0"/>
  </r>
  <r>
    <x v="181"/>
    <s v="OPL"/>
    <x v="57"/>
    <n v="8771280.3446469381"/>
    <n v="8771280.3446469381"/>
    <m/>
    <m/>
    <n v="0"/>
    <n v="0"/>
    <n v="1"/>
    <n v="0"/>
    <n v="0"/>
    <n v="0"/>
  </r>
  <r>
    <x v="182"/>
    <s v="OPL"/>
    <x v="57"/>
    <n v="8579195.0304291267"/>
    <n v="8579195.0304291267"/>
    <m/>
    <m/>
    <n v="0"/>
    <n v="0"/>
    <n v="1"/>
    <n v="0"/>
    <n v="0"/>
    <n v="0"/>
  </r>
  <r>
    <x v="183"/>
    <s v="OPL"/>
    <x v="57"/>
    <n v="7981146.8548097275"/>
    <n v="7981146.8548097275"/>
    <m/>
    <m/>
    <n v="0"/>
    <n v="0"/>
    <n v="1"/>
    <n v="0"/>
    <n v="0"/>
    <n v="0"/>
  </r>
  <r>
    <x v="184"/>
    <s v="OPL"/>
    <x v="57"/>
    <n v="7732859.4476359673"/>
    <n v="7732859.4476359673"/>
    <m/>
    <m/>
    <n v="0"/>
    <n v="0"/>
    <n v="1"/>
    <n v="0"/>
    <n v="0"/>
    <n v="0"/>
  </r>
  <r>
    <x v="185"/>
    <s v="OPL"/>
    <x v="57"/>
    <n v="7482915.7060653726"/>
    <n v="7482915.7060653726"/>
    <m/>
    <m/>
    <n v="0"/>
    <n v="0"/>
    <n v="1"/>
    <n v="0"/>
    <n v="0"/>
    <n v="0"/>
  </r>
  <r>
    <x v="186"/>
    <s v="OPL"/>
    <x v="57"/>
    <n v="6302512.1139103901"/>
    <n v="6302512.1139103901"/>
    <m/>
    <m/>
    <n v="0"/>
    <n v="0"/>
    <n v="1"/>
    <n v="0"/>
    <n v="0"/>
    <n v="0"/>
  </r>
  <r>
    <x v="187"/>
    <s v="OPL"/>
    <x v="57"/>
    <n v="6469526.0955323968"/>
    <n v="6469526.0955323968"/>
    <m/>
    <m/>
    <n v="0"/>
    <n v="0"/>
    <n v="1"/>
    <n v="0"/>
    <n v="0"/>
    <n v="0"/>
  </r>
  <r>
    <x v="188"/>
    <s v="OPL"/>
    <x v="57"/>
    <n v="6014644.6195175694"/>
    <n v="6014644.6195175694"/>
    <m/>
    <m/>
    <n v="0"/>
    <n v="0"/>
    <n v="1"/>
    <n v="0"/>
    <n v="0"/>
    <n v="0"/>
  </r>
  <r>
    <x v="189"/>
    <s v="OPL"/>
    <x v="57"/>
    <n v="5053632.1086379457"/>
    <n v="5053632.1086379457"/>
    <m/>
    <m/>
    <n v="0"/>
    <n v="0"/>
    <n v="1"/>
    <n v="0"/>
    <n v="0"/>
    <n v="0"/>
  </r>
  <r>
    <x v="190"/>
    <s v="OPL"/>
    <x v="57"/>
    <n v="4574254.4232739527"/>
    <n v="4574254.4232739527"/>
    <m/>
    <m/>
    <n v="0"/>
    <n v="0"/>
    <n v="1"/>
    <n v="0"/>
    <n v="0"/>
    <n v="0"/>
  </r>
  <r>
    <x v="191"/>
    <s v="OPL"/>
    <x v="57"/>
    <n v="3346522.7698141458"/>
    <n v="3346522.7698141458"/>
    <m/>
    <m/>
    <n v="0"/>
    <n v="0"/>
    <n v="1"/>
    <n v="0"/>
    <n v="0"/>
    <n v="0"/>
  </r>
  <r>
    <x v="192"/>
    <s v="OPL"/>
    <x v="57"/>
    <n v="3919614.6482686936"/>
    <n v="3919614.6482686936"/>
    <m/>
    <m/>
    <n v="0"/>
    <n v="0"/>
    <n v="1"/>
    <n v="0"/>
    <n v="0"/>
    <n v="0"/>
  </r>
  <r>
    <x v="193"/>
    <s v="OPL"/>
    <x v="57"/>
    <n v="4174230.9565974711"/>
    <n v="4174230.9565974711"/>
    <m/>
    <m/>
    <n v="0"/>
    <n v="0"/>
    <n v="1"/>
    <n v="0"/>
    <n v="0"/>
    <n v="0"/>
  </r>
  <r>
    <x v="1"/>
    <s v="OPL"/>
    <x v="57"/>
    <n v="3550027.1552387862"/>
    <n v="3550027.1552387862"/>
    <m/>
    <m/>
    <n v="0"/>
    <n v="0"/>
    <n v="1"/>
    <n v="0"/>
    <n v="0"/>
    <n v="0"/>
  </r>
  <r>
    <x v="2"/>
    <s v="OPL"/>
    <x v="57"/>
    <n v="3542318.3312115283"/>
    <n v="3542318.3312115283"/>
    <m/>
    <m/>
    <n v="0"/>
    <n v="0"/>
    <n v="1"/>
    <n v="0"/>
    <n v="0"/>
    <n v="0"/>
  </r>
  <r>
    <x v="3"/>
    <s v="OPL"/>
    <x v="57"/>
    <n v="2908506.6755012688"/>
    <n v="2908506.6755012688"/>
    <m/>
    <m/>
    <n v="0"/>
    <n v="0"/>
    <n v="1"/>
    <n v="0"/>
    <n v="0"/>
    <n v="0"/>
  </r>
  <r>
    <x v="4"/>
    <s v="OPL"/>
    <x v="57"/>
    <n v="3186703.4429349126"/>
    <n v="3186703.4429349126"/>
    <m/>
    <m/>
    <n v="0"/>
    <n v="0"/>
    <n v="1"/>
    <n v="0"/>
    <n v="0"/>
    <n v="0"/>
  </r>
  <r>
    <x v="5"/>
    <s v="OPL"/>
    <x v="57"/>
    <n v="3870898.4679717189"/>
    <n v="3870898.4679717189"/>
    <m/>
    <m/>
    <n v="0"/>
    <n v="0"/>
    <n v="1"/>
    <n v="0"/>
    <n v="0"/>
    <n v="0"/>
  </r>
  <r>
    <x v="6"/>
    <s v="OPL"/>
    <x v="57"/>
    <n v="3469102.0631553303"/>
    <n v="3469102.0631553303"/>
    <m/>
    <m/>
    <n v="0"/>
    <n v="0"/>
    <n v="1"/>
    <n v="0"/>
    <n v="0"/>
    <n v="0"/>
  </r>
  <r>
    <x v="7"/>
    <s v="OPL"/>
    <x v="57"/>
    <n v="3610901.9761490626"/>
    <n v="3610901.9761490626"/>
    <m/>
    <m/>
    <n v="0"/>
    <n v="0"/>
    <n v="1"/>
    <n v="0"/>
    <n v="0"/>
    <n v="0"/>
  </r>
  <r>
    <x v="8"/>
    <s v="OPL"/>
    <x v="57"/>
    <n v="3561047.7545026601"/>
    <n v="3561047.7545026601"/>
    <m/>
    <m/>
    <n v="0"/>
    <n v="0"/>
    <n v="1"/>
    <n v="0"/>
    <n v="0"/>
    <n v="0"/>
  </r>
  <r>
    <x v="9"/>
    <s v="OPL"/>
    <x v="57"/>
    <n v="3391406.3491183999"/>
    <n v="3391406.3491183999"/>
    <m/>
    <m/>
    <n v="0"/>
    <n v="0"/>
    <n v="1"/>
    <n v="0"/>
    <n v="0"/>
    <n v="0"/>
  </r>
  <r>
    <x v="10"/>
    <s v="OPL"/>
    <x v="57"/>
    <n v="3201453.6413659099"/>
    <n v="3201453.6413659099"/>
    <m/>
    <m/>
    <n v="0"/>
    <n v="0"/>
    <n v="1"/>
    <n v="0"/>
    <n v="0"/>
    <n v="0"/>
  </r>
  <r>
    <x v="11"/>
    <s v="OPL"/>
    <x v="57"/>
    <n v="3074181.7027843199"/>
    <n v="3074181.7027843199"/>
    <m/>
    <m/>
    <n v="0"/>
    <n v="0"/>
    <n v="1"/>
    <n v="0"/>
    <n v="0"/>
    <n v="0"/>
  </r>
  <r>
    <x v="12"/>
    <s v="OPL"/>
    <x v="57"/>
    <n v="2895554.0215577199"/>
    <n v="2895554.0215577199"/>
    <m/>
    <m/>
    <n v="0"/>
    <n v="0"/>
    <n v="1"/>
    <n v="0"/>
    <n v="0"/>
    <n v="0"/>
  </r>
  <r>
    <x v="13"/>
    <s v="OPL"/>
    <x v="57"/>
    <n v="3051675.0085303402"/>
    <n v="3051675.0085303402"/>
    <m/>
    <m/>
    <n v="0"/>
    <n v="0"/>
    <n v="1"/>
    <n v="0"/>
    <n v="0"/>
    <n v="0"/>
  </r>
  <r>
    <x v="14"/>
    <s v="OPL"/>
    <x v="57"/>
    <n v="2948636.4878177601"/>
    <n v="2948636.4878177601"/>
    <m/>
    <m/>
    <n v="0"/>
    <n v="0"/>
    <n v="1"/>
    <n v="0"/>
    <n v="0"/>
    <n v="0"/>
  </r>
  <r>
    <x v="15"/>
    <s v="OPL"/>
    <x v="57"/>
    <n v="2926383.3195470301"/>
    <n v="2926383.3195470301"/>
    <m/>
    <m/>
    <n v="0"/>
    <n v="0"/>
    <n v="1"/>
    <n v="0"/>
    <n v="0"/>
    <n v="0"/>
  </r>
  <r>
    <x v="16"/>
    <s v="OPL"/>
    <x v="57"/>
    <n v="3304077.6886254"/>
    <n v="3304077.6886254"/>
    <m/>
    <m/>
    <n v="0"/>
    <n v="0"/>
    <n v="1"/>
    <n v="0"/>
    <n v="0"/>
    <n v="0"/>
  </r>
  <r>
    <x v="17"/>
    <s v="OPL"/>
    <x v="57"/>
    <n v="3941737.3756737304"/>
    <n v="3941737.3756737304"/>
    <m/>
    <m/>
    <n v="0"/>
    <n v="0"/>
    <n v="1"/>
    <n v="0"/>
    <n v="0"/>
    <n v="0"/>
  </r>
  <r>
    <x v="18"/>
    <s v="OPL"/>
    <x v="57"/>
    <n v="3852310.14"/>
    <n v="3852310.14"/>
    <m/>
    <m/>
    <n v="0"/>
    <n v="0"/>
    <n v="1"/>
    <n v="0"/>
    <n v="0"/>
    <n v="0"/>
  </r>
  <r>
    <x v="19"/>
    <s v="OPL"/>
    <x v="57"/>
    <n v="3847270.2890292201"/>
    <n v="3847270.2890292201"/>
    <m/>
    <m/>
    <n v="0"/>
    <n v="0"/>
    <n v="1"/>
    <n v="0"/>
    <n v="0"/>
    <n v="0"/>
  </r>
  <r>
    <x v="20"/>
    <s v="OPL"/>
    <x v="57"/>
    <n v="3855230.38996726"/>
    <n v="3855230.38996726"/>
    <m/>
    <m/>
    <n v="0"/>
    <n v="0"/>
    <n v="1"/>
    <n v="0"/>
    <n v="0"/>
    <n v="0"/>
  </r>
  <r>
    <x v="21"/>
    <s v="OPL"/>
    <x v="57"/>
    <n v="3879680.6239999998"/>
    <n v="3879680.6239999998"/>
    <m/>
    <m/>
    <n v="0"/>
    <n v="0"/>
    <n v="1"/>
    <n v="0"/>
    <n v="0"/>
    <n v="0"/>
  </r>
  <r>
    <x v="22"/>
    <s v="OPL"/>
    <x v="57"/>
    <n v="3750376.31"/>
    <n v="3750376.31"/>
    <m/>
    <m/>
    <n v="0"/>
    <n v="0"/>
    <n v="1"/>
    <n v="0"/>
    <n v="0"/>
    <n v="0"/>
  </r>
  <r>
    <x v="23"/>
    <s v="OPL"/>
    <x v="57"/>
    <n v="3493098"/>
    <n v="3493098"/>
    <m/>
    <m/>
    <n v="0"/>
    <n v="0"/>
    <n v="1"/>
    <n v="0"/>
    <n v="0"/>
    <n v="0"/>
  </r>
  <r>
    <x v="24"/>
    <s v="OPL"/>
    <x v="57"/>
    <n v="3538387.8279515295"/>
    <n v="3538387.8279515295"/>
    <m/>
    <m/>
    <n v="0"/>
    <n v="0"/>
    <n v="1"/>
    <n v="0"/>
    <n v="0"/>
    <n v="0"/>
  </r>
  <r>
    <x v="25"/>
    <s v="OPL"/>
    <x v="57"/>
    <n v="3155560.26"/>
    <n v="3155560.26"/>
    <m/>
    <m/>
    <n v="0"/>
    <n v="0"/>
    <n v="1"/>
    <n v="0"/>
    <n v="0"/>
    <n v="0"/>
  </r>
  <r>
    <x v="26"/>
    <s v="OPL"/>
    <x v="57"/>
    <n v="3205132.13"/>
    <n v="3205132.13"/>
    <m/>
    <m/>
    <n v="0"/>
    <n v="0"/>
    <n v="1"/>
    <n v="0"/>
    <n v="0"/>
    <n v="0"/>
  </r>
  <r>
    <x v="27"/>
    <s v="OPL"/>
    <x v="57"/>
    <n v="3329627.1210000003"/>
    <n v="3329627.1210000003"/>
    <m/>
    <m/>
    <n v="0"/>
    <n v="0"/>
    <n v="1"/>
    <n v="0"/>
    <n v="0"/>
    <n v="0"/>
  </r>
  <r>
    <x v="28"/>
    <s v="OPL"/>
    <x v="57"/>
    <n v="3847521.01"/>
    <n v="3847521.01"/>
    <m/>
    <m/>
    <n v="0"/>
    <n v="0"/>
    <n v="1"/>
    <n v="0"/>
    <n v="0"/>
    <n v="0"/>
  </r>
  <r>
    <x v="29"/>
    <s v="OPL"/>
    <x v="57"/>
    <n v="3839160.035813387"/>
    <n v="3839160.035813387"/>
    <m/>
    <m/>
    <n v="0"/>
    <n v="0"/>
    <n v="1"/>
    <n v="0"/>
    <n v="0"/>
    <n v="0"/>
  </r>
  <r>
    <x v="30"/>
    <s v="OPL"/>
    <x v="57"/>
    <n v="3839160.035813387"/>
    <n v="3839160.035813387"/>
    <m/>
    <m/>
    <n v="0"/>
    <n v="0"/>
    <n v="1"/>
    <n v="0"/>
    <n v="0"/>
    <n v="-3839160.035813387"/>
  </r>
  <r>
    <x v="208"/>
    <s v="RR"/>
    <x v="58"/>
    <n v="5882317.2199999997"/>
    <n v="5882317.2199999997"/>
    <m/>
    <n v="5882317.2199999997"/>
    <m/>
    <n v="0"/>
    <n v="1"/>
    <n v="5882317.2199999997"/>
    <n v="5882317.2199999997"/>
    <n v="5882317.2199999997"/>
  </r>
  <r>
    <x v="6"/>
    <s v="RR"/>
    <x v="58"/>
    <n v="5882317.2199999997"/>
    <n v="5882317.2199999997"/>
    <m/>
    <n v="0"/>
    <m/>
    <n v="0"/>
    <n v="1"/>
    <n v="0"/>
    <n v="0"/>
    <n v="0"/>
  </r>
  <r>
    <x v="7"/>
    <s v="RR"/>
    <x v="58"/>
    <n v="5882317.2199999997"/>
    <n v="5882317.2199999997"/>
    <m/>
    <n v="0"/>
    <m/>
    <n v="0"/>
    <n v="1"/>
    <n v="0"/>
    <n v="0"/>
    <n v="0"/>
  </r>
  <r>
    <x v="8"/>
    <s v="RR"/>
    <x v="58"/>
    <n v="7165813.2800000003"/>
    <n v="5723736.7302228762"/>
    <m/>
    <n v="1482030.3800000001"/>
    <m/>
    <n v="0"/>
    <n v="1.2519466945714974"/>
    <n v="1482030.3800000001"/>
    <n v="0"/>
    <n v="1482030.3800000001"/>
  </r>
  <r>
    <x v="9"/>
    <s v="RR"/>
    <x v="58"/>
    <n v="7165813.2800000003"/>
    <n v="4270671.7252963977"/>
    <m/>
    <n v="2438115.8699999996"/>
    <m/>
    <n v="0"/>
    <n v="1.6779124552128089"/>
    <n v="2438115.8699999996"/>
    <n v="0"/>
    <n v="2438115.8699999996"/>
  </r>
  <r>
    <x v="10"/>
    <s v="RR"/>
    <x v="58"/>
    <n v="7165813.2800000003"/>
    <n v="4270671.7252963977"/>
    <m/>
    <n v="0"/>
    <m/>
    <n v="0"/>
    <n v="1.6779124552128089"/>
    <n v="0"/>
    <n v="0"/>
    <n v="0"/>
  </r>
  <r>
    <x v="11"/>
    <s v="RR"/>
    <x v="58"/>
    <n v="9258070.5699999984"/>
    <n v="5517612.4005979812"/>
    <m/>
    <n v="0"/>
    <m/>
    <n v="0"/>
    <n v="1.6779124552128089"/>
    <n v="0"/>
    <n v="0"/>
    <n v="0"/>
  </r>
  <r>
    <x v="12"/>
    <s v="RR"/>
    <x v="58"/>
    <n v="9258070.5699999984"/>
    <n v="5517612.4005979812"/>
    <m/>
    <n v="0"/>
    <m/>
    <n v="0"/>
    <n v="1.6779124552128089"/>
    <n v="0"/>
    <n v="0"/>
    <n v="0"/>
  </r>
  <r>
    <x v="13"/>
    <s v="RR"/>
    <x v="58"/>
    <n v="17698070.57"/>
    <n v="5517612.4005979812"/>
    <m/>
    <n v="8440000"/>
    <m/>
    <n v="0"/>
    <n v="3.2075595901013161"/>
    <n v="8440000"/>
    <n v="0"/>
    <n v="8440000"/>
  </r>
  <r>
    <x v="14"/>
    <s v="RR"/>
    <x v="58"/>
    <n v="20366787.039999999"/>
    <n v="6349620.784241355"/>
    <m/>
    <n v="0"/>
    <m/>
    <n v="0"/>
    <n v="3.2075595901013161"/>
    <n v="0"/>
    <n v="0"/>
    <n v="0"/>
  </r>
  <r>
    <x v="15"/>
    <s v="RR"/>
    <x v="58"/>
    <n v="20366787.039999999"/>
    <n v="6349620.784241355"/>
    <m/>
    <n v="0"/>
    <m/>
    <n v="0"/>
    <n v="3.2075595901013161"/>
    <n v="0"/>
    <n v="0"/>
    <n v="0"/>
  </r>
  <r>
    <x v="16"/>
    <s v="RR"/>
    <x v="58"/>
    <n v="20366787.039999999"/>
    <n v="6349620.784241355"/>
    <m/>
    <n v="0"/>
    <m/>
    <n v="0"/>
    <n v="3.2075595901013161"/>
    <n v="0"/>
    <n v="0"/>
    <n v="0"/>
  </r>
  <r>
    <x v="17"/>
    <s v="RR"/>
    <x v="58"/>
    <n v="20166787.039999999"/>
    <n v="6287268.084507511"/>
    <m/>
    <n v="0"/>
    <m/>
    <n v="0"/>
    <n v="3.2075595901013161"/>
    <n v="0"/>
    <n v="0"/>
    <n v="0"/>
  </r>
  <r>
    <x v="18"/>
    <s v="RR"/>
    <x v="58"/>
    <n v="20610000"/>
    <n v="6425445.707572653"/>
    <m/>
    <n v="0"/>
    <m/>
    <n v="0"/>
    <n v="3.2075595901013161"/>
    <n v="0"/>
    <n v="0"/>
    <n v="0"/>
  </r>
  <r>
    <x v="19"/>
    <s v="RR"/>
    <x v="58"/>
    <n v="20610000"/>
    <n v="6425445.707572653"/>
    <m/>
    <n v="0"/>
    <m/>
    <n v="0"/>
    <n v="3.2075595901013161"/>
    <n v="0"/>
    <n v="0"/>
    <n v="0"/>
  </r>
  <r>
    <x v="20"/>
    <s v="RR"/>
    <x v="58"/>
    <n v="20580000"/>
    <n v="6416092.8026125766"/>
    <m/>
    <n v="0"/>
    <m/>
    <n v="0"/>
    <n v="3.2075595901013161"/>
    <n v="0"/>
    <n v="0"/>
    <n v="0"/>
  </r>
  <r>
    <x v="21"/>
    <s v="RR"/>
    <x v="58"/>
    <n v="20513333.333333332"/>
    <n v="6395308.569367961"/>
    <m/>
    <n v="0"/>
    <m/>
    <n v="0"/>
    <n v="3.2075595901013161"/>
    <n v="0"/>
    <n v="0"/>
    <n v="0"/>
  </r>
  <r>
    <x v="22"/>
    <s v="RR"/>
    <x v="58"/>
    <n v="22863291.360000003"/>
    <n v="6358398.9127377104"/>
    <m/>
    <n v="2482676.38"/>
    <m/>
    <n v="0"/>
    <n v="3.5957623410821586"/>
    <n v="2482676.38"/>
    <n v="0"/>
    <n v="2482676.38"/>
  </r>
  <r>
    <x v="23"/>
    <s v="RR"/>
    <x v="58"/>
    <n v="26280631.400000002"/>
    <n v="7308778.753183878"/>
    <m/>
    <n v="0"/>
    <m/>
    <n v="0"/>
    <n v="3.5957623410821586"/>
    <n v="0"/>
    <n v="0"/>
    <n v="0"/>
  </r>
  <r>
    <x v="24"/>
    <s v="RR"/>
    <x v="58"/>
    <n v="29023668.82"/>
    <n v="8071631.5670810472"/>
    <m/>
    <n v="0"/>
    <m/>
    <n v="0"/>
    <n v="3.5957623410821586"/>
    <n v="0"/>
    <n v="0"/>
    <n v="0"/>
  </r>
  <r>
    <x v="25"/>
    <s v="RR"/>
    <x v="58"/>
    <n v="28970000"/>
    <n v="8056705.992221212"/>
    <m/>
    <n v="0"/>
    <m/>
    <n v="0"/>
    <n v="3.5957623410821586"/>
    <n v="0"/>
    <n v="0"/>
    <n v="0"/>
  </r>
  <r>
    <x v="26"/>
    <s v="RR"/>
    <x v="58"/>
    <n v="28920000"/>
    <n v="8042800.7350720549"/>
    <m/>
    <n v="0"/>
    <m/>
    <n v="0"/>
    <n v="3.5957623410821586"/>
    <n v="0"/>
    <n v="0"/>
    <n v="0"/>
  </r>
  <r>
    <x v="27"/>
    <s v="RR"/>
    <x v="58"/>
    <n v="28920000"/>
    <n v="8042800.7350720549"/>
    <m/>
    <n v="0"/>
    <m/>
    <n v="0"/>
    <n v="3.5957623410821586"/>
    <n v="0"/>
    <n v="0"/>
    <n v="0"/>
  </r>
  <r>
    <x v="28"/>
    <s v="RR"/>
    <x v="58"/>
    <n v="30915762.989999998"/>
    <n v="8597832.68676644"/>
    <m/>
    <n v="0"/>
    <m/>
    <n v="0"/>
    <n v="3.5957623410821586"/>
    <n v="0"/>
    <n v="0"/>
    <n v="0"/>
  </r>
  <r>
    <x v="29"/>
    <s v="RR"/>
    <x v="58"/>
    <n v="28961664.705082446"/>
    <n v="1.3974170941520785"/>
    <m/>
    <n v="0"/>
    <m/>
    <n v="0"/>
    <n v="20725139.850000001"/>
    <n v="0"/>
    <n v="0"/>
    <n v="0"/>
  </r>
  <r>
    <x v="30"/>
    <s v="RR"/>
    <x v="58"/>
    <n v="28961664.705082446"/>
    <n v="1.3974170941520785"/>
    <m/>
    <n v="0"/>
    <m/>
    <n v="0"/>
    <n v="20725139.850000001"/>
    <n v="0"/>
    <n v="0"/>
    <n v="-28961664.705082446"/>
  </r>
  <r>
    <x v="209"/>
    <s v="SamSen"/>
    <x v="59"/>
    <n v="6000000"/>
    <n v="1"/>
    <m/>
    <n v="6000000"/>
    <n v="0"/>
    <n v="0"/>
    <n v="6000000"/>
    <n v="6000000"/>
    <n v="1"/>
    <n v="6000000"/>
  </r>
  <r>
    <x v="189"/>
    <s v="SamSen"/>
    <x v="59"/>
    <n v="6029534.29"/>
    <n v="0.93397272517868668"/>
    <m/>
    <n v="0"/>
    <n v="0"/>
    <n v="0"/>
    <n v="6455792.688000001"/>
    <n v="0"/>
    <n v="0"/>
    <n v="0"/>
  </r>
  <r>
    <x v="190"/>
    <s v="SamSen"/>
    <x v="59"/>
    <n v="6065516.9800000004"/>
    <n v="0.93954643111055236"/>
    <m/>
    <n v="0"/>
    <n v="0"/>
    <n v="0"/>
    <n v="6455792.688000001"/>
    <n v="0"/>
    <n v="0"/>
    <n v="0"/>
  </r>
  <r>
    <x v="191"/>
    <s v="SamSen"/>
    <x v="59"/>
    <n v="6110664.9000000004"/>
    <n v="0.94653982792205804"/>
    <m/>
    <n v="0"/>
    <n v="-9.3132257461547852E-10"/>
    <n v="0"/>
    <n v="6455792.6880000001"/>
    <n v="-9.3132257461547852E-10"/>
    <n v="0"/>
    <n v="-9.3132257461547852E-10"/>
  </r>
  <r>
    <x v="192"/>
    <s v="SamSen"/>
    <x v="59"/>
    <n v="43164193.439999998"/>
    <n v="6.6861182702216286"/>
    <m/>
    <n v="37000000"/>
    <n v="0"/>
    <n v="0"/>
    <n v="6455792.6880000001"/>
    <n v="37000000"/>
    <n v="0"/>
    <n v="37000000"/>
  </r>
  <r>
    <x v="193"/>
    <s v="SamSen"/>
    <x v="59"/>
    <n v="43162911.119999997"/>
    <n v="6.6859196393079703"/>
    <m/>
    <n v="7.4505805969238281E-9"/>
    <n v="0"/>
    <n v="0"/>
    <n v="6455792.688000001"/>
    <n v="7.4505805969238281E-9"/>
    <n v="0"/>
    <n v="7.4505805969238281E-9"/>
  </r>
  <r>
    <x v="1"/>
    <s v="SamSen"/>
    <x v="59"/>
    <n v="43509559.960000001"/>
    <n v="6.7396154218017843"/>
    <m/>
    <n v="0"/>
    <n v="0"/>
    <n v="0"/>
    <n v="6455792.688000001"/>
    <n v="0"/>
    <n v="0"/>
    <n v="0"/>
  </r>
  <r>
    <x v="2"/>
    <s v="SamSen"/>
    <x v="59"/>
    <n v="43776643.130000003"/>
    <n v="6.7809865102037481"/>
    <m/>
    <n v="0"/>
    <n v="0"/>
    <n v="0"/>
    <n v="6455792.688000001"/>
    <n v="0"/>
    <n v="0"/>
    <n v="0"/>
  </r>
  <r>
    <x v="3"/>
    <s v="SamSen"/>
    <x v="59"/>
    <n v="43879503.289999999"/>
    <n v="6.7969195125430577"/>
    <m/>
    <n v="0"/>
    <n v="-7.4505805969238281E-9"/>
    <n v="0"/>
    <n v="6455792.6880000001"/>
    <n v="-7.4505805969238281E-9"/>
    <n v="0"/>
    <n v="-7.4505805969238281E-9"/>
  </r>
  <r>
    <x v="4"/>
    <s v="SamSen"/>
    <x v="59"/>
    <n v="44314968.920000002"/>
    <n v="6.864372984338929"/>
    <m/>
    <n v="7.4505805969238281E-9"/>
    <n v="0"/>
    <n v="0"/>
    <n v="6455792.688000001"/>
    <n v="7.4505805969238281E-9"/>
    <n v="0"/>
    <n v="7.4505805969238281E-9"/>
  </r>
  <r>
    <x v="5"/>
    <s v="SamSen"/>
    <x v="59"/>
    <n v="44597788.93"/>
    <n v="6.9081817036811257"/>
    <m/>
    <n v="0"/>
    <n v="0"/>
    <n v="0"/>
    <n v="6455792.688000001"/>
    <n v="0"/>
    <n v="0"/>
    <n v="0"/>
  </r>
  <r>
    <x v="6"/>
    <s v="SamSen"/>
    <x v="59"/>
    <n v="44872543.729999997"/>
    <n v="6.9507411248519304"/>
    <m/>
    <n v="0"/>
    <n v="0"/>
    <n v="0"/>
    <n v="6455792.688000001"/>
    <n v="0"/>
    <n v="0"/>
    <n v="0"/>
  </r>
  <r>
    <x v="7"/>
    <s v="SamSen"/>
    <x v="59"/>
    <n v="45159838.82"/>
    <n v="6.9952430325005501"/>
    <m/>
    <n v="0"/>
    <n v="-7.4505805969238281E-9"/>
    <n v="0"/>
    <n v="6455792.6880000001"/>
    <n v="-7.4505805969238281E-9"/>
    <n v="0"/>
    <n v="-7.4505805969238281E-9"/>
  </r>
  <r>
    <x v="8"/>
    <s v="SamSen"/>
    <x v="59"/>
    <n v="45431340.859999999"/>
    <n v="7.0372986022998498"/>
    <m/>
    <n v="7.4505805969238281E-9"/>
    <n v="0"/>
    <n v="0"/>
    <n v="6455792.688000001"/>
    <n v="7.4505805969238281E-9"/>
    <n v="0"/>
    <n v="7.4505805969238281E-9"/>
  </r>
  <r>
    <x v="9"/>
    <s v="SamSen"/>
    <x v="59"/>
    <n v="45716828.810000002"/>
    <n v="7.0815205846027629"/>
    <m/>
    <n v="0"/>
    <n v="-7.4505805969238281E-9"/>
    <n v="0"/>
    <n v="6455792.6880000001"/>
    <n v="-7.4505805969238281E-9"/>
    <n v="0"/>
    <n v="-7.4505805969238281E-9"/>
  </r>
  <r>
    <x v="10"/>
    <s v="SamSen"/>
    <x v="59"/>
    <n v="46004700.630000003"/>
    <n v="7.1261118275240367"/>
    <m/>
    <n v="7.4505805969238281E-9"/>
    <n v="0"/>
    <n v="0"/>
    <n v="6455792.688000001"/>
    <n v="7.4505805969238281E-9"/>
    <n v="0"/>
    <n v="7.4505805969238281E-9"/>
  </r>
  <r>
    <x v="11"/>
    <s v="SamSen"/>
    <x v="59"/>
    <n v="43164193.439999998"/>
    <n v="6.6861182702216286"/>
    <m/>
    <n v="0"/>
    <n v="-7.4505805969238281E-9"/>
    <n v="0"/>
    <n v="6455792.6880000001"/>
    <n v="-7.4505805969238281E-9"/>
    <n v="0"/>
    <n v="-7.4505805969238281E-9"/>
  </r>
  <r>
    <x v="12"/>
    <s v="SamSen"/>
    <x v="59"/>
    <n v="46568592.829999998"/>
    <n v="7.2134585295097056"/>
    <m/>
    <n v="7.4505805969238281E-9"/>
    <n v="0"/>
    <n v="0"/>
    <n v="6455792.688000001"/>
    <n v="7.4505805969238281E-9"/>
    <n v="0"/>
    <n v="7.4505805969238281E-9"/>
  </r>
  <r>
    <x v="13"/>
    <s v="SamSen"/>
    <x v="59"/>
    <n v="46845538.100000001"/>
    <n v="7.2563572537074004"/>
    <m/>
    <n v="0"/>
    <n v="0"/>
    <n v="0"/>
    <n v="6455792.688000001"/>
    <n v="0"/>
    <n v="0"/>
    <n v="0"/>
  </r>
  <r>
    <x v="14"/>
    <s v="SamSen"/>
    <x v="59"/>
    <n v="47131785.739999995"/>
    <n v="7.3006969117221425"/>
    <m/>
    <n v="0"/>
    <n v="0"/>
    <n v="0"/>
    <n v="6455792.688000001"/>
    <n v="0"/>
    <n v="0"/>
    <n v="0"/>
  </r>
  <r>
    <x v="15"/>
    <s v="SamSen"/>
    <x v="59"/>
    <n v="47423009.82"/>
    <n v="7.3458074185296693"/>
    <m/>
    <n v="0"/>
    <n v="0"/>
    <n v="0"/>
    <n v="6455792.688000001"/>
    <n v="0"/>
    <n v="0"/>
    <n v="0"/>
  </r>
  <r>
    <x v="16"/>
    <s v="SamSen"/>
    <x v="59"/>
    <n v="47683967.149999999"/>
    <n v="7.3862296164860988"/>
    <m/>
    <n v="0"/>
    <n v="-7.4505805969238281E-9"/>
    <n v="0"/>
    <n v="6455792.6880000001"/>
    <n v="-7.4505805969238281E-9"/>
    <n v="0"/>
    <n v="-7.4505805969238281E-9"/>
  </r>
  <r>
    <x v="17"/>
    <s v="SamSen"/>
    <x v="59"/>
    <n v="47979602.689999998"/>
    <n v="7.4320234568845862"/>
    <m/>
    <n v="0"/>
    <n v="0"/>
    <n v="0"/>
    <n v="6455792.6880000001"/>
    <n v="0"/>
    <n v="0"/>
    <n v="0"/>
  </r>
  <r>
    <x v="18"/>
    <s v="SamSen"/>
    <x v="59"/>
    <n v="48266683.539999999"/>
    <n v="7.4764921788331122"/>
    <m/>
    <n v="7.4505805969238281E-9"/>
    <n v="0"/>
    <n v="0"/>
    <n v="6455792.688000001"/>
    <n v="7.4505805969238281E-9"/>
    <n v="0"/>
    <n v="7.4505805969238281E-9"/>
  </r>
  <r>
    <x v="19"/>
    <s v="SamSen"/>
    <x v="59"/>
    <n v="48567053.369999997"/>
    <n v="7.523019359075179"/>
    <m/>
    <n v="0"/>
    <n v="0"/>
    <n v="0"/>
    <n v="6455792.688000001"/>
    <n v="0"/>
    <n v="0"/>
    <n v="0"/>
  </r>
  <r>
    <x v="20"/>
    <s v="SamSen"/>
    <x v="59"/>
    <n v="48835531.810000002"/>
    <n v="7.5646065743057811"/>
    <m/>
    <n v="7.4505805969238281E-9"/>
    <n v="0"/>
    <n v="0"/>
    <n v="6455792.6880000019"/>
    <n v="7.4505805969238281E-9"/>
    <n v="0"/>
    <n v="7.4505805969238281E-9"/>
  </r>
  <r>
    <x v="21"/>
    <s v="SamSen"/>
    <x v="59"/>
    <n v="49113008.232000001"/>
    <n v="7.6075875737600827"/>
    <m/>
    <n v="0"/>
    <n v="-1.4901161193847656E-8"/>
    <n v="0"/>
    <n v="6455792.6880000001"/>
    <n v="-1.4901161193847656E-8"/>
    <n v="0"/>
    <n v="-1.4901161193847656E-8"/>
  </r>
  <r>
    <x v="22"/>
    <s v="SamSen"/>
    <x v="59"/>
    <n v="37218551.07"/>
    <n v="5.7651403737269442"/>
    <m/>
    <n v="7.4505805969238281E-9"/>
    <n v="0"/>
    <n v="0"/>
    <n v="6455792.688000001"/>
    <n v="7.4505805969238281E-9"/>
    <n v="0"/>
    <n v="7.4505805969238281E-9"/>
  </r>
  <r>
    <x v="23"/>
    <s v="SamSen"/>
    <x v="59"/>
    <n v="37503984.410000004"/>
    <n v="5.8093538969602063"/>
    <m/>
    <n v="0"/>
    <n v="-7.4505805969238281E-9"/>
    <n v="0"/>
    <n v="6455792.6880000001"/>
    <n v="-7.4505805969238281E-9"/>
    <n v="0"/>
    <n v="-7.4505805969238281E-9"/>
  </r>
  <r>
    <x v="24"/>
    <s v="SamSen"/>
    <x v="59"/>
    <n v="37000828.369999997"/>
    <n v="5.7314152046389246"/>
    <m/>
    <n v="0"/>
    <n v="0"/>
    <n v="0"/>
    <n v="6455792.688000001"/>
    <n v="0"/>
    <n v="0"/>
    <n v="0"/>
  </r>
  <r>
    <x v="25"/>
    <s v="SamSen"/>
    <x v="59"/>
    <n v="36413162.460000001"/>
    <n v="5.6403859633975895"/>
    <m/>
    <n v="0"/>
    <n v="0"/>
    <n v="0"/>
    <n v="6455792.688000001"/>
    <n v="0"/>
    <n v="0"/>
    <n v="0"/>
  </r>
  <r>
    <x v="26"/>
    <s v="SamSen"/>
    <x v="59"/>
    <n v="36282978.420000002"/>
    <n v="5.620220501727486"/>
    <m/>
    <n v="0"/>
    <n v="0"/>
    <n v="0"/>
    <n v="6455792.688000001"/>
    <n v="0"/>
    <n v="0"/>
    <n v="0"/>
  </r>
  <r>
    <x v="27"/>
    <s v="SamSen"/>
    <x v="59"/>
    <n v="36114709.079999998"/>
    <n v="5.5941556405814978"/>
    <m/>
    <n v="0"/>
    <n v="0"/>
    <n v="0"/>
    <n v="6455792.688000001"/>
    <n v="0"/>
    <n v="0"/>
    <n v="0"/>
  </r>
  <r>
    <x v="28"/>
    <s v="SamSen"/>
    <x v="59"/>
    <n v="35559287.539999999"/>
    <n v="5.5081210408285637"/>
    <m/>
    <n v="0"/>
    <n v="0"/>
    <n v="0"/>
    <n v="6455792.688000001"/>
    <n v="0"/>
    <n v="0"/>
    <n v="0"/>
  </r>
  <r>
    <x v="29"/>
    <s v="SamSen"/>
    <x v="59"/>
    <n v="58431109.219999999"/>
    <n v="9.0509581152770728"/>
    <m/>
    <n v="0"/>
    <n v="0"/>
    <n v="0"/>
    <n v="6455792.688000001"/>
    <n v="0"/>
    <n v="0"/>
    <n v="0"/>
  </r>
  <r>
    <x v="30"/>
    <s v="SamSen"/>
    <x v="59"/>
    <n v="58431109.219999999"/>
    <n v="9.0509581152770728"/>
    <m/>
    <n v="0"/>
    <n v="0"/>
    <n v="0"/>
    <n v="6455792.688000001"/>
    <n v="0"/>
    <n v="0"/>
    <n v="-58431109.219999999"/>
  </r>
  <r>
    <x v="210"/>
    <s v="SKK"/>
    <x v="60"/>
    <n v="50000000"/>
    <n v="1000"/>
    <m/>
    <n v="50000000"/>
    <n v="0"/>
    <n v="0"/>
    <n v="50000"/>
    <n v="50000000"/>
    <n v="1000"/>
    <n v="1000"/>
  </r>
  <r>
    <x v="172"/>
    <s v="SKK"/>
    <x v="60"/>
    <n v="65719262.410500407"/>
    <n v="1314.3900000000003"/>
    <m/>
    <n v="65719262.410500407"/>
    <n v="0"/>
    <n v="0"/>
    <n v="49999.819239723671"/>
    <n v="65719262.410500407"/>
    <n v="0"/>
    <n v="0"/>
  </r>
  <r>
    <x v="173"/>
    <s v="SKK"/>
    <x v="60"/>
    <n v="62213438.039310001"/>
    <n v="1244.27"/>
    <m/>
    <n v="162.95389903336763"/>
    <n v="0"/>
    <n v="0"/>
    <n v="49999.950203179375"/>
    <n v="162.95389903336763"/>
    <n v="0"/>
    <n v="0"/>
  </r>
  <r>
    <x v="174"/>
    <s v="SKK"/>
    <x v="60"/>
    <n v="57041331.74453"/>
    <n v="1140.83"/>
    <m/>
    <n v="0"/>
    <n v="-111.44576312601566"/>
    <n v="0"/>
    <n v="49999.852514861988"/>
    <n v="-111.44576312601566"/>
    <n v="0"/>
    <n v="0"/>
  </r>
  <r>
    <x v="175"/>
    <s v="SKK"/>
    <x v="60"/>
    <n v="57321785.130564995"/>
    <n v="1146.44"/>
    <m/>
    <n v="0"/>
    <n v="-45.786573387682438"/>
    <n v="0"/>
    <n v="49999.812576816053"/>
    <n v="-45.786573387682438"/>
    <n v="0"/>
    <n v="0"/>
  </r>
  <r>
    <x v="176"/>
    <s v="SKK"/>
    <x v="60"/>
    <n v="56000990.289800003"/>
    <n v="1120.02"/>
    <m/>
    <n v="200.20751448720694"/>
    <n v="0"/>
    <n v="0"/>
    <n v="49999.991330333389"/>
    <n v="200.20751448720694"/>
    <n v="0"/>
    <n v="0"/>
  </r>
  <r>
    <x v="177"/>
    <s v="SKK"/>
    <x v="60"/>
    <n v="56809260.847825803"/>
    <n v="1136.19"/>
    <m/>
    <n v="0"/>
    <n v="-229.30178569257259"/>
    <n v="0"/>
    <n v="49999.789513924436"/>
    <n v="-229.30178569257259"/>
    <n v="0"/>
    <n v="0"/>
  </r>
  <r>
    <x v="178"/>
    <s v="SKK"/>
    <x v="60"/>
    <n v="55882347.575962074"/>
    <n v="1117.6500000000001"/>
    <m/>
    <n v="82.825724422931671"/>
    <n v="0"/>
    <n v="0"/>
    <n v="49999.863620956537"/>
    <n v="82.825724422931671"/>
    <n v="0"/>
    <n v="0"/>
  </r>
  <r>
    <x v="179"/>
    <s v="SKK"/>
    <x v="60"/>
    <n v="51967128.741489731"/>
    <n v="1039.3399999999999"/>
    <m/>
    <n v="270.48568476736546"/>
    <n v="0"/>
    <n v="0"/>
    <n v="50000.123868502829"/>
    <n v="270.48568476736546"/>
    <n v="0"/>
    <n v="0"/>
  </r>
  <r>
    <x v="180"/>
    <s v="SKK"/>
    <x v="60"/>
    <n v="51496411.199453689"/>
    <n v="1029.9300000000003"/>
    <m/>
    <n v="0"/>
    <n v="-216.37643344700336"/>
    <n v="0"/>
    <n v="49999.913780017749"/>
    <n v="-216.37643344700336"/>
    <n v="0"/>
    <n v="0"/>
  </r>
  <r>
    <x v="32"/>
    <s v="SKK"/>
    <x v="60"/>
    <n v="56652346.486825034"/>
    <n v="1133.05"/>
    <m/>
    <n v="0"/>
    <n v="-55.82162407040596"/>
    <n v="0"/>
    <n v="49999.864513326895"/>
    <n v="-55.82162407040596"/>
    <n v="0"/>
    <n v="0"/>
  </r>
  <r>
    <x v="33"/>
    <s v="SKK"/>
    <x v="60"/>
    <n v="59214739.683031447"/>
    <n v="1184.29"/>
    <m/>
    <n v="400.13854353874922"/>
    <n v="0"/>
    <n v="0"/>
    <n v="50000.202385422024"/>
    <n v="400.13854353874922"/>
    <n v="0"/>
    <n v="0"/>
  </r>
  <r>
    <x v="34"/>
    <s v="SKK"/>
    <x v="60"/>
    <n v="57274374.746451333"/>
    <n v="1145.49"/>
    <m/>
    <n v="0"/>
    <n v="-357.08402574062347"/>
    <n v="0"/>
    <n v="49999.890655048352"/>
    <n v="-357.08402574062347"/>
    <n v="0"/>
    <n v="0"/>
  </r>
  <r>
    <x v="35"/>
    <s v="SKK"/>
    <x v="60"/>
    <n v="62937256.873457022"/>
    <n v="1258.7499999999998"/>
    <m/>
    <n v="0"/>
    <n v="-105.48858507722616"/>
    <n v="0"/>
    <n v="49999.806850809953"/>
    <n v="-105.48858507722616"/>
    <n v="0"/>
    <n v="0"/>
  </r>
  <r>
    <x v="36"/>
    <s v="SKK"/>
    <x v="60"/>
    <n v="69559589.841135517"/>
    <n v="1391.19"/>
    <m/>
    <n v="358.54835721850395"/>
    <n v="0"/>
    <n v="0"/>
    <n v="50000.064578623707"/>
    <n v="358.54835721850395"/>
    <n v="0"/>
    <n v="0"/>
  </r>
  <r>
    <x v="37"/>
    <s v="SKK"/>
    <x v="60"/>
    <n v="71305982.316969454"/>
    <n v="1426.1200000000001"/>
    <m/>
    <n v="0"/>
    <n v="-109.77989739179611"/>
    <n v="0"/>
    <n v="49999.987600601249"/>
    <n v="-109.77989739179611"/>
    <n v="0"/>
    <n v="0"/>
  </r>
  <r>
    <x v="38"/>
    <s v="SKK"/>
    <x v="60"/>
    <n v="67879116.421086162"/>
    <n v="1357.58"/>
    <m/>
    <n v="133.25426192581654"/>
    <n v="0"/>
    <n v="0"/>
    <n v="50000.085756335662"/>
    <n v="133.25426192581654"/>
    <n v="0"/>
    <n v="0"/>
  </r>
  <r>
    <x v="39"/>
    <s v="SKK"/>
    <x v="60"/>
    <n v="63560487.165880002"/>
    <n v="1271.21"/>
    <m/>
    <n v="0"/>
    <n v="-121.84843145310879"/>
    <n v="0"/>
    <n v="49999.989904012713"/>
    <n v="-121.84843145310879"/>
    <n v="0"/>
    <n v="0"/>
  </r>
  <r>
    <x v="40"/>
    <s v="SKK"/>
    <x v="60"/>
    <n v="62681149.760169737"/>
    <n v="1253.6199999999997"/>
    <m/>
    <n v="162.41670133918524"/>
    <n v="0"/>
    <n v="0"/>
    <n v="50000.119462173345"/>
    <n v="162.41670133918524"/>
    <n v="0"/>
    <n v="0"/>
  </r>
  <r>
    <x v="41"/>
    <s v="SKK"/>
    <x v="60"/>
    <n v="70171356.072159603"/>
    <n v="1403.4300000000003"/>
    <m/>
    <n v="0"/>
    <n v="-311.58463834226131"/>
    <n v="0"/>
    <n v="49999.897445657843"/>
    <n v="-311.58463834226131"/>
    <n v="0"/>
    <n v="0"/>
  </r>
  <r>
    <x v="42"/>
    <s v="SKK"/>
    <x v="60"/>
    <n v="74898465.341994569"/>
    <n v="1497.97"/>
    <m/>
    <n v="118.96532249450684"/>
    <n v="0"/>
    <n v="0"/>
    <n v="49999.976863351447"/>
    <n v="118.96532249450684"/>
    <n v="0"/>
    <n v="0"/>
  </r>
  <r>
    <x v="43"/>
    <s v="SKK"/>
    <x v="60"/>
    <n v="73088746.202739105"/>
    <n v="1461.77"/>
    <m/>
    <n v="280.02319785952568"/>
    <n v="0"/>
    <n v="0"/>
    <n v="50000.168427823191"/>
    <n v="280.02319785952568"/>
    <n v="0"/>
    <n v="0"/>
  </r>
  <r>
    <x v="44"/>
    <s v="SKK"/>
    <x v="60"/>
    <n v="68006387.162528455"/>
    <n v="1360.1300000000003"/>
    <m/>
    <n v="0"/>
    <n v="-341.92120671272278"/>
    <n v="0"/>
    <n v="49999.917039200991"/>
    <n v="-341.92120671272278"/>
    <n v="0"/>
    <n v="0"/>
  </r>
  <r>
    <x v="181"/>
    <s v="SKK"/>
    <x v="60"/>
    <n v="70523903.345223695"/>
    <n v="1410.48"/>
    <m/>
    <n v="20.359771475195885"/>
    <n v="0"/>
    <n v="0"/>
    <n v="49999.931473841316"/>
    <n v="20.359771475195885"/>
    <n v="0"/>
    <n v="0"/>
  </r>
  <r>
    <x v="182"/>
    <s v="SKK"/>
    <x v="60"/>
    <n v="67412499.174794555"/>
    <n v="1348.25"/>
    <m/>
    <n v="91.565188005566597"/>
    <n v="0"/>
    <n v="0"/>
    <n v="49999.999387943302"/>
    <n v="91.565188005566597"/>
    <n v="0"/>
    <n v="0"/>
  </r>
  <r>
    <x v="183"/>
    <s v="SKK"/>
    <x v="60"/>
    <n v="74106782.462648049"/>
    <n v="1482.1399999999999"/>
    <m/>
    <n v="0"/>
    <n v="-216.63019822537899"/>
    <n v="0"/>
    <n v="49999.853227527798"/>
    <n v="-216.63019822537899"/>
    <n v="0"/>
    <n v="0"/>
  </r>
  <r>
    <x v="184"/>
    <s v="SKK"/>
    <x v="60"/>
    <n v="74258043.618664622"/>
    <n v="1485.1600000000003"/>
    <m/>
    <n v="261.59926941990852"/>
    <n v="0"/>
    <n v="0"/>
    <n v="50000.029369673706"/>
    <n v="261.59926941990852"/>
    <n v="0"/>
    <n v="0"/>
  </r>
  <r>
    <x v="185"/>
    <s v="SKK"/>
    <x v="60"/>
    <n v="72468164.967020229"/>
    <n v="1449.36"/>
    <m/>
    <n v="122.39978994429111"/>
    <n v="0"/>
    <n v="0"/>
    <n v="50000.113820596838"/>
    <n v="122.39978994429111"/>
    <n v="0"/>
    <n v="0"/>
  </r>
  <r>
    <x v="186"/>
    <s v="SKK"/>
    <x v="60"/>
    <n v="72893499.448669106"/>
    <n v="1457.87"/>
    <m/>
    <n v="0"/>
    <n v="-166.48696440458298"/>
    <n v="0"/>
    <n v="49999.999621824383"/>
    <n v="-166.48696440458298"/>
    <n v="0"/>
    <n v="0"/>
  </r>
  <r>
    <x v="187"/>
    <s v="SKK"/>
    <x v="60"/>
    <n v="92115550.803931519"/>
    <n v="1842.31"/>
    <m/>
    <n v="51.500648245215416"/>
    <n v="0"/>
    <n v="0"/>
    <n v="50000.027576212211"/>
    <n v="51.500648245215416"/>
    <n v="0"/>
    <n v="0"/>
  </r>
  <r>
    <x v="188"/>
    <s v="SKK"/>
    <x v="60"/>
    <n v="111374907.3837744"/>
    <n v="2227.5"/>
    <m/>
    <n v="0"/>
    <n v="-154.04223829507828"/>
    <n v="0"/>
    <n v="49999.95842144754"/>
    <n v="-154.04223829507828"/>
    <n v="0"/>
    <n v="0"/>
  </r>
  <r>
    <x v="189"/>
    <s v="SKK"/>
    <x v="60"/>
    <n v="108181634.11686856"/>
    <n v="2163.6300000000006"/>
    <m/>
    <n v="224.077471986413"/>
    <n v="0"/>
    <n v="0"/>
    <n v="50000.061986970293"/>
    <n v="224.077471986413"/>
    <n v="0"/>
    <n v="0"/>
  </r>
  <r>
    <x v="190"/>
    <s v="SKK"/>
    <x v="60"/>
    <n v="88780727.979023203"/>
    <n v="1775.61"/>
    <m/>
    <n v="117.91433888673782"/>
    <n v="0"/>
    <n v="0"/>
    <n v="50000.128394761916"/>
    <n v="117.91433888673782"/>
    <n v="0"/>
    <n v="0"/>
  </r>
  <r>
    <x v="191"/>
    <s v="SKK"/>
    <x v="60"/>
    <n v="78704201.448774502"/>
    <n v="1574.0800000000002"/>
    <m/>
    <n v="0"/>
    <n v="-0.65485234558582306"/>
    <n v="0"/>
    <n v="50000.127978739642"/>
    <n v="-0.65485234558582306"/>
    <n v="0"/>
    <n v="0"/>
  </r>
  <r>
    <x v="192"/>
    <s v="SKK"/>
    <x v="60"/>
    <n v="78829820.461431265"/>
    <n v="1576.6"/>
    <m/>
    <n v="0"/>
    <n v="-381.30984964966774"/>
    <n v="0"/>
    <n v="49999.886122942582"/>
    <n v="-381.30984964966774"/>
    <n v="0"/>
    <n v="0"/>
  </r>
  <r>
    <x v="193"/>
    <s v="SKK"/>
    <x v="60"/>
    <n v="86709789.018429056"/>
    <n v="1734.2000000000003"/>
    <m/>
    <n v="0"/>
    <n v="-13.495977982878685"/>
    <n v="0"/>
    <n v="49999.878340692565"/>
    <n v="-13.495977982878685"/>
    <n v="0"/>
    <n v="0"/>
  </r>
  <r>
    <x v="1"/>
    <s v="SKK"/>
    <x v="60"/>
    <n v="80853670.232222617"/>
    <n v="1617.0700000000002"/>
    <m/>
    <n v="366.96383887529373"/>
    <n v="0"/>
    <n v="0"/>
    <n v="50000.105272018285"/>
    <n v="366.96383887529373"/>
    <n v="0"/>
    <n v="0"/>
  </r>
  <r>
    <x v="2"/>
    <s v="SKK"/>
    <x v="60"/>
    <n v="78275984.417652145"/>
    <n v="1565.52"/>
    <m/>
    <n v="0"/>
    <n v="-180.38779792189598"/>
    <n v="0"/>
    <n v="49999.990046535429"/>
    <n v="-180.38779792189598"/>
    <n v="0"/>
    <n v="0"/>
  </r>
  <r>
    <x v="3"/>
    <s v="SKK"/>
    <x v="60"/>
    <n v="63262715.536859512"/>
    <n v="1265.25"/>
    <m/>
    <n v="228.13048055768013"/>
    <n v="0"/>
    <n v="0"/>
    <n v="50000.170351202934"/>
    <n v="228.13048055768013"/>
    <n v="0"/>
    <n v="0"/>
  </r>
  <r>
    <x v="4"/>
    <s v="SKK"/>
    <x v="60"/>
    <n v="66387548.122993052"/>
    <n v="1327.7499999999998"/>
    <m/>
    <n v="0"/>
    <n v="-178.06081663072109"/>
    <n v="0"/>
    <n v="50000.036244016614"/>
    <n v="-178.06081663072109"/>
    <n v="0"/>
    <n v="0"/>
  </r>
  <r>
    <x v="5"/>
    <s v="SKK"/>
    <x v="60"/>
    <n v="74258403.319707036"/>
    <n v="1327.75"/>
    <m/>
    <n v="0"/>
    <n v="0"/>
    <n v="0"/>
    <n v="55928.000993942413"/>
    <n v="0"/>
    <n v="0"/>
    <n v="0"/>
  </r>
  <r>
    <x v="6"/>
    <s v="SKK"/>
    <x v="60"/>
    <n v="87638884.141781285"/>
    <n v="1542.49"/>
    <m/>
    <n v="10000000"/>
    <n v="0"/>
    <n v="0"/>
    <n v="56816.500685113868"/>
    <n v="10000000"/>
    <n v="0"/>
    <n v="0"/>
  </r>
  <r>
    <x v="7"/>
    <s v="SKK"/>
    <x v="60"/>
    <n v="86791425.474924549"/>
    <n v="1527.58"/>
    <m/>
    <n v="0"/>
    <n v="-324.6416416913271"/>
    <n v="0"/>
    <n v="56816.288164891237"/>
    <n v="-324.6416416913271"/>
    <n v="0"/>
    <n v="0"/>
  </r>
  <r>
    <x v="8"/>
    <s v="SKK"/>
    <x v="60"/>
    <n v="86099971.131198362"/>
    <n v="1515.41"/>
    <m/>
    <n v="0"/>
    <n v="-0.11675947904586792"/>
    <n v="0"/>
    <n v="56816.288087843132"/>
    <n v="-0.11675947904586792"/>
    <n v="0"/>
    <n v="0"/>
  </r>
  <r>
    <x v="9"/>
    <s v="SKK"/>
    <x v="60"/>
    <n v="94231012.532591999"/>
    <n v="1658.5199999999998"/>
    <m/>
    <n v="62.413142427802086"/>
    <n v="0"/>
    <n v="0"/>
    <n v="56816.325719672968"/>
    <n v="62.413142427802086"/>
    <n v="0"/>
    <n v="0"/>
  </r>
  <r>
    <x v="10"/>
    <s v="SKK"/>
    <x v="60"/>
    <n v="97101597.688332304"/>
    <n v="1709.04"/>
    <m/>
    <n v="224.38038241863251"/>
    <n v="0"/>
    <n v="0"/>
    <n v="56816.457009977712"/>
    <n v="224.38038241863251"/>
    <n v="0"/>
    <n v="0"/>
  </r>
  <r>
    <x v="11"/>
    <s v="SKK"/>
    <x v="60"/>
    <n v="95200452.512183696"/>
    <n v="1675.5799999999997"/>
    <m/>
    <n v="0"/>
    <n v="-66.524594739079475"/>
    <n v="0"/>
    <n v="56816.417307549455"/>
    <n v="-66.524594739079475"/>
    <n v="0"/>
    <n v="0"/>
  </r>
  <r>
    <x v="12"/>
    <s v="SKK"/>
    <x v="60"/>
    <n v="97927163.872442886"/>
    <n v="1723.57"/>
    <m/>
    <n v="91.493669882416725"/>
    <n v="0"/>
    <n v="0"/>
    <n v="56816.470391363793"/>
    <n v="91.493669882416725"/>
    <n v="0"/>
    <n v="0"/>
  </r>
  <r>
    <x v="13"/>
    <s v="SKK"/>
    <x v="60"/>
    <n v="103433048.199292"/>
    <n v="1820.4799999999998"/>
    <m/>
    <n v="0"/>
    <n v="-199.81877794861794"/>
    <n v="0"/>
    <n v="56816.360629774572"/>
    <n v="-199.81877794861794"/>
    <n v="0"/>
    <n v="0"/>
  </r>
  <r>
    <x v="14"/>
    <s v="SKK"/>
    <x v="60"/>
    <n v="105802499.43129019"/>
    <n v="1862.18"/>
    <m/>
    <n v="208.99373658001423"/>
    <n v="0"/>
    <n v="0"/>
    <n v="56816.472860459347"/>
    <n v="208.99373658001423"/>
    <n v="0"/>
    <n v="0"/>
  </r>
  <r>
    <x v="15"/>
    <s v="SKK"/>
    <x v="60"/>
    <n v="105821795.07890099"/>
    <n v="1862.5199999999998"/>
    <m/>
    <n v="0"/>
    <n v="-21.953161731362343"/>
    <n v="0"/>
    <n v="56816.461073653438"/>
    <n v="-21.953161731362343"/>
    <n v="0"/>
    <n v="0"/>
  </r>
  <r>
    <x v="16"/>
    <s v="SKK"/>
    <x v="60"/>
    <n v="113962660.29977046"/>
    <n v="2005.8"/>
    <m/>
    <n v="202.67823639512062"/>
    <n v="0"/>
    <n v="0"/>
    <n v="56816.562119737988"/>
    <n v="202.67823639512062"/>
    <n v="0"/>
    <n v="0"/>
  </r>
  <r>
    <x v="17"/>
    <s v="SKK"/>
    <x v="60"/>
    <n v="134448281.32020485"/>
    <n v="2366.36"/>
    <m/>
    <n v="0"/>
    <n v="-158.61745834350586"/>
    <n v="0"/>
    <n v="56816.495089591117"/>
    <n v="-158.61745834350586"/>
    <n v="0"/>
    <n v="0"/>
  </r>
  <r>
    <x v="18"/>
    <s v="SKK"/>
    <x v="60"/>
    <n v="138096674.5"/>
    <n v="2430.58"/>
    <m/>
    <n v="0"/>
    <n v="-362.13485836982727"/>
    <n v="0"/>
    <n v="56816.346098462098"/>
    <n v="-362.13485836982727"/>
    <n v="0"/>
    <n v="0"/>
  </r>
  <r>
    <x v="19"/>
    <s v="SKK"/>
    <x v="60"/>
    <n v="126196955.430124"/>
    <n v="2221.13"/>
    <m/>
    <n v="464.62044687569141"/>
    <n v="0"/>
    <n v="0"/>
    <n v="56816.555280476154"/>
    <n v="464.62044687569141"/>
    <n v="0"/>
    <n v="0"/>
  </r>
  <r>
    <x v="20"/>
    <s v="SKK"/>
    <x v="60"/>
    <n v="115215909.67337903"/>
    <n v="2027.86"/>
    <m/>
    <n v="0"/>
    <n v="-110.11768732964993"/>
    <n v="0"/>
    <n v="56816.500978065073"/>
    <n v="-110.11768732964993"/>
    <n v="0"/>
    <n v="0"/>
  </r>
  <r>
    <x v="21"/>
    <s v="SKK"/>
    <x v="60"/>
    <n v="123246172.59999999"/>
    <n v="2169.1999999999998"/>
    <m/>
    <n v="0"/>
    <n v="-181.32161875069141"/>
    <n v="0"/>
    <n v="56816.417388899135"/>
    <n v="-181.32161875069141"/>
    <n v="0"/>
    <n v="0"/>
  </r>
  <r>
    <x v="22"/>
    <s v="SKK"/>
    <x v="60"/>
    <n v="121613800"/>
    <n v="2140.4699999999998"/>
    <m/>
    <n v="0"/>
    <n v="-36.928416922688484"/>
    <n v="0"/>
    <n v="56816.400136418641"/>
    <n v="-36.928416922688484"/>
    <n v="0"/>
    <n v="0"/>
  </r>
  <r>
    <x v="23"/>
    <s v="SKK"/>
    <x v="60"/>
    <n v="124489600"/>
    <n v="2191.0856671857964"/>
    <m/>
    <n v="0"/>
    <n v="-1.4901161193847656E-8"/>
    <n v="0"/>
    <n v="56816.400136418641"/>
    <n v="-1.4901161193847656E-8"/>
    <n v="0"/>
    <n v="0"/>
  </r>
  <r>
    <x v="24"/>
    <s v="SKK"/>
    <x v="60"/>
    <n v="121116367.48999999"/>
    <n v="2131.71"/>
    <m/>
    <n v="279.15519501268864"/>
    <n v="0"/>
    <n v="0"/>
    <n v="56816.531090063843"/>
    <n v="279.15519501268864"/>
    <n v="0"/>
    <n v="0"/>
  </r>
  <r>
    <x v="25"/>
    <s v="SKK"/>
    <x v="60"/>
    <n v="112134034.73999999"/>
    <n v="1973.62"/>
    <m/>
    <n v="0"/>
    <n v="-207.34997180104256"/>
    <n v="0"/>
    <n v="56816.426029326823"/>
    <n v="-207.34997180104256"/>
    <n v="0"/>
    <n v="0"/>
  </r>
  <r>
    <x v="26"/>
    <s v="SKK"/>
    <x v="60"/>
    <n v="111686400"/>
    <n v="1965.7399999999998"/>
    <m/>
    <n v="78.69711109995842"/>
    <n v="0"/>
    <n v="0"/>
    <n v="56816.466063670683"/>
    <n v="78.69711109995842"/>
    <n v="0"/>
    <n v="0"/>
  </r>
  <r>
    <x v="27"/>
    <s v="SKK"/>
    <x v="60"/>
    <n v="115981510.2"/>
    <n v="2041.34"/>
    <m/>
    <n v="0"/>
    <n v="-214.63441351056099"/>
    <n v="0"/>
    <n v="56816.360919787985"/>
    <n v="-214.63441351056099"/>
    <n v="0"/>
    <n v="0"/>
  </r>
  <r>
    <x v="28"/>
    <s v="SKK"/>
    <x v="60"/>
    <n v="107170997.11216848"/>
    <n v="1886.27"/>
    <m/>
    <n v="0"/>
    <n v="0"/>
    <n v="0"/>
    <n v="56816.360919787985"/>
    <n v="0"/>
    <n v="0"/>
    <n v="0"/>
  </r>
  <r>
    <x v="29"/>
    <s v="SKK"/>
    <x v="60"/>
    <n v="86433748.071999997"/>
    <n v="1901.6"/>
    <m/>
    <n v="0"/>
    <n v="0"/>
    <n v="0"/>
    <n v="45453.17"/>
    <n v="0"/>
    <n v="0"/>
    <n v="0"/>
  </r>
  <r>
    <x v="30"/>
    <s v="SKK"/>
    <x v="60"/>
    <n v="86433748.071999997"/>
    <n v="1901.6"/>
    <m/>
    <n v="0"/>
    <n v="0"/>
    <n v="0"/>
    <n v="45453.17"/>
    <n v="0"/>
    <n v="0"/>
    <n v="-1901.6"/>
  </r>
  <r>
    <x v="11"/>
    <s v="SuperA"/>
    <x v="61"/>
    <n v="496062.01360000001"/>
    <n v="1537984.5083555414"/>
    <n v="15"/>
    <n v="160000"/>
    <m/>
    <n v="0"/>
    <n v="0.32254031877759565"/>
    <n v="160000"/>
    <n v="1537984.5083555414"/>
    <n v="160000"/>
  </r>
  <r>
    <x v="12"/>
    <s v="SuperA"/>
    <x v="61"/>
    <n v="674534.48360000004"/>
    <n v="2091318.3386078263"/>
    <n v="15"/>
    <n v="0"/>
    <m/>
    <n v="0"/>
    <n v="0.32254031877759565"/>
    <n v="0"/>
    <n v="0"/>
    <n v="0"/>
  </r>
  <r>
    <x v="13"/>
    <s v="SuperA"/>
    <x v="61"/>
    <n v="3630475.2766999998"/>
    <n v="2127022.3215122861"/>
    <n v="15"/>
    <n v="2895000"/>
    <m/>
    <n v="0"/>
    <n v="1.706834592181796"/>
    <n v="2895000"/>
    <n v="0"/>
    <n v="2895000"/>
  </r>
  <r>
    <x v="14"/>
    <s v="SuperA"/>
    <x v="61"/>
    <n v="3644232.1653875099"/>
    <n v="2135082.2054345617"/>
    <n v="15"/>
    <n v="0"/>
    <m/>
    <n v="0"/>
    <n v="1.706834592181796"/>
    <n v="0"/>
    <n v="0"/>
    <n v="0"/>
  </r>
  <r>
    <x v="15"/>
    <s v="SuperA"/>
    <x v="61"/>
    <n v="3745933.7941000001"/>
    <n v="2194667.1407167134"/>
    <n v="15"/>
    <n v="0"/>
    <m/>
    <n v="0"/>
    <n v="1.706834592181796"/>
    <n v="0"/>
    <n v="0"/>
    <n v="0"/>
  </r>
  <r>
    <x v="16"/>
    <s v="SuperA"/>
    <x v="61"/>
    <n v="3968825.1388948201"/>
    <n v="1835307.9704590959"/>
    <n v="15"/>
    <n v="1000000"/>
    <m/>
    <n v="-797553.71"/>
    <n v="2.1624845545143208"/>
    <n v="202446.29000000004"/>
    <n v="-368813.59838388534"/>
    <n v="202446.29000000004"/>
  </r>
  <r>
    <x v="17"/>
    <s v="SuperA"/>
    <x v="61"/>
    <n v="3969364.9099581363"/>
    <n v="1835557.5773578777"/>
    <n v="15"/>
    <n v="0"/>
    <m/>
    <n v="0"/>
    <n v="2.1624845545143208"/>
    <n v="0"/>
    <n v="0"/>
    <n v="0"/>
  </r>
  <r>
    <x v="18"/>
    <s v="SuperA"/>
    <x v="61"/>
    <n v="4015699.8499999996"/>
    <n v="1856984.2922655686"/>
    <n v="15"/>
    <n v="0"/>
    <m/>
    <n v="0"/>
    <n v="2.1624845545143208"/>
    <n v="0"/>
    <n v="0"/>
    <n v="0"/>
  </r>
  <r>
    <x v="19"/>
    <s v="SuperA"/>
    <x v="61"/>
    <n v="5558178.2314845603"/>
    <n v="1839929.0417435162"/>
    <n v="15"/>
    <n v="1594000"/>
    <m/>
    <n v="-105000"/>
    <n v="3.0208655363239618"/>
    <n v="1489000"/>
    <n v="-34758.250156269009"/>
    <n v="1489000"/>
  </r>
  <r>
    <x v="20"/>
    <s v="SuperA"/>
    <x v="61"/>
    <n v="5618716.6995986504"/>
    <n v="1859969.1485891053"/>
    <n v="15"/>
    <n v="0"/>
    <m/>
    <n v="0"/>
    <n v="3.0208655363239618"/>
    <n v="0"/>
    <n v="0"/>
    <n v="0"/>
  </r>
  <r>
    <x v="21"/>
    <s v="SuperA"/>
    <x v="61"/>
    <n v="5611088.6100000003"/>
    <n v="1857444.0148130644"/>
    <n v="15"/>
    <n v="0"/>
    <m/>
    <n v="-69730"/>
    <n v="3.0208655363239618"/>
    <n v="-69730"/>
    <n v="-23082.78841330131"/>
    <n v="-69730"/>
  </r>
  <r>
    <x v="22"/>
    <s v="SuperA"/>
    <x v="61"/>
    <n v="5460800"/>
    <n v="1807693.8328890838"/>
    <n v="15"/>
    <n v="0"/>
    <m/>
    <n v="-52602"/>
    <n v="3.0208655363239618"/>
    <n v="-52602"/>
    <n v="-17412.890235429164"/>
    <n v="-52602"/>
  </r>
  <r>
    <x v="23"/>
    <s v="SuperA"/>
    <x v="61"/>
    <n v="5480500"/>
    <n v="1814215.1426803074"/>
    <n v="15"/>
    <n v="0"/>
    <m/>
    <n v="-105000"/>
    <n v="3.0208655363239618"/>
    <n v="-105000"/>
    <n v="-34758.250156269009"/>
    <n v="-105000"/>
  </r>
  <r>
    <x v="24"/>
    <s v="SuperA"/>
    <x v="61"/>
    <n v="5538206.4699999997"/>
    <n v="1833317.7704888335"/>
    <n v="15"/>
    <n v="0"/>
    <m/>
    <n v="-41178.33"/>
    <n v="3.0208655363239618"/>
    <n v="-41178.33"/>
    <n v="-13631.301858641873"/>
    <n v="-41178.33"/>
  </r>
  <r>
    <x v="25"/>
    <s v="SuperA"/>
    <x v="61"/>
    <n v="5482523.2199999997"/>
    <n v="1814884.8911267947"/>
    <n v="15"/>
    <n v="0"/>
    <m/>
    <n v="-13800"/>
    <n v="3.0208655363239618"/>
    <n v="-13800"/>
    <n v="-4568.2271633953551"/>
    <n v="-13800"/>
  </r>
  <r>
    <x v="26"/>
    <s v="SuperA"/>
    <x v="61"/>
    <n v="5995971.9500000002"/>
    <n v="1817445.7951705558"/>
    <n v="15"/>
    <n v="505000"/>
    <m/>
    <n v="-53922"/>
    <n v="3.2991200980700039"/>
    <n v="451078"/>
    <n v="-16344.358009744643"/>
    <n v="451078"/>
  </r>
  <r>
    <x v="27"/>
    <s v="SuperA"/>
    <x v="61"/>
    <n v="5480500"/>
    <n v="1661200.5131932332"/>
    <n v="15"/>
    <n v="0"/>
    <m/>
    <n v="-35000"/>
    <n v="3.2991200980700039"/>
    <n v="-35000"/>
    <n v="-10608.889327937808"/>
    <n v="-35000"/>
  </r>
  <r>
    <x v="28"/>
    <s v="SuperA"/>
    <x v="61"/>
    <n v="5995978.0199999996"/>
    <n v="1817447.6350550761"/>
    <n v="15"/>
    <n v="0"/>
    <m/>
    <n v="-104900"/>
    <n v="3.2991200980700039"/>
    <n v="-104900"/>
    <n v="-31796.35687144789"/>
    <n v="-104900"/>
  </r>
  <r>
    <x v="29"/>
    <s v="SuperA"/>
    <x v="61"/>
    <n v="6056956.9890000001"/>
    <n v="1835931.0388680121"/>
    <n v="15"/>
    <n v="0"/>
    <m/>
    <n v="-76167.56"/>
    <n v="3.2991200980700039"/>
    <n v="-76167.56"/>
    <n v="-23087.234697687505"/>
    <n v="-76167.56"/>
  </r>
  <r>
    <x v="30"/>
    <s v="SuperA"/>
    <x v="61"/>
    <n v="6056956.9890000001"/>
    <n v="1835931.0388680121"/>
    <n v="15"/>
    <n v="0"/>
    <m/>
    <n v="-76167.56"/>
    <n v="3.2991200980700039"/>
    <n v="-76167.56"/>
    <n v="-23087.234697687505"/>
    <n v="-6133124.5489999996"/>
  </r>
  <r>
    <x v="211"/>
    <s v="Tanker"/>
    <x v="62"/>
    <n v="999999.5"/>
    <n v="1006989.190505153"/>
    <m/>
    <n v="1000000"/>
    <n v="0"/>
    <n v="0"/>
    <n v="0.99305882270528978"/>
    <n v="1000000"/>
    <n v="1006989.190505153"/>
    <n v="1000000"/>
  </r>
  <r>
    <x v="27"/>
    <s v="Tanker"/>
    <x v="62"/>
    <n v="999946.76"/>
    <n v="1006936.0818686915"/>
    <m/>
    <m/>
    <n v="0"/>
    <n v="0"/>
    <n v="0.99305882270528978"/>
    <n v="0"/>
    <n v="0"/>
    <n v="0"/>
  </r>
  <r>
    <x v="28"/>
    <s v="Tanker"/>
    <x v="62"/>
    <n v="989534.53"/>
    <n v="996451.07356713386"/>
    <m/>
    <m/>
    <n v="0"/>
    <n v="0"/>
    <n v="0.99305882270528978"/>
    <n v="0"/>
    <n v="0"/>
    <n v="0"/>
  </r>
  <r>
    <x v="29"/>
    <s v="Tanker"/>
    <x v="62"/>
    <n v="978868.91578947369"/>
    <n v="985710.90997695387"/>
    <m/>
    <m/>
    <n v="0"/>
    <n v="0"/>
    <n v="0.99305882270528978"/>
    <n v="0"/>
    <n v="0"/>
    <n v="0"/>
  </r>
  <r>
    <x v="30"/>
    <s v="Tanker"/>
    <x v="62"/>
    <n v="978868.91578947369"/>
    <n v="985710.90997695387"/>
    <m/>
    <m/>
    <n v="0"/>
    <n v="0"/>
    <n v="0.99305882270528978"/>
    <n v="0"/>
    <n v="0"/>
    <n v="-978868.91578947369"/>
  </r>
  <r>
    <x v="212"/>
    <s v="Televisi"/>
    <x v="63"/>
    <n v="30000000"/>
    <n v="30000000"/>
    <m/>
    <n v="30000000"/>
    <n v="0"/>
    <n v="0"/>
    <n v="1"/>
    <n v="30000000"/>
    <n v="30000000"/>
    <n v="30000000"/>
  </r>
  <r>
    <x v="6"/>
    <s v="Televisi"/>
    <x v="63"/>
    <n v="29999989.285714298"/>
    <n v="29999989.285714298"/>
    <m/>
    <m/>
    <n v="0"/>
    <n v="0"/>
    <n v="1"/>
    <n v="0"/>
    <n v="0"/>
    <n v="0"/>
  </r>
  <r>
    <x v="7"/>
    <s v="Televisi"/>
    <x v="63"/>
    <n v="29322203.8983973"/>
    <n v="29322203.8983973"/>
    <m/>
    <m/>
    <n v="0"/>
    <n v="-1049999.9999999998"/>
    <n v="1"/>
    <n v="-1049999.9999999998"/>
    <n v="-1049999.9999999998"/>
    <n v="-1049999.9999999998"/>
  </r>
  <r>
    <x v="8"/>
    <s v="Televisi"/>
    <x v="63"/>
    <n v="29650291.704686102"/>
    <n v="29650291.704686102"/>
    <m/>
    <m/>
    <n v="0"/>
    <n v="0"/>
    <n v="1"/>
    <n v="0"/>
    <n v="0"/>
    <n v="0"/>
  </r>
  <r>
    <x v="9"/>
    <s v="Televisi"/>
    <x v="63"/>
    <n v="30003938.835981801"/>
    <n v="30003938.835981801"/>
    <m/>
    <m/>
    <n v="0"/>
    <n v="0"/>
    <n v="1"/>
    <n v="0"/>
    <n v="0"/>
    <n v="0"/>
  </r>
  <r>
    <x v="10"/>
    <s v="Televisi"/>
    <x v="63"/>
    <n v="29717264.358937398"/>
    <n v="29717264.358937398"/>
    <m/>
    <m/>
    <n v="0"/>
    <n v="-700000"/>
    <n v="1"/>
    <n v="-700000"/>
    <n v="-700000"/>
    <n v="-700000"/>
  </r>
  <r>
    <x v="11"/>
    <s v="Televisi"/>
    <x v="63"/>
    <n v="29604490.160641208"/>
    <n v="29604490.160641208"/>
    <m/>
    <m/>
    <n v="0"/>
    <n v="-350000"/>
    <n v="1"/>
    <n v="-350000"/>
    <n v="-350000"/>
    <n v="-350000"/>
  </r>
  <r>
    <x v="12"/>
    <s v="Televisi"/>
    <x v="63"/>
    <n v="30011116.047060501"/>
    <n v="30011116.047060501"/>
    <m/>
    <m/>
    <n v="0"/>
    <n v="0"/>
    <n v="1"/>
    <n v="0"/>
    <n v="0"/>
    <n v="0"/>
  </r>
  <r>
    <x v="13"/>
    <s v="Televisi"/>
    <x v="63"/>
    <n v="29283663"/>
    <n v="29283663"/>
    <m/>
    <m/>
    <n v="0"/>
    <n v="-1050000"/>
    <n v="1"/>
    <n v="-1050000"/>
    <n v="-1050000"/>
    <n v="-1050000"/>
  </r>
  <r>
    <x v="14"/>
    <s v="Televisi"/>
    <x v="63"/>
    <n v="29571609.140000001"/>
    <n v="29571609.140000001"/>
    <m/>
    <m/>
    <n v="0"/>
    <n v="0"/>
    <n v="1"/>
    <n v="0"/>
    <n v="0"/>
    <n v="0"/>
  </r>
  <r>
    <x v="15"/>
    <s v="Televisi"/>
    <x v="63"/>
    <n v="29849244.050000001"/>
    <n v="29849244.050000001"/>
    <m/>
    <m/>
    <n v="0"/>
    <n v="0"/>
    <n v="1"/>
    <n v="0"/>
    <n v="0"/>
    <n v="0"/>
  </r>
  <r>
    <x v="16"/>
    <s v="Televisi"/>
    <x v="63"/>
    <n v="29173209.593673799"/>
    <n v="29173209.593673799"/>
    <m/>
    <m/>
    <n v="0"/>
    <n v="-1050000"/>
    <n v="1"/>
    <n v="-1050000"/>
    <n v="-1050000"/>
    <n v="-1050000"/>
  </r>
  <r>
    <x v="17"/>
    <s v="Televisi"/>
    <x v="63"/>
    <n v="29669203.509999998"/>
    <n v="29669203.509999998"/>
    <m/>
    <m/>
    <n v="0"/>
    <n v="0"/>
    <n v="1"/>
    <n v="0"/>
    <n v="0"/>
    <n v="0"/>
  </r>
  <r>
    <x v="18"/>
    <s v="Televisi"/>
    <x v="63"/>
    <n v="30034146.32"/>
    <n v="30034146.32"/>
    <m/>
    <m/>
    <n v="0"/>
    <n v="0"/>
    <n v="1"/>
    <n v="0"/>
    <n v="0"/>
    <n v="0"/>
  </r>
  <r>
    <x v="19"/>
    <s v="Televisi"/>
    <x v="63"/>
    <n v="29388526.884210601"/>
    <n v="29388526.884210601"/>
    <m/>
    <m/>
    <n v="0"/>
    <n v="-1050000"/>
    <n v="1"/>
    <n v="-1050000"/>
    <n v="-1050000"/>
    <n v="-1050000"/>
  </r>
  <r>
    <x v="20"/>
    <s v="Televisi"/>
    <x v="63"/>
    <n v="29725696.643229801"/>
    <n v="29725696.643229801"/>
    <m/>
    <m/>
    <n v="0"/>
    <n v="0"/>
    <n v="1"/>
    <n v="0"/>
    <n v="0"/>
    <n v="0"/>
  </r>
  <r>
    <x v="21"/>
    <s v="Televisi"/>
    <x v="63"/>
    <n v="30120000"/>
    <n v="30120000"/>
    <m/>
    <m/>
    <n v="0"/>
    <n v="0"/>
    <n v="1"/>
    <n v="0"/>
    <n v="0"/>
    <n v="0"/>
  </r>
  <r>
    <x v="22"/>
    <s v="Televisi"/>
    <x v="63"/>
    <n v="29449328.25"/>
    <n v="29449328.25"/>
    <m/>
    <m/>
    <n v="0"/>
    <n v="-1050000"/>
    <n v="1"/>
    <n v="-1050000"/>
    <n v="-1050000"/>
    <n v="-1050000"/>
  </r>
  <r>
    <x v="23"/>
    <s v="Televisi"/>
    <x v="63"/>
    <n v="29702703"/>
    <n v="29702703"/>
    <m/>
    <m/>
    <n v="0"/>
    <n v="0"/>
    <n v="1"/>
    <n v="0"/>
    <n v="0"/>
    <n v="0"/>
  </r>
  <r>
    <x v="24"/>
    <s v="Televisi"/>
    <x v="63"/>
    <n v="28997985.784473099"/>
    <n v="28997985.784473099"/>
    <m/>
    <m/>
    <n v="0"/>
    <n v="0"/>
    <n v="1"/>
    <n v="0"/>
    <n v="0"/>
    <n v="0"/>
  </r>
  <r>
    <x v="25"/>
    <s v="Televisi"/>
    <x v="63"/>
    <n v="29359187.583866201"/>
    <n v="29359187.583866201"/>
    <m/>
    <m/>
    <n v="0"/>
    <n v="-1050000"/>
    <n v="1"/>
    <n v="-1050000"/>
    <n v="-1050000"/>
    <n v="-1050000"/>
  </r>
  <r>
    <x v="26"/>
    <s v="Televisi"/>
    <x v="63"/>
    <n v="29768504.07"/>
    <n v="29768504.07"/>
    <m/>
    <m/>
    <n v="0"/>
    <n v="0"/>
    <n v="1"/>
    <n v="0"/>
    <n v="0"/>
    <n v="0"/>
  </r>
  <r>
    <x v="27"/>
    <s v="Televisi"/>
    <x v="63"/>
    <n v="29846675.48"/>
    <n v="29846675.48"/>
    <m/>
    <m/>
    <n v="0"/>
    <n v="0"/>
    <n v="1"/>
    <n v="0"/>
    <n v="0"/>
    <n v="0"/>
  </r>
  <r>
    <x v="28"/>
    <s v="Televisi"/>
    <x v="63"/>
    <n v="30452765.579999998"/>
    <n v="30452765.579999998"/>
    <m/>
    <m/>
    <n v="0"/>
    <n v="-1050000"/>
    <n v="1"/>
    <n v="-1050000"/>
    <n v="-1050000"/>
    <n v="-1050000"/>
  </r>
  <r>
    <x v="29"/>
    <s v="Televisi"/>
    <x v="63"/>
    <n v="29849416.3667624"/>
    <n v="29849416.3667624"/>
    <m/>
    <m/>
    <n v="0"/>
    <n v="0"/>
    <n v="1"/>
    <n v="0"/>
    <n v="0"/>
    <n v="0"/>
  </r>
  <r>
    <x v="30"/>
    <s v="Televisi"/>
    <x v="63"/>
    <n v="29849416.3667624"/>
    <n v="29849416.3667624"/>
    <m/>
    <m/>
    <n v="0"/>
    <n v="0"/>
    <n v="1"/>
    <n v="0"/>
    <n v="0"/>
    <n v="-29849416.3667624"/>
  </r>
  <r>
    <x v="213"/>
    <s v="William"/>
    <x v="64"/>
    <n v="14696666.67"/>
    <n v="14696666.67"/>
    <m/>
    <n v="14696666.67"/>
    <n v="0"/>
    <n v="0"/>
    <n v="1"/>
    <n v="14696666.67"/>
    <n v="14696666.67"/>
    <n v="14696666.67"/>
  </r>
  <r>
    <x v="190"/>
    <s v="William"/>
    <x v="64"/>
    <n v="14645725.628252827"/>
    <n v="14645725.628252827"/>
    <m/>
    <m/>
    <n v="0"/>
    <n v="-153333.32999999999"/>
    <n v="1"/>
    <n v="-153333.32999999999"/>
    <n v="-153333.32999999999"/>
    <n v="-153333.32999999999"/>
  </r>
  <r>
    <x v="191"/>
    <s v="William"/>
    <x v="64"/>
    <n v="14696851.377192808"/>
    <n v="14696851.377192808"/>
    <m/>
    <m/>
    <n v="0"/>
    <n v="-148541.66737316063"/>
    <n v="1"/>
    <n v="-148541.66737316063"/>
    <n v="-148541.66737316063"/>
    <n v="-148541.66737316063"/>
  </r>
  <r>
    <x v="192"/>
    <s v="William"/>
    <x v="64"/>
    <n v="14747048.035198668"/>
    <n v="14747048.035198668"/>
    <m/>
    <m/>
    <n v="0"/>
    <n v="-143541.67000000001"/>
    <n v="1"/>
    <n v="-143541.67000000001"/>
    <n v="-143541.67000000001"/>
    <n v="-143541.67000000001"/>
  </r>
  <r>
    <x v="193"/>
    <s v="William"/>
    <x v="64"/>
    <n v="14792962.810864134"/>
    <n v="14792962.810864134"/>
    <m/>
    <m/>
    <n v="0"/>
    <n v="-143541.67000000001"/>
    <n v="1"/>
    <n v="-143541.67000000001"/>
    <n v="-143541.67000000001"/>
    <n v="-143541.67000000001"/>
  </r>
  <r>
    <x v="1"/>
    <s v="William"/>
    <x v="64"/>
    <n v="14851119.460035175"/>
    <n v="14851119.460035175"/>
    <m/>
    <m/>
    <n v="0"/>
    <n v="-143541.67000000001"/>
    <n v="1"/>
    <n v="-143541.67000000001"/>
    <n v="-143541.67000000001"/>
    <n v="-143541.67000000001"/>
  </r>
  <r>
    <x v="2"/>
    <s v="William"/>
    <x v="64"/>
    <n v="14756596.616155753"/>
    <n v="14756596.616155753"/>
    <m/>
    <m/>
    <n v="0"/>
    <n v="-293750"/>
    <n v="1"/>
    <n v="-293750"/>
    <n v="-293750"/>
    <n v="-293750"/>
  </r>
  <r>
    <x v="3"/>
    <s v="William"/>
    <x v="64"/>
    <n v="14794570.903602375"/>
    <n v="14794570.903602375"/>
    <m/>
    <m/>
    <n v="0"/>
    <n v="-152463.91"/>
    <n v="1"/>
    <n v="-152463.91"/>
    <n v="-152463.91"/>
    <n v="-152463.91"/>
  </r>
  <r>
    <x v="4"/>
    <s v="William"/>
    <x v="64"/>
    <n v="14843893.495419782"/>
    <n v="14843893.495419782"/>
    <m/>
    <m/>
    <n v="0"/>
    <n v="-158922.24333333335"/>
    <n v="1"/>
    <n v="-158922.24333333335"/>
    <n v="-158922.24333333335"/>
    <n v="-158922.24333333335"/>
  </r>
  <r>
    <x v="5"/>
    <s v="William"/>
    <x v="64"/>
    <n v="14904099.34772088"/>
    <n v="14904099.34772088"/>
    <m/>
    <m/>
    <n v="0"/>
    <n v="-148669.09666666665"/>
    <n v="1"/>
    <n v="-148669.09666666665"/>
    <n v="-148669.09666666665"/>
    <n v="-148669.09666666665"/>
  </r>
  <r>
    <x v="6"/>
    <s v="William"/>
    <x v="64"/>
    <n v="14944913.319970088"/>
    <n v="14944913.319970088"/>
    <m/>
    <m/>
    <n v="0"/>
    <n v="-158327.3833333333"/>
    <n v="1"/>
    <n v="-158327.3833333333"/>
    <n v="-158327.3833333333"/>
    <n v="-158327.3833333333"/>
  </r>
  <r>
    <x v="7"/>
    <s v="William"/>
    <x v="64"/>
    <n v="15008517.709309621"/>
    <n v="15008517.709309621"/>
    <m/>
    <m/>
    <n v="0"/>
    <n v="-147545.66"/>
    <n v="1"/>
    <n v="-147545.66"/>
    <n v="-147545.66"/>
    <n v="-147545.66"/>
  </r>
  <r>
    <x v="8"/>
    <s v="William"/>
    <x v="64"/>
    <n v="14654670.005635561"/>
    <n v="14654670.005635561"/>
    <m/>
    <m/>
    <n v="0"/>
    <n v="-547875.67000000004"/>
    <n v="1"/>
    <n v="-547875.67000000004"/>
    <n v="-547875.67000000004"/>
    <n v="-547875.67000000004"/>
  </r>
  <r>
    <x v="9"/>
    <s v="William"/>
    <x v="64"/>
    <n v="14848729.8660897"/>
    <n v="14848729.8660897"/>
    <m/>
    <m/>
    <n v="0"/>
    <n v="0"/>
    <n v="1"/>
    <n v="0"/>
    <n v="0"/>
    <n v="0"/>
  </r>
  <r>
    <x v="10"/>
    <s v="William"/>
    <x v="64"/>
    <n v="14760472.054414799"/>
    <n v="14760472.054414799"/>
    <m/>
    <m/>
    <n v="0"/>
    <n v="-296317.45999999996"/>
    <n v="1"/>
    <n v="-296317.45999999996"/>
    <n v="-296317.45999999996"/>
    <n v="-296317.45999999996"/>
  </r>
  <r>
    <x v="11"/>
    <s v="William"/>
    <x v="64"/>
    <n v="14434308.1285714"/>
    <n v="14434308.1285714"/>
    <m/>
    <m/>
    <n v="0"/>
    <n v="-524658.50268499996"/>
    <n v="1"/>
    <n v="-524658.50268499996"/>
    <n v="-524658.50268499996"/>
    <n v="-524658.50268499996"/>
  </r>
  <r>
    <x v="12"/>
    <s v="William"/>
    <x v="64"/>
    <n v="14336357.077197701"/>
    <n v="14336357.077197701"/>
    <m/>
    <m/>
    <n v="0"/>
    <n v="-299100.94965416699"/>
    <n v="1"/>
    <n v="-299100.94965416699"/>
    <n v="-299100.94965416699"/>
    <n v="-299100.94965416699"/>
  </r>
  <r>
    <x v="13"/>
    <s v="William"/>
    <x v="64"/>
    <n v="14385027.551208399"/>
    <n v="14385027.551208399"/>
    <m/>
    <m/>
    <n v="0"/>
    <n v="-145042.85230930601"/>
    <n v="1"/>
    <n v="-145042.85230930601"/>
    <n v="-145042.85230930601"/>
    <n v="-145042.85230930601"/>
  </r>
  <r>
    <x v="14"/>
    <s v="William"/>
    <x v="64"/>
    <n v="14385501.470089899"/>
    <n v="14385501.470089899"/>
    <m/>
    <m/>
    <n v="0"/>
    <n v="-210672.019654167"/>
    <n v="1"/>
    <n v="-210672.019654167"/>
    <n v="-210672.019654167"/>
    <n v="-210672.019654167"/>
  </r>
  <r>
    <x v="15"/>
    <s v="William"/>
    <x v="64"/>
    <n v="14358310.264785901"/>
    <n v="14358310.264785901"/>
    <m/>
    <m/>
    <n v="0"/>
    <n v="-210672.02230930599"/>
    <n v="1"/>
    <n v="-210672.02230930599"/>
    <n v="-210672.02230930599"/>
    <n v="-210672.02230930599"/>
  </r>
  <r>
    <x v="16"/>
    <s v="William"/>
    <x v="64"/>
    <n v="14383894.4625721"/>
    <n v="14383894.4625721"/>
    <m/>
    <m/>
    <n v="0"/>
    <n v="-196142.95230930601"/>
    <n v="1"/>
    <n v="-196142.95230930601"/>
    <n v="-196142.95230930601"/>
    <n v="-196142.95230930601"/>
  </r>
  <r>
    <x v="17"/>
    <s v="William"/>
    <x v="64"/>
    <n v="14397196.8450264"/>
    <n v="14397196.8450264"/>
    <m/>
    <m/>
    <n v="0"/>
    <n v="-210671.54434388899"/>
    <n v="1"/>
    <n v="-210671.54434388899"/>
    <n v="-210671.54434388899"/>
    <n v="-210671.54434388899"/>
  </r>
  <r>
    <x v="18"/>
    <s v="William"/>
    <x v="64"/>
    <n v="14577431.210000001"/>
    <n v="14577431.210000001"/>
    <m/>
    <m/>
    <n v="0"/>
    <n v="-6255.5700000000006"/>
    <n v="1"/>
    <n v="-6255.5700000000006"/>
    <n v="-6255.5700000000006"/>
    <n v="-6255.5700000000006"/>
  </r>
  <r>
    <x v="19"/>
    <s v="William"/>
    <x v="64"/>
    <n v="14383072.065502601"/>
    <n v="14383072.065502601"/>
    <m/>
    <m/>
    <n v="0"/>
    <n v="-199392.41"/>
    <n v="1"/>
    <n v="-199392.41"/>
    <n v="-199392.41"/>
    <n v="-199392.41"/>
  </r>
  <r>
    <x v="20"/>
    <s v="William"/>
    <x v="64"/>
    <n v="14498427.959645599"/>
    <n v="14498427.959645599"/>
    <m/>
    <m/>
    <n v="0"/>
    <n v="-207039.27"/>
    <n v="1"/>
    <n v="-207039.27"/>
    <n v="-207039.27"/>
    <n v="-207039.27"/>
  </r>
  <r>
    <x v="21"/>
    <s v="William"/>
    <x v="64"/>
    <n v="14481671.02"/>
    <n v="14481671.02"/>
    <m/>
    <m/>
    <n v="0"/>
    <n v="-208683.48"/>
    <n v="1"/>
    <n v="-208683.48"/>
    <n v="-208683.48"/>
    <n v="-208683.48"/>
  </r>
  <r>
    <x v="22"/>
    <s v="William"/>
    <x v="64"/>
    <n v="14380000"/>
    <n v="14380000"/>
    <m/>
    <m/>
    <n v="0"/>
    <n v="-297811.01"/>
    <n v="1"/>
    <n v="-297811.01"/>
    <n v="-297811.01"/>
    <n v="-297811.01"/>
  </r>
  <r>
    <x v="23"/>
    <s v="William"/>
    <x v="64"/>
    <n v="14350536.189999999"/>
    <n v="14350536.189999999"/>
    <m/>
    <m/>
    <n v="0"/>
    <n v="-211680.5"/>
    <n v="1"/>
    <n v="-211680.5"/>
    <n v="-211680.5"/>
    <n v="-211680.5"/>
  </r>
  <r>
    <x v="24"/>
    <s v="William"/>
    <x v="64"/>
    <n v="14407976.119999999"/>
    <n v="14407976.119999999"/>
    <m/>
    <m/>
    <n v="0"/>
    <n v="-144079.96"/>
    <n v="1"/>
    <n v="-144079.96"/>
    <n v="-144079.96"/>
    <n v="-144079.96"/>
  </r>
  <r>
    <x v="25"/>
    <s v="William"/>
    <x v="64"/>
    <n v="14385290.359999999"/>
    <n v="14385290.359999999"/>
    <m/>
    <m/>
    <n v="0"/>
    <n v="-211680.49"/>
    <n v="1"/>
    <n v="-211680.49"/>
    <n v="-211680.49"/>
    <n v="-211680.49"/>
  </r>
  <r>
    <x v="26"/>
    <s v="William"/>
    <x v="64"/>
    <n v="13793911.74"/>
    <n v="13793911.74"/>
    <m/>
    <m/>
    <n v="0"/>
    <n v="-704838.91"/>
    <n v="1"/>
    <n v="-704838.91"/>
    <n v="-704838.91"/>
    <n v="-704838.91"/>
  </r>
  <r>
    <x v="27"/>
    <s v="William"/>
    <x v="64"/>
    <n v="13852986.49"/>
    <n v="13852986.49"/>
    <m/>
    <m/>
    <n v="0"/>
    <n v="-138969.21"/>
    <n v="1"/>
    <n v="-138969.21"/>
    <n v="-138969.21"/>
    <n v="-138969.21"/>
  </r>
  <r>
    <x v="28"/>
    <s v="William"/>
    <x v="64"/>
    <n v="13825486.93"/>
    <n v="13825486.93"/>
    <m/>
    <m/>
    <n v="0"/>
    <n v="-139553.93"/>
    <n v="1"/>
    <n v="-139553.93"/>
    <n v="-139553.93"/>
    <n v="-139553.93"/>
  </r>
  <r>
    <x v="29"/>
    <s v="William"/>
    <x v="64"/>
    <n v="14058249.32"/>
    <n v="14058249.32"/>
    <m/>
    <m/>
    <n v="0"/>
    <n v="-205021.35"/>
    <n v="1"/>
    <n v="-205021.35"/>
    <n v="-205021.35"/>
    <n v="-205021.35"/>
  </r>
  <r>
    <x v="30"/>
    <s v="William"/>
    <x v="64"/>
    <n v="14058249.32"/>
    <n v="14058249.32"/>
    <m/>
    <m/>
    <n v="0"/>
    <n v="-205021.35"/>
    <n v="1"/>
    <n v="-205021.35"/>
    <n v="-205021.35"/>
    <n v="-14263270.67"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  <r>
    <x v="214"/>
    <m/>
    <x v="65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179">
  <r>
    <x v="0"/>
    <x v="0"/>
    <s v="AAA"/>
    <n v="13000000"/>
    <n v="13000000"/>
    <m/>
    <n v="13000000"/>
    <n v="0"/>
    <n v="0"/>
    <n v="1"/>
    <n v="13000000"/>
    <n v="13000000"/>
    <n v="13000000"/>
    <m/>
    <s v="Private Equity Fund"/>
    <n v="0"/>
    <n v="0"/>
    <n v="0"/>
    <n v="0"/>
    <m/>
    <m/>
    <m/>
    <m/>
    <m/>
    <m/>
    <m/>
    <m/>
    <m/>
    <m/>
    <m/>
    <d v="2015-11-17T00:00:00"/>
    <n v="0"/>
    <x v="0"/>
  </r>
  <r>
    <x v="1"/>
    <x v="0"/>
    <s v="AAA"/>
    <n v="13000000"/>
    <n v="13000000"/>
    <m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5-11-30T00:00:00"/>
    <n v="0"/>
    <x v="0"/>
  </r>
  <r>
    <x v="2"/>
    <x v="0"/>
    <s v="AAA"/>
    <n v="12997581.6932059"/>
    <n v="12997581.693205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5-12-31T00:00:00"/>
    <n v="-1.8602359954611458E-4"/>
    <x v="0"/>
  </r>
  <r>
    <x v="3"/>
    <x v="0"/>
    <s v="AAA"/>
    <n v="14392118.5008907"/>
    <n v="13194262.604268402"/>
    <m/>
    <n v="1180000"/>
    <n v="0"/>
    <n v="0"/>
    <n v="1.0907861191299002"/>
    <n v="1180000"/>
    <n v="0"/>
    <n v="1180000"/>
    <m/>
    <s v="Private Equity Fund"/>
    <n v="1.2677595628415299E-3"/>
    <n v="1.4704518320512587E-2"/>
    <n v="0"/>
    <n v="0"/>
    <m/>
    <m/>
    <m/>
    <m/>
    <m/>
    <m/>
    <m/>
    <m/>
    <m/>
    <m/>
    <m/>
    <d v="2016-01-29T00:00:00"/>
    <n v="1.6505901847644555E-2"/>
    <x v="0"/>
  </r>
  <r>
    <x v="4"/>
    <x v="0"/>
    <s v="AAA"/>
    <n v="14624251.249622401"/>
    <n v="13407074.946358774"/>
    <m/>
    <m/>
    <n v="-1.862645149230957E-9"/>
    <n v="0"/>
    <n v="1.0907861191299002"/>
    <n v="-1.862645149230957E-9"/>
    <n v="0"/>
    <n v="-1.862645149230957E-9"/>
    <m/>
    <s v="Private Equity Fund"/>
    <n v="1.3551912568306014E-3"/>
    <n v="1.5844797893259675E-2"/>
    <n v="0"/>
    <n v="0"/>
    <m/>
    <m/>
    <m/>
    <m/>
    <m/>
    <m/>
    <m/>
    <m/>
    <m/>
    <m/>
    <m/>
    <d v="2016-02-29T00:00:00"/>
    <n v="1.6129157685669249E-2"/>
    <x v="0"/>
  </r>
  <r>
    <x v="5"/>
    <x v="0"/>
    <s v="AAA"/>
    <n v="14860275.666844301"/>
    <n v="13623455.053405032"/>
    <m/>
    <m/>
    <n v="0"/>
    <n v="0"/>
    <n v="1.0907861191299002"/>
    <n v="0"/>
    <n v="0"/>
    <n v="0"/>
    <m/>
    <s v="Private Equity Fund"/>
    <n v="3.2786885245901635E-3"/>
    <n v="1.624156399874855E-2"/>
    <n v="0"/>
    <n v="0"/>
    <m/>
    <m/>
    <m/>
    <m/>
    <m/>
    <m/>
    <m/>
    <m/>
    <m/>
    <m/>
    <m/>
    <d v="2016-03-31T00:00:00"/>
    <n v="1.6139247965121895E-2"/>
    <x v="0"/>
  </r>
  <r>
    <x v="6"/>
    <x v="0"/>
    <s v="AAA"/>
    <n v="15085445.4692412"/>
    <n v="13829883.975122986"/>
    <m/>
    <m/>
    <n v="0"/>
    <n v="0"/>
    <n v="1.0907861191299002"/>
    <n v="0"/>
    <n v="0"/>
    <n v="0"/>
    <m/>
    <s v="Private Equity Fund"/>
    <n v="1.2677595628415301E-3"/>
    <n v="1.5363881212032028E-2"/>
    <n v="0"/>
    <n v="0"/>
    <m/>
    <m/>
    <m/>
    <m/>
    <m/>
    <m/>
    <m/>
    <m/>
    <m/>
    <m/>
    <m/>
    <d v="2016-04-29T00:00:00"/>
    <n v="1.5152464694803136E-2"/>
    <x v="0"/>
  </r>
  <r>
    <x v="7"/>
    <x v="0"/>
    <s v="AAA"/>
    <n v="15410306.2508354"/>
    <n v="14127706.59671386"/>
    <m/>
    <m/>
    <n v="0"/>
    <n v="0"/>
    <n v="1.0907861191299002"/>
    <n v="0"/>
    <n v="0"/>
    <n v="0"/>
    <m/>
    <s v="Private Equity Fund"/>
    <n v="1.3989071038251399E-3"/>
    <n v="1.6175559641474699E-2"/>
    <n v="0"/>
    <n v="0"/>
    <m/>
    <m/>
    <m/>
    <m/>
    <m/>
    <m/>
    <m/>
    <m/>
    <m/>
    <m/>
    <m/>
    <d v="2016-05-31T00:00:00"/>
    <n v="2.153471584624933E-2"/>
    <x v="0"/>
  </r>
  <r>
    <x v="8"/>
    <x v="0"/>
    <s v="AAA"/>
    <n v="15662677.943044046"/>
    <n v="14359073.395193068"/>
    <m/>
    <m/>
    <n v="0"/>
    <n v="0"/>
    <n v="1.0907861191299002"/>
    <n v="0"/>
    <n v="0"/>
    <n v="0"/>
    <m/>
    <s v="Private Equity Fund"/>
    <n v="1.3114754098360699E-3"/>
    <n v="1.60219373061899E-2"/>
    <n v="0"/>
    <n v="0"/>
    <m/>
    <m/>
    <m/>
    <m/>
    <m/>
    <m/>
    <m/>
    <m/>
    <m/>
    <m/>
    <m/>
    <d v="2016-06-30T00:00:00"/>
    <n v="1.6376812251538864E-2"/>
    <x v="0"/>
  </r>
  <r>
    <x v="9"/>
    <x v="0"/>
    <s v="AAA"/>
    <n v="15845852.657091901"/>
    <n v="14527002.479397008"/>
    <m/>
    <m/>
    <n v="0"/>
    <n v="0"/>
    <n v="1.0907861191299002"/>
    <n v="0"/>
    <n v="0"/>
    <n v="0"/>
    <m/>
    <s v="Private Equity Fund"/>
    <n v="1.2677595628415299E-3"/>
    <n v="1.16289341283504E-2"/>
    <n v="0"/>
    <n v="0"/>
    <m/>
    <m/>
    <m/>
    <m/>
    <m/>
    <m/>
    <m/>
    <m/>
    <m/>
    <m/>
    <m/>
    <d v="2016-07-29T00:00:00"/>
    <n v="1.1694980559132651E-2"/>
    <x v="0"/>
  </r>
  <r>
    <x v="10"/>
    <x v="0"/>
    <s v="AAA"/>
    <n v="16094279.8045302"/>
    <n v="14754753.037532516"/>
    <m/>
    <m/>
    <n v="0"/>
    <n v="0"/>
    <n v="1.0907861191299002"/>
    <n v="0"/>
    <n v="0"/>
    <n v="0"/>
    <m/>
    <s v="Private Equity Fund"/>
    <n v="1.4426229508196699E-3"/>
    <n v="1.5771515999191299E-2"/>
    <n v="0"/>
    <n v="0"/>
    <m/>
    <m/>
    <m/>
    <m/>
    <m/>
    <m/>
    <m/>
    <m/>
    <m/>
    <m/>
    <m/>
    <d v="2016-08-31T00:00:00"/>
    <n v="1.567773933118799E-2"/>
    <x v="0"/>
  </r>
  <r>
    <x v="11"/>
    <x v="0"/>
    <s v="AAA"/>
    <n v="16196350.337797198"/>
    <n v="14848328.241210775"/>
    <m/>
    <m/>
    <n v="0"/>
    <n v="0"/>
    <n v="1.0907861191299002"/>
    <n v="0"/>
    <n v="0"/>
    <n v="0"/>
    <m/>
    <s v="Private Equity Fund"/>
    <n v="1.5571214284043999E-3"/>
    <n v="0.13800385670985901"/>
    <n v="0"/>
    <n v="0"/>
    <m/>
    <m/>
    <m/>
    <m/>
    <m/>
    <m/>
    <m/>
    <m/>
    <m/>
    <m/>
    <m/>
    <d v="2016-09-30T00:00:00"/>
    <n v="6.3420379480583211E-3"/>
    <x v="0"/>
  </r>
  <r>
    <x v="12"/>
    <x v="0"/>
    <s v="AAA"/>
    <n v="16446407.960000003"/>
    <n v="15077573.569710437"/>
    <m/>
    <m/>
    <n v="0"/>
    <n v="0"/>
    <n v="1.0907861191299002"/>
    <n v="0"/>
    <n v="0"/>
    <n v="0"/>
    <m/>
    <s v="Private Equity Fund"/>
    <n v="1.60903E-3"/>
    <n v="0.155064112219397"/>
    <n v="0"/>
    <n v="0"/>
    <m/>
    <m/>
    <m/>
    <m/>
    <m/>
    <m/>
    <m/>
    <m/>
    <m/>
    <m/>
    <m/>
    <d v="2016-10-31T00:00:00"/>
    <n v="1.5439133939900485E-2"/>
    <x v="0"/>
  </r>
  <r>
    <x v="13"/>
    <x v="0"/>
    <s v="AAA"/>
    <n v="16689116.500442998"/>
    <n v="15300081.480460713"/>
    <m/>
    <m/>
    <n v="0"/>
    <n v="0"/>
    <n v="1.0907861191299002"/>
    <n v="0"/>
    <n v="0"/>
    <n v="0"/>
    <m/>
    <s v="Private Equity Fund"/>
    <n v="1.5571214284043999E-3"/>
    <n v="0.171622661920842"/>
    <n v="0"/>
    <n v="0"/>
    <m/>
    <m/>
    <m/>
    <m/>
    <m/>
    <m/>
    <m/>
    <m/>
    <m/>
    <m/>
    <m/>
    <d v="2016-11-30T00:00:00"/>
    <n v="1.4757541040772981E-2"/>
    <x v="0"/>
  </r>
  <r>
    <x v="14"/>
    <x v="0"/>
    <s v="AAA"/>
    <n v="16831161.48"/>
    <n v="15430304.057614801"/>
    <m/>
    <m/>
    <n v="0"/>
    <n v="0"/>
    <n v="1.0907861191299002"/>
    <n v="0"/>
    <n v="0"/>
    <n v="0"/>
    <m/>
    <s v="Private Equity Fund"/>
    <n v="1.5571214284043949E-3"/>
    <n v="0.18135731938164201"/>
    <n v="0"/>
    <n v="0"/>
    <m/>
    <m/>
    <m/>
    <m/>
    <m/>
    <m/>
    <m/>
    <m/>
    <m/>
    <m/>
    <m/>
    <d v="2016-12-30T00:00:00"/>
    <n v="8.5112342258040208E-3"/>
    <x v="0"/>
  </r>
  <r>
    <x v="15"/>
    <x v="0"/>
    <s v="AAA"/>
    <n v="17054304.030000001"/>
    <n v="15634874.455135075"/>
    <m/>
    <m/>
    <n v="0"/>
    <n v="0"/>
    <n v="1.0907861191299002"/>
    <n v="0"/>
    <n v="0"/>
    <n v="0"/>
    <m/>
    <s v="Private Equity Fund"/>
    <n v="1.40140928556396E-3"/>
    <n v="0.19658247065015202"/>
    <n v="0"/>
    <n v="0"/>
    <m/>
    <m/>
    <m/>
    <m/>
    <m/>
    <m/>
    <m/>
    <m/>
    <m/>
    <m/>
    <m/>
    <d v="2017-01-27T00:00:00"/>
    <n v="1.3257703591350811E-2"/>
    <x v="0"/>
  </r>
  <r>
    <x v="16"/>
    <x v="0"/>
    <s v="AAA"/>
    <n v="17312009.5158903"/>
    <n v="15871131.115694586"/>
    <m/>
    <m/>
    <n v="0"/>
    <n v="0"/>
    <n v="1.0907861191299002"/>
    <n v="0"/>
    <n v="0"/>
    <n v="0"/>
    <m/>
    <s v="Private Equity Fund"/>
    <n v="1.6609295236313579E-3"/>
    <n v="0.21416468677643466"/>
    <n v="0"/>
    <n v="0"/>
    <m/>
    <m/>
    <m/>
    <m/>
    <m/>
    <m/>
    <m/>
    <m/>
    <m/>
    <m/>
    <m/>
    <d v="2017-02-28T00:00:00"/>
    <n v="1.5110876728652967E-2"/>
    <x v="0"/>
  </r>
  <r>
    <x v="17"/>
    <x v="0"/>
    <s v="AAA"/>
    <n v="17562064.759999998"/>
    <n v="16100374.264029808"/>
    <m/>
    <m/>
    <n v="0"/>
    <n v="0"/>
    <n v="1.0907861191299002"/>
    <n v="0"/>
    <n v="0"/>
    <n v="0"/>
    <m/>
    <s v="Private Equity Fund"/>
    <n v="1.6090254760178745E-3"/>
    <n v="0.23122478093184501"/>
    <n v="0"/>
    <n v="0"/>
    <m/>
    <m/>
    <m/>
    <m/>
    <m/>
    <m/>
    <m/>
    <m/>
    <m/>
    <m/>
    <m/>
    <d v="2017-03-31T00:00:00"/>
    <n v="1.4444033425477176E-2"/>
    <x v="0"/>
  </r>
  <r>
    <x v="18"/>
    <x v="0"/>
    <s v="AAA"/>
    <n v="18066577.699999999"/>
    <n v="16562896.596457766"/>
    <m/>
    <m/>
    <n v="0"/>
    <n v="0"/>
    <n v="1.0907861191299002"/>
    <n v="0"/>
    <n v="0"/>
    <n v="0"/>
    <m/>
    <s v="Private Equity Fund"/>
    <n v="1.45331E-3"/>
    <n v="0.24696498"/>
    <n v="0"/>
    <n v="0"/>
    <m/>
    <m/>
    <m/>
    <m/>
    <m/>
    <m/>
    <m/>
    <m/>
    <m/>
    <m/>
    <m/>
    <d v="2017-04-28T00:00:00"/>
    <n v="2.8727427377964077E-2"/>
    <x v="0"/>
  </r>
  <r>
    <x v="19"/>
    <x v="0"/>
    <s v="AAA"/>
    <n v="18063548.181330498"/>
    <n v="16560119.224600561"/>
    <m/>
    <m/>
    <n v="0"/>
    <n v="0"/>
    <n v="1.0907861191299002"/>
    <n v="0"/>
    <n v="0"/>
    <n v="0"/>
    <m/>
    <s v="Private Equity Fund"/>
    <n v="1.71283357124484E-3"/>
    <n v="0.26543452159546799"/>
    <n v="0"/>
    <n v="0"/>
    <m/>
    <m/>
    <m/>
    <m/>
    <m/>
    <m/>
    <m/>
    <m/>
    <m/>
    <m/>
    <m/>
    <d v="2017-05-31T00:00:00"/>
    <n v="-1.6768636095931821E-4"/>
    <x v="0"/>
  </r>
  <r>
    <x v="20"/>
    <x v="0"/>
    <s v="AAA"/>
    <n v="20065247.542996299"/>
    <n v="18395217.165948145"/>
    <m/>
    <m/>
    <n v="0"/>
    <n v="0"/>
    <n v="1.0907861191299002"/>
    <n v="0"/>
    <n v="0"/>
    <n v="0"/>
    <m/>
    <s v="Private Equity Fund"/>
    <n v="1.55712314123797E-3"/>
    <n v="0.40123347680743299"/>
    <n v="0"/>
    <n v="0"/>
    <m/>
    <m/>
    <m/>
    <m/>
    <m/>
    <m/>
    <m/>
    <m/>
    <m/>
    <m/>
    <m/>
    <d v="2017-06-30T00:00:00"/>
    <n v="0.11081429526313369"/>
    <x v="0"/>
  </r>
  <r>
    <x v="21"/>
    <x v="0"/>
    <s v="AAA"/>
    <n v="19885442.300000001"/>
    <n v="18230377.111749686"/>
    <m/>
    <m/>
    <n v="0"/>
    <n v="0"/>
    <n v="1.0907861191299002"/>
    <n v="0"/>
    <n v="0"/>
    <n v="0"/>
    <m/>
    <s v="Private Equity Fund"/>
    <n v="1.35519E-3"/>
    <n v="0.42665674999999997"/>
    <n v="0"/>
    <n v="0"/>
    <m/>
    <m/>
    <m/>
    <m/>
    <m/>
    <m/>
    <m/>
    <m/>
    <m/>
    <m/>
    <m/>
    <d v="2017-07-31T00:00:00"/>
    <n v="-8.9610278971643531E-3"/>
    <x v="0"/>
  </r>
  <r>
    <x v="22"/>
    <x v="0"/>
    <s v="AAA"/>
    <n v="19054129.857872475"/>
    <n v="17468254.796890523"/>
    <m/>
    <m/>
    <n v="-3.7252902984619141E-9"/>
    <n v="0"/>
    <n v="1.0907861191299002"/>
    <n v="-3.7252902984619141E-9"/>
    <n v="0"/>
    <n v="-3.7252902984619141E-9"/>
    <m/>
    <s v="Private Equity Fund"/>
    <n v="1.3551912568305997E-3"/>
    <n v="0.45243046903834011"/>
    <n v="0"/>
    <n v="0"/>
    <m/>
    <m/>
    <m/>
    <m/>
    <m/>
    <m/>
    <m/>
    <m/>
    <m/>
    <m/>
    <m/>
    <d v="2017-08-31T00:00:00"/>
    <n v="-4.180507677858003E-2"/>
    <x v="0"/>
  </r>
  <r>
    <x v="23"/>
    <x v="0"/>
    <s v="AAA"/>
    <n v="19380300"/>
    <n v="17767277.800949011"/>
    <m/>
    <m/>
    <n v="0"/>
    <n v="0"/>
    <n v="1.0907861191299002"/>
    <n v="0"/>
    <n v="0"/>
    <n v="0"/>
    <m/>
    <s v="Private Equity Fund"/>
    <n v="1.2677595628415299E-3"/>
    <n v="0.47679190564072399"/>
    <n v="0"/>
    <n v="0"/>
    <m/>
    <m/>
    <m/>
    <m/>
    <m/>
    <m/>
    <m/>
    <m/>
    <m/>
    <m/>
    <m/>
    <d v="2017-09-29T00:00:00"/>
    <n v="1.7118081201318303E-2"/>
    <x v="0"/>
  </r>
  <r>
    <x v="24"/>
    <x v="0"/>
    <s v="AAA"/>
    <n v="19745854.181028899"/>
    <n v="18102406.91069648"/>
    <m/>
    <m/>
    <n v="0"/>
    <n v="0"/>
    <n v="1.0907861191299002"/>
    <n v="0"/>
    <n v="0"/>
    <n v="0"/>
    <m/>
    <s v="Private Equity Fund"/>
    <n v="1.3989071038251399E-3"/>
    <n v="0.50407938563675503"/>
    <n v="0"/>
    <n v="0"/>
    <m/>
    <m/>
    <m/>
    <m/>
    <m/>
    <m/>
    <m/>
    <m/>
    <m/>
    <m/>
    <m/>
    <d v="2017-10-31T00:00:00"/>
    <n v="1.8862152857742176E-2"/>
    <x v="0"/>
  </r>
  <r>
    <x v="25"/>
    <x v="0"/>
    <s v="AAA"/>
    <n v="20088177.7783462"/>
    <n v="18416238.918010954"/>
    <m/>
    <m/>
    <n v="0"/>
    <n v="0"/>
    <n v="1.0907861191299002"/>
    <n v="0"/>
    <n v="0"/>
    <n v="0"/>
    <m/>
    <s v="Private Equity Fund"/>
    <n v="1.3114754098360599E-3"/>
    <n v="0.52963901914538203"/>
    <n v="0"/>
    <n v="0"/>
    <m/>
    <m/>
    <m/>
    <m/>
    <m/>
    <m/>
    <m/>
    <m/>
    <m/>
    <m/>
    <m/>
    <d v="2017-11-30T00:00:00"/>
    <n v="1.7336479555601692E-2"/>
    <x v="0"/>
  </r>
  <r>
    <x v="26"/>
    <x v="0"/>
    <s v="AAA"/>
    <n v="20378685.620000001"/>
    <n v="18682567.794551417"/>
    <m/>
    <m/>
    <n v="0"/>
    <n v="0"/>
    <n v="1.0907861191299002"/>
    <n v="0"/>
    <n v="0"/>
    <n v="0"/>
    <m/>
    <s v="Private Equity Fund"/>
    <n v="1.2677599999999999E-3"/>
    <n v="0.55134995999999992"/>
    <n v="0"/>
    <n v="0"/>
    <m/>
    <m/>
    <m/>
    <m/>
    <m/>
    <m/>
    <m/>
    <m/>
    <m/>
    <m/>
    <m/>
    <d v="2017-12-29T00:00:00"/>
    <n v="1.4461632352086751E-2"/>
    <x v="0"/>
  </r>
  <r>
    <x v="27"/>
    <x v="0"/>
    <s v="AAA"/>
    <n v="20794300"/>
    <n v="19063590.593348607"/>
    <m/>
    <m/>
    <n v="0"/>
    <n v="0"/>
    <n v="1.0907861191299002"/>
    <n v="0"/>
    <n v="0"/>
    <n v="0"/>
    <m/>
    <s v="Private Equity Fund"/>
    <n v="1.4426199999999999E-3"/>
    <n v="0.5801153"/>
    <n v="0"/>
    <n v="0"/>
    <m/>
    <m/>
    <m/>
    <m/>
    <m/>
    <m/>
    <m/>
    <m/>
    <m/>
    <m/>
    <m/>
    <d v="2018-01-31T00:00:00"/>
    <n v="2.039456262047179E-2"/>
    <x v="0"/>
  </r>
  <r>
    <x v="28"/>
    <x v="0"/>
    <s v="AAA"/>
    <n v="23082670.170000002"/>
    <n v="21161499.7341666"/>
    <m/>
    <m/>
    <n v="0"/>
    <n v="0"/>
    <n v="1.0907861191299002"/>
    <n v="0"/>
    <n v="0"/>
    <n v="0"/>
    <m/>
    <s v="Private Equity Fund"/>
    <n v="1.22404E-3"/>
    <n v="0.60486085000000001"/>
    <n v="0"/>
    <n v="0"/>
    <m/>
    <m/>
    <m/>
    <m/>
    <m/>
    <m/>
    <m/>
    <m/>
    <m/>
    <m/>
    <m/>
    <d v="2018-02-28T00:00:00"/>
    <n v="0.11004795400662681"/>
    <x v="0"/>
  </r>
  <r>
    <x v="29"/>
    <x v="0"/>
    <s v="AAA"/>
    <n v="23862699.629999999"/>
    <n v="21876607.349051002"/>
    <m/>
    <m/>
    <n v="0"/>
    <n v="0"/>
    <n v="1.0907861191299002"/>
    <n v="0"/>
    <n v="0"/>
    <n v="0"/>
    <m/>
    <s v="Private Equity Fund"/>
    <n v="1.50522E-3"/>
    <n v="0.65972897120560203"/>
    <n v="0"/>
    <n v="0"/>
    <m/>
    <m/>
    <m/>
    <m/>
    <m/>
    <m/>
    <m/>
    <m/>
    <m/>
    <m/>
    <m/>
    <d v="2018-03-29T00:00:00"/>
    <n v="3.3792860802290603E-2"/>
    <x v="0"/>
  </r>
  <r>
    <x v="30"/>
    <x v="0"/>
    <s v="AAA"/>
    <n v="24568284.989999998"/>
    <n v="22523466.845725596"/>
    <m/>
    <m/>
    <n v="0"/>
    <n v="0"/>
    <n v="1.0907861191299002"/>
    <n v="0"/>
    <n v="0"/>
    <n v="0"/>
    <m/>
    <s v="Private Equity Fund"/>
    <n v="1.6609300000000001E-3"/>
    <n v="0.65972897120560203"/>
    <n v="0"/>
    <n v="0"/>
    <m/>
    <m/>
    <m/>
    <m/>
    <m/>
    <m/>
    <m/>
    <m/>
    <m/>
    <m/>
    <m/>
    <d v="2018-04-30T00:00:00"/>
    <n v="2.9568547186209493E-2"/>
    <x v="0"/>
  </r>
  <r>
    <x v="31"/>
    <x v="0"/>
    <s v="AAA"/>
    <n v="24275756.48"/>
    <n v="22255285.481047668"/>
    <m/>
    <m/>
    <n v="0"/>
    <n v="0"/>
    <n v="1.0907861191299002"/>
    <n v="0"/>
    <n v="0"/>
    <n v="0"/>
    <m/>
    <s v="Private Equity Fund"/>
    <n v="1.6090200000000001E-3"/>
    <n v="0.68783880000000008"/>
    <n v="0"/>
    <n v="0"/>
    <m/>
    <m/>
    <m/>
    <m/>
    <m/>
    <m/>
    <m/>
    <m/>
    <m/>
    <m/>
    <m/>
    <d v="2018-05-31T00:00:00"/>
    <n v="-1.1906753365937606E-2"/>
    <x v="0"/>
  </r>
  <r>
    <x v="32"/>
    <x v="0"/>
    <s v="AAA"/>
    <n v="24632705.91"/>
    <n v="22582526.013118915"/>
    <m/>
    <m/>
    <n v="0"/>
    <n v="0"/>
    <n v="1.0907861191299002"/>
    <n v="0"/>
    <n v="0"/>
    <n v="-24632705.91"/>
    <m/>
    <s v="Private Equity Fund"/>
    <n v="1.50522E-3"/>
    <n v="0.71213811999999999"/>
    <n v="0"/>
    <n v="0"/>
    <m/>
    <m/>
    <m/>
    <m/>
    <m/>
    <m/>
    <m/>
    <m/>
    <m/>
    <m/>
    <m/>
    <d v="2018-06-29T00:00:00"/>
    <n v="1.4703946725370898E-2"/>
    <x v="0"/>
  </r>
  <r>
    <x v="33"/>
    <x v="0"/>
    <s v="AAA"/>
    <n v="24632705.91"/>
    <n v="22582526.013118915"/>
    <m/>
    <m/>
    <n v="0"/>
    <n v="0"/>
    <n v="1.0907861191299002"/>
    <n v="0"/>
    <n v="0"/>
    <n v="0"/>
    <m/>
    <s v="Private Equity Fund"/>
    <n v="1.50522E-3"/>
    <n v="0.71213811999999999"/>
    <n v="0"/>
    <n v="0"/>
    <m/>
    <m/>
    <m/>
    <m/>
    <m/>
    <m/>
    <m/>
    <m/>
    <m/>
    <m/>
    <m/>
    <d v="2018-07-31T00:00:00"/>
    <n v="0"/>
    <x v="0"/>
  </r>
  <r>
    <x v="34"/>
    <x v="1"/>
    <s v="Amsteel"/>
    <n v="5000000"/>
    <n v="5000000"/>
    <m/>
    <n v="5000000"/>
    <n v="0"/>
    <n v="0"/>
    <n v="1"/>
    <n v="5000000"/>
    <n v="5000000"/>
    <n v="5000000"/>
    <m/>
    <s v="Private Equity Fund"/>
    <n v="0"/>
    <n v="0"/>
    <n v="0"/>
    <n v="0"/>
    <m/>
    <m/>
    <m/>
    <m/>
    <m/>
    <m/>
    <m/>
    <m/>
    <m/>
    <m/>
    <m/>
    <d v="2013-09-25T00:00:00"/>
    <n v="0"/>
    <x v="0"/>
  </r>
  <r>
    <x v="35"/>
    <x v="1"/>
    <s v="Amsteel"/>
    <n v="5000000"/>
    <n v="5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3-09-30T00:00:00"/>
    <n v="0"/>
    <x v="0"/>
  </r>
  <r>
    <x v="36"/>
    <x v="1"/>
    <s v="Amsteel"/>
    <n v="5000000"/>
    <n v="5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0-31T00:00:00"/>
    <n v="0"/>
    <x v="0"/>
  </r>
  <r>
    <x v="37"/>
    <x v="1"/>
    <s v="Amsteel"/>
    <n v="5125316.4396383502"/>
    <n v="5125316.439638350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2.5063287927669986E-2"/>
    <x v="0"/>
  </r>
  <r>
    <x v="38"/>
    <x v="1"/>
    <s v="Amsteel"/>
    <n v="5187317.3793550124"/>
    <n v="5187317.379355012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2-31T00:00:00"/>
    <n v="1.2096997414082988E-2"/>
    <x v="0"/>
  </r>
  <r>
    <x v="39"/>
    <x v="1"/>
    <s v="Amsteel"/>
    <n v="5245667.6219666172"/>
    <n v="5245667.621966617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1.1248635536324159E-2"/>
    <x v="0"/>
  </r>
  <r>
    <x v="40"/>
    <x v="1"/>
    <s v="Amsteel"/>
    <n v="5302134.6910279123"/>
    <n v="5302134.6910279123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1.0764515240125894E-2"/>
    <x v="0"/>
  </r>
  <r>
    <x v="41"/>
    <x v="1"/>
    <s v="Amsteel"/>
    <n v="5362007.8615804501"/>
    <n v="5362007.86158045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3-31T00:00:00"/>
    <n v="1.1292276421014602E-2"/>
    <x v="0"/>
  </r>
  <r>
    <x v="42"/>
    <x v="1"/>
    <s v="Amsteel"/>
    <n v="5419999.19074817"/>
    <n v="5419999.1907481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1.0815226434716108E-2"/>
    <x v="0"/>
  </r>
  <r>
    <x v="43"/>
    <x v="1"/>
    <s v="Amsteel"/>
    <n v="5478065.2156705195"/>
    <n v="5478065.215670519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5-30T00:00:00"/>
    <n v="1.0713290330645719E-2"/>
    <x v="0"/>
  </r>
  <r>
    <x v="44"/>
    <x v="1"/>
    <s v="Amsteel"/>
    <n v="5538169.8641023338"/>
    <n v="5538169.864102333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1.0971875300038292E-2"/>
    <x v="0"/>
  </r>
  <r>
    <x v="45"/>
    <x v="1"/>
    <s v="Amsteel"/>
    <n v="5598380.2334553897"/>
    <n v="5598380.233455389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7-31T00:00:00"/>
    <n v="1.087188923968041E-2"/>
    <x v="0"/>
  </r>
  <r>
    <x v="46"/>
    <x v="1"/>
    <s v="Amsteel"/>
    <n v="5654814.7240162529"/>
    <n v="5654814.724016252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8-29T00:00:00"/>
    <n v="1.0080503325518242E-2"/>
    <x v="0"/>
  </r>
  <r>
    <x v="47"/>
    <x v="1"/>
    <s v="Amsteel"/>
    <n v="0"/>
    <n v="0"/>
    <m/>
    <m/>
    <n v="0"/>
    <n v="-5706975.6700801905"/>
    <n v="1"/>
    <n v="-5706975.6700801905"/>
    <n v="-5706975.6700801905"/>
    <n v="-5706975.6700801905"/>
    <m/>
    <s v="Private Equity Fund"/>
    <n v="0"/>
    <n v="0"/>
    <n v="0"/>
    <n v="0"/>
    <m/>
    <m/>
    <m/>
    <m/>
    <m/>
    <m/>
    <m/>
    <m/>
    <m/>
    <m/>
    <m/>
    <d v="2014-09-30T00:00:00"/>
    <n v="9.2241653545972468E-3"/>
    <x v="0"/>
  </r>
  <r>
    <x v="48"/>
    <x v="2"/>
    <s v="ARF"/>
    <n v="6749909.9918982461"/>
    <n v="618.68607472861777"/>
    <m/>
    <n v="6749909.9918982461"/>
    <n v="0"/>
    <n v="0"/>
    <n v="10910.072600000001"/>
    <n v="6749909.9918982461"/>
    <n v="618.68607472861777"/>
    <n v="618.68607472861777"/>
    <m/>
    <s v="Hedge Fund"/>
    <n v="0"/>
    <n v="0"/>
    <n v="0"/>
    <n v="0"/>
    <m/>
    <m/>
    <m/>
    <m/>
    <m/>
    <m/>
    <m/>
    <m/>
    <m/>
    <m/>
    <m/>
    <d v="2002-05-31T00:00:00"/>
    <n v="0"/>
    <x v="1"/>
  </r>
  <r>
    <x v="49"/>
    <x v="2"/>
    <s v="ARF"/>
    <n v="6781984.8891887469"/>
    <n v="621.62600908712068"/>
    <m/>
    <n v="0"/>
    <n v="0"/>
    <n v="0"/>
    <n v="10910.072600000001"/>
    <n v="0"/>
    <n v="0"/>
    <n v="0"/>
    <m/>
    <s v="Hedge Fund"/>
    <n v="0"/>
    <n v="0"/>
    <n v="0"/>
    <n v="0"/>
    <m/>
    <m/>
    <m/>
    <m/>
    <m/>
    <m/>
    <m/>
    <m/>
    <m/>
    <m/>
    <m/>
    <d v="2002-06-28T00:00:00"/>
    <n v="4.7519000000000311E-3"/>
    <x v="1"/>
  </r>
  <r>
    <x v="50"/>
    <x v="2"/>
    <s v="ARF"/>
    <n v="7728473.6066321544"/>
    <n v="624.254249401175"/>
    <m/>
    <n v="917814.42480682768"/>
    <n v="0"/>
    <n v="0"/>
    <n v="12380.329992220006"/>
    <n v="917814.42480682768"/>
    <n v="0"/>
    <n v="0"/>
    <m/>
    <s v="Hedge Fund"/>
    <n v="0"/>
    <n v="0"/>
    <n v="0"/>
    <n v="0"/>
    <m/>
    <m/>
    <m/>
    <m/>
    <m/>
    <m/>
    <m/>
    <m/>
    <m/>
    <m/>
    <m/>
    <d v="2002-07-31T00:00:00"/>
    <n v="4.2280089243917907E-3"/>
    <x v="1"/>
  </r>
  <r>
    <x v="51"/>
    <x v="2"/>
    <s v="ARF"/>
    <n v="7851026.2108998587"/>
    <n v="634.15322659683318"/>
    <m/>
    <n v="0"/>
    <n v="-4.6566128730773926E-9"/>
    <n v="0"/>
    <n v="12380.329992219999"/>
    <n v="-4.6566128730773926E-9"/>
    <n v="0"/>
    <n v="0"/>
    <m/>
    <s v="Hedge Fund"/>
    <n v="0"/>
    <n v="0"/>
    <n v="0"/>
    <n v="0"/>
    <m/>
    <m/>
    <m/>
    <m/>
    <m/>
    <m/>
    <m/>
    <m/>
    <m/>
    <m/>
    <m/>
    <d v="2002-08-30T00:00:00"/>
    <n v="1.5857284440040198E-2"/>
    <x v="1"/>
  </r>
  <r>
    <x v="52"/>
    <x v="2"/>
    <s v="ARF"/>
    <n v="8023874.4039590294"/>
    <n v="648.11474403358886"/>
    <m/>
    <n v="1.862645149230957E-9"/>
    <n v="0"/>
    <n v="0"/>
    <n v="12380.32999222"/>
    <n v="1.862645149230957E-9"/>
    <n v="0"/>
    <n v="0"/>
    <m/>
    <s v="Hedge Fund"/>
    <n v="0"/>
    <n v="0"/>
    <n v="0"/>
    <n v="0"/>
    <m/>
    <m/>
    <m/>
    <m/>
    <m/>
    <m/>
    <m/>
    <m/>
    <m/>
    <m/>
    <m/>
    <d v="2002-09-30T00:00:00"/>
    <n v="2.2015999999999591E-2"/>
    <x v="1"/>
  </r>
  <r>
    <x v="53"/>
    <x v="2"/>
    <s v="ARF"/>
    <n v="11214338.140100392"/>
    <n v="649.00169239032004"/>
    <m/>
    <n v="3179483.0227989731"/>
    <n v="0"/>
    <n v="0"/>
    <n v="17279.366558810001"/>
    <n v="3179483.0227989731"/>
    <n v="0"/>
    <n v="0"/>
    <m/>
    <s v="Hedge Fund"/>
    <n v="0"/>
    <n v="0"/>
    <n v="0"/>
    <n v="0"/>
    <m/>
    <m/>
    <m/>
    <m/>
    <m/>
    <m/>
    <m/>
    <m/>
    <m/>
    <m/>
    <m/>
    <d v="2002-10-30T00:00:00"/>
    <n v="1.3685051372402945E-3"/>
    <x v="1"/>
  </r>
  <r>
    <x v="54"/>
    <x v="2"/>
    <s v="ARF"/>
    <n v="14316516.878817642"/>
    <n v="730.66825425449758"/>
    <m/>
    <n v="1691032.2806683928"/>
    <n v="0"/>
    <n v="0"/>
    <n v="19593.730527440002"/>
    <n v="1691032.2806683928"/>
    <n v="0"/>
    <n v="0"/>
    <m/>
    <s v="Hedge Fund"/>
    <n v="0"/>
    <n v="0"/>
    <n v="0"/>
    <n v="0"/>
    <m/>
    <m/>
    <m/>
    <m/>
    <m/>
    <m/>
    <m/>
    <m/>
    <m/>
    <m/>
    <m/>
    <d v="2002-11-29T00:00:00"/>
    <n v="0.12583412774070535"/>
    <x v="1"/>
  </r>
  <r>
    <x v="55"/>
    <x v="2"/>
    <s v="ARF"/>
    <n v="16925908.766360465"/>
    <n v="863.84309218995372"/>
    <m/>
    <n v="0"/>
    <n v="0"/>
    <n v="0"/>
    <n v="19593.730527440002"/>
    <n v="0"/>
    <n v="0"/>
    <n v="0"/>
    <m/>
    <s v="Hedge Fund"/>
    <n v="0"/>
    <n v="0"/>
    <n v="0"/>
    <n v="0"/>
    <m/>
    <m/>
    <m/>
    <m/>
    <m/>
    <m/>
    <m/>
    <m/>
    <m/>
    <m/>
    <m/>
    <d v="2002-12-31T00:00:00"/>
    <n v="0.18226443691786609"/>
    <x v="1"/>
  </r>
  <r>
    <x v="56"/>
    <x v="2"/>
    <s v="ARF"/>
    <n v="22284435.707187761"/>
    <n v="937.85236211303766"/>
    <m/>
    <n v="3908409.24942182"/>
    <n v="0"/>
    <n v="0"/>
    <n v="23761.134062700006"/>
    <n v="3908409.24942182"/>
    <n v="0"/>
    <n v="0"/>
    <m/>
    <s v="Hedge Fund"/>
    <n v="0"/>
    <n v="0"/>
    <n v="0"/>
    <n v="0"/>
    <m/>
    <m/>
    <m/>
    <m/>
    <m/>
    <m/>
    <m/>
    <m/>
    <m/>
    <m/>
    <m/>
    <d v="2003-01-31T00:00:00"/>
    <n v="8.567443623987403E-2"/>
    <x v="1"/>
  </r>
  <r>
    <x v="57"/>
    <x v="2"/>
    <s v="ARF"/>
    <n v="26974538.276231118"/>
    <n v="976.59596895912296"/>
    <m/>
    <n v="3769510.5327009819"/>
    <n v="0"/>
    <n v="0"/>
    <n v="27620.98056270001"/>
    <n v="3769510.5327009819"/>
    <n v="0"/>
    <n v="0"/>
    <m/>
    <s v="Hedge Fund"/>
    <n v="0"/>
    <n v="0"/>
    <n v="0"/>
    <n v="0"/>
    <m/>
    <m/>
    <m/>
    <m/>
    <m/>
    <m/>
    <m/>
    <m/>
    <m/>
    <m/>
    <m/>
    <d v="2003-02-28T00:00:00"/>
    <n v="4.1310987113999165E-2"/>
    <x v="1"/>
  </r>
  <r>
    <x v="58"/>
    <x v="2"/>
    <s v="ARF"/>
    <n v="27079382.675778888"/>
    <n v="980.39179363340543"/>
    <m/>
    <n v="0"/>
    <n v="-3.7252902984619141E-9"/>
    <n v="0"/>
    <n v="27620.980562700006"/>
    <n v="-3.7252902984619141E-9"/>
    <n v="0"/>
    <n v="0"/>
    <m/>
    <s v="Hedge Fund"/>
    <n v="0"/>
    <n v="0"/>
    <n v="0"/>
    <n v="0"/>
    <m/>
    <m/>
    <m/>
    <m/>
    <m/>
    <m/>
    <m/>
    <m/>
    <m/>
    <m/>
    <m/>
    <d v="2003-03-31T00:00:00"/>
    <n v="3.8867912575228925E-3"/>
    <x v="1"/>
  </r>
  <r>
    <x v="59"/>
    <x v="2"/>
    <s v="ARF"/>
    <n v="48659638.343423203"/>
    <n v="996.43398038672808"/>
    <m/>
    <n v="21137154.739147589"/>
    <n v="0"/>
    <n v="0"/>
    <n v="48833.780562700005"/>
    <n v="21137154.739147589"/>
    <n v="0"/>
    <n v="0"/>
    <m/>
    <s v="Hedge Fund"/>
    <n v="0"/>
    <n v="0"/>
    <n v="0"/>
    <n v="0"/>
    <m/>
    <m/>
    <m/>
    <m/>
    <m/>
    <m/>
    <m/>
    <m/>
    <m/>
    <m/>
    <m/>
    <d v="2003-04-30T00:00:00"/>
    <n v="1.6363036550794741E-2"/>
    <x v="1"/>
  </r>
  <r>
    <x v="60"/>
    <x v="2"/>
    <s v="ARF"/>
    <n v="49882723.180063948"/>
    <n v="1021.479856879341"/>
    <m/>
    <n v="0"/>
    <n v="0"/>
    <n v="0"/>
    <n v="48833.780562700005"/>
    <n v="0"/>
    <n v="0"/>
    <n v="0"/>
    <m/>
    <s v="Hedge Fund"/>
    <n v="0"/>
    <n v="0"/>
    <n v="0"/>
    <n v="0"/>
    <m/>
    <m/>
    <m/>
    <m/>
    <m/>
    <m/>
    <m/>
    <m/>
    <m/>
    <m/>
    <m/>
    <d v="2003-05-30T00:00:00"/>
    <n v="2.5135510215029244E-2"/>
    <x v="1"/>
  </r>
  <r>
    <x v="61"/>
    <x v="2"/>
    <s v="ARF"/>
    <n v="53252382.71416261"/>
    <n v="1027.8809398558005"/>
    <m/>
    <n v="3057070.4526626021"/>
    <n v="0"/>
    <n v="0"/>
    <n v="51807.928962699989"/>
    <n v="3057070.4526626021"/>
    <n v="0"/>
    <n v="0"/>
    <m/>
    <s v="Hedge Fund"/>
    <n v="0"/>
    <n v="0"/>
    <n v="0"/>
    <n v="0"/>
    <m/>
    <m/>
    <m/>
    <m/>
    <m/>
    <m/>
    <m/>
    <m/>
    <m/>
    <m/>
    <m/>
    <d v="2003-06-30T00:00:00"/>
    <n v="6.2664798853842019E-3"/>
    <x v="1"/>
  </r>
  <r>
    <x v="62"/>
    <x v="2"/>
    <s v="ARF"/>
    <n v="54456302.425475195"/>
    <n v="1031.7350973533248"/>
    <m/>
    <n v="1004243.7934697866"/>
    <n v="0"/>
    <n v="0"/>
    <n v="52781.283262700003"/>
    <n v="1004243.7934697866"/>
    <n v="0"/>
    <n v="0"/>
    <m/>
    <s v="Hedge Fund"/>
    <n v="0"/>
    <n v="0"/>
    <n v="0"/>
    <n v="0"/>
    <m/>
    <m/>
    <m/>
    <m/>
    <m/>
    <m/>
    <m/>
    <m/>
    <m/>
    <m/>
    <m/>
    <d v="2003-07-31T00:00:00"/>
    <n v="3.7496147151683257E-3"/>
    <x v="1"/>
  </r>
  <r>
    <x v="63"/>
    <x v="2"/>
    <s v="ARF"/>
    <n v="55881933.612649925"/>
    <n v="1058.7452626818024"/>
    <m/>
    <n v="0"/>
    <n v="-7.4505805969238281E-9"/>
    <n v="0"/>
    <n v="52781.283262699995"/>
    <n v="-7.4505805969238281E-9"/>
    <n v="0"/>
    <n v="0"/>
    <m/>
    <s v="Hedge Fund"/>
    <n v="0"/>
    <n v="0"/>
    <n v="0"/>
    <n v="0"/>
    <m/>
    <m/>
    <m/>
    <m/>
    <m/>
    <m/>
    <m/>
    <m/>
    <m/>
    <m/>
    <m/>
    <d v="2003-08-29T00:00:00"/>
    <n v="2.617936076592331E-2"/>
    <x v="1"/>
  </r>
  <r>
    <x v="64"/>
    <x v="2"/>
    <s v="ARF"/>
    <n v="57656149.670950986"/>
    <n v="1092.3597553319814"/>
    <m/>
    <n v="1.4901161193847656E-8"/>
    <n v="0"/>
    <n v="0"/>
    <n v="52781.283262700003"/>
    <n v="1.4901161193847656E-8"/>
    <n v="0"/>
    <n v="0"/>
    <m/>
    <s v="Hedge Fund"/>
    <n v="0"/>
    <n v="0"/>
    <n v="0"/>
    <n v="0"/>
    <m/>
    <m/>
    <m/>
    <m/>
    <m/>
    <m/>
    <m/>
    <m/>
    <m/>
    <m/>
    <m/>
    <d v="2003-09-30T00:00:00"/>
    <n v="3.1749367704402731E-2"/>
    <x v="1"/>
  </r>
  <r>
    <x v="65"/>
    <x v="2"/>
    <s v="ARF"/>
    <n v="79379745.093518212"/>
    <n v="1107.5970631330749"/>
    <m/>
    <n v="20919350.763356768"/>
    <n v="0"/>
    <n v="0"/>
    <n v="71668.432262699978"/>
    <n v="20919350.763356768"/>
    <n v="0"/>
    <n v="0"/>
    <m/>
    <s v="Hedge Fund"/>
    <n v="0"/>
    <n v="0"/>
    <n v="0"/>
    <n v="0"/>
    <m/>
    <m/>
    <m/>
    <m/>
    <m/>
    <m/>
    <m/>
    <m/>
    <m/>
    <m/>
    <m/>
    <d v="2003-10-31T00:00:00"/>
    <n v="1.3948983131901072E-2"/>
    <x v="1"/>
  </r>
  <r>
    <x v="66"/>
    <x v="2"/>
    <s v="ARF"/>
    <n v="90224471.478453606"/>
    <n v="1102.5368963469984"/>
    <m/>
    <n v="11207380.605481282"/>
    <n v="0"/>
    <n v="0"/>
    <n v="81833.516662699971"/>
    <n v="11207380.605481282"/>
    <n v="0"/>
    <n v="0"/>
    <m/>
    <s v="Hedge Fund"/>
    <n v="0"/>
    <n v="0"/>
    <n v="0"/>
    <n v="0"/>
    <m/>
    <m/>
    <m/>
    <m/>
    <m/>
    <m/>
    <m/>
    <m/>
    <m/>
    <m/>
    <m/>
    <d v="2003-11-28T00:00:00"/>
    <n v="-4.5685989557996409E-3"/>
    <x v="1"/>
  </r>
  <r>
    <x v="67"/>
    <x v="2"/>
    <s v="ARF"/>
    <n v="91843291.29175207"/>
    <n v="1104.7140999999999"/>
    <m/>
    <n v="1440651.5818824768"/>
    <n v="0"/>
    <n v="0"/>
    <n v="83137.611162699992"/>
    <n v="1440651.5818824768"/>
    <n v="0"/>
    <n v="0"/>
    <m/>
    <s v="Hedge Fund"/>
    <n v="0"/>
    <n v="0"/>
    <n v="0"/>
    <n v="0"/>
    <m/>
    <m/>
    <m/>
    <m/>
    <m/>
    <m/>
    <m/>
    <m/>
    <m/>
    <m/>
    <m/>
    <d v="2003-12-31T00:00:00"/>
    <n v="1.9747218076919815E-3"/>
    <x v="1"/>
  </r>
  <r>
    <x v="68"/>
    <x v="2"/>
    <s v="ARF"/>
    <n v="90237190.528417513"/>
    <n v="1142.7991999999999"/>
    <m/>
    <n v="0"/>
    <n v="-4772404.9982271045"/>
    <n v="0"/>
    <n v="78961.54506270001"/>
    <n v="-4772404.9982271045"/>
    <n v="0"/>
    <n v="0"/>
    <m/>
    <s v="Hedge Fund"/>
    <n v="0"/>
    <n v="0"/>
    <n v="0"/>
    <n v="0"/>
    <m/>
    <m/>
    <m/>
    <m/>
    <m/>
    <m/>
    <m/>
    <m/>
    <m/>
    <m/>
    <m/>
    <d v="2004-01-31T00:00:00"/>
    <n v="3.4475073686486057E-2"/>
    <x v="1"/>
  </r>
  <r>
    <x v="69"/>
    <x v="2"/>
    <s v="ARF"/>
    <n v="93657771.974627659"/>
    <n v="1173.1184000000001"/>
    <m/>
    <n v="1026530.5691451132"/>
    <n v="0"/>
    <n v="0"/>
    <n v="79836.589362700004"/>
    <n v="1026530.5691451132"/>
    <n v="0"/>
    <n v="0"/>
    <m/>
    <s v="Hedge Fund"/>
    <n v="0"/>
    <n v="0"/>
    <n v="0"/>
    <n v="0"/>
    <m/>
    <m/>
    <m/>
    <m/>
    <m/>
    <m/>
    <m/>
    <m/>
    <m/>
    <m/>
    <m/>
    <d v="2004-02-27T00:00:00"/>
    <n v="2.6530645103707062E-2"/>
    <x v="1"/>
  </r>
  <r>
    <x v="70"/>
    <x v="2"/>
    <s v="ARF"/>
    <n v="97485302.037818968"/>
    <n v="1171.0465999999999"/>
    <m/>
    <n v="3992935.5090329647"/>
    <n v="0"/>
    <n v="0"/>
    <n v="83246.3046627"/>
    <n v="3992935.5090329647"/>
    <n v="0"/>
    <n v="0"/>
    <m/>
    <s v="Hedge Fund"/>
    <n v="0"/>
    <n v="0"/>
    <n v="0"/>
    <n v="0"/>
    <m/>
    <m/>
    <m/>
    <m/>
    <m/>
    <m/>
    <m/>
    <m/>
    <m/>
    <m/>
    <m/>
    <d v="2004-03-31T00:00:00"/>
    <n v="-1.7660621468388316E-3"/>
    <x v="1"/>
  </r>
  <r>
    <x v="71"/>
    <x v="2"/>
    <s v="ARF"/>
    <n v="101662518.16102278"/>
    <n v="1167.9290000000001"/>
    <m/>
    <n v="4436744.8026202321"/>
    <n v="0"/>
    <n v="0"/>
    <n v="87045.118462700018"/>
    <n v="4436744.8026202321"/>
    <n v="0"/>
    <n v="0"/>
    <m/>
    <s v="Hedge Fund"/>
    <n v="0"/>
    <n v="0"/>
    <n v="0"/>
    <n v="0"/>
    <m/>
    <m/>
    <m/>
    <m/>
    <m/>
    <m/>
    <m/>
    <m/>
    <m/>
    <m/>
    <m/>
    <d v="2004-04-30T00:00:00"/>
    <n v="-2.6622339367193826E-3"/>
    <x v="1"/>
  </r>
  <r>
    <x v="72"/>
    <x v="2"/>
    <s v="ARF"/>
    <n v="118417278.68384798"/>
    <n v="1141.9378999999997"/>
    <m/>
    <n v="19017158.901301116"/>
    <n v="0"/>
    <n v="0"/>
    <n v="103698.52746270003"/>
    <n v="19017158.901301116"/>
    <n v="0"/>
    <n v="0"/>
    <m/>
    <s v="Hedge Fund"/>
    <n v="0"/>
    <n v="0"/>
    <n v="0"/>
    <n v="0"/>
    <m/>
    <m/>
    <m/>
    <m/>
    <m/>
    <m/>
    <m/>
    <m/>
    <m/>
    <m/>
    <m/>
    <d v="2004-05-31T00:00:00"/>
    <n v="-2.2254006878843158E-2"/>
    <x v="1"/>
  </r>
  <r>
    <x v="73"/>
    <x v="2"/>
    <s v="ARF"/>
    <n v="119663386.78956835"/>
    <n v="1152.3003000000001"/>
    <m/>
    <n v="171542.48474085331"/>
    <n v="0"/>
    <n v="0"/>
    <n v="103847.39706270001"/>
    <n v="171542.48474085331"/>
    <n v="0"/>
    <n v="0"/>
    <m/>
    <s v="Hedge Fund"/>
    <n v="0"/>
    <n v="0"/>
    <n v="0"/>
    <n v="0"/>
    <m/>
    <m/>
    <m/>
    <m/>
    <m/>
    <m/>
    <m/>
    <m/>
    <m/>
    <m/>
    <m/>
    <d v="2004-06-30T00:00:00"/>
    <n v="9.0743988793089425E-3"/>
    <x v="1"/>
  </r>
  <r>
    <x v="74"/>
    <x v="2"/>
    <s v="ARF"/>
    <n v="120028558.13680373"/>
    <n v="1158.3661"/>
    <m/>
    <n v="0"/>
    <n v="-264746.1938675344"/>
    <n v="0"/>
    <n v="103618.84566270003"/>
    <n v="-264746.1938675344"/>
    <n v="0"/>
    <n v="0"/>
    <m/>
    <s v="Hedge Fund"/>
    <n v="0"/>
    <n v="0"/>
    <n v="0"/>
    <n v="0"/>
    <m/>
    <m/>
    <m/>
    <m/>
    <m/>
    <m/>
    <m/>
    <m/>
    <m/>
    <m/>
    <m/>
    <d v="2004-07-30T00:00:00"/>
    <n v="5.2640791640858886E-3"/>
    <x v="1"/>
  </r>
  <r>
    <x v="75"/>
    <x v="2"/>
    <s v="ARF"/>
    <n v="120175468.9361843"/>
    <n v="1159.7838999999999"/>
    <m/>
    <n v="0"/>
    <n v="-1.4901161193847656E-8"/>
    <n v="0"/>
    <n v="103618.84566270003"/>
    <n v="-1.4901161193847656E-8"/>
    <n v="0"/>
    <n v="0"/>
    <m/>
    <s v="Hedge Fund"/>
    <n v="0"/>
    <n v="0"/>
    <n v="0"/>
    <n v="0"/>
    <m/>
    <m/>
    <m/>
    <m/>
    <m/>
    <m/>
    <m/>
    <m/>
    <m/>
    <m/>
    <m/>
    <d v="2004-08-31T00:00:00"/>
    <n v="1.2239653767491809E-3"/>
    <x v="1"/>
  </r>
  <r>
    <x v="76"/>
    <x v="2"/>
    <s v="ARF"/>
    <n v="133151966.97990951"/>
    <n v="1185.8472000000002"/>
    <m/>
    <n v="10275848.983564526"/>
    <n v="0"/>
    <n v="0"/>
    <n v="112284.2529627"/>
    <n v="10275848.983564526"/>
    <n v="0"/>
    <n v="0"/>
    <m/>
    <s v="Hedge Fund"/>
    <n v="0"/>
    <n v="0"/>
    <n v="0"/>
    <n v="0"/>
    <m/>
    <m/>
    <m/>
    <m/>
    <m/>
    <m/>
    <m/>
    <m/>
    <m/>
    <m/>
    <m/>
    <d v="2004-09-30T00:00:00"/>
    <n v="2.2472548549777427E-2"/>
    <x v="1"/>
  </r>
  <r>
    <x v="77"/>
    <x v="2"/>
    <s v="ARF"/>
    <n v="132441385.28338923"/>
    <n v="1202.7425000000003"/>
    <m/>
    <n v="0"/>
    <n v="-2607657.8356010169"/>
    <n v="0"/>
    <n v="110116.1597627"/>
    <n v="-2607657.8356010169"/>
    <n v="0"/>
    <n v="0"/>
    <m/>
    <s v="Hedge Fund"/>
    <n v="0"/>
    <n v="0"/>
    <n v="0"/>
    <n v="0"/>
    <m/>
    <m/>
    <m/>
    <m/>
    <m/>
    <m/>
    <m/>
    <m/>
    <m/>
    <m/>
    <m/>
    <d v="2004-10-29T00:00:00"/>
    <n v="1.4247451104999254E-2"/>
    <x v="1"/>
  </r>
  <r>
    <x v="78"/>
    <x v="2"/>
    <s v="ARF"/>
    <n v="138826338.32738152"/>
    <n v="1258.3509999999999"/>
    <m/>
    <n v="261558.57382822037"/>
    <n v="0"/>
    <n v="0"/>
    <n v="110324.01796270002"/>
    <n v="261558.57382822037"/>
    <n v="0"/>
    <n v="0"/>
    <m/>
    <s v="Hedge Fund"/>
    <n v="0"/>
    <n v="0"/>
    <n v="0"/>
    <n v="0"/>
    <m/>
    <m/>
    <m/>
    <m/>
    <m/>
    <m/>
    <m/>
    <m/>
    <m/>
    <m/>
    <m/>
    <d v="2004-11-30T00:00:00"/>
    <n v="4.6234750996160701E-2"/>
    <x v="1"/>
  </r>
  <r>
    <x v="79"/>
    <x v="2"/>
    <s v="ARF"/>
    <n v="161923259.5087077"/>
    <n v="1291.0157999999999"/>
    <m/>
    <n v="19493209.199378192"/>
    <n v="0"/>
    <n v="0"/>
    <n v="125423.14316270004"/>
    <n v="19493209.199378192"/>
    <n v="0"/>
    <n v="0"/>
    <m/>
    <s v="Hedge Fund"/>
    <n v="0"/>
    <n v="0"/>
    <n v="0"/>
    <n v="0"/>
    <m/>
    <m/>
    <m/>
    <m/>
    <m/>
    <m/>
    <m/>
    <m/>
    <m/>
    <m/>
    <m/>
    <d v="2004-12-31T00:00:00"/>
    <n v="2.5958417007655221E-2"/>
    <x v="1"/>
  </r>
  <r>
    <x v="80"/>
    <x v="2"/>
    <s v="ARF"/>
    <n v="183039313.04451823"/>
    <n v="1306.5826000000002"/>
    <m/>
    <n v="19163616.550825357"/>
    <n v="0"/>
    <n v="0"/>
    <n v="140090.1198627"/>
    <n v="19163616.550825357"/>
    <n v="0"/>
    <n v="0"/>
    <m/>
    <s v="Hedge Fund"/>
    <n v="0"/>
    <n v="0"/>
    <n v="0"/>
    <n v="0"/>
    <m/>
    <m/>
    <m/>
    <m/>
    <m/>
    <m/>
    <m/>
    <m/>
    <m/>
    <m/>
    <m/>
    <d v="2005-01-31T00:00:00"/>
    <n v="1.205779201153101E-2"/>
    <x v="1"/>
  </r>
  <r>
    <x v="81"/>
    <x v="2"/>
    <s v="ARF"/>
    <n v="197976654.86490938"/>
    <n v="1337.2299999999998"/>
    <m/>
    <n v="10643943.880911082"/>
    <n v="0"/>
    <n v="0"/>
    <n v="148049.81556270007"/>
    <n v="10643943.880911082"/>
    <n v="0"/>
    <n v="0"/>
    <m/>
    <s v="Hedge Fund"/>
    <n v="0"/>
    <n v="0"/>
    <n v="0"/>
    <n v="0"/>
    <m/>
    <m/>
    <m/>
    <m/>
    <m/>
    <m/>
    <m/>
    <m/>
    <m/>
    <m/>
    <m/>
    <d v="2005-02-28T00:00:00"/>
    <n v="2.3456151949367454E-2"/>
    <x v="1"/>
  </r>
  <r>
    <x v="82"/>
    <x v="2"/>
    <s v="ARF"/>
    <n v="197964520.74361074"/>
    <n v="1323.7750000000001"/>
    <m/>
    <n v="1979876.1470974386"/>
    <n v="0"/>
    <n v="0"/>
    <n v="149545.44446270002"/>
    <n v="1979876.1470974386"/>
    <n v="0"/>
    <n v="0"/>
    <m/>
    <s v="Hedge Fund"/>
    <n v="0"/>
    <n v="0"/>
    <n v="0"/>
    <n v="0"/>
    <m/>
    <m/>
    <m/>
    <m/>
    <m/>
    <m/>
    <m/>
    <m/>
    <m/>
    <m/>
    <m/>
    <d v="2005-03-31T00:00:00"/>
    <n v="-1.0061844260149444E-2"/>
    <x v="1"/>
  </r>
  <r>
    <x v="83"/>
    <x v="2"/>
    <s v="ARF"/>
    <n v="195145846.018877"/>
    <n v="1295.7067999999999"/>
    <m/>
    <n v="1378796.7195342481"/>
    <n v="0"/>
    <n v="0"/>
    <n v="150609.5715627"/>
    <n v="1378796.7195342481"/>
    <n v="0"/>
    <n v="0"/>
    <m/>
    <s v="Hedge Fund"/>
    <n v="0"/>
    <n v="0"/>
    <n v="0"/>
    <n v="0"/>
    <m/>
    <m/>
    <m/>
    <m/>
    <m/>
    <m/>
    <m/>
    <m/>
    <m/>
    <m/>
    <m/>
    <d v="2005-04-30T00:00:00"/>
    <n v="-2.1203150082151567E-2"/>
    <x v="1"/>
  </r>
  <r>
    <x v="84"/>
    <x v="2"/>
    <s v="ARF"/>
    <n v="196818576.16448098"/>
    <n v="1306.8132000000001"/>
    <m/>
    <n v="0"/>
    <n v="0"/>
    <n v="0"/>
    <n v="150609.5715627"/>
    <n v="0"/>
    <n v="0"/>
    <n v="0"/>
    <m/>
    <s v="Hedge Fund"/>
    <n v="0"/>
    <n v="0"/>
    <n v="0"/>
    <n v="0"/>
    <m/>
    <m/>
    <m/>
    <m/>
    <m/>
    <m/>
    <m/>
    <m/>
    <m/>
    <m/>
    <m/>
    <d v="2005-05-31T00:00:00"/>
    <n v="8.5716922995233702E-3"/>
    <x v="1"/>
  </r>
  <r>
    <x v="85"/>
    <x v="2"/>
    <s v="ARF"/>
    <n v="196630871.4554424"/>
    <n v="1305.5669"/>
    <m/>
    <n v="0"/>
    <n v="0"/>
    <n v="0"/>
    <n v="150609.5715627"/>
    <n v="0"/>
    <n v="0"/>
    <n v="0"/>
    <m/>
    <s v="Hedge Fund"/>
    <n v="0"/>
    <n v="0"/>
    <n v="0"/>
    <n v="0"/>
    <m/>
    <m/>
    <m/>
    <m/>
    <m/>
    <m/>
    <m/>
    <m/>
    <m/>
    <m/>
    <m/>
    <d v="2005-06-30T00:00:00"/>
    <n v="-9.5369407043022214E-4"/>
    <x v="1"/>
  </r>
  <r>
    <x v="86"/>
    <x v="2"/>
    <s v="ARF"/>
    <n v="201327054.55061355"/>
    <n v="1305.5878"/>
    <m/>
    <n v="4693035.3551254869"/>
    <n v="0"/>
    <n v="0"/>
    <n v="154204.1481627"/>
    <n v="4693035.3551254869"/>
    <n v="0"/>
    <n v="0"/>
    <m/>
    <s v="Hedge Fund"/>
    <n v="0"/>
    <n v="0"/>
    <n v="0"/>
    <n v="0"/>
    <m/>
    <m/>
    <m/>
    <m/>
    <m/>
    <m/>
    <m/>
    <m/>
    <m/>
    <m/>
    <m/>
    <d v="2005-07-31T00:00:00"/>
    <n v="1.6008371535702892E-5"/>
    <x v="1"/>
  </r>
  <r>
    <x v="87"/>
    <x v="2"/>
    <s v="ARF"/>
    <n v="201580000"/>
    <n v="1294.8004000000001"/>
    <m/>
    <n v="1916407.2772767544"/>
    <n v="0"/>
    <n v="0"/>
    <n v="155684.22746857352"/>
    <n v="1916407.2772767544"/>
    <n v="0"/>
    <n v="0"/>
    <m/>
    <s v="Hedge Fund"/>
    <n v="0"/>
    <n v="0"/>
    <n v="0"/>
    <n v="0"/>
    <m/>
    <m/>
    <m/>
    <m/>
    <m/>
    <m/>
    <m/>
    <m/>
    <m/>
    <m/>
    <m/>
    <d v="2005-08-31T00:00:00"/>
    <n v="-8.2624852958950168E-3"/>
    <x v="1"/>
  </r>
  <r>
    <x v="88"/>
    <x v="2"/>
    <s v="ARF"/>
    <n v="201700000"/>
    <n v="1307.2343000000001"/>
    <m/>
    <n v="0"/>
    <n v="-1815762.1159214973"/>
    <n v="0"/>
    <n v="154295.21700891721"/>
    <n v="-1815762.1159214973"/>
    <n v="0"/>
    <n v="0"/>
    <m/>
    <s v="Hedge Fund"/>
    <n v="0"/>
    <n v="0"/>
    <n v="0"/>
    <n v="0"/>
    <m/>
    <m/>
    <m/>
    <m/>
    <m/>
    <m/>
    <m/>
    <m/>
    <m/>
    <m/>
    <m/>
    <d v="2005-09-30T00:00:00"/>
    <n v="9.6029472959693329E-3"/>
    <x v="1"/>
  </r>
  <r>
    <x v="89"/>
    <x v="2"/>
    <s v="ARF"/>
    <n v="219140000"/>
    <n v="1309.8898999999999"/>
    <m/>
    <n v="17030253.621711135"/>
    <n v="0"/>
    <n v="0"/>
    <n v="167296.50331680549"/>
    <n v="17030253.621711135"/>
    <n v="0"/>
    <n v="0"/>
    <m/>
    <s v="Hedge Fund"/>
    <n v="0"/>
    <n v="0"/>
    <n v="0"/>
    <n v="0"/>
    <m/>
    <m/>
    <m/>
    <m/>
    <m/>
    <m/>
    <m/>
    <m/>
    <m/>
    <m/>
    <m/>
    <d v="2005-10-31T00:00:00"/>
    <n v="2.0314644436731921E-3"/>
    <x v="1"/>
  </r>
  <r>
    <x v="90"/>
    <x v="2"/>
    <s v="ARF"/>
    <n v="224740000"/>
    <n v="1321.2363"/>
    <m/>
    <n v="3701786.9547661841"/>
    <n v="0"/>
    <n v="0"/>
    <n v="170098.26327054441"/>
    <n v="3701786.9547661841"/>
    <n v="0"/>
    <n v="0"/>
    <m/>
    <s v="Hedge Fund"/>
    <n v="0"/>
    <n v="0"/>
    <n v="0"/>
    <n v="0"/>
    <m/>
    <m/>
    <m/>
    <m/>
    <m/>
    <m/>
    <m/>
    <m/>
    <m/>
    <m/>
    <m/>
    <d v="2005-11-30T00:00:00"/>
    <n v="8.6621020591119979E-3"/>
    <x v="1"/>
  </r>
  <r>
    <x v="91"/>
    <x v="2"/>
    <s v="ARF"/>
    <n v="222840000"/>
    <n v="1347.0795000000001"/>
    <m/>
    <n v="0"/>
    <n v="-6295883.4373533428"/>
    <n v="0"/>
    <n v="165424.53507755109"/>
    <n v="-6295883.4373533428"/>
    <n v="0"/>
    <n v="0"/>
    <m/>
    <s v="Hedge Fund"/>
    <n v="0"/>
    <n v="0"/>
    <n v="0"/>
    <n v="0"/>
    <m/>
    <m/>
    <m/>
    <m/>
    <m/>
    <m/>
    <m/>
    <m/>
    <m/>
    <m/>
    <m/>
    <d v="2005-12-31T00:00:00"/>
    <n v="1.9559862229035163E-2"/>
    <x v="1"/>
  </r>
  <r>
    <x v="92"/>
    <x v="2"/>
    <s v="ARF"/>
    <n v="233820000"/>
    <n v="1388.9559999999999"/>
    <m/>
    <n v="4052599.4568249583"/>
    <n v="0"/>
    <n v="0"/>
    <n v="168342.26570172131"/>
    <n v="4052599.4568249583"/>
    <n v="0"/>
    <n v="0"/>
    <m/>
    <s v="Hedge Fund"/>
    <n v="0"/>
    <n v="0"/>
    <n v="0"/>
    <n v="0"/>
    <m/>
    <m/>
    <m/>
    <m/>
    <m/>
    <m/>
    <m/>
    <m/>
    <m/>
    <m/>
    <m/>
    <d v="2006-01-30T00:00:00"/>
    <n v="3.1086880915343063E-2"/>
    <x v="1"/>
  </r>
  <r>
    <x v="93"/>
    <x v="2"/>
    <s v="ARF"/>
    <n v="239660000"/>
    <n v="1395.6912"/>
    <m/>
    <n v="4706181.1720457375"/>
    <n v="0"/>
    <n v="0"/>
    <n v="171714.20153684425"/>
    <n v="4706181.1720457375"/>
    <n v="0"/>
    <n v="0"/>
    <m/>
    <s v="Hedge Fund"/>
    <n v="0"/>
    <n v="0"/>
    <n v="0"/>
    <n v="0"/>
    <m/>
    <m/>
    <m/>
    <m/>
    <m/>
    <m/>
    <m/>
    <m/>
    <m/>
    <m/>
    <m/>
    <d v="2006-02-27T00:00:00"/>
    <n v="4.8491096910199261E-3"/>
    <x v="1"/>
  </r>
  <r>
    <x v="94"/>
    <x v="2"/>
    <s v="ARF"/>
    <n v="247110000"/>
    <n v="1430.5590999999999"/>
    <m/>
    <n v="1462686.3922334909"/>
    <n v="0"/>
    <n v="0"/>
    <n v="172736.65939421867"/>
    <n v="1462686.3922334909"/>
    <n v="0"/>
    <n v="0"/>
    <m/>
    <s v="Hedge Fund"/>
    <n v="0"/>
    <n v="0"/>
    <n v="0"/>
    <n v="0"/>
    <m/>
    <m/>
    <m/>
    <m/>
    <m/>
    <m/>
    <m/>
    <m/>
    <m/>
    <m/>
    <m/>
    <d v="2006-03-31T00:00:00"/>
    <n v="2.4982531952626674E-2"/>
    <x v="1"/>
  </r>
  <r>
    <x v="95"/>
    <x v="2"/>
    <s v="ARF"/>
    <n v="254680000"/>
    <n v="1484.4526999999998"/>
    <m/>
    <n v="0"/>
    <n v="-1739400.4267282486"/>
    <n v="0"/>
    <n v="171564.91412626352"/>
    <n v="-1739400.4267282486"/>
    <n v="0"/>
    <n v="0"/>
    <m/>
    <s v="Hedge Fund"/>
    <n v="0"/>
    <n v="0"/>
    <n v="0"/>
    <n v="0"/>
    <m/>
    <m/>
    <m/>
    <m/>
    <m/>
    <m/>
    <m/>
    <m/>
    <m/>
    <m/>
    <m/>
    <d v="2006-04-30T00:00:00"/>
    <n v="3.7673102774991918E-2"/>
    <x v="1"/>
  </r>
  <r>
    <x v="96"/>
    <x v="2"/>
    <s v="ARF"/>
    <n v="266430000"/>
    <n v="1482.2828999999999"/>
    <m/>
    <n v="12122261.55067116"/>
    <n v="0"/>
    <n v="0"/>
    <n v="179743.01666706134"/>
    <n v="12122261.55067116"/>
    <n v="0"/>
    <n v="0"/>
    <m/>
    <s v="Hedge Fund"/>
    <n v="0"/>
    <n v="0"/>
    <n v="0"/>
    <n v="0"/>
    <m/>
    <m/>
    <m/>
    <m/>
    <m/>
    <m/>
    <m/>
    <m/>
    <m/>
    <m/>
    <m/>
    <d v="2006-05-31T00:00:00"/>
    <n v="-1.4616834877931861E-3"/>
    <x v="1"/>
  </r>
  <r>
    <x v="97"/>
    <x v="2"/>
    <s v="ARF"/>
    <n v="298760000"/>
    <n v="1477.5463999999999"/>
    <m/>
    <n v="33181352.798443526"/>
    <n v="0"/>
    <n v="0"/>
    <n v="202200.07980798438"/>
    <n v="33181352.798443526"/>
    <n v="0"/>
    <n v="0"/>
    <m/>
    <s v="Hedge Fund"/>
    <n v="0"/>
    <n v="0"/>
    <n v="0"/>
    <n v="0"/>
    <m/>
    <m/>
    <m/>
    <m/>
    <m/>
    <m/>
    <m/>
    <m/>
    <m/>
    <m/>
    <m/>
    <d v="2006-06-30T00:00:00"/>
    <n v="-3.1954089195793678E-3"/>
    <x v="1"/>
  </r>
  <r>
    <x v="98"/>
    <x v="2"/>
    <s v="ARF"/>
    <n v="302060000"/>
    <n v="1496.846"/>
    <m/>
    <n v="0"/>
    <n v="-602380.66026216745"/>
    <n v="0"/>
    <n v="201797.64651807869"/>
    <n v="-602380.66026216745"/>
    <n v="0"/>
    <n v="0"/>
    <m/>
    <s v="Hedge Fund"/>
    <n v="0"/>
    <n v="0"/>
    <n v="0"/>
    <n v="0"/>
    <m/>
    <m/>
    <m/>
    <m/>
    <m/>
    <m/>
    <m/>
    <m/>
    <m/>
    <m/>
    <m/>
    <d v="2006-07-31T00:00:00"/>
    <n v="1.3061924823477566E-2"/>
    <x v="1"/>
  </r>
  <r>
    <x v="99"/>
    <x v="2"/>
    <s v="ARF"/>
    <n v="328550000"/>
    <n v="1513.3480999999999"/>
    <m/>
    <n v="23159915.057394028"/>
    <n v="0"/>
    <n v="0"/>
    <n v="217101.40581667895"/>
    <n v="23159915.057394028"/>
    <n v="0"/>
    <n v="0"/>
    <m/>
    <s v="Hedge Fund"/>
    <n v="0"/>
    <n v="0"/>
    <n v="0"/>
    <n v="0"/>
    <m/>
    <m/>
    <m/>
    <m/>
    <m/>
    <m/>
    <m/>
    <m/>
    <m/>
    <m/>
    <m/>
    <d v="2006-08-31T00:00:00"/>
    <n v="1.1024581019022595E-2"/>
    <x v="1"/>
  </r>
  <r>
    <x v="100"/>
    <x v="2"/>
    <s v="ARF"/>
    <n v="339800000"/>
    <n v="1529.6334999999999"/>
    <m/>
    <n v="7714416.7657130361"/>
    <n v="0"/>
    <n v="0"/>
    <n v="222144.71636506394"/>
    <n v="7714416.7657130361"/>
    <n v="0"/>
    <n v="0"/>
    <m/>
    <s v="Hedge Fund"/>
    <n v="0"/>
    <n v="0"/>
    <n v="0"/>
    <n v="0"/>
    <m/>
    <m/>
    <m/>
    <m/>
    <m/>
    <m/>
    <m/>
    <m/>
    <m/>
    <m/>
    <m/>
    <d v="2006-09-30T00:00:00"/>
    <n v="1.0761172528646945E-2"/>
    <x v="1"/>
  </r>
  <r>
    <x v="101"/>
    <x v="2"/>
    <s v="ARF"/>
    <n v="350770000"/>
    <n v="1587.1284000000001"/>
    <m/>
    <n v="0"/>
    <n v="-1802188.2529377341"/>
    <n v="0"/>
    <n v="221009.21387330728"/>
    <n v="-1802188.2529377341"/>
    <n v="0"/>
    <n v="0"/>
    <m/>
    <s v="Hedge Fund"/>
    <n v="0"/>
    <n v="0"/>
    <n v="0"/>
    <n v="0"/>
    <m/>
    <m/>
    <m/>
    <m/>
    <m/>
    <m/>
    <m/>
    <m/>
    <m/>
    <m/>
    <m/>
    <d v="2006-10-31T00:00:00"/>
    <n v="3.7587369784984448E-2"/>
    <x v="1"/>
  </r>
  <r>
    <x v="102"/>
    <x v="2"/>
    <s v="ARF"/>
    <n v="357370000"/>
    <n v="1624.2778000000001"/>
    <m/>
    <n v="0"/>
    <n v="-1610359.6898650527"/>
    <n v="0"/>
    <n v="220017.78267239753"/>
    <n v="-1610359.6898650527"/>
    <n v="0"/>
    <n v="0"/>
    <m/>
    <s v="Hedge Fund"/>
    <n v="0"/>
    <n v="0"/>
    <n v="0"/>
    <n v="0"/>
    <m/>
    <m/>
    <m/>
    <m/>
    <m/>
    <m/>
    <m/>
    <m/>
    <m/>
    <m/>
    <m/>
    <d v="2006-11-30T00:00:00"/>
    <n v="2.340667585558931E-2"/>
    <x v="1"/>
  </r>
  <r>
    <x v="103"/>
    <x v="2"/>
    <s v="ARF"/>
    <n v="407360000"/>
    <n v="1638.4662000000001"/>
    <m/>
    <n v="46868299.692330956"/>
    <n v="0"/>
    <n v="0"/>
    <n v="248622.76682912349"/>
    <n v="46868299.692330956"/>
    <n v="0"/>
    <n v="0"/>
    <m/>
    <s v="Hedge Fund"/>
    <n v="0"/>
    <n v="0"/>
    <n v="0"/>
    <n v="0"/>
    <m/>
    <m/>
    <m/>
    <m/>
    <m/>
    <m/>
    <m/>
    <m/>
    <m/>
    <m/>
    <m/>
    <d v="2006-12-31T00:00:00"/>
    <n v="8.735205270921087E-3"/>
    <x v="1"/>
  </r>
  <r>
    <x v="104"/>
    <x v="2"/>
    <s v="ARF"/>
    <n v="441610000"/>
    <n v="1668.1523000000002"/>
    <m/>
    <n v="26869359.68163389"/>
    <n v="0"/>
    <n v="0"/>
    <n v="264730.02495035972"/>
    <n v="26869359.68163389"/>
    <n v="0"/>
    <n v="0"/>
    <m/>
    <s v="Hedge Fund"/>
    <n v="0"/>
    <n v="0"/>
    <n v="0"/>
    <n v="0"/>
    <m/>
    <m/>
    <m/>
    <m/>
    <m/>
    <m/>
    <m/>
    <m/>
    <m/>
    <m/>
    <m/>
    <d v="2007-01-31T00:00:00"/>
    <n v="1.8118225447677938E-2"/>
    <x v="1"/>
  </r>
  <r>
    <x v="105"/>
    <x v="2"/>
    <s v="ARF"/>
    <n v="442030000"/>
    <n v="1693.7085"/>
    <m/>
    <n v="0"/>
    <n v="-6345493.4636363387"/>
    <n v="0"/>
    <n v="260983.51634888767"/>
    <n v="-6345493.4636363387"/>
    <n v="0"/>
    <n v="0"/>
    <m/>
    <s v="Hedge Fund"/>
    <n v="0"/>
    <n v="0"/>
    <n v="0"/>
    <n v="0"/>
    <m/>
    <m/>
    <m/>
    <m/>
    <m/>
    <m/>
    <m/>
    <m/>
    <m/>
    <m/>
    <m/>
    <d v="2007-02-28T00:00:00"/>
    <n v="1.5320064001350442E-2"/>
    <x v="1"/>
  </r>
  <r>
    <x v="106"/>
    <x v="2"/>
    <s v="ARF"/>
    <n v="458480000"/>
    <n v="1753.7643245748914"/>
    <m/>
    <n v="776419.72521287203"/>
    <n v="0"/>
    <n v="0"/>
    <n v="261426.23246206957"/>
    <n v="776419.72521287203"/>
    <n v="0"/>
    <n v="0"/>
    <m/>
    <s v="Hedge Fund"/>
    <n v="0"/>
    <n v="0"/>
    <n v="0"/>
    <n v="0"/>
    <m/>
    <m/>
    <m/>
    <m/>
    <m/>
    <m/>
    <m/>
    <m/>
    <m/>
    <m/>
    <m/>
    <d v="2007-03-30T00:00:00"/>
    <n v="3.5458182193034649E-2"/>
    <x v="1"/>
  </r>
  <r>
    <x v="107"/>
    <x v="2"/>
    <s v="ARF"/>
    <n v="477589385.90630847"/>
    <n v="1817.9249080723571"/>
    <m/>
    <n v="2336126.2899979949"/>
    <n v="0"/>
    <n v="0"/>
    <n v="262711.28350000002"/>
    <n v="2336126.2899979949"/>
    <n v="0"/>
    <n v="0"/>
    <m/>
    <s v="Hedge Fund"/>
    <n v="0"/>
    <n v="0"/>
    <n v="0"/>
    <n v="0"/>
    <m/>
    <m/>
    <m/>
    <m/>
    <m/>
    <m/>
    <m/>
    <m/>
    <m/>
    <m/>
    <m/>
    <d v="2007-04-30T00:00:00"/>
    <n v="3.6584495760579427E-2"/>
    <x v="1"/>
  </r>
  <r>
    <x v="108"/>
    <x v="2"/>
    <s v="ARF"/>
    <n v="512447611.87423545"/>
    <n v="1866.9561000000001"/>
    <m/>
    <n v="21977178.605081022"/>
    <n v="0"/>
    <n v="0"/>
    <n v="274482.94679999998"/>
    <n v="21977178.605081022"/>
    <n v="0"/>
    <n v="0"/>
    <m/>
    <s v="Hedge Fund"/>
    <n v="0"/>
    <n v="0"/>
    <n v="0"/>
    <n v="0"/>
    <m/>
    <m/>
    <m/>
    <m/>
    <m/>
    <m/>
    <m/>
    <m/>
    <m/>
    <m/>
    <m/>
    <d v="2007-05-31T00:00:00"/>
    <n v="2.6970966572889665E-2"/>
    <x v="1"/>
  </r>
  <r>
    <x v="109"/>
    <x v="2"/>
    <s v="ARF"/>
    <n v="509518247.52110177"/>
    <n v="1856.2837999999999"/>
    <m/>
    <n v="0"/>
    <n v="0"/>
    <n v="0"/>
    <n v="274482.94679999998"/>
    <n v="0"/>
    <n v="0"/>
    <n v="0"/>
    <m/>
    <s v="Hedge Fund"/>
    <n v="0"/>
    <n v="0"/>
    <n v="0"/>
    <n v="0"/>
    <m/>
    <m/>
    <m/>
    <m/>
    <m/>
    <m/>
    <m/>
    <m/>
    <m/>
    <m/>
    <m/>
    <d v="2007-06-29T00:00:00"/>
    <n v="-5.7164172205228514E-3"/>
    <x v="1"/>
  </r>
  <r>
    <x v="110"/>
    <x v="2"/>
    <s v="ARF"/>
    <n v="559120000"/>
    <n v="1906.9264000000001"/>
    <m/>
    <n v="35701222.397284508"/>
    <n v="0"/>
    <n v="0"/>
    <n v="293204.81377781543"/>
    <n v="35701222.397284508"/>
    <n v="0"/>
    <n v="0"/>
    <m/>
    <s v="Hedge Fund"/>
    <n v="0"/>
    <n v="0"/>
    <n v="0"/>
    <n v="0"/>
    <m/>
    <m/>
    <m/>
    <m/>
    <m/>
    <m/>
    <m/>
    <m/>
    <m/>
    <m/>
    <m/>
    <d v="2007-07-31T00:00:00"/>
    <n v="2.7281711988220936E-2"/>
    <x v="1"/>
  </r>
  <r>
    <x v="111"/>
    <x v="2"/>
    <s v="ARF"/>
    <n v="533270000"/>
    <n v="1802.6483000000003"/>
    <m/>
    <n v="4724840.8916043639"/>
    <n v="0"/>
    <n v="0"/>
    <n v="295825.86908383621"/>
    <n v="4724840.8916043639"/>
    <n v="0"/>
    <n v="0"/>
    <m/>
    <s v="Hedge Fund"/>
    <n v="0"/>
    <n v="0"/>
    <n v="0"/>
    <n v="0"/>
    <m/>
    <m/>
    <m/>
    <m/>
    <m/>
    <m/>
    <m/>
    <m/>
    <m/>
    <m/>
    <m/>
    <d v="2007-08-31T00:00:00"/>
    <n v="-5.4683861946638213E-2"/>
    <x v="1"/>
  </r>
  <r>
    <x v="112"/>
    <x v="2"/>
    <s v="ARF"/>
    <n v="555580000"/>
    <n v="1813.7191"/>
    <m/>
    <n v="19034970.968546748"/>
    <n v="0"/>
    <n v="0"/>
    <n v="306320.86302669469"/>
    <n v="19034970.968546748"/>
    <n v="0"/>
    <n v="0"/>
    <m/>
    <s v="Hedge Fund"/>
    <n v="0"/>
    <n v="0"/>
    <n v="0"/>
    <n v="0"/>
    <m/>
    <m/>
    <m/>
    <m/>
    <m/>
    <m/>
    <m/>
    <m/>
    <m/>
    <m/>
    <m/>
    <d v="2007-09-30T00:00:00"/>
    <n v="6.1414087262610106E-3"/>
    <x v="1"/>
  </r>
  <r>
    <x v="113"/>
    <x v="2"/>
    <s v="ARF"/>
    <n v="558798778.40037513"/>
    <n v="1818.7966000000001"/>
    <m/>
    <n v="1663434.2183570862"/>
    <n v="0"/>
    <n v="0"/>
    <n v="307235.44259999995"/>
    <n v="1663434.2183570862"/>
    <n v="0"/>
    <n v="0"/>
    <m/>
    <s v="Hedge Fund"/>
    <n v="0"/>
    <n v="0"/>
    <n v="0"/>
    <n v="0"/>
    <m/>
    <m/>
    <m/>
    <m/>
    <m/>
    <m/>
    <m/>
    <m/>
    <m/>
    <m/>
    <m/>
    <d v="2007-10-31T00:00:00"/>
    <n v="2.7994963497930403E-3"/>
    <x v="1"/>
  </r>
  <r>
    <x v="114"/>
    <x v="2"/>
    <s v="ARF"/>
    <n v="571347344.46757579"/>
    <n v="1846.8496000000002"/>
    <m/>
    <n v="3929690.1959428787"/>
    <n v="0"/>
    <n v="0"/>
    <n v="309363.22289999994"/>
    <n v="3929690.1959428787"/>
    <n v="0"/>
    <n v="0"/>
    <m/>
    <s v="Hedge Fund"/>
    <n v="0"/>
    <n v="0"/>
    <n v="0"/>
    <n v="0"/>
    <m/>
    <m/>
    <m/>
    <m/>
    <m/>
    <m/>
    <m/>
    <m/>
    <m/>
    <m/>
    <m/>
    <d v="2007-11-30T00:00:00"/>
    <n v="1.5423934704958286E-2"/>
    <x v="1"/>
  </r>
  <r>
    <x v="115"/>
    <x v="2"/>
    <s v="ARF"/>
    <n v="584090357.11431062"/>
    <n v="1868.7528999999997"/>
    <m/>
    <n v="5966937.1665893793"/>
    <n v="0"/>
    <n v="0"/>
    <n v="312556.22780000005"/>
    <n v="5966937.1665893793"/>
    <n v="0"/>
    <n v="0"/>
    <m/>
    <s v="Hedge Fund"/>
    <n v="0"/>
    <n v="0"/>
    <n v="0"/>
    <n v="0"/>
    <m/>
    <m/>
    <m/>
    <m/>
    <m/>
    <m/>
    <m/>
    <m/>
    <m/>
    <m/>
    <m/>
    <d v="2007-12-31T00:00:00"/>
    <n v="1.1859817929949168E-2"/>
    <x v="1"/>
  </r>
  <r>
    <x v="116"/>
    <x v="2"/>
    <s v="ARF"/>
    <n v="578824889.01440358"/>
    <n v="1820.7343000000003"/>
    <m/>
    <n v="9743044.3803298473"/>
    <n v="0"/>
    <n v="0"/>
    <n v="317907.38989999995"/>
    <n v="9743044.3803298473"/>
    <n v="0"/>
    <n v="0"/>
    <m/>
    <s v="Hedge Fund"/>
    <n v="0"/>
    <n v="0"/>
    <n v="0"/>
    <n v="0"/>
    <m/>
    <m/>
    <m/>
    <m/>
    <m/>
    <m/>
    <m/>
    <m/>
    <m/>
    <m/>
    <m/>
    <d v="2008-01-31T00:00:00"/>
    <n v="-2.569553203101349E-2"/>
    <x v="1"/>
  </r>
  <r>
    <x v="117"/>
    <x v="2"/>
    <s v="ARF"/>
    <n v="623022111.54772389"/>
    <n v="1849.4313000000002"/>
    <m/>
    <n v="35074234.165360093"/>
    <n v="0"/>
    <n v="0"/>
    <n v="336872.26529999997"/>
    <n v="35074234.165360093"/>
    <n v="0"/>
    <n v="0"/>
    <m/>
    <s v="Hedge Fund"/>
    <n v="0"/>
    <n v="0"/>
    <n v="0"/>
    <n v="0"/>
    <m/>
    <m/>
    <m/>
    <m/>
    <m/>
    <m/>
    <m/>
    <m/>
    <m/>
    <m/>
    <m/>
    <d v="2008-02-29T00:00:00"/>
    <n v="1.5761223370153399E-2"/>
    <x v="1"/>
  </r>
  <r>
    <x v="118"/>
    <x v="2"/>
    <s v="ARF"/>
    <n v="616185608.06165004"/>
    <n v="1812.8426000000002"/>
    <m/>
    <n v="5489214.7673082352"/>
    <n v="0"/>
    <n v="0"/>
    <n v="339900.22523833561"/>
    <n v="5489214.7673082352"/>
    <n v="0"/>
    <n v="0"/>
    <m/>
    <s v="Hedge Fund"/>
    <n v="0"/>
    <n v="0"/>
    <n v="0"/>
    <n v="0"/>
    <m/>
    <m/>
    <m/>
    <m/>
    <m/>
    <m/>
    <m/>
    <m/>
    <m/>
    <m/>
    <m/>
    <d v="2008-03-31T00:00:00"/>
    <n v="-1.9783757309611794E-2"/>
    <x v="1"/>
  </r>
  <r>
    <x v="119"/>
    <x v="2"/>
    <s v="ARF"/>
    <n v="612147534.47961235"/>
    <n v="1779.9915000000003"/>
    <m/>
    <n v="7128022.7072893381"/>
    <n v="0"/>
    <n v="0"/>
    <n v="343904.75150000001"/>
    <n v="7128022.7072893381"/>
    <n v="0"/>
    <n v="0"/>
    <m/>
    <s v="Hedge Fund"/>
    <n v="0"/>
    <n v="0"/>
    <n v="0"/>
    <n v="0"/>
    <m/>
    <m/>
    <m/>
    <m/>
    <m/>
    <m/>
    <m/>
    <m/>
    <m/>
    <m/>
    <m/>
    <d v="2008-04-30T00:00:00"/>
    <n v="-1.8121319523272339E-2"/>
    <x v="1"/>
  </r>
  <r>
    <x v="120"/>
    <x v="2"/>
    <s v="ARF"/>
    <n v="613046016.40129268"/>
    <n v="1781.0038999999997"/>
    <m/>
    <n v="550312.75126194954"/>
    <n v="0"/>
    <n v="0"/>
    <n v="344213.74170000007"/>
    <n v="550312.75126194954"/>
    <n v="0"/>
    <n v="0"/>
    <m/>
    <s v="Hedge Fund"/>
    <n v="0"/>
    <n v="0"/>
    <n v="0"/>
    <n v="0"/>
    <m/>
    <m/>
    <m/>
    <m/>
    <m/>
    <m/>
    <m/>
    <m/>
    <m/>
    <m/>
    <m/>
    <d v="2008-05-30T00:00:00"/>
    <n v="5.6876676096462297E-4"/>
    <x v="1"/>
  </r>
  <r>
    <x v="121"/>
    <x v="2"/>
    <s v="ARF"/>
    <n v="624070000"/>
    <n v="1813.0252"/>
    <m/>
    <n v="1812.1116089820862"/>
    <n v="0"/>
    <n v="0"/>
    <n v="344214.74119609589"/>
    <n v="1812.1116089820862"/>
    <n v="0"/>
    <n v="0"/>
    <m/>
    <s v="Hedge Fund"/>
    <n v="0"/>
    <n v="0"/>
    <n v="0"/>
    <n v="0"/>
    <m/>
    <m/>
    <m/>
    <m/>
    <m/>
    <m/>
    <m/>
    <m/>
    <m/>
    <m/>
    <m/>
    <d v="2008-06-30T00:00:00"/>
    <n v="1.7979354228253142E-2"/>
    <x v="1"/>
  </r>
  <r>
    <x v="122"/>
    <x v="2"/>
    <s v="ARF"/>
    <n v="606867092.72744"/>
    <n v="1762.7"/>
    <m/>
    <n v="119768.42108178139"/>
    <n v="0"/>
    <n v="0"/>
    <n v="344282.68719999999"/>
    <n v="119768.42108178139"/>
    <n v="0"/>
    <n v="0"/>
    <m/>
    <s v="Hedge Fund"/>
    <n v="0"/>
    <n v="0"/>
    <n v="0"/>
    <n v="0"/>
    <m/>
    <m/>
    <m/>
    <m/>
    <m/>
    <m/>
    <m/>
    <m/>
    <m/>
    <m/>
    <m/>
    <d v="2008-07-31T00:00:00"/>
    <n v="-2.7757584395407209E-2"/>
    <x v="1"/>
  </r>
  <r>
    <x v="123"/>
    <x v="2"/>
    <s v="ARF"/>
    <n v="578360000"/>
    <n v="1679.4906000000001"/>
    <m/>
    <n v="140463.10485970974"/>
    <n v="0"/>
    <n v="0"/>
    <n v="344366.32155011763"/>
    <n v="140463.10485970974"/>
    <n v="0"/>
    <n v="0"/>
    <m/>
    <s v="Hedge Fund"/>
    <n v="0"/>
    <n v="0"/>
    <n v="0"/>
    <n v="0"/>
    <m/>
    <m/>
    <m/>
    <m/>
    <m/>
    <m/>
    <m/>
    <m/>
    <m/>
    <m/>
    <m/>
    <d v="2008-08-29T00:00:00"/>
    <n v="-4.7205650422647127E-2"/>
    <x v="1"/>
  </r>
  <r>
    <x v="124"/>
    <x v="2"/>
    <s v="ARF"/>
    <n v="554100000"/>
    <n v="1608.3681999999997"/>
    <m/>
    <n v="232159.26781618595"/>
    <n v="0"/>
    <n v="0"/>
    <n v="344510.66615219082"/>
    <n v="232159.26781618595"/>
    <n v="0"/>
    <n v="0"/>
    <m/>
    <s v="Hedge Fund"/>
    <n v="0"/>
    <n v="0"/>
    <n v="0"/>
    <n v="0"/>
    <m/>
    <m/>
    <m/>
    <m/>
    <m/>
    <m/>
    <m/>
    <m/>
    <m/>
    <m/>
    <m/>
    <d v="2008-09-30T00:00:00"/>
    <n v="-4.2347602302746035E-2"/>
    <x v="1"/>
  </r>
  <r>
    <x v="125"/>
    <x v="2"/>
    <s v="ARF"/>
    <n v="518440000.00000006"/>
    <n v="1540.2582"/>
    <m/>
    <n v="0"/>
    <n v="-12195378.528374314"/>
    <n v="0"/>
    <n v="336592.91669409716"/>
    <n v="-12195378.528374314"/>
    <n v="0"/>
    <n v="0"/>
    <m/>
    <s v="Hedge Fund"/>
    <n v="0"/>
    <n v="0"/>
    <n v="0"/>
    <n v="0"/>
    <m/>
    <m/>
    <m/>
    <m/>
    <m/>
    <m/>
    <m/>
    <m/>
    <m/>
    <m/>
    <m/>
    <d v="2008-10-31T00:00:00"/>
    <n v="-4.2347268492376133E-2"/>
    <x v="1"/>
  </r>
  <r>
    <x v="126"/>
    <x v="2"/>
    <s v="ARF"/>
    <n v="517700000.00000006"/>
    <n v="1537.1346000000001"/>
    <m/>
    <n v="311381.63458567858"/>
    <n v="0"/>
    <n v="0"/>
    <n v="336795.48947762937"/>
    <n v="311381.63458567858"/>
    <n v="0"/>
    <n v="0"/>
    <m/>
    <s v="Hedge Fund"/>
    <n v="0"/>
    <n v="0"/>
    <n v="0"/>
    <n v="0"/>
    <m/>
    <m/>
    <m/>
    <m/>
    <m/>
    <m/>
    <m/>
    <m/>
    <m/>
    <m/>
    <m/>
    <d v="2008-11-28T00:00:00"/>
    <n v="-2.0279716738401676E-3"/>
    <x v="1"/>
  </r>
  <r>
    <x v="127"/>
    <x v="2"/>
    <s v="ARF"/>
    <n v="508910000"/>
    <n v="1511.0528999999999"/>
    <m/>
    <n v="0"/>
    <n v="-5801.0820913314819"/>
    <n v="0"/>
    <n v="336791.65037835541"/>
    <n v="-5801.0820913314819"/>
    <n v="0"/>
    <n v="0"/>
    <m/>
    <s v="Hedge Fund"/>
    <n v="0"/>
    <n v="0"/>
    <n v="0"/>
    <n v="0"/>
    <m/>
    <m/>
    <m/>
    <m/>
    <m/>
    <m/>
    <m/>
    <m/>
    <m/>
    <m/>
    <m/>
    <d v="2008-12-31T00:00:00"/>
    <n v="-1.6967739845294094E-2"/>
    <x v="1"/>
  </r>
  <r>
    <x v="128"/>
    <x v="2"/>
    <s v="ARF"/>
    <n v="431380000"/>
    <n v="1529.8933999999999"/>
    <m/>
    <n v="0"/>
    <n v="-83875323.088953435"/>
    <n v="0"/>
    <n v="281967.35798716435"/>
    <n v="-83875323.088953435"/>
    <n v="0"/>
    <n v="0"/>
    <m/>
    <s v="Hedge Fund"/>
    <n v="0"/>
    <n v="0"/>
    <n v="0"/>
    <n v="0"/>
    <m/>
    <m/>
    <m/>
    <m/>
    <m/>
    <m/>
    <m/>
    <m/>
    <m/>
    <m/>
    <m/>
    <d v="2009-01-30T00:00:00"/>
    <n v="1.2468458251858827E-2"/>
    <x v="1"/>
  </r>
  <r>
    <x v="129"/>
    <x v="2"/>
    <s v="ARF"/>
    <n v="428120000"/>
    <n v="1518.3263000000002"/>
    <m/>
    <n v="1544.6265732645988"/>
    <n v="0"/>
    <n v="0"/>
    <n v="281968.37530904915"/>
    <n v="1544.6265732645988"/>
    <n v="0"/>
    <n v="0"/>
    <m/>
    <s v="Hedge Fund"/>
    <n v="0"/>
    <n v="0"/>
    <n v="0"/>
    <n v="0"/>
    <m/>
    <m/>
    <m/>
    <m/>
    <m/>
    <m/>
    <m/>
    <m/>
    <m/>
    <m/>
    <m/>
    <d v="2009-02-27T00:00:00"/>
    <n v="-7.5607228582068586E-3"/>
    <x v="1"/>
  </r>
  <r>
    <x v="130"/>
    <x v="2"/>
    <s v="ARF"/>
    <n v="408010000"/>
    <n v="1447.0174000000002"/>
    <m/>
    <n v="0"/>
    <n v="-3145.3219245672226"/>
    <n v="0"/>
    <n v="281966.20165037405"/>
    <n v="-3145.3219245672226"/>
    <n v="0"/>
    <n v="0"/>
    <m/>
    <s v="Hedge Fund"/>
    <n v="0"/>
    <n v="0"/>
    <n v="0"/>
    <n v="0"/>
    <m/>
    <m/>
    <m/>
    <m/>
    <m/>
    <m/>
    <m/>
    <m/>
    <m/>
    <m/>
    <m/>
    <d v="2009-03-31T00:00:00"/>
    <n v="-4.6965464538156199E-2"/>
    <x v="1"/>
  </r>
  <r>
    <x v="131"/>
    <x v="2"/>
    <s v="ARF"/>
    <n v="349930000"/>
    <n v="1413.8922"/>
    <m/>
    <n v="0"/>
    <n v="-48739813.177091002"/>
    <n v="0"/>
    <n v="247494.11588804296"/>
    <n v="-48739813.177091002"/>
    <n v="0"/>
    <n v="0"/>
    <m/>
    <s v="Hedge Fund"/>
    <n v="0"/>
    <n v="0"/>
    <n v="0"/>
    <n v="0"/>
    <m/>
    <m/>
    <m/>
    <m/>
    <m/>
    <m/>
    <m/>
    <m/>
    <m/>
    <m/>
    <m/>
    <d v="2009-04-30T00:00:00"/>
    <n v="-2.2892053682284752E-2"/>
    <x v="1"/>
  </r>
  <r>
    <x v="132"/>
    <x v="2"/>
    <s v="ARF"/>
    <n v="348210000"/>
    <n v="1406.9434000000003"/>
    <m/>
    <n v="0"/>
    <n v="-212.88751727342606"/>
    <n v="0"/>
    <n v="247493.96457597366"/>
    <n v="-212.88751727342606"/>
    <n v="0"/>
    <n v="0"/>
    <m/>
    <s v="Hedge Fund"/>
    <n v="0"/>
    <n v="0"/>
    <n v="0"/>
    <n v="0"/>
    <m/>
    <m/>
    <m/>
    <m/>
    <m/>
    <m/>
    <m/>
    <m/>
    <m/>
    <m/>
    <m/>
    <d v="2009-05-29T00:00:00"/>
    <n v="-4.9146603963156066E-3"/>
    <x v="1"/>
  </r>
  <r>
    <x v="133"/>
    <x v="2"/>
    <s v="ARF"/>
    <n v="345404460.07499999"/>
    <n v="1395.6012000000001"/>
    <m/>
    <n v="1586.120013654232"/>
    <n v="0"/>
    <n v="0"/>
    <n v="247495.10108976689"/>
    <n v="1586.120013654232"/>
    <n v="0"/>
    <n v="0"/>
    <m/>
    <s v="Hedge Fund"/>
    <n v="0"/>
    <n v="0"/>
    <n v="0"/>
    <n v="0"/>
    <m/>
    <m/>
    <m/>
    <m/>
    <m/>
    <m/>
    <m/>
    <m/>
    <m/>
    <m/>
    <m/>
    <d v="2009-06-30T00:00:00"/>
    <n v="-8.0615894001139221E-3"/>
    <x v="1"/>
  </r>
  <r>
    <x v="134"/>
    <x v="2"/>
    <s v="ARF"/>
    <n v="315390000"/>
    <n v="1409.1298999999999"/>
    <m/>
    <n v="0"/>
    <n v="-33362747.049113095"/>
    <n v="0"/>
    <n v="223818.96800287894"/>
    <n v="-33362747.049113095"/>
    <n v="0"/>
    <n v="0"/>
    <m/>
    <s v="Hedge Fund"/>
    <n v="0"/>
    <n v="0"/>
    <n v="0"/>
    <n v="0"/>
    <m/>
    <m/>
    <m/>
    <m/>
    <m/>
    <m/>
    <m/>
    <m/>
    <m/>
    <m/>
    <m/>
    <d v="2009-07-31T00:00:00"/>
    <n v="9.693815109932391E-3"/>
    <x v="1"/>
  </r>
  <r>
    <x v="135"/>
    <x v="2"/>
    <s v="ARF"/>
    <n v="317550000"/>
    <n v="1418.2234000000001"/>
    <m/>
    <n v="124702.21446579695"/>
    <n v="0"/>
    <n v="0"/>
    <n v="223906.89647343286"/>
    <n v="124702.21446579695"/>
    <n v="0"/>
    <n v="0"/>
    <m/>
    <s v="Hedge Fund"/>
    <n v="0"/>
    <n v="0"/>
    <n v="0"/>
    <n v="0"/>
    <m/>
    <m/>
    <m/>
    <m/>
    <m/>
    <m/>
    <m/>
    <m/>
    <m/>
    <m/>
    <m/>
    <d v="2009-08-31T00:00:00"/>
    <n v="6.4532730445929776E-3"/>
    <x v="1"/>
  </r>
  <r>
    <x v="136"/>
    <x v="2"/>
    <s v="ARF"/>
    <n v="338568492.37493181"/>
    <n v="1510.9146000000001"/>
    <m/>
    <n v="264293.45253360271"/>
    <n v="0"/>
    <n v="0"/>
    <n v="224081.8193"/>
    <n v="264293.45253360271"/>
    <n v="0"/>
    <n v="0"/>
    <m/>
    <s v="Hedge Fund"/>
    <n v="0"/>
    <n v="0"/>
    <n v="0"/>
    <n v="0"/>
    <m/>
    <m/>
    <m/>
    <m/>
    <m/>
    <m/>
    <m/>
    <m/>
    <m/>
    <m/>
    <m/>
    <d v="2009-09-30T00:00:00"/>
    <n v="6.5357263178706271E-2"/>
    <x v="1"/>
  </r>
  <r>
    <x v="137"/>
    <x v="2"/>
    <s v="ARF"/>
    <n v="334519302.79206502"/>
    <n v="1514.7872999999997"/>
    <m/>
    <n v="0"/>
    <n v="-4916991.2444698215"/>
    <n v="0"/>
    <n v="220835.82480000003"/>
    <n v="-4916991.2444698215"/>
    <n v="0"/>
    <n v="0"/>
    <m/>
    <s v="Hedge Fund"/>
    <n v="0"/>
    <n v="0"/>
    <n v="0"/>
    <n v="0"/>
    <m/>
    <m/>
    <m/>
    <m/>
    <m/>
    <m/>
    <m/>
    <m/>
    <m/>
    <m/>
    <m/>
    <d v="2009-10-30T00:00:00"/>
    <n v="2.5631494989852843E-3"/>
    <x v="1"/>
  </r>
  <r>
    <x v="138"/>
    <x v="2"/>
    <s v="ARF"/>
    <n v="349295003.95000005"/>
    <n v="1581.6953000000003"/>
    <m/>
    <n v="17.79221647977829"/>
    <n v="0"/>
    <n v="0"/>
    <n v="220835.83604882684"/>
    <n v="17.79221647977829"/>
    <n v="0"/>
    <n v="0"/>
    <m/>
    <s v="Hedge Fund"/>
    <n v="0"/>
    <n v="0"/>
    <n v="0"/>
    <n v="0"/>
    <m/>
    <m/>
    <m/>
    <m/>
    <m/>
    <m/>
    <m/>
    <m/>
    <m/>
    <m/>
    <m/>
    <d v="2009-11-30T00:00:00"/>
    <n v="4.4169897648336898E-2"/>
    <x v="1"/>
  </r>
  <r>
    <x v="139"/>
    <x v="2"/>
    <s v="ARF"/>
    <n v="353252518.72327679"/>
    <n v="1599.616"/>
    <m/>
    <n v="0"/>
    <n v="-17.993803381919861"/>
    <n v="0"/>
    <n v="220835.8248"/>
    <n v="-17.993803381919861"/>
    <n v="0"/>
    <n v="0"/>
    <m/>
    <s v="Hedge Fund"/>
    <n v="0"/>
    <n v="0"/>
    <n v="0"/>
    <n v="0"/>
    <m/>
    <m/>
    <m/>
    <m/>
    <m/>
    <m/>
    <m/>
    <m/>
    <m/>
    <m/>
    <m/>
    <d v="2009-12-31T00:00:00"/>
    <n v="1.1330058324128256E-2"/>
    <x v="1"/>
  </r>
  <r>
    <x v="140"/>
    <x v="2"/>
    <s v="ARF"/>
    <n v="352948806.02760398"/>
    <n v="1625.3155999999997"/>
    <m/>
    <n v="0"/>
    <n v="-5979105.0587028265"/>
    <n v="0"/>
    <n v="217157.09000000003"/>
    <n v="-5979105.0587028265"/>
    <n v="0"/>
    <n v="0"/>
    <m/>
    <s v="Hedge Fund"/>
    <n v="0"/>
    <n v="0"/>
    <n v="0"/>
    <n v="0"/>
    <m/>
    <m/>
    <m/>
    <m/>
    <m/>
    <m/>
    <m/>
    <m/>
    <m/>
    <m/>
    <m/>
    <d v="2010-01-29T00:00:00"/>
    <n v="1.6066105865407465E-2"/>
    <x v="1"/>
  </r>
  <r>
    <x v="141"/>
    <x v="2"/>
    <s v="ARF"/>
    <n v="355018201.71693742"/>
    <n v="1652.1982"/>
    <m/>
    <n v="0"/>
    <n v="-3768351.498300612"/>
    <n v="0"/>
    <n v="214876.27919999999"/>
    <n v="-3768351.498300612"/>
    <n v="0"/>
    <n v="0"/>
    <m/>
    <s v="Hedge Fund"/>
    <n v="0"/>
    <n v="0"/>
    <n v="0"/>
    <n v="0"/>
    <m/>
    <m/>
    <m/>
    <m/>
    <m/>
    <m/>
    <m/>
    <m/>
    <m/>
    <m/>
    <m/>
    <d v="2010-02-26T00:00:00"/>
    <n v="1.6539926153419149E-2"/>
    <x v="1"/>
  </r>
  <r>
    <x v="142"/>
    <x v="2"/>
    <s v="ARF"/>
    <n v="368917989.54005951"/>
    <n v="1716.8856000000001"/>
    <m/>
    <n v="0"/>
    <n v="0"/>
    <n v="0"/>
    <n v="214876.27919999999"/>
    <n v="0"/>
    <n v="0"/>
    <n v="0"/>
    <m/>
    <s v="Hedge Fund"/>
    <n v="0"/>
    <n v="0"/>
    <n v="0"/>
    <n v="0"/>
    <m/>
    <m/>
    <m/>
    <m/>
    <m/>
    <m/>
    <m/>
    <m/>
    <m/>
    <m/>
    <m/>
    <d v="2010-03-31T00:00:00"/>
    <n v="3.9152324460830501E-2"/>
    <x v="1"/>
  </r>
  <r>
    <x v="143"/>
    <x v="2"/>
    <s v="ARF"/>
    <n v="372784963.22142768"/>
    <n v="1753.6153999999999"/>
    <m/>
    <n v="0"/>
    <n v="-4025389.0783919692"/>
    <n v="0"/>
    <n v="212580.79920000001"/>
    <n v="-4025389.0783919692"/>
    <n v="0"/>
    <n v="0"/>
    <m/>
    <s v="Hedge Fund"/>
    <n v="0"/>
    <n v="0"/>
    <n v="0"/>
    <n v="0"/>
    <m/>
    <m/>
    <m/>
    <m/>
    <m/>
    <m/>
    <m/>
    <m/>
    <m/>
    <m/>
    <m/>
    <d v="2010-04-30T00:00:00"/>
    <n v="2.1393271630911093E-2"/>
    <x v="1"/>
  </r>
  <r>
    <x v="144"/>
    <x v="2"/>
    <s v="ARF"/>
    <n v="366711884.58983797"/>
    <n v="1717.0327"/>
    <m/>
    <n v="1703700.9713041186"/>
    <n v="0"/>
    <n v="0"/>
    <n v="213573.03479999999"/>
    <n v="1703700.9713041186"/>
    <n v="0"/>
    <n v="0"/>
    <m/>
    <s v="Hedge Fund"/>
    <n v="0"/>
    <n v="0"/>
    <n v="0"/>
    <n v="0"/>
    <m/>
    <m/>
    <m/>
    <m/>
    <m/>
    <m/>
    <m/>
    <m/>
    <m/>
    <m/>
    <m/>
    <d v="2010-05-31T00:00:00"/>
    <n v="-2.0861301742673977E-2"/>
    <x v="1"/>
  </r>
  <r>
    <x v="145"/>
    <x v="2"/>
    <s v="ARF"/>
    <n v="397911829.52241683"/>
    <n v="1863.1183000000003"/>
    <m/>
    <n v="0"/>
    <n v="-5.9604644775390625E-8"/>
    <n v="0"/>
    <n v="213573.03479999996"/>
    <n v="-5.9604644775390625E-8"/>
    <n v="0"/>
    <n v="0"/>
    <m/>
    <s v="Hedge Fund"/>
    <n v="0"/>
    <n v="0"/>
    <n v="0"/>
    <n v="0"/>
    <m/>
    <m/>
    <m/>
    <m/>
    <m/>
    <m/>
    <m/>
    <m/>
    <m/>
    <m/>
    <m/>
    <d v="2010-06-30T00:00:00"/>
    <n v="8.5080266671683225E-2"/>
    <x v="1"/>
  </r>
  <r>
    <x v="146"/>
    <x v="2"/>
    <s v="ARF"/>
    <n v="420171548.96384674"/>
    <n v="1929.0141999999998"/>
    <m/>
    <n v="8186132.0975526571"/>
    <n v="0"/>
    <n v="0"/>
    <n v="217816.72160000002"/>
    <n v="8186132.0975526571"/>
    <n v="0"/>
    <n v="0"/>
    <m/>
    <s v="Hedge Fund"/>
    <n v="0"/>
    <n v="0"/>
    <n v="0"/>
    <n v="0"/>
    <m/>
    <m/>
    <m/>
    <m/>
    <m/>
    <m/>
    <m/>
    <m/>
    <m/>
    <m/>
    <m/>
    <d v="2010-07-30T00:00:00"/>
    <n v="3.5368607565069654E-2"/>
    <x v="1"/>
  </r>
  <r>
    <x v="147"/>
    <x v="2"/>
    <s v="ARF"/>
    <n v="423729540.27980381"/>
    <n v="1943.0368000000001"/>
    <m/>
    <n v="503634.55564886332"/>
    <n v="0"/>
    <n v="0"/>
    <n v="218075.92129999999"/>
    <n v="503634.55564886332"/>
    <n v="0"/>
    <n v="0"/>
    <m/>
    <s v="Hedge Fund"/>
    <n v="0"/>
    <n v="0"/>
    <n v="0"/>
    <n v="0"/>
    <m/>
    <m/>
    <m/>
    <m/>
    <m/>
    <m/>
    <m/>
    <m/>
    <m/>
    <m/>
    <m/>
    <d v="2010-08-31T00:00:00"/>
    <n v="7.2693088521589289E-3"/>
    <x v="1"/>
  </r>
  <r>
    <x v="148"/>
    <x v="2"/>
    <s v="ARF"/>
    <n v="442850372.91364473"/>
    <n v="1990.7815000000003"/>
    <m/>
    <n v="8708863.1941487193"/>
    <n v="0"/>
    <n v="0"/>
    <n v="222450.51649999997"/>
    <n v="8708863.1941487193"/>
    <n v="0"/>
    <n v="0"/>
    <m/>
    <s v="Hedge Fund"/>
    <n v="0"/>
    <n v="0"/>
    <n v="0"/>
    <n v="0"/>
    <m/>
    <m/>
    <m/>
    <m/>
    <m/>
    <m/>
    <m/>
    <m/>
    <m/>
    <m/>
    <m/>
    <d v="2010-09-30T00:00:00"/>
    <n v="2.4572205734858077E-2"/>
    <x v="1"/>
  </r>
  <r>
    <x v="149"/>
    <x v="2"/>
    <s v="ARF"/>
    <n v="457607576.10000002"/>
    <n v="2083.2993999999999"/>
    <m/>
    <n v="0"/>
    <n v="-5823451.4541400075"/>
    <n v="0"/>
    <n v="219655.21427213008"/>
    <n v="-5823451.4541400075"/>
    <n v="0"/>
    <n v="0"/>
    <m/>
    <s v="Hedge Fund"/>
    <n v="0"/>
    <n v="0"/>
    <n v="0"/>
    <n v="0"/>
    <m/>
    <m/>
    <m/>
    <m/>
    <m/>
    <m/>
    <m/>
    <m/>
    <m/>
    <m/>
    <m/>
    <d v="2010-10-29T00:00:00"/>
    <n v="4.6473156396118709E-2"/>
    <x v="1"/>
  </r>
  <r>
    <x v="150"/>
    <x v="2"/>
    <s v="ARF"/>
    <n v="474324050.08314651"/>
    <n v="2131.4557"/>
    <m/>
    <n v="6138691.5880935192"/>
    <n v="0"/>
    <n v="0"/>
    <n v="222535.26079999999"/>
    <n v="6138691.5880935192"/>
    <n v="0"/>
    <n v="0"/>
    <m/>
    <s v="Hedge Fund"/>
    <n v="0"/>
    <n v="0"/>
    <n v="0"/>
    <n v="0"/>
    <m/>
    <m/>
    <m/>
    <m/>
    <m/>
    <m/>
    <m/>
    <m/>
    <m/>
    <m/>
    <m/>
    <d v="2010-11-30T00:00:00"/>
    <n v="2.3115400503643357E-2"/>
    <x v="1"/>
  </r>
  <r>
    <x v="151"/>
    <x v="2"/>
    <s v="ARF"/>
    <n v="486399190.24615806"/>
    <n v="2149.4643000000001"/>
    <m/>
    <n v="8067591.6653686166"/>
    <n v="0"/>
    <n v="0"/>
    <n v="226288.56419999999"/>
    <n v="8067591.6653686166"/>
    <n v="0"/>
    <n v="0"/>
    <m/>
    <s v="Hedge Fund"/>
    <n v="0"/>
    <n v="0"/>
    <n v="0"/>
    <n v="0"/>
    <m/>
    <m/>
    <m/>
    <m/>
    <m/>
    <m/>
    <m/>
    <m/>
    <m/>
    <m/>
    <m/>
    <d v="2010-12-31T00:00:00"/>
    <n v="8.4489675295622568E-3"/>
    <x v="1"/>
  </r>
  <r>
    <x v="152"/>
    <x v="2"/>
    <s v="ARF"/>
    <n v="491389942.62095493"/>
    <n v="2172.3395"/>
    <m/>
    <n v="0"/>
    <n v="-185643.78899097443"/>
    <n v="0"/>
    <n v="226203.10620000001"/>
    <n v="-185643.78899097443"/>
    <n v="0"/>
    <n v="0"/>
    <m/>
    <s v="Hedge Fund"/>
    <n v="0"/>
    <n v="0"/>
    <n v="0"/>
    <n v="0"/>
    <m/>
    <m/>
    <m/>
    <m/>
    <m/>
    <m/>
    <m/>
    <m/>
    <m/>
    <m/>
    <m/>
    <d v="2011-01-31T00:00:00"/>
    <n v="1.0642279567053103E-2"/>
    <x v="1"/>
  </r>
  <r>
    <x v="153"/>
    <x v="2"/>
    <s v="ARF"/>
    <n v="489732805.8110106"/>
    <n v="2172.2797999999998"/>
    <m/>
    <n v="0"/>
    <n v="-1643632.4845041633"/>
    <n v="0"/>
    <n v="225446.46680000002"/>
    <n v="-1643632.4845041633"/>
    <n v="0"/>
    <n v="0"/>
    <m/>
    <s v="Hedge Fund"/>
    <n v="0"/>
    <n v="0"/>
    <n v="0"/>
    <n v="0"/>
    <m/>
    <m/>
    <m/>
    <m/>
    <m/>
    <m/>
    <m/>
    <m/>
    <m/>
    <m/>
    <m/>
    <d v="2011-02-28T00:00:00"/>
    <n v="-2.7481892218128579E-5"/>
    <x v="1"/>
  </r>
  <r>
    <x v="154"/>
    <x v="2"/>
    <s v="ARF"/>
    <n v="498912940.84981328"/>
    <n v="2212.9996000000001"/>
    <m/>
    <n v="0"/>
    <n v="-5.9604644775390625E-8"/>
    <n v="0"/>
    <n v="225446.46679999999"/>
    <n v="-5.9604644775390625E-8"/>
    <n v="0"/>
    <n v="0"/>
    <m/>
    <s v="Hedge Fund"/>
    <n v="0"/>
    <n v="0"/>
    <n v="0"/>
    <n v="0"/>
    <m/>
    <m/>
    <m/>
    <m/>
    <m/>
    <m/>
    <m/>
    <m/>
    <m/>
    <m/>
    <m/>
    <d v="2011-03-31T00:00:00"/>
    <n v="1.8745191112121251E-2"/>
    <x v="1"/>
  </r>
  <r>
    <x v="155"/>
    <x v="2"/>
    <s v="ARF"/>
    <n v="492545205.69928956"/>
    <n v="2243.5120999999999"/>
    <m/>
    <n v="0"/>
    <n v="-13246670.468758702"/>
    <n v="0"/>
    <n v="219542.03219999999"/>
    <n v="-13246670.468758702"/>
    <n v="0"/>
    <n v="0"/>
    <m/>
    <s v="Hedge Fund"/>
    <n v="0"/>
    <n v="0"/>
    <n v="0"/>
    <n v="0"/>
    <m/>
    <m/>
    <m/>
    <m/>
    <m/>
    <m/>
    <m/>
    <m/>
    <m/>
    <m/>
    <m/>
    <d v="2011-04-29T00:00:00"/>
    <n v="1.3787847047057822E-2"/>
    <x v="1"/>
  </r>
  <r>
    <x v="156"/>
    <x v="2"/>
    <s v="ARF"/>
    <n v="492545205.69928956"/>
    <n v="2252.0594999999998"/>
    <m/>
    <n v="0"/>
    <n v="-1876513.5660262704"/>
    <n v="0"/>
    <n v="218708.78886605334"/>
    <n v="-1876513.5660262704"/>
    <n v="0"/>
    <n v="0"/>
    <m/>
    <s v="Hedge Fund"/>
    <n v="0"/>
    <n v="0"/>
    <n v="0"/>
    <n v="0"/>
    <m/>
    <m/>
    <m/>
    <m/>
    <m/>
    <m/>
    <m/>
    <m/>
    <m/>
    <m/>
    <m/>
    <d v="2011-05-31T00:00:00"/>
    <n v="3.8098301319613448E-3"/>
    <x v="1"/>
  </r>
  <r>
    <x v="157"/>
    <x v="2"/>
    <s v="ARF"/>
    <n v="494491126.54956007"/>
    <n v="2252.2640000000001"/>
    <m/>
    <n v="1901194.9029473066"/>
    <n v="0"/>
    <n v="0"/>
    <n v="219552.91500000001"/>
    <n v="1901194.9029473066"/>
    <n v="0"/>
    <n v="0"/>
    <m/>
    <s v="Hedge Fund"/>
    <n v="0"/>
    <n v="0"/>
    <n v="0"/>
    <n v="0"/>
    <m/>
    <m/>
    <m/>
    <m/>
    <m/>
    <m/>
    <m/>
    <m/>
    <m/>
    <m/>
    <m/>
    <d v="2011-06-30T00:00:00"/>
    <n v="9.0805771339796948E-5"/>
    <x v="1"/>
  </r>
  <r>
    <x v="158"/>
    <x v="2"/>
    <s v="ARF"/>
    <n v="487597309.0112915"/>
    <n v="2289.8463999999999"/>
    <m/>
    <n v="0"/>
    <n v="-15145143.010964513"/>
    <n v="0"/>
    <n v="212938.87179999999"/>
    <n v="-15145143.010964513"/>
    <n v="0"/>
    <n v="0"/>
    <m/>
    <s v="Hedge Fund"/>
    <n v="0"/>
    <n v="0"/>
    <n v="0"/>
    <n v="0"/>
    <m/>
    <m/>
    <m/>
    <m/>
    <m/>
    <m/>
    <m/>
    <m/>
    <m/>
    <m/>
    <m/>
    <d v="2011-07-29T00:00:00"/>
    <n v="1.6686498563223351E-2"/>
    <x v="1"/>
  </r>
  <r>
    <x v="159"/>
    <x v="2"/>
    <s v="ARF"/>
    <n v="462417258.86628366"/>
    <n v="2179.3768"/>
    <m/>
    <n v="0"/>
    <n v="-1656778.1528105736"/>
    <n v="0"/>
    <n v="212178.66450000004"/>
    <n v="-1656778.1528105736"/>
    <n v="0"/>
    <n v="0"/>
    <m/>
    <s v="Hedge Fund"/>
    <n v="0"/>
    <n v="0"/>
    <n v="0"/>
    <n v="0"/>
    <m/>
    <m/>
    <m/>
    <m/>
    <m/>
    <m/>
    <m/>
    <m/>
    <m/>
    <m/>
    <m/>
    <d v="2011-08-31T00:00:00"/>
    <n v="-4.8243235878179469E-2"/>
    <x v="1"/>
  </r>
  <r>
    <x v="160"/>
    <x v="2"/>
    <s v="ARF"/>
    <n v="480594466.19034344"/>
    <n v="2193.4211"/>
    <m/>
    <n v="15197306.506222367"/>
    <n v="0"/>
    <n v="0"/>
    <n v="219107.25040000002"/>
    <n v="15197306.506222367"/>
    <n v="0"/>
    <n v="0"/>
    <m/>
    <s v="Hedge Fund"/>
    <n v="0"/>
    <n v="0"/>
    <n v="0"/>
    <n v="0"/>
    <m/>
    <m/>
    <m/>
    <m/>
    <m/>
    <m/>
    <m/>
    <m/>
    <m/>
    <m/>
    <m/>
    <d v="2011-09-30T00:00:00"/>
    <n v="6.4441816578024724E-3"/>
    <x v="1"/>
  </r>
  <r>
    <x v="161"/>
    <x v="2"/>
    <s v="ARF"/>
    <n v="462880101.72788733"/>
    <n v="2139.3407999999999"/>
    <m/>
    <n v="0"/>
    <n v="-5864978.6286489964"/>
    <n v="0"/>
    <n v="216365.7617"/>
    <n v="-5864978.6286489964"/>
    <n v="0"/>
    <n v="0"/>
    <m/>
    <s v="Hedge Fund"/>
    <n v="0"/>
    <n v="0"/>
    <n v="0"/>
    <n v="0"/>
    <m/>
    <m/>
    <m/>
    <m/>
    <m/>
    <m/>
    <m/>
    <m/>
    <m/>
    <m/>
    <m/>
    <d v="2011-10-31T00:00:00"/>
    <n v="-2.4655685130411054E-2"/>
    <x v="1"/>
  </r>
  <r>
    <x v="162"/>
    <x v="2"/>
    <s v="ARF"/>
    <n v="459860079.32083493"/>
    <n v="2120.8011000000001"/>
    <m/>
    <n v="991333.90513700247"/>
    <n v="0"/>
    <n v="0"/>
    <n v="216833.1954"/>
    <n v="991333.90513700247"/>
    <n v="0"/>
    <n v="0"/>
    <m/>
    <s v="Hedge Fund"/>
    <n v="0"/>
    <n v="0"/>
    <n v="0"/>
    <n v="0"/>
    <m/>
    <m/>
    <m/>
    <m/>
    <m/>
    <m/>
    <m/>
    <m/>
    <m/>
    <m/>
    <m/>
    <d v="2011-11-30T00:00:00"/>
    <n v="-8.6660806917717714E-3"/>
    <x v="1"/>
  </r>
  <r>
    <x v="163"/>
    <x v="2"/>
    <s v="ARF"/>
    <n v="469485998.73086625"/>
    <n v="2165.1943000000001"/>
    <m/>
    <n v="0"/>
    <n v="0"/>
    <n v="0"/>
    <n v="216833.19540000003"/>
    <n v="0"/>
    <n v="0"/>
    <n v="0"/>
    <m/>
    <s v="Hedge Fund"/>
    <n v="0"/>
    <n v="0"/>
    <n v="0"/>
    <n v="0"/>
    <m/>
    <m/>
    <m/>
    <m/>
    <m/>
    <m/>
    <m/>
    <m/>
    <m/>
    <m/>
    <m/>
    <d v="2011-12-30T00:00:00"/>
    <n v="2.0932278845008145E-2"/>
    <x v="1"/>
  </r>
  <r>
    <x v="164"/>
    <x v="2"/>
    <s v="ARF"/>
    <n v="465072443.76236367"/>
    <n v="2234.8852999999999"/>
    <m/>
    <n v="0"/>
    <n v="-19524877.189123988"/>
    <n v="0"/>
    <n v="208096.78409999999"/>
    <n v="-19524877.189123988"/>
    <n v="0"/>
    <n v="0"/>
    <m/>
    <s v="Hedge Fund"/>
    <n v="0"/>
    <n v="0"/>
    <n v="0.13628189915686975"/>
    <n v="2.6138737031278323"/>
    <m/>
    <m/>
    <m/>
    <m/>
    <m/>
    <m/>
    <m/>
    <m/>
    <m/>
    <m/>
    <m/>
    <d v="2012-01-31T00:00:00"/>
    <n v="3.2186949688533639E-2"/>
    <x v="1"/>
  </r>
  <r>
    <x v="165"/>
    <x v="2"/>
    <s v="ARF"/>
    <n v="500712163.51099485"/>
    <n v="2275.0497"/>
    <m/>
    <n v="27281637.273325086"/>
    <n v="0"/>
    <n v="0"/>
    <n v="220088.45060000001"/>
    <n v="27281637.273325086"/>
    <n v="0"/>
    <n v="0"/>
    <m/>
    <s v="Hedge Fund"/>
    <n v="0"/>
    <n v="0"/>
    <n v="0.12977234258469142"/>
    <n v="2.9572753198474966"/>
    <m/>
    <m/>
    <m/>
    <m/>
    <m/>
    <m/>
    <m/>
    <m/>
    <m/>
    <m/>
    <m/>
    <d v="2012-02-29T00:00:00"/>
    <n v="1.7971571068994052E-2"/>
    <x v="1"/>
  </r>
  <r>
    <x v="166"/>
    <x v="2"/>
    <s v="ARF"/>
    <n v="503927581.342408"/>
    <n v="2287.8317000000002"/>
    <m/>
    <n v="402247.2558439374"/>
    <n v="0"/>
    <n v="0"/>
    <n v="220264.27090000021"/>
    <n v="402247.2558439374"/>
    <n v="0"/>
    <n v="0"/>
    <m/>
    <s v="Hedge Fund"/>
    <n v="0"/>
    <n v="0"/>
    <n v="0.13539106294725917"/>
    <n v="3.0795417008306547"/>
    <m/>
    <m/>
    <m/>
    <m/>
    <m/>
    <m/>
    <m/>
    <m/>
    <m/>
    <m/>
    <m/>
    <d v="2012-03-30T00:00:00"/>
    <n v="5.6183387993677947E-3"/>
    <x v="1"/>
  </r>
  <r>
    <x v="167"/>
    <x v="2"/>
    <s v="ARF"/>
    <n v="499555681.40999997"/>
    <n v="2353.3773000000001"/>
    <m/>
    <n v="0"/>
    <n v="-18809253.727111101"/>
    <n v="0"/>
    <n v="212271.81948682855"/>
    <n v="-18809253.727111101"/>
    <n v="0"/>
    <n v="0"/>
    <m/>
    <s v="Hedge Fund"/>
    <n v="0"/>
    <n v="0"/>
    <n v="0.14192737503898437"/>
    <n v="3.5738000305829618"/>
    <m/>
    <m/>
    <m/>
    <m/>
    <m/>
    <m/>
    <m/>
    <m/>
    <m/>
    <m/>
    <m/>
    <d v="2012-04-30T00:00:00"/>
    <n v="2.8649659850416453E-2"/>
    <x v="1"/>
  </r>
  <r>
    <x v="168"/>
    <x v="2"/>
    <s v="ARF"/>
    <n v="517268733.92861003"/>
    <n v="2343.3036000000002"/>
    <m/>
    <n v="19851415.146574497"/>
    <n v="0"/>
    <n v="0"/>
    <n v="220743.37014145753"/>
    <n v="19851415.146574497"/>
    <n v="0"/>
    <n v="0"/>
    <m/>
    <s v="Hedge Fund"/>
    <n v="0"/>
    <n v="0"/>
    <n v="0.1425170558664097"/>
    <n v="3.4844562344206684"/>
    <m/>
    <m/>
    <m/>
    <m/>
    <m/>
    <m/>
    <m/>
    <m/>
    <m/>
    <m/>
    <m/>
    <d v="2012-05-31T00:00:00"/>
    <n v="-4.2805290932311779E-3"/>
    <x v="1"/>
  </r>
  <r>
    <x v="169"/>
    <x v="2"/>
    <s v="ARF"/>
    <n v="561900298.21897602"/>
    <n v="2312.2212000000004"/>
    <m/>
    <n v="51492798.018450797"/>
    <n v="0"/>
    <n v="0"/>
    <n v="243013.21094148603"/>
    <n v="51492798.018450797"/>
    <n v="0"/>
    <n v="0"/>
    <m/>
    <s v="Hedge Fund"/>
    <n v="0"/>
    <n v="0"/>
    <n v="0.15349152222868309"/>
    <n v="3.2716804980254421"/>
    <m/>
    <m/>
    <m/>
    <m/>
    <m/>
    <m/>
    <m/>
    <m/>
    <m/>
    <m/>
    <m/>
    <d v="2012-06-29T00:00:00"/>
    <n v="-1.3264350381230972E-2"/>
    <x v="1"/>
  </r>
  <r>
    <x v="170"/>
    <x v="2"/>
    <s v="ARF"/>
    <n v="543766689.38784707"/>
    <n v="2315.4141000000004"/>
    <m/>
    <n v="0"/>
    <n v="-18909525.71234405"/>
    <n v="0"/>
    <n v="234846.41014661136"/>
    <n v="-18909525.71234405"/>
    <n v="0"/>
    <n v="0"/>
    <m/>
    <s v="Hedge Fund"/>
    <n v="0"/>
    <n v="0"/>
    <n v="0.16941602927151156"/>
    <n v="3.3651884082228638"/>
    <m/>
    <m/>
    <m/>
    <m/>
    <m/>
    <m/>
    <m/>
    <m/>
    <m/>
    <m/>
    <m/>
    <d v="2012-07-31T00:00:00"/>
    <n v="1.380879995391382E-3"/>
    <x v="1"/>
  </r>
  <r>
    <x v="171"/>
    <x v="2"/>
    <s v="ARF"/>
    <n v="555879294.26315308"/>
    <n v="2366.9908"/>
    <m/>
    <n v="2.0330972671508789"/>
    <n v="0"/>
    <n v="0"/>
    <n v="234846.41100554893"/>
    <n v="2.0330972671508789"/>
    <n v="0"/>
    <n v="0"/>
    <m/>
    <s v="Hedge Fund"/>
    <n v="0"/>
    <n v="0"/>
    <n v="0.1684496758974445"/>
    <n v="3.7924198645614777"/>
    <m/>
    <m/>
    <m/>
    <m/>
    <m/>
    <m/>
    <m/>
    <m/>
    <m/>
    <m/>
    <m/>
    <d v="2012-08-31T00:00:00"/>
    <n v="2.2275367503376664E-2"/>
    <x v="1"/>
  </r>
  <r>
    <x v="172"/>
    <x v="2"/>
    <s v="ARF"/>
    <n v="576537387.77257502"/>
    <n v="2446.1541000000002"/>
    <m/>
    <n v="2066876.6210663319"/>
    <n v="0"/>
    <n v="0"/>
    <n v="235691.36047993664"/>
    <n v="2066876.6210663319"/>
    <n v="0"/>
    <n v="0"/>
    <m/>
    <s v="Hedge Fund"/>
    <n v="0.69941867984112105"/>
    <n v="32.209986639999997"/>
    <n v="0.16198986988243222"/>
    <n v="4.4140508027934224"/>
    <m/>
    <m/>
    <m/>
    <m/>
    <m/>
    <m/>
    <m/>
    <m/>
    <m/>
    <m/>
    <m/>
    <d v="2012-09-28T00:00:00"/>
    <n v="3.3444701179235814E-2"/>
    <x v="1"/>
  </r>
  <r>
    <x v="173"/>
    <x v="2"/>
    <s v="ARF"/>
    <n v="568394319.54851401"/>
    <n v="2430.212"/>
    <m/>
    <n v="0"/>
    <n v="-4385652.9861537218"/>
    <n v="0"/>
    <n v="233886.72245405504"/>
    <n v="-4385652.9861537218"/>
    <n v="0"/>
    <n v="0"/>
    <m/>
    <s v="Hedge Fund"/>
    <n v="0.81253432439588902"/>
    <n v="31.521932184387399"/>
    <n v="0.18931355382078119"/>
    <n v="4.3277235492371178"/>
    <m/>
    <m/>
    <m/>
    <m/>
    <m/>
    <m/>
    <m/>
    <m/>
    <m/>
    <m/>
    <m/>
    <d v="2012-10-31T00:00:00"/>
    <n v="-6.5172100155098667E-3"/>
    <x v="1"/>
  </r>
  <r>
    <x v="174"/>
    <x v="2"/>
    <s v="ARF"/>
    <n v="572222920.3565985"/>
    <n v="2406.3620999999998"/>
    <m/>
    <n v="9406775.7499414682"/>
    <n v="0"/>
    <n v="0"/>
    <n v="237795.8497420644"/>
    <n v="9406775.7499414682"/>
    <n v="0"/>
    <n v="0"/>
    <m/>
    <s v="Hedge Fund"/>
    <n v="0.74169943263698102"/>
    <n v="30.234805453042998"/>
    <n v="0.17908132054136874"/>
    <n v="4.1618716763579888"/>
    <m/>
    <m/>
    <m/>
    <m/>
    <m/>
    <m/>
    <m/>
    <m/>
    <m/>
    <m/>
    <m/>
    <d v="2012-11-30T00:00:00"/>
    <n v="-9.813917468928679E-3"/>
    <x v="1"/>
  </r>
  <r>
    <x v="175"/>
    <x v="2"/>
    <s v="ARF"/>
    <n v="579286023.37716031"/>
    <n v="2436.0645"/>
    <m/>
    <n v="0"/>
    <n v="-4.4268169403076172"/>
    <n v="0"/>
    <n v="237795.84792486418"/>
    <n v="-4.4268169403076172"/>
    <n v="0"/>
    <n v="0"/>
    <m/>
    <s v="Hedge Fund"/>
    <n v="0.77775839091030341"/>
    <n v="32.055488260000004"/>
    <n v="0.18962388891577797"/>
    <n v="4.4249729688920389"/>
    <m/>
    <m/>
    <m/>
    <m/>
    <m/>
    <m/>
    <m/>
    <m/>
    <m/>
    <m/>
    <m/>
    <d v="2012-12-31T00:00:00"/>
    <n v="1.234327950893177E-2"/>
    <x v="1"/>
  </r>
  <r>
    <x v="176"/>
    <x v="2"/>
    <s v="ARF"/>
    <n v="591693066.89228654"/>
    <n v="2464.3440000000001"/>
    <m/>
    <n v="5682295.8337349892"/>
    <n v="0"/>
    <n v="0"/>
    <n v="240101.65256647876"/>
    <n v="5682295.8337349892"/>
    <n v="0"/>
    <n v="0"/>
    <m/>
    <s v="Hedge Fund"/>
    <n v="0.75699196771218757"/>
    <n v="1.6974706399999999"/>
    <n v="0.18345500000000001"/>
    <n v="0.26187624651358571"/>
    <m/>
    <m/>
    <m/>
    <m/>
    <m/>
    <m/>
    <m/>
    <m/>
    <m/>
    <m/>
    <m/>
    <d v="2013-01-31T00:00:00"/>
    <n v="1.1608682775025025E-2"/>
    <x v="1"/>
  </r>
  <r>
    <x v="177"/>
    <x v="2"/>
    <s v="ARF"/>
    <n v="603289142.41616726"/>
    <n v="2512.6405"/>
    <m/>
    <n v="6.0607037544250488"/>
    <n v="0"/>
    <n v="0"/>
    <n v="240101.65497856427"/>
    <n v="6.0607037544250488"/>
    <n v="0"/>
    <n v="0"/>
    <m/>
    <s v="Hedge Fund"/>
    <n v="0.70034444981618571"/>
    <n v="4.59650596"/>
    <n v="0.16972699999999999"/>
    <n v="0.70912315036101337"/>
    <m/>
    <m/>
    <m/>
    <m/>
    <m/>
    <m/>
    <m/>
    <m/>
    <m/>
    <m/>
    <m/>
    <d v="2013-02-28T00:00:00"/>
    <n v="1.9598116172092839E-2"/>
    <x v="1"/>
  </r>
  <r>
    <x v="178"/>
    <x v="2"/>
    <s v="ARF"/>
    <n v="609358108.90183723"/>
    <n v="2514.4333999999999"/>
    <m/>
    <n v="5638488.2284590006"/>
    <n v="0"/>
    <n v="0"/>
    <n v="242344.10380558789"/>
    <n v="5638488.2284590006"/>
    <n v="0"/>
    <n v="0"/>
    <m/>
    <s v="Hedge Fund"/>
    <n v="0.7074690304866571"/>
    <n v="4.7115388600000001"/>
    <n v="0.17119200000000001"/>
    <n v="0.725600356267594"/>
    <m/>
    <m/>
    <m/>
    <m/>
    <m/>
    <m/>
    <m/>
    <m/>
    <m/>
    <m/>
    <m/>
    <d v="2013-03-28T00:00:00"/>
    <n v="7.1355213768131698E-4"/>
    <x v="1"/>
  </r>
  <r>
    <x v="179"/>
    <x v="2"/>
    <s v="ARF"/>
    <n v="618889861.5677011"/>
    <n v="2505.2494000000002"/>
    <m/>
    <n v="11757440.9152143"/>
    <n v="0"/>
    <n v="0"/>
    <n v="247037.2257419565"/>
    <n v="11757440.9152143"/>
    <n v="0"/>
    <n v="0"/>
    <m/>
    <s v="Hedge Fund"/>
    <n v="0.84619966690578996"/>
    <n v="4.1729467400000004"/>
    <n v="0.21522796694710511"/>
    <n v="0.6480654379907802"/>
    <m/>
    <m/>
    <m/>
    <m/>
    <m/>
    <m/>
    <m/>
    <m/>
    <m/>
    <m/>
    <m/>
    <d v="2013-04-30T00:00:00"/>
    <n v="-3.6525127291101578E-3"/>
    <x v="1"/>
  </r>
  <r>
    <x v="180"/>
    <x v="2"/>
    <s v="ARF"/>
    <n v="631699773.97302437"/>
    <n v="2557.1035000000006"/>
    <m/>
    <n v="19.397977113723755"/>
    <n v="0"/>
    <n v="0"/>
    <n v="247037.23332787439"/>
    <n v="19.397977113723755"/>
    <n v="0"/>
    <n v="0"/>
    <m/>
    <s v="Hedge Fund"/>
    <n v="0.81506017030468436"/>
    <n v="7.3354023923487999"/>
    <n v="0.20734867462684728"/>
    <n v="1.1448488706155575"/>
    <m/>
    <m/>
    <m/>
    <m/>
    <m/>
    <m/>
    <m/>
    <m/>
    <m/>
    <m/>
    <m/>
    <d v="2013-05-31T00:00:00"/>
    <n v="2.0698178792099675E-2"/>
    <x v="1"/>
  </r>
  <r>
    <x v="181"/>
    <x v="2"/>
    <s v="ARF"/>
    <n v="623808928.02271652"/>
    <n v="2525.1615999999999"/>
    <m/>
    <n v="0"/>
    <n v="-7.3470721244812012"/>
    <n v="0"/>
    <n v="247037.23041832907"/>
    <n v="-7.3470721244812012"/>
    <n v="0"/>
    <n v="0"/>
    <m/>
    <s v="Hedge Fund"/>
    <n v="0.72493023695588299"/>
    <n v="5.4167094599999999"/>
    <n v="0.18376154046453097"/>
    <n v="0.84740799900075703"/>
    <m/>
    <m/>
    <m/>
    <m/>
    <m/>
    <m/>
    <m/>
    <m/>
    <m/>
    <m/>
    <m/>
    <d v="2013-06-28T00:00:00"/>
    <n v="-1.2491438066546956E-2"/>
    <x v="1"/>
  </r>
  <r>
    <x v="182"/>
    <x v="2"/>
    <s v="ARF"/>
    <n v="612933697.98724139"/>
    <n v="2473.3011000000001"/>
    <m/>
    <n v="1936244.2526346445"/>
    <n v="0"/>
    <n v="0"/>
    <n v="247820.08870138836"/>
    <n v="1936244.2526346445"/>
    <n v="0"/>
    <n v="0"/>
    <m/>
    <s v="Hedge Fund"/>
    <n v="0.8355238810303246"/>
    <n v="2.26844336"/>
    <n v="0.21267347607464632"/>
    <n v="0.35619020460900735"/>
    <m/>
    <m/>
    <m/>
    <m/>
    <m/>
    <m/>
    <m/>
    <m/>
    <m/>
    <m/>
    <m/>
    <d v="2013-07-31T00:00:00"/>
    <n v="-2.0537497481349365E-2"/>
    <x v="1"/>
  </r>
  <r>
    <x v="183"/>
    <x v="2"/>
    <s v="ARF"/>
    <n v="604493524.41609669"/>
    <n v="2425.3937999999998"/>
    <m/>
    <n v="3432217.7642993927"/>
    <n v="0"/>
    <n v="0"/>
    <n v="249235.2064296102"/>
    <n v="3432217.7642993927"/>
    <n v="0"/>
    <n v="0"/>
    <m/>
    <s v="Hedge Fund"/>
    <n v="0.74624735539131903"/>
    <n v="0"/>
    <n v="0.18908246916556176"/>
    <n v="0"/>
    <m/>
    <m/>
    <m/>
    <m/>
    <m/>
    <m/>
    <m/>
    <m/>
    <m/>
    <m/>
    <m/>
    <d v="2013-08-30T00:00:00"/>
    <n v="-1.9369780735552289E-2"/>
    <x v="1"/>
  </r>
  <r>
    <x v="35"/>
    <x v="2"/>
    <s v="ARF"/>
    <n v="591803650.95728004"/>
    <n v="2373.4969999999998"/>
    <m/>
    <n v="244636.20221960545"/>
    <n v="0"/>
    <n v="0"/>
    <n v="249338.2763733344"/>
    <n v="244636.20221960545"/>
    <n v="0"/>
    <n v="0"/>
    <m/>
    <s v="Hedge Fund"/>
    <n v="0.75496756604902904"/>
    <n v="0"/>
    <n v="0.19121289649932685"/>
    <n v="0"/>
    <m/>
    <m/>
    <m/>
    <m/>
    <m/>
    <m/>
    <m/>
    <m/>
    <m/>
    <m/>
    <m/>
    <d v="2013-09-30T00:00:00"/>
    <n v="-2.1397267528267094E-2"/>
    <x v="1"/>
  </r>
  <r>
    <x v="36"/>
    <x v="2"/>
    <s v="ARF"/>
    <n v="566819693.64793813"/>
    <n v="2413.4202"/>
    <m/>
    <n v="0"/>
    <n v="-34938339.184649825"/>
    <n v="0"/>
    <n v="234861.58508490902"/>
    <n v="-34938339.184649825"/>
    <n v="0"/>
    <n v="0"/>
    <m/>
    <s v="Hedge Fund"/>
    <n v="0.72309538186393396"/>
    <n v="0"/>
    <n v="0.190327651777635"/>
    <n v="0"/>
    <m/>
    <m/>
    <m/>
    <m/>
    <m/>
    <m/>
    <m/>
    <m/>
    <m/>
    <m/>
    <m/>
    <d v="2013-10-31T00:00:00"/>
    <n v="1.6820413086681807E-2"/>
    <x v="1"/>
  </r>
  <r>
    <x v="37"/>
    <x v="2"/>
    <s v="ARF"/>
    <n v="482046496.66465259"/>
    <n v="2052.4706000000001"/>
    <m/>
    <n v="0"/>
    <n v="-1.7915217280387878"/>
    <n v="-82201554.474216789"/>
    <n v="234861.58421204795"/>
    <n v="-82201556.265738517"/>
    <n v="-350"/>
    <n v="-350"/>
    <m/>
    <s v="Hedge Fund"/>
    <n v="0.57522501494810896"/>
    <n v="0"/>
    <n v="0.15158891477962635"/>
    <n v="0"/>
    <m/>
    <m/>
    <m/>
    <m/>
    <m/>
    <m/>
    <m/>
    <m/>
    <m/>
    <m/>
    <m/>
    <d v="2013-11-29T00:00:00"/>
    <n v="-4.5369643051681452E-3"/>
    <x v="1"/>
  </r>
  <r>
    <x v="38"/>
    <x v="2"/>
    <s v="ARF"/>
    <n v="492330936.31148612"/>
    <n v="2096.2600000000002"/>
    <m/>
    <n v="0"/>
    <n v="-8.2088615894317627"/>
    <n v="0"/>
    <n v="234861.58029609214"/>
    <n v="-8.2088615894317627"/>
    <n v="0"/>
    <n v="0"/>
    <m/>
    <s v="Hedge Fund"/>
    <n v="0.64914670640875238"/>
    <n v="0.5986151999999999"/>
    <n v="0.22805468182351463"/>
    <n v="9.4696204753426924E-2"/>
    <m/>
    <m/>
    <m/>
    <m/>
    <m/>
    <m/>
    <m/>
    <m/>
    <m/>
    <m/>
    <m/>
    <d v="2013-12-31T00:00:00"/>
    <n v="2.1334970644646623E-2"/>
    <x v="1"/>
  </r>
  <r>
    <x v="39"/>
    <x v="2"/>
    <s v="ARF"/>
    <n v="494849589.29393572"/>
    <n v="2106.9839999999999"/>
    <m/>
    <n v="0"/>
    <n v="-2.6046456694602966"/>
    <n v="0"/>
    <n v="234861.57905989591"/>
    <n v="-2.6046456694602966"/>
    <n v="0"/>
    <n v="0"/>
    <m/>
    <s v="Hedge Fund"/>
    <n v="0.6124082681588694"/>
    <n v="1.2283260600000001"/>
    <n v="0.21491427020717993"/>
    <n v="0.20194878998831403"/>
    <m/>
    <m/>
    <m/>
    <m/>
    <m/>
    <m/>
    <m/>
    <m/>
    <m/>
    <m/>
    <m/>
    <d v="2014-01-30T00:00:00"/>
    <n v="5.1157776230046359E-3"/>
    <x v="1"/>
  </r>
  <r>
    <x v="40"/>
    <x v="2"/>
    <s v="ARF"/>
    <n v="494353038.32696199"/>
    <n v="2104.8697000000002"/>
    <m/>
    <n v="16.869632542133331"/>
    <n v="0"/>
    <n v="0"/>
    <n v="234861.58707446925"/>
    <n v="16.869632542133331"/>
    <n v="0"/>
    <n v="0"/>
    <m/>
    <s v="Hedge Fund"/>
    <n v="0.59122794119189448"/>
    <n v="1.1041312599999999"/>
    <n v="0.20748139374268534"/>
    <n v="0.18152995284932091"/>
    <m/>
    <m/>
    <m/>
    <m/>
    <m/>
    <m/>
    <m/>
    <m/>
    <m/>
    <m/>
    <m/>
    <d v="2014-02-28T00:00:00"/>
    <n v="-1.0034722617731084E-3"/>
    <x v="1"/>
  </r>
  <r>
    <x v="41"/>
    <x v="2"/>
    <s v="ARF"/>
    <n v="466992186.74625331"/>
    <n v="1988.3719999999998"/>
    <m/>
    <n v="0"/>
    <n v="-16.868183195590973"/>
    <n v="-29357697.323881883"/>
    <n v="234861.57859105506"/>
    <n v="-29357714.192065079"/>
    <n v="-125"/>
    <n v="-125"/>
    <m/>
    <s v="Hedge Fund"/>
    <n v="0.59779021761025397"/>
    <n v="1.6033530199999999"/>
    <n v="0.20968211978879578"/>
    <n v="0.26356119874511802"/>
    <m/>
    <m/>
    <m/>
    <m/>
    <m/>
    <m/>
    <m/>
    <m/>
    <m/>
    <m/>
    <m/>
    <d v="2014-03-31T00:00:00"/>
    <n v="4.0393452786582351E-3"/>
    <x v="1"/>
  </r>
  <r>
    <x v="42"/>
    <x v="2"/>
    <s v="ARF"/>
    <n v="475819830.91237307"/>
    <n v="2025.9585000000002"/>
    <m/>
    <n v="19.442407011985779"/>
    <n v="0"/>
    <n v="0"/>
    <n v="234861.5881877013"/>
    <n v="19.442407011985779"/>
    <n v="0"/>
    <n v="0"/>
    <m/>
    <s v="Hedge Fund"/>
    <n v="0.59210347592880497"/>
    <n v="3.8103003000000002"/>
    <n v="0.20764202067824317"/>
    <n v="0.62597884765462919"/>
    <m/>
    <m/>
    <m/>
    <m/>
    <m/>
    <m/>
    <m/>
    <m/>
    <m/>
    <m/>
    <m/>
    <d v="2014-04-30T00:00:00"/>
    <n v="1.8903152931141864E-2"/>
    <x v="1"/>
  </r>
  <r>
    <x v="43"/>
    <x v="2"/>
    <s v="ARF"/>
    <n v="467688271.20599842"/>
    <n v="1991.3358000000001"/>
    <m/>
    <n v="0"/>
    <n v="-17.39702832698822"/>
    <n v="0"/>
    <n v="234861.57945134037"/>
    <n v="-17.39702832698822"/>
    <n v="0"/>
    <n v="0"/>
    <m/>
    <s v="Hedge Fund"/>
    <n v="0.57955543042823199"/>
    <n v="1.7773854600000001"/>
    <n v="0.20324163090893543"/>
    <n v="0.29199947915820496"/>
    <m/>
    <m/>
    <m/>
    <m/>
    <m/>
    <m/>
    <m/>
    <m/>
    <m/>
    <m/>
    <m/>
    <d v="2014-05-30T00:00:00"/>
    <n v="-1.7089540580421558E-2"/>
    <x v="1"/>
  </r>
  <r>
    <x v="44"/>
    <x v="2"/>
    <s v="ARF"/>
    <n v="430385592.93757498"/>
    <n v="1832.5074"/>
    <m/>
    <n v="10.617305815219879"/>
    <n v="0"/>
    <n v="-30532006.081877079"/>
    <n v="234861.58524520829"/>
    <n v="-30531995.464571264"/>
    <n v="-130"/>
    <n v="-130"/>
    <m/>
    <s v="Hedge Fund"/>
    <n v="0.54915359520930396"/>
    <n v="8.4691080000000002E-2"/>
    <n v="0.19241539958101614"/>
    <n v="1.3888147074010235E-2"/>
    <m/>
    <m/>
    <m/>
    <m/>
    <m/>
    <m/>
    <m/>
    <m/>
    <m/>
    <m/>
    <m/>
    <d v="2014-06-30T00:00:00"/>
    <n v="-1.4476913834920557E-2"/>
    <x v="1"/>
  </r>
  <r>
    <x v="45"/>
    <x v="2"/>
    <s v="ARF"/>
    <n v="419056108.60221601"/>
    <n v="1784.2683999999999"/>
    <m/>
    <n v="3.6752846240997314"/>
    <n v="0"/>
    <n v="0"/>
    <n v="234861.5873050355"/>
    <n v="3.6752846240997314"/>
    <n v="0"/>
    <n v="0"/>
    <m/>
    <s v="Hedge Fund"/>
    <n v="0.53459246126251103"/>
    <n v="0"/>
    <n v="0.18807725420351545"/>
    <n v="0"/>
    <m/>
    <m/>
    <m/>
    <m/>
    <m/>
    <m/>
    <m/>
    <m/>
    <m/>
    <m/>
    <m/>
    <d v="2014-07-31T00:00:00"/>
    <n v="-2.6324041037978918E-2"/>
    <x v="1"/>
  </r>
  <r>
    <x v="46"/>
    <x v="2"/>
    <s v="ARF"/>
    <n v="421138817.86430156"/>
    <n v="1793.1361999999999"/>
    <m/>
    <n v="3.6781820058822632"/>
    <n v="0"/>
    <n v="0"/>
    <n v="234861.58935629184"/>
    <n v="3.6781820058822632"/>
    <n v="0"/>
    <n v="0"/>
    <m/>
    <s v="Hedge Fund"/>
    <n v="0.50254401287917005"/>
    <n v="0"/>
    <n v="0.17680215579171576"/>
    <n v="0"/>
    <m/>
    <m/>
    <m/>
    <m/>
    <m/>
    <m/>
    <m/>
    <m/>
    <m/>
    <m/>
    <m/>
    <d v="2014-08-29T00:00:00"/>
    <n v="4.9699921827903726E-3"/>
    <x v="1"/>
  </r>
  <r>
    <x v="47"/>
    <x v="2"/>
    <s v="ARF"/>
    <n v="412209501.4978497"/>
    <n v="1755.1167000000003"/>
    <m/>
    <n v="3.8300796151161194"/>
    <n v="0"/>
    <n v="0"/>
    <n v="234861.59153852827"/>
    <n v="3.8300796151161194"/>
    <n v="0"/>
    <n v="0"/>
    <m/>
    <s v="Hedge Fund"/>
    <n v="0.54284519852222302"/>
    <n v="0"/>
    <n v="0.19098068805962898"/>
    <n v="0"/>
    <m/>
    <m/>
    <m/>
    <m/>
    <m/>
    <m/>
    <m/>
    <m/>
    <m/>
    <m/>
    <m/>
    <d v="2014-09-30T00:00:00"/>
    <n v="-2.12027954150944E-2"/>
    <x v="1"/>
  </r>
  <r>
    <x v="184"/>
    <x v="2"/>
    <s v="ARF"/>
    <n v="370264556.89962053"/>
    <n v="1576.5224000000001"/>
    <m/>
    <n v="0"/>
    <n v="-3.0605197548866272"/>
    <n v="-36403546.387568727"/>
    <n v="234861.58959721759"/>
    <n v="-36403549.448088482"/>
    <n v="-155"/>
    <n v="-155"/>
    <m/>
    <s v="Hedge Fund"/>
    <n v="0.47234877795119801"/>
    <n v="0"/>
    <n v="0.16617904121252294"/>
    <n v="0"/>
    <m/>
    <m/>
    <m/>
    <m/>
    <m/>
    <m/>
    <m/>
    <m/>
    <m/>
    <m/>
    <m/>
    <d v="2014-10-31T00:00:00"/>
    <n v="-1.3443152401885206E-2"/>
    <x v="1"/>
  </r>
  <r>
    <x v="185"/>
    <x v="2"/>
    <s v="ARF"/>
    <n v="356152611.33447576"/>
    <n v="1516.4362000000001"/>
    <m/>
    <n v="0"/>
    <n v="-5.1202884316444397"/>
    <n v="0"/>
    <n v="234861.58622069014"/>
    <n v="-5.1202884316444397"/>
    <n v="0"/>
    <n v="0"/>
    <m/>
    <s v="Hedge Fund"/>
    <n v="0.41032307077420999"/>
    <n v="0"/>
    <n v="0.14435751222729182"/>
    <n v="0"/>
    <m/>
    <m/>
    <m/>
    <m/>
    <m/>
    <m/>
    <m/>
    <m/>
    <m/>
    <m/>
    <m/>
    <d v="2014-11-28T00:00:00"/>
    <n v="-3.8113127983465445E-2"/>
    <x v="1"/>
  </r>
  <r>
    <x v="186"/>
    <x v="2"/>
    <s v="ARF"/>
    <n v="329336476.57777905"/>
    <n v="1402.2576999999999"/>
    <m/>
    <n v="8.865602433681488"/>
    <n v="0"/>
    <n v="-10568771.664438041"/>
    <n v="234861.59254306756"/>
    <n v="-10568762.798835607"/>
    <n v="-45.000000000000007"/>
    <n v="-45.000000000000007"/>
    <m/>
    <s v="Hedge Fund"/>
    <n v="0.44728142175997199"/>
    <n v="0"/>
    <n v="0.15742750087113641"/>
    <n v="0"/>
    <m/>
    <m/>
    <m/>
    <m/>
    <m/>
    <m/>
    <m/>
    <m/>
    <m/>
    <m/>
    <m/>
    <d v="2014-12-31T00:00:00"/>
    <n v="-4.5619129105872513E-2"/>
    <x v="1"/>
  </r>
  <r>
    <x v="187"/>
    <x v="2"/>
    <s v="ARF"/>
    <n v="339560282.33671457"/>
    <n v="1445.7889"/>
    <m/>
    <n v="0"/>
    <n v="-1.1983752846717834"/>
    <n v="0"/>
    <n v="234861.59171419463"/>
    <n v="-1.1983752846717834"/>
    <n v="0"/>
    <n v="0"/>
    <m/>
    <s v="Hedge Fund"/>
    <n v="0"/>
    <n v="0"/>
    <n v="0"/>
    <n v="0"/>
    <m/>
    <m/>
    <m/>
    <m/>
    <m/>
    <m/>
    <m/>
    <m/>
    <m/>
    <m/>
    <m/>
    <d v="2015-01-30T00:00:00"/>
    <n v="3.1043651962118002E-2"/>
    <x v="1"/>
  </r>
  <r>
    <x v="188"/>
    <x v="2"/>
    <s v="ARF"/>
    <n v="343654344.0506829"/>
    <n v="1463.2207000000003"/>
    <m/>
    <n v="1.4195247888565063"/>
    <n v="0"/>
    <n v="0"/>
    <n v="234861.59268433179"/>
    <n v="1.4195247888565063"/>
    <n v="0"/>
    <n v="0"/>
    <m/>
    <s v="Hedge Fund"/>
    <n v="0"/>
    <n v="0"/>
    <n v="0"/>
    <n v="0"/>
    <m/>
    <m/>
    <m/>
    <m/>
    <m/>
    <m/>
    <m/>
    <m/>
    <m/>
    <m/>
    <m/>
    <d v="2015-02-27T00:00:00"/>
    <n v="1.2056946902829546E-2"/>
    <x v="1"/>
  </r>
  <r>
    <x v="189"/>
    <x v="2"/>
    <s v="ARF"/>
    <n v="295358441.80687124"/>
    <n v="1257.5851"/>
    <m/>
    <n v="2.284786581993103"/>
    <n v="0"/>
    <n v="-32880623.230159111"/>
    <n v="234861.59450113651"/>
    <n v="-32880620.945372529"/>
    <n v="-140"/>
    <n v="-140"/>
    <m/>
    <s v="Hedge Fund"/>
    <n v="0"/>
    <n v="0"/>
    <n v="0"/>
    <n v="0"/>
    <m/>
    <m/>
    <m/>
    <m/>
    <m/>
    <m/>
    <m/>
    <m/>
    <m/>
    <m/>
    <m/>
    <d v="2015-03-31T00:00:00"/>
    <n v="-4.4856937109358008E-2"/>
    <x v="1"/>
  </r>
  <r>
    <x v="190"/>
    <x v="2"/>
    <s v="ARF"/>
    <n v="296262682.58616579"/>
    <n v="1261.4351999999999"/>
    <m/>
    <n v="0.15430575609207153"/>
    <n v="0"/>
    <n v="0"/>
    <n v="234861.59462346209"/>
    <n v="0.15430575609207153"/>
    <n v="0"/>
    <n v="0"/>
    <m/>
    <s v="Hedge Fund"/>
    <n v="0"/>
    <n v="0"/>
    <n v="0"/>
    <n v="0"/>
    <m/>
    <m/>
    <m/>
    <m/>
    <m/>
    <m/>
    <m/>
    <m/>
    <m/>
    <m/>
    <m/>
    <d v="2015-04-30T00:00:00"/>
    <n v="3.061502557560436E-3"/>
    <x v="1"/>
  </r>
  <r>
    <x v="191"/>
    <x v="2"/>
    <s v="ARF"/>
    <n v="297046959.72046518"/>
    <n v="1264.7746"/>
    <m/>
    <n v="0"/>
    <n v="-19.67478621006012"/>
    <n v="0"/>
    <n v="234861.57906749961"/>
    <n v="-19.67478621006012"/>
    <n v="0"/>
    <n v="0"/>
    <m/>
    <s v="Hedge Fund"/>
    <n v="0"/>
    <n v="0"/>
    <n v="0"/>
    <n v="0"/>
    <m/>
    <m/>
    <m/>
    <m/>
    <m/>
    <m/>
    <m/>
    <m/>
    <m/>
    <m/>
    <m/>
    <d v="2015-05-29T00:00:00"/>
    <n v="2.6473020572124195E-3"/>
    <x v="1"/>
  </r>
  <r>
    <x v="192"/>
    <x v="2"/>
    <s v="ARF"/>
    <n v="288817948.81501245"/>
    <n v="1229.7367999999999"/>
    <m/>
    <n v="22.129598498344421"/>
    <n v="0"/>
    <n v="0"/>
    <n v="234861.59706289385"/>
    <n v="22.129598498344421"/>
    <n v="0"/>
    <n v="0"/>
    <m/>
    <s v="Hedge Fund"/>
    <n v="0"/>
    <n v="0"/>
    <n v="0"/>
    <n v="0"/>
    <m/>
    <m/>
    <m/>
    <m/>
    <m/>
    <m/>
    <m/>
    <m/>
    <m/>
    <m/>
    <m/>
    <d v="2015-06-30T00:00:00"/>
    <n v="-2.7702801748232364E-2"/>
    <x v="1"/>
  </r>
  <r>
    <x v="193"/>
    <x v="2"/>
    <s v="ARF"/>
    <n v="261856452.08637106"/>
    <n v="1114.9395"/>
    <m/>
    <n v="0"/>
    <n v="-19.51213327050209"/>
    <n v="-10568771.080302294"/>
    <n v="234861.5795622732"/>
    <n v="-10568790.592435565"/>
    <n v="-45"/>
    <n v="-45"/>
    <m/>
    <s v="Hedge Fund"/>
    <n v="0"/>
    <n v="0"/>
    <n v="0"/>
    <n v="0"/>
    <m/>
    <m/>
    <m/>
    <m/>
    <m/>
    <m/>
    <m/>
    <m/>
    <m/>
    <m/>
    <m/>
    <d v="2015-07-31T00:00:00"/>
    <n v="-5.6757920355930858E-2"/>
    <x v="1"/>
  </r>
  <r>
    <x v="194"/>
    <x v="2"/>
    <s v="ARF"/>
    <n v="249270259.18336296"/>
    <n v="1061.3496"/>
    <m/>
    <n v="15.659576117992401"/>
    <n v="0"/>
    <n v="0"/>
    <n v="234861.5943166728"/>
    <n v="15.659576117992401"/>
    <n v="0"/>
    <n v="0"/>
    <m/>
    <s v="Hedge Fund"/>
    <n v="0"/>
    <n v="0"/>
    <n v="0"/>
    <n v="0"/>
    <m/>
    <m/>
    <m/>
    <m/>
    <m/>
    <m/>
    <m/>
    <m/>
    <m/>
    <m/>
    <m/>
    <d v="2015-08-31T00:00:00"/>
    <n v="-4.8065298610372897E-2"/>
    <x v="1"/>
  </r>
  <r>
    <x v="195"/>
    <x v="2"/>
    <s v="ARF"/>
    <n v="243935946.43107399"/>
    <n v="1038.6369999999999"/>
    <m/>
    <n v="4.6947879195213318"/>
    <n v="0"/>
    <n v="-15031142.32555622"/>
    <n v="234861.59883681595"/>
    <n v="-15031137.630768301"/>
    <n v="-64"/>
    <n v="-64"/>
    <m/>
    <s v="Hedge Fund"/>
    <n v="0"/>
    <n v="0"/>
    <n v="0"/>
    <n v="0"/>
    <m/>
    <m/>
    <m/>
    <m/>
    <m/>
    <m/>
    <m/>
    <m/>
    <m/>
    <m/>
    <m/>
    <d v="2015-09-30T00:00:00"/>
    <n v="3.8900849665127302E-2"/>
    <x v="1"/>
  </r>
  <r>
    <x v="196"/>
    <x v="2"/>
    <s v="ARF"/>
    <n v="245324847.21667984"/>
    <n v="1044.5507"/>
    <m/>
    <n v="0"/>
    <n v="-0.25143542885780334"/>
    <n v="0"/>
    <n v="234861.59859610436"/>
    <n v="-0.25143542885780334"/>
    <n v="0"/>
    <n v="0"/>
    <m/>
    <s v="Hedge Fund"/>
    <n v="0"/>
    <n v="0"/>
    <n v="0"/>
    <n v="0"/>
    <m/>
    <m/>
    <m/>
    <m/>
    <m/>
    <m/>
    <m/>
    <m/>
    <m/>
    <m/>
    <m/>
    <d v="2015-10-30T00:00:00"/>
    <n v="5.6937120476161507E-3"/>
    <x v="1"/>
  </r>
  <r>
    <x v="1"/>
    <x v="2"/>
    <s v="ARF"/>
    <n v="243647935.04559928"/>
    <n v="1037.4106999999999"/>
    <m/>
    <n v="0"/>
    <n v="-0.35710433125495911"/>
    <n v="0"/>
    <n v="234861.59825187776"/>
    <n v="-0.35710433125495911"/>
    <n v="0"/>
    <n v="0"/>
    <m/>
    <s v="Hedge Fund"/>
    <n v="0"/>
    <n v="0"/>
    <n v="0"/>
    <n v="0"/>
    <m/>
    <m/>
    <m/>
    <m/>
    <m/>
    <m/>
    <m/>
    <m/>
    <m/>
    <m/>
    <m/>
    <d v="2015-11-30T00:00:00"/>
    <n v="-6.8354748122807507E-3"/>
    <x v="1"/>
  </r>
  <r>
    <x v="2"/>
    <x v="2"/>
    <s v="ARF"/>
    <n v="229115611.82595748"/>
    <n v="975.53459999999995"/>
    <m/>
    <n v="0"/>
    <n v="-3.4800487756729126"/>
    <n v="-12212802.923596753"/>
    <n v="234861.59468455295"/>
    <n v="-12212806.403645528"/>
    <n v="-52"/>
    <n v="-52"/>
    <m/>
    <s v="Hedge Fund"/>
    <n v="0"/>
    <n v="0"/>
    <n v="0"/>
    <n v="0"/>
    <m/>
    <m/>
    <m/>
    <m/>
    <m/>
    <m/>
    <m/>
    <m/>
    <m/>
    <m/>
    <m/>
    <d v="2015-12-31T00:00:00"/>
    <n v="-9.519952695524303E-3"/>
    <x v="1"/>
  </r>
  <r>
    <x v="3"/>
    <x v="2"/>
    <s v="ARF"/>
    <n v="215210879.89468837"/>
    <n v="916.33069999999998"/>
    <m/>
    <n v="0"/>
    <n v="-9.5657243132591248"/>
    <n v="0"/>
    <n v="234861.58424539128"/>
    <n v="-9.5657243132591248"/>
    <n v="0"/>
    <n v="0"/>
    <m/>
    <s v="Hedge Fund"/>
    <n v="0"/>
    <n v="0"/>
    <n v="0"/>
    <n v="0"/>
    <m/>
    <m/>
    <m/>
    <m/>
    <m/>
    <m/>
    <m/>
    <m/>
    <m/>
    <m/>
    <m/>
    <d v="2016-01-29T00:00:00"/>
    <n v="-6.0688672651897702E-2"/>
    <x v="1"/>
  </r>
  <r>
    <x v="4"/>
    <x v="2"/>
    <s v="ARF"/>
    <n v="216884947.29431319"/>
    <n v="923.45860000000005"/>
    <m/>
    <n v="0"/>
    <n v="-2.4867179095745087"/>
    <n v="0"/>
    <n v="234861.58155256032"/>
    <n v="-2.4867179095745087"/>
    <n v="0"/>
    <n v="0"/>
    <m/>
    <s v="Hedge Fund"/>
    <n v="0"/>
    <n v="0"/>
    <n v="0"/>
    <n v="0"/>
    <m/>
    <m/>
    <m/>
    <m/>
    <m/>
    <m/>
    <m/>
    <m/>
    <m/>
    <m/>
    <m/>
    <d v="2016-02-29T00:00:00"/>
    <n v="7.7787418887089732E-3"/>
    <x v="1"/>
  </r>
  <r>
    <x v="5"/>
    <x v="2"/>
    <s v="ARF"/>
    <n v="226940767.57510108"/>
    <n v="966.27449999999999"/>
    <m/>
    <n v="10.291191637516022"/>
    <n v="0"/>
    <n v="0"/>
    <n v="234861.59220294139"/>
    <n v="10.291191637516022"/>
    <n v="0"/>
    <n v="0"/>
    <m/>
    <s v="Hedge Fund"/>
    <n v="0"/>
    <n v="0"/>
    <n v="0"/>
    <n v="0"/>
    <m/>
    <m/>
    <m/>
    <m/>
    <m/>
    <m/>
    <m/>
    <m/>
    <m/>
    <m/>
    <m/>
    <d v="2016-03-31T00:00:00"/>
    <n v="4.6364720627432465E-2"/>
    <x v="1"/>
  </r>
  <r>
    <x v="6"/>
    <x v="2"/>
    <s v="ARF"/>
    <n v="210448303.84221861"/>
    <n v="896.05240000000003"/>
    <m/>
    <n v="10.48095166683197"/>
    <n v="0"/>
    <n v="-15031142.649583876"/>
    <n v="234861.60389974806"/>
    <n v="-15031132.168632209"/>
    <n v="-64"/>
    <n v="-64"/>
    <m/>
    <s v="Hedge Fund"/>
    <n v="0"/>
    <n v="0"/>
    <n v="0"/>
    <n v="0"/>
    <m/>
    <m/>
    <m/>
    <m/>
    <m/>
    <m/>
    <m/>
    <m/>
    <m/>
    <m/>
    <m/>
    <d v="2016-04-29T00:00:00"/>
    <n v="-6.4392642179932347E-3"/>
    <x v="1"/>
  </r>
  <r>
    <x v="7"/>
    <x v="2"/>
    <s v="ARF"/>
    <n v="210448303.84221861"/>
    <n v="913.46119999999996"/>
    <m/>
    <n v="0"/>
    <n v="-4088658.6899699271"/>
    <n v="0"/>
    <n v="230385.59693856578"/>
    <n v="-4088658.6899699271"/>
    <n v="0"/>
    <n v="0"/>
    <m/>
    <s v="Hedge Fund"/>
    <n v="0"/>
    <n v="0"/>
    <n v="0"/>
    <n v="0"/>
    <m/>
    <m/>
    <m/>
    <m/>
    <m/>
    <m/>
    <m/>
    <m/>
    <m/>
    <m/>
    <m/>
    <d v="2016-05-31T00:00:00"/>
    <n v="1.9428328075456358E-2"/>
    <x v="1"/>
  </r>
  <r>
    <x v="8"/>
    <x v="2"/>
    <s v="ARF"/>
    <n v="214375470.17588401"/>
    <n v="912.77359999999987"/>
    <m/>
    <n v="4085579.4701203704"/>
    <n v="0"/>
    <n v="0"/>
    <n v="234861.60223727333"/>
    <n v="4085579.4701203704"/>
    <n v="0"/>
    <n v="0"/>
    <m/>
    <s v="Hedge Fund"/>
    <n v="0"/>
    <n v="0"/>
    <n v="0"/>
    <n v="0"/>
    <m/>
    <m/>
    <m/>
    <m/>
    <m/>
    <m/>
    <m/>
    <m/>
    <m/>
    <m/>
    <m/>
    <d v="2016-06-30T00:00:00"/>
    <n v="-7.527413315421283E-4"/>
    <x v="1"/>
  </r>
  <r>
    <x v="9"/>
    <x v="2"/>
    <s v="ARF"/>
    <n v="212639820.515331"/>
    <n v="905.38350000000003"/>
    <m/>
    <n v="1.0661406517028809"/>
    <n v="0"/>
    <n v="-7985294.5161042297"/>
    <n v="234861.60341483029"/>
    <n v="-7985293.449963578"/>
    <n v="-34"/>
    <n v="-34"/>
    <m/>
    <s v="Hedge Fund"/>
    <n v="0"/>
    <n v="0"/>
    <n v="0"/>
    <n v="0"/>
    <m/>
    <m/>
    <m/>
    <m/>
    <m/>
    <m/>
    <m/>
    <m/>
    <m/>
    <m/>
    <m/>
    <d v="2016-07-29T00:00:00"/>
    <n v="2.9152793387615894E-2"/>
    <x v="1"/>
  </r>
  <r>
    <x v="10"/>
    <x v="2"/>
    <s v="ARF"/>
    <n v="215959790.50103399"/>
    <n v="919.51940000000002"/>
    <m/>
    <n v="0"/>
    <n v="-10.154008716344833"/>
    <n v="0"/>
    <n v="234861.59237209568"/>
    <n v="-10.154008716344833"/>
    <n v="0"/>
    <n v="0"/>
    <m/>
    <s v="Hedge Fund"/>
    <n v="0"/>
    <n v="0"/>
    <n v="0"/>
    <n v="0"/>
    <m/>
    <m/>
    <m/>
    <m/>
    <m/>
    <m/>
    <m/>
    <m/>
    <m/>
    <m/>
    <m/>
    <d v="2016-08-31T00:00:00"/>
    <n v="1.5613162819954285E-2"/>
    <x v="1"/>
  </r>
  <r>
    <x v="11"/>
    <x v="2"/>
    <s v="ARF"/>
    <n v="218353454.76887801"/>
    <n v="929.71120000000008"/>
    <m/>
    <n v="1.8907060623168945"/>
    <n v="0"/>
    <n v="0"/>
    <n v="234861.59440574449"/>
    <n v="1.8907060623168945"/>
    <n v="0"/>
    <n v="0"/>
    <m/>
    <s v="Hedge Fund"/>
    <n v="0"/>
    <n v="0"/>
    <n v="0"/>
    <n v="0"/>
    <m/>
    <m/>
    <m/>
    <m/>
    <m/>
    <m/>
    <m/>
    <m/>
    <m/>
    <m/>
    <m/>
    <d v="2016-09-30T00:00:00"/>
    <n v="1.1083833576540192E-2"/>
    <x v="1"/>
  </r>
  <r>
    <x v="12"/>
    <x v="2"/>
    <s v="ARF"/>
    <n v="226208428.01196498"/>
    <n v="963.1563000000001"/>
    <m/>
    <n v="3.7320273816585541"/>
    <n v="0"/>
    <n v="0"/>
    <n v="234861.59828053345"/>
    <n v="3.7320273816585541"/>
    <n v="0"/>
    <n v="0"/>
    <m/>
    <s v="Hedge Fund"/>
    <n v="0"/>
    <n v="0"/>
    <n v="0"/>
    <n v="0"/>
    <m/>
    <m/>
    <m/>
    <m/>
    <m/>
    <m/>
    <m/>
    <m/>
    <m/>
    <m/>
    <m/>
    <d v="2016-10-31T00:00:00"/>
    <n v="3.5973644288678219E-2"/>
    <x v="1"/>
  </r>
  <r>
    <x v="13"/>
    <x v="2"/>
    <s v="ARF"/>
    <n v="210770566.722247"/>
    <n v="897.42460000000005"/>
    <m/>
    <n v="0"/>
    <n v="-9.1700214147567749"/>
    <n v="-12212802.579243809"/>
    <n v="234861.58806238094"/>
    <n v="-12212811.749265224"/>
    <n v="-52"/>
    <n v="-52"/>
    <m/>
    <s v="Hedge Fund"/>
    <n v="0"/>
    <n v="0"/>
    <n v="0"/>
    <n v="0"/>
    <m/>
    <m/>
    <m/>
    <m/>
    <m/>
    <m/>
    <m/>
    <m/>
    <m/>
    <m/>
    <m/>
    <d v="2016-11-30T00:00:00"/>
    <n v="-1.4256982238885274E-2"/>
    <x v="1"/>
  </r>
  <r>
    <x v="14"/>
    <x v="2"/>
    <s v="ARF"/>
    <n v="211047913.87174401"/>
    <n v="898.60550000000001"/>
    <m/>
    <n v="0"/>
    <n v="-0.89984583854675293"/>
    <n v="-6000713.5494085662"/>
    <n v="234861.58706100064"/>
    <n v="-6000714.4492544048"/>
    <n v="-25.55"/>
    <n v="-25.55"/>
    <m/>
    <s v="Hedge Fund"/>
    <n v="0"/>
    <n v="0"/>
    <n v="0"/>
    <n v="0"/>
    <m/>
    <m/>
    <m/>
    <m/>
    <m/>
    <m/>
    <m/>
    <m/>
    <m/>
    <m/>
    <m/>
    <d v="2016-12-30T00:00:00"/>
    <n v="2.9786234844757065E-2"/>
    <x v="1"/>
  </r>
  <r>
    <x v="15"/>
    <x v="2"/>
    <s v="ARF"/>
    <n v="213759052.237176"/>
    <n v="910.14899999999989"/>
    <m/>
    <n v="13.635193347930908"/>
    <n v="0"/>
    <n v="0"/>
    <n v="234861.60204227662"/>
    <n v="13.635193347930908"/>
    <n v="0"/>
    <n v="0"/>
    <m/>
    <s v="Hedge Fund"/>
    <n v="0"/>
    <n v="0"/>
    <n v="0"/>
    <n v="0"/>
    <m/>
    <m/>
    <m/>
    <m/>
    <m/>
    <m/>
    <m/>
    <m/>
    <m/>
    <m/>
    <m/>
    <d v="2017-01-27T00:00:00"/>
    <n v="1.2846015298147995E-2"/>
    <x v="1"/>
  </r>
  <r>
    <x v="16"/>
    <x v="2"/>
    <s v="ARF"/>
    <n v="237836518.87778831"/>
    <n v="1012.6666999999999"/>
    <m/>
    <n v="0"/>
    <n v="-4.6190771758556366"/>
    <n v="0"/>
    <n v="234861.59748097605"/>
    <n v="-4.6190771758556366"/>
    <n v="0"/>
    <n v="0"/>
    <m/>
    <s v="Hedge Fund"/>
    <n v="0"/>
    <n v="0"/>
    <n v="0"/>
    <n v="0"/>
    <m/>
    <m/>
    <m/>
    <m/>
    <m/>
    <m/>
    <m/>
    <m/>
    <m/>
    <m/>
    <m/>
    <d v="2017-02-28T00:00:00"/>
    <n v="0.11263837020092304"/>
    <x v="1"/>
  </r>
  <r>
    <x v="17"/>
    <x v="2"/>
    <s v="ARF"/>
    <n v="245836832.63201973"/>
    <n v="1046.7307000000001"/>
    <m/>
    <n v="0"/>
    <n v="-11.702360600233078"/>
    <n v="0"/>
    <n v="234861.58630106074"/>
    <n v="-11.702360600233078"/>
    <n v="0"/>
    <n v="0"/>
    <m/>
    <s v="Hedge Fund"/>
    <n v="0"/>
    <n v="0"/>
    <n v="0"/>
    <n v="0"/>
    <m/>
    <m/>
    <m/>
    <m/>
    <m/>
    <m/>
    <m/>
    <m/>
    <m/>
    <m/>
    <m/>
    <d v="2017-03-31T00:00:00"/>
    <n v="3.3637918576763903E-2"/>
    <x v="1"/>
  </r>
  <r>
    <x v="18"/>
    <x v="2"/>
    <s v="ARF"/>
    <n v="242958698.65935501"/>
    <n v="1034.4761000000001"/>
    <m/>
    <n v="0.82282024621963501"/>
    <n v="0"/>
    <n v="0"/>
    <n v="234861.58709645877"/>
    <n v="0.82282024621963501"/>
    <n v="0"/>
    <n v="0"/>
    <m/>
    <s v="Hedge Fund"/>
    <n v="0"/>
    <n v="0"/>
    <n v="0"/>
    <n v="0"/>
    <m/>
    <m/>
    <m/>
    <m/>
    <m/>
    <m/>
    <m/>
    <m/>
    <m/>
    <m/>
    <m/>
    <d v="2017-04-28T00:00:00"/>
    <n v="-1.170750031502843E-2"/>
    <x v="1"/>
  </r>
  <r>
    <x v="19"/>
    <x v="2"/>
    <s v="ARF"/>
    <n v="238010661.764819"/>
    <n v="1013.4082"/>
    <m/>
    <n v="3.5362535119056702"/>
    <n v="0"/>
    <n v="0"/>
    <n v="234861.5905859248"/>
    <n v="3.5362535119056702"/>
    <n v="0"/>
    <n v="0"/>
    <m/>
    <s v="Hedge Fund"/>
    <n v="0"/>
    <n v="0"/>
    <n v="0"/>
    <n v="0"/>
    <m/>
    <m/>
    <m/>
    <m/>
    <m/>
    <m/>
    <m/>
    <m/>
    <m/>
    <m/>
    <m/>
    <d v="2017-05-31T00:00:00"/>
    <n v="-2.0365767754325304E-2"/>
    <x v="1"/>
  </r>
  <r>
    <x v="20"/>
    <x v="2"/>
    <s v="ARF"/>
    <n v="241533864.84749463"/>
    <n v="1028.4093999999998"/>
    <m/>
    <n v="0"/>
    <n v="-2.6100218892097473"/>
    <n v="0"/>
    <n v="234861.5880480037"/>
    <n v="-2.6100218892097473"/>
    <n v="0"/>
    <n v="0"/>
    <m/>
    <s v="Hedge Fund"/>
    <n v="0"/>
    <n v="0"/>
    <n v="0"/>
    <n v="0"/>
    <m/>
    <m/>
    <m/>
    <m/>
    <m/>
    <m/>
    <m/>
    <m/>
    <m/>
    <m/>
    <m/>
    <d v="2017-06-30T00:00:00"/>
    <n v="1.4802722140988989E-2"/>
    <x v="1"/>
  </r>
  <r>
    <x v="21"/>
    <x v="2"/>
    <s v="ARF"/>
    <n v="214874151.69999999"/>
    <n v="914.89689999999985"/>
    <m/>
    <n v="12.865804374217987"/>
    <n v="0"/>
    <n v="-28000200.203622948"/>
    <n v="234861.60211057664"/>
    <n v="-28000187.337818574"/>
    <n v="-119.22"/>
    <n v="-119.22"/>
    <m/>
    <s v="Hedge Fund"/>
    <n v="0"/>
    <n v="0"/>
    <n v="0"/>
    <n v="0"/>
    <m/>
    <m/>
    <m/>
    <m/>
    <m/>
    <m/>
    <m/>
    <m/>
    <m/>
    <m/>
    <m/>
    <d v="2017-07-31T00:00:00"/>
    <n v="5.5498395273487766E-3"/>
    <x v="1"/>
  </r>
  <r>
    <x v="22"/>
    <x v="2"/>
    <s v="ARF"/>
    <n v="218153100"/>
    <n v="928.85810000000015"/>
    <m/>
    <n v="0"/>
    <n v="-1.4993862509727478"/>
    <n v="0"/>
    <n v="234861.60049635134"/>
    <n v="-1.4993862509727478"/>
    <n v="0"/>
    <n v="0"/>
    <m/>
    <s v="Hedge Fund"/>
    <n v="0"/>
    <n v="0"/>
    <n v="0"/>
    <n v="0"/>
    <m/>
    <m/>
    <m/>
    <m/>
    <m/>
    <m/>
    <m/>
    <m/>
    <m/>
    <m/>
    <m/>
    <d v="2017-08-31T00:00:00"/>
    <n v="1.5259861521008888E-2"/>
    <x v="1"/>
  </r>
  <r>
    <x v="23"/>
    <x v="2"/>
    <s v="ARF"/>
    <n v="217665400"/>
    <n v="926.78179999999998"/>
    <m/>
    <n v="0"/>
    <n v="-56.858889371156693"/>
    <n v="0"/>
    <n v="234861.53914546015"/>
    <n v="-56.858889371156693"/>
    <n v="0"/>
    <n v="0"/>
    <m/>
    <s v="Hedge Fund"/>
    <n v="0"/>
    <n v="0"/>
    <n v="0"/>
    <n v="0"/>
    <m/>
    <m/>
    <m/>
    <m/>
    <m/>
    <m/>
    <m/>
    <m/>
    <m/>
    <m/>
    <m/>
    <d v="2017-09-29T00:00:00"/>
    <n v="-2.2353252881147645E-3"/>
    <x v="1"/>
  </r>
  <r>
    <x v="24"/>
    <x v="2"/>
    <s v="ARF"/>
    <n v="234208400"/>
    <n v="997.21889999999985"/>
    <m/>
    <n v="34.281057327985764"/>
    <n v="0"/>
    <n v="0"/>
    <n v="234861.5735221224"/>
    <n v="34.281057327985764"/>
    <n v="0"/>
    <n v="0"/>
    <m/>
    <s v="Hedge Fund"/>
    <n v="0"/>
    <n v="0"/>
    <n v="0"/>
    <n v="0"/>
    <m/>
    <m/>
    <m/>
    <m/>
    <m/>
    <m/>
    <m/>
    <m/>
    <m/>
    <m/>
    <m/>
    <d v="2017-10-31T00:00:00"/>
    <n v="7.6001816177227344E-2"/>
    <x v="1"/>
  </r>
  <r>
    <x v="25"/>
    <x v="2"/>
    <s v="ARF"/>
    <n v="226861500"/>
    <n v="965.93679999999995"/>
    <m/>
    <n v="63.229076355695724"/>
    <n v="0"/>
    <n v="0"/>
    <n v="234861.63898093542"/>
    <n v="63.229076355695724"/>
    <n v="0"/>
    <n v="0"/>
    <m/>
    <s v="Hedge Fund"/>
    <n v="0"/>
    <n v="0"/>
    <n v="0"/>
    <n v="0"/>
    <m/>
    <m/>
    <m/>
    <m/>
    <m/>
    <m/>
    <m/>
    <m/>
    <m/>
    <m/>
    <m/>
    <d v="2017-11-30T00:00:00"/>
    <n v="-3.1369341275019891E-2"/>
    <x v="1"/>
  </r>
  <r>
    <x v="26"/>
    <x v="2"/>
    <s v="ARF"/>
    <n v="192630303.73301128"/>
    <n v="820.18649999999991"/>
    <m/>
    <n v="0"/>
    <n v="-41.927025675773621"/>
    <n v="-12799956.538481329"/>
    <n v="234861.58786204271"/>
    <n v="-12799998.465507004"/>
    <n v="-54.500000000000007"/>
    <n v="-54.500000000000007"/>
    <m/>
    <s v="Hedge Fund"/>
    <n v="0"/>
    <n v="0"/>
    <n v="0"/>
    <n v="0"/>
    <m/>
    <m/>
    <m/>
    <m/>
    <m/>
    <m/>
    <m/>
    <m/>
    <m/>
    <m/>
    <m/>
    <d v="2017-12-29T00:00:00"/>
    <n v="-9.4468201089571102E-2"/>
    <x v="1"/>
  </r>
  <r>
    <x v="27"/>
    <x v="2"/>
    <s v="ARF"/>
    <n v="197800300"/>
    <n v="842.19930000000011"/>
    <m/>
    <n v="35.105699121952057"/>
    <n v="0"/>
    <n v="0"/>
    <n v="234861.62954540568"/>
    <n v="35.105699121952057"/>
    <n v="0"/>
    <n v="0"/>
    <m/>
    <s v="Hedge Fund"/>
    <n v="0"/>
    <n v="0"/>
    <n v="0"/>
    <n v="0"/>
    <m/>
    <m/>
    <m/>
    <m/>
    <m/>
    <m/>
    <m/>
    <m/>
    <m/>
    <m/>
    <m/>
    <d v="2018-01-31T00:00:00"/>
    <n v="2.6838773864237053E-2"/>
    <x v="1"/>
  </r>
  <r>
    <x v="28"/>
    <x v="2"/>
    <s v="ARF"/>
    <n v="197016054.0312115"/>
    <n v="838.86030000000005"/>
    <m/>
    <n v="0"/>
    <n v="0"/>
    <n v="0"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2-28T00:00:00"/>
    <n v="-3.9648371048400799E-3"/>
    <x v="1"/>
  </r>
  <r>
    <x v="29"/>
    <x v="2"/>
    <s v="ARF"/>
    <n v="193826539.85326615"/>
    <n v="825.2799"/>
    <m/>
    <n v="0"/>
    <n v="0"/>
    <n v="0"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3-29T00:00:00"/>
    <n v="-1.618910800761475E-2"/>
    <x v="1"/>
  </r>
  <r>
    <x v="30"/>
    <x v="2"/>
    <s v="ARF"/>
    <n v="192484024.09938771"/>
    <n v="819.56370000000004"/>
    <m/>
    <n v="0"/>
    <n v="0"/>
    <n v="0"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4-30T00:00:00"/>
    <n v="-6.9263773417963526E-3"/>
    <x v="1"/>
  </r>
  <r>
    <x v="31"/>
    <x v="2"/>
    <s v="ARF"/>
    <n v="175269750.77325788"/>
    <n v="746.26829999999995"/>
    <m/>
    <n v="0"/>
    <n v="0"/>
    <n v="-15000000"/>
    <n v="234861.57829999999"/>
    <n v="-15000000"/>
    <n v="-63.867406957641144"/>
    <n v="-63.867406957641144"/>
    <m/>
    <s v="Hedge Fund"/>
    <n v="0"/>
    <n v="0"/>
    <n v="0"/>
    <n v="0"/>
    <m/>
    <m/>
    <m/>
    <m/>
    <m/>
    <m/>
    <m/>
    <m/>
    <m/>
    <m/>
    <m/>
    <d v="2018-05-31T00:00:00"/>
    <n v="-1.1503673286602178E-2"/>
    <x v="1"/>
  </r>
  <r>
    <x v="32"/>
    <x v="2"/>
    <s v="ARF"/>
    <n v="176066401.24685147"/>
    <n v="749.66030000000001"/>
    <m/>
    <n v="0"/>
    <n v="0"/>
    <n v="0"/>
    <n v="234861.57829999999"/>
    <n v="0"/>
    <n v="0"/>
    <n v="-749.66030000000001"/>
    <m/>
    <s v="Hedge Fund"/>
    <n v="0"/>
    <n v="0"/>
    <n v="0"/>
    <n v="0"/>
    <m/>
    <m/>
    <m/>
    <m/>
    <m/>
    <m/>
    <m/>
    <m/>
    <m/>
    <m/>
    <m/>
    <d v="2018-06-29T00:00:00"/>
    <n v="4.5452821726448267E-3"/>
    <x v="1"/>
  </r>
  <r>
    <x v="33"/>
    <x v="2"/>
    <s v="ARF"/>
    <n v="176066401.24685147"/>
    <n v="749.66030000000001"/>
    <m/>
    <n v="0"/>
    <n v="0"/>
    <n v="0"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7-31T00:00:00"/>
    <n v="0"/>
    <x v="1"/>
  </r>
  <r>
    <x v="197"/>
    <x v="3"/>
    <s v="ASM Equities"/>
    <n v="64551471.087311998"/>
    <n v="9.9989999999999988"/>
    <m/>
    <n v="64551461.088312"/>
    <n v="0"/>
    <n v="0"/>
    <n v="6455792.688000001"/>
    <n v="64551461.088312"/>
    <n v="9.9989999999999988"/>
    <n v="64551461.088312"/>
    <m/>
    <s v="Private Equity Fund"/>
    <n v="0"/>
    <n v="0"/>
    <n v="0"/>
    <n v="0"/>
    <m/>
    <m/>
    <m/>
    <m/>
    <m/>
    <m/>
    <m/>
    <m/>
    <m/>
    <m/>
    <m/>
    <d v="2015-04-01T00:00:00"/>
    <n v="1.5489966975756886E-7"/>
    <x v="2"/>
  </r>
  <r>
    <x v="190"/>
    <x v="3"/>
    <s v="ASM Equities"/>
    <n v="61320067.704341397"/>
    <n v="9.4984567609060395"/>
    <m/>
    <n v="1.4901161193847656E-8"/>
    <n v="0"/>
    <n v="0"/>
    <n v="6455792.6880000019"/>
    <n v="1.4901161193847656E-8"/>
    <n v="0"/>
    <n v="1.4901161193847656E-8"/>
    <m/>
    <s v="Private Equity Fund"/>
    <n v="2.6895833333333334E-2"/>
    <n v="0"/>
    <n v="0"/>
    <n v="0"/>
    <m/>
    <m/>
    <m/>
    <m/>
    <m/>
    <m/>
    <m/>
    <m/>
    <m/>
    <m/>
    <m/>
    <d v="2015-04-30T00:00:00"/>
    <n v="-5.0059329842380151E-2"/>
    <x v="2"/>
  </r>
  <r>
    <x v="191"/>
    <x v="3"/>
    <s v="ASM Equities"/>
    <n v="60883517.728767626"/>
    <n v="9.4308353243649901"/>
    <m/>
    <n v="0"/>
    <n v="0"/>
    <n v="0"/>
    <n v="6455792.688000001"/>
    <n v="0"/>
    <n v="0"/>
    <n v="0"/>
    <m/>
    <s v="Private Equity Fund"/>
    <n v="2.6895833333333334E-2"/>
    <n v="0"/>
    <n v="0"/>
    <n v="0"/>
    <m/>
    <m/>
    <m/>
    <m/>
    <m/>
    <m/>
    <m/>
    <m/>
    <m/>
    <m/>
    <m/>
    <d v="2015-05-29T00:00:00"/>
    <n v="-7.119202439218153E-3"/>
    <x v="2"/>
  </r>
  <r>
    <x v="192"/>
    <x v="3"/>
    <s v="ASM Equities"/>
    <n v="65373874.499672115"/>
    <n v="10.126389997186369"/>
    <m/>
    <n v="7.4505805969238281E-9"/>
    <n v="0"/>
    <n v="0"/>
    <n v="6455792.6880000019"/>
    <n v="7.4505805969238281E-9"/>
    <n v="0"/>
    <n v="7.4505805969238281E-9"/>
    <m/>
    <s v="Private Equity Fund"/>
    <n v="2.6895833333333334E-2"/>
    <n v="0"/>
    <n v="0"/>
    <n v="0"/>
    <m/>
    <m/>
    <m/>
    <m/>
    <m/>
    <m/>
    <m/>
    <m/>
    <m/>
    <m/>
    <m/>
    <d v="2015-06-30T00:00:00"/>
    <n v="7.3753241245171575E-2"/>
    <x v="2"/>
  </r>
  <r>
    <x v="193"/>
    <x v="3"/>
    <s v="ASM Equities"/>
    <n v="65823955.098767616"/>
    <n v="10.196107322516861"/>
    <m/>
    <n v="0"/>
    <n v="-1.4901161193847656E-8"/>
    <n v="0"/>
    <n v="6455792.688000001"/>
    <n v="-1.4901161193847656E-8"/>
    <n v="0"/>
    <n v="-1.4901161193847656E-8"/>
    <m/>
    <s v="Private Equity Fund"/>
    <n v="2.6895833333333334E-2"/>
    <n v="0"/>
    <n v="0"/>
    <n v="0"/>
    <m/>
    <m/>
    <m/>
    <m/>
    <m/>
    <m/>
    <m/>
    <m/>
    <m/>
    <m/>
    <m/>
    <d v="2015-07-31T00:00:00"/>
    <n v="6.8847166018555228E-3"/>
    <x v="2"/>
  </r>
  <r>
    <x v="194"/>
    <x v="3"/>
    <s v="ASM Equities"/>
    <n v="59740395.084341399"/>
    <n v="9.2537660317665704"/>
    <m/>
    <n v="0"/>
    <n v="-7.4505805969238281E-9"/>
    <n v="0"/>
    <n v="6455792.6880000001"/>
    <n v="-7.4505805969238281E-9"/>
    <n v="0"/>
    <n v="-7.4505805969238281E-9"/>
    <m/>
    <s v="Private Equity Fund"/>
    <n v="2.6895833333333334E-2"/>
    <n v="0"/>
    <n v="0"/>
    <n v="0"/>
    <m/>
    <m/>
    <m/>
    <m/>
    <m/>
    <m/>
    <m/>
    <m/>
    <m/>
    <m/>
    <m/>
    <d v="2015-08-31T00:00:00"/>
    <n v="-9.2421672403275368E-2"/>
    <x v="2"/>
  </r>
  <r>
    <x v="195"/>
    <x v="3"/>
    <s v="ASM Equities"/>
    <n v="55807551.999915168"/>
    <n v="8.6445700314463298"/>
    <m/>
    <n v="2.2351741790771484E-8"/>
    <n v="0"/>
    <n v="0"/>
    <n v="6455792.6880000019"/>
    <n v="2.2351741790771484E-8"/>
    <n v="0"/>
    <n v="2.2351741790771484E-8"/>
    <m/>
    <s v="Private Equity Fund"/>
    <n v="2.6895833333333334E-2"/>
    <n v="0"/>
    <n v="0"/>
    <n v="0"/>
    <m/>
    <m/>
    <m/>
    <m/>
    <m/>
    <m/>
    <m/>
    <m/>
    <m/>
    <m/>
    <m/>
    <d v="2015-09-30T00:00:00"/>
    <n v="-6.5832224224059321E-2"/>
    <x v="2"/>
  </r>
  <r>
    <x v="196"/>
    <x v="3"/>
    <s v="ASM Equities"/>
    <n v="56271664.266705543"/>
    <n v="8.7164608571311586"/>
    <m/>
    <n v="0"/>
    <n v="-2.2351741790771484E-8"/>
    <n v="0"/>
    <n v="6455792.6880000001"/>
    <n v="-2.2351741790771484E-8"/>
    <n v="0"/>
    <n v="-2.2351741790771484E-8"/>
    <m/>
    <s v="Private Equity Fund"/>
    <n v="2.6895833333333334E-2"/>
    <n v="0"/>
    <n v="0"/>
    <n v="0"/>
    <m/>
    <m/>
    <m/>
    <m/>
    <m/>
    <m/>
    <m/>
    <m/>
    <m/>
    <m/>
    <m/>
    <d v="2015-10-30T00:00:00"/>
    <n v="8.3162986040150599E-3"/>
    <x v="2"/>
  </r>
  <r>
    <x v="1"/>
    <x v="3"/>
    <s v="ASM Equities"/>
    <n v="56338493.622279316"/>
    <n v="8.7268127006310259"/>
    <m/>
    <n v="7.4505805969238281E-9"/>
    <n v="0"/>
    <n v="0"/>
    <n v="6455792.688000001"/>
    <n v="7.4505805969238281E-9"/>
    <n v="0"/>
    <n v="7.4505805969238281E-9"/>
    <m/>
    <s v="Private Equity Fund"/>
    <n v="2.6895833333333334E-2"/>
    <n v="0"/>
    <n v="0"/>
    <n v="0"/>
    <m/>
    <m/>
    <m/>
    <m/>
    <m/>
    <m/>
    <m/>
    <m/>
    <m/>
    <m/>
    <m/>
    <d v="2015-11-30T00:00:00"/>
    <n v="1.1876200294524963E-3"/>
    <x v="2"/>
  </r>
  <r>
    <x v="2"/>
    <x v="3"/>
    <s v="ASM Equities"/>
    <n v="60037154.736705534"/>
    <n v="9.299733996771975"/>
    <m/>
    <n v="0"/>
    <n v="-7.4505805969238281E-9"/>
    <n v="0"/>
    <n v="6455792.6880000001"/>
    <n v="-7.4505805969238281E-9"/>
    <n v="0"/>
    <n v="-7.4505805969238281E-9"/>
    <m/>
    <s v="Private Equity Fund"/>
    <n v="2.6895833333333334E-2"/>
    <n v="0"/>
    <n v="0"/>
    <n v="0"/>
    <m/>
    <m/>
    <m/>
    <m/>
    <m/>
    <m/>
    <m/>
    <m/>
    <m/>
    <m/>
    <m/>
    <d v="2015-12-31T00:00:00"/>
    <n v="6.5650692388473431E-2"/>
    <x v="2"/>
  </r>
  <r>
    <x v="3"/>
    <x v="3"/>
    <s v="ASM Equities"/>
    <n v="60511647.844827257"/>
    <n v="9.3732328111009569"/>
    <m/>
    <n v="1.4901161193847656E-8"/>
    <n v="0"/>
    <n v="0"/>
    <n v="6455792.688000001"/>
    <n v="1.4901161193847656E-8"/>
    <n v="0"/>
    <n v="1.4901161193847656E-8"/>
    <m/>
    <s v="Private Equity Fund"/>
    <n v="2.6895833333333334E-2"/>
    <n v="0"/>
    <n v="0"/>
    <n v="0"/>
    <m/>
    <m/>
    <m/>
    <m/>
    <m/>
    <m/>
    <m/>
    <m/>
    <m/>
    <m/>
    <m/>
    <d v="2016-01-29T00:00:00"/>
    <n v="7.9033243697608224E-3"/>
    <x v="2"/>
  </r>
  <r>
    <x v="4"/>
    <x v="3"/>
    <s v="ASM Equities"/>
    <n v="55959711.520489521"/>
    <n v="8.6681394872712065"/>
    <m/>
    <n v="0"/>
    <n v="-1.4901161193847656E-8"/>
    <n v="0"/>
    <n v="6455792.6880000001"/>
    <n v="-1.4901161193847656E-8"/>
    <n v="0"/>
    <n v="-1.4901161193847656E-8"/>
    <m/>
    <s v="Private Equity Fund"/>
    <n v="2.6895833333333334E-2"/>
    <n v="0"/>
    <n v="0"/>
    <n v="0"/>
    <m/>
    <m/>
    <m/>
    <m/>
    <m/>
    <m/>
    <m/>
    <m/>
    <m/>
    <m/>
    <m/>
    <d v="2016-02-29T00:00:00"/>
    <n v="-7.522413430238184E-2"/>
    <x v="2"/>
  </r>
  <r>
    <x v="5"/>
    <x v="3"/>
    <s v="ASM Equities"/>
    <n v="56979444.618611224"/>
    <n v="8.8260957828655755"/>
    <m/>
    <n v="7.4505805969238281E-9"/>
    <n v="0"/>
    <n v="0"/>
    <n v="6455792.688000001"/>
    <n v="7.4505805969238281E-9"/>
    <n v="0"/>
    <n v="7.4505805969238281E-9"/>
    <m/>
    <s v="Private Equity Fund"/>
    <n v="2.6895833333333334E-2"/>
    <n v="0"/>
    <n v="0"/>
    <n v="0"/>
    <m/>
    <m/>
    <m/>
    <m/>
    <m/>
    <m/>
    <m/>
    <m/>
    <m/>
    <m/>
    <m/>
    <d v="2016-03-31T00:00:00"/>
    <n v="1.8222629645764377E-2"/>
    <x v="2"/>
  </r>
  <r>
    <x v="6"/>
    <x v="3"/>
    <s v="ASM Equities"/>
    <n v="55839204.274027817"/>
    <n v="8.6494729574915699"/>
    <m/>
    <n v="0"/>
    <n v="0"/>
    <n v="0"/>
    <n v="6455792.688000001"/>
    <n v="0"/>
    <n v="0"/>
    <n v="0"/>
    <m/>
    <s v="Private Equity Fund"/>
    <n v="2.6895833333333334E-2"/>
    <n v="0"/>
    <n v="0"/>
    <n v="0"/>
    <m/>
    <m/>
    <m/>
    <m/>
    <m/>
    <m/>
    <m/>
    <m/>
    <m/>
    <m/>
    <m/>
    <d v="2016-04-29T00:00:00"/>
    <n v="-2.001143310917719E-2"/>
    <x v="2"/>
  </r>
  <r>
    <x v="7"/>
    <x v="3"/>
    <s v="ASM Equities"/>
    <n v="55355748.643712372"/>
    <n v="8.5745858516503155"/>
    <m/>
    <n v="0"/>
    <n v="0"/>
    <n v="0"/>
    <n v="6455792.688000001"/>
    <n v="0"/>
    <n v="0"/>
    <n v="0"/>
    <m/>
    <s v="Private Equity Fund"/>
    <n v="2.6895833333333334E-2"/>
    <n v="0"/>
    <n v="0"/>
    <n v="0"/>
    <m/>
    <m/>
    <m/>
    <m/>
    <m/>
    <m/>
    <m/>
    <m/>
    <m/>
    <m/>
    <m/>
    <d v="2016-05-31T00:00:00"/>
    <n v="-8.6579964131099363E-3"/>
    <x v="2"/>
  </r>
  <r>
    <x v="198"/>
    <x v="3"/>
    <s v="ASM Equities"/>
    <n v="-478541.16382188606"/>
    <n v="-7.4125856722660297E-2"/>
    <m/>
    <n v="0"/>
    <n v="0"/>
    <n v="0"/>
    <n v="6455792.688000001"/>
    <n v="0"/>
    <n v="0"/>
    <n v="0"/>
    <m/>
    <s v="Private Equity Fund"/>
    <n v="2.6895833333333334E-2"/>
    <n v="0"/>
    <n v="0"/>
    <n v="0"/>
    <m/>
    <m/>
    <m/>
    <m/>
    <m/>
    <m/>
    <m/>
    <m/>
    <m/>
    <m/>
    <m/>
    <d v="2016-06-16T00:00:00"/>
    <n v="-1.0086448322992059"/>
    <x v="2"/>
  </r>
  <r>
    <x v="199"/>
    <x v="4"/>
    <s v="BMTR4"/>
    <n v="25000000"/>
    <n v="25000000"/>
    <m/>
    <n v="25000000"/>
    <n v="0"/>
    <n v="0"/>
    <n v="1"/>
    <n v="25000000"/>
    <n v="25000000"/>
    <n v="25000000"/>
    <m/>
    <s v="Private Equity Fund"/>
    <n v="0"/>
    <n v="0"/>
    <n v="0"/>
    <n v="0"/>
    <m/>
    <m/>
    <m/>
    <m/>
    <m/>
    <m/>
    <m/>
    <m/>
    <m/>
    <m/>
    <m/>
    <d v="2012-12-14T00:00:00"/>
    <n v="0"/>
    <x v="0"/>
  </r>
  <r>
    <x v="175"/>
    <x v="4"/>
    <s v="BMTR4"/>
    <n v="25645789.683333334"/>
    <n v="25645789.683333334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2-12-31T00:00:00"/>
    <n v="2.5831587333333239E-2"/>
    <x v="0"/>
  </r>
  <r>
    <x v="176"/>
    <x v="4"/>
    <s v="BMTR4"/>
    <n v="25772005.156203363"/>
    <n v="25772005.156203363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01-31T00:00:00"/>
    <n v="4.9214890408328937E-3"/>
    <x v="0"/>
  </r>
  <r>
    <x v="177"/>
    <x v="4"/>
    <s v="BMTR4"/>
    <n v="25583989.6869055"/>
    <n v="25583989.6869055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02-28T00:00:00"/>
    <n v="-7.2953372528954397E-3"/>
    <x v="0"/>
  </r>
  <r>
    <x v="178"/>
    <x v="4"/>
    <s v="BMTR4"/>
    <n v="24677865.519999396"/>
    <n v="24677865.519999396"/>
    <m/>
    <n v="0"/>
    <n v="0"/>
    <n v="-812500"/>
    <n v="1"/>
    <n v="-812500"/>
    <n v="-812500"/>
    <n v="-812500"/>
    <m/>
    <s v="Private Equity Fund"/>
    <n v="1.0416666666666668E-2"/>
    <n v="0"/>
    <n v="0"/>
    <n v="0"/>
    <m/>
    <m/>
    <m/>
    <m/>
    <m/>
    <m/>
    <m/>
    <m/>
    <m/>
    <m/>
    <m/>
    <d v="2013-03-28T00:00:00"/>
    <n v="-3.6594826706806138E-3"/>
    <x v="0"/>
  </r>
  <r>
    <x v="179"/>
    <x v="4"/>
    <s v="BMTR4"/>
    <n v="24033286.523564719"/>
    <n v="24033286.523564719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04-30T00:00:00"/>
    <n v="-2.6119722384916111E-2"/>
    <x v="0"/>
  </r>
  <r>
    <x v="180"/>
    <x v="4"/>
    <s v="BMTR4"/>
    <n v="24446119.317117728"/>
    <n v="24446119.317117728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05-31T00:00:00"/>
    <n v="1.7177542203735907E-2"/>
    <x v="0"/>
  </r>
  <r>
    <x v="181"/>
    <x v="4"/>
    <s v="BMTR4"/>
    <n v="24024233.432600282"/>
    <n v="24024233.432600282"/>
    <m/>
    <n v="0"/>
    <n v="0"/>
    <n v="-843750"/>
    <n v="1"/>
    <n v="-843750"/>
    <n v="-843750"/>
    <n v="-843750"/>
    <m/>
    <s v="Private Equity Fund"/>
    <n v="1.0416666666666668E-2"/>
    <n v="0"/>
    <n v="0"/>
    <n v="0"/>
    <m/>
    <m/>
    <m/>
    <m/>
    <m/>
    <m/>
    <m/>
    <m/>
    <m/>
    <m/>
    <m/>
    <d v="2013-06-28T00:00:00"/>
    <n v="1.725689505193384E-2"/>
    <x v="0"/>
  </r>
  <r>
    <x v="182"/>
    <x v="4"/>
    <s v="BMTR4"/>
    <n v="24247813.102273945"/>
    <n v="24247813.102273945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07-31T00:00:00"/>
    <n v="9.3064226295049846E-3"/>
    <x v="0"/>
  </r>
  <r>
    <x v="183"/>
    <x v="4"/>
    <s v="BMTR4"/>
    <n v="24686541.963991936"/>
    <n v="24686541.963991936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08-30T00:00:00"/>
    <n v="1.8093543523594935E-2"/>
    <x v="0"/>
  </r>
  <r>
    <x v="35"/>
    <x v="4"/>
    <s v="BMTR4"/>
    <n v="24421385.61779771"/>
    <n v="24421385.61779771"/>
    <m/>
    <n v="0"/>
    <n v="0"/>
    <n v="-843750"/>
    <n v="1"/>
    <n v="-843750"/>
    <n v="-843750"/>
    <n v="-843750"/>
    <m/>
    <s v="Private Equity Fund"/>
    <n v="1.0416666666666668E-2"/>
    <n v="0"/>
    <n v="0"/>
    <n v="0"/>
    <m/>
    <m/>
    <m/>
    <m/>
    <m/>
    <m/>
    <m/>
    <m/>
    <m/>
    <m/>
    <m/>
    <d v="2013-09-30T00:00:00"/>
    <n v="2.3437614496583548E-2"/>
    <x v="0"/>
  </r>
  <r>
    <x v="36"/>
    <x v="4"/>
    <s v="BMTR4"/>
    <n v="25094211.274091199"/>
    <n v="25094211.274091199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10-31T00:00:00"/>
    <n v="2.7550674921702711E-2"/>
    <x v="0"/>
  </r>
  <r>
    <x v="37"/>
    <x v="4"/>
    <s v="BMTR4"/>
    <n v="25174712.007505503"/>
    <n v="25174712.007505503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3-11-29T00:00:00"/>
    <n v="3.2079403705913556E-3"/>
    <x v="0"/>
  </r>
  <r>
    <x v="38"/>
    <x v="4"/>
    <s v="BMTR4"/>
    <n v="25553447.800464701"/>
    <n v="25553447.800464701"/>
    <m/>
    <n v="0"/>
    <n v="0"/>
    <n v="-843750"/>
    <n v="1"/>
    <n v="-843750"/>
    <n v="-843750"/>
    <n v="-843750"/>
    <m/>
    <s v="Private Equity Fund"/>
    <n v="1.0416666666666668E-2"/>
    <n v="0"/>
    <n v="0"/>
    <n v="0"/>
    <m/>
    <m/>
    <m/>
    <m/>
    <m/>
    <m/>
    <m/>
    <m/>
    <m/>
    <m/>
    <m/>
    <d v="2013-12-31T00:00:00"/>
    <n v="4.8560070621452622E-2"/>
    <x v="0"/>
  </r>
  <r>
    <x v="39"/>
    <x v="4"/>
    <s v="BMTR4"/>
    <n v="25896176.7156156"/>
    <n v="25896176.7156156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01-30T00:00:00"/>
    <n v="1.3412237668557037E-2"/>
    <x v="0"/>
  </r>
  <r>
    <x v="40"/>
    <x v="4"/>
    <s v="BMTR4"/>
    <n v="26363552.1641124"/>
    <n v="26363552.1641124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02-28T00:00:00"/>
    <n v="1.8048048313439535E-2"/>
    <x v="0"/>
  </r>
  <r>
    <x v="41"/>
    <x v="4"/>
    <s v="BMTR4"/>
    <n v="25845197.603877198"/>
    <n v="25845197.603877198"/>
    <m/>
    <n v="0"/>
    <n v="0"/>
    <n v="-843750"/>
    <n v="1"/>
    <n v="-843750"/>
    <n v="-843750"/>
    <n v="-843750"/>
    <m/>
    <s v="Private Equity Fund"/>
    <n v="1.0416666666666668E-2"/>
    <n v="0"/>
    <n v="0"/>
    <n v="0"/>
    <m/>
    <m/>
    <m/>
    <m/>
    <m/>
    <m/>
    <m/>
    <m/>
    <m/>
    <m/>
    <m/>
    <d v="2014-03-31T00:00:00"/>
    <n v="1.2342625065818957E-2"/>
    <x v="0"/>
  </r>
  <r>
    <x v="42"/>
    <x v="4"/>
    <s v="BMTR4"/>
    <n v="26079566.1336242"/>
    <n v="26079566.1336242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04-30T00:00:00"/>
    <n v="9.0681655191462429E-3"/>
    <x v="0"/>
  </r>
  <r>
    <x v="43"/>
    <x v="4"/>
    <s v="BMTR4"/>
    <n v="26451152.577025499"/>
    <n v="26451152.577025499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05-30T00:00:00"/>
    <n v="1.4248183481941235E-2"/>
    <x v="0"/>
  </r>
  <r>
    <x v="44"/>
    <x v="4"/>
    <s v="BMTR4"/>
    <n v="26006477.390000001"/>
    <n v="26006477.390000001"/>
    <m/>
    <n v="0"/>
    <n v="0"/>
    <n v="-843750"/>
    <n v="1"/>
    <n v="-843750"/>
    <n v="-843750"/>
    <n v="-843750"/>
    <m/>
    <s v="Private Equity Fund"/>
    <n v="1.0416666666666668E-2"/>
    <n v="0"/>
    <n v="0"/>
    <n v="0"/>
    <m/>
    <m/>
    <m/>
    <m/>
    <m/>
    <m/>
    <m/>
    <m/>
    <m/>
    <m/>
    <m/>
    <d v="2014-06-30T00:00:00"/>
    <n v="1.5087237193630809E-2"/>
    <x v="0"/>
  </r>
  <r>
    <x v="45"/>
    <x v="4"/>
    <s v="BMTR4"/>
    <n v="26388437.5363997"/>
    <n v="26388437.5363997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07-31T00:00:00"/>
    <n v="1.4687115854705057E-2"/>
    <x v="0"/>
  </r>
  <r>
    <x v="46"/>
    <x v="4"/>
    <s v="BMTR4"/>
    <n v="26766084.7136112"/>
    <n v="26766084.7136112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08-29T00:00:00"/>
    <n v="1.4311085174731675E-2"/>
    <x v="0"/>
  </r>
  <r>
    <x v="47"/>
    <x v="4"/>
    <s v="BMTR4"/>
    <n v="26523624.981788699"/>
    <n v="26523624.981788699"/>
    <m/>
    <n v="0"/>
    <n v="0"/>
    <n v="-843750"/>
    <n v="1"/>
    <n v="-843750"/>
    <n v="-843750"/>
    <n v="-843750"/>
    <m/>
    <s v="Private Equity Fund"/>
    <n v="1.0416666666666668E-2"/>
    <n v="0"/>
    <n v="0"/>
    <n v="0"/>
    <m/>
    <m/>
    <m/>
    <m/>
    <m/>
    <m/>
    <m/>
    <m/>
    <m/>
    <m/>
    <m/>
    <d v="2014-09-30T00:00:00"/>
    <n v="2.2464632934219519E-2"/>
    <x v="0"/>
  </r>
  <r>
    <x v="184"/>
    <x v="4"/>
    <s v="BMTR4"/>
    <n v="26925719.785053298"/>
    <n v="26925719.785053298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10-31T00:00:00"/>
    <n v="1.5159873642485833E-2"/>
    <x v="0"/>
  </r>
  <r>
    <x v="185"/>
    <x v="4"/>
    <s v="BMTR4"/>
    <n v="27294238.825214498"/>
    <n v="27294238.825214498"/>
    <m/>
    <n v="0"/>
    <n v="0"/>
    <n v="0"/>
    <n v="1"/>
    <n v="0"/>
    <n v="0"/>
    <n v="0"/>
    <m/>
    <s v="Private Equity Fund"/>
    <n v="1.0416666666666668E-2"/>
    <n v="0"/>
    <n v="0"/>
    <n v="0"/>
    <m/>
    <m/>
    <m/>
    <m/>
    <m/>
    <m/>
    <m/>
    <m/>
    <m/>
    <m/>
    <m/>
    <d v="2014-11-28T00:00:00"/>
    <n v="1.3686506548499677E-2"/>
    <x v="0"/>
  </r>
  <r>
    <x v="186"/>
    <x v="4"/>
    <s v="BMTR4"/>
    <n v="17062665.5121461"/>
    <n v="17062665.5121461"/>
    <m/>
    <n v="0"/>
    <n v="0"/>
    <n v="-9156600"/>
    <n v="1"/>
    <n v="-9156600"/>
    <n v="-9156600"/>
    <n v="-9156600"/>
    <m/>
    <s v="Private Equity Fund"/>
    <n v="1.0416666666666668E-2"/>
    <n v="0"/>
    <n v="0"/>
    <n v="0"/>
    <m/>
    <m/>
    <m/>
    <m/>
    <m/>
    <m/>
    <m/>
    <m/>
    <m/>
    <m/>
    <m/>
    <d v="2014-12-31T00:00:00"/>
    <n v="-3.938462325153147E-2"/>
    <x v="0"/>
  </r>
  <r>
    <x v="187"/>
    <x v="4"/>
    <s v="BMTR4"/>
    <n v="17372148.6819272"/>
    <n v="17372148.6819272"/>
    <m/>
    <n v="0"/>
    <n v="0"/>
    <n v="0"/>
    <n v="1"/>
    <n v="0"/>
    <n v="0"/>
    <n v="0"/>
    <m/>
    <s v="Private Equity Fund"/>
    <n v="6.9444444444444449E-3"/>
    <n v="0"/>
    <n v="0"/>
    <n v="0"/>
    <m/>
    <m/>
    <m/>
    <m/>
    <m/>
    <m/>
    <m/>
    <m/>
    <m/>
    <m/>
    <m/>
    <d v="2015-01-30T00:00:00"/>
    <n v="1.8138031807562127E-2"/>
    <x v="0"/>
  </r>
  <r>
    <x v="188"/>
    <x v="4"/>
    <s v="BMTR4"/>
    <n v="17644593.0530967"/>
    <n v="17644593.0530967"/>
    <m/>
    <n v="0"/>
    <n v="0"/>
    <n v="0"/>
    <n v="1"/>
    <n v="0"/>
    <n v="0"/>
    <n v="0"/>
    <m/>
    <s v="Private Equity Fund"/>
    <n v="6.9444444444444449E-3"/>
    <n v="0"/>
    <n v="0"/>
    <n v="0"/>
    <m/>
    <m/>
    <m/>
    <m/>
    <m/>
    <m/>
    <m/>
    <m/>
    <m/>
    <m/>
    <m/>
    <d v="2015-02-27T00:00:00"/>
    <n v="1.568282520244213E-2"/>
    <x v="0"/>
  </r>
  <r>
    <x v="189"/>
    <x v="4"/>
    <s v="BMTR4"/>
    <n v="17143174.444285102"/>
    <n v="17143174.444285102"/>
    <m/>
    <n v="0"/>
    <n v="0"/>
    <n v="-675000"/>
    <n v="1"/>
    <n v="-675000"/>
    <n v="-675000"/>
    <n v="-675000"/>
    <m/>
    <s v="Private Equity Fund"/>
    <n v="6.9444444444444449E-3"/>
    <n v="0"/>
    <n v="0"/>
    <n v="0"/>
    <m/>
    <m/>
    <m/>
    <m/>
    <m/>
    <m/>
    <m/>
    <m/>
    <m/>
    <m/>
    <m/>
    <d v="2015-03-31T00:00:00"/>
    <n v="9.8376534197222032E-3"/>
    <x v="0"/>
  </r>
  <r>
    <x v="190"/>
    <x v="4"/>
    <s v="BMTR4"/>
    <n v="17332792"/>
    <n v="17332792"/>
    <m/>
    <n v="0"/>
    <n v="0"/>
    <n v="0"/>
    <n v="1"/>
    <n v="0"/>
    <n v="0"/>
    <n v="0"/>
    <m/>
    <s v="Private Equity Fund"/>
    <n v="6.9444444444444449E-3"/>
    <n v="0"/>
    <n v="0"/>
    <n v="0"/>
    <m/>
    <m/>
    <m/>
    <m/>
    <m/>
    <m/>
    <m/>
    <m/>
    <m/>
    <m/>
    <m/>
    <d v="2015-04-30T00:00:00"/>
    <n v="1.1060819355898754E-2"/>
    <x v="0"/>
  </r>
  <r>
    <x v="191"/>
    <x v="4"/>
    <s v="BMTR4"/>
    <n v="17538276"/>
    <n v="17538276"/>
    <m/>
    <n v="0"/>
    <n v="0"/>
    <n v="0"/>
    <n v="1"/>
    <n v="0"/>
    <n v="0"/>
    <n v="0"/>
    <m/>
    <s v="Private Equity Fund"/>
    <n v="6.9444444444444449E-3"/>
    <n v="0"/>
    <n v="0"/>
    <n v="0"/>
    <m/>
    <m/>
    <m/>
    <m/>
    <m/>
    <m/>
    <m/>
    <m/>
    <m/>
    <m/>
    <m/>
    <d v="2015-05-29T00:00:00"/>
    <n v="1.1855216401373658E-2"/>
    <x v="0"/>
  </r>
  <r>
    <x v="192"/>
    <x v="4"/>
    <s v="BMTR4"/>
    <n v="17102772.816886302"/>
    <n v="17102772.816886302"/>
    <m/>
    <n v="0"/>
    <n v="0"/>
    <n v="-687991.67"/>
    <n v="1"/>
    <n v="-687991.67"/>
    <n v="-687991.67"/>
    <n v="-687991.67"/>
    <m/>
    <s v="Private Equity Fund"/>
    <n v="6.9444444444444449E-3"/>
    <n v="1.3103059338443153"/>
    <n v="0"/>
    <n v="0"/>
    <m/>
    <m/>
    <m/>
    <m/>
    <m/>
    <m/>
    <m/>
    <m/>
    <m/>
    <m/>
    <m/>
    <d v="2015-06-30T00:00:00"/>
    <n v="1.4396425674125801E-2"/>
    <x v="0"/>
  </r>
  <r>
    <x v="193"/>
    <x v="4"/>
    <s v="BMTR4"/>
    <n v="17373049.710770797"/>
    <n v="17373049.710770797"/>
    <m/>
    <n v="0"/>
    <n v="0"/>
    <n v="0"/>
    <n v="1"/>
    <n v="0"/>
    <n v="0"/>
    <n v="0"/>
    <m/>
    <s v="Private Equity Fund"/>
    <n v="6.9444444444444449E-3"/>
    <n v="1.3238197785385399"/>
    <n v="0"/>
    <n v="0"/>
    <m/>
    <m/>
    <m/>
    <m/>
    <m/>
    <m/>
    <m/>
    <m/>
    <m/>
    <m/>
    <m/>
    <d v="2015-07-31T00:00:00"/>
    <n v="1.5803103787804362E-2"/>
    <x v="0"/>
  </r>
  <r>
    <x v="194"/>
    <x v="4"/>
    <s v="BMTR4"/>
    <n v="17642680.043448534"/>
    <n v="17642680.043448534"/>
    <m/>
    <n v="0"/>
    <n v="0"/>
    <n v="0"/>
    <n v="1"/>
    <n v="0"/>
    <n v="0"/>
    <n v="0"/>
    <m/>
    <s v="Private Equity Fund"/>
    <n v="6.9444444444444449E-3"/>
    <n v="1.3373012951724268"/>
    <n v="0"/>
    <n v="0"/>
    <m/>
    <m/>
    <m/>
    <m/>
    <m/>
    <m/>
    <m/>
    <m/>
    <m/>
    <m/>
    <m/>
    <d v="2015-08-31T00:00:00"/>
    <n v="1.5520034603399235E-2"/>
    <x v="0"/>
  </r>
  <r>
    <x v="195"/>
    <x v="4"/>
    <s v="BMTR4"/>
    <n v="17156535.915793724"/>
    <n v="17156535.915793724"/>
    <m/>
    <n v="0"/>
    <n v="0"/>
    <n v="-701008.34"/>
    <n v="1"/>
    <n v="-701008.34"/>
    <n v="-701008.34"/>
    <n v="-701008.34"/>
    <m/>
    <s v="Private Equity Fund"/>
    <n v="6.9444444444444449E-3"/>
    <n v="1.3129940887896865"/>
    <n v="0"/>
    <n v="0"/>
    <m/>
    <m/>
    <m/>
    <m/>
    <m/>
    <m/>
    <m/>
    <m/>
    <m/>
    <m/>
    <m/>
    <d v="2015-09-30T00:00:00"/>
    <n v="1.217866060122641E-2"/>
    <x v="0"/>
  </r>
  <r>
    <x v="196"/>
    <x v="4"/>
    <s v="BMTR4"/>
    <n v="17412183.412775867"/>
    <n v="17412183.412775867"/>
    <m/>
    <n v="0"/>
    <n v="0"/>
    <n v="0"/>
    <n v="1"/>
    <n v="0"/>
    <n v="0"/>
    <n v="0"/>
    <m/>
    <s v="Private Equity Fund"/>
    <n v="6.9444444444444449E-3"/>
    <n v="1.3257764636387934"/>
    <n v="0"/>
    <n v="0"/>
    <m/>
    <m/>
    <m/>
    <m/>
    <m/>
    <m/>
    <m/>
    <m/>
    <m/>
    <m/>
    <m/>
    <d v="2015-10-30T00:00:00"/>
    <n v="1.4900880820982065E-2"/>
    <x v="0"/>
  </r>
  <r>
    <x v="1"/>
    <x v="4"/>
    <s v="BMTR4"/>
    <n v="17691784.370716549"/>
    <n v="17691784.370716549"/>
    <m/>
    <n v="0"/>
    <n v="0"/>
    <n v="0"/>
    <n v="1"/>
    <n v="0"/>
    <n v="0"/>
    <n v="0"/>
    <m/>
    <s v="Private Equity Fund"/>
    <n v="6.9444444444444449E-3"/>
    <n v="1.3397565115358276"/>
    <n v="0"/>
    <n v="0"/>
    <m/>
    <m/>
    <m/>
    <m/>
    <m/>
    <m/>
    <m/>
    <m/>
    <m/>
    <m/>
    <m/>
    <d v="2015-11-30T00:00:00"/>
    <n v="1.6057776977902227E-2"/>
    <x v="0"/>
  </r>
  <r>
    <x v="2"/>
    <x v="4"/>
    <s v="BMTR4"/>
    <n v="8479342.4011224769"/>
    <n v="8479342.4011224769"/>
    <m/>
    <n v="0"/>
    <n v="0"/>
    <n v="-9400576.6600000001"/>
    <n v="1"/>
    <n v="-9400576.6600000001"/>
    <n v="-9400576.6600000001"/>
    <n v="-9400576.6600000001"/>
    <m/>
    <s v="Private Equity Fund"/>
    <n v="6.9444444444444449E-3"/>
    <n v="0.87913441305612394"/>
    <n v="0"/>
    <n v="0"/>
    <m/>
    <m/>
    <m/>
    <m/>
    <m/>
    <m/>
    <m/>
    <m/>
    <m/>
    <m/>
    <m/>
    <d v="2015-12-31T00:00:00"/>
    <n v="1.0634014436516015E-2"/>
    <x v="0"/>
  </r>
  <r>
    <x v="3"/>
    <x v="4"/>
    <s v="BMTR4"/>
    <n v="8556839.0005567409"/>
    <n v="8556839.0005567409"/>
    <m/>
    <n v="0"/>
    <n v="0"/>
    <n v="0"/>
    <n v="1"/>
    <n v="0"/>
    <n v="0"/>
    <n v="0"/>
    <m/>
    <s v="Private Equity Fund"/>
    <n v="6.9444444444444449E-3"/>
    <n v="0.88300924302783701"/>
    <n v="0"/>
    <n v="0"/>
    <m/>
    <m/>
    <m/>
    <m/>
    <m/>
    <m/>
    <m/>
    <m/>
    <m/>
    <m/>
    <m/>
    <d v="2016-01-29T00:00:00"/>
    <n v="9.1394586712296721E-3"/>
    <x v="0"/>
  </r>
  <r>
    <x v="4"/>
    <x v="4"/>
    <s v="BMTR4"/>
    <n v="8754153.935605105"/>
    <n v="8754153.935605105"/>
    <m/>
    <n v="0"/>
    <n v="0"/>
    <n v="0"/>
    <n v="1"/>
    <n v="0"/>
    <n v="0"/>
    <n v="0"/>
    <m/>
    <s v="Private Equity Fund"/>
    <n v="6.9444444444444449E-3"/>
    <n v="0.89287498978025548"/>
    <n v="0"/>
    <n v="0"/>
    <m/>
    <m/>
    <m/>
    <m/>
    <m/>
    <m/>
    <m/>
    <m/>
    <m/>
    <m/>
    <m/>
    <d v="2016-02-29T00:00:00"/>
    <n v="2.3059325416257881E-2"/>
    <x v="0"/>
  </r>
  <r>
    <x v="5"/>
    <x v="4"/>
    <s v="BMTR4"/>
    <n v="8550827.4914703406"/>
    <n v="8550827.4914703406"/>
    <m/>
    <n v="0"/>
    <n v="0"/>
    <n v="-394334.63"/>
    <n v="1"/>
    <n v="-394334.63"/>
    <n v="-394334.63"/>
    <n v="-394334.63"/>
    <m/>
    <s v="Private Equity Fund"/>
    <n v="6.9444444444444449E-3"/>
    <n v="0.88270866757351707"/>
    <n v="0"/>
    <n v="0"/>
    <m/>
    <m/>
    <m/>
    <m/>
    <m/>
    <m/>
    <m/>
    <m/>
    <m/>
    <m/>
    <m/>
    <d v="2016-03-31T00:00:00"/>
    <n v="2.1819148631641472E-2"/>
    <x v="0"/>
  </r>
  <r>
    <x v="6"/>
    <x v="4"/>
    <s v="BMTR4"/>
    <n v="8690309.6835255511"/>
    <n v="8690309.6835255511"/>
    <m/>
    <n v="0"/>
    <n v="0"/>
    <n v="0"/>
    <n v="1"/>
    <n v="0"/>
    <n v="0"/>
    <n v="0"/>
    <m/>
    <s v="Private Equity Fund"/>
    <n v="6.9444444444444449E-3"/>
    <n v="0.88968277717627764"/>
    <n v="0"/>
    <n v="0"/>
    <m/>
    <m/>
    <m/>
    <m/>
    <m/>
    <m/>
    <m/>
    <m/>
    <m/>
    <m/>
    <m/>
    <d v="2016-04-29T00:00:00"/>
    <n v="1.6312127942511578E-2"/>
    <x v="0"/>
  </r>
  <r>
    <x v="7"/>
    <x v="4"/>
    <s v="BMTR4"/>
    <n v="8441034.9266496263"/>
    <n v="8441034.9266496263"/>
    <m/>
    <n v="0"/>
    <n v="0"/>
    <n v="-389708.33"/>
    <n v="1"/>
    <n v="-389708.33"/>
    <n v="-389708.33"/>
    <n v="-389708.33"/>
    <m/>
    <s v="Private Equity Fund"/>
    <n v="6.9444444444444449E-3"/>
    <n v="0.87721903933248135"/>
    <n v="0"/>
    <n v="0"/>
    <m/>
    <m/>
    <m/>
    <m/>
    <m/>
    <m/>
    <m/>
    <m/>
    <m/>
    <m/>
    <m/>
    <d v="2016-05-31T00:00:00"/>
    <n v="1.6159789263931357E-2"/>
    <x v="0"/>
  </r>
  <r>
    <x v="8"/>
    <x v="4"/>
    <s v="BMTR4"/>
    <n v="8656372.5526439138"/>
    <n v="8656372.5526439138"/>
    <m/>
    <n v="0"/>
    <n v="0"/>
    <n v="0"/>
    <n v="1"/>
    <n v="0"/>
    <n v="0"/>
    <n v="0"/>
    <m/>
    <s v="Private Equity Fund"/>
    <n v="6.9444444444444449E-3"/>
    <n v="0.88798592063219572"/>
    <n v="0"/>
    <n v="0"/>
    <m/>
    <m/>
    <m/>
    <m/>
    <m/>
    <m/>
    <m/>
    <m/>
    <m/>
    <m/>
    <m/>
    <d v="2016-06-30T00:00:00"/>
    <n v="2.5510808551974407E-2"/>
    <x v="0"/>
  </r>
  <r>
    <x v="9"/>
    <x v="4"/>
    <s v="BMTR4"/>
    <n v="8805165.2137730792"/>
    <n v="8805165.2137730792"/>
    <m/>
    <n v="0"/>
    <n v="0"/>
    <n v="0"/>
    <n v="1"/>
    <n v="0"/>
    <n v="0"/>
    <n v="0"/>
    <m/>
    <s v="Private Equity Fund"/>
    <n v="6.9444444444444449E-3"/>
    <n v="0.89542555368865406"/>
    <n v="0"/>
    <n v="0"/>
    <m/>
    <m/>
    <m/>
    <m/>
    <m/>
    <m/>
    <m/>
    <m/>
    <m/>
    <m/>
    <m/>
    <d v="2016-07-29T00:00:00"/>
    <n v="1.7188800530970605E-2"/>
    <x v="0"/>
  </r>
  <r>
    <x v="10"/>
    <x v="4"/>
    <s v="BMTR4"/>
    <n v="8523639.6865817495"/>
    <n v="8523639.6865817495"/>
    <m/>
    <n v="0"/>
    <n v="0"/>
    <n v="-408964.16000000003"/>
    <n v="1"/>
    <n v="-408964.16000000003"/>
    <n v="-408964.16000000003"/>
    <n v="-408964.16000000003"/>
    <m/>
    <s v="Private Equity Fund"/>
    <n v="6.9444444444444449E-3"/>
    <n v="0.88134927732908752"/>
    <n v="0"/>
    <n v="0"/>
    <m/>
    <m/>
    <m/>
    <m/>
    <m/>
    <m/>
    <m/>
    <m/>
    <m/>
    <m/>
    <m/>
    <d v="2016-08-31T00:00:00"/>
    <n v="1.4473167704943224E-2"/>
    <x v="0"/>
  </r>
  <r>
    <x v="11"/>
    <x v="4"/>
    <s v="BMTR4"/>
    <n v="8639239.8956346698"/>
    <n v="8639239.8956346698"/>
    <m/>
    <n v="0"/>
    <n v="0"/>
    <n v="0"/>
    <n v="1"/>
    <n v="0"/>
    <n v="0"/>
    <n v="0"/>
    <m/>
    <s v="Private Equity Fund"/>
    <n v="6.9444444444444449E-3"/>
    <n v="0.88712928778173361"/>
    <n v="0"/>
    <n v="0"/>
    <m/>
    <m/>
    <m/>
    <m/>
    <m/>
    <m/>
    <m/>
    <m/>
    <m/>
    <m/>
    <m/>
    <d v="2016-09-30T00:00:00"/>
    <n v="1.3562305928405571E-2"/>
    <x v="0"/>
  </r>
  <r>
    <x v="12"/>
    <x v="4"/>
    <s v="BMTR4"/>
    <n v="8749623.5137581192"/>
    <n v="8749623.5137581192"/>
    <m/>
    <n v="0"/>
    <n v="0"/>
    <n v="0"/>
    <n v="1"/>
    <n v="0"/>
    <n v="0"/>
    <n v="0"/>
    <m/>
    <s v="Private Equity Fund"/>
    <n v="6.9444444444444449E-3"/>
    <n v="0.89264846868790615"/>
    <n v="0"/>
    <n v="0"/>
    <m/>
    <m/>
    <m/>
    <m/>
    <m/>
    <m/>
    <m/>
    <m/>
    <m/>
    <m/>
    <m/>
    <d v="2016-10-31T00:00:00"/>
    <n v="1.2777005784875284E-2"/>
    <x v="0"/>
  </r>
  <r>
    <x v="13"/>
    <x v="4"/>
    <s v="BMTR4"/>
    <n v="8878240.9103699606"/>
    <n v="8878240.9103699606"/>
    <m/>
    <n v="0"/>
    <n v="0"/>
    <n v="0"/>
    <n v="1"/>
    <n v="0"/>
    <n v="0"/>
    <n v="0"/>
    <m/>
    <s v="Private Equity Fund"/>
    <n v="6.9444444444444449E-3"/>
    <n v="0.89907933851849808"/>
    <n v="0"/>
    <n v="0"/>
    <m/>
    <m/>
    <m/>
    <m/>
    <m/>
    <m/>
    <m/>
    <m/>
    <m/>
    <m/>
    <m/>
    <d v="2016-11-30T00:00:00"/>
    <n v="1.4699763528065013E-2"/>
    <x v="0"/>
  </r>
  <r>
    <x v="14"/>
    <x v="4"/>
    <s v="BMTR4"/>
    <n v="8660621.0364860501"/>
    <n v="8660621.0364860501"/>
    <m/>
    <n v="0"/>
    <n v="0"/>
    <n v="-145749.42000000001"/>
    <n v="1"/>
    <n v="-145749.42000000001"/>
    <n v="-145749.42000000001"/>
    <n v="-145749.42000000001"/>
    <m/>
    <s v="Private Equity Fund"/>
    <n v="6.9444444444444449E-3"/>
    <n v="0.88819834482430271"/>
    <n v="0"/>
    <n v="0"/>
    <m/>
    <m/>
    <m/>
    <m/>
    <m/>
    <m/>
    <m/>
    <m/>
    <m/>
    <m/>
    <m/>
    <d v="2016-12-30T00:00:00"/>
    <n v="-8.0951231904469179E-3"/>
    <x v="0"/>
  </r>
  <r>
    <x v="15"/>
    <x v="4"/>
    <s v="BMTR4"/>
    <n v="8751206.7843473405"/>
    <n v="8751206.7843473405"/>
    <m/>
    <n v="0"/>
    <n v="0"/>
    <n v="0"/>
    <n v="1"/>
    <n v="0"/>
    <n v="0"/>
    <n v="0"/>
    <m/>
    <s v="Private Equity Fund"/>
    <n v="6.9444444444444449E-3"/>
    <n v="0.89272763221736717"/>
    <n v="0"/>
    <n v="0"/>
    <m/>
    <m/>
    <m/>
    <m/>
    <m/>
    <m/>
    <m/>
    <m/>
    <m/>
    <m/>
    <m/>
    <d v="2017-01-27T00:00:00"/>
    <n v="1.045949793665657E-2"/>
    <x v="0"/>
  </r>
  <r>
    <x v="16"/>
    <x v="4"/>
    <s v="BMTR4"/>
    <n v="5522306.5709242104"/>
    <n v="5522306.5709242104"/>
    <m/>
    <n v="0"/>
    <n v="0"/>
    <n v="-3160862.9"/>
    <n v="1"/>
    <n v="-3160862.9"/>
    <n v="-3160862.9"/>
    <n v="-3160862.9"/>
    <m/>
    <s v="Private Equity Fund"/>
    <n v="6.9444444444444449E-3"/>
    <n v="0.73128262154621071"/>
    <n v="0"/>
    <n v="0"/>
    <m/>
    <m/>
    <m/>
    <m/>
    <m/>
    <m/>
    <m/>
    <m/>
    <m/>
    <m/>
    <m/>
    <d v="2017-02-28T00:00:00"/>
    <n v="-7.7746207008643209E-3"/>
    <x v="0"/>
  </r>
  <r>
    <x v="17"/>
    <x v="4"/>
    <s v="BMTR4"/>
    <n v="5525772.5703539206"/>
    <n v="5525772.5703539206"/>
    <m/>
    <n v="0"/>
    <n v="0"/>
    <n v="0"/>
    <n v="1"/>
    <n v="0"/>
    <n v="0"/>
    <n v="0"/>
    <m/>
    <s v="Private Equity Fund"/>
    <n v="4.1666666666666666E-3"/>
    <n v="0.73145592151769612"/>
    <n v="0"/>
    <n v="0"/>
    <m/>
    <m/>
    <m/>
    <m/>
    <m/>
    <m/>
    <m/>
    <m/>
    <m/>
    <m/>
    <m/>
    <d v="2017-03-31T00:00:00"/>
    <n v="6.2763618520556008E-4"/>
    <x v="0"/>
  </r>
  <r>
    <x v="18"/>
    <x v="4"/>
    <s v="BMTR4"/>
    <n v="3342035.97"/>
    <n v="3342035.97"/>
    <m/>
    <n v="0"/>
    <n v="0"/>
    <n v="-2097624.21"/>
    <n v="1"/>
    <n v="-2097624.21"/>
    <n v="-2097624.21"/>
    <n v="-2097624.21"/>
    <m/>
    <s v="Private Equity Fund"/>
    <n v="4.1666666666666666E-3"/>
    <n v="0.6222690915000002"/>
    <n v="0"/>
    <n v="0"/>
    <m/>
    <m/>
    <m/>
    <m/>
    <m/>
    <m/>
    <m/>
    <m/>
    <m/>
    <m/>
    <m/>
    <d v="2017-04-28T00:00:00"/>
    <n v="-1.5583773899041531E-2"/>
    <x v="0"/>
  </r>
  <r>
    <x v="19"/>
    <x v="4"/>
    <s v="BMTR4"/>
    <n v="3390600.12361567"/>
    <n v="3390600.12361567"/>
    <m/>
    <n v="0"/>
    <n v="0"/>
    <n v="0"/>
    <n v="1"/>
    <n v="0"/>
    <n v="0"/>
    <n v="0"/>
    <m/>
    <s v="Private Equity Fund"/>
    <n v="4.1666666666666666E-3"/>
    <n v="0.62469729918078354"/>
    <n v="0"/>
    <n v="0"/>
    <m/>
    <m/>
    <m/>
    <m/>
    <m/>
    <m/>
    <m/>
    <m/>
    <m/>
    <m/>
    <m/>
    <d v="2017-05-31T00:00:00"/>
    <n v="1.4531307876877841E-2"/>
    <x v="0"/>
  </r>
  <r>
    <x v="20"/>
    <x v="4"/>
    <s v="BMTR4"/>
    <n v="3429652.5697062798"/>
    <n v="3429652.5697062798"/>
    <m/>
    <n v="0"/>
    <n v="0"/>
    <n v="0"/>
    <n v="1"/>
    <n v="0"/>
    <n v="0"/>
    <n v="0"/>
    <m/>
    <s v="Private Equity Fund"/>
    <n v="4.1666666666666666E-3"/>
    <n v="0.62664992148531407"/>
    <n v="0"/>
    <n v="0"/>
    <m/>
    <m/>
    <m/>
    <m/>
    <m/>
    <m/>
    <m/>
    <m/>
    <m/>
    <m/>
    <m/>
    <d v="2017-06-30T00:00:00"/>
    <n v="1.1517856623258993E-2"/>
    <x v="0"/>
  </r>
  <r>
    <x v="21"/>
    <x v="4"/>
    <s v="BMTR4"/>
    <n v="3363149.16"/>
    <n v="3363149.16"/>
    <m/>
    <n v="0"/>
    <n v="0"/>
    <n v="-93621.28"/>
    <n v="1"/>
    <n v="-93621.28"/>
    <n v="-93621.28"/>
    <n v="-93621.28"/>
    <m/>
    <s v="Private Equity Fund"/>
    <n v="4.1666666666666666E-3"/>
    <n v="0.62332475100000018"/>
    <n v="0"/>
    <n v="0"/>
    <m/>
    <m/>
    <m/>
    <m/>
    <m/>
    <m/>
    <m/>
    <m/>
    <m/>
    <m/>
    <m/>
    <d v="2017-07-31T00:00:00"/>
    <n v="7.9068855350681311E-3"/>
    <x v="0"/>
  </r>
  <r>
    <x v="22"/>
    <x v="4"/>
    <s v="BMTR4"/>
    <n v="3402563.57"/>
    <n v="3402563.57"/>
    <m/>
    <n v="0"/>
    <n v="0"/>
    <n v="0"/>
    <n v="1"/>
    <n v="0"/>
    <n v="0"/>
    <n v="0"/>
    <m/>
    <s v="Private Equity Fund"/>
    <n v="4.1666666666666666E-3"/>
    <n v="0.62529547150000009"/>
    <n v="0"/>
    <n v="0"/>
    <m/>
    <m/>
    <m/>
    <m/>
    <m/>
    <m/>
    <m/>
    <m/>
    <m/>
    <m/>
    <m/>
    <d v="2017-08-31T00:00:00"/>
    <n v="1.1719495069912211E-2"/>
    <x v="0"/>
  </r>
  <r>
    <x v="23"/>
    <x v="4"/>
    <s v="BMTR4"/>
    <n v="3443364.1599999997"/>
    <n v="3443364.1599999997"/>
    <m/>
    <n v="0"/>
    <n v="0"/>
    <n v="0"/>
    <n v="1"/>
    <n v="0"/>
    <n v="0"/>
    <n v="0"/>
    <m/>
    <s v="Private Equity Fund"/>
    <n v="4.1666666666666666E-3"/>
    <n v="0.62733550100000013"/>
    <n v="0"/>
    <n v="0"/>
    <m/>
    <m/>
    <m/>
    <m/>
    <m/>
    <m/>
    <m/>
    <m/>
    <m/>
    <m/>
    <m/>
    <d v="2017-09-29T00:00:00"/>
    <n v="1.1991132321445441E-2"/>
    <x v="0"/>
  </r>
  <r>
    <x v="24"/>
    <x v="4"/>
    <s v="BMTR4"/>
    <n v="2500509.04"/>
    <n v="2500509.04"/>
    <m/>
    <n v="0"/>
    <n v="0"/>
    <n v="-916304.26"/>
    <n v="1"/>
    <n v="-916304.26"/>
    <n v="-916304.26"/>
    <n v="-916304.26"/>
    <m/>
    <s v="Private Equity Fund"/>
    <n v="4.1666666666666666E-3"/>
    <n v="0.58019274500000007"/>
    <n v="0"/>
    <n v="0"/>
    <m/>
    <m/>
    <m/>
    <m/>
    <m/>
    <m/>
    <m/>
    <m/>
    <m/>
    <m/>
    <m/>
    <d v="2017-10-31T00:00:00"/>
    <n v="-7.7107325180499897E-3"/>
    <x v="0"/>
  </r>
  <r>
    <x v="25"/>
    <x v="4"/>
    <s v="BMTR4"/>
    <n v="2531078.9300000002"/>
    <n v="2531078.9300000002"/>
    <m/>
    <n v="0"/>
    <n v="0"/>
    <n v="0"/>
    <n v="1"/>
    <n v="0"/>
    <n v="0"/>
    <n v="0"/>
    <m/>
    <s v="Private Equity Fund"/>
    <n v="4.1666666666666666E-3"/>
    <n v="0.5817212395000001"/>
    <n v="0"/>
    <n v="0"/>
    <m/>
    <m/>
    <m/>
    <m/>
    <m/>
    <m/>
    <m/>
    <m/>
    <m/>
    <m/>
    <m/>
    <d v="2017-11-30T00:00:00"/>
    <n v="1.2225466699372634E-2"/>
    <x v="0"/>
  </r>
  <r>
    <x v="26"/>
    <x v="4"/>
    <s v="BMTR4"/>
    <n v="2559118.13"/>
    <n v="2559118.13"/>
    <m/>
    <n v="0"/>
    <n v="0"/>
    <n v="0"/>
    <n v="1"/>
    <n v="0"/>
    <n v="0"/>
    <n v="0"/>
    <m/>
    <s v="Private Equity Fund"/>
    <n v="4.1666666666666666E-3"/>
    <n v="0.58699004600000004"/>
    <n v="0"/>
    <n v="0"/>
    <m/>
    <m/>
    <m/>
    <m/>
    <m/>
    <m/>
    <m/>
    <m/>
    <m/>
    <m/>
    <m/>
    <d v="2017-12-29T00:00:00"/>
    <n v="1.1077963499146914E-2"/>
    <x v="0"/>
  </r>
  <r>
    <x v="27"/>
    <x v="4"/>
    <s v="BMTR4"/>
    <n v="2507823.14"/>
    <n v="2507823.14"/>
    <m/>
    <n v="0"/>
    <n v="0"/>
    <n v="-77336.929999999993"/>
    <n v="1"/>
    <n v="-77336.929999999993"/>
    <n v="-77336.929999999993"/>
    <n v="-77336.929999999993"/>
    <m/>
    <s v="Private Equity Fund"/>
    <n v="4.1666666666666666E-3"/>
    <n v="0.58442529650000008"/>
    <n v="0"/>
    <n v="0"/>
    <m/>
    <m/>
    <m/>
    <m/>
    <m/>
    <m/>
    <m/>
    <m/>
    <m/>
    <m/>
    <m/>
    <d v="2018-01-31T00:00:00"/>
    <n v="1.0176138293389592E-2"/>
    <x v="0"/>
  </r>
  <r>
    <x v="28"/>
    <x v="4"/>
    <s v="BMTR4"/>
    <n v="2536423.0499999998"/>
    <n v="2536423.0499999998"/>
    <m/>
    <n v="0"/>
    <n v="0"/>
    <n v="0"/>
    <n v="1"/>
    <n v="0"/>
    <n v="0"/>
    <n v="0"/>
    <m/>
    <s v="Private Equity Fund"/>
    <n v="4.1666666666666666E-3"/>
    <n v="0.58585529200000008"/>
    <n v="0"/>
    <n v="0"/>
    <m/>
    <m/>
    <m/>
    <m/>
    <m/>
    <m/>
    <m/>
    <m/>
    <m/>
    <m/>
    <m/>
    <d v="2018-02-28T00:00:00"/>
    <n v="1.1404277097466942E-2"/>
    <x v="0"/>
  </r>
  <r>
    <x v="29"/>
    <x v="4"/>
    <s v="BMTR4"/>
    <n v="2566070.87"/>
    <n v="2566070.87"/>
    <m/>
    <n v="0"/>
    <n v="0"/>
    <n v="0"/>
    <n v="1"/>
    <n v="0"/>
    <n v="0"/>
    <n v="0"/>
    <m/>
    <s v="Private Equity Fund"/>
    <n v="4.1666666666666666E-3"/>
    <n v="0.587337683"/>
    <n v="0"/>
    <n v="0"/>
    <m/>
    <m/>
    <m/>
    <m/>
    <m/>
    <m/>
    <m/>
    <m/>
    <m/>
    <m/>
    <m/>
    <d v="2018-03-29T00:00:00"/>
    <n v="1.1688830851777743E-2"/>
    <x v="0"/>
  </r>
  <r>
    <x v="30"/>
    <x v="4"/>
    <s v="BMTR4"/>
    <n v="2514085.81"/>
    <n v="2514085.81"/>
    <m/>
    <n v="0"/>
    <n v="0"/>
    <n v="-77187.5"/>
    <n v="1"/>
    <n v="-77187.5"/>
    <n v="-77187.5"/>
    <n v="-77187.5"/>
    <m/>
    <s v="Private Equity Fund"/>
    <n v="4.1666666666666666E-3"/>
    <n v="0.58473843000000003"/>
    <n v="0"/>
    <n v="0"/>
    <m/>
    <m/>
    <m/>
    <m/>
    <m/>
    <m/>
    <m/>
    <m/>
    <m/>
    <m/>
    <m/>
    <d v="2018-04-30T00:00:00"/>
    <n v="9.8214122979385365E-3"/>
    <x v="0"/>
  </r>
  <r>
    <x v="31"/>
    <x v="4"/>
    <s v="BMTR4"/>
    <n v="2545874.9087597281"/>
    <n v="2545874.9087597281"/>
    <m/>
    <n v="0"/>
    <n v="0"/>
    <n v="0"/>
    <n v="1"/>
    <n v="0"/>
    <n v="0"/>
    <n v="0"/>
    <m/>
    <s v="Private Equity Fund"/>
    <n v="4.1666666666666666E-3"/>
    <n v="0.58632788493798649"/>
    <n v="0"/>
    <n v="0"/>
    <m/>
    <m/>
    <m/>
    <m/>
    <m/>
    <m/>
    <m/>
    <m/>
    <m/>
    <m/>
    <m/>
    <d v="2018-05-31T00:00:00"/>
    <n v="1.2644396875112207E-2"/>
    <x v="0"/>
  </r>
  <r>
    <x v="32"/>
    <x v="4"/>
    <s v="BMTR4"/>
    <n v="2575928.85"/>
    <n v="2575928.85"/>
    <m/>
    <n v="0"/>
    <n v="0"/>
    <n v="0"/>
    <n v="1"/>
    <n v="0"/>
    <n v="0"/>
    <n v="-2575928.85"/>
    <m/>
    <s v="Private Equity Fund"/>
    <n v="4.1666666666666666E-3"/>
    <n v="0.58783058200000005"/>
    <n v="0"/>
    <n v="0"/>
    <m/>
    <m/>
    <m/>
    <m/>
    <m/>
    <m/>
    <m/>
    <m/>
    <m/>
    <m/>
    <m/>
    <d v="2018-06-29T00:00:00"/>
    <n v="1.1804955984625831E-2"/>
    <x v="0"/>
  </r>
  <r>
    <x v="33"/>
    <x v="4"/>
    <s v="BMTR4"/>
    <n v="2575928.85"/>
    <n v="2575928.85"/>
    <m/>
    <n v="0"/>
    <n v="0"/>
    <n v="0"/>
    <n v="1"/>
    <n v="0"/>
    <n v="0"/>
    <n v="0"/>
    <m/>
    <s v="Private Equity Fund"/>
    <n v="4.1666666666666666E-3"/>
    <n v="0.58783058200000005"/>
    <n v="0"/>
    <n v="0"/>
    <m/>
    <m/>
    <m/>
    <m/>
    <m/>
    <m/>
    <m/>
    <m/>
    <m/>
    <m/>
    <m/>
    <d v="2018-07-31T00:00:00"/>
    <n v="0"/>
    <x v="0"/>
  </r>
  <r>
    <x v="36"/>
    <x v="5"/>
    <s v="CHF_S1a"/>
    <n v="1570000"/>
    <n v="1570000"/>
    <n v="31.4"/>
    <n v="1570000"/>
    <n v="0"/>
    <n v="0"/>
    <n v="1"/>
    <n v="1570000"/>
    <n v="1570000"/>
    <n v="1570000"/>
    <n v="1570000"/>
    <s v="Private Equity Fund"/>
    <n v="0"/>
    <n v="0"/>
    <n v="0"/>
    <n v="0"/>
    <m/>
    <m/>
    <m/>
    <m/>
    <m/>
    <m/>
    <m/>
    <m/>
    <m/>
    <m/>
    <m/>
    <d v="2013-10-31T00:00:00"/>
    <n v="0"/>
    <x v="1"/>
  </r>
  <r>
    <x v="37"/>
    <x v="5"/>
    <s v="CHF_S1a"/>
    <n v="1538219.61"/>
    <n v="1538219.61"/>
    <n v="31.4"/>
    <n v="0"/>
    <n v="0"/>
    <n v="0"/>
    <n v="1"/>
    <n v="0"/>
    <n v="0"/>
    <n v="0"/>
    <n v="0"/>
    <s v="Private Equity Fund"/>
    <n v="3.4054307453827699E-3"/>
    <n v="0"/>
    <n v="0"/>
    <n v="0"/>
    <m/>
    <m/>
    <m/>
    <m/>
    <m/>
    <m/>
    <m/>
    <m/>
    <m/>
    <m/>
    <m/>
    <d v="2013-11-29T00:00:00"/>
    <n v="-2.0242286624203798E-2"/>
    <x v="1"/>
  </r>
  <r>
    <x v="38"/>
    <x v="5"/>
    <s v="CHF_S1a"/>
    <n v="3231889.6"/>
    <n v="1599422.3651639135"/>
    <n v="31.4"/>
    <n v="1570000"/>
    <n v="0"/>
    <n v="0"/>
    <n v="2.0206605024363196"/>
    <n v="1570000"/>
    <n v="0"/>
    <n v="1570000"/>
    <n v="1570000"/>
    <s v="Private Equity Fund"/>
    <n v="1.00555717317576E-2"/>
    <n v="9.1083766999999777E-3"/>
    <n v="0"/>
    <n v="0"/>
    <m/>
    <m/>
    <m/>
    <m/>
    <m/>
    <m/>
    <m/>
    <m/>
    <m/>
    <m/>
    <m/>
    <d v="2013-12-31T00:00:00"/>
    <n v="8.0398136388340591E-2"/>
    <x v="1"/>
  </r>
  <r>
    <x v="39"/>
    <x v="5"/>
    <s v="CHF_S1a"/>
    <n v="13900618.630000001"/>
    <n v="1587831.5995375547"/>
    <n v="31.4"/>
    <n v="10770200"/>
    <n v="0"/>
    <n v="0"/>
    <n v="8.7544665530327421"/>
    <n v="10770200"/>
    <n v="0"/>
    <n v="10770200"/>
    <n v="10770200"/>
    <s v="Private Equity Fund"/>
    <n v="1.54284713860697E-2"/>
    <n v="0"/>
    <n v="0"/>
    <n v="0"/>
    <m/>
    <m/>
    <m/>
    <m/>
    <m/>
    <m/>
    <m/>
    <m/>
    <m/>
    <m/>
    <m/>
    <d v="2014-01-30T00:00:00"/>
    <n v="-3.139679338056578E-2"/>
    <x v="1"/>
  </r>
  <r>
    <x v="40"/>
    <x v="5"/>
    <s v="CHF_S1a"/>
    <n v="13941876.949999999"/>
    <n v="1592544.4303822513"/>
    <n v="31.4"/>
    <n v="0"/>
    <n v="0"/>
    <n v="0"/>
    <n v="8.7544665530327421"/>
    <n v="0"/>
    <n v="0"/>
    <n v="0"/>
    <n v="0"/>
    <s v="Private Equity Fund"/>
    <n v="1.4935254584058999E-2"/>
    <n v="0"/>
    <n v="0"/>
    <n v="0"/>
    <m/>
    <m/>
    <m/>
    <m/>
    <m/>
    <m/>
    <m/>
    <m/>
    <m/>
    <m/>
    <m/>
    <d v="2014-02-28T00:00:00"/>
    <n v="2.9680923632389167E-3"/>
    <x v="1"/>
  </r>
  <r>
    <x v="41"/>
    <x v="5"/>
    <s v="CHF_S1a"/>
    <n v="13973652.550000001"/>
    <n v="1596174.0747252288"/>
    <n v="31.4"/>
    <n v="0"/>
    <n v="0"/>
    <n v="0"/>
    <n v="8.7544665530327421"/>
    <n v="0"/>
    <n v="0"/>
    <n v="0"/>
    <n v="0"/>
    <s v="Private Equity Fund"/>
    <n v="1.6006150595865399E-2"/>
    <n v="8.7930480000003195E-4"/>
    <n v="0"/>
    <n v="0"/>
    <m/>
    <m/>
    <m/>
    <m/>
    <m/>
    <m/>
    <m/>
    <m/>
    <m/>
    <m/>
    <m/>
    <d v="2014-03-31T00:00:00"/>
    <n v="2.2791479306523144E-3"/>
    <x v="1"/>
  </r>
  <r>
    <x v="42"/>
    <x v="5"/>
    <s v="CHF_S1a"/>
    <n v="13544883.9679951"/>
    <n v="1547196.9520864582"/>
    <n v="31.4"/>
    <n v="0"/>
    <n v="0"/>
    <n v="0"/>
    <n v="8.7544665530327421"/>
    <n v="0"/>
    <n v="0"/>
    <n v="0"/>
    <n v="0"/>
    <s v="Private Equity Fund"/>
    <n v="1.6020908964155901E-2"/>
    <n v="0"/>
    <n v="0"/>
    <n v="0"/>
    <m/>
    <m/>
    <m/>
    <m/>
    <m/>
    <m/>
    <m/>
    <m/>
    <m/>
    <m/>
    <m/>
    <d v="2014-04-30T00:00:00"/>
    <n v="-3.0684073506958676E-2"/>
    <x v="1"/>
  </r>
  <r>
    <x v="43"/>
    <x v="5"/>
    <s v="CHF_S1a"/>
    <n v="13580251.029999999"/>
    <n v="1551236.8398158422"/>
    <n v="31.4"/>
    <n v="0"/>
    <n v="0"/>
    <n v="0"/>
    <n v="8.7544665530327421"/>
    <n v="0"/>
    <n v="0"/>
    <n v="0"/>
    <n v="0"/>
    <s v="Private Equity Fund"/>
    <n v="1.6046626098367201E-2"/>
    <n v="0"/>
    <n v="0"/>
    <n v="0"/>
    <m/>
    <m/>
    <m/>
    <m/>
    <m/>
    <m/>
    <m/>
    <m/>
    <m/>
    <m/>
    <m/>
    <d v="2014-05-30T00:00:00"/>
    <n v="2.6111011425766772E-3"/>
    <x v="1"/>
  </r>
  <r>
    <x v="44"/>
    <x v="5"/>
    <s v="CHF_S1a"/>
    <n v="13509914.300000001"/>
    <n v="1543202.4576437345"/>
    <n v="31.4"/>
    <n v="0"/>
    <n v="0"/>
    <n v="0"/>
    <n v="8.7544665530327421"/>
    <n v="0"/>
    <n v="0"/>
    <n v="0"/>
    <n v="0"/>
    <s v="Private Equity Fund"/>
    <n v="1.54705351970461E-2"/>
    <n v="0"/>
    <n v="0"/>
    <n v="0"/>
    <m/>
    <m/>
    <m/>
    <m/>
    <m/>
    <m/>
    <m/>
    <m/>
    <m/>
    <m/>
    <m/>
    <d v="2014-06-30T00:00:00"/>
    <n v="-5.1793394573206308E-3"/>
    <x v="1"/>
  </r>
  <r>
    <x v="45"/>
    <x v="5"/>
    <s v="CHF_S1a"/>
    <n v="13807474.706977401"/>
    <n v="1577192.0108820547"/>
    <n v="31.4"/>
    <n v="0"/>
    <n v="0"/>
    <n v="0"/>
    <n v="8.7544665530327421"/>
    <n v="0"/>
    <n v="0"/>
    <n v="0"/>
    <n v="0"/>
    <s v="Private Equity Fund"/>
    <n v="2.57017146390193E-2"/>
    <n v="0"/>
    <n v="0"/>
    <n v="0"/>
    <m/>
    <m/>
    <m/>
    <m/>
    <m/>
    <m/>
    <m/>
    <m/>
    <m/>
    <m/>
    <m/>
    <d v="2014-07-31T00:00:00"/>
    <n v="2.2025336384065675E-2"/>
    <x v="1"/>
  </r>
  <r>
    <x v="46"/>
    <x v="5"/>
    <s v="CHF_S1a"/>
    <n v="20613683.719999999"/>
    <n v="1586273.0914130586"/>
    <n v="31.4"/>
    <n v="6688200"/>
    <n v="0"/>
    <n v="0"/>
    <n v="12.995040911673819"/>
    <n v="6688200"/>
    <n v="0"/>
    <n v="6688200"/>
    <n v="6688200"/>
    <s v="Private Equity Fund"/>
    <n v="2.57017146390193E-2"/>
    <n v="0"/>
    <n v="0"/>
    <n v="0"/>
    <m/>
    <m/>
    <m/>
    <m/>
    <m/>
    <m/>
    <m/>
    <m/>
    <m/>
    <m/>
    <m/>
    <d v="2014-08-29T00:00:00"/>
    <n v="8.5467484479955225E-3"/>
    <x v="1"/>
  </r>
  <r>
    <x v="47"/>
    <x v="5"/>
    <s v="CHF_S1a"/>
    <n v="20053645.350000001"/>
    <n v="1543176.7769184348"/>
    <n v="31.4"/>
    <n v="0"/>
    <n v="0"/>
    <n v="0"/>
    <n v="12.995040911673819"/>
    <n v="0"/>
    <n v="0"/>
    <n v="0"/>
    <n v="0"/>
    <s v="Private Equity Fund"/>
    <n v="2.7415162281620602E-2"/>
    <n v="0"/>
    <n v="2.8046939803949697E-4"/>
    <n v="0"/>
    <m/>
    <m/>
    <m/>
    <m/>
    <m/>
    <m/>
    <m/>
    <m/>
    <m/>
    <m/>
    <m/>
    <d v="2014-09-30T00:00:00"/>
    <n v="-2.7168281885329937E-2"/>
    <x v="1"/>
  </r>
  <r>
    <x v="184"/>
    <x v="5"/>
    <s v="CHF_S1a"/>
    <n v="24941602.829999998"/>
    <n v="1517702.2830490521"/>
    <n v="31.4"/>
    <n v="5306600"/>
    <n v="0"/>
    <n v="0"/>
    <n v="16.433791467910631"/>
    <n v="5306600"/>
    <n v="0"/>
    <n v="5306600"/>
    <n v="5306600"/>
    <s v="Private Equity Fund"/>
    <n v="3.3231878357865299E-2"/>
    <n v="0"/>
    <n v="0"/>
    <n v="0"/>
    <m/>
    <m/>
    <m/>
    <m/>
    <m/>
    <m/>
    <m/>
    <m/>
    <m/>
    <m/>
    <m/>
    <d v="2014-10-31T00:00:00"/>
    <n v="-2.0876130633276757E-2"/>
    <x v="1"/>
  </r>
  <r>
    <x v="185"/>
    <x v="5"/>
    <s v="CHF_S1a"/>
    <n v="25250255.969999999"/>
    <n v="1536483.8977849267"/>
    <n v="31.4"/>
    <n v="0"/>
    <n v="0"/>
    <n v="0"/>
    <n v="16.433791467910631"/>
    <n v="0"/>
    <n v="0"/>
    <n v="0"/>
    <n v="0"/>
    <s v="Private Equity Fund"/>
    <n v="3.0411032621366199E-2"/>
    <n v="0"/>
    <n v="0"/>
    <n v="0"/>
    <m/>
    <m/>
    <m/>
    <m/>
    <m/>
    <m/>
    <m/>
    <m/>
    <m/>
    <m/>
    <m/>
    <d v="2014-11-28T00:00:00"/>
    <n v="1.2375032274539732E-2"/>
    <x v="1"/>
  </r>
  <r>
    <x v="186"/>
    <x v="5"/>
    <s v="CHF_S1a"/>
    <n v="25083508.142660901"/>
    <n v="1526337.2540439072"/>
    <n v="31.4"/>
    <n v="0"/>
    <n v="0"/>
    <n v="0"/>
    <n v="16.433791467910631"/>
    <n v="0"/>
    <n v="0"/>
    <n v="0"/>
    <n v="0"/>
    <s v="Private Equity Fund"/>
    <n v="3.5833381912730208E-2"/>
    <n v="1.3173307500000042E-2"/>
    <n v="3.4950084573890603E-4"/>
    <n v="0"/>
    <m/>
    <m/>
    <m/>
    <m/>
    <m/>
    <m/>
    <m/>
    <m/>
    <m/>
    <m/>
    <m/>
    <d v="2014-12-31T00:00:00"/>
    <n v="-6.6038074044560968E-3"/>
    <x v="1"/>
  </r>
  <r>
    <x v="187"/>
    <x v="5"/>
    <s v="CHF_S1a"/>
    <n v="28166791.91"/>
    <n v="1559608.4698766458"/>
    <n v="29.65"/>
    <n v="2482400"/>
    <n v="0"/>
    <n v="0"/>
    <n v="18.060168596178372"/>
    <n v="2482400"/>
    <n v="0"/>
    <n v="2482400"/>
    <n v="2482400"/>
    <s v="Private Equity Fund"/>
    <n v="5.0291263894687799E-2"/>
    <n v="4.0546282500000003E-2"/>
    <n v="0"/>
    <n v="0"/>
    <m/>
    <m/>
    <m/>
    <m/>
    <m/>
    <m/>
    <m/>
    <m/>
    <m/>
    <m/>
    <m/>
    <d v="2015-01-30T00:00:00"/>
    <n v="2.3955332082004288E-2"/>
    <x v="1"/>
  </r>
  <r>
    <x v="188"/>
    <x v="5"/>
    <s v="CHF_S1a"/>
    <n v="28389786.66"/>
    <n v="1571955.7937021381"/>
    <n v="29.65"/>
    <n v="0"/>
    <n v="0"/>
    <n v="0"/>
    <n v="18.060168596178372"/>
    <n v="0"/>
    <n v="0"/>
    <n v="0"/>
    <n v="0"/>
    <s v="Private Equity Fund"/>
    <n v="5.2595888685421199E-2"/>
    <n v="5.6029820250000022E-2"/>
    <n v="0"/>
    <n v="0"/>
    <m/>
    <m/>
    <m/>
    <m/>
    <m/>
    <m/>
    <m/>
    <m/>
    <m/>
    <m/>
    <m/>
    <d v="2015-02-27T00:00:00"/>
    <n v="7.9169381700452401E-3"/>
    <x v="1"/>
  </r>
  <r>
    <x v="189"/>
    <x v="5"/>
    <s v="CHF_S1a"/>
    <n v="29883548.75"/>
    <n v="1601547.793783807"/>
    <n v="29.65"/>
    <n v="941600"/>
    <n v="0"/>
    <n v="0"/>
    <n v="18.659167628958055"/>
    <n v="941600"/>
    <n v="0"/>
    <n v="941600"/>
    <n v="941600"/>
    <s v="Private Equity Fund"/>
    <n v="7.3847029761967997E-2"/>
    <n v="0.18079215509999996"/>
    <n v="1.65574174547086E-3"/>
    <n v="7.5470659562139103E-4"/>
    <m/>
    <m/>
    <m/>
    <m/>
    <m/>
    <m/>
    <m/>
    <m/>
    <m/>
    <m/>
    <m/>
    <d v="2015-03-31T00:00:00"/>
    <n v="1.9449321568096645E-2"/>
    <x v="1"/>
  </r>
  <r>
    <x v="190"/>
    <x v="5"/>
    <s v="CHF_S1a"/>
    <n v="32360591.469999995"/>
    <n v="1715868.5038894208"/>
    <n v="29.65"/>
    <n v="321000"/>
    <n v="0"/>
    <n v="0"/>
    <n v="18.859598737692941"/>
    <n v="321000"/>
    <n v="0"/>
    <n v="321000"/>
    <n v="321000"/>
    <s v="Private Equity Fund"/>
    <n v="6.6601732655277995E-2"/>
    <n v="0.77697664154999957"/>
    <n v="0"/>
    <n v="0"/>
    <m/>
    <m/>
    <m/>
    <m/>
    <m/>
    <m/>
    <m/>
    <m/>
    <m/>
    <m/>
    <m/>
    <d v="2015-04-30T00:00:00"/>
    <n v="7.2148148736852935E-2"/>
    <x v="1"/>
  </r>
  <r>
    <x v="191"/>
    <x v="5"/>
    <s v="CHF_S1a"/>
    <n v="33026978.780000001"/>
    <n v="1751202.6230967483"/>
    <n v="29.65"/>
    <n v="0"/>
    <n v="0"/>
    <n v="0"/>
    <n v="18.859598737692941"/>
    <n v="0"/>
    <n v="0"/>
    <n v="0"/>
    <n v="0"/>
    <s v="Private Equity Fund"/>
    <n v="7.0410888600164007E-2"/>
    <n v="0.86488644609999987"/>
    <n v="0"/>
    <n v="0"/>
    <m/>
    <m/>
    <m/>
    <m/>
    <m/>
    <m/>
    <m/>
    <m/>
    <m/>
    <m/>
    <m/>
    <d v="2015-05-29T00:00:00"/>
    <n v="2.0592556555024233E-2"/>
    <x v="1"/>
  </r>
  <r>
    <x v="192"/>
    <x v="5"/>
    <s v="CHF_S1a"/>
    <n v="32953550"/>
    <n v="1747309.1797090452"/>
    <n v="29.65"/>
    <n v="0"/>
    <n v="0"/>
    <n v="0"/>
    <n v="18.859598737692941"/>
    <n v="0"/>
    <n v="0"/>
    <n v="0"/>
    <n v="0"/>
    <s v="Private Equity Fund"/>
    <n v="7.1638458715270997E-2"/>
    <n v="0.74071833634999973"/>
    <n v="2.1613581122426999E-3"/>
    <n v="1.7844698538790399E-3"/>
    <m/>
    <m/>
    <m/>
    <m/>
    <m/>
    <m/>
    <m/>
    <m/>
    <m/>
    <m/>
    <m/>
    <d v="2015-06-30T00:00:00"/>
    <n v="-2.2232969139903691E-3"/>
    <x v="1"/>
  </r>
  <r>
    <x v="193"/>
    <x v="5"/>
    <s v="CHF_S1a"/>
    <n v="32455827.480000004"/>
    <n v="1720918.2407011413"/>
    <n v="29.65"/>
    <n v="0"/>
    <n v="0"/>
    <n v="0"/>
    <n v="18.859598737692941"/>
    <n v="0"/>
    <n v="0"/>
    <n v="0"/>
    <n v="0"/>
    <s v="Private Equity Fund"/>
    <n v="8.0384212948106007E-2"/>
    <n v="0.58249043209999984"/>
    <n v="0"/>
    <n v="0"/>
    <m/>
    <m/>
    <m/>
    <m/>
    <m/>
    <m/>
    <m/>
    <m/>
    <m/>
    <m/>
    <m/>
    <d v="2015-07-31T00:00:00"/>
    <n v="-1.5103760292896951E-2"/>
    <x v="1"/>
  </r>
  <r>
    <x v="194"/>
    <x v="5"/>
    <s v="CHF_S1a"/>
    <n v="31918760.91"/>
    <n v="1692441.1464919937"/>
    <n v="29.65"/>
    <n v="0"/>
    <n v="0"/>
    <n v="0"/>
    <n v="18.859598737692941"/>
    <n v="0"/>
    <n v="0"/>
    <n v="0"/>
    <n v="0"/>
    <s v="Private Equity Fund"/>
    <n v="7.7928565940158998E-2"/>
    <n v="0.42374165515000006"/>
    <n v="0"/>
    <n v="0"/>
    <m/>
    <m/>
    <m/>
    <m/>
    <m/>
    <m/>
    <m/>
    <m/>
    <m/>
    <m/>
    <m/>
    <d v="2015-08-31T00:00:00"/>
    <n v="-1.6547615996879372E-2"/>
    <x v="1"/>
  </r>
  <r>
    <x v="195"/>
    <x v="5"/>
    <s v="CHF_S1a"/>
    <n v="32058201.579999994"/>
    <n v="1699834.7645609353"/>
    <n v="29.65"/>
    <n v="0"/>
    <n v="0"/>
    <n v="0"/>
    <n v="18.859598737692941"/>
    <n v="0"/>
    <n v="0"/>
    <n v="0"/>
    <n v="0"/>
    <s v="Private Equity Fund"/>
    <n v="7.7458067181946005E-2"/>
    <n v="0.44912747364999994"/>
    <n v="3.9496571137065698E-3"/>
    <n v="1.16917083479527E-3"/>
    <m/>
    <m/>
    <m/>
    <m/>
    <m/>
    <m/>
    <m/>
    <m/>
    <m/>
    <m/>
    <m/>
    <d v="2015-09-30T00:00:00"/>
    <n v="4.368611626033081E-3"/>
    <x v="1"/>
  </r>
  <r>
    <x v="196"/>
    <x v="5"/>
    <s v="CHF_S1a"/>
    <n v="32942558.859999999"/>
    <n v="1746726.392124173"/>
    <n v="29.65"/>
    <n v="0"/>
    <n v="0"/>
    <n v="0"/>
    <n v="18.859598737692941"/>
    <n v="0"/>
    <n v="0"/>
    <n v="0"/>
    <n v="0"/>
    <s v="Private Equity Fund"/>
    <n v="7.8762006662963707E-2"/>
    <n v="0.71197127599999976"/>
    <n v="0"/>
    <n v="0"/>
    <m/>
    <m/>
    <m/>
    <m/>
    <m/>
    <m/>
    <m/>
    <m/>
    <m/>
    <m/>
    <m/>
    <d v="2015-10-30T00:00:00"/>
    <n v="2.7585991615690864E-2"/>
    <x v="1"/>
  </r>
  <r>
    <x v="1"/>
    <x v="5"/>
    <s v="CHF_S1a"/>
    <n v="32928287.529999997"/>
    <n v="1745969.6777211523"/>
    <n v="29.65"/>
    <n v="0"/>
    <n v="0"/>
    <n v="0"/>
    <n v="18.859598737692941"/>
    <n v="0"/>
    <n v="0"/>
    <n v="0"/>
    <n v="0"/>
    <s v="Private Equity Fund"/>
    <n v="9.0907669999999996E-2"/>
    <n v="0.69671716540000006"/>
    <n v="0"/>
    <n v="0"/>
    <m/>
    <m/>
    <m/>
    <m/>
    <m/>
    <m/>
    <m/>
    <m/>
    <m/>
    <m/>
    <m/>
    <d v="2015-11-30T00:00:00"/>
    <n v="-4.332186233817481E-4"/>
    <x v="1"/>
  </r>
  <r>
    <x v="2"/>
    <x v="5"/>
    <s v="CHF_S1a"/>
    <n v="33029479.899999999"/>
    <n v="1751335.2409766291"/>
    <n v="29.65"/>
    <n v="0"/>
    <n v="0"/>
    <n v="0"/>
    <n v="18.859598737692941"/>
    <n v="0"/>
    <n v="0"/>
    <n v="0"/>
    <n v="0"/>
    <s v="Private Equity Fund"/>
    <n v="8.9176745141277297E-2"/>
    <n v="0.71960480625000001"/>
    <n v="5.2254257511467304E-3"/>
    <n v="1.9003521976907599E-3"/>
    <m/>
    <m/>
    <m/>
    <m/>
    <m/>
    <m/>
    <m/>
    <m/>
    <m/>
    <m/>
    <m/>
    <d v="2015-12-31T00:00:00"/>
    <n v="3.0731136536574777E-3"/>
    <x v="1"/>
  </r>
  <r>
    <x v="3"/>
    <x v="5"/>
    <s v="CHF_S1a"/>
    <n v="32641619.800000001"/>
    <n v="1730769.5807314396"/>
    <n v="29.65"/>
    <n v="0"/>
    <n v="0"/>
    <n v="0"/>
    <n v="18.859598737692941"/>
    <n v="0"/>
    <n v="0"/>
    <n v="0"/>
    <n v="0"/>
    <s v="Private Equity Fund"/>
    <n v="8.0473602740569306E-2"/>
    <n v="0.71960480625000001"/>
    <n v="0"/>
    <n v="0"/>
    <m/>
    <m/>
    <m/>
    <m/>
    <m/>
    <m/>
    <m/>
    <m/>
    <m/>
    <m/>
    <m/>
    <d v="2016-01-29T00:00:00"/>
    <n v="-1.1742846123350525E-2"/>
    <x v="1"/>
  </r>
  <r>
    <x v="4"/>
    <x v="5"/>
    <s v="CHF_S1a"/>
    <n v="33219222.809999999"/>
    <n v="1761396.05471074"/>
    <n v="29.65"/>
    <n v="0"/>
    <n v="0"/>
    <n v="0"/>
    <n v="18.859598737692941"/>
    <n v="0"/>
    <n v="0"/>
    <n v="0"/>
    <n v="0"/>
    <s v="Private Equity Fund"/>
    <n v="0.105368399215298"/>
    <n v="0.78766958470000048"/>
    <n v="0"/>
    <n v="0"/>
    <m/>
    <m/>
    <m/>
    <m/>
    <m/>
    <m/>
    <m/>
    <m/>
    <m/>
    <m/>
    <m/>
    <d v="2016-02-29T00:00:00"/>
    <n v="1.7695292498933979E-2"/>
    <x v="1"/>
  </r>
  <r>
    <x v="5"/>
    <x v="5"/>
    <s v="CHF_S1a"/>
    <n v="33815648.039999999"/>
    <n v="1793020.5467423748"/>
    <n v="29.65"/>
    <n v="0"/>
    <n v="0"/>
    <n v="0"/>
    <n v="18.859598737692941"/>
    <n v="0"/>
    <n v="0"/>
    <n v="0"/>
    <n v="0"/>
    <s v="Private Equity Fund"/>
    <n v="0.12579417458966569"/>
    <n v="0.89243120444999979"/>
    <n v="8.3756631936899705E-3"/>
    <n v="3.1544602762288427E-3"/>
    <m/>
    <m/>
    <m/>
    <m/>
    <m/>
    <m/>
    <m/>
    <m/>
    <m/>
    <m/>
    <m/>
    <d v="2016-03-31T00:00:00"/>
    <n v="1.7954219862737375E-2"/>
    <x v="1"/>
  </r>
  <r>
    <x v="6"/>
    <x v="5"/>
    <s v="CHF_S1a"/>
    <n v="34374314.149999999"/>
    <n v="1822642.9219461188"/>
    <n v="29.65"/>
    <n v="0"/>
    <n v="0"/>
    <n v="0"/>
    <n v="18.859598737692941"/>
    <n v="0"/>
    <n v="0"/>
    <n v="0"/>
    <n v="0"/>
    <s v="Private Equity Fund"/>
    <n v="0.11105236282941799"/>
    <n v="1.0783258878499995"/>
    <n v="0"/>
    <n v="0"/>
    <m/>
    <m/>
    <m/>
    <m/>
    <m/>
    <m/>
    <m/>
    <m/>
    <m/>
    <m/>
    <m/>
    <d v="2016-04-29T00:00:00"/>
    <n v="1.6520934608118765E-2"/>
    <x v="1"/>
  </r>
  <r>
    <x v="7"/>
    <x v="5"/>
    <s v="CHF_S1a"/>
    <n v="35043688.940000005"/>
    <n v="1858135.4474929213"/>
    <n v="29.65"/>
    <n v="0"/>
    <n v="0"/>
    <n v="0"/>
    <n v="18.859598737692941"/>
    <n v="0"/>
    <n v="0"/>
    <n v="0"/>
    <n v="0"/>
    <s v="Private Equity Fund"/>
    <n v="0.1267221"/>
    <n v="1.3177194056000003"/>
    <n v="0"/>
    <n v="0"/>
    <m/>
    <m/>
    <m/>
    <m/>
    <m/>
    <m/>
    <m/>
    <m/>
    <m/>
    <m/>
    <m/>
    <d v="2016-05-31T00:00:00"/>
    <n v="1.9473109691121149E-2"/>
    <x v="1"/>
  </r>
  <r>
    <x v="8"/>
    <x v="5"/>
    <s v="CHF_S1a"/>
    <n v="36239688.419999994"/>
    <n v="1921551.4032952923"/>
    <n v="29.65"/>
    <n v="0"/>
    <n v="0"/>
    <n v="0"/>
    <n v="18.859598737692941"/>
    <n v="0"/>
    <n v="0"/>
    <n v="0"/>
    <n v="0"/>
    <s v="Private Equity Fund"/>
    <n v="0.122919215285926"/>
    <n v="1.6005225211"/>
    <n v="1.0830792825554299E-2"/>
    <n v="8.0552343872943299E-3"/>
    <m/>
    <m/>
    <m/>
    <m/>
    <m/>
    <m/>
    <m/>
    <m/>
    <m/>
    <m/>
    <m/>
    <d v="2016-06-30T00:00:00"/>
    <n v="3.4128812239137218E-2"/>
    <x v="1"/>
  </r>
  <r>
    <x v="9"/>
    <x v="5"/>
    <s v="CHF_S1a"/>
    <n v="36415493.780000001"/>
    <n v="1930873.2007759905"/>
    <n v="29.65"/>
    <n v="0"/>
    <n v="0"/>
    <n v="0"/>
    <n v="18.859598737692941"/>
    <n v="0"/>
    <n v="0"/>
    <n v="0"/>
    <n v="0"/>
    <s v="Private Equity Fund"/>
    <n v="0.11598075767429"/>
    <n v="1.7714104123500001"/>
    <n v="0"/>
    <n v="0"/>
    <m/>
    <m/>
    <m/>
    <m/>
    <m/>
    <m/>
    <m/>
    <m/>
    <m/>
    <m/>
    <m/>
    <d v="2016-07-29T00:00:00"/>
    <n v="4.8511829892825542E-3"/>
    <x v="1"/>
  </r>
  <r>
    <x v="10"/>
    <x v="5"/>
    <s v="CHF_S1a"/>
    <n v="36415493.780000001"/>
    <n v="1930873.2007759905"/>
    <n v="29.65"/>
    <n v="0"/>
    <n v="0"/>
    <n v="0"/>
    <n v="18.859598737692941"/>
    <n v="0"/>
    <n v="0"/>
    <n v="0"/>
    <n v="0"/>
    <s v="Private Equity Fund"/>
    <n v="0.132175368947997"/>
    <n v="1.7225015678"/>
    <n v="0"/>
    <n v="0"/>
    <m/>
    <m/>
    <m/>
    <m/>
    <m/>
    <m/>
    <m/>
    <m/>
    <m/>
    <m/>
    <m/>
    <d v="2016-08-31T00:00:00"/>
    <n v="0"/>
    <x v="1"/>
  </r>
  <r>
    <x v="11"/>
    <x v="5"/>
    <s v="CHF_S1a"/>
    <n v="38138053.659999996"/>
    <n v="2022209.1779597083"/>
    <n v="29.65"/>
    <n v="0"/>
    <n v="0"/>
    <n v="0"/>
    <n v="18.859598737692941"/>
    <n v="0"/>
    <n v="0"/>
    <n v="0"/>
    <n v="0"/>
    <s v="Private Equity Fund"/>
    <n v="0.13390901384676199"/>
    <n v="2.3253418314499998"/>
    <n v="8.14509610451844E-3"/>
    <n v="1.9635656748106401E-2"/>
    <m/>
    <m/>
    <m/>
    <m/>
    <m/>
    <m/>
    <m/>
    <m/>
    <m/>
    <m/>
    <m/>
    <d v="2016-09-30T00:00:00"/>
    <n v="4.7302938974455255E-2"/>
    <x v="1"/>
  </r>
  <r>
    <x v="12"/>
    <x v="5"/>
    <s v="CHF_S1a"/>
    <n v="39252399.119999997"/>
    <n v="2081295.5602045681"/>
    <n v="29.65"/>
    <n v="0"/>
    <n v="0"/>
    <n v="0"/>
    <n v="18.859598737692941"/>
    <n v="0"/>
    <n v="0"/>
    <n v="0"/>
    <n v="0"/>
    <s v="Private Equity Fund"/>
    <n v="0.13279840000000001"/>
    <n v="2.8169656940000003"/>
    <n v="0"/>
    <n v="0"/>
    <m/>
    <m/>
    <m/>
    <m/>
    <m/>
    <m/>
    <m/>
    <m/>
    <m/>
    <m/>
    <m/>
    <d v="2016-10-31T00:00:00"/>
    <n v="2.9218729144763644E-2"/>
    <x v="1"/>
  </r>
  <r>
    <x v="13"/>
    <x v="5"/>
    <s v="CHF_S1a"/>
    <n v="39252399.119999997"/>
    <n v="2081295.5602045681"/>
    <n v="29.65"/>
    <n v="0"/>
    <n v="0"/>
    <n v="0"/>
    <n v="18.859598737692941"/>
    <n v="0"/>
    <n v="0"/>
    <n v="0"/>
    <n v="0"/>
    <s v="Private Equity Fund"/>
    <n v="0.12929867533436298"/>
    <n v="2.9160986075499999"/>
    <n v="0"/>
    <n v="0"/>
    <m/>
    <m/>
    <m/>
    <m/>
    <m/>
    <m/>
    <m/>
    <m/>
    <m/>
    <m/>
    <m/>
    <d v="2016-11-30T00:00:00"/>
    <n v="0"/>
    <x v="1"/>
  </r>
  <r>
    <x v="14"/>
    <x v="5"/>
    <s v="CHF_S1a"/>
    <n v="39228419.93"/>
    <n v="2080024.1020821813"/>
    <n v="29.65"/>
    <n v="0"/>
    <n v="0"/>
    <n v="0"/>
    <n v="18.859598737692941"/>
    <n v="0"/>
    <n v="0"/>
    <n v="0"/>
    <n v="0"/>
    <s v="Private Equity Fund"/>
    <n v="0.14625836942770601"/>
    <n v="2.8408196464760298"/>
    <n v="8.14509610451844E-3"/>
    <n v="3.0328195401804498E-2"/>
    <m/>
    <m/>
    <m/>
    <m/>
    <m/>
    <m/>
    <m/>
    <m/>
    <m/>
    <m/>
    <m/>
    <d v="2016-12-30T00:00:00"/>
    <n v="-6.1089743652842365E-4"/>
    <x v="1"/>
  </r>
  <r>
    <x v="15"/>
    <x v="5"/>
    <s v="CHF_S1a"/>
    <n v="39772314.300000004"/>
    <n v="2108863.2294445769"/>
    <n v="29.65"/>
    <n v="0"/>
    <n v="0"/>
    <n v="0"/>
    <n v="18.859598737692941"/>
    <n v="0"/>
    <n v="0"/>
    <n v="0"/>
    <n v="0"/>
    <s v="Private Equity Fund"/>
    <n v="0.13843012327705501"/>
    <n v="3.0757721821499997"/>
    <n v="0"/>
    <n v="0"/>
    <m/>
    <m/>
    <m/>
    <m/>
    <m/>
    <m/>
    <m/>
    <m/>
    <m/>
    <m/>
    <m/>
    <d v="2017-01-27T00:00:00"/>
    <n v="1.3864804419105869E-2"/>
    <x v="1"/>
  </r>
  <r>
    <x v="16"/>
    <x v="5"/>
    <s v="CHF_S1a"/>
    <n v="41583673.660000004"/>
    <n v="2204907.6567514953"/>
    <n v="29.65"/>
    <n v="0"/>
    <n v="0"/>
    <n v="0"/>
    <n v="18.859598737692941"/>
    <n v="0"/>
    <n v="0"/>
    <n v="0"/>
    <n v="0"/>
    <s v="Private Equity Fund"/>
    <n v="0.16910341435044501"/>
    <n v="3.7449375961500002"/>
    <n v="0"/>
    <n v="0"/>
    <m/>
    <m/>
    <m/>
    <m/>
    <m/>
    <m/>
    <m/>
    <m/>
    <m/>
    <m/>
    <m/>
    <d v="2017-02-28T00:00:00"/>
    <n v="4.5543222512450132E-2"/>
    <x v="1"/>
  </r>
  <r>
    <x v="17"/>
    <x v="5"/>
    <s v="CHF_S1a"/>
    <n v="41289529.060000002"/>
    <n v="2189311.1107119382"/>
    <n v="29.65"/>
    <n v="0"/>
    <n v="0"/>
    <n v="0"/>
    <n v="18.859598737692941"/>
    <n v="0"/>
    <n v="0"/>
    <n v="0"/>
    <n v="0"/>
    <s v="Private Equity Fund"/>
    <n v="0.15382000000000001"/>
    <n v="3.507736"/>
    <n v="1.3324000000000001E-2"/>
    <n v="3.0629E-2"/>
    <m/>
    <m/>
    <m/>
    <m/>
    <m/>
    <m/>
    <m/>
    <m/>
    <m/>
    <m/>
    <m/>
    <d v="2017-03-31T00:00:00"/>
    <n v="-7.0735597437834308E-3"/>
    <x v="1"/>
  </r>
  <r>
    <x v="18"/>
    <x v="5"/>
    <s v="CHF_S1a"/>
    <n v="41165407.509999998"/>
    <n v="2182729.7644316521"/>
    <n v="29.65"/>
    <n v="0"/>
    <n v="0"/>
    <n v="0"/>
    <n v="18.859598737692941"/>
    <n v="0"/>
    <n v="0"/>
    <n v="0"/>
    <n v="0"/>
    <s v="Private Equity Fund"/>
    <n v="0.14174078000000001"/>
    <n v="3.5220046800000002"/>
    <n v="0"/>
    <n v="0"/>
    <m/>
    <m/>
    <m/>
    <m/>
    <m/>
    <m/>
    <m/>
    <m/>
    <m/>
    <m/>
    <m/>
    <d v="2017-04-28T00:00:00"/>
    <n v="-3.0061265610377141E-3"/>
    <x v="1"/>
  </r>
  <r>
    <x v="19"/>
    <x v="5"/>
    <s v="CHF_S1a"/>
    <n v="39936127.310000002"/>
    <n v="2117549.1517846212"/>
    <n v="29.65"/>
    <n v="0"/>
    <n v="0"/>
    <n v="0"/>
    <n v="18.859598737692941"/>
    <n v="0"/>
    <n v="0"/>
    <n v="0"/>
    <n v="0"/>
    <s v="Private Equity Fund"/>
    <n v="0.16524702366001204"/>
    <n v="3.3823965622499998"/>
    <n v="0"/>
    <n v="0"/>
    <m/>
    <m/>
    <m/>
    <m/>
    <m/>
    <m/>
    <m/>
    <m/>
    <m/>
    <m/>
    <m/>
    <d v="2017-05-31T00:00:00"/>
    <n v="-2.9861970872057442E-2"/>
    <x v="1"/>
  </r>
  <r>
    <x v="20"/>
    <x v="5"/>
    <s v="CHF_S1a"/>
    <n v="41439987.240000002"/>
    <n v="2197288.9145927439"/>
    <n v="29.65"/>
    <n v="0"/>
    <n v="0"/>
    <n v="0"/>
    <n v="18.859598737692941"/>
    <n v="0"/>
    <n v="0"/>
    <n v="0"/>
    <n v="0"/>
    <s v="Private Equity Fund"/>
    <n v="6.3254392679975957E-2"/>
    <n v="3.7692040000000002"/>
    <n v="2.3259999999999999E-3"/>
    <n v="6.2541029623037106E-2"/>
    <m/>
    <m/>
    <m/>
    <m/>
    <m/>
    <m/>
    <m/>
    <m/>
    <m/>
    <m/>
    <m/>
    <d v="2017-06-30T00:00:00"/>
    <n v="3.7656629004771736E-2"/>
    <x v="1"/>
  </r>
  <r>
    <x v="21"/>
    <x v="5"/>
    <s v="CHF_S1a"/>
    <n v="42553230.669999994"/>
    <n v="2256316.8634628886"/>
    <n v="29.65"/>
    <n v="0"/>
    <n v="0"/>
    <n v="0"/>
    <n v="18.859598737692941"/>
    <n v="0"/>
    <n v="0"/>
    <n v="0"/>
    <n v="0"/>
    <s v="Private Equity Fund"/>
    <n v="0.16219930999999999"/>
    <n v="4.1644473949999998"/>
    <n v="0"/>
    <n v="0"/>
    <m/>
    <m/>
    <m/>
    <m/>
    <m/>
    <m/>
    <m/>
    <m/>
    <m/>
    <m/>
    <m/>
    <d v="2017-07-31T00:00:00"/>
    <n v="2.6863990655996872E-2"/>
    <x v="1"/>
  </r>
  <r>
    <x v="22"/>
    <x v="5"/>
    <s v="CHF_S1a"/>
    <n v="42825242.350000001"/>
    <n v="2270739.8468881068"/>
    <n v="29.65"/>
    <n v="0"/>
    <n v="0"/>
    <n v="0"/>
    <n v="18.859598737692941"/>
    <n v="0"/>
    <n v="0"/>
    <n v="0"/>
    <n v="0"/>
    <s v="Private Equity Fund"/>
    <n v="0.16290069000000001"/>
    <n v="4.1874000000000002"/>
    <n v="0"/>
    <n v="0"/>
    <m/>
    <m/>
    <m/>
    <m/>
    <m/>
    <m/>
    <m/>
    <m/>
    <m/>
    <m/>
    <m/>
    <d v="2017-08-31T00:00:00"/>
    <n v="6.392268594350714E-3"/>
    <x v="1"/>
  </r>
  <r>
    <x v="23"/>
    <x v="5"/>
    <s v="CHF_S1a"/>
    <n v="42655889.466184251"/>
    <n v="2261760.1816167943"/>
    <n v="29.65"/>
    <n v="0"/>
    <n v="0"/>
    <n v="0"/>
    <n v="18.859598737692941"/>
    <n v="0"/>
    <n v="0"/>
    <n v="0"/>
    <n v="0"/>
    <s v="Private Equity Fund"/>
    <n v="0.14739999999999998"/>
    <n v="4.1554502600000003"/>
    <n v="1.4379701819813E-2"/>
    <n v="7.0865736510435109E-2"/>
    <m/>
    <m/>
    <m/>
    <m/>
    <m/>
    <m/>
    <m/>
    <m/>
    <m/>
    <m/>
    <m/>
    <d v="2017-09-29T00:00:00"/>
    <n v="-3.9545108100421666E-3"/>
    <x v="1"/>
  </r>
  <r>
    <x v="24"/>
    <x v="5"/>
    <s v="CHF_S1a"/>
    <n v="42726425.919999994"/>
    <n v="2265500.2640436152"/>
    <n v="29.65"/>
    <n v="0"/>
    <n v="0"/>
    <n v="0"/>
    <n v="18.859598737692941"/>
    <n v="0"/>
    <n v="0"/>
    <n v="0"/>
    <n v="0"/>
    <s v="Private Equity Fund"/>
    <n v="0.16900536999999999"/>
    <n v="4.3480566300000003"/>
    <n v="0"/>
    <n v="0"/>
    <m/>
    <m/>
    <m/>
    <m/>
    <m/>
    <m/>
    <m/>
    <m/>
    <m/>
    <m/>
    <m/>
    <d v="2017-10-31T00:00:00"/>
    <n v="1.6536158241797771E-3"/>
    <x v="1"/>
  </r>
  <r>
    <x v="25"/>
    <x v="5"/>
    <s v="CHF_S1a"/>
    <n v="42879879.289999999"/>
    <n v="2273636.8830742901"/>
    <n v="29.65"/>
    <n v="0"/>
    <n v="0"/>
    <n v="0"/>
    <n v="18.859598737692941"/>
    <n v="0"/>
    <n v="0"/>
    <n v="0"/>
    <n v="0"/>
    <s v="Private Equity Fund"/>
    <n v="0.15866278"/>
    <n v="4.34058206"/>
    <n v="0"/>
    <n v="0"/>
    <m/>
    <m/>
    <m/>
    <m/>
    <m/>
    <m/>
    <m/>
    <m/>
    <m/>
    <m/>
    <m/>
    <d v="2017-11-30T00:00:00"/>
    <n v="3.5915330312750182E-3"/>
    <x v="1"/>
  </r>
  <r>
    <x v="26"/>
    <x v="5"/>
    <s v="CHF_S1a"/>
    <n v="44164800"/>
    <n v="2341767.7445985046"/>
    <n v="29.65"/>
    <n v="0"/>
    <n v="-7.4505805969238281E-9"/>
    <n v="0"/>
    <n v="18.859598737692941"/>
    <n v="-7.4505805969238281E-9"/>
    <n v="0"/>
    <n v="-7.4505805969238281E-9"/>
    <n v="-7.4505805969238281E-9"/>
    <s v="Private Equity Fund"/>
    <n v="0.18145"/>
    <n v="5.4838778599999998"/>
    <n v="1.5841000000000001E-2"/>
    <n v="0.129771"/>
    <m/>
    <m/>
    <m/>
    <m/>
    <m/>
    <m/>
    <m/>
    <m/>
    <m/>
    <m/>
    <m/>
    <d v="2017-12-29T00:00:00"/>
    <n v="2.9965585987544063E-2"/>
    <x v="1"/>
  </r>
  <r>
    <x v="27"/>
    <x v="5"/>
    <s v="CHF_S1a"/>
    <n v="44515800"/>
    <n v="2360378.9571105973"/>
    <n v="29.65"/>
    <n v="0"/>
    <n v="0"/>
    <n v="0"/>
    <n v="18.859598737692941"/>
    <n v="0"/>
    <n v="0"/>
    <n v="0"/>
    <n v="0"/>
    <s v="Private Equity Fund"/>
    <n v="0.1878348"/>
    <n v="5.8919093199999999"/>
    <n v="0"/>
    <n v="0"/>
    <m/>
    <m/>
    <m/>
    <m/>
    <m/>
    <m/>
    <m/>
    <m/>
    <m/>
    <m/>
    <m/>
    <d v="2018-01-31T00:00:00"/>
    <n v="7.9475057059015253E-3"/>
    <x v="1"/>
  </r>
  <r>
    <x v="28"/>
    <x v="5"/>
    <s v="CHF_S1a"/>
    <n v="45075151.25"/>
    <n v="2390037.6607648842"/>
    <n v="29.65"/>
    <n v="0"/>
    <n v="0"/>
    <n v="0"/>
    <n v="18.859598737692941"/>
    <n v="0"/>
    <n v="0"/>
    <n v="0"/>
    <n v="0"/>
    <s v="Private Equity Fund"/>
    <n v="0.14811841000000001"/>
    <n v="5.8751034400000002"/>
    <n v="0"/>
    <n v="0"/>
    <m/>
    <m/>
    <m/>
    <m/>
    <m/>
    <m/>
    <m/>
    <m/>
    <m/>
    <m/>
    <m/>
    <d v="2018-02-28T00:00:00"/>
    <n v="1.2565229648798804E-2"/>
    <x v="1"/>
  </r>
  <r>
    <x v="29"/>
    <x v="5"/>
    <s v="CHF_S1a"/>
    <n v="45667423.57"/>
    <n v="2421441.9513989305"/>
    <n v="29.65"/>
    <n v="0"/>
    <n v="0"/>
    <n v="0"/>
    <n v="18.859598737692941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1.3139663508062061E-2"/>
    <x v="1"/>
  </r>
  <r>
    <x v="30"/>
    <x v="5"/>
    <s v="CHF_S1a"/>
    <n v="46059111.229999997"/>
    <n v="2442210.5618793415"/>
    <n v="29.65"/>
    <n v="0"/>
    <n v="0"/>
    <n v="0"/>
    <n v="18.859598737692941"/>
    <n v="0"/>
    <n v="0"/>
    <n v="0"/>
    <n v="0"/>
    <s v="Private Equity Fund"/>
    <n v="0"/>
    <n v="0"/>
    <n v="0"/>
    <n v="0"/>
    <m/>
    <m/>
    <m/>
    <m/>
    <m/>
    <m/>
    <m/>
    <m/>
    <m/>
    <m/>
    <m/>
    <d v="2018-04-30T00:00:00"/>
    <n v="8.5769598847547091E-3"/>
    <x v="1"/>
  </r>
  <r>
    <x v="31"/>
    <x v="5"/>
    <s v="CHF_S1a"/>
    <n v="46401099.969999999"/>
    <n v="2460343.9667707458"/>
    <n v="29.65"/>
    <n v="0"/>
    <n v="0"/>
    <n v="0"/>
    <n v="18.859598737692941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7.4249965070374291E-3"/>
    <x v="1"/>
  </r>
  <r>
    <x v="32"/>
    <x v="5"/>
    <s v="CHF_S1a"/>
    <n v="46936244.099999994"/>
    <n v="2488719.1266796598"/>
    <n v="29.65"/>
    <n v="0"/>
    <n v="0"/>
    <n v="0"/>
    <n v="18.859598737692941"/>
    <n v="0"/>
    <n v="0"/>
    <n v="-46936244.099999994"/>
    <n v="-46936244.099999994"/>
    <s v="Private Equity Fund"/>
    <n v="0"/>
    <n v="0"/>
    <n v="0"/>
    <n v="0"/>
    <m/>
    <m/>
    <m/>
    <m/>
    <m/>
    <m/>
    <m/>
    <m/>
    <m/>
    <m/>
    <m/>
    <d v="2018-06-29T00:00:00"/>
    <n v="1.1533005259487084E-2"/>
    <x v="1"/>
  </r>
  <r>
    <x v="33"/>
    <x v="5"/>
    <s v="CHF_S1a"/>
    <n v="46936244.099999994"/>
    <n v="2488719.1266796598"/>
    <n v="29.65"/>
    <n v="0"/>
    <n v="0"/>
    <n v="0"/>
    <n v="18.859598737692941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38"/>
    <x v="5"/>
    <s v="CHF_S1b"/>
    <n v="1715000"/>
    <n v="1715000"/>
    <n v="5"/>
    <n v="1715000"/>
    <n v="0"/>
    <n v="0"/>
    <n v="1"/>
    <n v="1715000"/>
    <n v="1715000"/>
    <n v="1715000"/>
    <n v="1715000"/>
    <s v="Private Equity Fund"/>
    <n v="0"/>
    <n v="0"/>
    <n v="0"/>
    <n v="0"/>
    <m/>
    <m/>
    <m/>
    <m/>
    <m/>
    <m/>
    <m/>
    <m/>
    <m/>
    <m/>
    <m/>
    <d v="2013-12-31T00:00:00"/>
    <n v="0"/>
    <x v="1"/>
  </r>
  <r>
    <x v="39"/>
    <x v="5"/>
    <s v="CHF_S1b"/>
    <n v="1710131.5"/>
    <n v="1710131.5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2.8387755102040613E-3"/>
    <x v="1"/>
  </r>
  <r>
    <x v="40"/>
    <x v="5"/>
    <s v="CHF_S1b"/>
    <n v="1708806.15"/>
    <n v="1708806.15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7.7499888166498998E-4"/>
    <x v="1"/>
  </r>
  <r>
    <x v="41"/>
    <x v="5"/>
    <s v="CHF_S1b"/>
    <n v="1709258.43"/>
    <n v="1709258.43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3-31T00:00:00"/>
    <n v="2.646760137188231E-4"/>
    <x v="1"/>
  </r>
  <r>
    <x v="42"/>
    <x v="5"/>
    <s v="CHF_S1b"/>
    <n v="1665599.58113848"/>
    <n v="1665599.58113848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2.5542567522407911E-2"/>
    <x v="1"/>
  </r>
  <r>
    <x v="43"/>
    <x v="5"/>
    <s v="CHF_S1b"/>
    <n v="1660287.48951636"/>
    <n v="1660287.48951636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-3.1892969248281666E-3"/>
    <x v="1"/>
  </r>
  <r>
    <x v="44"/>
    <x v="5"/>
    <s v="CHF_S1b"/>
    <n v="1667302.73"/>
    <n v="1667302.73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4.2253167164945094E-3"/>
    <x v="1"/>
  </r>
  <r>
    <x v="45"/>
    <x v="5"/>
    <s v="CHF_S1b"/>
    <n v="1701679.49"/>
    <n v="1701679.49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2.0618187316228997E-2"/>
    <x v="1"/>
  </r>
  <r>
    <x v="46"/>
    <x v="5"/>
    <s v="CHF_S1b"/>
    <n v="2838902.21"/>
    <n v="1715105.2088190101"/>
    <n v="5"/>
    <n v="1115000"/>
    <n v="0"/>
    <n v="0"/>
    <n v="1.6552350231358786"/>
    <n v="1115000"/>
    <n v="0"/>
    <n v="1115000"/>
    <n v="1115000"/>
    <s v="Private Equity Fund"/>
    <n v="0"/>
    <n v="0"/>
    <n v="0"/>
    <n v="0"/>
    <m/>
    <m/>
    <m/>
    <m/>
    <m/>
    <m/>
    <m/>
    <m/>
    <m/>
    <m/>
    <m/>
    <d v="2014-08-29T00:00:00"/>
    <n v="1.3059286505239687E-2"/>
    <x v="1"/>
  </r>
  <r>
    <x v="47"/>
    <x v="5"/>
    <s v="CHF_S1b"/>
    <n v="2774774.36"/>
    <n v="1676362.7649342085"/>
    <n v="5"/>
    <n v="0"/>
    <n v="0"/>
    <n v="0"/>
    <n v="1.6552350231358786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2588960540490088E-2"/>
    <x v="1"/>
  </r>
  <r>
    <x v="184"/>
    <x v="5"/>
    <s v="CHF_S1b"/>
    <n v="3592667.11"/>
    <n v="1663809.058531425"/>
    <n v="5"/>
    <n v="845000"/>
    <n v="0"/>
    <n v="0"/>
    <n v="2.1593025302861961"/>
    <n v="845000"/>
    <n v="0"/>
    <n v="845000"/>
    <n v="845000"/>
    <s v="Private Equity Fund"/>
    <n v="0"/>
    <n v="0"/>
    <n v="0"/>
    <n v="0"/>
    <m/>
    <m/>
    <m/>
    <m/>
    <m/>
    <m/>
    <m/>
    <m/>
    <m/>
    <m/>
    <m/>
    <d v="2014-10-31T00:00:00"/>
    <n v="-9.7691727265347694E-3"/>
    <x v="1"/>
  </r>
  <r>
    <x v="185"/>
    <x v="5"/>
    <s v="CHF_S1b"/>
    <n v="3628168.53"/>
    <n v="1680250.2100153232"/>
    <n v="5"/>
    <n v="0"/>
    <n v="0"/>
    <n v="0"/>
    <n v="2.1593025302861961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9.8816335922644605E-3"/>
    <x v="1"/>
  </r>
  <r>
    <x v="186"/>
    <x v="5"/>
    <s v="CHF_S1b"/>
    <n v="3612168.47"/>
    <n v="1672840.3821771282"/>
    <n v="5"/>
    <n v="0"/>
    <n v="0"/>
    <n v="0"/>
    <n v="2.1593025302861961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4.4099550138592125E-3"/>
    <x v="1"/>
  </r>
  <r>
    <x v="187"/>
    <x v="5"/>
    <s v="CHF_S1b"/>
    <n v="4283262.28"/>
    <n v="1709190.4012722268"/>
    <n v="5"/>
    <n v="580000"/>
    <n v="0"/>
    <n v="0"/>
    <n v="2.5060182158826638"/>
    <n v="580000"/>
    <n v="0"/>
    <n v="580000"/>
    <n v="580000"/>
    <s v="Private Equity Fund"/>
    <n v="0"/>
    <n v="0"/>
    <n v="0"/>
    <n v="0"/>
    <m/>
    <m/>
    <m/>
    <m/>
    <m/>
    <m/>
    <m/>
    <m/>
    <m/>
    <m/>
    <m/>
    <d v="2015-01-30T00:00:00"/>
    <n v="2.5218593971061409E-2"/>
    <x v="1"/>
  </r>
  <r>
    <x v="188"/>
    <x v="5"/>
    <s v="CHF_S1b"/>
    <n v="4391115.97"/>
    <n v="1724052.6262978078"/>
    <n v="5"/>
    <n v="70000"/>
    <n v="0"/>
    <n v="0"/>
    <n v="2.5469732785532102"/>
    <n v="70000"/>
    <n v="0"/>
    <n v="70000"/>
    <n v="70000"/>
    <s v="Private Equity Fund"/>
    <n v="0"/>
    <n v="0"/>
    <n v="0"/>
    <n v="0"/>
    <m/>
    <m/>
    <m/>
    <m/>
    <m/>
    <m/>
    <m/>
    <m/>
    <m/>
    <m/>
    <m/>
    <d v="2015-02-27T00:00:00"/>
    <n v="8.8375839548167079E-3"/>
    <x v="1"/>
  </r>
  <r>
    <x v="189"/>
    <x v="5"/>
    <s v="CHF_S1b"/>
    <n v="4767176.66"/>
    <n v="1763282.3327282742"/>
    <n v="5"/>
    <n v="270000"/>
    <n v="0"/>
    <n v="0"/>
    <n v="2.7035810269952005"/>
    <n v="270000"/>
    <n v="0"/>
    <n v="270000"/>
    <n v="270000"/>
    <s v="Private Equity Fund"/>
    <n v="0"/>
    <n v="0"/>
    <n v="0"/>
    <n v="0"/>
    <m/>
    <m/>
    <m/>
    <m/>
    <m/>
    <m/>
    <m/>
    <m/>
    <m/>
    <m/>
    <m/>
    <d v="2015-03-31T00:00:00"/>
    <n v="2.4153470490099638E-2"/>
    <x v="1"/>
  </r>
  <r>
    <x v="190"/>
    <x v="5"/>
    <s v="CHF_S1b"/>
    <n v="5113303.4800000004"/>
    <n v="1891307.6504620246"/>
    <n v="5"/>
    <n v="0"/>
    <n v="0"/>
    <n v="0"/>
    <n v="2.7035810269952005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7.2606249922359867E-2"/>
    <x v="1"/>
  </r>
  <r>
    <x v="191"/>
    <x v="5"/>
    <s v="CHF_S1b"/>
    <n v="5221944.75"/>
    <n v="1931491.8612976603"/>
    <n v="5"/>
    <n v="0"/>
    <n v="0"/>
    <n v="0"/>
    <n v="2.7035810269952005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2.1246787018399216E-2"/>
    <x v="1"/>
  </r>
  <r>
    <x v="192"/>
    <x v="5"/>
    <s v="CHF_S1b"/>
    <n v="5180495.08"/>
    <n v="1916160.4657943905"/>
    <n v="5"/>
    <n v="0"/>
    <n v="0"/>
    <n v="0"/>
    <n v="2.7035810269952005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7.9375925990025076E-3"/>
    <x v="1"/>
  </r>
  <r>
    <x v="193"/>
    <x v="5"/>
    <s v="CHF_S1b"/>
    <n v="5503461.46"/>
    <n v="1888018.0044264002"/>
    <n v="5"/>
    <n v="405000"/>
    <n v="0"/>
    <n v="0"/>
    <n v="2.9149411960570841"/>
    <n v="405000"/>
    <n v="0"/>
    <n v="405000"/>
    <n v="405000"/>
    <s v="Private Equity Fund"/>
    <n v="0"/>
    <n v="0"/>
    <n v="0"/>
    <n v="0"/>
    <m/>
    <m/>
    <m/>
    <m/>
    <m/>
    <m/>
    <m/>
    <m/>
    <m/>
    <m/>
    <m/>
    <d v="2015-07-31T00:00:00"/>
    <n v="-1.5835092734032719E-2"/>
    <x v="1"/>
  </r>
  <r>
    <x v="194"/>
    <x v="5"/>
    <s v="CHF_S1b"/>
    <n v="5419781.8099999996"/>
    <n v="1859310.855852291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5204912509735324E-2"/>
    <x v="1"/>
  </r>
  <r>
    <x v="195"/>
    <x v="5"/>
    <s v="CHF_S1b"/>
    <n v="5439797.1500000004"/>
    <n v="1866177.320269163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693015826406576E-3"/>
    <x v="1"/>
  </r>
  <r>
    <x v="196"/>
    <x v="5"/>
    <s v="CHF_S1b"/>
    <n v="5583165.0199999996"/>
    <n v="1915361.1151923432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6355370622597407E-2"/>
    <x v="1"/>
  </r>
  <r>
    <x v="1"/>
    <x v="5"/>
    <s v="CHF_S1b"/>
    <n v="5574337.6500000004"/>
    <n v="1912332.796812562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1.581069154928727E-3"/>
    <x v="1"/>
  </r>
  <r>
    <x v="2"/>
    <x v="5"/>
    <s v="CHF_S1b"/>
    <n v="5615713.2599999998"/>
    <n v="1926527.117458195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7.4225159288654474E-3"/>
    <x v="1"/>
  </r>
  <r>
    <x v="3"/>
    <x v="5"/>
    <s v="CHF_S1b"/>
    <n v="5554342.1500000004"/>
    <n v="1905473.1387079509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0928462184338739E-2"/>
    <x v="1"/>
  </r>
  <r>
    <x v="4"/>
    <x v="5"/>
    <s v="CHF_S1b"/>
    <n v="5657600.8499999996"/>
    <n v="1940897.078010628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8590626434491275E-2"/>
    <x v="1"/>
  </r>
  <r>
    <x v="5"/>
    <x v="5"/>
    <s v="CHF_S1b"/>
    <n v="5761592.0899999999"/>
    <n v="1976572.3225543823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8380801819909198E-2"/>
    <x v="1"/>
  </r>
  <r>
    <x v="6"/>
    <x v="5"/>
    <s v="CHF_S1b"/>
    <n v="5836690.6399999997"/>
    <n v="2002335.638157998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303433995793335E-2"/>
    <x v="1"/>
  </r>
  <r>
    <x v="7"/>
    <x v="5"/>
    <s v="CHF_S1b"/>
    <n v="5990345.0099999998"/>
    <n v="2055048.320735554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2.6325597753455776E-2"/>
    <x v="1"/>
  </r>
  <r>
    <x v="8"/>
    <x v="5"/>
    <s v="CHF_S1b"/>
    <n v="6188571.9100000001"/>
    <n v="2123052.0596336611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3091065651325469E-2"/>
    <x v="1"/>
  </r>
  <r>
    <x v="9"/>
    <x v="5"/>
    <s v="CHF_S1b"/>
    <n v="6239692.8099999996"/>
    <n v="2140589.600380331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8.2605325983842182E-3"/>
    <x v="1"/>
  </r>
  <r>
    <x v="10"/>
    <x v="5"/>
    <s v="CHF_S1b"/>
    <n v="6229363.5899999999"/>
    <n v="2137046.0571987499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1.655405212167782E-3"/>
    <x v="1"/>
  </r>
  <r>
    <x v="11"/>
    <x v="5"/>
    <s v="CHF_S1b"/>
    <n v="6528370.7300000004"/>
    <n v="2239623.4746795739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4.7999628803172989E-2"/>
    <x v="1"/>
  </r>
  <r>
    <x v="12"/>
    <x v="5"/>
    <s v="CHF_S1b"/>
    <n v="6756982.9299999997"/>
    <n v="2318051.1974443533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5018262512184206E-2"/>
    <x v="1"/>
  </r>
  <r>
    <x v="13"/>
    <x v="5"/>
    <s v="CHF_S1b"/>
    <n v="6792676.2999999998"/>
    <n v="2330296.1683028671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5.2824419374402076E-3"/>
    <x v="1"/>
  </r>
  <r>
    <x v="14"/>
    <x v="5"/>
    <s v="CHF_S1b"/>
    <n v="6739588.5099999998"/>
    <n v="2312083.8660883973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7.8154452906875616E-3"/>
    <x v="1"/>
  </r>
  <r>
    <x v="15"/>
    <x v="5"/>
    <s v="CHF_S1b"/>
    <n v="6837463.5599999996"/>
    <n v="2345660.8899173485"/>
    <n v="5"/>
    <n v="0"/>
    <n v="-9.3132257461547852E-10"/>
    <n v="0"/>
    <n v="2.9149411960570841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1-27T00:00:00"/>
    <n v="1.452240739249544E-2"/>
    <x v="1"/>
  </r>
  <r>
    <x v="16"/>
    <x v="5"/>
    <s v="CHF_S1b"/>
    <n v="7144092.5800000001"/>
    <n v="2450853.070265536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4.4845433881917529E-2"/>
    <x v="1"/>
  </r>
  <r>
    <x v="17"/>
    <x v="5"/>
    <s v="CHF_S1b"/>
    <n v="7072450.0800000001"/>
    <n v="2426275.3874989315"/>
    <n v="5"/>
    <n v="0"/>
    <n v="-9.3132257461547852E-10"/>
    <n v="0"/>
    <n v="2.9149411960570841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3-31T00:00:00"/>
    <n v="-1.0028215507811744E-2"/>
    <x v="1"/>
  </r>
  <r>
    <x v="18"/>
    <x v="5"/>
    <s v="CHF_S1b"/>
    <n v="7039290.3599999994"/>
    <n v="2414899.6108469511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4.6885760415293909E-3"/>
    <x v="1"/>
  </r>
  <r>
    <x v="19"/>
    <x v="5"/>
    <s v="CHF_S1b"/>
    <n v="6852835.1900000004"/>
    <n v="2350934.282746264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6487779373260412E-2"/>
    <x v="1"/>
  </r>
  <r>
    <x v="20"/>
    <x v="5"/>
    <s v="CHF_S1b"/>
    <n v="7108090.79"/>
    <n v="2438502.2928129081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7248174357451536E-2"/>
    <x v="1"/>
  </r>
  <r>
    <x v="21"/>
    <x v="5"/>
    <s v="CHF_S1b"/>
    <n v="7281360.5"/>
    <n v="2497944.215769835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4376406424600594E-2"/>
    <x v="1"/>
  </r>
  <r>
    <x v="22"/>
    <x v="5"/>
    <s v="CHF_S1b"/>
    <n v="7341500"/>
    <n v="2518575.6782780155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8.2593768019039171E-3"/>
    <x v="1"/>
  </r>
  <r>
    <x v="23"/>
    <x v="5"/>
    <s v="CHF_S1b"/>
    <n v="7288776.1186818518"/>
    <n v="2500488.2186100585"/>
    <n v="5"/>
    <n v="0"/>
    <n v="-9.3132257461547852E-10"/>
    <n v="0"/>
    <n v="2.9149411960570841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9-29T00:00:00"/>
    <n v="-7.1816224638217019E-3"/>
    <x v="1"/>
  </r>
  <r>
    <x v="24"/>
    <x v="5"/>
    <s v="CHF_S1b"/>
    <n v="7327900"/>
    <n v="2513910.0610029926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5.3676887149640695E-3"/>
    <x v="1"/>
  </r>
  <r>
    <x v="25"/>
    <x v="5"/>
    <s v="CHF_S1b"/>
    <n v="7354300"/>
    <n v="2522966.8474780368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3.6026692503992042E-3"/>
    <x v="1"/>
  </r>
  <r>
    <x v="26"/>
    <x v="5"/>
    <s v="CHF_S1b"/>
    <n v="7565000"/>
    <n v="2595249.6092315177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2.8649905497464045E-2"/>
    <x v="1"/>
  </r>
  <r>
    <x v="27"/>
    <x v="5"/>
    <s v="CHF_S1b"/>
    <n v="7650400"/>
    <n v="2624546.9412379116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1288830138797001E-2"/>
    <x v="1"/>
  </r>
  <r>
    <x v="28"/>
    <x v="5"/>
    <s v="CHF_S1b"/>
    <n v="7735560.9000000004"/>
    <n v="2653762.2475758898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113156174840535E-2"/>
    <x v="1"/>
  </r>
  <r>
    <x v="29"/>
    <x v="5"/>
    <s v="CHF_S1b"/>
    <n v="7809241.6600000001"/>
    <n v="2679039.1760091856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9.5249408481807851E-3"/>
    <x v="1"/>
  </r>
  <r>
    <x v="30"/>
    <x v="5"/>
    <s v="CHF_S1b"/>
    <n v="7874016.6100000003"/>
    <n v="2701260.8764289464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8-04-30T00:00:00"/>
    <n v="8.2946530303686927E-3"/>
    <x v="1"/>
  </r>
  <r>
    <x v="31"/>
    <x v="5"/>
    <s v="CHF_S1b"/>
    <n v="7931624.7199999997"/>
    <n v="2721023.9200464035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7.3162291690922476E-3"/>
    <x v="1"/>
  </r>
  <r>
    <x v="32"/>
    <x v="5"/>
    <s v="CHF_S1b"/>
    <n v="8016238.8499999996"/>
    <n v="2750051.6514169211"/>
    <n v="5"/>
    <n v="0"/>
    <n v="0"/>
    <n v="0"/>
    <n v="2.9149411960570841"/>
    <n v="0"/>
    <n v="0"/>
    <n v="-8016238.8499999996"/>
    <n v="-8016238.8499999996"/>
    <s v="Private Equity Fund"/>
    <n v="0"/>
    <n v="0"/>
    <n v="0"/>
    <n v="0"/>
    <m/>
    <m/>
    <m/>
    <m/>
    <m/>
    <m/>
    <m/>
    <m/>
    <m/>
    <m/>
    <m/>
    <d v="2018-06-29T00:00:00"/>
    <n v="1.0667944209039604E-2"/>
    <x v="1"/>
  </r>
  <r>
    <x v="33"/>
    <x v="5"/>
    <s v="CHF_S1b"/>
    <n v="8016238.8499999996"/>
    <n v="2750051.6514169211"/>
    <n v="5"/>
    <n v="0"/>
    <n v="0"/>
    <n v="0"/>
    <n v="2.9149411960570841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36"/>
    <x v="5"/>
    <s v="CHF_S1GP"/>
    <n v="150000"/>
    <n v="150000"/>
    <n v="3"/>
    <n v="150000"/>
    <m/>
    <n v="0"/>
    <n v="1"/>
    <n v="150000"/>
    <n v="150000"/>
    <n v="150000"/>
    <n v="1.0000000000000001E-5"/>
    <s v="Private Equity Fund"/>
    <n v="0"/>
    <n v="0"/>
    <n v="0"/>
    <n v="0"/>
    <m/>
    <m/>
    <m/>
    <m/>
    <m/>
    <m/>
    <m/>
    <m/>
    <m/>
    <m/>
    <m/>
    <d v="2013-10-31T00:00:00"/>
    <n v="0"/>
    <x v="1"/>
  </r>
  <r>
    <x v="37"/>
    <x v="5"/>
    <s v="CHF_S1GP"/>
    <n v="146963.66"/>
    <n v="146963.66"/>
    <n v="3"/>
    <n v="0"/>
    <m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-2.024226666666662E-2"/>
    <x v="1"/>
  </r>
  <r>
    <x v="38"/>
    <x v="5"/>
    <s v="CHF_S1GP"/>
    <n v="317887.63669999997"/>
    <n v="157318.67851501534"/>
    <n v="3"/>
    <n v="150000"/>
    <m/>
    <n v="0"/>
    <n v="2.0206604816455984"/>
    <n v="150000"/>
    <n v="0"/>
    <n v="150000"/>
    <m/>
    <s v="Private Equity Fund"/>
    <n v="0"/>
    <n v="0"/>
    <n v="0"/>
    <n v="0"/>
    <m/>
    <m/>
    <m/>
    <m/>
    <m/>
    <m/>
    <m/>
    <m/>
    <m/>
    <m/>
    <m/>
    <d v="2013-12-31T00:00:00"/>
    <n v="0.14237517424375512"/>
    <x v="1"/>
  </r>
  <r>
    <x v="39"/>
    <x v="5"/>
    <s v="CHF_S1GP"/>
    <n v="1319084.58"/>
    <n v="155107.67667080727"/>
    <n v="3"/>
    <n v="1020000"/>
    <m/>
    <n v="0"/>
    <n v="8.5043152493319774"/>
    <n v="1020000"/>
    <n v="0"/>
    <n v="1020000"/>
    <m/>
    <s v="Private Equity Fund"/>
    <n v="0"/>
    <n v="0"/>
    <n v="0"/>
    <n v="0"/>
    <m/>
    <m/>
    <m/>
    <m/>
    <m/>
    <m/>
    <m/>
    <m/>
    <m/>
    <m/>
    <m/>
    <d v="2014-01-30T00:00:00"/>
    <n v="-5.9150009403306614E-2"/>
    <x v="1"/>
  </r>
  <r>
    <x v="40"/>
    <x v="5"/>
    <s v="CHF_S1GP"/>
    <n v="1323026.46"/>
    <n v="155571.19194328139"/>
    <n v="3"/>
    <n v="0"/>
    <m/>
    <n v="0"/>
    <n v="8.5043152493319774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2.9883451446304221E-3"/>
    <x v="1"/>
  </r>
  <r>
    <x v="41"/>
    <x v="5"/>
    <s v="CHF_S1GP"/>
    <n v="1326941.6547999999"/>
    <n v="156031.56937346983"/>
    <n v="3"/>
    <n v="0"/>
    <m/>
    <n v="0"/>
    <n v="8.5043152493319774"/>
    <n v="0"/>
    <n v="0"/>
    <n v="0"/>
    <m/>
    <s v="Private Equity Fund"/>
    <n v="0"/>
    <n v="0"/>
    <n v="0"/>
    <n v="0"/>
    <m/>
    <m/>
    <m/>
    <m/>
    <m/>
    <m/>
    <m/>
    <m/>
    <m/>
    <m/>
    <m/>
    <d v="2014-03-31T00:00:00"/>
    <n v="2.9592717291533344E-3"/>
    <x v="1"/>
  </r>
  <r>
    <x v="42"/>
    <x v="5"/>
    <s v="CHF_S1GP"/>
    <n v="1285097.1943944299"/>
    <n v="151111.18963932758"/>
    <n v="3"/>
    <n v="0"/>
    <m/>
    <n v="0"/>
    <n v="8.5043152493319774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-3.1534514162099181E-2"/>
    <x v="1"/>
  </r>
  <r>
    <x v="43"/>
    <x v="5"/>
    <s v="CHF_S1GP"/>
    <n v="1288476.21"/>
    <n v="151508.51917221802"/>
    <n v="3"/>
    <n v="0"/>
    <m/>
    <n v="0"/>
    <n v="8.5043152493319774"/>
    <n v="0"/>
    <n v="0"/>
    <n v="0"/>
    <m/>
    <s v="Private Equity Fund"/>
    <n v="0"/>
    <n v="0"/>
    <n v="0"/>
    <n v="0"/>
    <m/>
    <m/>
    <m/>
    <m/>
    <m/>
    <m/>
    <m/>
    <m/>
    <m/>
    <m/>
    <m/>
    <d v="2014-05-30T00:00:00"/>
    <n v="2.6293852482981439E-3"/>
    <x v="1"/>
  </r>
  <r>
    <x v="44"/>
    <x v="5"/>
    <s v="CHF_S1GP"/>
    <n v="1281756.1399999999"/>
    <n v="150718.32386513226"/>
    <n v="3"/>
    <n v="0"/>
    <m/>
    <n v="0"/>
    <n v="8.5043152493319774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-5.2155173280227229E-3"/>
    <x v="1"/>
  </r>
  <r>
    <x v="45"/>
    <x v="5"/>
    <s v="CHF_S1GP"/>
    <n v="1310185.48"/>
    <n v="154061.25497322273"/>
    <n v="3"/>
    <n v="0"/>
    <m/>
    <n v="0"/>
    <n v="8.5043152493319774"/>
    <n v="0"/>
    <n v="0"/>
    <n v="0"/>
    <m/>
    <s v="Private Equity Fund"/>
    <n v="0"/>
    <n v="0"/>
    <n v="0"/>
    <n v="0"/>
    <m/>
    <m/>
    <m/>
    <m/>
    <m/>
    <m/>
    <m/>
    <m/>
    <m/>
    <m/>
    <m/>
    <d v="2014-07-31T00:00:00"/>
    <n v="2.2179991273535204E-2"/>
    <x v="1"/>
  </r>
  <r>
    <x v="46"/>
    <x v="5"/>
    <s v="CHF_S1GP"/>
    <n v="1960050.6895000001"/>
    <n v="155398.3766055624"/>
    <n v="3"/>
    <n v="633000"/>
    <m/>
    <n v="0"/>
    <n v="12.613070562989659"/>
    <n v="633000"/>
    <n v="0"/>
    <n v="633000"/>
    <m/>
    <s v="Private Equity Fund"/>
    <n v="0"/>
    <n v="0"/>
    <n v="0"/>
    <n v="0"/>
    <m/>
    <m/>
    <m/>
    <m/>
    <m/>
    <m/>
    <m/>
    <m/>
    <m/>
    <m/>
    <m/>
    <d v="2014-08-29T00:00:00"/>
    <n v="1.2872383152956468E-2"/>
    <x v="1"/>
  </r>
  <r>
    <x v="47"/>
    <x v="5"/>
    <s v="CHF_S1GP"/>
    <n v="1900953.38"/>
    <n v="150712.97433140018"/>
    <n v="3"/>
    <n v="0"/>
    <m/>
    <n v="0"/>
    <n v="12.613070562989659"/>
    <n v="0"/>
    <n v="0"/>
    <n v="0"/>
    <m/>
    <s v="Private Equity Fund"/>
    <n v="0"/>
    <n v="0"/>
    <n v="0"/>
    <n v="0"/>
    <m/>
    <m/>
    <m/>
    <m/>
    <m/>
    <m/>
    <m/>
    <m/>
    <m/>
    <m/>
    <m/>
    <d v="2014-09-30T00:00:00"/>
    <n v="-3.0150908757913597E-2"/>
    <x v="1"/>
  </r>
  <r>
    <x v="184"/>
    <x v="5"/>
    <s v="CHF_S1GP"/>
    <n v="2367955.6800000002"/>
    <n v="148209.53203742398"/>
    <n v="3"/>
    <n v="507000"/>
    <m/>
    <n v="0"/>
    <n v="15.977080876296636"/>
    <n v="507000"/>
    <n v="0"/>
    <n v="507000"/>
    <m/>
    <s v="Private Equity Fund"/>
    <n v="0"/>
    <n v="0"/>
    <n v="0"/>
    <n v="0"/>
    <m/>
    <m/>
    <m/>
    <m/>
    <m/>
    <m/>
    <m/>
    <m/>
    <m/>
    <m/>
    <m/>
    <d v="2014-10-31T00:00:00"/>
    <n v="-2.1040863190447956E-2"/>
    <x v="1"/>
  </r>
  <r>
    <x v="185"/>
    <x v="5"/>
    <s v="CHF_S1GP"/>
    <n v="2408646.9284999999"/>
    <n v="150756.38329361111"/>
    <n v="3"/>
    <n v="0"/>
    <m/>
    <n v="0"/>
    <n v="15.977080876296636"/>
    <n v="0"/>
    <n v="0"/>
    <n v="0"/>
    <m/>
    <s v="Private Equity Fund"/>
    <n v="0"/>
    <n v="0"/>
    <n v="0"/>
    <n v="0"/>
    <m/>
    <m/>
    <m/>
    <m/>
    <m/>
    <m/>
    <m/>
    <m/>
    <m/>
    <m/>
    <m/>
    <d v="2014-11-28T00:00:00"/>
    <n v="1.7184125887018231E-2"/>
    <x v="1"/>
  </r>
  <r>
    <x v="186"/>
    <x v="5"/>
    <s v="CHF_S1GP"/>
    <n v="2394687.2174999998"/>
    <n v="149882.649780707"/>
    <n v="3"/>
    <n v="0"/>
    <m/>
    <n v="0"/>
    <n v="15.977080876296636"/>
    <n v="0"/>
    <n v="0"/>
    <n v="0"/>
    <m/>
    <s v="Private Equity Fund"/>
    <n v="0"/>
    <n v="0"/>
    <n v="0"/>
    <n v="0"/>
    <m/>
    <m/>
    <m/>
    <m/>
    <m/>
    <m/>
    <m/>
    <m/>
    <m/>
    <m/>
    <m/>
    <d v="2014-12-31T00:00:00"/>
    <n v="-5.795665124192162E-3"/>
    <x v="1"/>
  </r>
  <r>
    <x v="187"/>
    <x v="5"/>
    <s v="CHF_S1GP"/>
    <n v="2827147.6724999999"/>
    <n v="154498.25330863066"/>
    <n v="3"/>
    <n v="348000"/>
    <m/>
    <n v="0"/>
    <n v="18.298897314084186"/>
    <n v="348000"/>
    <n v="0"/>
    <n v="348000"/>
    <m/>
    <s v="Private Equity Fund"/>
    <n v="0"/>
    <n v="0"/>
    <n v="0"/>
    <n v="0"/>
    <m/>
    <m/>
    <m/>
    <m/>
    <m/>
    <m/>
    <m/>
    <m/>
    <m/>
    <m/>
    <m/>
    <d v="2015-01-30T00:00:00"/>
    <n v="3.526993186532934E-2"/>
    <x v="1"/>
  </r>
  <r>
    <x v="188"/>
    <x v="5"/>
    <s v="CHF_S1GP"/>
    <n v="2864701.7703"/>
    <n v="156550.51346154686"/>
    <n v="3"/>
    <n v="0"/>
    <m/>
    <n v="0"/>
    <n v="18.298897314084186"/>
    <n v="0"/>
    <n v="0"/>
    <n v="0"/>
    <m/>
    <s v="Private Equity Fund"/>
    <n v="0"/>
    <n v="0"/>
    <n v="0"/>
    <n v="0"/>
    <m/>
    <m/>
    <m/>
    <m/>
    <m/>
    <m/>
    <m/>
    <m/>
    <m/>
    <m/>
    <m/>
    <d v="2015-02-27T00:00:00"/>
    <n v="1.3283387410319314E-2"/>
    <x v="1"/>
  </r>
  <r>
    <x v="189"/>
    <x v="5"/>
    <s v="CHF_S1GP"/>
    <n v="3185872.1850999999"/>
    <n v="166432.95350352308"/>
    <n v="3"/>
    <n v="132000"/>
    <m/>
    <n v="0"/>
    <n v="19.142075640882986"/>
    <n v="132000"/>
    <n v="0"/>
    <n v="132000"/>
    <m/>
    <s v="Private Equity Fund"/>
    <n v="0"/>
    <n v="0"/>
    <n v="0"/>
    <n v="0"/>
    <m/>
    <m/>
    <m/>
    <m/>
    <m/>
    <m/>
    <m/>
    <m/>
    <m/>
    <m/>
    <m/>
    <d v="2015-03-31T00:00:00"/>
    <n v="6.6034941843244432E-2"/>
    <x v="1"/>
  </r>
  <r>
    <x v="190"/>
    <x v="5"/>
    <s v="CHF_S1GP"/>
    <n v="4069761.0416000006"/>
    <n v="208678.07220394132"/>
    <n v="3"/>
    <n v="60000"/>
    <m/>
    <n v="0"/>
    <n v="19.502581170208522"/>
    <n v="60000"/>
    <n v="0"/>
    <n v="60000"/>
    <m/>
    <s v="Private Equity Fund"/>
    <n v="0"/>
    <n v="0"/>
    <n v="0"/>
    <n v="0"/>
    <m/>
    <m/>
    <m/>
    <m/>
    <m/>
    <m/>
    <m/>
    <m/>
    <m/>
    <m/>
    <m/>
    <d v="2015-04-30T00:00:00"/>
    <n v="0.25860700261399217"/>
    <x v="1"/>
  </r>
  <r>
    <x v="191"/>
    <x v="5"/>
    <s v="CHF_S1GP"/>
    <n v="4220792.3057000004"/>
    <n v="216422.24015698695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05-29T00:00:00"/>
    <n v="3.7110597540297663E-2"/>
    <x v="1"/>
  </r>
  <r>
    <x v="192"/>
    <x v="5"/>
    <s v="CHF_S1GP"/>
    <n v="4078696.8763999995"/>
    <n v="209136.25949320378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06-30T00:00:00"/>
    <n v="-3.3665581959128166E-2"/>
    <x v="1"/>
  </r>
  <r>
    <x v="193"/>
    <x v="5"/>
    <s v="CHF_S1GP"/>
    <n v="3865713.5321"/>
    <n v="198215.48226678488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07-31T00:00:00"/>
    <n v="-5.2218478292014203E-2"/>
    <x v="1"/>
  </r>
  <r>
    <x v="194"/>
    <x v="5"/>
    <s v="CHF_S1GP"/>
    <n v="3650081.2052000002"/>
    <n v="187158.87775797286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08-31T00:00:00"/>
    <n v="-5.5780731062826661E-2"/>
    <x v="1"/>
  </r>
  <r>
    <x v="195"/>
    <x v="5"/>
    <s v="CHF_S1GP"/>
    <n v="3689699.3336999998"/>
    <n v="189190.30775968562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09-30T00:00:00"/>
    <n v="1.085404030013315E-2"/>
    <x v="1"/>
  </r>
  <r>
    <x v="196"/>
    <x v="5"/>
    <s v="CHF_S1GP"/>
    <n v="4043769.9460000005"/>
    <n v="207345.37191298173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10-30T00:00:00"/>
    <n v="9.5961914583685415E-2"/>
    <x v="1"/>
  </r>
  <r>
    <x v="1"/>
    <x v="5"/>
    <s v="CHF_S1GP"/>
    <n v="3982468.3794999998"/>
    <n v="204202.11790137208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11-30T00:00:00"/>
    <n v="-1.5159508903477281E-2"/>
    <x v="1"/>
  </r>
  <r>
    <x v="2"/>
    <x v="5"/>
    <s v="CHF_S1GP"/>
    <n v="4061089.0263000005"/>
    <n v="208233.41232921422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5-12-31T00:00:00"/>
    <n v="1.97416876439509E-2"/>
    <x v="1"/>
  </r>
  <r>
    <x v="3"/>
    <x v="5"/>
    <s v="CHF_S1GP"/>
    <n v="3895394.3670999999"/>
    <n v="199737.37491991426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1-29T00:00:00"/>
    <n v="-4.0800548357090016E-2"/>
    <x v="1"/>
  </r>
  <r>
    <x v="4"/>
    <x v="5"/>
    <s v="CHF_S1GP"/>
    <n v="4134414.9668999999"/>
    <n v="211993.21929835581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2-29T00:00:00"/>
    <n v="6.1359794997584149E-2"/>
    <x v="1"/>
  </r>
  <r>
    <x v="5"/>
    <x v="5"/>
    <s v="CHF_S1GP"/>
    <n v="4314428.3945000004"/>
    <n v="221223.45533885402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3-31T00:00:00"/>
    <n v="4.3540241857961126E-2"/>
    <x v="1"/>
  </r>
  <r>
    <x v="6"/>
    <x v="5"/>
    <s v="CHF_S1GP"/>
    <n v="4549045.8778999997"/>
    <n v="233253.52876105276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5.437973746396807E-2"/>
    <x v="1"/>
  </r>
  <r>
    <x v="7"/>
    <x v="5"/>
    <s v="CHF_S1GP"/>
    <n v="4877021.4655999998"/>
    <n v="250070.56363646733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5-31T00:00:00"/>
    <n v="7.2097665423283219E-2"/>
    <x v="1"/>
  </r>
  <r>
    <x v="8"/>
    <x v="5"/>
    <s v="CHF_S1GP"/>
    <n v="5279719.1511000004"/>
    <n v="270718.99381016905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6-30T00:00:00"/>
    <n v="8.2570414819869598E-2"/>
    <x v="1"/>
  </r>
  <r>
    <x v="9"/>
    <x v="5"/>
    <s v="CHF_S1GP"/>
    <n v="5480885.3323999997"/>
    <n v="281033.84288293147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7-29T00:00:00"/>
    <n v="3.8101682218852018E-2"/>
    <x v="1"/>
  </r>
  <r>
    <x v="10"/>
    <x v="5"/>
    <s v="CHF_S1GP"/>
    <n v="5425331.6677999999"/>
    <n v="278185.31405922573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8-31T00:00:00"/>
    <n v="-1.0135892512035727E-2"/>
    <x v="1"/>
  </r>
  <r>
    <x v="11"/>
    <x v="5"/>
    <s v="CHF_S1GP"/>
    <n v="6208452.7115000002"/>
    <n v="318340.05239182495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09-30T00:00:00"/>
    <n v="0.14434528461143104"/>
    <x v="1"/>
  </r>
  <r>
    <x v="12"/>
    <x v="5"/>
    <s v="CHF_S1GP"/>
    <n v="6837924.6140000001"/>
    <n v="350616.39043171273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10-31T00:00:00"/>
    <n v="0.10138949779451822"/>
    <x v="1"/>
  </r>
  <r>
    <x v="13"/>
    <x v="5"/>
    <s v="CHF_S1GP"/>
    <n v="6956428.8748000003"/>
    <n v="356692.72770039301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11-30T00:00:00"/>
    <n v="1.7330442713184402E-2"/>
    <x v="1"/>
  </r>
  <r>
    <x v="14"/>
    <x v="5"/>
    <s v="CHF_S1GP"/>
    <n v="6774999.5607000003"/>
    <n v="347389.89170568145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6-12-30T00:00:00"/>
    <n v="-2.6080812061090253E-2"/>
    <x v="1"/>
  </r>
  <r>
    <x v="15"/>
    <x v="5"/>
    <s v="CHF_S1GP"/>
    <n v="7129025.3021999998"/>
    <n v="365542.6550968574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5.2254725380885603E-2"/>
    <x v="1"/>
  </r>
  <r>
    <x v="16"/>
    <x v="5"/>
    <s v="CHF_S1GP"/>
    <n v="7986363.4462000001"/>
    <n v="409502.89484756492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2-28T00:00:00"/>
    <n v="0.12026021898609729"/>
    <x v="1"/>
  </r>
  <r>
    <x v="17"/>
    <x v="5"/>
    <s v="CHF_S1GP"/>
    <n v="7714559.4543000003"/>
    <n v="395566.0733813275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3-31T00:00:00"/>
    <n v="-3.4033511463759769E-2"/>
    <x v="1"/>
  </r>
  <r>
    <x v="18"/>
    <x v="5"/>
    <s v="CHF_S1GP"/>
    <n v="7711987.9679999994"/>
    <n v="395434.21974218311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-3.3332898854876447E-4"/>
    <x v="1"/>
  </r>
  <r>
    <x v="19"/>
    <x v="5"/>
    <s v="CHF_S1GP"/>
    <n v="7453411.1123000002"/>
    <n v="382175.62317779643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-3.3529208911234565E-2"/>
    <x v="1"/>
  </r>
  <r>
    <x v="20"/>
    <x v="5"/>
    <s v="CHF_S1GP"/>
    <n v="7987115.8896000003"/>
    <n v="409541.47658161505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7.1605439342967925E-2"/>
    <x v="1"/>
  </r>
  <r>
    <x v="21"/>
    <x v="5"/>
    <s v="CHF_S1GP"/>
    <n v="8497206.1649999991"/>
    <n v="435696.4901640836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7-31T00:00:00"/>
    <n v="6.3864138501381396E-2"/>
    <x v="1"/>
  </r>
  <r>
    <x v="22"/>
    <x v="5"/>
    <s v="CHF_S1GP"/>
    <n v="8548900"/>
    <n v="438347.10520569491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6.0836272530291335E-3"/>
    <x v="1"/>
  </r>
  <r>
    <x v="23"/>
    <x v="5"/>
    <s v="CHF_S1GP"/>
    <n v="8497472.9574262202"/>
    <n v="435710.17001619609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-6.0156327216109862E-3"/>
    <x v="1"/>
  </r>
  <r>
    <x v="24"/>
    <x v="5"/>
    <s v="CHF_S1GP"/>
    <n v="8659000"/>
    <n v="443992.51178234769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1.9008832788648844E-2"/>
    <x v="1"/>
  </r>
  <r>
    <x v="25"/>
    <x v="5"/>
    <s v="CHF_S1GP"/>
    <n v="8678800"/>
    <n v="445007.76201139152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2.2866381799284685E-3"/>
    <x v="1"/>
  </r>
  <r>
    <x v="26"/>
    <x v="5"/>
    <s v="CHF_S1GP"/>
    <n v="9979700"/>
    <n v="511711.75307013461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0.14989399456146013"/>
    <x v="1"/>
  </r>
  <r>
    <x v="27"/>
    <x v="5"/>
    <s v="CHF_S1GP"/>
    <n v="10423200"/>
    <n v="534452.33269543445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4.444021363367634E-2"/>
    <x v="1"/>
  </r>
  <r>
    <x v="28"/>
    <x v="5"/>
    <s v="CHF_S1GP"/>
    <n v="10674736.699999999"/>
    <n v="547349.94341704692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2.4132387366643471E-2"/>
    <x v="1"/>
  </r>
  <r>
    <x v="29"/>
    <x v="5"/>
    <s v="CHF_S1GP"/>
    <n v="10930650.250600001"/>
    <n v="560471.97830907069"/>
    <n v="3"/>
    <n v="0"/>
    <m/>
    <n v="0"/>
    <n v="19.502581170208522"/>
    <n v="0"/>
    <n v="0"/>
    <n v="0"/>
    <m/>
    <s v="Private Equity Fund"/>
    <n v="0"/>
    <m/>
    <n v="0"/>
    <n v="0"/>
    <m/>
    <m/>
    <m/>
    <m/>
    <m/>
    <m/>
    <m/>
    <m/>
    <m/>
    <m/>
    <m/>
    <d v="2018-03-29T00:00:00"/>
    <n v="2.3973757647811844E-2"/>
    <x v="1"/>
  </r>
  <r>
    <x v="30"/>
    <x v="5"/>
    <s v="CHF_S1GP"/>
    <n v="11225271.3255"/>
    <n v="575578.75173196779"/>
    <n v="3"/>
    <n v="0"/>
    <m/>
    <n v="0"/>
    <n v="19.502581170208522"/>
    <n v="0"/>
    <n v="0"/>
    <n v="0"/>
    <m/>
    <s v="Private Equity Fund"/>
    <n v="0"/>
    <m/>
    <n v="0"/>
    <n v="0"/>
    <m/>
    <m/>
    <m/>
    <m/>
    <m/>
    <m/>
    <m/>
    <m/>
    <m/>
    <m/>
    <m/>
    <d v="2018-04-30T00:00:00"/>
    <n v="2.6953664068048111E-2"/>
    <x v="1"/>
  </r>
  <r>
    <x v="31"/>
    <x v="5"/>
    <s v="CHF_S1GP"/>
    <n v="11416671.114399999"/>
    <n v="585392.82645518309"/>
    <n v="3"/>
    <n v="0"/>
    <m/>
    <n v="0"/>
    <n v="19.502581170208522"/>
    <n v="0"/>
    <n v="0"/>
    <n v="0"/>
    <m/>
    <s v="Private Equity Fund"/>
    <n v="0"/>
    <m/>
    <n v="0"/>
    <n v="0"/>
    <m/>
    <m/>
    <m/>
    <m/>
    <m/>
    <m/>
    <m/>
    <m/>
    <m/>
    <m/>
    <m/>
    <d v="2018-05-31T00:00:00"/>
    <n v="1.7050793994190849E-2"/>
    <x v="1"/>
  </r>
  <r>
    <x v="32"/>
    <x v="5"/>
    <s v="CHF_S1GP"/>
    <n v="11511267.4134"/>
    <n v="590243.27666864009"/>
    <n v="3"/>
    <n v="0"/>
    <m/>
    <n v="0"/>
    <n v="19.502581170208522"/>
    <n v="0"/>
    <n v="0"/>
    <n v="-11511267.4134"/>
    <m/>
    <s v="Private Equity Fund"/>
    <n v="0"/>
    <n v="0"/>
    <n v="0"/>
    <n v="0"/>
    <m/>
    <m/>
    <m/>
    <m/>
    <m/>
    <m/>
    <m/>
    <m/>
    <m/>
    <m/>
    <m/>
    <d v="2018-06-29T00:00:00"/>
    <n v="8.2858039836748443E-3"/>
    <x v="1"/>
  </r>
  <r>
    <x v="33"/>
    <x v="5"/>
    <s v="CHF_S1GP"/>
    <n v="11511267.4134"/>
    <n v="590243.27666864009"/>
    <n v="3"/>
    <n v="0"/>
    <m/>
    <n v="0"/>
    <n v="19.502581170208522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36"/>
    <x v="5"/>
    <s v="CHF_S2"/>
    <n v="530000"/>
    <n v="530000"/>
    <n v="10.6"/>
    <n v="530000"/>
    <m/>
    <n v="0"/>
    <n v="1"/>
    <n v="530000"/>
    <n v="530000"/>
    <n v="530000"/>
    <n v="530000"/>
    <s v="Private Equity Fund"/>
    <n v="0"/>
    <n v="0"/>
    <n v="0"/>
    <n v="0"/>
    <m/>
    <m/>
    <m/>
    <m/>
    <m/>
    <m/>
    <m/>
    <m/>
    <m/>
    <m/>
    <m/>
    <d v="2013-10-31T00:00:00"/>
    <n v="0"/>
    <x v="1"/>
  </r>
  <r>
    <x v="37"/>
    <x v="5"/>
    <s v="CHF_S2"/>
    <n v="518631.39"/>
    <n v="518631.39"/>
    <n v="10.6"/>
    <n v="0"/>
    <m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1450207547169753E-2"/>
    <x v="1"/>
  </r>
  <r>
    <x v="38"/>
    <x v="5"/>
    <s v="CHF_S2"/>
    <n v="1105197.1065"/>
    <n v="535775.93340953754"/>
    <n v="10.6"/>
    <n v="551200"/>
    <m/>
    <n v="0"/>
    <n v="2.0627972209703698"/>
    <n v="551200"/>
    <n v="0"/>
    <n v="551200"/>
    <n v="551200"/>
    <s v="Private Equity Fund"/>
    <n v="0"/>
    <n v="0"/>
    <n v="0"/>
    <n v="0"/>
    <m/>
    <m/>
    <m/>
    <m/>
    <m/>
    <m/>
    <m/>
    <m/>
    <m/>
    <m/>
    <m/>
    <d v="2013-12-31T00:00:00"/>
    <n v="6.8190466643370806E-2"/>
    <x v="1"/>
  </r>
  <r>
    <x v="39"/>
    <x v="5"/>
    <s v="CHF_S2"/>
    <n v="4726343.17"/>
    <n v="531742.14903121477"/>
    <n v="10.6"/>
    <n v="3657000"/>
    <m/>
    <n v="0"/>
    <n v="8.888411758614513"/>
    <n v="3657000"/>
    <n v="0"/>
    <n v="3657000"/>
    <n v="3657000"/>
    <s v="Private Equity Fund"/>
    <n v="0"/>
    <n v="0"/>
    <n v="0"/>
    <n v="0"/>
    <m/>
    <m/>
    <m/>
    <m/>
    <m/>
    <m/>
    <m/>
    <m/>
    <m/>
    <m/>
    <m/>
    <d v="2014-01-30T00:00:00"/>
    <n v="-3.2441214593426082E-2"/>
    <x v="1"/>
  </r>
  <r>
    <x v="40"/>
    <x v="5"/>
    <s v="CHF_S2"/>
    <n v="4728777.5999999996"/>
    <n v="532016.03710774763"/>
    <n v="10.6"/>
    <n v="0"/>
    <m/>
    <n v="0"/>
    <n v="8.888411758614513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5.1507686015095366E-4"/>
    <x v="1"/>
  </r>
  <r>
    <x v="41"/>
    <x v="5"/>
    <s v="CHF_S2"/>
    <n v="4739082.6059999997"/>
    <n v="533175.41251472209"/>
    <n v="10.6"/>
    <n v="0"/>
    <m/>
    <n v="0"/>
    <n v="8.888411758614513"/>
    <n v="0"/>
    <n v="0"/>
    <n v="0"/>
    <n v="0"/>
    <s v="Private Equity Fund"/>
    <n v="0"/>
    <n v="0"/>
    <n v="0"/>
    <n v="0"/>
    <m/>
    <m/>
    <m/>
    <m/>
    <m/>
    <m/>
    <m/>
    <m/>
    <m/>
    <m/>
    <m/>
    <d v="2014-03-31T00:00:00"/>
    <n v="2.1792113885839015E-3"/>
    <x v="1"/>
  </r>
  <r>
    <x v="42"/>
    <x v="5"/>
    <s v="CHF_S2"/>
    <n v="4588830.3771351697"/>
    <n v="516271.12939358881"/>
    <n v="10.6"/>
    <n v="0"/>
    <m/>
    <n v="0"/>
    <n v="8.888411758614513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3.1704918727223808E-2"/>
    <x v="1"/>
  </r>
  <r>
    <x v="43"/>
    <x v="5"/>
    <s v="CHF_S2"/>
    <n v="4600754.8585462701"/>
    <n v="517612.70556433086"/>
    <n v="10.6"/>
    <n v="0"/>
    <m/>
    <n v="0"/>
    <n v="8.888411758614513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2.59858840512317E-3"/>
    <x v="1"/>
  </r>
  <r>
    <x v="44"/>
    <x v="5"/>
    <s v="CHF_S2"/>
    <n v="4565551.7699999996"/>
    <n v="513652.14551127615"/>
    <n v="10.6"/>
    <n v="0"/>
    <m/>
    <n v="0"/>
    <n v="8.888411758614513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7.6515897126919752E-3"/>
    <x v="1"/>
  </r>
  <r>
    <x v="45"/>
    <x v="5"/>
    <s v="CHF_S2"/>
    <n v="4660057.74"/>
    <n v="524284.63785822515"/>
    <n v="10.6"/>
    <n v="0"/>
    <m/>
    <n v="0"/>
    <n v="8.888411758614513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2.0699791561010095E-2"/>
    <x v="1"/>
  </r>
  <r>
    <x v="46"/>
    <x v="5"/>
    <s v="CHF_S2"/>
    <n v="6976515.1399999997"/>
    <n v="527114.75401087012"/>
    <n v="10.6"/>
    <n v="2279000"/>
    <m/>
    <n v="0"/>
    <n v="13.235287168334754"/>
    <n v="2279000"/>
    <n v="0"/>
    <n v="2279000"/>
    <n v="2279000"/>
    <s v="Private Equity Fund"/>
    <n v="0"/>
    <n v="0"/>
    <n v="0"/>
    <n v="0"/>
    <m/>
    <m/>
    <m/>
    <m/>
    <m/>
    <m/>
    <m/>
    <m/>
    <m/>
    <m/>
    <m/>
    <d v="2014-08-29T00:00:00"/>
    <n v="8.0379690746061883E-3"/>
    <x v="1"/>
  </r>
  <r>
    <x v="47"/>
    <x v="5"/>
    <s v="CHF_S2"/>
    <n v="6770088.3600000003"/>
    <n v="511518.05577723659"/>
    <n v="10.6"/>
    <n v="0"/>
    <m/>
    <n v="0"/>
    <n v="13.235287168334754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9588809865321863E-2"/>
    <x v="1"/>
  </r>
  <r>
    <x v="184"/>
    <x v="5"/>
    <s v="CHF_S2"/>
    <n v="8409436.1199999992"/>
    <n v="502433.48275547585"/>
    <n v="10.6"/>
    <n v="1791400"/>
    <m/>
    <n v="0"/>
    <n v="16.737411833861998"/>
    <n v="1791400"/>
    <n v="0"/>
    <n v="1791400"/>
    <n v="1791400"/>
    <s v="Private Equity Fund"/>
    <n v="0"/>
    <n v="0"/>
    <n v="0"/>
    <n v="0"/>
    <m/>
    <m/>
    <m/>
    <m/>
    <m/>
    <m/>
    <m/>
    <m/>
    <m/>
    <m/>
    <m/>
    <d v="2014-10-31T00:00:00"/>
    <n v="-2.2459417353897115E-2"/>
    <x v="1"/>
  </r>
  <r>
    <x v="185"/>
    <x v="5"/>
    <s v="CHF_S2"/>
    <n v="8514549.3300000001"/>
    <n v="508713.61800239276"/>
    <n v="10.6"/>
    <n v="0"/>
    <m/>
    <n v="0"/>
    <n v="16.737411833861998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1.2499436169092437E-2"/>
    <x v="1"/>
  </r>
  <r>
    <x v="186"/>
    <x v="5"/>
    <s v="CHF_S2"/>
    <n v="8436051.6899999995"/>
    <n v="504023.66708410386"/>
    <n v="10.6"/>
    <n v="0"/>
    <m/>
    <n v="0"/>
    <n v="16.737411833861998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9.2192360344220958E-3"/>
    <x v="1"/>
  </r>
  <r>
    <x v="187"/>
    <x v="5"/>
    <s v="CHF_S2"/>
    <n v="9887172.3200000003"/>
    <n v="515575.04963422153"/>
    <n v="10.6"/>
    <n v="1229600"/>
    <m/>
    <n v="0"/>
    <n v="19.176979815090988"/>
    <n v="1229600"/>
    <n v="0"/>
    <n v="1229600"/>
    <n v="1229600"/>
    <s v="Private Equity Fund"/>
    <n v="0"/>
    <n v="0"/>
    <n v="0"/>
    <n v="0"/>
    <m/>
    <m/>
    <m/>
    <m/>
    <m/>
    <m/>
    <m/>
    <m/>
    <m/>
    <m/>
    <m/>
    <d v="2015-01-30T00:00:00"/>
    <n v="2.6258804253486145E-2"/>
    <x v="1"/>
  </r>
  <r>
    <x v="188"/>
    <x v="5"/>
    <s v="CHF_S2"/>
    <n v="9953578.0299999993"/>
    <n v="519037.83212866529"/>
    <n v="10.6"/>
    <n v="0"/>
    <m/>
    <n v="0"/>
    <n v="19.176979815090988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6.7163500190718928E-3"/>
    <x v="1"/>
  </r>
  <r>
    <x v="189"/>
    <x v="5"/>
    <s v="CHF_S2"/>
    <n v="10649062.6165"/>
    <n v="527230.90903255017"/>
    <n v="10.6"/>
    <n v="530000"/>
    <m/>
    <n v="0"/>
    <n v="20.198099986286174"/>
    <n v="530000"/>
    <n v="0"/>
    <n v="530000"/>
    <n v="530000"/>
    <s v="Private Equity Fund"/>
    <n v="0"/>
    <n v="0"/>
    <n v="0"/>
    <n v="0"/>
    <m/>
    <m/>
    <m/>
    <m/>
    <m/>
    <m/>
    <m/>
    <m/>
    <m/>
    <m/>
    <m/>
    <d v="2015-03-31T00:00:00"/>
    <n v="1.6625638137484966E-2"/>
    <x v="1"/>
  </r>
  <r>
    <x v="190"/>
    <x v="5"/>
    <s v="CHF_S2"/>
    <n v="11413470.706"/>
    <n v="563394.05828933348"/>
    <n v="10.6"/>
    <n v="31800.000000000004"/>
    <m/>
    <n v="0"/>
    <n v="20.258415114734071"/>
    <n v="31800.000000000004"/>
    <n v="0"/>
    <n v="31800.000000000004"/>
    <n v="31800.000000000004"/>
    <s v="Private Equity Fund"/>
    <n v="0"/>
    <n v="0"/>
    <n v="0"/>
    <n v="0"/>
    <m/>
    <m/>
    <m/>
    <m/>
    <m/>
    <m/>
    <m/>
    <m/>
    <m/>
    <m/>
    <m/>
    <d v="2015-04-30T00:00:00"/>
    <n v="6.8795547165332094E-2"/>
    <x v="1"/>
  </r>
  <r>
    <x v="191"/>
    <x v="5"/>
    <s v="CHF_S2"/>
    <n v="11574110.5995"/>
    <n v="571323.59732731897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1.4074587620008794E-2"/>
    <x v="1"/>
  </r>
  <r>
    <x v="192"/>
    <x v="5"/>
    <s v="CHF_S2"/>
    <n v="11463405.375499999"/>
    <n v="565858.94358352805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9.5649011687156671E-3"/>
    <x v="1"/>
  </r>
  <r>
    <x v="193"/>
    <x v="5"/>
    <s v="CHF_S2"/>
    <n v="11286587.602"/>
    <n v="557130.82874835527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1.5424541635585931E-2"/>
    <x v="1"/>
  </r>
  <r>
    <x v="194"/>
    <x v="5"/>
    <s v="CHF_S2"/>
    <n v="11103813.683"/>
    <n v="548108.70544972341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6193904255668246E-2"/>
    <x v="1"/>
  </r>
  <r>
    <x v="195"/>
    <x v="5"/>
    <s v="CHF_S2"/>
    <n v="11134637.1395"/>
    <n v="549630.21916762425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2.7759342312443369E-3"/>
    <x v="1"/>
  </r>
  <r>
    <x v="196"/>
    <x v="5"/>
    <s v="CHF_S2"/>
    <n v="11432695.3685"/>
    <n v="564343.02998287999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6768562393707729E-2"/>
    <x v="1"/>
  </r>
  <r>
    <x v="1"/>
    <x v="5"/>
    <s v="CHF_S2"/>
    <n v="11347949.357000001"/>
    <n v="560159.78015706502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7.4126012080665271E-3"/>
    <x v="1"/>
  </r>
  <r>
    <x v="2"/>
    <x v="5"/>
    <s v="CHF_S2"/>
    <n v="11400477.852499999"/>
    <n v="562752.70241690136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4.6288975961630285E-3"/>
    <x v="1"/>
  </r>
  <r>
    <x v="3"/>
    <x v="5"/>
    <s v="CHF_S2"/>
    <n v="11294442.299000001"/>
    <n v="557518.55389642413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9.3009744742187372E-3"/>
    <x v="1"/>
  </r>
  <r>
    <x v="4"/>
    <x v="5"/>
    <s v="CHF_S2"/>
    <n v="11470431.679500001"/>
    <n v="566205.77742814075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5581945158600785E-2"/>
    <x v="1"/>
  </r>
  <r>
    <x v="5"/>
    <x v="5"/>
    <s v="CHF_S2"/>
    <n v="11604795.055500001"/>
    <n v="572838.24967431743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1713890091872958E-2"/>
    <x v="1"/>
  </r>
  <r>
    <x v="6"/>
    <x v="5"/>
    <s v="CHF_S2"/>
    <n v="11813649.788000001"/>
    <n v="583147.77938417601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7997278840440556E-2"/>
    <x v="1"/>
  </r>
  <r>
    <x v="7"/>
    <x v="5"/>
    <s v="CHF_S2"/>
    <n v="12065563.497500001"/>
    <n v="595582.79505905882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2.1323952717464678E-2"/>
    <x v="1"/>
  </r>
  <r>
    <x v="8"/>
    <x v="5"/>
    <s v="CHF_S2"/>
    <n v="12337020.288000001"/>
    <n v="608982.50026613427"/>
    <n v="10.6"/>
    <n v="0"/>
    <m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2498475977209553E-2"/>
    <x v="1"/>
  </r>
  <r>
    <x v="9"/>
    <x v="5"/>
    <s v="CHF_S2"/>
    <n v="12529891.527000001"/>
    <n v="618503.04952468537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5633535043109381E-2"/>
    <x v="1"/>
  </r>
  <r>
    <x v="10"/>
    <x v="5"/>
    <s v="CHF_S2"/>
    <n v="12495096.1395"/>
    <n v="616785.47254233318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7769903215061342E-3"/>
    <x v="1"/>
  </r>
  <r>
    <x v="11"/>
    <x v="5"/>
    <s v="CHF_S2"/>
    <n v="12906612.054"/>
    <n v="637098.8046647805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2934193535262057E-2"/>
    <x v="1"/>
  </r>
  <r>
    <x v="12"/>
    <x v="5"/>
    <s v="CHF_S2"/>
    <n v="13305670.759500001"/>
    <n v="656797.2215073579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0918935490613642E-2"/>
    <x v="1"/>
  </r>
  <r>
    <x v="13"/>
    <x v="5"/>
    <s v="CHF_S2"/>
    <n v="13363494.763499999"/>
    <n v="659651.54173292895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3458165353078559E-3"/>
    <x v="1"/>
  </r>
  <r>
    <x v="14"/>
    <x v="5"/>
    <s v="CHF_S2"/>
    <n v="13205800.239"/>
    <n v="651867.3925975255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1.1800395576964884E-2"/>
    <x v="1"/>
  </r>
  <r>
    <x v="15"/>
    <x v="5"/>
    <s v="CHF_S2"/>
    <n v="13403996.082"/>
    <n v="661650.77603978955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5008241788686094E-2"/>
    <x v="1"/>
  </r>
  <r>
    <x v="16"/>
    <x v="5"/>
    <s v="CHF_S2"/>
    <n v="13952193.9005"/>
    <n v="688711.02805828489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4.0898088536161614E-2"/>
    <x v="1"/>
  </r>
  <r>
    <x v="17"/>
    <x v="5"/>
    <s v="CHF_S2"/>
    <n v="13789553.7105"/>
    <n v="680682.74997834221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1656961705081459E-2"/>
    <x v="1"/>
  </r>
  <r>
    <x v="18"/>
    <x v="5"/>
    <s v="CHF_S2"/>
    <n v="13770736.460000001"/>
    <n v="679753.8890386573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3646018497082135E-3"/>
    <x v="1"/>
  </r>
  <r>
    <x v="19"/>
    <x v="5"/>
    <s v="CHF_S2"/>
    <n v="13352113.2125"/>
    <n v="659089.72330164793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3.0399481445017806E-2"/>
    <x v="1"/>
  </r>
  <r>
    <x v="20"/>
    <x v="5"/>
    <s v="CHF_S2"/>
    <n v="13777107.6535"/>
    <n v="680068.38518576033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1829751158949815E-2"/>
    <x v="1"/>
  </r>
  <r>
    <x v="21"/>
    <x v="5"/>
    <s v="CHF_S2"/>
    <n v="14151754.560000001"/>
    <n v="698561.78184972343"/>
    <n v="10.6"/>
    <n v="0"/>
    <n v="-1.862645149230957E-9"/>
    <n v="0"/>
    <n v="20.258415114734071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07-31T00:00:00"/>
    <n v="2.7193436817257055E-2"/>
    <x v="1"/>
  </r>
  <r>
    <x v="22"/>
    <x v="5"/>
    <s v="CHF_S2"/>
    <n v="14176200"/>
    <n v="699768.46262220992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7273787427811715E-3"/>
    <x v="1"/>
  </r>
  <r>
    <x v="23"/>
    <x v="5"/>
    <s v="CHF_S2"/>
    <n v="14102883.024617514"/>
    <n v="696149.37519768754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5.1718355682401906E-3"/>
    <x v="1"/>
  </r>
  <r>
    <x v="24"/>
    <x v="5"/>
    <s v="CHF_S2"/>
    <n v="14156000"/>
    <n v="698771.34612096357"/>
    <n v="10.6"/>
    <n v="0"/>
    <n v="-1.862645149230957E-9"/>
    <n v="0"/>
    <n v="20.258415114734071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10-31T00:00:00"/>
    <n v="3.7663912612597716E-3"/>
    <x v="1"/>
  </r>
  <r>
    <x v="25"/>
    <x v="5"/>
    <s v="CHF_S2"/>
    <n v="14141100"/>
    <n v="698035.8492957867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-1.0525572195535515E-3"/>
    <x v="1"/>
  </r>
  <r>
    <x v="26"/>
    <x v="5"/>
    <s v="CHF_S2"/>
    <n v="14516200"/>
    <n v="716551.61165308917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2.6525517816859967E-2"/>
    <x v="1"/>
  </r>
  <r>
    <x v="27"/>
    <x v="5"/>
    <s v="CHF_S2"/>
    <n v="14653600"/>
    <n v="723333.97834968567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9.4652870585965054E-3"/>
    <x v="1"/>
  </r>
  <r>
    <x v="28"/>
    <x v="5"/>
    <s v="CHF_S2"/>
    <n v="14810746.539999999"/>
    <n v="731091.07776294171"/>
    <n v="10.6"/>
    <n v="0"/>
    <n v="0"/>
    <n v="0"/>
    <n v="20.258415114734071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072409100835281E-2"/>
    <x v="1"/>
  </r>
  <r>
    <x v="29"/>
    <x v="5"/>
    <s v="CHF_S2"/>
    <n v="14915524.239"/>
    <n v="736263.13581420528"/>
    <n v="10.6"/>
    <n v="0"/>
    <n v="0"/>
    <n v="0"/>
    <n v="20.258415114734071"/>
    <n v="0"/>
    <n v="0"/>
    <n v="0"/>
    <n v="0"/>
    <s v="Private Equity Fund"/>
    <n v="5.8199004298520839E-2"/>
    <n v="0.76156310099999991"/>
    <n v="0"/>
    <n v="0"/>
    <m/>
    <m/>
    <m/>
    <m/>
    <m/>
    <m/>
    <m/>
    <m/>
    <m/>
    <m/>
    <m/>
    <d v="2018-03-29T00:00:00"/>
    <n v="7.0744373834921159E-3"/>
    <x v="1"/>
  </r>
  <r>
    <x v="30"/>
    <x v="5"/>
    <s v="CHF_S2"/>
    <n v="15121138.7885"/>
    <n v="746412.72295295703"/>
    <n v="10.6"/>
    <n v="0"/>
    <n v="0"/>
    <n v="0"/>
    <n v="20.258415114734071"/>
    <n v="0"/>
    <n v="0"/>
    <n v="0"/>
    <n v="0"/>
    <s v="Private Equity Fund"/>
    <n v="2.0962100000000001E-2"/>
    <n v="0.79784801999999999"/>
    <n v="0"/>
    <n v="0"/>
    <m/>
    <m/>
    <m/>
    <m/>
    <m/>
    <m/>
    <m/>
    <m/>
    <m/>
    <m/>
    <m/>
    <d v="2018-04-30T00:00:00"/>
    <n v="1.3785271386062004E-2"/>
    <x v="1"/>
  </r>
  <r>
    <x v="31"/>
    <x v="5"/>
    <s v="CHF_S2"/>
    <n v="15209589.771500001"/>
    <n v="750778.85833418288"/>
    <n v="10.6"/>
    <n v="0"/>
    <n v="0"/>
    <n v="0"/>
    <n v="20.258415114734071"/>
    <n v="0"/>
    <n v="0"/>
    <n v="0"/>
    <n v="0"/>
    <s v="Private Equity Fund"/>
    <n v="2.0134200000000001E-2"/>
    <n v="0.81345701999999998"/>
    <n v="0"/>
    <n v="0"/>
    <m/>
    <m/>
    <m/>
    <m/>
    <m/>
    <m/>
    <m/>
    <m/>
    <m/>
    <m/>
    <m/>
    <d v="2018-05-31T00:00:00"/>
    <n v="5.8494921736496064E-3"/>
    <x v="1"/>
  </r>
  <r>
    <x v="32"/>
    <x v="5"/>
    <s v="CHF_S2"/>
    <n v="15256892.093"/>
    <n v="753113.80513195076"/>
    <n v="10.6"/>
    <n v="0"/>
    <n v="0"/>
    <n v="0"/>
    <n v="20.258415114734071"/>
    <n v="0"/>
    <n v="0"/>
    <n v="-15256892.093"/>
    <n v="-15256892.093"/>
    <s v="Private Equity Fund"/>
    <n v="2.0340500000000001E-2"/>
    <n v="0.82180448699999997"/>
    <n v="0"/>
    <n v="0"/>
    <m/>
    <m/>
    <m/>
    <m/>
    <m/>
    <m/>
    <m/>
    <m/>
    <m/>
    <m/>
    <m/>
    <d v="2018-06-29T00:00:00"/>
    <n v="3.1100326971760239E-3"/>
    <x v="1"/>
  </r>
  <r>
    <x v="33"/>
    <x v="5"/>
    <s v="CHF_S2"/>
    <n v="15256892.093"/>
    <n v="753113.80513195076"/>
    <n v="10.6"/>
    <n v="0"/>
    <n v="0"/>
    <n v="0"/>
    <n v="20.258415114734071"/>
    <n v="0"/>
    <n v="0"/>
    <n v="0"/>
    <n v="0"/>
    <s v="Private Equity Fund"/>
    <n v="2.0340500000000001E-2"/>
    <n v="0.82180448699999997"/>
    <n v="0"/>
    <n v="0"/>
    <m/>
    <m/>
    <m/>
    <m/>
    <m/>
    <m/>
    <m/>
    <m/>
    <m/>
    <m/>
    <m/>
    <d v="2018-07-31T00:00:00"/>
    <n v="0"/>
    <x v="1"/>
  </r>
  <r>
    <x v="36"/>
    <x v="5"/>
    <s v="CHF_S2a"/>
    <n v="625000"/>
    <n v="625000"/>
    <n v="12.5"/>
    <n v="625000"/>
    <n v="0"/>
    <n v="0"/>
    <n v="1"/>
    <n v="625000"/>
    <n v="625000"/>
    <n v="625000"/>
    <n v="625000"/>
    <s v="Private Equity Fund"/>
    <n v="0"/>
    <n v="0"/>
    <n v="0"/>
    <n v="0"/>
    <m/>
    <m/>
    <m/>
    <m/>
    <m/>
    <m/>
    <m/>
    <m/>
    <m/>
    <m/>
    <m/>
    <d v="2013-10-31T00:00:00"/>
    <n v="0"/>
    <x v="1"/>
  </r>
  <r>
    <x v="37"/>
    <x v="5"/>
    <s v="CHF_S2a"/>
    <n v="615087.06000000006"/>
    <n v="615087.06000000006"/>
    <n v="1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1.5860703999999948E-2"/>
    <x v="1"/>
  </r>
  <r>
    <x v="38"/>
    <x v="5"/>
    <s v="CHF_S2a"/>
    <n v="1304875.9208"/>
    <n v="634432.45857693371"/>
    <n v="12.5"/>
    <n v="650000"/>
    <n v="0"/>
    <n v="0"/>
    <n v="2.0567609729913681"/>
    <n v="650000"/>
    <n v="0"/>
    <n v="650000"/>
    <n v="650000"/>
    <s v="Private Equity Fund"/>
    <n v="0"/>
    <n v="0"/>
    <n v="0"/>
    <n v="0"/>
    <m/>
    <m/>
    <m/>
    <m/>
    <m/>
    <m/>
    <m/>
    <m/>
    <m/>
    <m/>
    <m/>
    <d v="2013-12-31T00:00:00"/>
    <n v="6.4688177312655304E-2"/>
    <x v="1"/>
  </r>
  <r>
    <x v="39"/>
    <x v="5"/>
    <s v="CHF_S2a"/>
    <n v="5575550.8099999996"/>
    <n v="629708.68572476576"/>
    <n v="12.5"/>
    <n v="4312500"/>
    <n v="0"/>
    <n v="0"/>
    <n v="8.8541748532224815"/>
    <n v="4312500"/>
    <n v="0"/>
    <n v="4312500"/>
    <n v="4312500"/>
    <s v="Private Equity Fund"/>
    <n v="0"/>
    <n v="0"/>
    <n v="0"/>
    <n v="0"/>
    <m/>
    <m/>
    <m/>
    <m/>
    <m/>
    <m/>
    <m/>
    <m/>
    <m/>
    <m/>
    <m/>
    <d v="2014-01-30T00:00:00"/>
    <n v="-3.2052940922044137E-2"/>
    <x v="1"/>
  </r>
  <r>
    <x v="40"/>
    <x v="5"/>
    <s v="CHF_S2a"/>
    <n v="5581128.4000000004"/>
    <n v="630338.6247187953"/>
    <n v="12.5"/>
    <n v="0"/>
    <n v="0"/>
    <n v="0"/>
    <n v="8.8541748532224815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1.0003657378563346E-3"/>
    <x v="1"/>
  </r>
  <r>
    <x v="41"/>
    <x v="5"/>
    <s v="CHF_S2a"/>
    <n v="5592806.0392000005"/>
    <n v="631657.50980900228"/>
    <n v="12.5"/>
    <n v="0"/>
    <n v="-9.3132257461547852E-10"/>
    <n v="0"/>
    <n v="8.8541748532224815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4-03-31T00:00:00"/>
    <n v="2.0923437633151298E-3"/>
    <x v="1"/>
  </r>
  <r>
    <x v="42"/>
    <x v="5"/>
    <s v="CHF_S2a"/>
    <n v="5417492.9050840503"/>
    <n v="611857.45649831509"/>
    <n v="12.5"/>
    <n v="0"/>
    <n v="0"/>
    <n v="0"/>
    <n v="8.8541748532224815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3.1346185239963575E-2"/>
    <x v="1"/>
  </r>
  <r>
    <x v="43"/>
    <x v="5"/>
    <s v="CHF_S2a"/>
    <n v="5431558.2651355499"/>
    <n v="613446.01334123546"/>
    <n v="12.5"/>
    <n v="0"/>
    <n v="0"/>
    <n v="0"/>
    <n v="8.8541748532224815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2.5962858277672751E-3"/>
    <x v="1"/>
  </r>
  <r>
    <x v="44"/>
    <x v="5"/>
    <s v="CHF_S2a"/>
    <n v="5392738.1100000003"/>
    <n v="609061.62340325932"/>
    <n v="12.5"/>
    <n v="0"/>
    <n v="0"/>
    <n v="0"/>
    <n v="8.8541748532224815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7.1471487997709637E-3"/>
    <x v="1"/>
  </r>
  <r>
    <x v="45"/>
    <x v="5"/>
    <s v="CHF_S2a"/>
    <n v="5505576.7999999998"/>
    <n v="621805.74602005316"/>
    <n v="12.5"/>
    <n v="0"/>
    <n v="0"/>
    <n v="0"/>
    <n v="8.8541748532224815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2.0924192441453382E-2"/>
    <x v="1"/>
  </r>
  <r>
    <x v="46"/>
    <x v="5"/>
    <s v="CHF_S2a"/>
    <n v="8237810.1699999999"/>
    <n v="625200.74245226546"/>
    <n v="12.5"/>
    <n v="2687500"/>
    <n v="0"/>
    <n v="0"/>
    <n v="13.176264215055635"/>
    <n v="2687500"/>
    <n v="0"/>
    <n v="2687500"/>
    <n v="2687500"/>
    <s v="Private Equity Fund"/>
    <n v="0"/>
    <n v="0"/>
    <n v="0"/>
    <n v="0"/>
    <m/>
    <m/>
    <m/>
    <m/>
    <m/>
    <m/>
    <m/>
    <m/>
    <m/>
    <m/>
    <m/>
    <d v="2014-08-29T00:00:00"/>
    <n v="8.1251014425953727E-3"/>
    <x v="1"/>
  </r>
  <r>
    <x v="47"/>
    <x v="5"/>
    <s v="CHF_S2a"/>
    <n v="7998460.5800000001"/>
    <n v="607035.53370314895"/>
    <n v="12.5"/>
    <n v="0"/>
    <n v="0"/>
    <n v="0"/>
    <n v="13.176264215055635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9055001882860809E-2"/>
    <x v="1"/>
  </r>
  <r>
    <x v="184"/>
    <x v="5"/>
    <s v="CHF_S2a"/>
    <n v="9934168.5199999996"/>
    <n v="596421.40246928157"/>
    <n v="12.5"/>
    <n v="2112500"/>
    <n v="0"/>
    <n v="0"/>
    <n v="16.656291137224329"/>
    <n v="2112500"/>
    <n v="0"/>
    <n v="2112500"/>
    <n v="2112500"/>
    <s v="Private Equity Fund"/>
    <n v="0"/>
    <n v="0"/>
    <n v="0"/>
    <n v="0"/>
    <m/>
    <m/>
    <m/>
    <m/>
    <m/>
    <m/>
    <m/>
    <m/>
    <m/>
    <m/>
    <m/>
    <d v="2014-10-31T00:00:00"/>
    <n v="-2.2103260775212852E-2"/>
    <x v="1"/>
  </r>
  <r>
    <x v="185"/>
    <x v="5"/>
    <s v="CHF_S2a"/>
    <n v="10057907.689999999"/>
    <n v="603850.37744219508"/>
    <n v="12.5"/>
    <n v="0"/>
    <n v="0"/>
    <n v="0"/>
    <n v="16.656291137224329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1.2455916139421319E-2"/>
    <x v="1"/>
  </r>
  <r>
    <x v="186"/>
    <x v="5"/>
    <s v="CHF_S2a"/>
    <n v="9970545.9600000009"/>
    <n v="598605.40848240315"/>
    <n v="12.5"/>
    <n v="0"/>
    <n v="0"/>
    <n v="0"/>
    <n v="16.656291137224329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8.6858751037114379E-3"/>
    <x v="1"/>
  </r>
  <r>
    <x v="187"/>
    <x v="5"/>
    <s v="CHF_S2a"/>
    <n v="11677130.890000001"/>
    <n v="612054.25124097464"/>
    <n v="12.5"/>
    <n v="1450000"/>
    <n v="0"/>
    <n v="0"/>
    <n v="19.078587994975866"/>
    <n v="1450000"/>
    <n v="0"/>
    <n v="1450000"/>
    <n v="1450000"/>
    <s v="Private Equity Fund"/>
    <n v="0"/>
    <n v="0"/>
    <n v="0"/>
    <n v="0"/>
    <m/>
    <m/>
    <m/>
    <m/>
    <m/>
    <m/>
    <m/>
    <m/>
    <m/>
    <m/>
    <m/>
    <d v="2015-01-30T00:00:00"/>
    <n v="2.5734290883304922E-2"/>
    <x v="1"/>
  </r>
  <r>
    <x v="188"/>
    <x v="5"/>
    <s v="CHF_S2a"/>
    <n v="11758156.24"/>
    <n v="616301.17716763844"/>
    <n v="12.5"/>
    <n v="0"/>
    <n v="0"/>
    <n v="0"/>
    <n v="19.078587994975866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6.9388063526278909E-3"/>
    <x v="1"/>
  </r>
  <r>
    <x v="189"/>
    <x v="5"/>
    <s v="CHF_S2a"/>
    <n v="12576599.862400001"/>
    <n v="626561.20658344962"/>
    <n v="12.5"/>
    <n v="612500"/>
    <n v="0"/>
    <n v="0"/>
    <n v="20.072420268370006"/>
    <n v="612500"/>
    <n v="0"/>
    <n v="612500"/>
    <n v="612500"/>
    <s v="Private Equity Fund"/>
    <n v="0"/>
    <n v="0"/>
    <n v="0"/>
    <n v="0"/>
    <m/>
    <m/>
    <m/>
    <m/>
    <m/>
    <m/>
    <m/>
    <m/>
    <m/>
    <m/>
    <m/>
    <d v="2015-03-31T00:00:00"/>
    <n v="1.7514958824871085E-2"/>
    <x v="1"/>
  </r>
  <r>
    <x v="190"/>
    <x v="5"/>
    <s v="CHF_S2a"/>
    <n v="13509168.309599999"/>
    <n v="670356.30242843705"/>
    <n v="12.5"/>
    <n v="50000"/>
    <n v="0"/>
    <n v="0"/>
    <n v="20.152220931856089"/>
    <n v="50000"/>
    <n v="0"/>
    <n v="50000"/>
    <n v="50000"/>
    <s v="Private Equity Fund"/>
    <n v="0"/>
    <n v="0"/>
    <n v="0"/>
    <n v="0"/>
    <m/>
    <m/>
    <m/>
    <m/>
    <m/>
    <m/>
    <m/>
    <m/>
    <m/>
    <m/>
    <m/>
    <d v="2015-04-30T00:00:00"/>
    <n v="7.0175441443326436E-2"/>
    <x v="1"/>
  </r>
  <r>
    <x v="191"/>
    <x v="5"/>
    <s v="CHF_S2a"/>
    <n v="13716734.534399999"/>
    <n v="680656.22051200096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1.5364841124416051E-2"/>
    <x v="1"/>
  </r>
  <r>
    <x v="192"/>
    <x v="5"/>
    <s v="CHF_S2a"/>
    <n v="13590945.723999999"/>
    <n v="674414.28763396479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9.1704632822436905E-3"/>
    <x v="1"/>
  </r>
  <r>
    <x v="193"/>
    <x v="5"/>
    <s v="CHF_S2a"/>
    <n v="13378057.584799999"/>
    <n v="663850.28379935666"/>
    <n v="12.5"/>
    <n v="0"/>
    <n v="-1.862645149230957E-9"/>
    <n v="0"/>
    <n v="20.152220931856089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5-07-31T00:00:00"/>
    <n v="-1.5663968021302765E-2"/>
    <x v="1"/>
  </r>
  <r>
    <x v="194"/>
    <x v="5"/>
    <s v="CHF_S2a"/>
    <n v="13157791.499199999"/>
    <n v="652920.16913135943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6464728470765744E-2"/>
    <x v="1"/>
  </r>
  <r>
    <x v="195"/>
    <x v="5"/>
    <s v="CHF_S2a"/>
    <n v="13198297.2304"/>
    <n v="654930.15757565887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0784597249822188E-3"/>
    <x v="1"/>
  </r>
  <r>
    <x v="196"/>
    <x v="5"/>
    <s v="CHF_S2a"/>
    <n v="13556383.2576"/>
    <n v="672699.21779045381"/>
    <n v="12.5"/>
    <n v="0"/>
    <n v="-1.862645149230957E-9"/>
    <n v="0"/>
    <n v="20.152220931856089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5-10-30T00:00:00"/>
    <n v="2.7131229199416129E-2"/>
    <x v="1"/>
  </r>
  <r>
    <x v="1"/>
    <x v="5"/>
    <s v="CHF_S2a"/>
    <n v="13466546.389599999"/>
    <n v="668241.30378168123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6.6269052956758889E-3"/>
    <x v="1"/>
  </r>
  <r>
    <x v="2"/>
    <x v="5"/>
    <s v="CHF_S2a"/>
    <n v="13531806.5824"/>
    <n v="671479.6660952284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4.8460972035413441E-3"/>
    <x v="1"/>
  </r>
  <r>
    <x v="3"/>
    <x v="5"/>
    <s v="CHF_S2a"/>
    <n v="13396181.791999999"/>
    <n v="664749.64904854109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0022666934687008E-2"/>
    <x v="1"/>
  </r>
  <r>
    <x v="4"/>
    <x v="5"/>
    <s v="CHF_S2a"/>
    <n v="13614130.7936"/>
    <n v="675564.78462774039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6269486707783942E-2"/>
    <x v="1"/>
  </r>
  <r>
    <x v="5"/>
    <x v="5"/>
    <s v="CHF_S2a"/>
    <n v="13790241.8144"/>
    <n v="684303.8224437465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2935898991273787E-2"/>
    <x v="1"/>
  </r>
  <r>
    <x v="6"/>
    <x v="5"/>
    <s v="CHF_S2a"/>
    <n v="14030215.676000001"/>
    <n v="696211.88272213773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7401715272999496E-2"/>
    <x v="1"/>
  </r>
  <r>
    <x v="7"/>
    <x v="5"/>
    <s v="CHF_S2a"/>
    <n v="14341170.161599999"/>
    <n v="711642.16639416968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2.216320067922517E-2"/>
    <x v="1"/>
  </r>
  <r>
    <x v="8"/>
    <x v="5"/>
    <s v="CHF_S2a"/>
    <n v="14693824.2568"/>
    <n v="729141.68152912601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4590329186963356E-2"/>
    <x v="1"/>
  </r>
  <r>
    <x v="9"/>
    <x v="5"/>
    <s v="CHF_S2a"/>
    <n v="14904850.720799999"/>
    <n v="739613.30471713969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4361575333415422E-2"/>
    <x v="1"/>
  </r>
  <r>
    <x v="10"/>
    <x v="5"/>
    <s v="CHF_S2a"/>
    <n v="14865943.8968"/>
    <n v="737682.65776107658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6103464388076425E-3"/>
    <x v="1"/>
  </r>
  <r>
    <x v="11"/>
    <x v="5"/>
    <s v="CHF_S2a"/>
    <n v="15399456.7448"/>
    <n v="764156.8041990326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5888259212039753E-2"/>
    <x v="1"/>
  </r>
  <r>
    <x v="12"/>
    <x v="5"/>
    <s v="CHF_S2a"/>
    <n v="15890217.732000001"/>
    <n v="788509.5040259891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186872078235603E-2"/>
    <x v="1"/>
  </r>
  <r>
    <x v="13"/>
    <x v="5"/>
    <s v="CHF_S2a"/>
    <n v="15960715.385600001"/>
    <n v="792007.76130683103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4365442178950776E-3"/>
    <x v="1"/>
  </r>
  <r>
    <x v="14"/>
    <x v="5"/>
    <s v="CHF_S2a"/>
    <n v="15775094.0024"/>
    <n v="782796.79722363281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1.162989118692459E-2"/>
    <x v="1"/>
  </r>
  <r>
    <x v="15"/>
    <x v="5"/>
    <s v="CHF_S2a"/>
    <n v="16009942.242400002"/>
    <n v="794450.51225554582"/>
    <n v="12.5"/>
    <n v="0"/>
    <n v="-1.862645149230957E-9"/>
    <n v="0"/>
    <n v="20.152220931856089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01-27T00:00:00"/>
    <n v="1.4887279908714079E-2"/>
    <x v="1"/>
  </r>
  <r>
    <x v="16"/>
    <x v="5"/>
    <s v="CHF_S2a"/>
    <n v="16683268.575199999"/>
    <n v="827862.52848327684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4.2056762142263615E-2"/>
    <x v="1"/>
  </r>
  <r>
    <x v="17"/>
    <x v="5"/>
    <s v="CHF_S2a"/>
    <n v="16498679.476"/>
    <n v="818702.78872932214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1064324617682808E-2"/>
    <x v="1"/>
  </r>
  <r>
    <x v="18"/>
    <x v="5"/>
    <s v="CHF_S2a"/>
    <n v="16468145.270000001"/>
    <n v="817187.61052126018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8507060546520959E-3"/>
    <x v="1"/>
  </r>
  <r>
    <x v="19"/>
    <x v="5"/>
    <s v="CHF_S2a"/>
    <n v="15971631.2224"/>
    <n v="792549.43047753489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3.014996767756839E-2"/>
    <x v="1"/>
  </r>
  <r>
    <x v="20"/>
    <x v="5"/>
    <s v="CHF_S2a"/>
    <n v="16494341.7096"/>
    <n v="818487.53868742019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2727432778870025E-2"/>
    <x v="1"/>
  </r>
  <r>
    <x v="21"/>
    <x v="5"/>
    <s v="CHF_S2a"/>
    <n v="16944683.969999999"/>
    <n v="840834.56743044627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7302833197513587E-2"/>
    <x v="1"/>
  </r>
  <r>
    <x v="22"/>
    <x v="5"/>
    <s v="CHF_S2a"/>
    <n v="16989200"/>
    <n v="843043.55621389253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2.6271384039273649E-3"/>
    <x v="1"/>
  </r>
  <r>
    <x v="23"/>
    <x v="5"/>
    <s v="CHF_S2a"/>
    <n v="16903192.986779157"/>
    <n v="838775.68849292654"/>
    <n v="12.5"/>
    <n v="0"/>
    <n v="-1.862645149230957E-9"/>
    <n v="0"/>
    <n v="20.152220931856089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09-29T00:00:00"/>
    <n v="-5.0624522179290032E-3"/>
    <x v="1"/>
  </r>
  <r>
    <x v="24"/>
    <x v="5"/>
    <s v="CHF_S2a"/>
    <n v="16960800"/>
    <n v="841634.28226359026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3.4080551092270372E-3"/>
    <x v="1"/>
  </r>
  <r>
    <x v="25"/>
    <x v="5"/>
    <s v="CHF_S2a"/>
    <n v="16957500"/>
    <n v="841470.52860035095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-1.9456629404268622E-4"/>
    <x v="1"/>
  </r>
  <r>
    <x v="26"/>
    <x v="5"/>
    <s v="CHF_S2a"/>
    <n v="17419300"/>
    <n v="864386.11698942026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2.7232787851982909E-2"/>
    <x v="1"/>
  </r>
  <r>
    <x v="27"/>
    <x v="5"/>
    <s v="CHF_S2a"/>
    <n v="17579700"/>
    <n v="872345.53746929613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9.2081771368539567E-3"/>
    <x v="1"/>
  </r>
  <r>
    <x v="28"/>
    <x v="5"/>
    <s v="CHF_S2a"/>
    <n v="17774999.809999999"/>
    <n v="882036.76756549231"/>
    <n v="12.5"/>
    <n v="0"/>
    <n v="0"/>
    <n v="0"/>
    <n v="20.152220931856089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1109393789427546E-2"/>
    <x v="1"/>
  </r>
  <r>
    <x v="29"/>
    <x v="5"/>
    <s v="CHF_S2a"/>
    <n v="17918458.056000002"/>
    <n v="889155.49886985333"/>
    <n v="12.5"/>
    <n v="0"/>
    <n v="0"/>
    <n v="0"/>
    <n v="20.152220931856089"/>
    <n v="0"/>
    <n v="0"/>
    <n v="0"/>
    <n v="0"/>
    <s v="Private Equity Fund"/>
    <n v="5.5369108026619186E-2"/>
    <n v="0.73888064399999986"/>
    <n v="0"/>
    <n v="0"/>
    <m/>
    <m/>
    <m/>
    <m/>
    <m/>
    <m/>
    <m/>
    <m/>
    <m/>
    <m/>
    <m/>
    <d v="2018-03-29T00:00:00"/>
    <n v="8.0707874843011229E-3"/>
    <x v="1"/>
  </r>
  <r>
    <x v="30"/>
    <x v="5"/>
    <s v="CHF_S2a"/>
    <n v="18150563.9168"/>
    <n v="900673.13067752623"/>
    <n v="12.5"/>
    <n v="0"/>
    <n v="0"/>
    <n v="0"/>
    <n v="20.152220931856089"/>
    <n v="0"/>
    <n v="0"/>
    <n v="0"/>
    <n v="0"/>
    <s v="Private Equity Fund"/>
    <n v="1.9927E-2"/>
    <n v="0.77053143999999996"/>
    <n v="0"/>
    <n v="0"/>
    <m/>
    <m/>
    <m/>
    <m/>
    <m/>
    <m/>
    <m/>
    <m/>
    <m/>
    <m/>
    <m/>
    <d v="2018-04-30T00:00:00"/>
    <n v="1.2953450574519465E-2"/>
    <x v="1"/>
  </r>
  <r>
    <x v="31"/>
    <x v="5"/>
    <s v="CHF_S2a"/>
    <n v="18262436.899999999"/>
    <n v="906224.52789465152"/>
    <n v="12.5"/>
    <n v="0"/>
    <n v="0"/>
    <n v="0"/>
    <n v="20.152220931856089"/>
    <n v="0"/>
    <n v="0"/>
    <n v="0"/>
    <n v="0"/>
    <s v="Private Equity Fund"/>
    <n v="1.9138800000000001E-2"/>
    <n v="0.78578685000000004"/>
    <n v="0"/>
    <n v="0"/>
    <m/>
    <m/>
    <m/>
    <m/>
    <m/>
    <m/>
    <m/>
    <m/>
    <m/>
    <m/>
    <m/>
    <d v="2018-05-31T00:00:00"/>
    <n v="6.1636092251904362E-3"/>
    <x v="1"/>
  </r>
  <r>
    <x v="32"/>
    <x v="5"/>
    <s v="CHF_S2a"/>
    <n v="18347434.128800001"/>
    <n v="910442.28776774032"/>
    <n v="12.5"/>
    <n v="0"/>
    <n v="0"/>
    <n v="0"/>
    <n v="20.152220931856089"/>
    <n v="0"/>
    <n v="0"/>
    <n v="-18347434.128800001"/>
    <n v="-18347434.128800001"/>
    <s v="Private Equity Fund"/>
    <n v="1.9360700000000002E-2"/>
    <n v="0.79737738120000012"/>
    <n v="0"/>
    <n v="0"/>
    <m/>
    <m/>
    <m/>
    <m/>
    <m/>
    <m/>
    <m/>
    <m/>
    <m/>
    <m/>
    <m/>
    <d v="2018-06-29T00:00:00"/>
    <n v="4.6542106765610214E-3"/>
    <x v="1"/>
  </r>
  <r>
    <x v="33"/>
    <x v="5"/>
    <s v="CHF_S2a"/>
    <n v="18347434.128800001"/>
    <n v="910442.28776774032"/>
    <n v="12.5"/>
    <n v="0"/>
    <n v="0"/>
    <n v="0"/>
    <n v="20.152220931856089"/>
    <n v="0"/>
    <n v="0"/>
    <n v="0"/>
    <n v="0"/>
    <s v="Private Equity Fund"/>
    <n v="1.9360700000000002E-2"/>
    <n v="0.79737738120000012"/>
    <n v="0"/>
    <n v="0"/>
    <m/>
    <m/>
    <m/>
    <m/>
    <m/>
    <m/>
    <m/>
    <m/>
    <m/>
    <m/>
    <m/>
    <d v="2018-07-31T00:00:00"/>
    <n v="0"/>
    <x v="1"/>
  </r>
  <r>
    <x v="36"/>
    <x v="5"/>
    <s v="CHF_S2b"/>
    <n v="250000"/>
    <n v="250000"/>
    <n v="5"/>
    <n v="250000"/>
    <n v="0"/>
    <n v="0"/>
    <n v="1"/>
    <n v="250000"/>
    <n v="250000"/>
    <n v="250000"/>
    <n v="250000"/>
    <s v="Private Equity Fund"/>
    <n v="0"/>
    <n v="0"/>
    <n v="0"/>
    <n v="0"/>
    <m/>
    <m/>
    <m/>
    <m/>
    <m/>
    <m/>
    <m/>
    <m/>
    <m/>
    <m/>
    <m/>
    <d v="2013-10-31T00:00:00"/>
    <n v="0"/>
    <x v="1"/>
  </r>
  <r>
    <x v="37"/>
    <x v="5"/>
    <s v="CHF_S2b"/>
    <n v="244123.25"/>
    <n v="244123.25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3506999999999945E-2"/>
    <x v="1"/>
  </r>
  <r>
    <x v="38"/>
    <x v="5"/>
    <s v="CHF_S2b"/>
    <n v="529195.446"/>
    <n v="251280.04260207934"/>
    <n v="5"/>
    <n v="270000"/>
    <n v="0"/>
    <n v="0"/>
    <n v="2.1059987117163157"/>
    <n v="270000"/>
    <n v="0"/>
    <n v="270000"/>
    <n v="270000"/>
    <s v="Private Equity Fund"/>
    <n v="0"/>
    <n v="0"/>
    <n v="0"/>
    <n v="0"/>
    <m/>
    <m/>
    <m/>
    <m/>
    <m/>
    <m/>
    <m/>
    <m/>
    <m/>
    <m/>
    <m/>
    <d v="2013-12-31T00:00:00"/>
    <n v="6.1740108736058508E-2"/>
    <x v="1"/>
  </r>
  <r>
    <x v="39"/>
    <x v="5"/>
    <s v="CHF_S2b"/>
    <n v="2235864.92"/>
    <n v="249236.69921658369"/>
    <n v="5"/>
    <n v="1725000"/>
    <n v="0"/>
    <n v="0"/>
    <n v="8.9708495058228177"/>
    <n v="1725000"/>
    <n v="0"/>
    <n v="1725000"/>
    <n v="1725000"/>
    <s v="Private Equity Fund"/>
    <n v="0"/>
    <n v="0"/>
    <n v="0"/>
    <n v="0"/>
    <m/>
    <m/>
    <m/>
    <m/>
    <m/>
    <m/>
    <m/>
    <m/>
    <m/>
    <m/>
    <m/>
    <d v="2014-01-30T00:00:00"/>
    <n v="-3.4638480241192537E-2"/>
    <x v="1"/>
  </r>
  <r>
    <x v="40"/>
    <x v="5"/>
    <s v="CHF_S2b"/>
    <n v="2236583.31"/>
    <n v="249316.77970389248"/>
    <n v="5"/>
    <n v="0"/>
    <n v="0"/>
    <n v="0"/>
    <n v="8.9708495058228177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3.2130295241628026E-4"/>
    <x v="1"/>
  </r>
  <r>
    <x v="41"/>
    <x v="5"/>
    <s v="CHF_S2b"/>
    <n v="2241521.1800000002"/>
    <n v="249867.21475430715"/>
    <n v="5"/>
    <n v="0"/>
    <n v="0"/>
    <n v="0"/>
    <n v="8.9708495058228177"/>
    <n v="0"/>
    <n v="0"/>
    <n v="0"/>
    <n v="0"/>
    <s v="Private Equity Fund"/>
    <n v="0"/>
    <n v="0"/>
    <n v="0"/>
    <n v="0"/>
    <m/>
    <m/>
    <m/>
    <m/>
    <m/>
    <m/>
    <m/>
    <m/>
    <m/>
    <m/>
    <m/>
    <d v="2014-03-31T00:00:00"/>
    <n v="2.2077737850954016E-3"/>
    <x v="1"/>
  </r>
  <r>
    <x v="42"/>
    <x v="5"/>
    <s v="CHF_S2b"/>
    <n v="2170327.5079307701"/>
    <n v="241931.10212383445"/>
    <n v="5"/>
    <n v="0"/>
    <n v="0"/>
    <n v="0"/>
    <n v="8.9708495058228177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3.1761320260748183E-2"/>
    <x v="1"/>
  </r>
  <r>
    <x v="43"/>
    <x v="5"/>
    <s v="CHF_S2b"/>
    <n v="2175954.5777100399"/>
    <n v="242558.36376450935"/>
    <n v="5"/>
    <n v="0"/>
    <n v="0"/>
    <n v="0"/>
    <n v="8.9708495058228177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2.5927284056013189E-3"/>
    <x v="1"/>
  </r>
  <r>
    <x v="44"/>
    <x v="5"/>
    <s v="CHF_S2b"/>
    <n v="2158838.85"/>
    <n v="240650.43657222611"/>
    <n v="5"/>
    <n v="0"/>
    <n v="0"/>
    <n v="0"/>
    <n v="8.9708495058228177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7.8658478836687307E-3"/>
    <x v="1"/>
  </r>
  <r>
    <x v="45"/>
    <x v="5"/>
    <s v="CHF_S2b"/>
    <n v="2203177.37"/>
    <n v="245592.94730894294"/>
    <n v="5"/>
    <n v="0"/>
    <n v="0"/>
    <n v="0"/>
    <n v="8.9708495058228177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2.053813326548215E-2"/>
    <x v="1"/>
  </r>
  <r>
    <x v="46"/>
    <x v="5"/>
    <s v="CHF_S2b"/>
    <n v="3306719.03"/>
    <n v="246977.81814010502"/>
    <n v="5"/>
    <n v="1085000"/>
    <n v="0"/>
    <n v="0"/>
    <n v="13.388728813387491"/>
    <n v="1085000"/>
    <n v="0"/>
    <n v="1085000"/>
    <n v="1085000"/>
    <s v="Private Equity Fund"/>
    <n v="0"/>
    <n v="0"/>
    <n v="0"/>
    <n v="0"/>
    <m/>
    <m/>
    <m/>
    <m/>
    <m/>
    <m/>
    <m/>
    <m/>
    <m/>
    <m/>
    <m/>
    <d v="2014-08-29T00:00:00"/>
    <n v="8.4158725722567329E-3"/>
    <x v="1"/>
  </r>
  <r>
    <x v="47"/>
    <x v="5"/>
    <s v="CHF_S2b"/>
    <n v="3210611.31"/>
    <n v="239799.56235947402"/>
    <n v="5"/>
    <n v="0"/>
    <n v="0"/>
    <n v="0"/>
    <n v="13.388728813387491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9064374423127148E-2"/>
    <x v="1"/>
  </r>
  <r>
    <x v="184"/>
    <x v="5"/>
    <s v="CHF_S2b"/>
    <n v="3985210.28"/>
    <n v="235636.90107533423"/>
    <n v="5"/>
    <n v="845000"/>
    <n v="0"/>
    <n v="0"/>
    <n v="16.91250505253381"/>
    <n v="845000"/>
    <n v="0"/>
    <n v="845000"/>
    <n v="845000"/>
    <s v="Private Equity Fund"/>
    <n v="0"/>
    <n v="0"/>
    <n v="0"/>
    <n v="0"/>
    <m/>
    <m/>
    <m/>
    <m/>
    <m/>
    <m/>
    <m/>
    <m/>
    <m/>
    <m/>
    <m/>
    <d v="2014-10-31T00:00:00"/>
    <n v="-2.1927609169233309E-2"/>
    <x v="1"/>
  </r>
  <r>
    <x v="185"/>
    <x v="5"/>
    <s v="CHF_S2b"/>
    <n v="4034682.9299999997"/>
    <n v="238562.11232265257"/>
    <n v="5"/>
    <n v="0"/>
    <n v="0"/>
    <n v="0"/>
    <n v="16.91250505253381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1.2414062627581046E-2"/>
    <x v="1"/>
  </r>
  <r>
    <x v="186"/>
    <x v="5"/>
    <s v="CHF_S2b"/>
    <n v="4000393.95"/>
    <n v="236534.67878199785"/>
    <n v="5"/>
    <n v="0"/>
    <n v="0"/>
    <n v="0"/>
    <n v="16.91250505253381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8.4985562917578861E-3"/>
    <x v="1"/>
  </r>
  <r>
    <x v="187"/>
    <x v="5"/>
    <s v="CHF_S2b"/>
    <n v="4682738.01"/>
    <n v="241819.79609321631"/>
    <n v="5"/>
    <n v="580000"/>
    <n v="0"/>
    <n v="0"/>
    <n v="19.36457678673629"/>
    <n v="580000"/>
    <n v="0"/>
    <n v="580000"/>
    <n v="580000"/>
    <s v="Private Equity Fund"/>
    <n v="0"/>
    <n v="0"/>
    <n v="0"/>
    <n v="0"/>
    <m/>
    <m/>
    <m/>
    <m/>
    <m/>
    <m/>
    <m/>
    <m/>
    <m/>
    <m/>
    <m/>
    <d v="2015-01-30T00:00:00"/>
    <n v="2.5583495345502083E-2"/>
    <x v="1"/>
  </r>
  <r>
    <x v="188"/>
    <x v="5"/>
    <s v="CHF_S2b"/>
    <n v="4715774.58"/>
    <n v="243525.82718100279"/>
    <n v="5"/>
    <n v="0"/>
    <n v="0"/>
    <n v="0"/>
    <n v="19.36457678673629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7.0549686805989609E-3"/>
    <x v="1"/>
  </r>
  <r>
    <x v="189"/>
    <x v="5"/>
    <s v="CHF_S2b"/>
    <n v="5043013.6500000004"/>
    <n v="247812.73860953902"/>
    <n v="5"/>
    <n v="240000"/>
    <n v="0"/>
    <n v="0"/>
    <n v="20.350098539308423"/>
    <n v="240000"/>
    <n v="0"/>
    <n v="240000"/>
    <n v="240000"/>
    <s v="Private Equity Fund"/>
    <n v="0"/>
    <n v="0"/>
    <n v="0"/>
    <n v="0"/>
    <m/>
    <m/>
    <m/>
    <m/>
    <m/>
    <m/>
    <m/>
    <m/>
    <m/>
    <m/>
    <m/>
    <d v="2015-03-31T00:00:00"/>
    <n v="1.849941478754924E-2"/>
    <x v="1"/>
  </r>
  <r>
    <x v="190"/>
    <x v="5"/>
    <s v="CHF_S2b"/>
    <n v="5408016.7063999996"/>
    <n v="265485.69860921893"/>
    <n v="5"/>
    <n v="5000"/>
    <n v="0"/>
    <n v="0"/>
    <n v="20.370275064647899"/>
    <n v="5000"/>
    <n v="0"/>
    <n v="5000"/>
    <n v="5000"/>
    <s v="Private Equity Fund"/>
    <n v="0"/>
    <n v="0"/>
    <n v="0"/>
    <n v="0"/>
    <m/>
    <m/>
    <m/>
    <m/>
    <m/>
    <m/>
    <m/>
    <m/>
    <m/>
    <m/>
    <m/>
    <d v="2015-04-30T00:00:00"/>
    <n v="7.1386492558868975E-2"/>
    <x v="1"/>
  </r>
  <r>
    <x v="191"/>
    <x v="5"/>
    <s v="CHF_S2b"/>
    <n v="5503822.2772000004"/>
    <n v="270188.90318038687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1.7715472418312173E-2"/>
    <x v="1"/>
  </r>
  <r>
    <x v="192"/>
    <x v="5"/>
    <s v="CHF_S2b"/>
    <n v="5453826.5883999998"/>
    <n v="267734.55788355944"/>
    <n v="5"/>
    <n v="0"/>
    <n v="-9.3132257461547852E-10"/>
    <n v="0"/>
    <n v="20.370275064647899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5-06-30T00:00:00"/>
    <n v="-9.0838123547539729E-3"/>
    <x v="1"/>
  </r>
  <r>
    <x v="193"/>
    <x v="5"/>
    <s v="CHF_S2b"/>
    <n v="5365647.2655999996"/>
    <n v="263405.73451126076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1.6168340039918516E-2"/>
    <x v="1"/>
  </r>
  <r>
    <x v="194"/>
    <x v="5"/>
    <s v="CHF_S2b"/>
    <n v="5274352.9884000001"/>
    <n v="258923.99448024674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7014587929642944E-2"/>
    <x v="1"/>
  </r>
  <r>
    <x v="195"/>
    <x v="5"/>
    <s v="CHF_S2b"/>
    <n v="5292107.7372000003"/>
    <n v="259795.59531742998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3662420469484644E-3"/>
    <x v="1"/>
  </r>
  <r>
    <x v="196"/>
    <x v="5"/>
    <s v="CHF_S2b"/>
    <n v="5440204.7463999996"/>
    <n v="267065.84614762216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7984503822357176E-2"/>
    <x v="1"/>
  </r>
  <r>
    <x v="1"/>
    <x v="5"/>
    <s v="CHF_S2b"/>
    <n v="5406503.8032"/>
    <n v="265411.42846828082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6.1947931688234315E-3"/>
    <x v="1"/>
  </r>
  <r>
    <x v="2"/>
    <x v="5"/>
    <s v="CHF_S2b"/>
    <n v="5434118.6336000003"/>
    <n v="266767.07193958206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5.1077057198509745E-3"/>
    <x v="1"/>
  </r>
  <r>
    <x v="3"/>
    <x v="5"/>
    <s v="CHF_S2b"/>
    <n v="5375650.6464"/>
    <n v="263896.81186629174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0759424138899631E-2"/>
    <x v="1"/>
  </r>
  <r>
    <x v="4"/>
    <x v="5"/>
    <s v="CHF_S2b"/>
    <n v="5467670.4172"/>
    <n v="268414.16720430076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7117885229692931E-2"/>
    <x v="1"/>
  </r>
  <r>
    <x v="5"/>
    <x v="5"/>
    <s v="CHF_S2b"/>
    <n v="5544748.3760000002"/>
    <n v="272198.0119759292"/>
    <n v="5"/>
    <n v="0"/>
    <n v="-9.3132257461547852E-10"/>
    <n v="0"/>
    <n v="20.370275064647899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6-03-31T00:00:00"/>
    <n v="1.4097038211654533E-2"/>
    <x v="1"/>
  </r>
  <r>
    <x v="6"/>
    <x v="5"/>
    <s v="CHF_S2b"/>
    <n v="5640834.2615999999"/>
    <n v="276914.97751984344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7329169708746317E-2"/>
    <x v="1"/>
  </r>
  <r>
    <x v="7"/>
    <x v="5"/>
    <s v="CHF_S2b"/>
    <n v="5771834.7544"/>
    <n v="283345.94089094427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2.3223602524858222E-2"/>
    <x v="1"/>
  </r>
  <r>
    <x v="8"/>
    <x v="5"/>
    <s v="CHF_S2b"/>
    <n v="5925349.2019999996"/>
    <n v="290882.13994141365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659716608881979E-2"/>
    <x v="1"/>
  </r>
  <r>
    <x v="9"/>
    <x v="5"/>
    <s v="CHF_S2b"/>
    <n v="6006646.4740000004"/>
    <n v="294873.11560286116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3720249934393802E-2"/>
    <x v="1"/>
  </r>
  <r>
    <x v="10"/>
    <x v="5"/>
    <s v="CHF_S2b"/>
    <n v="5991389.8380000005"/>
    <n v="294124.1499678081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5399590380487114E-3"/>
    <x v="1"/>
  </r>
  <r>
    <x v="11"/>
    <x v="5"/>
    <s v="CHF_S2b"/>
    <n v="6223342.9060000004"/>
    <n v="305510.99021733174"/>
    <n v="5"/>
    <n v="0"/>
    <n v="-9.3132257461547852E-10"/>
    <n v="0"/>
    <n v="20.370275064647899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6-09-30T00:00:00"/>
    <n v="3.871440087721445E-2"/>
    <x v="1"/>
  </r>
  <r>
    <x v="12"/>
    <x v="5"/>
    <s v="CHF_S2b"/>
    <n v="6429584.642"/>
    <n v="315635.63189965865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3140024439463067E-2"/>
    <x v="1"/>
  </r>
  <r>
    <x v="13"/>
    <x v="5"/>
    <s v="CHF_S2b"/>
    <n v="6459037.5864000004"/>
    <n v="317081.51048041065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5808471370927251E-3"/>
    <x v="1"/>
  </r>
  <r>
    <x v="14"/>
    <x v="5"/>
    <s v="CHF_S2b"/>
    <n v="6383377.9916000003"/>
    <n v="313367.29481273389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1.1713756699497591E-2"/>
    <x v="1"/>
  </r>
  <r>
    <x v="15"/>
    <x v="5"/>
    <s v="CHF_S2b"/>
    <n v="6479560.3300000001"/>
    <n v="318088.99533443782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506762383906568E-2"/>
    <x v="1"/>
  </r>
  <r>
    <x v="16"/>
    <x v="5"/>
    <s v="CHF_S2b"/>
    <n v="6762283.4415999996"/>
    <n v="331968.19483973354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4.3633070332103729E-2"/>
    <x v="1"/>
  </r>
  <r>
    <x v="17"/>
    <x v="5"/>
    <s v="CHF_S2b"/>
    <n v="6689070.6787999999"/>
    <n v="328374.0969413179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0826633256691309E-2"/>
    <x v="1"/>
  </r>
  <r>
    <x v="18"/>
    <x v="5"/>
    <s v="CHF_S2b"/>
    <n v="6674150.0729999999"/>
    <n v="327641.62741144421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2305947292931005E-3"/>
    <x v="1"/>
  </r>
  <r>
    <x v="19"/>
    <x v="5"/>
    <s v="CHF_S2b"/>
    <n v="6470667.2879999997"/>
    <n v="317652.42577552033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3.0488194417920167E-2"/>
    <x v="1"/>
  </r>
  <r>
    <x v="20"/>
    <x v="5"/>
    <s v="CHF_S2b"/>
    <n v="6690350.5460000001"/>
    <n v="328436.92707964143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3950634180713868E-2"/>
    <x v="1"/>
  </r>
  <r>
    <x v="21"/>
    <x v="5"/>
    <s v="CHF_S2b"/>
    <n v="6876665.5049999999"/>
    <n v="337583.34058700467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7848310446362712E-2"/>
    <x v="1"/>
  </r>
  <r>
    <x v="22"/>
    <x v="5"/>
    <s v="CHF_S2b"/>
    <n v="6899500"/>
    <n v="338704.31194981304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3.3205766637038892E-3"/>
    <x v="1"/>
  </r>
  <r>
    <x v="23"/>
    <x v="5"/>
    <s v="CHF_S2b"/>
    <n v="6864496.3640779322"/>
    <n v="336985.94360127678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5.0733583480060407E-3"/>
    <x v="1"/>
  </r>
  <r>
    <x v="24"/>
    <x v="5"/>
    <s v="CHF_S2b"/>
    <n v="6886500"/>
    <n v="338066.12714579137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3.2054261165048725E-3"/>
    <x v="1"/>
  </r>
  <r>
    <x v="25"/>
    <x v="5"/>
    <s v="CHF_S2b"/>
    <n v="6889300"/>
    <n v="338203.58233434986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4.0659260872732972E-4"/>
    <x v="1"/>
  </r>
  <r>
    <x v="26"/>
    <x v="5"/>
    <s v="CHF_S2b"/>
    <n v="7083600"/>
    <n v="347741.99059753545"/>
    <n v="5"/>
    <n v="0"/>
    <n v="-9.3132257461547852E-10"/>
    <n v="0"/>
    <n v="20.370275064647899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12-29T00:00:00"/>
    <n v="2.820315561813258E-2"/>
    <x v="1"/>
  </r>
  <r>
    <x v="27"/>
    <x v="5"/>
    <s v="CHF_S2b"/>
    <n v="7148600"/>
    <n v="350932.91461764381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9.1761251341127004E-3"/>
    <x v="1"/>
  </r>
  <r>
    <x v="28"/>
    <x v="5"/>
    <s v="CHF_S2b"/>
    <n v="7231237.2300000004"/>
    <n v="354989.67034321651"/>
    <n v="5"/>
    <n v="0"/>
    <n v="0"/>
    <n v="0"/>
    <n v="20.370275064647899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1559918025907168E-2"/>
    <x v="1"/>
  </r>
  <r>
    <x v="29"/>
    <x v="5"/>
    <s v="CHF_S2b"/>
    <n v="7295664.2331999997"/>
    <n v="358152.46529790078"/>
    <n v="5"/>
    <n v="0"/>
    <n v="0"/>
    <n v="0"/>
    <n v="20.370275064647899"/>
    <n v="0"/>
    <n v="0"/>
    <n v="0"/>
    <n v="0"/>
    <s v="Private Equity Fund"/>
    <n v="1.8527213647000065E-2"/>
    <n v="0.19962297679999999"/>
    <n v="0"/>
    <n v="0"/>
    <m/>
    <m/>
    <m/>
    <m/>
    <m/>
    <m/>
    <m/>
    <m/>
    <m/>
    <m/>
    <m/>
    <d v="2018-03-29T00:00:00"/>
    <n v="8.9095408089658878E-3"/>
    <x v="1"/>
  </r>
  <r>
    <x v="30"/>
    <x v="5"/>
    <s v="CHF_S2b"/>
    <n v="7387326.0872"/>
    <n v="362652.25009261258"/>
    <n v="5"/>
    <n v="0"/>
    <n v="0"/>
    <n v="0"/>
    <n v="20.370275064647899"/>
    <n v="0"/>
    <n v="0"/>
    <n v="0"/>
    <n v="0"/>
    <s v="Private Equity Fund"/>
    <n v="6.6644E-3"/>
    <n v="0.20759357000000001"/>
    <n v="0"/>
    <n v="0"/>
    <m/>
    <m/>
    <m/>
    <m/>
    <m/>
    <m/>
    <m/>
    <m/>
    <m/>
    <m/>
    <m/>
    <d v="2018-04-30T00:00:00"/>
    <n v="1.2563880555642726E-2"/>
    <x v="1"/>
  </r>
  <r>
    <x v="31"/>
    <x v="5"/>
    <s v="CHF_S2b"/>
    <n v="7435216.4387999997"/>
    <n v="365003.24198879529"/>
    <n v="5"/>
    <n v="0"/>
    <n v="0"/>
    <n v="0"/>
    <n v="20.370275064647899"/>
    <n v="0"/>
    <n v="0"/>
    <n v="0"/>
    <n v="0"/>
    <s v="Private Equity Fund"/>
    <n v="6.4006000000000002E-3"/>
    <n v="0.21175795"/>
    <n v="0"/>
    <n v="0"/>
    <m/>
    <m/>
    <m/>
    <m/>
    <m/>
    <m/>
    <m/>
    <m/>
    <m/>
    <m/>
    <m/>
    <d v="2018-05-31T00:00:00"/>
    <n v="6.4827721200746424E-3"/>
    <x v="1"/>
  </r>
  <r>
    <x v="32"/>
    <x v="5"/>
    <s v="CHF_S2b"/>
    <n v="7478541.5848000003"/>
    <n v="367130.12274335074"/>
    <n v="5"/>
    <n v="0"/>
    <n v="0"/>
    <n v="0"/>
    <n v="20.370275064647899"/>
    <n v="0"/>
    <n v="0"/>
    <n v="-7478541.5848000003"/>
    <n v="-7478541.5848000003"/>
    <s v="Private Equity Fund"/>
    <n v="6.4808000000000001E-3"/>
    <n v="0.21552535520000005"/>
    <n v="0"/>
    <n v="0"/>
    <m/>
    <m/>
    <m/>
    <m/>
    <m/>
    <m/>
    <m/>
    <m/>
    <m/>
    <m/>
    <m/>
    <d v="2018-06-29T00:00:00"/>
    <n v="5.8270188039062365E-3"/>
    <x v="1"/>
  </r>
  <r>
    <x v="33"/>
    <x v="5"/>
    <s v="CHF_S2b"/>
    <n v="7478541.5848000003"/>
    <n v="367130.12274335074"/>
    <n v="5"/>
    <n v="0"/>
    <n v="0"/>
    <n v="0"/>
    <n v="20.370275064647899"/>
    <n v="0"/>
    <n v="0"/>
    <n v="0"/>
    <n v="0"/>
    <s v="Private Equity Fund"/>
    <n v="6.4808000000000001E-3"/>
    <n v="0.21552535520000005"/>
    <n v="0"/>
    <n v="0"/>
    <m/>
    <m/>
    <m/>
    <m/>
    <m/>
    <m/>
    <m/>
    <m/>
    <m/>
    <m/>
    <m/>
    <d v="2018-07-31T00:00:00"/>
    <n v="0"/>
    <x v="1"/>
  </r>
  <r>
    <x v="38"/>
    <x v="5"/>
    <s v="CHF_S3"/>
    <n v="478860"/>
    <n v="478860"/>
    <n v="1.3879999999999999"/>
    <n v="478860"/>
    <n v="0"/>
    <n v="0"/>
    <n v="1"/>
    <n v="478860"/>
    <n v="478860"/>
    <n v="478860"/>
    <n v="478860"/>
    <s v="Private Equity Fund"/>
    <n v="0"/>
    <n v="0"/>
    <n v="0"/>
    <n v="0"/>
    <m/>
    <m/>
    <m/>
    <m/>
    <m/>
    <m/>
    <m/>
    <m/>
    <m/>
    <m/>
    <m/>
    <d v="2013-12-31T00:00:00"/>
    <n v="0"/>
    <x v="1"/>
  </r>
  <r>
    <x v="39"/>
    <x v="5"/>
    <s v="CHF_S3"/>
    <n v="476919.8"/>
    <n v="476919.8"/>
    <n v="1.387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4.0517061354049533E-3"/>
    <x v="1"/>
  </r>
  <r>
    <x v="40"/>
    <x v="5"/>
    <s v="CHF_S3"/>
    <n v="475396.4"/>
    <n v="475396.4"/>
    <n v="1.387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3.1942477540247705E-3"/>
    <x v="1"/>
  </r>
  <r>
    <x v="41"/>
    <x v="5"/>
    <s v="CHF_S3"/>
    <n v="475500.91"/>
    <n v="475500.91"/>
    <n v="1.387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3-31T00:00:00"/>
    <n v="2.1983759237542699E-4"/>
    <x v="1"/>
  </r>
  <r>
    <x v="42"/>
    <x v="5"/>
    <s v="CHF_S3"/>
    <n v="462809.92089053302"/>
    <n v="462809.92089053302"/>
    <n v="1.387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2.6689726228845578E-2"/>
    <x v="1"/>
  </r>
  <r>
    <x v="43"/>
    <x v="5"/>
    <s v="CHF_S3"/>
    <n v="461337.102301398"/>
    <n v="461337.102301398"/>
    <n v="1.387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-3.1823401415013164E-3"/>
    <x v="1"/>
  </r>
  <r>
    <x v="44"/>
    <x v="5"/>
    <s v="CHF_S3"/>
    <n v="462119.32"/>
    <n v="462119.32"/>
    <n v="1.387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1.6955447430955228E-3"/>
    <x v="1"/>
  </r>
  <r>
    <x v="45"/>
    <x v="5"/>
    <s v="CHF_S3"/>
    <n v="471061.43"/>
    <n v="471061.43"/>
    <n v="1.387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1.9350218900174854E-2"/>
    <x v="1"/>
  </r>
  <r>
    <x v="46"/>
    <x v="5"/>
    <s v="CHF_S3"/>
    <n v="789189.67"/>
    <n v="474566.14565696463"/>
    <n v="1.3879999999999999"/>
    <n v="312300"/>
    <n v="0"/>
    <n v="0"/>
    <n v="1.6629708571130521"/>
    <n v="312300"/>
    <n v="0"/>
    <n v="312300"/>
    <n v="312300"/>
    <s v="Private Equity Fund"/>
    <n v="0"/>
    <n v="0"/>
    <n v="0"/>
    <n v="0"/>
    <m/>
    <m/>
    <m/>
    <m/>
    <m/>
    <m/>
    <m/>
    <m/>
    <m/>
    <m/>
    <m/>
    <d v="2014-08-29T00:00:00"/>
    <n v="1.2372568902531578E-2"/>
    <x v="1"/>
  </r>
  <r>
    <x v="47"/>
    <x v="5"/>
    <s v="CHF_S3"/>
    <n v="769409.41"/>
    <n v="462671.6137020638"/>
    <n v="1.3879999999999999"/>
    <n v="0"/>
    <n v="0"/>
    <n v="0"/>
    <n v="1.6629708571130521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5064012812027858E-2"/>
    <x v="1"/>
  </r>
  <r>
    <x v="184"/>
    <x v="5"/>
    <s v="CHF_S3"/>
    <n v="995186.97"/>
    <n v="458618.81182159268"/>
    <n v="1.3879999999999999"/>
    <n v="234572"/>
    <n v="0"/>
    <n v="0"/>
    <n v="2.1699654361041292"/>
    <n v="234572"/>
    <n v="0"/>
    <n v="234572"/>
    <n v="234572"/>
    <s v="Private Equity Fund"/>
    <n v="0"/>
    <n v="0"/>
    <n v="0"/>
    <n v="0"/>
    <m/>
    <m/>
    <m/>
    <m/>
    <m/>
    <m/>
    <m/>
    <m/>
    <m/>
    <m/>
    <m/>
    <d v="2014-10-31T00:00:00"/>
    <n v="-1.1430117549511176E-2"/>
    <x v="1"/>
  </r>
  <r>
    <x v="185"/>
    <x v="5"/>
    <s v="CHF_S3"/>
    <n v="1005153.68"/>
    <n v="463211.83889666625"/>
    <n v="1.3879999999999999"/>
    <n v="0"/>
    <n v="0"/>
    <n v="0"/>
    <n v="2.1699654361041292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1.0014912072251247E-2"/>
    <x v="1"/>
  </r>
  <r>
    <x v="186"/>
    <x v="5"/>
    <s v="CHF_S3"/>
    <n v="998082.15"/>
    <n v="459953.01740470005"/>
    <n v="1.3879999999999999"/>
    <n v="0"/>
    <n v="0"/>
    <n v="0"/>
    <n v="2.1699654361041292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7.0352724570436065E-3"/>
    <x v="1"/>
  </r>
  <r>
    <x v="187"/>
    <x v="5"/>
    <s v="CHF_S3"/>
    <n v="1186700.83"/>
    <n v="470909.55566757428"/>
    <n v="1.3879999999999999"/>
    <n v="161008"/>
    <n v="0"/>
    <n v="0"/>
    <n v="2.520018580463292"/>
    <n v="161008"/>
    <n v="0"/>
    <n v="161008"/>
    <n v="161008"/>
    <s v="Private Equity Fund"/>
    <n v="0"/>
    <n v="0"/>
    <n v="0"/>
    <n v="0"/>
    <m/>
    <m/>
    <m/>
    <m/>
    <m/>
    <m/>
    <m/>
    <m/>
    <m/>
    <m/>
    <m/>
    <d v="2015-01-30T00:00:00"/>
    <n v="2.7663734893966341E-2"/>
    <x v="1"/>
  </r>
  <r>
    <x v="188"/>
    <x v="5"/>
    <s v="CHF_S3"/>
    <n v="1213847.8740000001"/>
    <n v="473921.73463462532"/>
    <n v="1.3879999999999999"/>
    <n v="19432"/>
    <n v="0"/>
    <n v="0"/>
    <n v="2.5612834046022983"/>
    <n v="19432"/>
    <n v="0"/>
    <n v="19432"/>
    <n v="19432"/>
    <s v="Private Equity Fund"/>
    <n v="0"/>
    <n v="0"/>
    <n v="0"/>
    <n v="0"/>
    <m/>
    <m/>
    <m/>
    <m/>
    <m/>
    <m/>
    <m/>
    <m/>
    <m/>
    <m/>
    <m/>
    <d v="2015-02-27T00:00:00"/>
    <n v="6.5012544063021149E-3"/>
    <x v="1"/>
  </r>
  <r>
    <x v="189"/>
    <x v="5"/>
    <s v="CHF_S3"/>
    <n v="1317230.17"/>
    <n v="481266.35745972896"/>
    <n v="1.3879999999999999"/>
    <n v="83280"/>
    <n v="0"/>
    <n v="0"/>
    <n v="2.7370086223203791"/>
    <n v="83280"/>
    <n v="0"/>
    <n v="83280"/>
    <n v="83280"/>
    <s v="Private Equity Fund"/>
    <n v="0"/>
    <n v="0"/>
    <n v="0"/>
    <n v="0"/>
    <m/>
    <m/>
    <m/>
    <m/>
    <m/>
    <m/>
    <m/>
    <m/>
    <m/>
    <m/>
    <m/>
    <d v="2015-03-31T00:00:00"/>
    <n v="1.6560803400970325E-2"/>
    <x v="1"/>
  </r>
  <r>
    <x v="190"/>
    <x v="5"/>
    <s v="CHF_S3"/>
    <n v="1404798.632"/>
    <n v="513260.57965029019"/>
    <n v="1.3879999999999999"/>
    <n v="0"/>
    <n v="0"/>
    <n v="0"/>
    <n v="2.7370086223203791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6.6479241057772143E-2"/>
    <x v="1"/>
  </r>
  <r>
    <x v="191"/>
    <x v="5"/>
    <s v="CHF_S3"/>
    <n v="1424749.5430000001"/>
    <n v="520549.89209063101"/>
    <n v="1.3879999999999999"/>
    <n v="0"/>
    <n v="0"/>
    <n v="0"/>
    <n v="2.7370086223203791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1.4201972115815753E-2"/>
    <x v="1"/>
  </r>
  <r>
    <x v="192"/>
    <x v="5"/>
    <s v="CHF_S3"/>
    <n v="1410189.3064999999"/>
    <n v="515230.12934627541"/>
    <n v="1.3879999999999999"/>
    <n v="0"/>
    <n v="0"/>
    <n v="0"/>
    <n v="2.7370086223203791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0219505997764111E-2"/>
    <x v="1"/>
  </r>
  <r>
    <x v="193"/>
    <x v="5"/>
    <s v="CHF_S3"/>
    <n v="1487748.469"/>
    <n v="508062.49226766452"/>
    <n v="1.3879999999999999"/>
    <n v="98548"/>
    <n v="0"/>
    <n v="0"/>
    <n v="2.9282784925918204"/>
    <n v="98548"/>
    <n v="0"/>
    <n v="98548"/>
    <n v="98548"/>
    <s v="Private Equity Fund"/>
    <n v="0"/>
    <n v="0"/>
    <n v="0"/>
    <n v="0"/>
    <m/>
    <m/>
    <m/>
    <m/>
    <m/>
    <m/>
    <m/>
    <m/>
    <m/>
    <m/>
    <m/>
    <d v="2015-07-31T00:00:00"/>
    <n v="-1.4883702069825588E-2"/>
    <x v="1"/>
  </r>
  <r>
    <x v="194"/>
    <x v="5"/>
    <s v="CHF_S3"/>
    <n v="1466421.5355"/>
    <n v="500779.39622541494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4335039789578841E-2"/>
    <x v="1"/>
  </r>
  <r>
    <x v="195"/>
    <x v="5"/>
    <s v="CHF_S3"/>
    <n v="1469571.304"/>
    <n v="501855.03452551807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2.1479284255914166E-3"/>
    <x v="1"/>
  </r>
  <r>
    <x v="196"/>
    <x v="5"/>
    <s v="CHF_S3"/>
    <n v="1506584.7834999999"/>
    <n v="514495.04796469037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5186582916564504E-2"/>
    <x v="1"/>
  </r>
  <r>
    <x v="1"/>
    <x v="5"/>
    <s v="CHF_S3"/>
    <n v="1497037.048"/>
    <n v="511234.51945821312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6.3373370052359768E-3"/>
    <x v="1"/>
  </r>
  <r>
    <x v="2"/>
    <x v="5"/>
    <s v="CHF_S3"/>
    <n v="1506154.3435"/>
    <n v="514348.05374911666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6.0902270335796427E-3"/>
    <x v="1"/>
  </r>
  <r>
    <x v="3"/>
    <x v="5"/>
    <s v="CHF_S3"/>
    <n v="1495063.858"/>
    <n v="510560.67986099178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7.3634455511564223E-3"/>
    <x v="1"/>
  </r>
  <r>
    <x v="4"/>
    <x v="5"/>
    <s v="CHF_S3"/>
    <n v="1517727.3145000001"/>
    <n v="518300.19526478136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5158855174465691E-2"/>
    <x v="1"/>
  </r>
  <r>
    <x v="5"/>
    <x v="5"/>
    <s v="CHF_S3"/>
    <n v="1535606.8095"/>
    <n v="524405.99942419888"/>
    <n v="1.3879999999999999"/>
    <n v="0"/>
    <n v="-2.3283064365386963E-10"/>
    <n v="0"/>
    <n v="2.9282784925918204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6-03-31T00:00:00"/>
    <n v="1.1780439627846029E-2"/>
    <x v="1"/>
  </r>
  <r>
    <x v="6"/>
    <x v="5"/>
    <s v="CHF_S3"/>
    <n v="1561607.4"/>
    <n v="533285.13799171487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6931802033663734E-2"/>
    <x v="1"/>
  </r>
  <r>
    <x v="7"/>
    <x v="5"/>
    <s v="CHF_S3"/>
    <n v="1595990.852"/>
    <n v="545027.00342117657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2.2017987363533331E-2"/>
    <x v="1"/>
  </r>
  <r>
    <x v="8"/>
    <x v="5"/>
    <s v="CHF_S3"/>
    <n v="1631030.6059999999"/>
    <n v="556992.99439117697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1954858924216447E-2"/>
    <x v="1"/>
  </r>
  <r>
    <x v="9"/>
    <x v="5"/>
    <s v="CHF_S3"/>
    <n v="1656591.1854999999"/>
    <n v="565721.87026984256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5671428485750871E-2"/>
    <x v="1"/>
  </r>
  <r>
    <x v="10"/>
    <x v="5"/>
    <s v="CHF_S3"/>
    <n v="1652188.7975000001"/>
    <n v="564218.46544986474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657498143497028E-3"/>
    <x v="1"/>
  </r>
  <r>
    <x v="11"/>
    <x v="5"/>
    <s v="CHF_S3"/>
    <n v="1705542.4475"/>
    <n v="582438.60746674531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2292707758781347E-2"/>
    <x v="1"/>
  </r>
  <r>
    <x v="12"/>
    <x v="5"/>
    <s v="CHF_S3"/>
    <n v="1757509.6880000001"/>
    <n v="600185.29400338139"/>
    <n v="1.3879999999999999"/>
    <n v="0"/>
    <n v="-2.3283064365386963E-10"/>
    <n v="0"/>
    <n v="2.9282784925918204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6-10-31T00:00:00"/>
    <n v="3.0469625998563954E-2"/>
    <x v="1"/>
  </r>
  <r>
    <x v="13"/>
    <x v="5"/>
    <s v="CHF_S3"/>
    <n v="1765985.2675000001"/>
    <n v="603079.68383735453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8224937579974814E-3"/>
    <x v="1"/>
  </r>
  <r>
    <x v="14"/>
    <x v="5"/>
    <s v="CHF_S3"/>
    <n v="1749611.1735"/>
    <n v="597487.97046670876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9.2719312563575018E-3"/>
    <x v="1"/>
  </r>
  <r>
    <x v="15"/>
    <x v="5"/>
    <s v="CHF_S3"/>
    <n v="1776669.1044999999"/>
    <n v="606728.18824942759"/>
    <n v="1.3879999999999999"/>
    <n v="0"/>
    <n v="-2.3283064365386963E-10"/>
    <n v="0"/>
    <n v="2.9282784925918204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7-01-27T00:00:00"/>
    <n v="1.5465110997132214E-2"/>
    <x v="1"/>
  </r>
  <r>
    <x v="16"/>
    <x v="5"/>
    <s v="CHF_S3"/>
    <n v="1846777.861"/>
    <n v="630670.15848120931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9460784409672378E-2"/>
    <x v="1"/>
  </r>
  <r>
    <x v="17"/>
    <x v="5"/>
    <s v="CHF_S3"/>
    <n v="1822095.1869999999"/>
    <n v="622241.08520063024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3365264183227143E-2"/>
    <x v="1"/>
  </r>
  <r>
    <x v="18"/>
    <x v="5"/>
    <s v="CHF_S3"/>
    <n v="1818473.7710000002"/>
    <n v="621004.38042368996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9875009965655277E-3"/>
    <x v="1"/>
  </r>
  <r>
    <x v="19"/>
    <x v="5"/>
    <s v="CHF_S3"/>
    <n v="1766358.97"/>
    <n v="603207.30233434692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8658538732368788E-2"/>
    <x v="1"/>
  </r>
  <r>
    <x v="20"/>
    <x v="5"/>
    <s v="CHF_S3"/>
    <n v="1824437.9909999999"/>
    <n v="623041.14708201448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2880644300744777E-2"/>
    <x v="1"/>
  </r>
  <r>
    <x v="21"/>
    <x v="5"/>
    <s v="CHF_S3"/>
    <n v="1869270.8330000001"/>
    <n v="638351.45384191512"/>
    <n v="1.3879999999999999"/>
    <n v="0"/>
    <n v="-2.3283064365386963E-10"/>
    <n v="0"/>
    <n v="2.9282784925918204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7-07-31T00:00:00"/>
    <n v="2.457350823714588E-2"/>
    <x v="1"/>
  </r>
  <r>
    <x v="22"/>
    <x v="5"/>
    <s v="CHF_S3"/>
    <n v="1875200"/>
    <n v="640376.24998579279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3.1719143611117495E-3"/>
    <x v="1"/>
  </r>
  <r>
    <x v="23"/>
    <x v="5"/>
    <s v="CHF_S3"/>
    <n v="1860868.7768049261"/>
    <n v="635482.1720381761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7.6425038369635212E-3"/>
    <x v="1"/>
  </r>
  <r>
    <x v="24"/>
    <x v="5"/>
    <s v="CHF_S3"/>
    <n v="1874100"/>
    <n v="640000.60265484976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7.1102397761715341E-3"/>
    <x v="1"/>
  </r>
  <r>
    <x v="25"/>
    <x v="5"/>
    <s v="CHF_S3"/>
    <n v="1872100"/>
    <n v="639317.60750768054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-1.0671789125447084E-3"/>
    <x v="1"/>
  </r>
  <r>
    <x v="26"/>
    <x v="5"/>
    <s v="CHF_S3"/>
    <n v="1919600"/>
    <n v="655538.74225294788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2.5372576251268653E-2"/>
    <x v="1"/>
  </r>
  <r>
    <x v="27"/>
    <x v="5"/>
    <s v="CHF_S3"/>
    <n v="1943800"/>
    <n v="663802.98353369453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2606793081892054E-2"/>
    <x v="1"/>
  </r>
  <r>
    <x v="28"/>
    <x v="5"/>
    <s v="CHF_S3"/>
    <n v="1962029.34"/>
    <n v="670028.25891174283"/>
    <n v="1.3879999999999999"/>
    <n v="0"/>
    <n v="0"/>
    <n v="0"/>
    <n v="2.9282784925918204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9.3781973454059031E-3"/>
    <x v="1"/>
  </r>
  <r>
    <x v="29"/>
    <x v="5"/>
    <s v="CHF_S3"/>
    <n v="1970710.4620000001"/>
    <n v="672992.84101073444"/>
    <n v="1.3879999999999999"/>
    <n v="0"/>
    <n v="0"/>
    <n v="0"/>
    <n v="2.9282784925918204"/>
    <n v="0"/>
    <n v="0"/>
    <n v="0"/>
    <n v="0"/>
    <s v="Private Equity Fund"/>
    <n v="7.6977349587588955E-3"/>
    <n v="0.10283125799999998"/>
    <n v="0"/>
    <n v="0"/>
    <m/>
    <m/>
    <m/>
    <m/>
    <m/>
    <m/>
    <m/>
    <m/>
    <m/>
    <m/>
    <m/>
    <d v="2018-03-29T00:00:00"/>
    <n v="4.424562784570707E-3"/>
    <x v="1"/>
  </r>
  <r>
    <x v="30"/>
    <x v="5"/>
    <s v="CHF_S3"/>
    <n v="1996607.1484999999"/>
    <n v="681836.49661436479"/>
    <n v="1.3879999999999999"/>
    <n v="0"/>
    <n v="0"/>
    <n v="0"/>
    <n v="2.9282784925918204"/>
    <n v="0"/>
    <n v="0"/>
    <n v="0"/>
    <n v="0"/>
    <s v="Private Equity Fund"/>
    <n v="2.7705999999999998E-3"/>
    <n v="0.10740126"/>
    <n v="0"/>
    <n v="0"/>
    <m/>
    <m/>
    <m/>
    <m/>
    <m/>
    <m/>
    <m/>
    <m/>
    <m/>
    <m/>
    <m/>
    <d v="2018-04-30T00:00:00"/>
    <n v="1.3140787040688995E-2"/>
    <x v="1"/>
  </r>
  <r>
    <x v="31"/>
    <x v="5"/>
    <s v="CHF_S3"/>
    <n v="2008032.0834999999"/>
    <n v="685738.0841952262"/>
    <n v="1.3879999999999999"/>
    <n v="0"/>
    <n v="0"/>
    <n v="0"/>
    <n v="2.9282784925918204"/>
    <n v="0"/>
    <n v="0"/>
    <n v="0"/>
    <n v="0"/>
    <s v="Private Equity Fund"/>
    <n v="2.6606999999999998E-3"/>
    <n v="0.10941743"/>
    <n v="0"/>
    <n v="0"/>
    <m/>
    <m/>
    <m/>
    <m/>
    <m/>
    <m/>
    <m/>
    <m/>
    <m/>
    <m/>
    <m/>
    <d v="2018-05-31T00:00:00"/>
    <n v="5.7221747445828086E-3"/>
    <x v="1"/>
  </r>
  <r>
    <x v="32"/>
    <x v="5"/>
    <s v="CHF_S3"/>
    <n v="2012705.1115000001"/>
    <n v="687333.91191851906"/>
    <n v="1.3879999999999999"/>
    <n v="0"/>
    <n v="0"/>
    <n v="0"/>
    <n v="2.9282784925918204"/>
    <n v="0"/>
    <n v="0"/>
    <n v="-2012705.1115000001"/>
    <n v="-2012705.1115000001"/>
    <s v="Private Equity Fund"/>
    <n v="2.6855999999999998E-3"/>
    <n v="0.11024207849999999"/>
    <n v="0"/>
    <n v="0"/>
    <m/>
    <m/>
    <m/>
    <m/>
    <m/>
    <m/>
    <m/>
    <m/>
    <m/>
    <m/>
    <m/>
    <d v="2018-06-29T00:00:00"/>
    <n v="2.3271679961682779E-3"/>
    <x v="1"/>
  </r>
  <r>
    <x v="33"/>
    <x v="5"/>
    <s v="CHF_S3"/>
    <n v="2012705.1115000001"/>
    <n v="687333.91191851906"/>
    <n v="1.3879999999999999"/>
    <n v="0"/>
    <n v="0"/>
    <n v="0"/>
    <n v="2.9282784925918204"/>
    <n v="0"/>
    <n v="0"/>
    <n v="0"/>
    <n v="0"/>
    <s v="Private Equity Fund"/>
    <n v="2.6855999999999998E-3"/>
    <n v="0.11024207849999999"/>
    <n v="0"/>
    <n v="0"/>
    <m/>
    <m/>
    <m/>
    <m/>
    <m/>
    <m/>
    <m/>
    <m/>
    <m/>
    <m/>
    <m/>
    <d v="2018-07-31T00:00:00"/>
    <n v="0"/>
    <x v="1"/>
  </r>
  <r>
    <x v="200"/>
    <x v="5"/>
    <s v="CHF_S4"/>
    <n v="611040"/>
    <n v="611040"/>
    <n v="5.36"/>
    <n v="611040"/>
    <n v="0"/>
    <n v="0"/>
    <n v="1"/>
    <n v="611040"/>
    <n v="611040"/>
    <n v="611040"/>
    <n v="611040"/>
    <s v="Private Equity Fund"/>
    <n v="0"/>
    <n v="0"/>
    <n v="0"/>
    <n v="0"/>
    <m/>
    <m/>
    <m/>
    <m/>
    <m/>
    <m/>
    <m/>
    <m/>
    <m/>
    <m/>
    <m/>
    <d v="2014-08-05T00:00:00"/>
    <n v="0"/>
    <x v="1"/>
  </r>
  <r>
    <x v="201"/>
    <x v="5"/>
    <s v="CHF_S4"/>
    <n v="1356080"/>
    <n v="611040"/>
    <n v="5.36"/>
    <n v="745040"/>
    <n v="0"/>
    <n v="0"/>
    <n v="2.2192982456140351"/>
    <n v="745040"/>
    <n v="0"/>
    <n v="745040"/>
    <n v="745040"/>
    <s v="Private Equity Fund"/>
    <n v="0"/>
    <n v="0"/>
    <n v="0"/>
    <n v="0"/>
    <m/>
    <m/>
    <m/>
    <m/>
    <m/>
    <m/>
    <m/>
    <m/>
    <m/>
    <m/>
    <m/>
    <d v="2014-08-19T00:00:00"/>
    <n v="0"/>
    <x v="1"/>
  </r>
  <r>
    <x v="46"/>
    <x v="5"/>
    <s v="CHF_S4"/>
    <n v="1361855.26"/>
    <n v="613642.29106719373"/>
    <n v="5.36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4.2587900418853408E-3"/>
    <x v="1"/>
  </r>
  <r>
    <x v="47"/>
    <x v="5"/>
    <s v="CHF_S4"/>
    <n v="1329933.1200000001"/>
    <n v="599258.40189723321"/>
    <n v="5.36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3440185559807536E-2"/>
    <x v="1"/>
  </r>
  <r>
    <x v="184"/>
    <x v="5"/>
    <s v="CHF_S4"/>
    <n v="2254028.6"/>
    <n v="604151.45194457739"/>
    <n v="5.36"/>
    <n v="905840"/>
    <n v="0"/>
    <n v="0"/>
    <n v="3.7308999138295147"/>
    <n v="905840"/>
    <n v="0"/>
    <n v="905840"/>
    <n v="905840"/>
    <s v="Private Equity Fund"/>
    <n v="0"/>
    <n v="0"/>
    <n v="0"/>
    <n v="0"/>
    <m/>
    <m/>
    <m/>
    <m/>
    <m/>
    <m/>
    <m/>
    <m/>
    <m/>
    <m/>
    <m/>
    <d v="2014-10-31T00:00:00"/>
    <n v="1.372661506467332E-2"/>
    <x v="1"/>
  </r>
  <r>
    <x v="185"/>
    <x v="5"/>
    <s v="CHF_S4"/>
    <n v="2306091.73"/>
    <n v="618106.02891058358"/>
    <n v="5.36"/>
    <n v="0"/>
    <n v="0"/>
    <n v="0"/>
    <n v="3.7308999138295147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2.3097812512228089E-2"/>
    <x v="1"/>
  </r>
  <r>
    <x v="186"/>
    <x v="5"/>
    <s v="CHF_S4"/>
    <n v="2319192.5299999998"/>
    <n v="621617.46054975421"/>
    <n v="5.36"/>
    <n v="0"/>
    <n v="0"/>
    <n v="0"/>
    <n v="3.7308999138295147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5.6809535499264818E-3"/>
    <x v="1"/>
  </r>
  <r>
    <x v="187"/>
    <x v="5"/>
    <s v="CHF_S4"/>
    <n v="3012891.62"/>
    <n v="636822.94040156959"/>
    <n v="5.36"/>
    <n v="621760"/>
    <n v="0"/>
    <n v="0"/>
    <n v="4.7311292179583271"/>
    <n v="621760"/>
    <n v="0"/>
    <n v="621760"/>
    <n v="621760"/>
    <s v="Private Equity Fund"/>
    <n v="0"/>
    <n v="0"/>
    <n v="0"/>
    <n v="0"/>
    <m/>
    <m/>
    <m/>
    <m/>
    <m/>
    <m/>
    <m/>
    <m/>
    <m/>
    <m/>
    <m/>
    <d v="2015-01-30T00:00:00"/>
    <n v="3.1019024539545414E-2"/>
    <x v="1"/>
  </r>
  <r>
    <x v="188"/>
    <x v="5"/>
    <s v="CHF_S4"/>
    <n v="3307051.67"/>
    <n v="645592.08942934102"/>
    <n v="5.36"/>
    <n v="249240"/>
    <n v="0"/>
    <n v="0"/>
    <n v="5.1225095910379048"/>
    <n v="249240"/>
    <n v="0"/>
    <n v="249240"/>
    <n v="249240"/>
    <s v="Private Equity Fund"/>
    <n v="0"/>
    <n v="0"/>
    <n v="0"/>
    <n v="0"/>
    <m/>
    <m/>
    <m/>
    <m/>
    <m/>
    <m/>
    <m/>
    <m/>
    <m/>
    <m/>
    <m/>
    <d v="2015-02-27T00:00:00"/>
    <n v="1.4909281735132618E-2"/>
    <x v="1"/>
  </r>
  <r>
    <x v="189"/>
    <x v="5"/>
    <s v="CHF_S4"/>
    <n v="3786701.32"/>
    <n v="662939.76589558937"/>
    <n v="5.36"/>
    <n v="380560"/>
    <n v="0"/>
    <n v="0"/>
    <n v="5.711983976228078"/>
    <n v="380560"/>
    <n v="0"/>
    <n v="380560"/>
    <n v="380560"/>
    <s v="Private Equity Fund"/>
    <n v="0"/>
    <n v="0"/>
    <n v="0"/>
    <n v="0"/>
    <m/>
    <m/>
    <m/>
    <m/>
    <m/>
    <m/>
    <m/>
    <m/>
    <m/>
    <m/>
    <m/>
    <d v="2015-03-31T00:00:00"/>
    <n v="2.9963139342180201E-2"/>
    <x v="1"/>
  </r>
  <r>
    <x v="190"/>
    <x v="5"/>
    <s v="CHF_S4"/>
    <n v="4155725.0000000005"/>
    <n v="717390.41524649132"/>
    <n v="5.36"/>
    <n v="53600"/>
    <n v="0"/>
    <n v="0"/>
    <n v="5.7928359672495997"/>
    <n v="53600"/>
    <n v="0"/>
    <n v="53600"/>
    <n v="53600"/>
    <s v="Private Equity Fund"/>
    <n v="0"/>
    <n v="0"/>
    <n v="0"/>
    <n v="0"/>
    <m/>
    <m/>
    <m/>
    <m/>
    <m/>
    <m/>
    <m/>
    <m/>
    <m/>
    <m/>
    <m/>
    <d v="2015-04-30T00:00:00"/>
    <n v="8.3297744750568503E-2"/>
    <x v="1"/>
  </r>
  <r>
    <x v="191"/>
    <x v="5"/>
    <s v="CHF_S4"/>
    <n v="4340370.76"/>
    <n v="721353.49195015174"/>
    <n v="5.36"/>
    <n v="160800"/>
    <n v="0"/>
    <n v="0"/>
    <n v="6.0169816995908239"/>
    <n v="160800"/>
    <n v="0"/>
    <n v="160800"/>
    <n v="160800"/>
    <s v="Private Equity Fund"/>
    <n v="0"/>
    <n v="0"/>
    <n v="0"/>
    <n v="0"/>
    <m/>
    <m/>
    <m/>
    <m/>
    <m/>
    <m/>
    <m/>
    <m/>
    <m/>
    <m/>
    <m/>
    <d v="2015-05-29T00:00:00"/>
    <n v="5.7380505206670041E-3"/>
    <x v="1"/>
  </r>
  <r>
    <x v="192"/>
    <x v="5"/>
    <s v="CHF_S4"/>
    <n v="4280901.6399999997"/>
    <n v="711469.94518715527"/>
    <n v="5.36"/>
    <n v="0"/>
    <n v="0"/>
    <n v="0"/>
    <n v="6.0169816995908239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3701391721660183E-2"/>
    <x v="1"/>
  </r>
  <r>
    <x v="193"/>
    <x v="5"/>
    <s v="CHF_S4"/>
    <n v="4359077.57"/>
    <n v="699078.86530453467"/>
    <n v="5.36"/>
    <n v="155440"/>
    <n v="0"/>
    <n v="0"/>
    <n v="6.2354589536919942"/>
    <n v="155440"/>
    <n v="0"/>
    <n v="155440"/>
    <n v="155440"/>
    <s v="Private Equity Fund"/>
    <n v="0"/>
    <n v="0"/>
    <n v="0"/>
    <n v="0"/>
    <m/>
    <m/>
    <m/>
    <m/>
    <m/>
    <m/>
    <m/>
    <m/>
    <m/>
    <m/>
    <m/>
    <d v="2015-07-31T00:00:00"/>
    <n v="-1.8048550631964422E-2"/>
    <x v="1"/>
  </r>
  <r>
    <x v="194"/>
    <x v="5"/>
    <s v="CHF_S4"/>
    <n v="4287609.03"/>
    <n v="687617.23264352838"/>
    <n v="5.36"/>
    <n v="0"/>
    <n v="0"/>
    <n v="0"/>
    <n v="6.2354589536919942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6395335676488099E-2"/>
    <x v="1"/>
  </r>
  <r>
    <x v="195"/>
    <x v="5"/>
    <s v="CHF_S4"/>
    <n v="4310120.59"/>
    <n v="691227.48173139559"/>
    <n v="5.36"/>
    <n v="0"/>
    <n v="0"/>
    <n v="0"/>
    <n v="6.2354589536919942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5.2503761053044329E-3"/>
    <x v="1"/>
  </r>
  <r>
    <x v="196"/>
    <x v="5"/>
    <s v="CHF_S4"/>
    <n v="4443583.22"/>
    <n v="712631.29995731416"/>
    <n v="5.36"/>
    <n v="0"/>
    <n v="0"/>
    <n v="0"/>
    <n v="6.2354589536919942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3.0964941052844086E-2"/>
    <x v="1"/>
  </r>
  <r>
    <x v="1"/>
    <x v="5"/>
    <s v="CHF_S4"/>
    <n v="4670845.82"/>
    <n v="712140.75889345526"/>
    <n v="5.36"/>
    <n v="230480"/>
    <n v="0"/>
    <n v="0"/>
    <n v="6.5588800551982089"/>
    <n v="230480"/>
    <n v="0"/>
    <n v="230480"/>
    <n v="230480"/>
    <s v="Private Equity Fund"/>
    <n v="0"/>
    <n v="0"/>
    <n v="0"/>
    <n v="0"/>
    <m/>
    <m/>
    <m/>
    <m/>
    <m/>
    <m/>
    <m/>
    <m/>
    <m/>
    <m/>
    <m/>
    <d v="2015-11-30T00:00:00"/>
    <n v="-7.2405530417851693E-4"/>
    <x v="1"/>
  </r>
  <r>
    <x v="2"/>
    <x v="5"/>
    <s v="CHF_S4"/>
    <n v="4713172.1100000003"/>
    <n v="718594.03897233924"/>
    <n v="5.36"/>
    <n v="0"/>
    <n v="0"/>
    <n v="0"/>
    <n v="6.558880055198208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9.0618041423597973E-3"/>
    <x v="1"/>
  </r>
  <r>
    <x v="3"/>
    <x v="5"/>
    <s v="CHF_S4"/>
    <n v="4645760.9000000004"/>
    <n v="708316.18521793594"/>
    <n v="5.36"/>
    <n v="0"/>
    <n v="0"/>
    <n v="0"/>
    <n v="6.558880055198208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4302726152726875E-2"/>
    <x v="1"/>
  </r>
  <r>
    <x v="4"/>
    <x v="5"/>
    <s v="CHF_S4"/>
    <n v="5998952.4000000004"/>
    <n v="721178.42453299067"/>
    <n v="5.36"/>
    <n v="1246200"/>
    <n v="0"/>
    <n v="0"/>
    <n v="8.3182638247736094"/>
    <n v="1246200"/>
    <n v="0"/>
    <n v="1246200"/>
    <n v="1246200"/>
    <s v="Private Equity Fund"/>
    <n v="0"/>
    <n v="0"/>
    <n v="0"/>
    <n v="0"/>
    <m/>
    <m/>
    <m/>
    <m/>
    <m/>
    <m/>
    <m/>
    <m/>
    <m/>
    <m/>
    <m/>
    <d v="2016-02-29T00:00:00"/>
    <n v="2.3029919598315907E-2"/>
    <x v="1"/>
  </r>
  <r>
    <x v="5"/>
    <x v="5"/>
    <s v="CHF_S4"/>
    <n v="6073133.46"/>
    <n v="730096.27825374808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2365669045815375E-2"/>
    <x v="1"/>
  </r>
  <r>
    <x v="6"/>
    <x v="5"/>
    <s v="CHF_S4"/>
    <n v="6144593.5999999996"/>
    <n v="738687.03006269841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1766601289213252E-2"/>
    <x v="1"/>
  </r>
  <r>
    <x v="7"/>
    <x v="5"/>
    <s v="CHF_S4"/>
    <n v="6225331.6399999997"/>
    <n v="748393.14683186659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3139687545812739E-2"/>
    <x v="1"/>
  </r>
  <r>
    <x v="8"/>
    <x v="5"/>
    <s v="CHF_S4"/>
    <n v="6439846.71"/>
    <n v="774181.58953082585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4458416419402171E-2"/>
    <x v="1"/>
  </r>
  <r>
    <x v="9"/>
    <x v="5"/>
    <s v="CHF_S4"/>
    <n v="6491037.9299999997"/>
    <n v="780335.66459725273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7.9491364166337508E-3"/>
    <x v="1"/>
  </r>
  <r>
    <x v="10"/>
    <x v="5"/>
    <s v="CHF_S4"/>
    <n v="6480549.9699999997"/>
    <n v="779074.8293771958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1.615760085382778E-3"/>
    <x v="1"/>
  </r>
  <r>
    <x v="11"/>
    <x v="5"/>
    <s v="CHF_S4"/>
    <n v="6803889.1299999999"/>
    <n v="817945.82058536413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4.9893783937599911E-2"/>
    <x v="1"/>
  </r>
  <r>
    <x v="12"/>
    <x v="5"/>
    <s v="CHF_S4"/>
    <n v="7047647.7400000002"/>
    <n v="847249.84545579855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5826364207671935E-2"/>
    <x v="1"/>
  </r>
  <r>
    <x v="13"/>
    <x v="5"/>
    <s v="CHF_S4"/>
    <n v="7085855.7599999998"/>
    <n v="851843.11405184958"/>
    <n v="5.36"/>
    <n v="0"/>
    <n v="-9.3132257461547852E-10"/>
    <n v="0"/>
    <n v="8.3182638247736094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6-11-30T00:00:00"/>
    <n v="5.4213861716079226E-3"/>
    <x v="1"/>
  </r>
  <r>
    <x v="14"/>
    <x v="5"/>
    <s v="CHF_S4"/>
    <n v="7050644.8899999997"/>
    <n v="847610.15501836292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4.9691767928394803E-3"/>
    <x v="1"/>
  </r>
  <r>
    <x v="15"/>
    <x v="5"/>
    <s v="CHF_S4"/>
    <n v="7160134.9800000004"/>
    <n v="860772.76831200661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5529088715741768E-2"/>
    <x v="1"/>
  </r>
  <r>
    <x v="16"/>
    <x v="5"/>
    <s v="CHF_S4"/>
    <n v="7477471.9100000001"/>
    <n v="898922.18707111129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4.4319964761334596E-2"/>
    <x v="1"/>
  </r>
  <r>
    <x v="17"/>
    <x v="5"/>
    <s v="CHF_S4"/>
    <n v="7379042.8799999999"/>
    <n v="887089.30558605224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316341019862155E-2"/>
    <x v="1"/>
  </r>
  <r>
    <x v="18"/>
    <x v="5"/>
    <s v="CHF_S4"/>
    <n v="7339903.3500000006"/>
    <n v="882384.05328527361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5.3041472500562348E-3"/>
    <x v="1"/>
  </r>
  <r>
    <x v="19"/>
    <x v="5"/>
    <s v="CHF_S4"/>
    <n v="7155239.6299999999"/>
    <n v="860184.26209206437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515887624051627E-2"/>
    <x v="1"/>
  </r>
  <r>
    <x v="20"/>
    <x v="5"/>
    <s v="CHF_S4"/>
    <n v="7447567.6100000003"/>
    <n v="895327.17005434656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4.0855092927195358E-2"/>
    <x v="1"/>
  </r>
  <r>
    <x v="21"/>
    <x v="5"/>
    <s v="CHF_S4"/>
    <n v="7613230.5"/>
    <n v="915242.73098024784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2243892056456271E-2"/>
    <x v="1"/>
  </r>
  <r>
    <x v="22"/>
    <x v="5"/>
    <s v="CHF_S4"/>
    <n v="7662300"/>
    <n v="921141.73839737976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6.445292835938643E-3"/>
    <x v="1"/>
  </r>
  <r>
    <x v="23"/>
    <x v="5"/>
    <s v="CHF_S4"/>
    <n v="7625108.6931535918"/>
    <n v="916670.6964071457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4.8538045817062558E-3"/>
    <x v="1"/>
  </r>
  <r>
    <x v="24"/>
    <x v="5"/>
    <s v="CHF_S4"/>
    <n v="7665296.4900000002"/>
    <n v="921501.96861646418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5.2704556044547157E-3"/>
    <x v="1"/>
  </r>
  <r>
    <x v="25"/>
    <x v="5"/>
    <s v="CHF_S4"/>
    <n v="7704700"/>
    <n v="926238.95590492303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5.1405069655694469E-3"/>
    <x v="1"/>
  </r>
  <r>
    <x v="26"/>
    <x v="5"/>
    <s v="CHF_S4"/>
    <n v="8108400"/>
    <n v="974770.71788122552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5.2396589094968027E-2"/>
    <x v="1"/>
  </r>
  <r>
    <x v="27"/>
    <x v="5"/>
    <s v="CHF_S4"/>
    <n v="8201800"/>
    <n v="985999.02248510625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1518918652261956E-2"/>
    <x v="1"/>
  </r>
  <r>
    <x v="28"/>
    <x v="5"/>
    <s v="CHF_S4"/>
    <n v="8286601.4900000002"/>
    <n v="996193.63662410993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0339375502938397E-2"/>
    <x v="1"/>
  </r>
  <r>
    <x v="29"/>
    <x v="5"/>
    <s v="CHF_S4"/>
    <n v="8385406.5700000003"/>
    <n v="1008071.7258602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1.1923474312024673E-2"/>
    <x v="1"/>
  </r>
  <r>
    <x v="30"/>
    <x v="5"/>
    <s v="CHF_S4"/>
    <n v="8455532.5399999991"/>
    <n v="1016502.087228536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8-04-30T00:00:00"/>
    <n v="8.3628586657782389E-3"/>
    <x v="1"/>
  </r>
  <r>
    <x v="31"/>
    <x v="5"/>
    <s v="CHF_S4"/>
    <n v="8521073.6699999999"/>
    <n v="1024381.2710799553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7.7512716898611167E-3"/>
    <x v="1"/>
  </r>
  <r>
    <x v="32"/>
    <x v="5"/>
    <s v="CHF_S4"/>
    <n v="8604963.5"/>
    <n v="1034466.2878295031"/>
    <n v="5.36"/>
    <n v="0"/>
    <n v="0"/>
    <n v="0"/>
    <n v="8.3182638247736094"/>
    <n v="0"/>
    <n v="0"/>
    <n v="-8604963.5"/>
    <n v="-8604963.5"/>
    <s v="Private Equity Fund"/>
    <n v="0"/>
    <n v="0"/>
    <n v="0"/>
    <n v="0"/>
    <m/>
    <m/>
    <m/>
    <m/>
    <m/>
    <m/>
    <m/>
    <m/>
    <m/>
    <m/>
    <m/>
    <d v="2018-06-29T00:00:00"/>
    <n v="9.8449835371510197E-3"/>
    <x v="1"/>
  </r>
  <r>
    <x v="33"/>
    <x v="5"/>
    <s v="CHF_S4"/>
    <n v="8604963.5"/>
    <n v="1034466.2878295031"/>
    <n v="5.36"/>
    <n v="0"/>
    <n v="0"/>
    <n v="0"/>
    <n v="8.3182638247736094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200"/>
    <x v="5"/>
    <s v="CHF_S5"/>
    <n v="300080"/>
    <n v="300080"/>
    <n v="2.63"/>
    <n v="300080"/>
    <n v="0"/>
    <n v="0"/>
    <n v="1"/>
    <n v="300080"/>
    <n v="300080"/>
    <n v="300080"/>
    <n v="300080"/>
    <s v="Private Equity Fund"/>
    <n v="0"/>
    <n v="0"/>
    <n v="0"/>
    <n v="0"/>
    <m/>
    <m/>
    <m/>
    <m/>
    <m/>
    <m/>
    <m/>
    <m/>
    <m/>
    <m/>
    <m/>
    <d v="2014-08-05T00:00:00"/>
    <n v="0"/>
    <x v="1"/>
  </r>
  <r>
    <x v="201"/>
    <x v="5"/>
    <s v="CHF_S5"/>
    <n v="665910"/>
    <n v="300080"/>
    <n v="2.63"/>
    <n v="365830"/>
    <n v="0"/>
    <n v="0"/>
    <n v="2.2191082378032525"/>
    <n v="365830"/>
    <n v="0"/>
    <n v="365830"/>
    <n v="365830"/>
    <s v="Private Equity Fund"/>
    <n v="0"/>
    <n v="0"/>
    <n v="0"/>
    <n v="0"/>
    <m/>
    <m/>
    <m/>
    <m/>
    <m/>
    <m/>
    <m/>
    <m/>
    <m/>
    <m/>
    <m/>
    <d v="2014-08-19T00:00:00"/>
    <n v="0"/>
    <x v="1"/>
  </r>
  <r>
    <x v="46"/>
    <x v="5"/>
    <s v="CHF_S5"/>
    <n v="667641.24600000004"/>
    <n v="300860.15392422403"/>
    <n v="2.63"/>
    <n v="0"/>
    <n v="0"/>
    <n v="0"/>
    <n v="2.2191082378032525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2.5998197954679725E-3"/>
    <x v="1"/>
  </r>
  <r>
    <x v="47"/>
    <x v="5"/>
    <s v="CHF_S5"/>
    <n v="650611.29"/>
    <n v="293185.91987385682"/>
    <n v="2.63"/>
    <n v="0"/>
    <n v="0"/>
    <n v="0"/>
    <n v="2.2191082378032525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5507645164271397E-2"/>
    <x v="1"/>
  </r>
  <r>
    <x v="184"/>
    <x v="5"/>
    <s v="CHF_S5"/>
    <n v="1103306.8999999999"/>
    <n v="295388.16098270967"/>
    <n v="2.63"/>
    <n v="444470"/>
    <n v="0"/>
    <n v="0"/>
    <n v="3.7351087339772606"/>
    <n v="444470"/>
    <n v="0"/>
    <n v="444470"/>
    <n v="444470"/>
    <s v="Private Equity Fund"/>
    <n v="0"/>
    <n v="0"/>
    <n v="0"/>
    <n v="0"/>
    <m/>
    <m/>
    <m/>
    <m/>
    <m/>
    <m/>
    <m/>
    <m/>
    <m/>
    <m/>
    <m/>
    <d v="2014-10-31T00:00:00"/>
    <n v="1.2642894653733805E-2"/>
    <x v="1"/>
  </r>
  <r>
    <x v="185"/>
    <x v="5"/>
    <s v="CHF_S5"/>
    <n v="1125599.1140000001"/>
    <n v="301356.45148981432"/>
    <n v="2.63"/>
    <n v="0"/>
    <n v="0"/>
    <n v="0"/>
    <n v="3.7351087339772606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2.0204907628149638E-2"/>
    <x v="1"/>
  </r>
  <r>
    <x v="186"/>
    <x v="5"/>
    <s v="CHF_S5"/>
    <n v="1128516.96"/>
    <n v="302137.64588275313"/>
    <n v="2.63"/>
    <n v="0"/>
    <n v="0"/>
    <n v="0"/>
    <n v="3.7351087339772606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2.592260391562462E-3"/>
    <x v="1"/>
  </r>
  <r>
    <x v="187"/>
    <x v="5"/>
    <s v="CHF_S5"/>
    <n v="1465704.2904999999"/>
    <n v="308904.42449872446"/>
    <n v="2.63"/>
    <n v="305080"/>
    <n v="0"/>
    <n v="0"/>
    <n v="4.7448471898014271"/>
    <n v="305080"/>
    <n v="0"/>
    <n v="305080"/>
    <n v="305080"/>
    <s v="Private Equity Fund"/>
    <n v="0"/>
    <n v="0"/>
    <n v="0"/>
    <n v="0"/>
    <m/>
    <m/>
    <m/>
    <m/>
    <m/>
    <m/>
    <m/>
    <m/>
    <m/>
    <m/>
    <m/>
    <d v="2015-01-30T00:00:00"/>
    <n v="2.8450906488813432E-2"/>
    <x v="1"/>
  </r>
  <r>
    <x v="188"/>
    <x v="5"/>
    <s v="CHF_S5"/>
    <n v="1604997.6754999999"/>
    <n v="312211.02316488599"/>
    <n v="2.63"/>
    <n v="122295"/>
    <n v="0"/>
    <n v="0"/>
    <n v="5.140746342746402"/>
    <n v="122295"/>
    <n v="0"/>
    <n v="122295"/>
    <n v="122295"/>
    <s v="Private Equity Fund"/>
    <n v="0"/>
    <n v="0"/>
    <n v="0"/>
    <n v="0"/>
    <m/>
    <m/>
    <m/>
    <m/>
    <m/>
    <m/>
    <m/>
    <m/>
    <m/>
    <m/>
    <m/>
    <d v="2015-02-27T00:00:00"/>
    <n v="1.1597417780772945E-2"/>
    <x v="1"/>
  </r>
  <r>
    <x v="189"/>
    <x v="5"/>
    <s v="CHF_S5"/>
    <n v="1837353.1429999999"/>
    <n v="318292.49247448903"/>
    <n v="2.63"/>
    <n v="197250"/>
    <n v="0"/>
    <n v="0"/>
    <n v="5.7725305699670653"/>
    <n v="197250"/>
    <n v="0"/>
    <n v="197250"/>
    <n v="197250"/>
    <s v="Private Equity Fund"/>
    <n v="0"/>
    <n v="0"/>
    <n v="0"/>
    <n v="0"/>
    <m/>
    <m/>
    <m/>
    <m/>
    <m/>
    <m/>
    <m/>
    <m/>
    <m/>
    <m/>
    <m/>
    <d v="2015-03-31T00:00:00"/>
    <n v="2.187259709835021E-2"/>
    <x v="1"/>
  </r>
  <r>
    <x v="190"/>
    <x v="5"/>
    <s v="CHF_S5"/>
    <n v="2002566.909"/>
    <n v="342017.51286534505"/>
    <n v="2.63"/>
    <n v="26300"/>
    <n v="0"/>
    <n v="0"/>
    <n v="5.8551589718986881"/>
    <n v="26300"/>
    <n v="0"/>
    <n v="26300"/>
    <n v="26300"/>
    <s v="Private Equity Fund"/>
    <n v="0"/>
    <n v="0"/>
    <n v="0"/>
    <n v="0"/>
    <m/>
    <m/>
    <m/>
    <m/>
    <m/>
    <m/>
    <m/>
    <m/>
    <m/>
    <m/>
    <m/>
    <d v="2015-04-30T00:00:00"/>
    <n v="7.5605370981206121E-2"/>
    <x v="1"/>
  </r>
  <r>
    <x v="191"/>
    <x v="5"/>
    <s v="CHF_S5"/>
    <n v="2084092.9754999999"/>
    <n v="342449.01659430919"/>
    <n v="2.63"/>
    <n v="78900"/>
    <n v="0"/>
    <n v="0"/>
    <n v="6.0858489132966991"/>
    <n v="78900"/>
    <n v="0"/>
    <n v="78900"/>
    <n v="78900"/>
    <s v="Private Equity Fund"/>
    <n v="0"/>
    <n v="0"/>
    <n v="0"/>
    <n v="0"/>
    <m/>
    <m/>
    <m/>
    <m/>
    <m/>
    <m/>
    <m/>
    <m/>
    <m/>
    <m/>
    <m/>
    <d v="2015-05-29T00:00:00"/>
    <n v="1.3113501916954817E-3"/>
    <x v="1"/>
  </r>
  <r>
    <x v="192"/>
    <x v="5"/>
    <s v="CHF_S5"/>
    <n v="2052580.9595000001"/>
    <n v="337271.10034154938"/>
    <n v="2.63"/>
    <n v="0"/>
    <n v="0"/>
    <n v="0"/>
    <n v="6.0858489132966991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5120254408246714E-2"/>
    <x v="1"/>
  </r>
  <r>
    <x v="193"/>
    <x v="5"/>
    <s v="CHF_S5"/>
    <n v="2094321.554"/>
    <n v="331800.6513487933"/>
    <n v="2.63"/>
    <n v="76270"/>
    <n v="0"/>
    <n v="0"/>
    <n v="6.3119874704477938"/>
    <n v="76270"/>
    <n v="0"/>
    <n v="76270"/>
    <n v="76270"/>
    <s v="Private Equity Fund"/>
    <n v="0"/>
    <n v="0"/>
    <n v="0"/>
    <n v="0"/>
    <m/>
    <m/>
    <m/>
    <m/>
    <m/>
    <m/>
    <m/>
    <m/>
    <m/>
    <m/>
    <m/>
    <d v="2015-07-31T00:00:00"/>
    <n v="-1.6822432918022989E-2"/>
    <x v="1"/>
  </r>
  <r>
    <x v="194"/>
    <x v="5"/>
    <s v="CHF_S5"/>
    <n v="2062285.2410000002"/>
    <n v="326725.17977189436"/>
    <n v="2.63"/>
    <n v="0"/>
    <n v="0"/>
    <n v="0"/>
    <n v="6.3119874704477938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5296749889630257E-2"/>
    <x v="1"/>
  </r>
  <r>
    <x v="195"/>
    <x v="5"/>
    <s v="CHF_S5"/>
    <n v="2069444.9439999999"/>
    <n v="327859.48224532622"/>
    <n v="2.63"/>
    <n v="0"/>
    <n v="0"/>
    <n v="0"/>
    <n v="6.3119874704477938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4717326476758625E-3"/>
    <x v="1"/>
  </r>
  <r>
    <x v="196"/>
    <x v="5"/>
    <s v="CHF_S5"/>
    <n v="2129597.2935000001"/>
    <n v="337389.34107055812"/>
    <n v="2.63"/>
    <n v="0"/>
    <n v="0"/>
    <n v="0"/>
    <n v="6.3119874704477938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9066900124307127E-2"/>
    <x v="1"/>
  </r>
  <r>
    <x v="1"/>
    <x v="5"/>
    <s v="CHF_S5"/>
    <n v="2230071.602"/>
    <n v="335491.43945285561"/>
    <n v="2.63"/>
    <n v="113090"/>
    <n v="0"/>
    <n v="0"/>
    <n v="6.6471788539134309"/>
    <n v="113090"/>
    <n v="0"/>
    <n v="113090"/>
    <n v="113090"/>
    <s v="Private Equity Fund"/>
    <n v="0"/>
    <n v="0"/>
    <n v="0"/>
    <n v="0"/>
    <m/>
    <m/>
    <m/>
    <m/>
    <m/>
    <m/>
    <m/>
    <m/>
    <m/>
    <m/>
    <m/>
    <d v="2015-11-30T00:00:00"/>
    <n v="-5.9239798709859182E-3"/>
    <x v="1"/>
  </r>
  <r>
    <x v="2"/>
    <x v="5"/>
    <s v="CHF_S5"/>
    <n v="2247136.7544999998"/>
    <n v="338058.71692124405"/>
    <n v="2.63"/>
    <n v="0"/>
    <n v="0"/>
    <n v="0"/>
    <n v="6.647178853913430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7.6522890496857343E-3"/>
    <x v="1"/>
  </r>
  <r>
    <x v="3"/>
    <x v="5"/>
    <s v="CHF_S5"/>
    <n v="2224103.6924999999"/>
    <n v="334593.62857230642"/>
    <n v="2.63"/>
    <n v="0"/>
    <n v="0"/>
    <n v="0"/>
    <n v="6.647178853913430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0249960067572728E-2"/>
    <x v="1"/>
  </r>
  <r>
    <x v="4"/>
    <x v="5"/>
    <s v="CHF_S5"/>
    <n v="2865344.7275"/>
    <n v="339427.49378171301"/>
    <n v="2.63"/>
    <n v="600435"/>
    <n v="0"/>
    <n v="0"/>
    <n v="8.4416989784060128"/>
    <n v="600435"/>
    <n v="0"/>
    <n v="600435"/>
    <n v="600435"/>
    <s v="Private Equity Fund"/>
    <n v="0"/>
    <n v="0"/>
    <n v="0"/>
    <n v="0"/>
    <m/>
    <m/>
    <m/>
    <m/>
    <m/>
    <m/>
    <m/>
    <m/>
    <m/>
    <m/>
    <m/>
    <d v="2016-02-29T00:00:00"/>
    <n v="1.8347181895162601E-2"/>
    <x v="1"/>
  </r>
  <r>
    <x v="5"/>
    <x v="5"/>
    <s v="CHF_S5"/>
    <n v="2885692.6055000001"/>
    <n v="341837.89458515914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7.101371714444138E-3"/>
    <x v="1"/>
  </r>
  <r>
    <x v="6"/>
    <x v="5"/>
    <s v="CHF_S5"/>
    <n v="2929170.6154999998"/>
    <n v="346988.28079428803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5066750324387534E-2"/>
    <x v="1"/>
  </r>
  <r>
    <x v="7"/>
    <x v="5"/>
    <s v="CHF_S5"/>
    <n v="2959422.4470000002"/>
    <n v="350571.89963421406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032778061473083E-2"/>
    <x v="1"/>
  </r>
  <r>
    <x v="8"/>
    <x v="5"/>
    <s v="CHF_S5"/>
    <n v="3028777.0325000002"/>
    <n v="358787.61375496275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3435175863556035E-2"/>
    <x v="1"/>
  </r>
  <r>
    <x v="9"/>
    <x v="5"/>
    <s v="CHF_S5"/>
    <n v="3073498.9920000001"/>
    <n v="364085.35768238769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4765682326600915E-2"/>
    <x v="1"/>
  </r>
  <r>
    <x v="10"/>
    <x v="5"/>
    <s v="CHF_S5"/>
    <n v="3065489.6970000002"/>
    <n v="363136.58007014543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6059208156069547E-3"/>
    <x v="1"/>
  </r>
  <r>
    <x v="11"/>
    <x v="5"/>
    <s v="CHF_S5"/>
    <n v="3170103.5235000001"/>
    <n v="375529.08858858515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4126301778922619E-2"/>
    <x v="1"/>
  </r>
  <r>
    <x v="12"/>
    <x v="5"/>
    <s v="CHF_S5"/>
    <n v="3268102.1060000001"/>
    <n v="387137.95817167283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0913369791723211E-2"/>
    <x v="1"/>
  </r>
  <r>
    <x v="13"/>
    <x v="5"/>
    <s v="CHF_S5"/>
    <n v="3284136.1575000002"/>
    <n v="389037.34495874203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9062272168800547E-3"/>
    <x v="1"/>
  </r>
  <r>
    <x v="14"/>
    <x v="5"/>
    <s v="CHF_S5"/>
    <n v="3262282.7170000002"/>
    <n v="386448.59587447578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6.6542431409529756E-3"/>
    <x v="1"/>
  </r>
  <r>
    <x v="15"/>
    <x v="5"/>
    <s v="CHF_S5"/>
    <n v="3315318.4925000002"/>
    <n v="392731.19083973882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6257259134417223E-2"/>
    <x v="1"/>
  </r>
  <r>
    <x v="16"/>
    <x v="5"/>
    <s v="CHF_S5"/>
    <n v="3443498.6370000001"/>
    <n v="407915.35516825691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8662995663907518E-2"/>
    <x v="1"/>
  </r>
  <r>
    <x v="17"/>
    <x v="5"/>
    <s v="CHF_S5"/>
    <n v="3388011.1894999999"/>
    <n v="401342.33620111085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6113683596036266E-2"/>
    <x v="1"/>
  </r>
  <r>
    <x v="18"/>
    <x v="5"/>
    <s v="CHF_S5"/>
    <n v="3379414.0520000001"/>
    <n v="400323.92302125314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5375174458229788E-3"/>
    <x v="1"/>
  </r>
  <r>
    <x v="19"/>
    <x v="5"/>
    <s v="CHF_S5"/>
    <n v="3287223.9780000001"/>
    <n v="389403.12683605117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7279898994750362E-2"/>
    <x v="1"/>
  </r>
  <r>
    <x v="20"/>
    <x v="5"/>
    <s v="CHF_S5"/>
    <n v="3405044.0589999999"/>
    <n v="403360.04253529431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5841817225878092E-2"/>
    <x v="1"/>
  </r>
  <r>
    <x v="21"/>
    <x v="5"/>
    <s v="CHF_S5"/>
    <n v="3481511.3000000003"/>
    <n v="412418.31874196843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2457048917733369E-2"/>
    <x v="1"/>
  </r>
  <r>
    <x v="22"/>
    <x v="5"/>
    <s v="CHF_S5"/>
    <n v="3486600"/>
    <n v="413021.12393710943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4616353535890081E-3"/>
    <x v="1"/>
  </r>
  <r>
    <x v="23"/>
    <x v="5"/>
    <s v="CHF_S5"/>
    <n v="3467281.3861674946"/>
    <n v="410732.64932057518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5.5408173672074623E-3"/>
    <x v="1"/>
  </r>
  <r>
    <x v="24"/>
    <x v="5"/>
    <s v="CHF_S5"/>
    <n v="3491400"/>
    <n v="413589.72985545342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6.9560589829038566E-3"/>
    <x v="1"/>
  </r>
  <r>
    <x v="25"/>
    <x v="5"/>
    <s v="CHF_S5"/>
    <n v="3492400"/>
    <n v="413708.18942177511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2.8641805579421309E-4"/>
    <x v="1"/>
  </r>
  <r>
    <x v="26"/>
    <x v="5"/>
    <s v="CHF_S5"/>
    <n v="3653800"/>
    <n v="432827.56342609145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6214637498568356E-2"/>
    <x v="1"/>
  </r>
  <r>
    <x v="27"/>
    <x v="5"/>
    <s v="CHF_S5"/>
    <n v="3700400"/>
    <n v="438347.77921668097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2753845311730183E-2"/>
    <x v="1"/>
  </r>
  <r>
    <x v="28"/>
    <x v="5"/>
    <s v="CHF_S5"/>
    <n v="3732083.6"/>
    <n v="442101.00473218999"/>
    <n v="2.63"/>
    <n v="0"/>
    <n v="0"/>
    <n v="0"/>
    <n v="8.4416989784060128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8.5622094908659463E-3"/>
    <x v="1"/>
  </r>
  <r>
    <x v="29"/>
    <x v="5"/>
    <s v="CHF_S5"/>
    <n v="3756526.6834999998"/>
    <n v="444996.52180316416"/>
    <n v="2.63"/>
    <n v="0"/>
    <n v="0"/>
    <n v="0"/>
    <n v="8.4416989784060128"/>
    <n v="0"/>
    <n v="0"/>
    <n v="0"/>
    <n v="0"/>
    <s v="Private Equity Fund"/>
    <n v="1.4683595309372504E-2"/>
    <n v="0.19879882649999997"/>
    <n v="0"/>
    <n v="0"/>
    <m/>
    <m/>
    <m/>
    <m/>
    <m/>
    <m/>
    <m/>
    <m/>
    <m/>
    <m/>
    <m/>
    <d v="2018-03-29T00:00:00"/>
    <n v="6.5494469362903374E-3"/>
    <x v="1"/>
  </r>
  <r>
    <x v="30"/>
    <x v="5"/>
    <s v="CHF_S5"/>
    <n v="3805919.9794999999"/>
    <n v="450847.63022652169"/>
    <n v="2.63"/>
    <n v="0"/>
    <n v="0"/>
    <n v="0"/>
    <n v="8.4416989784060128"/>
    <n v="0"/>
    <n v="0"/>
    <n v="0"/>
    <n v="0"/>
    <s v="Private Equity Fund"/>
    <n v="5.2849000000000004E-3"/>
    <n v="0.20751528999999999"/>
    <n v="0"/>
    <n v="0"/>
    <m/>
    <m/>
    <m/>
    <m/>
    <m/>
    <m/>
    <m/>
    <m/>
    <m/>
    <m/>
    <m/>
    <d v="2018-04-30T00:00:00"/>
    <n v="1.31486610269409E-2"/>
    <x v="1"/>
  </r>
  <r>
    <x v="31"/>
    <x v="5"/>
    <s v="CHF_S5"/>
    <n v="3829040.5065000001"/>
    <n v="453586.47782807"/>
    <n v="2.63"/>
    <n v="0"/>
    <n v="0"/>
    <n v="0"/>
    <n v="8.4416989784060128"/>
    <n v="0"/>
    <n v="0"/>
    <n v="0"/>
    <n v="0"/>
    <s v="Private Equity Fund"/>
    <n v="5.0774000000000001E-3"/>
    <n v="0.21159538"/>
    <n v="0"/>
    <n v="0"/>
    <m/>
    <m/>
    <m/>
    <m/>
    <m/>
    <m/>
    <m/>
    <m/>
    <m/>
    <m/>
    <m/>
    <d v="2018-05-31T00:00:00"/>
    <n v="6.0748852116008223E-3"/>
    <x v="1"/>
  </r>
  <r>
    <x v="32"/>
    <x v="5"/>
    <s v="CHF_S5"/>
    <n v="3834910.7850000001"/>
    <n v="454281.86847336742"/>
    <n v="2.63"/>
    <n v="0"/>
    <n v="0"/>
    <n v="0"/>
    <n v="8.4416989784060128"/>
    <n v="0"/>
    <n v="0"/>
    <n v="-3834910.7850000001"/>
    <n v="-3834910.7850000001"/>
    <s v="Private Equity Fund"/>
    <n v="5.1203999999999998E-3"/>
    <n v="0.21263132000000001"/>
    <n v="0"/>
    <n v="0"/>
    <m/>
    <m/>
    <m/>
    <m/>
    <m/>
    <m/>
    <m/>
    <m/>
    <m/>
    <m/>
    <m/>
    <d v="2018-06-29T00:00:00"/>
    <n v="1.5330938625577328E-3"/>
    <x v="1"/>
  </r>
  <r>
    <x v="33"/>
    <x v="5"/>
    <s v="CHF_S5"/>
    <n v="3834910.7850000001"/>
    <n v="454281.86847336742"/>
    <n v="2.63"/>
    <n v="0"/>
    <n v="0"/>
    <n v="0"/>
    <n v="8.4416989784060128"/>
    <n v="0"/>
    <n v="0"/>
    <n v="0"/>
    <n v="0"/>
    <s v="Private Equity Fund"/>
    <n v="5.1203999999999998E-3"/>
    <n v="0.21263132000000001"/>
    <n v="0"/>
    <n v="0"/>
    <m/>
    <m/>
    <m/>
    <m/>
    <m/>
    <m/>
    <m/>
    <m/>
    <m/>
    <m/>
    <m/>
    <d v="2018-07-31T00:00:00"/>
    <n v="0"/>
    <x v="1"/>
  </r>
  <r>
    <x v="200"/>
    <x v="5"/>
    <s v="CHF_S5c"/>
    <n v="319200"/>
    <n v="319200"/>
    <n v="2.8"/>
    <n v="319200"/>
    <n v="0"/>
    <n v="0"/>
    <n v="1"/>
    <n v="319200"/>
    <n v="319200"/>
    <n v="319200"/>
    <n v="319200"/>
    <s v="Private Equity Fund"/>
    <n v="0"/>
    <n v="0"/>
    <n v="0"/>
    <n v="0"/>
    <m/>
    <m/>
    <m/>
    <m/>
    <m/>
    <m/>
    <m/>
    <m/>
    <m/>
    <m/>
    <m/>
    <d v="2014-08-05T00:00:00"/>
    <n v="0"/>
    <x v="1"/>
  </r>
  <r>
    <x v="201"/>
    <x v="5"/>
    <s v="CHF_S5c"/>
    <n v="708399.99999999988"/>
    <n v="319199.99999999994"/>
    <n v="2.8"/>
    <n v="389200"/>
    <n v="0"/>
    <n v="0"/>
    <n v="2.2192982456140351"/>
    <n v="389200"/>
    <n v="0"/>
    <n v="389200"/>
    <n v="389200"/>
    <s v="Private Equity Fund"/>
    <n v="0"/>
    <n v="0"/>
    <n v="0"/>
    <n v="0"/>
    <m/>
    <m/>
    <m/>
    <m/>
    <m/>
    <m/>
    <m/>
    <m/>
    <m/>
    <m/>
    <m/>
    <d v="2014-08-19T00:00:00"/>
    <n v="-3.3306690738754696E-16"/>
    <x v="1"/>
  </r>
  <r>
    <x v="46"/>
    <x v="5"/>
    <s v="CHF_S5c"/>
    <n v="710243.71799999999"/>
    <n v="320030.76621343871"/>
    <n v="2.8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2.6026510446077733E-3"/>
    <x v="1"/>
  </r>
  <r>
    <x v="47"/>
    <x v="5"/>
    <s v="CHF_S5c"/>
    <n v="689478.5"/>
    <n v="310674.10671936761"/>
    <n v="2.8"/>
    <n v="0"/>
    <n v="-1.1641532182693481E-10"/>
    <n v="0"/>
    <n v="2.2192982456140351"/>
    <n v="-1.1641532182693481E-10"/>
    <n v="0"/>
    <n v="-1.1641532182693481E-10"/>
    <n v="-1.1641532182693481E-10"/>
    <s v="Private Equity Fund"/>
    <n v="0"/>
    <n v="0"/>
    <n v="0"/>
    <n v="0"/>
    <m/>
    <m/>
    <m/>
    <m/>
    <m/>
    <m/>
    <m/>
    <m/>
    <m/>
    <m/>
    <m/>
    <d v="2014-09-30T00:00:00"/>
    <n v="-2.9236749968691522E-2"/>
    <x v="1"/>
  </r>
  <r>
    <x v="184"/>
    <x v="5"/>
    <s v="CHF_S5c"/>
    <n v="1170752.6000000001"/>
    <n v="312831.55076349754"/>
    <n v="2.8"/>
    <n v="473200"/>
    <n v="0"/>
    <n v="0"/>
    <n v="3.7424377341181163"/>
    <n v="473200"/>
    <n v="0"/>
    <n v="473200"/>
    <n v="473200"/>
    <s v="Private Equity Fund"/>
    <n v="0"/>
    <n v="0"/>
    <n v="0"/>
    <n v="0"/>
    <m/>
    <m/>
    <m/>
    <m/>
    <m/>
    <m/>
    <m/>
    <m/>
    <m/>
    <m/>
    <m/>
    <d v="2014-10-31T00:00:00"/>
    <n v="1.1710444923228369E-2"/>
    <x v="1"/>
  </r>
  <r>
    <x v="185"/>
    <x v="5"/>
    <s v="CHF_S5c"/>
    <n v="1195039.52"/>
    <n v="319321.14971623011"/>
    <n v="2.8"/>
    <n v="0"/>
    <n v="0"/>
    <n v="0"/>
    <n v="3.7424377341181163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2.0744707293411047E-2"/>
    <x v="1"/>
  </r>
  <r>
    <x v="186"/>
    <x v="5"/>
    <s v="CHF_S5c"/>
    <n v="1196947.0305000001"/>
    <n v="319830.84704067995"/>
    <n v="2.8"/>
    <n v="0"/>
    <n v="0"/>
    <n v="0"/>
    <n v="3.7424377341181163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1.5961903084176221E-3"/>
    <x v="1"/>
  </r>
  <r>
    <x v="187"/>
    <x v="5"/>
    <s v="CHF_S5c"/>
    <n v="1557204.6444999999"/>
    <n v="327283.09665403079"/>
    <n v="2.8"/>
    <n v="324800"/>
    <n v="0"/>
    <n v="0"/>
    <n v="4.7579745499234036"/>
    <n v="324800"/>
    <n v="0"/>
    <n v="324800"/>
    <n v="324800"/>
    <s v="Private Equity Fund"/>
    <n v="0"/>
    <n v="0"/>
    <n v="0"/>
    <n v="0"/>
    <m/>
    <m/>
    <m/>
    <m/>
    <m/>
    <m/>
    <m/>
    <m/>
    <m/>
    <m/>
    <m/>
    <d v="2015-01-30T00:00:00"/>
    <n v="2.9623377723898114E-2"/>
    <x v="1"/>
  </r>
  <r>
    <x v="188"/>
    <x v="5"/>
    <s v="CHF_S5c"/>
    <n v="1705171.0895"/>
    <n v="330729.01411969977"/>
    <n v="2.8"/>
    <n v="130200.00000000001"/>
    <n v="0"/>
    <n v="0"/>
    <n v="5.1557952786169903"/>
    <n v="130200.00000000001"/>
    <n v="0"/>
    <n v="130200.00000000001"/>
    <n v="130200.00000000001"/>
    <s v="Private Equity Fund"/>
    <n v="0"/>
    <n v="0"/>
    <n v="0"/>
    <n v="0"/>
    <m/>
    <m/>
    <m/>
    <m/>
    <m/>
    <m/>
    <m/>
    <m/>
    <m/>
    <m/>
    <m/>
    <d v="2015-02-27T00:00:00"/>
    <n v="1.1409190861811691E-2"/>
    <x v="1"/>
  </r>
  <r>
    <x v="189"/>
    <x v="5"/>
    <s v="CHF_S5c"/>
    <n v="1953412.9445"/>
    <n v="336840.4981910155"/>
    <n v="2.8"/>
    <n v="212800"/>
    <n v="0"/>
    <n v="0"/>
    <n v="5.7992223470476478"/>
    <n v="212800"/>
    <n v="0"/>
    <n v="212800"/>
    <n v="212800"/>
    <s v="Private Equity Fund"/>
    <n v="0"/>
    <n v="0"/>
    <n v="0"/>
    <n v="0"/>
    <m/>
    <m/>
    <m/>
    <m/>
    <m/>
    <m/>
    <m/>
    <m/>
    <m/>
    <m/>
    <m/>
    <d v="2015-03-31T00:00:00"/>
    <n v="2.0784926051257591E-2"/>
    <x v="1"/>
  </r>
  <r>
    <x v="190"/>
    <x v="5"/>
    <s v="CHF_S5c"/>
    <n v="2131696.0809999998"/>
    <n v="362388.65396989201"/>
    <n v="2.8"/>
    <n v="28000"/>
    <n v="0"/>
    <n v="0"/>
    <n v="5.8823477436385341"/>
    <n v="28000"/>
    <n v="0"/>
    <n v="28000"/>
    <n v="28000"/>
    <s v="Private Equity Fund"/>
    <n v="0"/>
    <n v="0"/>
    <n v="0"/>
    <n v="0"/>
    <m/>
    <m/>
    <m/>
    <m/>
    <m/>
    <m/>
    <m/>
    <m/>
    <m/>
    <m/>
    <m/>
    <d v="2015-04-30T00:00:00"/>
    <n v="7.6933623749722013E-2"/>
    <x v="1"/>
  </r>
  <r>
    <x v="191"/>
    <x v="5"/>
    <s v="CHF_S5c"/>
    <n v="2216335.2725"/>
    <n v="362493.19707456254"/>
    <n v="2.8"/>
    <n v="84000"/>
    <n v="0"/>
    <n v="0"/>
    <n v="6.1141430801641059"/>
    <n v="84000"/>
    <n v="0"/>
    <n v="84000"/>
    <n v="84000"/>
    <s v="Private Equity Fund"/>
    <n v="0"/>
    <n v="0"/>
    <n v="0"/>
    <n v="0"/>
    <m/>
    <m/>
    <m/>
    <m/>
    <m/>
    <m/>
    <m/>
    <m/>
    <m/>
    <m/>
    <m/>
    <d v="2015-05-29T00:00:00"/>
    <n v="2.9985113999009272E-4"/>
    <x v="1"/>
  </r>
  <r>
    <x v="192"/>
    <x v="5"/>
    <s v="CHF_S5c"/>
    <n v="2181675.63"/>
    <n v="356824.43171438552"/>
    <n v="2.8"/>
    <n v="0"/>
    <n v="0"/>
    <n v="0"/>
    <n v="6.1141430801641059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5638266885905083E-2"/>
    <x v="1"/>
  </r>
  <r>
    <x v="193"/>
    <x v="5"/>
    <s v="CHF_S5c"/>
    <n v="2225845.8815000001"/>
    <n v="350985.34856290056"/>
    <n v="2.8"/>
    <n v="81200"/>
    <n v="0"/>
    <n v="0"/>
    <n v="6.3417059732369525"/>
    <n v="81200"/>
    <n v="0"/>
    <n v="81200"/>
    <n v="81200"/>
    <s v="Private Equity Fund"/>
    <n v="0"/>
    <n v="0"/>
    <n v="0"/>
    <n v="0"/>
    <m/>
    <m/>
    <m/>
    <m/>
    <m/>
    <m/>
    <m/>
    <m/>
    <m/>
    <m/>
    <m/>
    <d v="2015-07-31T00:00:00"/>
    <n v="-1.6973077019703298E-2"/>
    <x v="1"/>
  </r>
  <r>
    <x v="194"/>
    <x v="5"/>
    <s v="CHF_S5c"/>
    <n v="2191470.3854999999"/>
    <n v="345564.80460437096"/>
    <n v="2.8"/>
    <n v="0"/>
    <n v="0"/>
    <n v="0"/>
    <n v="6.3417059732369525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5443789835455579E-2"/>
    <x v="1"/>
  </r>
  <r>
    <x v="195"/>
    <x v="5"/>
    <s v="CHF_S5c"/>
    <n v="2198833.1365"/>
    <n v="346725.80939252611"/>
    <n v="2.8"/>
    <n v="0"/>
    <n v="0"/>
    <n v="0"/>
    <n v="6.3417059732369525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3597310046789008E-3"/>
    <x v="1"/>
  </r>
  <r>
    <x v="196"/>
    <x v="5"/>
    <s v="CHF_S5c"/>
    <n v="2263410.4670000002"/>
    <n v="356908.76816931699"/>
    <n v="2.8"/>
    <n v="0"/>
    <n v="0"/>
    <n v="0"/>
    <n v="6.3417059732369525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936890909457146E-2"/>
    <x v="1"/>
  </r>
  <r>
    <x v="1"/>
    <x v="5"/>
    <s v="CHF_S5c"/>
    <n v="2369405.517"/>
    <n v="354752.03086523473"/>
    <n v="2.8"/>
    <n v="120400"/>
    <n v="0"/>
    <n v="0"/>
    <n v="6.6790470831725939"/>
    <n v="120400"/>
    <n v="0"/>
    <n v="120400"/>
    <n v="120400"/>
    <s v="Private Equity Fund"/>
    <n v="0"/>
    <n v="0"/>
    <n v="0"/>
    <n v="0"/>
    <m/>
    <m/>
    <m/>
    <m/>
    <m/>
    <m/>
    <m/>
    <m/>
    <m/>
    <m/>
    <m/>
    <d v="2015-11-30T00:00:00"/>
    <n v="-6.3642676439032986E-3"/>
    <x v="1"/>
  </r>
  <r>
    <x v="2"/>
    <x v="5"/>
    <s v="CHF_S5c"/>
    <n v="2387345.2684999998"/>
    <n v="357438.00556740409"/>
    <n v="2.8"/>
    <n v="0"/>
    <n v="0"/>
    <n v="0"/>
    <n v="6.679047083172593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7.5714145895608986E-3"/>
    <x v="1"/>
  </r>
  <r>
    <x v="3"/>
    <x v="5"/>
    <s v="CHF_S5c"/>
    <n v="2363279.3629999999"/>
    <n v="353834.81109964353"/>
    <n v="2.8"/>
    <n v="0"/>
    <n v="0"/>
    <n v="0"/>
    <n v="6.679047083172593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0080613733396304E-2"/>
    <x v="1"/>
  </r>
  <r>
    <x v="4"/>
    <x v="5"/>
    <s v="CHF_S5c"/>
    <n v="3043948.8695"/>
    <n v="358984.92870995559"/>
    <n v="2.8"/>
    <n v="637000"/>
    <n v="0"/>
    <n v="0"/>
    <n v="8.4793221833537746"/>
    <n v="637000"/>
    <n v="0"/>
    <n v="637000"/>
    <n v="637000"/>
    <s v="Private Equity Fund"/>
    <n v="0"/>
    <n v="0"/>
    <n v="0"/>
    <n v="0"/>
    <m/>
    <m/>
    <m/>
    <m/>
    <m/>
    <m/>
    <m/>
    <m/>
    <m/>
    <m/>
    <m/>
    <d v="2016-02-29T00:00:00"/>
    <n v="1.8478351389048298E-2"/>
    <x v="1"/>
  </r>
  <r>
    <x v="5"/>
    <x v="5"/>
    <s v="CHF_S5c"/>
    <n v="3064957.3930000002"/>
    <n v="361462.54697303369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6.9017333735474917E-3"/>
    <x v="1"/>
  </r>
  <r>
    <x v="6"/>
    <x v="5"/>
    <s v="CHF_S5c"/>
    <n v="3111891.9449999998"/>
    <n v="366997.72431210679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5313280408788987E-2"/>
    <x v="1"/>
  </r>
  <r>
    <x v="7"/>
    <x v="5"/>
    <s v="CHF_S5c"/>
    <n v="3144107.9224999999"/>
    <n v="370797.08194982517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0352537321150379E-2"/>
    <x v="1"/>
  </r>
  <r>
    <x v="8"/>
    <x v="5"/>
    <s v="CHF_S5c"/>
    <n v="3217317.9125000001"/>
    <n v="379431.02560910996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3284820942720108E-2"/>
    <x v="1"/>
  </r>
  <r>
    <x v="9"/>
    <x v="5"/>
    <s v="CHF_S5c"/>
    <n v="3265549.5134999999"/>
    <n v="385119.16906645917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4991244978498797E-2"/>
    <x v="1"/>
  </r>
  <r>
    <x v="10"/>
    <x v="5"/>
    <s v="CHF_S5c"/>
    <n v="3257031.5104999999"/>
    <n v="384114.60728477308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6084439892232192E-3"/>
    <x v="1"/>
  </r>
  <r>
    <x v="11"/>
    <x v="5"/>
    <s v="CHF_S5c"/>
    <n v="3367806.8594999998"/>
    <n v="397178.78229836898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4011138253616124E-2"/>
    <x v="1"/>
  </r>
  <r>
    <x v="12"/>
    <x v="5"/>
    <s v="CHF_S5c"/>
    <n v="3472149.8505000002"/>
    <n v="409484.36389365757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0982474753760592E-2"/>
    <x v="1"/>
  </r>
  <r>
    <x v="13"/>
    <x v="5"/>
    <s v="CHF_S5c"/>
    <n v="3489220.0265000002"/>
    <n v="411497.5172602688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9163131589904374E-3"/>
    <x v="1"/>
  </r>
  <r>
    <x v="14"/>
    <x v="5"/>
    <s v="CHF_S5c"/>
    <n v="3465971.2855000002"/>
    <n v="408755.7012875675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6.6630194781154284E-3"/>
    <x v="1"/>
  </r>
  <r>
    <x v="15"/>
    <x v="5"/>
    <s v="CHF_S5c"/>
    <n v="3522416.6405000002"/>
    <n v="415412.52523875679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6285580678680356E-2"/>
    <x v="1"/>
  </r>
  <r>
    <x v="16"/>
    <x v="5"/>
    <s v="CHF_S5c"/>
    <n v="3658891.6715000002"/>
    <n v="431507.56539042381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874471561110604E-2"/>
    <x v="1"/>
  </r>
  <r>
    <x v="17"/>
    <x v="5"/>
    <s v="CHF_S5c"/>
    <n v="3599853.5104999999"/>
    <n v="424544.96157335205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6135531275731085E-2"/>
    <x v="1"/>
  </r>
  <r>
    <x v="18"/>
    <x v="5"/>
    <s v="CHF_S5c"/>
    <n v="3590667.62"/>
    <n v="423461.63317735912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5517400842024474E-3"/>
    <x v="1"/>
  </r>
  <r>
    <x v="19"/>
    <x v="5"/>
    <s v="CHF_S5c"/>
    <n v="3492533.8450000002"/>
    <n v="411888.32898181252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7330230861078664E-2"/>
    <x v="1"/>
  </r>
  <r>
    <x v="20"/>
    <x v="5"/>
    <s v="CHF_S5c"/>
    <n v="3617964.2650000001"/>
    <n v="426680.83447785786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5913873871134872E-2"/>
    <x v="1"/>
  </r>
  <r>
    <x v="21"/>
    <x v="5"/>
    <s v="CHF_S5c"/>
    <n v="3699358.727"/>
    <n v="436280.00528891513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2497309547085731E-2"/>
    <x v="1"/>
  </r>
  <r>
    <x v="22"/>
    <x v="5"/>
    <s v="CHF_S5c"/>
    <n v="3704800"/>
    <n v="436921.71613352507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4708692510101429E-3"/>
    <x v="1"/>
  </r>
  <r>
    <x v="23"/>
    <x v="5"/>
    <s v="CHF_S5c"/>
    <n v="3684195.5575059503"/>
    <n v="434491.75274158095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5.5615532536303913E-3"/>
    <x v="1"/>
  </r>
  <r>
    <x v="24"/>
    <x v="5"/>
    <s v="CHF_S5c"/>
    <n v="3709800"/>
    <n v="437511.38590805209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6.9498054851850899E-3"/>
    <x v="1"/>
  </r>
  <r>
    <x v="25"/>
    <x v="5"/>
    <s v="CHF_S5c"/>
    <n v="3711000"/>
    <n v="437652.90665393858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3.2346757237577961E-4"/>
    <x v="1"/>
  </r>
  <r>
    <x v="26"/>
    <x v="5"/>
    <s v="CHF_S5c"/>
    <n v="3882200"/>
    <n v="457843.19973374298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6133117758016651E-2"/>
    <x v="1"/>
  </r>
  <r>
    <x v="27"/>
    <x v="5"/>
    <s v="CHF_S5c"/>
    <n v="3931800"/>
    <n v="463692.72389705083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2776260883004431E-2"/>
    <x v="1"/>
  </r>
  <r>
    <x v="28"/>
    <x v="5"/>
    <s v="CHF_S5c"/>
    <n v="3965527.85"/>
    <n v="467670.38263800694"/>
    <n v="2.8"/>
    <n v="0"/>
    <n v="0"/>
    <n v="0"/>
    <n v="8.4793221833537746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8.5782211709650724E-3"/>
    <x v="1"/>
  </r>
  <r>
    <x v="29"/>
    <x v="5"/>
    <s v="CHF_S5c"/>
    <n v="3991556.9789999998"/>
    <n v="470740.1007637197"/>
    <n v="2.8"/>
    <n v="0"/>
    <n v="0"/>
    <n v="0"/>
    <n v="8.4793221833537746"/>
    <n v="0"/>
    <n v="0"/>
    <n v="0"/>
    <n v="0"/>
    <s v="Private Equity Fund"/>
    <n v="1.5598715376257248E-2"/>
    <n v="0.21027476100000003"/>
    <n v="0"/>
    <n v="0"/>
    <m/>
    <m/>
    <m/>
    <m/>
    <m/>
    <m/>
    <m/>
    <m/>
    <m/>
    <m/>
    <m/>
    <d v="2018-03-29T00:00:00"/>
    <n v="6.5638497533184736E-3"/>
    <x v="1"/>
  </r>
  <r>
    <x v="30"/>
    <x v="5"/>
    <s v="CHF_S5c"/>
    <n v="4044079.5244999998"/>
    <n v="476934.29227623355"/>
    <n v="2.8"/>
    <n v="0"/>
    <n v="0"/>
    <n v="0"/>
    <n v="8.4793221833537746"/>
    <n v="0"/>
    <n v="0"/>
    <n v="0"/>
    <n v="0"/>
    <s v="Private Equity Fund"/>
    <n v="5.6143E-3"/>
    <n v="0.21954345"/>
    <n v="0"/>
    <n v="0"/>
    <m/>
    <m/>
    <m/>
    <m/>
    <m/>
    <m/>
    <m/>
    <m/>
    <m/>
    <m/>
    <m/>
    <d v="2018-04-30T00:00:00"/>
    <n v="1.3158410559169331E-2"/>
    <x v="1"/>
  </r>
  <r>
    <x v="31"/>
    <x v="5"/>
    <s v="CHF_S5c"/>
    <n v="4068688.5970000001"/>
    <n v="479836.53752271226"/>
    <n v="2.8"/>
    <n v="0"/>
    <n v="0"/>
    <n v="0"/>
    <n v="8.4793221833537746"/>
    <n v="0"/>
    <n v="0"/>
    <n v="0"/>
    <n v="0"/>
    <s v="Private Equity Fund"/>
    <n v="5.3939000000000001E-3"/>
    <n v="0.22388622"/>
    <n v="0"/>
    <n v="0"/>
    <m/>
    <m/>
    <m/>
    <m/>
    <m/>
    <m/>
    <m/>
    <m/>
    <m/>
    <m/>
    <m/>
    <d v="2018-05-31T00:00:00"/>
    <n v="6.0852098359867046E-3"/>
    <x v="1"/>
  </r>
  <r>
    <x v="32"/>
    <x v="5"/>
    <s v="CHF_S5c"/>
    <n v="4075010.8714999999"/>
    <n v="480582.1483584948"/>
    <n v="2.8"/>
    <n v="0"/>
    <n v="0"/>
    <n v="0"/>
    <n v="8.4793221833537746"/>
    <n v="0"/>
    <n v="0"/>
    <n v="-4075010.8714999999"/>
    <n v="-4075010.8714999999"/>
    <s v="Private Equity Fund"/>
    <n v="5.4397999999999998E-3"/>
    <n v="0.22500191999999999"/>
    <n v="0"/>
    <n v="0"/>
    <m/>
    <m/>
    <m/>
    <m/>
    <m/>
    <m/>
    <m/>
    <m/>
    <m/>
    <m/>
    <m/>
    <d v="2018-06-29T00:00:00"/>
    <n v="1.5538850785143943E-3"/>
    <x v="1"/>
  </r>
  <r>
    <x v="33"/>
    <x v="5"/>
    <s v="CHF_S5c"/>
    <n v="4075010.8714999999"/>
    <n v="480582.1483584948"/>
    <n v="2.8"/>
    <n v="0"/>
    <n v="0"/>
    <n v="0"/>
    <n v="8.4793221833537746"/>
    <n v="0"/>
    <n v="0"/>
    <n v="0"/>
    <n v="0"/>
    <s v="Private Equity Fund"/>
    <n v="5.4397999999999998E-3"/>
    <n v="0.22500191999999999"/>
    <n v="0"/>
    <n v="0"/>
    <m/>
    <m/>
    <m/>
    <m/>
    <m/>
    <m/>
    <m/>
    <m/>
    <m/>
    <m/>
    <m/>
    <d v="2018-07-31T00:00:00"/>
    <n v="0"/>
    <x v="1"/>
  </r>
  <r>
    <x v="200"/>
    <x v="5"/>
    <s v="CHF_S5d"/>
    <n v="592800"/>
    <n v="592800"/>
    <n v="5.2"/>
    <n v="592800"/>
    <n v="0"/>
    <n v="0"/>
    <n v="1"/>
    <n v="592800"/>
    <n v="592800"/>
    <n v="592800"/>
    <n v="592800"/>
    <s v="Private Equity Fund"/>
    <n v="0"/>
    <n v="0"/>
    <n v="0"/>
    <n v="0"/>
    <m/>
    <m/>
    <m/>
    <m/>
    <m/>
    <m/>
    <m/>
    <m/>
    <m/>
    <m/>
    <m/>
    <d v="2014-08-05T00:00:00"/>
    <n v="0"/>
    <x v="1"/>
  </r>
  <r>
    <x v="201"/>
    <x v="5"/>
    <s v="CHF_S5d"/>
    <n v="1315599.9999999998"/>
    <n v="592799.99999999988"/>
    <n v="5.2"/>
    <n v="722800"/>
    <n v="0"/>
    <n v="0"/>
    <n v="2.2192982456140351"/>
    <n v="722800"/>
    <n v="0"/>
    <n v="722800"/>
    <n v="722800"/>
    <s v="Private Equity Fund"/>
    <n v="0"/>
    <n v="0"/>
    <n v="0"/>
    <n v="0"/>
    <m/>
    <m/>
    <m/>
    <m/>
    <m/>
    <m/>
    <m/>
    <m/>
    <m/>
    <m/>
    <m/>
    <d v="2014-08-19T00:00:00"/>
    <n v="-4.4408920985006262E-16"/>
    <x v="1"/>
  </r>
  <r>
    <x v="46"/>
    <x v="5"/>
    <s v="CHF_S5d"/>
    <n v="1319648.6265"/>
    <n v="594624.28229644266"/>
    <n v="5.2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3.0773992854973287E-3"/>
    <x v="1"/>
  </r>
  <r>
    <x v="47"/>
    <x v="5"/>
    <s v="CHF_S5d"/>
    <n v="1287631.95"/>
    <n v="580197.79565217393"/>
    <n v="5.2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2.4261516177162545E-2"/>
    <x v="1"/>
  </r>
  <r>
    <x v="184"/>
    <x v="5"/>
    <s v="CHF_S5d"/>
    <n v="2183993.2400000002"/>
    <n v="584900.93056800123"/>
    <n v="5.2"/>
    <n v="878800"/>
    <n v="0"/>
    <n v="0"/>
    <n v="3.7339541208784022"/>
    <n v="878800"/>
    <n v="0"/>
    <n v="878800"/>
    <n v="878800"/>
    <s v="Private Equity Fund"/>
    <n v="0"/>
    <n v="0"/>
    <n v="0"/>
    <n v="0"/>
    <m/>
    <m/>
    <m/>
    <m/>
    <m/>
    <m/>
    <m/>
    <m/>
    <m/>
    <m/>
    <m/>
    <d v="2014-10-31T00:00:00"/>
    <n v="1.3638439151809179E-2"/>
    <x v="1"/>
  </r>
  <r>
    <x v="185"/>
    <x v="5"/>
    <s v="CHF_S5d"/>
    <n v="2227448.085"/>
    <n v="596538.68603934511"/>
    <n v="5.2"/>
    <n v="0"/>
    <n v="0"/>
    <n v="0"/>
    <n v="3.7339541208784022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1.9896968637137302E-2"/>
    <x v="1"/>
  </r>
  <r>
    <x v="186"/>
    <x v="5"/>
    <s v="CHF_S5d"/>
    <n v="2235564.7519999999"/>
    <n v="598712.43181587069"/>
    <n v="5.2"/>
    <n v="0"/>
    <n v="0"/>
    <n v="0"/>
    <n v="3.7339541208784022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3.643930942614837E-3"/>
    <x v="1"/>
  </r>
  <r>
    <x v="187"/>
    <x v="5"/>
    <s v="CHF_S5d"/>
    <n v="2900307.3870000001"/>
    <n v="611692.14090773801"/>
    <n v="5.2"/>
    <n v="603200"/>
    <n v="0"/>
    <n v="0"/>
    <n v="4.7414494858410414"/>
    <n v="603200"/>
    <n v="0"/>
    <n v="603200"/>
    <n v="603200"/>
    <s v="Private Equity Fund"/>
    <n v="0"/>
    <n v="0"/>
    <n v="0"/>
    <n v="0"/>
    <m/>
    <m/>
    <m/>
    <m/>
    <m/>
    <m/>
    <m/>
    <m/>
    <m/>
    <m/>
    <m/>
    <d v="2015-01-30T00:00:00"/>
    <n v="2.7528898433804017E-2"/>
    <x v="1"/>
  </r>
  <r>
    <x v="188"/>
    <x v="5"/>
    <s v="CHF_S5d"/>
    <n v="3177317.9145"/>
    <n v="618546.77707901469"/>
    <n v="5.2"/>
    <n v="241800"/>
    <n v="0"/>
    <n v="0"/>
    <n v="5.1367463743071475"/>
    <n v="241800"/>
    <n v="0"/>
    <n v="241800"/>
    <n v="241800"/>
    <s v="Private Equity Fund"/>
    <n v="0"/>
    <n v="0"/>
    <n v="0"/>
    <n v="0"/>
    <m/>
    <m/>
    <m/>
    <m/>
    <m/>
    <m/>
    <m/>
    <m/>
    <m/>
    <m/>
    <m/>
    <d v="2015-02-27T00:00:00"/>
    <n v="1.2140274392232753E-2"/>
    <x v="1"/>
  </r>
  <r>
    <x v="189"/>
    <x v="5"/>
    <s v="CHF_S5d"/>
    <n v="3632076.7675000001"/>
    <n v="631616.87523972534"/>
    <n v="5.2"/>
    <n v="379600"/>
    <n v="0"/>
    <n v="0"/>
    <n v="5.7504428869502151"/>
    <n v="379600"/>
    <n v="0"/>
    <n v="379600"/>
    <n v="379600"/>
    <s v="Private Equity Fund"/>
    <n v="0"/>
    <n v="0"/>
    <n v="0"/>
    <n v="0"/>
    <m/>
    <m/>
    <m/>
    <m/>
    <m/>
    <m/>
    <m/>
    <m/>
    <m/>
    <m/>
    <m/>
    <d v="2015-03-31T00:00:00"/>
    <n v="2.3654810447832464E-2"/>
    <x v="1"/>
  </r>
  <r>
    <x v="190"/>
    <x v="5"/>
    <s v="CHF_S5d"/>
    <n v="3951943.0134999999"/>
    <n v="677541.22805811861"/>
    <n v="5.2"/>
    <n v="52000"/>
    <n v="0"/>
    <n v="0"/>
    <n v="5.8327712762610036"/>
    <n v="52000"/>
    <n v="0"/>
    <n v="52000"/>
    <n v="52000"/>
    <s v="Private Equity Fund"/>
    <n v="0"/>
    <n v="0"/>
    <n v="0"/>
    <n v="0"/>
    <m/>
    <m/>
    <m/>
    <m/>
    <m/>
    <m/>
    <m/>
    <m/>
    <m/>
    <m/>
    <m/>
    <d v="2015-04-30T00:00:00"/>
    <n v="7.375016089882247E-2"/>
    <x v="1"/>
  </r>
  <r>
    <x v="191"/>
    <x v="5"/>
    <s v="CHF_S5d"/>
    <n v="4119888.9389999998"/>
    <n v="679511.52243828936"/>
    <n v="5.2"/>
    <n v="156000"/>
    <n v="0"/>
    <n v="0"/>
    <n v="6.063015567736973"/>
    <n v="156000"/>
    <n v="0"/>
    <n v="156000"/>
    <n v="156000"/>
    <s v="Private Equity Fund"/>
    <n v="0"/>
    <n v="0"/>
    <n v="0"/>
    <n v="0"/>
    <m/>
    <m/>
    <m/>
    <m/>
    <m/>
    <m/>
    <m/>
    <m/>
    <m/>
    <m/>
    <m/>
    <d v="2015-05-29T00:00:00"/>
    <n v="3.0227980158601397E-3"/>
    <x v="1"/>
  </r>
  <r>
    <x v="192"/>
    <x v="5"/>
    <s v="CHF_S5d"/>
    <n v="4063773.4434999996"/>
    <n v="670256.14532881812"/>
    <n v="5.2"/>
    <n v="0"/>
    <n v="0"/>
    <n v="0"/>
    <n v="6.063015567736973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3620633063380794E-2"/>
    <x v="1"/>
  </r>
  <r>
    <x v="193"/>
    <x v="5"/>
    <s v="CHF_S5d"/>
    <n v="4148424.1315000006"/>
    <n v="659736.22356884694"/>
    <n v="5.2"/>
    <n v="150800"/>
    <n v="0"/>
    <n v="0"/>
    <n v="6.2880041800025417"/>
    <n v="150800"/>
    <n v="0"/>
    <n v="150800"/>
    <n v="150800"/>
    <s v="Private Equity Fund"/>
    <n v="0"/>
    <n v="0"/>
    <n v="0"/>
    <n v="0"/>
    <m/>
    <m/>
    <m/>
    <m/>
    <m/>
    <m/>
    <m/>
    <m/>
    <m/>
    <m/>
    <m/>
    <d v="2015-07-31T00:00:00"/>
    <n v="-1.6277805079366492E-2"/>
    <x v="1"/>
  </r>
  <r>
    <x v="194"/>
    <x v="5"/>
    <s v="CHF_S5d"/>
    <n v="4087134.057"/>
    <n v="649989.08079579996"/>
    <n v="5.2"/>
    <n v="0"/>
    <n v="0"/>
    <n v="0"/>
    <n v="6.2880041800025417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4774302857465837E-2"/>
    <x v="1"/>
  </r>
  <r>
    <x v="195"/>
    <x v="5"/>
    <s v="CHF_S5d"/>
    <n v="4103342.2819999997"/>
    <n v="652566.72300722625"/>
    <n v="5.2"/>
    <n v="0"/>
    <n v="0"/>
    <n v="0"/>
    <n v="6.2880041800025417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9656700205954465E-3"/>
    <x v="1"/>
  </r>
  <r>
    <x v="196"/>
    <x v="5"/>
    <s v="CHF_S5d"/>
    <n v="4218142.5"/>
    <n v="670823.74299539591"/>
    <n v="5.2"/>
    <n v="0"/>
    <n v="0"/>
    <n v="0"/>
    <n v="6.2880041800025417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797724637878507E-2"/>
    <x v="1"/>
  </r>
  <r>
    <x v="1"/>
    <x v="5"/>
    <s v="CHF_S5d"/>
    <n v="4427179.1694999998"/>
    <n v="668624.28458994138"/>
    <n v="5.2"/>
    <n v="223600"/>
    <n v="0"/>
    <n v="0"/>
    <n v="6.6213257154055229"/>
    <n v="223600"/>
    <n v="0"/>
    <n v="223600"/>
    <n v="223600"/>
    <s v="Private Equity Fund"/>
    <n v="0"/>
    <n v="0"/>
    <n v="0"/>
    <n v="0"/>
    <m/>
    <m/>
    <m/>
    <m/>
    <m/>
    <m/>
    <m/>
    <m/>
    <m/>
    <m/>
    <m/>
    <d v="2015-11-30T00:00:00"/>
    <n v="-3.4525458777175944E-3"/>
    <x v="1"/>
  </r>
  <r>
    <x v="2"/>
    <x v="5"/>
    <s v="CHF_S5d"/>
    <n v="4461447.4464999996"/>
    <n v="673799.72504898265"/>
    <n v="5.2"/>
    <n v="0"/>
    <n v="0"/>
    <n v="0"/>
    <n v="6.621325715405522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7.7404314774704996E-3"/>
    <x v="1"/>
  </r>
  <r>
    <x v="3"/>
    <x v="5"/>
    <s v="CHF_S5d"/>
    <n v="4411236.4079999998"/>
    <n v="666216.49464193953"/>
    <n v="5.2"/>
    <n v="0"/>
    <n v="0"/>
    <n v="0"/>
    <n v="6.621325715405522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1254427873938155E-2"/>
    <x v="1"/>
  </r>
  <r>
    <x v="4"/>
    <x v="5"/>
    <s v="CHF_S5d"/>
    <n v="5694017.5860000001"/>
    <n v="676213.73613761144"/>
    <n v="5.2"/>
    <n v="1198600"/>
    <n v="0"/>
    <n v="0"/>
    <n v="8.4204405821789621"/>
    <n v="1198600"/>
    <n v="0"/>
    <n v="1198600"/>
    <n v="1198600"/>
    <s v="Private Equity Fund"/>
    <n v="0"/>
    <n v="0"/>
    <n v="0"/>
    <n v="0"/>
    <m/>
    <m/>
    <m/>
    <m/>
    <m/>
    <m/>
    <m/>
    <m/>
    <m/>
    <m/>
    <m/>
    <d v="2016-02-29T00:00:00"/>
    <n v="1.9083352197432291E-2"/>
    <x v="1"/>
  </r>
  <r>
    <x v="5"/>
    <x v="5"/>
    <s v="CHF_S5d"/>
    <n v="5743964.7675000001"/>
    <n v="682145.39505884517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8.7718699047938387E-3"/>
    <x v="1"/>
  </r>
  <r>
    <x v="6"/>
    <x v="5"/>
    <s v="CHF_S5d"/>
    <n v="5817384.1294999998"/>
    <n v="690864.57801411522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2782000755891643E-2"/>
    <x v="1"/>
  </r>
  <r>
    <x v="7"/>
    <x v="5"/>
    <s v="CHF_S5d"/>
    <n v="5880338.5549999997"/>
    <n v="698340.95943211811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0821775577919635E-2"/>
    <x v="1"/>
  </r>
  <r>
    <x v="8"/>
    <x v="5"/>
    <s v="CHF_S5d"/>
    <n v="6035891.9550000001"/>
    <n v="716814.26833821193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6453136761612983E-2"/>
    <x v="1"/>
  </r>
  <r>
    <x v="9"/>
    <x v="5"/>
    <s v="CHF_S5d"/>
    <n v="6102899.0954999998"/>
    <n v="724771.94464339409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110144797149526E-2"/>
    <x v="1"/>
  </r>
  <r>
    <x v="10"/>
    <x v="5"/>
    <s v="CHF_S5d"/>
    <n v="6090400.517"/>
    <n v="723287.63056528615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0479739717826906E-3"/>
    <x v="1"/>
  </r>
  <r>
    <x v="11"/>
    <x v="5"/>
    <s v="CHF_S5d"/>
    <n v="6324918.2029999997"/>
    <n v="751138.63001255179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8506118825091251E-2"/>
    <x v="1"/>
  </r>
  <r>
    <x v="12"/>
    <x v="5"/>
    <s v="CHF_S5d"/>
    <n v="6522023.5214999998"/>
    <n v="774546.58789508278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1163299219665763E-2"/>
    <x v="1"/>
  </r>
  <r>
    <x v="13"/>
    <x v="5"/>
    <s v="CHF_S5d"/>
    <n v="6553636.0925000003"/>
    <n v="778300.85356461385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8470495231716093E-3"/>
    <x v="1"/>
  </r>
  <r>
    <x v="14"/>
    <x v="5"/>
    <s v="CHF_S5d"/>
    <n v="6516965.6560000004"/>
    <n v="773945.92271009192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5.5954337382213559E-3"/>
    <x v="1"/>
  </r>
  <r>
    <x v="15"/>
    <x v="5"/>
    <s v="CHF_S5d"/>
    <n v="6615104.9134999998"/>
    <n v="785600.80662527587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5059041689078789E-2"/>
    <x v="1"/>
  </r>
  <r>
    <x v="16"/>
    <x v="5"/>
    <s v="CHF_S5d"/>
    <n v="6872350.2479999997"/>
    <n v="816150.91050516476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8887566843424981E-2"/>
    <x v="1"/>
  </r>
  <r>
    <x v="17"/>
    <x v="5"/>
    <s v="CHF_S5d"/>
    <n v="6775789.0324999997"/>
    <n v="804683.43269831908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405068310191282E-2"/>
    <x v="1"/>
  </r>
  <r>
    <x v="18"/>
    <x v="5"/>
    <s v="CHF_S5d"/>
    <n v="6751761.6749999998"/>
    <n v="801829.97660353337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3.546060449159949E-3"/>
    <x v="1"/>
  </r>
  <r>
    <x v="19"/>
    <x v="5"/>
    <s v="CHF_S5d"/>
    <n v="6583300.1744999997"/>
    <n v="781823.71934705053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4950747465475431E-2"/>
    <x v="1"/>
  </r>
  <r>
    <x v="20"/>
    <x v="5"/>
    <s v="CHF_S5d"/>
    <n v="6819993.7244999995"/>
    <n v="809933.12142524333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5953631723617541E-2"/>
    <x v="1"/>
  </r>
  <r>
    <x v="21"/>
    <x v="5"/>
    <s v="CHF_S5d"/>
    <n v="6964480.193"/>
    <n v="827092.13669171184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1185718687826594E-2"/>
    <x v="1"/>
  </r>
  <r>
    <x v="22"/>
    <x v="5"/>
    <s v="CHF_S5d"/>
    <n v="6988600"/>
    <n v="829956.57196259871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3.4632601905082439E-3"/>
    <x v="1"/>
  </r>
  <r>
    <x v="23"/>
    <x v="5"/>
    <s v="CHF_S5d"/>
    <n v="6953801.0628649574"/>
    <n v="825823.89781147509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4.9793860193805273E-3"/>
    <x v="1"/>
  </r>
  <r>
    <x v="24"/>
    <x v="5"/>
    <s v="CHF_S5d"/>
    <n v="6994800"/>
    <n v="830692.87547777593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5.8959030844276672E-3"/>
    <x v="1"/>
  </r>
  <r>
    <x v="25"/>
    <x v="5"/>
    <s v="CHF_S5d"/>
    <n v="7010800"/>
    <n v="832593.01358145929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2.2874135071766499E-3"/>
    <x v="1"/>
  </r>
  <r>
    <x v="26"/>
    <x v="5"/>
    <s v="CHF_S5d"/>
    <n v="7336600"/>
    <n v="871284.57571771194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6471158783591093E-2"/>
    <x v="1"/>
  </r>
  <r>
    <x v="27"/>
    <x v="5"/>
    <s v="CHF_S5d"/>
    <n v="7421800"/>
    <n v="881402.81111982581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1613008750647413E-2"/>
    <x v="1"/>
  </r>
  <r>
    <x v="28"/>
    <x v="5"/>
    <s v="CHF_S5d"/>
    <n v="7487797.8200000003"/>
    <n v="889240.62190370308"/>
    <n v="5.2"/>
    <n v="0"/>
    <n v="0"/>
    <n v="0"/>
    <n v="8.4204405821789621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8.8924277129538432E-3"/>
    <x v="1"/>
  </r>
  <r>
    <x v="29"/>
    <x v="5"/>
    <s v="CHF_S5d"/>
    <n v="7551320.983"/>
    <n v="896784.54580887745"/>
    <n v="5.2"/>
    <n v="0"/>
    <n v="0"/>
    <n v="0"/>
    <n v="8.4204405821789621"/>
    <n v="0"/>
    <n v="0"/>
    <n v="0"/>
    <n v="0"/>
    <s v="Private Equity Fund"/>
    <n v="1.5745325537686965E-2"/>
    <n v="0.41493899700000003"/>
    <n v="0"/>
    <n v="0"/>
    <m/>
    <m/>
    <m/>
    <m/>
    <m/>
    <m/>
    <m/>
    <m/>
    <m/>
    <m/>
    <m/>
    <d v="2018-03-29T00:00:00"/>
    <n v="8.4835574526769264E-3"/>
    <x v="1"/>
  </r>
  <r>
    <x v="30"/>
    <x v="5"/>
    <s v="CHF_S5d"/>
    <n v="7630754.0949999997"/>
    <n v="906217.91348421166"/>
    <n v="5.2"/>
    <n v="0"/>
    <n v="0"/>
    <n v="0"/>
    <n v="8.4204405821789621"/>
    <n v="0"/>
    <n v="0"/>
    <n v="0"/>
    <n v="0"/>
    <s v="Private Equity Fund"/>
    <n v="5.6568E-3"/>
    <n v="0.42895661000000002"/>
    <n v="0"/>
    <n v="0"/>
    <m/>
    <m/>
    <m/>
    <m/>
    <m/>
    <m/>
    <m/>
    <m/>
    <m/>
    <m/>
    <m/>
    <d v="2018-04-30T00:00:00"/>
    <n v="1.051910151598956E-2"/>
    <x v="1"/>
  </r>
  <r>
    <x v="31"/>
    <x v="5"/>
    <s v="CHF_S5d"/>
    <n v="7680300.3569999998"/>
    <n v="912101.95975429169"/>
    <n v="5.2"/>
    <n v="0"/>
    <n v="0"/>
    <n v="0"/>
    <n v="8.4204405821789621"/>
    <n v="0"/>
    <n v="0"/>
    <n v="0"/>
    <n v="0"/>
    <s v="Private Equity Fund"/>
    <n v="5.4340999999999999E-3"/>
    <n v="0.43770006"/>
    <n v="0"/>
    <n v="0"/>
    <m/>
    <m/>
    <m/>
    <m/>
    <m/>
    <m/>
    <m/>
    <m/>
    <m/>
    <m/>
    <m/>
    <d v="2018-05-31T00:00:00"/>
    <n v="6.4929706006993104E-3"/>
    <x v="1"/>
  </r>
  <r>
    <x v="32"/>
    <x v="5"/>
    <s v="CHF_S5d"/>
    <n v="7718232.5080000004"/>
    <n v="916606.7300961524"/>
    <n v="5.2"/>
    <n v="0"/>
    <n v="0"/>
    <n v="0"/>
    <n v="8.4204405821789621"/>
    <n v="0"/>
    <n v="0"/>
    <n v="-7718232.5080000004"/>
    <n v="-7718232.5080000004"/>
    <s v="Private Equity Fund"/>
    <n v="5.4976000000000001E-3"/>
    <n v="0.44439397000000003"/>
    <n v="0"/>
    <n v="0"/>
    <m/>
    <m/>
    <m/>
    <m/>
    <m/>
    <m/>
    <m/>
    <m/>
    <m/>
    <m/>
    <m/>
    <d v="2018-06-29T00:00:00"/>
    <n v="4.9388890065253932E-3"/>
    <x v="1"/>
  </r>
  <r>
    <x v="33"/>
    <x v="5"/>
    <s v="CHF_S5d"/>
    <n v="7718232.5080000004"/>
    <n v="916606.7300961524"/>
    <n v="5.2"/>
    <n v="0"/>
    <n v="0"/>
    <n v="0"/>
    <n v="8.4204405821789621"/>
    <n v="0"/>
    <n v="0"/>
    <n v="0"/>
    <n v="0"/>
    <s v="Private Equity Fund"/>
    <n v="5.4976000000000001E-3"/>
    <n v="0.44439397000000003"/>
    <n v="0"/>
    <n v="0"/>
    <m/>
    <m/>
    <m/>
    <m/>
    <m/>
    <m/>
    <m/>
    <m/>
    <m/>
    <m/>
    <m/>
    <d v="2018-07-31T00:00:00"/>
    <n v="0"/>
    <x v="1"/>
  </r>
  <r>
    <x v="202"/>
    <x v="5"/>
    <s v="CHF_S6"/>
    <n v="859790"/>
    <n v="859790"/>
    <n v="6.77"/>
    <n v="859790"/>
    <n v="0"/>
    <n v="0"/>
    <n v="1"/>
    <n v="859790"/>
    <n v="859790"/>
    <n v="859790"/>
    <n v="859790"/>
    <s v="Private Equity Fund"/>
    <n v="0"/>
    <n v="0"/>
    <n v="0"/>
    <n v="0"/>
    <m/>
    <m/>
    <m/>
    <m/>
    <m/>
    <m/>
    <m/>
    <m/>
    <m/>
    <m/>
    <m/>
    <d v="2015-01-15T00:00:00"/>
    <n v="0"/>
    <x v="1"/>
  </r>
  <r>
    <x v="187"/>
    <x v="5"/>
    <s v="CHF_S6"/>
    <n v="857293.51"/>
    <n v="857293.51"/>
    <n v="6.77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2.9036043685085611E-3"/>
    <x v="1"/>
  </r>
  <r>
    <x v="188"/>
    <x v="5"/>
    <s v="CHF_S6"/>
    <n v="1397700.68"/>
    <n v="860728.02684482117"/>
    <n v="6.77"/>
    <n v="534830"/>
    <n v="0"/>
    <n v="0"/>
    <n v="1.6238586828914638"/>
    <n v="534830"/>
    <n v="0"/>
    <n v="534830"/>
    <n v="534830"/>
    <s v="Private Equity Fund"/>
    <n v="0"/>
    <n v="0"/>
    <n v="0"/>
    <n v="0"/>
    <m/>
    <m/>
    <m/>
    <m/>
    <m/>
    <m/>
    <m/>
    <m/>
    <m/>
    <m/>
    <m/>
    <d v="2015-02-27T00:00:00"/>
    <n v="6.5055549061603379E-3"/>
    <x v="1"/>
  </r>
  <r>
    <x v="189"/>
    <x v="5"/>
    <s v="CHF_S6"/>
    <n v="2030467.2799999998"/>
    <n v="901190.88468909892"/>
    <n v="6.77"/>
    <n v="541600"/>
    <n v="0"/>
    <n v="0"/>
    <n v="2.2530934505629059"/>
    <n v="541600"/>
    <n v="0"/>
    <n v="541600"/>
    <n v="541600"/>
    <s v="Private Equity Fund"/>
    <n v="0"/>
    <n v="0"/>
    <n v="0"/>
    <n v="0"/>
    <m/>
    <m/>
    <m/>
    <m/>
    <m/>
    <m/>
    <m/>
    <m/>
    <m/>
    <m/>
    <m/>
    <d v="2015-03-31T00:00:00"/>
    <n v="6.5226125524958434E-2"/>
    <x v="1"/>
  </r>
  <r>
    <x v="190"/>
    <x v="5"/>
    <s v="CHF_S6"/>
    <n v="3046891.53"/>
    <n v="979867.44177423988"/>
    <n v="6.77"/>
    <n v="771780"/>
    <n v="0"/>
    <n v="0"/>
    <n v="3.1094935907687802"/>
    <n v="771780"/>
    <n v="0"/>
    <n v="771780"/>
    <n v="771780"/>
    <s v="Private Equity Fund"/>
    <n v="0"/>
    <n v="0"/>
    <n v="0"/>
    <n v="0"/>
    <m/>
    <m/>
    <m/>
    <m/>
    <m/>
    <m/>
    <m/>
    <m/>
    <m/>
    <m/>
    <m/>
    <d v="2015-04-30T00:00:00"/>
    <n v="0.12048667437773242"/>
    <x v="1"/>
  </r>
  <r>
    <x v="191"/>
    <x v="5"/>
    <s v="CHF_S6"/>
    <n v="3586142.68"/>
    <n v="986671.83617755538"/>
    <n v="6.77"/>
    <n v="514520"/>
    <n v="0"/>
    <n v="0"/>
    <n v="3.6345850246349385"/>
    <n v="514520"/>
    <n v="0"/>
    <n v="514520"/>
    <n v="514520"/>
    <s v="Private Equity Fund"/>
    <n v="0"/>
    <n v="0"/>
    <n v="0"/>
    <n v="0"/>
    <m/>
    <m/>
    <m/>
    <m/>
    <m/>
    <m/>
    <m/>
    <m/>
    <m/>
    <m/>
    <m/>
    <d v="2015-05-29T00:00:00"/>
    <n v="8.1168462206464564E-3"/>
    <x v="1"/>
  </r>
  <r>
    <x v="192"/>
    <x v="5"/>
    <s v="CHF_S6"/>
    <n v="3531947.41"/>
    <n v="971760.84368937078"/>
    <n v="6.77"/>
    <n v="0"/>
    <n v="0"/>
    <n v="0"/>
    <n v="3.6345850246349385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5112413207162168E-2"/>
    <x v="1"/>
  </r>
  <r>
    <x v="193"/>
    <x v="5"/>
    <s v="CHF_S6"/>
    <n v="4044744.11"/>
    <n v="953793.653672894"/>
    <n v="6.77"/>
    <n v="588990"/>
    <n v="0"/>
    <n v="0"/>
    <n v="4.2406909444452596"/>
    <n v="588990"/>
    <n v="0"/>
    <n v="588990"/>
    <n v="588990"/>
    <s v="Private Equity Fund"/>
    <n v="0"/>
    <n v="0"/>
    <n v="0"/>
    <n v="0"/>
    <m/>
    <m/>
    <m/>
    <m/>
    <m/>
    <m/>
    <m/>
    <m/>
    <m/>
    <m/>
    <m/>
    <d v="2015-07-31T00:00:00"/>
    <n v="-2.1572603200227247E-2"/>
    <x v="1"/>
  </r>
  <r>
    <x v="194"/>
    <x v="5"/>
    <s v="CHF_S6"/>
    <n v="3968308.73"/>
    <n v="935769.37861929217"/>
    <n v="6.77"/>
    <n v="0"/>
    <n v="0"/>
    <n v="0"/>
    <n v="4.2406909444452596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8897457520495653E-2"/>
    <x v="1"/>
  </r>
  <r>
    <x v="195"/>
    <x v="5"/>
    <s v="CHF_S6"/>
    <n v="3982092.54"/>
    <n v="939019.74752864533"/>
    <n v="6.77"/>
    <n v="0"/>
    <n v="0"/>
    <n v="0"/>
    <n v="4.2406909444452596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4734721862228479E-3"/>
    <x v="1"/>
  </r>
  <r>
    <x v="196"/>
    <x v="5"/>
    <s v="CHF_S6"/>
    <n v="4100663.63"/>
    <n v="966980.07087060262"/>
    <n v="6.77"/>
    <n v="0"/>
    <n v="0"/>
    <n v="0"/>
    <n v="4.2406909444452596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9776075972357985E-2"/>
    <x v="1"/>
  </r>
  <r>
    <x v="1"/>
    <x v="5"/>
    <s v="CHF_S6"/>
    <n v="4451253.05"/>
    <n v="969613.50121531473"/>
    <n v="6.77"/>
    <n v="338500"/>
    <n v="0"/>
    <n v="0"/>
    <n v="4.5907498651996841"/>
    <n v="338500"/>
    <n v="0"/>
    <n v="338500"/>
    <n v="338500"/>
    <s v="Private Equity Fund"/>
    <n v="0"/>
    <n v="0"/>
    <n v="0"/>
    <n v="0"/>
    <m/>
    <m/>
    <m/>
    <m/>
    <m/>
    <m/>
    <m/>
    <m/>
    <m/>
    <m/>
    <m/>
    <d v="2015-11-30T00:00:00"/>
    <n v="2.9481618320399416E-3"/>
    <x v="1"/>
  </r>
  <r>
    <x v="2"/>
    <x v="5"/>
    <s v="CHF_S6"/>
    <n v="4483105.8899999997"/>
    <n v="976551.98423776415"/>
    <n v="6.77"/>
    <n v="0"/>
    <n v="0"/>
    <n v="0"/>
    <n v="4.5907498651996841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7.1559265766747426E-3"/>
    <x v="1"/>
  </r>
  <r>
    <x v="3"/>
    <x v="5"/>
    <s v="CHF_S6"/>
    <n v="4389303.26"/>
    <n v="956119.01952516381"/>
    <n v="6.77"/>
    <n v="0"/>
    <n v="0"/>
    <n v="0"/>
    <n v="4.5907498651996841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2.0923581173765249E-2"/>
    <x v="1"/>
  </r>
  <r>
    <x v="4"/>
    <x v="5"/>
    <s v="CHF_S6"/>
    <n v="6006931.2300000004"/>
    <n v="972494.408469485"/>
    <n v="6.77"/>
    <n v="1516480"/>
    <n v="0"/>
    <n v="0"/>
    <n v="6.1768285531365974"/>
    <n v="1516480"/>
    <n v="0"/>
    <n v="1516480"/>
    <n v="1516480"/>
    <s v="Private Equity Fund"/>
    <n v="0"/>
    <n v="0"/>
    <n v="0"/>
    <n v="0"/>
    <m/>
    <m/>
    <m/>
    <m/>
    <m/>
    <m/>
    <m/>
    <m/>
    <m/>
    <m/>
    <m/>
    <d v="2016-02-29T00:00:00"/>
    <n v="2.3044197224139973E-2"/>
    <x v="1"/>
  </r>
  <r>
    <x v="5"/>
    <x v="5"/>
    <s v="CHF_S6"/>
    <n v="6079516.6500000004"/>
    <n v="984245.65255462984"/>
    <n v="6.77"/>
    <n v="0"/>
    <n v="0"/>
    <n v="0"/>
    <n v="6.1768285531365974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208361095221E-2"/>
    <x v="1"/>
  </r>
  <r>
    <x v="6"/>
    <x v="5"/>
    <s v="CHF_S6"/>
    <n v="7232755.7800000003"/>
    <n v="991059.72723272175"/>
    <n v="6.77"/>
    <n v="1103510"/>
    <n v="0"/>
    <n v="0"/>
    <n v="7.2980019077110541"/>
    <n v="1103510"/>
    <n v="0"/>
    <n v="1103510"/>
    <n v="1103510"/>
    <s v="Private Equity Fund"/>
    <n v="0"/>
    <n v="0"/>
    <n v="0"/>
    <n v="0"/>
    <m/>
    <m/>
    <m/>
    <m/>
    <m/>
    <m/>
    <m/>
    <m/>
    <m/>
    <m/>
    <m/>
    <d v="2016-04-29T00:00:00"/>
    <n v="8.1797835030190669E-3"/>
    <x v="1"/>
  </r>
  <r>
    <x v="7"/>
    <x v="5"/>
    <s v="CHF_S6"/>
    <n v="7331596.7800000003"/>
    <n v="1004603.29727421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3665745534131579E-2"/>
    <x v="1"/>
  </r>
  <r>
    <x v="8"/>
    <x v="5"/>
    <s v="CHF_S6"/>
    <n v="7552291.6900000004"/>
    <n v="1034843.7538801222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0101888663877086E-2"/>
    <x v="1"/>
  </r>
  <r>
    <x v="9"/>
    <x v="5"/>
    <s v="CHF_S6"/>
    <n v="7579551.1600000001"/>
    <n v="1038578.9502180675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3.6094302390483612E-3"/>
    <x v="1"/>
  </r>
  <r>
    <x v="10"/>
    <x v="5"/>
    <s v="CHF_S6"/>
    <n v="7551779.8300000001"/>
    <n v="1034773.6168746139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3.6639808101777138E-3"/>
    <x v="1"/>
  </r>
  <r>
    <x v="11"/>
    <x v="5"/>
    <s v="CHF_S6"/>
    <n v="7943256.79"/>
    <n v="1088415.2800244093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5.1839032494674919E-2"/>
    <x v="1"/>
  </r>
  <r>
    <x v="12"/>
    <x v="5"/>
    <s v="CHF_S6"/>
    <n v="8157145.0599999996"/>
    <n v="1117723.0649092016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6927024475561501E-2"/>
    <x v="1"/>
  </r>
  <r>
    <x v="13"/>
    <x v="5"/>
    <s v="CHF_S6"/>
    <n v="8193606.9299999997"/>
    <n v="1122719.2091225204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4699303165267601E-3"/>
    <x v="1"/>
  </r>
  <r>
    <x v="14"/>
    <x v="5"/>
    <s v="CHF_S6"/>
    <n v="8162605.3600000003"/>
    <n v="1118471.2559989067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3.7836291470719763E-3"/>
    <x v="1"/>
  </r>
  <r>
    <x v="15"/>
    <x v="5"/>
    <s v="CHF_S6"/>
    <n v="8276887.6900000004"/>
    <n v="1134130.6558517965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4000717290588272E-2"/>
    <x v="1"/>
  </r>
  <r>
    <x v="16"/>
    <x v="5"/>
    <s v="CHF_S6"/>
    <n v="8596559.8599999994"/>
    <n v="1177933.3533630474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8622267447971037E-2"/>
    <x v="1"/>
  </r>
  <r>
    <x v="17"/>
    <x v="5"/>
    <s v="CHF_S6"/>
    <n v="8507608.25"/>
    <n v="1165744.8651816435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0347349573390785E-2"/>
    <x v="1"/>
  </r>
  <r>
    <x v="18"/>
    <x v="5"/>
    <s v="CHF_S6"/>
    <n v="8485080.4299999997"/>
    <n v="1162658.0175369207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647961605425353E-3"/>
    <x v="1"/>
  </r>
  <r>
    <x v="19"/>
    <x v="5"/>
    <s v="CHF_S6"/>
    <n v="8553917.3000000007"/>
    <n v="1172090.3074801816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8.1126950496097638E-3"/>
    <x v="1"/>
  </r>
  <r>
    <x v="20"/>
    <x v="5"/>
    <s v="CHF_S6"/>
    <n v="8635086.4000000004"/>
    <n v="1183212.4065185823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9.4891144201265654E-3"/>
    <x v="1"/>
  </r>
  <r>
    <x v="21"/>
    <x v="5"/>
    <s v="CHF_S6"/>
    <n v="8787317.1899999995"/>
    <n v="1204071.6488050432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1.7629330263562837E-2"/>
    <x v="1"/>
  </r>
  <r>
    <x v="22"/>
    <x v="5"/>
    <s v="CHF_S6"/>
    <n v="8836200"/>
    <n v="1210769.7574953616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5.5628821565276709E-3"/>
    <x v="1"/>
  </r>
  <r>
    <x v="23"/>
    <x v="5"/>
    <s v="CHF_S6"/>
    <n v="8822200.01278718"/>
    <n v="1208851.4259588863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5843900333649685E-3"/>
    <x v="1"/>
  </r>
  <r>
    <x v="24"/>
    <x v="5"/>
    <s v="CHF_S6"/>
    <n v="8863100"/>
    <n v="1214455.6978856456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4.6360303726438179E-3"/>
    <x v="1"/>
  </r>
  <r>
    <x v="25"/>
    <x v="5"/>
    <s v="CHF_S6"/>
    <n v="8906300"/>
    <n v="1220375.1263191123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4.8741411018717873E-3"/>
    <x v="1"/>
  </r>
  <r>
    <x v="26"/>
    <x v="5"/>
    <s v="CHF_S6"/>
    <n v="9385600"/>
    <n v="1286050.6366932015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5.3815838226873192E-2"/>
    <x v="1"/>
  </r>
  <r>
    <x v="27"/>
    <x v="5"/>
    <s v="CHF_S6"/>
    <n v="9519300"/>
    <n v="1304370.7195995559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4245226730310367E-2"/>
    <x v="1"/>
  </r>
  <r>
    <x v="28"/>
    <x v="5"/>
    <s v="CHF_S6"/>
    <n v="9629991.9100000001"/>
    <n v="1319538.1464377216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1628156482094365E-2"/>
    <x v="1"/>
  </r>
  <r>
    <x v="29"/>
    <x v="5"/>
    <s v="CHF_S6"/>
    <n v="9765815.4600000009"/>
    <n v="1338149.2062480089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1.4104222648303466E-2"/>
    <x v="1"/>
  </r>
  <r>
    <x v="30"/>
    <x v="5"/>
    <s v="CHF_S6"/>
    <n v="9837125.0299999993"/>
    <n v="1347920.3149571819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8-04-30T00:00:00"/>
    <n v="7.3019575571622308E-3"/>
    <x v="1"/>
  </r>
  <r>
    <x v="31"/>
    <x v="5"/>
    <s v="CHF_S6"/>
    <n v="9916416.4800000004"/>
    <n v="1358785.1312456268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8.060429216685483E-3"/>
    <x v="1"/>
  </r>
  <r>
    <x v="32"/>
    <x v="5"/>
    <s v="CHF_S6"/>
    <n v="10017799.789999999"/>
    <n v="1372677.0582801865"/>
    <n v="6.77"/>
    <n v="0"/>
    <n v="0"/>
    <n v="0"/>
    <n v="7.2980019077110541"/>
    <n v="0"/>
    <n v="0"/>
    <n v="-10017799.789999999"/>
    <n v="-10017799.789999999"/>
    <s v="Private Equity Fund"/>
    <n v="0"/>
    <n v="0"/>
    <n v="0"/>
    <n v="0"/>
    <m/>
    <m/>
    <m/>
    <m/>
    <m/>
    <m/>
    <m/>
    <m/>
    <m/>
    <m/>
    <m/>
    <d v="2018-06-29T00:00:00"/>
    <n v="1.0223784993749874E-2"/>
    <x v="1"/>
  </r>
  <r>
    <x v="33"/>
    <x v="5"/>
    <s v="CHF_S6"/>
    <n v="10017799.789999999"/>
    <n v="1372677.0582801865"/>
    <n v="6.77"/>
    <n v="0"/>
    <n v="0"/>
    <n v="0"/>
    <n v="7.2980019077110541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202"/>
    <x v="5"/>
    <s v="CHF_S7"/>
    <n v="339090"/>
    <n v="339090"/>
    <n v="2.67"/>
    <n v="339090"/>
    <n v="0"/>
    <n v="0"/>
    <n v="1"/>
    <n v="339090"/>
    <n v="339090"/>
    <n v="339090"/>
    <n v="339090"/>
    <s v="Private Equity Fund"/>
    <n v="0"/>
    <n v="0"/>
    <n v="0"/>
    <n v="0"/>
    <m/>
    <m/>
    <m/>
    <m/>
    <m/>
    <m/>
    <m/>
    <m/>
    <m/>
    <m/>
    <m/>
    <d v="2015-01-15T00:00:00"/>
    <n v="0"/>
    <x v="1"/>
  </r>
  <r>
    <x v="187"/>
    <x v="5"/>
    <s v="CHF_S7"/>
    <n v="337688.57"/>
    <n v="337688.57"/>
    <n v="2.67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4.1329145654546151E-3"/>
    <x v="1"/>
  </r>
  <r>
    <x v="188"/>
    <x v="5"/>
    <s v="CHF_S7"/>
    <n v="549921.07999999996"/>
    <n v="338490.29776380991"/>
    <n v="2.67"/>
    <n v="210930"/>
    <n v="0"/>
    <n v="0"/>
    <n v="1.6246287814834834"/>
    <n v="210930"/>
    <n v="0"/>
    <n v="210930"/>
    <n v="210930"/>
    <s v="Private Equity Fund"/>
    <n v="0"/>
    <n v="0"/>
    <n v="0"/>
    <n v="0"/>
    <m/>
    <m/>
    <m/>
    <m/>
    <m/>
    <m/>
    <m/>
    <m/>
    <m/>
    <m/>
    <m/>
    <d v="2015-02-27T00:00:00"/>
    <n v="3.8571338082302731E-3"/>
    <x v="1"/>
  </r>
  <r>
    <x v="189"/>
    <x v="5"/>
    <s v="CHF_S7"/>
    <n v="795358.47"/>
    <n v="351375.95877423725"/>
    <n v="2.67"/>
    <n v="216270"/>
    <n v="0"/>
    <n v="0"/>
    <n v="2.2635540370336669"/>
    <n v="216270"/>
    <n v="0"/>
    <n v="216270"/>
    <n v="216270"/>
    <s v="Private Equity Fund"/>
    <n v="0"/>
    <n v="0"/>
    <n v="0"/>
    <n v="0"/>
    <m/>
    <m/>
    <m/>
    <m/>
    <m/>
    <m/>
    <m/>
    <m/>
    <m/>
    <m/>
    <m/>
    <d v="2015-03-31T00:00:00"/>
    <n v="5.3039228828980267E-2"/>
    <x v="1"/>
  </r>
  <r>
    <x v="190"/>
    <x v="5"/>
    <s v="CHF_S7"/>
    <n v="1183014.1854999999"/>
    <n v="377983.27058030968"/>
    <n v="2.67"/>
    <n v="304380"/>
    <n v="0"/>
    <n v="0"/>
    <n v="3.1298056754833179"/>
    <n v="304380"/>
    <n v="0"/>
    <n v="304380"/>
    <n v="304380"/>
    <s v="Private Equity Fund"/>
    <n v="0"/>
    <n v="0"/>
    <n v="0"/>
    <n v="0"/>
    <m/>
    <m/>
    <m/>
    <m/>
    <m/>
    <m/>
    <m/>
    <m/>
    <m/>
    <m/>
    <m/>
    <d v="2015-04-30T00:00:00"/>
    <n v="0.10470211689579401"/>
    <x v="1"/>
  </r>
  <r>
    <x v="191"/>
    <x v="5"/>
    <s v="CHF_S7"/>
    <n v="1391626.0149999999"/>
    <n v="379535.5927269918"/>
    <n v="2.67"/>
    <n v="202920"/>
    <n v="0"/>
    <n v="0"/>
    <n v="3.6666548320305408"/>
    <n v="202920"/>
    <n v="0"/>
    <n v="202920"/>
    <n v="202920"/>
    <s v="Private Equity Fund"/>
    <n v="0"/>
    <n v="0"/>
    <n v="0"/>
    <n v="0"/>
    <m/>
    <m/>
    <m/>
    <m/>
    <m/>
    <m/>
    <m/>
    <m/>
    <m/>
    <m/>
    <m/>
    <d v="2015-05-29T00:00:00"/>
    <n v="4.8112943781770667E-3"/>
    <x v="1"/>
  </r>
  <r>
    <x v="192"/>
    <x v="5"/>
    <s v="CHF_S7"/>
    <n v="1370366.1635"/>
    <n v="373737.43269450613"/>
    <n v="2.67"/>
    <n v="0"/>
    <n v="0"/>
    <n v="0"/>
    <n v="3.6666548320305408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5276986252660607E-2"/>
    <x v="1"/>
  </r>
  <r>
    <x v="193"/>
    <x v="5"/>
    <s v="CHF_S7"/>
    <n v="1575392.5325"/>
    <n v="367379.58770695882"/>
    <n v="2.67"/>
    <n v="232290"/>
    <n v="0"/>
    <n v="0"/>
    <n v="4.2881874366863721"/>
    <n v="232290"/>
    <n v="0"/>
    <n v="232290"/>
    <n v="232290"/>
    <s v="Private Equity Fund"/>
    <n v="0"/>
    <n v="0"/>
    <n v="0"/>
    <n v="0"/>
    <m/>
    <m/>
    <m/>
    <m/>
    <m/>
    <m/>
    <m/>
    <m/>
    <m/>
    <m/>
    <m/>
    <d v="2015-07-31T00:00:00"/>
    <n v="-1.9895143156750894E-2"/>
    <x v="1"/>
  </r>
  <r>
    <x v="194"/>
    <x v="5"/>
    <s v="CHF_S7"/>
    <n v="1548113.0319999999"/>
    <n v="361018.0419716633"/>
    <n v="2.67"/>
    <n v="0"/>
    <n v="0"/>
    <n v="0"/>
    <n v="4.288187436686372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7316002162781619E-2"/>
    <x v="1"/>
  </r>
  <r>
    <x v="195"/>
    <x v="5"/>
    <s v="CHF_S7"/>
    <n v="1551081.98"/>
    <n v="361710.39696869539"/>
    <n v="2.67"/>
    <n v="0"/>
    <n v="0"/>
    <n v="0"/>
    <n v="4.288187436686372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1.9177850316036693E-3"/>
    <x v="1"/>
  </r>
  <r>
    <x v="196"/>
    <x v="5"/>
    <s v="CHF_S7"/>
    <n v="1594170.7919999999"/>
    <n v="371758.65456848353"/>
    <n v="2.67"/>
    <n v="0"/>
    <n v="0"/>
    <n v="0"/>
    <n v="4.288187436686372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7779841785022796E-2"/>
    <x v="1"/>
  </r>
  <r>
    <x v="1"/>
    <x v="5"/>
    <s v="CHF_S7"/>
    <n v="1723020.3655000001"/>
    <n v="370757.97995685326"/>
    <n v="2.67"/>
    <n v="133500"/>
    <n v="0"/>
    <n v="0"/>
    <n v="4.6472913831834868"/>
    <n v="133500"/>
    <n v="0"/>
    <n v="133500"/>
    <n v="133500"/>
    <s v="Private Equity Fund"/>
    <n v="0"/>
    <n v="0"/>
    <n v="0"/>
    <n v="0"/>
    <m/>
    <m/>
    <m/>
    <m/>
    <m/>
    <m/>
    <m/>
    <m/>
    <m/>
    <m/>
    <m/>
    <d v="2015-11-30T00:00:00"/>
    <n v="-2.9171444636527655E-3"/>
    <x v="1"/>
  </r>
  <r>
    <x v="2"/>
    <x v="5"/>
    <s v="CHF_S7"/>
    <n v="1733415.8230000001"/>
    <n v="372994.86519663327"/>
    <n v="2.67"/>
    <n v="0"/>
    <n v="0"/>
    <n v="0"/>
    <n v="4.6472913831834868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6.0332760471948355E-3"/>
    <x v="1"/>
  </r>
  <r>
    <x v="3"/>
    <x v="5"/>
    <s v="CHF_S7"/>
    <n v="1705873.7660000001"/>
    <n v="367068.39002452279"/>
    <n v="2.67"/>
    <n v="0"/>
    <n v="0"/>
    <n v="0"/>
    <n v="4.6472913831834868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5888892113799513E-2"/>
    <x v="1"/>
  </r>
  <r>
    <x v="4"/>
    <x v="5"/>
    <s v="CHF_S7"/>
    <n v="2334662.2004999998"/>
    <n v="371960.89081096801"/>
    <n v="2.67"/>
    <n v="598080"/>
    <n v="0"/>
    <n v="0"/>
    <n v="6.2766335337294485"/>
    <n v="598080"/>
    <n v="0"/>
    <n v="598080"/>
    <n v="598080"/>
    <s v="Private Equity Fund"/>
    <n v="0"/>
    <n v="0"/>
    <n v="0"/>
    <n v="0"/>
    <m/>
    <m/>
    <m/>
    <m/>
    <m/>
    <m/>
    <m/>
    <m/>
    <m/>
    <m/>
    <m/>
    <d v="2016-02-29T00:00:00"/>
    <n v="1.80015867012282E-2"/>
    <x v="1"/>
  </r>
  <r>
    <x v="5"/>
    <x v="5"/>
    <s v="CHF_S7"/>
    <n v="2350747.3539999998"/>
    <n v="374523.59475306713"/>
    <n v="2.67"/>
    <n v="0"/>
    <n v="0"/>
    <n v="0"/>
    <n v="6.2766335337294485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6.8897134225907042E-3"/>
    <x v="1"/>
  </r>
  <r>
    <x v="6"/>
    <x v="5"/>
    <s v="CHF_S7"/>
    <n v="2810271.5644999999"/>
    <n v="378154.63324555673"/>
    <n v="2.67"/>
    <n v="432540"/>
    <n v="0"/>
    <n v="0"/>
    <n v="7.4315407440086423"/>
    <n v="432540"/>
    <n v="0"/>
    <n v="432540"/>
    <n v="432540"/>
    <s v="Private Equity Fund"/>
    <n v="0"/>
    <n v="0"/>
    <n v="0"/>
    <n v="0"/>
    <m/>
    <m/>
    <m/>
    <m/>
    <m/>
    <m/>
    <m/>
    <m/>
    <m/>
    <m/>
    <m/>
    <d v="2016-04-29T00:00:00"/>
    <n v="1.1478992182670789E-2"/>
    <x v="1"/>
  </r>
  <r>
    <x v="7"/>
    <x v="5"/>
    <s v="CHF_S7"/>
    <n v="2840150.0759999999"/>
    <n v="382175.13350643311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0631894752604065E-2"/>
    <x v="1"/>
  </r>
  <r>
    <x v="8"/>
    <x v="5"/>
    <s v="CHF_S7"/>
    <n v="2897727.4015000002"/>
    <n v="389922.8304488766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0272634881707052E-2"/>
    <x v="1"/>
  </r>
  <r>
    <x v="9"/>
    <x v="5"/>
    <s v="CHF_S7"/>
    <n v="2926397.094"/>
    <n v="393780.67009311373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9.8938542269915164E-3"/>
    <x v="1"/>
  </r>
  <r>
    <x v="10"/>
    <x v="5"/>
    <s v="CHF_S7"/>
    <n v="2913673.2230000002"/>
    <n v="392068.52567538206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4.3479646101644009E-3"/>
    <x v="1"/>
  </r>
  <r>
    <x v="11"/>
    <x v="5"/>
    <s v="CHF_S7"/>
    <n v="3018880.2815"/>
    <n v="406225.35561469424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6108050027544136E-2"/>
    <x v="1"/>
  </r>
  <r>
    <x v="12"/>
    <x v="5"/>
    <s v="CHF_S7"/>
    <n v="3087154.7039999999"/>
    <n v="415412.47102613072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2615809881031845E-2"/>
    <x v="1"/>
  </r>
  <r>
    <x v="13"/>
    <x v="5"/>
    <s v="CHF_S7"/>
    <n v="3099473.2609999999"/>
    <n v="417070.07574422786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3.9902622903993379E-3"/>
    <x v="1"/>
  </r>
  <r>
    <x v="14"/>
    <x v="5"/>
    <s v="CHF_S7"/>
    <n v="3082372.7655000002"/>
    <n v="414769.00573882065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5.5172263349296813E-3"/>
    <x v="1"/>
  </r>
  <r>
    <x v="15"/>
    <x v="5"/>
    <s v="CHF_S7"/>
    <n v="3127581.3925000001"/>
    <n v="420852.35084278818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4666826642775188E-2"/>
    <x v="1"/>
  </r>
  <r>
    <x v="16"/>
    <x v="5"/>
    <s v="CHF_S7"/>
    <n v="3230890.0865000002"/>
    <n v="434753.7338209126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3031496557607287E-2"/>
    <x v="1"/>
  </r>
  <r>
    <x v="17"/>
    <x v="5"/>
    <s v="CHF_S7"/>
    <n v="3187566.003"/>
    <n v="428923.97590228339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3409333756362107E-2"/>
    <x v="1"/>
  </r>
  <r>
    <x v="18"/>
    <x v="5"/>
    <s v="CHF_S7"/>
    <n v="3187248.1370000001"/>
    <n v="428881.20334529295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9.9720601769770489E-5"/>
    <x v="1"/>
  </r>
  <r>
    <x v="19"/>
    <x v="5"/>
    <s v="CHF_S7"/>
    <n v="3196022.1175000002"/>
    <n v="430061.84418441821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2.7528388512161328E-3"/>
    <x v="1"/>
  </r>
  <r>
    <x v="20"/>
    <x v="5"/>
    <s v="CHF_S7"/>
    <n v="3219658.4415000002"/>
    <n v="433242.3857186964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7.3955445647819751E-3"/>
    <x v="1"/>
  </r>
  <r>
    <x v="21"/>
    <x v="5"/>
    <s v="CHF_S7"/>
    <n v="3277605.6869999999"/>
    <n v="441039.85968756577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1.7997948090730631E-2"/>
    <x v="1"/>
  </r>
  <r>
    <x v="22"/>
    <x v="5"/>
    <s v="CHF_S7"/>
    <n v="3279700"/>
    <n v="441321.67379208893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6.389764968699474E-4"/>
    <x v="1"/>
  </r>
  <r>
    <x v="23"/>
    <x v="5"/>
    <s v="CHF_S7"/>
    <n v="3271540.5241503487"/>
    <n v="440223.7216808488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4878726254387029E-3"/>
    <x v="1"/>
  </r>
  <r>
    <x v="24"/>
    <x v="5"/>
    <s v="CHF_S7"/>
    <n v="3292200"/>
    <n v="443003.69377025799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6.3149075174657732E-3"/>
    <x v="1"/>
  </r>
  <r>
    <x v="25"/>
    <x v="5"/>
    <s v="CHF_S7"/>
    <n v="3292300"/>
    <n v="443017.14993008337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3.0374825344736678E-5"/>
    <x v="1"/>
  </r>
  <r>
    <x v="26"/>
    <x v="5"/>
    <s v="CHF_S7"/>
    <n v="3448300"/>
    <n v="464008.75925763341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7383288278710856E-2"/>
    <x v="1"/>
  </r>
  <r>
    <x v="27"/>
    <x v="5"/>
    <s v="CHF_S7"/>
    <n v="3500300"/>
    <n v="471005.96236681676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5079894440738872E-2"/>
    <x v="1"/>
  </r>
  <r>
    <x v="28"/>
    <x v="5"/>
    <s v="CHF_S7"/>
    <n v="3534000.12"/>
    <n v="475540.70437535236"/>
    <n v="2.67"/>
    <n v="0"/>
    <n v="0"/>
    <n v="0"/>
    <n v="7.4315407440086423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9.6277804759592467E-3"/>
    <x v="1"/>
  </r>
  <r>
    <x v="29"/>
    <x v="5"/>
    <s v="CHF_S7"/>
    <n v="3563924.5745000001"/>
    <n v="479567.38679973729"/>
    <n v="2.67"/>
    <n v="0"/>
    <n v="0"/>
    <n v="0"/>
    <n v="7.4315407440086423"/>
    <n v="0"/>
    <n v="0"/>
    <n v="0"/>
    <n v="0"/>
    <s v="Private Equity Fund"/>
    <n v="1.3816203926527304E-2"/>
    <n v="0.1577513955"/>
    <n v="0"/>
    <n v="0"/>
    <m/>
    <m/>
    <m/>
    <m/>
    <m/>
    <m/>
    <m/>
    <m/>
    <m/>
    <m/>
    <m/>
    <d v="2018-03-29T00:00:00"/>
    <n v="8.4675872902912896E-3"/>
    <x v="1"/>
  </r>
  <r>
    <x v="30"/>
    <x v="5"/>
    <s v="CHF_S7"/>
    <n v="3606773.2445"/>
    <n v="485333.1723179752"/>
    <n v="2.67"/>
    <n v="0"/>
    <n v="0"/>
    <n v="0"/>
    <n v="7.4315407440086423"/>
    <n v="0"/>
    <n v="0"/>
    <n v="0"/>
    <n v="0"/>
    <s v="Private Equity Fund"/>
    <n v="4.9671000000000003E-3"/>
    <n v="0.16531293"/>
    <n v="0"/>
    <n v="0"/>
    <m/>
    <m/>
    <m/>
    <m/>
    <m/>
    <m/>
    <m/>
    <m/>
    <m/>
    <m/>
    <m/>
    <d v="2018-04-30T00:00:00"/>
    <n v="1.2022889122453195E-2"/>
    <x v="1"/>
  </r>
  <r>
    <x v="31"/>
    <x v="5"/>
    <s v="CHF_S7"/>
    <n v="3629442.9994999999"/>
    <n v="488383.65078279102"/>
    <n v="2.67"/>
    <n v="0"/>
    <n v="0"/>
    <n v="0"/>
    <n v="7.4315407440086423"/>
    <n v="0"/>
    <n v="0"/>
    <n v="0"/>
    <n v="0"/>
    <s v="Private Equity Fund"/>
    <n v="4.7733999999999997E-3"/>
    <n v="0.16931346999999999"/>
    <n v="0"/>
    <n v="0"/>
    <m/>
    <m/>
    <m/>
    <m/>
    <m/>
    <m/>
    <m/>
    <m/>
    <m/>
    <m/>
    <m/>
    <d v="2018-05-31T00:00:00"/>
    <n v="6.2853285924113766E-3"/>
    <x v="1"/>
  </r>
  <r>
    <x v="32"/>
    <x v="5"/>
    <s v="CHF_S7"/>
    <n v="3636086.03"/>
    <n v="489277.54758411797"/>
    <n v="2.67"/>
    <n v="0"/>
    <n v="0"/>
    <n v="0"/>
    <n v="7.4315407440086423"/>
    <n v="0"/>
    <n v="0"/>
    <n v="-3636086.03"/>
    <n v="-3636086.03"/>
    <s v="Private Equity Fund"/>
    <n v="4.8155000000000003E-3"/>
    <n v="0.17048577000000001"/>
    <n v="0"/>
    <n v="0"/>
    <m/>
    <m/>
    <m/>
    <m/>
    <m/>
    <m/>
    <m/>
    <m/>
    <m/>
    <m/>
    <m/>
    <d v="2018-06-29T00:00:00"/>
    <n v="1.8303168009292659E-3"/>
    <x v="1"/>
  </r>
  <r>
    <x v="33"/>
    <x v="5"/>
    <s v="CHF_S7"/>
    <n v="3636086.03"/>
    <n v="489277.54758411797"/>
    <n v="2.67"/>
    <n v="0"/>
    <n v="0"/>
    <n v="0"/>
    <n v="7.4315407440086423"/>
    <n v="0"/>
    <n v="0"/>
    <n v="0"/>
    <n v="0"/>
    <s v="Private Equity Fund"/>
    <n v="4.8155000000000003E-3"/>
    <n v="0.17048577000000001"/>
    <n v="0"/>
    <n v="0"/>
    <m/>
    <m/>
    <m/>
    <m/>
    <m/>
    <m/>
    <m/>
    <m/>
    <m/>
    <m/>
    <m/>
    <d v="2018-07-31T00:00:00"/>
    <n v="0"/>
    <x v="1"/>
  </r>
  <r>
    <x v="202"/>
    <x v="5"/>
    <s v="CHF_S7a"/>
    <n v="1160000"/>
    <n v="1160000"/>
    <n v="1.75"/>
    <n v="1160000"/>
    <n v="0"/>
    <n v="0"/>
    <n v="1"/>
    <n v="1160000"/>
    <n v="1160000"/>
    <n v="1160000"/>
    <n v="1160000"/>
    <s v="Private Equity Fund"/>
    <n v="0"/>
    <n v="0"/>
    <n v="0"/>
    <n v="0"/>
    <m/>
    <m/>
    <m/>
    <m/>
    <m/>
    <m/>
    <m/>
    <m/>
    <m/>
    <m/>
    <m/>
    <d v="2015-01-15T00:00:00"/>
    <n v="0"/>
    <x v="1"/>
  </r>
  <r>
    <x v="187"/>
    <x v="5"/>
    <s v="CHF_S7a"/>
    <n v="1156631.82"/>
    <n v="1156631.82"/>
    <n v="1.7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2.9036034482757822E-3"/>
    <x v="1"/>
  </r>
  <r>
    <x v="188"/>
    <x v="5"/>
    <s v="CHF_S7a"/>
    <n v="1164642.29"/>
    <n v="1164642.29"/>
    <n v="1.7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6.9256870349632127E-3"/>
    <x v="1"/>
  </r>
  <r>
    <x v="189"/>
    <x v="5"/>
    <s v="CHF_S7a"/>
    <n v="1726618.06"/>
    <n v="1253171.7653744235"/>
    <n v="1.75"/>
    <n v="440000"/>
    <n v="0"/>
    <n v="0"/>
    <n v="1.3777984053799042"/>
    <n v="440000"/>
    <n v="0"/>
    <n v="440000"/>
    <n v="440000"/>
    <s v="Private Equity Fund"/>
    <n v="0"/>
    <n v="0"/>
    <n v="0"/>
    <n v="0"/>
    <m/>
    <m/>
    <m/>
    <m/>
    <m/>
    <m/>
    <m/>
    <m/>
    <m/>
    <m/>
    <m/>
    <d v="2015-03-31T00:00:00"/>
    <n v="0.10473238954769548"/>
    <x v="1"/>
  </r>
  <r>
    <x v="190"/>
    <x v="5"/>
    <s v="CHF_S7a"/>
    <n v="2008952.2"/>
    <n v="1341542.1223361944"/>
    <n v="1.75"/>
    <n v="150000"/>
    <n v="0"/>
    <n v="0"/>
    <n v="1.497494686563819"/>
    <n v="150000"/>
    <n v="0"/>
    <n v="150000"/>
    <n v="150000"/>
    <s v="Private Equity Fund"/>
    <n v="0"/>
    <n v="0"/>
    <n v="0"/>
    <n v="0"/>
    <m/>
    <m/>
    <m/>
    <m/>
    <m/>
    <m/>
    <m/>
    <m/>
    <m/>
    <m/>
    <m/>
    <d v="2015-04-30T00:00:00"/>
    <n v="7.664355138275325E-2"/>
    <x v="1"/>
  </r>
  <r>
    <x v="191"/>
    <x v="5"/>
    <s v="CHF_S7a"/>
    <n v="2161800.19"/>
    <n v="1443611.2591227349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7.6083437923510466E-2"/>
    <x v="1"/>
  </r>
  <r>
    <x v="192"/>
    <x v="5"/>
    <s v="CHF_S7a"/>
    <n v="1983954.53"/>
    <n v="1324849.1282145523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8.2267390308629729E-2"/>
    <x v="1"/>
  </r>
  <r>
    <x v="193"/>
    <x v="5"/>
    <s v="CHF_S7a"/>
    <n v="1908570.17"/>
    <n v="1274508.8093630855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3.7997020022429662E-2"/>
    <x v="1"/>
  </r>
  <r>
    <x v="194"/>
    <x v="5"/>
    <s v="CHF_S7a"/>
    <n v="1850255.55"/>
    <n v="1235567.3556649694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3.0554087513586126E-2"/>
    <x v="1"/>
  </r>
  <r>
    <x v="195"/>
    <x v="5"/>
    <s v="CHF_S7a"/>
    <n v="1859779.78"/>
    <n v="1241927.4650432901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5.1475213788712004E-3"/>
    <x v="1"/>
  </r>
  <r>
    <x v="196"/>
    <x v="5"/>
    <s v="CHF_S7a"/>
    <n v="1930263.09"/>
    <n v="1288994.9509131282"/>
    <n v="1.75"/>
    <n v="0"/>
    <n v="-2.3283064365386963E-10"/>
    <n v="0"/>
    <n v="1.497494686563819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5-10-30T00:00:00"/>
    <n v="3.7898739817463944E-2"/>
    <x v="1"/>
  </r>
  <r>
    <x v="1"/>
    <x v="5"/>
    <s v="CHF_S7a"/>
    <n v="1846102.82"/>
    <n v="1232794.2373111881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4.3600414076197302E-2"/>
    <x v="1"/>
  </r>
  <r>
    <x v="2"/>
    <x v="5"/>
    <s v="CHF_S7a"/>
    <n v="1944715.69"/>
    <n v="1298646.1370773762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5.341678097864544E-2"/>
    <x v="1"/>
  </r>
  <r>
    <x v="3"/>
    <x v="5"/>
    <s v="CHF_S7a"/>
    <n v="1873639.5"/>
    <n v="1251182.7366141046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6548370728679558E-2"/>
    <x v="1"/>
  </r>
  <r>
    <x v="4"/>
    <x v="5"/>
    <s v="CHF_S7a"/>
    <n v="1954122.44"/>
    <n v="1304927.7954260847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4.2955403107161283E-2"/>
    <x v="1"/>
  </r>
  <r>
    <x v="5"/>
    <x v="5"/>
    <s v="CHF_S7a"/>
    <n v="2001249.9400000002"/>
    <n v="1336398.6917323279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2.4116963725159479E-2"/>
    <x v="1"/>
  </r>
  <r>
    <x v="6"/>
    <x v="5"/>
    <s v="CHF_S7a"/>
    <n v="1921050.92"/>
    <n v="1282843.2295863978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-4.0074464661820408E-2"/>
    <x v="1"/>
  </r>
  <r>
    <x v="7"/>
    <x v="5"/>
    <s v="CHF_S7a"/>
    <n v="2178835.13"/>
    <n v="1454986.8854624107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0.13418916037894513"/>
    <x v="1"/>
  </r>
  <r>
    <x v="8"/>
    <x v="5"/>
    <s v="CHF_S7a"/>
    <n v="2269232.41"/>
    <n v="1515352.5620895696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4.1488811500850042E-2"/>
    <x v="1"/>
  </r>
  <r>
    <x v="9"/>
    <x v="5"/>
    <s v="CHF_S7a"/>
    <n v="2378839.6"/>
    <n v="1588546.2708776167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4.8301438634925864E-2"/>
    <x v="1"/>
  </r>
  <r>
    <x v="10"/>
    <x v="5"/>
    <s v="CHF_S7a"/>
    <n v="2340113.06"/>
    <n v="1562685.3844601412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1.6279592789694597E-2"/>
    <x v="1"/>
  </r>
  <r>
    <x v="11"/>
    <x v="5"/>
    <s v="CHF_S7a"/>
    <n v="2505169.6"/>
    <n v="1672907.1712090091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7.053357498889401E-2"/>
    <x v="1"/>
  </r>
  <r>
    <x v="12"/>
    <x v="5"/>
    <s v="CHF_S7a"/>
    <n v="2802133.4"/>
    <n v="1871214.2521385706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0.11854039742458955"/>
    <x v="1"/>
  </r>
  <r>
    <x v="13"/>
    <x v="5"/>
    <s v="CHF_S7a"/>
    <n v="2811723.31"/>
    <n v="1877618.2214387925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3.4223602630767402E-3"/>
    <x v="1"/>
  </r>
  <r>
    <x v="14"/>
    <x v="5"/>
    <s v="CHF_S7a"/>
    <n v="2609019.4900000002"/>
    <n v="1742256.2586760879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7.2092378108143174E-2"/>
    <x v="1"/>
  </r>
  <r>
    <x v="15"/>
    <x v="5"/>
    <s v="CHF_S7a"/>
    <n v="2651731.13"/>
    <n v="1770778.3231503244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637076310227159E-2"/>
    <x v="1"/>
  </r>
  <r>
    <x v="16"/>
    <x v="5"/>
    <s v="CHF_S7a"/>
    <n v="2809913.01"/>
    <n v="1876409.3356803034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5.9652307208084121E-2"/>
    <x v="1"/>
  </r>
  <r>
    <x v="17"/>
    <x v="5"/>
    <s v="CHF_S7a"/>
    <n v="2741889.22"/>
    <n v="1830984.2730003893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2.4208503878203502E-2"/>
    <x v="1"/>
  </r>
  <r>
    <x v="18"/>
    <x v="5"/>
    <s v="CHF_S7a"/>
    <n v="2689507.6599999997"/>
    <n v="1796004.8099879387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9104185398125084E-2"/>
    <x v="1"/>
  </r>
  <r>
    <x v="19"/>
    <x v="5"/>
    <s v="CHF_S7a"/>
    <n v="2673231.21"/>
    <n v="1785135.6896190725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6.0518325499023806E-3"/>
    <x v="1"/>
  </r>
  <r>
    <x v="20"/>
    <x v="5"/>
    <s v="CHF_S7a"/>
    <n v="2706661.71"/>
    <n v="1807459.9758418908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1.2505652288864244E-2"/>
    <x v="1"/>
  </r>
  <r>
    <x v="21"/>
    <x v="5"/>
    <s v="CHF_S7a"/>
    <n v="2795517.96"/>
    <n v="1866796.5803702788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3.2828723911714874E-2"/>
    <x v="1"/>
  </r>
  <r>
    <x v="22"/>
    <x v="5"/>
    <s v="CHF_S7a"/>
    <n v="2824100"/>
    <n v="1885883.1522669613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0224237657911583E-2"/>
    <x v="1"/>
  </r>
  <r>
    <x v="23"/>
    <x v="5"/>
    <s v="CHF_S7a"/>
    <n v="2788860.2988372194"/>
    <n v="1862350.7140693725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247820585771775E-2"/>
    <x v="1"/>
  </r>
  <r>
    <x v="24"/>
    <x v="5"/>
    <s v="CHF_S7a"/>
    <n v="2797005.71"/>
    <n v="1867790.073043975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2.9206952984259793E-3"/>
    <x v="1"/>
  </r>
  <r>
    <x v="25"/>
    <x v="5"/>
    <s v="CHF_S7a"/>
    <n v="2809500"/>
    <n v="1876133.5350355962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4.4670234155510524E-3"/>
    <x v="1"/>
  </r>
  <r>
    <x v="26"/>
    <x v="5"/>
    <s v="CHF_S7a"/>
    <n v="2880200"/>
    <n v="1923345.7225874797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2.5164620039152874E-2"/>
    <x v="1"/>
  </r>
  <r>
    <x v="27"/>
    <x v="5"/>
    <s v="CHF_S7a"/>
    <n v="2900200"/>
    <n v="1936701.3626304453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6.9439622248455013E-3"/>
    <x v="1"/>
  </r>
  <r>
    <x v="28"/>
    <x v="5"/>
    <s v="CHF_S7a"/>
    <n v="2938514.65"/>
    <n v="1962287.196319056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3211037169850393E-2"/>
    <x v="1"/>
  </r>
  <r>
    <x v="29"/>
    <x v="5"/>
    <s v="CHF_S7a"/>
    <n v="2940364.84"/>
    <n v="1963522.7199016106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6.2963443112318274E-4"/>
    <x v="1"/>
  </r>
  <r>
    <x v="30"/>
    <x v="5"/>
    <s v="CHF_S7a"/>
    <n v="2985580.57"/>
    <n v="1993716.9706096067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8-04-30T00:00:00"/>
    <n v="1.5377591714094807E-2"/>
    <x v="1"/>
  </r>
  <r>
    <x v="31"/>
    <x v="5"/>
    <s v="CHF_S7a"/>
    <n v="3008781.87"/>
    <n v="2009210.3811760498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7.7711183657658278E-3"/>
    <x v="1"/>
  </r>
  <r>
    <x v="32"/>
    <x v="5"/>
    <s v="CHF_S7a"/>
    <n v="3041542.9"/>
    <n v="2031087.6073818896"/>
    <n v="1.75"/>
    <n v="0"/>
    <n v="0"/>
    <n v="0"/>
    <n v="1.497494686563819"/>
    <n v="0"/>
    <n v="0"/>
    <n v="-3041542.9"/>
    <n v="-3041542.9"/>
    <s v="Private Equity Fund"/>
    <n v="0"/>
    <n v="0"/>
    <n v="0"/>
    <n v="0"/>
    <m/>
    <m/>
    <m/>
    <m/>
    <m/>
    <m/>
    <m/>
    <m/>
    <m/>
    <m/>
    <m/>
    <d v="2018-06-29T00:00:00"/>
    <n v="1.0888469625084385E-2"/>
    <x v="1"/>
  </r>
  <r>
    <x v="33"/>
    <x v="5"/>
    <s v="CHF_S7a"/>
    <n v="3041542.9"/>
    <n v="2031087.6073818896"/>
    <n v="1.75"/>
    <n v="0"/>
    <n v="0"/>
    <n v="0"/>
    <n v="1.497494686563819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202"/>
    <x v="5"/>
    <s v="CHF_S7c"/>
    <n v="2794000"/>
    <n v="2794000"/>
    <n v="22"/>
    <n v="2794000"/>
    <n v="0"/>
    <n v="0"/>
    <n v="1"/>
    <n v="2794000"/>
    <n v="2794000"/>
    <n v="2794000"/>
    <n v="2794000"/>
    <s v="Private Equity Fund"/>
    <n v="0"/>
    <n v="0"/>
    <n v="0"/>
    <n v="0"/>
    <m/>
    <m/>
    <m/>
    <m/>
    <m/>
    <m/>
    <m/>
    <m/>
    <m/>
    <m/>
    <m/>
    <d v="2015-01-15T00:00:00"/>
    <n v="0"/>
    <x v="1"/>
  </r>
  <r>
    <x v="187"/>
    <x v="5"/>
    <s v="CHF_S7c"/>
    <n v="2774559.8"/>
    <n v="2774559.8"/>
    <n v="22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6.9578382247674764E-3"/>
    <x v="1"/>
  </r>
  <r>
    <x v="188"/>
    <x v="5"/>
    <s v="CHF_S7c"/>
    <n v="4517306.2300000004"/>
    <n v="2777478.15553548"/>
    <n v="22"/>
    <n v="1738000"/>
    <n v="0"/>
    <n v="0"/>
    <n v="1.6264056734333137"/>
    <n v="1738000"/>
    <n v="0"/>
    <n v="1738000"/>
    <n v="1738000"/>
    <s v="Private Equity Fund"/>
    <n v="0"/>
    <n v="0"/>
    <n v="0"/>
    <n v="0"/>
    <m/>
    <m/>
    <m/>
    <m/>
    <m/>
    <m/>
    <m/>
    <m/>
    <m/>
    <m/>
    <m/>
    <d v="2015-02-27T00:00:00"/>
    <n v="1.7106965941049435E-3"/>
    <x v="1"/>
  </r>
  <r>
    <x v="189"/>
    <x v="5"/>
    <s v="CHF_S7c"/>
    <n v="6580985.2005000003"/>
    <n v="2881548.1979798777"/>
    <n v="22"/>
    <n v="1826000"/>
    <n v="0"/>
    <n v="0"/>
    <n v="2.2838365865660792"/>
    <n v="1826000"/>
    <n v="0"/>
    <n v="1826000"/>
    <n v="1826000"/>
    <s v="Private Equity Fund"/>
    <n v="0"/>
    <n v="0"/>
    <n v="0"/>
    <n v="0"/>
    <m/>
    <m/>
    <m/>
    <m/>
    <m/>
    <m/>
    <m/>
    <m/>
    <m/>
    <m/>
    <m/>
    <d v="2015-03-31T00:00:00"/>
    <n v="5.2615199944060498E-2"/>
    <x v="1"/>
  </r>
  <r>
    <x v="190"/>
    <x v="5"/>
    <s v="CHF_S7c"/>
    <n v="9787048.4145"/>
    <n v="3102860.3414155478"/>
    <n v="22"/>
    <n v="2508000"/>
    <n v="0"/>
    <n v="0"/>
    <n v="3.1542020386373806"/>
    <n v="2508000"/>
    <n v="0"/>
    <n v="2508000"/>
    <n v="2508000"/>
    <s v="Private Equity Fund"/>
    <n v="0"/>
    <n v="0"/>
    <n v="0"/>
    <n v="0"/>
    <m/>
    <m/>
    <m/>
    <m/>
    <m/>
    <m/>
    <m/>
    <m/>
    <m/>
    <m/>
    <m/>
    <d v="2015-04-30T00:00:00"/>
    <n v="0.1060727524424403"/>
    <x v="1"/>
  </r>
  <r>
    <x v="191"/>
    <x v="5"/>
    <s v="CHF_S7c"/>
    <n v="11483766.125499999"/>
    <n v="3109553.3583588586"/>
    <n v="22"/>
    <n v="1672000"/>
    <n v="0"/>
    <n v="0"/>
    <n v="3.693059678371569"/>
    <n v="1672000"/>
    <n v="0"/>
    <n v="1672000"/>
    <n v="1672000"/>
    <s v="Private Equity Fund"/>
    <n v="0"/>
    <n v="0"/>
    <n v="0"/>
    <n v="0"/>
    <m/>
    <m/>
    <m/>
    <m/>
    <m/>
    <m/>
    <m/>
    <m/>
    <m/>
    <m/>
    <m/>
    <d v="2015-05-29T00:00:00"/>
    <n v="2.5255531548591392E-3"/>
    <x v="1"/>
  </r>
  <r>
    <x v="192"/>
    <x v="5"/>
    <s v="CHF_S7c"/>
    <n v="11304354.73"/>
    <n v="3060972.666161892"/>
    <n v="22"/>
    <n v="0"/>
    <n v="0"/>
    <n v="0"/>
    <n v="3.693059678371569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5623045048053674E-2"/>
    <x v="1"/>
  </r>
  <r>
    <x v="193"/>
    <x v="5"/>
    <s v="CHF_S7c"/>
    <n v="12990256.0485"/>
    <n v="3008151.8844896881"/>
    <n v="22"/>
    <n v="1914000"/>
    <n v="0"/>
    <n v="0"/>
    <n v="4.3183511163378991"/>
    <n v="1914000"/>
    <n v="0"/>
    <n v="1914000"/>
    <n v="1914000"/>
    <s v="Private Equity Fund"/>
    <n v="0"/>
    <n v="0"/>
    <n v="0"/>
    <n v="0"/>
    <m/>
    <m/>
    <m/>
    <m/>
    <m/>
    <m/>
    <m/>
    <m/>
    <m/>
    <m/>
    <m/>
    <d v="2015-07-31T00:00:00"/>
    <n v="-2.0177947963244902E-2"/>
    <x v="1"/>
  </r>
  <r>
    <x v="194"/>
    <x v="5"/>
    <s v="CHF_S7c"/>
    <n v="12762026.619999999"/>
    <n v="2955300.8257518923"/>
    <n v="22"/>
    <n v="0"/>
    <n v="0"/>
    <n v="0"/>
    <n v="4.318351116337899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7569278669172572E-2"/>
    <x v="1"/>
  </r>
  <r>
    <x v="195"/>
    <x v="5"/>
    <s v="CHF_S7c"/>
    <n v="12783146.799500002"/>
    <n v="2960191.6229406842"/>
    <n v="22"/>
    <n v="0"/>
    <n v="0"/>
    <n v="0"/>
    <n v="4.318351116337899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1.6549236362588537E-3"/>
    <x v="1"/>
  </r>
  <r>
    <x v="196"/>
    <x v="5"/>
    <s v="CHF_S7c"/>
    <n v="13145094.709000001"/>
    <n v="3044007.8527351115"/>
    <n v="22"/>
    <n v="0"/>
    <n v="0"/>
    <n v="0"/>
    <n v="4.318351116337899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8314460842627343E-2"/>
    <x v="1"/>
  </r>
  <r>
    <x v="1"/>
    <x v="5"/>
    <s v="CHF_S7c"/>
    <n v="14193352.9395"/>
    <n v="3032951.2500315225"/>
    <n v="22"/>
    <n v="1100000"/>
    <n v="0"/>
    <n v="0"/>
    <n v="4.6797168069722463"/>
    <n v="1100000"/>
    <n v="0"/>
    <n v="1100000"/>
    <n v="1100000"/>
    <s v="Private Equity Fund"/>
    <n v="0"/>
    <n v="0"/>
    <n v="0"/>
    <n v="0"/>
    <m/>
    <m/>
    <m/>
    <m/>
    <m/>
    <m/>
    <m/>
    <m/>
    <m/>
    <m/>
    <m/>
    <d v="2015-11-30T00:00:00"/>
    <n v="-3.9362036292195368E-3"/>
    <x v="1"/>
  </r>
  <r>
    <x v="2"/>
    <x v="5"/>
    <s v="CHF_S7c"/>
    <n v="14276487.0875"/>
    <n v="3050716.0318397167"/>
    <n v="22"/>
    <n v="0"/>
    <n v="0"/>
    <n v="0"/>
    <n v="4.6797168069722463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5.8572592645560473E-3"/>
    <x v="1"/>
  </r>
  <r>
    <x v="3"/>
    <x v="5"/>
    <s v="CHF_S7c"/>
    <n v="14055736.724000001"/>
    <n v="3003544.2963254852"/>
    <n v="22"/>
    <n v="0"/>
    <n v="0"/>
    <n v="0"/>
    <n v="4.6797168069722463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5462512741897139E-2"/>
    <x v="1"/>
  </r>
  <r>
    <x v="4"/>
    <x v="5"/>
    <s v="CHF_S7c"/>
    <n v="19237163.476"/>
    <n v="3043640.6422963799"/>
    <n v="22"/>
    <n v="4928000"/>
    <n v="0"/>
    <n v="0"/>
    <n v="6.3204450645940433"/>
    <n v="4928000"/>
    <n v="0"/>
    <n v="4928000"/>
    <n v="4928000"/>
    <s v="Private Equity Fund"/>
    <n v="0"/>
    <n v="0"/>
    <n v="0"/>
    <n v="0"/>
    <m/>
    <m/>
    <m/>
    <m/>
    <m/>
    <m/>
    <m/>
    <m/>
    <m/>
    <m/>
    <m/>
    <d v="2016-02-29T00:00:00"/>
    <n v="1.803012940383808E-2"/>
    <x v="1"/>
  </r>
  <r>
    <x v="5"/>
    <x v="5"/>
    <s v="CHF_S7c"/>
    <n v="19359442.648499999"/>
    <n v="3062987.2502093236"/>
    <n v="22"/>
    <n v="0"/>
    <n v="0"/>
    <n v="0"/>
    <n v="6.320445064594043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6.3564034610692488E-3"/>
    <x v="1"/>
  </r>
  <r>
    <x v="6"/>
    <x v="5"/>
    <s v="CHF_S7c"/>
    <n v="23114540.901500002"/>
    <n v="3094461.048000141"/>
    <n v="22"/>
    <n v="3520000"/>
    <n v="0"/>
    <n v="0"/>
    <n v="7.4696499787703736"/>
    <n v="3520000"/>
    <n v="0"/>
    <n v="3520000"/>
    <n v="3520000"/>
    <s v="Private Equity Fund"/>
    <n v="0"/>
    <n v="0"/>
    <n v="0"/>
    <n v="0"/>
    <m/>
    <m/>
    <m/>
    <m/>
    <m/>
    <m/>
    <m/>
    <m/>
    <m/>
    <m/>
    <m/>
    <d v="2016-04-29T00:00:00"/>
    <n v="1.2143854410923138E-2"/>
    <x v="1"/>
  </r>
  <r>
    <x v="7"/>
    <x v="5"/>
    <s v="CHF_S7c"/>
    <n v="23360785.162"/>
    <n v="3127427.0184538909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0653218748723603E-2"/>
    <x v="1"/>
  </r>
  <r>
    <x v="8"/>
    <x v="5"/>
    <s v="CHF_S7c"/>
    <n v="23822597.981999997"/>
    <n v="3189252.2473886502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1.9768719963711101E-2"/>
    <x v="1"/>
  </r>
  <r>
    <x v="9"/>
    <x v="5"/>
    <s v="CHF_S7c"/>
    <n v="24071380.368000001"/>
    <n v="3222558.009600678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044312573246553E-2"/>
    <x v="1"/>
  </r>
  <r>
    <x v="10"/>
    <x v="5"/>
    <s v="CHF_S7c"/>
    <n v="23966595.589499999"/>
    <n v="3208529.9388346029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4.3530855687570202E-3"/>
    <x v="1"/>
  </r>
  <r>
    <x v="11"/>
    <x v="5"/>
    <s v="CHF_S7c"/>
    <n v="24821064.252"/>
    <n v="3322922.0007020934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5652483862762319E-2"/>
    <x v="1"/>
  </r>
  <r>
    <x v="12"/>
    <x v="5"/>
    <s v="CHF_S7c"/>
    <n v="25383692.078500006"/>
    <n v="3398243.8468527244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2667353050934258E-2"/>
    <x v="1"/>
  </r>
  <r>
    <x v="13"/>
    <x v="5"/>
    <s v="CHF_S7c"/>
    <n v="25485191.096999999"/>
    <n v="3411832.0362308701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3.998591622767167E-3"/>
    <x v="1"/>
  </r>
  <r>
    <x v="14"/>
    <x v="5"/>
    <s v="CHF_S7c"/>
    <n v="25344423.208999999"/>
    <n v="3392986.7237463389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5.5235170677834233E-3"/>
    <x v="1"/>
  </r>
  <r>
    <x v="15"/>
    <x v="5"/>
    <s v="CHF_S7c"/>
    <n v="25716790.520499997"/>
    <n v="3442837.4279370718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4692277998568537E-2"/>
    <x v="1"/>
  </r>
  <r>
    <x v="16"/>
    <x v="5"/>
    <s v="CHF_S7c"/>
    <n v="26568093.715"/>
    <n v="3556805.7125179432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31030108061654E-2"/>
    <x v="1"/>
  </r>
  <r>
    <x v="17"/>
    <x v="5"/>
    <s v="CHF_S7c"/>
    <n v="26211382.969999999"/>
    <n v="3509051.0324440692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342628300044757E-2"/>
    <x v="1"/>
  </r>
  <r>
    <x v="18"/>
    <x v="5"/>
    <s v="CHF_S7c"/>
    <n v="26208342.489999998"/>
    <n v="3508643.9879361414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159984577494555E-4"/>
    <x v="1"/>
  </r>
  <r>
    <x v="19"/>
    <x v="5"/>
    <s v="CHF_S7c"/>
    <n v="26280494.353500001"/>
    <n v="3518303.3245456303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2.7530113179623505E-3"/>
    <x v="1"/>
  </r>
  <r>
    <x v="20"/>
    <x v="5"/>
    <s v="CHF_S7c"/>
    <n v="26475037.550999999"/>
    <n v="3544347.8109744336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7.4025699396362832E-3"/>
    <x v="1"/>
  </r>
  <r>
    <x v="21"/>
    <x v="5"/>
    <s v="CHF_S7c"/>
    <n v="26952415.592999998"/>
    <n v="3608256.8352736663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1.8031250799187992E-2"/>
    <x v="1"/>
  </r>
  <r>
    <x v="22"/>
    <x v="5"/>
    <s v="CHF_S7c"/>
    <n v="26969400"/>
    <n v="3610530.6241457388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6.3016270068239066E-4"/>
    <x v="1"/>
  </r>
  <r>
    <x v="23"/>
    <x v="5"/>
    <s v="CHF_S7c"/>
    <n v="26901638.79241142"/>
    <n v="3601459.0869544158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5125218799297855E-3"/>
    <x v="1"/>
  </r>
  <r>
    <x v="24"/>
    <x v="5"/>
    <s v="CHF_S7c"/>
    <n v="27071300"/>
    <n v="3624172.4949548948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6.3067238727640973E-3"/>
    <x v="1"/>
  </r>
  <r>
    <x v="25"/>
    <x v="5"/>
    <s v="CHF_S7c"/>
    <n v="27072500"/>
    <n v="3624333.1450527455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4.4327387306752897E-5"/>
    <x v="1"/>
  </r>
  <r>
    <x v="26"/>
    <x v="5"/>
    <s v="CHF_S7c"/>
    <n v="28347100"/>
    <n v="3794970.3239865056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7080986240650047E-2"/>
    <x v="1"/>
  </r>
  <r>
    <x v="27"/>
    <x v="5"/>
    <s v="CHF_S7c"/>
    <n v="28775200"/>
    <n v="3852282.246394746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5102073933488835E-2"/>
    <x v="1"/>
  </r>
  <r>
    <x v="28"/>
    <x v="5"/>
    <s v="CHF_S7c"/>
    <n v="29052532.109999999"/>
    <n v="3889410.1052352819"/>
    <n v="22"/>
    <n v="0"/>
    <n v="0"/>
    <n v="0"/>
    <n v="7.4696499787703736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9.6378864438821932E-3"/>
    <x v="1"/>
  </r>
  <r>
    <x v="29"/>
    <x v="5"/>
    <s v="CHF_S7c"/>
    <n v="29298788.057999998"/>
    <n v="3922377.6403540475"/>
    <n v="22"/>
    <n v="0"/>
    <n v="0"/>
    <n v="0"/>
    <n v="7.4696499787703736"/>
    <n v="0"/>
    <n v="0"/>
    <n v="0"/>
    <n v="0"/>
    <s v="Private Equity Fund"/>
    <n v="0.113549272084965"/>
    <n v="1.2880214219999999"/>
    <n v="0"/>
    <n v="0"/>
    <m/>
    <m/>
    <m/>
    <m/>
    <m/>
    <m/>
    <m/>
    <m/>
    <m/>
    <m/>
    <m/>
    <d v="2018-03-29T00:00:00"/>
    <n v="8.4762301291885223E-3"/>
    <x v="1"/>
  </r>
  <r>
    <x v="30"/>
    <x v="5"/>
    <s v="CHF_S7c"/>
    <n v="29651132.1065"/>
    <n v="3969547.7285779137"/>
    <n v="22"/>
    <n v="0"/>
    <n v="0"/>
    <n v="0"/>
    <n v="7.4696499787703736"/>
    <n v="0"/>
    <n v="0"/>
    <n v="0"/>
    <n v="0"/>
    <s v="Private Equity Fund"/>
    <n v="4.0822559299999998E-2"/>
    <n v="1.350199784"/>
    <n v="0"/>
    <n v="0"/>
    <m/>
    <m/>
    <m/>
    <m/>
    <m/>
    <m/>
    <m/>
    <m/>
    <m/>
    <m/>
    <m/>
    <d v="2018-04-30T00:00:00"/>
    <n v="1.2025891576214587E-2"/>
    <x v="1"/>
  </r>
  <r>
    <x v="31"/>
    <x v="5"/>
    <s v="CHF_S7c"/>
    <n v="29837704.938999999"/>
    <n v="3994525.1817424214"/>
    <n v="22"/>
    <n v="0"/>
    <n v="0"/>
    <n v="0"/>
    <n v="7.4696499787703736"/>
    <n v="0"/>
    <n v="0"/>
    <n v="0"/>
    <n v="0"/>
    <s v="Private Equity Fund"/>
    <n v="3.9231299999999997E-2"/>
    <n v="1.3831244"/>
    <n v="0"/>
    <n v="0"/>
    <m/>
    <m/>
    <m/>
    <m/>
    <m/>
    <m/>
    <m/>
    <m/>
    <m/>
    <m/>
    <m/>
    <d v="2018-05-31T00:00:00"/>
    <n v="6.2922667448201963E-3"/>
    <x v="1"/>
  </r>
  <r>
    <x v="32"/>
    <x v="5"/>
    <s v="CHF_S7c"/>
    <n v="29893114.5605"/>
    <n v="4001943.1493389593"/>
    <n v="22"/>
    <n v="0"/>
    <n v="0"/>
    <n v="0"/>
    <n v="7.4696499787703736"/>
    <n v="0"/>
    <n v="0"/>
    <n v="-29893114.5605"/>
    <n v="-29893114.5605"/>
    <s v="Private Equity Fund"/>
    <n v="3.9578599999999999E-2"/>
    <n v="1.39290257"/>
    <n v="0"/>
    <n v="0"/>
    <m/>
    <m/>
    <m/>
    <m/>
    <m/>
    <m/>
    <m/>
    <m/>
    <m/>
    <m/>
    <m/>
    <d v="2018-06-29T00:00:00"/>
    <n v="1.8570336295395951E-3"/>
    <x v="1"/>
  </r>
  <r>
    <x v="33"/>
    <x v="5"/>
    <s v="CHF_S7c"/>
    <n v="29893114.5605"/>
    <n v="4001943.1493389593"/>
    <n v="22"/>
    <n v="0"/>
    <n v="0"/>
    <n v="0"/>
    <n v="7.4696499787703736"/>
    <n v="0"/>
    <n v="0"/>
    <n v="0"/>
    <n v="0"/>
    <s v="Private Equity Fund"/>
    <n v="3.9578599999999999E-2"/>
    <n v="1.39290257"/>
    <n v="0"/>
    <n v="0"/>
    <m/>
    <m/>
    <m/>
    <m/>
    <m/>
    <m/>
    <m/>
    <m/>
    <m/>
    <m/>
    <m/>
    <d v="2018-07-31T00:00:00"/>
    <n v="0"/>
    <x v="1"/>
  </r>
  <r>
    <x v="202"/>
    <x v="5"/>
    <s v="CHF_S7d"/>
    <n v="635000"/>
    <n v="635000"/>
    <n v="5"/>
    <n v="635000"/>
    <n v="0"/>
    <n v="0"/>
    <n v="1"/>
    <n v="635000"/>
    <n v="635000"/>
    <n v="635000"/>
    <n v="635000"/>
    <s v="Private Equity Fund"/>
    <n v="0"/>
    <n v="0"/>
    <n v="0"/>
    <n v="0"/>
    <m/>
    <m/>
    <m/>
    <m/>
    <m/>
    <m/>
    <m/>
    <m/>
    <m/>
    <m/>
    <m/>
    <d v="2015-01-15T00:00:00"/>
    <n v="0"/>
    <x v="1"/>
  </r>
  <r>
    <x v="187"/>
    <x v="5"/>
    <s v="CHF_S7d"/>
    <n v="632739.89"/>
    <n v="632739.89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3.559228346456722E-3"/>
    <x v="1"/>
  </r>
  <r>
    <x v="188"/>
    <x v="5"/>
    <s v="CHF_S7d"/>
    <n v="1030818.5330000002"/>
    <n v="634635.29199044849"/>
    <n v="5"/>
    <n v="395000"/>
    <n v="0"/>
    <n v="0"/>
    <n v="1.624269160586667"/>
    <n v="395000"/>
    <n v="0"/>
    <n v="395000"/>
    <n v="395000"/>
    <s v="Private Equity Fund"/>
    <n v="0"/>
    <n v="0"/>
    <n v="0"/>
    <n v="0"/>
    <m/>
    <m/>
    <m/>
    <m/>
    <m/>
    <m/>
    <m/>
    <m/>
    <m/>
    <m/>
    <m/>
    <d v="2015-02-27T00:00:00"/>
    <n v="4.8655743831800269E-3"/>
    <x v="1"/>
  </r>
  <r>
    <x v="189"/>
    <x v="5"/>
    <s v="CHF_S7d"/>
    <n v="1491642.7845000001"/>
    <n v="659309.74724826403"/>
    <n v="5"/>
    <n v="405000"/>
    <n v="0"/>
    <n v="0"/>
    <n v="2.2624309601452319"/>
    <n v="405000"/>
    <n v="0"/>
    <n v="405000"/>
    <n v="405000"/>
    <s v="Private Equity Fund"/>
    <n v="0"/>
    <n v="0"/>
    <n v="0"/>
    <n v="0"/>
    <m/>
    <m/>
    <m/>
    <m/>
    <m/>
    <m/>
    <m/>
    <m/>
    <m/>
    <m/>
    <m/>
    <d v="2015-03-31T00:00:00"/>
    <n v="5.4155265658189178E-2"/>
    <x v="1"/>
  </r>
  <r>
    <x v="190"/>
    <x v="5"/>
    <s v="CHF_S7d"/>
    <n v="2216485.2955"/>
    <n v="708828.11073888955"/>
    <n v="5"/>
    <n v="570000"/>
    <n v="0"/>
    <n v="0"/>
    <n v="3.1269714926930781"/>
    <n v="570000"/>
    <n v="0"/>
    <n v="570000"/>
    <n v="570000"/>
    <s v="Private Equity Fund"/>
    <n v="0"/>
    <n v="0"/>
    <n v="0"/>
    <n v="0"/>
    <m/>
    <m/>
    <m/>
    <m/>
    <m/>
    <m/>
    <m/>
    <m/>
    <m/>
    <m/>
    <m/>
    <d v="2015-04-30T00:00:00"/>
    <n v="0.1038066972930809"/>
    <x v="1"/>
  </r>
  <r>
    <x v="191"/>
    <x v="5"/>
    <s v="CHF_S7d"/>
    <n v="2609415.2404999998"/>
    <n v="712357.92409935489"/>
    <n v="5"/>
    <n v="380000"/>
    <n v="0"/>
    <n v="0"/>
    <n v="3.663067612814336"/>
    <n v="380000"/>
    <n v="0"/>
    <n v="380000"/>
    <n v="380000"/>
    <s v="Private Equity Fund"/>
    <n v="0"/>
    <n v="0"/>
    <n v="0"/>
    <n v="0"/>
    <m/>
    <m/>
    <m/>
    <m/>
    <m/>
    <m/>
    <m/>
    <m/>
    <m/>
    <m/>
    <m/>
    <d v="2015-05-29T00:00:00"/>
    <n v="5.8335352037979238E-3"/>
    <x v="1"/>
  </r>
  <r>
    <x v="192"/>
    <x v="5"/>
    <s v="CHF_S7d"/>
    <n v="2566544.173"/>
    <n v="700654.32699674449"/>
    <n v="5"/>
    <n v="0"/>
    <n v="0"/>
    <n v="0"/>
    <n v="3.663067612814336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6429377292893066E-2"/>
    <x v="1"/>
  </r>
  <r>
    <x v="193"/>
    <x v="5"/>
    <s v="CHF_S7d"/>
    <n v="2951992.8450000002"/>
    <n v="689087.49660193"/>
    <n v="5"/>
    <n v="435000"/>
    <n v="0"/>
    <n v="0"/>
    <n v="4.2839158445872929"/>
    <n v="435000"/>
    <n v="0"/>
    <n v="435000"/>
    <n v="435000"/>
    <s v="Private Equity Fund"/>
    <n v="0"/>
    <n v="0"/>
    <n v="0"/>
    <n v="0"/>
    <m/>
    <m/>
    <m/>
    <m/>
    <m/>
    <m/>
    <m/>
    <m/>
    <m/>
    <m/>
    <m/>
    <d v="2015-07-31T00:00:00"/>
    <n v="-1.9306633613120239E-2"/>
    <x v="1"/>
  </r>
  <r>
    <x v="194"/>
    <x v="5"/>
    <s v="CHF_S7d"/>
    <n v="2902354.7404999998"/>
    <n v="677500.40985681617"/>
    <n v="5"/>
    <n v="0"/>
    <n v="0"/>
    <n v="0"/>
    <n v="4.2839158445872929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6815116806287667E-2"/>
    <x v="1"/>
  </r>
  <r>
    <x v="195"/>
    <x v="5"/>
    <s v="CHF_S7d"/>
    <n v="2909357.8735000002"/>
    <n v="679135.16022401792"/>
    <n v="5"/>
    <n v="0"/>
    <n v="0"/>
    <n v="0"/>
    <n v="4.2839158445872929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2.4129142114426294E-3"/>
    <x v="1"/>
  </r>
  <r>
    <x v="196"/>
    <x v="5"/>
    <s v="CHF_S7d"/>
    <n v="2987129.7965000002"/>
    <n v="697289.56050204032"/>
    <n v="5"/>
    <n v="0"/>
    <n v="0"/>
    <n v="0"/>
    <n v="4.2839158445872929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6731645394466153E-2"/>
    <x v="1"/>
  </r>
  <r>
    <x v="1"/>
    <x v="5"/>
    <s v="CHF_S7d"/>
    <n v="3236025.9185000001"/>
    <n v="697051.78115618275"/>
    <n v="5"/>
    <n v="250000"/>
    <n v="0"/>
    <n v="0"/>
    <n v="4.6424469544177667"/>
    <n v="250000"/>
    <n v="0"/>
    <n v="250000"/>
    <n v="250000"/>
    <s v="Private Equity Fund"/>
    <n v="0"/>
    <n v="0"/>
    <n v="0"/>
    <n v="0"/>
    <m/>
    <m/>
    <m/>
    <m/>
    <m/>
    <m/>
    <m/>
    <m/>
    <m/>
    <m/>
    <m/>
    <d v="2015-11-30T00:00:00"/>
    <n v="-3.6954470518602012E-4"/>
    <x v="1"/>
  </r>
  <r>
    <x v="2"/>
    <x v="5"/>
    <s v="CHF_S7d"/>
    <n v="3255730.7969999998"/>
    <n v="701296.28382761299"/>
    <n v="5"/>
    <n v="0"/>
    <n v="0"/>
    <n v="0"/>
    <n v="4.6424469544177667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6.0892214698742286E-3"/>
    <x v="1"/>
  </r>
  <r>
    <x v="3"/>
    <x v="5"/>
    <s v="CHF_S7d"/>
    <n v="3200749.5159999998"/>
    <n v="689453.11544252688"/>
    <n v="5"/>
    <n v="0"/>
    <n v="0"/>
    <n v="0"/>
    <n v="4.6424469544177667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6887539059022516E-2"/>
    <x v="1"/>
  </r>
  <r>
    <x v="4"/>
    <x v="5"/>
    <s v="CHF_S7d"/>
    <n v="4381048.6349999998"/>
    <n v="699074.92186732439"/>
    <n v="5"/>
    <n v="1120000"/>
    <n v="0"/>
    <n v="0"/>
    <n v="6.2669228976167846"/>
    <n v="1120000"/>
    <n v="0"/>
    <n v="1120000"/>
    <n v="1120000"/>
    <s v="Private Equity Fund"/>
    <n v="0"/>
    <n v="0"/>
    <n v="0"/>
    <n v="0"/>
    <m/>
    <m/>
    <m/>
    <m/>
    <m/>
    <m/>
    <m/>
    <m/>
    <m/>
    <m/>
    <m/>
    <d v="2016-02-29T00:00:00"/>
    <n v="1.8839062131720929E-2"/>
    <x v="1"/>
  </r>
  <r>
    <x v="5"/>
    <x v="5"/>
    <s v="CHF_S7d"/>
    <n v="4418355.5769999996"/>
    <n v="705027.91388740926"/>
    <n v="5"/>
    <n v="0"/>
    <n v="0"/>
    <n v="0"/>
    <n v="6.266922897616784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8.5155279267972173E-3"/>
    <x v="1"/>
  </r>
  <r>
    <x v="6"/>
    <x v="5"/>
    <s v="CHF_S7d"/>
    <n v="5269900.5935000004"/>
    <n v="710630.13353066857"/>
    <n v="5"/>
    <n v="810000"/>
    <n v="0"/>
    <n v="0"/>
    <n v="7.4158135784605994"/>
    <n v="810000"/>
    <n v="0"/>
    <n v="810000"/>
    <n v="810000"/>
    <s v="Private Equity Fund"/>
    <n v="0"/>
    <n v="0"/>
    <n v="0"/>
    <n v="0"/>
    <m/>
    <m/>
    <m/>
    <m/>
    <m/>
    <m/>
    <m/>
    <m/>
    <m/>
    <m/>
    <m/>
    <d v="2016-04-29T00:00:00"/>
    <n v="9.4028232395477751E-3"/>
    <x v="1"/>
  </r>
  <r>
    <x v="7"/>
    <x v="5"/>
    <s v="CHF_S7d"/>
    <n v="5328694.8640000001"/>
    <n v="718558.36283119582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1156618508614269E-2"/>
    <x v="1"/>
  </r>
  <r>
    <x v="8"/>
    <x v="5"/>
    <s v="CHF_S7d"/>
    <n v="5450800.7980000004"/>
    <n v="735023.97819599672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291479191742285E-2"/>
    <x v="1"/>
  </r>
  <r>
    <x v="9"/>
    <x v="5"/>
    <s v="CHF_S7d"/>
    <n v="5487478.0259999996"/>
    <n v="739969.79130361439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6.7287779097442435E-3"/>
    <x v="1"/>
  </r>
  <r>
    <x v="10"/>
    <x v="5"/>
    <s v="CHF_S7d"/>
    <n v="5466630.7560000001"/>
    <n v="737158.60008643614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3.7990621376930989E-3"/>
    <x v="1"/>
  </r>
  <r>
    <x v="11"/>
    <x v="5"/>
    <s v="CHF_S7d"/>
    <n v="5686290.2635000004"/>
    <n v="766779.01936693245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4.0181881181367229E-2"/>
    <x v="1"/>
  </r>
  <r>
    <x v="12"/>
    <x v="5"/>
    <s v="CHF_S7d"/>
    <n v="5817117.0954999998"/>
    <n v="784420.62141313124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3007413610200311E-2"/>
    <x v="1"/>
  </r>
  <r>
    <x v="13"/>
    <x v="5"/>
    <s v="CHF_S7d"/>
    <n v="5840102.8295"/>
    <n v="787520.17802371853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3.9513961336246073E-3"/>
    <x v="1"/>
  </r>
  <r>
    <x v="14"/>
    <x v="5"/>
    <s v="CHF_S7d"/>
    <n v="5813898.0944999997"/>
    <n v="783986.5488780085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4.4870331507919081E-3"/>
    <x v="1"/>
  </r>
  <r>
    <x v="15"/>
    <x v="5"/>
    <s v="CHF_S7d"/>
    <n v="5892575.6670000004"/>
    <n v="794595.9812305856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3532671405855901E-2"/>
    <x v="1"/>
  </r>
  <r>
    <x v="16"/>
    <x v="5"/>
    <s v="CHF_S7d"/>
    <n v="6089383.1540000001"/>
    <n v="821134.87476097746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3399229491811955E-2"/>
    <x v="1"/>
  </r>
  <r>
    <x v="17"/>
    <x v="5"/>
    <s v="CHF_S7d"/>
    <n v="6019948.6174999997"/>
    <n v="811771.837817644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1402556670192521E-2"/>
    <x v="1"/>
  </r>
  <r>
    <x v="18"/>
    <x v="5"/>
    <s v="CHF_S7d"/>
    <n v="6013073.9199999999"/>
    <n v="810844.80568188918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1419860760962797E-3"/>
    <x v="1"/>
  </r>
  <r>
    <x v="19"/>
    <x v="5"/>
    <s v="CHF_S7d"/>
    <n v="6041855.9225000003"/>
    <n v="814725.97154393268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4.7865705432739158E-3"/>
    <x v="1"/>
  </r>
  <r>
    <x v="20"/>
    <x v="5"/>
    <s v="CHF_S7d"/>
    <n v="6089193.7314999998"/>
    <n v="821109.3317105762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7.8349781271203067E-3"/>
    <x v="1"/>
  </r>
  <r>
    <x v="21"/>
    <x v="5"/>
    <s v="CHF_S7d"/>
    <n v="6191735.0630000001"/>
    <n v="834936.71968562377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1.6839886530386483E-2"/>
    <x v="1"/>
  </r>
  <r>
    <x v="22"/>
    <x v="5"/>
    <s v="CHF_S7d"/>
    <n v="6208000"/>
    <n v="837129.99717674649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2.6268787075847122E-3"/>
    <x v="1"/>
  </r>
  <r>
    <x v="23"/>
    <x v="5"/>
    <s v="CHF_S7d"/>
    <n v="6195650.0690162117"/>
    <n v="835464.64638911898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9893574393988755E-3"/>
    <x v="1"/>
  </r>
  <r>
    <x v="24"/>
    <x v="5"/>
    <s v="CHF_S7d"/>
    <n v="6228300"/>
    <n v="839867.39069199911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5.2698152122998554E-3"/>
    <x v="1"/>
  </r>
  <r>
    <x v="25"/>
    <x v="5"/>
    <s v="CHF_S7d"/>
    <n v="6240900"/>
    <n v="841566.4625290524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2.023023939116575E-3"/>
    <x v="1"/>
  </r>
  <r>
    <x v="26"/>
    <x v="5"/>
    <s v="CHF_S7d"/>
    <n v="6536500"/>
    <n v="881427.22721420799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736496338669105E-2"/>
    <x v="1"/>
  </r>
  <r>
    <x v="27"/>
    <x v="5"/>
    <s v="CHF_S7d"/>
    <n v="6627700"/>
    <n v="893725.27098716539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3952421020423822E-2"/>
    <x v="1"/>
  </r>
  <r>
    <x v="28"/>
    <x v="5"/>
    <s v="CHF_S7d"/>
    <n v="6693713.79"/>
    <n v="902627.03062574891"/>
    <n v="5"/>
    <n v="0"/>
    <n v="0"/>
    <n v="0"/>
    <n v="7.4158135784605994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9.9602863738552649E-3"/>
    <x v="1"/>
  </r>
  <r>
    <x v="29"/>
    <x v="5"/>
    <s v="CHF_S7d"/>
    <n v="6763152.9685000004"/>
    <n v="911990.69352872262"/>
    <n v="5"/>
    <n v="0"/>
    <n v="0"/>
    <n v="0"/>
    <n v="7.4158135784605994"/>
    <n v="0"/>
    <n v="0"/>
    <n v="0"/>
    <n v="0"/>
    <s v="Private Equity Fund"/>
    <n v="1.3982360487840309E-2"/>
    <n v="0.31114464150000004"/>
    <n v="0"/>
    <n v="0"/>
    <m/>
    <m/>
    <m/>
    <m/>
    <m/>
    <m/>
    <m/>
    <m/>
    <m/>
    <m/>
    <m/>
    <d v="2018-03-29T00:00:00"/>
    <n v="1.0373789599988248E-2"/>
    <x v="1"/>
  </r>
  <r>
    <x v="30"/>
    <x v="5"/>
    <s v="CHF_S7d"/>
    <n v="6827067.8430000003"/>
    <n v="920609.42076933745"/>
    <n v="5"/>
    <n v="0"/>
    <n v="0"/>
    <n v="0"/>
    <n v="7.4158135784605994"/>
    <n v="0"/>
    <n v="0"/>
    <n v="0"/>
    <n v="0"/>
    <s v="Private Equity Fund"/>
    <n v="5.0179999999999999E-3"/>
    <n v="0.32242374000000001"/>
    <n v="0"/>
    <n v="0"/>
    <m/>
    <m/>
    <m/>
    <m/>
    <m/>
    <m/>
    <m/>
    <m/>
    <m/>
    <m/>
    <m/>
    <d v="2018-04-30T00:00:00"/>
    <n v="9.4504552532952424E-3"/>
    <x v="1"/>
  </r>
  <r>
    <x v="31"/>
    <x v="5"/>
    <s v="CHF_S7d"/>
    <n v="6872878.5420000004"/>
    <n v="926786.85477779992"/>
    <n v="5"/>
    <n v="0"/>
    <n v="0"/>
    <n v="0"/>
    <n v="7.4158135784605994"/>
    <n v="0"/>
    <n v="0"/>
    <n v="0"/>
    <n v="0"/>
    <s v="Private Equity Fund"/>
    <n v="4.8218999999999996E-3"/>
    <n v="0.33050797999999998"/>
    <n v="0"/>
    <n v="0"/>
    <m/>
    <m/>
    <m/>
    <m/>
    <m/>
    <m/>
    <m/>
    <m/>
    <m/>
    <m/>
    <m/>
    <d v="2018-05-31T00:00:00"/>
    <n v="6.7101572817929167E-3"/>
    <x v="1"/>
  </r>
  <r>
    <x v="32"/>
    <x v="5"/>
    <s v="CHF_S7d"/>
    <n v="6908838.2850000001"/>
    <n v="931635.91720628995"/>
    <n v="5"/>
    <n v="0"/>
    <n v="0"/>
    <n v="0"/>
    <n v="7.4158135784605994"/>
    <n v="0"/>
    <n v="0"/>
    <n v="-6908838.2850000001"/>
    <n v="-6908838.2850000001"/>
    <s v="Private Equity Fund"/>
    <n v="4.8799999999999998E-3"/>
    <n v="0.33685382000000003"/>
    <n v="0"/>
    <n v="0"/>
    <m/>
    <m/>
    <m/>
    <m/>
    <m/>
    <m/>
    <m/>
    <m/>
    <m/>
    <m/>
    <m/>
    <d v="2018-06-29T00:00:00"/>
    <n v="5.2321225786620129E-3"/>
    <x v="1"/>
  </r>
  <r>
    <x v="33"/>
    <x v="5"/>
    <s v="CHF_S7d"/>
    <n v="6908838.2850000001"/>
    <n v="931635.91720628995"/>
    <n v="5"/>
    <n v="0"/>
    <n v="0"/>
    <n v="0"/>
    <n v="7.4158135784605994"/>
    <n v="0"/>
    <n v="0"/>
    <n v="0"/>
    <n v="0"/>
    <s v="Private Equity Fund"/>
    <n v="4.8799999999999998E-3"/>
    <n v="0.33685382000000003"/>
    <n v="0"/>
    <n v="0"/>
    <m/>
    <m/>
    <m/>
    <m/>
    <m/>
    <m/>
    <m/>
    <m/>
    <m/>
    <m/>
    <m/>
    <d v="2018-07-31T00:00:00"/>
    <n v="0"/>
    <x v="1"/>
  </r>
  <r>
    <x v="202"/>
    <x v="5"/>
    <s v="CHF_S7e"/>
    <n v="127000"/>
    <n v="127000"/>
    <n v="1"/>
    <n v="127000"/>
    <n v="0"/>
    <n v="0"/>
    <n v="1"/>
    <n v="127000"/>
    <n v="127000"/>
    <n v="127000"/>
    <n v="127000"/>
    <s v="Private Equity Fund"/>
    <n v="0"/>
    <n v="0"/>
    <n v="0"/>
    <n v="0"/>
    <m/>
    <m/>
    <m/>
    <m/>
    <m/>
    <m/>
    <m/>
    <m/>
    <m/>
    <m/>
    <m/>
    <d v="2015-01-15T00:00:00"/>
    <n v="0"/>
    <x v="1"/>
  </r>
  <r>
    <x v="187"/>
    <x v="5"/>
    <s v="CHF_S7e"/>
    <n v="126485.53000000001"/>
    <n v="126485.53000000001"/>
    <n v="1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4.0509448818896177E-3"/>
    <x v="1"/>
  </r>
  <r>
    <x v="188"/>
    <x v="5"/>
    <s v="CHF_S7e"/>
    <n v="205995.76"/>
    <n v="126799.59937496719"/>
    <n v="1"/>
    <n v="79000"/>
    <n v="0"/>
    <n v="0"/>
    <n v="1.624577372605388"/>
    <n v="79000"/>
    <n v="0"/>
    <n v="79000"/>
    <n v="79000"/>
    <s v="Private Equity Fund"/>
    <n v="0"/>
    <n v="0"/>
    <n v="0"/>
    <n v="0"/>
    <m/>
    <m/>
    <m/>
    <m/>
    <m/>
    <m/>
    <m/>
    <m/>
    <m/>
    <m/>
    <m/>
    <d v="2015-02-27T00:00:00"/>
    <n v="4.0339001623348469E-3"/>
    <x v="1"/>
  </r>
  <r>
    <x v="189"/>
    <x v="5"/>
    <s v="CHF_S7e"/>
    <n v="297950.1335"/>
    <n v="131639.42757035155"/>
    <n v="1"/>
    <n v="81000"/>
    <n v="0"/>
    <n v="0"/>
    <n v="2.2633806527361848"/>
    <n v="81000"/>
    <n v="0"/>
    <n v="81000"/>
    <n v="81000"/>
    <s v="Private Equity Fund"/>
    <n v="0"/>
    <n v="0"/>
    <n v="0"/>
    <n v="0"/>
    <m/>
    <m/>
    <m/>
    <m/>
    <m/>
    <m/>
    <m/>
    <m/>
    <m/>
    <m/>
    <m/>
    <d v="2015-03-31T00:00:00"/>
    <n v="5.3177664918928391E-2"/>
    <x v="1"/>
  </r>
  <r>
    <x v="190"/>
    <x v="5"/>
    <s v="CHF_S7e"/>
    <n v="443107.98849999998"/>
    <n v="141595.97780052645"/>
    <n v="1"/>
    <n v="114000"/>
    <n v="0"/>
    <n v="0"/>
    <n v="3.1293825953462395"/>
    <n v="114000"/>
    <n v="0"/>
    <n v="114000"/>
    <n v="114000"/>
    <s v="Private Equity Fund"/>
    <n v="0"/>
    <n v="0"/>
    <n v="0"/>
    <n v="0"/>
    <m/>
    <m/>
    <m/>
    <m/>
    <m/>
    <m/>
    <m/>
    <m/>
    <m/>
    <m/>
    <m/>
    <d v="2015-04-30T00:00:00"/>
    <n v="0.10457405953805354"/>
    <x v="1"/>
  </r>
  <r>
    <x v="191"/>
    <x v="5"/>
    <s v="CHF_S7e"/>
    <n v="521304.64350000006"/>
    <n v="142195.1546953267"/>
    <n v="1"/>
    <n v="76000"/>
    <n v="0"/>
    <n v="0"/>
    <n v="3.6661210054376978"/>
    <n v="76000"/>
    <n v="0"/>
    <n v="76000"/>
    <n v="76000"/>
    <s v="Private Equity Fund"/>
    <n v="0"/>
    <n v="0"/>
    <n v="0"/>
    <n v="0"/>
    <m/>
    <m/>
    <m/>
    <m/>
    <m/>
    <m/>
    <m/>
    <m/>
    <m/>
    <m/>
    <m/>
    <d v="2015-05-29T00:00:00"/>
    <n v="4.9573807221037214E-3"/>
    <x v="1"/>
  </r>
  <r>
    <x v="192"/>
    <x v="5"/>
    <s v="CHF_S7e"/>
    <n v="513419.13400000008"/>
    <n v="140044.24110346654"/>
    <n v="1"/>
    <n v="0"/>
    <n v="-5.8207660913467407E-11"/>
    <n v="0"/>
    <n v="3.6661210054376978"/>
    <n v="-5.8207660913467407E-11"/>
    <n v="0"/>
    <n v="-5.8207660913467407E-11"/>
    <n v="-5.8207660913467407E-11"/>
    <s v="Private Equity Fund"/>
    <n v="0"/>
    <n v="0"/>
    <n v="0"/>
    <n v="0"/>
    <m/>
    <m/>
    <m/>
    <m/>
    <m/>
    <m/>
    <m/>
    <m/>
    <m/>
    <m/>
    <m/>
    <d v="2015-06-30T00:00:00"/>
    <n v="-1.5126490044395591E-2"/>
    <x v="1"/>
  </r>
  <r>
    <x v="193"/>
    <x v="5"/>
    <s v="CHF_S7e"/>
    <n v="590250.81350000005"/>
    <n v="137672.53999155739"/>
    <n v="1"/>
    <n v="87000"/>
    <n v="0"/>
    <n v="0"/>
    <n v="4.2873532625765201"/>
    <n v="87000"/>
    <n v="0"/>
    <n v="87000"/>
    <n v="87000"/>
    <s v="Private Equity Fund"/>
    <n v="0"/>
    <n v="0"/>
    <n v="0"/>
    <n v="0"/>
    <m/>
    <m/>
    <m/>
    <m/>
    <m/>
    <m/>
    <m/>
    <m/>
    <m/>
    <m/>
    <m/>
    <d v="2015-07-31T00:00:00"/>
    <n v="-1.9805106250675997E-2"/>
    <x v="1"/>
  </r>
  <r>
    <x v="194"/>
    <x v="5"/>
    <s v="CHF_S7e"/>
    <n v="580074.91949999996"/>
    <n v="135299.07240519742"/>
    <n v="1"/>
    <n v="0"/>
    <n v="0"/>
    <n v="0"/>
    <n v="4.287353262576520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7239949132234589E-2"/>
    <x v="1"/>
  </r>
  <r>
    <x v="195"/>
    <x v="5"/>
    <s v="CHF_S7e"/>
    <n v="581227.92749999999"/>
    <n v="135568.00475795323"/>
    <n v="1"/>
    <n v="0"/>
    <n v="0"/>
    <n v="0"/>
    <n v="4.287353262576520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1.9876880748332937E-3"/>
    <x v="1"/>
  </r>
  <r>
    <x v="196"/>
    <x v="5"/>
    <s v="CHF_S7e"/>
    <n v="597283.0675"/>
    <n v="139312.77198768963"/>
    <n v="1"/>
    <n v="0"/>
    <n v="0"/>
    <n v="0"/>
    <n v="4.287353262576520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762279518993016E-2"/>
    <x v="1"/>
  </r>
  <r>
    <x v="1"/>
    <x v="5"/>
    <s v="CHF_S7e"/>
    <n v="645757.71699999995"/>
    <n v="138984.47542459777"/>
    <n v="1"/>
    <n v="50000.000000000007"/>
    <n v="0"/>
    <n v="0"/>
    <n v="4.6462579005835671"/>
    <n v="50000.000000000007"/>
    <n v="0"/>
    <n v="50000.000000000007"/>
    <n v="50000.000000000007"/>
    <s v="Private Equity Fund"/>
    <n v="0"/>
    <n v="0"/>
    <n v="0"/>
    <n v="0"/>
    <m/>
    <m/>
    <m/>
    <m/>
    <m/>
    <m/>
    <m/>
    <m/>
    <m/>
    <m/>
    <m/>
    <d v="2015-11-30T00:00:00"/>
    <n v="-2.5538150719467412E-3"/>
    <x v="1"/>
  </r>
  <r>
    <x v="2"/>
    <x v="5"/>
    <s v="CHF_S7e"/>
    <n v="649657.47450000001"/>
    <n v="139823.80840684788"/>
    <n v="1"/>
    <n v="0"/>
    <n v="0"/>
    <n v="0"/>
    <n v="4.6462579005835671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6.0390412647597369E-3"/>
    <x v="1"/>
  </r>
  <r>
    <x v="3"/>
    <x v="5"/>
    <s v="CHF_S7e"/>
    <n v="639245.54399999999"/>
    <n v="137582.88017540119"/>
    <n v="1"/>
    <n v="0"/>
    <n v="0"/>
    <n v="0"/>
    <n v="4.6462579005835671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6026800134968711E-2"/>
    <x v="1"/>
  </r>
  <r>
    <x v="4"/>
    <x v="5"/>
    <s v="CHF_S7e"/>
    <n v="874826.36049999995"/>
    <n v="139428.61468272324"/>
    <n v="1"/>
    <n v="224000"/>
    <n v="0"/>
    <n v="0"/>
    <n v="6.2743674423697815"/>
    <n v="224000"/>
    <n v="0"/>
    <n v="224000"/>
    <n v="224000"/>
    <s v="Private Equity Fund"/>
    <n v="0"/>
    <n v="0"/>
    <n v="0"/>
    <n v="0"/>
    <m/>
    <m/>
    <m/>
    <m/>
    <m/>
    <m/>
    <m/>
    <m/>
    <m/>
    <m/>
    <m/>
    <d v="2016-02-29T00:00:00"/>
    <n v="1.8116382051776903E-2"/>
    <x v="1"/>
  </r>
  <r>
    <x v="5"/>
    <x v="5"/>
    <s v="CHF_S7e"/>
    <n v="881054.6165"/>
    <n v="140421.26550485101"/>
    <n v="1"/>
    <n v="0"/>
    <n v="0"/>
    <n v="0"/>
    <n v="6.2743674423697815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7.1194196713966207E-3"/>
    <x v="1"/>
  </r>
  <r>
    <x v="6"/>
    <x v="5"/>
    <s v="CHF_S7e"/>
    <n v="1052905.9805000001"/>
    <n v="141747.50573997005"/>
    <n v="1"/>
    <n v="162000"/>
    <n v="0"/>
    <n v="0"/>
    <n v="7.4280388568636457"/>
    <n v="162000"/>
    <n v="0"/>
    <n v="162000"/>
    <n v="162000"/>
    <s v="Private Equity Fund"/>
    <n v="0"/>
    <n v="0"/>
    <n v="0"/>
    <n v="0"/>
    <m/>
    <m/>
    <m/>
    <m/>
    <m/>
    <m/>
    <m/>
    <m/>
    <m/>
    <m/>
    <m/>
    <d v="2016-04-29T00:00:00"/>
    <n v="1.1181331798855609E-2"/>
    <x v="1"/>
  </r>
  <r>
    <x v="7"/>
    <x v="5"/>
    <s v="CHF_S7e"/>
    <n v="1064177.3629999999"/>
    <n v="143264.91601705615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0705022773873196E-2"/>
    <x v="1"/>
  </r>
  <r>
    <x v="8"/>
    <x v="5"/>
    <s v="CHF_S7e"/>
    <n v="1086146.956"/>
    <n v="146222.57326997962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0644672367457817E-2"/>
    <x v="1"/>
  </r>
  <r>
    <x v="9"/>
    <x v="5"/>
    <s v="CHF_S7e"/>
    <n v="1096401.9424999999"/>
    <n v="147603.15119877222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9.4416197028865945E-3"/>
    <x v="1"/>
  </r>
  <r>
    <x v="10"/>
    <x v="5"/>
    <s v="CHF_S7e"/>
    <n v="1091721.3155"/>
    <n v="146973.02161945871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4.2690794484796513E-3"/>
    <x v="1"/>
  </r>
  <r>
    <x v="11"/>
    <x v="5"/>
    <s v="CHF_S7e"/>
    <n v="1131767"/>
    <n v="152364.1733449235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668123350844299E-2"/>
    <x v="1"/>
  </r>
  <r>
    <x v="12"/>
    <x v="5"/>
    <s v="CHF_S7e"/>
    <n v="1157422.7285"/>
    <n v="155818.07672297242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2668737028027852E-2"/>
    <x v="1"/>
  </r>
  <r>
    <x v="13"/>
    <x v="5"/>
    <s v="CHF_S7e"/>
    <n v="1162034.0804999999"/>
    <n v="156438.88015290321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3.9841553880457514E-3"/>
    <x v="1"/>
  </r>
  <r>
    <x v="14"/>
    <x v="5"/>
    <s v="CHF_S7e"/>
    <n v="1155793.797"/>
    <n v="155598.78176081768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5.3701381093013145E-3"/>
    <x v="1"/>
  </r>
  <r>
    <x v="15"/>
    <x v="5"/>
    <s v="CHF_S7e"/>
    <n v="1172556.2815"/>
    <n v="157855.43184343149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4503006110180738E-2"/>
    <x v="1"/>
  </r>
  <r>
    <x v="16"/>
    <x v="5"/>
    <s v="CHF_S7e"/>
    <n v="1211343.575"/>
    <n v="163077.17263496757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3079259487980517E-2"/>
    <x v="1"/>
  </r>
  <r>
    <x v="17"/>
    <x v="5"/>
    <s v="CHF_S7e"/>
    <n v="1195448.524"/>
    <n v="160937.30081869231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3121835396699866E-2"/>
    <x v="1"/>
  </r>
  <r>
    <x v="18"/>
    <x v="5"/>
    <s v="CHF_S7e"/>
    <n v="1195151.679"/>
    <n v="160897.33804982156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4831265758451515E-4"/>
    <x v="1"/>
  </r>
  <r>
    <x v="19"/>
    <x v="5"/>
    <s v="CHF_S7e"/>
    <n v="1198787.2815"/>
    <n v="161386.78116799274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3.0419590784007688E-3"/>
    <x v="1"/>
  </r>
  <r>
    <x v="20"/>
    <x v="5"/>
    <s v="CHF_S7e"/>
    <n v="1207726.7995"/>
    <n v="162590.26410235293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7.4571345041416492E-3"/>
    <x v="1"/>
  </r>
  <r>
    <x v="21"/>
    <x v="5"/>
    <s v="CHF_S7e"/>
    <n v="1229260.9889999998"/>
    <n v="165489.30514332728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1.7830348311319355E-2"/>
    <x v="1"/>
  </r>
  <r>
    <x v="22"/>
    <x v="5"/>
    <s v="CHF_S7e"/>
    <n v="1230400"/>
    <n v="165642.64454043447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9.2658191400563084E-4"/>
    <x v="1"/>
  </r>
  <r>
    <x v="23"/>
    <x v="5"/>
    <s v="CHF_S7e"/>
    <n v="1227420.8877113301"/>
    <n v="165241.58144072851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4212551110776026E-3"/>
    <x v="1"/>
  </r>
  <r>
    <x v="24"/>
    <x v="5"/>
    <s v="CHF_S7e"/>
    <n v="1235000"/>
    <n v="166261.9197069543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6.1748275302713207E-3"/>
    <x v="1"/>
  </r>
  <r>
    <x v="25"/>
    <x v="5"/>
    <s v="CHF_S7e"/>
    <n v="1235400"/>
    <n v="166315.76972143428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3.2388663967619635E-4"/>
    <x v="1"/>
  </r>
  <r>
    <x v="26"/>
    <x v="5"/>
    <s v="CHF_S7e"/>
    <n v="1293900"/>
    <n v="174191.3343391321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7353084021369618E-2"/>
    <x v="1"/>
  </r>
  <r>
    <x v="27"/>
    <x v="5"/>
    <s v="CHF_S7e"/>
    <n v="1313200"/>
    <n v="176789.59753779139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491614498802063E-2"/>
    <x v="1"/>
  </r>
  <r>
    <x v="28"/>
    <x v="5"/>
    <s v="CHF_S7e"/>
    <n v="1325905.72"/>
    <n v="178500.10555273798"/>
    <n v="1"/>
    <n v="0"/>
    <n v="0"/>
    <n v="0"/>
    <n v="7.4280388568636457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9.6753883643008187E-3"/>
    <x v="1"/>
  </r>
  <r>
    <x v="29"/>
    <x v="5"/>
    <s v="CHF_S7e"/>
    <n v="1337491.1995000001"/>
    <n v="180059.80114981942"/>
    <n v="1"/>
    <n v="0"/>
    <n v="0"/>
    <n v="0"/>
    <n v="7.4280388568636457"/>
    <n v="0"/>
    <n v="0"/>
    <n v="0"/>
    <n v="0"/>
    <s v="Private Equity Fund"/>
    <n v="4.8393937167223811E-3"/>
    <n v="5.9557270499999988E-2"/>
    <n v="0"/>
    <n v="0"/>
    <m/>
    <m/>
    <m/>
    <m/>
    <m/>
    <m/>
    <m/>
    <m/>
    <m/>
    <m/>
    <m/>
    <d v="2018-03-29T00:00:00"/>
    <n v="8.7377852929091393E-3"/>
    <x v="1"/>
  </r>
  <r>
    <x v="30"/>
    <x v="5"/>
    <s v="CHF_S7e"/>
    <n v="1353079.0264999999"/>
    <n v="182158.31292397316"/>
    <n v="1"/>
    <n v="0"/>
    <n v="0"/>
    <n v="0"/>
    <n v="7.4280388568636457"/>
    <n v="0"/>
    <n v="0"/>
    <n v="0"/>
    <n v="0"/>
    <s v="Private Equity Fund"/>
    <n v="1.7394000000000001E-3"/>
    <n v="6.2308059999999998E-2"/>
    <n v="0"/>
    <n v="0"/>
    <m/>
    <m/>
    <m/>
    <m/>
    <m/>
    <m/>
    <m/>
    <m/>
    <m/>
    <m/>
    <m/>
    <d v="2018-04-30T00:00:00"/>
    <n v="1.1654526778065666E-2"/>
    <x v="1"/>
  </r>
  <r>
    <x v="31"/>
    <x v="5"/>
    <s v="CHF_S7e"/>
    <n v="1361664.4005"/>
    <n v="183314.11920951339"/>
    <n v="1"/>
    <n v="0"/>
    <n v="0"/>
    <n v="0"/>
    <n v="7.4280388568636457"/>
    <n v="0"/>
    <n v="0"/>
    <n v="0"/>
    <n v="0"/>
    <s v="Private Equity Fund"/>
    <n v="1.6715E-3"/>
    <n v="6.3823130000000006E-2"/>
    <n v="0"/>
    <n v="0"/>
    <m/>
    <m/>
    <m/>
    <m/>
    <m/>
    <m/>
    <m/>
    <m/>
    <m/>
    <m/>
    <m/>
    <d v="2018-05-31T00:00:00"/>
    <n v="6.3450647241261038E-3"/>
    <x v="1"/>
  </r>
  <r>
    <x v="32"/>
    <x v="5"/>
    <s v="CHF_S7e"/>
    <n v="1364815.0870000001"/>
    <n v="183738.28049363065"/>
    <n v="1"/>
    <n v="0"/>
    <n v="0"/>
    <n v="0"/>
    <n v="7.4280388568636457"/>
    <n v="0"/>
    <n v="0"/>
    <n v="-1364815.0870000001"/>
    <n v="-1364815.0870000001"/>
    <s v="Private Equity Fund"/>
    <n v="1.6871E-3"/>
    <n v="6.4379130000000007E-2"/>
    <n v="0"/>
    <n v="0"/>
    <m/>
    <m/>
    <m/>
    <m/>
    <m/>
    <m/>
    <m/>
    <m/>
    <m/>
    <m/>
    <m/>
    <d v="2018-06-29T00:00:00"/>
    <n v="2.3138495056806985E-3"/>
    <x v="1"/>
  </r>
  <r>
    <x v="33"/>
    <x v="5"/>
    <s v="CHF_S7e"/>
    <n v="1364815.0870000001"/>
    <n v="183738.28049363065"/>
    <n v="1"/>
    <n v="0"/>
    <n v="0"/>
    <n v="0"/>
    <n v="7.4280388568636457"/>
    <n v="0"/>
    <n v="0"/>
    <n v="0"/>
    <n v="0"/>
    <s v="Private Equity Fund"/>
    <n v="1.6871E-3"/>
    <n v="6.4379130000000007E-2"/>
    <n v="0"/>
    <n v="0"/>
    <m/>
    <m/>
    <m/>
    <m/>
    <m/>
    <m/>
    <m/>
    <m/>
    <m/>
    <m/>
    <m/>
    <d v="2018-07-31T00:00:00"/>
    <n v="0"/>
    <x v="1"/>
  </r>
  <r>
    <x v="203"/>
    <x v="5"/>
    <s v="CHF_S8"/>
    <n v="504426.00000000006"/>
    <n v="504426.00000000006"/>
    <n v="5.798"/>
    <n v="504426.00000000006"/>
    <n v="0"/>
    <n v="0"/>
    <n v="1"/>
    <n v="504426.00000000006"/>
    <n v="504426.00000000006"/>
    <n v="504426.00000000006"/>
    <n v="504426.00000000006"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8"/>
    <n v="502986.10999999993"/>
    <n v="502986.10999999993"/>
    <n v="5.798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2.8545118610066034E-3"/>
    <x v="1"/>
  </r>
  <r>
    <x v="194"/>
    <x v="5"/>
    <s v="CHF_S8"/>
    <n v="500839.3"/>
    <n v="500839.3"/>
    <n v="5.798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4.2681297899059834E-3"/>
    <x v="1"/>
  </r>
  <r>
    <x v="195"/>
    <x v="5"/>
    <s v="CHF_S8"/>
    <n v="502121.09"/>
    <n v="502121.09"/>
    <n v="5.798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2.5592839859014394E-3"/>
    <x v="1"/>
  </r>
  <r>
    <x v="196"/>
    <x v="5"/>
    <s v="CHF_S8"/>
    <n v="500313.93999999994"/>
    <n v="500313.93999999994"/>
    <n v="5.798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3.5990322573387079E-3"/>
    <x v="1"/>
  </r>
  <r>
    <x v="1"/>
    <x v="5"/>
    <s v="CHF_S8"/>
    <n v="938848.33"/>
    <n v="459547.31436148193"/>
    <n v="5.798"/>
    <n v="521819.99999999994"/>
    <n v="0"/>
    <n v="0"/>
    <n v="2.0429851304962643"/>
    <n v="521819.99999999994"/>
    <n v="0"/>
    <n v="521819.99999999994"/>
    <n v="521819.99999999994"/>
    <s v="Private Equity Fund"/>
    <n v="0"/>
    <n v="0"/>
    <n v="0"/>
    <n v="0"/>
    <m/>
    <m/>
    <m/>
    <m/>
    <m/>
    <m/>
    <m/>
    <m/>
    <m/>
    <m/>
    <m/>
    <d v="2015-11-30T00:00:00"/>
    <n v="-0.16646669888910137"/>
    <x v="1"/>
  </r>
  <r>
    <x v="2"/>
    <x v="5"/>
    <s v="CHF_S8"/>
    <n v="1037218.1"/>
    <n v="507697.33196640934"/>
    <n v="5.798"/>
    <n v="0"/>
    <n v="0"/>
    <n v="0"/>
    <n v="2.0429851304962643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0.10477706233977124"/>
    <x v="1"/>
  </r>
  <r>
    <x v="3"/>
    <x v="5"/>
    <s v="CHF_S8"/>
    <n v="1030504.1"/>
    <n v="504410.96443500731"/>
    <n v="5.798"/>
    <n v="0"/>
    <n v="0"/>
    <n v="0"/>
    <n v="2.0429851304962643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6.4730841083471269E-3"/>
    <x v="1"/>
  </r>
  <r>
    <x v="4"/>
    <x v="5"/>
    <s v="CHF_S8"/>
    <n v="2345408.2200000002"/>
    <n v="507908.77922096843"/>
    <n v="5.798"/>
    <n v="1298752"/>
    <n v="0"/>
    <n v="0"/>
    <n v="4.6177745216323931"/>
    <n v="1298752"/>
    <n v="0"/>
    <n v="1298752"/>
    <n v="1298752"/>
    <s v="Private Equity Fund"/>
    <n v="0"/>
    <n v="0"/>
    <n v="0"/>
    <n v="0"/>
    <m/>
    <m/>
    <m/>
    <m/>
    <m/>
    <m/>
    <m/>
    <m/>
    <m/>
    <m/>
    <m/>
    <d v="2016-02-29T00:00:00"/>
    <n v="1.5673998773998221E-2"/>
    <x v="1"/>
  </r>
  <r>
    <x v="5"/>
    <x v="5"/>
    <s v="CHF_S8"/>
    <n v="2360166.64"/>
    <n v="511104.7819558059"/>
    <n v="5.798"/>
    <n v="0"/>
    <n v="0"/>
    <n v="0"/>
    <n v="4.6177745216323931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6.2924738960794535E-3"/>
    <x v="1"/>
  </r>
  <r>
    <x v="6"/>
    <x v="5"/>
    <s v="CHF_S8"/>
    <n v="3289877.32"/>
    <n v="511420.45673394029"/>
    <n v="5.798"/>
    <n v="927680"/>
    <n v="0"/>
    <n v="0"/>
    <n v="6.4328230845711261"/>
    <n v="927680"/>
    <n v="0"/>
    <n v="927680"/>
    <n v="927680"/>
    <s v="Private Equity Fund"/>
    <n v="0"/>
    <n v="0"/>
    <n v="0"/>
    <n v="0"/>
    <m/>
    <m/>
    <m/>
    <m/>
    <m/>
    <m/>
    <m/>
    <m/>
    <m/>
    <m/>
    <m/>
    <d v="2016-04-29T00:00:00"/>
    <n v="8.6039687434946721E-4"/>
    <x v="1"/>
  </r>
  <r>
    <x v="7"/>
    <x v="5"/>
    <s v="CHF_S8"/>
    <n v="3340819.11"/>
    <n v="519339.49777242023"/>
    <n v="5.798"/>
    <n v="0"/>
    <n v="0"/>
    <n v="0"/>
    <n v="6.4328230845711261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5484404141854258E-2"/>
    <x v="1"/>
  </r>
  <r>
    <x v="8"/>
    <x v="5"/>
    <s v="CHF_S8"/>
    <n v="3344890.68"/>
    <n v="519972.43450120511"/>
    <n v="5.798"/>
    <n v="0"/>
    <n v="0"/>
    <n v="0"/>
    <n v="6.4328230845711261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1.2187340487286313E-3"/>
    <x v="1"/>
  </r>
  <r>
    <x v="9"/>
    <x v="5"/>
    <s v="CHF_S8"/>
    <n v="3322915.34"/>
    <n v="516556.30759842938"/>
    <n v="5.798"/>
    <n v="0"/>
    <n v="0"/>
    <n v="0"/>
    <n v="6.4328230845711261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-6.5698230831270354E-3"/>
    <x v="1"/>
  </r>
  <r>
    <x v="10"/>
    <x v="5"/>
    <s v="CHF_S8"/>
    <n v="3324291.39"/>
    <n v="516770.21834677574"/>
    <n v="5.798"/>
    <n v="0"/>
    <n v="0"/>
    <n v="0"/>
    <n v="6.4328230845711261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4.1410925624130179E-4"/>
    <x v="1"/>
  </r>
  <r>
    <x v="11"/>
    <x v="5"/>
    <s v="CHF_S8"/>
    <n v="3483042.17"/>
    <n v="541448.46270589042"/>
    <n v="5.798"/>
    <n v="0"/>
    <n v="-4.6566128730773926E-10"/>
    <n v="0"/>
    <n v="6.4328230845711261"/>
    <n v="-4.6566128730773926E-10"/>
    <n v="0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6-09-30T00:00:00"/>
    <n v="4.7754772784825095E-2"/>
    <x v="1"/>
  </r>
  <r>
    <x v="12"/>
    <x v="5"/>
    <s v="CHF_S8"/>
    <n v="3594157.24"/>
    <n v="558721.60523432482"/>
    <n v="5.798"/>
    <n v="0"/>
    <n v="0"/>
    <n v="0"/>
    <n v="6.4328230845711261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1901729745637875E-2"/>
    <x v="1"/>
  </r>
  <r>
    <x v="13"/>
    <x v="5"/>
    <s v="CHF_S8"/>
    <n v="3634138.62"/>
    <n v="564936.82046321768"/>
    <n v="5.798"/>
    <n v="0"/>
    <n v="-4.6566128730773926E-10"/>
    <n v="0"/>
    <n v="6.4328230845711261"/>
    <n v="-4.6566128730773926E-10"/>
    <n v="0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6-11-30T00:00:00"/>
    <n v="1.1123993005937693E-2"/>
    <x v="1"/>
  </r>
  <r>
    <x v="14"/>
    <x v="5"/>
    <s v="CHF_S8"/>
    <n v="6174599.0599999996"/>
    <n v="564492.36836330418"/>
    <n v="5.798"/>
    <n v="2545322"/>
    <n v="0"/>
    <n v="0"/>
    <n v="10.938321589541953"/>
    <n v="2545322"/>
    <n v="0"/>
    <n v="2545322"/>
    <n v="2545322"/>
    <s v="Private Equity Fund"/>
    <n v="0"/>
    <n v="0"/>
    <n v="0"/>
    <n v="0"/>
    <m/>
    <m/>
    <m/>
    <m/>
    <m/>
    <m/>
    <m/>
    <m/>
    <m/>
    <m/>
    <m/>
    <d v="2016-12-30T00:00:00"/>
    <n v="-1.3377475402962524E-3"/>
    <x v="1"/>
  </r>
  <r>
    <x v="15"/>
    <x v="5"/>
    <s v="CHF_S8"/>
    <n v="6248850.79"/>
    <n v="571280.58805424767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2025352460699024E-2"/>
    <x v="1"/>
  </r>
  <r>
    <x v="16"/>
    <x v="5"/>
    <s v="CHF_S8"/>
    <n v="6385129.0300000003"/>
    <n v="583739.37699041271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2.1808528412629924E-2"/>
    <x v="1"/>
  </r>
  <r>
    <x v="17"/>
    <x v="5"/>
    <s v="CHF_S8"/>
    <n v="6370744.6699999999"/>
    <n v="582424.33428644307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2.2527908100864469E-3"/>
    <x v="1"/>
  </r>
  <r>
    <x v="18"/>
    <x v="5"/>
    <s v="CHF_S8"/>
    <n v="6393070.2000000002"/>
    <n v="584465.37228457117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3.5043831069123677E-3"/>
    <x v="1"/>
  </r>
  <r>
    <x v="19"/>
    <x v="5"/>
    <s v="CHF_S8"/>
    <n v="6519843.3200000003"/>
    <n v="596055.18695240899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1.9829771304560317E-2"/>
    <x v="1"/>
  </r>
  <r>
    <x v="20"/>
    <x v="5"/>
    <s v="CHF_S8"/>
    <n v="6592540.7800000003"/>
    <n v="602701.31263127958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1.1150185124387368E-2"/>
    <x v="1"/>
  </r>
  <r>
    <x v="21"/>
    <x v="5"/>
    <s v="CHF_S8"/>
    <n v="6637241.5599999996"/>
    <n v="606787.93411466491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6.7805086827235073E-3"/>
    <x v="1"/>
  </r>
  <r>
    <x v="22"/>
    <x v="5"/>
    <s v="CHF_S8"/>
    <n v="6663900"/>
    <n v="609225.09412882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4.0164938640563363E-3"/>
    <x v="1"/>
  </r>
  <r>
    <x v="23"/>
    <x v="5"/>
    <s v="CHF_S8"/>
    <n v="6711796.3608642947"/>
    <n v="613603.86106049328"/>
    <n v="5.798"/>
    <n v="0"/>
    <n v="-9.3132257461547852E-10"/>
    <n v="0"/>
    <n v="10.938321589541953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9-29T00:00:00"/>
    <n v="7.1874369159645735E-3"/>
    <x v="1"/>
  </r>
  <r>
    <x v="24"/>
    <x v="5"/>
    <s v="CHF_S8"/>
    <n v="6768778.1600000001"/>
    <n v="618813.23424167547"/>
    <n v="5.798"/>
    <n v="0"/>
    <n v="-9.3132257461547852E-10"/>
    <n v="0"/>
    <n v="10.938321589541953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10-31T00:00:00"/>
    <n v="8.4897985683773936E-3"/>
    <x v="1"/>
  </r>
  <r>
    <x v="25"/>
    <x v="5"/>
    <s v="CHF_S8"/>
    <n v="6802100"/>
    <n v="621859.57363910717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4.9228737022162239E-3"/>
    <x v="1"/>
  </r>
  <r>
    <x v="26"/>
    <x v="5"/>
    <s v="CHF_S8"/>
    <n v="7429100"/>
    <n v="679180.98212644493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9.2177415798062379E-2"/>
    <x v="1"/>
  </r>
  <r>
    <x v="27"/>
    <x v="5"/>
    <s v="CHF_S8"/>
    <n v="7632800"/>
    <n v="697803.58325702022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7419202864411574E-2"/>
    <x v="1"/>
  </r>
  <r>
    <x v="28"/>
    <x v="5"/>
    <s v="CHF_S8"/>
    <n v="7675398.46"/>
    <n v="701698.00706338626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5.5809742165391363E-3"/>
    <x v="1"/>
  </r>
  <r>
    <x v="29"/>
    <x v="5"/>
    <s v="CHF_S8"/>
    <n v="7790059.04"/>
    <n v="712180.4726831232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1.4938713683406712E-2"/>
    <x v="1"/>
  </r>
  <r>
    <x v="30"/>
    <x v="5"/>
    <s v="CHF_S8"/>
    <n v="7799059.25"/>
    <n v="713003.28721881995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8-04-30T00:00:00"/>
    <n v="1.1553455440820315E-3"/>
    <x v="1"/>
  </r>
  <r>
    <x v="31"/>
    <x v="5"/>
    <s v="CHF_S8"/>
    <n v="7864554.7199999997"/>
    <n v="718990.99469878827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8.397867986449814E-3"/>
    <x v="1"/>
  </r>
  <r>
    <x v="32"/>
    <x v="5"/>
    <s v="CHF_S8"/>
    <n v="7914038.0999999996"/>
    <n v="723514.84962432913"/>
    <n v="5.798"/>
    <n v="0"/>
    <n v="0"/>
    <n v="0"/>
    <n v="10.938321589541953"/>
    <n v="0"/>
    <n v="0"/>
    <n v="-7914038.0999999996"/>
    <n v="-7914038.0999999996"/>
    <s v="Private Equity Fund"/>
    <n v="0"/>
    <n v="0"/>
    <n v="0"/>
    <n v="0"/>
    <m/>
    <m/>
    <m/>
    <m/>
    <m/>
    <m/>
    <m/>
    <m/>
    <m/>
    <m/>
    <m/>
    <d v="2018-06-29T00:00:00"/>
    <n v="6.2919493552713313E-3"/>
    <x v="1"/>
  </r>
  <r>
    <x v="33"/>
    <x v="5"/>
    <s v="CHF_S8"/>
    <n v="7914038.0999999996"/>
    <n v="723514.84962432913"/>
    <n v="5.798"/>
    <n v="0"/>
    <n v="0"/>
    <n v="0"/>
    <n v="10.938321589541953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203"/>
    <x v="5"/>
    <s v="CHF_S8GP"/>
    <n v="217500"/>
    <n v="217500"/>
    <n v="2.5"/>
    <n v="217500"/>
    <n v="0"/>
    <n v="0"/>
    <n v="1"/>
    <n v="217500"/>
    <n v="217500"/>
    <n v="217500"/>
    <m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8GP"/>
    <n v="216879.14"/>
    <n v="216879.14"/>
    <n v="2.5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5-07-31T00:00:00"/>
    <n v="-2.8545287356320781E-3"/>
    <x v="1"/>
  </r>
  <r>
    <x v="194"/>
    <x v="5"/>
    <s v="CHF_S8GP"/>
    <n v="215953.47"/>
    <n v="215953.47"/>
    <n v="2.5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5-08-31T00:00:00"/>
    <n v="-4.2681375442562564E-3"/>
    <x v="1"/>
  </r>
  <r>
    <x v="195"/>
    <x v="5"/>
    <s v="CHF_S8GP"/>
    <n v="216506.16"/>
    <n v="216506.16"/>
    <n v="2.5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5-09-30T00:00:00"/>
    <n v="2.5593013161584466E-3"/>
    <x v="1"/>
  </r>
  <r>
    <x v="196"/>
    <x v="5"/>
    <s v="CHF_S8GP"/>
    <n v="215726.95"/>
    <n v="215726.95"/>
    <n v="2.5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5-10-30T00:00:00"/>
    <n v="-3.5990200001699835E-3"/>
    <x v="1"/>
  </r>
  <r>
    <x v="1"/>
    <x v="5"/>
    <s v="CHF_S8GP"/>
    <n v="404815.59"/>
    <n v="198149.06382092246"/>
    <n v="2.5"/>
    <n v="225000"/>
    <n v="0"/>
    <n v="0"/>
    <n v="2.0429851254096905"/>
    <n v="225000"/>
    <n v="0"/>
    <n v="225000"/>
    <m/>
    <s v="Private Equity Fund"/>
    <n v="0"/>
    <n v="0"/>
    <n v="0"/>
    <n v="0"/>
    <m/>
    <m/>
    <m/>
    <m/>
    <m/>
    <m/>
    <m/>
    <m/>
    <m/>
    <m/>
    <m/>
    <d v="2015-11-30T00:00:00"/>
    <n v="-0.16646673028103343"/>
    <x v="1"/>
  </r>
  <r>
    <x v="2"/>
    <x v="5"/>
    <s v="CHF_S8GP"/>
    <n v="447231.29"/>
    <n v="218910.69319964547"/>
    <n v="2.5"/>
    <n v="0"/>
    <n v="0"/>
    <n v="0"/>
    <n v="2.0429851254096905"/>
    <n v="0"/>
    <n v="0"/>
    <n v="0"/>
    <m/>
    <s v="Private Equity Fund"/>
    <n v="0"/>
    <n v="0"/>
    <n v="0"/>
    <n v="0"/>
    <m/>
    <m/>
    <m/>
    <m/>
    <m/>
    <m/>
    <m/>
    <m/>
    <m/>
    <m/>
    <m/>
    <d v="2015-12-31T00:00:00"/>
    <n v="0.10477783229642901"/>
    <x v="1"/>
  </r>
  <r>
    <x v="3"/>
    <x v="5"/>
    <s v="CHF_S8GP"/>
    <n v="444336.02"/>
    <n v="217493.51694907469"/>
    <n v="2.5"/>
    <n v="0"/>
    <n v="0"/>
    <n v="0"/>
    <n v="2.0429851254096905"/>
    <n v="0"/>
    <n v="0"/>
    <n v="0"/>
    <m/>
    <s v="Private Equity Fund"/>
    <n v="0"/>
    <n v="0"/>
    <n v="0"/>
    <n v="0"/>
    <m/>
    <m/>
    <m/>
    <m/>
    <m/>
    <m/>
    <m/>
    <m/>
    <m/>
    <m/>
    <m/>
    <d v="2016-01-29T00:00:00"/>
    <n v="-6.4737643915745435E-3"/>
    <x v="1"/>
  </r>
  <r>
    <x v="4"/>
    <x v="5"/>
    <s v="CHF_S8GP"/>
    <n v="1011300.5400000002"/>
    <n v="219001.71531943901"/>
    <n v="2.5"/>
    <n v="560000"/>
    <n v="0"/>
    <n v="0"/>
    <n v="4.6177745161717239"/>
    <n v="560000"/>
    <n v="0"/>
    <n v="560000"/>
    <m/>
    <s v="Private Equity Fund"/>
    <n v="0"/>
    <n v="0"/>
    <n v="0"/>
    <n v="0"/>
    <m/>
    <m/>
    <m/>
    <m/>
    <m/>
    <m/>
    <m/>
    <m/>
    <m/>
    <m/>
    <m/>
    <d v="2016-02-29T00:00:00"/>
    <n v="1.5673993749145465E-2"/>
    <x v="1"/>
  </r>
  <r>
    <x v="5"/>
    <x v="5"/>
    <s v="CHF_S8GP"/>
    <n v="1017664.4299999999"/>
    <n v="220379.84454114811"/>
    <n v="2.5"/>
    <n v="0"/>
    <n v="0"/>
    <n v="0"/>
    <n v="4.6177745161717239"/>
    <n v="0"/>
    <n v="0"/>
    <n v="0"/>
    <m/>
    <s v="Private Equity Fund"/>
    <n v="0"/>
    <n v="0"/>
    <n v="0"/>
    <n v="0"/>
    <m/>
    <m/>
    <m/>
    <m/>
    <m/>
    <m/>
    <m/>
    <m/>
    <m/>
    <m/>
    <m/>
    <d v="2016-03-31T00:00:00"/>
    <n v="6.2927782081474426E-3"/>
    <x v="1"/>
  </r>
  <r>
    <x v="6"/>
    <x v="5"/>
    <s v="CHF_S8GP"/>
    <n v="1418539.72"/>
    <n v="220515.91078506765"/>
    <n v="2.5"/>
    <n v="400000"/>
    <n v="0"/>
    <n v="0"/>
    <n v="6.4328225339831446"/>
    <n v="400000"/>
    <n v="0"/>
    <n v="400000"/>
    <m/>
    <s v="Private Equity Fund"/>
    <n v="0"/>
    <n v="0"/>
    <n v="0"/>
    <n v="0"/>
    <m/>
    <m/>
    <m/>
    <m/>
    <m/>
    <m/>
    <m/>
    <m/>
    <m/>
    <m/>
    <m/>
    <d v="2016-04-29T00:00:00"/>
    <n v="8.6009687888966013E-4"/>
    <x v="1"/>
  </r>
  <r>
    <x v="7"/>
    <x v="5"/>
    <s v="CHF_S8GP"/>
    <n v="1440504.96"/>
    <n v="223930.46790738255"/>
    <n v="2.5"/>
    <n v="0"/>
    <n v="0"/>
    <n v="0"/>
    <n v="6.4328225339831446"/>
    <n v="0"/>
    <n v="0"/>
    <n v="0"/>
    <m/>
    <s v="Private Equity Fund"/>
    <n v="0"/>
    <n v="0"/>
    <n v="0"/>
    <n v="0"/>
    <m/>
    <m/>
    <m/>
    <m/>
    <m/>
    <m/>
    <m/>
    <m/>
    <m/>
    <m/>
    <m/>
    <d v="2016-05-31T00:00:00"/>
    <n v="1.5484402509363671E-2"/>
    <x v="1"/>
  </r>
  <r>
    <x v="8"/>
    <x v="5"/>
    <s v="CHF_S8GP"/>
    <n v="1442260.71"/>
    <n v="224203.40408597677"/>
    <n v="2.5"/>
    <n v="0"/>
    <n v="0"/>
    <n v="0"/>
    <n v="6.4328225339831446"/>
    <n v="0"/>
    <n v="0"/>
    <n v="0"/>
    <m/>
    <s v="Private Equity Fund"/>
    <n v="0"/>
    <n v="0"/>
    <n v="0"/>
    <n v="0"/>
    <m/>
    <m/>
    <m/>
    <m/>
    <m/>
    <m/>
    <m/>
    <m/>
    <m/>
    <m/>
    <m/>
    <d v="2016-06-30T00:00:00"/>
    <n v="1.2188434255719915E-3"/>
    <x v="1"/>
  </r>
  <r>
    <x v="9"/>
    <x v="5"/>
    <s v="CHF_S8GP"/>
    <n v="1432785.16"/>
    <n v="222730.40371173312"/>
    <n v="2.5"/>
    <n v="0"/>
    <n v="0"/>
    <n v="0"/>
    <n v="6.4328225339831446"/>
    <n v="0"/>
    <n v="0"/>
    <n v="0"/>
    <m/>
    <s v="Private Equity Fund"/>
    <n v="0"/>
    <n v="0"/>
    <n v="0"/>
    <n v="0"/>
    <m/>
    <m/>
    <m/>
    <m/>
    <m/>
    <m/>
    <m/>
    <m/>
    <m/>
    <m/>
    <m/>
    <d v="2016-07-29T00:00:00"/>
    <n v="-6.5699286781514266E-3"/>
    <x v="1"/>
  </r>
  <r>
    <x v="10"/>
    <x v="5"/>
    <s v="CHF_S8GP"/>
    <n v="1433378.49"/>
    <n v="222822.63849621004"/>
    <n v="2.5"/>
    <n v="0"/>
    <n v="0"/>
    <n v="0"/>
    <n v="6.4328225339831446"/>
    <n v="0"/>
    <n v="0"/>
    <n v="0"/>
    <m/>
    <s v="Private Equity Fund"/>
    <n v="0"/>
    <n v="0"/>
    <n v="0"/>
    <n v="0"/>
    <m/>
    <m/>
    <m/>
    <m/>
    <m/>
    <m/>
    <m/>
    <m/>
    <m/>
    <m/>
    <m/>
    <d v="2016-08-31T00:00:00"/>
    <n v="4.1410953753873159E-4"/>
    <x v="1"/>
  </r>
  <r>
    <x v="11"/>
    <x v="5"/>
    <s v="CHF_S8GP"/>
    <n v="1501829.3"/>
    <n v="233463.50564875308"/>
    <n v="2.5"/>
    <n v="0"/>
    <n v="0"/>
    <n v="0"/>
    <n v="6.4328225339831446"/>
    <n v="0"/>
    <n v="0"/>
    <n v="0"/>
    <m/>
    <s v="Private Equity Fund"/>
    <n v="0"/>
    <n v="0"/>
    <n v="0"/>
    <n v="0"/>
    <m/>
    <m/>
    <m/>
    <m/>
    <m/>
    <m/>
    <m/>
    <m/>
    <m/>
    <m/>
    <m/>
    <d v="2016-09-30T00:00:00"/>
    <n v="4.7754874569102768E-2"/>
    <x v="1"/>
  </r>
  <r>
    <x v="12"/>
    <x v="5"/>
    <s v="CHF_S8GP"/>
    <n v="1549740.1"/>
    <n v="240911.37161223928"/>
    <n v="2.5"/>
    <n v="0"/>
    <n v="0"/>
    <n v="0"/>
    <n v="6.4328225339831446"/>
    <n v="0"/>
    <n v="0"/>
    <n v="0"/>
    <m/>
    <s v="Private Equity Fund"/>
    <n v="0"/>
    <n v="0"/>
    <n v="0"/>
    <n v="0"/>
    <m/>
    <m/>
    <m/>
    <m/>
    <m/>
    <m/>
    <m/>
    <m/>
    <m/>
    <m/>
    <m/>
    <d v="2016-10-31T00:00:00"/>
    <n v="3.1901628234314083E-2"/>
    <x v="1"/>
  </r>
  <r>
    <x v="13"/>
    <x v="5"/>
    <s v="CHF_S8GP"/>
    <n v="1566979.4"/>
    <n v="243591.26833081475"/>
    <n v="2.5"/>
    <n v="0"/>
    <n v="0"/>
    <n v="0"/>
    <n v="6.4328225339831446"/>
    <n v="0"/>
    <n v="0"/>
    <n v="0"/>
    <m/>
    <s v="Private Equity Fund"/>
    <n v="0"/>
    <n v="0"/>
    <n v="0"/>
    <n v="0"/>
    <m/>
    <m/>
    <m/>
    <m/>
    <m/>
    <m/>
    <m/>
    <m/>
    <m/>
    <m/>
    <m/>
    <d v="2016-11-30T00:00:00"/>
    <n v="1.1123994274910842E-2"/>
    <x v="1"/>
  </r>
  <r>
    <x v="14"/>
    <x v="5"/>
    <s v="CHF_S8GP"/>
    <n v="2662383.33"/>
    <n v="243399.64202294758"/>
    <n v="2.5"/>
    <n v="1097500"/>
    <n v="0"/>
    <n v="0"/>
    <n v="10.938320647772326"/>
    <n v="1097500"/>
    <n v="0"/>
    <n v="1097500"/>
    <m/>
    <s v="Private Equity Fund"/>
    <n v="0"/>
    <n v="0"/>
    <n v="0"/>
    <n v="0"/>
    <m/>
    <m/>
    <m/>
    <m/>
    <m/>
    <m/>
    <m/>
    <m/>
    <m/>
    <m/>
    <m/>
    <d v="2016-12-30T00:00:00"/>
    <n v="-1.3376500035672256E-3"/>
    <x v="1"/>
  </r>
  <r>
    <x v="15"/>
    <x v="5"/>
    <s v="CHF_S8GP"/>
    <n v="2694399.42"/>
    <n v="246326.60778222253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1.2025349482638115E-2"/>
    <x v="1"/>
  </r>
  <r>
    <x v="16"/>
    <x v="5"/>
    <s v="CHF_S8GP"/>
    <n v="2753160.31"/>
    <n v="251698.62894453571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2-28T00:00:00"/>
    <n v="2.1808529783605701E-2"/>
    <x v="1"/>
  </r>
  <r>
    <x v="17"/>
    <x v="5"/>
    <s v="CHF_S8GP"/>
    <n v="2746958.01"/>
    <n v="251131.60406021186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3-31T00:00:00"/>
    <n v="-2.2527929003888225E-3"/>
    <x v="1"/>
  </r>
  <r>
    <x v="18"/>
    <x v="5"/>
    <s v="CHF_S8GP"/>
    <n v="2756584.4"/>
    <n v="252011.66511437017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3.5043819253721686E-3"/>
    <x v="1"/>
  </r>
  <r>
    <x v="19"/>
    <x v="5"/>
    <s v="CHF_S8GP"/>
    <n v="2811246.84"/>
    <n v="257008.99896114605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1.9829771945310215E-2"/>
    <x v="1"/>
  </r>
  <r>
    <x v="20"/>
    <x v="5"/>
    <s v="CHF_S8GP"/>
    <n v="2842592.76"/>
    <n v="259874.69663169145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1.1150184165258148E-2"/>
    <x v="1"/>
  </r>
  <r>
    <x v="21"/>
    <x v="5"/>
    <s v="CHF_S8GP"/>
    <n v="2861866.98"/>
    <n v="261636.77882151329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7-31T00:00:00"/>
    <n v="6.7805069622426384E-3"/>
    <x v="1"/>
  </r>
  <r>
    <x v="22"/>
    <x v="5"/>
    <s v="CHF_S8GP"/>
    <n v="2873400"/>
    <n v="262691.14725441794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4.0298938003051621E-3"/>
    <x v="1"/>
  </r>
  <r>
    <x v="23"/>
    <x v="5"/>
    <s v="CHF_S8GP"/>
    <n v="2894013.7589100967"/>
    <n v="264575.69238468842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7.1739955836627178E-3"/>
    <x v="1"/>
  </r>
  <r>
    <x v="24"/>
    <x v="5"/>
    <s v="CHF_S8GP"/>
    <n v="2918583.35"/>
    <n v="266821.8864652128"/>
    <n v="2.5"/>
    <n v="0"/>
    <n v="-4.6566128730773926E-10"/>
    <n v="0"/>
    <n v="10.938320647772326"/>
    <n v="-4.6566128730773926E-10"/>
    <n v="0"/>
    <n v="-4.6566128730773926E-10"/>
    <m/>
    <s v="Private Equity Fund"/>
    <n v="0"/>
    <n v="0"/>
    <n v="0"/>
    <n v="0"/>
    <m/>
    <m/>
    <m/>
    <m/>
    <m/>
    <m/>
    <m/>
    <m/>
    <m/>
    <m/>
    <m/>
    <d v="2017-10-31T00:00:00"/>
    <n v="8.4897976086875104E-3"/>
    <x v="1"/>
  </r>
  <r>
    <x v="25"/>
    <x v="5"/>
    <s v="CHF_S8GP"/>
    <n v="2932900"/>
    <n v="268130.73911828577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4.9053421756826143E-3"/>
    <x v="1"/>
  </r>
  <r>
    <x v="26"/>
    <x v="5"/>
    <s v="CHF_S8GP"/>
    <n v="3203300"/>
    <n v="292851.17004248517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9.2195437962426352E-2"/>
    <x v="1"/>
  </r>
  <r>
    <x v="27"/>
    <x v="5"/>
    <s v="CHF_S8GP"/>
    <n v="3291100"/>
    <n v="300877.99635589018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2.7409234227203205E-2"/>
    <x v="1"/>
  </r>
  <r>
    <x v="28"/>
    <x v="5"/>
    <s v="CHF_S8GP"/>
    <n v="3309502.76"/>
    <n v="302560.40818057442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5.5916745161190828E-3"/>
    <x v="1"/>
  </r>
  <r>
    <x v="29"/>
    <x v="5"/>
    <s v="CHF_S8GP"/>
    <n v="3358942.47"/>
    <n v="307080.27110944816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1.4938712424582112E-2"/>
    <x v="1"/>
  </r>
  <r>
    <x v="30"/>
    <x v="5"/>
    <s v="CHF_S8GP"/>
    <n v="3362823.22"/>
    <n v="307435.05591828353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1.1553487547526498E-3"/>
    <x v="1"/>
  </r>
  <r>
    <x v="31"/>
    <x v="5"/>
    <s v="CHF_S8GP"/>
    <n v="3391063.76"/>
    <n v="310016.85443282523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8.3978663618242688E-3"/>
    <x v="1"/>
  </r>
  <r>
    <x v="32"/>
    <x v="5"/>
    <s v="CHF_S8GP"/>
    <n v="3412400.16"/>
    <n v="311967.46464869467"/>
    <n v="2.5"/>
    <n v="0"/>
    <n v="0"/>
    <n v="0"/>
    <n v="10.938320647772326"/>
    <n v="0"/>
    <n v="0"/>
    <n v="-3412400.16"/>
    <m/>
    <s v="Private Equity Fund"/>
    <n v="0"/>
    <n v="0"/>
    <n v="0"/>
    <n v="0"/>
    <m/>
    <m/>
    <m/>
    <m/>
    <m/>
    <m/>
    <m/>
    <m/>
    <m/>
    <m/>
    <m/>
    <d v="2018-06-29T00:00:00"/>
    <n v="6.2919489310930832E-3"/>
    <x v="1"/>
  </r>
  <r>
    <x v="33"/>
    <x v="5"/>
    <s v="CHF_S8GP"/>
    <n v="3412400.16"/>
    <n v="311967.46464869467"/>
    <n v="2.5"/>
    <n v="0"/>
    <n v="0"/>
    <n v="0"/>
    <n v="10.938320647772326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203"/>
    <x v="5"/>
    <s v="CHF_S9"/>
    <n v="17835"/>
    <n v="17835"/>
    <n v="0.20499999999999999"/>
    <n v="17835"/>
    <n v="0"/>
    <n v="0"/>
    <n v="1"/>
    <n v="17835"/>
    <n v="17835"/>
    <n v="17835"/>
    <n v="17835"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9"/>
    <n v="17761.43"/>
    <n v="17761.43"/>
    <n v="0.2049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4.1250350434538507E-3"/>
    <x v="1"/>
  </r>
  <r>
    <x v="194"/>
    <x v="5"/>
    <s v="CHF_S9"/>
    <n v="17663.07"/>
    <n v="17663.07"/>
    <n v="0.2049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5.5378423921947917E-3"/>
    <x v="1"/>
  </r>
  <r>
    <x v="195"/>
    <x v="5"/>
    <s v="CHF_S9"/>
    <n v="17686.38"/>
    <n v="17686.38"/>
    <n v="0.2049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1.3197026338003237E-3"/>
    <x v="1"/>
  </r>
  <r>
    <x v="196"/>
    <x v="5"/>
    <s v="CHF_S9"/>
    <n v="17667.8"/>
    <n v="17667.8"/>
    <n v="0.20499999999999999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1.0505258848900745E-3"/>
    <x v="1"/>
  </r>
  <r>
    <x v="1"/>
    <x v="5"/>
    <s v="CHF_S9"/>
    <n v="32962.97"/>
    <n v="16124.546937133489"/>
    <n v="0.20499999999999999"/>
    <n v="18450"/>
    <n v="0"/>
    <n v="0"/>
    <n v="2.0442726315670319"/>
    <n v="18450"/>
    <n v="0"/>
    <n v="18450"/>
    <n v="18450"/>
    <s v="Private Equity Fund"/>
    <n v="0"/>
    <n v="0"/>
    <n v="0"/>
    <n v="0"/>
    <m/>
    <m/>
    <m/>
    <m/>
    <m/>
    <m/>
    <m/>
    <m/>
    <m/>
    <m/>
    <m/>
    <d v="2015-11-30T00:00:00"/>
    <n v="-0.17856382798084636"/>
    <x v="1"/>
  </r>
  <r>
    <x v="2"/>
    <x v="5"/>
    <s v="CHF_S9"/>
    <n v="36439.767999999996"/>
    <n v="17825.297583750944"/>
    <n v="0.20499999999999999"/>
    <n v="0"/>
    <n v="0"/>
    <n v="0"/>
    <n v="2.044272631567031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0.10547587186470131"/>
    <x v="1"/>
  </r>
  <r>
    <x v="3"/>
    <x v="5"/>
    <s v="CHF_S9"/>
    <n v="36319.076500000003"/>
    <n v="17766.258736321146"/>
    <n v="0.20499999999999999"/>
    <n v="0"/>
    <n v="0"/>
    <n v="0"/>
    <n v="2.044272631567031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3120820088644587E-3"/>
    <x v="1"/>
  </r>
  <r>
    <x v="4"/>
    <x v="5"/>
    <s v="CHF_S9"/>
    <n v="82587.678499999995"/>
    <n v="17841.567866622467"/>
    <n v="0.20499999999999999"/>
    <n v="45920"/>
    <n v="0"/>
    <n v="0"/>
    <n v="4.6289473614313259"/>
    <n v="45920"/>
    <n v="0"/>
    <n v="45920"/>
    <n v="45920"/>
    <s v="Private Equity Fund"/>
    <n v="0"/>
    <n v="0"/>
    <n v="0"/>
    <n v="0"/>
    <m/>
    <m/>
    <m/>
    <m/>
    <m/>
    <m/>
    <m/>
    <m/>
    <m/>
    <m/>
    <m/>
    <d v="2016-02-29T00:00:00"/>
    <n v="9.5983167413409287E-3"/>
    <x v="1"/>
  </r>
  <r>
    <x v="5"/>
    <x v="5"/>
    <s v="CHF_S9"/>
    <n v="82823.069000000003"/>
    <n v="17892.41970865491"/>
    <n v="0.20499999999999999"/>
    <n v="0"/>
    <n v="0"/>
    <n v="0"/>
    <n v="4.6289473614313259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2.8501890872256741E-3"/>
    <x v="1"/>
  </r>
  <r>
    <x v="6"/>
    <x v="5"/>
    <s v="CHF_S9"/>
    <n v="115948.15150000001"/>
    <n v="17942.72552202109"/>
    <n v="0.20499999999999999"/>
    <n v="32800"/>
    <n v="0"/>
    <n v="0"/>
    <n v="6.4621259104530662"/>
    <n v="32800"/>
    <n v="0"/>
    <n v="32800"/>
    <n v="32800"/>
    <s v="Private Equity Fund"/>
    <n v="0"/>
    <n v="0"/>
    <n v="0"/>
    <n v="0"/>
    <m/>
    <m/>
    <m/>
    <m/>
    <m/>
    <m/>
    <m/>
    <m/>
    <m/>
    <m/>
    <m/>
    <d v="2016-04-29T00:00:00"/>
    <n v="3.9250235945735845E-3"/>
    <x v="1"/>
  </r>
  <r>
    <x v="7"/>
    <x v="5"/>
    <s v="CHF_S9"/>
    <n v="117345.33900000001"/>
    <n v="18158.93726400215"/>
    <n v="0.20499999999999999"/>
    <n v="0"/>
    <n v="0"/>
    <n v="0"/>
    <n v="6.4621259104530662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2050105861325378E-2"/>
    <x v="1"/>
  </r>
  <r>
    <x v="8"/>
    <x v="5"/>
    <s v="CHF_S9"/>
    <n v="116964.06299999999"/>
    <n v="18099.935628118939"/>
    <n v="0.20499999999999999"/>
    <n v="0"/>
    <n v="0"/>
    <n v="0"/>
    <n v="6.4621259104530662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-3.2491789043279651E-3"/>
    <x v="1"/>
  </r>
  <r>
    <x v="9"/>
    <x v="5"/>
    <s v="CHF_S9"/>
    <n v="116940.19500000001"/>
    <n v="18096.242106771519"/>
    <n v="0.20499999999999999"/>
    <n v="0"/>
    <n v="0"/>
    <n v="0"/>
    <n v="6.4621259104530662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-2.040626786364852E-4"/>
    <x v="1"/>
  </r>
  <r>
    <x v="10"/>
    <x v="5"/>
    <s v="CHF_S9"/>
    <n v="116845.76850000001"/>
    <n v="18081.629810244263"/>
    <n v="0.20499999999999999"/>
    <n v="0"/>
    <n v="0"/>
    <n v="0"/>
    <n v="6.4621259104530662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8.0747684746040882E-4"/>
    <x v="1"/>
  </r>
  <r>
    <x v="11"/>
    <x v="5"/>
    <s v="CHF_S9"/>
    <n v="120724.378"/>
    <n v="18681.836236696894"/>
    <n v="0.20499999999999999"/>
    <n v="0"/>
    <n v="0"/>
    <n v="0"/>
    <n v="6.4621259104530662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3194265824012303E-2"/>
    <x v="1"/>
  </r>
  <r>
    <x v="12"/>
    <x v="5"/>
    <s v="CHF_S9"/>
    <n v="123928.079"/>
    <n v="19177.602033339408"/>
    <n v="0.20499999999999999"/>
    <n v="0"/>
    <n v="0"/>
    <n v="0"/>
    <n v="6.4621259104530662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6537316265982325E-2"/>
    <x v="1"/>
  </r>
  <r>
    <x v="13"/>
    <x v="5"/>
    <s v="CHF_S9"/>
    <n v="125132.57150000001"/>
    <n v="19363.994641080404"/>
    <n v="0.20499999999999999"/>
    <n v="0"/>
    <n v="0"/>
    <n v="0"/>
    <n v="6.4621259104530662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9.7192864580755156E-3"/>
    <x v="1"/>
  </r>
  <r>
    <x v="14"/>
    <x v="5"/>
    <s v="CHF_S9"/>
    <n v="214426.65299999999"/>
    <n v="19300.90378767097"/>
    <n v="0.20499999999999999"/>
    <n v="89995"/>
    <n v="0"/>
    <n v="0"/>
    <n v="11.109669026844818"/>
    <n v="89995"/>
    <n v="0"/>
    <n v="89995"/>
    <n v="89995"/>
    <s v="Private Equity Fund"/>
    <n v="0"/>
    <n v="0"/>
    <n v="0"/>
    <n v="0"/>
    <m/>
    <m/>
    <m/>
    <m/>
    <m/>
    <m/>
    <m/>
    <m/>
    <m/>
    <m/>
    <m/>
    <d v="2016-12-30T00:00:00"/>
    <n v="-5.6014073042526258E-3"/>
    <x v="1"/>
  </r>
  <r>
    <x v="15"/>
    <x v="5"/>
    <s v="CHF_S9"/>
    <n v="217131.04699999999"/>
    <n v="19544.330841480154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2612210106175636E-2"/>
    <x v="1"/>
  </r>
  <r>
    <x v="16"/>
    <x v="5"/>
    <s v="CHF_S9"/>
    <n v="220971.19399999999"/>
    <n v="19889.988933608809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7685849412405696E-2"/>
    <x v="1"/>
  </r>
  <r>
    <x v="17"/>
    <x v="5"/>
    <s v="CHF_S9"/>
    <n v="219612.57949999999"/>
    <n v="19767.697756732425"/>
    <n v="0.20499999999999999"/>
    <n v="0"/>
    <n v="-2.9103830456733704E-11"/>
    <n v="0"/>
    <n v="11.109669026844818"/>
    <n v="-2.9103830456733704E-11"/>
    <n v="0"/>
    <n v="-2.9103830456733704E-11"/>
    <n v="-2.9103830456733704E-11"/>
    <s v="Private Equity Fund"/>
    <n v="0"/>
    <n v="0"/>
    <n v="0"/>
    <n v="0"/>
    <m/>
    <m/>
    <m/>
    <m/>
    <m/>
    <m/>
    <m/>
    <m/>
    <m/>
    <m/>
    <m/>
    <d v="2017-03-31T00:00:00"/>
    <n v="-6.14837832663373E-3"/>
    <x v="1"/>
  </r>
  <r>
    <x v="18"/>
    <x v="5"/>
    <s v="CHF_S9"/>
    <n v="220773.56100000002"/>
    <n v="19872.199654781292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5.2864981716587156E-3"/>
    <x v="1"/>
  </r>
  <r>
    <x v="19"/>
    <x v="5"/>
    <s v="CHF_S9"/>
    <n v="223608.829"/>
    <n v="20127.406897512737"/>
    <n v="0.20499999999999999"/>
    <n v="0"/>
    <n v="-2.9103830456733704E-11"/>
    <n v="0"/>
    <n v="11.109669026844818"/>
    <n v="-2.9103830456733704E-11"/>
    <n v="0"/>
    <n v="-2.9103830456733704E-11"/>
    <n v="-2.9103830456733704E-11"/>
    <s v="Private Equity Fund"/>
    <n v="0"/>
    <n v="0"/>
    <n v="0"/>
    <n v="0"/>
    <m/>
    <m/>
    <m/>
    <m/>
    <m/>
    <m/>
    <m/>
    <m/>
    <m/>
    <m/>
    <m/>
    <d v="2017-05-31T00:00:00"/>
    <n v="1.2842425456914164E-2"/>
    <x v="1"/>
  </r>
  <r>
    <x v="20"/>
    <x v="5"/>
    <s v="CHF_S9"/>
    <n v="225547.101"/>
    <n v="20301.874021179199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8.6681371601833312E-3"/>
    <x v="1"/>
  </r>
  <r>
    <x v="21"/>
    <x v="5"/>
    <s v="CHF_S9"/>
    <n v="227370.929"/>
    <n v="20466.039847865213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8.0862400443799665E-3"/>
    <x v="1"/>
  </r>
  <r>
    <x v="22"/>
    <x v="5"/>
    <s v="CHF_S9"/>
    <n v="227200"/>
    <n v="20450.654241004471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-7.5176277262778424E-4"/>
    <x v="1"/>
  </r>
  <r>
    <x v="23"/>
    <x v="5"/>
    <s v="CHF_S9"/>
    <n v="228389.25570312311"/>
    <n v="20557.701147644937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5.2344001017743391E-3"/>
    <x v="1"/>
  </r>
  <r>
    <x v="24"/>
    <x v="5"/>
    <s v="CHF_S9"/>
    <n v="230600"/>
    <n v="20756.693961160348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9.6797210975221315E-3"/>
    <x v="1"/>
  </r>
  <r>
    <x v="25"/>
    <x v="5"/>
    <s v="CHF_S9"/>
    <n v="230600"/>
    <n v="20756.693961160348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0"/>
    <x v="1"/>
  </r>
  <r>
    <x v="26"/>
    <x v="5"/>
    <s v="CHF_S9"/>
    <n v="249100"/>
    <n v="22421.910085537915"/>
    <n v="0.20499999999999999"/>
    <n v="0"/>
    <n v="-2.9103830456733704E-11"/>
    <n v="0"/>
    <n v="11.109669026844818"/>
    <n v="-2.9103830456733704E-11"/>
    <n v="0"/>
    <n v="-2.9103830456733704E-11"/>
    <n v="-2.9103830456733704E-11"/>
    <s v="Private Equity Fund"/>
    <n v="0"/>
    <n v="0"/>
    <n v="0"/>
    <n v="0"/>
    <m/>
    <m/>
    <m/>
    <m/>
    <m/>
    <m/>
    <m/>
    <m/>
    <m/>
    <m/>
    <m/>
    <d v="2017-12-29T00:00:00"/>
    <n v="8.0225498699046049E-2"/>
    <x v="1"/>
  </r>
  <r>
    <x v="27"/>
    <x v="5"/>
    <s v="CHF_S9"/>
    <n v="255800.00000000003"/>
    <n v="23024.988357609789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6896828582898547E-2"/>
    <x v="1"/>
  </r>
  <r>
    <x v="28"/>
    <x v="5"/>
    <s v="CHF_S9"/>
    <n v="256799.42"/>
    <n v="23114.947833232785"/>
    <n v="0.20499999999999999"/>
    <n v="0"/>
    <n v="0"/>
    <n v="0"/>
    <n v="11.109669026844818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3.9070367474589585E-3"/>
    <x v="1"/>
  </r>
  <r>
    <x v="29"/>
    <x v="5"/>
    <s v="CHF_S9"/>
    <n v="259127.23499999999"/>
    <n v="23324.478377695916"/>
    <n v="0.20499999999999999"/>
    <n v="0"/>
    <n v="0"/>
    <n v="0"/>
    <n v="11.109669026844818"/>
    <n v="0"/>
    <n v="0"/>
    <n v="0"/>
    <n v="0"/>
    <s v="Private Equity Fund"/>
    <n v="9.9743376961578195E-4"/>
    <n v="9.5518649999999962E-3"/>
    <n v="0"/>
    <n v="0"/>
    <m/>
    <m/>
    <m/>
    <m/>
    <m/>
    <m/>
    <m/>
    <m/>
    <m/>
    <m/>
    <m/>
    <d v="2018-03-29T00:00:00"/>
    <n v="9.0647206290417337E-3"/>
    <x v="1"/>
  </r>
  <r>
    <x v="30"/>
    <x v="5"/>
    <s v="CHF_S9"/>
    <n v="260762.397"/>
    <n v="23471.662060310482"/>
    <n v="0.20499999999999999"/>
    <n v="0"/>
    <n v="0"/>
    <n v="0"/>
    <n v="11.109669026844818"/>
    <n v="0"/>
    <n v="0"/>
    <n v="0"/>
    <n v="0"/>
    <s v="Private Equity Fund"/>
    <n v="3.5629999999999999E-4"/>
    <n v="9.8404200000000008E-3"/>
    <n v="0"/>
    <n v="0"/>
    <m/>
    <m/>
    <m/>
    <m/>
    <m/>
    <m/>
    <m/>
    <m/>
    <m/>
    <m/>
    <m/>
    <d v="2018-04-30T00:00:00"/>
    <n v="6.3102668463235201E-3"/>
    <x v="1"/>
  </r>
  <r>
    <x v="31"/>
    <x v="5"/>
    <s v="CHF_S9"/>
    <n v="262451.33850000001"/>
    <n v="23623.686526198617"/>
    <n v="0.20499999999999999"/>
    <n v="0"/>
    <n v="0"/>
    <n v="0"/>
    <n v="11.109669026844818"/>
    <n v="0"/>
    <n v="0"/>
    <n v="0"/>
    <n v="0"/>
    <s v="Private Equity Fund"/>
    <n v="3.4249999999999998E-4"/>
    <n v="1.013847E-2"/>
    <n v="0"/>
    <n v="0"/>
    <m/>
    <m/>
    <m/>
    <m/>
    <m/>
    <m/>
    <m/>
    <m/>
    <m/>
    <m/>
    <m/>
    <d v="2018-05-31T00:00:00"/>
    <n v="6.4769365500196852E-3"/>
    <x v="1"/>
  </r>
  <r>
    <x v="32"/>
    <x v="5"/>
    <s v="CHF_S9"/>
    <n v="261975.6955"/>
    <n v="23580.873099547407"/>
    <n v="0.20499999999999999"/>
    <n v="0"/>
    <n v="0"/>
    <n v="0"/>
    <n v="11.109669026844818"/>
    <n v="0"/>
    <n v="0"/>
    <n v="-261975.6955"/>
    <n v="-261975.6955"/>
    <s v="Private Equity Fund"/>
    <n v="3.4410000000000002E-4"/>
    <n v="1.0054530000000001E-2"/>
    <n v="0"/>
    <n v="0"/>
    <m/>
    <m/>
    <m/>
    <m/>
    <m/>
    <m/>
    <m/>
    <m/>
    <m/>
    <m/>
    <m/>
    <d v="2018-06-29T00:00:00"/>
    <n v="-1.8123092940522945E-3"/>
    <x v="1"/>
  </r>
  <r>
    <x v="33"/>
    <x v="5"/>
    <s v="CHF_S9"/>
    <n v="261975.6955"/>
    <n v="23580.873099547407"/>
    <n v="0.20499999999999999"/>
    <n v="0"/>
    <n v="0"/>
    <n v="0"/>
    <n v="11.109669026844818"/>
    <n v="0"/>
    <n v="0"/>
    <n v="0"/>
    <n v="0"/>
    <s v="Private Equity Fund"/>
    <n v="3.4410000000000002E-4"/>
    <n v="1.0054530000000001E-2"/>
    <n v="0"/>
    <n v="0"/>
    <m/>
    <m/>
    <m/>
    <m/>
    <m/>
    <m/>
    <m/>
    <m/>
    <m/>
    <m/>
    <m/>
    <d v="2018-07-31T00:00:00"/>
    <n v="0"/>
    <x v="1"/>
  </r>
  <r>
    <x v="203"/>
    <x v="5"/>
    <s v="CHF_S9b"/>
    <n v="435000"/>
    <n v="435000"/>
    <n v="5"/>
    <n v="435000"/>
    <n v="0"/>
    <n v="0"/>
    <n v="1"/>
    <n v="435000"/>
    <n v="435000"/>
    <n v="435000"/>
    <n v="435000"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9b"/>
    <n v="431451.33"/>
    <n v="431451.33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8.1578620689655157E-3"/>
    <x v="1"/>
  </r>
  <r>
    <x v="194"/>
    <x v="5"/>
    <s v="CHF_S9b"/>
    <n v="427296.18"/>
    <n v="427296.18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9.63063435219913E-3"/>
    <x v="1"/>
  </r>
  <r>
    <x v="195"/>
    <x v="5"/>
    <s v="CHF_S9b"/>
    <n v="426167.74"/>
    <n v="426167.74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2.6408848307513111E-3"/>
    <x v="1"/>
  </r>
  <r>
    <x v="196"/>
    <x v="5"/>
    <s v="CHF_S9b"/>
    <n v="429223.25"/>
    <n v="429223.25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7.1697355599933399E-3"/>
    <x v="1"/>
  </r>
  <r>
    <x v="1"/>
    <x v="5"/>
    <s v="CHF_S9b"/>
    <n v="796277.43"/>
    <n v="388730.37809935928"/>
    <n v="5"/>
    <n v="450000"/>
    <n v="0"/>
    <n v="0"/>
    <n v="2.0484054626584185"/>
    <n v="450000"/>
    <n v="0"/>
    <n v="450000"/>
    <n v="450000"/>
    <s v="Private Equity Fund"/>
    <n v="0"/>
    <n v="0"/>
    <n v="0"/>
    <n v="0"/>
    <m/>
    <m/>
    <m/>
    <m/>
    <m/>
    <m/>
    <m/>
    <m/>
    <m/>
    <m/>
    <m/>
    <d v="2015-11-30T00:00:00"/>
    <n v="-0.19324633509484856"/>
    <x v="1"/>
  </r>
  <r>
    <x v="2"/>
    <x v="5"/>
    <s v="CHF_S9b"/>
    <n v="880195.28"/>
    <n v="429697.78007606143"/>
    <n v="5"/>
    <n v="0"/>
    <n v="0"/>
    <n v="0"/>
    <n v="2.0484054626584185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0.10538770388104557"/>
    <x v="1"/>
  </r>
  <r>
    <x v="3"/>
    <x v="5"/>
    <s v="CHF_S9b"/>
    <n v="879492.11"/>
    <n v="429354.50331136887"/>
    <n v="5"/>
    <n v="0"/>
    <n v="0"/>
    <n v="0"/>
    <n v="2.0484054626584185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7.9887953954949076E-4"/>
    <x v="1"/>
  </r>
  <r>
    <x v="4"/>
    <x v="5"/>
    <s v="CHF_S9b"/>
    <n v="2009582.7867999999"/>
    <n v="431521.29231937323"/>
    <n v="5"/>
    <n v="1120000"/>
    <n v="0"/>
    <n v="0"/>
    <n v="4.6569724891180746"/>
    <n v="1120000"/>
    <n v="0"/>
    <n v="1120000"/>
    <n v="1120000"/>
    <s v="Private Equity Fund"/>
    <n v="0"/>
    <n v="0"/>
    <n v="0"/>
    <n v="0"/>
    <m/>
    <m/>
    <m/>
    <m/>
    <m/>
    <m/>
    <m/>
    <m/>
    <m/>
    <m/>
    <m/>
    <d v="2016-02-29T00:00:00"/>
    <n v="1.1473299970820472E-2"/>
    <x v="1"/>
  </r>
  <r>
    <x v="5"/>
    <x v="5"/>
    <s v="CHF_S9b"/>
    <n v="2011728.1623999998"/>
    <n v="431981.97264441551"/>
    <n v="5"/>
    <n v="0"/>
    <n v="0"/>
    <n v="0"/>
    <n v="4.656972489118074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0675726395010798E-3"/>
    <x v="1"/>
  </r>
  <r>
    <x v="6"/>
    <x v="5"/>
    <s v="CHF_S9b"/>
    <n v="2825345.0548"/>
    <n v="434074.01415785181"/>
    <n v="5"/>
    <n v="800000"/>
    <n v="0"/>
    <n v="0"/>
    <n v="6.5089016219537115"/>
    <n v="800000"/>
    <n v="0"/>
    <n v="800000"/>
    <n v="800000"/>
    <s v="Private Equity Fund"/>
    <n v="0"/>
    <n v="0"/>
    <n v="0"/>
    <n v="0"/>
    <m/>
    <m/>
    <m/>
    <m/>
    <m/>
    <m/>
    <m/>
    <m/>
    <m/>
    <m/>
    <m/>
    <d v="2016-04-29T00:00:00"/>
    <n v="6.7687536788048064E-3"/>
    <x v="1"/>
  </r>
  <r>
    <x v="7"/>
    <x v="5"/>
    <s v="CHF_S9b"/>
    <n v="2862525.5484000002"/>
    <n v="439786.26727819321"/>
    <n v="5"/>
    <n v="0"/>
    <n v="0"/>
    <n v="0"/>
    <n v="6.5089016219537115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3159629312120336E-2"/>
    <x v="1"/>
  </r>
  <r>
    <x v="8"/>
    <x v="5"/>
    <s v="CHF_S9b"/>
    <n v="2847929.9416"/>
    <n v="437543.8602412254"/>
    <n v="5"/>
    <n v="0"/>
    <n v="0"/>
    <n v="0"/>
    <n v="6.5089016219537115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-5.0988564305245454E-3"/>
    <x v="1"/>
  </r>
  <r>
    <x v="9"/>
    <x v="5"/>
    <s v="CHF_S9b"/>
    <n v="2851543.7475999999"/>
    <n v="438099.07004618098"/>
    <n v="5"/>
    <n v="0"/>
    <n v="0"/>
    <n v="0"/>
    <n v="6.5089016219537115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2689237706351442E-3"/>
    <x v="1"/>
  </r>
  <r>
    <x v="10"/>
    <x v="5"/>
    <s v="CHF_S9b"/>
    <n v="2849335.0024000001"/>
    <n v="437759.72781483585"/>
    <n v="5"/>
    <n v="0"/>
    <n v="0"/>
    <n v="0"/>
    <n v="6.5089016219537115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7.7457875295050549E-4"/>
    <x v="1"/>
  </r>
  <r>
    <x v="11"/>
    <x v="5"/>
    <s v="CHF_S9b"/>
    <n v="2948127.9419999998"/>
    <n v="452937.85545265162"/>
    <n v="5"/>
    <n v="0"/>
    <n v="0"/>
    <n v="0"/>
    <n v="6.5089016219537115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4672279502686143E-2"/>
    <x v="1"/>
  </r>
  <r>
    <x v="12"/>
    <x v="5"/>
    <s v="CHF_S9b"/>
    <n v="3033036.95"/>
    <n v="465982.9148085363"/>
    <n v="5"/>
    <n v="0"/>
    <n v="0"/>
    <n v="0"/>
    <n v="6.5089016219537115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8800991568364021E-2"/>
    <x v="1"/>
  </r>
  <r>
    <x v="13"/>
    <x v="5"/>
    <s v="CHF_S9b"/>
    <n v="3064835.8851999999"/>
    <n v="470868.36815334426"/>
    <n v="5"/>
    <n v="0"/>
    <n v="0"/>
    <n v="0"/>
    <n v="6.5089016219537115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1.0484189848066316E-2"/>
    <x v="1"/>
  </r>
  <r>
    <x v="14"/>
    <x v="5"/>
    <s v="CHF_S9b"/>
    <n v="5247065.8528000005"/>
    <n v="469725.17577078869"/>
    <n v="5"/>
    <n v="2195000"/>
    <n v="0"/>
    <n v="0"/>
    <n v="11.170501653844514"/>
    <n v="2195000"/>
    <n v="0"/>
    <n v="2195000"/>
    <n v="2195000"/>
    <s v="Private Equity Fund"/>
    <n v="0"/>
    <n v="0"/>
    <n v="0"/>
    <n v="0"/>
    <m/>
    <m/>
    <m/>
    <m/>
    <m/>
    <m/>
    <m/>
    <m/>
    <m/>
    <m/>
    <m/>
    <d v="2016-12-30T00:00:00"/>
    <n v="-4.1666284520047725E-3"/>
    <x v="1"/>
  </r>
  <r>
    <x v="15"/>
    <x v="5"/>
    <s v="CHF_S9b"/>
    <n v="5314284.1991999997"/>
    <n v="475742.66258409264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2810654237192187E-2"/>
    <x v="1"/>
  </r>
  <r>
    <x v="16"/>
    <x v="5"/>
    <s v="CHF_S9b"/>
    <n v="5417914.7747999998"/>
    <n v="485019.82656574191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9500382688528495E-2"/>
    <x v="1"/>
  </r>
  <r>
    <x v="17"/>
    <x v="5"/>
    <s v="CHF_S9b"/>
    <n v="5390211.2104000002"/>
    <n v="482539.76208354702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5.1133259845383972E-3"/>
    <x v="1"/>
  </r>
  <r>
    <x v="18"/>
    <x v="5"/>
    <s v="CHF_S9b"/>
    <n v="5416544.5730000008"/>
    <n v="484897.16405312979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4.8854045921600253E-3"/>
    <x v="1"/>
  </r>
  <r>
    <x v="19"/>
    <x v="5"/>
    <s v="CHF_S9b"/>
    <n v="5499965.1496000001"/>
    <n v="492365.09872473771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1.5401068979627341E-2"/>
    <x v="1"/>
  </r>
  <r>
    <x v="20"/>
    <x v="5"/>
    <s v="CHF_S9b"/>
    <n v="5553299.0767999999"/>
    <n v="497139.63158393512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9.6971391180322719E-3"/>
    <x v="1"/>
  </r>
  <r>
    <x v="21"/>
    <x v="5"/>
    <s v="CHF_S9b"/>
    <n v="5597225.8840000005"/>
    <n v="501072.02500378503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7.9100380859213892E-3"/>
    <x v="1"/>
  </r>
  <r>
    <x v="22"/>
    <x v="5"/>
    <s v="CHF_S9b"/>
    <n v="5601100"/>
    <n v="501418.84165715048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6.921493040104032E-4"/>
    <x v="1"/>
  </r>
  <r>
    <x v="23"/>
    <x v="5"/>
    <s v="CHF_S9b"/>
    <n v="5634829.8795320857"/>
    <n v="504438.39087502082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6.0220098787890919E-3"/>
    <x v="1"/>
  </r>
  <r>
    <x v="24"/>
    <x v="5"/>
    <s v="CHF_S9b"/>
    <n v="5688500"/>
    <n v="509243.02025793155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9.524709993972591E-3"/>
    <x v="1"/>
  </r>
  <r>
    <x v="25"/>
    <x v="5"/>
    <s v="CHF_S9b"/>
    <n v="5697458.6399999997"/>
    <n v="510045.01109752076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1.5748685945327079E-3"/>
    <x v="1"/>
  </r>
  <r>
    <x v="26"/>
    <x v="5"/>
    <s v="CHF_S9b"/>
    <n v="6189400"/>
    <n v="554084.33674684737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8.6343998453317417E-2"/>
    <x v="1"/>
  </r>
  <r>
    <x v="27"/>
    <x v="5"/>
    <s v="CHF_S9b"/>
    <n v="6360100"/>
    <n v="569365.65582182829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7579409958962131E-2"/>
    <x v="1"/>
  </r>
  <r>
    <x v="28"/>
    <x v="5"/>
    <s v="CHF_S9b"/>
    <n v="6389632.0999999996"/>
    <n v="572009.4135432943"/>
    <n v="5"/>
    <n v="0"/>
    <n v="0"/>
    <n v="0"/>
    <n v="11.170501653844514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4.6433389412114945E-3"/>
    <x v="1"/>
  </r>
  <r>
    <x v="29"/>
    <x v="5"/>
    <s v="CHF_S9b"/>
    <n v="6460847.2631999999"/>
    <n v="578384.70136893017"/>
    <n v="5"/>
    <n v="0"/>
    <n v="0"/>
    <n v="0"/>
    <n v="11.170501653844514"/>
    <n v="0"/>
    <n v="0"/>
    <n v="0"/>
    <n v="0"/>
    <s v="Private Equity Fund"/>
    <n v="1.6284234321241903E-2"/>
    <n v="0.12703019679999999"/>
    <n v="0"/>
    <n v="0"/>
    <m/>
    <m/>
    <m/>
    <m/>
    <m/>
    <m/>
    <m/>
    <m/>
    <m/>
    <m/>
    <m/>
    <d v="2018-03-29T00:00:00"/>
    <n v="1.1145424663808079E-2"/>
    <x v="1"/>
  </r>
  <r>
    <x v="30"/>
    <x v="5"/>
    <s v="CHF_S9b"/>
    <n v="6492093.5820000004"/>
    <n v="581181.91851890902"/>
    <n v="5"/>
    <n v="0"/>
    <n v="0"/>
    <n v="0"/>
    <n v="11.170501653844514"/>
    <n v="0"/>
    <n v="0"/>
    <n v="0"/>
    <n v="0"/>
    <s v="Private Equity Fund"/>
    <n v="5.8104999999999997E-3"/>
    <n v="0.12974727"/>
    <n v="0"/>
    <n v="0"/>
    <m/>
    <m/>
    <m/>
    <m/>
    <m/>
    <m/>
    <m/>
    <m/>
    <m/>
    <m/>
    <m/>
    <d v="2018-04-30T00:00:00"/>
    <n v="4.8362571543789645E-3"/>
    <x v="1"/>
  </r>
  <r>
    <x v="31"/>
    <x v="5"/>
    <s v="CHF_S9b"/>
    <n v="6539124.7916000001"/>
    <n v="585392.22268047836"/>
    <n v="5"/>
    <n v="0"/>
    <n v="0"/>
    <n v="0"/>
    <n v="11.170501653844514"/>
    <n v="0"/>
    <n v="0"/>
    <n v="0"/>
    <n v="0"/>
    <s v="Private Equity Fund"/>
    <n v="5.5853999999999999E-3"/>
    <n v="0.13383693999999999"/>
    <n v="0"/>
    <n v="0"/>
    <m/>
    <m/>
    <m/>
    <m/>
    <m/>
    <m/>
    <m/>
    <m/>
    <m/>
    <m/>
    <m/>
    <d v="2018-05-31T00:00:00"/>
    <n v="7.2443825718098154E-3"/>
    <x v="1"/>
  </r>
  <r>
    <x v="32"/>
    <x v="5"/>
    <s v="CHF_S9b"/>
    <n v="6543684.8267999999"/>
    <n v="585800.44384558883"/>
    <n v="5"/>
    <n v="0"/>
    <n v="0"/>
    <n v="0"/>
    <n v="11.170501653844514"/>
    <n v="0"/>
    <n v="0"/>
    <n v="-6543684.8267999999"/>
    <n v="-6543684.8267999999"/>
    <s v="Private Equity Fund"/>
    <n v="5.6248000000000001E-3"/>
    <n v="0.13423346"/>
    <n v="0"/>
    <n v="0"/>
    <m/>
    <m/>
    <m/>
    <m/>
    <m/>
    <m/>
    <m/>
    <m/>
    <m/>
    <m/>
    <m/>
    <d v="2018-06-29T00:00:00"/>
    <n v="6.9734641031127254E-4"/>
    <x v="1"/>
  </r>
  <r>
    <x v="33"/>
    <x v="5"/>
    <s v="CHF_S9b"/>
    <n v="6543684.8267999999"/>
    <n v="585800.44384558883"/>
    <n v="5"/>
    <n v="0"/>
    <n v="0"/>
    <n v="0"/>
    <n v="11.170501653844514"/>
    <n v="0"/>
    <n v="0"/>
    <n v="0"/>
    <n v="0"/>
    <s v="Private Equity Fund"/>
    <n v="5.6248000000000001E-3"/>
    <n v="0.13423346"/>
    <n v="0"/>
    <n v="0"/>
    <m/>
    <m/>
    <m/>
    <m/>
    <m/>
    <m/>
    <m/>
    <m/>
    <m/>
    <m/>
    <m/>
    <d v="2018-07-31T00:00:00"/>
    <n v="0"/>
    <x v="1"/>
  </r>
  <r>
    <x v="203"/>
    <x v="5"/>
    <s v="CHF_S9c"/>
    <n v="435000"/>
    <n v="435000"/>
    <n v="5"/>
    <n v="435000"/>
    <n v="0"/>
    <n v="0"/>
    <n v="1"/>
    <n v="435000"/>
    <n v="435000"/>
    <n v="435000"/>
    <n v="435000"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9c"/>
    <n v="431267.13"/>
    <n v="431267.13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8.5813103448275641E-3"/>
    <x v="1"/>
  </r>
  <r>
    <x v="194"/>
    <x v="5"/>
    <s v="CHF_S9c"/>
    <n v="426929.35"/>
    <n v="426929.35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005822075983398E-2"/>
    <x v="1"/>
  </r>
  <r>
    <x v="195"/>
    <x v="5"/>
    <s v="CHF_S9c"/>
    <n v="425622.03"/>
    <n v="425622.03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3.0621459967555831E-3"/>
    <x v="1"/>
  </r>
  <r>
    <x v="196"/>
    <x v="5"/>
    <s v="CHF_S9c"/>
    <n v="429045.94"/>
    <n v="429045.94"/>
    <n v="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8.0444849154071019E-3"/>
    <x v="1"/>
  </r>
  <r>
    <x v="1"/>
    <x v="5"/>
    <s v="CHF_S9c"/>
    <n v="794391.98"/>
    <n v="387727.9198713564"/>
    <n v="5"/>
    <n v="450000"/>
    <n v="0"/>
    <n v="0"/>
    <n v="2.0488387327473605"/>
    <n v="450000"/>
    <n v="0"/>
    <n v="450000"/>
    <n v="450000"/>
    <s v="Private Equity Fund"/>
    <n v="0"/>
    <n v="0"/>
    <n v="0"/>
    <n v="0"/>
    <m/>
    <m/>
    <m/>
    <m/>
    <m/>
    <m/>
    <m/>
    <m/>
    <m/>
    <m/>
    <m/>
    <d v="2015-11-30T00:00:00"/>
    <n v="-0.19730744917432386"/>
    <x v="1"/>
  </r>
  <r>
    <x v="2"/>
    <x v="5"/>
    <s v="CHF_S9c"/>
    <n v="878532.7"/>
    <n v="428795.43712156609"/>
    <n v="5"/>
    <n v="0"/>
    <n v="0"/>
    <n v="0"/>
    <n v="2.0488387327473605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0.10591839056582608"/>
    <x v="1"/>
  </r>
  <r>
    <x v="3"/>
    <x v="5"/>
    <s v="CHF_S9c"/>
    <n v="878596.73"/>
    <n v="428826.68897120003"/>
    <n v="5"/>
    <n v="0"/>
    <n v="0"/>
    <n v="0"/>
    <n v="2.0488387327473605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7.2882887569347687E-5"/>
    <x v="1"/>
  </r>
  <r>
    <x v="4"/>
    <x v="5"/>
    <s v="CHF_S9c"/>
    <n v="2007363.1189999999"/>
    <n v="430707.6394964736"/>
    <n v="5"/>
    <n v="1120000"/>
    <n v="0"/>
    <n v="0"/>
    <n v="4.6606164714114273"/>
    <n v="1120000"/>
    <n v="0"/>
    <n v="1120000"/>
    <n v="1120000"/>
    <s v="Private Equity Fund"/>
    <n v="0"/>
    <n v="0"/>
    <n v="0"/>
    <n v="0"/>
    <m/>
    <m/>
    <m/>
    <m/>
    <m/>
    <m/>
    <m/>
    <m/>
    <m/>
    <m/>
    <m/>
    <d v="2016-02-29T00:00:00"/>
    <n v="9.9777163978289618E-3"/>
    <x v="1"/>
  </r>
  <r>
    <x v="5"/>
    <x v="5"/>
    <s v="CHF_S9c"/>
    <n v="2007672.672"/>
    <n v="430774.05839232117"/>
    <n v="5"/>
    <n v="0"/>
    <n v="0"/>
    <n v="0"/>
    <n v="4.660616471411427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5420877123339949E-4"/>
    <x v="1"/>
  </r>
  <r>
    <x v="6"/>
    <x v="5"/>
    <s v="CHF_S9c"/>
    <n v="2822378.0715000001"/>
    <n v="433030.27033827535"/>
    <n v="5"/>
    <n v="800000"/>
    <n v="0"/>
    <n v="0"/>
    <n v="6.5177385158206373"/>
    <n v="800000"/>
    <n v="0"/>
    <n v="800000"/>
    <n v="800000"/>
    <s v="Private Equity Fund"/>
    <n v="0"/>
    <n v="0"/>
    <n v="0"/>
    <n v="0"/>
    <m/>
    <m/>
    <m/>
    <m/>
    <m/>
    <m/>
    <m/>
    <m/>
    <m/>
    <m/>
    <m/>
    <d v="2016-04-29T00:00:00"/>
    <n v="7.3246001228630675E-3"/>
    <x v="1"/>
  </r>
  <r>
    <x v="7"/>
    <x v="5"/>
    <s v="CHF_S9c"/>
    <n v="2855644.4704999998"/>
    <n v="438134.24910625623"/>
    <n v="5"/>
    <n v="0"/>
    <n v="0"/>
    <n v="0"/>
    <n v="6.5177385158206373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1786655847393135E-2"/>
    <x v="1"/>
  </r>
  <r>
    <x v="8"/>
    <x v="5"/>
    <s v="CHF_S9c"/>
    <n v="2838109.3615000001"/>
    <n v="435443.88204758451"/>
    <n v="5"/>
    <n v="0"/>
    <n v="0"/>
    <n v="0"/>
    <n v="6.5177385158206373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-6.1405084495442797E-3"/>
    <x v="1"/>
  </r>
  <r>
    <x v="9"/>
    <x v="5"/>
    <s v="CHF_S9c"/>
    <n v="2846576.3985000001"/>
    <n v="436742.9579432265"/>
    <n v="5"/>
    <n v="0"/>
    <n v="0"/>
    <n v="0"/>
    <n v="6.5177385158206373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2.9833371169054601E-3"/>
    <x v="1"/>
  </r>
  <r>
    <x v="10"/>
    <x v="5"/>
    <s v="CHF_S9c"/>
    <n v="2843434.3905000002"/>
    <n v="436260.88766802702"/>
    <n v="5"/>
    <n v="0"/>
    <n v="0"/>
    <n v="0"/>
    <n v="6.5177385158206373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1.1037848840648179E-3"/>
    <x v="1"/>
  </r>
  <r>
    <x v="11"/>
    <x v="5"/>
    <s v="CHF_S9c"/>
    <n v="2927534.5890000002"/>
    <n v="449164.16666516103"/>
    <n v="5"/>
    <n v="0"/>
    <n v="0"/>
    <n v="0"/>
    <n v="6.5177385158206373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2.9576978734231041E-2"/>
    <x v="1"/>
  </r>
  <r>
    <x v="12"/>
    <x v="5"/>
    <s v="CHF_S9c"/>
    <n v="3004892.5874999999"/>
    <n v="461033.00710916275"/>
    <n v="5"/>
    <n v="0"/>
    <n v="0"/>
    <n v="0"/>
    <n v="6.5177385158206373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6424281643218528E-2"/>
    <x v="1"/>
  </r>
  <r>
    <x v="13"/>
    <x v="5"/>
    <s v="CHF_S9c"/>
    <n v="3034295.1839999999"/>
    <n v="465544.17251241277"/>
    <n v="5"/>
    <n v="0"/>
    <n v="0"/>
    <n v="0"/>
    <n v="6.5177385158206373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9.7849076610296848E-3"/>
    <x v="1"/>
  </r>
  <r>
    <x v="14"/>
    <x v="5"/>
    <s v="CHF_S9c"/>
    <n v="5213019.2479999997"/>
    <n v="464095.1881100465"/>
    <n v="5"/>
    <n v="2195000"/>
    <n v="0"/>
    <n v="0"/>
    <n v="11.232650933592282"/>
    <n v="2195000"/>
    <n v="0"/>
    <n v="2195000"/>
    <n v="2195000"/>
    <s v="Private Equity Fund"/>
    <n v="0"/>
    <n v="0"/>
    <n v="0"/>
    <n v="0"/>
    <m/>
    <m/>
    <m/>
    <m/>
    <m/>
    <m/>
    <m/>
    <m/>
    <m/>
    <m/>
    <m/>
    <d v="2016-12-30T00:00:00"/>
    <n v="-5.3639922990432742E-3"/>
    <x v="1"/>
  </r>
  <r>
    <x v="15"/>
    <x v="5"/>
    <s v="CHF_S9c"/>
    <n v="5278936.3995000003"/>
    <n v="469963.54028173815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2644716691826874E-2"/>
    <x v="1"/>
  </r>
  <r>
    <x v="16"/>
    <x v="5"/>
    <s v="CHF_S9c"/>
    <n v="5372620.875"/>
    <n v="478303.91122835304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7746846790742454E-2"/>
    <x v="1"/>
  </r>
  <r>
    <x v="17"/>
    <x v="5"/>
    <s v="CHF_S9c"/>
    <n v="5339568.574"/>
    <n v="475361.39114156266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6.1519883440500633E-3"/>
    <x v="1"/>
  </r>
  <r>
    <x v="18"/>
    <x v="5"/>
    <s v="CHF_S9c"/>
    <n v="5367841.2829999998"/>
    <n v="477878.40241229022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5.2949425797559346E-3"/>
    <x v="1"/>
  </r>
  <r>
    <x v="19"/>
    <x v="5"/>
    <s v="CHF_S9c"/>
    <n v="5437080.2510000002"/>
    <n v="484042.4832164871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1.2898847851422257E-2"/>
    <x v="1"/>
  </r>
  <r>
    <x v="20"/>
    <x v="5"/>
    <s v="CHF_S9c"/>
    <n v="5484375.9170000004"/>
    <n v="488253.03567463905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8.6987250172188002E-3"/>
    <x v="1"/>
  </r>
  <r>
    <x v="21"/>
    <x v="5"/>
    <s v="CHF_S9c"/>
    <n v="5528817.9800000004"/>
    <n v="492209.542759453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8.1033947476580881E-3"/>
    <x v="1"/>
  </r>
  <r>
    <x v="22"/>
    <x v="5"/>
    <s v="CHF_S9c"/>
    <n v="5524500"/>
    <n v="491825.12949623243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-7.8099514500573619E-4"/>
    <x v="1"/>
  </r>
  <r>
    <x v="23"/>
    <x v="5"/>
    <s v="CHF_S9c"/>
    <n v="5553759.4379963763"/>
    <n v="494429.98547986074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5.2963051853338605E-3"/>
    <x v="1"/>
  </r>
  <r>
    <x v="24"/>
    <x v="5"/>
    <s v="CHF_S9c"/>
    <n v="5607200"/>
    <n v="499187.59455358394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9.6224120976518002E-3"/>
    <x v="1"/>
  </r>
  <r>
    <x v="25"/>
    <x v="5"/>
    <s v="CHF_S9c"/>
    <n v="5607542.5099999998"/>
    <n v="499218.08691037702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6.1083963475594416E-5"/>
    <x v="1"/>
  </r>
  <r>
    <x v="26"/>
    <x v="5"/>
    <s v="CHF_S9c"/>
    <n v="6059600"/>
    <n v="539463.03822886595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8.0615972004463687E-2"/>
    <x v="1"/>
  </r>
  <r>
    <x v="27"/>
    <x v="5"/>
    <s v="CHF_S9c"/>
    <n v="6221400"/>
    <n v="553867.47409681603"/>
    <n v="5"/>
    <n v="0"/>
    <n v="0"/>
    <n v="0"/>
    <n v="11.232650933592282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6701432437784778E-2"/>
    <x v="1"/>
  </r>
  <r>
    <x v="28"/>
    <x v="5"/>
    <s v="CHF_S9c"/>
    <n v="6246730.6699999999"/>
    <n v="556122.56687498174"/>
    <n v="5"/>
    <n v="0"/>
    <n v="-9.3132257461547852E-10"/>
    <n v="0"/>
    <n v="11.232650933592282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8-02-28T00:00:00"/>
    <n v="4.0715385604528365E-3"/>
    <x v="1"/>
  </r>
  <r>
    <x v="29"/>
    <x v="5"/>
    <s v="CHF_S9c"/>
    <n v="6303590.3959999997"/>
    <n v="561184.57105691137"/>
    <n v="5"/>
    <n v="0"/>
    <n v="0"/>
    <n v="0"/>
    <n v="11.232650933592282"/>
    <n v="0"/>
    <n v="0"/>
    <n v="0"/>
    <n v="0"/>
    <s v="Private Equity Fund"/>
    <n v="2.4255213193791345E-2"/>
    <n v="0.23004536399999997"/>
    <n v="0"/>
    <n v="0"/>
    <m/>
    <m/>
    <m/>
    <m/>
    <m/>
    <m/>
    <m/>
    <m/>
    <m/>
    <m/>
    <m/>
    <d v="2018-03-29T00:00:00"/>
    <n v="9.1023175167563863E-3"/>
    <x v="1"/>
  </r>
  <r>
    <x v="30"/>
    <x v="5"/>
    <s v="CHF_S9c"/>
    <n v="6343370.1665000003"/>
    <n v="564726.01205202285"/>
    <n v="5"/>
    <n v="0"/>
    <n v="0"/>
    <n v="0"/>
    <n v="11.232650933592282"/>
    <n v="0"/>
    <n v="0"/>
    <n v="0"/>
    <n v="0"/>
    <s v="Private Equity Fund"/>
    <n v="8.6651000000000002E-3"/>
    <n v="0.23706532"/>
    <n v="0"/>
    <n v="0"/>
    <m/>
    <m/>
    <m/>
    <m/>
    <m/>
    <m/>
    <m/>
    <m/>
    <m/>
    <m/>
    <m/>
    <d v="2018-04-30T00:00:00"/>
    <n v="6.3106528186289701E-3"/>
    <x v="1"/>
  </r>
  <r>
    <x v="31"/>
    <x v="5"/>
    <s v="CHF_S9c"/>
    <n v="6384583.8870000001"/>
    <n v="568395.11213744839"/>
    <n v="5"/>
    <n v="0"/>
    <n v="0"/>
    <n v="0"/>
    <n v="11.232650933592282"/>
    <n v="0"/>
    <n v="0"/>
    <n v="0"/>
    <n v="0"/>
    <s v="Private Equity Fund"/>
    <n v="8.3297000000000006E-3"/>
    <n v="0.24433832999999999"/>
    <n v="0"/>
    <n v="0"/>
    <m/>
    <m/>
    <m/>
    <m/>
    <m/>
    <m/>
    <m/>
    <m/>
    <m/>
    <m/>
    <m/>
    <d v="2018-05-31T00:00:00"/>
    <n v="6.4971331355774264E-3"/>
    <x v="1"/>
  </r>
  <r>
    <x v="32"/>
    <x v="5"/>
    <s v="CHF_S9c"/>
    <n v="6373127.7314999998"/>
    <n v="567375.21437976602"/>
    <n v="5"/>
    <n v="0"/>
    <n v="0"/>
    <n v="0"/>
    <n v="11.232650933592282"/>
    <n v="0"/>
    <n v="0"/>
    <n v="-6373127.7314999998"/>
    <n v="-6373127.7314999998"/>
    <s v="Private Equity Fund"/>
    <n v="8.3689000000000003E-3"/>
    <n v="0.24231665999999999"/>
    <n v="0"/>
    <n v="0"/>
    <m/>
    <m/>
    <m/>
    <m/>
    <m/>
    <m/>
    <m/>
    <m/>
    <m/>
    <m/>
    <m/>
    <d v="2018-06-29T00:00:00"/>
    <n v="-1.794346460593399E-3"/>
    <x v="1"/>
  </r>
  <r>
    <x v="33"/>
    <x v="5"/>
    <s v="CHF_S9c"/>
    <n v="6373127.7314999998"/>
    <n v="567375.21437976602"/>
    <n v="5"/>
    <n v="0"/>
    <n v="0"/>
    <n v="0"/>
    <n v="11.232650933592282"/>
    <n v="0"/>
    <n v="0"/>
    <n v="0"/>
    <n v="0"/>
    <s v="Private Equity Fund"/>
    <n v="8.3689000000000003E-3"/>
    <n v="0.24231665999999999"/>
    <n v="0"/>
    <n v="0"/>
    <m/>
    <m/>
    <m/>
    <m/>
    <m/>
    <m/>
    <m/>
    <m/>
    <m/>
    <m/>
    <m/>
    <d v="2018-07-31T00:00:00"/>
    <n v="0"/>
    <x v="1"/>
  </r>
  <r>
    <x v="203"/>
    <x v="5"/>
    <s v="CHF_S9e"/>
    <n v="52200"/>
    <n v="52200"/>
    <n v="0.6"/>
    <n v="52200"/>
    <n v="0"/>
    <n v="0"/>
    <n v="1"/>
    <n v="52200"/>
    <n v="52200"/>
    <n v="52200"/>
    <n v="52200"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9e"/>
    <n v="51989.1"/>
    <n v="51989.1"/>
    <n v="0.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4.040229885057478E-3"/>
    <x v="1"/>
  </r>
  <r>
    <x v="194"/>
    <x v="5"/>
    <s v="CHF_S9e"/>
    <n v="51705.58"/>
    <n v="51705.58"/>
    <n v="0.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5.453450819498662E-3"/>
    <x v="1"/>
  </r>
  <r>
    <x v="195"/>
    <x v="5"/>
    <s v="CHF_S9e"/>
    <n v="51778.12"/>
    <n v="51778.12"/>
    <n v="0.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1.4029433573707895E-3"/>
    <x v="1"/>
  </r>
  <r>
    <x v="196"/>
    <x v="5"/>
    <s v="CHF_S9e"/>
    <n v="96525.96"/>
    <n v="96525.96"/>
    <n v="0.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0.86422295749633249"/>
    <x v="1"/>
  </r>
  <r>
    <x v="1"/>
    <x v="5"/>
    <s v="CHF_S9e"/>
    <n v="96522.23"/>
    <n v="61895.641868623861"/>
    <n v="0.6"/>
    <n v="54000"/>
    <n v="0"/>
    <n v="0"/>
    <n v="1.559434995518304"/>
    <n v="54000"/>
    <n v="0"/>
    <n v="54000"/>
    <n v="54000"/>
    <s v="Private Equity Fund"/>
    <n v="0"/>
    <n v="0"/>
    <n v="0"/>
    <n v="0"/>
    <m/>
    <m/>
    <m/>
    <m/>
    <m/>
    <m/>
    <m/>
    <m/>
    <m/>
    <m/>
    <m/>
    <d v="2015-11-30T00:00:00"/>
    <n v="-0.55947363797262417"/>
    <x v="1"/>
  </r>
  <r>
    <x v="2"/>
    <x v="5"/>
    <s v="CHF_S9e"/>
    <n v="106687.86599999999"/>
    <n v="68414.436194270806"/>
    <n v="0.6"/>
    <n v="0"/>
    <n v="0"/>
    <n v="0"/>
    <n v="1.559434995518304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0.10531911664287086"/>
    <x v="1"/>
  </r>
  <r>
    <x v="3"/>
    <x v="5"/>
    <s v="CHF_S9e"/>
    <n v="106318.0395"/>
    <n v="68177.282031985844"/>
    <n v="0.6"/>
    <n v="0"/>
    <n v="0"/>
    <n v="0"/>
    <n v="1.559434995518304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4664345053072587E-3"/>
    <x v="1"/>
  </r>
  <r>
    <x v="4"/>
    <x v="5"/>
    <s v="CHF_S9e"/>
    <n v="241765.027"/>
    <n v="68473.814698252696"/>
    <n v="0.6"/>
    <n v="134400"/>
    <n v="0"/>
    <n v="0"/>
    <n v="3.5307661485693353"/>
    <n v="134400"/>
    <n v="0"/>
    <n v="134400"/>
    <n v="134400"/>
    <s v="Private Equity Fund"/>
    <n v="0"/>
    <n v="0"/>
    <n v="0"/>
    <n v="0"/>
    <m/>
    <m/>
    <m/>
    <m/>
    <m/>
    <m/>
    <m/>
    <m/>
    <m/>
    <m/>
    <m/>
    <d v="2016-02-29T00:00:00"/>
    <n v="9.8476938149334448E-3"/>
    <x v="1"/>
  </r>
  <r>
    <x v="5"/>
    <x v="5"/>
    <s v="CHF_S9e"/>
    <n v="242495.245"/>
    <n v="68680.630434348917"/>
    <n v="0.6"/>
    <n v="0"/>
    <n v="0"/>
    <n v="0"/>
    <n v="3.530766148569335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3.0203624116402761E-3"/>
    <x v="1"/>
  </r>
  <r>
    <x v="6"/>
    <x v="5"/>
    <s v="CHF_S9e"/>
    <n v="339394.52799999999"/>
    <n v="68863.094809524686"/>
    <n v="0.6"/>
    <n v="96000"/>
    <n v="0"/>
    <n v="0"/>
    <n v="4.9285401554891664"/>
    <n v="96000"/>
    <n v="0"/>
    <n v="96000"/>
    <n v="96000"/>
    <s v="Private Equity Fund"/>
    <n v="0"/>
    <n v="0"/>
    <n v="0"/>
    <n v="0"/>
    <m/>
    <m/>
    <m/>
    <m/>
    <m/>
    <m/>
    <m/>
    <m/>
    <m/>
    <m/>
    <m/>
    <d v="2016-04-29T00:00:00"/>
    <n v="3.7084562214817485E-3"/>
    <x v="1"/>
  </r>
  <r>
    <x v="7"/>
    <x v="5"/>
    <s v="CHF_S9e"/>
    <n v="343509.9645"/>
    <n v="69698.116209404412"/>
    <n v="0.6"/>
    <n v="0"/>
    <n v="0"/>
    <n v="0"/>
    <n v="4.9285401554891664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2125818657865883E-2"/>
    <x v="1"/>
  </r>
  <r>
    <x v="8"/>
    <x v="5"/>
    <s v="CHF_S9e"/>
    <n v="342493.25400000002"/>
    <n v="69491.82581348106"/>
    <n v="0.6"/>
    <n v="0"/>
    <n v="0"/>
    <n v="0"/>
    <n v="4.9285401554891664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-2.9597700360158852E-3"/>
    <x v="1"/>
  </r>
  <r>
    <x v="9"/>
    <x v="5"/>
    <s v="CHF_S9e"/>
    <n v="342298.25550000003"/>
    <n v="69452.260649386211"/>
    <n v="0.6"/>
    <n v="0"/>
    <n v="0"/>
    <n v="0"/>
    <n v="4.9285401554891664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-5.6934990024648524E-4"/>
    <x v="1"/>
  </r>
  <r>
    <x v="10"/>
    <x v="5"/>
    <s v="CHF_S9e"/>
    <n v="342048.35550000001"/>
    <n v="69401.555979825658"/>
    <n v="0.6"/>
    <n v="0"/>
    <n v="0"/>
    <n v="0"/>
    <n v="4.9285401554891664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7.3006507040185298E-4"/>
    <x v="1"/>
  </r>
  <r>
    <x v="11"/>
    <x v="5"/>
    <s v="CHF_S9e"/>
    <n v="353574.88250000001"/>
    <n v="71740.286442874087"/>
    <n v="0.6"/>
    <n v="0"/>
    <n v="0"/>
    <n v="0"/>
    <n v="4.9285401554891664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3698530674561411E-2"/>
    <x v="1"/>
  </r>
  <r>
    <x v="12"/>
    <x v="5"/>
    <s v="CHF_S9e"/>
    <n v="362976.40950000001"/>
    <n v="73647.85474979537"/>
    <n v="0.6"/>
    <n v="0"/>
    <n v="0"/>
    <n v="0"/>
    <n v="4.9285401554891664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6589917625158277E-2"/>
    <x v="1"/>
  </r>
  <r>
    <x v="13"/>
    <x v="5"/>
    <s v="CHF_S9e"/>
    <n v="366501.18099999998"/>
    <n v="74363.030316757984"/>
    <n v="0.6"/>
    <n v="0"/>
    <n v="0"/>
    <n v="0"/>
    <n v="4.9285401554891664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9.7107454031388762E-3"/>
    <x v="1"/>
  </r>
  <r>
    <x v="14"/>
    <x v="5"/>
    <s v="CHF_S9e"/>
    <n v="627958.79500000004"/>
    <n v="74133.721794466386"/>
    <n v="0.6"/>
    <n v="263400"/>
    <n v="0"/>
    <n v="0"/>
    <n v="8.4706228123956571"/>
    <n v="263400"/>
    <n v="0"/>
    <n v="263400"/>
    <n v="263400"/>
    <s v="Private Equity Fund"/>
    <n v="0"/>
    <n v="0"/>
    <n v="0"/>
    <n v="0"/>
    <m/>
    <m/>
    <m/>
    <m/>
    <m/>
    <m/>
    <m/>
    <m/>
    <m/>
    <m/>
    <m/>
    <d v="2016-12-30T00:00:00"/>
    <n v="-5.2998082972068872E-3"/>
    <x v="1"/>
  </r>
  <r>
    <x v="15"/>
    <x v="5"/>
    <s v="CHF_S9e"/>
    <n v="635782.39899999998"/>
    <n v="75057.33794091444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2458785611880741E-2"/>
    <x v="1"/>
  </r>
  <r>
    <x v="16"/>
    <x v="5"/>
    <s v="CHF_S9e"/>
    <n v="647071.42749999999"/>
    <n v="76390.065031947233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7756119889062782E-2"/>
    <x v="1"/>
  </r>
  <r>
    <x v="17"/>
    <x v="5"/>
    <s v="CHF_S9e"/>
    <n v="643274.17150000005"/>
    <n v="75941.779695189805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5.8683722362319335E-3"/>
    <x v="1"/>
  </r>
  <r>
    <x v="18"/>
    <x v="5"/>
    <s v="CHF_S9e"/>
    <n v="646577.42500000005"/>
    <n v="76331.745530425207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5.1350631602344876E-3"/>
    <x v="1"/>
  </r>
  <r>
    <x v="19"/>
    <x v="5"/>
    <s v="CHF_S9e"/>
    <n v="655063.90099999995"/>
    <n v="77333.617079655465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1.3125227810110829E-2"/>
    <x v="1"/>
  </r>
  <r>
    <x v="20"/>
    <x v="5"/>
    <s v="CHF_S9e"/>
    <n v="660784.40949999995"/>
    <n v="78008.95213195277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8.732748807051216E-3"/>
    <x v="1"/>
  </r>
  <r>
    <x v="21"/>
    <x v="5"/>
    <s v="CHF_S9e"/>
    <n v="666029.86200000008"/>
    <n v="78628.204413181025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7.9382207337022059E-3"/>
    <x v="1"/>
  </r>
  <r>
    <x v="22"/>
    <x v="5"/>
    <s v="CHF_S9e"/>
    <n v="665700"/>
    <n v="78589.262530475855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-4.9526608162819841E-4"/>
    <x v="1"/>
  </r>
  <r>
    <x v="23"/>
    <x v="5"/>
    <s v="CHF_S9e"/>
    <n v="669245.40883801656"/>
    <n v="79007.816031976152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5.3258357188170624E-3"/>
    <x v="1"/>
  </r>
  <r>
    <x v="24"/>
    <x v="5"/>
    <s v="CHF_S9e"/>
    <n v="675600"/>
    <n v="79758.0077596357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9.4951583949103302E-3"/>
    <x v="1"/>
  </r>
  <r>
    <x v="25"/>
    <x v="5"/>
    <s v="CHF_S9e"/>
    <n v="675792"/>
    <n v="79780.674333776988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2.8419182948491439E-4"/>
    <x v="1"/>
  </r>
  <r>
    <x v="26"/>
    <x v="5"/>
    <s v="CHF_S9e"/>
    <n v="730100"/>
    <n v="86192.009273697491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8.0362004877240434E-2"/>
    <x v="1"/>
  </r>
  <r>
    <x v="27"/>
    <x v="5"/>
    <s v="CHF_S9e"/>
    <n v="749400"/>
    <n v="88470.472195190931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6434734967812679E-2"/>
    <x v="1"/>
  </r>
  <r>
    <x v="28"/>
    <x v="5"/>
    <s v="CHF_S9e"/>
    <n v="752502.51"/>
    <n v="88836.739241748583"/>
    <n v="0.6"/>
    <n v="0"/>
    <n v="0"/>
    <n v="0"/>
    <n v="8.4706228123956571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4.1399919935949381E-3"/>
    <x v="1"/>
  </r>
  <r>
    <x v="29"/>
    <x v="5"/>
    <s v="CHF_S9e"/>
    <n v="759529.5895"/>
    <n v="89666.321629683123"/>
    <n v="0.6"/>
    <n v="0"/>
    <n v="0"/>
    <n v="0"/>
    <n v="8.4706228123956571"/>
    <n v="0"/>
    <n v="0"/>
    <n v="0"/>
    <n v="0"/>
    <s v="Private Equity Fund"/>
    <n v="2.7285400512535355E-3"/>
    <n v="2.8152280499999998E-2"/>
    <n v="0"/>
    <n v="0"/>
    <m/>
    <m/>
    <m/>
    <m/>
    <m/>
    <m/>
    <m/>
    <m/>
    <m/>
    <m/>
    <m/>
    <d v="2018-03-29T00:00:00"/>
    <n v="9.338280479622485E-3"/>
    <x v="1"/>
  </r>
  <r>
    <x v="30"/>
    <x v="5"/>
    <s v="CHF_S9e"/>
    <n v="764054.19050000003"/>
    <n v="90200.47373398635"/>
    <n v="0.6"/>
    <n v="0"/>
    <n v="0"/>
    <n v="0"/>
    <n v="8.4706228123956571"/>
    <n v="0"/>
    <n v="0"/>
    <n v="0"/>
    <n v="0"/>
    <s v="Private Equity Fund"/>
    <n v="9.745E-4"/>
    <n v="2.8950739999999999E-2"/>
    <n v="0"/>
    <n v="0"/>
    <m/>
    <m/>
    <m/>
    <m/>
    <m/>
    <m/>
    <m/>
    <m/>
    <m/>
    <m/>
    <m/>
    <d v="2018-04-30T00:00:00"/>
    <n v="5.9571095880261993E-3"/>
    <x v="1"/>
  </r>
  <r>
    <x v="31"/>
    <x v="5"/>
    <s v="CHF_S9e"/>
    <n v="769051.08550000004"/>
    <n v="90790.382541245213"/>
    <n v="0.6"/>
    <n v="0"/>
    <n v="0"/>
    <n v="0"/>
    <n v="8.4706228123956571"/>
    <n v="0"/>
    <n v="0"/>
    <n v="0"/>
    <n v="0"/>
    <s v="Private Equity Fund"/>
    <n v="9.368E-4"/>
    <n v="2.9832540000000001E-2"/>
    <n v="0"/>
    <n v="0"/>
    <m/>
    <m/>
    <m/>
    <m/>
    <m/>
    <m/>
    <m/>
    <m/>
    <m/>
    <m/>
    <m/>
    <d v="2018-05-31T00:00:00"/>
    <n v="6.539974601448062E-3"/>
    <x v="1"/>
  </r>
  <r>
    <x v="32"/>
    <x v="5"/>
    <s v="CHF_S9e"/>
    <n v="768033.86499999999"/>
    <n v="90670.294500196862"/>
    <n v="0.6"/>
    <n v="0"/>
    <n v="0"/>
    <n v="0"/>
    <n v="8.4706228123956571"/>
    <n v="0"/>
    <n v="0"/>
    <n v="-768033.86499999999"/>
    <n v="-768033.86499999999"/>
    <s v="Private Equity Fund"/>
    <n v="9.4160000000000001E-4"/>
    <n v="2.9653039999999999E-2"/>
    <n v="0"/>
    <n v="0"/>
    <m/>
    <m/>
    <m/>
    <m/>
    <m/>
    <m/>
    <m/>
    <m/>
    <m/>
    <m/>
    <m/>
    <d v="2018-06-29T00:00:00"/>
    <n v="-1.3226956169480886E-3"/>
    <x v="1"/>
  </r>
  <r>
    <x v="33"/>
    <x v="5"/>
    <s v="CHF_S9e"/>
    <n v="768033.86499999999"/>
    <n v="90670.294500196862"/>
    <n v="0.6"/>
    <n v="0"/>
    <n v="0"/>
    <n v="0"/>
    <n v="8.4706228123956571"/>
    <n v="0"/>
    <n v="0"/>
    <n v="0"/>
    <n v="0"/>
    <s v="Private Equity Fund"/>
    <n v="9.4160000000000001E-4"/>
    <n v="2.9653039999999999E-2"/>
    <n v="0"/>
    <n v="0"/>
    <m/>
    <m/>
    <m/>
    <m/>
    <m/>
    <m/>
    <m/>
    <m/>
    <m/>
    <m/>
    <m/>
    <d v="2018-07-31T00:00:00"/>
    <n v="0"/>
    <x v="1"/>
  </r>
  <r>
    <x v="203"/>
    <x v="5"/>
    <s v="CHF_S9WF"/>
    <n v="522000"/>
    <n v="522000"/>
    <n v="6"/>
    <n v="522000"/>
    <n v="0"/>
    <n v="0"/>
    <n v="1"/>
    <n v="522000"/>
    <n v="522000"/>
    <n v="522000"/>
    <n v="522000"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9WF"/>
    <n v="519846.82999999996"/>
    <n v="519846.82999999996"/>
    <n v="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4.124846743295052E-3"/>
    <x v="1"/>
  </r>
  <r>
    <x v="194"/>
    <x v="5"/>
    <s v="CHF_S9WF"/>
    <n v="516967.77000000008"/>
    <n v="516967.77000000008"/>
    <n v="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5.5382851906586872E-3"/>
    <x v="1"/>
  </r>
  <r>
    <x v="195"/>
    <x v="5"/>
    <s v="CHF_S9WF"/>
    <n v="517650.21"/>
    <n v="517650.21"/>
    <n v="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1.3200822944918755E-3"/>
    <x v="1"/>
  </r>
  <r>
    <x v="196"/>
    <x v="5"/>
    <s v="CHF_S9WF"/>
    <n v="517106.36"/>
    <n v="517106.36"/>
    <n v="6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1.0506129225756888E-3"/>
    <x v="1"/>
  </r>
  <r>
    <x v="1"/>
    <x v="5"/>
    <s v="CHF_S9WF"/>
    <n v="964769.83"/>
    <n v="471937.95620444359"/>
    <n v="6"/>
    <n v="540000"/>
    <n v="0"/>
    <n v="0"/>
    <n v="2.0442725941332456"/>
    <n v="540000"/>
    <n v="0"/>
    <n v="540000"/>
    <n v="540000"/>
    <s v="Private Equity Fund"/>
    <n v="0"/>
    <n v="0"/>
    <n v="0"/>
    <n v="0"/>
    <m/>
    <m/>
    <m/>
    <m/>
    <m/>
    <m/>
    <m/>
    <m/>
    <m/>
    <m/>
    <m/>
    <d v="2015-11-30T00:00:00"/>
    <n v="-0.17856390317844872"/>
    <x v="1"/>
  </r>
  <r>
    <x v="2"/>
    <x v="5"/>
    <s v="CHF_S9WF"/>
    <n v="1066538.9745"/>
    <n v="521720.5266855341"/>
    <n v="6"/>
    <n v="0"/>
    <n v="0"/>
    <n v="0"/>
    <n v="2.0442725941332456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0.10548541355195584"/>
    <x v="1"/>
  </r>
  <r>
    <x v="3"/>
    <x v="5"/>
    <s v="CHF_S9WF"/>
    <n v="1062997.3049999999"/>
    <n v="519988.04271536099"/>
    <n v="6"/>
    <n v="0"/>
    <n v="0"/>
    <n v="0"/>
    <n v="2.0442725941332456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3207126834351453E-3"/>
    <x v="1"/>
  </r>
  <r>
    <x v="4"/>
    <x v="5"/>
    <s v="CHF_S9WF"/>
    <n v="2417200.3650000002"/>
    <n v="522192.22848162107"/>
    <n v="6"/>
    <n v="1344000"/>
    <n v="0"/>
    <n v="0"/>
    <n v="4.6289474127726802"/>
    <n v="1344000"/>
    <n v="0"/>
    <n v="1344000"/>
    <n v="1344000"/>
    <s v="Private Equity Fund"/>
    <n v="0"/>
    <n v="0"/>
    <n v="0"/>
    <n v="0"/>
    <m/>
    <m/>
    <m/>
    <m/>
    <m/>
    <m/>
    <m/>
    <m/>
    <m/>
    <m/>
    <m/>
    <d v="2016-02-29T00:00:00"/>
    <n v="9.5983874578122741E-3"/>
    <x v="1"/>
  </r>
  <r>
    <x v="5"/>
    <x v="5"/>
    <s v="CHF_S9WF"/>
    <n v="2424099.0414999998"/>
    <n v="523682.56221947348"/>
    <n v="6"/>
    <n v="0"/>
    <n v="0"/>
    <n v="0"/>
    <n v="4.6289474127726802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2.8539944805112683E-3"/>
    <x v="1"/>
  </r>
  <r>
    <x v="6"/>
    <x v="5"/>
    <s v="CHF_S9WF"/>
    <n v="3393604.3280000002"/>
    <n v="525153.48630529572"/>
    <n v="6"/>
    <n v="960000"/>
    <n v="0"/>
    <n v="0"/>
    <n v="6.4621190118637868"/>
    <n v="960000"/>
    <n v="0"/>
    <n v="960000"/>
    <n v="960000"/>
    <s v="Private Equity Fund"/>
    <n v="0"/>
    <n v="0"/>
    <n v="0"/>
    <n v="0"/>
    <m/>
    <m/>
    <m/>
    <m/>
    <m/>
    <m/>
    <m/>
    <m/>
    <m/>
    <m/>
    <m/>
    <d v="2016-04-29T00:00:00"/>
    <n v="3.9211625999071575E-3"/>
    <x v="1"/>
  </r>
  <r>
    <x v="7"/>
    <x v="5"/>
    <s v="CHF_S9WF"/>
    <n v="3434497.7259999998"/>
    <n v="531481.65790425939"/>
    <n v="6"/>
    <n v="0"/>
    <n v="0"/>
    <n v="0"/>
    <n v="6.4621190118637868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205013727221993E-2"/>
    <x v="1"/>
  </r>
  <r>
    <x v="8"/>
    <x v="5"/>
    <s v="CHF_S9WF"/>
    <n v="3423351.2"/>
    <n v="529756.75528647471"/>
    <n v="6"/>
    <n v="0"/>
    <n v="0"/>
    <n v="0"/>
    <n v="6.4621190118637868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-3.2454602941262012E-3"/>
    <x v="1"/>
  </r>
  <r>
    <x v="9"/>
    <x v="5"/>
    <s v="CHF_S9WF"/>
    <n v="3422639.9114999999"/>
    <n v="529646.68481288943"/>
    <n v="6"/>
    <n v="0"/>
    <n v="0"/>
    <n v="0"/>
    <n v="6.4621190118637868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-2.0777549788064675E-4"/>
    <x v="1"/>
  </r>
  <r>
    <x v="10"/>
    <x v="5"/>
    <s v="CHF_S9WF"/>
    <n v="3419876.06"/>
    <n v="529218.98431790853"/>
    <n v="6"/>
    <n v="0"/>
    <n v="0"/>
    <n v="0"/>
    <n v="6.4621190118637868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8.0752038527731607E-4"/>
    <x v="1"/>
  </r>
  <r>
    <x v="11"/>
    <x v="5"/>
    <s v="CHF_S9WF"/>
    <n v="3533408.9534999998"/>
    <n v="546787.97264690173"/>
    <n v="6"/>
    <n v="0"/>
    <n v="0"/>
    <n v="0"/>
    <n v="6.4621190118637868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3197955571524274E-2"/>
    <x v="1"/>
  </r>
  <r>
    <x v="12"/>
    <x v="5"/>
    <s v="CHF_S9WF"/>
    <n v="3627163.1970000002"/>
    <n v="561296.25442380446"/>
    <n v="6"/>
    <n v="0"/>
    <n v="0"/>
    <n v="0"/>
    <n v="6.4621190118637868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6533651987022955E-2"/>
    <x v="1"/>
  </r>
  <r>
    <x v="13"/>
    <x v="5"/>
    <s v="CHF_S9WF"/>
    <n v="3662416.4879999999"/>
    <n v="566751.63073848991"/>
    <n v="6"/>
    <n v="0"/>
    <n v="-4.6566128730773926E-10"/>
    <n v="0"/>
    <n v="6.4621190118637868"/>
    <n v="-4.6566128730773926E-10"/>
    <n v="0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6-11-30T00:00:00"/>
    <n v="9.719245891433248E-3"/>
    <x v="1"/>
  </r>
  <r>
    <x v="14"/>
    <x v="5"/>
    <s v="CHF_S9WF"/>
    <n v="5229928.6804999998"/>
    <n v="506037.19479258818"/>
    <n v="6"/>
    <n v="2195000"/>
    <n v="0"/>
    <n v="0"/>
    <n v="10.33506772687651"/>
    <n v="2195000"/>
    <n v="0"/>
    <n v="2195000"/>
    <n v="2195000"/>
    <s v="Private Equity Fund"/>
    <n v="0"/>
    <n v="0"/>
    <n v="0"/>
    <n v="0"/>
    <m/>
    <m/>
    <m/>
    <m/>
    <m/>
    <m/>
    <m/>
    <m/>
    <m/>
    <m/>
    <m/>
    <d v="2016-12-30T00:00:00"/>
    <n v="-0.17133163569899268"/>
    <x v="1"/>
  </r>
  <r>
    <x v="15"/>
    <x v="5"/>
    <s v="CHF_S9WF"/>
    <n v="5295889.5985000003"/>
    <n v="512419.43821306119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2612202198079459E-2"/>
    <x v="1"/>
  </r>
  <r>
    <x v="16"/>
    <x v="5"/>
    <s v="CHF_S9WF"/>
    <n v="5389551.7529999996"/>
    <n v="521481.99657989503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768582081592629E-2"/>
    <x v="1"/>
  </r>
  <r>
    <x v="17"/>
    <x v="5"/>
    <s v="CHF_S9WF"/>
    <n v="5356414.7750000004"/>
    <n v="518275.7304115732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6.1483736530694166E-3"/>
    <x v="1"/>
  </r>
  <r>
    <x v="18"/>
    <x v="5"/>
    <s v="CHF_S9WF"/>
    <n v="5384731.25"/>
    <n v="521015.57457595755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5.2864604757945077E-3"/>
    <x v="1"/>
  </r>
  <r>
    <x v="19"/>
    <x v="5"/>
    <s v="CHF_S9WF"/>
    <n v="5453884.2154999999"/>
    <n v="527706.67397922184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1.2842417251557325E-2"/>
    <x v="1"/>
  </r>
  <r>
    <x v="20"/>
    <x v="5"/>
    <s v="CHF_S9WF"/>
    <n v="5501159.1160000004"/>
    <n v="532280.89659191563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8.6681159027257593E-3"/>
    <x v="1"/>
  </r>
  <r>
    <x v="21"/>
    <x v="5"/>
    <s v="CHF_S9WF"/>
    <n v="5545642.7189999996"/>
    <n v="536585.03897158476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8.0862236597774029E-3"/>
    <x v="1"/>
  </r>
  <r>
    <x v="22"/>
    <x v="5"/>
    <s v="CHF_S9WF"/>
    <n v="5541200"/>
    <n v="536155.1705742596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-8.0111886486633477E-4"/>
    <x v="1"/>
  </r>
  <r>
    <x v="23"/>
    <x v="5"/>
    <s v="CHF_S9WF"/>
    <n v="5570479.8676990084"/>
    <n v="538988.23064438044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5.2840301196506179E-3"/>
    <x v="1"/>
  </r>
  <r>
    <x v="24"/>
    <x v="5"/>
    <s v="CHF_S9WF"/>
    <n v="5623900"/>
    <n v="544157.05330841301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9.5898618377123768E-3"/>
    <x v="1"/>
  </r>
  <r>
    <x v="25"/>
    <x v="5"/>
    <s v="CHF_S9WF"/>
    <n v="5624220.3300000001"/>
    <n v="544188.0477835791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5.6958694144570998E-5"/>
    <x v="1"/>
  </r>
  <r>
    <x v="26"/>
    <x v="5"/>
    <s v="CHF_S9WF"/>
    <n v="6076200"/>
    <n v="587920.67556545802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8.03630802991675E-2"/>
    <x v="1"/>
  </r>
  <r>
    <x v="27"/>
    <x v="5"/>
    <s v="CHF_S9WF"/>
    <n v="6238100"/>
    <n v="603585.78819737397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6644942562785934E-2"/>
    <x v="1"/>
  </r>
  <r>
    <x v="28"/>
    <x v="5"/>
    <s v="CHF_S9WF"/>
    <n v="6263410.5499999998"/>
    <n v="606034.78521112155"/>
    <n v="6"/>
    <n v="0"/>
    <n v="0"/>
    <n v="0"/>
    <n v="10.33506772687651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4.0574133149515745E-3"/>
    <x v="1"/>
  </r>
  <r>
    <x v="29"/>
    <x v="5"/>
    <s v="CHF_S9WF"/>
    <n v="6320186.6885000002"/>
    <n v="611528.32816607994"/>
    <n v="6"/>
    <n v="0"/>
    <n v="0"/>
    <n v="0"/>
    <n v="10.33506772687651"/>
    <n v="0"/>
    <n v="0"/>
    <n v="0"/>
    <n v="0"/>
    <s v="Private Equity Fund"/>
    <n v="2.432769720614671E-2"/>
    <n v="0.23297412149999991"/>
    <n v="0"/>
    <n v="0"/>
    <m/>
    <m/>
    <m/>
    <m/>
    <m/>
    <m/>
    <m/>
    <m/>
    <m/>
    <m/>
    <m/>
    <d v="2018-03-29T00:00:00"/>
    <n v="9.0647320731673808E-3"/>
    <x v="1"/>
  </r>
  <r>
    <x v="30"/>
    <x v="5"/>
    <s v="CHF_S9WF"/>
    <n v="6360068.6035000002"/>
    <n v="615387.22063335299"/>
    <n v="6"/>
    <n v="0"/>
    <n v="0"/>
    <n v="0"/>
    <n v="10.33506772687651"/>
    <n v="0"/>
    <n v="0"/>
    <n v="0"/>
    <n v="0"/>
    <s v="Private Equity Fund"/>
    <n v="8.6910000000000008E-3"/>
    <n v="0.24001211"/>
    <n v="0"/>
    <n v="0"/>
    <m/>
    <m/>
    <m/>
    <m/>
    <m/>
    <m/>
    <m/>
    <m/>
    <m/>
    <m/>
    <m/>
    <d v="2018-04-30T00:00:00"/>
    <n v="6.3102431883170773E-3"/>
    <x v="1"/>
  </r>
  <r>
    <x v="31"/>
    <x v="5"/>
    <s v="CHF_S9WF"/>
    <n v="6401262.4000000004"/>
    <n v="619373.04806947848"/>
    <n v="6"/>
    <n v="0"/>
    <n v="0"/>
    <n v="0"/>
    <n v="10.33506772687651"/>
    <n v="0"/>
    <n v="0"/>
    <n v="0"/>
    <n v="0"/>
    <s v="Private Equity Fund"/>
    <n v="8.3543999999999997E-3"/>
    <n v="0.24728159999999999"/>
    <n v="0"/>
    <n v="0"/>
    <m/>
    <m/>
    <m/>
    <m/>
    <m/>
    <m/>
    <m/>
    <m/>
    <m/>
    <m/>
    <m/>
    <d v="2018-05-31T00:00:00"/>
    <n v="6.4769421633803503E-3"/>
    <x v="1"/>
  </r>
  <r>
    <x v="32"/>
    <x v="5"/>
    <s v="CHF_S9WF"/>
    <n v="6389661.2769999998"/>
    <n v="618250.54715254391"/>
    <n v="6"/>
    <n v="0"/>
    <n v="0"/>
    <n v="0"/>
    <n v="10.33506772687651"/>
    <n v="0"/>
    <n v="0"/>
    <n v="-6389661.2769999998"/>
    <n v="-6389661.2769999998"/>
    <s v="Private Equity Fund"/>
    <n v="8.3934999999999999E-3"/>
    <n v="0.24523434"/>
    <n v="0"/>
    <n v="0"/>
    <m/>
    <m/>
    <m/>
    <m/>
    <m/>
    <m/>
    <m/>
    <m/>
    <m/>
    <m/>
    <m/>
    <d v="2018-06-29T00:00:00"/>
    <n v="-1.8123179890268126E-3"/>
    <x v="1"/>
  </r>
  <r>
    <x v="33"/>
    <x v="5"/>
    <s v="CHF_S9WF"/>
    <n v="6389661.2769999998"/>
    <n v="618250.54715254391"/>
    <n v="6"/>
    <n v="0"/>
    <n v="0"/>
    <n v="0"/>
    <n v="10.33506772687651"/>
    <n v="0"/>
    <n v="0"/>
    <n v="0"/>
    <n v="0"/>
    <s v="Private Equity Fund"/>
    <n v="8.3934999999999999E-3"/>
    <n v="0.24523434"/>
    <n v="0"/>
    <n v="0"/>
    <m/>
    <m/>
    <m/>
    <m/>
    <m/>
    <m/>
    <m/>
    <m/>
    <m/>
    <m/>
    <m/>
    <d v="2018-07-31T00:00:00"/>
    <n v="0"/>
    <x v="1"/>
  </r>
  <r>
    <x v="38"/>
    <x v="5"/>
    <s v="CHF_SUSf1"/>
    <n v="6860"/>
    <n v="6860"/>
    <n v="0.02"/>
    <n v="6860"/>
    <n v="0"/>
    <n v="0"/>
    <n v="1"/>
    <n v="6860"/>
    <n v="6860"/>
    <n v="6860"/>
    <m/>
    <s v="Private Equity Fund"/>
    <n v="0"/>
    <n v="0"/>
    <n v="0"/>
    <n v="0"/>
    <m/>
    <m/>
    <m/>
    <m/>
    <m/>
    <m/>
    <m/>
    <m/>
    <m/>
    <m/>
    <m/>
    <d v="2013-12-31T00:00:00"/>
    <n v="0"/>
    <x v="1"/>
  </r>
  <r>
    <x v="39"/>
    <x v="5"/>
    <s v="CHF_SUSf1"/>
    <n v="6840.53"/>
    <n v="6840.53"/>
    <n v="0.02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-2.8381924198250807E-3"/>
    <x v="1"/>
  </r>
  <r>
    <x v="40"/>
    <x v="5"/>
    <s v="CHF_SUSf1"/>
    <n v="6835.22"/>
    <n v="6835.22"/>
    <n v="0.02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-7.7625564101024835E-4"/>
    <x v="1"/>
  </r>
  <r>
    <x v="41"/>
    <x v="5"/>
    <s v="CHF_SUSf1"/>
    <n v="6749.94"/>
    <n v="6749.94"/>
    <n v="0.02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3-31T00:00:00"/>
    <n v="-1.2476555253525201E-2"/>
    <x v="1"/>
  </r>
  <r>
    <x v="42"/>
    <x v="5"/>
    <s v="CHF_SUSf1"/>
    <n v="6575.3055722311401"/>
    <n v="6575.3055722311401"/>
    <n v="0.02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-2.5871997050175177E-2"/>
    <x v="1"/>
  </r>
  <r>
    <x v="43"/>
    <x v="5"/>
    <s v="CHF_SUSf1"/>
    <n v="6501.3379899084402"/>
    <n v="6501.3379899084402"/>
    <n v="0.02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5-30T00:00:00"/>
    <n v="-1.1249299596824858E-2"/>
    <x v="1"/>
  </r>
  <r>
    <x v="44"/>
    <x v="5"/>
    <s v="CHF_SUSf1"/>
    <n v="6495.03"/>
    <n v="6495.03"/>
    <n v="0.02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-9.7026026307689417E-4"/>
    <x v="1"/>
  </r>
  <r>
    <x v="45"/>
    <x v="5"/>
    <s v="CHF_SUSf1"/>
    <n v="6603.5"/>
    <n v="6603.5"/>
    <n v="0.02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7-31T00:00:00"/>
    <n v="1.6700461737667149E-2"/>
    <x v="1"/>
  </r>
  <r>
    <x v="46"/>
    <x v="5"/>
    <s v="CHF_SUSf1"/>
    <n v="11218.91"/>
    <n v="6696.2599706241235"/>
    <n v="0.02"/>
    <n v="4460"/>
    <n v="0"/>
    <n v="0"/>
    <n v="1.675399409404104"/>
    <n v="4460"/>
    <n v="0"/>
    <n v="4460"/>
    <m/>
    <s v="Private Equity Fund"/>
    <n v="0"/>
    <n v="0"/>
    <n v="0"/>
    <n v="0"/>
    <m/>
    <m/>
    <m/>
    <m/>
    <m/>
    <m/>
    <m/>
    <m/>
    <m/>
    <m/>
    <m/>
    <d v="2014-08-29T00:00:00"/>
    <n v="2.3534489285984783E-2"/>
    <x v="1"/>
  </r>
  <r>
    <x v="47"/>
    <x v="5"/>
    <s v="CHF_SUSf1"/>
    <n v="10873.42"/>
    <n v="6490.046456365526"/>
    <n v="0.02"/>
    <n v="0"/>
    <n v="0"/>
    <n v="0"/>
    <n v="1.675399409404104"/>
    <n v="0"/>
    <n v="0"/>
    <n v="0"/>
    <m/>
    <s v="Private Equity Fund"/>
    <n v="0"/>
    <n v="0"/>
    <n v="0"/>
    <n v="0"/>
    <m/>
    <m/>
    <m/>
    <m/>
    <m/>
    <m/>
    <m/>
    <m/>
    <m/>
    <m/>
    <m/>
    <d v="2014-09-30T00:00:00"/>
    <n v="-3.0795326818737312E-2"/>
    <x v="1"/>
  </r>
  <r>
    <x v="184"/>
    <x v="5"/>
    <s v="CHF_SUSf1"/>
    <n v="14128.13"/>
    <n v="6432.997837822184"/>
    <n v="0.02"/>
    <n v="3380"/>
    <n v="0"/>
    <n v="0"/>
    <n v="2.1961969141253297"/>
    <n v="3380"/>
    <n v="0"/>
    <n v="3380"/>
    <m/>
    <s v="Private Equity Fund"/>
    <n v="0"/>
    <n v="0"/>
    <n v="0"/>
    <n v="0"/>
    <m/>
    <m/>
    <m/>
    <m/>
    <m/>
    <m/>
    <m/>
    <m/>
    <m/>
    <m/>
    <m/>
    <d v="2014-10-31T00:00:00"/>
    <n v="-1.1522593627396049E-2"/>
    <x v="1"/>
  </r>
  <r>
    <x v="185"/>
    <x v="5"/>
    <s v="CHF_SUSf1"/>
    <n v="14253.05"/>
    <n v="6489.8779833121216"/>
    <n v="0.02"/>
    <n v="0"/>
    <n v="0"/>
    <n v="0"/>
    <n v="2.1961969141253297"/>
    <n v="0"/>
    <n v="0"/>
    <n v="0"/>
    <m/>
    <s v="Private Equity Fund"/>
    <n v="0"/>
    <n v="0"/>
    <n v="0"/>
    <n v="0"/>
    <m/>
    <m/>
    <m/>
    <m/>
    <m/>
    <m/>
    <m/>
    <m/>
    <m/>
    <m/>
    <m/>
    <d v="2014-11-28T00:00:00"/>
    <n v="8.8419344952233025E-3"/>
    <x v="1"/>
  </r>
  <r>
    <x v="186"/>
    <x v="5"/>
    <s v="CHF_SUSf1"/>
    <n v="14163.07"/>
    <n v="6448.9071580544805"/>
    <n v="0.02"/>
    <n v="0"/>
    <n v="0"/>
    <n v="0"/>
    <n v="2.1961969141253297"/>
    <n v="0"/>
    <n v="0"/>
    <n v="0"/>
    <m/>
    <s v="Private Equity Fund"/>
    <n v="0"/>
    <n v="0"/>
    <n v="0"/>
    <n v="0"/>
    <m/>
    <m/>
    <m/>
    <m/>
    <m/>
    <m/>
    <m/>
    <m/>
    <m/>
    <m/>
    <m/>
    <d v="2014-12-31T00:00:00"/>
    <n v="-6.3130347539649412E-3"/>
    <x v="1"/>
  </r>
  <r>
    <x v="187"/>
    <x v="5"/>
    <s v="CHF_SUSf1"/>
    <n v="16972.490000000002"/>
    <n v="6640.389942590069"/>
    <n v="0.02"/>
    <n v="2320"/>
    <n v="0"/>
    <n v="0"/>
    <n v="2.5559477902256926"/>
    <n v="2320"/>
    <n v="0"/>
    <n v="2320"/>
    <m/>
    <s v="Private Equity Fund"/>
    <n v="0"/>
    <n v="0"/>
    <n v="0"/>
    <n v="0"/>
    <m/>
    <m/>
    <m/>
    <m/>
    <m/>
    <m/>
    <m/>
    <m/>
    <m/>
    <m/>
    <m/>
    <d v="2015-01-30T00:00:00"/>
    <n v="3.4556067293320059E-2"/>
    <x v="1"/>
  </r>
  <r>
    <x v="188"/>
    <x v="5"/>
    <s v="CHF_SUSf1"/>
    <n v="17384.689999999999"/>
    <n v="6691.2730064498592"/>
    <n v="0.02"/>
    <n v="280"/>
    <n v="0"/>
    <n v="0"/>
    <n v="2.5981139886599349"/>
    <n v="280"/>
    <n v="0"/>
    <n v="280"/>
    <m/>
    <s v="Private Equity Fund"/>
    <n v="0"/>
    <n v="0"/>
    <n v="0"/>
    <n v="0"/>
    <m/>
    <m/>
    <m/>
    <m/>
    <m/>
    <m/>
    <m/>
    <m/>
    <m/>
    <m/>
    <m/>
    <d v="2015-02-27T00:00:00"/>
    <n v="7.7890751445426343E-3"/>
    <x v="1"/>
  </r>
  <r>
    <x v="189"/>
    <x v="5"/>
    <s v="CHF_SUSf1"/>
    <n v="18722.650000000001"/>
    <n v="6784.7530911273616"/>
    <n v="0.02"/>
    <n v="1080"/>
    <n v="0"/>
    <n v="0"/>
    <n v="2.7595182534327165"/>
    <n v="1080"/>
    <n v="0"/>
    <n v="1080"/>
    <m/>
    <s v="Private Equity Fund"/>
    <n v="0"/>
    <n v="0"/>
    <n v="0"/>
    <n v="0"/>
    <m/>
    <m/>
    <m/>
    <m/>
    <m/>
    <m/>
    <m/>
    <m/>
    <m/>
    <m/>
    <m/>
    <d v="2015-03-31T00:00:00"/>
    <n v="1.4838343392951092E-2"/>
    <x v="1"/>
  </r>
  <r>
    <x v="190"/>
    <x v="5"/>
    <s v="CHF_SUSf1"/>
    <n v="20231.25"/>
    <n v="7331.4427164354629"/>
    <n v="0.02"/>
    <n v="0"/>
    <n v="0"/>
    <n v="0"/>
    <n v="2.7595182534327165"/>
    <n v="0"/>
    <n v="0"/>
    <n v="0"/>
    <m/>
    <s v="Private Equity Fund"/>
    <n v="0"/>
    <n v="0"/>
    <n v="0"/>
    <n v="0"/>
    <m/>
    <m/>
    <m/>
    <m/>
    <m/>
    <m/>
    <m/>
    <m/>
    <m/>
    <m/>
    <m/>
    <d v="2015-04-30T00:00:00"/>
    <n v="8.0576200484439919E-2"/>
    <x v="1"/>
  </r>
  <r>
    <x v="191"/>
    <x v="5"/>
    <s v="CHF_SUSf1"/>
    <n v="20501.650000000001"/>
    <n v="7429.4308343483035"/>
    <n v="0.02"/>
    <n v="0"/>
    <n v="0"/>
    <n v="0"/>
    <n v="2.7595182534327165"/>
    <n v="0"/>
    <n v="0"/>
    <n v="0"/>
    <m/>
    <s v="Private Equity Fund"/>
    <n v="0"/>
    <n v="0"/>
    <n v="0"/>
    <n v="0"/>
    <m/>
    <m/>
    <m/>
    <m/>
    <m/>
    <m/>
    <m/>
    <m/>
    <m/>
    <m/>
    <m/>
    <d v="2015-05-29T00:00:00"/>
    <n v="1.3365461847389737E-2"/>
    <x v="1"/>
  </r>
  <r>
    <x v="192"/>
    <x v="5"/>
    <s v="CHF_SUSf1"/>
    <n v="20313.28"/>
    <n v="7361.1689195138288"/>
    <n v="0.02"/>
    <n v="0"/>
    <n v="0"/>
    <n v="0"/>
    <n v="2.7595182534327165"/>
    <n v="0"/>
    <n v="0"/>
    <n v="0"/>
    <m/>
    <s v="Private Equity Fund"/>
    <n v="0"/>
    <n v="0"/>
    <n v="0"/>
    <n v="0"/>
    <m/>
    <m/>
    <m/>
    <m/>
    <m/>
    <m/>
    <m/>
    <m/>
    <m/>
    <m/>
    <m/>
    <d v="2015-06-30T00:00:00"/>
    <n v="-9.1880409625567649E-3"/>
    <x v="1"/>
  </r>
  <r>
    <x v="193"/>
    <x v="5"/>
    <s v="CHF_SUSf1"/>
    <n v="21604.3"/>
    <n v="7250.7578295563917"/>
    <n v="0.02"/>
    <n v="1620"/>
    <n v="0"/>
    <n v="0"/>
    <n v="2.9795919968439728"/>
    <n v="1620"/>
    <n v="0"/>
    <n v="1620"/>
    <m/>
    <s v="Private Equity Fund"/>
    <n v="0"/>
    <n v="0"/>
    <n v="0"/>
    <n v="0"/>
    <m/>
    <m/>
    <m/>
    <m/>
    <m/>
    <m/>
    <m/>
    <m/>
    <m/>
    <m/>
    <m/>
    <d v="2015-07-31T00:00:00"/>
    <n v="-1.6195316561382511E-2"/>
    <x v="1"/>
  </r>
  <r>
    <x v="194"/>
    <x v="5"/>
    <s v="CHF_SUSf1"/>
    <n v="21266.32"/>
    <n v="7137.3261918160588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5-08-31T00:00:00"/>
    <n v="-1.564410788593007E-2"/>
    <x v="1"/>
  </r>
  <r>
    <x v="195"/>
    <x v="5"/>
    <s v="CHF_SUSf1"/>
    <n v="21340.69"/>
    <n v="7162.2859849953848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5-09-30T00:00:00"/>
    <n v="3.4970789492492216E-3"/>
    <x v="1"/>
  </r>
  <r>
    <x v="196"/>
    <x v="5"/>
    <s v="CHF_SUSf1"/>
    <n v="21913.07"/>
    <n v="7354.386111659127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5-10-30T00:00:00"/>
    <n v="2.6821063423909886E-2"/>
    <x v="1"/>
  </r>
  <r>
    <x v="1"/>
    <x v="5"/>
    <s v="CHF_SUSf1"/>
    <n v="21874.77"/>
    <n v="7341.5320027608059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5-11-30T00:00:00"/>
    <n v="-1.7478153449059786E-3"/>
    <x v="1"/>
  </r>
  <r>
    <x v="2"/>
    <x v="5"/>
    <s v="CHF_SUSf1"/>
    <n v="22066.04"/>
    <n v="7405.7253554757399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5-12-31T00:00:00"/>
    <n v="8.743863364049087E-3"/>
    <x v="1"/>
  </r>
  <r>
    <x v="3"/>
    <x v="5"/>
    <s v="CHF_SUSf1"/>
    <n v="21818.23"/>
    <n v="7322.5562503558158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1-29T00:00:00"/>
    <n v="-1.1230379352162978E-2"/>
    <x v="1"/>
  </r>
  <r>
    <x v="4"/>
    <x v="5"/>
    <s v="CHF_SUSf1"/>
    <n v="22217.13"/>
    <n v="7456.4336404221476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2-29T00:00:00"/>
    <n v="1.8282876291981554E-2"/>
    <x v="1"/>
  </r>
  <r>
    <x v="5"/>
    <x v="5"/>
    <s v="CHF_SUSf1"/>
    <n v="22639.32"/>
    <n v="7598.127536917772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3-31T00:00:00"/>
    <n v="1.9002904515569741E-2"/>
    <x v="1"/>
  </r>
  <r>
    <x v="6"/>
    <x v="5"/>
    <s v="CHF_SUSf1"/>
    <n v="22939.99"/>
    <n v="7699.0373260159022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1.3280875927368818E-2"/>
    <x v="1"/>
  </r>
  <r>
    <x v="7"/>
    <x v="5"/>
    <s v="CHF_SUSf1"/>
    <n v="23588.59"/>
    <n v="7916.7181362365645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5-31T00:00:00"/>
    <n v="2.8273769953692129E-2"/>
    <x v="1"/>
  </r>
  <r>
    <x v="8"/>
    <x v="5"/>
    <s v="CHF_SUSf1"/>
    <n v="24334.89"/>
    <n v="8167.1886707226586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6-30T00:00:00"/>
    <n v="3.1638177610446405E-2"/>
    <x v="1"/>
  </r>
  <r>
    <x v="9"/>
    <x v="5"/>
    <s v="CHF_SUSf1"/>
    <n v="24585.55"/>
    <n v="8251.3142826405001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7-29T00:00:00"/>
    <n v="1.0300436944650215E-2"/>
    <x v="1"/>
  </r>
  <r>
    <x v="10"/>
    <x v="5"/>
    <s v="CHF_SUSf1"/>
    <n v="24540.560000000001"/>
    <n v="8236.2148998902267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8-31T00:00:00"/>
    <n v="-1.8299366904542813E-3"/>
    <x v="1"/>
  </r>
  <r>
    <x v="11"/>
    <x v="5"/>
    <s v="CHF_SUSf1"/>
    <n v="25683.38"/>
    <n v="8619.7640573622866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09-30T00:00:00"/>
    <n v="4.6568619461006655E-2"/>
    <x v="1"/>
  </r>
  <r>
    <x v="12"/>
    <x v="5"/>
    <s v="CHF_SUSf1"/>
    <n v="26608.9"/>
    <n v="8930.3837666984382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10-31T00:00:00"/>
    <n v="3.6035755418484694E-2"/>
    <x v="1"/>
  </r>
  <r>
    <x v="13"/>
    <x v="5"/>
    <s v="CHF_SUSf1"/>
    <n v="26748"/>
    <n v="8977.0680107651897"/>
    <n v="0.02"/>
    <n v="0"/>
    <n v="-3.637978807091713E-12"/>
    <n v="0"/>
    <n v="2.9795919968439728"/>
    <n v="-3.637978807091713E-12"/>
    <n v="0"/>
    <n v="-3.637978807091713E-12"/>
    <m/>
    <s v="Private Equity Fund"/>
    <n v="0"/>
    <n v="0"/>
    <n v="0"/>
    <n v="0"/>
    <m/>
    <m/>
    <m/>
    <m/>
    <m/>
    <m/>
    <m/>
    <m/>
    <m/>
    <m/>
    <m/>
    <d v="2016-11-30T00:00:00"/>
    <n v="5.2275742326817198E-3"/>
    <x v="1"/>
  </r>
  <r>
    <x v="14"/>
    <x v="5"/>
    <s v="CHF_SUSf1"/>
    <n v="26518.65"/>
    <n v="8900.0943847644048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6-12-30T00:00:00"/>
    <n v="-8.5744728577836771E-3"/>
    <x v="1"/>
  </r>
  <r>
    <x v="15"/>
    <x v="5"/>
    <s v="CHF_SUSf1"/>
    <n v="26905.18"/>
    <n v="9029.8201997113556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1.4575779687125756E-2"/>
    <x v="1"/>
  </r>
  <r>
    <x v="16"/>
    <x v="5"/>
    <s v="CHF_SUSf1"/>
    <n v="28129.75"/>
    <n v="9440.8059995447165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2-28T00:00:00"/>
    <n v="4.5514283866526783E-2"/>
    <x v="1"/>
  </r>
  <r>
    <x v="17"/>
    <x v="5"/>
    <s v="CHF_SUSf1"/>
    <n v="27842.63"/>
    <n v="9344.4438129419468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3-31T00:00:00"/>
    <n v="-1.020698726437308E-2"/>
    <x v="1"/>
  </r>
  <r>
    <x v="18"/>
    <x v="5"/>
    <s v="CHF_SUSf1"/>
    <n v="27708.07"/>
    <n v="9299.283267423456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-4.8328767792410465E-3"/>
    <x v="1"/>
  </r>
  <r>
    <x v="19"/>
    <x v="5"/>
    <s v="CHF_SUSf1"/>
    <n v="26970.46"/>
    <n v="9051.7292396299563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-2.662076427553417E-2"/>
    <x v="1"/>
  </r>
  <r>
    <x v="20"/>
    <x v="5"/>
    <s v="CHF_SUSf1"/>
    <n v="27976.92"/>
    <n v="9389.5137420269475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3.7317123994177193E-2"/>
    <x v="1"/>
  </r>
  <r>
    <x v="21"/>
    <x v="5"/>
    <s v="CHF_SUSf1"/>
    <n v="28691.759999999998"/>
    <n v="9629.4257839297225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7-31T00:00:00"/>
    <n v="2.5551061374876172E-2"/>
    <x v="1"/>
  </r>
  <r>
    <x v="22"/>
    <x v="5"/>
    <s v="CHF_SUSf1"/>
    <n v="28900"/>
    <n v="9699.3145472975157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7.2578329109125317E-3"/>
    <x v="1"/>
  </r>
  <r>
    <x v="23"/>
    <x v="5"/>
    <s v="CHF_SUSf1"/>
    <n v="28690.676788204917"/>
    <n v="9629.0622402646059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-7.2430177091724612E-3"/>
    <x v="1"/>
  </r>
  <r>
    <x v="24"/>
    <x v="5"/>
    <s v="CHF_SUSf1"/>
    <n v="28900"/>
    <n v="9699.3145472975157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7.2958617651410762E-3"/>
    <x v="1"/>
  </r>
  <r>
    <x v="25"/>
    <x v="5"/>
    <s v="CHF_SUSf1"/>
    <n v="29000"/>
    <n v="9732.8761893296869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3.4602076124568004E-3"/>
    <x v="1"/>
  </r>
  <r>
    <x v="26"/>
    <x v="5"/>
    <s v="CHF_SUSf1"/>
    <n v="29800"/>
    <n v="10001.369325587058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2.7586206896551779E-2"/>
    <x v="1"/>
  </r>
  <r>
    <x v="27"/>
    <x v="5"/>
    <s v="CHF_SUSf1"/>
    <n v="30200"/>
    <n v="10135.615893715743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1.3422818791946289E-2"/>
    <x v="1"/>
  </r>
  <r>
    <x v="28"/>
    <x v="5"/>
    <s v="CHF_SUSf1"/>
    <n v="30495.759999999998"/>
    <n v="10234.877806190092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9.793377483443555E-3"/>
    <x v="1"/>
  </r>
  <r>
    <x v="29"/>
    <x v="5"/>
    <s v="CHF_SUSf1"/>
    <n v="30758.42"/>
    <n v="10323.030815151795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8.6130006269724557E-3"/>
    <x v="1"/>
  </r>
  <r>
    <x v="30"/>
    <x v="5"/>
    <s v="CHF_SUSf1"/>
    <n v="31015.279999999999"/>
    <n v="10409.23724887563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8.3508840831225672E-3"/>
    <x v="1"/>
  </r>
  <r>
    <x v="31"/>
    <x v="5"/>
    <s v="CHF_SUSf1"/>
    <n v="31243.23"/>
    <n v="10485.741011887965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7.3496031633439873E-3"/>
    <x v="1"/>
  </r>
  <r>
    <x v="32"/>
    <x v="5"/>
    <s v="CHF_SUSf1"/>
    <n v="31578.23"/>
    <n v="10598.172512695739"/>
    <n v="0.02"/>
    <n v="0"/>
    <n v="0"/>
    <n v="0"/>
    <n v="2.9795919968439728"/>
    <n v="0"/>
    <n v="0"/>
    <n v="-31578.23"/>
    <m/>
    <s v="Private Equity Fund"/>
    <n v="0"/>
    <n v="0"/>
    <n v="0"/>
    <n v="0"/>
    <m/>
    <m/>
    <m/>
    <m/>
    <m/>
    <m/>
    <m/>
    <m/>
    <m/>
    <m/>
    <m/>
    <d v="2018-06-29T00:00:00"/>
    <n v="1.0722322884029634E-2"/>
    <x v="1"/>
  </r>
  <r>
    <x v="33"/>
    <x v="5"/>
    <s v="CHF_SUSf1"/>
    <n v="31578.23"/>
    <n v="10598.172512695739"/>
    <n v="0.02"/>
    <n v="0"/>
    <n v="0"/>
    <n v="0"/>
    <n v="2.9795919968439728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38"/>
    <x v="5"/>
    <s v="CHF_SUSf1a"/>
    <n v="860000"/>
    <n v="860000"/>
    <n v="2.5"/>
    <n v="860000"/>
    <n v="0"/>
    <n v="0"/>
    <n v="1"/>
    <n v="860000"/>
    <n v="860000"/>
    <n v="860000"/>
    <n v="860000"/>
    <s v="Private Equity Fund"/>
    <n v="0"/>
    <n v="0"/>
    <n v="0"/>
    <n v="0"/>
    <m/>
    <m/>
    <m/>
    <m/>
    <m/>
    <m/>
    <m/>
    <m/>
    <m/>
    <m/>
    <m/>
    <d v="2013-12-31T00:00:00"/>
    <n v="0"/>
    <x v="1"/>
  </r>
  <r>
    <x v="39"/>
    <x v="5"/>
    <s v="CHF_SUSf1a"/>
    <n v="857037.12"/>
    <n v="857037.12"/>
    <n v="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3.4452093023256136E-3"/>
    <x v="1"/>
  </r>
  <r>
    <x v="40"/>
    <x v="5"/>
    <s v="CHF_SUSf1a"/>
    <n v="855336.23"/>
    <n v="855336.23"/>
    <n v="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1.9846164889567586E-3"/>
    <x v="1"/>
  </r>
  <r>
    <x v="41"/>
    <x v="5"/>
    <s v="CHF_SUSf1a"/>
    <n v="844677.64"/>
    <n v="844677.64"/>
    <n v="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3-31T00:00:00"/>
    <n v="-1.2461286715283793E-2"/>
    <x v="1"/>
  </r>
  <r>
    <x v="42"/>
    <x v="5"/>
    <s v="CHF_SUSf1a"/>
    <n v="821330.03320277296"/>
    <n v="821330.03320277296"/>
    <n v="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2.764084864046723E-2"/>
    <x v="1"/>
  </r>
  <r>
    <x v="43"/>
    <x v="5"/>
    <s v="CHF_SUSf1a"/>
    <n v="812089.78496929305"/>
    <n v="812089.78496929305"/>
    <n v="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-1.1250347436398522E-2"/>
    <x v="1"/>
  </r>
  <r>
    <x v="44"/>
    <x v="5"/>
    <s v="CHF_SUSf1a"/>
    <n v="811293.34"/>
    <n v="811293.34"/>
    <n v="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9.807351157892219E-4"/>
    <x v="1"/>
  </r>
  <r>
    <x v="45"/>
    <x v="5"/>
    <s v="CHF_SUSf1a"/>
    <n v="824327.46"/>
    <n v="824327.46"/>
    <n v="2.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1.6065853566602728E-2"/>
    <x v="1"/>
  </r>
  <r>
    <x v="46"/>
    <x v="5"/>
    <s v="CHF_SUSf1a"/>
    <n v="1405940.54"/>
    <n v="835688.23640774202"/>
    <n v="2.5"/>
    <n v="562500"/>
    <n v="0"/>
    <n v="0"/>
    <n v="1.6823744534726528"/>
    <n v="562500"/>
    <n v="0"/>
    <n v="562500"/>
    <n v="562500"/>
    <s v="Private Equity Fund"/>
    <n v="0"/>
    <n v="0"/>
    <n v="0"/>
    <n v="0"/>
    <m/>
    <m/>
    <m/>
    <m/>
    <m/>
    <m/>
    <m/>
    <m/>
    <m/>
    <m/>
    <m/>
    <d v="2014-08-29T00:00:00"/>
    <n v="2.3186271145207327E-2"/>
    <x v="1"/>
  </r>
  <r>
    <x v="47"/>
    <x v="5"/>
    <s v="CHF_SUSf1a"/>
    <n v="1361015.5"/>
    <n v="808984.88275940972"/>
    <n v="2.5"/>
    <n v="0"/>
    <n v="0"/>
    <n v="0"/>
    <n v="1.6823744534726528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3.195372686244613E-2"/>
    <x v="1"/>
  </r>
  <r>
    <x v="184"/>
    <x v="5"/>
    <s v="CHF_SUSf1a"/>
    <n v="1766727.95"/>
    <n v="801370.21713493508"/>
    <n v="2.5"/>
    <n v="422500"/>
    <n v="0"/>
    <n v="0"/>
    <n v="2.2046339035613518"/>
    <n v="422500"/>
    <n v="0"/>
    <n v="422500"/>
    <n v="422500"/>
    <s v="Private Equity Fund"/>
    <n v="0"/>
    <n v="0"/>
    <n v="0"/>
    <n v="0"/>
    <m/>
    <m/>
    <m/>
    <m/>
    <m/>
    <m/>
    <m/>
    <m/>
    <m/>
    <m/>
    <m/>
    <d v="2014-10-31T00:00:00"/>
    <n v="-1.2334576645159467E-2"/>
    <x v="1"/>
  </r>
  <r>
    <x v="185"/>
    <x v="5"/>
    <s v="CHF_SUSf1a"/>
    <n v="1782442.72"/>
    <n v="808498.28042681061"/>
    <n v="2.5"/>
    <n v="0"/>
    <n v="0"/>
    <n v="0"/>
    <n v="2.2046339035613518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8.894844279788483E-3"/>
    <x v="1"/>
  </r>
  <r>
    <x v="186"/>
    <x v="5"/>
    <s v="CHF_SUSf1a"/>
    <n v="1768829.07"/>
    <n v="802323.2642583627"/>
    <n v="2.5"/>
    <n v="0"/>
    <n v="0"/>
    <n v="0"/>
    <n v="2.2046339035613518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7.6376367370727394E-3"/>
    <x v="1"/>
  </r>
  <r>
    <x v="187"/>
    <x v="5"/>
    <s v="CHF_SUSf1a"/>
    <n v="2122046.6800000002"/>
    <n v="826959.09243510978"/>
    <n v="2.5"/>
    <n v="290000"/>
    <n v="0"/>
    <n v="0"/>
    <n v="2.5660842228015213"/>
    <n v="290000"/>
    <n v="0"/>
    <n v="290000"/>
    <n v="290000"/>
    <s v="Private Equity Fund"/>
    <n v="0"/>
    <n v="0"/>
    <n v="0"/>
    <n v="0"/>
    <m/>
    <m/>
    <m/>
    <m/>
    <m/>
    <m/>
    <m/>
    <m/>
    <m/>
    <m/>
    <m/>
    <d v="2015-01-30T00:00:00"/>
    <n v="3.5739807238694965E-2"/>
    <x v="1"/>
  </r>
  <r>
    <x v="188"/>
    <x v="5"/>
    <s v="CHF_SUSf1a"/>
    <n v="2172117.4822999998"/>
    <n v="832736.87049982778"/>
    <n v="2.5"/>
    <n v="35000"/>
    <n v="0"/>
    <n v="0"/>
    <n v="2.6084079608439157"/>
    <n v="35000"/>
    <n v="0"/>
    <n v="35000"/>
    <n v="35000"/>
    <s v="Private Equity Fund"/>
    <n v="0"/>
    <n v="0"/>
    <n v="0"/>
    <n v="0"/>
    <m/>
    <m/>
    <m/>
    <m/>
    <m/>
    <m/>
    <m/>
    <m/>
    <m/>
    <m/>
    <m/>
    <d v="2015-02-27T00:00:00"/>
    <n v="7.1020126192509192E-3"/>
    <x v="1"/>
  </r>
  <r>
    <x v="189"/>
    <x v="5"/>
    <s v="CHF_SUSf1a"/>
    <n v="2339729.5580000002"/>
    <n v="841771.51725683466"/>
    <n v="2.5"/>
    <n v="142500"/>
    <n v="0"/>
    <n v="0"/>
    <n v="2.7795304426843899"/>
    <n v="142500"/>
    <n v="0"/>
    <n v="142500"/>
    <n v="142500"/>
    <s v="Private Equity Fund"/>
    <n v="0"/>
    <n v="0"/>
    <n v="0"/>
    <n v="0"/>
    <m/>
    <m/>
    <m/>
    <m/>
    <m/>
    <m/>
    <m/>
    <m/>
    <m/>
    <m/>
    <m/>
    <d v="2015-03-31T00:00:00"/>
    <n v="1.1561103809822448E-2"/>
    <x v="1"/>
  </r>
  <r>
    <x v="190"/>
    <x v="5"/>
    <s v="CHF_SUSf1a"/>
    <n v="2519826.8267999999"/>
    <n v="906565.65155891015"/>
    <n v="2.5"/>
    <n v="0"/>
    <n v="0"/>
    <n v="0"/>
    <n v="2.7795304426843899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7.6973540888181535E-2"/>
    <x v="1"/>
  </r>
  <r>
    <x v="191"/>
    <x v="5"/>
    <s v="CHF_SUSf1a"/>
    <n v="2545631.2373000002"/>
    <n v="915849.38168243389"/>
    <n v="2.5"/>
    <n v="0"/>
    <n v="0"/>
    <n v="0"/>
    <n v="2.7795304426843899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1.0240549162169987E-2"/>
    <x v="1"/>
  </r>
  <r>
    <x v="192"/>
    <x v="5"/>
    <s v="CHF_SUSf1a"/>
    <n v="2519251.2548000002"/>
    <n v="906358.57629498758"/>
    <n v="2.5"/>
    <n v="0"/>
    <n v="0"/>
    <n v="0"/>
    <n v="2.7795304426843899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036284522026043E-2"/>
    <x v="1"/>
  </r>
  <r>
    <x v="193"/>
    <x v="5"/>
    <s v="CHF_SUSf1a"/>
    <n v="2667132.7740000002"/>
    <n v="893092.28527944628"/>
    <n v="2.5"/>
    <n v="187500"/>
    <n v="0"/>
    <n v="0"/>
    <n v="2.9864022094485581"/>
    <n v="187500"/>
    <n v="0"/>
    <n v="187500"/>
    <n v="187500"/>
    <s v="Private Equity Fund"/>
    <n v="0"/>
    <n v="0"/>
    <n v="0"/>
    <n v="0"/>
    <m/>
    <m/>
    <m/>
    <m/>
    <m/>
    <m/>
    <m/>
    <m/>
    <m/>
    <m/>
    <m/>
    <d v="2015-07-31T00:00:00"/>
    <n v="-1.5726291978425677E-2"/>
    <x v="1"/>
  </r>
  <r>
    <x v="194"/>
    <x v="5"/>
    <s v="CHF_SUSf1a"/>
    <n v="2626523.3223000001"/>
    <n v="879494.16658949968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5225883051595002E-2"/>
    <x v="1"/>
  </r>
  <r>
    <x v="195"/>
    <x v="5"/>
    <s v="CHF_SUSf1a"/>
    <n v="2633600.0902999998"/>
    <n v="881863.82998500951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2.6943480531529396E-3"/>
    <x v="1"/>
  </r>
  <r>
    <x v="196"/>
    <x v="5"/>
    <s v="CHF_SUSf1a"/>
    <n v="2702863.2115000002"/>
    <n v="905056.66080359835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629978691719681E-2"/>
    <x v="1"/>
  </r>
  <r>
    <x v="1"/>
    <x v="5"/>
    <s v="CHF_SUSf1a"/>
    <n v="2691209.4232999999"/>
    <n v="901154.37725882686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4.311645572893319E-3"/>
    <x v="1"/>
  </r>
  <r>
    <x v="2"/>
    <x v="5"/>
    <s v="CHF_SUSf1a"/>
    <n v="2712651.0528000002"/>
    <n v="908334.13001689874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7.9672838963635861E-3"/>
    <x v="1"/>
  </r>
  <r>
    <x v="3"/>
    <x v="5"/>
    <s v="CHF_SUSf1a"/>
    <n v="2687325.5980000002"/>
    <n v="899853.87416928587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9.3360532951184405E-3"/>
    <x v="1"/>
  </r>
  <r>
    <x v="4"/>
    <x v="5"/>
    <s v="CHF_SUSf1a"/>
    <n v="2731798.4139999999"/>
    <n v="914745.6445608607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6549098491488223E-2"/>
    <x v="1"/>
  </r>
  <r>
    <x v="5"/>
    <x v="5"/>
    <s v="CHF_SUSf1a"/>
    <n v="2774104.4082999998"/>
    <n v="928911.85236975853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5486499327032721E-2"/>
    <x v="1"/>
  </r>
  <r>
    <x v="6"/>
    <x v="5"/>
    <s v="CHF_SUSf1a"/>
    <n v="2816951.7217999999"/>
    <n v="943259.32149646804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5445458134813794E-2"/>
    <x v="1"/>
  </r>
  <r>
    <x v="7"/>
    <x v="5"/>
    <s v="CHF_SUSf1a"/>
    <n v="2890121.2659999998"/>
    <n v="967760.22226880933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2.5974724250242165E-2"/>
    <x v="1"/>
  </r>
  <r>
    <x v="8"/>
    <x v="5"/>
    <s v="CHF_SUSf1a"/>
    <n v="2965002.4580000001"/>
    <n v="992834.27015260968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5909359887738459E-2"/>
    <x v="1"/>
  </r>
  <r>
    <x v="9"/>
    <x v="5"/>
    <s v="CHF_SUSf1a"/>
    <n v="3007110.5022999998"/>
    <n v="1006934.1941905627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4201689508346327E-2"/>
    <x v="1"/>
  </r>
  <r>
    <x v="10"/>
    <x v="5"/>
    <s v="CHF_SUSf1a"/>
    <n v="2999997.983"/>
    <n v="1004552.5594336981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2.365233766620789E-3"/>
    <x v="1"/>
  </r>
  <r>
    <x v="11"/>
    <x v="5"/>
    <s v="CHF_SUSf1a"/>
    <n v="3115391.6313"/>
    <n v="1043192.2469931671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8464575294349546E-2"/>
    <x v="1"/>
  </r>
  <r>
    <x v="12"/>
    <x v="5"/>
    <s v="CHF_SUSf1a"/>
    <n v="3220469.1060000001"/>
    <n v="1078377.5526989924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3728496168603073E-2"/>
    <x v="1"/>
  </r>
  <r>
    <x v="13"/>
    <x v="5"/>
    <s v="CHF_SUSf1a"/>
    <n v="3236605.5090000001"/>
    <n v="1083780.8446430403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5.0105753133717901E-3"/>
    <x v="1"/>
  </r>
  <r>
    <x v="14"/>
    <x v="5"/>
    <s v="CHF_SUSf1a"/>
    <n v="3206329.889"/>
    <n v="1073643.0206405625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9.3541273151185322E-3"/>
    <x v="1"/>
  </r>
  <r>
    <x v="15"/>
    <x v="5"/>
    <s v="CHF_SUSf1a"/>
    <n v="3254896.5792999999"/>
    <n v="1089905.6292558194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5147128330936344E-2"/>
    <x v="1"/>
  </r>
  <r>
    <x v="16"/>
    <x v="5"/>
    <s v="CHF_SUSf1a"/>
    <n v="3394294.4863"/>
    <n v="1136583.1687242019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4.2827138621399419E-2"/>
    <x v="1"/>
  </r>
  <r>
    <x v="17"/>
    <x v="5"/>
    <s v="CHF_SUSf1a"/>
    <n v="3353483.9024999999"/>
    <n v="1122917.7007336945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2023289070738907E-2"/>
    <x v="1"/>
  </r>
  <r>
    <x v="18"/>
    <x v="5"/>
    <s v="CHF_SUSf1a"/>
    <n v="3342040.2650000001"/>
    <n v="1119085.7863774186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3.4124623325219039E-3"/>
    <x v="1"/>
  </r>
  <r>
    <x v="19"/>
    <x v="5"/>
    <s v="CHF_SUSf1a"/>
    <n v="3248797.0923000001"/>
    <n v="1087863.2094569383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7900074597096425E-2"/>
    <x v="1"/>
  </r>
  <r>
    <x v="20"/>
    <x v="5"/>
    <s v="CHF_SUSf1a"/>
    <n v="3363062.7955"/>
    <n v="1126125.203383436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5171695847309836E-2"/>
    <x v="1"/>
  </r>
  <r>
    <x v="21"/>
    <x v="5"/>
    <s v="CHF_SUSf1a"/>
    <n v="3449585.14"/>
    <n v="1155097.3037342378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5727246192302156E-2"/>
    <x v="1"/>
  </r>
  <r>
    <x v="22"/>
    <x v="5"/>
    <s v="CHF_SUSf1a"/>
    <n v="3469000"/>
    <n v="1161598.3905398175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5.6281724358309138E-3"/>
    <x v="1"/>
  </r>
  <r>
    <x v="23"/>
    <x v="5"/>
    <s v="CHF_SUSf1a"/>
    <n v="3439498.2622398427"/>
    <n v="1151719.7018398098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8.5043925512128249E-3"/>
    <x v="1"/>
  </r>
  <r>
    <x v="24"/>
    <x v="5"/>
    <s v="CHF_SUSf1a"/>
    <n v="3464600"/>
    <n v="1160125.0457954027"/>
    <n v="2.5"/>
    <n v="0"/>
    <n v="-4.6566128730773926E-10"/>
    <n v="0"/>
    <n v="2.9864022094485581"/>
    <n v="-4.6566128730773926E-10"/>
    <n v="0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7-10-31T00:00:00"/>
    <n v="7.2980812450857968E-3"/>
    <x v="1"/>
  </r>
  <r>
    <x v="25"/>
    <x v="5"/>
    <s v="CHF_SUSf1a"/>
    <n v="3468500"/>
    <n v="1161430.9650006795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1.1256710731397668E-3"/>
    <x v="1"/>
  </r>
  <r>
    <x v="26"/>
    <x v="5"/>
    <s v="CHF_SUSf1a"/>
    <n v="3560200"/>
    <n v="1192136.8088785985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2.6437941473259396E-2"/>
    <x v="1"/>
  </r>
  <r>
    <x v="27"/>
    <x v="5"/>
    <s v="CHF_SUSf1a"/>
    <n v="3606800"/>
    <n v="1207740.8691262652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3089152294814888E-2"/>
    <x v="1"/>
  </r>
  <r>
    <x v="28"/>
    <x v="5"/>
    <s v="CHF_SUSf1a"/>
    <n v="3644015.38"/>
    <n v="1220202.4792477202"/>
    <n v="2.5"/>
    <n v="0"/>
    <n v="0"/>
    <n v="0"/>
    <n v="2.9864022094485581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0318115781301929E-2"/>
    <x v="1"/>
  </r>
  <r>
    <x v="29"/>
    <x v="5"/>
    <s v="CHF_SUSf1a"/>
    <n v="3665818.0704999999"/>
    <n v="1227503.1336709654"/>
    <n v="2.5"/>
    <n v="0"/>
    <n v="0"/>
    <n v="0"/>
    <n v="2.9864022094485581"/>
    <n v="0"/>
    <n v="0"/>
    <n v="0"/>
    <n v="0"/>
    <s v="Private Equity Fund"/>
    <n v="6.9669446296834695E-3"/>
    <n v="9.4525789499999985E-2"/>
    <n v="0"/>
    <n v="0"/>
    <m/>
    <m/>
    <m/>
    <m/>
    <m/>
    <m/>
    <m/>
    <m/>
    <m/>
    <m/>
    <m/>
    <d v="2018-03-29T00:00:00"/>
    <n v="5.9831499668367982E-3"/>
    <x v="1"/>
  </r>
  <r>
    <x v="30"/>
    <x v="5"/>
    <s v="CHF_SUSf1a"/>
    <n v="3705965.1609999998"/>
    <n v="1240946.4302145389"/>
    <n v="2.5"/>
    <n v="0"/>
    <n v="0"/>
    <n v="0"/>
    <n v="2.9864022094485581"/>
    <n v="0"/>
    <n v="0"/>
    <n v="0"/>
    <n v="0"/>
    <s v="Private Equity Fund"/>
    <n v="2.5027000000000001E-3"/>
    <n v="9.778096E-2"/>
    <n v="0"/>
    <n v="0"/>
    <m/>
    <m/>
    <m/>
    <m/>
    <m/>
    <m/>
    <m/>
    <m/>
    <m/>
    <m/>
    <m/>
    <d v="2018-04-30T00:00:00"/>
    <n v="1.0951741119690661E-2"/>
    <x v="1"/>
  </r>
  <r>
    <x v="31"/>
    <x v="5"/>
    <s v="CHF_SUSf1a"/>
    <n v="3730191.0868000002"/>
    <n v="1249058.507590906"/>
    <n v="2.5"/>
    <n v="0"/>
    <n v="0"/>
    <n v="0"/>
    <n v="2.9864022094485581"/>
    <n v="0"/>
    <n v="0"/>
    <n v="0"/>
    <n v="0"/>
    <s v="Private Equity Fund"/>
    <n v="2.4033000000000001E-3"/>
    <n v="9.9745219999999996E-2"/>
    <n v="0"/>
    <n v="0"/>
    <m/>
    <m/>
    <m/>
    <m/>
    <m/>
    <m/>
    <m/>
    <m/>
    <m/>
    <m/>
    <m/>
    <d v="2018-05-31T00:00:00"/>
    <n v="6.5370085112896881E-3"/>
    <x v="1"/>
  </r>
  <r>
    <x v="32"/>
    <x v="5"/>
    <s v="CHF_SUSf1a"/>
    <n v="3753854.2148000002"/>
    <n v="1256982.1315170915"/>
    <n v="2.5"/>
    <n v="0"/>
    <n v="0"/>
    <n v="0"/>
    <n v="2.9864022094485581"/>
    <n v="0"/>
    <n v="0"/>
    <n v="-3753854.2148000002"/>
    <n v="-3753854.2148000002"/>
    <s v="Private Equity Fund"/>
    <n v="2.4340999999999998E-3"/>
    <n v="0.10166385999999999"/>
    <n v="0"/>
    <n v="0"/>
    <m/>
    <m/>
    <m/>
    <m/>
    <m/>
    <m/>
    <m/>
    <m/>
    <m/>
    <m/>
    <m/>
    <d v="2018-06-29T00:00:00"/>
    <n v="6.3436771600620112E-3"/>
    <x v="1"/>
  </r>
  <r>
    <x v="33"/>
    <x v="5"/>
    <s v="CHF_SUSf1a"/>
    <n v="3753854.2148000002"/>
    <n v="1256982.1315170915"/>
    <n v="2.5"/>
    <n v="0"/>
    <n v="0"/>
    <n v="0"/>
    <n v="2.9864022094485581"/>
    <n v="0"/>
    <n v="0"/>
    <n v="0"/>
    <n v="0"/>
    <s v="Private Equity Fund"/>
    <n v="2.4340999999999998E-3"/>
    <n v="0.10166385999999999"/>
    <n v="0"/>
    <n v="0"/>
    <m/>
    <m/>
    <m/>
    <m/>
    <m/>
    <m/>
    <m/>
    <m/>
    <m/>
    <m/>
    <m/>
    <d v="2018-07-31T00:00:00"/>
    <n v="0"/>
    <x v="1"/>
  </r>
  <r>
    <x v="200"/>
    <x v="5"/>
    <s v="CHF_SUSf4"/>
    <n v="28500"/>
    <n v="28500"/>
    <n v="0.25"/>
    <n v="28500"/>
    <n v="0"/>
    <n v="0"/>
    <n v="1"/>
    <n v="28500"/>
    <n v="28500"/>
    <n v="28500"/>
    <n v="28500"/>
    <s v="Private Equity Fund"/>
    <n v="0"/>
    <n v="0"/>
    <n v="0"/>
    <n v="0"/>
    <m/>
    <m/>
    <m/>
    <m/>
    <m/>
    <m/>
    <m/>
    <m/>
    <m/>
    <m/>
    <m/>
    <d v="2014-08-05T00:00:00"/>
    <n v="0"/>
    <x v="1"/>
  </r>
  <r>
    <x v="201"/>
    <x v="5"/>
    <s v="CHF_SUSf4"/>
    <n v="63250"/>
    <n v="28500"/>
    <n v="0.25"/>
    <n v="34750"/>
    <n v="0"/>
    <n v="0"/>
    <n v="2.2192982456140351"/>
    <n v="34750"/>
    <n v="0"/>
    <n v="34750"/>
    <n v="34750"/>
    <s v="Private Equity Fund"/>
    <n v="0"/>
    <n v="0"/>
    <n v="0"/>
    <n v="0"/>
    <m/>
    <m/>
    <m/>
    <m/>
    <m/>
    <m/>
    <m/>
    <m/>
    <m/>
    <m/>
    <m/>
    <d v="2014-08-19T00:00:00"/>
    <n v="0"/>
    <x v="1"/>
  </r>
  <r>
    <x v="46"/>
    <x v="5"/>
    <s v="CHF_SUSf4"/>
    <n v="61810.62"/>
    <n v="27851.425612648221"/>
    <n v="0.25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-2.2756996047430755E-2"/>
    <x v="1"/>
  </r>
  <r>
    <x v="47"/>
    <x v="5"/>
    <s v="CHF_SUSf4"/>
    <n v="61386.87"/>
    <n v="27660.486877470357"/>
    <n v="0.25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6.8556180151566615E-3"/>
    <x v="1"/>
  </r>
  <r>
    <x v="184"/>
    <x v="5"/>
    <s v="CHF_SUSf4"/>
    <n v="104341.77"/>
    <n v="27848.623369820321"/>
    <n v="0.25"/>
    <n v="42250"/>
    <n v="0"/>
    <n v="0"/>
    <n v="3.7467478594678276"/>
    <n v="42250"/>
    <n v="0"/>
    <n v="42250"/>
    <n v="42250"/>
    <s v="Private Equity Fund"/>
    <n v="0"/>
    <n v="0"/>
    <n v="0"/>
    <n v="0"/>
    <m/>
    <m/>
    <m/>
    <m/>
    <m/>
    <m/>
    <m/>
    <m/>
    <m/>
    <m/>
    <m/>
    <d v="2014-10-31T00:00:00"/>
    <n v="1.1482911573761578E-2"/>
    <x v="1"/>
  </r>
  <r>
    <x v="185"/>
    <x v="5"/>
    <s v="CHF_SUSf4"/>
    <n v="106492.28"/>
    <n v="28422.590468931558"/>
    <n v="0.25"/>
    <n v="0"/>
    <n v="0"/>
    <n v="0"/>
    <n v="3.7467478594678276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2.0610250334070379E-2"/>
    <x v="1"/>
  </r>
  <r>
    <x v="186"/>
    <x v="5"/>
    <s v="CHF_SUSf4"/>
    <n v="106368.18"/>
    <n v="28389.468410908248"/>
    <n v="0.25"/>
    <n v="0"/>
    <n v="0"/>
    <n v="0"/>
    <n v="3.7467478594678276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1.1653426896297558E-3"/>
    <x v="1"/>
  </r>
  <r>
    <x v="187"/>
    <x v="5"/>
    <s v="CHF_SUSf4"/>
    <n v="140286.5"/>
    <n v="29420.940432433086"/>
    <n v="0.25"/>
    <n v="29000"/>
    <n v="0"/>
    <n v="0"/>
    <n v="4.7682534255550451"/>
    <n v="29000"/>
    <n v="0"/>
    <n v="29000"/>
    <n v="29000"/>
    <s v="Private Equity Fund"/>
    <n v="0"/>
    <n v="0"/>
    <n v="0"/>
    <n v="0"/>
    <m/>
    <m/>
    <m/>
    <m/>
    <m/>
    <m/>
    <m/>
    <m/>
    <m/>
    <m/>
    <m/>
    <d v="2015-01-30T00:00:00"/>
    <n v="4.6238640164756095E-2"/>
    <x v="1"/>
  </r>
  <r>
    <x v="188"/>
    <x v="5"/>
    <s v="CHF_SUSf4"/>
    <n v="153766.51999999999"/>
    <n v="29780.205089295614"/>
    <n v="0.25"/>
    <n v="11625"/>
    <n v="0"/>
    <n v="0"/>
    <n v="5.1633801560107724"/>
    <n v="11625"/>
    <n v="0"/>
    <n v="11625"/>
    <n v="11625"/>
    <s v="Private Equity Fund"/>
    <n v="0"/>
    <n v="0"/>
    <n v="0"/>
    <n v="0"/>
    <m/>
    <m/>
    <m/>
    <m/>
    <m/>
    <m/>
    <m/>
    <m/>
    <m/>
    <m/>
    <m/>
    <d v="2015-02-27T00:00:00"/>
    <n v="1.3223082762774618E-2"/>
    <x v="1"/>
  </r>
  <r>
    <x v="189"/>
    <x v="5"/>
    <s v="CHF_SUSf4"/>
    <n v="174059.74"/>
    <n v="30221.781289577651"/>
    <n v="0.25"/>
    <n v="17750"/>
    <n v="0"/>
    <n v="0"/>
    <n v="5.7594136603730437"/>
    <n v="17750"/>
    <n v="0"/>
    <n v="17750"/>
    <n v="17750"/>
    <s v="Private Equity Fund"/>
    <n v="0"/>
    <n v="0"/>
    <n v="0"/>
    <n v="0"/>
    <m/>
    <m/>
    <m/>
    <m/>
    <m/>
    <m/>
    <m/>
    <m/>
    <m/>
    <m/>
    <m/>
    <d v="2015-03-31T00:00:00"/>
    <n v="1.6539491171420062E-2"/>
    <x v="1"/>
  </r>
  <r>
    <x v="190"/>
    <x v="5"/>
    <s v="CHF_SUSf4"/>
    <n v="192822.85"/>
    <n v="33005.542488525636"/>
    <n v="0.25"/>
    <n v="2500"/>
    <n v="0"/>
    <n v="0"/>
    <n v="5.8421354554931133"/>
    <n v="2500"/>
    <n v="0"/>
    <n v="2500"/>
    <n v="2500"/>
    <s v="Private Equity Fund"/>
    <n v="0"/>
    <n v="0"/>
    <n v="0"/>
    <n v="0"/>
    <m/>
    <m/>
    <m/>
    <m/>
    <m/>
    <m/>
    <m/>
    <m/>
    <m/>
    <m/>
    <m/>
    <d v="2015-04-30T00:00:00"/>
    <n v="9.3434070394452062E-2"/>
    <x v="1"/>
  </r>
  <r>
    <x v="191"/>
    <x v="5"/>
    <s v="CHF_SUSf4"/>
    <n v="199382.9"/>
    <n v="32850.674685566111"/>
    <n v="0.25"/>
    <n v="7500"/>
    <n v="0"/>
    <n v="0"/>
    <n v="6.0693700177672332"/>
    <n v="7500"/>
    <n v="0"/>
    <n v="7500"/>
    <n v="7500"/>
    <s v="Private Equity Fund"/>
    <n v="0"/>
    <n v="0"/>
    <n v="0"/>
    <n v="0"/>
    <m/>
    <m/>
    <m/>
    <m/>
    <m/>
    <m/>
    <m/>
    <m/>
    <m/>
    <m/>
    <m/>
    <d v="2015-05-29T00:00:00"/>
    <n v="-4.8746816054218156E-3"/>
    <x v="1"/>
  </r>
  <r>
    <x v="192"/>
    <x v="5"/>
    <s v="CHF_SUSf4"/>
    <n v="196327.05"/>
    <n v="32347.187504680052"/>
    <n v="0.25"/>
    <n v="0"/>
    <n v="0"/>
    <n v="0"/>
    <n v="6.0693700177672332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5326540039291237E-2"/>
    <x v="1"/>
  </r>
  <r>
    <x v="193"/>
    <x v="5"/>
    <s v="CHF_SUSf4"/>
    <n v="199962.78"/>
    <n v="31772.901408174876"/>
    <n v="0.25"/>
    <n v="7250"/>
    <n v="0"/>
    <n v="0"/>
    <n v="6.2935007864453771"/>
    <n v="7250"/>
    <n v="0"/>
    <n v="7250"/>
    <n v="7250"/>
    <s v="Private Equity Fund"/>
    <n v="0"/>
    <n v="0"/>
    <n v="0"/>
    <n v="0"/>
    <m/>
    <m/>
    <m/>
    <m/>
    <m/>
    <m/>
    <m/>
    <m/>
    <m/>
    <m/>
    <m/>
    <d v="2015-07-31T00:00:00"/>
    <n v="-1.8409434665268898E-2"/>
    <x v="1"/>
  </r>
  <r>
    <x v="194"/>
    <x v="5"/>
    <s v="CHF_SUSf4"/>
    <n v="196588.61"/>
    <n v="31236.765779612288"/>
    <n v="0.25"/>
    <n v="0"/>
    <n v="0"/>
    <n v="0"/>
    <n v="6.293500786445377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6873990249585469E-2"/>
    <x v="1"/>
  </r>
  <r>
    <x v="195"/>
    <x v="5"/>
    <s v="CHF_SUSf4"/>
    <n v="197567.39"/>
    <n v="31392.288124522147"/>
    <n v="0.25"/>
    <n v="0"/>
    <n v="0"/>
    <n v="0"/>
    <n v="6.293500786445377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4.9788235442533857E-3"/>
    <x v="1"/>
  </r>
  <r>
    <x v="196"/>
    <x v="5"/>
    <s v="CHF_SUSf4"/>
    <n v="203778.71"/>
    <n v="32379.230084293984"/>
    <n v="0.25"/>
    <n v="0"/>
    <n v="0"/>
    <n v="0"/>
    <n v="6.293500786445377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3.1438994056660841E-2"/>
    <x v="1"/>
  </r>
  <r>
    <x v="1"/>
    <x v="5"/>
    <s v="CHF_SUSf4"/>
    <n v="214341.23"/>
    <n v="32350.933367942111"/>
    <n v="0.25"/>
    <n v="10750"/>
    <n v="0"/>
    <n v="0"/>
    <n v="6.6255037393264109"/>
    <n v="10750"/>
    <n v="0"/>
    <n v="10750"/>
    <n v="10750"/>
    <s v="Private Equity Fund"/>
    <n v="0"/>
    <n v="0"/>
    <n v="0"/>
    <n v="0"/>
    <m/>
    <m/>
    <m/>
    <m/>
    <m/>
    <m/>
    <m/>
    <m/>
    <m/>
    <m/>
    <m/>
    <d v="2015-11-30T00:00:00"/>
    <n v="-9.2001760144611033E-4"/>
    <x v="1"/>
  </r>
  <r>
    <x v="2"/>
    <x v="5"/>
    <s v="CHF_SUSf4"/>
    <n v="216432.91"/>
    <n v="32666.634646259197"/>
    <n v="0.25"/>
    <n v="0"/>
    <n v="0"/>
    <n v="0"/>
    <n v="6.625503739326410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9.7586451286109099E-3"/>
    <x v="1"/>
  </r>
  <r>
    <x v="3"/>
    <x v="5"/>
    <s v="CHF_SUSf4"/>
    <n v="213263.95"/>
    <n v="32188.337429220395"/>
    <n v="0.25"/>
    <n v="0"/>
    <n v="0"/>
    <n v="0"/>
    <n v="6.625503739326410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4641765894105485E-2"/>
    <x v="1"/>
  </r>
  <r>
    <x v="4"/>
    <x v="5"/>
    <s v="CHF_SUSf4"/>
    <n v="276202.56"/>
    <n v="32759.260095499434"/>
    <n v="0.25"/>
    <n v="58125"/>
    <n v="0"/>
    <n v="0"/>
    <n v="8.4312820007172729"/>
    <n v="58125"/>
    <n v="0"/>
    <n v="58125"/>
    <n v="58125"/>
    <s v="Private Equity Fund"/>
    <n v="0"/>
    <n v="0"/>
    <n v="0"/>
    <n v="0"/>
    <m/>
    <m/>
    <m/>
    <m/>
    <m/>
    <m/>
    <m/>
    <m/>
    <m/>
    <m/>
    <m/>
    <d v="2016-02-29T00:00:00"/>
    <n v="2.2571137784890505E-2"/>
    <x v="1"/>
  </r>
  <r>
    <x v="5"/>
    <x v="5"/>
    <s v="CHF_SUSf4"/>
    <n v="279736.03000000003"/>
    <n v="33178.350573044772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279303855836833E-2"/>
    <x v="1"/>
  </r>
  <r>
    <x v="6"/>
    <x v="5"/>
    <s v="CHF_SUSf4"/>
    <n v="283076.76"/>
    <n v="33574.580944620029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1942437304196973E-2"/>
    <x v="1"/>
  </r>
  <r>
    <x v="7"/>
    <x v="5"/>
    <s v="CHF_SUSf4"/>
    <n v="287267.21999999997"/>
    <n v="34071.594328781954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480326396274978E-2"/>
    <x v="1"/>
  </r>
  <r>
    <x v="8"/>
    <x v="5"/>
    <s v="CHF_SUSf4"/>
    <n v="296689.8"/>
    <n v="35189.168144863346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2800749072588342E-2"/>
    <x v="1"/>
  </r>
  <r>
    <x v="9"/>
    <x v="5"/>
    <s v="CHF_SUSf4"/>
    <n v="299654.90000000002"/>
    <n v="35540.846572858973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9.9939397984023515E-3"/>
    <x v="1"/>
  </r>
  <r>
    <x v="10"/>
    <x v="5"/>
    <s v="CHF_SUSf4"/>
    <n v="299119.86"/>
    <n v="35477.387658787004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1.7855206105424903E-3"/>
    <x v="1"/>
  </r>
  <r>
    <x v="11"/>
    <x v="5"/>
    <s v="CHF_SUSf4"/>
    <n v="313535.59999999998"/>
    <n v="37187.179834967756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4.8193857806699825E-2"/>
    <x v="1"/>
  </r>
  <r>
    <x v="12"/>
    <x v="5"/>
    <s v="CHF_SUSf4"/>
    <n v="325043.51"/>
    <n v="38552.08614447336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6703678944273177E-2"/>
    <x v="1"/>
  </r>
  <r>
    <x v="13"/>
    <x v="5"/>
    <s v="CHF_SUSf4"/>
    <n v="326779.74"/>
    <n v="38758.013309506183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5.3415310461051302E-3"/>
    <x v="1"/>
  </r>
  <r>
    <x v="14"/>
    <x v="5"/>
    <s v="CHF_SUSf4"/>
    <n v="324924.71999999997"/>
    <n v="38537.996946651496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5.6766677150793532E-3"/>
    <x v="1"/>
  </r>
  <r>
    <x v="15"/>
    <x v="5"/>
    <s v="CHF_SUSf4"/>
    <n v="329969.42"/>
    <n v="39136.328256121495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5525750087589607E-2"/>
    <x v="1"/>
  </r>
  <r>
    <x v="16"/>
    <x v="5"/>
    <s v="CHF_SUSf4"/>
    <n v="344746.22"/>
    <n v="40888.944287555729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4.4782331647581053E-2"/>
    <x v="1"/>
  </r>
  <r>
    <x v="17"/>
    <x v="5"/>
    <s v="CHF_SUSf4"/>
    <n v="340148.43"/>
    <n v="40343.61915199404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333673796336321E-2"/>
    <x v="1"/>
  </r>
  <r>
    <x v="18"/>
    <x v="5"/>
    <s v="CHF_SUSf4"/>
    <n v="338298.88"/>
    <n v="40124.251563548693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5.4374791616706997E-3"/>
    <x v="1"/>
  </r>
  <r>
    <x v="19"/>
    <x v="5"/>
    <s v="CHF_SUSf4"/>
    <n v="329788.44"/>
    <n v="39114.862955828539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5156571609104894E-2"/>
    <x v="1"/>
  </r>
  <r>
    <x v="20"/>
    <x v="5"/>
    <s v="CHF_SUSf4"/>
    <n v="343241.2"/>
    <n v="40710.439998424859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4.0792090832534988E-2"/>
    <x v="1"/>
  </r>
  <r>
    <x v="21"/>
    <x v="5"/>
    <s v="CHF_SUSf4"/>
    <n v="351239.95"/>
    <n v="41659.139140420048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3303583602434674E-2"/>
    <x v="1"/>
  </r>
  <r>
    <x v="22"/>
    <x v="5"/>
    <s v="CHF_SUSf4"/>
    <n v="353500"/>
    <n v="41927.194461047176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6.4344901540955846E-3"/>
    <x v="1"/>
  </r>
  <r>
    <x v="23"/>
    <x v="5"/>
    <s v="CHF_SUSf4"/>
    <n v="351409.67990511062"/>
    <n v="41679.270112803155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5.9132110180746267E-3"/>
    <x v="1"/>
  </r>
  <r>
    <x v="24"/>
    <x v="5"/>
    <s v="CHF_SUSf4"/>
    <n v="353600"/>
    <n v="41939.055053539691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6.2329532171134794E-3"/>
    <x v="1"/>
  </r>
  <r>
    <x v="25"/>
    <x v="5"/>
    <s v="CHF_SUSf4"/>
    <n v="355400"/>
    <n v="42152.545718404996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5.090497737556543E-3"/>
    <x v="1"/>
  </r>
  <r>
    <x v="26"/>
    <x v="5"/>
    <s v="CHF_SUSf4"/>
    <n v="373900"/>
    <n v="44346.755329520623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5.2054023635340396E-2"/>
    <x v="1"/>
  </r>
  <r>
    <x v="27"/>
    <x v="5"/>
    <s v="CHF_SUSf4"/>
    <n v="378600"/>
    <n v="44904.203176668911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2570205937416423E-2"/>
    <x v="1"/>
  </r>
  <r>
    <x v="28"/>
    <x v="5"/>
    <s v="CHF_SUSf4"/>
    <n v="382487.18"/>
    <n v="45365.245755919532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0267247754886411E-2"/>
    <x v="1"/>
  </r>
  <r>
    <x v="29"/>
    <x v="5"/>
    <s v="CHF_SUSf4"/>
    <n v="386694.81"/>
    <n v="45864.295603812418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1.1000708572768358E-2"/>
    <x v="1"/>
  </r>
  <r>
    <x v="30"/>
    <x v="5"/>
    <s v="CHF_SUSf4"/>
    <n v="389937.62"/>
    <n v="46248.912083219009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8-04-30T00:00:00"/>
    <n v="8.3859672179205091E-3"/>
    <x v="1"/>
  </r>
  <r>
    <x v="31"/>
    <x v="5"/>
    <s v="CHF_SUSf4"/>
    <n v="392963.57"/>
    <n v="46607.807681746322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7.760087369872215E-3"/>
    <x v="1"/>
  </r>
  <r>
    <x v="32"/>
    <x v="5"/>
    <s v="CHF_SUSf4"/>
    <n v="396833.13"/>
    <n v="47066.760424599757"/>
    <n v="0.25"/>
    <n v="0"/>
    <n v="0"/>
    <n v="0"/>
    <n v="8.4312820007172729"/>
    <n v="0"/>
    <n v="0"/>
    <n v="-396833.13"/>
    <n v="-396833.13"/>
    <s v="Private Equity Fund"/>
    <n v="0"/>
    <n v="0"/>
    <n v="0"/>
    <n v="0"/>
    <m/>
    <m/>
    <m/>
    <m/>
    <m/>
    <m/>
    <m/>
    <m/>
    <m/>
    <m/>
    <m/>
    <d v="2018-06-29T00:00:00"/>
    <n v="9.8471214519961769E-3"/>
    <x v="1"/>
  </r>
  <r>
    <x v="33"/>
    <x v="5"/>
    <s v="CHF_SUSf4"/>
    <n v="396833.13"/>
    <n v="47066.760424599757"/>
    <n v="0.25"/>
    <n v="0"/>
    <n v="0"/>
    <n v="0"/>
    <n v="8.4312820007172729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200"/>
    <x v="5"/>
    <s v="CHF_SUSf5c"/>
    <n v="171000"/>
    <n v="171000"/>
    <n v="1.5"/>
    <n v="171000"/>
    <n v="0"/>
    <n v="0"/>
    <n v="1"/>
    <n v="171000"/>
    <n v="171000"/>
    <n v="171000"/>
    <n v="171000"/>
    <s v="Private Equity Fund"/>
    <n v="0"/>
    <n v="0"/>
    <n v="0"/>
    <n v="0"/>
    <m/>
    <m/>
    <m/>
    <m/>
    <m/>
    <m/>
    <m/>
    <m/>
    <m/>
    <m/>
    <m/>
    <d v="2014-08-05T00:00:00"/>
    <n v="0"/>
    <x v="1"/>
  </r>
  <r>
    <x v="201"/>
    <x v="5"/>
    <s v="CHF_SUSf5c"/>
    <n v="379500"/>
    <n v="171000"/>
    <n v="1.5"/>
    <n v="208500"/>
    <n v="0"/>
    <n v="0"/>
    <n v="2.2192982456140351"/>
    <n v="208500"/>
    <n v="0"/>
    <n v="208500"/>
    <n v="208500"/>
    <s v="Private Equity Fund"/>
    <n v="0"/>
    <n v="0"/>
    <n v="0"/>
    <n v="0"/>
    <m/>
    <m/>
    <m/>
    <m/>
    <m/>
    <m/>
    <m/>
    <m/>
    <m/>
    <m/>
    <m/>
    <d v="2014-08-19T00:00:00"/>
    <n v="0"/>
    <x v="1"/>
  </r>
  <r>
    <x v="46"/>
    <x v="5"/>
    <s v="CHF_SUSf5c"/>
    <n v="370421.75"/>
    <n v="166909.40513833991"/>
    <n v="1.5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-2.3921607378129095E-2"/>
    <x v="1"/>
  </r>
  <r>
    <x v="47"/>
    <x v="5"/>
    <s v="CHF_SUSf5c"/>
    <n v="365516.54"/>
    <n v="164699.15241106719"/>
    <n v="1.5"/>
    <n v="0"/>
    <n v="0"/>
    <n v="0"/>
    <n v="2.2192982456140351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-1.3242229971647257E-2"/>
    <x v="1"/>
  </r>
  <r>
    <x v="184"/>
    <x v="5"/>
    <s v="CHF_SUSf5c"/>
    <n v="622083.77"/>
    <n v="165515.23752124826"/>
    <n v="1.5"/>
    <n v="253500"/>
    <n v="0"/>
    <n v="0"/>
    <n v="3.7584682795149851"/>
    <n v="253500"/>
    <n v="0"/>
    <n v="253500"/>
    <n v="253500"/>
    <s v="Private Equity Fund"/>
    <n v="0"/>
    <n v="0"/>
    <n v="0"/>
    <n v="0"/>
    <m/>
    <m/>
    <m/>
    <m/>
    <m/>
    <m/>
    <m/>
    <m/>
    <m/>
    <m/>
    <m/>
    <d v="2014-10-31T00:00:00"/>
    <n v="8.3914944040563988E-3"/>
    <x v="1"/>
  </r>
  <r>
    <x v="185"/>
    <x v="5"/>
    <s v="CHF_SUSf5c"/>
    <n v="634771.78249999997"/>
    <n v="168891.08415780342"/>
    <n v="1.5"/>
    <n v="0"/>
    <n v="0"/>
    <n v="0"/>
    <n v="3.7584682795149851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2.0395987022776563E-2"/>
    <x v="1"/>
  </r>
  <r>
    <x v="186"/>
    <x v="5"/>
    <s v="CHF_SUSf5c"/>
    <n v="631909.4"/>
    <n v="168129.50196869703"/>
    <n v="1.5"/>
    <n v="0"/>
    <n v="0"/>
    <n v="0"/>
    <n v="3.7584682795149851"/>
    <n v="0"/>
    <n v="0"/>
    <n v="0"/>
    <n v="0"/>
    <s v="Private Equity Fund"/>
    <n v="0"/>
    <n v="0"/>
    <n v="0"/>
    <n v="0"/>
    <m/>
    <m/>
    <m/>
    <m/>
    <m/>
    <m/>
    <m/>
    <m/>
    <m/>
    <m/>
    <m/>
    <d v="2014-12-31T00:00:00"/>
    <n v="-4.5093096116003428E-3"/>
    <x v="1"/>
  </r>
  <r>
    <x v="187"/>
    <x v="5"/>
    <s v="CHF_SUSf5c"/>
    <n v="833005.94550000003"/>
    <n v="173782.40625295919"/>
    <n v="1.5"/>
    <n v="174000"/>
    <n v="0"/>
    <n v="0"/>
    <n v="4.7933848049466485"/>
    <n v="174000"/>
    <n v="0"/>
    <n v="174000"/>
    <n v="174000"/>
    <s v="Private Equity Fund"/>
    <n v="0"/>
    <n v="0"/>
    <n v="0"/>
    <n v="0"/>
    <m/>
    <m/>
    <m/>
    <m/>
    <m/>
    <m/>
    <m/>
    <m/>
    <m/>
    <m/>
    <m/>
    <d v="2015-01-30T00:00:00"/>
    <n v="4.2880427953754241E-2"/>
    <x v="1"/>
  </r>
  <r>
    <x v="188"/>
    <x v="5"/>
    <s v="CHF_SUSf5c"/>
    <n v="911053.33100000001"/>
    <n v="175379.67030310043"/>
    <n v="1.5"/>
    <n v="69750"/>
    <n v="0"/>
    <n v="0"/>
    <n v="5.1947487951452382"/>
    <n v="69750"/>
    <n v="0"/>
    <n v="69750"/>
    <n v="69750"/>
    <s v="Private Equity Fund"/>
    <n v="0"/>
    <n v="0"/>
    <n v="0"/>
    <n v="0"/>
    <m/>
    <m/>
    <m/>
    <m/>
    <m/>
    <m/>
    <m/>
    <m/>
    <m/>
    <m/>
    <m/>
    <d v="2015-02-27T00:00:00"/>
    <n v="9.9607758441861982E-3"/>
    <x v="1"/>
  </r>
  <r>
    <x v="189"/>
    <x v="5"/>
    <s v="CHF_SUSf5c"/>
    <n v="1033516.7045"/>
    <n v="176827.69608789933"/>
    <n v="1.5"/>
    <n v="114000"/>
    <n v="0"/>
    <n v="0"/>
    <n v="5.8447671228281397"/>
    <n v="114000"/>
    <n v="0"/>
    <n v="114000"/>
    <n v="114000"/>
    <s v="Private Equity Fund"/>
    <n v="0"/>
    <n v="0"/>
    <n v="0"/>
    <n v="0"/>
    <m/>
    <m/>
    <m/>
    <m/>
    <m/>
    <m/>
    <m/>
    <m/>
    <m/>
    <m/>
    <m/>
    <d v="2015-03-31T00:00:00"/>
    <n v="9.2896575996384012E-3"/>
    <x v="1"/>
  </r>
  <r>
    <x v="190"/>
    <x v="5"/>
    <s v="CHF_SUSf5c"/>
    <n v="1136860.0689999999"/>
    <n v="191726.41304886359"/>
    <n v="1.5"/>
    <n v="15000"/>
    <n v="0"/>
    <n v="0"/>
    <n v="5.9295954632513705"/>
    <n v="15000"/>
    <n v="0"/>
    <n v="15000"/>
    <n v="15000"/>
    <s v="Private Equity Fund"/>
    <n v="0"/>
    <n v="0"/>
    <n v="0"/>
    <n v="0"/>
    <m/>
    <m/>
    <m/>
    <m/>
    <m/>
    <m/>
    <m/>
    <m/>
    <m/>
    <m/>
    <m/>
    <d v="2015-04-30T00:00:00"/>
    <n v="8.5478409894438112E-2"/>
    <x v="1"/>
  </r>
  <r>
    <x v="191"/>
    <x v="5"/>
    <s v="CHF_SUSf5c"/>
    <n v="1171814.7520000001"/>
    <n v="190096.81860966884"/>
    <n v="1.5"/>
    <n v="45000"/>
    <n v="0"/>
    <n v="0"/>
    <n v="6.1643049082589876"/>
    <n v="45000"/>
    <n v="0"/>
    <n v="45000"/>
    <n v="45000"/>
    <s v="Private Equity Fund"/>
    <n v="0"/>
    <n v="0"/>
    <n v="0"/>
    <n v="0"/>
    <m/>
    <m/>
    <m/>
    <m/>
    <m/>
    <m/>
    <m/>
    <m/>
    <m/>
    <m/>
    <m/>
    <d v="2015-05-29T00:00:00"/>
    <n v="-8.8360188504429393E-3"/>
    <x v="1"/>
  </r>
  <r>
    <x v="192"/>
    <x v="5"/>
    <s v="CHF_SUSf5c"/>
    <n v="1151869.9609999999"/>
    <n v="186861.28900871123"/>
    <n v="1.5"/>
    <n v="0"/>
    <n v="0"/>
    <n v="0"/>
    <n v="6.1643049082589876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7020430034661471E-2"/>
    <x v="1"/>
  </r>
  <r>
    <x v="193"/>
    <x v="5"/>
    <s v="CHF_SUSf5c"/>
    <n v="1175500.446"/>
    <n v="183755.26885929084"/>
    <n v="1.5"/>
    <n v="43500"/>
    <n v="0"/>
    <n v="0"/>
    <n v="6.3970979079796093"/>
    <n v="43500"/>
    <n v="0"/>
    <n v="43500"/>
    <n v="43500"/>
    <s v="Private Equity Fund"/>
    <n v="0"/>
    <n v="0"/>
    <n v="0"/>
    <n v="0"/>
    <m/>
    <m/>
    <m/>
    <m/>
    <m/>
    <m/>
    <m/>
    <m/>
    <m/>
    <m/>
    <m/>
    <d v="2015-07-31T00:00:00"/>
    <n v="-1.7249790056813485E-2"/>
    <x v="1"/>
  </r>
  <r>
    <x v="194"/>
    <x v="5"/>
    <s v="CHF_SUSf5c"/>
    <n v="1156899.301"/>
    <n v="180847.5214295075"/>
    <n v="1.5"/>
    <n v="0"/>
    <n v="0"/>
    <n v="0"/>
    <n v="6.3970979079796093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1.5824022069320431E-2"/>
    <x v="1"/>
  </r>
  <r>
    <x v="195"/>
    <x v="5"/>
    <s v="CHF_SUSf5c"/>
    <n v="1160503.0120000001"/>
    <n v="181410.85671870245"/>
    <n v="1.5"/>
    <n v="0"/>
    <n v="0"/>
    <n v="0"/>
    <n v="6.3970979079796093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3.1149737897544494E-3"/>
    <x v="1"/>
  </r>
  <r>
    <x v="196"/>
    <x v="5"/>
    <s v="CHF_SUSf5c"/>
    <n v="1194984.061"/>
    <n v="186800.96477957626"/>
    <n v="1.5"/>
    <n v="0"/>
    <n v="0"/>
    <n v="0"/>
    <n v="6.3970979079796093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2.971215812751371E-2"/>
    <x v="1"/>
  </r>
  <r>
    <x v="1"/>
    <x v="5"/>
    <s v="CHF_SUSf5c"/>
    <n v="1251678.7405000001"/>
    <n v="185643.31503635034"/>
    <n v="1.5"/>
    <n v="64500"/>
    <n v="0"/>
    <n v="0"/>
    <n v="6.7423852038782659"/>
    <n v="64500"/>
    <n v="0"/>
    <n v="64500"/>
    <n v="64500"/>
    <s v="Private Equity Fund"/>
    <n v="0"/>
    <n v="0"/>
    <n v="0"/>
    <n v="0"/>
    <m/>
    <m/>
    <m/>
    <m/>
    <m/>
    <m/>
    <m/>
    <m/>
    <m/>
    <m/>
    <m/>
    <d v="2015-11-30T00:00:00"/>
    <n v="-6.5317360747625397E-3"/>
    <x v="1"/>
  </r>
  <r>
    <x v="2"/>
    <x v="5"/>
    <s v="CHF_SUSf5c"/>
    <n v="1261897.959"/>
    <n v="187158.9831850823"/>
    <n v="1.5"/>
    <n v="0"/>
    <n v="0"/>
    <n v="0"/>
    <n v="6.7423852038782659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8.1644100593398772E-3"/>
    <x v="1"/>
  </r>
  <r>
    <x v="3"/>
    <x v="5"/>
    <s v="CHF_SUSf5c"/>
    <n v="1248832.405"/>
    <n v="185221.15946173813"/>
    <n v="1.5"/>
    <n v="0"/>
    <n v="0"/>
    <n v="0"/>
    <n v="6.7423852038782659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1.03538910629144E-2"/>
    <x v="1"/>
  </r>
  <r>
    <x v="4"/>
    <x v="5"/>
    <s v="CHF_SUSf5c"/>
    <n v="1612599.959"/>
    <n v="187844.122552838"/>
    <n v="1.5"/>
    <n v="341250"/>
    <n v="0"/>
    <n v="0"/>
    <n v="8.5847772987754656"/>
    <n v="341250"/>
    <n v="0"/>
    <n v="341250"/>
    <n v="341250"/>
    <s v="Private Equity Fund"/>
    <n v="0"/>
    <n v="0"/>
    <n v="0"/>
    <n v="0"/>
    <m/>
    <m/>
    <m/>
    <m/>
    <m/>
    <m/>
    <m/>
    <m/>
    <m/>
    <m/>
    <m/>
    <d v="2016-02-29T00:00:00"/>
    <n v="1.8030885417327003E-2"/>
    <x v="1"/>
  </r>
  <r>
    <x v="5"/>
    <x v="5"/>
    <s v="CHF_SUSf5c"/>
    <n v="1624318.0589999999"/>
    <n v="189209.10845662741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7.2665883033176115E-3"/>
    <x v="1"/>
  </r>
  <r>
    <x v="6"/>
    <x v="5"/>
    <s v="CHF_SUSf5c"/>
    <n v="1649388.7239999999"/>
    <n v="192129.47134170495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5434578752042238E-2"/>
    <x v="1"/>
  </r>
  <r>
    <x v="7"/>
    <x v="5"/>
    <s v="CHF_SUSf5c"/>
    <n v="1668831.08"/>
    <n v="194394.2191998437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1787613021174037E-2"/>
    <x v="1"/>
  </r>
  <r>
    <x v="8"/>
    <x v="5"/>
    <s v="CHF_SUSf5c"/>
    <n v="1705241.6035"/>
    <n v="198635.50842993165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2.1817980223618472E-2"/>
    <x v="1"/>
  </r>
  <r>
    <x v="9"/>
    <x v="5"/>
    <s v="CHF_SUSf5c"/>
    <n v="1733841.409"/>
    <n v="201966.96415727818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1.6771702872659944E-2"/>
    <x v="1"/>
  </r>
  <r>
    <x v="10"/>
    <x v="5"/>
    <s v="CHF_SUSf5c"/>
    <n v="1729066.0665"/>
    <n v="201410.70715330431"/>
    <n v="1.5"/>
    <n v="0"/>
    <n v="-2.3283064365386963E-10"/>
    <n v="0"/>
    <n v="8.5847772987754656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6-08-31T00:00:00"/>
    <n v="-2.754197976361672E-3"/>
    <x v="1"/>
  </r>
  <r>
    <x v="11"/>
    <x v="5"/>
    <s v="CHF_SUSf5c"/>
    <n v="1785250.004"/>
    <n v="207955.30761813105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2493806100612588E-2"/>
    <x v="1"/>
  </r>
  <r>
    <x v="12"/>
    <x v="5"/>
    <s v="CHF_SUSf5c"/>
    <n v="1841875.1170000001"/>
    <n v="214551.29852497461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3.1718309969543057E-2"/>
    <x v="1"/>
  </r>
  <r>
    <x v="13"/>
    <x v="5"/>
    <s v="CHF_SUSf5c"/>
    <n v="1850785.497"/>
    <n v="215589.22643968835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4.8376678297890052E-3"/>
    <x v="1"/>
  </r>
  <r>
    <x v="14"/>
    <x v="5"/>
    <s v="CHF_SUSf5c"/>
    <n v="1837298.9380000001"/>
    <n v="214018.24113271671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6-12-30T00:00:00"/>
    <n v="-7.2869379092610487E-3"/>
    <x v="1"/>
  </r>
  <r>
    <x v="15"/>
    <x v="5"/>
    <s v="CHF_SUSf5c"/>
    <n v="1867170.6835"/>
    <n v="217497.85911934299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6258511275534238E-2"/>
    <x v="1"/>
  </r>
  <r>
    <x v="16"/>
    <x v="5"/>
    <s v="CHF_SUSf5c"/>
    <n v="1940184.4765000001"/>
    <n v="226002.8896470906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3.9103973538796133E-2"/>
    <x v="1"/>
  </r>
  <r>
    <x v="17"/>
    <x v="5"/>
    <s v="CHF_SUSf5c"/>
    <n v="1908620.007"/>
    <n v="222326.0942683098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1.6268798087149428E-2"/>
    <x v="1"/>
  </r>
  <r>
    <x v="18"/>
    <x v="5"/>
    <s v="CHF_SUSf5c"/>
    <n v="1903525.014"/>
    <n v="221732.60269331845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6694643152193054E-3"/>
    <x v="1"/>
  </r>
  <r>
    <x v="19"/>
    <x v="5"/>
    <s v="CHF_SUSf5c"/>
    <n v="1851576.9745"/>
    <n v="215681.42190061347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2.7290442267862924E-2"/>
    <x v="1"/>
  </r>
  <r>
    <x v="20"/>
    <x v="5"/>
    <s v="CHF_SUSf5c"/>
    <n v="1917871.4325000001"/>
    <n v="223403.74895613958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3.5804321890480661E-2"/>
    <x v="1"/>
  </r>
  <r>
    <x v="21"/>
    <x v="5"/>
    <s v="CHF_SUSf5c"/>
    <n v="1962810.372"/>
    <n v="228638.47292578872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2.3431674688131121E-2"/>
    <x v="1"/>
  </r>
  <r>
    <x v="22"/>
    <x v="5"/>
    <s v="CHF_SUSf5c"/>
    <n v="1965700"/>
    <n v="228975.0719893908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4721890821556283E-3"/>
    <x v="1"/>
  </r>
  <r>
    <x v="23"/>
    <x v="5"/>
    <s v="CHF_SUSf5c"/>
    <n v="1952857.6001246925"/>
    <n v="227479.12172436304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6.5332450909637574E-3"/>
    <x v="1"/>
  </r>
  <r>
    <x v="24"/>
    <x v="5"/>
    <s v="CHF_SUSf5c"/>
    <n v="1968200"/>
    <n v="229266.28513482166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7.8563843438086423E-3"/>
    <x v="1"/>
  </r>
  <r>
    <x v="25"/>
    <x v="5"/>
    <s v="CHF_SUSf5c"/>
    <n v="1968900"/>
    <n v="229347.82481554232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3.5565491311850828E-4"/>
    <x v="1"/>
  </r>
  <r>
    <x v="26"/>
    <x v="5"/>
    <s v="CHF_SUSf5c"/>
    <n v="2058600.0000000002"/>
    <n v="239796.55247360223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4.5558433643151153E-2"/>
    <x v="1"/>
  </r>
  <r>
    <x v="27"/>
    <x v="5"/>
    <s v="CHF_SUSf5c"/>
    <n v="2086800.0000000002"/>
    <n v="243081.43675406254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3698630136986356E-2"/>
    <x v="1"/>
  </r>
  <r>
    <x v="28"/>
    <x v="5"/>
    <s v="CHF_SUSf5c"/>
    <n v="2104762.9"/>
    <n v="245173.84979808662"/>
    <n v="1.5"/>
    <n v="0"/>
    <n v="0"/>
    <n v="0"/>
    <n v="8.5847772987754656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8.6078685068045058E-3"/>
    <x v="1"/>
  </r>
  <r>
    <x v="29"/>
    <x v="5"/>
    <s v="CHF_SUSf5c"/>
    <n v="2116774.7390000001"/>
    <n v="246573.05196512636"/>
    <n v="1.5"/>
    <n v="0"/>
    <n v="0"/>
    <n v="0"/>
    <n v="8.5847772987754656"/>
    <n v="0"/>
    <n v="0"/>
    <n v="0"/>
    <n v="0"/>
    <s v="Private Equity Fund"/>
    <n v="8.2622945324499174E-3"/>
    <n v="0.10884260099999998"/>
    <n v="0"/>
    <n v="0"/>
    <m/>
    <m/>
    <m/>
    <m/>
    <m/>
    <m/>
    <m/>
    <m/>
    <m/>
    <m/>
    <m/>
    <d v="2018-03-29T00:00:00"/>
    <n v="5.7069796317676946E-3"/>
    <x v="1"/>
  </r>
  <r>
    <x v="30"/>
    <x v="5"/>
    <s v="CHF_SUSf5c"/>
    <n v="2144638.2914999998"/>
    <n v="249818.74507168771"/>
    <n v="1.5"/>
    <n v="0"/>
    <n v="0"/>
    <n v="0"/>
    <n v="8.5847772987754656"/>
    <n v="0"/>
    <n v="0"/>
    <n v="0"/>
    <n v="0"/>
    <s v="Private Equity Fund"/>
    <n v="2.9738999999999998E-3"/>
    <n v="0.11375970000000001"/>
    <n v="0"/>
    <n v="0"/>
    <m/>
    <m/>
    <m/>
    <m/>
    <m/>
    <m/>
    <m/>
    <m/>
    <m/>
    <m/>
    <m/>
    <d v="2018-04-30T00:00:00"/>
    <n v="1.3163210986334217E-2"/>
    <x v="1"/>
  </r>
  <r>
    <x v="31"/>
    <x v="5"/>
    <s v="CHF_SUSf5c"/>
    <n v="2157690.0499999998"/>
    <n v="251339.08253016337"/>
    <n v="1.5"/>
    <n v="0"/>
    <n v="0"/>
    <n v="0"/>
    <n v="8.5847772987754656"/>
    <n v="0"/>
    <n v="0"/>
    <n v="0"/>
    <n v="0"/>
    <s v="Private Equity Fund"/>
    <n v="2.8571E-3"/>
    <n v="0.11606295"/>
    <n v="0"/>
    <n v="0"/>
    <m/>
    <m/>
    <m/>
    <m/>
    <m/>
    <m/>
    <m/>
    <m/>
    <m/>
    <m/>
    <m/>
    <d v="2018-05-31T00:00:00"/>
    <n v="6.0857621314180932E-3"/>
    <x v="1"/>
  </r>
  <r>
    <x v="32"/>
    <x v="5"/>
    <s v="CHF_SUSf5c"/>
    <n v="2161044.4134999998"/>
    <n v="251729.81642846478"/>
    <n v="1.5"/>
    <n v="0"/>
    <n v="0"/>
    <n v="0"/>
    <n v="8.5847772987754656"/>
    <n v="0"/>
    <n v="0"/>
    <n v="-2161044.4134999998"/>
    <n v="-2161044.4134999998"/>
    <s v="Private Equity Fund"/>
    <n v="2.8814000000000001E-3"/>
    <n v="0.11665490000000001"/>
    <n v="0"/>
    <n v="0"/>
    <m/>
    <m/>
    <m/>
    <m/>
    <m/>
    <m/>
    <m/>
    <m/>
    <m/>
    <m/>
    <m/>
    <d v="2018-06-29T00:00:00"/>
    <n v="1.5546085963551448E-3"/>
    <x v="1"/>
  </r>
  <r>
    <x v="33"/>
    <x v="5"/>
    <s v="CHF_SUSf5c"/>
    <n v="2161044.4134999998"/>
    <n v="251729.81642846478"/>
    <n v="1.5"/>
    <n v="0"/>
    <n v="0"/>
    <n v="0"/>
    <n v="8.5847772987754656"/>
    <n v="0"/>
    <n v="0"/>
    <n v="0"/>
    <n v="0"/>
    <s v="Private Equity Fund"/>
    <n v="2.8814000000000001E-3"/>
    <n v="0.11665490000000001"/>
    <n v="0"/>
    <n v="0"/>
    <m/>
    <m/>
    <m/>
    <m/>
    <m/>
    <m/>
    <m/>
    <m/>
    <m/>
    <m/>
    <m/>
    <d v="2018-07-31T00:00:00"/>
    <n v="0"/>
    <x v="1"/>
  </r>
  <r>
    <x v="203"/>
    <x v="5"/>
    <s v="CHF_SUSf9"/>
    <n v="1831350"/>
    <n v="1831350"/>
    <n v="21.05"/>
    <n v="1831350"/>
    <n v="0"/>
    <n v="0"/>
    <n v="1"/>
    <n v="1831350"/>
    <n v="1831350"/>
    <n v="1831350"/>
    <n v="1831350"/>
    <s v="Private Equity Fund"/>
    <n v="0"/>
    <n v="0"/>
    <n v="0"/>
    <n v="0"/>
    <m/>
    <m/>
    <m/>
    <m/>
    <m/>
    <m/>
    <m/>
    <m/>
    <m/>
    <m/>
    <m/>
    <d v="2015-07-22T00:00:00"/>
    <n v="0"/>
    <x v="1"/>
  </r>
  <r>
    <x v="193"/>
    <x v="5"/>
    <s v="CHF_SUSf9"/>
    <n v="1820369.53"/>
    <n v="1820369.53"/>
    <n v="21.0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7-31T00:00:00"/>
    <n v="-5.9958336746116503E-3"/>
    <x v="1"/>
  </r>
  <r>
    <x v="194"/>
    <x v="5"/>
    <s v="CHF_SUSf9"/>
    <n v="1806851.16"/>
    <n v="1806851.16"/>
    <n v="21.0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7.4261680264446905E-3"/>
    <x v="1"/>
  </r>
  <r>
    <x v="195"/>
    <x v="5"/>
    <s v="CHF_SUSf9"/>
    <n v="1805815.34"/>
    <n v="1805815.34"/>
    <n v="21.0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5.7327356172487409E-4"/>
    <x v="1"/>
  </r>
  <r>
    <x v="196"/>
    <x v="5"/>
    <s v="CHF_SUSf9"/>
    <n v="1800195.78"/>
    <n v="1800195.78"/>
    <n v="21.0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3.1119239467752857E-3"/>
    <x v="1"/>
  </r>
  <r>
    <x v="1"/>
    <x v="5"/>
    <s v="CHF_SUSf9"/>
    <n v="3367839.44"/>
    <n v="1640938.9862148715"/>
    <n v="21.05"/>
    <n v="1894500"/>
    <n v="0"/>
    <n v="0"/>
    <n v="2.0523855355332516"/>
    <n v="1894500"/>
    <n v="0"/>
    <n v="1894500"/>
    <n v="1894500"/>
    <s v="Private Equity Fund"/>
    <n v="0"/>
    <n v="0"/>
    <n v="0"/>
    <n v="0"/>
    <m/>
    <m/>
    <m/>
    <m/>
    <m/>
    <m/>
    <m/>
    <m/>
    <m/>
    <m/>
    <m/>
    <d v="2015-11-30T00:00:00"/>
    <n v="-0.18156710710653934"/>
    <x v="1"/>
  </r>
  <r>
    <x v="2"/>
    <x v="5"/>
    <s v="CHF_SUSf9"/>
    <n v="3720124.38"/>
    <n v="1812585.5574369149"/>
    <n v="21.05"/>
    <n v="0"/>
    <n v="0"/>
    <n v="0"/>
    <n v="2.0523855355332516"/>
    <n v="0"/>
    <n v="0"/>
    <n v="0"/>
    <n v="0"/>
    <s v="Private Equity Fund"/>
    <n v="0"/>
    <n v="0"/>
    <n v="0"/>
    <n v="0"/>
    <m/>
    <m/>
    <m/>
    <m/>
    <m/>
    <m/>
    <m/>
    <m/>
    <m/>
    <m/>
    <m/>
    <d v="2015-12-31T00:00:00"/>
    <n v="0.10460265291031812"/>
    <x v="1"/>
  </r>
  <r>
    <x v="3"/>
    <x v="5"/>
    <s v="CHF_SUSf9"/>
    <n v="3704328.18"/>
    <n v="1804889.0502619627"/>
    <n v="21.05"/>
    <n v="0"/>
    <n v="0"/>
    <n v="0"/>
    <n v="2.0523855355332516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4.2461483505559228E-3"/>
    <x v="1"/>
  </r>
  <r>
    <x v="4"/>
    <x v="5"/>
    <s v="CHF_SUSf9"/>
    <n v="8442957.6040000003"/>
    <n v="1809911.6013987351"/>
    <n v="21.05"/>
    <n v="4715200"/>
    <n v="0"/>
    <n v="0"/>
    <n v="4.6648452871814943"/>
    <n v="4715200"/>
    <n v="0"/>
    <n v="4715200"/>
    <n v="4715200"/>
    <s v="Private Equity Fund"/>
    <n v="0"/>
    <n v="0"/>
    <n v="0"/>
    <n v="0"/>
    <m/>
    <m/>
    <m/>
    <m/>
    <m/>
    <m/>
    <m/>
    <m/>
    <m/>
    <m/>
    <m/>
    <d v="2016-02-29T00:00:00"/>
    <n v="6.3248780511666602E-3"/>
    <x v="1"/>
  </r>
  <r>
    <x v="5"/>
    <x v="5"/>
    <s v="CHF_SUSf9"/>
    <n v="8474713.2809999995"/>
    <n v="1816719.0462431032"/>
    <n v="21.05"/>
    <n v="0"/>
    <n v="0"/>
    <n v="0"/>
    <n v="4.664845287181494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3.7612029444462625E-3"/>
    <x v="1"/>
  </r>
  <r>
    <x v="6"/>
    <x v="5"/>
    <s v="CHF_SUSf9"/>
    <n v="11874267.287"/>
    <n v="1821559.555535635"/>
    <n v="21.05"/>
    <n v="3368000"/>
    <n v="0"/>
    <n v="0"/>
    <n v="6.5187367884374972"/>
    <n v="3368000"/>
    <n v="0"/>
    <n v="3368000"/>
    <n v="3368000"/>
    <s v="Private Equity Fund"/>
    <n v="0"/>
    <n v="0"/>
    <n v="0"/>
    <n v="0"/>
    <m/>
    <m/>
    <m/>
    <m/>
    <m/>
    <m/>
    <m/>
    <m/>
    <m/>
    <m/>
    <m/>
    <d v="2016-04-29T00:00:00"/>
    <n v="3.7233125126183708E-3"/>
    <x v="1"/>
  </r>
  <r>
    <x v="7"/>
    <x v="5"/>
    <s v="CHF_SUSf9"/>
    <n v="12017034.715"/>
    <n v="1843460.6435275956"/>
    <n v="21.05"/>
    <n v="0"/>
    <n v="0"/>
    <n v="0"/>
    <n v="6.5187367884374972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2023262113722399E-2"/>
    <x v="1"/>
  </r>
  <r>
    <x v="8"/>
    <x v="5"/>
    <s v="CHF_SUSf9"/>
    <n v="11969811.537"/>
    <n v="1836216.4212905879"/>
    <n v="21.05"/>
    <n v="0"/>
    <n v="0"/>
    <n v="0"/>
    <n v="6.5187367884374972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-3.9296864093314454E-3"/>
    <x v="1"/>
  </r>
  <r>
    <x v="9"/>
    <x v="5"/>
    <s v="CHF_SUSf9"/>
    <n v="11975009.669500001"/>
    <n v="1837013.8353707544"/>
    <n v="21.05"/>
    <n v="0"/>
    <n v="0"/>
    <n v="0"/>
    <n v="6.5187367884374972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4.3427020416597628E-4"/>
    <x v="1"/>
  </r>
  <r>
    <x v="10"/>
    <x v="5"/>
    <s v="CHF_SUSf9"/>
    <n v="11962083.6855"/>
    <n v="1835030.9383127035"/>
    <n v="21.05"/>
    <n v="0"/>
    <n v="0"/>
    <n v="0"/>
    <n v="6.5187367884374972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-1.0794132411369173E-3"/>
    <x v="1"/>
  </r>
  <r>
    <x v="11"/>
    <x v="5"/>
    <s v="CHF_SUSf9"/>
    <n v="12346544.083000001"/>
    <n v="1894008.6835381177"/>
    <n v="21.05"/>
    <n v="0"/>
    <n v="0"/>
    <n v="0"/>
    <n v="6.5187367884374972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3.2139918730549333E-2"/>
    <x v="1"/>
  </r>
  <r>
    <x v="12"/>
    <x v="5"/>
    <s v="CHF_SUSf9"/>
    <n v="12683243.584000001"/>
    <n v="1945659.7183823555"/>
    <n v="21.05"/>
    <n v="0"/>
    <n v="0"/>
    <n v="0"/>
    <n v="6.5187367884374972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2.7270748699921965E-2"/>
    <x v="1"/>
  </r>
  <r>
    <x v="13"/>
    <x v="5"/>
    <s v="CHF_SUSf9"/>
    <n v="12803643.772"/>
    <n v="1964129.5833128672"/>
    <n v="21.05"/>
    <n v="0"/>
    <n v="0"/>
    <n v="0"/>
    <n v="6.5187367884374972"/>
    <n v="0"/>
    <n v="0"/>
    <n v="0"/>
    <n v="0"/>
    <s v="Private Equity Fund"/>
    <n v="0"/>
    <n v="0"/>
    <n v="0"/>
    <n v="0"/>
    <m/>
    <m/>
    <m/>
    <m/>
    <m/>
    <m/>
    <m/>
    <m/>
    <m/>
    <m/>
    <m/>
    <d v="2016-11-30T00:00:00"/>
    <n v="9.4928546631307675E-3"/>
    <x v="1"/>
  </r>
  <r>
    <x v="14"/>
    <x v="5"/>
    <s v="CHF_SUSf9"/>
    <n v="23005376.302000001"/>
    <n v="2009711.6425522196"/>
    <n v="21.05"/>
    <n v="9679950"/>
    <n v="0"/>
    <n v="0"/>
    <n v="11.447103064390113"/>
    <n v="9679950"/>
    <n v="0"/>
    <n v="9679950"/>
    <n v="9679950"/>
    <s v="Private Equity Fund"/>
    <n v="0"/>
    <n v="0"/>
    <n v="0"/>
    <n v="0"/>
    <m/>
    <m/>
    <m/>
    <m/>
    <m/>
    <m/>
    <m/>
    <m/>
    <m/>
    <m/>
    <m/>
    <d v="2016-12-30T00:00:00"/>
    <n v="4.0752659109516642E-2"/>
    <x v="1"/>
  </r>
  <r>
    <x v="15"/>
    <x v="5"/>
    <s v="CHF_SUSf9"/>
    <n v="23291460.614999998"/>
    <n v="2034703.4951974496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2435541555350538E-2"/>
    <x v="1"/>
  </r>
  <r>
    <x v="16"/>
    <x v="5"/>
    <s v="CHF_SUSf9"/>
    <n v="23702772.1215"/>
    <n v="2070634.9884483069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7659326450103041E-2"/>
    <x v="1"/>
  </r>
  <r>
    <x v="17"/>
    <x v="5"/>
    <s v="CHF_SUSf9"/>
    <n v="23556426.006499998"/>
    <n v="2057850.4337730494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03-31T00:00:00"/>
    <n v="-6.1742193803253631E-3"/>
    <x v="1"/>
  </r>
  <r>
    <x v="18"/>
    <x v="5"/>
    <s v="CHF_SUSf9"/>
    <n v="23679333.369999997"/>
    <n v="2068587.4178648887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5.2175726260887956E-3"/>
    <x v="1"/>
  </r>
  <r>
    <x v="19"/>
    <x v="5"/>
    <s v="CHF_SUSf9"/>
    <n v="23992307.519499999"/>
    <n v="2095928.3221739978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1.3217185830768141E-2"/>
    <x v="1"/>
  </r>
  <r>
    <x v="20"/>
    <x v="5"/>
    <s v="CHF_SUSf9"/>
    <n v="24187274.170000002"/>
    <n v="2112960.2864538087"/>
    <n v="21.05"/>
    <n v="0"/>
    <n v="-3.7252902984619141E-9"/>
    <n v="0"/>
    <n v="11.447103064390113"/>
    <n v="-3.7252902984619141E-9"/>
    <n v="0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7-06-30T00:00:00"/>
    <n v="8.1262150521181908E-3"/>
    <x v="1"/>
  </r>
  <r>
    <x v="21"/>
    <x v="5"/>
    <s v="CHF_SUSf9"/>
    <n v="24403627.09"/>
    <n v="2131860.519882564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8.9449070812759324E-3"/>
    <x v="1"/>
  </r>
  <r>
    <x v="22"/>
    <x v="5"/>
    <s v="CHF_SUSf9"/>
    <n v="24382200"/>
    <n v="2129988.684722221"/>
    <n v="21.05"/>
    <n v="0"/>
    <n v="-3.7252902984619141E-9"/>
    <n v="0"/>
    <n v="11.447103064390113"/>
    <n v="-3.7252902984619141E-9"/>
    <n v="0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7-08-31T00:00:00"/>
    <n v="-8.7802890615296114E-4"/>
    <x v="1"/>
  </r>
  <r>
    <x v="23"/>
    <x v="5"/>
    <s v="CHF_SUSf9"/>
    <n v="24484859.076039348"/>
    <n v="2138956.8118948243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4.2104107110658706E-3"/>
    <x v="1"/>
  </r>
  <r>
    <x v="24"/>
    <x v="5"/>
    <s v="CHF_SUSf9"/>
    <n v="24745400"/>
    <n v="2161717.236300467"/>
    <n v="21.05"/>
    <n v="0"/>
    <n v="-3.7252902984619141E-9"/>
    <n v="0"/>
    <n v="11.447103064390113"/>
    <n v="-3.7252902984619141E-9"/>
    <n v="0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7-10-31T00:00:00"/>
    <n v="1.0640899469812393E-2"/>
    <x v="1"/>
  </r>
  <r>
    <x v="25"/>
    <x v="5"/>
    <s v="CHF_SUSf9"/>
    <n v="24745809.349999998"/>
    <n v="2161752.9964397522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1.6542468499025631E-5"/>
    <x v="1"/>
  </r>
  <r>
    <x v="26"/>
    <x v="5"/>
    <s v="CHF_SUSf9"/>
    <n v="26709200"/>
    <n v="2333271.5578570734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7.9342349333989537E-2"/>
    <x v="1"/>
  </r>
  <r>
    <x v="27"/>
    <x v="5"/>
    <s v="CHF_SUSf9"/>
    <n v="27448400"/>
    <n v="2397846.8478533276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767585700807218E-2"/>
    <x v="1"/>
  </r>
  <r>
    <x v="28"/>
    <x v="5"/>
    <s v="CHF_SUSf9"/>
    <n v="27557653.829999998"/>
    <n v="2407391.081829858"/>
    <n v="21.05"/>
    <n v="0"/>
    <n v="0"/>
    <n v="0"/>
    <n v="11.447103064390113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3.9803351014995325E-3"/>
    <x v="1"/>
  </r>
  <r>
    <x v="29"/>
    <x v="5"/>
    <s v="CHF_SUSf9"/>
    <n v="27778505.8015"/>
    <n v="2426684.3449600758"/>
    <n v="21.05"/>
    <n v="0"/>
    <n v="0"/>
    <n v="0"/>
    <n v="11.447103064390113"/>
    <n v="0"/>
    <n v="0"/>
    <n v="0"/>
    <n v="0"/>
    <s v="Private Equity Fund"/>
    <n v="0.10687670862403684"/>
    <n v="1.0109127885"/>
    <n v="0"/>
    <n v="0"/>
    <m/>
    <m/>
    <m/>
    <m/>
    <m/>
    <m/>
    <m/>
    <m/>
    <m/>
    <m/>
    <m/>
    <d v="2018-03-29T00:00:00"/>
    <n v="8.0141790321632822E-3"/>
    <x v="1"/>
  </r>
  <r>
    <x v="30"/>
    <x v="5"/>
    <s v="CHF_SUSf9"/>
    <n v="27951739.311999999"/>
    <n v="2441817.7380574876"/>
    <n v="21.05"/>
    <n v="0"/>
    <n v="0"/>
    <n v="0"/>
    <n v="11.447103064390113"/>
    <n v="0"/>
    <n v="0"/>
    <n v="0"/>
    <n v="0"/>
    <s v="Private Equity Fund"/>
    <n v="3.8178299999999998E-2"/>
    <n v="1.0414834100000001"/>
    <n v="0"/>
    <n v="0"/>
    <m/>
    <m/>
    <m/>
    <m/>
    <m/>
    <m/>
    <m/>
    <m/>
    <m/>
    <m/>
    <m/>
    <d v="2018-04-30T00:00:00"/>
    <n v="6.2362429332194491E-3"/>
    <x v="1"/>
  </r>
  <r>
    <x v="31"/>
    <x v="5"/>
    <s v="CHF_SUSf9"/>
    <n v="28131200.101"/>
    <n v="2457495.1359100733"/>
    <n v="21.05"/>
    <n v="0"/>
    <n v="0"/>
    <n v="0"/>
    <n v="11.447103064390113"/>
    <n v="0"/>
    <n v="0"/>
    <n v="0"/>
    <n v="0"/>
    <s v="Private Equity Fund"/>
    <n v="3.6697500000000001E-2"/>
    <n v="1.07315296"/>
    <n v="0"/>
    <n v="0"/>
    <m/>
    <m/>
    <m/>
    <m/>
    <m/>
    <m/>
    <m/>
    <m/>
    <m/>
    <m/>
    <m/>
    <d v="2018-05-31T00:00:00"/>
    <n v="6.420380034202644E-3"/>
    <x v="1"/>
  </r>
  <r>
    <x v="32"/>
    <x v="5"/>
    <s v="CHF_SUSf9"/>
    <n v="28077608.8675"/>
    <n v="2452813.4943455178"/>
    <n v="21.05"/>
    <n v="0"/>
    <n v="0"/>
    <n v="0"/>
    <n v="11.447103064390113"/>
    <n v="0"/>
    <n v="0"/>
    <n v="-28077608.8675"/>
    <n v="-28077608.8675"/>
    <s v="Private Equity Fund"/>
    <n v="3.68654E-2"/>
    <n v="1.0636956799999999"/>
    <n v="0"/>
    <n v="0"/>
    <m/>
    <m/>
    <m/>
    <m/>
    <m/>
    <m/>
    <m/>
    <m/>
    <m/>
    <m/>
    <m/>
    <d v="2018-06-29T00:00:00"/>
    <n v="-1.9050461163260257E-3"/>
    <x v="1"/>
  </r>
  <r>
    <x v="33"/>
    <x v="5"/>
    <s v="CHF_SUSf9"/>
    <n v="28077608.8675"/>
    <n v="2452813.4943455178"/>
    <n v="21.05"/>
    <n v="0"/>
    <n v="0"/>
    <n v="0"/>
    <n v="11.447103064390113"/>
    <n v="0"/>
    <n v="0"/>
    <n v="0"/>
    <n v="0"/>
    <s v="Private Equity Fund"/>
    <n v="3.68654E-2"/>
    <n v="1.0636956799999999"/>
    <n v="0"/>
    <n v="0"/>
    <m/>
    <m/>
    <m/>
    <m/>
    <m/>
    <m/>
    <m/>
    <m/>
    <m/>
    <m/>
    <m/>
    <d v="2018-07-31T00:00:00"/>
    <n v="0"/>
    <x v="1"/>
  </r>
  <r>
    <x v="204"/>
    <x v="6"/>
    <s v="CHF2ex-GP"/>
    <n v="1130000"/>
    <n v="1185100.4951278451"/>
    <n v="36"/>
    <n v="1130000"/>
    <m/>
    <n v="0"/>
    <n v="0.95350563487706508"/>
    <n v="1130000"/>
    <n v="1185100.4951278451"/>
    <n v="1130000"/>
    <n v="1130000"/>
    <s v="Private Equity Fund"/>
    <n v="6.2507814634146352E-3"/>
    <n v="3.3800234746829277E-2"/>
    <n v="8.8669621929803727E-4"/>
    <n v="0"/>
    <m/>
    <m/>
    <m/>
    <m/>
    <m/>
    <m/>
    <m/>
    <m/>
    <m/>
    <m/>
    <m/>
    <d v="2016-08-15T00:00:00"/>
    <n v="0"/>
    <x v="1"/>
  </r>
  <r>
    <x v="205"/>
    <x v="6"/>
    <s v="CHF2ex-GP"/>
    <n v="2922000"/>
    <n v="3064481.1033305866"/>
    <n v="36"/>
    <n v="1792000"/>
    <m/>
    <n v="0"/>
    <n v="0.95350563487706508"/>
    <n v="1792000"/>
    <n v="0"/>
    <n v="1792000"/>
    <n v="1792000"/>
    <s v="Private Equity Fund"/>
    <n v="6.2507814634146352E-3"/>
    <n v="3.3800234746829277E-2"/>
    <n v="8.8669621929803727E-4"/>
    <n v="0"/>
    <m/>
    <m/>
    <m/>
    <m/>
    <m/>
    <m/>
    <m/>
    <m/>
    <m/>
    <m/>
    <m/>
    <d v="2016-08-23T00:00:00"/>
    <n v="0.63058035714285721"/>
    <x v="1"/>
  </r>
  <r>
    <x v="11"/>
    <x v="6"/>
    <s v="CHF2ex-GP"/>
    <n v="7176045.4299999997"/>
    <n v="7525960.1700468222"/>
    <n v="36"/>
    <n v="3984000"/>
    <m/>
    <n v="0"/>
    <n v="0.95350563487706508"/>
    <n v="3984000"/>
    <n v="0"/>
    <n v="3984000"/>
    <n v="3984000"/>
    <s v="Private Equity Fund"/>
    <n v="6.2507814634146352E-3"/>
    <n v="3.3800234746829277E-2"/>
    <n v="8.8669621929803727E-4"/>
    <n v="0"/>
    <m/>
    <m/>
    <m/>
    <m/>
    <m/>
    <m/>
    <m/>
    <m/>
    <m/>
    <m/>
    <m/>
    <d v="2016-09-30T00:00:00"/>
    <n v="0.80121622238955825"/>
    <x v="1"/>
  </r>
  <r>
    <x v="12"/>
    <x v="6"/>
    <s v="CHF2ex-GP"/>
    <n v="13092899.6152148"/>
    <n v="7718571.5075721666"/>
    <n v="36"/>
    <n v="8287250"/>
    <m/>
    <n v="0"/>
    <n v="1.6962853297880631"/>
    <n v="8287250"/>
    <n v="0"/>
    <n v="8287250"/>
    <n v="8287250"/>
    <s v="Private Equity Fund"/>
    <n v="1.177172585365854E-2"/>
    <n v="9.1483045068292704E-2"/>
    <n v="1.6698623796311729E-3"/>
    <n v="0"/>
    <m/>
    <m/>
    <m/>
    <m/>
    <m/>
    <m/>
    <m/>
    <m/>
    <m/>
    <m/>
    <m/>
    <d v="2016-10-31T00:00:00"/>
    <n v="-0.33032062546253971"/>
    <x v="1"/>
  </r>
  <r>
    <x v="13"/>
    <x v="6"/>
    <s v="CHF2ex-GP"/>
    <n v="17627782.269499999"/>
    <n v="6564539.3912431067"/>
    <n v="74.537999999999997"/>
    <n v="4500202"/>
    <n v="-2831250"/>
    <n v="0"/>
    <n v="2.685303753834567"/>
    <n v="1668952"/>
    <n v="0"/>
    <n v="1668952"/>
    <n v="1668952"/>
    <s v="Private Equity Fund"/>
    <n v="1.177172585365854E-2"/>
    <n v="9.7502027369268315E-2"/>
    <n v="1.6698623796311729E-3"/>
    <n v="0"/>
    <m/>
    <m/>
    <m/>
    <m/>
    <m/>
    <m/>
    <m/>
    <m/>
    <m/>
    <m/>
    <m/>
    <d v="2016-11-30T00:00:00"/>
    <n v="0.21889197492622636"/>
    <x v="1"/>
  </r>
  <r>
    <x v="14"/>
    <x v="6"/>
    <s v="CHF2ex-GP"/>
    <n v="17475538.215"/>
    <n v="6507844.1089002443"/>
    <n v="74.537999999999997"/>
    <n v="0"/>
    <m/>
    <n v="0"/>
    <n v="2.685303753834567"/>
    <n v="0"/>
    <n v="0"/>
    <n v="0"/>
    <n v="0"/>
    <s v="Private Equity Fund"/>
    <n v="1.177172585365854E-2"/>
    <n v="8.3555695214634171E-2"/>
    <n v="1.6698623796311729E-3"/>
    <n v="0"/>
    <m/>
    <m/>
    <m/>
    <m/>
    <m/>
    <m/>
    <m/>
    <m/>
    <m/>
    <m/>
    <m/>
    <d v="2016-12-30T00:00:00"/>
    <n v="-8.6365971721477086E-3"/>
    <x v="1"/>
  </r>
  <r>
    <x v="15"/>
    <x v="6"/>
    <s v="CHF2ex-GP"/>
    <n v="17783883.1611"/>
    <n v="6622670.9494987018"/>
    <n v="74.537999999999997"/>
    <n v="0"/>
    <m/>
    <n v="0"/>
    <n v="2.685303753834567"/>
    <n v="0"/>
    <n v="0"/>
    <n v="0"/>
    <n v="0"/>
    <s v="Private Equity Fund"/>
    <n v="1.4016796422764231E-2"/>
    <n v="0.11263620865395124"/>
    <n v="1.9883338535316292E-3"/>
    <n v="0"/>
    <m/>
    <m/>
    <m/>
    <m/>
    <m/>
    <m/>
    <m/>
    <m/>
    <m/>
    <m/>
    <m/>
    <d v="2017-01-27T00:00:00"/>
    <n v="1.7644374800161122E-2"/>
    <x v="1"/>
  </r>
  <r>
    <x v="16"/>
    <x v="6"/>
    <s v="CHF2ex-GP"/>
    <n v="18786676.1822"/>
    <n v="6089892.1368390908"/>
    <n v="74.537999999999997"/>
    <n v="3596080.1712053102"/>
    <n v="-2911008.1712053102"/>
    <n v="0"/>
    <n v="3.0848947337761996"/>
    <n v="685072"/>
    <n v="0"/>
    <n v="685072"/>
    <n v="685072"/>
    <s v="Private Equity Fund"/>
    <n v="1.4016796422764231E-2"/>
    <n v="2.8875149557268227E-2"/>
    <n v="1.9883338535316292E-3"/>
    <n v="0"/>
    <m/>
    <m/>
    <m/>
    <m/>
    <m/>
    <m/>
    <m/>
    <m/>
    <m/>
    <m/>
    <m/>
    <d v="2017-02-28T00:00:00"/>
    <n v="1.7865671868277477E-2"/>
    <x v="1"/>
  </r>
  <r>
    <x v="17"/>
    <x v="6"/>
    <s v="CHF2ex-GP"/>
    <n v="18556552.472599998"/>
    <n v="6015295.1961135613"/>
    <n v="74.537999999999997"/>
    <n v="0"/>
    <m/>
    <n v="0"/>
    <n v="3.0848947337761996"/>
    <n v="0"/>
    <n v="0"/>
    <n v="0"/>
    <n v="0"/>
    <s v="Private Equity Fund"/>
    <n v="1.4016796422764231E-2"/>
    <n v="2.8875149557268227E-2"/>
    <n v="1.9883338535316292E-3"/>
    <n v="0"/>
    <m/>
    <m/>
    <m/>
    <m/>
    <m/>
    <m/>
    <m/>
    <m/>
    <m/>
    <m/>
    <m/>
    <d v="2017-03-31T00:00:00"/>
    <n v="-1.224930410085201E-2"/>
    <x v="1"/>
  </r>
  <r>
    <x v="18"/>
    <x v="6"/>
    <s v="CHF2ex-GP"/>
    <n v="23066715.839000002"/>
    <n v="6515580.0667074686"/>
    <n v="74.537999999999997"/>
    <n v="4372208.1712053102"/>
    <m/>
    <n v="0"/>
    <n v="3.5402397948977016"/>
    <n v="4372208.1712053102"/>
    <n v="0"/>
    <n v="4372208.1712053102"/>
    <n v="4372208.1712053102"/>
    <s v="Private Equity Fund"/>
    <n v="2.0007636158163703E-2"/>
    <n v="0.13077119251707323"/>
    <n v="2.8381563877043939E-3"/>
    <n v="0"/>
    <m/>
    <m/>
    <m/>
    <m/>
    <m/>
    <m/>
    <m/>
    <m/>
    <m/>
    <m/>
    <m/>
    <d v="2017-04-28T00:00:00"/>
    <n v="7.4343117019388671E-3"/>
    <x v="1"/>
  </r>
  <r>
    <x v="19"/>
    <x v="6"/>
    <s v="CHF2ex-GP"/>
    <n v="28176673.344900001"/>
    <n v="6418787.9340426233"/>
    <n v="74.537999999999997"/>
    <n v="5523124"/>
    <m/>
    <n v="0"/>
    <n v="4.3897186874584939"/>
    <n v="5523124"/>
    <n v="0"/>
    <n v="5523124"/>
    <n v="5523124"/>
    <s v="Private Equity Fund"/>
    <n v="2.0007636158163703E-2"/>
    <n v="8.7459174612390264E-2"/>
    <n v="2.8381563877043939E-3"/>
    <n v="0"/>
    <m/>
    <m/>
    <m/>
    <m/>
    <m/>
    <m/>
    <m/>
    <m/>
    <m/>
    <m/>
    <m/>
    <d v="2017-05-31T00:00:00"/>
    <n v="-1.7911804046306434E-2"/>
    <x v="1"/>
  </r>
  <r>
    <x v="20"/>
    <x v="6"/>
    <s v="CHF2ex-GP"/>
    <n v="28432320.887799997"/>
    <n v="6477025.7303803209"/>
    <n v="74.537999999999997"/>
    <n v="0"/>
    <m/>
    <n v="0"/>
    <n v="4.3897186874584939"/>
    <n v="0"/>
    <n v="0"/>
    <n v="0"/>
    <n v="0"/>
    <s v="Private Equity Fund"/>
    <n v="2.0007636158163703E-2"/>
    <n v="0.12185542764878053"/>
    <n v="2.8381563877043939E-3"/>
    <n v="0"/>
    <m/>
    <m/>
    <m/>
    <m/>
    <m/>
    <m/>
    <m/>
    <m/>
    <m/>
    <m/>
    <m/>
    <d v="2017-06-30T00:00:00"/>
    <n v="9.0730207846296818E-3"/>
    <x v="1"/>
  </r>
  <r>
    <x v="21"/>
    <x v="6"/>
    <s v="CHF2ex-GP"/>
    <n v="31797702.376799993"/>
    <n v="7243676.5635225344"/>
    <n v="74.537999999999997"/>
    <n v="3544857"/>
    <m/>
    <n v="0"/>
    <n v="4.3897186874584939"/>
    <n v="3544857"/>
    <n v="0"/>
    <n v="3544857"/>
    <n v="3544857"/>
    <s v="Private Equity Fund"/>
    <n v="0.11147010290415597"/>
    <n v="0.12185542764878053"/>
    <n v="1.5812441914404181E-2"/>
    <n v="0"/>
    <m/>
    <m/>
    <m/>
    <m/>
    <m/>
    <m/>
    <m/>
    <m/>
    <m/>
    <m/>
    <m/>
    <d v="2017-07-31T00:00:00"/>
    <n v="-6.3123763870087668E-3"/>
    <x v="1"/>
  </r>
  <r>
    <x v="22"/>
    <x v="6"/>
    <s v="CHF2ex-GP"/>
    <n v="34691848.988899998"/>
    <n v="7195974.0955891544"/>
    <n v="74.537999999999997"/>
    <n v="3055143"/>
    <m/>
    <n v="0"/>
    <n v="4.8210080425615649"/>
    <n v="3055143"/>
    <n v="0"/>
    <n v="3055143"/>
    <n v="3055143"/>
    <s v="Private Equity Fund"/>
    <n v="0.11147010290415597"/>
    <n v="0.10516782319170735"/>
    <n v="1.5812441914404181E-2"/>
    <n v="0"/>
    <m/>
    <m/>
    <m/>
    <m/>
    <m/>
    <m/>
    <m/>
    <m/>
    <m/>
    <m/>
    <m/>
    <d v="2017-08-31T00:00:00"/>
    <n v="-5.0631453176145369E-3"/>
    <x v="1"/>
  </r>
  <r>
    <x v="23"/>
    <x v="6"/>
    <s v="CHF2ex-GP"/>
    <n v="34829882.954700008"/>
    <n v="7224605.8598553408"/>
    <n v="74.537999999999997"/>
    <n v="0"/>
    <m/>
    <n v="0"/>
    <n v="4.8210080425615649"/>
    <n v="0"/>
    <n v="0"/>
    <n v="0"/>
    <n v="0"/>
    <s v="Private Equity Fund"/>
    <n v="1.2414322926829273E-2"/>
    <n v="0.11315106728780489"/>
    <n v="1.7610171254253432E-3"/>
    <n v="0"/>
    <m/>
    <m/>
    <m/>
    <m/>
    <m/>
    <m/>
    <m/>
    <m/>
    <m/>
    <m/>
    <m/>
    <d v="2017-09-29T00:00:00"/>
    <n v="3.9788587182012503E-3"/>
    <x v="1"/>
  </r>
  <r>
    <x v="24"/>
    <x v="6"/>
    <s v="CHF2ex-GP"/>
    <n v="34983527.107299998"/>
    <n v="7256475.5749115208"/>
    <n v="74.537999999999997"/>
    <n v="0"/>
    <m/>
    <n v="0"/>
    <n v="4.8210080425615649"/>
    <n v="0"/>
    <n v="0"/>
    <n v="0"/>
    <n v="0"/>
    <s v="Private Equity Fund"/>
    <n v="0.17466519999999999"/>
    <n v="0"/>
    <n v="2.4776897639024395E-2"/>
    <n v="0"/>
    <m/>
    <m/>
    <m/>
    <m/>
    <m/>
    <m/>
    <m/>
    <m/>
    <m/>
    <m/>
    <m/>
    <d v="2017-10-31T00:00:00"/>
    <n v="4.4112738707684507E-3"/>
    <x v="1"/>
  </r>
  <r>
    <x v="25"/>
    <x v="6"/>
    <s v="CHF2ex-GP"/>
    <n v="34825600.103399977"/>
    <n v="7223717.4872863218"/>
    <n v="74.537999999999997"/>
    <n v="0"/>
    <m/>
    <n v="0"/>
    <n v="4.8210080425615649"/>
    <n v="0"/>
    <n v="0"/>
    <n v="0"/>
    <n v="0"/>
    <s v="Private Equity Fund"/>
    <n v="0.17466519999999999"/>
    <n v="0"/>
    <n v="2.4776897639024395E-2"/>
    <n v="0"/>
    <m/>
    <m/>
    <m/>
    <m/>
    <m/>
    <m/>
    <m/>
    <m/>
    <m/>
    <m/>
    <m/>
    <d v="2017-11-30T00:00:00"/>
    <n v="-4.5143247968003619E-3"/>
    <x v="1"/>
  </r>
  <r>
    <x v="26"/>
    <x v="6"/>
    <s v="CHF2ex-GP"/>
    <n v="47110071.531199999"/>
    <n v="8627806.5359952487"/>
    <n v="93.427999999999997"/>
    <n v="6540000"/>
    <m/>
    <n v="0"/>
    <n v="5.4602605348945374"/>
    <n v="6540000"/>
    <n v="0"/>
    <n v="6540000"/>
    <n v="6540000"/>
    <s v="Private Equity Fund"/>
    <n v="0.115"/>
    <n v="0.95243478000000004"/>
    <n v="1.6313170731707325E-2"/>
    <n v="0"/>
    <m/>
    <m/>
    <m/>
    <m/>
    <m/>
    <m/>
    <m/>
    <m/>
    <m/>
    <m/>
    <m/>
    <d v="2017-12-29T00:00:00"/>
    <n v="0.16494967526027482"/>
    <x v="1"/>
  </r>
  <r>
    <x v="27"/>
    <x v="6"/>
    <s v="CHF2ex-GP"/>
    <n v="49630993.448900014"/>
    <n v="9089491.8166864756"/>
    <n v="93.427999999999997"/>
    <n v="0"/>
    <m/>
    <n v="0"/>
    <n v="5.4602605348945374"/>
    <n v="0"/>
    <n v="0"/>
    <n v="0"/>
    <n v="0"/>
    <s v="Private Equity Fund"/>
    <n v="0.52316344999999997"/>
    <n v="1.3346648700000001"/>
    <n v="7.4212649395121968E-2"/>
    <n v="0"/>
    <m/>
    <m/>
    <m/>
    <m/>
    <m/>
    <m/>
    <m/>
    <m/>
    <m/>
    <m/>
    <m/>
    <d v="2018-01-31T00:00:00"/>
    <n v="5.3511315855898411E-2"/>
    <x v="1"/>
  </r>
  <r>
    <x v="28"/>
    <x v="6"/>
    <s v="CHF2ex-GP"/>
    <n v="49788653.473799989"/>
    <n v="9118365.9013372771"/>
    <n v="93.427999999999997"/>
    <n v="0"/>
    <m/>
    <n v="0"/>
    <n v="5.4602605348945374"/>
    <n v="0"/>
    <n v="0"/>
    <n v="0"/>
    <n v="0"/>
    <s v="Private Equity Fund"/>
    <n v="0.10928947999999999"/>
    <n v="1.3412580000000001"/>
    <n v="0"/>
    <n v="0"/>
    <m/>
    <m/>
    <m/>
    <m/>
    <m/>
    <m/>
    <m/>
    <m/>
    <m/>
    <m/>
    <m/>
    <d v="2018-02-28T00:00:00"/>
    <n v="3.1766445509961994E-3"/>
    <x v="1"/>
  </r>
  <r>
    <x v="29"/>
    <x v="6"/>
    <s v="CHF2ex-GP"/>
    <n v="50077024.678499967"/>
    <n v="9171178.6202280875"/>
    <n v="93.427999999999997"/>
    <n v="0"/>
    <m/>
    <n v="0"/>
    <n v="5.4602605348945374"/>
    <n v="0"/>
    <n v="0"/>
    <n v="0"/>
    <n v="0"/>
    <s v="Private Equity Fund"/>
    <n v="0"/>
    <n v="1.3709299815"/>
    <n v="0"/>
    <n v="0"/>
    <m/>
    <m/>
    <m/>
    <m/>
    <m/>
    <m/>
    <m/>
    <m/>
    <m/>
    <m/>
    <m/>
    <d v="2018-03-29T00:00:00"/>
    <n v="5.7919060785953658E-3"/>
    <x v="1"/>
  </r>
  <r>
    <x v="30"/>
    <x v="6"/>
    <s v="CHF2ex-GP"/>
    <n v="49708036.950000003"/>
    <n v="9103601.6747431792"/>
    <n v="93.427999999999997"/>
    <n v="0"/>
    <m/>
    <n v="0"/>
    <n v="5.4602605348945374"/>
    <n v="0"/>
    <n v="0"/>
    <n v="0"/>
    <n v="0"/>
    <s v="Private Equity Fund"/>
    <n v="0"/>
    <n v="1.3262478900000001"/>
    <n v="0"/>
    <n v="0"/>
    <m/>
    <m/>
    <m/>
    <m/>
    <m/>
    <m/>
    <m/>
    <m/>
    <m/>
    <m/>
    <m/>
    <d v="2018-04-30T00:00:00"/>
    <n v="-7.3684035916451451E-3"/>
    <x v="1"/>
  </r>
  <r>
    <x v="31"/>
    <x v="6"/>
    <s v="CHF2ex-GP"/>
    <n v="50285766"/>
    <n v="9209407.8073091879"/>
    <n v="93.427999999999997"/>
    <n v="0"/>
    <m/>
    <n v="0"/>
    <n v="5.4602605348945374"/>
    <n v="0"/>
    <n v="0"/>
    <n v="0"/>
    <n v="0"/>
    <s v="Private Equity Fund"/>
    <n v="0"/>
    <n v="1.4089706099999999"/>
    <n v="0"/>
    <n v="0"/>
    <m/>
    <m/>
    <m/>
    <m/>
    <m/>
    <m/>
    <m/>
    <m/>
    <m/>
    <m/>
    <m/>
    <d v="2018-05-31T00:00:00"/>
    <n v="1.1622447504437083E-2"/>
    <x v="1"/>
  </r>
  <r>
    <x v="32"/>
    <x v="6"/>
    <s v="CHF2ex-GP"/>
    <n v="49981018.590000004"/>
    <n v="9153595.9265294224"/>
    <n v="93.427999999999997"/>
    <n v="0"/>
    <m/>
    <n v="0"/>
    <n v="5.4602605348945374"/>
    <n v="0"/>
    <n v="0"/>
    <n v="-49981018.590000004"/>
    <n v="-49981018.590000004"/>
    <s v="Private Equity Fund"/>
    <s v="                                       -  "/>
    <n v="1.3541179800000001"/>
    <n v="0"/>
    <n v="0"/>
    <m/>
    <m/>
    <m/>
    <m/>
    <m/>
    <m/>
    <m/>
    <m/>
    <m/>
    <m/>
    <m/>
    <d v="2018-06-29T00:00:00"/>
    <n v="-6.0603115800204055E-3"/>
    <x v="1"/>
  </r>
  <r>
    <x v="33"/>
    <x v="6"/>
    <s v="CHF2ex-GP"/>
    <n v="49981018.590000004"/>
    <n v="9153595.9265294224"/>
    <n v="93.427999999999997"/>
    <n v="0"/>
    <m/>
    <n v="0"/>
    <n v="5.4602605348945374"/>
    <n v="0"/>
    <n v="0"/>
    <n v="0"/>
    <n v="0"/>
    <s v="Private Equity Fund"/>
    <s v="                                       -  "/>
    <n v="1.3541179800000001"/>
    <n v="0"/>
    <n v="0"/>
    <m/>
    <m/>
    <m/>
    <m/>
    <m/>
    <m/>
    <m/>
    <m/>
    <m/>
    <m/>
    <m/>
    <d v="2018-07-31T00:00:00"/>
    <n v="0"/>
    <x v="1"/>
  </r>
  <r>
    <x v="204"/>
    <x v="6"/>
    <s v="CHF2GP"/>
    <n v="900000"/>
    <n v="943885.35010182345"/>
    <n v="36"/>
    <n v="900000"/>
    <m/>
    <n v="0"/>
    <n v="0.95350563487706508"/>
    <n v="900000"/>
    <n v="943885.35010182345"/>
    <n v="900000"/>
    <n v="1E-13"/>
    <s v="Private Equity Fund"/>
    <m/>
    <m/>
    <m/>
    <m/>
    <m/>
    <m/>
    <m/>
    <m/>
    <m/>
    <m/>
    <m/>
    <m/>
    <m/>
    <n v="2030000"/>
    <n v="2030000"/>
    <d v="2016-08-15T00:00:00"/>
    <n v="0"/>
    <x v="1"/>
  </r>
  <r>
    <x v="205"/>
    <x v="6"/>
    <s v="CHF2GP"/>
    <n v="3140000"/>
    <n v="3293111.1103552505"/>
    <n v="36"/>
    <n v="2240000"/>
    <m/>
    <n v="0"/>
    <n v="0.95350563487706508"/>
    <n v="2240000"/>
    <n v="0"/>
    <n v="2240000"/>
    <n v="1E-13"/>
    <s v="Private Equity Fund"/>
    <m/>
    <m/>
    <m/>
    <m/>
    <m/>
    <m/>
    <m/>
    <m/>
    <m/>
    <m/>
    <m/>
    <m/>
    <m/>
    <n v="6062000"/>
    <n v="4032000"/>
    <d v="2016-08-23T00:00:00"/>
    <n v="0.40178571428571419"/>
    <x v="1"/>
  </r>
  <r>
    <x v="11"/>
    <x v="6"/>
    <s v="CHF2GP"/>
    <n v="8582644.8706999999"/>
    <n v="9001147.509533653"/>
    <n v="36"/>
    <n v="4980000"/>
    <m/>
    <n v="0"/>
    <n v="0.95350563487706508"/>
    <n v="4980000"/>
    <n v="0"/>
    <n v="4980000"/>
    <n v="1E-13"/>
    <s v="Private Equity Fund"/>
    <m/>
    <m/>
    <m/>
    <m/>
    <m/>
    <m/>
    <m/>
    <m/>
    <m/>
    <m/>
    <m/>
    <m/>
    <m/>
    <n v="15758690.3007"/>
    <n v="8964000"/>
    <d v="2016-09-30T00:00:00"/>
    <n v="0.72342266479919681"/>
    <x v="1"/>
  </r>
  <r>
    <x v="12"/>
    <x v="6"/>
    <s v="CHF2GP"/>
    <n v="16182830.9877852"/>
    <n v="9540158.5473872554"/>
    <n v="36"/>
    <n v="3988750"/>
    <n v="-2831250"/>
    <n v="0"/>
    <n v="1.6962853297880631"/>
    <n v="1157500"/>
    <n v="0"/>
    <n v="1157500"/>
    <m/>
    <s v="Private Equity Fund"/>
    <m/>
    <m/>
    <m/>
    <m/>
    <m/>
    <m/>
    <m/>
    <m/>
    <m/>
    <m/>
    <m/>
    <m/>
    <m/>
    <n v="29275730.603"/>
    <n v="12276000"/>
    <d v="2016-10-31T00:00:00"/>
    <n v="0.75066441803734274"/>
    <x v="1"/>
  </r>
  <r>
    <x v="13"/>
    <x v="6"/>
    <s v="CHF2GP"/>
    <n v="28838794.056400005"/>
    <n v="10739490.463683562"/>
    <n v="74.537999999999997"/>
    <n v="12569000"/>
    <m/>
    <n v="0"/>
    <n v="2.685303753834567"/>
    <n v="12569000"/>
    <n v="0"/>
    <n v="12569000"/>
    <m/>
    <s v="Private Equity Fund"/>
    <m/>
    <m/>
    <m/>
    <m/>
    <m/>
    <m/>
    <m/>
    <m/>
    <m/>
    <m/>
    <m/>
    <m/>
    <m/>
    <n v="46466576.325900003"/>
    <n v="17069202"/>
    <d v="2016-11-30T00:00:00"/>
    <n v="5.3737858771709668E-3"/>
    <x v="1"/>
  </r>
  <r>
    <x v="14"/>
    <x v="6"/>
    <s v="CHF2GP"/>
    <n v="28491670.442378301"/>
    <n v="10610222.549941583"/>
    <n v="74.537999999999997"/>
    <n v="0"/>
    <m/>
    <n v="0"/>
    <n v="2.685303753834567"/>
    <n v="0"/>
    <n v="0"/>
    <n v="0"/>
    <m/>
    <s v="Private Equity Fund"/>
    <m/>
    <m/>
    <m/>
    <m/>
    <m/>
    <m/>
    <m/>
    <m/>
    <m/>
    <m/>
    <m/>
    <m/>
    <m/>
    <n v="45967208.657378301"/>
    <n v="0"/>
    <d v="2016-12-30T00:00:00"/>
    <n v="-1.203668965293192E-2"/>
    <x v="1"/>
  </r>
  <r>
    <x v="15"/>
    <x v="6"/>
    <s v="CHF2GP"/>
    <n v="29301198.929242499"/>
    <n v="10911688.81263466"/>
    <n v="74.537999999999997"/>
    <n v="0"/>
    <m/>
    <n v="0"/>
    <n v="2.685303753834567"/>
    <n v="0"/>
    <n v="0"/>
    <n v="0"/>
    <m/>
    <s v="Private Equity Fund"/>
    <m/>
    <m/>
    <m/>
    <m/>
    <m/>
    <m/>
    <m/>
    <m/>
    <m/>
    <m/>
    <m/>
    <m/>
    <m/>
    <n v="47085082.090342499"/>
    <n v="0"/>
    <d v="2017-01-27T00:00:00"/>
    <n v="2.8412812386742647E-2"/>
    <x v="1"/>
  </r>
  <r>
    <x v="16"/>
    <x v="6"/>
    <s v="CHF2GP"/>
    <n v="36458715.627800003"/>
    <n v="11818463.440135323"/>
    <n v="74.537999999999997"/>
    <n v="3410491.8287946898"/>
    <m/>
    <n v="0"/>
    <n v="3.0848947337761996"/>
    <n v="3410491.8287946898"/>
    <n v="0"/>
    <n v="3410491.8287946898"/>
    <m/>
    <s v="Private Equity Fund"/>
    <m/>
    <m/>
    <m/>
    <m/>
    <m/>
    <m/>
    <m/>
    <m/>
    <m/>
    <m/>
    <m/>
    <m/>
    <m/>
    <n v="55245391.810000002"/>
    <n v="7006572"/>
    <d v="2017-02-28T00:00:00"/>
    <n v="0.1278795751263031"/>
    <x v="1"/>
  </r>
  <r>
    <x v="17"/>
    <x v="6"/>
    <s v="CHF2GP"/>
    <n v="35981698.968594879"/>
    <n v="11663833.639000678"/>
    <n v="74.537999999999997"/>
    <n v="0"/>
    <m/>
    <n v="0"/>
    <n v="3.0848947337761996"/>
    <n v="0"/>
    <n v="0"/>
    <n v="0"/>
    <m/>
    <s v="Private Equity Fund"/>
    <m/>
    <m/>
    <m/>
    <m/>
    <m/>
    <m/>
    <m/>
    <m/>
    <m/>
    <m/>
    <m/>
    <m/>
    <m/>
    <n v="54538251.441194877"/>
    <n v="0"/>
    <d v="2017-03-31T00:00:00"/>
    <n v="-1.3083748316174759E-2"/>
    <x v="1"/>
  </r>
  <r>
    <x v="18"/>
    <x v="6"/>
    <s v="CHF2GP"/>
    <n v="39905367.020999998"/>
    <n v="11271939.002129966"/>
    <n v="74.537999999999997"/>
    <n v="3677895.8287946889"/>
    <n v="-2911008.1712053102"/>
    <n v="0"/>
    <n v="3.5402397948977016"/>
    <n v="766887.65758937877"/>
    <n v="0"/>
    <n v="766887.65758937877"/>
    <m/>
    <s v="Private Equity Fund"/>
    <m/>
    <m/>
    <m/>
    <m/>
    <m/>
    <m/>
    <m/>
    <m/>
    <m/>
    <m/>
    <m/>
    <m/>
    <m/>
    <n v="62972082.859999999"/>
    <n v="8050103.9999999991"/>
    <d v="2017-04-28T00:00:00"/>
    <n v="8.7732944394065537E-2"/>
    <x v="1"/>
  </r>
  <r>
    <x v="19"/>
    <x v="6"/>
    <s v="CHF2GP"/>
    <n v="48659828.262702897"/>
    <n v="11084953.667241801"/>
    <n v="74.537999999999997"/>
    <n v="9586998"/>
    <m/>
    <n v="0"/>
    <n v="4.3897186874584939"/>
    <n v="9586998"/>
    <n v="0"/>
    <n v="9586998"/>
    <m/>
    <s v="Private Equity Fund"/>
    <m/>
    <m/>
    <m/>
    <m/>
    <m/>
    <m/>
    <m/>
    <m/>
    <m/>
    <m/>
    <m/>
    <m/>
    <m/>
    <n v="76836501.607602894"/>
    <n v="15110122"/>
    <d v="2017-05-31T00:00:00"/>
    <n v="-2.086277662498337E-2"/>
    <x v="1"/>
  </r>
  <r>
    <x v="20"/>
    <x v="6"/>
    <s v="CHF2GP"/>
    <n v="49372770.8569628"/>
    <n v="11247365.576755909"/>
    <n v="74.537999999999997"/>
    <n v="0"/>
    <m/>
    <n v="0"/>
    <n v="4.3897186874584939"/>
    <n v="0"/>
    <n v="0"/>
    <n v="0"/>
    <m/>
    <s v="Private Equity Fund"/>
    <m/>
    <m/>
    <m/>
    <m/>
    <m/>
    <m/>
    <m/>
    <m/>
    <m/>
    <m/>
    <m/>
    <m/>
    <m/>
    <n v="77805091.744762793"/>
    <n v="0"/>
    <d v="2017-06-30T00:00:00"/>
    <n v="1.4651564128235206E-2"/>
    <x v="1"/>
  </r>
  <r>
    <x v="21"/>
    <x v="6"/>
    <s v="CHF2GP"/>
    <n v="45556077.933200009"/>
    <n v="10377903.728399396"/>
    <n v="74.537999999999997"/>
    <n v="-3544857"/>
    <m/>
    <n v="0"/>
    <n v="4.3897186874584939"/>
    <n v="-3544857"/>
    <n v="0"/>
    <n v="-3544857"/>
    <m/>
    <s v="Private Equity Fund"/>
    <m/>
    <m/>
    <m/>
    <m/>
    <m/>
    <m/>
    <m/>
    <m/>
    <m/>
    <m/>
    <m/>
    <m/>
    <m/>
    <n v="77353780.310000002"/>
    <n v="0"/>
    <d v="2017-07-31T00:00:00"/>
    <n v="-5.5057862672994728E-3"/>
    <x v="1"/>
  </r>
  <r>
    <x v="22"/>
    <x v="6"/>
    <s v="CHF2GP"/>
    <n v="50026931.011100002"/>
    <n v="10376861.139712805"/>
    <n v="74.537999999999997"/>
    <n v="4544857"/>
    <m/>
    <n v="0"/>
    <n v="4.8210080425615649"/>
    <n v="4544857"/>
    <n v="0"/>
    <n v="4544857"/>
    <m/>
    <s v="Private Equity Fund"/>
    <m/>
    <m/>
    <m/>
    <m/>
    <m/>
    <m/>
    <m/>
    <m/>
    <m/>
    <m/>
    <m/>
    <m/>
    <m/>
    <n v="84718780"/>
    <n v="7600000"/>
    <d v="2017-08-31T00:00:00"/>
    <n v="-1.6244577114061798E-3"/>
    <x v="1"/>
  </r>
  <r>
    <x v="23"/>
    <x v="6"/>
    <s v="CHF2GP"/>
    <n v="50306209.725299999"/>
    <n v="10434790.666428883"/>
    <n v="74.537999999999997"/>
    <n v="0"/>
    <m/>
    <n v="0"/>
    <n v="4.8210080425615649"/>
    <n v="0"/>
    <n v="0"/>
    <n v="0"/>
    <m/>
    <s v="Private Equity Fund"/>
    <m/>
    <m/>
    <m/>
    <m/>
    <m/>
    <m/>
    <m/>
    <m/>
    <m/>
    <m/>
    <m/>
    <m/>
    <m/>
    <n v="85136092.680000007"/>
    <n v="0"/>
    <d v="2017-09-29T00:00:00"/>
    <n v="5.5825674003073811E-3"/>
    <x v="1"/>
  </r>
  <r>
    <x v="24"/>
    <x v="6"/>
    <s v="CHF2GP"/>
    <n v="49879426.042699993"/>
    <n v="10346264.848004146"/>
    <n v="74.537999999999997"/>
    <n v="0"/>
    <m/>
    <n v="0"/>
    <n v="4.8210080425615649"/>
    <n v="0"/>
    <n v="0"/>
    <n v="0"/>
    <m/>
    <s v="Private Equity Fund"/>
    <m/>
    <m/>
    <m/>
    <m/>
    <m/>
    <m/>
    <m/>
    <m/>
    <m/>
    <m/>
    <m/>
    <m/>
    <m/>
    <n v="84862953.149999991"/>
    <n v="0"/>
    <d v="2017-10-31T00:00:00"/>
    <n v="-8.4837177145820064E-3"/>
    <x v="1"/>
  </r>
  <r>
    <x v="25"/>
    <x v="6"/>
    <s v="CHF2GP"/>
    <n v="50319442.666600019"/>
    <n v="10437535.515884265"/>
    <n v="74.537999999999997"/>
    <n v="0"/>
    <m/>
    <n v="0"/>
    <n v="4.8210080425615649"/>
    <n v="0"/>
    <n v="0"/>
    <n v="0"/>
    <m/>
    <s v="Private Equity Fund"/>
    <m/>
    <m/>
    <m/>
    <m/>
    <m/>
    <m/>
    <m/>
    <m/>
    <m/>
    <m/>
    <m/>
    <m/>
    <m/>
    <n v="85145042.769999996"/>
    <n v="0"/>
    <d v="2017-11-30T00:00:00"/>
    <n v="8.8216055959293715E-3"/>
    <x v="1"/>
  </r>
  <r>
    <x v="26"/>
    <x v="6"/>
    <s v="CHF2GP"/>
    <n v="64585077.358800001"/>
    <n v="11828204.34044498"/>
    <n v="93.427999999999997"/>
    <n v="4750000"/>
    <m/>
    <n v="0"/>
    <n v="5.4602605348945374"/>
    <n v="4750000"/>
    <n v="0"/>
    <n v="4750000"/>
    <m/>
    <s v="Private Equity Fund"/>
    <m/>
    <m/>
    <m/>
    <m/>
    <m/>
    <m/>
    <m/>
    <m/>
    <m/>
    <m/>
    <m/>
    <m/>
    <m/>
    <n v="111695148.89"/>
    <n v="11290000"/>
    <d v="2017-12-29T00:00:00"/>
    <n v="0.18910453272003491"/>
    <x v="1"/>
  </r>
  <r>
    <x v="27"/>
    <x v="6"/>
    <s v="CHF2GP"/>
    <n v="68662508.53109999"/>
    <n v="12574950.973914687"/>
    <n v="93.427999999999997"/>
    <n v="0"/>
    <m/>
    <n v="0"/>
    <n v="5.4602605348945374"/>
    <n v="0"/>
    <n v="0"/>
    <n v="0"/>
    <m/>
    <s v="Private Equity Fund"/>
    <m/>
    <m/>
    <m/>
    <m/>
    <m/>
    <m/>
    <m/>
    <m/>
    <m/>
    <m/>
    <m/>
    <m/>
    <m/>
    <n v="118293501.98"/>
    <n v="0"/>
    <d v="2018-01-31T00:00:00"/>
    <n v="6.3132713299203225E-2"/>
    <x v="1"/>
  </r>
  <r>
    <x v="28"/>
    <x v="6"/>
    <s v="CHF2GP"/>
    <n v="68993487.516200006"/>
    <n v="12635566.943241579"/>
    <n v="93.427999999999997"/>
    <n v="0"/>
    <m/>
    <n v="0"/>
    <n v="5.4602605348945374"/>
    <n v="0"/>
    <n v="0"/>
    <n v="0"/>
    <m/>
    <s v="Private Equity Fund"/>
    <m/>
    <m/>
    <m/>
    <m/>
    <m/>
    <m/>
    <m/>
    <m/>
    <m/>
    <m/>
    <m/>
    <m/>
    <m/>
    <n v="118782140.98999999"/>
    <n v="0"/>
    <d v="2018-02-28T00:00:00"/>
    <n v="4.8203742068366751E-3"/>
    <x v="1"/>
  </r>
  <r>
    <x v="29"/>
    <x v="6"/>
    <s v="CHF2GP"/>
    <n v="69653698.079999998"/>
    <n v="12756478.859363683"/>
    <n v="93.427999999999997"/>
    <n v="0"/>
    <m/>
    <n v="0"/>
    <n v="5.4602605348945374"/>
    <n v="0"/>
    <n v="0"/>
    <n v="0"/>
    <m/>
    <s v="Private Equity Fund"/>
    <m/>
    <m/>
    <m/>
    <m/>
    <m/>
    <m/>
    <m/>
    <m/>
    <m/>
    <m/>
    <m/>
    <m/>
    <m/>
    <n v="119730722.75999998"/>
    <n v="0"/>
    <d v="2018-03-29T00:00:00"/>
    <n v="9.5691722156381331E-3"/>
    <x v="1"/>
  </r>
  <r>
    <x v="30"/>
    <x v="6"/>
    <s v="CHF2GP"/>
    <n v="69174186.519999996"/>
    <n v="12668660.419760734"/>
    <n v="93.427999999999997"/>
    <n v="0"/>
    <m/>
    <n v="0"/>
    <n v="5.4602605348945374"/>
    <n v="0"/>
    <n v="0"/>
    <n v="0"/>
    <m/>
    <s v="Private Equity Fund"/>
    <m/>
    <m/>
    <m/>
    <m/>
    <m/>
    <m/>
    <m/>
    <m/>
    <m/>
    <m/>
    <m/>
    <m/>
    <m/>
    <n v="118882223.47"/>
    <n v="0"/>
    <d v="2018-04-30T00:00:00"/>
    <n v="-6.8842225641668753E-3"/>
    <x v="1"/>
  </r>
  <r>
    <x v="31"/>
    <x v="6"/>
    <s v="CHF2GP"/>
    <n v="70195358.209999993"/>
    <n v="12855679.277830612"/>
    <n v="93.427999999999997"/>
    <n v="0"/>
    <m/>
    <n v="0"/>
    <n v="5.4602605348945374"/>
    <n v="0"/>
    <n v="0"/>
    <n v="0"/>
    <m/>
    <s v="Private Equity Fund"/>
    <m/>
    <m/>
    <m/>
    <m/>
    <m/>
    <m/>
    <m/>
    <m/>
    <m/>
    <m/>
    <m/>
    <m/>
    <m/>
    <n v="118882223.47"/>
    <n v="0"/>
    <d v="2018-05-31T00:00:00"/>
    <n v="1.4762323077044837E-2"/>
    <x v="1"/>
  </r>
  <r>
    <x v="32"/>
    <x v="6"/>
    <s v="CHF2GP"/>
    <n v="69705310.379999995"/>
    <n v="12765931.210523514"/>
    <n v="93.427999999999997"/>
    <n v="0"/>
    <m/>
    <n v="0"/>
    <n v="5.4602605348945374"/>
    <n v="0"/>
    <n v="0"/>
    <n v="-69705310.379999995"/>
    <m/>
    <s v="Private Equity Fund"/>
    <m/>
    <m/>
    <m/>
    <m/>
    <m/>
    <m/>
    <m/>
    <m/>
    <m/>
    <m/>
    <m/>
    <m/>
    <m/>
    <n v="118882223.47"/>
    <n v="0"/>
    <d v="2018-06-29T00:00:00"/>
    <n v="-6.9811999325360974E-3"/>
    <x v="1"/>
  </r>
  <r>
    <x v="33"/>
    <x v="6"/>
    <s v="CHF2GP"/>
    <n v="69705310.379999995"/>
    <n v="12765931.210523514"/>
    <n v="93.427999999999997"/>
    <n v="0"/>
    <m/>
    <n v="0"/>
    <n v="5.4602605348945374"/>
    <n v="0"/>
    <n v="0"/>
    <n v="0"/>
    <m/>
    <s v="Private Equity Fund"/>
    <m/>
    <m/>
    <m/>
    <m/>
    <m/>
    <m/>
    <m/>
    <m/>
    <m/>
    <m/>
    <m/>
    <m/>
    <m/>
    <n v="118882223.47"/>
    <n v="0"/>
    <d v="2018-07-31T00:00:00"/>
    <n v="0"/>
    <x v="1"/>
  </r>
  <r>
    <x v="31"/>
    <x v="7"/>
    <s v="CHF3ex-GP"/>
    <m/>
    <n v="0"/>
    <m/>
    <m/>
    <m/>
    <n v="0"/>
    <n v="1"/>
    <n v="0"/>
    <n v="0"/>
    <n v="0"/>
    <m/>
    <s v="Private Equity Fund"/>
    <m/>
    <m/>
    <m/>
    <m/>
    <m/>
    <m/>
    <m/>
    <m/>
    <m/>
    <m/>
    <m/>
    <m/>
    <m/>
    <m/>
    <m/>
    <d v="2018-05-31T00:00:00"/>
    <e v="#DIV/0!"/>
    <x v="1"/>
  </r>
  <r>
    <x v="32"/>
    <x v="7"/>
    <s v="CHF3ex-GP"/>
    <n v="22303881.170000002"/>
    <n v="22303881.170000002"/>
    <n v="22.26114518"/>
    <n v="22261145.18"/>
    <m/>
    <n v="0"/>
    <n v="1"/>
    <n v="22261145.18"/>
    <n v="0"/>
    <n v="-42735.990000002086"/>
    <m/>
    <s v="Private Equity Fund"/>
    <n v="1.5512989999999999E-2"/>
    <n v="0"/>
    <m/>
    <m/>
    <m/>
    <m/>
    <m/>
    <m/>
    <m/>
    <m/>
    <m/>
    <m/>
    <m/>
    <m/>
    <m/>
    <d v="2018-06-29T00:00:00"/>
    <e v="#DIV/0!"/>
    <x v="1"/>
  </r>
  <r>
    <x v="33"/>
    <x v="7"/>
    <s v="CHF3ex-GP"/>
    <n v="22303881.170000002"/>
    <n v="22303881.170000002"/>
    <n v="22.26114518"/>
    <n v="22261145.18"/>
    <m/>
    <n v="0"/>
    <n v="1"/>
    <n v="22261145.18"/>
    <n v="0"/>
    <n v="22261145.18"/>
    <m/>
    <s v="Private Equity Fund"/>
    <n v="1.5512989999999999E-2"/>
    <n v="0"/>
    <m/>
    <m/>
    <m/>
    <m/>
    <m/>
    <m/>
    <m/>
    <m/>
    <m/>
    <m/>
    <m/>
    <m/>
    <m/>
    <d v="2018-07-31T00:00:00"/>
    <n v="-0.99808392137340274"/>
    <x v="1"/>
  </r>
  <r>
    <x v="31"/>
    <x v="7"/>
    <s v="CHF3GP"/>
    <m/>
    <n v="0"/>
    <m/>
    <m/>
    <m/>
    <n v="0"/>
    <n v="1"/>
    <n v="0"/>
    <n v="0"/>
    <n v="0"/>
    <m/>
    <s v="Private Equity Fund"/>
    <m/>
    <m/>
    <m/>
    <m/>
    <m/>
    <m/>
    <m/>
    <m/>
    <m/>
    <m/>
    <m/>
    <m/>
    <m/>
    <m/>
    <m/>
    <d v="2018-05-31T00:00:00"/>
    <e v="#DIV/0!"/>
    <x v="1"/>
  </r>
  <r>
    <x v="32"/>
    <x v="7"/>
    <s v="CHF3GP"/>
    <n v="4084.3389999999999"/>
    <n v="4084.3389999999999"/>
    <n v="1E-3"/>
    <n v="1000"/>
    <m/>
    <n v="0"/>
    <n v="1"/>
    <n v="1000"/>
    <n v="0"/>
    <n v="-3084.3389999999999"/>
    <m/>
    <s v="Private Equity Fund"/>
    <m/>
    <m/>
    <m/>
    <m/>
    <m/>
    <m/>
    <m/>
    <m/>
    <m/>
    <m/>
    <m/>
    <m/>
    <m/>
    <m/>
    <m/>
    <d v="2018-06-29T00:00:00"/>
    <e v="#DIV/0!"/>
    <x v="1"/>
  </r>
  <r>
    <x v="33"/>
    <x v="7"/>
    <s v="CHF3GP"/>
    <n v="4084.3389999999999"/>
    <n v="4084.3389999999999"/>
    <n v="1E-3"/>
    <n v="1000"/>
    <m/>
    <n v="0"/>
    <n v="1"/>
    <n v="1000"/>
    <n v="0"/>
    <n v="1000"/>
    <m/>
    <s v="Private Equity Fund"/>
    <m/>
    <m/>
    <m/>
    <m/>
    <m/>
    <m/>
    <m/>
    <m/>
    <m/>
    <m/>
    <m/>
    <m/>
    <m/>
    <m/>
    <m/>
    <d v="2018-07-31T00:00:00"/>
    <n v="-0.24483765916590172"/>
    <x v="1"/>
  </r>
  <r>
    <x v="34"/>
    <x v="8"/>
    <s v="COL"/>
    <n v="10000000"/>
    <n v="10000000"/>
    <m/>
    <n v="10000000"/>
    <m/>
    <m/>
    <n v="1"/>
    <n v="10000000"/>
    <n v="10000000"/>
    <n v="10000000"/>
    <m/>
    <s v="Private Equity Fund"/>
    <n v="0"/>
    <n v="0"/>
    <n v="0"/>
    <n v="0"/>
    <m/>
    <m/>
    <m/>
    <m/>
    <m/>
    <m/>
    <m/>
    <m/>
    <m/>
    <m/>
    <m/>
    <d v="2013-09-25T00:00:00"/>
    <n v="0"/>
    <x v="2"/>
  </r>
  <r>
    <x v="35"/>
    <x v="8"/>
    <s v="COL"/>
    <n v="10000000"/>
    <n v="10000000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09-30T00:00:00"/>
    <n v="0"/>
    <x v="2"/>
  </r>
  <r>
    <x v="36"/>
    <x v="8"/>
    <s v="COL"/>
    <n v="10000000"/>
    <n v="10000000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0-31T00:00:00"/>
    <n v="0"/>
    <x v="2"/>
  </r>
  <r>
    <x v="37"/>
    <x v="8"/>
    <s v="COL"/>
    <n v="10164368.672502527"/>
    <n v="10164368.672502527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1.6436867250252618E-2"/>
    <x v="2"/>
  </r>
  <r>
    <x v="38"/>
    <x v="8"/>
    <s v="COL"/>
    <n v="10257937.023066772"/>
    <n v="10257937.023066772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2-31T00:00:00"/>
    <n v="9.2055250629952123E-3"/>
    <x v="2"/>
  </r>
  <r>
    <x v="39"/>
    <x v="8"/>
    <s v="COL"/>
    <n v="10346527.986370357"/>
    <n v="10346527.986370357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8.6363333196892711E-3"/>
    <x v="2"/>
  </r>
  <r>
    <x v="40"/>
    <x v="8"/>
    <s v="COL"/>
    <n v="10432846.72352398"/>
    <n v="10432846.72352398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8.3427732730565474E-3"/>
    <x v="2"/>
  </r>
  <r>
    <x v="41"/>
    <x v="8"/>
    <s v="COL"/>
    <n v="10525942.206504317"/>
    <n v="10525942.206504317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3-31T00:00:00"/>
    <n v="8.9233059247793012E-3"/>
    <x v="2"/>
  </r>
  <r>
    <x v="42"/>
    <x v="8"/>
    <s v="COL"/>
    <n v="10616825.116279578"/>
    <n v="10616825.116279578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8.6341828590985603E-3"/>
    <x v="2"/>
  </r>
  <r>
    <x v="43"/>
    <x v="8"/>
    <s v="COL"/>
    <n v="10708493.105861999"/>
    <n v="10708493.105861999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5-30T00:00:00"/>
    <n v="8.6342186650376629E-3"/>
    <x v="2"/>
  </r>
  <r>
    <x v="44"/>
    <x v="8"/>
    <s v="COL"/>
    <n v="10804043.874846555"/>
    <n v="10804043.874846555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8.9228958771285782E-3"/>
    <x v="2"/>
  </r>
  <r>
    <x v="45"/>
    <x v="8"/>
    <s v="COL"/>
    <n v="10900453.286927642"/>
    <n v="10900453.286927642"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7-31T00:00:00"/>
    <n v="8.9234561797313372E-3"/>
    <x v="2"/>
  </r>
  <r>
    <x v="46"/>
    <x v="8"/>
    <s v="COL"/>
    <n v="0"/>
    <n v="0"/>
    <m/>
    <m/>
    <m/>
    <n v="-10913284.529999999"/>
    <n v="1"/>
    <n v="-10913284.529999999"/>
    <n v="-10913284.529999999"/>
    <n v="-10913284.529999999"/>
    <m/>
    <s v="Private Equity Fund"/>
    <n v="0"/>
    <n v="0"/>
    <n v="0"/>
    <n v="0"/>
    <m/>
    <m/>
    <m/>
    <m/>
    <m/>
    <m/>
    <m/>
    <m/>
    <m/>
    <m/>
    <m/>
    <d v="2014-08-29T00:00:00"/>
    <n v="1.177129311470404E-3"/>
    <x v="2"/>
  </r>
  <r>
    <x v="206"/>
    <x v="9"/>
    <s v="Conrex"/>
    <n v="10377013.1771596"/>
    <n v="10374027.213771095"/>
    <m/>
    <n v="10380000"/>
    <n v="0"/>
    <n v="0"/>
    <n v="1.0002878306878298"/>
    <n v="10380000"/>
    <n v="0"/>
    <n v="10380000"/>
    <m/>
    <s v="Private Equity Fund"/>
    <n v="0"/>
    <n v="0"/>
    <n v="0"/>
    <n v="0"/>
    <m/>
    <m/>
    <m/>
    <m/>
    <m/>
    <m/>
    <m/>
    <m/>
    <m/>
    <m/>
    <m/>
    <d v="2016-05-02T00:00:00"/>
    <n v="-2.8774786516383433E-4"/>
    <x v="2"/>
  </r>
  <r>
    <x v="7"/>
    <x v="9"/>
    <s v="Conrex"/>
    <n v="10486724.781968523"/>
    <n v="10483707.249299951"/>
    <m/>
    <m/>
    <n v="0"/>
    <n v="0"/>
    <n v="1.0002878306878298"/>
    <n v="0"/>
    <n v="0"/>
    <n v="0"/>
    <m/>
    <s v="Private Equity Fund"/>
    <n v="2.0833333333333332E-2"/>
    <n v="0"/>
    <n v="0"/>
    <n v="0"/>
    <m/>
    <m/>
    <m/>
    <m/>
    <m/>
    <m/>
    <m/>
    <m/>
    <m/>
    <m/>
    <m/>
    <d v="2016-05-31T00:00:00"/>
    <n v="1.0572560999575931E-2"/>
    <x v="2"/>
  </r>
  <r>
    <x v="8"/>
    <x v="9"/>
    <s v="Conrex"/>
    <n v="12941662.31513188"/>
    <n v="12937938.379429029"/>
    <m/>
    <m/>
    <n v="0"/>
    <n v="0"/>
    <n v="1.0002878306878298"/>
    <n v="0"/>
    <n v="0"/>
    <n v="0"/>
    <m/>
    <s v="Private Equity Fund"/>
    <n v="2.0833333333333332E-2"/>
    <n v="0"/>
    <n v="0"/>
    <n v="0"/>
    <m/>
    <m/>
    <m/>
    <m/>
    <m/>
    <m/>
    <m/>
    <m/>
    <m/>
    <m/>
    <m/>
    <d v="2016-06-30T00:00:00"/>
    <n v="0.23409954816250345"/>
    <x v="2"/>
  </r>
  <r>
    <x v="9"/>
    <x v="9"/>
    <s v="Conrex"/>
    <n v="12939780.3823858"/>
    <n v="12936056.988205079"/>
    <m/>
    <m/>
    <n v="0"/>
    <n v="0"/>
    <n v="1.0002878306878298"/>
    <n v="0"/>
    <n v="0"/>
    <n v="0"/>
    <m/>
    <s v="Private Equity Fund"/>
    <n v="2.0833333333333332E-2"/>
    <n v="0"/>
    <n v="0"/>
    <n v="0"/>
    <m/>
    <m/>
    <m/>
    <m/>
    <m/>
    <m/>
    <m/>
    <m/>
    <m/>
    <m/>
    <m/>
    <d v="2016-07-29T00:00:00"/>
    <n v="-1.454166165253401E-4"/>
    <x v="2"/>
  </r>
  <r>
    <x v="154"/>
    <x v="10"/>
    <s v="COPT_S1ex-GP"/>
    <n v="5439919.8303298615"/>
    <n v="5531500.9606722854"/>
    <n v="20"/>
    <n v="5440000"/>
    <n v="0"/>
    <n v="0"/>
    <n v="0.98344371066848857"/>
    <n v="5440000"/>
    <n v="5531500.9606722854"/>
    <n v="5440000"/>
    <n v="5440000"/>
    <s v="Private Equity Fund"/>
    <n v="0"/>
    <n v="0"/>
    <n v="3.0904820000000003E-3"/>
    <n v="0"/>
    <s v="ARF"/>
    <n v="4.0799398727473957"/>
    <s v="HRF"/>
    <n v="1.3599799575824654"/>
    <m/>
    <m/>
    <m/>
    <m/>
    <n v="5531582.4799999995"/>
    <m/>
    <m/>
    <d v="2011-03-31T00:00:00"/>
    <n v="-1.4737071716619532E-5"/>
    <x v="1"/>
  </r>
  <r>
    <x v="155"/>
    <x v="10"/>
    <s v="COPT_S1ex-GP"/>
    <n v="6963222.8666041326"/>
    <n v="5617962.1755314358"/>
    <n v="20"/>
    <n v="1440000"/>
    <n v="0"/>
    <n v="0"/>
    <n v="1.2394570573885078"/>
    <n v="1440000"/>
    <n v="0"/>
    <n v="1440000"/>
    <n v="1440000"/>
    <s v="Private Equity Fund"/>
    <n v="0"/>
    <n v="0"/>
    <n v="6.479285231481482E-3"/>
    <n v="6.3397155578703715E-3"/>
    <s v="ARF"/>
    <n v="5.2224171499530989"/>
    <s v="HRF"/>
    <n v="1.7408057166510333"/>
    <m/>
    <m/>
    <m/>
    <m/>
    <n v="7188135.0517103001"/>
    <m/>
    <m/>
    <d v="2011-04-29T00:00:00"/>
    <n v="1.5313283811614564E-2"/>
    <x v="1"/>
  </r>
  <r>
    <x v="156"/>
    <x v="10"/>
    <s v="COPT_S1ex-GP"/>
    <n v="9241618.556954734"/>
    <n v="5684692.6349293655"/>
    <n v="20"/>
    <n v="2240000"/>
    <n v="0"/>
    <n v="0"/>
    <n v="1.6257024170788021"/>
    <n v="2240000"/>
    <n v="0"/>
    <n v="2240000"/>
    <n v="2240000"/>
    <s v="Private Equity Fund"/>
    <n v="0"/>
    <n v="0"/>
    <n v="8.3648381944444444E-3"/>
    <n v="7.7633204236111121E-3"/>
    <s v="ARF"/>
    <n v="6.9312139177160494"/>
    <s v="HRF"/>
    <n v="2.3104046392386843"/>
    <m/>
    <m/>
    <m/>
    <m/>
    <n v="9639421.1347576603"/>
    <m/>
    <m/>
    <d v="2011-05-31T00:00:00"/>
    <n v="5.5140688566424068E-3"/>
    <x v="1"/>
  </r>
  <r>
    <x v="157"/>
    <x v="10"/>
    <s v="COPT_S1ex-GP"/>
    <n v="9117203.4608489964"/>
    <n v="5608162.5794907464"/>
    <n v="20"/>
    <n v="0"/>
    <n v="0"/>
    <n v="0"/>
    <n v="1.6257024170788021"/>
    <n v="0"/>
    <n v="0"/>
    <n v="0"/>
    <n v="0"/>
    <s v="Private Equity Fund"/>
    <n v="0"/>
    <n v="0"/>
    <n v="8.0008648055555562E-3"/>
    <n v="2.7102760416666669E-4"/>
    <s v="ARF"/>
    <n v="6.8379025956367459"/>
    <s v="HRF"/>
    <n v="2.2793008652122499"/>
    <m/>
    <m/>
    <m/>
    <m/>
    <n v="9270828.3391643018"/>
    <m/>
    <m/>
    <d v="2011-06-30T00:00:00"/>
    <n v="-1.3462479038599762E-2"/>
    <x v="1"/>
  </r>
  <r>
    <x v="158"/>
    <x v="10"/>
    <s v="COPT_S1ex-GP"/>
    <n v="11074140.605355401"/>
    <n v="5726804.1646914193"/>
    <n v="20"/>
    <n v="1756624"/>
    <n v="0"/>
    <n v="0"/>
    <n v="1.9337383096898888"/>
    <n v="1756624"/>
    <n v="0"/>
    <n v="1756624"/>
    <n v="1756624"/>
    <s v="Private Equity Fund"/>
    <n v="0"/>
    <n v="0"/>
    <n v="9.151950226713489E-3"/>
    <n v="1.3893436705231903E-2"/>
    <s v="ARF"/>
    <n v="8.3056054540165487"/>
    <s v="HRF"/>
    <n v="2.7685351513388516"/>
    <m/>
    <m/>
    <m/>
    <m/>
    <n v="11502139.400025601"/>
    <m/>
    <m/>
    <d v="2011-07-29T00:00:00"/>
    <n v="2.1970897695393843E-2"/>
    <x v="1"/>
  </r>
  <r>
    <x v="159"/>
    <x v="10"/>
    <s v="COPT_S1ex-GP"/>
    <n v="11412371.688635422"/>
    <n v="5618404.3421111973"/>
    <n v="20"/>
    <n v="580000"/>
    <n v="0"/>
    <n v="0"/>
    <n v="2.0312478407965662"/>
    <n v="580000"/>
    <n v="0"/>
    <n v="580000"/>
    <n v="580000"/>
    <s v="Private Equity Fund"/>
    <n v="0"/>
    <n v="0"/>
    <n v="1.0648906212962965E-2"/>
    <n v="3.4242899305555563E-4"/>
    <s v="ARF"/>
    <n v="8.5592787664765666"/>
    <s v="HRF"/>
    <n v="2.8530929221588566"/>
    <m/>
    <m/>
    <m/>
    <m/>
    <n v="11604670.037188899"/>
    <m/>
    <m/>
    <d v="2011-08-31T00:00:00"/>
    <n v="-2.1831844595061489E-2"/>
    <x v="1"/>
  </r>
  <r>
    <x v="160"/>
    <x v="10"/>
    <s v="COPT_S1ex-GP"/>
    <n v="12201220.449999999"/>
    <n v="5547816.2166290497"/>
    <n v="20"/>
    <n v="960000"/>
    <n v="0"/>
    <n v="0"/>
    <n v="2.1992834610180498"/>
    <n v="960000"/>
    <n v="0"/>
    <n v="960000"/>
    <n v="960000"/>
    <s v="Private Equity Fund"/>
    <n v="0"/>
    <n v="0"/>
    <n v="1.0229916028370039E-2"/>
    <n v="3.2261447041383509E-4"/>
    <s v="ARF"/>
    <n v="9.1509153399999992"/>
    <s v="HRF"/>
    <n v="3.05030511"/>
    <m/>
    <m/>
    <m/>
    <m/>
    <n v="12406810.905508745"/>
    <m/>
    <m/>
    <d v="2011-09-30T00:00:00"/>
    <n v="-1.4996991274465521E-2"/>
    <x v="1"/>
  </r>
  <r>
    <x v="161"/>
    <x v="10"/>
    <s v="COPT_S1ex-GP"/>
    <n v="12066360.928115284"/>
    <n v="5486496.4621385168"/>
    <n v="20"/>
    <n v="0"/>
    <n v="0"/>
    <n v="0"/>
    <n v="2.1992834610180498"/>
    <n v="0"/>
    <n v="0"/>
    <n v="0"/>
    <n v="0"/>
    <s v="Private Equity Fund"/>
    <n v="0"/>
    <n v="0"/>
    <n v="1.0448280539001325E-2"/>
    <n v="3.2951684054385942E-4"/>
    <s v="ARF"/>
    <n v="9.0497706960864601"/>
    <s v="HRF"/>
    <n v="3.0165902320288227"/>
    <m/>
    <m/>
    <m/>
    <m/>
    <n v="12269678.995354027"/>
    <m/>
    <m/>
    <d v="2011-10-31T00:00:00"/>
    <n v="-1.1052953467840632E-2"/>
    <x v="1"/>
  </r>
  <r>
    <x v="162"/>
    <x v="10"/>
    <s v="COPT_S1ex-GP"/>
    <n v="13278731.665019356"/>
    <n v="5599629.342714793"/>
    <n v="20"/>
    <n v="960000"/>
    <n v="0"/>
    <n v="0"/>
    <n v="2.3713590404506322"/>
    <n v="960000"/>
    <n v="0"/>
    <n v="960000"/>
    <n v="960000"/>
    <s v="Private Equity Fund"/>
    <n v="0"/>
    <n v="0"/>
    <n v="1.105366821451479E-2"/>
    <n v="3.4082557197318404E-4"/>
    <s v="ARF"/>
    <n v="9.9590487487645163"/>
    <s v="HRF"/>
    <n v="3.3196829162548402"/>
    <m/>
    <m/>
    <m/>
    <m/>
    <n v="13502478.179174934"/>
    <m/>
    <m/>
    <d v="2011-11-30T00:00:00"/>
    <n v="2.0915231891997621E-2"/>
    <x v="1"/>
  </r>
  <r>
    <x v="163"/>
    <x v="10"/>
    <s v="COPT_S1ex-GP"/>
    <n v="18738539.340648819"/>
    <n v="5704961.8956675557"/>
    <n v="20"/>
    <n v="5200000"/>
    <n v="0"/>
    <n v="0"/>
    <n v="3.2846037683230067"/>
    <n v="5200000"/>
    <n v="0"/>
    <n v="5200000"/>
    <n v="5200000"/>
    <s v="Private Equity Fund"/>
    <n v="0"/>
    <n v="0"/>
    <n v="1.4977314171483845E-2"/>
    <n v="7.1214351973376173E-3"/>
    <s v="ARF"/>
    <n v="14.05390450548661"/>
    <s v="HRF"/>
    <n v="4.684634835162206"/>
    <m/>
    <m/>
    <m/>
    <m/>
    <n v="19175236.734507501"/>
    <m/>
    <m/>
    <d v="2011-12-30T00:00:00"/>
    <n v="1.9565699660448965E-2"/>
    <x v="1"/>
  </r>
  <r>
    <x v="164"/>
    <x v="10"/>
    <s v="COPT_S1ex-GP"/>
    <n v="18688107.043579143"/>
    <n v="5689607.7462398382"/>
    <n v="20"/>
    <n v="0"/>
    <n v="0"/>
    <n v="0"/>
    <n v="3.2846037683230067"/>
    <n v="0"/>
    <n v="0"/>
    <n v="0"/>
    <n v="0"/>
    <s v="Private Equity Fund"/>
    <n v="0"/>
    <n v="0"/>
    <n v="1.5916557592592594E-2"/>
    <n v="1.5806055000000001E-3"/>
    <s v="ARF"/>
    <n v="14.016080282684351"/>
    <s v="HRF"/>
    <n v="4.6720267608947887"/>
    <m/>
    <m/>
    <m/>
    <m/>
    <n v="19034613.638802707"/>
    <m/>
    <m/>
    <d v="2012-01-31T00:00:00"/>
    <n v="-2.6913675688838845E-3"/>
    <x v="1"/>
  </r>
  <r>
    <x v="165"/>
    <x v="10"/>
    <s v="COPT_S1ex-GP"/>
    <n v="19871660.301793132"/>
    <n v="5629013.3591202339"/>
    <n v="20"/>
    <n v="1423376"/>
    <n v="0"/>
    <n v="-506667"/>
    <n v="3.5302208458249069"/>
    <n v="916709"/>
    <n v="-143522.7488952202"/>
    <n v="916709"/>
    <n v="916709"/>
    <s v="Private Equity Fund"/>
    <n v="0"/>
    <n v="0"/>
    <n v="1.5626680064814817E-2"/>
    <n v="2.1790995784722229E-2"/>
    <s v="ARF"/>
    <n v="14.903745476344849"/>
    <s v="HRF"/>
    <n v="4.9679148254482861"/>
    <m/>
    <m/>
    <m/>
    <m/>
    <n v="20601684.5281251"/>
    <m/>
    <m/>
    <d v="2012-02-29T00:00:00"/>
    <n v="1.4278827576903907E-2"/>
    <x v="1"/>
  </r>
  <r>
    <x v="166"/>
    <x v="10"/>
    <s v="COPT_S1ex-GP"/>
    <n v="20386278.47693345"/>
    <n v="5774788.4246515986"/>
    <n v="20"/>
    <n v="0"/>
    <n v="0"/>
    <n v="0"/>
    <n v="3.5302208458249069"/>
    <n v="0"/>
    <n v="0"/>
    <n v="0"/>
    <n v="0"/>
    <s v="Private Equity Fund"/>
    <n v="0"/>
    <n v="0"/>
    <n v="1.6565295537037037E-2"/>
    <n v="6.3902603203703709E-2"/>
    <s v="ARF"/>
    <n v="15.2897091077001"/>
    <s v="HRF"/>
    <n v="5.0965693692333502"/>
    <m/>
    <m/>
    <m/>
    <m/>
    <n v="21868931.966455102"/>
    <m/>
    <m/>
    <d v="2012-03-30T00:00:00"/>
    <n v="2.589708999272089E-2"/>
    <x v="1"/>
  </r>
  <r>
    <x v="167"/>
    <x v="10"/>
    <s v="COPT_S1ex-GP"/>
    <n v="20996803.877107341"/>
    <n v="5947730.9760775082"/>
    <n v="20"/>
    <n v="0"/>
    <n v="0"/>
    <n v="0"/>
    <n v="3.5302208458249069"/>
    <n v="0"/>
    <n v="0"/>
    <n v="0"/>
    <n v="0"/>
    <s v="Private Equity Fund"/>
    <n v="0"/>
    <n v="0"/>
    <n v="1.7606188407407408E-2"/>
    <n v="0.11674443673148151"/>
    <s v="ARF"/>
    <n v="15.7476031578305"/>
    <s v="HRF"/>
    <n v="5.24920071927684"/>
    <m/>
    <m/>
    <m/>
    <m/>
    <n v="23372322.8723443"/>
    <m/>
    <m/>
    <d v="2012-04-30T00:00:00"/>
    <n v="2.9947859334144011E-2"/>
    <x v="1"/>
  </r>
  <r>
    <x v="168"/>
    <x v="10"/>
    <s v="COPT_S1ex-GP"/>
    <n v="21105407.251500808"/>
    <n v="5978494.8798491117"/>
    <n v="20"/>
    <n v="0"/>
    <n v="0"/>
    <n v="0"/>
    <n v="3.5302208458249069"/>
    <n v="0"/>
    <n v="0"/>
    <n v="0"/>
    <n v="0"/>
    <s v="Private Equity Fund"/>
    <n v="0"/>
    <n v="0"/>
    <n v="1.7684097453703702E-2"/>
    <n v="0.12172395858796296"/>
    <s v="ARF"/>
    <n v="15.8290556886256"/>
    <s v="HRF"/>
    <n v="5.2763515628752096"/>
    <m/>
    <m/>
    <m/>
    <m/>
    <n v="23622888.827054203"/>
    <m/>
    <m/>
    <d v="2012-05-31T00:00:00"/>
    <n v="5.1723764735391864E-3"/>
    <x v="1"/>
  </r>
  <r>
    <x v="169"/>
    <x v="10"/>
    <s v="COPT_S1ex-GP"/>
    <n v="15856006.646431472"/>
    <n v="4491505.5853188122"/>
    <n v="20"/>
    <n v="0"/>
    <n v="0"/>
    <n v="-5084657.16"/>
    <n v="3.5302208458249069"/>
    <n v="-5084657.16"/>
    <n v="-1440322.6829317156"/>
    <n v="-5084657.16"/>
    <n v="-5084657.16"/>
    <s v="Private Equity Fund"/>
    <n v="0"/>
    <n v="0"/>
    <n v="1.2481193490740741E-2"/>
    <n v="0.10674695115046298"/>
    <s v="ARF"/>
    <n v="11.8920052348236"/>
    <s v="HRF"/>
    <n v="3.9640014116078701"/>
    <m/>
    <m/>
    <m/>
    <m/>
    <n v="18022183.5460159"/>
    <m/>
    <m/>
    <d v="2012-06-29T00:00:00"/>
    <n v="-7.8057458501598065E-3"/>
    <x v="1"/>
  </r>
  <r>
    <x v="170"/>
    <x v="10"/>
    <s v="COPT_S1ex-GP"/>
    <n v="16124571.248880671"/>
    <n v="4567581.4497415219"/>
    <n v="20"/>
    <n v="0"/>
    <n v="0"/>
    <n v="0"/>
    <n v="3.5302208458249069"/>
    <n v="0"/>
    <n v="0"/>
    <n v="0"/>
    <n v="0"/>
    <s v="Private Equity Fund"/>
    <n v="0"/>
    <n v="0"/>
    <n v="7.4035567143032775E-3"/>
    <n v="0.1290542929212963"/>
    <s v="ARF"/>
    <n v="12.0934286866605"/>
    <s v="HRF"/>
    <n v="4.03114256222017"/>
    <m/>
    <m/>
    <m/>
    <m/>
    <n v="18683810.87204"/>
    <m/>
    <m/>
    <d v="2012-07-31T00:00:00"/>
    <n v="1.6937720097994546E-2"/>
    <x v="1"/>
  </r>
  <r>
    <x v="171"/>
    <x v="10"/>
    <s v="COPT_S1ex-GP"/>
    <n v="16163682.000000002"/>
    <n v="4578660.2895159759"/>
    <n v="20"/>
    <n v="0"/>
    <n v="0"/>
    <n v="0"/>
    <n v="3.5302208458249069"/>
    <n v="0"/>
    <n v="0"/>
    <n v="0"/>
    <n v="0"/>
    <s v="Private Equity Fund"/>
    <n v="0"/>
    <n v="0"/>
    <n v="7.1829621689814827E-3"/>
    <n v="0.13123646349074075"/>
    <s v="ARF"/>
    <n v="12.122762"/>
    <s v="HRF"/>
    <n v="4.0409199999999998"/>
    <m/>
    <m/>
    <m/>
    <m/>
    <n v="18763194.810000002"/>
    <m/>
    <m/>
    <d v="2012-08-31T00:00:00"/>
    <n v="2.4255374307733391E-3"/>
    <x v="1"/>
  </r>
  <r>
    <x v="172"/>
    <x v="10"/>
    <s v="COPT_S1ex-GP"/>
    <n v="15927797.57"/>
    <n v="4511841.6851561451"/>
    <n v="20"/>
    <n v="0"/>
    <n v="0"/>
    <n v="0"/>
    <n v="3.5302208458249069"/>
    <n v="0"/>
    <n v="0"/>
    <n v="0"/>
    <n v="0"/>
    <s v="Private Equity Fund"/>
    <n v="0.104944617408108"/>
    <n v="1.957410407"/>
    <n v="7.3099015324074069E-3"/>
    <n v="0.12434016400231483"/>
    <s v="ARF"/>
    <n v="11.94584843"/>
    <s v="HRF"/>
    <n v="3.9819491400000002"/>
    <m/>
    <m/>
    <m/>
    <m/>
    <n v="18153591.710000001"/>
    <m/>
    <m/>
    <d v="2012-09-28T00:00:00"/>
    <n v="-1.4593483712436406E-2"/>
    <x v="1"/>
  </r>
  <r>
    <x v="173"/>
    <x v="10"/>
    <s v="COPT_S1ex-GP"/>
    <n v="13944781.049999999"/>
    <n v="3950115.7743408885"/>
    <n v="20"/>
    <n v="0"/>
    <n v="0"/>
    <n v="-2196798.5"/>
    <n v="3.5302208458249069"/>
    <n v="-2196798.5"/>
    <n v="-622283.58959414449"/>
    <n v="-2196798.5"/>
    <n v="-2196798.5"/>
    <s v="Private Equity Fund"/>
    <n v="0.10863791968284101"/>
    <n v="2.2564713019999982"/>
    <n v="7.56858989451651E-3"/>
    <n v="0.1435737533812903"/>
    <s v="ARF"/>
    <n v="10.458586029999999"/>
    <s v="HRF"/>
    <n v="3.4861950199999998"/>
    <m/>
    <m/>
    <m/>
    <m/>
    <n v="16436222.251999997"/>
    <m/>
    <m/>
    <d v="2012-10-31T00:00:00"/>
    <n v="1.3421942303100121E-2"/>
    <x v="1"/>
  </r>
  <r>
    <x v="174"/>
    <x v="10"/>
    <s v="COPT_S1ex-GP"/>
    <n v="14009041.93"/>
    <n v="3968318.8508073371"/>
    <n v="20"/>
    <n v="0"/>
    <n v="0"/>
    <n v="0"/>
    <n v="3.5302208458249069"/>
    <n v="0"/>
    <n v="0"/>
    <n v="0"/>
    <n v="0"/>
    <s v="Private Equity Fund"/>
    <n v="9.9115082501967905E-2"/>
    <n v="2.3348894489999985"/>
    <n v="6.9040251409171515E-3"/>
    <n v="0.14847931216471025"/>
    <s v="ARF"/>
    <n v="10.506781689999999"/>
    <s v="HRF"/>
    <n v="3.50226024"/>
    <m/>
    <m/>
    <m/>
    <m/>
    <n v="16579984.069000002"/>
    <m/>
    <m/>
    <d v="2012-11-30T00:00:00"/>
    <n v="4.6082387216830334E-3"/>
    <x v="1"/>
  </r>
  <r>
    <x v="175"/>
    <x v="10"/>
    <s v="COPT_S1ex-GP"/>
    <n v="14352573.709999997"/>
    <n v="4065630.5474413545"/>
    <n v="20"/>
    <n v="0"/>
    <n v="0"/>
    <n v="0"/>
    <n v="3.5302208458249069"/>
    <n v="0"/>
    <n v="0"/>
    <n v="0"/>
    <n v="0"/>
    <s v="Private Equity Fund"/>
    <n v="0.10471876507952201"/>
    <n v="2.8162089054999999"/>
    <n v="7.2913272034737363E-3"/>
    <n v="0.17916337831405355"/>
    <s v="ARF"/>
    <n v="10.764430529999998"/>
    <s v="HRF"/>
    <n v="3.5881431800000003"/>
    <m/>
    <m/>
    <m/>
    <m/>
    <n v="17410623.815499999"/>
    <m/>
    <m/>
    <d v="2012-12-31T00:00:00"/>
    <n v="2.4522146604782025E-2"/>
    <x v="1"/>
  </r>
  <r>
    <x v="176"/>
    <x v="10"/>
    <s v="COPT_S1ex-GP"/>
    <n v="11058816.67"/>
    <n v="3132613.2706623585"/>
    <n v="20"/>
    <n v="0"/>
    <n v="0"/>
    <n v="-3991693.48"/>
    <n v="3.5302208458249069"/>
    <n v="-3991693.48"/>
    <n v="-1130720.6133352432"/>
    <n v="-3991693.48"/>
    <n v="-3991693.48"/>
    <s v="Private Equity Fund"/>
    <n v="8.1055150250014696E-2"/>
    <n v="3.838333784"/>
    <n v="5.6382960997359427E-3"/>
    <n v="0.24541471035740742"/>
    <s v="ARF"/>
    <n v="8.29411275"/>
    <s v="HRF"/>
    <n v="2.7647039200000001"/>
    <m/>
    <m/>
    <m/>
    <m/>
    <n v="15083491.844000001"/>
    <m/>
    <m/>
    <d v="2013-01-31T00:00:00"/>
    <n v="4.8627964161837012E-2"/>
    <x v="1"/>
  </r>
  <r>
    <x v="177"/>
    <x v="10"/>
    <s v="COPT_S1ex-GP"/>
    <n v="10904940.99"/>
    <n v="3089025.1534537757"/>
    <n v="20"/>
    <n v="0"/>
    <n v="0"/>
    <n v="0"/>
    <n v="3.5302208458249069"/>
    <n v="0"/>
    <n v="0"/>
    <n v="0"/>
    <n v="0"/>
    <s v="Private Equity Fund"/>
    <n v="7.2156556018884599E-2"/>
    <n v="3.5979169065000001"/>
    <n v="5.0183419248778756E-3"/>
    <n v="0.22967172115000001"/>
    <s v="ARF"/>
    <n v="8.178705990000001"/>
    <s v="HRF"/>
    <n v="2.726235"/>
    <m/>
    <m/>
    <m/>
    <m/>
    <n v="14686606.486500001"/>
    <m/>
    <m/>
    <d v="2013-02-28T00:00:00"/>
    <n v="-1.391429884333184E-2"/>
    <x v="1"/>
  </r>
  <r>
    <x v="178"/>
    <x v="10"/>
    <s v="COPT_S1ex-GP"/>
    <n v="8925270.2399999984"/>
    <n v="2528246.9935430996"/>
    <n v="20"/>
    <n v="0"/>
    <n v="0"/>
    <n v="-1504579.72"/>
    <n v="3.5302208458249069"/>
    <n v="-1504579.72"/>
    <n v="-426199.8854206031"/>
    <n v="-1504579.72"/>
    <n v="-1504579.72"/>
    <s v="Private Equity Fund"/>
    <n v="5.9551701254124997E-2"/>
    <n v="2.8452230080000001"/>
    <n v="4.140385843651017E-3"/>
    <n v="0.18064918532987265"/>
    <s v="ARF"/>
    <n v="6.69395293"/>
    <s v="HRF"/>
    <n v="2.2313173100000001"/>
    <m/>
    <m/>
    <m/>
    <m/>
    <n v="11920884.388"/>
    <m/>
    <m/>
    <d v="2013-03-28T00:00:00"/>
    <n v="-4.3566584214959736E-2"/>
    <x v="1"/>
  </r>
  <r>
    <x v="179"/>
    <x v="10"/>
    <s v="COPT_S1ex-GP"/>
    <n v="8622221.2100000009"/>
    <n v="2442402.7806071281"/>
    <n v="20"/>
    <n v="0"/>
    <n v="0"/>
    <n v="0"/>
    <n v="3.5302208458249069"/>
    <n v="0"/>
    <n v="0"/>
    <n v="0"/>
    <n v="0"/>
    <s v="Private Equity Fund"/>
    <n v="6.7816715134049507E-2"/>
    <n v="2.3834679765"/>
    <n v="4.713690814814815E-3"/>
    <n v="0.15051172352546299"/>
    <s v="ARF"/>
    <n v="6.4666661599999999"/>
    <s v="HRF"/>
    <n v="2.1555550499999998"/>
    <m/>
    <m/>
    <m/>
    <m/>
    <n v="11150973.9465"/>
    <m/>
    <m/>
    <d v="2013-04-30T00:00:00"/>
    <n v="-3.3954045295103263E-2"/>
    <x v="1"/>
  </r>
  <r>
    <x v="180"/>
    <x v="10"/>
    <s v="COPT_S1ex-GP"/>
    <n v="7838255.0600000005"/>
    <n v="2220329.9460060932"/>
    <n v="20"/>
    <n v="0"/>
    <n v="0"/>
    <n v="-909125.73"/>
    <n v="3.5302208458249069"/>
    <n v="-909125.73"/>
    <n v="-257526.58819495598"/>
    <n v="-909125.73"/>
    <n v="-909125.73"/>
    <s v="Private Equity Fund"/>
    <n v="5.79812700814442E-2"/>
    <n v="2.5597769757499993"/>
    <n v="4.0263451473945026E-3"/>
    <n v="0.16187399877533024"/>
    <s v="ARF"/>
    <n v="5.8786915400000002"/>
    <s v="HRF"/>
    <n v="1.9595635200000001"/>
    <m/>
    <m/>
    <m/>
    <m/>
    <n v="10530106.9658"/>
    <m/>
    <m/>
    <d v="2013-05-31T00:00:00"/>
    <n v="1.4515932374228768E-2"/>
    <x v="1"/>
  </r>
  <r>
    <x v="181"/>
    <x v="10"/>
    <s v="COPT_S1ex-GP"/>
    <n v="7836269.3599999985"/>
    <n v="2219767.4599501994"/>
    <n v="20"/>
    <n v="0"/>
    <n v="0"/>
    <n v="0"/>
    <n v="3.5302208458249069"/>
    <n v="0"/>
    <n v="0"/>
    <n v="0"/>
    <n v="0"/>
    <s v="Private Equity Fund"/>
    <n v="5.2321232716537901E-2"/>
    <n v="2.5494838932500001"/>
    <n v="3.6330117453703711E-3"/>
    <n v="0.1611658903310185"/>
    <s v="ARF"/>
    <n v="5.8772022699999997"/>
    <s v="HRF"/>
    <n v="1.95906709"/>
    <m/>
    <m/>
    <m/>
    <m/>
    <n v="10517794.723300001"/>
    <m/>
    <m/>
    <d v="2013-06-28T00:00:00"/>
    <n v="-2.5333444558794938E-4"/>
    <x v="1"/>
  </r>
  <r>
    <x v="182"/>
    <x v="10"/>
    <s v="COPT_S1ex-GP"/>
    <n v="7496333"/>
    <n v="2123474.2321760696"/>
    <n v="20"/>
    <n v="0"/>
    <n v="0"/>
    <n v="0"/>
    <n v="3.5302208458249069"/>
    <n v="0"/>
    <n v="0"/>
    <n v="0"/>
    <n v="0"/>
    <s v="Private Equity Fund"/>
    <n v="5.9023222832782399E-2"/>
    <n v="2.0348636142499985"/>
    <n v="4.0969315486111112E-3"/>
    <n v="0.1276252983287037"/>
    <s v="ARF"/>
    <n v="5.6222500000000002"/>
    <s v="HRF"/>
    <n v="1.8740829999999999"/>
    <m/>
    <m/>
    <m/>
    <m/>
    <n v="9657510.1543000005"/>
    <m/>
    <m/>
    <d v="2013-07-31T00:00:00"/>
    <n v="-4.3379871771023315E-2"/>
    <x v="1"/>
  </r>
  <r>
    <x v="183"/>
    <x v="10"/>
    <s v="COPT_S1ex-GP"/>
    <n v="7284499.3499999996"/>
    <n v="2063468.4537130792"/>
    <n v="20"/>
    <n v="0"/>
    <n v="0"/>
    <n v="0"/>
    <n v="3.5302208458249069"/>
    <n v="0"/>
    <n v="0"/>
    <n v="0"/>
    <n v="0"/>
    <s v="Private Equity Fund"/>
    <n v="5.2142626258420199E-2"/>
    <n v="1.7120206462499992"/>
    <n v="3.618305086160796E-3"/>
    <n v="0.10657310903101842"/>
    <s v="ARF"/>
    <n v="5.4633747599999998"/>
    <s v="HRF"/>
    <n v="1.8211245900000002"/>
    <m/>
    <m/>
    <m/>
    <m/>
    <n v="9119264.1462999992"/>
    <m/>
    <m/>
    <d v="2013-08-30T00:00:00"/>
    <n v="-2.8258303092992265E-2"/>
    <x v="1"/>
  </r>
  <r>
    <x v="35"/>
    <x v="10"/>
    <s v="COPT_S1ex-GP"/>
    <n v="5829674.0599999996"/>
    <n v="1651362.4259214806"/>
    <n v="20"/>
    <n v="0"/>
    <n v="-9.3132257461547852E-10"/>
    <n v="-1568165.29"/>
    <n v="3.5302208458249069"/>
    <n v="-1568165.290000001"/>
    <n v="-444211.66790588328"/>
    <n v="-1568165.290000001"/>
    <n v="-1568165.290000001"/>
    <s v="Private Equity Fund"/>
    <n v="4.3401248612449997E-2"/>
    <n v="1.8735221427499982"/>
    <n v="3.0070137289551725E-3"/>
    <n v="0.11701061268472213"/>
    <s v="ARF"/>
    <n v="4.3722557899999996"/>
    <s v="HRF"/>
    <n v="1.45741827"/>
    <m/>
    <m/>
    <m/>
    <m/>
    <n v="7801426.5427999999"/>
    <m/>
    <m/>
    <d v="2013-09-30T00:00:00"/>
    <n v="1.555906515387373E-2"/>
    <x v="1"/>
  </r>
  <r>
    <x v="36"/>
    <x v="10"/>
    <s v="COPT_S1ex-GP"/>
    <n v="5909208.8499999996"/>
    <n v="1673892.1183893227"/>
    <n v="20"/>
    <n v="0"/>
    <n v="0"/>
    <n v="0"/>
    <n v="3.5302208458249069"/>
    <n v="0"/>
    <n v="0"/>
    <n v="0"/>
    <n v="0"/>
    <s v="Private Equity Fund"/>
    <n v="4.3932156520843202E-2"/>
    <n v="1.983905606249998"/>
    <n v="3.0435436550925931E-3"/>
    <n v="0.12409550781018522"/>
    <s v="ARF"/>
    <n v="4.4319068799999997"/>
    <s v="HRF"/>
    <n v="1.4773019700000001"/>
    <m/>
    <m/>
    <m/>
    <m/>
    <n v="7992684.9562999997"/>
    <m/>
    <m/>
    <d v="2013-10-31T00:00:00"/>
    <n v="1.3643093795882022E-2"/>
    <x v="1"/>
  </r>
  <r>
    <x v="37"/>
    <x v="10"/>
    <s v="COPT_S1ex-GP"/>
    <n v="5764841.1500000004"/>
    <n v="1632997.3114339053"/>
    <n v="20"/>
    <n v="0"/>
    <n v="-9.3132257461547852E-10"/>
    <n v="0"/>
    <n v="3.5302208458249069"/>
    <n v="-9.3132257461547852E-10"/>
    <n v="0"/>
    <n v="-9.3132257461547852E-10"/>
    <n v="-9.3132257461547852E-10"/>
    <s v="Private Equity Fund"/>
    <n v="4.0097409422905197E-2"/>
    <n v="1.7632087252499986"/>
    <n v="2.7770582384259298E-3"/>
    <n v="0.109700636564815"/>
    <s v="ARF"/>
    <n v="4.32363111"/>
    <s v="HRF"/>
    <n v="1.4412100400000001"/>
    <m/>
    <m/>
    <m/>
    <m/>
    <n v="7625187.7752999999"/>
    <m/>
    <m/>
    <d v="2013-11-29T00:00:00"/>
    <n v="-2.4430969299722438E-2"/>
    <x v="1"/>
  </r>
  <r>
    <x v="38"/>
    <x v="10"/>
    <s v="COPT_S1ex-GP"/>
    <n v="5832803.9000000004"/>
    <n v="1652249.0106811004"/>
    <n v="20"/>
    <n v="0"/>
    <n v="0"/>
    <n v="0"/>
    <n v="3.5302208458249069"/>
    <n v="0"/>
    <n v="0"/>
    <n v="0"/>
    <n v="0"/>
    <s v="Private Equity Fund"/>
    <n v="4.4677805599249103E-2"/>
    <n v="1.8513061007499985"/>
    <n v="3.09298075632756E-3"/>
    <n v="0.115156371476741"/>
    <s v="ARF"/>
    <n v="4.3746031700000003"/>
    <s v="HRF"/>
    <n v="1.4582007299999999"/>
    <m/>
    <m/>
    <m/>
    <m/>
    <n v="7782393.0707999999"/>
    <m/>
    <m/>
    <d v="2013-12-31T00:00:00"/>
    <n v="1.1789180001950283E-2"/>
    <x v="1"/>
  </r>
  <r>
    <x v="39"/>
    <x v="10"/>
    <s v="COPT_S1ex-GP"/>
    <n v="5692070.6500000004"/>
    <n v="1612383.7285511054"/>
    <n v="20"/>
    <n v="0"/>
    <n v="-9.3132257461547852E-10"/>
    <n v="0"/>
    <n v="3.5302208458249069"/>
    <n v="-9.3132257461547852E-10"/>
    <n v="0"/>
    <n v="-9.3132257461547852E-10"/>
    <n v="-9.3132257461547852E-10"/>
    <s v="Private Equity Fund"/>
    <n v="4.0872684024873297E-2"/>
    <n v="1.635478109749998"/>
    <n v="2.8285824063261399E-3"/>
    <n v="0.10106249947037001"/>
    <s v="ARF"/>
    <n v="4.2690532300000008"/>
    <s v="HRF"/>
    <n v="1.4230174199999999"/>
    <m/>
    <m/>
    <m/>
    <m/>
    <n v="7423460.4797999999"/>
    <m/>
    <m/>
    <d v="2014-01-30T00:00:00"/>
    <n v="-2.4127889847282424E-2"/>
    <x v="1"/>
  </r>
  <r>
    <x v="40"/>
    <x v="10"/>
    <s v="COPT_S1ex-GP"/>
    <n v="5493697.709999999"/>
    <n v="1556190.943832095"/>
    <n v="20"/>
    <n v="0"/>
    <n v="0"/>
    <n v="0"/>
    <n v="3.5302208458249069"/>
    <n v="0"/>
    <n v="0"/>
    <n v="0"/>
    <n v="0"/>
    <s v="Private Equity Fund"/>
    <n v="3.8144602395356601E-2"/>
    <n v="1.3339887022499977"/>
    <n v="2.6385385538816699E-3"/>
    <n v="8.1388038315277605E-2"/>
    <s v="ARF"/>
    <n v="4.1202735299999995"/>
    <s v="HRF"/>
    <n v="1.37342418"/>
    <m/>
    <m/>
    <m/>
    <m/>
    <n v="6920255.5522999996"/>
    <m/>
    <m/>
    <d v="2014-02-28T00:00:00"/>
    <n v="-3.4850751545046466E-2"/>
    <x v="1"/>
  </r>
  <r>
    <x v="41"/>
    <x v="10"/>
    <s v="COPT_S1ex-GP"/>
    <n v="4430006.74"/>
    <n v="1254880.9078727311"/>
    <n v="20"/>
    <n v="0"/>
    <n v="0"/>
    <n v="-1000000"/>
    <n v="3.5302208458249069"/>
    <n v="-1000000"/>
    <n v="-283268.39698504185"/>
    <n v="-1000000"/>
    <n v="-1000000"/>
    <s v="Private Equity Fund"/>
    <n v="3.3114230127117596E-2"/>
    <n v="1.2342163692499983"/>
    <n v="2.2854881381637803E-3"/>
    <n v="7.4862563797455497E-2"/>
    <s v="ARF"/>
    <n v="3.3225053"/>
    <s v="HRF"/>
    <n v="1.1075014399999998"/>
    <m/>
    <m/>
    <m/>
    <m/>
    <n v="5738869.0493000001"/>
    <m/>
    <m/>
    <d v="2014-03-31T00:00:00"/>
    <n v="-1.1593460973301162E-2"/>
    <x v="1"/>
  </r>
  <r>
    <x v="42"/>
    <x v="10"/>
    <s v="COPT_S1ex-GP"/>
    <n v="4400796.42"/>
    <n v="1246606.547350911"/>
    <n v="20"/>
    <n v="0"/>
    <n v="0"/>
    <n v="0"/>
    <n v="3.5302208458249069"/>
    <n v="0"/>
    <n v="0"/>
    <n v="0"/>
    <n v="0"/>
    <s v="Private Equity Fund"/>
    <n v="3.1817964225521002E-2"/>
    <n v="1.1857847352499979"/>
    <n v="2.1955922715684801E-3"/>
    <n v="7.1672653460934099E-2"/>
    <s v="ARF"/>
    <n v="3.3005975599999999"/>
    <s v="HRF"/>
    <n v="1.1001988600000001"/>
    <m/>
    <m/>
    <m/>
    <m/>
    <n v="5660734.9052999998"/>
    <m/>
    <m/>
    <d v="2014-04-30T00:00:00"/>
    <n v="-6.5937416609890276E-3"/>
    <x v="1"/>
  </r>
  <r>
    <x v="43"/>
    <x v="10"/>
    <s v="COPT_S1ex-GP"/>
    <n v="3941963.4700000007"/>
    <n v="1116633.6731204933"/>
    <n v="20"/>
    <n v="0"/>
    <n v="0"/>
    <n v="-400000"/>
    <n v="3.5302208458249069"/>
    <n v="-400000"/>
    <n v="-113307.35879401675"/>
    <n v="-400000"/>
    <n v="-400000"/>
    <s v="Private Equity Fund"/>
    <n v="2.7901842960602798E-2"/>
    <n v="1.0934456962500001"/>
    <n v="1.92220315246566E-3"/>
    <n v="6.5615522355127298E-2"/>
    <s v="ARF"/>
    <n v="2.9564728499999999"/>
    <s v="HRF"/>
    <n v="0.98549061999999998"/>
    <m/>
    <m/>
    <m/>
    <m/>
    <n v="5101831.5762999998"/>
    <m/>
    <m/>
    <d v="2014-05-30T00:00:00"/>
    <n v="-1.3368705203591125E-2"/>
    <x v="1"/>
  </r>
  <r>
    <x v="44"/>
    <x v="10"/>
    <s v="COPT_S1ex-GP"/>
    <n v="3919778.1400000006"/>
    <n v="1110349.2702548092"/>
    <n v="20"/>
    <n v="0"/>
    <n v="0"/>
    <n v="0"/>
    <n v="3.5302208458249069"/>
    <n v="0"/>
    <n v="0"/>
    <n v="0"/>
    <n v="0"/>
    <s v="Private Equity Fund"/>
    <n v="2.86503846586291E-2"/>
    <n v="1.0558859817499981"/>
    <n v="1.9733761553552198E-3"/>
    <n v="6.3134390084918293E-2"/>
    <s v="ARF"/>
    <n v="2.9398338500000003"/>
    <s v="HRF"/>
    <n v="0.97994429000000005"/>
    <m/>
    <m/>
    <m/>
    <m/>
    <n v="5041712.7117999997"/>
    <m/>
    <m/>
    <d v="2014-06-30T00:00:00"/>
    <n v="-5.6279897489766029E-3"/>
    <x v="1"/>
  </r>
  <r>
    <x v="45"/>
    <x v="10"/>
    <s v="COPT_S1ex-GP"/>
    <n v="3893611.78"/>
    <n v="1102937.1674026754"/>
    <n v="20"/>
    <n v="0"/>
    <n v="0"/>
    <n v="0"/>
    <n v="3.5302208458249069"/>
    <n v="0"/>
    <n v="0"/>
    <n v="0"/>
    <n v="0"/>
    <s v="Private Equity Fund"/>
    <n v="2.8440105424305299E-2"/>
    <n v="1.0125069707499983"/>
    <n v="1.95847513853098E-3"/>
    <n v="6.0277596522825799E-2"/>
    <s v="ARF"/>
    <n v="2.9202090800000002"/>
    <s v="HRF"/>
    <n v="0.97340269999999995"/>
    <m/>
    <m/>
    <m/>
    <m/>
    <n v="4971726.4408"/>
    <m/>
    <m/>
    <d v="2014-07-31T00:00:00"/>
    <n v="-6.6754696478819042E-3"/>
    <x v="1"/>
  </r>
  <r>
    <x v="46"/>
    <x v="10"/>
    <s v="COPT_S1ex-GP"/>
    <n v="4124128.3900000006"/>
    <n v="1168235.2379958017"/>
    <n v="20"/>
    <n v="0"/>
    <n v="0"/>
    <n v="0"/>
    <n v="3.5302208458249069"/>
    <n v="0"/>
    <n v="0"/>
    <n v="0"/>
    <n v="0"/>
    <s v="Private Equity Fund"/>
    <n v="2.8132242892573499E-2"/>
    <n v="1.3507338047499999"/>
    <n v="1.93851976440103E-3"/>
    <n v="8.2232507949932199E-2"/>
    <s v="ARF"/>
    <n v="3.0930965399999999"/>
    <s v="HRF"/>
    <n v="1.03103185"/>
    <m/>
    <m/>
    <m/>
    <m/>
    <n v="5544354.0848000003"/>
    <m/>
    <m/>
    <d v="2014-08-29T00:00:00"/>
    <n v="5.920379920362806E-2"/>
    <x v="1"/>
  </r>
  <r>
    <x v="47"/>
    <x v="10"/>
    <s v="COPT_S1ex-GP"/>
    <n v="4134442.0999999996"/>
    <n v="1171156.7860944699"/>
    <n v="20"/>
    <n v="0"/>
    <n v="0"/>
    <n v="0"/>
    <n v="3.5302208458249069"/>
    <n v="0"/>
    <n v="0"/>
    <n v="0"/>
    <n v="0"/>
    <s v="Private Equity Fund"/>
    <n v="1.20081194341881E-2"/>
    <n v="1.3643971487499984"/>
    <n v="9.63953680759971E-4"/>
    <n v="8.3094904822526905E-2"/>
    <s v="ARF"/>
    <n v="3.1008318199999998"/>
    <s v="HRF"/>
    <n v="1.03361028"/>
    <m/>
    <m/>
    <m/>
    <m/>
    <n v="5568504.9287999999"/>
    <m/>
    <m/>
    <d v="2014-09-30T00:00:00"/>
    <n v="2.5008217554542966E-3"/>
    <x v="1"/>
  </r>
  <r>
    <x v="184"/>
    <x v="10"/>
    <s v="COPT_S1ex-GP"/>
    <n v="3925700.7"/>
    <n v="1112026.9443320567"/>
    <n v="20"/>
    <n v="0"/>
    <n v="0"/>
    <n v="0"/>
    <n v="3.5302208458249069"/>
    <n v="0"/>
    <n v="0"/>
    <n v="0"/>
    <n v="0"/>
    <s v="Private Equity Fund"/>
    <n v="1.1684628901495E-3"/>
    <n v="1.0538599402499988"/>
    <n v="1.18165294674845E-4"/>
    <n v="6.2895340843927394E-2"/>
    <s v="ARF"/>
    <n v="2.94427577"/>
    <s v="HRF"/>
    <n v="0.98142493000000008"/>
    <m/>
    <m/>
    <m/>
    <m/>
    <n v="5045709.0302999998"/>
    <m/>
    <m/>
    <d v="2014-10-31T00:00:00"/>
    <n v="-5.0488408097430937E-2"/>
    <x v="1"/>
  </r>
  <r>
    <x v="185"/>
    <x v="10"/>
    <s v="COPT_S1ex-GP"/>
    <n v="3654688.2800000003"/>
    <n v="1035257.6905556199"/>
    <n v="20"/>
    <n v="0"/>
    <n v="0"/>
    <n v="0"/>
    <n v="3.5302208458249069"/>
    <n v="0"/>
    <n v="0"/>
    <n v="0"/>
    <n v="0"/>
    <s v="Private Equity Fund"/>
    <n v="0"/>
    <n v="0.6335103882499985"/>
    <n v="0"/>
    <n v="3.5571195905535799E-2"/>
    <s v="ARF"/>
    <n v="2.7410162100000002"/>
    <s v="HRF"/>
    <n v="0.91367206999999995"/>
    <m/>
    <m/>
    <m/>
    <m/>
    <n v="4337693.3881999999"/>
    <m/>
    <m/>
    <d v="2014-11-28T00:00:00"/>
    <n v="-6.9035425955931817E-2"/>
    <x v="1"/>
  </r>
  <r>
    <x v="186"/>
    <x v="10"/>
    <s v="COPT_S1ex-GP"/>
    <n v="3172090.71"/>
    <n v="898553.0505128433"/>
    <n v="20"/>
    <n v="0"/>
    <n v="0"/>
    <n v="-480000"/>
    <n v="3.5302208458249069"/>
    <n v="-480000"/>
    <n v="-135968.83055282009"/>
    <n v="-480000"/>
    <n v="-480000"/>
    <s v="Private Equity Fund"/>
    <n v="0"/>
    <n v="0.64779731874999813"/>
    <n v="0"/>
    <n v="3.6517395253857103E-2"/>
    <s v="ARF"/>
    <n v="2.3790682799999998"/>
    <s v="HRF"/>
    <n v="0.79302243000000006"/>
    <m/>
    <m/>
    <m/>
    <m/>
    <n v="3873338.0887000002"/>
    <m/>
    <m/>
    <d v="2014-12-31T00:00:00"/>
    <n v="-7.1075008345178325E-4"/>
    <x v="1"/>
  </r>
  <r>
    <x v="187"/>
    <x v="10"/>
    <s v="COPT_S1ex-GP"/>
    <n v="3127789.4099999997"/>
    <n v="886003.89227748977"/>
    <n v="20"/>
    <n v="0"/>
    <n v="0"/>
    <n v="0"/>
    <n v="3.5302208458249069"/>
    <n v="0"/>
    <n v="0"/>
    <n v="0"/>
    <n v="0"/>
    <s v="Private Equity Fund"/>
    <n v="0"/>
    <n v="0.51101888932079265"/>
    <n v="0"/>
    <n v="2.8806971290840179E-2"/>
    <s v="ARF"/>
    <n v="2.3458422999999997"/>
    <s v="HRF"/>
    <n v="0.78194710999999995"/>
    <m/>
    <m/>
    <m/>
    <m/>
    <n v="3691511.8793000001"/>
    <m/>
    <m/>
    <d v="2015-01-30T00:00:00"/>
    <n v="-1.3965962530749998E-2"/>
    <x v="1"/>
  </r>
  <r>
    <x v="188"/>
    <x v="10"/>
    <s v="COPT_S1ex-GP"/>
    <n v="3287632"/>
    <n v="931282.24651672714"/>
    <n v="20"/>
    <n v="0"/>
    <n v="-4.6566128730773926E-10"/>
    <n v="0"/>
    <n v="3.5302208458249069"/>
    <n v="-4.6566128730773926E-10"/>
    <n v="0"/>
    <n v="-4.6566128730773926E-10"/>
    <n v="-4.6566128730773926E-10"/>
    <s v="Private Equity Fund"/>
    <n v="0"/>
    <n v="0.73575103079021731"/>
    <n v="0"/>
    <n v="4.1475489975234217E-2"/>
    <s v="ARF"/>
    <n v="2.4657239999999998"/>
    <s v="HRF"/>
    <n v="0.82190799999999997"/>
    <m/>
    <m/>
    <m/>
    <m/>
    <n v="4078780.0307999998"/>
    <m/>
    <m/>
    <d v="2015-02-27T00:00:00"/>
    <n v="5.1104012785822661E-2"/>
    <x v="1"/>
  </r>
  <r>
    <x v="189"/>
    <x v="10"/>
    <s v="COPT_S1ex-GP"/>
    <n v="2791812.28"/>
    <n v="790832.1892387548"/>
    <n v="20"/>
    <n v="0"/>
    <n v="0"/>
    <n v="-477919.5"/>
    <n v="3.5302208458249069"/>
    <n v="-477919.5"/>
    <n v="-135379.49065289271"/>
    <n v="-477919.5"/>
    <n v="-477919.5"/>
    <s v="Private Equity Fund"/>
    <n v="0"/>
    <n v="0.6849820711681901"/>
    <n v="0"/>
    <n v="3.8994749280827704E-2"/>
    <s v="ARF"/>
    <n v="2.0938592099999997"/>
    <s v="HRF"/>
    <n v="0.69795306999999995"/>
    <m/>
    <m/>
    <m/>
    <m/>
    <n v="3523836.7911999999"/>
    <m/>
    <m/>
    <d v="2015-03-31T00:00:00"/>
    <n v="-5.4447152236016816E-3"/>
    <x v="1"/>
  </r>
  <r>
    <x v="190"/>
    <x v="10"/>
    <s v="COPT_S1ex-GP"/>
    <n v="2847103.5900000003"/>
    <n v="806494.46998965798"/>
    <n v="20"/>
    <n v="0"/>
    <n v="0"/>
    <n v="0"/>
    <n v="3.5302208458249069"/>
    <n v="0"/>
    <n v="0"/>
    <n v="0"/>
    <n v="0"/>
    <s v="Private Equity Fund"/>
    <n v="0"/>
    <n v="0.75530032283503956"/>
    <n v="0"/>
    <n v="4.3548371694007798E-2"/>
    <s v="ARF"/>
    <n v="2.13532769"/>
    <s v="HRF"/>
    <n v="0.71177590000000002"/>
    <m/>
    <m/>
    <m/>
    <m/>
    <n v="3650377.5728000002"/>
    <m/>
    <m/>
    <d v="2015-04-30T00:00:00"/>
    <n v="1.9804809369203147E-2"/>
    <x v="1"/>
  </r>
  <r>
    <x v="191"/>
    <x v="10"/>
    <s v="COPT_S1ex-GP"/>
    <n v="2866857.4099999997"/>
    <n v="812090.10291538888"/>
    <n v="20"/>
    <n v="0"/>
    <n v="0"/>
    <n v="0"/>
    <n v="3.5302208458249069"/>
    <n v="0"/>
    <n v="0"/>
    <n v="0"/>
    <n v="0"/>
    <s v="Private Equity Fund"/>
    <n v="0"/>
    <n v="0.77367366789632686"/>
    <n v="0"/>
    <n v="4.4607724160570898E-2"/>
    <s v="ARF"/>
    <n v="2.15014306"/>
    <s v="HRF"/>
    <n v="0.71671434999999994"/>
    <m/>
    <m/>
    <m/>
    <m/>
    <n v="3688837.9178999998"/>
    <m/>
    <m/>
    <d v="2015-05-29T00:00:00"/>
    <n v="6.9382161117641505E-3"/>
    <x v="1"/>
  </r>
  <r>
    <x v="192"/>
    <x v="10"/>
    <s v="COPT_S1ex-GP"/>
    <n v="2823590.6500000004"/>
    <n v="799833.99716745247"/>
    <n v="20"/>
    <n v="0"/>
    <n v="0"/>
    <n v="0"/>
    <n v="3.5302208458249069"/>
    <n v="0"/>
    <n v="0"/>
    <n v="0"/>
    <n v="0"/>
    <s v="Private Equity Fund"/>
    <n v="0"/>
    <n v="0.69727742627429989"/>
    <n v="0"/>
    <n v="3.9776955197009405E-2"/>
    <s v="ARF"/>
    <n v="2.1176932400000004"/>
    <s v="HRF"/>
    <n v="0.70589741000000006"/>
    <m/>
    <m/>
    <m/>
    <m/>
    <n v="3568446.0362999998"/>
    <m/>
    <m/>
    <d v="2015-06-30T00:00:00"/>
    <n v="-1.509205161340732E-2"/>
    <x v="1"/>
  </r>
  <r>
    <x v="193"/>
    <x v="10"/>
    <s v="COPT_S1ex-GP"/>
    <n v="2440121.92"/>
    <n v="691209.42472646257"/>
    <n v="20"/>
    <n v="0"/>
    <n v="0"/>
    <n v="-250000"/>
    <n v="3.5302208458249069"/>
    <n v="-250000"/>
    <n v="-70817.099246260463"/>
    <n v="-250000"/>
    <n v="-250000"/>
    <s v="Private Equity Fund"/>
    <n v="0"/>
    <n v="0.48860344823849133"/>
    <n v="0"/>
    <n v="2.62166549268124E-2"/>
    <s v="ARF"/>
    <n v="1.83009194"/>
    <s v="HRF"/>
    <n v="0.61002997999999997"/>
    <m/>
    <m/>
    <m/>
    <m/>
    <n v="2969841.9282"/>
    <m/>
    <m/>
    <d v="2015-07-31T00:00:00"/>
    <n v="-4.7269150009403904E-2"/>
    <x v="1"/>
  </r>
  <r>
    <x v="194"/>
    <x v="10"/>
    <s v="COPT_S1ex-GP"/>
    <n v="2526770.6"/>
    <n v="715754.25741093245"/>
    <n v="20"/>
    <n v="0"/>
    <n v="0"/>
    <n v="0"/>
    <n v="3.5302208458249069"/>
    <n v="0"/>
    <n v="0"/>
    <n v="0"/>
    <n v="0"/>
    <s v="Private Equity Fund"/>
    <n v="0"/>
    <n v="0.60740928220268309"/>
    <n v="0"/>
    <n v="3.3958686182676397E-2"/>
    <s v="ARF"/>
    <n v="1.89507845"/>
    <s v="HRF"/>
    <n v="0.63169215000000001"/>
    <m/>
    <m/>
    <m/>
    <m/>
    <n v="3176756.4722000002"/>
    <m/>
    <m/>
    <d v="2015-08-31T00:00:00"/>
    <n v="3.5509979763634236E-2"/>
    <x v="1"/>
  </r>
  <r>
    <x v="195"/>
    <x v="10"/>
    <s v="COPT_S1ex-GP"/>
    <n v="2502109.4300000002"/>
    <n v="708768.5273172569"/>
    <n v="20"/>
    <n v="0"/>
    <n v="0"/>
    <n v="0"/>
    <n v="3.5302208458249069"/>
    <n v="0"/>
    <n v="0"/>
    <n v="0"/>
    <n v="0"/>
    <s v="Private Equity Fund"/>
    <n v="0"/>
    <n v="0.56068751868623867"/>
    <n v="0"/>
    <n v="3.09237142489205E-2"/>
    <s v="ARF"/>
    <n v="1.8765825700000001"/>
    <s v="HRF"/>
    <n v="0.62552686000000002"/>
    <m/>
    <m/>
    <m/>
    <m/>
    <n v="3104957.9992"/>
    <m/>
    <m/>
    <d v="2015-09-30T00:00:00"/>
    <n v="-9.7599560482458658E-3"/>
    <x v="1"/>
  </r>
  <r>
    <x v="196"/>
    <x v="10"/>
    <s v="COPT_S1ex-GP"/>
    <n v="2474407.83"/>
    <n v="700921.53949133598"/>
    <n v="20"/>
    <n v="0"/>
    <n v="0"/>
    <n v="0"/>
    <n v="3.5302208458249069"/>
    <n v="0"/>
    <n v="0"/>
    <n v="0"/>
    <n v="0"/>
    <s v="Private Equity Fund"/>
    <n v="0"/>
    <n v="0.5086671532624093"/>
    <n v="0"/>
    <n v="2.7516079730722797E-2"/>
    <s v="ARF"/>
    <n v="1.85580637"/>
    <s v="HRF"/>
    <n v="0.61860145999999994"/>
    <m/>
    <m/>
    <m/>
    <m/>
    <n v="3024769.2633000002"/>
    <m/>
    <m/>
    <d v="2015-10-30T00:00:00"/>
    <n v="-1.1071298348449998E-2"/>
    <x v="1"/>
  </r>
  <r>
    <x v="1"/>
    <x v="10"/>
    <s v="COPT_S1ex-GP"/>
    <n v="2183321.84"/>
    <n v="618466.07771923207"/>
    <n v="20"/>
    <n v="0"/>
    <n v="0"/>
    <n v="-290000"/>
    <n v="3.5302208458249069"/>
    <n v="-290000"/>
    <n v="-82147.835125662139"/>
    <n v="-290000"/>
    <n v="-290000"/>
    <s v="Private Equity Fund"/>
    <n v="0"/>
    <n v="0.49766621252999582"/>
    <n v="0"/>
    <n v="2.67873671592797E-2"/>
    <s v="ARF"/>
    <n v="1.6374918799999998"/>
    <s v="HRF"/>
    <n v="0.54582995999999995"/>
    <m/>
    <m/>
    <m/>
    <m/>
    <n v="2717777.5326"/>
    <m/>
    <m/>
    <d v="2015-11-30T00:00:00"/>
    <n v="-4.3888884719545107E-4"/>
    <x v="1"/>
  </r>
  <r>
    <x v="2"/>
    <x v="10"/>
    <s v="COPT_S1ex-GP"/>
    <n v="1678825.21"/>
    <n v="475558.12605477625"/>
    <n v="20"/>
    <n v="0"/>
    <n v="0"/>
    <n v="-406740"/>
    <n v="3.5302208458249069"/>
    <n v="-406740"/>
    <n v="-115216.58778969593"/>
    <n v="-406740"/>
    <n v="-406740"/>
    <s v="Private Equity Fund"/>
    <n v="0"/>
    <n v="0.34076894901534155"/>
    <n v="0"/>
    <n v="1.703844742078995E-2"/>
    <s v="ARF"/>
    <n v="1.2591194099999998"/>
    <s v="HRF"/>
    <n v="0.41970579999999996"/>
    <m/>
    <m/>
    <m/>
    <m/>
    <n v="2047882.8689999999"/>
    <m/>
    <m/>
    <d v="2015-12-31T00:00:00"/>
    <n v="-4.477426470483159E-2"/>
    <x v="1"/>
  </r>
  <r>
    <x v="3"/>
    <x v="10"/>
    <s v="COPT_S1ex-GP"/>
    <n v="1611811.35"/>
    <n v="456575.21735679626"/>
    <n v="20"/>
    <n v="0"/>
    <n v="0"/>
    <n v="0"/>
    <n v="3.5302208458249069"/>
    <n v="0"/>
    <n v="0"/>
    <n v="0"/>
    <n v="0"/>
    <s v="Private Equity Fund"/>
    <n v="0"/>
    <n v="0.25181277728214502"/>
    <n v="0"/>
    <n v="1.2590638831192649E-2"/>
    <s v="ARF"/>
    <n v="1.2088590100000001"/>
    <s v="HRF"/>
    <n v="0.40295234000000002"/>
    <m/>
    <m/>
    <m/>
    <m/>
    <n v="1890783.6573000001"/>
    <m/>
    <m/>
    <d v="2016-01-29T00:00:00"/>
    <n v="-3.9917115612053466E-2"/>
    <x v="1"/>
  </r>
  <r>
    <x v="4"/>
    <x v="10"/>
    <s v="COPT_S1ex-GP"/>
    <n v="1665543.12"/>
    <n v="471795.72971186525"/>
    <n v="20"/>
    <n v="0"/>
    <n v="0"/>
    <n v="0"/>
    <n v="3.5302208458249069"/>
    <n v="0"/>
    <n v="0"/>
    <n v="0"/>
    <n v="0"/>
    <s v="Private Equity Fund"/>
    <n v="0"/>
    <n v="0.31280395636206065"/>
    <n v="0"/>
    <n v="1.5640197818103035E-2"/>
    <s v="ARF"/>
    <n v="1.2491578400000001"/>
    <s v="HRF"/>
    <n v="0.41638528000000002"/>
    <m/>
    <m/>
    <m/>
    <m/>
    <n v="2006411.9867999998"/>
    <m/>
    <m/>
    <d v="2016-02-29T00:00:00"/>
    <n v="3.3336264817839911E-2"/>
    <x v="1"/>
  </r>
  <r>
    <x v="5"/>
    <x v="10"/>
    <s v="COPT_S1ex-GP"/>
    <n v="1658931.3199999998"/>
    <n v="469922.81572467944"/>
    <n v="20"/>
    <n v="0"/>
    <n v="-2.3283064365386963E-10"/>
    <n v="0"/>
    <n v="3.5302208458249069"/>
    <n v="-2.3283064365386963E-10"/>
    <n v="0"/>
    <n v="-2.3283064365386963E-10"/>
    <n v="-2.3283064365386963E-10"/>
    <s v="Private Equity Fund"/>
    <n v="0"/>
    <n v="0.29866738140427601"/>
    <n v="0"/>
    <n v="1.4933369039950193E-2"/>
    <s v="ARF"/>
    <n v="1.2441989899999999"/>
    <s v="HRF"/>
    <n v="0.41473233000000004"/>
    <m/>
    <m/>
    <m/>
    <m/>
    <n v="1985552.2013999999"/>
    <m/>
    <m/>
    <d v="2016-03-31T00:00:00"/>
    <n v="-3.969756123756274E-3"/>
    <x v="1"/>
  </r>
  <r>
    <x v="6"/>
    <x v="10"/>
    <s v="COPT_S1ex-GP"/>
    <n v="1748740.6400000001"/>
    <n v="495362.95783539623"/>
    <n v="20"/>
    <n v="0"/>
    <n v="0"/>
    <n v="0"/>
    <n v="3.5302208458249069"/>
    <n v="0"/>
    <n v="0"/>
    <n v="0"/>
    <n v="0"/>
    <s v="Private Equity Fund"/>
    <n v="0"/>
    <n v="0.41165192122027849"/>
    <n v="0"/>
    <n v="2.0651412670511234E-2"/>
    <s v="ARF"/>
    <n v="1.3115559800000001"/>
    <s v="HRF"/>
    <n v="0.43718465999999995"/>
    <m/>
    <m/>
    <m/>
    <m/>
    <n v="2189859.3511999999"/>
    <m/>
    <m/>
    <d v="2016-04-29T00:00:00"/>
    <n v="5.4136852392418611E-2"/>
    <x v="1"/>
  </r>
  <r>
    <x v="7"/>
    <x v="10"/>
    <s v="COPT_S1ex-GP"/>
    <n v="1782495.5299999998"/>
    <n v="504924.65141610254"/>
    <n v="20"/>
    <n v="0"/>
    <n v="0"/>
    <n v="0"/>
    <n v="3.5302208458249069"/>
    <n v="0"/>
    <n v="0"/>
    <n v="0"/>
    <n v="0"/>
    <s v="Private Equity Fund"/>
    <n v="0"/>
    <n v="0.45469143897699976"/>
    <n v="0"/>
    <n v="2.2872779999999999E-2"/>
    <s v="ARF"/>
    <n v="1.3368721499999998"/>
    <s v="HRF"/>
    <n v="0.44562338000000001"/>
    <m/>
    <m/>
    <m/>
    <m/>
    <n v="2267222.5290000001"/>
    <m/>
    <m/>
    <d v="2016-05-31T00:00:00"/>
    <n v="1.9302399239717882E-2"/>
    <x v="1"/>
  </r>
  <r>
    <x v="8"/>
    <x v="10"/>
    <s v="COPT_S1ex-GP"/>
    <n v="1853730.5599999996"/>
    <n v="525103.28417338384"/>
    <n v="20"/>
    <n v="0"/>
    <n v="0"/>
    <n v="0"/>
    <n v="3.5302208458249069"/>
    <n v="0"/>
    <n v="0"/>
    <n v="0"/>
    <n v="0"/>
    <s v="Private Equity Fund"/>
    <n v="0"/>
    <n v="0.56215035367385102"/>
    <n v="0"/>
    <n v="2.8537895169314001E-2"/>
    <s v="ARF"/>
    <n v="1.3902984199999999"/>
    <s v="HRF"/>
    <n v="0.46343213999999999"/>
    <m/>
    <m/>
    <m/>
    <m/>
    <n v="2447116.7840999998"/>
    <m/>
    <m/>
    <d v="2016-06-30T00:00:00"/>
    <n v="3.9963651409549383E-2"/>
    <x v="1"/>
  </r>
  <r>
    <x v="9"/>
    <x v="10"/>
    <s v="COPT_S1ex-GP"/>
    <n v="2083713.4000000004"/>
    <n v="590250.15459425142"/>
    <n v="20"/>
    <n v="0"/>
    <n v="0"/>
    <n v="0"/>
    <n v="3.5302208458249069"/>
    <n v="0"/>
    <n v="0"/>
    <n v="0"/>
    <n v="0"/>
    <s v="Private Equity Fund"/>
    <n v="0"/>
    <n v="0.89706792961365101"/>
    <n v="0"/>
    <n v="4.5798945352988674E-2"/>
    <s v="ARF"/>
    <n v="1.5627855500000001"/>
    <s v="HRF"/>
    <n v="0.52092784999999997"/>
    <m/>
    <m/>
    <m/>
    <m/>
    <n v="3015892.4091000003"/>
    <m/>
    <m/>
    <d v="2016-07-29T00:00:00"/>
    <n v="0.1240648694921449"/>
    <x v="1"/>
  </r>
  <r>
    <x v="10"/>
    <x v="10"/>
    <s v="COPT_S1ex-GP"/>
    <n v="2197932.12"/>
    <n v="622604.70831433474"/>
    <n v="20"/>
    <n v="0"/>
    <n v="0"/>
    <n v="0"/>
    <n v="3.5302208458249069"/>
    <n v="0"/>
    <n v="0"/>
    <n v="0"/>
    <n v="0"/>
    <s v="Private Equity Fund"/>
    <n v="0"/>
    <n v="1.05908303874119"/>
    <n v="0"/>
    <n v="5.4147814834702004E-2"/>
    <s v="ARF"/>
    <n v="1.64844959"/>
    <s v="HRF"/>
    <n v="0.54948253000000002"/>
    <m/>
    <m/>
    <m/>
    <m/>
    <n v="3294050.7404000005"/>
    <m/>
    <m/>
    <d v="2016-08-31T00:00:00"/>
    <n v="5.481498559254816E-2"/>
    <x v="1"/>
  </r>
  <r>
    <x v="11"/>
    <x v="10"/>
    <s v="COPT_S1ex-GP"/>
    <n v="2383926.04"/>
    <n v="675290.9078816988"/>
    <n v="20"/>
    <n v="0"/>
    <n v="-4.6566128730773926E-10"/>
    <n v="0"/>
    <n v="3.5302208458249069"/>
    <n v="-4.6566128730773926E-10"/>
    <n v="0"/>
    <n v="-4.6566128730773926E-10"/>
    <n v="-4.6566128730773926E-10"/>
    <s v="Private Equity Fund"/>
    <n v="0"/>
    <n v="1.3326301500250002"/>
    <n v="0"/>
    <n v="6.8308259020552611E-2"/>
    <s v="ARF"/>
    <n v="1.7879450299999999"/>
    <s v="HRF"/>
    <n v="0.59598101000000003"/>
    <m/>
    <m/>
    <m/>
    <m/>
    <n v="3756725.7585"/>
    <m/>
    <m/>
    <d v="2016-09-30T00:00:00"/>
    <n v="8.4622231190652153E-2"/>
    <x v="1"/>
  </r>
  <r>
    <x v="12"/>
    <x v="10"/>
    <s v="COPT_S1ex-GP"/>
    <n v="2383926.0399999996"/>
    <n v="675290.90788169869"/>
    <n v="20"/>
    <n v="0"/>
    <n v="0"/>
    <n v="0"/>
    <n v="3.5302208458249069"/>
    <n v="0"/>
    <n v="0"/>
    <n v="0"/>
    <n v="0"/>
    <s v="Private Equity Fund"/>
    <n v="0"/>
    <n v="1.6656619404088"/>
    <n v="0"/>
    <n v="8.5478303569214195E-2"/>
    <s v="ARF"/>
    <n v="1.7879450299999999"/>
    <s v="HRF"/>
    <n v="0.59598101000000003"/>
    <m/>
    <m/>
    <m/>
    <m/>
    <n v="4322352.5607000003"/>
    <m/>
    <m/>
    <d v="2016-10-31T00:00:00"/>
    <n v="-2.2204460492503131E-16"/>
    <x v="1"/>
  </r>
  <r>
    <x v="13"/>
    <x v="10"/>
    <s v="COPT_S1ex-GP"/>
    <n v="2105286.3899999997"/>
    <n v="596361.10088972561"/>
    <n v="20"/>
    <n v="0"/>
    <n v="0"/>
    <n v="-305055"/>
    <n v="3.5302208458249069"/>
    <n v="-305055"/>
    <n v="-86412.440842271943"/>
    <n v="-305055"/>
    <n v="-305055"/>
    <s v="Private Equity Fund"/>
    <n v="0"/>
    <n v="1.3519572440862599"/>
    <n v="0"/>
    <n v="6.9305301119385196E-2"/>
    <s v="ARF"/>
    <n v="1.57896529"/>
    <s v="HRF"/>
    <n v="0.52632109999999999"/>
    <m/>
    <m/>
    <m/>
    <m/>
    <n v="3492718.1241000001"/>
    <m/>
    <m/>
    <d v="2016-11-30T00:00:00"/>
    <n v="1.1080608020876292E-2"/>
    <x v="1"/>
  </r>
  <r>
    <x v="14"/>
    <x v="10"/>
    <s v="COPT_S1ex-GP"/>
    <n v="1648367.29"/>
    <n v="466930.35988087766"/>
    <n v="20"/>
    <n v="0"/>
    <n v="0"/>
    <n v="-488088"/>
    <n v="3.5302208458249069"/>
    <n v="-488088"/>
    <n v="-138259.90534763513"/>
    <n v="-488088"/>
    <n v="-488088"/>
    <s v="Private Equity Fund"/>
    <n v="0"/>
    <n v="1.3827958810792"/>
    <n v="0"/>
    <n v="7.0888859975050691E-2"/>
    <s v="ARF"/>
    <n v="1.2362759699999999"/>
    <s v="HRF"/>
    <n v="0.41209131999999998"/>
    <m/>
    <m/>
    <m/>
    <m/>
    <n v="3058938.5795"/>
    <m/>
    <m/>
    <d v="2016-12-30T00:00:00"/>
    <n v="1.4805064122416223E-2"/>
    <x v="1"/>
  </r>
  <r>
    <x v="15"/>
    <x v="10"/>
    <s v="COPT_S1ex-GP"/>
    <n v="1678796.2699999998"/>
    <n v="475549.92826736748"/>
    <n v="20"/>
    <n v="0"/>
    <n v="0"/>
    <n v="0"/>
    <n v="3.5302208458249069"/>
    <n v="0"/>
    <n v="0"/>
    <n v="0"/>
    <n v="0"/>
    <s v="Private Equity Fund"/>
    <n v="0"/>
    <n v="1.72535399653829"/>
    <n v="0"/>
    <n v="8.8149245626351999E-2"/>
    <s v="ARF"/>
    <n v="1.2590976999999999"/>
    <s v="HRF"/>
    <n v="0.41969856999999999"/>
    <m/>
    <m/>
    <m/>
    <m/>
    <n v="3132252.3465"/>
    <m/>
    <m/>
    <d v="2017-01-27T00:00:00"/>
    <n v="1.8460072694113983E-2"/>
    <x v="1"/>
  </r>
  <r>
    <x v="16"/>
    <x v="10"/>
    <s v="COPT_S1ex-GP"/>
    <n v="1703709.04"/>
    <n v="482606.92868972459"/>
    <n v="20"/>
    <n v="0"/>
    <n v="0"/>
    <n v="0"/>
    <n v="3.5302208458249069"/>
    <n v="0"/>
    <n v="0"/>
    <n v="0"/>
    <n v="0"/>
    <s v="Private Equity Fund"/>
    <n v="0"/>
    <n v="1.45837852068304"/>
    <n v="0"/>
    <n v="7.4776943126538098E-2"/>
    <s v="ARF"/>
    <n v="1.27778228"/>
    <s v="HRF"/>
    <n v="0.42592676000000002"/>
    <m/>
    <m/>
    <m/>
    <m/>
    <n v="3190795.4806999997"/>
    <m/>
    <m/>
    <d v="2017-02-28T00:00:00"/>
    <n v="1.4839662468394854E-2"/>
    <x v="1"/>
  </r>
  <r>
    <x v="17"/>
    <x v="10"/>
    <s v="COPT_S1ex-GP"/>
    <n v="1393086.49"/>
    <n v="394617.37688381854"/>
    <n v="20"/>
    <n v="0"/>
    <n v="0"/>
    <n v="-305055"/>
    <n v="3.5302208458249069"/>
    <n v="-305055"/>
    <n v="-86412.440842271943"/>
    <n v="-305055"/>
    <n v="-305055"/>
    <s v="Private Equity Fund"/>
    <n v="0"/>
    <n v="1.7565484600000001"/>
    <n v="0"/>
    <n v="8.9745179999999994E-2"/>
    <s v="ARF"/>
    <n v="1.04481537"/>
    <s v="HRF"/>
    <n v="0.34827111999999999"/>
    <m/>
    <m/>
    <m/>
    <m/>
    <n v="2856768.7766"/>
    <m/>
    <m/>
    <d v="2017-03-31T00:00:00"/>
    <n v="-3.2678995469790362E-3"/>
    <x v="1"/>
  </r>
  <r>
    <x v="18"/>
    <x v="10"/>
    <s v="COPT_S1ex-GP"/>
    <n v="1392567.23"/>
    <n v="394470.28693600011"/>
    <n v="20"/>
    <n v="0"/>
    <n v="0"/>
    <n v="0"/>
    <n v="3.5302208458249069"/>
    <n v="0"/>
    <n v="0"/>
    <n v="0"/>
    <n v="0"/>
    <s v="Private Equity Fund"/>
    <n v="0"/>
    <n v="1.76596832"/>
    <n v="0"/>
    <n v="9.0226890000000004E-2"/>
    <s v="ARF"/>
    <n v="1.0444259199999999"/>
    <s v="HRF"/>
    <n v="0.34814130999999998"/>
    <m/>
    <m/>
    <m/>
    <m/>
    <n v="2853676.3650000002"/>
    <m/>
    <m/>
    <d v="2017-04-28T00:00:00"/>
    <n v="-3.7274067599346594E-4"/>
    <x v="1"/>
  </r>
  <r>
    <x v="19"/>
    <x v="10"/>
    <s v="COPT_S1ex-GP"/>
    <n v="1365095.72"/>
    <n v="386688.47633554152"/>
    <n v="20"/>
    <n v="0"/>
    <n v="0"/>
    <n v="0"/>
    <n v="3.5302208458249069"/>
    <n v="0"/>
    <n v="0"/>
    <n v="0"/>
    <n v="0"/>
    <s v="Private Equity Fund"/>
    <n v="0"/>
    <n v="1.3956006386070401"/>
    <n v="0"/>
    <n v="5.49031E-3"/>
    <s v="ARF"/>
    <n v="1.02382229"/>
    <s v="HRF"/>
    <n v="0.34127342999999999"/>
    <m/>
    <m/>
    <m/>
    <m/>
    <n v="2783698.6386000002"/>
    <m/>
    <m/>
    <d v="2017-05-31T00:00:00"/>
    <n v="-1.9727241463236234E-2"/>
    <x v="1"/>
  </r>
  <r>
    <x v="20"/>
    <x v="10"/>
    <s v="COPT_S1ex-GP"/>
    <n v="1365614"/>
    <n v="386835.28868033097"/>
    <n v="20"/>
    <n v="0"/>
    <n v="0"/>
    <n v="0"/>
    <n v="3.5302208458249069"/>
    <n v="0"/>
    <n v="0"/>
    <n v="0"/>
    <n v="0"/>
    <s v="Private Equity Fund"/>
    <n v="0"/>
    <n v="1.3954717000000001"/>
    <n v="0"/>
    <n v="5.0959000000000004E-3"/>
    <s v="ARF"/>
    <n v="1.024211"/>
    <s v="HRF"/>
    <n v="0.34140300000000001"/>
    <m/>
    <m/>
    <m/>
    <m/>
    <n v="2784096.7183000003"/>
    <m/>
    <m/>
    <d v="2017-06-30T00:00:00"/>
    <n v="3.7966568380998211E-4"/>
    <x v="1"/>
  </r>
  <r>
    <x v="21"/>
    <x v="10"/>
    <s v="COPT_S1ex-GP"/>
    <n v="910334.81"/>
    <n v="257869.08234838268"/>
    <n v="20"/>
    <n v="0"/>
    <n v="0"/>
    <n v="-427077"/>
    <n v="3.5302208458249069"/>
    <n v="-427077"/>
    <n v="-120977.41717918073"/>
    <n v="-427077"/>
    <n v="-427077"/>
    <s v="Private Equity Fund"/>
    <n v="0"/>
    <n v="1.3437761100000001"/>
    <n v="0"/>
    <n v="8.2108128773E-2"/>
    <s v="ARF"/>
    <n v="0.68275160999999995"/>
    <s v="HRF"/>
    <n v="0.22758320000000001"/>
    <m/>
    <m/>
    <m/>
    <m/>
    <n v="2269450.4780000001"/>
    <m/>
    <m/>
    <d v="2017-07-31T00:00:00"/>
    <n v="-2.0651655592282991E-2"/>
    <x v="1"/>
  </r>
  <r>
    <x v="22"/>
    <x v="10"/>
    <s v="COPT_S1ex-GP"/>
    <n v="925100.00000000023"/>
    <n v="262051.5940508623"/>
    <n v="20"/>
    <n v="0"/>
    <n v="0"/>
    <n v="0"/>
    <n v="3.5302208458249069"/>
    <n v="0"/>
    <n v="0"/>
    <n v="0"/>
    <n v="0"/>
    <s v="Private Equity Fund"/>
    <n v="0"/>
    <n v="1.3648461000000001"/>
    <n v="0"/>
    <n v="8.3496683994000009E-2"/>
    <s v="ARF"/>
    <n v="0.69379999999999997"/>
    <s v="HRF"/>
    <n v="0.23130000000000001"/>
    <m/>
    <m/>
    <m/>
    <m/>
    <n v="2305500"/>
    <m/>
    <m/>
    <d v="2017-08-31T00:00:00"/>
    <n v="1.6219515982257349E-2"/>
    <x v="1"/>
  </r>
  <r>
    <x v="23"/>
    <x v="10"/>
    <s v="COPT_S1ex-GP"/>
    <n v="903200"/>
    <n v="255848.01615688982"/>
    <n v="20"/>
    <n v="0"/>
    <n v="0"/>
    <n v="0"/>
    <n v="3.5302208458249069"/>
    <n v="0"/>
    <n v="0"/>
    <n v="0"/>
    <n v="0"/>
    <s v="Private Equity Fund"/>
    <n v="0"/>
    <n v="1.3419098"/>
    <n v="0"/>
    <n v="8.1365769404999996E-2"/>
    <s v="ARF"/>
    <n v="0.6774"/>
    <s v="HRF"/>
    <n v="0.2258"/>
    <m/>
    <m/>
    <m/>
    <m/>
    <n v="2260300"/>
    <m/>
    <m/>
    <d v="2017-09-29T00:00:00"/>
    <n v="-2.3673116419846707E-2"/>
    <x v="1"/>
  </r>
  <r>
    <x v="24"/>
    <x v="10"/>
    <s v="COPT_S1ex-GP"/>
    <n v="1466692.23"/>
    <n v="415467.55686251633"/>
    <n v="20"/>
    <n v="0"/>
    <n v="0"/>
    <n v="0"/>
    <n v="3.5302208458249069"/>
    <n v="0"/>
    <n v="0"/>
    <n v="0"/>
    <n v="0"/>
    <s v="Private Equity Fund"/>
    <n v="0"/>
    <n v="2.0572032"/>
    <n v="0"/>
    <n v="0.12424333954399999"/>
    <s v="ARF"/>
    <n v="1.10001967"/>
    <s v="HRF"/>
    <n v="0.36667255999999998"/>
    <m/>
    <m/>
    <m/>
    <m/>
    <n v="3548600"/>
    <m/>
    <m/>
    <d v="2017-10-31T00:00:00"/>
    <n v="0.62388422276350752"/>
    <x v="1"/>
  </r>
  <r>
    <x v="25"/>
    <x v="10"/>
    <s v="COPT_S1ex-GP"/>
    <n v="1460900"/>
    <n v="413826.80115544767"/>
    <n v="20"/>
    <n v="0"/>
    <n v="0"/>
    <n v="0"/>
    <n v="3.5302208458249069"/>
    <n v="0"/>
    <n v="0"/>
    <n v="0"/>
    <n v="0"/>
    <s v="Private Equity Fund"/>
    <n v="0"/>
    <n v="2.04853489"/>
    <n v="0"/>
    <n v="0.12386975786"/>
    <s v="ARF"/>
    <n v="1.0956999999999999"/>
    <s v="HRF"/>
    <n v="0.36520000000000002"/>
    <m/>
    <m/>
    <m/>
    <m/>
    <n v="3534100"/>
    <m/>
    <m/>
    <d v="2017-11-30T00:00:00"/>
    <n v="-3.949178894879668E-3"/>
    <x v="1"/>
  </r>
  <r>
    <x v="26"/>
    <x v="10"/>
    <s v="COPT_S1ex-GP"/>
    <n v="863200.99"/>
    <n v="244517.56071320115"/>
    <n v="20"/>
    <n v="0"/>
    <n v="0"/>
    <n v="-586065.87"/>
    <n v="3.5302208458249069"/>
    <n v="-586065.87"/>
    <n v="-166013.93952254392"/>
    <n v="-586065.87"/>
    <n v="-586065.87"/>
    <s v="Private Equity Fund"/>
    <n v="0"/>
    <n v="1.4125804399999999"/>
    <n v="0"/>
    <n v="7.1735880000000002E-2"/>
    <s v="ARF"/>
    <n v="1.0956999999999999"/>
    <s v="HRF"/>
    <n v="0.36520000000000002"/>
    <m/>
    <m/>
    <m/>
    <m/>
    <n v="2280600"/>
    <m/>
    <m/>
    <d v="2017-12-29T00:00:00"/>
    <n v="-7.9629954137860892E-3"/>
    <x v="1"/>
  </r>
  <r>
    <x v="27"/>
    <x v="10"/>
    <s v="COPT_S1ex-GP"/>
    <n v="851999.99999999977"/>
    <n v="241344.6742312556"/>
    <n v="20"/>
    <n v="0"/>
    <n v="0"/>
    <n v="0"/>
    <n v="3.5302208458249069"/>
    <n v="0"/>
    <n v="0"/>
    <n v="0"/>
    <n v="0"/>
    <s v="Private Equity Fund"/>
    <n v="0"/>
    <n v="1.38604745"/>
    <n v="0"/>
    <n v="7.0867179999999988E-2"/>
    <s v="ARF"/>
    <n v="0.63900000000000001"/>
    <s v="HRF"/>
    <n v="0.21299999999999999"/>
    <m/>
    <m/>
    <m/>
    <m/>
    <n v="2252400"/>
    <m/>
    <m/>
    <d v="2018-01-31T00:00:00"/>
    <n v="-1.2976108843434253E-2"/>
    <x v="1"/>
  </r>
  <r>
    <x v="28"/>
    <x v="10"/>
    <s v="COPT_S1ex-GP"/>
    <n v="868899.99999999977"/>
    <n v="246131.91014030282"/>
    <n v="20"/>
    <n v="0"/>
    <n v="0"/>
    <n v="0"/>
    <n v="3.5302208458249069"/>
    <n v="0"/>
    <n v="0"/>
    <n v="0"/>
    <n v="0"/>
    <s v="Private Equity Fund"/>
    <n v="0"/>
    <n v="1.4112359999999999"/>
    <n v="0"/>
    <n v="7.2165899999999991E-2"/>
    <s v="ARF"/>
    <n v="0.65169999999999995"/>
    <s v="HRF"/>
    <n v="0.2172"/>
    <m/>
    <m/>
    <m/>
    <m/>
    <n v="2294900"/>
    <m/>
    <m/>
    <d v="2018-02-28T00:00:00"/>
    <n v="1.9835680751173701E-2"/>
    <x v="1"/>
  </r>
  <r>
    <x v="29"/>
    <x v="10"/>
    <s v="COPT_S1ex-GP"/>
    <n v="425895"/>
    <n v="120642.5939339444"/>
    <n v="20"/>
    <n v="0"/>
    <n v="0"/>
    <n v="-441006.77"/>
    <n v="3.5302208458249069"/>
    <n v="-441006.77"/>
    <n v="-124923.28079745105"/>
    <n v="-441006.77"/>
    <n v="-441006.77"/>
    <s v="Private Equity Fund"/>
    <n v="0"/>
    <n v="0"/>
    <n v="0"/>
    <n v="0"/>
    <s v="ARF"/>
    <n v="0.31942199999999998"/>
    <s v="HRF"/>
    <n v="0.106473"/>
    <m/>
    <m/>
    <m/>
    <m/>
    <m/>
    <m/>
    <m/>
    <d v="2018-03-29T00:00:00"/>
    <n v="-2.2997237886980271E-3"/>
    <x v="1"/>
  </r>
  <r>
    <x v="30"/>
    <x v="10"/>
    <s v="COPT_S1ex-GP"/>
    <n v="430584.17"/>
    <n v="121970.88760303475"/>
    <n v="20"/>
    <n v="0"/>
    <n v="0"/>
    <m/>
    <n v="3.5302208458249069"/>
    <n v="0"/>
    <n v="0"/>
    <n v="0"/>
    <n v="0"/>
    <s v="Private Equity Fund"/>
    <n v="0"/>
    <n v="0"/>
    <n v="0"/>
    <n v="0"/>
    <s v="ARF"/>
    <n v="0.32293861999999995"/>
    <s v="HRF"/>
    <n v="0.10764554999999999"/>
    <m/>
    <m/>
    <m/>
    <m/>
    <m/>
    <m/>
    <m/>
    <d v="2018-04-30T00:00:00"/>
    <n v="1.1010155085173556E-2"/>
    <x v="1"/>
  </r>
  <r>
    <x v="31"/>
    <x v="10"/>
    <s v="COPT_S1ex-GP"/>
    <n v="309840.7"/>
    <n v="87768.078409723268"/>
    <n v="20"/>
    <n v="0"/>
    <n v="0"/>
    <m/>
    <n v="3.5302208458249069"/>
    <n v="0"/>
    <n v="0"/>
    <n v="0"/>
    <n v="0"/>
    <s v="Private Equity Fund"/>
    <n v="0"/>
    <n v="0"/>
    <n v="0"/>
    <n v="0"/>
    <s v="ARF"/>
    <n v="0.23238101999999997"/>
    <s v="HRF"/>
    <n v="7.7459679999999989E-2"/>
    <m/>
    <m/>
    <m/>
    <m/>
    <m/>
    <m/>
    <m/>
    <d v="2018-05-31T00:00:00"/>
    <n v="-0.28041781006487065"/>
    <x v="1"/>
  </r>
  <r>
    <x v="32"/>
    <x v="10"/>
    <s v="COPT_S1ex-GP"/>
    <n v="308929.28000000003"/>
    <n v="87509.901927343162"/>
    <n v="20"/>
    <n v="0"/>
    <n v="0"/>
    <m/>
    <n v="3.5302208458249069"/>
    <n v="0"/>
    <n v="0"/>
    <n v="-308929.28000000003"/>
    <n v="-308929.28000000003"/>
    <s v="Private Equity Fund"/>
    <n v="0"/>
    <n v="0"/>
    <n v="0"/>
    <n v="0"/>
    <s v="ARF"/>
    <n v="0.23169745"/>
    <s v="HRF"/>
    <n v="7.7231830000000001E-2"/>
    <m/>
    <m/>
    <m/>
    <m/>
    <m/>
    <m/>
    <m/>
    <d v="2018-06-29T00:00:00"/>
    <n v="-2.9415761066896584E-3"/>
    <x v="1"/>
  </r>
  <r>
    <x v="33"/>
    <x v="10"/>
    <s v="COPT_S1ex-GP"/>
    <n v="308929.28000000003"/>
    <n v="87509.901927343162"/>
    <n v="20"/>
    <n v="0"/>
    <n v="0"/>
    <m/>
    <n v="3.5302208458249069"/>
    <n v="0"/>
    <n v="0"/>
    <n v="0"/>
    <n v="0"/>
    <s v="Private Equity Fund"/>
    <n v="0"/>
    <n v="0"/>
    <n v="0"/>
    <n v="0"/>
    <s v="ARF"/>
    <n v="0.23169745"/>
    <s v="HRF"/>
    <n v="7.7231830000000001E-2"/>
    <m/>
    <m/>
    <m/>
    <m/>
    <m/>
    <m/>
    <m/>
    <d v="2018-07-31T00:00:00"/>
    <n v="0"/>
    <x v="1"/>
  </r>
  <r>
    <x v="154"/>
    <x v="10"/>
    <s v="COPT_S1GP"/>
    <n v="91662.649670138489"/>
    <n v="91661.299360169098"/>
    <n v="0.33700000000000002"/>
    <n v="91664"/>
    <n v="0"/>
    <n v="0"/>
    <n v="1.0000147315167778"/>
    <n v="91664"/>
    <n v="91661.299360169098"/>
    <n v="91664"/>
    <m/>
    <s v="Private Equity Fund"/>
    <n v="0"/>
    <n v="0"/>
    <n v="0"/>
    <n v="0"/>
    <m/>
    <m/>
    <m/>
    <m/>
    <m/>
    <m/>
    <m/>
    <m/>
    <m/>
    <m/>
    <m/>
    <d v="2011-03-31T00:00:00"/>
    <n v="-1.4731299763370842E-5"/>
    <x v="1"/>
  </r>
  <r>
    <x v="155"/>
    <x v="10"/>
    <s v="COPT_S1GP"/>
    <n v="224912.18510616751"/>
    <n v="177834.37360975149"/>
    <n v="0.33700000000000002"/>
    <n v="24264"/>
    <n v="0"/>
    <n v="0"/>
    <n v="1.264728412965459"/>
    <n v="24264"/>
    <n v="0"/>
    <n v="24264"/>
    <m/>
    <s v="Private Equity Fund"/>
    <n v="0"/>
    <n v="0"/>
    <n v="0"/>
    <n v="0"/>
    <m/>
    <m/>
    <m/>
    <m/>
    <m/>
    <m/>
    <m/>
    <m/>
    <m/>
    <m/>
    <m/>
    <d v="2011-04-29T00:00:00"/>
    <n v="1.1889852172965703"/>
    <x v="1"/>
  </r>
  <r>
    <x v="156"/>
    <x v="10"/>
    <s v="COPT_S1GP"/>
    <n v="397802.57780292595"/>
    <n v="269336.78418931179"/>
    <n v="0.33700000000000002"/>
    <n v="37744"/>
    <n v="0"/>
    <n v="0"/>
    <n v="1.4769708452571333"/>
    <n v="37744"/>
    <n v="0"/>
    <n v="37744"/>
    <m/>
    <s v="Private Equity Fund"/>
    <n v="0"/>
    <n v="0"/>
    <n v="0"/>
    <n v="0"/>
    <m/>
    <m/>
    <m/>
    <m/>
    <m/>
    <m/>
    <m/>
    <m/>
    <m/>
    <m/>
    <m/>
    <d v="2011-05-31T00:00:00"/>
    <n v="0.60088515272289023"/>
    <x v="1"/>
  </r>
  <r>
    <x v="157"/>
    <x v="10"/>
    <s v="COPT_S1GP"/>
    <n v="153624.87831530557"/>
    <n v="104013.48056979435"/>
    <n v="0.33700000000000002"/>
    <n v="0"/>
    <n v="0"/>
    <n v="0"/>
    <n v="1.4769708452571333"/>
    <n v="0"/>
    <n v="0"/>
    <n v="0"/>
    <m/>
    <s v="Private Equity Fund"/>
    <n v="0"/>
    <n v="0"/>
    <n v="0"/>
    <n v="0"/>
    <m/>
    <m/>
    <m/>
    <m/>
    <m/>
    <m/>
    <m/>
    <m/>
    <m/>
    <m/>
    <m/>
    <d v="2011-06-30T00:00:00"/>
    <n v="-0.6138162825294402"/>
    <x v="1"/>
  </r>
  <r>
    <x v="158"/>
    <x v="10"/>
    <s v="COPT_S1GP"/>
    <n v="427998.79467020038"/>
    <n v="242968.5733248968"/>
    <n v="0.33700000000000002"/>
    <n v="29599"/>
    <n v="0"/>
    <n v="0"/>
    <n v="1.7615397284235677"/>
    <n v="29599"/>
    <n v="0"/>
    <n v="29599"/>
    <m/>
    <s v="Private Equity Fund"/>
    <n v="0"/>
    <n v="0"/>
    <n v="0"/>
    <n v="0"/>
    <m/>
    <m/>
    <m/>
    <m/>
    <m/>
    <m/>
    <m/>
    <m/>
    <m/>
    <m/>
    <m/>
    <d v="2011-07-29T00:00:00"/>
    <n v="1.5933286264514361"/>
    <x v="1"/>
  </r>
  <r>
    <x v="159"/>
    <x v="10"/>
    <s v="COPT_S1GP"/>
    <n v="192298.34855347683"/>
    <n v="106727.87961584142"/>
    <n v="0.33700000000000002"/>
    <n v="9773"/>
    <n v="0"/>
    <n v="0"/>
    <n v="1.8017630374147744"/>
    <n v="9773"/>
    <n v="0"/>
    <n v="9773"/>
    <m/>
    <s v="Private Equity Fund"/>
    <n v="0"/>
    <n v="0"/>
    <n v="0"/>
    <n v="0"/>
    <m/>
    <m/>
    <m/>
    <m/>
    <m/>
    <m/>
    <m/>
    <m/>
    <m/>
    <m/>
    <m/>
    <d v="2011-08-31T00:00:00"/>
    <n v="-0.5735377042495553"/>
    <x v="1"/>
  </r>
  <r>
    <x v="160"/>
    <x v="10"/>
    <s v="COPT_S1GP"/>
    <n v="205590.45550874621"/>
    <n v="105251.47836149708"/>
    <n v="0.33700000000000002"/>
    <n v="16176"/>
    <n v="0"/>
    <n v="0"/>
    <n v="1.9533260597311948"/>
    <n v="16176"/>
    <n v="0"/>
    <n v="16176"/>
    <m/>
    <s v="Private Equity Fund"/>
    <n v="0"/>
    <n v="0"/>
    <n v="0"/>
    <n v="0"/>
    <m/>
    <m/>
    <m/>
    <m/>
    <m/>
    <m/>
    <m/>
    <m/>
    <m/>
    <m/>
    <m/>
    <d v="2011-09-30T00:00:00"/>
    <n v="-1.4996972498329209E-2"/>
    <x v="1"/>
  </r>
  <r>
    <x v="161"/>
    <x v="10"/>
    <s v="COPT_S1GP"/>
    <n v="203318.06723874202"/>
    <n v="104088.13532479132"/>
    <n v="0.33700000000000002"/>
    <n v="0"/>
    <n v="0"/>
    <n v="0"/>
    <n v="1.9533260597311948"/>
    <n v="0"/>
    <n v="0"/>
    <n v="0"/>
    <m/>
    <s v="Private Equity Fund"/>
    <n v="0"/>
    <n v="0"/>
    <n v="0"/>
    <n v="0"/>
    <m/>
    <m/>
    <m/>
    <m/>
    <m/>
    <m/>
    <m/>
    <m/>
    <m/>
    <m/>
    <m/>
    <d v="2011-10-31T00:00:00"/>
    <n v="-1.1052985238935498E-2"/>
    <x v="1"/>
  </r>
  <r>
    <x v="162"/>
    <x v="10"/>
    <s v="COPT_S1GP"/>
    <n v="223746.514155577"/>
    <n v="106104.7240905349"/>
    <n v="0.33700000000000002"/>
    <n v="16176"/>
    <n v="0"/>
    <n v="0"/>
    <n v="2.1087328210256038"/>
    <n v="16176"/>
    <n v="0"/>
    <n v="16176"/>
    <m/>
    <s v="Private Equity Fund"/>
    <n v="0"/>
    <n v="0"/>
    <n v="0"/>
    <n v="0"/>
    <m/>
    <m/>
    <m/>
    <m/>
    <m/>
    <m/>
    <m/>
    <m/>
    <m/>
    <m/>
    <m/>
    <d v="2011-11-30T00:00:00"/>
    <n v="2.0915243660277527E-2"/>
    <x v="1"/>
  </r>
  <r>
    <x v="163"/>
    <x v="10"/>
    <s v="COPT_S1GP"/>
    <n v="436697.39385868312"/>
    <n v="148813.87169102972"/>
    <n v="0.33700000000000002"/>
    <n v="87620"/>
    <n v="0"/>
    <n v="0"/>
    <n v="2.9345207465965459"/>
    <n v="87620"/>
    <n v="0"/>
    <n v="87620"/>
    <m/>
    <s v="Private Equity Fund"/>
    <n v="0"/>
    <n v="0"/>
    <n v="0"/>
    <n v="0"/>
    <m/>
    <m/>
    <m/>
    <m/>
    <m/>
    <m/>
    <m/>
    <m/>
    <m/>
    <m/>
    <m/>
    <d v="2011-12-30T00:00:00"/>
    <n v="0.56014673648037339"/>
    <x v="1"/>
  </r>
  <r>
    <x v="164"/>
    <x v="10"/>
    <s v="COPT_S1GP"/>
    <n v="346506.59522356617"/>
    <n v="118079.44981320856"/>
    <n v="0.33700000000000002"/>
    <n v="0"/>
    <n v="0"/>
    <n v="0"/>
    <n v="2.9345207465965459"/>
    <n v="0"/>
    <n v="0"/>
    <n v="0"/>
    <m/>
    <s v="Private Equity Fund"/>
    <n v="0"/>
    <n v="0"/>
    <n v="0"/>
    <n v="0"/>
    <m/>
    <m/>
    <m/>
    <m/>
    <m/>
    <m/>
    <m/>
    <m/>
    <m/>
    <m/>
    <m/>
    <d v="2012-01-31T00:00:00"/>
    <n v="-0.20652928069523357"/>
    <x v="1"/>
  </r>
  <r>
    <x v="165"/>
    <x v="10"/>
    <s v="COPT_S1GP"/>
    <n v="730024.2263319667"/>
    <n v="232666.79399398909"/>
    <n v="0.33700000000000002"/>
    <n v="23984"/>
    <n v="0"/>
    <n v="-8537"/>
    <n v="3.1376382241757574"/>
    <n v="15447"/>
    <n v="-2720.8363074562649"/>
    <n v="15447"/>
    <m/>
    <s v="Private Equity Fund"/>
    <n v="0"/>
    <n v="0"/>
    <n v="0"/>
    <n v="0"/>
    <m/>
    <m/>
    <m/>
    <m/>
    <m/>
    <m/>
    <m/>
    <m/>
    <m/>
    <m/>
    <m/>
    <d v="2012-02-29T00:00:00"/>
    <n v="1.0622326852708857"/>
    <x v="1"/>
  </r>
  <r>
    <x v="166"/>
    <x v="10"/>
    <s v="COPT_S1GP"/>
    <n v="1482653.4895216525"/>
    <n v="472538.0632150918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3-30T00:00:00"/>
    <n v="1.0309647762942045"/>
    <x v="1"/>
  </r>
  <r>
    <x v="167"/>
    <x v="10"/>
    <s v="COPT_S1GP"/>
    <n v="2375518.9952369593"/>
    <n v="757104.17374871089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4-30T00:00:00"/>
    <n v="0.60220780649386363"/>
    <x v="1"/>
  </r>
  <r>
    <x v="168"/>
    <x v="10"/>
    <s v="COPT_S1GP"/>
    <n v="2517481.5755533935"/>
    <n v="802349.2180060765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5-31T00:00:00"/>
    <n v="5.9760658871209404E-2"/>
    <x v="1"/>
  </r>
  <r>
    <x v="169"/>
    <x v="10"/>
    <s v="COPT_S1GP"/>
    <n v="2166176.8995844284"/>
    <n v="690384.53282913857"/>
    <n v="0.33700000000000002"/>
    <n v="0"/>
    <n v="0"/>
    <n v="-85676.47"/>
    <n v="3.1376382241757574"/>
    <n v="-85676.47"/>
    <n v="-27306.038452698544"/>
    <n v="-85676.47"/>
    <m/>
    <s v="Private Equity Fund"/>
    <n v="0"/>
    <n v="0"/>
    <n v="0"/>
    <n v="0"/>
    <m/>
    <m/>
    <m/>
    <m/>
    <m/>
    <m/>
    <m/>
    <m/>
    <m/>
    <m/>
    <m/>
    <d v="2012-06-29T00:00:00"/>
    <n v="-0.10551346573830411"/>
    <x v="1"/>
  </r>
  <r>
    <x v="170"/>
    <x v="10"/>
    <s v="COPT_S1GP"/>
    <n v="2559239.6231593285"/>
    <n v="815657.9695645531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7-31T00:00:00"/>
    <n v="0.18145458187201036"/>
    <x v="1"/>
  </r>
  <r>
    <x v="171"/>
    <x v="10"/>
    <s v="COPT_S1GP"/>
    <n v="2599512.81"/>
    <n v="828493.47957662633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8-31T00:00:00"/>
    <n v="1.5736387666175355E-2"/>
    <x v="1"/>
  </r>
  <r>
    <x v="172"/>
    <x v="10"/>
    <s v="COPT_S1GP"/>
    <n v="2225794.1400000015"/>
    <n v="709385.20663410996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9-28T00:00:00"/>
    <n v="-0.14376488877544658"/>
    <x v="1"/>
  </r>
  <r>
    <x v="173"/>
    <x v="10"/>
    <s v="COPT_S1GP"/>
    <n v="2491441.2019999973"/>
    <n v="794049.86298396043"/>
    <n v="0.33700000000000002"/>
    <n v="0"/>
    <n v="0"/>
    <n v="-37016.06"/>
    <n v="3.1376382241757574"/>
    <n v="-37016.06"/>
    <n v="-11797.427668616556"/>
    <n v="-37016.06"/>
    <m/>
    <s v="Private Equity Fund"/>
    <n v="0"/>
    <n v="0"/>
    <n v="0"/>
    <n v="0"/>
    <m/>
    <m/>
    <m/>
    <m/>
    <m/>
    <m/>
    <m/>
    <m/>
    <m/>
    <m/>
    <m/>
    <d v="2012-10-31T00:00:00"/>
    <n v="0.13597983594295715"/>
    <x v="1"/>
  </r>
  <r>
    <x v="174"/>
    <x v="10"/>
    <s v="COPT_S1GP"/>
    <n v="2570942.1390000032"/>
    <n v="819387.69077667559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11-30T00:00:00"/>
    <n v="3.1909617989855255E-2"/>
    <x v="1"/>
  </r>
  <r>
    <x v="175"/>
    <x v="10"/>
    <s v="COPT_S1GP"/>
    <n v="3058050.1055000015"/>
    <n v="974634.3864431141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12-31T00:00:00"/>
    <n v="0.18946671693259676"/>
    <x v="1"/>
  </r>
  <r>
    <x v="176"/>
    <x v="10"/>
    <s v="COPT_S1GP"/>
    <n v="4024675.1740000006"/>
    <n v="1282708.4853153406"/>
    <n v="0.33700000000000002"/>
    <n v="0"/>
    <n v="-4.6566128730773926E-10"/>
    <n v="-67260.039999999994"/>
    <n v="3.1376382241757574"/>
    <n v="-67260.040000000459"/>
    <n v="-21436.518551360041"/>
    <n v="-67260.040000000459"/>
    <m/>
    <s v="Private Equity Fund"/>
    <n v="0"/>
    <n v="0"/>
    <n v="0"/>
    <n v="0"/>
    <m/>
    <m/>
    <m/>
    <m/>
    <m/>
    <m/>
    <m/>
    <m/>
    <m/>
    <m/>
    <m/>
    <d v="2013-01-31T00:00:00"/>
    <n v="0.33808638604074015"/>
    <x v="1"/>
  </r>
  <r>
    <x v="177"/>
    <x v="10"/>
    <s v="COPT_S1GP"/>
    <n v="3781665.4965000004"/>
    <n v="1205258.6137439176"/>
    <n v="0.33700000000000002"/>
    <n v="0"/>
    <n v="-4.6566128730773926E-10"/>
    <n v="0"/>
    <n v="3.1376382241757574"/>
    <n v="-4.6566128730773926E-10"/>
    <n v="0"/>
    <n v="-4.6566128730773926E-10"/>
    <m/>
    <s v="Private Equity Fund"/>
    <n v="0"/>
    <n v="0"/>
    <n v="0"/>
    <n v="0"/>
    <m/>
    <m/>
    <m/>
    <m/>
    <m/>
    <m/>
    <m/>
    <m/>
    <m/>
    <m/>
    <m/>
    <d v="2013-02-28T00:00:00"/>
    <n v="-6.0379947944589007E-2"/>
    <x v="1"/>
  </r>
  <r>
    <x v="178"/>
    <x v="10"/>
    <s v="COPT_S1GP"/>
    <n v="2995614.1480000014"/>
    <n v="954735.35633220908"/>
    <n v="0.33700000000000002"/>
    <n v="0"/>
    <n v="0"/>
    <n v="-24932.06"/>
    <n v="3.1376382241757574"/>
    <n v="-24932.06"/>
    <n v="-7946.1232362279543"/>
    <n v="-24932.06"/>
    <m/>
    <s v="Private Equity Fund"/>
    <n v="0"/>
    <n v="0"/>
    <n v="0"/>
    <n v="0"/>
    <m/>
    <m/>
    <m/>
    <m/>
    <m/>
    <m/>
    <m/>
    <m/>
    <m/>
    <m/>
    <m/>
    <d v="2013-03-28T00:00:00"/>
    <n v="-0.20126562997293873"/>
    <x v="1"/>
  </r>
  <r>
    <x v="179"/>
    <x v="10"/>
    <s v="COPT_S1GP"/>
    <n v="2528752.7364999996"/>
    <n v="805941.46164326859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4-30T00:00:00"/>
    <n v="-0.15584831304515578"/>
    <x v="1"/>
  </r>
  <r>
    <x v="180"/>
    <x v="10"/>
    <s v="COPT_S1GP"/>
    <n v="2691851.9058000003"/>
    <n v="857922.97055124538"/>
    <n v="0.33700000000000002"/>
    <n v="0"/>
    <n v="0"/>
    <n v="-15318.77"/>
    <n v="3.1376382241757574"/>
    <n v="-15318.77"/>
    <n v="-4882.261403487385"/>
    <n v="-15318.77"/>
    <m/>
    <s v="Private Equity Fund"/>
    <n v="0"/>
    <n v="0"/>
    <n v="0"/>
    <n v="0"/>
    <m/>
    <m/>
    <m/>
    <m/>
    <m/>
    <m/>
    <m/>
    <m/>
    <m/>
    <m/>
    <m/>
    <d v="2013-05-31T00:00:00"/>
    <n v="7.0555707849453642E-2"/>
    <x v="1"/>
  </r>
  <r>
    <x v="181"/>
    <x v="10"/>
    <s v="COPT_S1GP"/>
    <n v="2681525.3633000022"/>
    <n v="854631.78725916566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6-28T00:00:00"/>
    <n v="-3.8362223708324761E-3"/>
    <x v="1"/>
  </r>
  <r>
    <x v="182"/>
    <x v="10"/>
    <s v="COPT_S1GP"/>
    <n v="2161177.1543000005"/>
    <n v="688791.05871669808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7-31T00:00:00"/>
    <n v="-0.1940493333091724"/>
    <x v="1"/>
  </r>
  <r>
    <x v="183"/>
    <x v="10"/>
    <s v="COPT_S1GP"/>
    <n v="1834764.7962999991"/>
    <n v="584759.83055120485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8-30T00:00:00"/>
    <n v="-0.15103452178853216"/>
    <x v="1"/>
  </r>
  <r>
    <x v="35"/>
    <x v="10"/>
    <s v="COPT_S1GP"/>
    <n v="1971752.4828000003"/>
    <n v="628419.32113380288"/>
    <n v="0.33700000000000002"/>
    <n v="0"/>
    <n v="0"/>
    <n v="-26423.59"/>
    <n v="3.1376382241757574"/>
    <n v="-26423.59"/>
    <n v="-8421.4903414944692"/>
    <n v="-26423.59"/>
    <m/>
    <s v="Private Equity Fund"/>
    <n v="0"/>
    <n v="0"/>
    <n v="0"/>
    <n v="0"/>
    <m/>
    <m/>
    <m/>
    <m/>
    <m/>
    <m/>
    <m/>
    <m/>
    <m/>
    <m/>
    <m/>
    <d v="2013-09-30T00:00:00"/>
    <n v="8.9063882645632697E-2"/>
    <x v="1"/>
  </r>
  <r>
    <x v="36"/>
    <x v="10"/>
    <s v="COPT_S1GP"/>
    <n v="2083476.1063000001"/>
    <n v="664026.8754525769"/>
    <n v="0.33700000000000002"/>
    <n v="0"/>
    <n v="-2.3283064365386963E-10"/>
    <n v="0"/>
    <n v="3.1376382241757574"/>
    <n v="-2.3283064365386963E-10"/>
    <n v="0"/>
    <n v="-2.3283064365386963E-10"/>
    <m/>
    <s v="Private Equity Fund"/>
    <n v="0"/>
    <n v="0"/>
    <n v="0"/>
    <n v="0"/>
    <m/>
    <m/>
    <m/>
    <m/>
    <m/>
    <m/>
    <m/>
    <m/>
    <m/>
    <m/>
    <m/>
    <d v="2013-10-31T00:00:00"/>
    <n v="5.666209348008322E-2"/>
    <x v="1"/>
  </r>
  <r>
    <x v="37"/>
    <x v="10"/>
    <s v="COPT_S1GP"/>
    <n v="1860346.6252999993"/>
    <n v="592913.04235328257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-0.10709481156289891"/>
    <x v="1"/>
  </r>
  <r>
    <x v="38"/>
    <x v="10"/>
    <s v="COPT_S1GP"/>
    <n v="1949589.1707999995"/>
    <n v="621355.6285037122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12-31T00:00:00"/>
    <n v="4.7970923421654765E-2"/>
    <x v="1"/>
  </r>
  <r>
    <x v="39"/>
    <x v="10"/>
    <s v="COPT_S1GP"/>
    <n v="1731389.8297999995"/>
    <n v="551813.08554297313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-0.11192067758073543"/>
    <x v="1"/>
  </r>
  <r>
    <x v="40"/>
    <x v="10"/>
    <s v="COPT_S1GP"/>
    <n v="1426557.8423000004"/>
    <n v="454659.76010499115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-0.17606201806973276"/>
    <x v="1"/>
  </r>
  <r>
    <x v="41"/>
    <x v="10"/>
    <s v="COPT_S1GP"/>
    <n v="1308862.3093000003"/>
    <n v="417148.89218747715"/>
    <n v="0.33700000000000002"/>
    <n v="0"/>
    <n v="0"/>
    <n v="-16850"/>
    <n v="3.1376382241757574"/>
    <n v="-16850"/>
    <n v="-5370.2813377811954"/>
    <n v="-16850"/>
    <m/>
    <s v="Private Equity Fund"/>
    <n v="0"/>
    <n v="0"/>
    <n v="0"/>
    <n v="0"/>
    <m/>
    <m/>
    <m/>
    <m/>
    <m/>
    <m/>
    <m/>
    <m/>
    <m/>
    <m/>
    <m/>
    <d v="2014-03-31T00:00:00"/>
    <n v="-7.0691513522795235E-2"/>
    <x v="1"/>
  </r>
  <r>
    <x v="42"/>
    <x v="10"/>
    <s v="COPT_S1GP"/>
    <n v="1259938.4853000003"/>
    <n v="401556.3284485993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-3.7378892838747291E-2"/>
    <x v="1"/>
  </r>
  <r>
    <x v="43"/>
    <x v="10"/>
    <s v="COPT_S1GP"/>
    <n v="1159868.1062999994"/>
    <n v="369662.79202080134"/>
    <n v="0.33700000000000002"/>
    <n v="0"/>
    <n v="0"/>
    <n v="-6740"/>
    <n v="3.1376382241757574"/>
    <n v="-6740"/>
    <n v="-2148.1125351124779"/>
    <n v="-6740"/>
    <m/>
    <s v="Private Equity Fund"/>
    <n v="0"/>
    <n v="0"/>
    <n v="0"/>
    <n v="0"/>
    <m/>
    <m/>
    <m/>
    <m/>
    <m/>
    <m/>
    <m/>
    <m/>
    <m/>
    <m/>
    <m/>
    <d v="2014-05-30T00:00:00"/>
    <n v="-7.4075345811647542E-2"/>
    <x v="1"/>
  </r>
  <r>
    <x v="44"/>
    <x v="10"/>
    <s v="COPT_S1GP"/>
    <n v="1121934.5717999993"/>
    <n v="357572.95508303103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-3.2705041455970973E-2"/>
    <x v="1"/>
  </r>
  <r>
    <x v="45"/>
    <x v="10"/>
    <s v="COPT_S1GP"/>
    <n v="1078114.6608000002"/>
    <n v="343607.06485949818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7-31T00:00:00"/>
    <n v="-3.9057456737156881E-2"/>
    <x v="1"/>
  </r>
  <r>
    <x v="46"/>
    <x v="10"/>
    <s v="COPT_S1GP"/>
    <n v="1420225.6947999999"/>
    <n v="452641.63467191521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8-29T00:00:00"/>
    <n v="0.3173234224884216"/>
    <x v="1"/>
  </r>
  <r>
    <x v="47"/>
    <x v="10"/>
    <s v="COPT_S1GP"/>
    <n v="1434062.8288"/>
    <n v="457051.68229735008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9-30T00:00:00"/>
    <n v="9.7429120249430401E-3"/>
    <x v="1"/>
  </r>
  <r>
    <x v="184"/>
    <x v="10"/>
    <s v="COPT_S1GP"/>
    <n v="1120008.3302999993"/>
    <n v="356959.0406154043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10-31T00:00:00"/>
    <n v="-0.21899633139699759"/>
    <x v="1"/>
  </r>
  <r>
    <x v="185"/>
    <x v="10"/>
    <s v="COPT_S1GP"/>
    <n v="683005.10819999967"/>
    <n v="217681.2810786756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11-28T00:00:00"/>
    <n v="-0.39017854624612158"/>
    <x v="1"/>
  </r>
  <r>
    <x v="186"/>
    <x v="10"/>
    <s v="COPT_S1GP"/>
    <n v="701247.37870000023"/>
    <n v="223495.29442140021"/>
    <n v="0.33700000000000002"/>
    <n v="0"/>
    <n v="0"/>
    <n v="-8088"/>
    <n v="3.1376382241757574"/>
    <n v="-8088"/>
    <n v="-2577.7350421349738"/>
    <n v="-8088"/>
    <m/>
    <s v="Private Equity Fund"/>
    <n v="0"/>
    <n v="0"/>
    <n v="0"/>
    <n v="0"/>
    <m/>
    <m/>
    <m/>
    <m/>
    <m/>
    <m/>
    <m/>
    <m/>
    <m/>
    <m/>
    <m/>
    <d v="2014-12-31T00:00:00"/>
    <n v="3.8550620169432781E-2"/>
    <x v="1"/>
  </r>
  <r>
    <x v="187"/>
    <x v="10"/>
    <s v="COPT_S1GP"/>
    <n v="563722.46930000046"/>
    <n v="179664.58495962759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1-30T00:00:00"/>
    <n v="-0.19611468588296022"/>
    <x v="1"/>
  </r>
  <r>
    <x v="188"/>
    <x v="10"/>
    <s v="COPT_S1GP"/>
    <n v="791148.03080000007"/>
    <n v="252147.62642300193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2-27T00:00:00"/>
    <n v="0.40343533189727943"/>
    <x v="1"/>
  </r>
  <r>
    <x v="189"/>
    <x v="10"/>
    <s v="COPT_S1GP"/>
    <n v="732024.51120000007"/>
    <n v="233304.30690182562"/>
    <n v="0.33700000000000002"/>
    <n v="0"/>
    <n v="0"/>
    <n v="-7919.4999999999991"/>
    <n v="3.1376382241757574"/>
    <n v="-7919.4999999999991"/>
    <n v="-2524.0322287571612"/>
    <n v="-7919.4999999999991"/>
    <m/>
    <s v="Private Equity Fund"/>
    <n v="0"/>
    <n v="0"/>
    <n v="0"/>
    <n v="0"/>
    <m/>
    <m/>
    <m/>
    <m/>
    <m/>
    <m/>
    <m/>
    <m/>
    <m/>
    <m/>
    <m/>
    <d v="2015-03-31T00:00:00"/>
    <n v="-6.4721161662025573E-2"/>
    <x v="1"/>
  </r>
  <r>
    <x v="190"/>
    <x v="10"/>
    <s v="COPT_S1GP"/>
    <n v="803273.9828"/>
    <n v="256012.3014217218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4-30T00:00:00"/>
    <n v="9.7332084527062435E-2"/>
    <x v="1"/>
  </r>
  <r>
    <x v="191"/>
    <x v="10"/>
    <s v="COPT_S1GP"/>
    <n v="821980.5079000002"/>
    <n v="261974.2778394824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5-29T00:00:00"/>
    <n v="2.3287851344063526E-2"/>
    <x v="1"/>
  </r>
  <r>
    <x v="192"/>
    <x v="10"/>
    <s v="COPT_S1GP"/>
    <n v="744855.38629999931"/>
    <n v="237393.64868799341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6-30T00:00:00"/>
    <n v="-9.3828406949746923E-2"/>
    <x v="1"/>
  </r>
  <r>
    <x v="193"/>
    <x v="10"/>
    <s v="COPT_S1GP"/>
    <n v="529720.00819999992"/>
    <n v="168827.62458669205"/>
    <n v="0.33700000000000002"/>
    <n v="0"/>
    <n v="0"/>
    <n v="-4212.5"/>
    <n v="3.1376382241757574"/>
    <n v="-4212.5"/>
    <n v="-1342.5703344452988"/>
    <n v="-4212.5"/>
    <m/>
    <s v="Private Equity Fund"/>
    <n v="0"/>
    <n v="0"/>
    <n v="0"/>
    <n v="0"/>
    <m/>
    <m/>
    <m/>
    <m/>
    <m/>
    <m/>
    <m/>
    <m/>
    <m/>
    <m/>
    <m/>
    <d v="2015-07-31T00:00:00"/>
    <n v="-0.28317292454276177"/>
    <x v="1"/>
  </r>
  <r>
    <x v="194"/>
    <x v="10"/>
    <s v="COPT_S1GP"/>
    <n v="649985.87220000022"/>
    <n v="207157.68541822516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8-31T00:00:00"/>
    <n v="0.2270366649141049"/>
    <x v="1"/>
  </r>
  <r>
    <x v="195"/>
    <x v="10"/>
    <s v="COPT_S1GP"/>
    <n v="602848.56919999979"/>
    <n v="192134.50567850767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9-30T00:00:00"/>
    <n v="-7.2520503931039704E-2"/>
    <x v="1"/>
  </r>
  <r>
    <x v="196"/>
    <x v="10"/>
    <s v="COPT_S1GP"/>
    <n v="550361.43330000003"/>
    <n v="175406.2750317804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10-30T00:00:00"/>
    <n v="-8.7065207718170279E-2"/>
    <x v="1"/>
  </r>
  <r>
    <x v="1"/>
    <x v="10"/>
    <s v="COPT_S1GP"/>
    <n v="534455.69260000042"/>
    <n v="170336.93957511606"/>
    <n v="0.33700000000000002"/>
    <n v="0"/>
    <n v="0"/>
    <n v="-4886.5"/>
    <n v="3.1376382241757574"/>
    <n v="-4886.5"/>
    <n v="-1557.3815879565466"/>
    <n v="-4886.5"/>
    <m/>
    <s v="Private Equity Fund"/>
    <n v="0"/>
    <n v="0"/>
    <n v="0"/>
    <n v="0"/>
    <m/>
    <m/>
    <m/>
    <m/>
    <m/>
    <m/>
    <m/>
    <m/>
    <m/>
    <m/>
    <m/>
    <d v="2015-11-30T00:00:00"/>
    <n v="-2.0021825719014452E-2"/>
    <x v="1"/>
  </r>
  <r>
    <x v="2"/>
    <x v="10"/>
    <s v="COPT_S1GP"/>
    <n v="369057.6590000001"/>
    <n v="117622.75719245797"/>
    <n v="0.33700000000000002"/>
    <n v="0"/>
    <n v="0"/>
    <n v="-6740"/>
    <n v="3.1376382241757574"/>
    <n v="-6740"/>
    <n v="-2148.1125351124779"/>
    <n v="-6740"/>
    <m/>
    <s v="Private Equity Fund"/>
    <n v="0"/>
    <n v="0"/>
    <n v="0"/>
    <n v="0"/>
    <m/>
    <m/>
    <m/>
    <m/>
    <m/>
    <m/>
    <m/>
    <m/>
    <m/>
    <m/>
    <m/>
    <d v="2015-12-31T00:00:00"/>
    <n v="-0.29685909570570113"/>
    <x v="1"/>
  </r>
  <r>
    <x v="3"/>
    <x v="10"/>
    <s v="COPT_S1GP"/>
    <n v="278972.3073000001"/>
    <n v="88911.55938581313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1-29T00:00:00"/>
    <n v="-0.24409560268738384"/>
    <x v="1"/>
  </r>
  <r>
    <x v="4"/>
    <x v="10"/>
    <s v="COPT_S1GP"/>
    <n v="340868.86679999973"/>
    <n v="108638.67738911943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2-29T00:00:00"/>
    <n v="0.22187349023656866"/>
    <x v="1"/>
  </r>
  <r>
    <x v="5"/>
    <x v="10"/>
    <s v="COPT_S1GP"/>
    <n v="326620.88140000001"/>
    <n v="104097.68687905431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3-31T00:00:00"/>
    <n v="-4.1799022403414487E-2"/>
    <x v="1"/>
  </r>
  <r>
    <x v="6"/>
    <x v="10"/>
    <s v="COPT_S1GP"/>
    <n v="441118.7111999999"/>
    <n v="140589.4114245372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0.35055269372008957"/>
    <x v="1"/>
  </r>
  <r>
    <x v="7"/>
    <x v="10"/>
    <s v="COPT_S1GP"/>
    <n v="484726.99900000024"/>
    <n v="154487.85499396946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5-31T00:00:00"/>
    <n v="9.8858395014281397E-2"/>
    <x v="1"/>
  </r>
  <r>
    <x v="8"/>
    <x v="10"/>
    <s v="COPT_S1GP"/>
    <n v="593386.22410000011"/>
    <n v="189118.75165463981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6-30T00:00:00"/>
    <n v="0.22416581977931016"/>
    <x v="1"/>
  </r>
  <r>
    <x v="9"/>
    <x v="10"/>
    <s v="COPT_S1GP"/>
    <n v="932179.00909999991"/>
    <n v="297095.75881549536"/>
    <n v="0.33700000000000002"/>
    <n v="0"/>
    <n v="-1.1641532182693481E-10"/>
    <n v="0"/>
    <n v="3.1376382241757574"/>
    <n v="-1.1641532182693481E-10"/>
    <n v="0"/>
    <n v="-1.1641532182693481E-10"/>
    <m/>
    <s v="Private Equity Fund"/>
    <n v="0"/>
    <n v="0"/>
    <n v="0"/>
    <n v="0"/>
    <m/>
    <m/>
    <m/>
    <m/>
    <m/>
    <m/>
    <m/>
    <m/>
    <m/>
    <m/>
    <m/>
    <d v="2016-07-29T00:00:00"/>
    <n v="0.57094818052753626"/>
    <x v="1"/>
  </r>
  <r>
    <x v="10"/>
    <x v="10"/>
    <s v="COPT_S1GP"/>
    <n v="1096118.6204000004"/>
    <n v="349345.12588300247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8-31T00:00:00"/>
    <n v="0.17586709172767234"/>
    <x v="1"/>
  </r>
  <r>
    <x v="11"/>
    <x v="10"/>
    <s v="COPT_S1GP"/>
    <n v="1372799.7185"/>
    <n v="437526.45155915892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9-30T00:00:00"/>
    <n v="0.25241893801515025"/>
    <x v="1"/>
  </r>
  <r>
    <x v="12"/>
    <x v="10"/>
    <s v="COPT_S1GP"/>
    <n v="1938426.5207000007"/>
    <n v="617797.96847331442"/>
    <n v="0.33700000000000002"/>
    <n v="0"/>
    <n v="-2.3283064365386963E-10"/>
    <n v="0"/>
    <n v="3.1376382241757574"/>
    <n v="-2.3283064365386963E-10"/>
    <n v="0"/>
    <n v="-2.3283064365386963E-10"/>
    <m/>
    <s v="Private Equity Fund"/>
    <n v="0"/>
    <n v="0"/>
    <n v="0"/>
    <n v="0"/>
    <m/>
    <m/>
    <m/>
    <m/>
    <m/>
    <m/>
    <m/>
    <m/>
    <m/>
    <m/>
    <m/>
    <d v="2016-10-31T00:00:00"/>
    <n v="0.41202427023953447"/>
    <x v="1"/>
  </r>
  <r>
    <x v="13"/>
    <x v="10"/>
    <s v="COPT_S1GP"/>
    <n v="1387431.7341000002"/>
    <n v="442189.83674080909"/>
    <n v="0.33700000000000002"/>
    <n v="0"/>
    <n v="0"/>
    <n v="-5055"/>
    <n v="3.1376382241757574"/>
    <n v="-5055"/>
    <n v="-1611.0844013343585"/>
    <n v="-5055"/>
    <m/>
    <s v="Private Equity Fund"/>
    <n v="0"/>
    <n v="0"/>
    <n v="0"/>
    <n v="0"/>
    <m/>
    <m/>
    <m/>
    <m/>
    <m/>
    <m/>
    <m/>
    <m/>
    <m/>
    <m/>
    <m/>
    <d v="2016-11-30T00:00:00"/>
    <n v="-0.28164069195816188"/>
    <x v="1"/>
  </r>
  <r>
    <x v="14"/>
    <x v="10"/>
    <s v="COPT_S1GP"/>
    <n v="1410571.2895"/>
    <n v="449564.66893838608"/>
    <n v="0.33700000000000002"/>
    <n v="0"/>
    <n v="0"/>
    <n v="-8088"/>
    <n v="3.1376382241757574"/>
    <n v="-8088"/>
    <n v="-2577.7350421349738"/>
    <n v="-8088"/>
    <m/>
    <s v="Private Equity Fund"/>
    <n v="0"/>
    <n v="0"/>
    <n v="0"/>
    <n v="0"/>
    <m/>
    <m/>
    <m/>
    <m/>
    <m/>
    <m/>
    <m/>
    <m/>
    <m/>
    <m/>
    <m/>
    <d v="2016-12-30T00:00:00"/>
    <n v="2.2507453615551398E-2"/>
    <x v="1"/>
  </r>
  <r>
    <x v="15"/>
    <x v="10"/>
    <s v="COPT_S1GP"/>
    <n v="1453456.0765000002"/>
    <n v="463232.52480193641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3.0402424407206974E-2"/>
    <x v="1"/>
  </r>
  <r>
    <x v="16"/>
    <x v="10"/>
    <s v="COPT_S1GP"/>
    <n v="1487086.4406999997"/>
    <n v="473950.8937779626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2-28T00:00:00"/>
    <n v="2.3138204685884345E-2"/>
    <x v="1"/>
  </r>
  <r>
    <x v="17"/>
    <x v="10"/>
    <s v="COPT_S1GP"/>
    <n v="1463682.2866"/>
    <n v="466491.73104859859"/>
    <n v="0.33700000000000002"/>
    <n v="0"/>
    <n v="0"/>
    <n v="-5055"/>
    <n v="3.1376382241757574"/>
    <n v="-5055"/>
    <n v="-1611.0844013343585"/>
    <n v="-5055"/>
    <m/>
    <s v="Private Equity Fund"/>
    <n v="0"/>
    <n v="0"/>
    <n v="0"/>
    <n v="0"/>
    <m/>
    <m/>
    <m/>
    <m/>
    <m/>
    <m/>
    <m/>
    <m/>
    <m/>
    <m/>
    <m/>
    <d v="2017-03-31T00:00:00"/>
    <n v="-1.2338996307008521E-2"/>
    <x v="1"/>
  </r>
  <r>
    <x v="18"/>
    <x v="10"/>
    <s v="COPT_S1GP"/>
    <n v="1461109.1350000002"/>
    <n v="465671.6391781677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-1.7579987293396826E-3"/>
    <x v="1"/>
  </r>
  <r>
    <x v="19"/>
    <x v="10"/>
    <s v="COPT_S1GP"/>
    <n v="1418602.9186000002"/>
    <n v="452124.4379513066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-2.9091746387582496E-2"/>
    <x v="1"/>
  </r>
  <r>
    <x v="20"/>
    <x v="10"/>
    <s v="COPT_S1GP"/>
    <n v="1418482.7183000003"/>
    <n v="452086.12878644699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-8.4731462500098331E-5"/>
    <x v="1"/>
  </r>
  <r>
    <x v="21"/>
    <x v="10"/>
    <s v="COPT_S1GP"/>
    <n v="1359115.6680000001"/>
    <n v="433165.19333806663"/>
    <n v="0.33700000000000002"/>
    <n v="0"/>
    <n v="0"/>
    <n v="-7077"/>
    <n v="3.1376382241757574"/>
    <n v="-7077"/>
    <n v="-2255.5181618681017"/>
    <n v="-7077"/>
    <m/>
    <s v="Private Equity Fund"/>
    <n v="0"/>
    <n v="0"/>
    <n v="0"/>
    <n v="0"/>
    <m/>
    <m/>
    <m/>
    <m/>
    <m/>
    <m/>
    <m/>
    <m/>
    <m/>
    <m/>
    <m/>
    <d v="2017-07-31T00:00:00"/>
    <n v="-3.6863367896838306E-2"/>
    <x v="1"/>
  </r>
  <r>
    <x v="22"/>
    <x v="10"/>
    <s v="COPT_S1GP"/>
    <n v="1380399.9999999998"/>
    <n v="439948.7453218493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1.566042721832539E-2"/>
    <x v="1"/>
  </r>
  <r>
    <x v="23"/>
    <x v="10"/>
    <s v="COPT_S1GP"/>
    <n v="1357100"/>
    <n v="432522.7776559561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-1.6879165459287027E-2"/>
    <x v="1"/>
  </r>
  <r>
    <x v="24"/>
    <x v="10"/>
    <s v="COPT_S1GP"/>
    <n v="2081907.77"/>
    <n v="663527.02933012845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0.53408574902365347"/>
    <x v="1"/>
  </r>
  <r>
    <x v="25"/>
    <x v="10"/>
    <s v="COPT_S1GP"/>
    <n v="2073200"/>
    <n v="660751.7667351913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-4.1825916236433169E-3"/>
    <x v="1"/>
  </r>
  <r>
    <x v="26"/>
    <x v="10"/>
    <s v="COPT_S1GP"/>
    <n v="1417399.01"/>
    <n v="451740.7389669164"/>
    <n v="0.33700000000000002"/>
    <n v="0"/>
    <n v="0"/>
    <n v="-639091.62"/>
    <n v="3.1376382241757574"/>
    <n v="-639091.62"/>
    <n v="-203685.56676666773"/>
    <n v="-639091.62"/>
    <m/>
    <s v="Private Equity Fund"/>
    <n v="0"/>
    <n v="0"/>
    <n v="0"/>
    <n v="0"/>
    <m/>
    <m/>
    <m/>
    <m/>
    <m/>
    <m/>
    <m/>
    <m/>
    <m/>
    <m/>
    <m/>
    <d v="2017-12-29T00:00:00"/>
    <n v="-8.0596999807062142E-3"/>
    <x v="1"/>
  </r>
  <r>
    <x v="27"/>
    <x v="10"/>
    <s v="COPT_S1GP"/>
    <n v="1400400.0000000002"/>
    <n v="446322.9664942900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-1.1993101363884651E-2"/>
    <x v="1"/>
  </r>
  <r>
    <x v="28"/>
    <x v="10"/>
    <s v="COPT_S1GP"/>
    <n v="1426000.0000000002"/>
    <n v="454481.969595014"/>
    <n v="0.33700000000000002"/>
    <n v="0"/>
    <n v="0"/>
    <n v="0"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1.8280491288203304E-2"/>
    <x v="1"/>
  </r>
  <r>
    <x v="29"/>
    <x v="10"/>
    <s v="COPT_S1GP"/>
    <n v="817929.08100000001"/>
    <n v="260683.04328325362"/>
    <n v="0.33700000000000002"/>
    <n v="0"/>
    <n v="0"/>
    <n v="-604998.24"/>
    <n v="3.1376382241757574"/>
    <n v="-604998.24"/>
    <n v="-192819.62953486459"/>
    <n v="-604998.24"/>
    <m/>
    <s v="Private Equity Fund"/>
    <n v="0"/>
    <n v="0"/>
    <n v="0"/>
    <n v="0"/>
    <m/>
    <m/>
    <m/>
    <m/>
    <m/>
    <m/>
    <m/>
    <m/>
    <m/>
    <m/>
    <m/>
    <d v="2018-03-29T00:00:00"/>
    <n v="-2.1547538569426372E-3"/>
    <x v="1"/>
  </r>
  <r>
    <x v="30"/>
    <x v="10"/>
    <s v="COPT_S1GP"/>
    <n v="824993.58349999995"/>
    <n v="262934.57835366658"/>
    <n v="0.33700000000000002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8.6370599408971405E-3"/>
    <x v="1"/>
  </r>
  <r>
    <x v="31"/>
    <x v="10"/>
    <s v="COPT_S1GP"/>
    <n v="670093.52049999998"/>
    <n v="213566.21529431755"/>
    <n v="0.33700000000000002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0.18775911243193322"/>
    <x v="1"/>
  </r>
  <r>
    <x v="32"/>
    <x v="10"/>
    <s v="COPT_S1GP"/>
    <n v="668698.59250000003"/>
    <n v="213121.63631473604"/>
    <n v="0.33700000000000002"/>
    <n v="0"/>
    <n v="0"/>
    <m/>
    <n v="3.1376382241757574"/>
    <n v="0"/>
    <n v="0"/>
    <n v="-668698.59250000003"/>
    <m/>
    <s v="Private Equity Fund"/>
    <n v="0"/>
    <n v="0"/>
    <n v="0"/>
    <n v="0"/>
    <m/>
    <m/>
    <m/>
    <m/>
    <m/>
    <m/>
    <m/>
    <m/>
    <m/>
    <m/>
    <m/>
    <d v="2018-06-29T00:00:00"/>
    <n v="-2.0816915211463449E-3"/>
    <x v="1"/>
  </r>
  <r>
    <x v="33"/>
    <x v="10"/>
    <s v="COPT_S1GP"/>
    <n v="668698.59250000003"/>
    <n v="213121.63631473604"/>
    <n v="0.33700000000000002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154"/>
    <x v="10"/>
    <s v="COPT_S2"/>
    <n v="45455421.530000001"/>
    <n v="45426861.016401105"/>
    <n v="166"/>
    <n v="45484000"/>
    <n v="0"/>
    <n v="0"/>
    <n v="1.0006287142223758"/>
    <n v="45484000"/>
    <n v="45426861.016401105"/>
    <n v="45484000"/>
    <n v="45484000"/>
    <s v="Private Equity Fund"/>
    <n v="0"/>
    <n v="0"/>
    <n v="1.5841000000000001E-2"/>
    <n v="0.129771"/>
    <m/>
    <m/>
    <m/>
    <m/>
    <m/>
    <m/>
    <m/>
    <m/>
    <m/>
    <m/>
    <m/>
    <d v="2011-03-31T00:00:00"/>
    <n v="-6.2831918916539387E-4"/>
    <x v="1"/>
  </r>
  <r>
    <x v="155"/>
    <x v="10"/>
    <s v="COPT_S2"/>
    <n v="57966939.544166863"/>
    <n v="45869611.21120733"/>
    <n v="166"/>
    <n v="11952000"/>
    <n v="0"/>
    <n v="0"/>
    <n v="1.2637329598730889"/>
    <n v="11952000"/>
    <n v="0"/>
    <n v="11952000"/>
    <n v="11952000"/>
    <s v="Private Equity Fund"/>
    <n v="0"/>
    <n v="0"/>
    <n v="0"/>
    <n v="0"/>
    <m/>
    <m/>
    <m/>
    <m/>
    <m/>
    <m/>
    <m/>
    <m/>
    <m/>
    <m/>
    <m/>
    <d v="2011-04-29T00:00:00"/>
    <n v="1.230915906912422E-2"/>
    <x v="1"/>
  </r>
  <r>
    <x v="156"/>
    <x v="10"/>
    <s v="COPT_S2"/>
    <n v="76705780.747440457"/>
    <n v="45957589.818853274"/>
    <n v="166"/>
    <n v="18592000"/>
    <n v="0"/>
    <n v="0"/>
    <n v="1.6690557762011551"/>
    <n v="18592000"/>
    <n v="0"/>
    <n v="18592000"/>
    <n v="18592000"/>
    <s v="Private Equity Fund"/>
    <n v="0"/>
    <n v="0"/>
    <n v="0"/>
    <n v="0"/>
    <m/>
    <m/>
    <m/>
    <m/>
    <m/>
    <m/>
    <m/>
    <m/>
    <m/>
    <m/>
    <m/>
    <d v="2011-05-31T00:00:00"/>
    <n v="2.5331888215645026E-3"/>
    <x v="1"/>
  </r>
  <r>
    <x v="157"/>
    <x v="10"/>
    <s v="COPT_S2"/>
    <n v="75836477.478575513"/>
    <n v="45436754.457171403"/>
    <n v="166"/>
    <n v="0"/>
    <n v="0"/>
    <n v="0"/>
    <n v="1.6690557762011551"/>
    <n v="0"/>
    <n v="0"/>
    <n v="0"/>
    <n v="0"/>
    <s v="Private Equity Fund"/>
    <n v="0"/>
    <n v="0"/>
    <n v="0"/>
    <n v="0"/>
    <m/>
    <m/>
    <m/>
    <m/>
    <m/>
    <m/>
    <m/>
    <m/>
    <m/>
    <m/>
    <m/>
    <d v="2011-06-30T00:00:00"/>
    <n v="-1.1332956400342153E-2"/>
    <x v="1"/>
  </r>
  <r>
    <x v="158"/>
    <x v="10"/>
    <s v="COPT_S2"/>
    <n v="91808650.171970159"/>
    <n v="46136368.011183135"/>
    <n v="166"/>
    <n v="14579983"/>
    <n v="0"/>
    <n v="0"/>
    <n v="1.9899409972999258"/>
    <n v="14579983"/>
    <n v="0"/>
    <n v="14579983"/>
    <n v="14579983"/>
    <s v="Private Equity Fund"/>
    <n v="0"/>
    <n v="0"/>
    <n v="0"/>
    <n v="0"/>
    <m/>
    <m/>
    <m/>
    <m/>
    <m/>
    <m/>
    <m/>
    <m/>
    <m/>
    <m/>
    <m/>
    <d v="2011-07-29T00:00:00"/>
    <n v="1.8357784270609745E-2"/>
    <x v="1"/>
  </r>
  <r>
    <x v="159"/>
    <x v="10"/>
    <s v="COPT_S2"/>
    <n v="94759262.790074378"/>
    <n v="45246618.808014639"/>
    <n v="166"/>
    <n v="4814000"/>
    <n v="0"/>
    <n v="0"/>
    <n v="2.0942838445486109"/>
    <n v="4814000"/>
    <n v="0"/>
    <n v="4814000"/>
    <n v="4814000"/>
    <s v="Private Equity Fund"/>
    <n v="0"/>
    <n v="0"/>
    <n v="0"/>
    <n v="0"/>
    <m/>
    <m/>
    <m/>
    <m/>
    <m/>
    <m/>
    <m/>
    <m/>
    <m/>
    <m/>
    <m/>
    <d v="2011-08-31T00:00:00"/>
    <n v="-2.0296424992693018E-2"/>
    <x v="1"/>
  </r>
  <r>
    <x v="160"/>
    <x v="10"/>
    <s v="COPT_S2"/>
    <n v="101240094.92325184"/>
    <n v="44591589.989509508"/>
    <n v="166"/>
    <n v="7968000"/>
    <n v="0"/>
    <n v="0"/>
    <n v="2.2703854010827893"/>
    <n v="7968000"/>
    <n v="0"/>
    <n v="7968000"/>
    <n v="7968000"/>
    <s v="Private Equity Fund"/>
    <n v="0"/>
    <n v="0"/>
    <n v="0"/>
    <n v="0"/>
    <m/>
    <m/>
    <m/>
    <m/>
    <m/>
    <m/>
    <m/>
    <m/>
    <m/>
    <m/>
    <m/>
    <d v="2011-09-30T00:00:00"/>
    <n v="-1.5694168812996678E-2"/>
    <x v="1"/>
  </r>
  <r>
    <x v="161"/>
    <x v="10"/>
    <s v="COPT_S2"/>
    <n v="100052733.59144756"/>
    <n v="44068612.114811227"/>
    <n v="166"/>
    <n v="0"/>
    <n v="0"/>
    <n v="0"/>
    <n v="2.2703854010827893"/>
    <n v="0"/>
    <n v="0"/>
    <n v="0"/>
    <n v="0"/>
    <s v="Private Equity Fund"/>
    <n v="0"/>
    <n v="0"/>
    <n v="0"/>
    <n v="0"/>
    <m/>
    <m/>
    <m/>
    <m/>
    <m/>
    <m/>
    <m/>
    <m/>
    <m/>
    <m/>
    <m/>
    <d v="2011-10-31T00:00:00"/>
    <n v="-1.172817284203842E-2"/>
    <x v="1"/>
  </r>
  <r>
    <x v="162"/>
    <x v="10"/>
    <s v="COPT_S2"/>
    <n v="110706569.4513956"/>
    <n v="44888409.866782501"/>
    <n v="166"/>
    <n v="8632000"/>
    <n v="0"/>
    <n v="0"/>
    <n v="2.4662617762568293"/>
    <n v="8632000"/>
    <n v="0"/>
    <n v="8632000"/>
    <n v="8632000"/>
    <s v="Private Equity Fund"/>
    <n v="0"/>
    <n v="0"/>
    <n v="0"/>
    <n v="0"/>
    <m/>
    <m/>
    <m/>
    <m/>
    <m/>
    <m/>
    <m/>
    <m/>
    <m/>
    <m/>
    <m/>
    <d v="2011-11-30T00:00:00"/>
    <n v="2.0207702352281087E-2"/>
    <x v="1"/>
  </r>
  <r>
    <x v="163"/>
    <x v="10"/>
    <s v="COPT_S2"/>
    <n v="155809622.75436318"/>
    <n v="45455268.368714377"/>
    <n v="166"/>
    <n v="43160000"/>
    <n v="0"/>
    <n v="0"/>
    <n v="3.4277571851627808"/>
    <n v="43160000"/>
    <n v="0"/>
    <n v="43160000"/>
    <n v="43160000"/>
    <s v="Private Equity Fund"/>
    <n v="0"/>
    <n v="0"/>
    <n v="0"/>
    <n v="0"/>
    <m/>
    <m/>
    <m/>
    <m/>
    <m/>
    <m/>
    <m/>
    <m/>
    <m/>
    <m/>
    <m/>
    <d v="2011-12-30T00:00:00"/>
    <n v="1.7551382113964342E-2"/>
    <x v="1"/>
  </r>
  <r>
    <x v="164"/>
    <x v="10"/>
    <s v="COPT_S2"/>
    <n v="155361118.26698914"/>
    <n v="45324423.48585178"/>
    <n v="166"/>
    <n v="0"/>
    <n v="0"/>
    <n v="0"/>
    <n v="3.4277571851627808"/>
    <n v="0"/>
    <n v="0"/>
    <n v="0"/>
    <n v="0"/>
    <s v="Private Equity Fund"/>
    <n v="0"/>
    <n v="0"/>
    <n v="0"/>
    <n v="0"/>
    <m/>
    <m/>
    <m/>
    <m/>
    <m/>
    <m/>
    <m/>
    <m/>
    <m/>
    <m/>
    <m/>
    <d v="2012-01-31T00:00:00"/>
    <n v="-2.8785416423291466E-3"/>
    <x v="1"/>
  </r>
  <r>
    <x v="165"/>
    <x v="10"/>
    <s v="COPT_S2"/>
    <n v="167970974.18795109"/>
    <n v="45813137.462739617"/>
    <n v="166"/>
    <n v="10818017"/>
    <n v="0"/>
    <n v="0"/>
    <n v="3.6664368233798426"/>
    <n v="10818017"/>
    <n v="0"/>
    <n v="10818017"/>
    <n v="10818017"/>
    <s v="Private Equity Fund"/>
    <n v="0"/>
    <n v="0"/>
    <n v="0"/>
    <n v="0"/>
    <m/>
    <m/>
    <m/>
    <m/>
    <m/>
    <m/>
    <m/>
    <m/>
    <m/>
    <m/>
    <m/>
    <d v="2012-02-29T00:00:00"/>
    <n v="1.1533380687197781E-2"/>
    <x v="1"/>
  </r>
  <r>
    <x v="166"/>
    <x v="10"/>
    <s v="COPT_S2"/>
    <n v="171505407.63952401"/>
    <n v="46777134.286313616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3-30T00:00:00"/>
    <n v="2.1041929825435624E-2"/>
    <x v="1"/>
  </r>
  <r>
    <x v="167"/>
    <x v="10"/>
    <s v="COPT_S2"/>
    <n v="175710406.576123"/>
    <n v="47924024.07036358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4-30T00:00:00"/>
    <n v="2.4518171143834699E-2"/>
    <x v="1"/>
  </r>
  <r>
    <x v="168"/>
    <x v="10"/>
    <s v="COPT_S2"/>
    <n v="176373895.738648"/>
    <n v="48104987.00372006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5-31T00:00:00"/>
    <n v="3.7760379447848713E-3"/>
    <x v="1"/>
  </r>
  <r>
    <x v="169"/>
    <x v="10"/>
    <s v="COPT_S2"/>
    <n v="132936435.45803101"/>
    <n v="36257664.28329885"/>
    <n v="166"/>
    <n v="0"/>
    <n v="0"/>
    <n v="-42202654.469999999"/>
    <n v="3.6664368233798426"/>
    <n v="-42202654.469999999"/>
    <n v="-11510536.388049964"/>
    <n v="-42202654.469999999"/>
    <n v="-42202654.469999999"/>
    <s v="Private Equity Fund"/>
    <n v="0"/>
    <n v="0"/>
    <n v="0"/>
    <n v="0"/>
    <m/>
    <m/>
    <m/>
    <m/>
    <m/>
    <m/>
    <m/>
    <m/>
    <m/>
    <m/>
    <m/>
    <d v="2012-06-29T00:00:00"/>
    <n v="-7.0010689815839244E-3"/>
    <x v="1"/>
  </r>
  <r>
    <x v="170"/>
    <x v="10"/>
    <s v="COPT_S2"/>
    <n v="134749839.169386"/>
    <n v="36752259.935347572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7-31T00:00:00"/>
    <n v="1.3641133863014465E-2"/>
    <x v="1"/>
  </r>
  <r>
    <x v="171"/>
    <x v="10"/>
    <s v="COPT_S2"/>
    <n v="134946857.1805"/>
    <n v="36805995.488584891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1.462102013096489E-3"/>
    <x v="1"/>
  </r>
  <r>
    <x v="172"/>
    <x v="10"/>
    <s v="COPT_S2"/>
    <n v="133212483.83499999"/>
    <n v="36332954.923849016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9-28T00:00:00"/>
    <n v="-1.2852269269081007E-2"/>
    <x v="1"/>
  </r>
  <r>
    <x v="173"/>
    <x v="10"/>
    <s v="COPT_S2"/>
    <n v="116414686.05599999"/>
    <n v="31751450.158272494"/>
    <n v="166"/>
    <n v="0"/>
    <n v="0"/>
    <n v="-18233427.600000001"/>
    <n v="3.6664368233798426"/>
    <n v="-18233427.600000001"/>
    <n v="-4973064.7160563441"/>
    <n v="-18233427.600000001"/>
    <n v="-18233427.600000001"/>
    <s v="Private Equity Fund"/>
    <n v="0"/>
    <n v="0"/>
    <n v="0"/>
    <n v="0"/>
    <m/>
    <m/>
    <m/>
    <m/>
    <m/>
    <m/>
    <m/>
    <m/>
    <m/>
    <m/>
    <m/>
    <d v="2012-10-31T00:00:00"/>
    <n v="1.0776991612724496E-2"/>
    <x v="1"/>
  </r>
  <r>
    <x v="174"/>
    <x v="10"/>
    <s v="COPT_S2"/>
    <n v="116801795.11300001"/>
    <n v="31857031.97398291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11-30T00:00:00"/>
    <n v="3.3252596396111667E-3"/>
    <x v="1"/>
  </r>
  <r>
    <x v="175"/>
    <x v="10"/>
    <s v="COPT_S2"/>
    <n v="119155354.69850001"/>
    <n v="32498952.099400602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12-31T00:00:00"/>
    <n v="2.0150029228772182E-2"/>
    <x v="1"/>
  </r>
  <r>
    <x v="176"/>
    <x v="10"/>
    <s v="COPT_S2"/>
    <n v="90893976.321999997"/>
    <n v="24790820.270622019"/>
    <n v="166"/>
    <n v="0"/>
    <n v="0"/>
    <n v="-33131055.840000004"/>
    <n v="3.6664368233798426"/>
    <n v="-33131055.840000004"/>
    <n v="-9036308.938621968"/>
    <n v="-33131055.840000004"/>
    <n v="-33131055.840000004"/>
    <s v="Private Equity Fund"/>
    <n v="0"/>
    <n v="0"/>
    <n v="0"/>
    <n v="0"/>
    <m/>
    <m/>
    <m/>
    <m/>
    <m/>
    <m/>
    <m/>
    <m/>
    <m/>
    <m/>
    <m/>
    <d v="2013-01-31T00:00:00"/>
    <n v="4.0868305715859643E-2"/>
    <x v="1"/>
  </r>
  <r>
    <x v="177"/>
    <x v="10"/>
    <s v="COPT_S2"/>
    <n v="89760068.119499996"/>
    <n v="24481553.192768831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2-28T00:00:00"/>
    <n v="-1.2475064337410302E-2"/>
    <x v="1"/>
  </r>
  <r>
    <x v="178"/>
    <x v="10"/>
    <s v="COPT_S2"/>
    <n v="73911483.362000003"/>
    <n v="20158940.934339065"/>
    <n v="166"/>
    <n v="0"/>
    <n v="0"/>
    <n v="-12281075.470000001"/>
    <n v="3.6664368233798426"/>
    <n v="-12281075.470000001"/>
    <n v="-3349594.1868374809"/>
    <n v="-12281075.470000001"/>
    <n v="-12281075.470000001"/>
    <s v="Private Equity Fund"/>
    <n v="0"/>
    <n v="0"/>
    <n v="0"/>
    <n v="0"/>
    <m/>
    <m/>
    <m/>
    <m/>
    <m/>
    <m/>
    <m/>
    <m/>
    <m/>
    <m/>
    <m/>
    <d v="2013-03-28T00:00:00"/>
    <n v="-3.9744948530458735E-2"/>
    <x v="1"/>
  </r>
  <r>
    <x v="179"/>
    <x v="10"/>
    <s v="COPT_S2"/>
    <n v="71728085.667500004"/>
    <n v="19563431.50660882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4-30T00:00:00"/>
    <n v="-2.9540709984215319E-2"/>
    <x v="1"/>
  </r>
  <r>
    <x v="180"/>
    <x v="10"/>
    <s v="COPT_S2"/>
    <n v="65026495.470299989"/>
    <n v="17735610.513085678"/>
    <n v="166"/>
    <n v="0"/>
    <n v="-7.4505805969238281E-9"/>
    <n v="-7545743.6550000003"/>
    <n v="3.6664368233798426"/>
    <n v="-7545743.6550000077"/>
    <n v="-2058059.0962001316"/>
    <n v="-7545743.6550000077"/>
    <n v="-7545743.6550000077"/>
    <s v="Private Equity Fund"/>
    <n v="0"/>
    <n v="0"/>
    <n v="0"/>
    <n v="0"/>
    <m/>
    <m/>
    <m/>
    <m/>
    <m/>
    <m/>
    <m/>
    <m/>
    <m/>
    <m/>
    <m/>
    <d v="2013-05-31T00:00:00"/>
    <n v="1.1768799486899795E-2"/>
    <x v="1"/>
  </r>
  <r>
    <x v="181"/>
    <x v="10"/>
    <s v="COPT_S2"/>
    <n v="64977431.030800007"/>
    <n v="17722228.463465426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7.545299672868655E-4"/>
    <x v="1"/>
  </r>
  <r>
    <x v="182"/>
    <x v="10"/>
    <s v="COPT_S2"/>
    <n v="62539624.587800004"/>
    <n v="17057330.482009754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3.7517741226864687E-2"/>
    <x v="1"/>
  </r>
  <r>
    <x v="183"/>
    <x v="10"/>
    <s v="COPT_S2"/>
    <n v="61010187.491800003"/>
    <n v="16640185.125447981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2.4455488917315304E-2"/>
    <x v="1"/>
  </r>
  <r>
    <x v="35"/>
    <x v="10"/>
    <s v="COPT_S2"/>
    <n v="48764910.963299997"/>
    <n v="13300354.89834157"/>
    <n v="166"/>
    <n v="0"/>
    <n v="0"/>
    <n v="-13015771.939999999"/>
    <n v="3.6664368233798426"/>
    <n v="-13015771.939999999"/>
    <n v="-3549978.5123807564"/>
    <n v="-13015771.939999999"/>
    <n v="-13015771.939999999"/>
    <s v="Private Equity Fund"/>
    <n v="0"/>
    <n v="0"/>
    <n v="0"/>
    <n v="0"/>
    <m/>
    <m/>
    <m/>
    <m/>
    <m/>
    <m/>
    <m/>
    <m/>
    <m/>
    <m/>
    <m/>
    <d v="2013-09-30T00:00:00"/>
    <n v="1.2628963181002373E-2"/>
    <x v="1"/>
  </r>
  <r>
    <x v="36"/>
    <x v="10"/>
    <s v="COPT_S2"/>
    <n v="49296549.149800003"/>
    <n v="13445356.22036351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10-31T00:00:00"/>
    <n v="1.090206412762873E-2"/>
    <x v="1"/>
  </r>
  <r>
    <x v="37"/>
    <x v="10"/>
    <s v="COPT_S2"/>
    <n v="48251123.456799999"/>
    <n v="13160222.248782817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1206873727067865E-2"/>
    <x v="1"/>
  </r>
  <r>
    <x v="38"/>
    <x v="10"/>
    <s v="COPT_S2"/>
    <n v="48700587.553300001"/>
    <n v="13282811.050431844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9.3151011686269936E-3"/>
    <x v="1"/>
  </r>
  <r>
    <x v="39"/>
    <x v="10"/>
    <s v="COPT_S2"/>
    <n v="47680249.746299997"/>
    <n v="13004519.65850232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2.0951242238777978E-2"/>
    <x v="1"/>
  </r>
  <r>
    <x v="40"/>
    <x v="10"/>
    <s v="COPT_S2"/>
    <n v="46255086.561800003"/>
    <n v="12615814.42419633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2.9890010897239194E-2"/>
    <x v="1"/>
  </r>
  <r>
    <x v="41"/>
    <x v="10"/>
    <s v="COPT_S2"/>
    <n v="37483452.4168"/>
    <n v="10223400.599126242"/>
    <n v="166"/>
    <n v="0"/>
    <n v="0"/>
    <n v="-8300000.0000000009"/>
    <n v="3.6664368233798426"/>
    <n v="-8300000.0000000009"/>
    <n v="-2263778.2675193585"/>
    <n v="-8300000.0000000009"/>
    <n v="-8300000.0000000009"/>
    <s v="Private Equity Fund"/>
    <n v="0"/>
    <n v="0"/>
    <n v="0"/>
    <n v="0"/>
    <m/>
    <m/>
    <m/>
    <m/>
    <m/>
    <m/>
    <m/>
    <m/>
    <m/>
    <m/>
    <m/>
    <d v="2014-03-31T00:00:00"/>
    <n v="-1.0196373632765043E-2"/>
    <x v="1"/>
  </r>
  <r>
    <x v="42"/>
    <x v="10"/>
    <s v="COPT_S2"/>
    <n v="37255948.658799998"/>
    <n v="10161350.23007330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6.0694451372903524E-3"/>
    <x v="1"/>
  </r>
  <r>
    <x v="43"/>
    <x v="10"/>
    <s v="COPT_S2"/>
    <n v="32837970.873799995"/>
    <n v="8956371.6642821822"/>
    <n v="166"/>
    <n v="0"/>
    <n v="-3.7252902984619141E-9"/>
    <n v="-3984000"/>
    <n v="3.6664368233798426"/>
    <n v="-3984000.0000000037"/>
    <n v="-1086613.568409292"/>
    <n v="-3984000.0000000037"/>
    <n v="-3984000.0000000037"/>
    <s v="Private Equity Fund"/>
    <n v="0"/>
    <n v="0"/>
    <n v="0"/>
    <n v="0"/>
    <m/>
    <m/>
    <m/>
    <m/>
    <m/>
    <m/>
    <m/>
    <m/>
    <m/>
    <m/>
    <m/>
    <d v="2014-05-30T00:00:00"/>
    <n v="-1.1648550114090162E-2"/>
    <x v="1"/>
  </r>
  <r>
    <x v="44"/>
    <x v="10"/>
    <s v="COPT_S2"/>
    <n v="32662030.8783"/>
    <n v="8908385.0211255141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5.357821778213756E-3"/>
    <x v="1"/>
  </r>
  <r>
    <x v="45"/>
    <x v="10"/>
    <s v="COPT_S2"/>
    <n v="32458143.367300004"/>
    <n v="8852775.8504724521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-6.242340280666836E-3"/>
    <x v="1"/>
  </r>
  <r>
    <x v="46"/>
    <x v="10"/>
    <s v="COPT_S2"/>
    <n v="34065376.883299999"/>
    <n v="9291139.742562755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4.9517111863496277E-2"/>
    <x v="1"/>
  </r>
  <r>
    <x v="47"/>
    <x v="10"/>
    <s v="COPT_S2"/>
    <n v="34132872.3913"/>
    <n v="9309548.762341741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1.981352157976346E-3"/>
    <x v="1"/>
  </r>
  <r>
    <x v="184"/>
    <x v="10"/>
    <s v="COPT_S2"/>
    <n v="32660201.873799998"/>
    <n v="8907886.170446200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10-31T00:00:00"/>
    <n v="-4.3145226707476447E-2"/>
    <x v="1"/>
  </r>
  <r>
    <x v="185"/>
    <x v="10"/>
    <s v="COPT_S2"/>
    <n v="30664346.4538"/>
    <n v="8363527.8421441866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6.1109708620664449E-2"/>
    <x v="1"/>
  </r>
  <r>
    <x v="186"/>
    <x v="10"/>
    <s v="COPT_S2"/>
    <n v="26745883.417300001"/>
    <n v="7294789.1115289321"/>
    <n v="166"/>
    <n v="0"/>
    <n v="0"/>
    <n v="-3984000"/>
    <n v="3.6664368233798426"/>
    <n v="-3984000"/>
    <n v="-1086613.568409292"/>
    <n v="-3984000"/>
    <n v="-3984000"/>
    <s v="Private Equity Fund"/>
    <n v="0"/>
    <n v="0"/>
    <n v="0"/>
    <n v="0"/>
    <m/>
    <m/>
    <m/>
    <m/>
    <m/>
    <m/>
    <m/>
    <m/>
    <m/>
    <m/>
    <m/>
    <d v="2014-12-31T00:00:00"/>
    <n v="2.1372365981691122E-3"/>
    <x v="1"/>
  </r>
  <r>
    <x v="187"/>
    <x v="10"/>
    <s v="COPT_S2"/>
    <n v="26494746.789799999"/>
    <n v="7226293.0103828348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9.3897301346029804E-3"/>
    <x v="1"/>
  </r>
  <r>
    <x v="188"/>
    <x v="10"/>
    <s v="COPT_S2"/>
    <n v="27633170.992699999"/>
    <n v="7536791.801918144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4.2967921600906678E-2"/>
    <x v="1"/>
  </r>
  <r>
    <x v="189"/>
    <x v="10"/>
    <s v="COPT_S2"/>
    <n v="23560229.002300002"/>
    <n v="6425919.8064079564"/>
    <n v="166"/>
    <n v="0"/>
    <n v="0"/>
    <n v="-3901000"/>
    <n v="3.6664368233798426"/>
    <n v="-3901000"/>
    <n v="-1063975.7857340984"/>
    <n v="-3901000"/>
    <n v="-3901000"/>
    <s v="Private Equity Fund"/>
    <n v="0"/>
    <n v="0"/>
    <n v="0"/>
    <n v="0"/>
    <m/>
    <m/>
    <m/>
    <m/>
    <m/>
    <m/>
    <m/>
    <m/>
    <m/>
    <m/>
    <m/>
    <d v="2015-03-31T00:00:00"/>
    <n v="-6.2223039999795837E-3"/>
    <x v="1"/>
  </r>
  <r>
    <x v="190"/>
    <x v="10"/>
    <s v="COPT_S2"/>
    <n v="23959889.320900001"/>
    <n v="6534924.9080509134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1.6963346093154863E-2"/>
    <x v="1"/>
  </r>
  <r>
    <x v="191"/>
    <x v="10"/>
    <s v="COPT_S2"/>
    <n v="24108507.849199999"/>
    <n v="6575459.774860099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6.2028052930260813E-3"/>
    <x v="1"/>
  </r>
  <r>
    <x v="192"/>
    <x v="10"/>
    <s v="COPT_S2"/>
    <n v="23813479.602899998"/>
    <n v="6494992.481814522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2237515824099043E-2"/>
    <x v="1"/>
  </r>
  <r>
    <x v="193"/>
    <x v="10"/>
    <s v="COPT_S2"/>
    <n v="20805701.559"/>
    <n v="5674637.9553925106"/>
    <n v="166"/>
    <n v="0"/>
    <n v="0"/>
    <n v="-2075000.0000000002"/>
    <n v="3.6664368233798426"/>
    <n v="-2075000.0000000002"/>
    <n v="-565944.56687983964"/>
    <n v="-2075000.0000000002"/>
    <n v="-2075000.0000000002"/>
    <s v="Private Equity Fund"/>
    <n v="0"/>
    <n v="0"/>
    <n v="0"/>
    <n v="0"/>
    <m/>
    <m/>
    <m/>
    <m/>
    <m/>
    <m/>
    <m/>
    <m/>
    <m/>
    <m/>
    <m/>
    <d v="2015-07-31T00:00:00"/>
    <n v="-3.9170169981643688E-2"/>
    <x v="1"/>
  </r>
  <r>
    <x v="194"/>
    <x v="10"/>
    <s v="COPT_S2"/>
    <n v="21425847.437100001"/>
    <n v="5843779.251962930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2.9806535306748261E-2"/>
    <x v="1"/>
  </r>
  <r>
    <x v="195"/>
    <x v="10"/>
    <s v="COPT_S2"/>
    <n v="21260417.132599998"/>
    <n v="5798659.0678525437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7.7210623750428864E-3"/>
    <x v="1"/>
  </r>
  <r>
    <x v="196"/>
    <x v="10"/>
    <s v="COPT_S2"/>
    <n v="21073536.754999999"/>
    <n v="5747688.497077038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8.7900616640980145E-3"/>
    <x v="1"/>
  </r>
  <r>
    <x v="1"/>
    <x v="10"/>
    <s v="COPT_S2"/>
    <n v="18666487.9903"/>
    <n v="5091179.4991990654"/>
    <n v="166"/>
    <n v="0"/>
    <n v="0"/>
    <n v="-2407000"/>
    <n v="3.6664368233798426"/>
    <n v="-2407000"/>
    <n v="-656495.69758061389"/>
    <n v="-2407000"/>
    <n v="-2407000"/>
    <s v="Private Equity Fund"/>
    <n v="0"/>
    <n v="0"/>
    <n v="0"/>
    <n v="0"/>
    <m/>
    <m/>
    <m/>
    <m/>
    <m/>
    <m/>
    <m/>
    <m/>
    <m/>
    <m/>
    <m/>
    <d v="2015-11-30T00:00:00"/>
    <n v="-2.314025432270661E-6"/>
    <x v="1"/>
  </r>
  <r>
    <x v="2"/>
    <x v="10"/>
    <s v="COPT_S2"/>
    <n v="14615185.301000001"/>
    <n v="3986209.5012255632"/>
    <n v="166"/>
    <n v="0"/>
    <n v="0"/>
    <n v="-3320000"/>
    <n v="3.6664368233798426"/>
    <n v="-3320000"/>
    <n v="-905511.30700774339"/>
    <n v="-3320000"/>
    <n v="-3320000"/>
    <s v="Private Equity Fund"/>
    <n v="0"/>
    <n v="0"/>
    <n v="0"/>
    <n v="0"/>
    <m/>
    <m/>
    <m/>
    <m/>
    <m/>
    <m/>
    <m/>
    <m/>
    <m/>
    <m/>
    <m/>
    <d v="2015-12-31T00:00:00"/>
    <n v="-3.9177304787061162E-2"/>
    <x v="1"/>
  </r>
  <r>
    <x v="3"/>
    <x v="10"/>
    <s v="COPT_S2"/>
    <n v="14147926.432700001"/>
    <n v="3858767.2757601137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1970779615639211E-2"/>
    <x v="1"/>
  </r>
  <r>
    <x v="4"/>
    <x v="10"/>
    <s v="COPT_S2"/>
    <n v="14532908.953199999"/>
    <n v="3963769.0906134541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2.7211232849655653E-2"/>
    <x v="1"/>
  </r>
  <r>
    <x v="5"/>
    <x v="10"/>
    <s v="COPT_S2"/>
    <n v="14492167.5286"/>
    <n v="3952657.0964451097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-2.8033908924357531E-3"/>
    <x v="1"/>
  </r>
  <r>
    <x v="6"/>
    <x v="10"/>
    <s v="COPT_S2"/>
    <n v="15131296.208799999"/>
    <n v="4126975.8454071684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4.4101662428252419E-2"/>
    <x v="1"/>
  </r>
  <r>
    <x v="7"/>
    <x v="10"/>
    <s v="COPT_S2"/>
    <n v="15375532.3751"/>
    <n v="4193589.8846134557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6141126505603509E-2"/>
    <x v="1"/>
  </r>
  <r>
    <x v="8"/>
    <x v="10"/>
    <s v="COPT_S2"/>
    <n v="15883809.908199999"/>
    <n v="4332219.719950821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3057556688127043E-2"/>
    <x v="1"/>
  </r>
  <r>
    <x v="9"/>
    <x v="10"/>
    <s v="COPT_S2"/>
    <n v="17511862.707400002"/>
    <n v="4776261.954312630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0.10249762548212837"/>
    <x v="1"/>
  </r>
  <r>
    <x v="10"/>
    <x v="10"/>
    <s v="COPT_S2"/>
    <n v="18323958.088100001"/>
    <n v="4997756.396961007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4.6374014818928E-2"/>
    <x v="1"/>
  </r>
  <r>
    <x v="11"/>
    <x v="10"/>
    <s v="COPT_S2"/>
    <n v="19641859.5502"/>
    <n v="5357206.6004108824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7.1922313714299246E-2"/>
    <x v="1"/>
  </r>
  <r>
    <x v="12"/>
    <x v="10"/>
    <s v="COPT_S2"/>
    <n v="21261530.336100001"/>
    <n v="5798962.687839366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8.246015514775995E-2"/>
    <x v="1"/>
  </r>
  <r>
    <x v="13"/>
    <x v="10"/>
    <s v="COPT_S2"/>
    <n v="17312951.462000001"/>
    <n v="4722010.0320835067"/>
    <n v="166"/>
    <n v="0"/>
    <n v="0"/>
    <n v="-2490000"/>
    <n v="3.6664368233798426"/>
    <n v="-2490000"/>
    <n v="-679133.48025580752"/>
    <n v="-2490000"/>
    <n v="-2490000"/>
    <s v="Private Equity Fund"/>
    <n v="0"/>
    <n v="0"/>
    <n v="0"/>
    <n v="0"/>
    <m/>
    <m/>
    <m/>
    <m/>
    <m/>
    <m/>
    <m/>
    <m/>
    <m/>
    <m/>
    <m/>
    <d v="2016-11-30T00:00:00"/>
    <n v="-6.8601782235001019E-2"/>
    <x v="1"/>
  </r>
  <r>
    <x v="14"/>
    <x v="10"/>
    <s v="COPT_S2"/>
    <n v="13494317.740700001"/>
    <n v="3680499.1851081434"/>
    <n v="166"/>
    <n v="0"/>
    <n v="0"/>
    <n v="-3984000"/>
    <n v="3.6664368233798426"/>
    <n v="-3984000"/>
    <n v="-1086613.568409292"/>
    <n v="-3984000"/>
    <n v="-3984000"/>
    <s v="Private Equity Fund"/>
    <n v="0"/>
    <n v="0"/>
    <n v="0"/>
    <n v="0"/>
    <m/>
    <m/>
    <m/>
    <m/>
    <m/>
    <m/>
    <m/>
    <m/>
    <m/>
    <m/>
    <m/>
    <d v="2016-12-30T00:00:00"/>
    <n v="9.551593733914121E-3"/>
    <x v="1"/>
  </r>
  <r>
    <x v="15"/>
    <x v="10"/>
    <s v="COPT_S2"/>
    <n v="13711362.126399999"/>
    <n v="3739696.819256908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6084131845019112E-2"/>
    <x v="1"/>
  </r>
  <r>
    <x v="16"/>
    <x v="10"/>
    <s v="COPT_S2"/>
    <n v="13889828.339500001"/>
    <n v="3788372.4740403132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3015936086786084E-2"/>
    <x v="1"/>
  </r>
  <r>
    <x v="17"/>
    <x v="10"/>
    <s v="COPT_S2"/>
    <n v="11326239.392999999"/>
    <n v="3089168.0229632589"/>
    <n v="166"/>
    <n v="0"/>
    <n v="0"/>
    <n v="-2490000"/>
    <n v="3.6664368233798426"/>
    <n v="-2490000"/>
    <n v="-679133.48025580752"/>
    <n v="-2490000"/>
    <n v="-2490000"/>
    <s v="Private Equity Fund"/>
    <n v="0"/>
    <n v="0"/>
    <n v="0"/>
    <n v="0"/>
    <m/>
    <m/>
    <m/>
    <m/>
    <m/>
    <m/>
    <m/>
    <m/>
    <m/>
    <m/>
    <m/>
    <d v="2017-03-31T00:00:00"/>
    <n v="-5.2980457858308183E-3"/>
    <x v="1"/>
  </r>
  <r>
    <x v="18"/>
    <x v="10"/>
    <s v="COPT_S2"/>
    <n v="11323798.039999999"/>
    <n v="3088502.1576783499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1554841949644743E-4"/>
    <x v="1"/>
  </r>
  <r>
    <x v="19"/>
    <x v="10"/>
    <s v="COPT_S2"/>
    <n v="11131427.014699999"/>
    <n v="3036034.0436573192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1.6988207015037893E-2"/>
    <x v="1"/>
  </r>
  <r>
    <x v="20"/>
    <x v="10"/>
    <s v="COPT_S2"/>
    <n v="11136392.9254"/>
    <n v="3037388.467840584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4.4611627003821042E-4"/>
    <x v="1"/>
  </r>
  <r>
    <x v="21"/>
    <x v="10"/>
    <s v="COPT_S2"/>
    <n v="7401068.1880000001"/>
    <n v="2018599.6771594312"/>
    <n v="166"/>
    <n v="0"/>
    <n v="0"/>
    <n v="-3486000"/>
    <n v="3.6664368233798426"/>
    <n v="-3486000"/>
    <n v="-950786.87235813052"/>
    <n v="-3486000"/>
    <n v="-3486000"/>
    <s v="Private Equity Fund"/>
    <n v="0"/>
    <n v="0"/>
    <n v="0"/>
    <n v="0"/>
    <m/>
    <m/>
    <m/>
    <m/>
    <m/>
    <m/>
    <m/>
    <m/>
    <m/>
    <m/>
    <m/>
    <d v="2017-07-31T00:00:00"/>
    <n v="-2.2388284884537146E-2"/>
    <x v="1"/>
  </r>
  <r>
    <x v="22"/>
    <x v="10"/>
    <s v="COPT_S2"/>
    <n v="7505600"/>
    <n v="2047110.1403244936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4123881762025503E-2"/>
    <x v="1"/>
  </r>
  <r>
    <x v="23"/>
    <x v="10"/>
    <s v="COPT_S2"/>
    <n v="7342700"/>
    <n v="2002680.082519806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1703794500106621E-2"/>
    <x v="1"/>
  </r>
  <r>
    <x v="24"/>
    <x v="10"/>
    <s v="COPT_S2"/>
    <n v="11324900"/>
    <n v="3088802.711063853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0.54233456358015442"/>
    <x v="1"/>
  </r>
  <r>
    <x v="25"/>
    <x v="10"/>
    <s v="COPT_S2"/>
    <n v="11286200"/>
    <n v="3078247.5039610825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-3.4172487174279897E-3"/>
    <x v="1"/>
  </r>
  <r>
    <x v="26"/>
    <x v="10"/>
    <s v="COPT_S2"/>
    <n v="6958600"/>
    <n v="1897918.9701638804"/>
    <n v="166"/>
    <n v="0"/>
    <n v="0"/>
    <n v="-4245335.18"/>
    <n v="3.6664368233798426"/>
    <n v="-4245335.18"/>
    <n v="-1157891.2673276365"/>
    <n v="-4245335.18"/>
    <n v="-4245335.18"/>
    <s v="Private Equity Fund"/>
    <n v="0"/>
    <n v="0"/>
    <n v="0"/>
    <n v="0"/>
    <m/>
    <m/>
    <m/>
    <m/>
    <m/>
    <m/>
    <m/>
    <m/>
    <m/>
    <m/>
    <m/>
    <d v="2017-12-29T00:00:00"/>
    <n v="-7.2889741454165158E-3"/>
    <x v="1"/>
  </r>
  <r>
    <x v="27"/>
    <x v="10"/>
    <s v="COPT_S2"/>
    <n v="6879600"/>
    <n v="1876372.1649670093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-1.1352858333572802E-2"/>
    <x v="1"/>
  </r>
  <r>
    <x v="28"/>
    <x v="10"/>
    <s v="COPT_S2"/>
    <n v="6999000"/>
    <n v="1908937.8426949384"/>
    <n v="166"/>
    <n v="0"/>
    <n v="0"/>
    <n v="0"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1.7355660212803103E-2"/>
    <x v="1"/>
  </r>
  <r>
    <x v="29"/>
    <x v="10"/>
    <s v="COPT_S2"/>
    <n v="3873139.8689999999"/>
    <n v="1056377.0918680693"/>
    <n v="166"/>
    <n v="0"/>
    <n v="0"/>
    <n v="-3111302.82"/>
    <n v="3.6664368233798426"/>
    <n v="-3111302.82"/>
    <n v="-848590.32621538476"/>
    <n v="-3111302.82"/>
    <n v="-3111302.82"/>
    <s v="Private Equity Fund"/>
    <n v="0"/>
    <n v="0.68349527099999996"/>
    <n v="0"/>
    <n v="0"/>
    <m/>
    <m/>
    <m/>
    <m/>
    <m/>
    <m/>
    <m/>
    <m/>
    <m/>
    <m/>
    <m/>
    <d v="2018-03-29T00:00:00"/>
    <n v="-2.0799129875697098E-3"/>
    <x v="1"/>
  </r>
  <r>
    <x v="30"/>
    <x v="10"/>
    <s v="COPT_S2"/>
    <n v="3906216.8964999998"/>
    <n v="1065398.6648811584"/>
    <n v="166"/>
    <n v="0"/>
    <n v="0"/>
    <m/>
    <n v="3.6664368233798426"/>
    <n v="0"/>
    <n v="0"/>
    <n v="0"/>
    <n v="0"/>
    <s v="Private Equity Fund"/>
    <n v="0"/>
    <n v="0.68933239000000002"/>
    <n v="0"/>
    <n v="0"/>
    <m/>
    <m/>
    <m/>
    <m/>
    <m/>
    <m/>
    <m/>
    <m/>
    <m/>
    <m/>
    <m/>
    <d v="2018-04-30T00:00:00"/>
    <n v="8.5401066366703748E-3"/>
    <x v="1"/>
  </r>
  <r>
    <x v="31"/>
    <x v="10"/>
    <s v="COPT_S2"/>
    <n v="3054371.7335000001"/>
    <n v="833062.69291840121"/>
    <n v="166"/>
    <n v="0"/>
    <n v="0"/>
    <m/>
    <n v="3.6664368233798426"/>
    <n v="0"/>
    <n v="0"/>
    <n v="0"/>
    <n v="0"/>
    <s v="Private Equity Fund"/>
    <n v="0"/>
    <n v="0.53900678000000002"/>
    <n v="0"/>
    <n v="0"/>
    <m/>
    <m/>
    <m/>
    <m/>
    <m/>
    <m/>
    <m/>
    <m/>
    <m/>
    <m/>
    <m/>
    <d v="2018-05-31T00:00:00"/>
    <n v="-0.21807420979701853"/>
    <x v="1"/>
  </r>
  <r>
    <x v="32"/>
    <x v="10"/>
    <s v="COPT_S2"/>
    <n v="3047941.5855"/>
    <n v="831308.90625583089"/>
    <n v="166"/>
    <n v="0"/>
    <n v="0"/>
    <m/>
    <n v="3.6664368233798426"/>
    <n v="0"/>
    <n v="0"/>
    <n v="-3047941.5855"/>
    <n v="-3047941.5855"/>
    <s v="Private Equity Fund"/>
    <n v="0"/>
    <n v="0.53787204"/>
    <n v="0"/>
    <n v="0"/>
    <m/>
    <m/>
    <m/>
    <m/>
    <m/>
    <m/>
    <m/>
    <m/>
    <m/>
    <m/>
    <m/>
    <d v="2018-06-29T00:00:00"/>
    <n v="-2.1052277067243885E-3"/>
    <x v="1"/>
  </r>
  <r>
    <x v="33"/>
    <x v="10"/>
    <s v="COPT_S2"/>
    <n v="3047941.5855"/>
    <n v="831308.90625583089"/>
    <n v="166"/>
    <n v="0"/>
    <n v="0"/>
    <m/>
    <n v="3.6664368233798426"/>
    <n v="0"/>
    <n v="0"/>
    <n v="0"/>
    <n v="0"/>
    <s v="Private Equity Fund"/>
    <n v="0"/>
    <n v="0.53787204"/>
    <n v="0"/>
    <n v="0"/>
    <m/>
    <m/>
    <m/>
    <m/>
    <m/>
    <m/>
    <m/>
    <m/>
    <m/>
    <m/>
    <m/>
    <d v="2018-07-31T00:00:00"/>
    <n v="0"/>
    <x v="1"/>
  </r>
  <r>
    <x v="154"/>
    <x v="10"/>
    <s v="COPT_S3"/>
    <n v="698494.09991152771"/>
    <n v="696991.43944459327"/>
    <n v="2.5"/>
    <n v="700000"/>
    <n v="0"/>
    <n v="0"/>
    <n v="1.0021559238491249"/>
    <n v="700000"/>
    <n v="696991.43944459327"/>
    <n v="700000"/>
    <n v="700000"/>
    <s v="Private Equity Fund"/>
    <n v="0"/>
    <n v="0"/>
    <n v="0"/>
    <n v="0"/>
    <m/>
    <m/>
    <m/>
    <m/>
    <m/>
    <m/>
    <m/>
    <m/>
    <m/>
    <m/>
    <m/>
    <d v="2011-03-31T00:00:00"/>
    <n v="-2.1512858406746993E-3"/>
    <x v="1"/>
  </r>
  <r>
    <x v="155"/>
    <x v="10"/>
    <s v="COPT_S3"/>
    <n v="885716.25064541516"/>
    <n v="702721.44632387103"/>
    <n v="2.5"/>
    <n v="180000"/>
    <n v="0"/>
    <n v="0"/>
    <n v="1.2604087370306403"/>
    <n v="180000"/>
    <n v="0"/>
    <n v="180000"/>
    <n v="180000"/>
    <s v="Private Equity Fund"/>
    <n v="0"/>
    <n v="0"/>
    <n v="0"/>
    <n v="0"/>
    <m/>
    <m/>
    <m/>
    <m/>
    <m/>
    <m/>
    <m/>
    <m/>
    <m/>
    <m/>
    <m/>
    <d v="2011-04-29T00:00:00"/>
    <n v="1.0339601629852258E-2"/>
    <x v="1"/>
  </r>
  <r>
    <x v="156"/>
    <x v="10"/>
    <s v="COPT_S3"/>
    <n v="1166764.3727162105"/>
    <n v="703353.27920524799"/>
    <n v="2.5"/>
    <n v="280000"/>
    <n v="0"/>
    <n v="0"/>
    <n v="1.6588596473661039"/>
    <n v="280000"/>
    <n v="0"/>
    <n v="280000"/>
    <n v="280000"/>
    <s v="Private Equity Fund"/>
    <n v="0"/>
    <n v="0"/>
    <n v="0"/>
    <n v="0"/>
    <m/>
    <m/>
    <m/>
    <m/>
    <m/>
    <m/>
    <m/>
    <m/>
    <m/>
    <m/>
    <m/>
    <d v="2011-05-31T00:00:00"/>
    <n v="1.1833610030658193E-3"/>
    <x v="1"/>
  </r>
  <r>
    <x v="157"/>
    <x v="10"/>
    <s v="COPT_S3"/>
    <n v="885716.25064541516"/>
    <n v="533930.79520122963"/>
    <n v="2.5"/>
    <n v="0"/>
    <n v="-1.1641532182693481E-10"/>
    <n v="0"/>
    <n v="1.6588596473661039"/>
    <n v="-1.1641532182693481E-10"/>
    <n v="0"/>
    <n v="-1.1641532182693481E-10"/>
    <n v="-1.1641532182693481E-10"/>
    <s v="Private Equity Fund"/>
    <n v="0"/>
    <n v="0"/>
    <n v="0"/>
    <n v="0"/>
    <m/>
    <m/>
    <m/>
    <m/>
    <m/>
    <m/>
    <m/>
    <m/>
    <m/>
    <m/>
    <m/>
    <d v="2011-06-30T00:00:00"/>
    <n v="-0.24087821726722702"/>
    <x v="1"/>
  </r>
  <r>
    <x v="158"/>
    <x v="10"/>
    <s v="COPT_S3"/>
    <n v="1391806.9162973689"/>
    <n v="672335.5098891448"/>
    <n v="2.5"/>
    <n v="219578"/>
    <n v="0"/>
    <n v="0"/>
    <n v="2.0701077004349377"/>
    <n v="219578"/>
    <n v="0"/>
    <n v="219578"/>
    <n v="219578"/>
    <s v="Private Equity Fund"/>
    <n v="0"/>
    <n v="0"/>
    <n v="0"/>
    <n v="0"/>
    <m/>
    <m/>
    <m/>
    <m/>
    <m/>
    <m/>
    <m/>
    <m/>
    <m/>
    <m/>
    <m/>
    <d v="2011-07-29T00:00:00"/>
    <n v="0.32348132423129194"/>
    <x v="1"/>
  </r>
  <r>
    <x v="159"/>
    <x v="10"/>
    <s v="COPT_S3"/>
    <n v="1434720.3104248999"/>
    <n v="658750.84022477246"/>
    <n v="2.5"/>
    <n v="72500"/>
    <n v="0"/>
    <n v="0"/>
    <n v="2.1779407673094715"/>
    <n v="72500"/>
    <n v="0"/>
    <n v="72500"/>
    <n v="72500"/>
    <s v="Private Equity Fund"/>
    <n v="0"/>
    <n v="0"/>
    <n v="0"/>
    <n v="0"/>
    <m/>
    <m/>
    <m/>
    <m/>
    <m/>
    <m/>
    <m/>
    <m/>
    <m/>
    <m/>
    <m/>
    <d v="2011-08-31T00:00:00"/>
    <n v="-2.1257694243378533E-2"/>
    <x v="1"/>
  </r>
  <r>
    <x v="160"/>
    <x v="10"/>
    <s v="COPT_S3"/>
    <n v="1531054.6660233366"/>
    <n v="648723.46550698159"/>
    <n v="2.5"/>
    <n v="120000"/>
    <n v="0"/>
    <n v="0"/>
    <n v="2.3601037228194102"/>
    <n v="120000"/>
    <n v="0"/>
    <n v="120000"/>
    <n v="120000"/>
    <s v="Private Equity Fund"/>
    <n v="0"/>
    <n v="0"/>
    <n v="0"/>
    <n v="0"/>
    <m/>
    <m/>
    <m/>
    <m/>
    <m/>
    <m/>
    <m/>
    <m/>
    <m/>
    <m/>
    <m/>
    <d v="2011-09-30T00:00:00"/>
    <n v="-1.6494953218132546E-2"/>
    <x v="1"/>
  </r>
  <r>
    <x v="161"/>
    <x v="10"/>
    <s v="COPT_S3"/>
    <n v="1511874.1302845422"/>
    <n v="640596.47703891504"/>
    <n v="2.5"/>
    <n v="0"/>
    <n v="0"/>
    <n v="0"/>
    <n v="2.3601037228194102"/>
    <n v="0"/>
    <n v="0"/>
    <n v="0"/>
    <n v="0"/>
    <s v="Private Equity Fund"/>
    <n v="0"/>
    <n v="0"/>
    <n v="0"/>
    <n v="0"/>
    <m/>
    <m/>
    <m/>
    <m/>
    <m/>
    <m/>
    <m/>
    <m/>
    <m/>
    <m/>
    <m/>
    <d v="2011-10-31T00:00:00"/>
    <n v="-1.2527662247758031E-2"/>
    <x v="1"/>
  </r>
  <r>
    <x v="162"/>
    <x v="10"/>
    <s v="COPT_S3"/>
    <n v="1678523.2737329511"/>
    <n v="651917.64320667309"/>
    <n v="2.5"/>
    <n v="137500"/>
    <n v="0"/>
    <n v="0"/>
    <n v="2.5747474258812475"/>
    <n v="137500"/>
    <n v="0"/>
    <n v="137500"/>
    <n v="137500"/>
    <s v="Private Equity Fund"/>
    <n v="0"/>
    <n v="0"/>
    <n v="0"/>
    <n v="0"/>
    <m/>
    <m/>
    <m/>
    <m/>
    <m/>
    <m/>
    <m/>
    <m/>
    <m/>
    <m/>
    <m/>
    <d v="2011-11-30T00:00:00"/>
    <n v="1.9280139043666988E-2"/>
    <x v="1"/>
  </r>
  <r>
    <x v="163"/>
    <x v="10"/>
    <s v="COPT_S3"/>
    <n v="2358030.7045429787"/>
    <n v="660178.85105791281"/>
    <n v="2.5"/>
    <n v="650000"/>
    <n v="0"/>
    <n v="0"/>
    <n v="3.5718058837606192"/>
    <n v="650000"/>
    <n v="0"/>
    <n v="650000"/>
    <n v="650000"/>
    <s v="Private Equity Fund"/>
    <n v="0"/>
    <n v="0"/>
    <n v="0"/>
    <n v="0"/>
    <m/>
    <m/>
    <m/>
    <m/>
    <m/>
    <m/>
    <m/>
    <m/>
    <m/>
    <m/>
    <m/>
    <d v="2011-12-30T00:00:00"/>
    <n v="1.757939926826535E-2"/>
    <x v="1"/>
  </r>
  <r>
    <x v="164"/>
    <x v="10"/>
    <s v="COPT_S3"/>
    <n v="2348572.4309151429"/>
    <n v="657530.81420046824"/>
    <n v="2.5"/>
    <n v="0"/>
    <n v="0"/>
    <n v="0"/>
    <n v="3.5718058837606192"/>
    <n v="0"/>
    <n v="0"/>
    <n v="0"/>
    <n v="0"/>
    <s v="Private Equity Fund"/>
    <n v="0"/>
    <n v="0"/>
    <n v="0"/>
    <n v="0"/>
    <m/>
    <m/>
    <m/>
    <m/>
    <m/>
    <m/>
    <m/>
    <m/>
    <m/>
    <m/>
    <m/>
    <d v="2012-01-31T00:00:00"/>
    <n v="-4.0110901056603643E-3"/>
    <x v="1"/>
  </r>
  <r>
    <x v="165"/>
    <x v="10"/>
    <s v="COPT_S3"/>
    <n v="2515481.670588511"/>
    <n v="664528.08830121788"/>
    <n v="2.5"/>
    <n v="140422"/>
    <n v="0"/>
    <n v="0"/>
    <n v="3.7853654568898993"/>
    <n v="140422"/>
    <n v="0"/>
    <n v="140422"/>
    <n v="140422"/>
    <s v="Private Equity Fund"/>
    <n v="0"/>
    <n v="0"/>
    <n v="0"/>
    <n v="0"/>
    <m/>
    <m/>
    <m/>
    <m/>
    <m/>
    <m/>
    <m/>
    <m/>
    <m/>
    <m/>
    <m/>
    <d v="2012-02-29T00:00:00"/>
    <n v="1.1278016945403424E-2"/>
    <x v="1"/>
  </r>
  <r>
    <x v="166"/>
    <x v="10"/>
    <s v="COPT_S3"/>
    <n v="2564402.1641417602"/>
    <n v="677451.67364862654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3-30T00:00:00"/>
    <n v="1.9447763871721646E-2"/>
    <x v="1"/>
  </r>
  <r>
    <x v="167"/>
    <x v="10"/>
    <s v="COPT_S3"/>
    <n v="2622754.3313792697"/>
    <n v="692866.8740835806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4-30T00:00:00"/>
    <n v="2.2754686473694496E-2"/>
    <x v="1"/>
  </r>
  <r>
    <x v="168"/>
    <x v="10"/>
    <s v="COPT_S3"/>
    <n v="2630903.9288705401"/>
    <n v="695019.7963269104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5-31T00:00:00"/>
    <n v="3.1072668125133873E-3"/>
    <x v="1"/>
  </r>
  <r>
    <x v="169"/>
    <x v="10"/>
    <s v="COPT_S3"/>
    <n v="1976938.7068198901"/>
    <n v="522258.3471356993"/>
    <n v="2.5"/>
    <n v="0"/>
    <n v="0"/>
    <n v="-635582.14999999991"/>
    <n v="3.7853654568898993"/>
    <n v="-635582.14999999991"/>
    <n v="-167905.0958852997"/>
    <n v="-635582.14999999991"/>
    <n v="-635582.14999999991"/>
    <s v="Private Equity Fund"/>
    <n v="0"/>
    <n v="0"/>
    <n v="0"/>
    <n v="0"/>
    <m/>
    <m/>
    <m/>
    <m/>
    <m/>
    <m/>
    <m/>
    <m/>
    <m/>
    <m/>
    <m/>
    <d v="2012-06-29T00:00:00"/>
    <n v="-6.9873596861220744E-3"/>
    <x v="1"/>
  </r>
  <r>
    <x v="170"/>
    <x v="10"/>
    <s v="COPT_S3"/>
    <n v="2001656.2666096399"/>
    <n v="528788.1155480888"/>
    <n v="2.5"/>
    <n v="0"/>
    <n v="-2.3283064365386963E-10"/>
    <n v="0"/>
    <n v="3.7853654568898993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2-07-31T00:00:00"/>
    <n v="1.2502946957577032E-2"/>
    <x v="1"/>
  </r>
  <r>
    <x v="171"/>
    <x v="10"/>
    <s v="COPT_S3"/>
    <n v="2003493.0580000002"/>
    <n v="529273.35043789761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9.1763577043701972E-4"/>
    <x v="1"/>
  </r>
  <r>
    <x v="172"/>
    <x v="10"/>
    <s v="COPT_S3"/>
    <n v="1978060.466"/>
    <n v="522554.6881872794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9-28T00:00:00"/>
    <n v="-1.2694125341960683E-2"/>
    <x v="1"/>
  </r>
  <r>
    <x v="173"/>
    <x v="10"/>
    <s v="COPT_S3"/>
    <n v="1722936.112"/>
    <n v="455157.13915125764"/>
    <n v="2.5"/>
    <n v="0"/>
    <n v="0"/>
    <n v="-274599.81"/>
    <n v="3.7853654568898993"/>
    <n v="-274599.81"/>
    <n v="-72542.48318354298"/>
    <n v="-274599.81"/>
    <n v="-274599.81"/>
    <s v="Private Equity Fund"/>
    <n v="0"/>
    <n v="0"/>
    <n v="0"/>
    <n v="0"/>
    <m/>
    <m/>
    <m/>
    <m/>
    <m/>
    <m/>
    <m/>
    <m/>
    <m/>
    <m/>
    <m/>
    <d v="2012-10-31T00:00:00"/>
    <n v="9.8457334013570819E-3"/>
    <x v="1"/>
  </r>
  <r>
    <x v="174"/>
    <x v="10"/>
    <s v="COPT_S3"/>
    <n v="1727626.872"/>
    <n v="456396.32201310317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11-30T00:00:00"/>
    <n v="2.7225385592242191E-3"/>
    <x v="1"/>
  </r>
  <r>
    <x v="175"/>
    <x v="10"/>
    <s v="COPT_S3"/>
    <n v="1760145.44"/>
    <n v="464986.9239960138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12-31T00:00:00"/>
    <n v="1.8822680132518865E-2"/>
    <x v="1"/>
  </r>
  <r>
    <x v="176"/>
    <x v="10"/>
    <s v="COPT_S3"/>
    <n v="1329563.5919999999"/>
    <n v="351237.84140313498"/>
    <n v="2.5"/>
    <n v="0"/>
    <n v="0"/>
    <n v="-498961.68"/>
    <n v="3.7853654568898993"/>
    <n v="-498961.68"/>
    <n v="-131813.34422857885"/>
    <n v="-498961.68"/>
    <n v="-498961.68"/>
    <s v="Private Equity Fund"/>
    <n v="0"/>
    <n v="0"/>
    <n v="0"/>
    <n v="0"/>
    <m/>
    <m/>
    <m/>
    <m/>
    <m/>
    <m/>
    <m/>
    <m/>
    <m/>
    <m/>
    <m/>
    <d v="2013-01-31T00:00:00"/>
    <n v="3.8848966935368656E-2"/>
    <x v="1"/>
  </r>
  <r>
    <x v="177"/>
    <x v="10"/>
    <s v="COPT_S3"/>
    <n v="1312918.304"/>
    <n v="346840.56769480562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2-28T00:00:00"/>
    <n v="-1.2519362067489492E-2"/>
    <x v="1"/>
  </r>
  <r>
    <x v="178"/>
    <x v="10"/>
    <s v="COPT_S3"/>
    <n v="1076928.1359999999"/>
    <n v="284497.79770664911"/>
    <n v="2.5"/>
    <n v="0"/>
    <n v="0"/>
    <n v="-184955.96"/>
    <n v="3.7853654568898993"/>
    <n v="-184955.96"/>
    <n v="-48860.793523477114"/>
    <n v="-184955.96"/>
    <n v="-184955.96"/>
    <s v="Private Equity Fund"/>
    <n v="0"/>
    <n v="0"/>
    <n v="0"/>
    <n v="0"/>
    <m/>
    <m/>
    <m/>
    <m/>
    <m/>
    <m/>
    <m/>
    <m/>
    <m/>
    <m/>
    <m/>
    <d v="2013-03-28T00:00:00"/>
    <n v="-3.8870817662086665E-2"/>
    <x v="1"/>
  </r>
  <r>
    <x v="179"/>
    <x v="10"/>
    <s v="COPT_S3"/>
    <n v="1045449.552"/>
    <n v="276181.9337937725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4-30T00:00:00"/>
    <n v="-2.9229976400207969E-2"/>
    <x v="1"/>
  </r>
  <r>
    <x v="180"/>
    <x v="10"/>
    <s v="COPT_S3"/>
    <n v="943323.60800000001"/>
    <n v="249202.78338859408"/>
    <n v="2.5"/>
    <n v="0"/>
    <n v="0"/>
    <n v="-113640.72"/>
    <n v="3.7853654568898993"/>
    <n v="-113640.72"/>
    <n v="-30021.069641547518"/>
    <n v="-113640.72"/>
    <n v="-113640.72"/>
    <s v="Private Equity Fund"/>
    <n v="0"/>
    <n v="0"/>
    <n v="0"/>
    <n v="0"/>
    <m/>
    <m/>
    <m/>
    <m/>
    <m/>
    <m/>
    <m/>
    <m/>
    <m/>
    <m/>
    <m/>
    <d v="2013-05-31T00:00:00"/>
    <n v="1.1014186172801477E-2"/>
    <x v="1"/>
  </r>
  <r>
    <x v="181"/>
    <x v="10"/>
    <s v="COPT_S3"/>
    <n v="942222.12800000003"/>
    <n v="248911.7995952075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1.1676586811341094E-3"/>
    <x v="1"/>
  </r>
  <r>
    <x v="182"/>
    <x v="10"/>
    <s v="COPT_S3"/>
    <n v="907211.67200000002"/>
    <n v="239662.90238865756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3.7157327300638365E-2"/>
    <x v="1"/>
  </r>
  <r>
    <x v="183"/>
    <x v="10"/>
    <s v="COPT_S3"/>
    <n v="885131.28799999994"/>
    <n v="233829.8106432328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2.4338734477834301E-2"/>
    <x v="1"/>
  </r>
  <r>
    <x v="35"/>
    <x v="10"/>
    <s v="COPT_S3"/>
    <n v="699704.20400000003"/>
    <n v="184844.5578025867"/>
    <n v="2.5"/>
    <n v="0"/>
    <n v="0"/>
    <n v="-196020.66"/>
    <n v="3.7853654568898993"/>
    <n v="-196020.66"/>
    <n v="-51783.813804084552"/>
    <n v="-196020.66"/>
    <n v="-196020.66"/>
    <s v="Private Equity Fund"/>
    <n v="0"/>
    <n v="0"/>
    <n v="0"/>
    <n v="0"/>
    <m/>
    <m/>
    <m/>
    <m/>
    <m/>
    <m/>
    <m/>
    <m/>
    <m/>
    <m/>
    <m/>
    <d v="2013-09-30T00:00:00"/>
    <n v="1.1968366889319793E-2"/>
    <x v="1"/>
  </r>
  <r>
    <x v="36"/>
    <x v="10"/>
    <s v="COPT_S3"/>
    <n v="706908.06"/>
    <n v="186747.63851752481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10-31T00:00:00"/>
    <n v="1.0295573413476422E-2"/>
    <x v="1"/>
  </r>
  <r>
    <x v="37"/>
    <x v="10"/>
    <s v="COPT_S3"/>
    <n v="691788.14"/>
    <n v="182753.3293359688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1388806912174707E-2"/>
    <x v="1"/>
  </r>
  <r>
    <x v="38"/>
    <x v="10"/>
    <s v="COPT_S3"/>
    <n v="697822.54799999995"/>
    <n v="184347.470791720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8.72291334743025E-3"/>
    <x v="1"/>
  </r>
  <r>
    <x v="39"/>
    <x v="10"/>
    <s v="COPT_S3"/>
    <n v="683053.26"/>
    <n v="180445.78991884302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2.1164819111004096E-2"/>
    <x v="1"/>
  </r>
  <r>
    <x v="40"/>
    <x v="10"/>
    <s v="COPT_S3"/>
    <n v="662567.67599999998"/>
    <n v="175034.0049186091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2.9991195708516272E-2"/>
    <x v="1"/>
  </r>
  <r>
    <x v="41"/>
    <x v="10"/>
    <s v="COPT_S3"/>
    <n v="530641.91599999997"/>
    <n v="140182.47961611126"/>
    <n v="2.5"/>
    <n v="0"/>
    <n v="0"/>
    <n v="-125000"/>
    <n v="3.7853654568898993"/>
    <n v="-125000"/>
    <n v="-33021.91067773453"/>
    <n v="-125000"/>
    <n v="-125000"/>
    <s v="Private Equity Fund"/>
    <n v="0"/>
    <n v="0"/>
    <n v="0"/>
    <n v="0"/>
    <m/>
    <m/>
    <m/>
    <m/>
    <m/>
    <m/>
    <m/>
    <m/>
    <m/>
    <m/>
    <m/>
    <d v="2014-03-31T00:00:00"/>
    <n v="-1.0452909568138935E-2"/>
    <x v="1"/>
  </r>
  <r>
    <x v="42"/>
    <x v="10"/>
    <s v="COPT_S3"/>
    <n v="527186.46"/>
    <n v="139269.633541048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6.5118414053065843E-3"/>
    <x v="1"/>
  </r>
  <r>
    <x v="43"/>
    <x v="10"/>
    <s v="COPT_S3"/>
    <n v="470825.98"/>
    <n v="124380.58765053458"/>
    <n v="2.5"/>
    <n v="0"/>
    <n v="0"/>
    <n v="-50000"/>
    <n v="3.7853654568898993"/>
    <n v="-50000"/>
    <n v="-13208.764271093811"/>
    <n v="-50000"/>
    <n v="-50000"/>
    <s v="Private Equity Fund"/>
    <n v="0"/>
    <n v="0"/>
    <n v="0"/>
    <n v="0"/>
    <m/>
    <m/>
    <m/>
    <m/>
    <m/>
    <m/>
    <m/>
    <m/>
    <m/>
    <m/>
    <m/>
    <d v="2014-05-30T00:00:00"/>
    <n v="-1.2064953261508249E-2"/>
    <x v="1"/>
  </r>
  <r>
    <x v="44"/>
    <x v="10"/>
    <s v="COPT_S3"/>
    <n v="468117.78"/>
    <n v="123665.14814255506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5.7520190368423041E-3"/>
    <x v="1"/>
  </r>
  <r>
    <x v="45"/>
    <x v="10"/>
    <s v="COPT_S3"/>
    <n v="465015.43599999999"/>
    <n v="122845.5855308782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-6.6272723074095596E-3"/>
    <x v="1"/>
  </r>
  <r>
    <x v="46"/>
    <x v="10"/>
    <s v="COPT_S3"/>
    <n v="487585.83600000001"/>
    <n v="128808.12739296413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4.8536883407887643E-2"/>
    <x v="1"/>
  </r>
  <r>
    <x v="47"/>
    <x v="10"/>
    <s v="COPT_S3"/>
    <n v="488484.26"/>
    <n v="129045.4688095939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1.8425965925721322E-3"/>
    <x v="1"/>
  </r>
  <r>
    <x v="184"/>
    <x v="10"/>
    <s v="COPT_S3"/>
    <n v="467610.12400000001"/>
    <n v="123531.03797385893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10-31T00:00:00"/>
    <n v="-4.2732463887372729E-2"/>
    <x v="1"/>
  </r>
  <r>
    <x v="185"/>
    <x v="10"/>
    <s v="COPT_S3"/>
    <n v="439319.804"/>
    <n v="116057.43461318272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6.049980218135742E-2"/>
    <x v="1"/>
  </r>
  <r>
    <x v="186"/>
    <x v="10"/>
    <s v="COPT_S3"/>
    <n v="380249.12400000001"/>
    <n v="100452.42086411841"/>
    <n v="2.5"/>
    <n v="0"/>
    <n v="0"/>
    <n v="-60000"/>
    <n v="3.7853654568898993"/>
    <n v="-60000"/>
    <n v="-15850.517125312572"/>
    <n v="-60000"/>
    <n v="-60000"/>
    <s v="Private Equity Fund"/>
    <n v="0"/>
    <n v="0"/>
    <n v="0"/>
    <n v="0"/>
    <m/>
    <m/>
    <m/>
    <m/>
    <m/>
    <m/>
    <m/>
    <m/>
    <m/>
    <m/>
    <m/>
    <d v="2014-12-31T00:00:00"/>
    <n v="2.115361045731623E-3"/>
    <x v="1"/>
  </r>
  <r>
    <x v="187"/>
    <x v="10"/>
    <s v="COPT_S3"/>
    <n v="377084.1115"/>
    <n v="99616.30278356709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8.3235234488009402E-3"/>
    <x v="1"/>
  </r>
  <r>
    <x v="188"/>
    <x v="10"/>
    <s v="COPT_S3"/>
    <n v="393289.81140000001"/>
    <n v="103897.44818011086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4.2976353035760306E-2"/>
    <x v="1"/>
  </r>
  <r>
    <x v="189"/>
    <x v="10"/>
    <s v="COPT_S3"/>
    <n v="332170.0001"/>
    <n v="87751.104585002147"/>
    <n v="2.5"/>
    <n v="0"/>
    <n v="0"/>
    <n v="-58750"/>
    <n v="3.7853654568898993"/>
    <n v="-58750"/>
    <n v="-15520.298018535228"/>
    <n v="-58750"/>
    <n v="-58750"/>
    <s v="Private Equity Fund"/>
    <n v="0"/>
    <n v="0"/>
    <n v="0"/>
    <n v="0"/>
    <m/>
    <m/>
    <m/>
    <m/>
    <m/>
    <m/>
    <m/>
    <m/>
    <m/>
    <m/>
    <m/>
    <d v="2015-03-31T00:00:00"/>
    <n v="-6.0256107107482526E-3"/>
    <x v="1"/>
  </r>
  <r>
    <x v="190"/>
    <x v="10"/>
    <s v="COPT_S3"/>
    <n v="337898.42499999999"/>
    <n v="89264.41286797742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1.7245461354955083E-2"/>
    <x v="1"/>
  </r>
  <r>
    <x v="191"/>
    <x v="10"/>
    <s v="COPT_S3"/>
    <n v="340065.67599999998"/>
    <n v="89836.94701948326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6.4139127017237563E-3"/>
    <x v="1"/>
  </r>
  <r>
    <x v="192"/>
    <x v="10"/>
    <s v="COPT_S3"/>
    <n v="335951.05670000002"/>
    <n v="88749.96629150342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209948427726637E-2"/>
    <x v="1"/>
  </r>
  <r>
    <x v="193"/>
    <x v="10"/>
    <s v="COPT_S3"/>
    <n v="291538.7746"/>
    <n v="77017.33899149904"/>
    <n v="2.5"/>
    <n v="0"/>
    <n v="0"/>
    <n v="-31250"/>
    <n v="3.7853654568898993"/>
    <n v="-31250"/>
    <n v="-8255.4776694336324"/>
    <n v="-31250"/>
    <n v="-31250"/>
    <s v="Private Equity Fund"/>
    <n v="0"/>
    <n v="0"/>
    <n v="0"/>
    <n v="0"/>
    <m/>
    <m/>
    <m/>
    <m/>
    <m/>
    <m/>
    <m/>
    <m/>
    <m/>
    <m/>
    <m/>
    <d v="2015-07-31T00:00:00"/>
    <n v="-3.9179165647791891E-2"/>
    <x v="1"/>
  </r>
  <r>
    <x v="194"/>
    <x v="10"/>
    <s v="COPT_S3"/>
    <n v="300387.94050000003"/>
    <n v="79355.069918877081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3.0353306904514987E-2"/>
    <x v="1"/>
  </r>
  <r>
    <x v="195"/>
    <x v="10"/>
    <s v="COPT_S3"/>
    <n v="298100.16950000002"/>
    <n v="78750.697361972183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7.6160547463789419E-3"/>
    <x v="1"/>
  </r>
  <r>
    <x v="196"/>
    <x v="10"/>
    <s v="COPT_S3"/>
    <n v="295508.35840000003"/>
    <n v="78066.004924870096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8.6944301452334116E-3"/>
    <x v="1"/>
  </r>
  <r>
    <x v="1"/>
    <x v="10"/>
    <s v="COPT_S3"/>
    <n v="259309.42220000003"/>
    <n v="68503.140622266816"/>
    <n v="2.5"/>
    <n v="0"/>
    <n v="-2.9103830456733704E-11"/>
    <n v="-36250"/>
    <n v="3.7853654568898993"/>
    <n v="-36250.000000000029"/>
    <n v="-9576.3540965430129"/>
    <n v="-36250.000000000029"/>
    <n v="-36250.000000000029"/>
    <s v="Private Equity Fund"/>
    <n v="0"/>
    <n v="0"/>
    <n v="0"/>
    <n v="0"/>
    <m/>
    <m/>
    <m/>
    <m/>
    <m/>
    <m/>
    <m/>
    <m/>
    <m/>
    <m/>
    <m/>
    <d v="2015-11-30T00:00:00"/>
    <n v="1.7279984998208597E-4"/>
    <x v="1"/>
  </r>
  <r>
    <x v="2"/>
    <x v="10"/>
    <s v="COPT_S3"/>
    <n v="198343.4"/>
    <n v="52397.424306545363"/>
    <n v="2.5"/>
    <n v="0"/>
    <n v="0"/>
    <n v="-50000"/>
    <n v="3.7853654568898993"/>
    <n v="-50000"/>
    <n v="-13208.764271093811"/>
    <n v="-50000"/>
    <n v="-50000"/>
    <s v="Private Equity Fund"/>
    <n v="0"/>
    <n v="0"/>
    <n v="0"/>
    <n v="0"/>
    <m/>
    <m/>
    <m/>
    <m/>
    <m/>
    <m/>
    <m/>
    <m/>
    <m/>
    <m/>
    <m/>
    <d v="2015-12-31T00:00:00"/>
    <n v="-4.2289331822050635E-2"/>
    <x v="1"/>
  </r>
  <r>
    <x v="3"/>
    <x v="10"/>
    <s v="COPT_S3"/>
    <n v="189966.67"/>
    <n v="50184.49926789337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4.2233469830606829E-2"/>
    <x v="1"/>
  </r>
  <r>
    <x v="4"/>
    <x v="10"/>
    <s v="COPT_S3"/>
    <n v="196683.14"/>
    <n v="51958.824647170841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3.5356044299771128E-2"/>
    <x v="1"/>
  </r>
  <r>
    <x v="5"/>
    <x v="10"/>
    <s v="COPT_S3"/>
    <n v="195856.66"/>
    <n v="51740.48905727536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-4.2020886996211315E-3"/>
    <x v="1"/>
  </r>
  <r>
    <x v="6"/>
    <x v="10"/>
    <s v="COPT_S3"/>
    <n v="206462.21040000001"/>
    <n v="54542.213361251459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5.4149552024424397E-2"/>
    <x v="1"/>
  </r>
  <r>
    <x v="7"/>
    <x v="10"/>
    <s v="COPT_S3"/>
    <n v="209967.08970000001"/>
    <n v="55468.11585069818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6975887709473003E-2"/>
    <x v="1"/>
  </r>
  <r>
    <x v="8"/>
    <x v="10"/>
    <s v="COPT_S3"/>
    <n v="217211.89790000001"/>
    <n v="57382.01512475993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4504494063099855E-2"/>
    <x v="1"/>
  </r>
  <r>
    <x v="9"/>
    <x v="10"/>
    <s v="COPT_S3"/>
    <n v="240327.4387"/>
    <n v="63488.56971328095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0.10641931230968726"/>
    <x v="1"/>
  </r>
  <r>
    <x v="10"/>
    <x v="10"/>
    <s v="COPT_S3"/>
    <n v="251882.35339999999"/>
    <n v="66541.092602178891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4.8079881192525598E-2"/>
    <x v="1"/>
  </r>
  <r>
    <x v="11"/>
    <x v="10"/>
    <s v="COPT_S3"/>
    <n v="270603.0417"/>
    <n v="71486.63577712536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7.4323143512442735E-2"/>
    <x v="1"/>
  </r>
  <r>
    <x v="12"/>
    <x v="10"/>
    <s v="COPT_S3"/>
    <n v="293602.46950000001"/>
    <n v="77562.516180730207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8.4993234575308163E-2"/>
    <x v="1"/>
  </r>
  <r>
    <x v="13"/>
    <x v="10"/>
    <s v="COPT_S3"/>
    <n v="235461.14360000001"/>
    <n v="62203.014816291383"/>
    <n v="2.5"/>
    <n v="0"/>
    <n v="0"/>
    <n v="-37500"/>
    <n v="3.7853654568898993"/>
    <n v="-37500"/>
    <n v="-9906.5732033203585"/>
    <n v="-37500"/>
    <n v="-37500"/>
    <s v="Private Equity Fund"/>
    <n v="0"/>
    <n v="0"/>
    <n v="0"/>
    <n v="0"/>
    <m/>
    <m/>
    <m/>
    <m/>
    <m/>
    <m/>
    <m/>
    <m/>
    <m/>
    <m/>
    <m/>
    <d v="2016-11-30T00:00:00"/>
    <n v="-7.0303652197312272E-2"/>
    <x v="1"/>
  </r>
  <r>
    <x v="14"/>
    <x v="10"/>
    <s v="COPT_S3"/>
    <n v="177826.60140000001"/>
    <n v="46977.393180447216"/>
    <n v="2.5"/>
    <n v="0"/>
    <n v="0"/>
    <n v="-60000"/>
    <n v="3.7853654568898993"/>
    <n v="-60000"/>
    <n v="-15850.517125312572"/>
    <n v="-60000"/>
    <n v="-60000"/>
    <s v="Private Equity Fund"/>
    <n v="0"/>
    <n v="0"/>
    <n v="0"/>
    <n v="0"/>
    <m/>
    <m/>
    <m/>
    <m/>
    <m/>
    <m/>
    <m/>
    <m/>
    <m/>
    <m/>
    <m/>
    <d v="2016-12-30T00:00:00"/>
    <n v="1.004606434774824E-2"/>
    <x v="1"/>
  </r>
  <r>
    <x v="15"/>
    <x v="10"/>
    <s v="COPT_S3"/>
    <n v="180923.18410000001"/>
    <n v="47795.43379905216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7413495369202892E-2"/>
    <x v="1"/>
  </r>
  <r>
    <x v="16"/>
    <x v="10"/>
    <s v="COPT_S3"/>
    <n v="183475.82620000001"/>
    <n v="48469.77875439955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4108982840966844E-2"/>
    <x v="1"/>
  </r>
  <r>
    <x v="17"/>
    <x v="10"/>
    <s v="COPT_S3"/>
    <n v="144947.53539999999"/>
    <n v="38291.556535492506"/>
    <n v="2.5"/>
    <n v="0"/>
    <n v="0"/>
    <n v="-37500"/>
    <n v="3.7853654568898993"/>
    <n v="-37500"/>
    <n v="-9906.5732033203585"/>
    <n v="-37500"/>
    <n v="-37500"/>
    <s v="Private Equity Fund"/>
    <n v="0"/>
    <n v="0"/>
    <n v="0"/>
    <n v="0"/>
    <m/>
    <m/>
    <m/>
    <m/>
    <m/>
    <m/>
    <m/>
    <m/>
    <m/>
    <m/>
    <m/>
    <d v="2017-03-31T00:00:00"/>
    <n v="-5.6045028999031077E-3"/>
    <x v="1"/>
  </r>
  <r>
    <x v="18"/>
    <x v="10"/>
    <s v="COPT_S3"/>
    <n v="144926.28599999999"/>
    <n v="38285.942969182463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4660062995452972E-4"/>
    <x v="1"/>
  </r>
  <r>
    <x v="19"/>
    <x v="10"/>
    <s v="COPT_S3"/>
    <n v="142215.29800000001"/>
    <n v="37569.766940507187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1.8705978568994586E-2"/>
    <x v="1"/>
  </r>
  <r>
    <x v="20"/>
    <x v="10"/>
    <s v="COPT_S3"/>
    <n v="142299.9915"/>
    <n v="37592.140870043062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5.9553016581936902E-4"/>
    <x v="1"/>
  </r>
  <r>
    <x v="21"/>
    <x v="10"/>
    <s v="COPT_S3"/>
    <n v="86270.338000000003"/>
    <n v="22790.491164591735"/>
    <n v="2.5"/>
    <n v="0"/>
    <n v="0"/>
    <n v="-52500"/>
    <n v="3.7853654568898993"/>
    <n v="-52500"/>
    <n v="-13869.2024846485"/>
    <n v="-52500"/>
    <n v="-52500"/>
    <s v="Private Equity Fund"/>
    <n v="0"/>
    <n v="0"/>
    <n v="0"/>
    <n v="0"/>
    <m/>
    <m/>
    <m/>
    <m/>
    <m/>
    <m/>
    <m/>
    <m/>
    <m/>
    <m/>
    <m/>
    <d v="2017-07-31T00:00:00"/>
    <n v="-2.4804312795760231E-2"/>
    <x v="1"/>
  </r>
  <r>
    <x v="22"/>
    <x v="10"/>
    <s v="COPT_S3"/>
    <n v="87700"/>
    <n v="23168.17253149854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6571883606159021E-2"/>
    <x v="1"/>
  </r>
  <r>
    <x v="23"/>
    <x v="10"/>
    <s v="COPT_S3"/>
    <n v="85400"/>
    <n v="22560.56937502823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6225769669327215E-2"/>
    <x v="1"/>
  </r>
  <r>
    <x v="24"/>
    <x v="10"/>
    <s v="COPT_S3"/>
    <n v="141900"/>
    <n v="37486.473001364233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0.66159250585480089"/>
    <x v="1"/>
  </r>
  <r>
    <x v="25"/>
    <x v="10"/>
    <s v="COPT_S3"/>
    <n v="141300"/>
    <n v="37327.967830111105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-4.2283298097252064E-3"/>
    <x v="1"/>
  </r>
  <r>
    <x v="26"/>
    <x v="10"/>
    <s v="COPT_S3"/>
    <n v="77100"/>
    <n v="20367.914506026656"/>
    <n v="2.5"/>
    <n v="0"/>
    <n v="0"/>
    <n v="-63053.37999999999"/>
    <n v="3.7853654568898993"/>
    <n v="-63053.37999999999"/>
    <n v="-16657.144658314017"/>
    <n v="-63053.37999999999"/>
    <n v="-63053.37999999999"/>
    <s v="Private Equity Fund"/>
    <n v="0"/>
    <n v="0"/>
    <n v="0"/>
    <n v="0"/>
    <m/>
    <m/>
    <m/>
    <m/>
    <m/>
    <m/>
    <m/>
    <m/>
    <m/>
    <m/>
    <m/>
    <d v="2017-12-29T00:00:00"/>
    <n v="-8.1147912243453302E-3"/>
    <x v="1"/>
  </r>
  <r>
    <x v="27"/>
    <x v="10"/>
    <s v="COPT_S3"/>
    <n v="76000"/>
    <n v="20077.321692062593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-1.4267185473411104E-2"/>
    <x v="1"/>
  </r>
  <r>
    <x v="28"/>
    <x v="10"/>
    <s v="COPT_S3"/>
    <n v="77700"/>
    <n v="20526.41967727978"/>
    <n v="2.5"/>
    <n v="0"/>
    <n v="0"/>
    <n v="0"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2.2368421052631593E-2"/>
    <x v="1"/>
  </r>
  <r>
    <x v="29"/>
    <x v="10"/>
    <s v="COPT_S3"/>
    <n v="33381.375999999997"/>
    <n v="8818.5345325749677"/>
    <n v="2.5"/>
    <n v="0"/>
    <n v="0"/>
    <n v="-44100.67"/>
    <n v="3.7853654568898993"/>
    <n v="-44100.67"/>
    <n v="-11650.307084545973"/>
    <n v="-44100.67"/>
    <n v="-44100.67"/>
    <s v="Private Equity Fund"/>
    <n v="0"/>
    <n v="8.3453440000000011E-3"/>
    <n v="0"/>
    <n v="0"/>
    <m/>
    <m/>
    <m/>
    <m/>
    <m/>
    <m/>
    <m/>
    <m/>
    <m/>
    <m/>
    <m/>
    <d v="2018-03-29T00:00:00"/>
    <n v="-2.8050707850707512E-3"/>
    <x v="1"/>
  </r>
  <r>
    <x v="30"/>
    <x v="10"/>
    <s v="COPT_S3"/>
    <n v="33850.224000000002"/>
    <n v="8942.3925867944454"/>
    <n v="2.5"/>
    <n v="0"/>
    <n v="0"/>
    <m/>
    <n v="3.7853654568898993"/>
    <n v="0"/>
    <n v="0"/>
    <n v="0"/>
    <n v="0"/>
    <s v="Private Equity Fund"/>
    <n v="0"/>
    <n v="8.4625599999999992E-3"/>
    <n v="0"/>
    <n v="0"/>
    <m/>
    <m/>
    <m/>
    <m/>
    <m/>
    <m/>
    <m/>
    <m/>
    <m/>
    <m/>
    <m/>
    <d v="2018-04-30T00:00:00"/>
    <n v="1.4045196938556659E-2"/>
    <x v="1"/>
  </r>
  <r>
    <x v="31"/>
    <x v="10"/>
    <s v="COPT_S3"/>
    <n v="21775.88"/>
    <n v="5752.6493143125263"/>
    <n v="2.5"/>
    <n v="0"/>
    <n v="0"/>
    <m/>
    <n v="3.7853654568898993"/>
    <n v="0"/>
    <n v="0"/>
    <n v="0"/>
    <n v="0"/>
    <s v="Private Equity Fund"/>
    <n v="0"/>
    <n v="5.4439700000000002E-3"/>
    <n v="0"/>
    <n v="0"/>
    <m/>
    <m/>
    <m/>
    <m/>
    <m/>
    <m/>
    <m/>
    <m/>
    <m/>
    <m/>
    <m/>
    <d v="2018-05-31T00:00:00"/>
    <n v="-0.35669908713159482"/>
    <x v="1"/>
  </r>
  <r>
    <x v="32"/>
    <x v="10"/>
    <s v="COPT_S3"/>
    <n v="21684.736000000001"/>
    <n v="5728.5713220980342"/>
    <n v="2.5"/>
    <n v="0"/>
    <n v="0"/>
    <m/>
    <n v="3.7853654568898993"/>
    <n v="0"/>
    <n v="0"/>
    <n v="-21684.736000000001"/>
    <n v="-21684.736000000001"/>
    <s v="Private Equity Fund"/>
    <n v="0"/>
    <n v="5.4211800000000003E-3"/>
    <n v="0"/>
    <n v="0"/>
    <m/>
    <m/>
    <m/>
    <m/>
    <m/>
    <m/>
    <m/>
    <m/>
    <m/>
    <m/>
    <m/>
    <d v="2018-06-29T00:00:00"/>
    <n v="-4.1855484141168908E-3"/>
    <x v="1"/>
  </r>
  <r>
    <x v="33"/>
    <x v="10"/>
    <s v="COPT_S3"/>
    <n v="21684.736000000001"/>
    <n v="5728.5713220980342"/>
    <n v="2.5"/>
    <n v="0"/>
    <n v="0"/>
    <m/>
    <n v="3.7853654568898993"/>
    <n v="0"/>
    <n v="0"/>
    <n v="0"/>
    <n v="0"/>
    <s v="Private Equity Fund"/>
    <n v="0"/>
    <n v="5.4211800000000003E-3"/>
    <n v="0"/>
    <n v="0"/>
    <m/>
    <m/>
    <m/>
    <m/>
    <m/>
    <m/>
    <m/>
    <m/>
    <m/>
    <m/>
    <m/>
    <d v="2018-07-31T00:00:00"/>
    <n v="0"/>
    <x v="1"/>
  </r>
  <r>
    <x v="155"/>
    <x v="10"/>
    <s v="COPT_S4"/>
    <n v="5881830.4138641013"/>
    <n v="5932086.5942141199"/>
    <n v="21.6"/>
    <n v="5832000"/>
    <n v="0"/>
    <n v="0"/>
    <n v="0.99152807708521384"/>
    <n v="5832000"/>
    <n v="5932086.5942141199"/>
    <n v="5832000"/>
    <n v="5832000"/>
    <s v="Private Equity Fund"/>
    <n v="0"/>
    <n v="0"/>
    <n v="0"/>
    <n v="0"/>
    <m/>
    <m/>
    <m/>
    <m/>
    <m/>
    <m/>
    <m/>
    <m/>
    <m/>
    <m/>
    <m/>
    <d v="2011-04-29T00:00:00"/>
    <n v="8.5443096474795421E-3"/>
    <x v="1"/>
  </r>
  <r>
    <x v="156"/>
    <x v="10"/>
    <s v="COPT_S4"/>
    <n v="8303999.8597596977"/>
    <n v="5934208.6211567139"/>
    <n v="21.6"/>
    <n v="2419200"/>
    <n v="0"/>
    <n v="0"/>
    <n v="1.3993441063319167"/>
    <n v="2419200"/>
    <n v="0"/>
    <n v="2419200"/>
    <n v="2419200"/>
    <s v="Private Equity Fund"/>
    <n v="0"/>
    <n v="0"/>
    <n v="0"/>
    <n v="0"/>
    <m/>
    <m/>
    <m/>
    <m/>
    <m/>
    <m/>
    <m/>
    <m/>
    <m/>
    <m/>
    <m/>
    <d v="2011-05-31T00:00:00"/>
    <n v="5.0485064795435797E-4"/>
    <x v="1"/>
  </r>
  <r>
    <x v="157"/>
    <x v="10"/>
    <s v="COPT_S4"/>
    <n v="8197024.5573718296"/>
    <n v="5857761.8759252774"/>
    <n v="21.6"/>
    <n v="0"/>
    <n v="0"/>
    <n v="0"/>
    <n v="1.3993441063319167"/>
    <n v="0"/>
    <n v="0"/>
    <n v="0"/>
    <n v="0"/>
    <s v="Private Equity Fund"/>
    <n v="0"/>
    <n v="0"/>
    <n v="0"/>
    <n v="0"/>
    <m/>
    <m/>
    <m/>
    <m/>
    <m/>
    <m/>
    <m/>
    <m/>
    <m/>
    <m/>
    <m/>
    <d v="2011-06-30T00:00:00"/>
    <n v="-1.2882382489703414E-2"/>
    <x v="1"/>
  </r>
  <r>
    <x v="158"/>
    <x v="10"/>
    <s v="COPT_S4"/>
    <n v="10689839.874732964"/>
    <n v="5946778.7081141779"/>
    <n v="21.6"/>
    <n v="2332800"/>
    <n v="0"/>
    <n v="0"/>
    <n v="1.7975849446267504"/>
    <n v="2332800"/>
    <n v="0"/>
    <n v="2332800"/>
    <n v="2332800"/>
    <s v="Private Equity Fund"/>
    <n v="0"/>
    <n v="0"/>
    <n v="0"/>
    <n v="0"/>
    <m/>
    <m/>
    <m/>
    <m/>
    <m/>
    <m/>
    <m/>
    <m/>
    <m/>
    <m/>
    <m/>
    <d v="2011-07-29T00:00:00"/>
    <n v="1.9521146513734378E-2"/>
    <x v="1"/>
  </r>
  <r>
    <x v="159"/>
    <x v="10"/>
    <s v="COPT_S4"/>
    <n v="11060972.135927849"/>
    <n v="5812633.3762019267"/>
    <n v="21.6"/>
    <n v="626400"/>
    <n v="0"/>
    <n v="0"/>
    <n v="1.9029192828871095"/>
    <n v="626400"/>
    <n v="0"/>
    <n v="626400"/>
    <n v="626400"/>
    <s v="Private Equity Fund"/>
    <n v="0"/>
    <n v="0"/>
    <n v="0"/>
    <n v="0"/>
    <m/>
    <m/>
    <m/>
    <m/>
    <m/>
    <m/>
    <m/>
    <m/>
    <m/>
    <m/>
    <m/>
    <d v="2011-08-31T00:00:00"/>
    <n v="-2.3879472639106503E-2"/>
    <x v="1"/>
  </r>
  <r>
    <x v="160"/>
    <x v="10"/>
    <s v="COPT_S4"/>
    <n v="11936365.475471746"/>
    <n v="5735082.093935485"/>
    <n v="21.6"/>
    <n v="1036800"/>
    <n v="0"/>
    <n v="0"/>
    <n v="2.0812893834760895"/>
    <n v="1036800"/>
    <n v="0"/>
    <n v="1036800"/>
    <n v="1036800"/>
    <s v="Private Equity Fund"/>
    <n v="0"/>
    <n v="0"/>
    <n v="0"/>
    <n v="0"/>
    <m/>
    <m/>
    <m/>
    <m/>
    <m/>
    <m/>
    <m/>
    <m/>
    <m/>
    <m/>
    <m/>
    <d v="2011-09-30T00:00:00"/>
    <n v="-1.4592447975872447E-2"/>
    <x v="1"/>
  </r>
  <r>
    <x v="161"/>
    <x v="10"/>
    <s v="COPT_S4"/>
    <n v="11761832.851621341"/>
    <n v="5651224.1618112614"/>
    <n v="21.6"/>
    <n v="0"/>
    <n v="0"/>
    <n v="0"/>
    <n v="2.0812893834760895"/>
    <n v="0"/>
    <n v="0"/>
    <n v="0"/>
    <n v="0"/>
    <s v="Private Equity Fund"/>
    <n v="0"/>
    <n v="0"/>
    <n v="0"/>
    <n v="0"/>
    <m/>
    <m/>
    <m/>
    <m/>
    <m/>
    <m/>
    <m/>
    <m/>
    <m/>
    <m/>
    <m/>
    <d v="2011-10-31T00:00:00"/>
    <n v="-1.4621923583779006E-2"/>
    <x v="1"/>
  </r>
  <r>
    <x v="162"/>
    <x v="10"/>
    <s v="COPT_S4"/>
    <n v="13174938.9966515"/>
    <n v="5759065.0201608147"/>
    <n v="21.6"/>
    <n v="1166400"/>
    <n v="0"/>
    <n v="0"/>
    <n v="2.2876871420152165"/>
    <n v="1166400"/>
    <n v="0"/>
    <n v="1166400"/>
    <n v="1166400"/>
    <s v="Private Equity Fund"/>
    <n v="0"/>
    <n v="0"/>
    <n v="0"/>
    <n v="0"/>
    <m/>
    <m/>
    <m/>
    <m/>
    <m/>
    <m/>
    <m/>
    <m/>
    <m/>
    <m/>
    <m/>
    <d v="2011-11-30T00:00:00"/>
    <n v="2.0975144617545904E-2"/>
    <x v="1"/>
  </r>
  <r>
    <x v="163"/>
    <x v="10"/>
    <s v="COPT_S4"/>
    <n v="19070372.654865604"/>
    <n v="5844706.1159444368"/>
    <n v="21.6"/>
    <n v="5616000"/>
    <n v="0"/>
    <n v="0"/>
    <n v="3.2628454325259182"/>
    <n v="5616000"/>
    <n v="0"/>
    <n v="5616000"/>
    <n v="5616000"/>
    <s v="Private Equity Fund"/>
    <n v="0"/>
    <n v="0"/>
    <n v="0"/>
    <n v="0"/>
    <m/>
    <m/>
    <m/>
    <m/>
    <m/>
    <m/>
    <m/>
    <m/>
    <m/>
    <m/>
    <m/>
    <d v="2011-12-30T00:00:00"/>
    <n v="2.1209484027601366E-2"/>
    <x v="1"/>
  </r>
  <r>
    <x v="164"/>
    <x v="10"/>
    <s v="COPT_S4"/>
    <n v="18987162.529326625"/>
    <n v="5819203.7968000807"/>
    <n v="21.6"/>
    <n v="0"/>
    <n v="0"/>
    <n v="0"/>
    <n v="3.2628454325259182"/>
    <n v="0"/>
    <n v="0"/>
    <n v="0"/>
    <n v="0"/>
    <s v="Private Equity Fund"/>
    <n v="0"/>
    <n v="0"/>
    <n v="0"/>
    <n v="0"/>
    <m/>
    <m/>
    <m/>
    <m/>
    <m/>
    <m/>
    <m/>
    <m/>
    <m/>
    <m/>
    <m/>
    <d v="2012-01-31T00:00:00"/>
    <n v="-4.3633193249502655E-3"/>
    <x v="1"/>
  </r>
  <r>
    <x v="165"/>
    <x v="10"/>
    <s v="COPT_S4"/>
    <n v="21773988.077221259"/>
    <n v="5877625.2611154309"/>
    <n v="21.6"/>
    <n v="2570400"/>
    <n v="0"/>
    <n v="0"/>
    <n v="3.7045553450423756"/>
    <n v="2570400"/>
    <n v="0"/>
    <n v="2570400"/>
    <n v="2570400"/>
    <s v="Private Equity Fund"/>
    <n v="0"/>
    <n v="0"/>
    <n v="0"/>
    <n v="0"/>
    <m/>
    <m/>
    <m/>
    <m/>
    <m/>
    <m/>
    <m/>
    <m/>
    <m/>
    <m/>
    <m/>
    <d v="2012-02-29T00:00:00"/>
    <n v="1.1398519792536366E-2"/>
    <x v="1"/>
  </r>
  <r>
    <x v="166"/>
    <x v="10"/>
    <s v="COPT_S4"/>
    <n v="22206005.1703123"/>
    <n v="5994243.060784475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3-30T00:00:00"/>
    <n v="1.9840972244445698E-2"/>
    <x v="1"/>
  </r>
  <r>
    <x v="167"/>
    <x v="10"/>
    <s v="COPT_S4"/>
    <n v="22709731.070482198"/>
    <n v="6130217.7873718413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4-30T00:00:00"/>
    <n v="2.2684219710231268E-2"/>
    <x v="1"/>
  </r>
  <r>
    <x v="168"/>
    <x v="10"/>
    <s v="COPT_S4"/>
    <n v="22793766.635628801"/>
    <n v="6152902.173841883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5-31T00:00:00"/>
    <n v="3.7004209730968629E-3"/>
    <x v="1"/>
  </r>
  <r>
    <x v="169"/>
    <x v="10"/>
    <s v="COPT_S4"/>
    <n v="17140938.4730247"/>
    <n v="4626989.4431361584"/>
    <n v="21.6"/>
    <n v="0"/>
    <n v="0"/>
    <n v="-5491429.75"/>
    <n v="3.7045553450423756"/>
    <n v="-5491429.75"/>
    <n v="-1482345.1773635696"/>
    <n v="-5491429.75"/>
    <n v="-5491429.75"/>
    <s v="Private Equity Fund"/>
    <n v="0"/>
    <n v="0"/>
    <n v="0"/>
    <n v="0"/>
    <m/>
    <m/>
    <m/>
    <m/>
    <m/>
    <m/>
    <m/>
    <m/>
    <m/>
    <m/>
    <m/>
    <d v="2012-06-29T00:00:00"/>
    <n v="-7.0808135918974946E-3"/>
    <x v="1"/>
  </r>
  <r>
    <x v="170"/>
    <x v="10"/>
    <s v="COPT_S4"/>
    <n v="17390320.8747258"/>
    <n v="4694307.2123347847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7-31T00:00:00"/>
    <n v="1.4548935117733697E-2"/>
    <x v="1"/>
  </r>
  <r>
    <x v="171"/>
    <x v="10"/>
    <s v="COPT_S4"/>
    <n v="17407868.377999999"/>
    <n v="4699043.9490386052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1.0090384990941725E-3"/>
    <x v="1"/>
  </r>
  <r>
    <x v="172"/>
    <x v="10"/>
    <s v="COPT_S4"/>
    <n v="17178589.282000002"/>
    <n v="4637152.8245594343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9-28T00:00:00"/>
    <n v="-1.3171003538248183E-2"/>
    <x v="1"/>
  </r>
  <r>
    <x v="173"/>
    <x v="10"/>
    <s v="COPT_S4"/>
    <n v="15083813.619999999"/>
    <n v="4071693.4193427358"/>
    <n v="21.6"/>
    <n v="0"/>
    <n v="0"/>
    <n v="-2258158.0299999998"/>
    <n v="3.7045553450423756"/>
    <n v="-2258158.0299999998"/>
    <n v="-609562.50337087875"/>
    <n v="-2258158.0299999998"/>
    <n v="-2258158.0299999998"/>
    <s v="Private Equity Fund"/>
    <n v="0"/>
    <n v="0"/>
    <n v="0"/>
    <n v="0"/>
    <m/>
    <m/>
    <m/>
    <m/>
    <m/>
    <m/>
    <m/>
    <m/>
    <m/>
    <m/>
    <m/>
    <d v="2012-10-31T00:00:00"/>
    <n v="9.5108140323949542E-3"/>
    <x v="1"/>
  </r>
  <r>
    <x v="174"/>
    <x v="10"/>
    <s v="COPT_S4"/>
    <n v="15119541.995999999"/>
    <n v="4081337.863188827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11-30T00:00:00"/>
    <n v="2.3686566872336279E-3"/>
    <x v="1"/>
  </r>
  <r>
    <x v="175"/>
    <x v="10"/>
    <s v="COPT_S4"/>
    <n v="15350965.075999999"/>
    <n v="4143807.7302700961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12-31T00:00:00"/>
    <n v="1.5306222904187594E-2"/>
    <x v="1"/>
  </r>
  <r>
    <x v="176"/>
    <x v="10"/>
    <s v="COPT_S4"/>
    <n v="11622636.412"/>
    <n v="3137390.4097705013"/>
    <n v="21.6"/>
    <n v="0"/>
    <n v="0"/>
    <n v="-4311028.96"/>
    <n v="3.7045553450423756"/>
    <n v="-4311028.96"/>
    <n v="-1163710.2319902545"/>
    <n v="-4311028.96"/>
    <n v="-4311028.96"/>
    <s v="Private Equity Fund"/>
    <n v="0"/>
    <n v="0"/>
    <n v="0"/>
    <n v="0"/>
    <m/>
    <m/>
    <m/>
    <m/>
    <m/>
    <m/>
    <m/>
    <m/>
    <m/>
    <m/>
    <m/>
    <d v="2013-01-31T00:00:00"/>
    <n v="3.795854482862504E-2"/>
    <x v="1"/>
  </r>
  <r>
    <x v="177"/>
    <x v="10"/>
    <s v="COPT_S4"/>
    <n v="11478019.98"/>
    <n v="3098352.949527524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2-28T00:00:00"/>
    <n v="-1.2442653015514504E-2"/>
    <x v="1"/>
  </r>
  <r>
    <x v="178"/>
    <x v="10"/>
    <s v="COPT_S4"/>
    <n v="9507131.5940000005"/>
    <n v="2566335.4191004131"/>
    <n v="21.6"/>
    <n v="0"/>
    <n v="0"/>
    <n v="-1529388.85"/>
    <n v="3.7045553450423756"/>
    <n v="-1529388.85"/>
    <n v="-412840.05975149112"/>
    <n v="-1529388.85"/>
    <n v="-1529388.85"/>
    <s v="Private Equity Fund"/>
    <n v="0"/>
    <n v="0"/>
    <n v="0"/>
    <n v="0"/>
    <m/>
    <m/>
    <m/>
    <m/>
    <m/>
    <m/>
    <m/>
    <m/>
    <m/>
    <m/>
    <m/>
    <d v="2013-03-28T00:00:00"/>
    <n v="-3.8464781971916384E-2"/>
    <x v="1"/>
  </r>
  <r>
    <x v="179"/>
    <x v="10"/>
    <s v="COPT_S4"/>
    <n v="9232811.9539999999"/>
    <n v="2492286.14342496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4-30T00:00:00"/>
    <n v="-2.8854090982933789E-2"/>
    <x v="1"/>
  </r>
  <r>
    <x v="180"/>
    <x v="10"/>
    <s v="COPT_S4"/>
    <n v="8314489.0260000005"/>
    <n v="2244395.9535189215"/>
    <n v="21.6"/>
    <n v="0"/>
    <n v="0"/>
    <n v="-1016171.1200000001"/>
    <n v="3.7045553450423756"/>
    <n v="-1016171.1200000001"/>
    <n v="-274303.12827149202"/>
    <n v="-1016171.1200000001"/>
    <n v="-1016171.1200000001"/>
    <s v="Private Equity Fund"/>
    <n v="0"/>
    <n v="0"/>
    <n v="0"/>
    <n v="0"/>
    <m/>
    <m/>
    <m/>
    <m/>
    <m/>
    <m/>
    <m/>
    <m/>
    <m/>
    <m/>
    <m/>
    <d v="2013-05-31T00:00:00"/>
    <n v="1.0597875542955215E-2"/>
    <x v="1"/>
  </r>
  <r>
    <x v="181"/>
    <x v="10"/>
    <s v="COPT_S4"/>
    <n v="8309051.898"/>
    <n v="2242928.2664435278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6.5393411224645703E-4"/>
    <x v="1"/>
  </r>
  <r>
    <x v="182"/>
    <x v="10"/>
    <s v="COPT_S4"/>
    <n v="8006385.7860000012"/>
    <n v="2161227.2028043945"/>
    <n v="21.6"/>
    <n v="0"/>
    <n v="-9.3132257461547852E-10"/>
    <n v="0"/>
    <n v="3.7045553450423756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3-07-31T00:00:00"/>
    <n v="-3.6426070713657444E-2"/>
    <x v="1"/>
  </r>
  <r>
    <x v="183"/>
    <x v="10"/>
    <s v="COPT_S4"/>
    <n v="7816696.9539999999"/>
    <n v="2110022.992222454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2.3692192341229878E-2"/>
    <x v="1"/>
  </r>
  <r>
    <x v="35"/>
    <x v="10"/>
    <s v="COPT_S4"/>
    <n v="6214611.7300000004"/>
    <n v="1677559.4237825896"/>
    <n v="21.6"/>
    <n v="0"/>
    <n v="0"/>
    <n v="-1693618.52"/>
    <n v="3.7045553450423756"/>
    <n v="-1693618.52"/>
    <n v="-457171.87685331423"/>
    <n v="-1693618.52"/>
    <n v="-1693618.52"/>
    <s v="Private Equity Fund"/>
    <n v="0"/>
    <n v="0"/>
    <n v="0"/>
    <n v="0"/>
    <m/>
    <m/>
    <m/>
    <m/>
    <m/>
    <m/>
    <m/>
    <m/>
    <m/>
    <m/>
    <m/>
    <d v="2013-09-30T00:00:00"/>
    <n v="1.1709971173074596E-2"/>
    <x v="1"/>
  </r>
  <r>
    <x v="36"/>
    <x v="10"/>
    <s v="COPT_S4"/>
    <n v="6273667.7139999997"/>
    <n v="1693500.873835166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10-31T00:00:00"/>
    <n v="9.5027632562973974E-3"/>
    <x v="1"/>
  </r>
  <r>
    <x v="37"/>
    <x v="10"/>
    <s v="COPT_S4"/>
    <n v="6143947.6579999998"/>
    <n v="1658484.5104884566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0676908933274118E-2"/>
    <x v="1"/>
  </r>
  <r>
    <x v="38"/>
    <x v="10"/>
    <s v="COPT_S4"/>
    <n v="6173033.9780000001"/>
    <n v="1666336.011489494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4.7341418936288626E-3"/>
    <x v="1"/>
  </r>
  <r>
    <x v="39"/>
    <x v="10"/>
    <s v="COPT_S4"/>
    <n v="6044729.7539999997"/>
    <n v="1631701.834901552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2.078462947997084E-2"/>
    <x v="1"/>
  </r>
  <r>
    <x v="40"/>
    <x v="10"/>
    <s v="COPT_S4"/>
    <n v="5865255.25"/>
    <n v="1583254.858872383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2.969107161180129E-2"/>
    <x v="1"/>
  </r>
  <r>
    <x v="41"/>
    <x v="10"/>
    <s v="COPT_S4"/>
    <n v="4726009.898"/>
    <n v="1275729.3272253543"/>
    <n v="21.6"/>
    <n v="0"/>
    <n v="0"/>
    <n v="-1080000"/>
    <n v="3.7045553450423756"/>
    <n v="-1080000"/>
    <n v="-291532.96398859605"/>
    <n v="-1080000"/>
    <n v="-1080000"/>
    <s v="Private Equity Fund"/>
    <n v="0"/>
    <n v="0"/>
    <n v="0"/>
    <n v="0"/>
    <m/>
    <m/>
    <m/>
    <m/>
    <m/>
    <m/>
    <m/>
    <m/>
    <m/>
    <m/>
    <m/>
    <d v="2014-03-31T00:00:00"/>
    <n v="-1.0101069684904207E-2"/>
    <x v="1"/>
  </r>
  <r>
    <x v="42"/>
    <x v="10"/>
    <s v="COPT_S4"/>
    <n v="4696329.7060000002"/>
    <n v="1267717.517646177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6.2801798220016858E-3"/>
    <x v="1"/>
  </r>
  <r>
    <x v="43"/>
    <x v="10"/>
    <s v="COPT_S4"/>
    <n v="3991671.29"/>
    <n v="1077503.4837424841"/>
    <n v="21.6"/>
    <n v="0"/>
    <n v="0"/>
    <n v="-648000"/>
    <n v="3.7045553450423756"/>
    <n v="-648000"/>
    <n v="-174919.77839315764"/>
    <n v="-648000"/>
    <n v="-648000"/>
    <s v="Private Equity Fund"/>
    <n v="0"/>
    <n v="0"/>
    <n v="0"/>
    <n v="0"/>
    <m/>
    <m/>
    <m/>
    <m/>
    <m/>
    <m/>
    <m/>
    <m/>
    <m/>
    <m/>
    <m/>
    <d v="2014-05-30T00:00:00"/>
    <n v="-1.2064403384543843E-2"/>
    <x v="1"/>
  </r>
  <r>
    <x v="44"/>
    <x v="10"/>
    <s v="COPT_S4"/>
    <n v="3968333.57"/>
    <n v="1071203.747923654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5.8466036666060539E-3"/>
    <x v="1"/>
  </r>
  <r>
    <x v="45"/>
    <x v="10"/>
    <s v="COPT_S4"/>
    <n v="3941840.466"/>
    <n v="1064052.2542807118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-6.6761282872699335E-3"/>
    <x v="1"/>
  </r>
  <r>
    <x v="46"/>
    <x v="10"/>
    <s v="COPT_S4"/>
    <n v="4137659.6260000006"/>
    <n v="1116911.2729108576"/>
    <n v="21.6"/>
    <n v="0"/>
    <n v="-4.6566128730773926E-10"/>
    <n v="0"/>
    <n v="3.7045553450423756"/>
    <n v="-4.6566128730773926E-10"/>
    <n v="0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4-08-29T00:00:00"/>
    <n v="4.9677089087958315E-2"/>
    <x v="1"/>
  </r>
  <r>
    <x v="47"/>
    <x v="10"/>
    <s v="COPT_S4"/>
    <n v="4143770.6900000004"/>
    <n v="1118560.880874787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1.4769373395528973E-3"/>
    <x v="1"/>
  </r>
  <r>
    <x v="184"/>
    <x v="10"/>
    <s v="COPT_S4"/>
    <n v="3962028.122"/>
    <n v="1069501.668345213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10-31T00:00:00"/>
    <n v="-4.3859224266099672E-2"/>
    <x v="1"/>
  </r>
  <r>
    <x v="185"/>
    <x v="10"/>
    <s v="COPT_S4"/>
    <n v="3717759.3539999998"/>
    <n v="1003564.2628406928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6.1652456892884233E-2"/>
    <x v="1"/>
  </r>
  <r>
    <x v="186"/>
    <x v="10"/>
    <s v="COPT_S4"/>
    <n v="3209316.37"/>
    <n v="866316.21641039068"/>
    <n v="21.6"/>
    <n v="0"/>
    <n v="0"/>
    <n v="-518400"/>
    <n v="3.7045553450423756"/>
    <n v="-518400"/>
    <n v="-139935.82271452612"/>
    <n v="-518400"/>
    <n v="-518400"/>
    <s v="Private Equity Fund"/>
    <n v="0"/>
    <n v="0"/>
    <n v="0"/>
    <n v="0"/>
    <m/>
    <m/>
    <m/>
    <m/>
    <m/>
    <m/>
    <m/>
    <m/>
    <m/>
    <m/>
    <m/>
    <d v="2014-12-31T00:00:00"/>
    <n v="2.6782303672472363E-3"/>
    <x v="1"/>
  </r>
  <r>
    <x v="187"/>
    <x v="10"/>
    <s v="COPT_S4"/>
    <n v="3179390.8892999999"/>
    <n v="858238.1941073772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9.3245654992873961E-3"/>
    <x v="1"/>
  </r>
  <r>
    <x v="188"/>
    <x v="10"/>
    <s v="COPT_S4"/>
    <n v="3319515.1650999999"/>
    <n v="896063.05100620072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4.4072679541096171E-2"/>
    <x v="1"/>
  </r>
  <r>
    <x v="189"/>
    <x v="10"/>
    <s v="COPT_S4"/>
    <n v="2790645.7563999998"/>
    <n v="753301.13778286078"/>
    <n v="21.6"/>
    <n v="0"/>
    <n v="0"/>
    <n v="-507600.00000000006"/>
    <n v="3.7045553450423756"/>
    <n v="-507600.00000000006"/>
    <n v="-137020.49307464017"/>
    <n v="-507600.00000000006"/>
    <n v="-507600.00000000006"/>
    <s v="Private Equity Fund"/>
    <n v="0"/>
    <n v="0"/>
    <n v="0"/>
    <n v="0"/>
    <m/>
    <m/>
    <m/>
    <m/>
    <m/>
    <m/>
    <m/>
    <m/>
    <m/>
    <m/>
    <m/>
    <d v="2015-03-31T00:00:00"/>
    <n v="-6.4073841034431034E-3"/>
    <x v="1"/>
  </r>
  <r>
    <x v="190"/>
    <x v="10"/>
    <s v="COPT_S4"/>
    <n v="2838513.8612000002"/>
    <n v="766222.55488736148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1.7153056668056443E-2"/>
    <x v="1"/>
  </r>
  <r>
    <x v="191"/>
    <x v="10"/>
    <s v="COPT_S4"/>
    <n v="2857554.9268"/>
    <n v="771362.4607131663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6.7081108393636235E-3"/>
    <x v="1"/>
  </r>
  <r>
    <x v="192"/>
    <x v="10"/>
    <s v="COPT_S4"/>
    <n v="2822405.6140999999"/>
    <n v="761874.3280153950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2300485415117302E-2"/>
    <x v="1"/>
  </r>
  <r>
    <x v="193"/>
    <x v="10"/>
    <s v="COPT_S4"/>
    <n v="2439555.3780999999"/>
    <n v="658528.5279553826"/>
    <n v="21.6"/>
    <n v="0"/>
    <n v="0"/>
    <n v="-270000"/>
    <n v="3.7045553450423756"/>
    <n v="-270000"/>
    <n v="-72883.240997149012"/>
    <n v="-270000"/>
    <n v="-270000"/>
    <s v="Private Equity Fund"/>
    <n v="0"/>
    <n v="0"/>
    <n v="0"/>
    <n v="0"/>
    <m/>
    <m/>
    <m/>
    <m/>
    <m/>
    <m/>
    <m/>
    <m/>
    <m/>
    <m/>
    <m/>
    <d v="2015-07-31T00:00:00"/>
    <n v="-3.998370589834066E-2"/>
    <x v="1"/>
  </r>
  <r>
    <x v="194"/>
    <x v="10"/>
    <s v="COPT_S4"/>
    <n v="2518431.3502000002"/>
    <n v="679820.1445607482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3.2332109698379297E-2"/>
    <x v="1"/>
  </r>
  <r>
    <x v="195"/>
    <x v="10"/>
    <s v="COPT_S4"/>
    <n v="2499237.2086999998"/>
    <n v="674638.91774342267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7.6214670288614617E-3"/>
    <x v="1"/>
  </r>
  <r>
    <x v="196"/>
    <x v="10"/>
    <s v="COPT_S4"/>
    <n v="2474293.9232999999"/>
    <n v="667905.77892464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9.9803593325078488E-3"/>
    <x v="1"/>
  </r>
  <r>
    <x v="1"/>
    <x v="10"/>
    <s v="COPT_S4"/>
    <n v="2160366.0350000001"/>
    <n v="583164.73470726027"/>
    <n v="21.6"/>
    <n v="0"/>
    <n v="0"/>
    <n v="-313200"/>
    <n v="3.7045553450423756"/>
    <n v="-313200"/>
    <n v="-84544.559556692868"/>
    <n v="-313200"/>
    <n v="-313200"/>
    <s v="Private Equity Fund"/>
    <n v="0"/>
    <n v="0"/>
    <n v="0"/>
    <n v="0"/>
    <m/>
    <m/>
    <m/>
    <m/>
    <m/>
    <m/>
    <m/>
    <m/>
    <m/>
    <m/>
    <m/>
    <d v="2015-11-30T00:00:00"/>
    <n v="-2.9418020759186536E-4"/>
    <x v="1"/>
  </r>
  <r>
    <x v="2"/>
    <x v="10"/>
    <s v="COPT_S4"/>
    <n v="1634391.7"/>
    <n v="441184.31168459286"/>
    <n v="21.6"/>
    <n v="0"/>
    <n v="0"/>
    <n v="-432000"/>
    <n v="3.7045553450423756"/>
    <n v="-432000"/>
    <n v="-116613.18559543844"/>
    <n v="-432000"/>
    <n v="-432000"/>
    <s v="Private Equity Fund"/>
    <n v="0"/>
    <n v="0"/>
    <n v="0"/>
    <n v="0"/>
    <m/>
    <m/>
    <m/>
    <m/>
    <m/>
    <m/>
    <m/>
    <m/>
    <m/>
    <m/>
    <m/>
    <d v="2015-12-31T00:00:00"/>
    <n v="-4.3499265160406142E-2"/>
    <x v="1"/>
  </r>
  <r>
    <x v="3"/>
    <x v="10"/>
    <s v="COPT_S4"/>
    <n v="1566116.28"/>
    <n v="422754.186165920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4.1774208716307104E-2"/>
    <x v="1"/>
  </r>
  <r>
    <x v="4"/>
    <x v="10"/>
    <s v="COPT_S4"/>
    <n v="1622956.34"/>
    <n v="438097.47428174416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3.6293639703432579E-2"/>
    <x v="1"/>
  </r>
  <r>
    <x v="5"/>
    <x v="10"/>
    <s v="COPT_S4"/>
    <n v="1612981.51"/>
    <n v="435404.8893232419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-6.1460864683520189E-3"/>
    <x v="1"/>
  </r>
  <r>
    <x v="6"/>
    <x v="10"/>
    <s v="COPT_S4"/>
    <n v="1702819.5495"/>
    <n v="459655.58370690822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5.5696881175035795E-2"/>
    <x v="1"/>
  </r>
  <r>
    <x v="7"/>
    <x v="10"/>
    <s v="COPT_S4"/>
    <n v="1733756.0562"/>
    <n v="468006.5202751527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8167812736871625E-2"/>
    <x v="1"/>
  </r>
  <r>
    <x v="8"/>
    <x v="10"/>
    <s v="COPT_S4"/>
    <n v="1830080.2498000001"/>
    <n v="494008.07366776327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5.5558100723305248E-2"/>
    <x v="1"/>
  </r>
  <r>
    <x v="9"/>
    <x v="10"/>
    <s v="COPT_S4"/>
    <n v="2028854.8348000001"/>
    <n v="547664.87360355316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0.10861522877028107"/>
    <x v="1"/>
  </r>
  <r>
    <x v="10"/>
    <x v="10"/>
    <s v="COPT_S4"/>
    <n v="2127885.7980999998"/>
    <n v="574397.08680493722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4.8811261210692791E-2"/>
    <x v="1"/>
  </r>
  <r>
    <x v="11"/>
    <x v="10"/>
    <s v="COPT_S4"/>
    <n v="2305587.6395999999"/>
    <n v="622365.55398894346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8.3510986190457714E-2"/>
    <x v="1"/>
  </r>
  <r>
    <x v="12"/>
    <x v="10"/>
    <s v="COPT_S4"/>
    <n v="2505019.7538000001"/>
    <n v="676199.84599564562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8.6499472314398806E-2"/>
    <x v="1"/>
  </r>
  <r>
    <x v="13"/>
    <x v="10"/>
    <s v="COPT_S4"/>
    <n v="2001996.8402999998"/>
    <n v="540414.88217450271"/>
    <n v="21.6"/>
    <n v="0"/>
    <n v="0"/>
    <n v="-324000"/>
    <n v="3.7045553450423756"/>
    <n v="-324000"/>
    <n v="-87459.889196578821"/>
    <n v="-324000"/>
    <n v="-324000"/>
    <s v="Private Equity Fund"/>
    <n v="0"/>
    <n v="0"/>
    <n v="0"/>
    <n v="0"/>
    <m/>
    <m/>
    <m/>
    <m/>
    <m/>
    <m/>
    <m/>
    <m/>
    <m/>
    <m/>
    <m/>
    <d v="2016-11-30T00:00:00"/>
    <n v="-7.1465669373836582E-2"/>
    <x v="1"/>
  </r>
  <r>
    <x v="14"/>
    <x v="10"/>
    <s v="COPT_S4"/>
    <n v="1502309.4084000001"/>
    <n v="405530.29135074659"/>
    <n v="21.6"/>
    <n v="0"/>
    <n v="0"/>
    <n v="-518400"/>
    <n v="3.7045553450423756"/>
    <n v="-518400"/>
    <n v="-139935.82271452612"/>
    <n v="-518400"/>
    <n v="-518400"/>
    <s v="Private Equity Fund"/>
    <n v="0"/>
    <n v="0"/>
    <n v="0"/>
    <n v="0"/>
    <m/>
    <m/>
    <m/>
    <m/>
    <m/>
    <m/>
    <m/>
    <m/>
    <m/>
    <m/>
    <m/>
    <d v="2016-12-30T00:00:00"/>
    <n v="9.3469518649171857E-3"/>
    <x v="1"/>
  </r>
  <r>
    <x v="15"/>
    <x v="10"/>
    <s v="COPT_S4"/>
    <n v="1529018.003"/>
    <n v="412739.9540801056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7778358073684331E-2"/>
    <x v="1"/>
  </r>
  <r>
    <x v="16"/>
    <x v="10"/>
    <s v="COPT_S4"/>
    <n v="1548789.9136000001"/>
    <n v="418077.14269208303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2931116939896459E-2"/>
    <x v="1"/>
  </r>
  <r>
    <x v="17"/>
    <x v="10"/>
    <s v="COPT_S4"/>
    <n v="1212858.6850999999"/>
    <n v="327396.56237640209"/>
    <n v="21.6"/>
    <n v="0"/>
    <n v="0"/>
    <n v="-324000"/>
    <n v="3.7045553450423756"/>
    <n v="-324000"/>
    <n v="-87459.889196578821"/>
    <n v="-324000"/>
    <n v="-324000"/>
    <s v="Private Equity Fund"/>
    <n v="0"/>
    <n v="0"/>
    <n v="0"/>
    <n v="0"/>
    <m/>
    <m/>
    <m/>
    <m/>
    <m/>
    <m/>
    <m/>
    <m/>
    <m/>
    <m/>
    <m/>
    <d v="2017-03-31T00:00:00"/>
    <n v="-7.7035809668125621E-3"/>
    <x v="1"/>
  </r>
  <r>
    <x v="18"/>
    <x v="10"/>
    <s v="COPT_S4"/>
    <n v="1211369.1230000001"/>
    <n v="326994.4730670891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2281415125265926E-3"/>
    <x v="1"/>
  </r>
  <r>
    <x v="19"/>
    <x v="10"/>
    <s v="COPT_S4"/>
    <n v="1189975.8287"/>
    <n v="321219.61149601563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1.7660425624040132E-2"/>
    <x v="1"/>
  </r>
  <r>
    <x v="20"/>
    <x v="10"/>
    <s v="COPT_S4"/>
    <n v="1193395.1847999999"/>
    <n v="322142.6254022799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2.8734668533019203E-3"/>
    <x v="1"/>
  </r>
  <r>
    <x v="21"/>
    <x v="10"/>
    <s v="COPT_S4"/>
    <n v="710196.65600000008"/>
    <n v="191709.0149430272"/>
    <n v="21.6"/>
    <n v="0"/>
    <n v="0"/>
    <n v="-453600"/>
    <n v="3.7045553450423756"/>
    <n v="-453600"/>
    <n v="-122443.84487521036"/>
    <n v="-453600"/>
    <n v="-453600"/>
    <s v="Private Equity Fund"/>
    <n v="0"/>
    <n v="0"/>
    <n v="0"/>
    <n v="0"/>
    <m/>
    <m/>
    <m/>
    <m/>
    <m/>
    <m/>
    <m/>
    <m/>
    <m/>
    <m/>
    <m/>
    <d v="2017-07-31T00:00:00"/>
    <n v="-2.4801950918681093E-2"/>
    <x v="1"/>
  </r>
  <r>
    <x v="22"/>
    <x v="10"/>
    <s v="COPT_S4"/>
    <n v="721500"/>
    <n v="194760.21622015932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5915794455669596E-2"/>
    <x v="1"/>
  </r>
  <r>
    <x v="23"/>
    <x v="10"/>
    <s v="COPT_S4"/>
    <n v="700700"/>
    <n v="189145.50728408265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8828828828828867E-2"/>
    <x v="1"/>
  </r>
  <r>
    <x v="24"/>
    <x v="10"/>
    <s v="COPT_S4"/>
    <n v="731700"/>
    <n v="197513.5831022738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4.4241472812901472E-2"/>
    <x v="1"/>
  </r>
  <r>
    <x v="25"/>
    <x v="10"/>
    <s v="COPT_S4"/>
    <n v="734100"/>
    <n v="198161.43413335961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3.2800328003279589E-3"/>
    <x v="1"/>
  </r>
  <r>
    <x v="26"/>
    <x v="10"/>
    <s v="COPT_S4"/>
    <n v="671000"/>
    <n v="181128.35077439627"/>
    <n v="21.6"/>
    <n v="0"/>
    <n v="0"/>
    <n v="-56453.95"/>
    <n v="3.7045553450423756"/>
    <n v="-56453.95"/>
    <n v="-15239.062381818521"/>
    <n v="-56453.95"/>
    <n v="-56453.95"/>
    <s v="Private Equity Fund"/>
    <n v="0"/>
    <n v="0"/>
    <n v="0"/>
    <n v="0"/>
    <m/>
    <m/>
    <m/>
    <m/>
    <m/>
    <m/>
    <m/>
    <m/>
    <m/>
    <m/>
    <m/>
    <d v="2017-12-29T00:00:00"/>
    <n v="-9.0533306089088939E-3"/>
    <x v="1"/>
  </r>
  <r>
    <x v="27"/>
    <x v="10"/>
    <s v="COPT_S4"/>
    <n v="660700"/>
    <n v="178347.99009931984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-1.5350223546944819E-2"/>
    <x v="1"/>
  </r>
  <r>
    <x v="28"/>
    <x v="10"/>
    <s v="COPT_S4"/>
    <n v="675400"/>
    <n v="182316.07766472019"/>
    <n v="21.6"/>
    <n v="0"/>
    <n v="0"/>
    <n v="0"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2.2249129710912641E-2"/>
    <x v="1"/>
  </r>
  <r>
    <x v="29"/>
    <x v="10"/>
    <s v="COPT_S4"/>
    <n v="475645.864"/>
    <n v="128394.85976003396"/>
    <n v="21.6"/>
    <n v="0"/>
    <n v="0"/>
    <n v="-198591.5"/>
    <n v="3.7045553450423756"/>
    <n v="-198591.5"/>
    <n v="-53607.378349945626"/>
    <n v="-198591.5"/>
    <n v="-198591.5"/>
    <s v="Private Equity Fund"/>
    <n v="0"/>
    <n v="0.11891146599999999"/>
    <n v="0"/>
    <n v="0"/>
    <m/>
    <m/>
    <m/>
    <m/>
    <m/>
    <m/>
    <m/>
    <m/>
    <m/>
    <m/>
    <m/>
    <d v="2018-03-29T00:00:00"/>
    <n v="-1.7214036126739218E-3"/>
    <x v="1"/>
  </r>
  <r>
    <x v="30"/>
    <x v="10"/>
    <s v="COPT_S4"/>
    <n v="479771.576"/>
    <n v="129508.54591551851"/>
    <n v="21.6"/>
    <n v="0"/>
    <n v="0"/>
    <m/>
    <n v="3.7045553450423756"/>
    <n v="0"/>
    <n v="0"/>
    <n v="0"/>
    <n v="0"/>
    <s v="Private Equity Fund"/>
    <n v="0"/>
    <n v="0.11994289"/>
    <n v="0"/>
    <n v="0"/>
    <m/>
    <m/>
    <m/>
    <m/>
    <m/>
    <m/>
    <m/>
    <m/>
    <m/>
    <m/>
    <m/>
    <d v="2018-04-30T00:00:00"/>
    <n v="8.6739154321753276E-3"/>
    <x v="1"/>
  </r>
  <r>
    <x v="31"/>
    <x v="10"/>
    <s v="COPT_S4"/>
    <n v="481686.25599999999"/>
    <n v="130025.39067060154"/>
    <n v="21.6"/>
    <n v="0"/>
    <n v="0"/>
    <m/>
    <n v="3.7045553450423756"/>
    <n v="0"/>
    <n v="0"/>
    <n v="0"/>
    <n v="0"/>
    <s v="Private Equity Fund"/>
    <n v="0"/>
    <n v="0.12042156"/>
    <n v="0"/>
    <n v="0"/>
    <m/>
    <m/>
    <m/>
    <m/>
    <m/>
    <m/>
    <m/>
    <m/>
    <m/>
    <m/>
    <m/>
    <d v="2018-05-31T00:00:00"/>
    <n v="3.9908158294061913E-3"/>
    <x v="1"/>
  </r>
  <r>
    <x v="32"/>
    <x v="10"/>
    <s v="COPT_S4"/>
    <n v="480798.05599999998"/>
    <n v="129785.63180151388"/>
    <n v="21.6"/>
    <n v="0"/>
    <n v="0"/>
    <m/>
    <n v="3.7045553450423756"/>
    <n v="0"/>
    <n v="0"/>
    <n v="-480798.05599999998"/>
    <n v="-480798.05599999998"/>
    <s v="Private Equity Fund"/>
    <n v="0"/>
    <n v="0.12019951"/>
    <n v="0"/>
    <n v="0"/>
    <m/>
    <m/>
    <m/>
    <m/>
    <m/>
    <m/>
    <m/>
    <m/>
    <m/>
    <m/>
    <m/>
    <d v="2018-06-29T00:00:00"/>
    <n v="-1.8439388480289143E-3"/>
    <x v="1"/>
  </r>
  <r>
    <x v="33"/>
    <x v="10"/>
    <s v="COPT_S4"/>
    <n v="480798.05599999998"/>
    <n v="129785.63180151388"/>
    <n v="21.6"/>
    <n v="0"/>
    <n v="0"/>
    <m/>
    <n v="3.7045553450423756"/>
    <n v="0"/>
    <n v="0"/>
    <n v="0"/>
    <n v="0"/>
    <s v="Private Equity Fund"/>
    <n v="0"/>
    <n v="0.12019951"/>
    <n v="0"/>
    <n v="0"/>
    <m/>
    <m/>
    <m/>
    <m/>
    <m/>
    <m/>
    <m/>
    <m/>
    <m/>
    <m/>
    <m/>
    <d v="2018-07-31T00:00:00"/>
    <n v="0"/>
    <x v="1"/>
  </r>
  <r>
    <x v="169"/>
    <x v="11"/>
    <s v="COP2T_S1ex-GP"/>
    <n v="4029878.06"/>
    <n v="4138951.2565498538"/>
    <n v="20"/>
    <n v="4000000"/>
    <n v="0"/>
    <n v="0"/>
    <n v="0.97364714156098209"/>
    <n v="4000000"/>
    <n v="4138951.2565498538"/>
    <n v="4000000"/>
    <n v="4000000"/>
    <s v="Private Equity Fund"/>
    <n v="0"/>
    <n v="0"/>
    <n v="6.8459550000000014E-4"/>
    <n v="1.0984095000000002E-3"/>
    <s v="ARF"/>
    <n v="2.0149390299999999"/>
    <s v="HRF"/>
    <n v="2.0149390299999999"/>
    <m/>
    <m/>
    <m/>
    <m/>
    <n v="4108264.5131449499"/>
    <m/>
    <m/>
    <d v="2012-06-29T00:00:00"/>
    <n v="7.4695149999999266E-3"/>
    <x v="1"/>
  </r>
  <r>
    <x v="170"/>
    <x v="11"/>
    <s v="COP2T_S1ex-GP"/>
    <n v="4010930.6934421007"/>
    <n v="4119491.058138012"/>
    <n v="20"/>
    <n v="0"/>
    <n v="0"/>
    <n v="0"/>
    <n v="0.97364714156098209"/>
    <n v="0"/>
    <n v="0"/>
    <n v="0"/>
    <n v="0"/>
    <s v="Private Equity Fund"/>
    <n v="0"/>
    <n v="0"/>
    <n v="7.5138400000000012E-4"/>
    <n v="2.2401649999999999E-4"/>
    <s v="ARF"/>
    <n v="2.0054653467210501"/>
    <s v="HRF"/>
    <n v="2.0054653467210501"/>
    <m/>
    <m/>
    <m/>
    <m/>
    <n v="4071564.0631820699"/>
    <m/>
    <m/>
    <d v="2012-07-31T00:00:00"/>
    <n v="-4.7017220560513495E-3"/>
    <x v="1"/>
  </r>
  <r>
    <x v="171"/>
    <x v="11"/>
    <s v="COP2T_S1ex-GP"/>
    <n v="6354230"/>
    <n v="4170388.8988385224"/>
    <n v="20"/>
    <n v="2300000"/>
    <n v="0"/>
    <n v="0"/>
    <n v="1.5236540653965605"/>
    <n v="2300000"/>
    <n v="0"/>
    <n v="2300000"/>
    <n v="2300000"/>
    <s v="Private Equity Fund"/>
    <n v="0"/>
    <n v="0"/>
    <n v="2.810686122916667E-3"/>
    <n v="1.8767730000000004E-3"/>
    <s v="ARF"/>
    <n v="3.1771150000000001"/>
    <s v="HRF"/>
    <n v="3.1771150000000001"/>
    <m/>
    <m/>
    <m/>
    <m/>
    <n v="6483309.2700000005"/>
    <m/>
    <m/>
    <d v="2012-08-31T00:00:00"/>
    <n v="1.079532653822568E-2"/>
    <x v="1"/>
  </r>
  <r>
    <x v="172"/>
    <x v="11"/>
    <s v="COP2T_S1ex-GP"/>
    <n v="7483423.5"/>
    <n v="4133646.6856795652"/>
    <n v="20"/>
    <n v="1220000"/>
    <n v="0"/>
    <n v="0"/>
    <n v="1.8103684395488524"/>
    <n v="1220000"/>
    <n v="0"/>
    <n v="1220000"/>
    <n v="1220000"/>
    <s v="Private Equity Fund"/>
    <n v="4.44350107782438E-2"/>
    <n v="0"/>
    <n v="2.9385898500000002E-3"/>
    <n v="0"/>
    <s v="ARF"/>
    <n v="3.7417117499999999"/>
    <s v="HRF"/>
    <n v="3.7417117499999999"/>
    <m/>
    <m/>
    <m/>
    <m/>
    <n v="7588191.4300000006"/>
    <m/>
    <m/>
    <d v="2012-09-28T00:00:00"/>
    <n v="-1.4290716577775697E-2"/>
    <x v="1"/>
  </r>
  <r>
    <x v="173"/>
    <x v="11"/>
    <s v="COP2T_S1ex-GP"/>
    <n v="7518596.9400000004"/>
    <n v="4153075.5705582509"/>
    <n v="20"/>
    <n v="0"/>
    <n v="-9.3132257461547852E-10"/>
    <n v="0"/>
    <n v="1.8103684395488524"/>
    <n v="-9.3132257461547852E-10"/>
    <n v="0"/>
    <n v="-9.3132257461547852E-10"/>
    <n v="-9.3132257461547852E-10"/>
    <s v="Private Equity Fund"/>
    <n v="5.2980052493631101E-2"/>
    <n v="7.4905757500000114E-2"/>
    <n v="3.4935929770833329E-3"/>
    <n v="2.6837677770833335E-3"/>
    <s v="ARF"/>
    <n v="3.7592984700000001"/>
    <s v="HRF"/>
    <n v="3.7592984700000001"/>
    <m/>
    <m/>
    <m/>
    <m/>
    <n v="7698763.057500001"/>
    <m/>
    <m/>
    <d v="2012-10-31T00:00:00"/>
    <n v="4.7001803385844365E-3"/>
    <x v="1"/>
  </r>
  <r>
    <x v="174"/>
    <x v="11"/>
    <s v="COP2T_S1ex-GP"/>
    <n v="12245659.699999999"/>
    <n v="4179855.2652301537"/>
    <n v="20"/>
    <n v="4760000"/>
    <n v="0"/>
    <n v="0"/>
    <n v="2.9296851022246391"/>
    <n v="4760000"/>
    <n v="0"/>
    <n v="4760000"/>
    <n v="4760000"/>
    <s v="Private Equity Fund"/>
    <n v="8.6749536822355797E-2"/>
    <n v="0.10311649599999971"/>
    <n v="4.9409078374999995E-3"/>
    <n v="3.7053753874999999E-3"/>
    <s v="ARF"/>
    <n v="6.1228298499999996"/>
    <s v="HRF"/>
    <n v="6.1228298499999996"/>
    <m/>
    <m/>
    <m/>
    <m/>
    <n v="12520215.435999999"/>
    <m/>
    <m/>
    <d v="2012-11-30T00:00:00"/>
    <n v="-4.3807694790460872E-3"/>
    <x v="1"/>
  </r>
  <r>
    <x v="175"/>
    <x v="11"/>
    <s v="COP2T_S1ex-GP"/>
    <n v="13875515.779999997"/>
    <n v="4205467.1665304592"/>
    <n v="20"/>
    <n v="1580000"/>
    <n v="0"/>
    <n v="0"/>
    <n v="3.2993993843132055"/>
    <n v="1580000"/>
    <n v="0"/>
    <n v="1580000"/>
    <n v="1580000"/>
    <s v="Private Equity Fund"/>
    <n v="0.103769811635849"/>
    <n v="0.25944480800000036"/>
    <n v="5.7562168500000007E-3"/>
    <n v="1.0330484822916668E-2"/>
    <s v="ARF"/>
    <n v="6.9377578899999994"/>
    <s v="HRF"/>
    <n v="6.9377578899999994"/>
    <m/>
    <m/>
    <m/>
    <m/>
    <n v="14329217.808"/>
    <m/>
    <m/>
    <d v="2012-12-31T00:00:00"/>
    <n v="4.071326594188962E-3"/>
    <x v="1"/>
  </r>
  <r>
    <x v="176"/>
    <x v="11"/>
    <s v="COP2T_S1ex-GP"/>
    <n v="13703525.24"/>
    <n v="4153339.3335625208"/>
    <n v="20"/>
    <n v="0"/>
    <n v="-1.862645149230957E-9"/>
    <n v="0"/>
    <n v="3.2993993843132055"/>
    <n v="-1.862645149230957E-9"/>
    <n v="0"/>
    <n v="-1.862645149230957E-9"/>
    <n v="-1.862645149230957E-9"/>
    <s v="Private Equity Fund"/>
    <n v="0.10308979524162801"/>
    <n v="0.255766039"/>
    <n v="5.7208678151277797E-3"/>
    <n v="9.9390453983333356E-3"/>
    <s v="ARF"/>
    <n v="6.8517626199999997"/>
    <s v="HRF"/>
    <n v="6.8517626199999997"/>
    <m/>
    <m/>
    <m/>
    <m/>
    <n v="14151140.629000001"/>
    <m/>
    <m/>
    <d v="2013-01-31T00:00:00"/>
    <n v="-1.2395253821692154E-2"/>
    <x v="1"/>
  </r>
  <r>
    <x v="177"/>
    <x v="11"/>
    <s v="COP2T_S1ex-GP"/>
    <n v="15562001.039999999"/>
    <n v="4221422.2649204005"/>
    <n v="20"/>
    <n v="1660000"/>
    <n v="0"/>
    <n v="0"/>
    <n v="3.6864355336633059"/>
    <n v="1660000"/>
    <n v="0"/>
    <n v="1660000"/>
    <n v="1660000"/>
    <s v="Private Equity Fund"/>
    <n v="0.107276674580859"/>
    <n v="0.338444199"/>
    <n v="5.8240889251275256E-3"/>
    <n v="1.334926036124998E-2"/>
    <s v="ARF"/>
    <n v="7.7810005199999992"/>
    <s v="HRF"/>
    <n v="7.7810005199999992"/>
    <m/>
    <m/>
    <m/>
    <m/>
    <n v="16118313.249"/>
    <m/>
    <m/>
    <d v="2013-02-28T00:00:00"/>
    <n v="1.448355780895394E-2"/>
    <x v="1"/>
  </r>
  <r>
    <x v="178"/>
    <x v="11"/>
    <s v="COP2T_S1ex-GP"/>
    <n v="16739315.179999996"/>
    <n v="4231037.5286431285"/>
    <n v="20"/>
    <n v="1180000"/>
    <n v="0"/>
    <n v="0"/>
    <n v="3.9563145130901747"/>
    <n v="1180000"/>
    <n v="0"/>
    <n v="1180000"/>
    <n v="1180000"/>
    <s v="Private Equity Fund"/>
    <n v="0.11615643422216899"/>
    <n v="0.2622608974999992"/>
    <n v="6.2295760000000006E-3"/>
    <n v="9.7893083583333353E-3"/>
    <s v="ARF"/>
    <n v="8.3696575899999992"/>
    <s v="HRF"/>
    <n v="8.3696575899999992"/>
    <m/>
    <m/>
    <m/>
    <m/>
    <n v="17235926.487500001"/>
    <m/>
    <m/>
    <d v="2013-03-28T00:00:00"/>
    <n v="-1.7259091508214919E-4"/>
    <x v="1"/>
  </r>
  <r>
    <x v="179"/>
    <x v="11"/>
    <s v="COP2T_S1ex-GP"/>
    <n v="17189065.48"/>
    <n v="4187066.9176211073"/>
    <n v="20"/>
    <n v="648960"/>
    <n v="0"/>
    <n v="0"/>
    <n v="4.1052760364685099"/>
    <n v="648960"/>
    <n v="0"/>
    <n v="648960"/>
    <n v="648960"/>
    <s v="Private Equity Fund"/>
    <n v="0.14087869872832201"/>
    <n v="7.0979914500001101E-2"/>
    <n v="7.513362983333334E-3"/>
    <n v="1.4195982000000003E-3"/>
    <s v="ARF"/>
    <n v="8.59453274"/>
    <s v="HRF"/>
    <n v="8.59453274"/>
    <m/>
    <m/>
    <m/>
    <m/>
    <n v="17500692.3145"/>
    <m/>
    <m/>
    <d v="2013-04-30T00:00:00"/>
    <n v="-1.1900707875911798E-2"/>
    <x v="1"/>
  </r>
  <r>
    <x v="180"/>
    <x v="11"/>
    <s v="COP2T_S1ex-GP"/>
    <n v="17284523.859999999"/>
    <n v="4210319.5269833067"/>
    <n v="20"/>
    <n v="0"/>
    <n v="0"/>
    <n v="0"/>
    <n v="4.1052760364685099"/>
    <n v="0"/>
    <n v="0"/>
    <n v="0"/>
    <n v="0"/>
    <s v="Private Equity Fund"/>
    <n v="0.13342731951925699"/>
    <n v="0.23611917049999909"/>
    <n v="7.1123933583333325E-3"/>
    <n v="8.1409090333333326E-3"/>
    <s v="ARF"/>
    <n v="8.6422619300000001"/>
    <s v="HRF"/>
    <n v="8.6422619300000001"/>
    <m/>
    <m/>
    <m/>
    <m/>
    <n v="17762626.3605"/>
    <m/>
    <m/>
    <d v="2013-05-31T00:00:00"/>
    <n v="5.5534362883815636E-3"/>
    <x v="1"/>
  </r>
  <r>
    <x v="181"/>
    <x v="11"/>
    <s v="COP2T_S1ex-GP"/>
    <n v="17464276.260000002"/>
    <n v="4254105.2306493213"/>
    <n v="20"/>
    <n v="0"/>
    <n v="0"/>
    <n v="0"/>
    <n v="4.1052760364685099"/>
    <n v="0"/>
    <n v="0"/>
    <n v="0"/>
    <n v="0"/>
    <s v="Private Equity Fund"/>
    <n v="0.121003450645939"/>
    <n v="0.24113119200000002"/>
    <n v="6.4470436291666671E-3"/>
    <n v="8.254087508333334E-3"/>
    <s v="ARF"/>
    <n v="8.7321381300000009"/>
    <s v="HRF"/>
    <n v="8.7321381300000009"/>
    <m/>
    <m/>
    <m/>
    <m/>
    <n v="17949907.322000001"/>
    <m/>
    <m/>
    <d v="2013-06-28T00:00:00"/>
    <n v="1.0399615370139781E-2"/>
    <x v="1"/>
  </r>
  <r>
    <x v="182"/>
    <x v="11"/>
    <s v="COP2T_S1ex-GP"/>
    <n v="16949422.66"/>
    <n v="4128692.567669685"/>
    <n v="20"/>
    <n v="0"/>
    <n v="0"/>
    <n v="0"/>
    <n v="4.1052760364685099"/>
    <n v="0"/>
    <n v="0"/>
    <n v="0"/>
    <n v="0"/>
    <s v="Private Equity Fund"/>
    <n v="0.13853193730990199"/>
    <n v="0"/>
    <n v="7.3886962000000002E-3"/>
    <n v="0"/>
    <s v="ARF"/>
    <n v="8.4747113299999999"/>
    <s v="HRF"/>
    <n v="8.4747113299999999"/>
    <m/>
    <m/>
    <m/>
    <m/>
    <n v="17186714.579999998"/>
    <m/>
    <m/>
    <d v="2013-07-31T00:00:00"/>
    <n v="-2.9480385693349209E-2"/>
    <x v="1"/>
  </r>
  <r>
    <x v="183"/>
    <x v="11"/>
    <s v="COP2T_S1ex-GP"/>
    <n v="16655431.660000002"/>
    <n v="4057079.6000182093"/>
    <n v="20"/>
    <n v="0"/>
    <n v="0"/>
    <n v="0"/>
    <n v="4.1052760364685099"/>
    <n v="0"/>
    <n v="0"/>
    <n v="0"/>
    <n v="0"/>
    <s v="Private Equity Fund"/>
    <n v="0.12398072844547101"/>
    <n v="0"/>
    <n v="6.6158181325960295E-3"/>
    <n v="0"/>
    <s v="ARF"/>
    <n v="8.3277158300000007"/>
    <s v="HRF"/>
    <n v="8.3277158300000007"/>
    <m/>
    <m/>
    <m/>
    <m/>
    <n v="16888607.699999999"/>
    <m/>
    <m/>
    <d v="2013-08-30T00:00:00"/>
    <n v="-1.7345192570706547E-2"/>
    <x v="1"/>
  </r>
  <r>
    <x v="35"/>
    <x v="11"/>
    <s v="COP2T_S1ex-GP"/>
    <n v="19326548.100000001"/>
    <n v="4067147.6995531274"/>
    <n v="20"/>
    <n v="2660000"/>
    <n v="0"/>
    <n v="0"/>
    <n v="4.7518677775393998"/>
    <n v="2660000"/>
    <n v="0"/>
    <n v="2660000"/>
    <n v="2660000"/>
    <s v="Private Equity Fund"/>
    <n v="0.169472467734434"/>
    <n v="0"/>
    <n v="8.6614820471078904E-3"/>
    <n v="0"/>
    <s v="ARF"/>
    <n v="9.6632740500000001"/>
    <s v="HRF"/>
    <n v="9.6632740500000001"/>
    <m/>
    <m/>
    <m/>
    <m/>
    <n v="19597119.77"/>
    <m/>
    <m/>
    <d v="2013-09-30T00:00:00"/>
    <n v="6.6743631908972034E-4"/>
    <x v="1"/>
  </r>
  <r>
    <x v="36"/>
    <x v="11"/>
    <s v="COP2T_S1ex-GP"/>
    <n v="16417722.399999999"/>
    <n v="3455004.0465354407"/>
    <n v="20"/>
    <n v="0"/>
    <n v="0"/>
    <n v="-3224867.42"/>
    <n v="4.7518677775393998"/>
    <n v="-3224867.42"/>
    <n v="-678652.59956157545"/>
    <n v="-3224867.42"/>
    <n v="-3224867.42"/>
    <s v="Private Equity Fund"/>
    <n v="0.14767777177191402"/>
    <n v="0.22893597500000112"/>
    <n v="7.5469736604166669E-3"/>
    <n v="6.605525027083334E-3"/>
    <s v="ARF"/>
    <n v="8.2088611999999994"/>
    <s v="HRF"/>
    <n v="8.2088611999999994"/>
    <m/>
    <m/>
    <m/>
    <m/>
    <n v="16876506.484999999"/>
    <m/>
    <m/>
    <d v="2013-10-31T00:00:00"/>
    <n v="1.6352724675132269E-2"/>
    <x v="1"/>
  </r>
  <r>
    <x v="37"/>
    <x v="11"/>
    <s v="COP2T_S1ex-GP"/>
    <n v="16367553.960000001"/>
    <n v="3444446.4211239913"/>
    <n v="20"/>
    <n v="0"/>
    <n v="0"/>
    <n v="0"/>
    <n v="4.7518677775393998"/>
    <n v="0"/>
    <n v="0"/>
    <n v="0"/>
    <n v="0"/>
    <s v="Private Equity Fund"/>
    <n v="0.13805853620390901"/>
    <n v="0.25754727300000002"/>
    <n v="7.0542959854166679E-3"/>
    <n v="7.6213894083333343E-3"/>
    <s v="ARF"/>
    <n v="8.1837769800000011"/>
    <s v="HRF"/>
    <n v="8.1837769800000011"/>
    <m/>
    <m/>
    <m/>
    <m/>
    <n v="16854246.982999999"/>
    <m/>
    <m/>
    <d v="2013-11-29T00:00:00"/>
    <n v="-3.0557490727214365E-3"/>
    <x v="1"/>
  </r>
  <r>
    <x v="38"/>
    <x v="11"/>
    <s v="COP2T_S1ex-GP"/>
    <n v="16639720.48"/>
    <n v="3501722.1141233728"/>
    <n v="20"/>
    <n v="0"/>
    <n v="0"/>
    <n v="0"/>
    <n v="4.7518677775393998"/>
    <n v="0"/>
    <n v="0"/>
    <n v="0"/>
    <n v="0"/>
    <s v="Private Equity Fund"/>
    <n v="0.15521295352099571"/>
    <n v="0.64462153002730549"/>
    <n v="7.9298758840632803E-3"/>
    <n v="2.4295049900000299E-2"/>
    <s v="ARF"/>
    <n v="8.3198602400000006"/>
    <s v="HRF"/>
    <n v="8.3198602400000006"/>
    <m/>
    <m/>
    <m/>
    <m/>
    <n v="17517298.090500001"/>
    <m/>
    <m/>
    <d v="2013-12-31T00:00:00"/>
    <n v="1.6628417457192235E-2"/>
    <x v="1"/>
  </r>
  <r>
    <x v="39"/>
    <x v="11"/>
    <s v="COP2T_S1ex-GP"/>
    <n v="16905601.559999999"/>
    <n v="3557675.0767156268"/>
    <n v="20"/>
    <n v="0"/>
    <n v="0"/>
    <n v="0"/>
    <n v="4.7518677775393998"/>
    <n v="0"/>
    <n v="0"/>
    <n v="0"/>
    <n v="0"/>
    <s v="Private Equity Fund"/>
    <n v="0.14777942514555001"/>
    <n v="0.94586041050000047"/>
    <n v="7.5488678017476994E-3"/>
    <n v="3.7246241853750001E-2"/>
    <s v="ARF"/>
    <n v="8.4528007799999987"/>
    <s v="HRF"/>
    <n v="8.4528007799999987"/>
    <m/>
    <m/>
    <m/>
    <m/>
    <n v="18088140.390500002"/>
    <m/>
    <m/>
    <d v="2014-01-30T00:00:00"/>
    <n v="1.5978698699871341E-2"/>
    <x v="1"/>
  </r>
  <r>
    <x v="40"/>
    <x v="11"/>
    <s v="COP2T_S1ex-GP"/>
    <n v="17002095.659999996"/>
    <n v="3577981.6392121874"/>
    <n v="20"/>
    <n v="0"/>
    <n v="0"/>
    <n v="0"/>
    <n v="4.7518677775393998"/>
    <n v="0"/>
    <n v="0"/>
    <n v="0"/>
    <n v="0"/>
    <s v="Private Equity Fund"/>
    <n v="0.14378600872052799"/>
    <n v="1.0921174825"/>
    <n v="7.3437693641430699E-3"/>
    <n v="4.3415455349583305E-2"/>
    <s v="ARF"/>
    <n v="8.5010478299999992"/>
    <s v="HRF"/>
    <n v="8.5010478299999992"/>
    <m/>
    <m/>
    <m/>
    <m/>
    <n v="18332242.482500002"/>
    <m/>
    <m/>
    <d v="2014-02-28T00:00:00"/>
    <n v="5.707818184258473E-3"/>
    <x v="1"/>
  </r>
  <r>
    <x v="41"/>
    <x v="11"/>
    <s v="COP2T_S1ex-GP"/>
    <n v="16321037.359999999"/>
    <n v="3434657.3019443983"/>
    <n v="20"/>
    <n v="0"/>
    <n v="0"/>
    <n v="-875800"/>
    <n v="4.7518677775393998"/>
    <n v="-875800"/>
    <n v="-184306.4750537955"/>
    <n v="-875800"/>
    <n v="-875800"/>
    <s v="Private Equity Fund"/>
    <n v="0.147148692856092"/>
    <n v="1.2494029125000008"/>
    <n v="7.5156186244553598E-3"/>
    <n v="5.08554830398006E-2"/>
    <s v="ARF"/>
    <n v="8.1605186799999991"/>
    <s v="HRF"/>
    <n v="8.1605186799999991"/>
    <m/>
    <m/>
    <m/>
    <m/>
    <n v="17798934.7925"/>
    <m/>
    <m/>
    <d v="2014-03-31T00:00:00"/>
    <n v="1.1453982138105667E-2"/>
    <x v="1"/>
  </r>
  <r>
    <x v="42"/>
    <x v="11"/>
    <s v="COP2T_S1ex-GP"/>
    <n v="16135483.119999999"/>
    <n v="3395608.6060027611"/>
    <n v="20"/>
    <n v="0"/>
    <n v="0"/>
    <n v="0"/>
    <n v="4.7518677775393998"/>
    <n v="0"/>
    <n v="0"/>
    <n v="0"/>
    <n v="0"/>
    <s v="Private Equity Fund"/>
    <n v="0.14032298364026"/>
    <n v="0.81754584250000006"/>
    <n v="7.1648134461411404E-3"/>
    <n v="3.08508617921157E-2"/>
    <s v="ARF"/>
    <n v="8.06774156"/>
    <s v="HRF"/>
    <n v="8.06774156"/>
    <m/>
    <m/>
    <m/>
    <m/>
    <n v="17178925.7225"/>
    <m/>
    <m/>
    <d v="2014-04-30T00:00:00"/>
    <n v="-1.1369022440617771E-2"/>
    <x v="1"/>
  </r>
  <r>
    <x v="43"/>
    <x v="11"/>
    <s v="COP2T_S1ex-GP"/>
    <n v="16210826.539999997"/>
    <n v="3411464.1439779806"/>
    <n v="20"/>
    <n v="0"/>
    <n v="0"/>
    <n v="0"/>
    <n v="4.7518677775393998"/>
    <n v="0"/>
    <n v="0"/>
    <n v="0"/>
    <n v="0"/>
    <s v="Private Equity Fund"/>
    <n v="0.14114654423049899"/>
    <n v="0.97272864950000293"/>
    <n v="7.2057648970529397E-3"/>
    <n v="3.7552869527191501E-2"/>
    <s v="ARF"/>
    <n v="8.1054132699999997"/>
    <s v="HRF"/>
    <n v="8.1054132699999997"/>
    <m/>
    <m/>
    <m/>
    <m/>
    <n v="17410506.759500001"/>
    <m/>
    <m/>
    <d v="2014-05-30T00:00:00"/>
    <n v="4.6694244876133162E-3"/>
    <x v="1"/>
  </r>
  <r>
    <x v="44"/>
    <x v="11"/>
    <s v="COP2T_S1ex-GP"/>
    <n v="16242340.66"/>
    <n v="3418096.0877683698"/>
    <n v="20"/>
    <n v="0"/>
    <n v="0"/>
    <n v="0"/>
    <n v="4.7518677775393998"/>
    <n v="0"/>
    <n v="0"/>
    <n v="0"/>
    <n v="0"/>
    <s v="Private Equity Fund"/>
    <n v="0.14621847501648799"/>
    <n v="1.0505556085000012"/>
    <n v="7.4634923585856607E-3"/>
    <n v="4.0822879810959001E-2"/>
    <s v="ARF"/>
    <n v="8.12117033"/>
    <s v="HRF"/>
    <n v="8.12117033"/>
    <m/>
    <m/>
    <m/>
    <m/>
    <n v="17520289.0385"/>
    <m/>
    <m/>
    <d v="2014-06-30T00:00:00"/>
    <n v="1.9440168533197966E-3"/>
    <x v="1"/>
  </r>
  <r>
    <x v="45"/>
    <x v="11"/>
    <s v="COP2T_S1ex-GP"/>
    <n v="14945471.82"/>
    <n v="3145178.3845170513"/>
    <n v="20"/>
    <n v="0"/>
    <n v="0"/>
    <n v="-1313200"/>
    <n v="4.7518677775393998"/>
    <n v="-1313200"/>
    <n v="-276354.4907977212"/>
    <n v="-1313200"/>
    <n v="-1313200"/>
    <s v="Private Equity Fund"/>
    <n v="0.13546904561441001"/>
    <n v="1.2167070935000006"/>
    <n v="6.9125370253875201E-3"/>
    <n v="4.7887210469560605E-2"/>
    <s v="ARF"/>
    <n v="7.4727359099999999"/>
    <s v="HRF"/>
    <n v="7.4727359099999999"/>
    <m/>
    <m/>
    <m/>
    <m/>
    <n v="16371415.513500001"/>
    <m/>
    <m/>
    <d v="2014-07-31T00:00:00"/>
    <n v="1.0054683830280631E-3"/>
    <x v="1"/>
  </r>
  <r>
    <x v="46"/>
    <x v="11"/>
    <s v="COP2T_S1ex-GP"/>
    <n v="11552124.52"/>
    <n v="2431070.2782184505"/>
    <n v="20"/>
    <n v="0"/>
    <n v="0"/>
    <n v="-3764982"/>
    <n v="4.7518677775393998"/>
    <n v="-3764982"/>
    <n v="-792316.23779514618"/>
    <n v="-3764982"/>
    <n v="-3764982"/>
    <s v="Private Equity Fund"/>
    <n v="9.4121948225675503E-2"/>
    <n v="1.6051740220000006"/>
    <n v="4.8033587656965198E-3"/>
    <n v="6.6305085238277994E-2"/>
    <s v="ARF"/>
    <n v="5.7760622599999998"/>
    <s v="HRF"/>
    <n v="5.7760622599999998"/>
    <m/>
    <m/>
    <m/>
    <m/>
    <n v="13319028.282"/>
    <m/>
    <m/>
    <d v="2014-08-29T00:00:00"/>
    <n v="2.4866039993644007E-2"/>
    <x v="1"/>
  </r>
  <r>
    <x v="47"/>
    <x v="11"/>
    <s v="COP2T_S1ex-GP"/>
    <n v="11923276.52"/>
    <n v="2509176.8286057152"/>
    <n v="20"/>
    <n v="0"/>
    <n v="0"/>
    <n v="0"/>
    <n v="4.7518677775393998"/>
    <n v="0"/>
    <n v="0"/>
    <n v="0"/>
    <n v="0"/>
    <s v="Private Equity Fund"/>
    <n v="0.105620045962263"/>
    <n v="1.976654841"/>
    <n v="5.3881984562632393E-3"/>
    <n v="8.42219228821732E-2"/>
    <s v="ARF"/>
    <n v="5.96163826"/>
    <s v="HRF"/>
    <n v="5.96163826"/>
    <m/>
    <m/>
    <m/>
    <m/>
    <n v="14066857.231000001"/>
    <m/>
    <m/>
    <d v="2014-09-30T00:00:00"/>
    <n v="3.2128462548809189E-2"/>
    <x v="1"/>
  </r>
  <r>
    <x v="184"/>
    <x v="11"/>
    <s v="COP2T_S1ex-GP"/>
    <n v="9620670.4800000004"/>
    <n v="2024608.2025838168"/>
    <n v="20"/>
    <n v="0"/>
    <n v="0"/>
    <n v="-1865000"/>
    <n v="4.7518677775393998"/>
    <n v="-1865000"/>
    <n v="-392477.25048564578"/>
    <n v="-1865000"/>
    <n v="-1865000"/>
    <s v="Private Equity Fund"/>
    <n v="8.1228541406217006E-2"/>
    <n v="1.3497602735000012"/>
    <n v="4.14401592994291E-3"/>
    <n v="5.4445728805858198E-2"/>
    <s v="ARF"/>
    <n v="4.8103352400000006"/>
    <s v="HRF"/>
    <n v="4.8103352400000006"/>
    <m/>
    <m/>
    <m/>
    <m/>
    <n v="11105120.1435"/>
    <m/>
    <m/>
    <d v="2014-10-31T00:00:00"/>
    <n v="-3.6701827661713815E-2"/>
    <x v="1"/>
  </r>
  <r>
    <x v="185"/>
    <x v="11"/>
    <s v="COP2T_S1ex-GP"/>
    <n v="9242642.5599999987"/>
    <n v="1945054.6590726059"/>
    <n v="20"/>
    <n v="0"/>
    <n v="0"/>
    <n v="0"/>
    <n v="4.7518677775393998"/>
    <n v="0"/>
    <n v="0"/>
    <n v="0"/>
    <n v="0"/>
    <s v="Private Equity Fund"/>
    <n v="7.0647337428247095E-2"/>
    <n v="0.78179146950000034"/>
    <n v="3.6032118983682498E-3"/>
    <n v="2.8006063743124702E-2"/>
    <s v="ARF"/>
    <n v="4.6213212800000001"/>
    <s v="HRF"/>
    <n v="4.6213212800000001"/>
    <m/>
    <m/>
    <m/>
    <m/>
    <n v="10153831.0295"/>
    <m/>
    <m/>
    <d v="2014-11-28T00:00:00"/>
    <n v="-3.9293302975698774E-2"/>
    <x v="1"/>
  </r>
  <r>
    <x v="186"/>
    <x v="11"/>
    <s v="COP2T_S1ex-GP"/>
    <n v="8103036.0800000001"/>
    <n v="1705231.8076484641"/>
    <n v="20"/>
    <n v="0"/>
    <n v="0"/>
    <n v="-1150000"/>
    <n v="4.7518677775393998"/>
    <n v="-1150000"/>
    <n v="-242010.10083565291"/>
    <n v="-1150000"/>
    <n v="-1150000"/>
    <s v="Private Equity Fund"/>
    <n v="7.1964093250969696E-2"/>
    <n v="0.637980934"/>
    <n v="3.6668947213499099E-3"/>
    <n v="2.1601157457595801E-2"/>
    <s v="ARF"/>
    <n v="4.0515180400000004"/>
    <s v="HRF"/>
    <n v="4.0515180400000004"/>
    <m/>
    <m/>
    <m/>
    <m/>
    <n v="8854459.5240000002"/>
    <m/>
    <m/>
    <d v="2014-12-31T00:00:00"/>
    <n v="1.1245182243639906E-3"/>
    <x v="1"/>
  </r>
  <r>
    <x v="187"/>
    <x v="11"/>
    <s v="COP2T_S1ex-GP"/>
    <n v="8294624.1799999988"/>
    <n v="1745550.2906049083"/>
    <n v="20"/>
    <n v="0"/>
    <n v="0"/>
    <n v="0"/>
    <n v="4.7518677775393998"/>
    <n v="0"/>
    <n v="0"/>
    <n v="0"/>
    <n v="0"/>
    <s v="Private Equity Fund"/>
    <n v="6.6656517904930906E-2"/>
    <n v="0.83939367900000073"/>
    <n v="3.3964498489093844E-3"/>
    <n v="2.8420716141635733E-2"/>
    <s v="ARF"/>
    <n v="4.1473120899999998"/>
    <s v="HRF"/>
    <n v="4.1473120899999998"/>
    <m/>
    <m/>
    <m/>
    <m/>
    <n v="9250142.5989999995"/>
    <m/>
    <m/>
    <d v="2015-01-30T00:00:00"/>
    <n v="2.3643989500784501E-2"/>
    <x v="1"/>
  </r>
  <r>
    <x v="188"/>
    <x v="11"/>
    <s v="COP2T_S1ex-GP"/>
    <n v="8502524.2799999993"/>
    <n v="1789301.5290090321"/>
    <n v="20"/>
    <n v="0"/>
    <n v="0"/>
    <n v="0"/>
    <n v="4.7518677775393998"/>
    <n v="0"/>
    <n v="0"/>
    <n v="0"/>
    <n v="0"/>
    <s v="Private Equity Fund"/>
    <n v="6.3682696399051303E-2"/>
    <n v="1.1906586805000003"/>
    <n v="3.2449202472771173E-3"/>
    <n v="4.0314066244076435E-2"/>
    <s v="ARF"/>
    <n v="4.2512621399999997"/>
    <s v="HRF"/>
    <n v="4.2512621399999997"/>
    <m/>
    <m/>
    <m/>
    <m/>
    <n v="9812218.3004999999"/>
    <m/>
    <m/>
    <d v="2015-02-27T00:00:00"/>
    <n v="2.5064438784494936E-2"/>
    <x v="1"/>
  </r>
  <r>
    <x v="189"/>
    <x v="11"/>
    <s v="COP2T_S1ex-GP"/>
    <n v="8525943.6600000001"/>
    <n v="1794229.9868484309"/>
    <n v="20"/>
    <n v="0"/>
    <n v="0"/>
    <n v="0"/>
    <n v="4.7518677775393998"/>
    <n v="0"/>
    <n v="0"/>
    <n v="0"/>
    <n v="0"/>
    <s v="Private Equity Fund"/>
    <n v="7.25169592266727E-2"/>
    <n v="1.1362937885000004"/>
    <n v="3.6930120238448799E-3"/>
    <n v="4.4687830897109503E-2"/>
    <s v="ARF"/>
    <n v="4.2629718299999997"/>
    <s v="HRF"/>
    <n v="4.2629718299999997"/>
    <m/>
    <m/>
    <m/>
    <m/>
    <n v="9781600.6585000008"/>
    <m/>
    <m/>
    <d v="2015-03-31T00:00:00"/>
    <n v="2.7544031900137433E-3"/>
    <x v="1"/>
  </r>
  <r>
    <x v="190"/>
    <x v="11"/>
    <s v="COP2T_S1ex-GP"/>
    <n v="8036124.9600000009"/>
    <n v="1691150.7929543543"/>
    <n v="20"/>
    <n v="0"/>
    <n v="0"/>
    <n v="-643000"/>
    <n v="4.7518677775393998"/>
    <n v="-643000"/>
    <n v="-135315.21290202157"/>
    <n v="-643000"/>
    <n v="-643000"/>
    <s v="Private Equity Fund"/>
    <n v="6.3952573684911806E-2"/>
    <n v="1.5239453505000014"/>
    <n v="3.2563482381166302E-3"/>
    <n v="6.2321826256616704E-2"/>
    <s v="ARF"/>
    <n v="4.0180624800000002"/>
    <s v="HRF"/>
    <n v="4.0180624800000002"/>
    <m/>
    <m/>
    <m/>
    <m/>
    <n v="9672576.0604999997"/>
    <m/>
    <m/>
    <d v="2015-04-30T00:00:00"/>
    <n v="1.7966492168915105E-2"/>
    <x v="1"/>
  </r>
  <r>
    <x v="191"/>
    <x v="11"/>
    <s v="COP2T_S1ex-GP"/>
    <n v="8083008.6200000001"/>
    <n v="1701017.1575492623"/>
    <n v="20"/>
    <n v="0"/>
    <n v="0"/>
    <n v="0"/>
    <n v="4.7518677775393998"/>
    <n v="0"/>
    <n v="0"/>
    <n v="0"/>
    <n v="0"/>
    <s v="Private Equity Fund"/>
    <n v="6.2049934270313203E-2"/>
    <n v="1.5775730350000001"/>
    <n v="3.159469314431325E-3"/>
    <n v="6.4514933269841965E-2"/>
    <s v="ARF"/>
    <n v="4.0415043099999997"/>
    <s v="HRF"/>
    <n v="4.0415043099999997"/>
    <m/>
    <m/>
    <m/>
    <m/>
    <n v="9773743.7750000004"/>
    <m/>
    <m/>
    <d v="2015-05-29T00:00:00"/>
    <n v="5.8341128632721784E-3"/>
    <x v="1"/>
  </r>
  <r>
    <x v="192"/>
    <x v="11"/>
    <s v="COP2T_S1ex-GP"/>
    <n v="8309419.8800000008"/>
    <n v="1748663.950473547"/>
    <n v="20"/>
    <n v="0"/>
    <n v="0"/>
    <n v="0"/>
    <n v="4.7518677775393998"/>
    <n v="0"/>
    <n v="0"/>
    <n v="0"/>
    <n v="0"/>
    <s v="Private Equity Fund"/>
    <n v="6.2049934270313203E-2"/>
    <n v="1.5775730350000001"/>
    <n v="3.159469314431325E-3"/>
    <n v="6.4514933269841965E-2"/>
    <s v="ARF"/>
    <n v="4.15470994"/>
    <s v="HRF"/>
    <n v="4.15470994"/>
    <m/>
    <m/>
    <m/>
    <m/>
    <n v="10283442.8805"/>
    <m/>
    <m/>
    <d v="2015-06-30T00:00:00"/>
    <n v="2.8010765625040346E-2"/>
    <x v="1"/>
  </r>
  <r>
    <x v="193"/>
    <x v="11"/>
    <s v="COP2T_S1ex-GP"/>
    <n v="7106513.879999999"/>
    <n v="1495520.122338058"/>
    <n v="20"/>
    <n v="0"/>
    <n v="0"/>
    <n v="-906600"/>
    <n v="4.7518677775393998"/>
    <n v="-906600"/>
    <n v="-190788.1368848721"/>
    <n v="-906600"/>
    <n v="-906600"/>
    <s v="Private Equity Fund"/>
    <n v="5.8155294263264601E-2"/>
    <n v="1.3647535125000005"/>
    <n v="2.9576832493149498E-3"/>
    <n v="5.4875959512572597E-2"/>
    <s v="ARF"/>
    <n v="3.5532569399999998"/>
    <s v="HRF"/>
    <n v="3.5532569399999998"/>
    <m/>
    <m/>
    <m/>
    <m/>
    <n v="8570758.5824999996"/>
    <m/>
    <m/>
    <d v="2015-07-31T00:00:00"/>
    <n v="-3.5659047716818715E-2"/>
    <x v="1"/>
  </r>
  <r>
    <x v="194"/>
    <x v="11"/>
    <s v="COP2T_S1ex-GP"/>
    <n v="7156824.0999999996"/>
    <n v="1506107.5844382877"/>
    <n v="20"/>
    <n v="0"/>
    <n v="0"/>
    <n v="0"/>
    <n v="4.7518677775393998"/>
    <n v="0"/>
    <n v="0"/>
    <n v="0"/>
    <n v="0"/>
    <s v="Private Equity Fund"/>
    <n v="5.7309681474404801E-2"/>
    <n v="1.1882007185000005"/>
    <n v="2.9128083672966799E-3"/>
    <n v="4.7278616678979597E-2"/>
    <s v="ARF"/>
    <n v="3.5784120499999998"/>
    <s v="HRF"/>
    <n v="3.5784120499999998"/>
    <m/>
    <m/>
    <m/>
    <m/>
    <n v="8445220.3585000001"/>
    <m/>
    <m/>
    <d v="2015-08-31T00:00:00"/>
    <n v="7.0794514510961193E-3"/>
    <x v="1"/>
  </r>
  <r>
    <x v="195"/>
    <x v="11"/>
    <s v="COP2T_S1ex-GP"/>
    <n v="6574095.5800000001"/>
    <n v="1383476.1167121914"/>
    <n v="20"/>
    <n v="0"/>
    <n v="0"/>
    <n v="-569178.48"/>
    <n v="4.7518677775393998"/>
    <n v="-569178.48"/>
    <n v="-119779.94898981186"/>
    <n v="-569178.48"/>
    <n v="-569178.48"/>
    <s v="Private Equity Fund"/>
    <n v="5.1776235041536098E-2"/>
    <n v="1.0430580290000013"/>
    <n v="2.6308200000000003E-3"/>
    <n v="4.0707752595644402E-2"/>
    <s v="ARF"/>
    <n v="3.2870477899999999"/>
    <s v="HRF"/>
    <n v="3.2870477899999999"/>
    <m/>
    <m/>
    <m/>
    <m/>
    <n v="7709190.949"/>
    <m/>
    <m/>
    <d v="2015-09-30T00:00:00"/>
    <n v="-1.8933034835939555E-3"/>
    <x v="1"/>
  </r>
  <r>
    <x v="196"/>
    <x v="11"/>
    <s v="COP2T_S1ex-GP"/>
    <n v="6539175.9199999999"/>
    <n v="1376127.4989402376"/>
    <n v="20"/>
    <n v="0"/>
    <n v="0"/>
    <n v="0"/>
    <n v="4.7518677775393998"/>
    <n v="0"/>
    <n v="0"/>
    <n v="0"/>
    <n v="0"/>
    <s v="Private Equity Fund"/>
    <n v="5.2137021220164295E-2"/>
    <n v="1.1204263632040079"/>
    <n v="2.6494600000000002E-3"/>
    <n v="4.38330789809998E-2"/>
    <s v="ARF"/>
    <n v="3.26958796"/>
    <s v="HRF"/>
    <n v="3.26958796"/>
    <m/>
    <m/>
    <m/>
    <m/>
    <n v="7751150.7434999999"/>
    <m/>
    <m/>
    <d v="2015-10-30T00:00:00"/>
    <n v="-5.3117055532678759E-3"/>
    <x v="1"/>
  </r>
  <r>
    <x v="1"/>
    <x v="11"/>
    <s v="COP2T_S1ex-GP"/>
    <n v="6521329.5"/>
    <n v="1372371.8346761025"/>
    <n v="20"/>
    <n v="0"/>
    <n v="-9.3132257461547852E-10"/>
    <n v="0"/>
    <n v="4.7518677775393998"/>
    <n v="-9.3132257461547852E-10"/>
    <n v="0"/>
    <n v="-9.3132257461547852E-10"/>
    <n v="-9.3132257461547852E-10"/>
    <s v="Private Equity Fund"/>
    <n v="5.3311669123790949E-2"/>
    <n v="1.0007359425328697"/>
    <n v="2.7081700000000002E-3"/>
    <n v="3.8400695408189002E-2"/>
    <s v="ARF"/>
    <n v="3.2606647500000001"/>
    <s v="HRF"/>
    <n v="3.2606647500000001"/>
    <m/>
    <m/>
    <m/>
    <m/>
    <n v="7613364.0519999992"/>
    <m/>
    <m/>
    <d v="2015-11-30T00:00:00"/>
    <n v="-2.72915428768572E-3"/>
    <x v="1"/>
  </r>
  <r>
    <x v="2"/>
    <x v="11"/>
    <s v="COP2T_S1ex-GP"/>
    <n v="4694623.7800000012"/>
    <n v="987953.36902891682"/>
    <n v="20"/>
    <n v="0"/>
    <n v="0"/>
    <n v="-1277640"/>
    <n v="4.7518677775393998"/>
    <n v="-1277640"/>
    <n v="-268871.11759275093"/>
    <n v="-1277640"/>
    <n v="-1277640"/>
    <s v="Private Equity Fund"/>
    <n v="2.5074186134815601E-2"/>
    <n v="0.14746175550000015"/>
    <n v="1.2789000000000001E-3"/>
    <n v="2.9492351689660011E-3"/>
    <s v="ARF"/>
    <n v="2.3473118900000003"/>
    <s v="HRF"/>
    <n v="2.3473118900000003"/>
    <m/>
    <m/>
    <m/>
    <m/>
    <n v="4907810.2655000007"/>
    <m/>
    <m/>
    <d v="2015-12-31T00:00:00"/>
    <n v="-8.4195365377565889E-2"/>
    <x v="1"/>
  </r>
  <r>
    <x v="3"/>
    <x v="11"/>
    <s v="COP2T_S1ex-GP"/>
    <n v="4577805.9000000004"/>
    <n v="963369.79779569292"/>
    <n v="20"/>
    <n v="0"/>
    <n v="0"/>
    <n v="0"/>
    <n v="4.7518677775393998"/>
    <n v="0"/>
    <n v="0"/>
    <n v="0"/>
    <n v="0"/>
    <s v="Private Equity Fund"/>
    <n v="1.9757121539852599E-2"/>
    <n v="1.8735705716780154E-2"/>
    <n v="1.0097288277658601E-3"/>
    <n v="3.7471411433560316E-4"/>
    <s v="ARF"/>
    <n v="2.2889029500000002"/>
    <s v="HRF"/>
    <n v="2.2889029500000002"/>
    <m/>
    <m/>
    <m/>
    <m/>
    <n v="4660630.8834999995"/>
    <m/>
    <m/>
    <d v="2016-01-29T00:00:00"/>
    <n v="-2.4883331545685783E-2"/>
    <x v="1"/>
  </r>
  <r>
    <x v="4"/>
    <x v="11"/>
    <s v="COP2T_S1ex-GP"/>
    <n v="4623394.4999999991"/>
    <n v="972963.62534608936"/>
    <n v="20"/>
    <n v="0"/>
    <n v="0"/>
    <n v="0"/>
    <n v="4.7518677775393998"/>
    <n v="0"/>
    <n v="0"/>
    <n v="0"/>
    <n v="0"/>
    <s v="Private Equity Fund"/>
    <n v="2.3619030146024402E-3"/>
    <n v="7.7928940575246505E-2"/>
    <n v="1.4168339043671199E-4"/>
    <n v="1.5585788498134019E-3"/>
    <s v="ARF"/>
    <n v="2.3116972499999999"/>
    <s v="HRF"/>
    <n v="2.3116972499999999"/>
    <m/>
    <m/>
    <m/>
    <m/>
    <n v="4766050.9605999999"/>
    <m/>
    <m/>
    <d v="2016-02-29T00:00:00"/>
    <n v="9.9586135794875741E-3"/>
    <x v="1"/>
  </r>
  <r>
    <x v="5"/>
    <x v="11"/>
    <s v="COP2T_S1ex-GP"/>
    <n v="4623394.5"/>
    <n v="972963.6253460896"/>
    <n v="20"/>
    <n v="0"/>
    <n v="0"/>
    <n v="0"/>
    <n v="4.7518677775393998"/>
    <n v="0"/>
    <n v="0"/>
    <n v="0"/>
    <n v="0"/>
    <s v="Private Equity Fund"/>
    <n v="0"/>
    <n v="0.20326950866163968"/>
    <n v="0"/>
    <n v="4.0653902352410379E-3"/>
    <s v="ARF"/>
    <n v="2.3116972499999999"/>
    <s v="HRF"/>
    <n v="2.3116972499999999"/>
    <m/>
    <m/>
    <m/>
    <m/>
    <n v="4709598.3600000003"/>
    <m/>
    <m/>
    <d v="2016-03-31T00:00:00"/>
    <n v="2.2204460492503131E-16"/>
    <x v="1"/>
  </r>
  <r>
    <x v="6"/>
    <x v="11"/>
    <s v="COP2T_S1ex-GP"/>
    <n v="4841242.1399999997"/>
    <n v="1018808.2595401843"/>
    <n v="20"/>
    <n v="0"/>
    <n v="0"/>
    <n v="0"/>
    <n v="4.7518677775393998"/>
    <n v="0"/>
    <n v="0"/>
    <n v="0"/>
    <n v="0"/>
    <s v="Private Equity Fund"/>
    <n v="0"/>
    <n v="0.27563152974245902"/>
    <n v="0"/>
    <n v="5.5126306423399383E-3"/>
    <s v="ARF"/>
    <n v="2.4206210699999997"/>
    <s v="HRF"/>
    <n v="2.4206210699999997"/>
    <m/>
    <m/>
    <m/>
    <m/>
    <n v="5184651.0597000001"/>
    <m/>
    <m/>
    <d v="2016-04-29T00:00:00"/>
    <n v="4.7118548936284643E-2"/>
    <x v="1"/>
  </r>
  <r>
    <x v="7"/>
    <x v="11"/>
    <s v="COP2T_S1ex-GP"/>
    <n v="4810791.78"/>
    <n v="1012400.1771975046"/>
    <n v="20"/>
    <n v="0"/>
    <n v="-9.3132257461547852E-10"/>
    <n v="0"/>
    <n v="4.7518677775393998"/>
    <n v="-9.3132257461547852E-10"/>
    <n v="0"/>
    <n v="-9.3132257461547852E-10"/>
    <n v="-9.3132257461547852E-10"/>
    <s v="Private Equity Fund"/>
    <n v="0"/>
    <n v="0.22840141583163867"/>
    <n v="0"/>
    <n v="4.5680299999999998E-3"/>
    <s v="ARF"/>
    <n v="2.4053958900000003"/>
    <s v="HRF"/>
    <n v="2.4053958900000003"/>
    <m/>
    <m/>
    <m/>
    <m/>
    <n v="5106544.2857999997"/>
    <m/>
    <m/>
    <d v="2016-05-31T00:00:00"/>
    <n v="-6.2897824813196168E-3"/>
    <x v="1"/>
  </r>
  <r>
    <x v="8"/>
    <x v="11"/>
    <s v="COP2T_S1ex-GP"/>
    <n v="4871895.0999999996"/>
    <n v="1025258.9777493245"/>
    <n v="20"/>
    <n v="0"/>
    <n v="0"/>
    <n v="0"/>
    <n v="4.7518677775393998"/>
    <n v="0"/>
    <n v="0"/>
    <n v="0"/>
    <n v="0"/>
    <s v="Private Equity Fund"/>
    <n v="0"/>
    <n v="0.235709396971858"/>
    <n v="0"/>
    <n v="4.7141879394371495E-3"/>
    <s v="ARF"/>
    <n v="2.4359475499999999"/>
    <s v="HRF"/>
    <n v="2.4359475499999999"/>
    <m/>
    <m/>
    <m/>
    <m/>
    <n v="5175811.0248999996"/>
    <m/>
    <m/>
    <d v="2016-06-30T00:00:00"/>
    <n v="1.2701302154465521E-2"/>
    <x v="1"/>
  </r>
  <r>
    <x v="9"/>
    <x v="11"/>
    <s v="COP2T_S1ex-GP"/>
    <n v="4940436.7"/>
    <n v="1039683.116468835"/>
    <n v="20"/>
    <n v="0"/>
    <n v="0"/>
    <n v="0"/>
    <n v="4.7518677775393998"/>
    <n v="0"/>
    <n v="0"/>
    <n v="0"/>
    <n v="0"/>
    <s v="Private Equity Fund"/>
    <n v="0"/>
    <n v="0.32778970647002798"/>
    <n v="0"/>
    <n v="6.57198491655369E-3"/>
    <s v="ARF"/>
    <n v="2.4702183500000001"/>
    <s v="HRF"/>
    <n v="2.4702183500000001"/>
    <m/>
    <m/>
    <m/>
    <m/>
    <n v="5337392.5131000001"/>
    <m/>
    <m/>
    <d v="2016-07-29T00:00:00"/>
    <n v="1.406877582401167E-2"/>
    <x v="1"/>
  </r>
  <r>
    <x v="10"/>
    <x v="11"/>
    <s v="COP2T_S1ex-GP"/>
    <n v="4972437.1999999993"/>
    <n v="1046417.4158008273"/>
    <n v="20"/>
    <n v="0"/>
    <n v="0"/>
    <n v="0"/>
    <n v="4.7518677775393998"/>
    <n v="0"/>
    <n v="0"/>
    <n v="0"/>
    <n v="0"/>
    <s v="Private Equity Fund"/>
    <n v="0"/>
    <n v="0.34303404273277799"/>
    <n v="0"/>
    <n v="6.8972350759166304E-3"/>
    <s v="ARF"/>
    <n v="2.4862185999999999"/>
    <s v="HRF"/>
    <n v="2.4862185999999999"/>
    <m/>
    <m/>
    <m/>
    <m/>
    <n v="5385085.3589000003"/>
    <m/>
    <m/>
    <d v="2016-08-31T00:00:00"/>
    <n v="6.4772614129433581E-3"/>
    <x v="1"/>
  </r>
  <r>
    <x v="11"/>
    <x v="11"/>
    <s v="COP2T_S1ex-GP"/>
    <n v="4912843.74"/>
    <n v="1033876.3555714836"/>
    <n v="20"/>
    <n v="0"/>
    <n v="0"/>
    <n v="0"/>
    <n v="4.7518677775393998"/>
    <n v="0"/>
    <n v="0"/>
    <n v="0"/>
    <n v="0"/>
    <s v="Private Equity Fund"/>
    <n v="0"/>
    <n v="0.328460409579725"/>
    <n v="0"/>
    <n v="6.5848066656387302E-3"/>
    <s v="ARF"/>
    <n v="2.4564218700000002"/>
    <s v="HRF"/>
    <n v="2.4564218700000002"/>
    <m/>
    <m/>
    <m/>
    <m/>
    <n v="5310083.9572999999"/>
    <m/>
    <m/>
    <d v="2016-09-30T00:00:00"/>
    <n v="-1.1984758701426901E-2"/>
    <x v="1"/>
  </r>
  <r>
    <x v="12"/>
    <x v="11"/>
    <s v="COP2T_S1ex-GP"/>
    <n v="4912843.74"/>
    <n v="1033876.3555714836"/>
    <n v="20"/>
    <n v="0"/>
    <n v="0"/>
    <n v="0"/>
    <n v="4.7518677775393998"/>
    <n v="0"/>
    <n v="0"/>
    <n v="0"/>
    <n v="0"/>
    <s v="Private Equity Fund"/>
    <n v="0"/>
    <n v="0.38204331660802399"/>
    <n v="0"/>
    <n v="7.7303357210628705E-3"/>
    <s v="ARF"/>
    <n v="2.4564218700000002"/>
    <s v="HRF"/>
    <n v="2.4564218700000002"/>
    <m/>
    <m/>
    <m/>
    <m/>
    <n v="5395624.6330999993"/>
    <m/>
    <m/>
    <d v="2016-10-31T00:00:00"/>
    <n v="0"/>
    <x v="1"/>
  </r>
  <r>
    <x v="13"/>
    <x v="11"/>
    <s v="COP2T_S1ex-GP"/>
    <n v="4125000.2600000002"/>
    <n v="868079.764234517"/>
    <n v="20"/>
    <n v="0"/>
    <n v="0"/>
    <n v="-305055"/>
    <n v="4.7518677775393998"/>
    <n v="-305055"/>
    <n v="-64196.862009060955"/>
    <n v="-305055"/>
    <n v="-305055"/>
    <s v="Private Equity Fund"/>
    <n v="0"/>
    <n v="0.38419360006556502"/>
    <n v="0"/>
    <n v="7.7756936371825508E-3"/>
    <s v="ARF"/>
    <n v="2.0625001300000001"/>
    <s v="HRF"/>
    <n v="2.0625001300000001"/>
    <m/>
    <m/>
    <m/>
    <m/>
    <n v="4566943.8601000002"/>
    <m/>
    <m/>
    <d v="2016-11-30T00:00:00"/>
    <n v="-9.8270676933844503E-2"/>
    <x v="1"/>
  </r>
  <r>
    <x v="14"/>
    <x v="11"/>
    <s v="COP2T_S1ex-GP"/>
    <n v="3810004.94"/>
    <n v="801791.02583803097"/>
    <n v="20"/>
    <n v="0"/>
    <n v="0"/>
    <n v="-154128"/>
    <n v="4.7518677775393998"/>
    <n v="-154128"/>
    <n v="-32435.245931823923"/>
    <n v="-154128"/>
    <n v="-154128"/>
    <s v="Private Equity Fund"/>
    <n v="0"/>
    <n v="0.48146872826252096"/>
    <n v="0"/>
    <n v="2.9923272456474801E-3"/>
    <s v="ARF"/>
    <n v="1.9050024699999999"/>
    <s v="HRF"/>
    <n v="1.9050024699999999"/>
    <m/>
    <m/>
    <m/>
    <m/>
    <n v="4012961.3699000003"/>
    <m/>
    <m/>
    <d v="2016-12-30T00:00:00"/>
    <n v="-3.8998135723753991E-2"/>
    <x v="1"/>
  </r>
  <r>
    <x v="15"/>
    <x v="11"/>
    <s v="COP2T_S1ex-GP"/>
    <n v="3579466.7500999998"/>
    <n v="753275.74706918932"/>
    <n v="20"/>
    <n v="0"/>
    <n v="0"/>
    <n v="0"/>
    <n v="4.7518677775393998"/>
    <n v="0"/>
    <n v="0"/>
    <n v="0"/>
    <n v="0"/>
    <s v="Private Equity Fund"/>
    <n v="0"/>
    <n v="0.15701027424990099"/>
    <n v="0"/>
    <n v="3.1402054849980201E-3"/>
    <s v="ARF"/>
    <n v="1.8912115900000002"/>
    <s v="HRF"/>
    <n v="1.8912115900000002"/>
    <m/>
    <m/>
    <m/>
    <m/>
    <n v="3782423.18"/>
    <m/>
    <m/>
    <d v="2017-01-27T00:00:00"/>
    <n v="-6.0508632805079787E-2"/>
    <x v="1"/>
  </r>
  <r>
    <x v="16"/>
    <x v="11"/>
    <s v="COP2T_S1ex-GP"/>
    <n v="3639399.0500999996"/>
    <n v="765888.11399641761"/>
    <n v="20"/>
    <n v="0"/>
    <n v="0"/>
    <n v="0"/>
    <n v="4.7518677775393998"/>
    <n v="0"/>
    <n v="0"/>
    <n v="0"/>
    <n v="0"/>
    <s v="Private Equity Fund"/>
    <n v="0"/>
    <n v="0.20652973699842933"/>
    <n v="0"/>
    <n v="4.1305947941001004E-3"/>
    <s v="ARF"/>
    <n v="1.9211777400000001"/>
    <s v="HRF"/>
    <n v="1.9211777400000001"/>
    <m/>
    <m/>
    <m/>
    <m/>
    <n v="3842355.48"/>
    <m/>
    <m/>
    <d v="2017-02-28T00:00:00"/>
    <n v="1.6743359886867371E-2"/>
    <x v="1"/>
  </r>
  <r>
    <x v="17"/>
    <x v="11"/>
    <s v="COP2T_S1ex-GP"/>
    <n v="3753024.1199999996"/>
    <n v="789799.77888681518"/>
    <n v="20"/>
    <n v="0"/>
    <n v="0"/>
    <n v="-243360"/>
    <n v="4.7518677775393998"/>
    <n v="-243360"/>
    <n v="-51213.546208143038"/>
    <n v="-243360"/>
    <n v="-243360"/>
    <s v="Private Equity Fund"/>
    <n v="0"/>
    <n v="0.40978891000000001"/>
    <n v="0"/>
    <n v="8.3263768999999998E-3"/>
    <s v="ARF"/>
    <n v="1.87651206"/>
    <s v="HRF"/>
    <n v="1.87651206"/>
    <m/>
    <m/>
    <m/>
    <m/>
    <n v="4215355.3696999997"/>
    <m/>
    <m/>
    <d v="2017-03-31T00:00:00"/>
    <n v="9.8089015517600631E-2"/>
    <x v="1"/>
  </r>
  <r>
    <x v="18"/>
    <x v="11"/>
    <s v="COP2T_S1ex-GP"/>
    <n v="3578185.12"/>
    <n v="753006.03626072418"/>
    <n v="20"/>
    <n v="0"/>
    <n v="0"/>
    <n v="-233220"/>
    <n v="4.7518677775393998"/>
    <n v="-233220"/>
    <n v="-49079.648449470405"/>
    <n v="-233220"/>
    <n v="-233220"/>
    <s v="Private Equity Fund"/>
    <n v="0"/>
    <n v="0.46452662"/>
    <n v="0"/>
    <n v="9.4909299999999999E-3"/>
    <s v="ARF"/>
    <n v="1.7890925600000001"/>
    <s v="HRF"/>
    <n v="1.7890925600000001"/>
    <m/>
    <m/>
    <m/>
    <m/>
    <n v="4092806.3249999997"/>
    <m/>
    <m/>
    <d v="2017-04-28T00:00:00"/>
    <n v="1.5555722034634956E-2"/>
    <x v="1"/>
  </r>
  <r>
    <x v="19"/>
    <x v="11"/>
    <s v="COP2T_S1ex-GP"/>
    <n v="3361422.84"/>
    <n v="707389.80909536232"/>
    <n v="20"/>
    <n v="0"/>
    <n v="0"/>
    <n v="0"/>
    <n v="4.7518677775393998"/>
    <n v="0"/>
    <n v="0"/>
    <n v="0"/>
    <n v="0"/>
    <s v="Private Equity Fund"/>
    <n v="0"/>
    <n v="0.25281222614730697"/>
    <n v="0"/>
    <n v="5.05624E-3"/>
    <s v="ARF"/>
    <n v="1.68071142"/>
    <s v="HRF"/>
    <n v="1.68071142"/>
    <m/>
    <m/>
    <m/>
    <m/>
    <n v="3661294.9860999999"/>
    <m/>
    <m/>
    <d v="2017-05-31T00:00:00"/>
    <n v="-6.0578833327662007E-2"/>
    <x v="1"/>
  </r>
  <r>
    <x v="20"/>
    <x v="11"/>
    <s v="COP2T_S1ex-GP"/>
    <n v="3238242.12"/>
    <n v="681467.21912300738"/>
    <n v="20"/>
    <n v="0"/>
    <n v="0"/>
    <n v="0"/>
    <n v="4.7518677775393998"/>
    <n v="0"/>
    <n v="0"/>
    <n v="0"/>
    <n v="0"/>
    <s v="Private Equity Fund"/>
    <n v="0"/>
    <n v="0.15160545"/>
    <n v="0"/>
    <n v="3.0321100000000002E-3"/>
    <s v="ARF"/>
    <n v="1.6191210600000001"/>
    <s v="HRF"/>
    <n v="1.6191210600000001"/>
    <m/>
    <m/>
    <m/>
    <m/>
    <n v="3435182.9608"/>
    <m/>
    <m/>
    <d v="2017-06-30T00:00:00"/>
    <n v="-3.6645410548825752E-2"/>
    <x v="1"/>
  </r>
  <r>
    <x v="21"/>
    <x v="11"/>
    <s v="COP2T_S1ex-GP"/>
    <n v="3391980.0000000005"/>
    <n v="713820.36681088526"/>
    <n v="20"/>
    <n v="0"/>
    <n v="0"/>
    <n v="0"/>
    <n v="4.7518677775393998"/>
    <n v="0"/>
    <n v="0"/>
    <n v="0"/>
    <n v="0"/>
    <s v="Private Equity Fund"/>
    <n v="0"/>
    <n v="0.30406337"/>
    <n v="0"/>
    <n v="6.0812674279999996E-3"/>
    <s v="ARF"/>
    <n v="1.6959900000000001"/>
    <s v="HRF"/>
    <n v="1.6959900000000001"/>
    <m/>
    <m/>
    <m/>
    <m/>
    <n v="3743531.0910000005"/>
    <m/>
    <m/>
    <d v="2017-07-31T00:00:00"/>
    <n v="4.7475721179242925E-2"/>
    <x v="1"/>
  </r>
  <r>
    <x v="22"/>
    <x v="11"/>
    <s v="COP2T_S1ex-GP"/>
    <n v="3767000"/>
    <n v="792740.91291122127"/>
    <n v="20"/>
    <n v="0"/>
    <n v="0"/>
    <n v="0"/>
    <n v="4.7518677775393998"/>
    <n v="0"/>
    <n v="0"/>
    <n v="0"/>
    <n v="0"/>
    <s v="Private Equity Fund"/>
    <n v="0"/>
    <n v="0.69355655689999995"/>
    <n v="0"/>
    <n v="2.2694526154999999E-2"/>
    <s v="ARF"/>
    <n v="1.8835"/>
    <s v="HRF"/>
    <n v="1.8835"/>
    <m/>
    <m/>
    <m/>
    <m/>
    <n v="4513300"/>
    <m/>
    <m/>
    <d v="2017-08-31T00:00:00"/>
    <n v="0.1105607934009043"/>
    <x v="1"/>
  </r>
  <r>
    <x v="23"/>
    <x v="11"/>
    <s v="COP2T_S1ex-GP"/>
    <n v="3702500"/>
    <n v="779167.30290783034"/>
    <n v="20"/>
    <n v="0"/>
    <n v="0"/>
    <n v="0"/>
    <n v="4.7518677775393998"/>
    <n v="0"/>
    <n v="0"/>
    <n v="0"/>
    <n v="0"/>
    <s v="Private Equity Fund"/>
    <n v="0"/>
    <n v="0.67648516000000003"/>
    <n v="0"/>
    <n v="2.193272877E-2"/>
    <s v="ARF"/>
    <n v="1.8512999999999999"/>
    <s v="HRF"/>
    <n v="1.8512999999999999"/>
    <m/>
    <m/>
    <m/>
    <m/>
    <n v="4430800"/>
    <m/>
    <m/>
    <d v="2017-09-29T00:00:00"/>
    <n v="-1.7122378550570749E-2"/>
    <x v="1"/>
  </r>
  <r>
    <x v="24"/>
    <x v="11"/>
    <s v="COP2T_S1ex-GP"/>
    <n v="3694786.12"/>
    <n v="777543.96649336594"/>
    <n v="20"/>
    <n v="0"/>
    <n v="0"/>
    <n v="0"/>
    <n v="4.7518677775393998"/>
    <n v="0"/>
    <n v="0"/>
    <n v="0"/>
    <n v="0"/>
    <s v="Private Equity Fund"/>
    <n v="0"/>
    <n v="0.64568718000000003"/>
    <n v="0"/>
    <n v="2.0568019699999999E-2"/>
    <s v="ARF"/>
    <n v="1.84738264"/>
    <s v="HRF"/>
    <n v="1.84738264"/>
    <m/>
    <m/>
    <m/>
    <m/>
    <n v="4392200"/>
    <m/>
    <m/>
    <d v="2017-10-31T00:00:00"/>
    <n v="-2.0834247130316896E-3"/>
    <x v="1"/>
  </r>
  <r>
    <x v="25"/>
    <x v="11"/>
    <s v="COP2T_S1ex-GP"/>
    <n v="2714442.85"/>
    <n v="571237.03290531924"/>
    <n v="20"/>
    <n v="0"/>
    <n v="0"/>
    <n v="-877134.23"/>
    <n v="4.7518677775393998"/>
    <n v="-877134.23"/>
    <n v="-184587.25517278502"/>
    <n v="-877134.23"/>
    <n v="-877134.23"/>
    <s v="Private Equity Fund"/>
    <n v="0"/>
    <n v="0.51595460999999998"/>
    <n v="0"/>
    <n v="1.4867321559999999E-2"/>
    <s v="ARF"/>
    <n v="1.3572"/>
    <s v="HRF"/>
    <n v="1.3572"/>
    <m/>
    <m/>
    <m/>
    <m/>
    <n v="3268400"/>
    <m/>
    <m/>
    <d v="2017-11-30T00:00:00"/>
    <n v="-2.7933698094546267E-2"/>
    <x v="1"/>
  </r>
  <r>
    <x v="26"/>
    <x v="11"/>
    <s v="COP2T_S1ex-GP"/>
    <n v="2742757.56"/>
    <n v="577195.68144639069"/>
    <n v="20"/>
    <n v="0"/>
    <n v="0"/>
    <n v="0"/>
    <n v="4.7518677775393998"/>
    <n v="0"/>
    <n v="0"/>
    <n v="0"/>
    <n v="0"/>
    <s v="Private Equity Fund"/>
    <n v="0"/>
    <n v="0.53864325000000002"/>
    <n v="0"/>
    <n v="1.106977051E-2"/>
    <s v="ARF"/>
    <n v="1.3572"/>
    <s v="HRF"/>
    <n v="1.3572"/>
    <m/>
    <m/>
    <m/>
    <m/>
    <n v="3319800"/>
    <m/>
    <m/>
    <d v="2017-12-29T00:00:00"/>
    <n v="1.043113138300189E-2"/>
    <x v="1"/>
  </r>
  <r>
    <x v="27"/>
    <x v="11"/>
    <s v="COP2T_S1ex-GP"/>
    <n v="2800656.2"/>
    <n v="589380.07771130127"/>
    <n v="20"/>
    <n v="0"/>
    <n v="0"/>
    <n v="0"/>
    <n v="4.7518677775393998"/>
    <n v="0"/>
    <n v="0"/>
    <n v="0"/>
    <n v="0"/>
    <s v="Private Equity Fund"/>
    <n v="0"/>
    <n v="0.59253429940000002"/>
    <n v="0"/>
    <n v="1.222187242E-2"/>
    <s v="ARF"/>
    <n v="1.4003000000000001"/>
    <s v="HRF"/>
    <n v="1.4003000000000001"/>
    <m/>
    <m/>
    <m/>
    <m/>
    <n v="3432400"/>
    <m/>
    <m/>
    <d v="2018-01-31T00:00:00"/>
    <n v="2.1109645578736513E-2"/>
    <x v="1"/>
  </r>
  <r>
    <x v="28"/>
    <x v="11"/>
    <s v="COP2T_S1ex-GP"/>
    <n v="2712600"/>
    <n v="570849.21697981923"/>
    <n v="20"/>
    <n v="0"/>
    <n v="0"/>
    <n v="0"/>
    <n v="4.7518677775393998"/>
    <n v="0"/>
    <n v="0"/>
    <n v="0"/>
    <n v="0"/>
    <s v="Private Equity Fund"/>
    <n v="0"/>
    <n v="0.49278762999999998"/>
    <n v="0"/>
    <n v="1.008708398E-2"/>
    <s v="ARF"/>
    <n v="1.3563000000000001"/>
    <s v="HRF"/>
    <n v="1.3563000000000001"/>
    <m/>
    <m/>
    <m/>
    <m/>
    <n v="3243400"/>
    <m/>
    <m/>
    <d v="2018-02-28T00:00:00"/>
    <n v="-3.1441274369913841E-2"/>
    <x v="1"/>
  </r>
  <r>
    <x v="29"/>
    <x v="11"/>
    <s v="COP2T_S1ex-GP"/>
    <n v="2727708.7"/>
    <n v="574028.74568459799"/>
    <n v="20"/>
    <n v="0"/>
    <n v="0"/>
    <n v="0"/>
    <n v="4.7518677775393998"/>
    <n v="0"/>
    <n v="0"/>
    <n v="0"/>
    <n v="0"/>
    <s v="Private Equity Fund"/>
    <n v="0"/>
    <n v="0"/>
    <n v="0"/>
    <n v="0"/>
    <s v="ARF"/>
    <n v="1.36385435"/>
    <s v="HRF"/>
    <n v="1.36385435"/>
    <m/>
    <m/>
    <m/>
    <m/>
    <n v="2727708.7"/>
    <m/>
    <m/>
    <d v="2018-03-29T00:00:00"/>
    <n v="5.569822310698358E-3"/>
    <x v="1"/>
  </r>
  <r>
    <x v="30"/>
    <x v="11"/>
    <s v="COP2T_S1ex-GP"/>
    <n v="1615122.42"/>
    <n v="339892.12150097714"/>
    <n v="20"/>
    <n v="0"/>
    <n v="0"/>
    <n v="-1138714.3400000001"/>
    <n v="4.7518677775393998"/>
    <n v="-1138714.3400000001"/>
    <n v="-239635.10630122083"/>
    <n v="-1138714.3400000001"/>
    <n v="-1138714.3400000001"/>
    <s v="Private Equity Fund"/>
    <n v="0"/>
    <n v="0"/>
    <n v="0"/>
    <n v="0"/>
    <s v="ARF"/>
    <n v="0.80759999999999998"/>
    <s v="HRF"/>
    <n v="0.80759999999999998"/>
    <m/>
    <m/>
    <m/>
    <m/>
    <n v="2164194.4279999998"/>
    <m/>
    <m/>
    <d v="2018-04-30T00:00:00"/>
    <n v="9.5787574384316176E-3"/>
    <x v="1"/>
  </r>
  <r>
    <x v="31"/>
    <x v="11"/>
    <s v="COP2T_S1ex-GP"/>
    <n v="1546340.62"/>
    <n v="325417.43423692702"/>
    <n v="20"/>
    <n v="0"/>
    <n v="0"/>
    <n v="0"/>
    <n v="4.7518677775393998"/>
    <n v="0"/>
    <n v="0"/>
    <n v="0"/>
    <n v="0"/>
    <s v="Private Equity Fund"/>
    <n v="0"/>
    <n v="0"/>
    <n v="0"/>
    <n v="0"/>
    <s v="ARF"/>
    <n v="0.7732"/>
    <s v="HRF"/>
    <n v="0.7732"/>
    <m/>
    <m/>
    <m/>
    <m/>
    <n v="2164194.4279999998"/>
    <m/>
    <m/>
    <d v="2018-05-31T00:00:00"/>
    <n v="-4.2586121738066085E-2"/>
    <x v="1"/>
  </r>
  <r>
    <x v="32"/>
    <x v="11"/>
    <s v="COP2T_S1ex-GP"/>
    <n v="1491615.34"/>
    <n v="313900.85116644064"/>
    <n v="20"/>
    <n v="0"/>
    <n v="0"/>
    <n v="0"/>
    <n v="4.7518677775393998"/>
    <n v="0"/>
    <n v="0"/>
    <n v="-1491615.34"/>
    <n v="-1491615.34"/>
    <s v="Private Equity Fund"/>
    <n v="0"/>
    <n v="0"/>
    <n v="0"/>
    <n v="0"/>
    <s v="ARF"/>
    <n v="0.74580767000000003"/>
    <s v="HRF"/>
    <n v="0.74580767000000003"/>
    <m/>
    <m/>
    <m/>
    <m/>
    <n v="2164194.4279999998"/>
    <m/>
    <m/>
    <d v="2018-06-29T00:00:00"/>
    <n v="-3.5390184602406727E-2"/>
    <x v="1"/>
  </r>
  <r>
    <x v="33"/>
    <x v="11"/>
    <s v="COP2T_S1ex-GP"/>
    <n v="1491615.34"/>
    <n v="313900.85116644064"/>
    <n v="20"/>
    <n v="0"/>
    <n v="0"/>
    <n v="0"/>
    <n v="4.7518677775393998"/>
    <n v="0"/>
    <n v="0"/>
    <n v="0"/>
    <n v="0"/>
    <s v="Private Equity Fund"/>
    <n v="0"/>
    <n v="0"/>
    <n v="0"/>
    <n v="0"/>
    <s v="ARF"/>
    <n v="0.74580767000000003"/>
    <s v="HRF"/>
    <n v="0.74580767000000003"/>
    <m/>
    <m/>
    <m/>
    <m/>
    <n v="2164194.4279999998"/>
    <m/>
    <m/>
    <d v="2018-07-31T00:00:00"/>
    <n v="0"/>
    <x v="1"/>
  </r>
  <r>
    <x v="169"/>
    <x v="11"/>
    <s v="COP2T_S1GP"/>
    <n v="78386.453144950079"/>
    <n v="109722.07208295455"/>
    <n v="0.28000000000000003"/>
    <n v="56000"/>
    <n v="0"/>
    <n v="0"/>
    <n v="0.71440915812897332"/>
    <n v="56000"/>
    <n v="109722.07208295455"/>
    <n v="56000"/>
    <m/>
    <s v="Private Equity Fund"/>
    <n v="0"/>
    <n v="0"/>
    <n v="0"/>
    <n v="0"/>
    <s v="ARF"/>
    <n v="2.0149390299999999"/>
    <s v="HRF"/>
    <n v="2.0149390299999999"/>
    <m/>
    <m/>
    <m/>
    <m/>
    <m/>
    <m/>
    <m/>
    <d v="2012-06-29T00:00:00"/>
    <n v="0.3997580918741086"/>
    <x v="1"/>
  </r>
  <r>
    <x v="170"/>
    <x v="11"/>
    <s v="COP2T_S1GP"/>
    <n v="60633.369739969465"/>
    <n v="84872.04993111697"/>
    <n v="0.28000000000000003"/>
    <n v="0"/>
    <n v="0"/>
    <n v="0"/>
    <n v="0.71440915812897332"/>
    <n v="0"/>
    <n v="0"/>
    <n v="0"/>
    <m/>
    <s v="Private Equity Fund"/>
    <n v="0"/>
    <n v="0"/>
    <n v="0"/>
    <n v="0"/>
    <s v="ARF"/>
    <n v="2.0054653467210501"/>
    <s v="HRF"/>
    <n v="2.0054653467210501"/>
    <m/>
    <m/>
    <m/>
    <m/>
    <m/>
    <m/>
    <m/>
    <d v="2012-07-31T00:00:00"/>
    <n v="-0.22648152445617231"/>
    <x v="1"/>
  </r>
  <r>
    <x v="171"/>
    <x v="11"/>
    <s v="COP2T_S1GP"/>
    <n v="129079.27000000008"/>
    <n v="118009.52910788672"/>
    <n v="0.28000000000000003"/>
    <n v="32200"/>
    <n v="0"/>
    <n v="0"/>
    <n v="1.0938037883533387"/>
    <n v="32200"/>
    <n v="0"/>
    <n v="32200"/>
    <m/>
    <s v="Private Equity Fund"/>
    <n v="0"/>
    <n v="0"/>
    <n v="0"/>
    <n v="0"/>
    <s v="ARF"/>
    <n v="3.1771150000000001"/>
    <s v="HRF"/>
    <n v="3.1771150000000001"/>
    <m/>
    <m/>
    <m/>
    <m/>
    <m/>
    <m/>
    <m/>
    <d v="2012-08-31T00:00:00"/>
    <n v="0.5977879905978134"/>
    <x v="1"/>
  </r>
  <r>
    <x v="172"/>
    <x v="11"/>
    <s v="COP2T_S1GP"/>
    <n v="104767.9300000004"/>
    <n v="84590.009822217078"/>
    <n v="0.28000000000000003"/>
    <n v="17080"/>
    <n v="0"/>
    <n v="0"/>
    <n v="1.2385378630430623"/>
    <n v="17080"/>
    <n v="0"/>
    <n v="17080"/>
    <m/>
    <s v="Private Equity Fund"/>
    <n v="0"/>
    <n v="0"/>
    <n v="0"/>
    <n v="0"/>
    <s v="ARF"/>
    <n v="3.7417117499999999"/>
    <s v="HRF"/>
    <n v="3.7417117499999999"/>
    <m/>
    <m/>
    <m/>
    <m/>
    <m/>
    <m/>
    <m/>
    <d v="2012-09-28T00:00:00"/>
    <n v="-0.32066605272868098"/>
    <x v="1"/>
  </r>
  <r>
    <x v="173"/>
    <x v="11"/>
    <s v="COP2T_S1GP"/>
    <n v="180166.11750000066"/>
    <n v="145466.78214369336"/>
    <n v="0.28000000000000003"/>
    <n v="0"/>
    <n v="0"/>
    <n v="0"/>
    <n v="1.2385378630430623"/>
    <n v="0"/>
    <n v="0"/>
    <n v="0"/>
    <m/>
    <s v="Private Equity Fund"/>
    <n v="0"/>
    <n v="0"/>
    <n v="0"/>
    <n v="0"/>
    <s v="ARF"/>
    <n v="3.7592984700000001"/>
    <s v="HRF"/>
    <n v="3.7592984700000001"/>
    <m/>
    <m/>
    <m/>
    <m/>
    <m/>
    <m/>
    <m/>
    <d v="2012-10-31T00:00:00"/>
    <n v="0.71966858083384833"/>
    <x v="1"/>
  </r>
  <r>
    <x v="174"/>
    <x v="11"/>
    <s v="COP2T_S1GP"/>
    <n v="274555.73599999992"/>
    <n v="161822.32369103763"/>
    <n v="0.28000000000000003"/>
    <n v="66640"/>
    <n v="0"/>
    <n v="0"/>
    <n v="1.6966493233912567"/>
    <n v="66640"/>
    <n v="0"/>
    <n v="66640"/>
    <m/>
    <s v="Private Equity Fund"/>
    <n v="0"/>
    <n v="0"/>
    <n v="0"/>
    <n v="0"/>
    <s v="ARF"/>
    <n v="6.1228298499999996"/>
    <s v="HRF"/>
    <n v="6.1228298499999996"/>
    <m/>
    <m/>
    <m/>
    <m/>
    <m/>
    <m/>
    <m/>
    <d v="2012-11-30T00:00:00"/>
    <n v="0.15402240379631404"/>
    <x v="1"/>
  </r>
  <r>
    <x v="175"/>
    <x v="11"/>
    <s v="COP2T_S1GP"/>
    <n v="453702.02800000214"/>
    <n v="247472.60232396147"/>
    <n v="0.28000000000000003"/>
    <n v="22120"/>
    <n v="0"/>
    <n v="0"/>
    <n v="1.833342453828767"/>
    <n v="22120"/>
    <n v="0"/>
    <n v="22120"/>
    <m/>
    <s v="Private Equity Fund"/>
    <n v="0"/>
    <n v="0"/>
    <n v="0"/>
    <n v="0"/>
    <s v="ARF"/>
    <n v="6.9377578899999994"/>
    <s v="HRF"/>
    <n v="6.9377578899999994"/>
    <m/>
    <m/>
    <m/>
    <m/>
    <m/>
    <m/>
    <m/>
    <d v="2012-12-31T00:00:00"/>
    <n v="0.57192865203880605"/>
    <x v="1"/>
  </r>
  <r>
    <x v="176"/>
    <x v="11"/>
    <s v="COP2T_S1GP"/>
    <n v="447615.38900000096"/>
    <n v="244152.63393110075"/>
    <n v="0.28000000000000003"/>
    <n v="0"/>
    <n v="0"/>
    <n v="0"/>
    <n v="1.833342453828767"/>
    <n v="0"/>
    <n v="0"/>
    <n v="0"/>
    <m/>
    <s v="Private Equity Fund"/>
    <n v="0"/>
    <n v="0"/>
    <n v="0"/>
    <n v="0"/>
    <s v="ARF"/>
    <n v="6.8517626199999997"/>
    <s v="HRF"/>
    <n v="6.8517626199999997"/>
    <m/>
    <m/>
    <m/>
    <m/>
    <m/>
    <m/>
    <m/>
    <d v="2013-01-31T00:00:00"/>
    <n v="-1.3415498773131196E-2"/>
    <x v="1"/>
  </r>
  <r>
    <x v="177"/>
    <x v="11"/>
    <s v="COP2T_S1GP"/>
    <n v="556312.20900000143"/>
    <n v="288464.55682251754"/>
    <n v="0.28000000000000003"/>
    <n v="23240"/>
    <n v="0"/>
    <n v="0"/>
    <n v="1.9285288117468153"/>
    <n v="23240"/>
    <n v="0"/>
    <n v="23240"/>
    <m/>
    <s v="Private Equity Fund"/>
    <n v="0"/>
    <n v="0"/>
    <n v="0"/>
    <n v="0"/>
    <s v="ARF"/>
    <n v="7.7810005199999992"/>
    <s v="HRF"/>
    <n v="7.7810005199999992"/>
    <m/>
    <m/>
    <m/>
    <m/>
    <m/>
    <m/>
    <m/>
    <d v="2013-02-28T00:00:00"/>
    <n v="0.19091573279219909"/>
    <x v="1"/>
  </r>
  <r>
    <x v="178"/>
    <x v="11"/>
    <s v="COP2T_S1GP"/>
    <n v="496611.30750000384"/>
    <n v="250081.53955085864"/>
    <n v="0.28000000000000003"/>
    <n v="16520"/>
    <n v="0"/>
    <n v="0"/>
    <n v="1.9857975458400794"/>
    <n v="16520"/>
    <n v="0"/>
    <n v="16520"/>
    <m/>
    <s v="Private Equity Fund"/>
    <n v="0"/>
    <n v="0"/>
    <n v="0"/>
    <n v="0"/>
    <s v="ARF"/>
    <n v="8.3696575899999992"/>
    <s v="HRF"/>
    <n v="8.3696575899999992"/>
    <m/>
    <m/>
    <m/>
    <m/>
    <m/>
    <m/>
    <m/>
    <d v="2013-03-28T00:00:00"/>
    <n v="-0.13701101695576379"/>
    <x v="1"/>
  </r>
  <r>
    <x v="179"/>
    <x v="11"/>
    <s v="COP2T_S1GP"/>
    <n v="311626.83450000017"/>
    <n v="154146.64040664549"/>
    <n v="0.28000000000000003"/>
    <n v="8960"/>
    <n v="0"/>
    <n v="0"/>
    <n v="2.0216258601414547"/>
    <n v="8960"/>
    <n v="0"/>
    <n v="8960"/>
    <m/>
    <s v="Private Equity Fund"/>
    <n v="0"/>
    <n v="0"/>
    <n v="0"/>
    <n v="0"/>
    <s v="ARF"/>
    <n v="8.59453274"/>
    <s v="HRF"/>
    <n v="8.59453274"/>
    <m/>
    <m/>
    <m/>
    <m/>
    <m/>
    <m/>
    <m/>
    <d v="2013-04-30T00:00:00"/>
    <n v="-0.39053575718269795"/>
    <x v="1"/>
  </r>
  <r>
    <x v="180"/>
    <x v="11"/>
    <s v="COP2T_S1GP"/>
    <n v="478102.50050000037"/>
    <n v="236494.05655433552"/>
    <n v="0.28000000000000003"/>
    <n v="0"/>
    <n v="0"/>
    <n v="0"/>
    <n v="2.0216258601414547"/>
    <n v="0"/>
    <n v="0"/>
    <n v="0"/>
    <m/>
    <s v="Private Equity Fund"/>
    <n v="0"/>
    <n v="0"/>
    <n v="0"/>
    <n v="0"/>
    <s v="ARF"/>
    <n v="8.6422619300000001"/>
    <s v="HRF"/>
    <n v="8.6422619300000001"/>
    <m/>
    <m/>
    <m/>
    <m/>
    <m/>
    <m/>
    <m/>
    <d v="2013-05-31T00:00:00"/>
    <n v="0.53421479657587101"/>
    <x v="1"/>
  </r>
  <r>
    <x v="181"/>
    <x v="11"/>
    <s v="COP2T_S1GP"/>
    <n v="485631.06199999951"/>
    <n v="240218.06980942533"/>
    <n v="0.28000000000000003"/>
    <n v="0"/>
    <n v="0"/>
    <n v="0"/>
    <n v="2.0216258601414547"/>
    <n v="0"/>
    <n v="0"/>
    <n v="0"/>
    <m/>
    <s v="Private Equity Fund"/>
    <n v="0"/>
    <n v="0"/>
    <n v="0"/>
    <n v="0"/>
    <s v="ARF"/>
    <n v="8.7321381300000009"/>
    <s v="HRF"/>
    <n v="8.7321381300000009"/>
    <m/>
    <m/>
    <m/>
    <m/>
    <m/>
    <m/>
    <m/>
    <d v="2013-06-28T00:00:00"/>
    <n v="1.5746751987546048E-2"/>
    <x v="1"/>
  </r>
  <r>
    <x v="182"/>
    <x v="11"/>
    <s v="COP2T_S1GP"/>
    <n v="237291.91999999699"/>
    <n v="117376.77315989294"/>
    <n v="0.28000000000000003"/>
    <n v="0"/>
    <n v="0"/>
    <n v="0"/>
    <n v="2.0216258601414547"/>
    <n v="0"/>
    <n v="0"/>
    <n v="0"/>
    <m/>
    <s v="Private Equity Fund"/>
    <n v="0"/>
    <n v="0"/>
    <n v="0"/>
    <n v="0"/>
    <s v="ARF"/>
    <n v="8.4747113299999999"/>
    <s v="HRF"/>
    <n v="8.4747113299999999"/>
    <m/>
    <m/>
    <m/>
    <m/>
    <m/>
    <m/>
    <m/>
    <d v="2013-07-31T00:00:00"/>
    <n v="-0.51137408916401395"/>
    <x v="1"/>
  </r>
  <r>
    <x v="183"/>
    <x v="11"/>
    <s v="COP2T_S1GP"/>
    <n v="233176.03999999649"/>
    <n v="115340.84748187826"/>
    <n v="0.28000000000000003"/>
    <n v="0"/>
    <n v="0"/>
    <n v="0"/>
    <n v="2.0216258601414547"/>
    <n v="0"/>
    <n v="0"/>
    <n v="0"/>
    <m/>
    <s v="Private Equity Fund"/>
    <n v="0"/>
    <n v="0"/>
    <n v="0"/>
    <n v="0"/>
    <s v="ARF"/>
    <n v="8.3277158300000007"/>
    <s v="HRF"/>
    <n v="8.3277158300000007"/>
    <m/>
    <m/>
    <m/>
    <m/>
    <m/>
    <m/>
    <m/>
    <d v="2013-08-30T00:00:00"/>
    <n v="-1.7345217654273881E-2"/>
    <x v="1"/>
  </r>
  <r>
    <x v="35"/>
    <x v="11"/>
    <s v="COP2T_S1GP"/>
    <n v="270571.66999999894"/>
    <n v="115407.22851494822"/>
    <n v="0.28000000000000003"/>
    <n v="37240"/>
    <n v="0"/>
    <n v="0"/>
    <n v="2.3444949981183623"/>
    <n v="37240"/>
    <n v="0"/>
    <n v="37240"/>
    <m/>
    <s v="Private Equity Fund"/>
    <n v="0"/>
    <n v="0"/>
    <n v="0"/>
    <n v="0"/>
    <s v="ARF"/>
    <n v="9.6632740500000001"/>
    <s v="HRF"/>
    <n v="9.6632740500000001"/>
    <m/>
    <m/>
    <m/>
    <m/>
    <m/>
    <m/>
    <m/>
    <d v="2013-09-30T00:00:00"/>
    <n v="6.6743564219740037E-4"/>
    <x v="1"/>
  </r>
  <r>
    <x v="36"/>
    <x v="11"/>
    <s v="COP2T_S1GP"/>
    <n v="458784.08500000136"/>
    <n v="195685.67447071156"/>
    <n v="0.28000000000000003"/>
    <n v="0"/>
    <n v="0"/>
    <n v="-44524.800000000003"/>
    <n v="2.3444949981183623"/>
    <n v="-44524.800000000003"/>
    <n v="-18991.211342201448"/>
    <n v="-44524.800000000003"/>
    <m/>
    <s v="Private Equity Fund"/>
    <n v="0"/>
    <n v="0"/>
    <n v="0"/>
    <n v="0"/>
    <s v="ARF"/>
    <n v="8.2088611999999994"/>
    <s v="HRF"/>
    <n v="8.2088611999999994"/>
    <m/>
    <m/>
    <m/>
    <m/>
    <m/>
    <m/>
    <m/>
    <d v="2013-10-31T00:00:00"/>
    <n v="0.8601684537039791"/>
    <x v="1"/>
  </r>
  <r>
    <x v="37"/>
    <x v="11"/>
    <s v="COP2T_S1GP"/>
    <n v="486693.02299999731"/>
    <n v="207589.70413270488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8.1837769800000011"/>
    <s v="HRF"/>
    <n v="8.1837769800000011"/>
    <m/>
    <m/>
    <m/>
    <m/>
    <m/>
    <m/>
    <m/>
    <d v="2013-11-29T00:00:00"/>
    <n v="6.0832402239924921E-2"/>
    <x v="1"/>
  </r>
  <r>
    <x v="38"/>
    <x v="11"/>
    <s v="COP2T_S1GP"/>
    <n v="877577.61050000123"/>
    <n v="374314.1321283793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8.3198602400000006"/>
    <s v="HRF"/>
    <n v="8.3198602400000006"/>
    <m/>
    <m/>
    <m/>
    <m/>
    <m/>
    <m/>
    <m/>
    <d v="2013-12-31T00:00:00"/>
    <n v="0.80314401281237613"/>
    <x v="1"/>
  </r>
  <r>
    <x v="39"/>
    <x v="11"/>
    <s v="COP2T_S1GP"/>
    <n v="1182538.8305000039"/>
    <n v="504389.57278607221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8.4528007799999987"/>
    <s v="HRF"/>
    <n v="8.4528007799999987"/>
    <m/>
    <m/>
    <m/>
    <m/>
    <m/>
    <m/>
    <m/>
    <d v="2014-01-30T00:00:00"/>
    <n v="0.34750341890132153"/>
    <x v="1"/>
  </r>
  <r>
    <x v="40"/>
    <x v="11"/>
    <s v="COP2T_S1GP"/>
    <n v="1330146.8225000051"/>
    <n v="567348.97006287088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8.5010478299999992"/>
    <s v="HRF"/>
    <n v="8.5010478299999992"/>
    <m/>
    <m/>
    <m/>
    <m/>
    <m/>
    <m/>
    <m/>
    <d v="2014-02-28T00:00:00"/>
    <n v="0.12482295565515544"/>
    <x v="1"/>
  </r>
  <r>
    <x v="41"/>
    <x v="11"/>
    <s v="COP2T_S1GP"/>
    <n v="1477897.4325000008"/>
    <n v="630369.19835023209"/>
    <n v="0.28000000000000003"/>
    <n v="0"/>
    <n v="0"/>
    <n v="-12261.2"/>
    <n v="2.3444949981183623"/>
    <n v="-12261.2"/>
    <n v="-5229.7829638538606"/>
    <n v="-12261.2"/>
    <m/>
    <s v="Private Equity Fund"/>
    <n v="0"/>
    <n v="0"/>
    <n v="0"/>
    <n v="0"/>
    <s v="ARF"/>
    <n v="8.1605186799999991"/>
    <s v="HRF"/>
    <n v="8.1605186799999991"/>
    <m/>
    <m/>
    <m/>
    <m/>
    <m/>
    <m/>
    <m/>
    <d v="2014-03-31T00:00:00"/>
    <n v="0.12029635172097319"/>
    <x v="1"/>
  </r>
  <r>
    <x v="42"/>
    <x v="11"/>
    <s v="COP2T_S1GP"/>
    <n v="1043442.6025000007"/>
    <n v="445060.7074604312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8.06774156"/>
    <s v="HRF"/>
    <n v="8.06774156"/>
    <m/>
    <m/>
    <m/>
    <m/>
    <m/>
    <m/>
    <m/>
    <d v="2014-04-30T00:00:00"/>
    <n v="-0.29396818780927125"/>
    <x v="1"/>
  </r>
  <r>
    <x v="43"/>
    <x v="11"/>
    <s v="COP2T_S1GP"/>
    <n v="1199680.2195000029"/>
    <n v="511700.908068833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8.1054132699999997"/>
    <s v="HRF"/>
    <n v="8.1054132699999997"/>
    <m/>
    <m/>
    <m/>
    <m/>
    <m/>
    <m/>
    <m/>
    <d v="2014-05-30T00:00:00"/>
    <n v="0.1497328330525034"/>
    <x v="1"/>
  </r>
  <r>
    <x v="44"/>
    <x v="11"/>
    <s v="COP2T_S1GP"/>
    <n v="1277948.3784999996"/>
    <n v="545084.7110041402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8.12117033"/>
    <s v="HRF"/>
    <n v="8.12117033"/>
    <m/>
    <m/>
    <m/>
    <m/>
    <m/>
    <m/>
    <m/>
    <d v="2014-06-30T00:00:00"/>
    <n v="6.5240851460080629E-2"/>
    <x v="1"/>
  </r>
  <r>
    <x v="45"/>
    <x v="11"/>
    <s v="COP2T_S1GP"/>
    <n v="1425943.6935000008"/>
    <n v="608209.31358114665"/>
    <n v="0.28000000000000003"/>
    <n v="0"/>
    <n v="0"/>
    <n v="-18384.8"/>
    <n v="2.3444949981183623"/>
    <n v="-18384.8"/>
    <n v="-7841.6887281718309"/>
    <n v="-18384.8"/>
    <m/>
    <s v="Private Equity Fund"/>
    <n v="0"/>
    <n v="0"/>
    <n v="0"/>
    <n v="0"/>
    <s v="ARF"/>
    <n v="7.4727359099999999"/>
    <s v="HRF"/>
    <n v="7.4727359099999999"/>
    <m/>
    <m/>
    <m/>
    <m/>
    <m/>
    <m/>
    <m/>
    <d v="2014-07-31T00:00:00"/>
    <n v="0.13019314222636358"/>
    <x v="1"/>
  </r>
  <r>
    <x v="46"/>
    <x v="11"/>
    <s v="COP2T_S1GP"/>
    <n v="1766903.7620000001"/>
    <n v="753639.3822200842"/>
    <n v="0.28000000000000003"/>
    <n v="0"/>
    <n v="0"/>
    <n v="-51982"/>
    <n v="2.3444949981183623"/>
    <n v="-51982"/>
    <n v="-22171.938964134944"/>
    <n v="-51982"/>
    <m/>
    <s v="Private Equity Fund"/>
    <n v="0"/>
    <n v="0"/>
    <n v="0"/>
    <n v="0"/>
    <s v="ARF"/>
    <n v="5.7760622599999998"/>
    <s v="HRF"/>
    <n v="5.7760622599999998"/>
    <m/>
    <m/>
    <m/>
    <m/>
    <m/>
    <m/>
    <m/>
    <d v="2014-08-29T00:00:00"/>
    <n v="0.27556632866443476"/>
    <x v="1"/>
  </r>
  <r>
    <x v="47"/>
    <x v="11"/>
    <s v="COP2T_S1GP"/>
    <n v="2143580.7110000001"/>
    <n v="914303.81072273082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5.96163826"/>
    <s v="HRF"/>
    <n v="5.96163826"/>
    <m/>
    <m/>
    <m/>
    <m/>
    <m/>
    <m/>
    <m/>
    <d v="2014-09-30T00:00:00"/>
    <n v="0.21318475691830008"/>
    <x v="1"/>
  </r>
  <r>
    <x v="184"/>
    <x v="11"/>
    <s v="COP2T_S1GP"/>
    <n v="1484449.6634999996"/>
    <n v="633163.92856089887"/>
    <n v="0.28000000000000003"/>
    <n v="0"/>
    <n v="0"/>
    <n v="-26110"/>
    <n v="2.3444949981183623"/>
    <n v="-26110"/>
    <n v="-11136.726681419788"/>
    <n v="-26110"/>
    <m/>
    <s v="Private Equity Fund"/>
    <n v="0"/>
    <n v="0"/>
    <n v="0"/>
    <n v="0"/>
    <s v="ARF"/>
    <n v="4.8103352400000006"/>
    <s v="HRF"/>
    <n v="4.8103352400000006"/>
    <m/>
    <m/>
    <m/>
    <m/>
    <m/>
    <m/>
    <m/>
    <d v="2014-10-31T00:00:00"/>
    <n v="-0.29531010624026865"/>
    <x v="1"/>
  </r>
  <r>
    <x v="185"/>
    <x v="11"/>
    <s v="COP2T_S1GP"/>
    <n v="911188.46950000082"/>
    <n v="388650.20835245959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4.6213212800000001"/>
    <s v="HRF"/>
    <n v="4.6213212800000001"/>
    <m/>
    <m/>
    <m/>
    <m/>
    <m/>
    <m/>
    <m/>
    <d v="2014-11-28T00:00:00"/>
    <n v="-0.38617759031881038"/>
    <x v="1"/>
  </r>
  <r>
    <x v="186"/>
    <x v="11"/>
    <s v="COP2T_S1GP"/>
    <n v="751423.44400000025"/>
    <n v="320505.45836228074"/>
    <n v="0.28000000000000003"/>
    <n v="0"/>
    <n v="0"/>
    <n v="-16100"/>
    <n v="2.3444949981183623"/>
    <n v="-16100"/>
    <n v="-6867.1505006073758"/>
    <n v="-16100"/>
    <m/>
    <s v="Private Equity Fund"/>
    <n v="0"/>
    <n v="0"/>
    <n v="0"/>
    <n v="0"/>
    <s v="ARF"/>
    <n v="4.0515180400000004"/>
    <s v="HRF"/>
    <n v="4.0515180400000004"/>
    <m/>
    <m/>
    <m/>
    <m/>
    <m/>
    <m/>
    <m/>
    <d v="2014-12-31T00:00:00"/>
    <n v="-0.15766773868290307"/>
    <x v="1"/>
  </r>
  <r>
    <x v="187"/>
    <x v="11"/>
    <s v="COP2T_S1GP"/>
    <n v="955518.41900000058"/>
    <n v="407558.3098990945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4.1473120899999998"/>
    <s v="HRF"/>
    <n v="4.1473120899999998"/>
    <m/>
    <m/>
    <m/>
    <m/>
    <m/>
    <m/>
    <m/>
    <d v="2015-01-30T00:00:00"/>
    <n v="0.27161113567811479"/>
    <x v="1"/>
  </r>
  <r>
    <x v="188"/>
    <x v="11"/>
    <s v="COP2T_S1GP"/>
    <n v="1309694.0205000003"/>
    <n v="558625.21419373073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4.2512621399999997"/>
    <s v="HRF"/>
    <n v="4.2512621399999997"/>
    <m/>
    <m/>
    <m/>
    <m/>
    <m/>
    <m/>
    <m/>
    <d v="2015-02-27T00:00:00"/>
    <n v="0.37066329068848591"/>
    <x v="1"/>
  </r>
  <r>
    <x v="189"/>
    <x v="11"/>
    <s v="COP2T_S1GP"/>
    <n v="1255656.9985000009"/>
    <n v="535576.74446213886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4.2629718299999997"/>
    <s v="HRF"/>
    <n v="4.2629718299999997"/>
    <m/>
    <m/>
    <m/>
    <m/>
    <m/>
    <m/>
    <m/>
    <d v="2015-03-31T00:00:00"/>
    <n v="-4.1259272130882763E-2"/>
    <x v="1"/>
  </r>
  <r>
    <x v="190"/>
    <x v="11"/>
    <s v="COP2T_S1GP"/>
    <n v="1636451.1004999985"/>
    <n v="697997.26670919603"/>
    <n v="0.28000000000000003"/>
    <n v="0"/>
    <n v="0"/>
    <n v="-9002"/>
    <n v="2.3444949981183623"/>
    <n v="-9002"/>
    <n v="-3839.6328451222112"/>
    <n v="-9002"/>
    <m/>
    <s v="Private Equity Fund"/>
    <n v="0"/>
    <n v="0"/>
    <n v="0"/>
    <n v="0"/>
    <s v="ARF"/>
    <n v="4.0180624800000002"/>
    <s v="HRF"/>
    <n v="4.0180624800000002"/>
    <m/>
    <m/>
    <m/>
    <m/>
    <m/>
    <m/>
    <m/>
    <d v="2015-04-30T00:00:00"/>
    <n v="0.31043199095425367"/>
    <x v="1"/>
  </r>
  <r>
    <x v="191"/>
    <x v="11"/>
    <s v="COP2T_S1GP"/>
    <n v="1690735.1550000005"/>
    <n v="721151.10348153685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4.0415043099999997"/>
    <s v="HRF"/>
    <n v="4.0415043099999997"/>
    <m/>
    <m/>
    <m/>
    <m/>
    <m/>
    <m/>
    <m/>
    <d v="2015-05-29T00:00:00"/>
    <n v="3.3171815817421013E-2"/>
    <x v="1"/>
  </r>
  <r>
    <x v="192"/>
    <x v="11"/>
    <s v="COP2T_S1GP"/>
    <n v="1974023.0004999989"/>
    <n v="841982.17615490942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4.15470994"/>
    <s v="HRF"/>
    <n v="4.15470994"/>
    <m/>
    <m/>
    <m/>
    <m/>
    <m/>
    <m/>
    <m/>
    <d v="2015-06-30T00:00:00"/>
    <n v="0.16755305800688713"/>
    <x v="1"/>
  </r>
  <r>
    <x v="193"/>
    <x v="11"/>
    <s v="COP2T_S1GP"/>
    <n v="1464244.7025000004"/>
    <n v="624545.88458289288"/>
    <n v="0.28000000000000003"/>
    <n v="0"/>
    <n v="0"/>
    <n v="-12692.4"/>
    <n v="2.3444949981183623"/>
    <n v="-12692.4"/>
    <n v="-5413.7031685657794"/>
    <n v="-12692.4"/>
    <m/>
    <s v="Private Equity Fund"/>
    <n v="0"/>
    <n v="0"/>
    <n v="0"/>
    <n v="0"/>
    <s v="ARF"/>
    <n v="3.5532569399999998"/>
    <s v="HRF"/>
    <n v="3.5532569399999998"/>
    <m/>
    <m/>
    <m/>
    <m/>
    <m/>
    <m/>
    <m/>
    <d v="2015-07-31T00:00:00"/>
    <n v="-0.25181363027385806"/>
    <x v="1"/>
  </r>
  <r>
    <x v="194"/>
    <x v="11"/>
    <s v="COP2T_S1GP"/>
    <n v="1288396.2585000007"/>
    <n v="549541.0566173261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3.5784120499999998"/>
    <s v="HRF"/>
    <n v="3.5784120499999998"/>
    <m/>
    <m/>
    <m/>
    <m/>
    <m/>
    <m/>
    <m/>
    <d v="2015-08-31T00:00:00"/>
    <n v="-0.12009498391885054"/>
    <x v="1"/>
  </r>
  <r>
    <x v="195"/>
    <x v="11"/>
    <s v="COP2T_S1GP"/>
    <n v="1135095.3690000002"/>
    <n v="484153.46158170589"/>
    <n v="0.28000000000000003"/>
    <n v="0"/>
    <n v="0"/>
    <n v="-7858.48"/>
    <n v="2.3444949981183623"/>
    <n v="-7858.48"/>
    <n v="-3351.8860165225497"/>
    <n v="-7858.48"/>
    <m/>
    <s v="Private Equity Fund"/>
    <n v="0"/>
    <n v="0"/>
    <n v="0"/>
    <n v="0"/>
    <s v="ARF"/>
    <n v="3.2870477899999999"/>
    <s v="HRF"/>
    <n v="3.2870477899999999"/>
    <m/>
    <m/>
    <m/>
    <m/>
    <m/>
    <m/>
    <m/>
    <d v="2015-09-30T00:00:00"/>
    <n v="-0.11288639542412993"/>
    <x v="1"/>
  </r>
  <r>
    <x v="196"/>
    <x v="11"/>
    <s v="COP2T_S1GP"/>
    <n v="1211974.8235000004"/>
    <n v="516944.93887711578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3.26958796"/>
    <s v="HRF"/>
    <n v="3.26958796"/>
    <m/>
    <m/>
    <m/>
    <m/>
    <m/>
    <m/>
    <m/>
    <d v="2015-10-30T00:00:00"/>
    <n v="6.7729511193169278E-2"/>
    <x v="1"/>
  </r>
  <r>
    <x v="1"/>
    <x v="11"/>
    <s v="COP2T_S1GP"/>
    <n v="1092034.5519999994"/>
    <n v="465786.68449983525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3.2606647500000001"/>
    <s v="HRF"/>
    <n v="3.2606647500000001"/>
    <m/>
    <m/>
    <m/>
    <m/>
    <m/>
    <m/>
    <m/>
    <d v="2015-11-30T00:00:00"/>
    <n v="-9.8962675770468245E-2"/>
    <x v="1"/>
  </r>
  <r>
    <x v="2"/>
    <x v="11"/>
    <s v="COP2T_S1GP"/>
    <n v="213186.48549999963"/>
    <n v="90930.663392798102"/>
    <n v="0.28000000000000003"/>
    <n v="0"/>
    <n v="0"/>
    <n v="-17640"/>
    <n v="2.3444949981183623"/>
    <n v="-17640"/>
    <n v="-7524.0083745785159"/>
    <n v="-17640"/>
    <m/>
    <s v="Private Equity Fund"/>
    <n v="0"/>
    <n v="0"/>
    <n v="0"/>
    <n v="0"/>
    <s v="ARF"/>
    <n v="2.3473118900000003"/>
    <s v="HRF"/>
    <n v="2.3473118900000003"/>
    <m/>
    <m/>
    <m/>
    <m/>
    <m/>
    <m/>
    <m/>
    <d v="2015-12-31T00:00:00"/>
    <n v="-0.78862712257844403"/>
    <x v="1"/>
  </r>
  <r>
    <x v="3"/>
    <x v="11"/>
    <s v="COP2T_S1GP"/>
    <n v="82824.983499999231"/>
    <n v="35327.430242535236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2889029500000002"/>
    <s v="HRF"/>
    <n v="2.2889029500000002"/>
    <m/>
    <m/>
    <m/>
    <m/>
    <m/>
    <m/>
    <m/>
    <d v="2016-01-29T00:00:00"/>
    <n v="-0.61149045960514514"/>
    <x v="1"/>
  </r>
  <r>
    <x v="4"/>
    <x v="11"/>
    <s v="COP2T_S1GP"/>
    <n v="142656.46060000049"/>
    <n v="60847.4152064701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3116972499999999"/>
    <s v="HRF"/>
    <n v="2.3116972499999999"/>
    <m/>
    <m/>
    <m/>
    <m/>
    <m/>
    <m/>
    <m/>
    <d v="2016-02-29T00:00:00"/>
    <n v="0.7223844131523649"/>
    <x v="1"/>
  </r>
  <r>
    <x v="5"/>
    <x v="11"/>
    <s v="COP2T_S1GP"/>
    <n v="86203.86000000035"/>
    <n v="36768.626108900033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3116972499999999"/>
    <s v="HRF"/>
    <n v="2.3116972499999999"/>
    <m/>
    <m/>
    <m/>
    <m/>
    <m/>
    <m/>
    <m/>
    <d v="2016-03-31T00:00:00"/>
    <n v="-0.39572410785018408"/>
    <x v="1"/>
  </r>
  <r>
    <x v="6"/>
    <x v="11"/>
    <s v="COP2T_S1GP"/>
    <n v="343408.91970000078"/>
    <n v="146474.57980316141"/>
    <n v="0.28000000000000003"/>
    <n v="0"/>
    <n v="-5.8207660913467407E-11"/>
    <n v="0"/>
    <n v="2.3444949981183623"/>
    <n v="-5.8207660913467407E-11"/>
    <n v="0"/>
    <n v="-5.8207660913467407E-11"/>
    <m/>
    <s v="Private Equity Fund"/>
    <n v="0"/>
    <n v="0"/>
    <n v="0"/>
    <n v="0"/>
    <s v="ARF"/>
    <n v="2.4206210699999997"/>
    <s v="HRF"/>
    <n v="2.4206210699999997"/>
    <m/>
    <m/>
    <m/>
    <m/>
    <m/>
    <m/>
    <m/>
    <d v="2016-04-29T00:00:00"/>
    <n v="2.9836837897978055"/>
    <x v="1"/>
  </r>
  <r>
    <x v="7"/>
    <x v="11"/>
    <s v="COP2T_S1GP"/>
    <n v="295752.50579999946"/>
    <n v="126147.63778014609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4053958900000003"/>
    <s v="HRF"/>
    <n v="2.4053958900000003"/>
    <m/>
    <m/>
    <m/>
    <m/>
    <m/>
    <m/>
    <m/>
    <d v="2016-05-31T00:00:00"/>
    <n v="-0.13877453719499655"/>
    <x v="1"/>
  </r>
  <r>
    <x v="8"/>
    <x v="11"/>
    <s v="COP2T_S1GP"/>
    <n v="303915.9249000001"/>
    <n v="129629.5898024589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4359475499999999"/>
    <s v="HRF"/>
    <n v="2.4359475499999999"/>
    <m/>
    <m/>
    <m/>
    <m/>
    <m/>
    <m/>
    <m/>
    <d v="2016-06-30T00:00:00"/>
    <n v="2.7602197580436139E-2"/>
    <x v="1"/>
  </r>
  <r>
    <x v="9"/>
    <x v="11"/>
    <s v="COP2T_S1GP"/>
    <n v="396955.81309999997"/>
    <n v="169313.99445022811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4702183500000001"/>
    <s v="HRF"/>
    <n v="2.4702183500000001"/>
    <m/>
    <m/>
    <m/>
    <m/>
    <m/>
    <m/>
    <m/>
    <d v="2016-07-29T00:00:00"/>
    <n v="0.30613692991117047"/>
    <x v="1"/>
  </r>
  <r>
    <x v="10"/>
    <x v="11"/>
    <s v="COP2T_S1GP"/>
    <n v="412648.15890000062"/>
    <n v="176007.267761792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4862185999999999"/>
    <s v="HRF"/>
    <n v="2.4862185999999999"/>
    <m/>
    <m/>
    <m/>
    <m/>
    <m/>
    <m/>
    <m/>
    <d v="2016-08-31T00:00:00"/>
    <n v="3.9531719355492712E-2"/>
    <x v="1"/>
  </r>
  <r>
    <x v="11"/>
    <x v="11"/>
    <s v="COP2T_S1GP"/>
    <n v="397240.21729999938"/>
    <n v="169435.30168279959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2.4564218700000002"/>
    <s v="HRF"/>
    <n v="2.4564218700000002"/>
    <m/>
    <m/>
    <m/>
    <m/>
    <m/>
    <m/>
    <m/>
    <d v="2016-09-30T00:00:00"/>
    <n v="-3.7339174470266134E-2"/>
    <x v="1"/>
  </r>
  <r>
    <x v="12"/>
    <x v="11"/>
    <s v="COP2T_S1GP"/>
    <n v="482780.89309999929"/>
    <n v="205921.05911399605"/>
    <n v="0.28000000000000003"/>
    <n v="0"/>
    <n v="-5.8207660913467407E-11"/>
    <n v="0"/>
    <n v="2.3444949981183623"/>
    <n v="-5.8207660913467407E-11"/>
    <n v="0"/>
    <n v="-5.8207660913467407E-11"/>
    <m/>
    <s v="Private Equity Fund"/>
    <n v="0"/>
    <n v="0"/>
    <n v="0"/>
    <n v="0"/>
    <s v="ARF"/>
    <n v="2.4564218700000002"/>
    <s v="HRF"/>
    <n v="2.4564218700000002"/>
    <m/>
    <m/>
    <m/>
    <m/>
    <m/>
    <m/>
    <m/>
    <d v="2016-10-31T00:00:00"/>
    <n v="0.21533740058197304"/>
    <x v="1"/>
  </r>
  <r>
    <x v="13"/>
    <x v="11"/>
    <s v="COP2T_S1GP"/>
    <n v="441943.6001000001"/>
    <n v="188502.68414080382"/>
    <n v="0.28000000000000003"/>
    <n v="0"/>
    <n v="0"/>
    <n v="-10470.879999999999"/>
    <n v="2.3444949981183623"/>
    <n v="-10470.879999999999"/>
    <n v="-4466.1558281863199"/>
    <n v="-10470.879999999999"/>
    <m/>
    <s v="Private Equity Fund"/>
    <n v="0"/>
    <n v="0"/>
    <n v="0"/>
    <n v="0"/>
    <s v="ARF"/>
    <n v="2.0625001300000001"/>
    <s v="HRF"/>
    <n v="2.0625001300000001"/>
    <m/>
    <m/>
    <m/>
    <m/>
    <m/>
    <m/>
    <m/>
    <d v="2016-11-30T00:00:00"/>
    <n v="-6.2898953612294917E-2"/>
    <x v="1"/>
  </r>
  <r>
    <x v="14"/>
    <x v="11"/>
    <s v="COP2T_S1GP"/>
    <n v="202956.4299000004"/>
    <n v="86567.226657718857"/>
    <n v="0.28000000000000003"/>
    <n v="0"/>
    <n v="0"/>
    <n v="-2128"/>
    <n v="2.3444949981183623"/>
    <n v="-2128"/>
    <n v="-907.65815312375753"/>
    <n v="-2128"/>
    <m/>
    <s v="Private Equity Fund"/>
    <n v="0"/>
    <n v="0"/>
    <n v="0"/>
    <n v="0"/>
    <s v="ARF"/>
    <n v="1.9050024699999999"/>
    <s v="HRF"/>
    <n v="1.9050024699999999"/>
    <m/>
    <m/>
    <m/>
    <m/>
    <m/>
    <m/>
    <m/>
    <d v="2016-12-30T00:00:00"/>
    <n v="-0.53594886348937909"/>
    <x v="1"/>
  </r>
  <r>
    <x v="15"/>
    <x v="11"/>
    <s v="COP2T_S1GP"/>
    <n v="202956.4299000004"/>
    <n v="86567.22665771885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8912115900000002"/>
    <s v="HRF"/>
    <n v="1.8912115900000002"/>
    <m/>
    <m/>
    <m/>
    <m/>
    <m/>
    <m/>
    <m/>
    <d v="2017-01-27T00:00:00"/>
    <n v="0"/>
    <x v="1"/>
  </r>
  <r>
    <x v="16"/>
    <x v="11"/>
    <s v="COP2T_S1GP"/>
    <n v="202956.4299000004"/>
    <n v="86567.22665771885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9211777400000001"/>
    <s v="HRF"/>
    <n v="1.9211777400000001"/>
    <m/>
    <m/>
    <m/>
    <m/>
    <m/>
    <m/>
    <m/>
    <d v="2017-02-28T00:00:00"/>
    <n v="0"/>
    <x v="1"/>
  </r>
  <r>
    <x v="17"/>
    <x v="11"/>
    <s v="COP2T_S1GP"/>
    <n v="462331.24970000004"/>
    <n v="197198.65048594962"/>
    <n v="0.28000000000000003"/>
    <n v="0"/>
    <n v="0"/>
    <n v="-3360"/>
    <n v="2.3444949981183623"/>
    <n v="-3360"/>
    <n v="-1433.1444523006696"/>
    <n v="-3360"/>
    <m/>
    <s v="Private Equity Fund"/>
    <n v="0"/>
    <n v="0"/>
    <n v="0"/>
    <n v="0"/>
    <s v="ARF"/>
    <n v="1.87651206"/>
    <s v="HRF"/>
    <n v="1.87651206"/>
    <m/>
    <m/>
    <m/>
    <m/>
    <m/>
    <m/>
    <m/>
    <d v="2017-03-31T00:00:00"/>
    <n v="1.2945380440986911"/>
    <x v="1"/>
  </r>
  <r>
    <x v="18"/>
    <x v="11"/>
    <s v="COP2T_S1GP"/>
    <n v="514621.20499999961"/>
    <n v="219501.94195893902"/>
    <n v="0.28000000000000003"/>
    <n v="0"/>
    <n v="0"/>
    <n v="-3220"/>
    <n v="2.3444949981183623"/>
    <n v="-3220"/>
    <n v="-1373.4301001214751"/>
    <n v="-3220"/>
    <m/>
    <s v="Private Equity Fund"/>
    <n v="0"/>
    <n v="0"/>
    <n v="0"/>
    <n v="0"/>
    <s v="ARF"/>
    <n v="1.7890925600000001"/>
    <s v="HRF"/>
    <n v="1.7890925600000001"/>
    <m/>
    <m/>
    <m/>
    <m/>
    <m/>
    <m/>
    <m/>
    <d v="2017-04-28T00:00:00"/>
    <n v="0.12006533267223274"/>
    <x v="1"/>
  </r>
  <r>
    <x v="19"/>
    <x v="11"/>
    <s v="COP2T_S1GP"/>
    <n v="299872.14609999978"/>
    <n v="127904.79243533054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68071142"/>
    <s v="HRF"/>
    <n v="1.68071142"/>
    <m/>
    <m/>
    <m/>
    <m/>
    <m/>
    <m/>
    <m/>
    <d v="2017-05-31T00:00:00"/>
    <n v="-0.41729539477488109"/>
    <x v="1"/>
  </r>
  <r>
    <x v="20"/>
    <x v="11"/>
    <s v="COP2T_S1GP"/>
    <n v="196940.84079999995"/>
    <n v="84001.390899984923"/>
    <n v="0.28000000000000003"/>
    <n v="0"/>
    <n v="-2.9103830456733704E-11"/>
    <n v="0"/>
    <n v="2.3444949981183623"/>
    <n v="-2.9103830456733704E-11"/>
    <n v="0"/>
    <n v="-2.9103830456733704E-11"/>
    <m/>
    <s v="Private Equity Fund"/>
    <n v="0"/>
    <n v="0"/>
    <n v="0"/>
    <n v="0"/>
    <s v="ARF"/>
    <n v="1.6191210600000001"/>
    <s v="HRF"/>
    <n v="1.6191210600000001"/>
    <m/>
    <m/>
    <m/>
    <m/>
    <m/>
    <m/>
    <m/>
    <d v="2017-06-30T00:00:00"/>
    <n v="-0.34325063744224782"/>
    <x v="1"/>
  </r>
  <r>
    <x v="21"/>
    <x v="11"/>
    <s v="COP2T_S1GP"/>
    <n v="351551.09100000013"/>
    <n v="149947.4689782434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6959900000000001"/>
    <s v="HRF"/>
    <n v="1.6959900000000001"/>
    <m/>
    <m/>
    <m/>
    <m/>
    <m/>
    <m/>
    <m/>
    <d v="2017-07-31T00:00:00"/>
    <n v="0.78505935880009825"/>
    <x v="1"/>
  </r>
  <r>
    <x v="22"/>
    <x v="11"/>
    <s v="COP2T_S1GP"/>
    <n v="746300.00000000023"/>
    <n v="318320.15022380662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8835"/>
    <s v="HRF"/>
    <n v="1.8835"/>
    <m/>
    <m/>
    <m/>
    <m/>
    <m/>
    <m/>
    <m/>
    <d v="2017-08-31T00:00:00"/>
    <n v="1.1228777810847412"/>
    <x v="1"/>
  </r>
  <r>
    <x v="23"/>
    <x v="11"/>
    <s v="COP2T_S1GP"/>
    <n v="728300"/>
    <n v="310642.59065791004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8512999999999999"/>
    <s v="HRF"/>
    <n v="1.8512999999999999"/>
    <m/>
    <m/>
    <m/>
    <m/>
    <m/>
    <m/>
    <m/>
    <d v="2017-09-29T00:00:00"/>
    <n v="-2.4118987002546222E-2"/>
    <x v="1"/>
  </r>
  <r>
    <x v="24"/>
    <x v="11"/>
    <s v="COP2T_S1GP"/>
    <n v="697413.88"/>
    <n v="297468.70032127528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84738264"/>
    <s v="HRF"/>
    <n v="1.84738264"/>
    <m/>
    <m/>
    <m/>
    <m/>
    <m/>
    <m/>
    <m/>
    <d v="2017-10-31T00:00:00"/>
    <n v="-4.2408512975422252E-2"/>
    <x v="1"/>
  </r>
  <r>
    <x v="25"/>
    <x v="11"/>
    <s v="COP2T_S1GP"/>
    <n v="553957.15"/>
    <n v="236279.94533773512"/>
    <n v="0.28000000000000003"/>
    <n v="0"/>
    <n v="0"/>
    <n v="-12110.33"/>
    <n v="2.3444949981183623"/>
    <n v="-12110.33"/>
    <n v="-5165.4322187590387"/>
    <n v="-12110.33"/>
    <m/>
    <s v="Private Equity Fund"/>
    <n v="0"/>
    <n v="0"/>
    <n v="0"/>
    <n v="0"/>
    <s v="ARF"/>
    <n v="1.3572"/>
    <s v="HRF"/>
    <n v="1.3572"/>
    <m/>
    <m/>
    <m/>
    <m/>
    <m/>
    <m/>
    <m/>
    <d v="2017-11-30T00:00:00"/>
    <n v="-0.18833350434608498"/>
    <x v="1"/>
  </r>
  <r>
    <x v="26"/>
    <x v="11"/>
    <s v="COP2T_S1GP"/>
    <n v="577042.43999999994"/>
    <n v="246126.5391750125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3572"/>
    <s v="HRF"/>
    <n v="1.3572"/>
    <m/>
    <m/>
    <m/>
    <m/>
    <m/>
    <m/>
    <m/>
    <d v="2017-12-29T00:00:00"/>
    <n v="4.1673421852213455E-2"/>
    <x v="1"/>
  </r>
  <r>
    <x v="27"/>
    <x v="11"/>
    <s v="COP2T_S1GP"/>
    <n v="631743.80000000005"/>
    <n v="269458.36971587618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4003000000000001"/>
    <s v="HRF"/>
    <n v="1.4003000000000001"/>
    <m/>
    <m/>
    <m/>
    <m/>
    <m/>
    <m/>
    <m/>
    <d v="2018-01-31T00:00:00"/>
    <n v="9.4796077737367312E-2"/>
    <x v="1"/>
  </r>
  <r>
    <x v="28"/>
    <x v="11"/>
    <s v="COP2T_S1GP"/>
    <n v="530800"/>
    <n v="226402.70097654627"/>
    <n v="0.28000000000000003"/>
    <n v="0"/>
    <n v="0"/>
    <n v="0"/>
    <n v="2.3444949981183623"/>
    <n v="0"/>
    <n v="0"/>
    <n v="0"/>
    <m/>
    <s v="Private Equity Fund"/>
    <n v="0"/>
    <n v="0"/>
    <n v="0"/>
    <n v="0"/>
    <s v="ARF"/>
    <n v="1.3563000000000001"/>
    <s v="HRF"/>
    <n v="1.3563000000000001"/>
    <m/>
    <m/>
    <m/>
    <m/>
    <m/>
    <m/>
    <m/>
    <d v="2018-02-28T00:00:00"/>
    <n v="-0.15978597653035931"/>
    <x v="1"/>
  </r>
  <r>
    <x v="29"/>
    <x v="11"/>
    <s v="COP2T_S1GP"/>
    <n v="540117.25379999995"/>
    <n v="230376.79936766153"/>
    <n v="0.28000000000000003"/>
    <n v="0"/>
    <n v="0"/>
    <n v="0"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1.7553228711378877E-2"/>
    <x v="1"/>
  </r>
  <r>
    <x v="30"/>
    <x v="11"/>
    <s v="COP2T_S1GP"/>
    <n v="549072.00800000003"/>
    <n v="234196.28041035388"/>
    <n v="0.28000000000000003"/>
    <n v="0"/>
    <n v="0"/>
    <n v="-15941.98"/>
    <n v="2.3444949981183623"/>
    <n v="-15941.98"/>
    <n v="-6799.7500582405446"/>
    <n v="-15941.98"/>
    <m/>
    <s v="Private Equity Fund"/>
    <n v="0"/>
    <n v="0"/>
    <n v="0"/>
    <n v="0"/>
    <m/>
    <m/>
    <m/>
    <m/>
    <m/>
    <m/>
    <m/>
    <m/>
    <m/>
    <m/>
    <m/>
    <d v="2018-04-30T00:00:00"/>
    <n v="4.6095054406869673E-2"/>
    <x v="1"/>
  </r>
  <r>
    <x v="31"/>
    <x v="11"/>
    <s v="COP2T_S1GP"/>
    <n v="472435.87329999998"/>
    <n v="201508.5865737253"/>
    <n v="0.28000000000000003"/>
    <n v="0"/>
    <n v="0"/>
    <n v="0"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0.13957392397246382"/>
    <x v="1"/>
  </r>
  <r>
    <x v="32"/>
    <x v="11"/>
    <s v="COP2T_S1GP"/>
    <n v="410937.93"/>
    <n v="175277.80197006575"/>
    <n v="0.28000000000000003"/>
    <n v="0"/>
    <n v="0"/>
    <n v="0"/>
    <n v="2.3444949981183623"/>
    <n v="0"/>
    <n v="0"/>
    <n v="-410937.93"/>
    <m/>
    <s v="Private Equity Fund"/>
    <n v="0"/>
    <n v="0"/>
    <n v="0"/>
    <n v="0"/>
    <m/>
    <m/>
    <m/>
    <m/>
    <m/>
    <m/>
    <m/>
    <m/>
    <m/>
    <m/>
    <m/>
    <d v="2018-06-29T00:00:00"/>
    <n v="-0.13017204402881655"/>
    <x v="1"/>
  </r>
  <r>
    <x v="33"/>
    <x v="11"/>
    <s v="COP2T_S1GP"/>
    <n v="410937.93"/>
    <n v="175277.80197006575"/>
    <n v="0.28000000000000003"/>
    <n v="0"/>
    <n v="0"/>
    <n v="0"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169"/>
    <x v="11"/>
    <s v="COP2T_S2"/>
    <n v="21564486.290804401"/>
    <n v="21689695.381823272"/>
    <n v="107.2"/>
    <n v="21440000"/>
    <n v="0"/>
    <n v="0"/>
    <n v="0.99422725451811556"/>
    <n v="21440000"/>
    <n v="21689695.381823272"/>
    <n v="21440000"/>
    <n v="21440000"/>
    <s v="Private Equity Fund"/>
    <n v="0"/>
    <n v="0"/>
    <n v="0"/>
    <n v="0"/>
    <m/>
    <m/>
    <m/>
    <m/>
    <m/>
    <m/>
    <m/>
    <m/>
    <m/>
    <m/>
    <m/>
    <d v="2012-06-29T00:00:00"/>
    <n v="5.8062635636380033E-3"/>
    <x v="1"/>
  </r>
  <r>
    <x v="170"/>
    <x v="11"/>
    <s v="COP2T_S2"/>
    <n v="21465388.593513399"/>
    <n v="21590022.297183249"/>
    <n v="107.2"/>
    <n v="0"/>
    <n v="0"/>
    <n v="0"/>
    <n v="0.99422725451811556"/>
    <n v="0"/>
    <n v="0"/>
    <n v="0"/>
    <n v="0"/>
    <s v="Private Equity Fund"/>
    <n v="0"/>
    <n v="0"/>
    <n v="0"/>
    <n v="0"/>
    <m/>
    <m/>
    <m/>
    <m/>
    <m/>
    <m/>
    <m/>
    <m/>
    <m/>
    <m/>
    <m/>
    <d v="2012-07-31T00:00:00"/>
    <n v="-4.5954119172900709E-3"/>
    <x v="1"/>
  </r>
  <r>
    <x v="171"/>
    <x v="11"/>
    <s v="COP2T_S2"/>
    <n v="34185331.941"/>
    <n v="21702736.619092535"/>
    <n v="107.2"/>
    <n v="12542400"/>
    <n v="0"/>
    <n v="0"/>
    <n v="1.5751622728963204"/>
    <n v="12542400"/>
    <n v="0"/>
    <n v="12542400"/>
    <n v="12542400"/>
    <s v="Private Equity Fund"/>
    <n v="0"/>
    <n v="0"/>
    <n v="0"/>
    <n v="0"/>
    <m/>
    <m/>
    <m/>
    <m/>
    <m/>
    <m/>
    <m/>
    <m/>
    <m/>
    <m/>
    <m/>
    <d v="2012-08-31T00:00:00"/>
    <n v="8.2711452771113692E-3"/>
    <x v="1"/>
  </r>
  <r>
    <x v="172"/>
    <x v="11"/>
    <s v="COP2T_S2"/>
    <n v="40248978.190000005"/>
    <n v="21449306.627039418"/>
    <n v="107.2"/>
    <n v="6539200"/>
    <n v="0"/>
    <n v="0"/>
    <n v="1.8764698966660931"/>
    <n v="6539200"/>
    <n v="0"/>
    <n v="6539200"/>
    <n v="6539200"/>
    <s v="Private Equity Fund"/>
    <n v="0"/>
    <n v="0"/>
    <n v="0"/>
    <n v="0"/>
    <m/>
    <m/>
    <m/>
    <m/>
    <m/>
    <m/>
    <m/>
    <m/>
    <m/>
    <m/>
    <m/>
    <d v="2012-09-28T00:00:00"/>
    <n v="-1.3911046755981427E-2"/>
    <x v="1"/>
  </r>
  <r>
    <x v="173"/>
    <x v="11"/>
    <s v="COP2T_S2"/>
    <n v="40408338.159999996"/>
    <n v="21534232.03420056"/>
    <n v="107.2"/>
    <n v="0"/>
    <n v="0"/>
    <n v="0"/>
    <n v="1.8764698966660931"/>
    <n v="0"/>
    <n v="0"/>
    <n v="0"/>
    <n v="0"/>
    <s v="Private Equity Fund"/>
    <n v="0"/>
    <n v="0"/>
    <n v="0"/>
    <n v="0"/>
    <m/>
    <m/>
    <m/>
    <m/>
    <m/>
    <m/>
    <m/>
    <m/>
    <m/>
    <m/>
    <m/>
    <d v="2012-10-31T00:00:00"/>
    <n v="3.9593544275264847E-3"/>
    <x v="1"/>
  </r>
  <r>
    <x v="174"/>
    <x v="11"/>
    <s v="COP2T_S2"/>
    <n v="65702283.609999992"/>
    <n v="21462479.106736753"/>
    <n v="107.2"/>
    <n v="25513600"/>
    <n v="0"/>
    <n v="0"/>
    <n v="3.061262554211504"/>
    <n v="25513600"/>
    <n v="0"/>
    <n v="25513600"/>
    <n v="25513600"/>
    <s v="Private Equity Fund"/>
    <n v="0"/>
    <n v="0"/>
    <n v="0"/>
    <n v="0"/>
    <m/>
    <m/>
    <m/>
    <m/>
    <m/>
    <m/>
    <m/>
    <m/>
    <m/>
    <m/>
    <m/>
    <d v="2012-11-30T00:00:00"/>
    <n v="-5.4358719017413293E-3"/>
    <x v="1"/>
  </r>
  <r>
    <x v="175"/>
    <x v="11"/>
    <s v="COP2T_S2"/>
    <n v="74387873.519999996"/>
    <n v="21525210.412354339"/>
    <n v="107.2"/>
    <n v="8468800"/>
    <n v="0"/>
    <n v="0"/>
    <n v="3.4558488439818116"/>
    <n v="8468800"/>
    <n v="0"/>
    <n v="8468800"/>
    <n v="8468800"/>
    <s v="Private Equity Fund"/>
    <n v="0"/>
    <n v="0"/>
    <n v="0"/>
    <n v="0"/>
    <m/>
    <m/>
    <m/>
    <m/>
    <m/>
    <m/>
    <m/>
    <m/>
    <m/>
    <m/>
    <m/>
    <d v="2012-12-31T00:00:00"/>
    <n v="3.2995795288766061E-3"/>
    <x v="1"/>
  </r>
  <r>
    <x v="176"/>
    <x v="11"/>
    <s v="COP2T_S2"/>
    <n v="73416224.450000003"/>
    <n v="21244049.657394797"/>
    <n v="107.2"/>
    <n v="0"/>
    <n v="0"/>
    <n v="0"/>
    <n v="3.4558488439818116"/>
    <n v="0"/>
    <n v="0"/>
    <n v="0"/>
    <n v="0"/>
    <s v="Private Equity Fund"/>
    <n v="0"/>
    <n v="0"/>
    <n v="0"/>
    <n v="0"/>
    <m/>
    <m/>
    <m/>
    <m/>
    <m/>
    <m/>
    <m/>
    <m/>
    <m/>
    <m/>
    <m/>
    <d v="2013-01-31T00:00:00"/>
    <n v="-1.306192829586339E-2"/>
    <x v="1"/>
  </r>
  <r>
    <x v="177"/>
    <x v="11"/>
    <s v="COP2T_S2"/>
    <n v="83755163.390000001"/>
    <n v="21504017.571929634"/>
    <n v="107.2"/>
    <n v="9326400"/>
    <n v="0"/>
    <n v="0"/>
    <n v="3.8948611862803806"/>
    <n v="9326400"/>
    <n v="0"/>
    <n v="9326400"/>
    <n v="9326400"/>
    <s v="Private Equity Fund"/>
    <n v="0"/>
    <n v="0"/>
    <n v="0"/>
    <n v="0"/>
    <m/>
    <m/>
    <m/>
    <m/>
    <m/>
    <m/>
    <m/>
    <m/>
    <m/>
    <m/>
    <m/>
    <d v="2013-02-28T00:00:00"/>
    <n v="1.379175989483894E-2"/>
    <x v="1"/>
  </r>
  <r>
    <x v="178"/>
    <x v="11"/>
    <s v="COP2T_S2"/>
    <n v="90010294"/>
    <n v="21487385.995601173"/>
    <n v="107.2"/>
    <n v="6324800"/>
    <n v="0"/>
    <n v="0"/>
    <n v="4.1889829697491638"/>
    <n v="6324800"/>
    <n v="0"/>
    <n v="6324800"/>
    <n v="6324800"/>
    <s v="Private Equity Fund"/>
    <n v="0"/>
    <n v="0"/>
    <n v="0"/>
    <n v="0"/>
    <m/>
    <m/>
    <m/>
    <m/>
    <m/>
    <m/>
    <m/>
    <m/>
    <m/>
    <m/>
    <m/>
    <d v="2013-03-28T00:00:00"/>
    <n v="-8.3182202959342089E-4"/>
    <x v="1"/>
  </r>
  <r>
    <x v="179"/>
    <x v="11"/>
    <s v="COP2T_S2"/>
    <n v="92354108.739999995"/>
    <n v="21237517.593524121"/>
    <n v="107.2"/>
    <n v="3430400"/>
    <n v="0"/>
    <n v="0"/>
    <n v="4.3486301227673234"/>
    <n v="3430400"/>
    <n v="0"/>
    <n v="3430400"/>
    <n v="3430400"/>
    <s v="Private Equity Fund"/>
    <n v="0"/>
    <n v="0"/>
    <n v="0"/>
    <n v="0"/>
    <m/>
    <m/>
    <m/>
    <m/>
    <m/>
    <m/>
    <m/>
    <m/>
    <m/>
    <m/>
    <m/>
    <d v="2013-04-30T00:00:00"/>
    <n v="-1.2071788811177542E-2"/>
    <x v="1"/>
  </r>
  <r>
    <x v="180"/>
    <x v="11"/>
    <s v="COP2T_S2"/>
    <n v="92802667.760000005"/>
    <n v="21340667.092869118"/>
    <n v="107.2"/>
    <n v="0"/>
    <n v="0"/>
    <n v="0"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5-31T00:00:00"/>
    <n v="4.8569470933104153E-3"/>
    <x v="1"/>
  </r>
  <r>
    <x v="181"/>
    <x v="11"/>
    <s v="COP2T_S2"/>
    <n v="93690147.041999996"/>
    <n v="21544749.587113358"/>
    <n v="107.2"/>
    <n v="0"/>
    <n v="0"/>
    <n v="0"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9.5630794180951995E-3"/>
    <x v="1"/>
  </r>
  <r>
    <x v="182"/>
    <x v="11"/>
    <s v="COP2T_S2"/>
    <n v="90883198.959999993"/>
    <n v="20899270.895489488"/>
    <n v="107.2"/>
    <n v="0"/>
    <n v="0"/>
    <n v="0"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2.995990689118766E-2"/>
    <x v="1"/>
  </r>
  <r>
    <x v="183"/>
    <x v="11"/>
    <s v="COP2T_S2"/>
    <n v="89248684.510000005"/>
    <n v="20523402.08074655"/>
    <n v="107.2"/>
    <n v="0"/>
    <n v="0"/>
    <n v="0"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1.7984781221437651E-2"/>
    <x v="1"/>
  </r>
  <r>
    <x v="35"/>
    <x v="11"/>
    <s v="COP2T_S2"/>
    <n v="102852261.5"/>
    <n v="20521242.657013416"/>
    <n v="107.2"/>
    <n v="13614400"/>
    <n v="0"/>
    <n v="0"/>
    <n v="5.0119899276591235"/>
    <n v="13614400"/>
    <n v="0"/>
    <n v="13614400"/>
    <n v="13614400"/>
    <s v="Private Equity Fund"/>
    <n v="0"/>
    <n v="0"/>
    <n v="0"/>
    <n v="0"/>
    <m/>
    <m/>
    <m/>
    <m/>
    <m/>
    <m/>
    <m/>
    <m/>
    <m/>
    <m/>
    <m/>
    <d v="2013-09-30T00:00:00"/>
    <n v="-1.2126800590317455E-4"/>
    <x v="1"/>
  </r>
  <r>
    <x v="36"/>
    <x v="11"/>
    <s v="COP2T_S2"/>
    <n v="87194844.069999993"/>
    <n v="17397250.459105533"/>
    <n v="107.2"/>
    <n v="0"/>
    <n v="0"/>
    <n v="-17046636.449999999"/>
    <n v="5.0119899276591235"/>
    <n v="-17046636.449999999"/>
    <n v="-3401171.330358543"/>
    <n v="-17046636.449999999"/>
    <n v="-17046636.449999999"/>
    <s v="Private Equity Fund"/>
    <n v="0"/>
    <n v="0"/>
    <n v="0"/>
    <n v="0"/>
    <m/>
    <m/>
    <m/>
    <m/>
    <m/>
    <m/>
    <m/>
    <m/>
    <m/>
    <m/>
    <m/>
    <d v="2013-10-31T00:00:00"/>
    <n v="1.3506937035117961E-2"/>
    <x v="1"/>
  </r>
  <r>
    <x v="37"/>
    <x v="11"/>
    <s v="COP2T_S2"/>
    <n v="86864580.400000006"/>
    <n v="17331355.7396893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3.7876513631339703E-3"/>
    <x v="1"/>
  </r>
  <r>
    <x v="38"/>
    <x v="11"/>
    <s v="COP2T_S2"/>
    <n v="88246023.480000004"/>
    <n v="17606983.404536843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1.5903410499868098E-2"/>
    <x v="1"/>
  </r>
  <r>
    <x v="39"/>
    <x v="11"/>
    <s v="COP2T_S2"/>
    <n v="89604709.474648759"/>
    <n v="17878070.54043684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1.5396569058510501E-2"/>
    <x v="1"/>
  </r>
  <r>
    <x v="40"/>
    <x v="11"/>
    <s v="COP2T_S2"/>
    <n v="90059351.859999999"/>
    <n v="17968781.49395298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5.0738670770409389E-3"/>
    <x v="1"/>
  </r>
  <r>
    <x v="41"/>
    <x v="11"/>
    <s v="COP2T_S2"/>
    <n v="86346832.568000004"/>
    <n v="17228053.889631167"/>
    <n v="107.2"/>
    <n v="0"/>
    <n v="0"/>
    <n v="-4554928"/>
    <n v="5.0119899276591235"/>
    <n v="-4554928"/>
    <n v="-908806.29565179581"/>
    <n v="-4554928"/>
    <n v="-4554928"/>
    <s v="Private Equity Fund"/>
    <n v="0"/>
    <n v="0"/>
    <n v="0"/>
    <n v="0"/>
    <m/>
    <m/>
    <m/>
    <m/>
    <m/>
    <m/>
    <m/>
    <m/>
    <m/>
    <m/>
    <m/>
    <d v="2014-03-31T00:00:00"/>
    <n v="9.3539281662780027E-3"/>
    <x v="1"/>
  </r>
  <r>
    <x v="42"/>
    <x v="11"/>
    <s v="COP2T_S2"/>
    <n v="85418509.659999996"/>
    <n v="17042833.46393219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1.0751093935830625E-2"/>
    <x v="1"/>
  </r>
  <r>
    <x v="43"/>
    <x v="11"/>
    <s v="COP2T_S2"/>
    <n v="85733877.635499999"/>
    <n v="17105756.171290323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3.6920332227206032E-3"/>
    <x v="1"/>
  </r>
  <r>
    <x v="44"/>
    <x v="11"/>
    <s v="COP2T_S2"/>
    <n v="85824662.684499994"/>
    <n v="17123869.745002631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1.0589168658154957E-3"/>
    <x v="1"/>
  </r>
  <r>
    <x v="45"/>
    <x v="11"/>
    <s v="COP2T_S2"/>
    <n v="78828553.246000007"/>
    <n v="15727995.144399123"/>
    <n v="107.2"/>
    <n v="0"/>
    <n v="0"/>
    <n v="-7017312"/>
    <n v="5.0119899276591235"/>
    <n v="-7017312"/>
    <n v="-1400104.9685423994"/>
    <n v="-7017312"/>
    <n v="-7017312"/>
    <s v="Private Equity Fund"/>
    <n v="0"/>
    <n v="0"/>
    <n v="0"/>
    <n v="0"/>
    <m/>
    <m/>
    <m/>
    <m/>
    <m/>
    <m/>
    <m/>
    <m/>
    <m/>
    <m/>
    <m/>
    <d v="2014-07-31T00:00:00"/>
    <n v="2.4704508980066819E-4"/>
    <x v="1"/>
  </r>
  <r>
    <x v="46"/>
    <x v="11"/>
    <s v="COP2T_S2"/>
    <n v="60936373.511"/>
    <n v="12158119.707048304"/>
    <n v="107.2"/>
    <n v="0"/>
    <n v="0"/>
    <n v="-19312080"/>
    <n v="5.0119899276591235"/>
    <n v="-19312080"/>
    <n v="-3853176.1393662277"/>
    <n v="-19312080"/>
    <n v="-19312080"/>
    <s v="Private Equity Fund"/>
    <n v="0"/>
    <n v="0"/>
    <n v="0"/>
    <n v="0"/>
    <m/>
    <m/>
    <m/>
    <m/>
    <m/>
    <m/>
    <m/>
    <m/>
    <m/>
    <m/>
    <m/>
    <d v="2014-08-29T00:00:00"/>
    <n v="1.8012512047112184E-2"/>
    <x v="1"/>
  </r>
  <r>
    <x v="47"/>
    <x v="11"/>
    <s v="COP2T_S2"/>
    <n v="62588137.243500002"/>
    <n v="12487682.167536223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2.7106367467073289E-2"/>
    <x v="1"/>
  </r>
  <r>
    <x v="184"/>
    <x v="11"/>
    <s v="COP2T_S2"/>
    <n v="50842057.759000003"/>
    <n v="10144086.179907002"/>
    <n v="107.2"/>
    <n v="0"/>
    <n v="-7.4505805969238281E-9"/>
    <n v="-9728400"/>
    <n v="5.0119899276591235"/>
    <n v="-9728400.0000000075"/>
    <n v="-1941025.4490562596"/>
    <n v="-9728400.0000000075"/>
    <n v="-9728400.0000000075"/>
    <s v="Private Equity Fund"/>
    <n v="0"/>
    <n v="0"/>
    <n v="0"/>
    <n v="0"/>
    <m/>
    <m/>
    <m/>
    <m/>
    <m/>
    <m/>
    <m/>
    <m/>
    <m/>
    <m/>
    <m/>
    <d v="2014-10-31T00:00:00"/>
    <n v="-3.2237410687750323E-2"/>
    <x v="1"/>
  </r>
  <r>
    <x v="185"/>
    <x v="11"/>
    <s v="COP2T_S2"/>
    <n v="49011244.07"/>
    <n v="9778799.3945332933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3.6009826700531544E-2"/>
    <x v="1"/>
  </r>
  <r>
    <x v="186"/>
    <x v="11"/>
    <s v="COP2T_S2"/>
    <n v="42873837.030000001"/>
    <n v="8554254.4276469555"/>
    <n v="107.2"/>
    <n v="0"/>
    <n v="0"/>
    <n v="-6164000"/>
    <n v="5.0119899276591235"/>
    <n v="-6164000"/>
    <n v="-1229850.8354901921"/>
    <n v="-6164000"/>
    <n v="-6164000"/>
    <s v="Private Equity Fund"/>
    <n v="0"/>
    <n v="0"/>
    <n v="0"/>
    <n v="0"/>
    <m/>
    <m/>
    <m/>
    <m/>
    <m/>
    <m/>
    <m/>
    <m/>
    <m/>
    <m/>
    <m/>
    <d v="2014-12-31T00:00:00"/>
    <n v="5.4258896105596754E-4"/>
    <x v="1"/>
  </r>
  <r>
    <x v="187"/>
    <x v="11"/>
    <s v="COP2T_S2"/>
    <n v="43795100.853500001"/>
    <n v="8738066.4138634317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2.1487785729449982E-2"/>
    <x v="1"/>
  </r>
  <r>
    <x v="188"/>
    <x v="11"/>
    <s v="COP2T_S2"/>
    <n v="44718811.365999997"/>
    <n v="8922366.5672620684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2.1091640263369182E-2"/>
    <x v="1"/>
  </r>
  <r>
    <x v="189"/>
    <x v="11"/>
    <s v="COP2T_S2"/>
    <n v="44798269.722999997"/>
    <n v="8938220.2218277939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3-31T00:00:00"/>
    <n v="1.776844119349974E-3"/>
    <x v="1"/>
  </r>
  <r>
    <x v="190"/>
    <x v="11"/>
    <s v="COP2T_S2"/>
    <n v="42078711.987000003"/>
    <n v="8395609.846457351"/>
    <n v="107.2"/>
    <n v="0"/>
    <n v="0"/>
    <n v="-3392880"/>
    <n v="5.0119899276591235"/>
    <n v="-3392880"/>
    <n v="-676952.67727416649"/>
    <n v="-3392880"/>
    <n v="-3392880"/>
    <s v="Private Equity Fund"/>
    <n v="0"/>
    <n v="0"/>
    <n v="0"/>
    <n v="0"/>
    <m/>
    <m/>
    <m/>
    <m/>
    <m/>
    <m/>
    <m/>
    <m/>
    <m/>
    <m/>
    <m/>
    <d v="2015-04-30T00:00:00"/>
    <n v="1.5030095317594583E-2"/>
    <x v="1"/>
  </r>
  <r>
    <x v="191"/>
    <x v="11"/>
    <s v="COP2T_S2"/>
    <n v="42268326.825000003"/>
    <n v="8433442.0928777978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4.506193964743499E-3"/>
    <x v="1"/>
  </r>
  <r>
    <x v="192"/>
    <x v="11"/>
    <s v="COP2T_S2"/>
    <n v="43273072.597499996"/>
    <n v="8633910.5269732475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2.3770654009084735E-2"/>
    <x v="1"/>
  </r>
  <r>
    <x v="193"/>
    <x v="11"/>
    <s v="COP2T_S2"/>
    <n v="37054163.838"/>
    <n v="7393104.2106675468"/>
    <n v="107.2"/>
    <n v="0"/>
    <n v="0"/>
    <n v="-4848656"/>
    <n v="5.0119899276591235"/>
    <n v="-4848656"/>
    <n v="-967411.36155167629"/>
    <n v="-4848656"/>
    <n v="-4848656"/>
    <s v="Private Equity Fund"/>
    <n v="0"/>
    <n v="0"/>
    <n v="0"/>
    <n v="0"/>
    <m/>
    <m/>
    <m/>
    <m/>
    <m/>
    <m/>
    <m/>
    <m/>
    <m/>
    <m/>
    <m/>
    <d v="2015-07-31T00:00:00"/>
    <n v="-3.1665252251562137E-2"/>
    <x v="1"/>
  </r>
  <r>
    <x v="194"/>
    <x v="11"/>
    <s v="COP2T_S2"/>
    <n v="37261751.645499997"/>
    <n v="7434522.4518244984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5.6022801757871221E-3"/>
    <x v="1"/>
  </r>
  <r>
    <x v="195"/>
    <x v="11"/>
    <s v="COP2T_S2"/>
    <n v="34137395.222000003"/>
    <n v="6811146.0148013616"/>
    <n v="107.2"/>
    <n v="0"/>
    <n v="0"/>
    <n v="-3006531.2"/>
    <n v="5.0119899276591235"/>
    <n v="-3006531.2"/>
    <n v="-599867.76577665959"/>
    <n v="-3006531.2"/>
    <n v="-3006531.2"/>
    <s v="Private Equity Fund"/>
    <n v="0"/>
    <n v="0"/>
    <n v="0"/>
    <n v="0"/>
    <m/>
    <m/>
    <m/>
    <m/>
    <m/>
    <m/>
    <m/>
    <m/>
    <m/>
    <m/>
    <m/>
    <d v="2015-09-30T00:00:00"/>
    <n v="-3.1620956690644464E-3"/>
    <x v="1"/>
  </r>
  <r>
    <x v="196"/>
    <x v="11"/>
    <s v="COP2T_S2"/>
    <n v="33959257.593999997"/>
    <n v="6775603.7191121904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5.2182548446227939E-3"/>
    <x v="1"/>
  </r>
  <r>
    <x v="1"/>
    <x v="11"/>
    <s v="COP2T_S2"/>
    <n v="33858582.710000001"/>
    <n v="6755516.9101893688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2.964578472345103E-3"/>
    <x v="1"/>
  </r>
  <r>
    <x v="2"/>
    <x v="11"/>
    <s v="COP2T_S2"/>
    <n v="24371097.879999999"/>
    <n v="4862559.2293204488"/>
    <n v="107.2"/>
    <n v="0"/>
    <n v="0"/>
    <n v="-6753600"/>
    <n v="5.0119899276591235"/>
    <n v="-6753600"/>
    <n v="-1347488.7414936016"/>
    <n v="-6753600"/>
    <n v="-6753600"/>
    <s v="Private Equity Fund"/>
    <n v="0"/>
    <n v="0"/>
    <n v="0"/>
    <n v="0"/>
    <m/>
    <m/>
    <m/>
    <m/>
    <m/>
    <m/>
    <m/>
    <m/>
    <m/>
    <m/>
    <m/>
    <d v="2015-12-31T00:00:00"/>
    <n v="-8.0744219373144577E-2"/>
    <x v="1"/>
  </r>
  <r>
    <x v="3"/>
    <x v="11"/>
    <s v="COP2T_S2"/>
    <n v="23745565.359999999"/>
    <n v="4737752.01122371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2.5666981564804181E-2"/>
    <x v="1"/>
  </r>
  <r>
    <x v="4"/>
    <x v="11"/>
    <s v="COP2T_S2"/>
    <n v="23989685.510000002"/>
    <n v="4786459.2419890417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0280662780564054E-2"/>
    <x v="1"/>
  </r>
  <r>
    <x v="5"/>
    <x v="11"/>
    <s v="COP2T_S2"/>
    <n v="24451655.23"/>
    <n v="4878632.156673203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9257014428447849E-2"/>
    <x v="1"/>
  </r>
  <r>
    <x v="6"/>
    <x v="11"/>
    <s v="COP2T_S2"/>
    <n v="25156356.460000001"/>
    <n v="5019235.2385172108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2.8820185111043006E-2"/>
    <x v="1"/>
  </r>
  <r>
    <x v="7"/>
    <x v="11"/>
    <s v="COP2T_S2"/>
    <n v="24994116.350000001"/>
    <n v="4986864.8402638817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-6.4492690051506374E-3"/>
    <x v="1"/>
  </r>
  <r>
    <x v="8"/>
    <x v="11"/>
    <s v="COP2T_S2"/>
    <n v="25321518.949999999"/>
    <n v="5052188.7145584403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1.309918684122624E-2"/>
    <x v="1"/>
  </r>
  <r>
    <x v="9"/>
    <x v="11"/>
    <s v="COP2T_S2"/>
    <n v="25689342.75"/>
    <n v="5125577.4893383207"/>
    <n v="107.2"/>
    <n v="0"/>
    <n v="-3.7252902984619141E-9"/>
    <n v="0"/>
    <n v="5.0119899276591235"/>
    <n v="-3.7252902984619141E-9"/>
    <n v="0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6-07-29T00:00:00"/>
    <n v="1.4526134894447429E-2"/>
    <x v="1"/>
  </r>
  <r>
    <x v="10"/>
    <x v="11"/>
    <s v="COP2T_S2"/>
    <n v="25860682.059999999"/>
    <n v="5159763.3740813136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6.6696649917210582E-3"/>
    <x v="1"/>
  </r>
  <r>
    <x v="11"/>
    <x v="11"/>
    <s v="COP2T_S2"/>
    <n v="25541955.66"/>
    <n v="5096170.5886606807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-1.232474840611375E-2"/>
    <x v="1"/>
  </r>
  <r>
    <x v="12"/>
    <x v="11"/>
    <s v="COP2T_S2"/>
    <n v="25710613.469999999"/>
    <n v="5129821.4563667886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6.6031674412514452E-3"/>
    <x v="1"/>
  </r>
  <r>
    <x v="13"/>
    <x v="11"/>
    <s v="COP2T_S2"/>
    <n v="21332360.329999998"/>
    <n v="4256265.6026652055"/>
    <n v="107.2"/>
    <n v="0"/>
    <n v="0"/>
    <n v="-3995987.2"/>
    <n v="5.0119899276591235"/>
    <n v="-3995987.2"/>
    <n v="-797285.56076056347"/>
    <n v="-3995987.2"/>
    <n v="-3995987.2"/>
    <s v="Private Equity Fund"/>
    <n v="0"/>
    <n v="0"/>
    <n v="0"/>
    <n v="0"/>
    <m/>
    <m/>
    <m/>
    <m/>
    <m/>
    <m/>
    <m/>
    <m/>
    <m/>
    <m/>
    <m/>
    <d v="2016-11-30T00:00:00"/>
    <n v="-1.4868020961306239E-2"/>
    <x v="1"/>
  </r>
  <r>
    <x v="14"/>
    <x v="11"/>
    <s v="COP2T_S2"/>
    <n v="19647440.100000001"/>
    <n v="3920087.7063965774"/>
    <n v="107.2"/>
    <n v="0"/>
    <n v="0"/>
    <n v="-814720"/>
    <n v="5.0119899276591235"/>
    <n v="-814720"/>
    <n v="-162554.19738652973"/>
    <n v="-814720"/>
    <n v="-814720"/>
    <s v="Private Equity Fund"/>
    <n v="0"/>
    <n v="0"/>
    <n v="0"/>
    <n v="0"/>
    <m/>
    <m/>
    <m/>
    <m/>
    <m/>
    <m/>
    <m/>
    <m/>
    <m/>
    <m/>
    <m/>
    <d v="2016-12-30T00:00:00"/>
    <n v="-4.0792496307884951E-2"/>
    <x v="1"/>
  </r>
  <r>
    <x v="15"/>
    <x v="11"/>
    <s v="COP2T_S2"/>
    <n v="19500015.859999999"/>
    <n v="3890673.3934933473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-7.5034833672811274E-3"/>
    <x v="1"/>
  </r>
  <r>
    <x v="16"/>
    <x v="11"/>
    <s v="COP2T_S2"/>
    <n v="19820782.879999999"/>
    <n v="3954673.326579768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644957739024111E-2"/>
    <x v="1"/>
  </r>
  <r>
    <x v="17"/>
    <x v="11"/>
    <s v="COP2T_S2"/>
    <n v="19340988.010000002"/>
    <n v="3858943.910334894"/>
    <n v="107.2"/>
    <n v="0"/>
    <n v="0"/>
    <n v="-1286400"/>
    <n v="5.0119899276591235"/>
    <n v="-1286400"/>
    <n v="-256664.52218925746"/>
    <n v="-1286400"/>
    <n v="-1286400"/>
    <s v="Private Equity Fund"/>
    <n v="0"/>
    <n v="0"/>
    <n v="0"/>
    <n v="0"/>
    <m/>
    <m/>
    <m/>
    <m/>
    <m/>
    <m/>
    <m/>
    <m/>
    <m/>
    <m/>
    <m/>
    <d v="2017-03-31T00:00:00"/>
    <n v="4.0694917798322683E-2"/>
    <x v="1"/>
  </r>
  <r>
    <x v="18"/>
    <x v="11"/>
    <s v="COP2T_S2"/>
    <n v="18403540.27"/>
    <n v="3671902.8840098786"/>
    <n v="107.2"/>
    <n v="0"/>
    <n v="0"/>
    <n v="-1232800"/>
    <n v="5.0119899276591235"/>
    <n v="-1232800"/>
    <n v="-245970.16709803839"/>
    <n v="-1232800"/>
    <n v="-1232800"/>
    <s v="Private Equity Fund"/>
    <n v="0"/>
    <n v="0"/>
    <n v="0"/>
    <n v="0"/>
    <m/>
    <m/>
    <m/>
    <m/>
    <m/>
    <m/>
    <m/>
    <m/>
    <m/>
    <m/>
    <m/>
    <d v="2017-04-28T00:00:00"/>
    <n v="1.5270794844983504E-2"/>
    <x v="1"/>
  </r>
  <r>
    <x v="19"/>
    <x v="11"/>
    <s v="COP2T_S2"/>
    <n v="17242492.890000001"/>
    <n v="3440248.910885820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6.3088262528087968E-2"/>
    <x v="1"/>
  </r>
  <r>
    <x v="20"/>
    <x v="11"/>
    <s v="COP2T_S2"/>
    <n v="16583133.810000001"/>
    <n v="3308692.5650996352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-3.8240356786367169E-2"/>
    <x v="1"/>
  </r>
  <r>
    <x v="21"/>
    <x v="11"/>
    <s v="COP2T_S2"/>
    <n v="17403153.66"/>
    <n v="3472304.1967740417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4.9449028114668447E-2"/>
    <x v="1"/>
  </r>
  <r>
    <x v="22"/>
    <x v="11"/>
    <s v="COP2T_S2"/>
    <n v="19412700"/>
    <n v="3873251.9977482883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0.11547024058167166"/>
    <x v="1"/>
  </r>
  <r>
    <x v="23"/>
    <x v="11"/>
    <s v="COP2T_S2"/>
    <n v="19067100"/>
    <n v="3804297.3499959507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7802778593395074E-2"/>
    <x v="1"/>
  </r>
  <r>
    <x v="24"/>
    <x v="11"/>
    <s v="COP2T_S2"/>
    <n v="19025700"/>
    <n v="3796037.157817285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-2.1712793240713513E-3"/>
    <x v="1"/>
  </r>
  <r>
    <x v="25"/>
    <x v="11"/>
    <s v="COP2T_S2"/>
    <n v="13776900"/>
    <n v="2748788.4450786547"/>
    <n v="107.2"/>
    <n v="0"/>
    <n v="-1.862645149230957E-9"/>
    <n v="-4631546.51"/>
    <n v="5.0119899276591235"/>
    <n v="-4631546.5100000016"/>
    <n v="-924093.33954172337"/>
    <n v="-4631546.5100000016"/>
    <n v="-4631546.5100000016"/>
    <s v="Private Equity Fund"/>
    <n v="0"/>
    <n v="0"/>
    <n v="0"/>
    <n v="0"/>
    <m/>
    <m/>
    <m/>
    <m/>
    <m/>
    <m/>
    <m/>
    <m/>
    <m/>
    <m/>
    <m/>
    <d v="2017-11-30T00:00:00"/>
    <n v="-3.2443142170853201E-2"/>
    <x v="1"/>
  </r>
  <r>
    <x v="26"/>
    <x v="11"/>
    <s v="COP2T_S2"/>
    <n v="13929100"/>
    <n v="2779155.6250205114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1.1047478024809543E-2"/>
    <x v="1"/>
  </r>
  <r>
    <x v="27"/>
    <x v="11"/>
    <s v="COP2T_S2"/>
    <n v="14239200"/>
    <n v="2841027.2577404189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2262744900962694E-2"/>
    <x v="1"/>
  </r>
  <r>
    <x v="28"/>
    <x v="11"/>
    <s v="COP2T_S2"/>
    <n v="13767500"/>
    <n v="2746912.9425066868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-3.3126861059610047E-2"/>
    <x v="1"/>
  </r>
  <r>
    <x v="29"/>
    <x v="11"/>
    <s v="COP2T_S2"/>
    <n v="13848225.35"/>
    <n v="2763019.389479876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5.863471944797416E-3"/>
    <x v="1"/>
  </r>
  <r>
    <x v="30"/>
    <x v="11"/>
    <s v="COP2T_S2"/>
    <n v="7897241.4299999997"/>
    <n v="1575669.8524907946"/>
    <n v="107.2"/>
    <n v="0"/>
    <n v="0"/>
    <n v="-6091054.9299999997"/>
    <n v="5.0119899276591235"/>
    <n v="-6091054.9299999997"/>
    <n v="-1215296.7220436651"/>
    <n v="-6091054.9299999997"/>
    <n v="-6091054.9299999997"/>
    <s v="Private Equity Fund"/>
    <n v="0"/>
    <n v="0"/>
    <n v="0"/>
    <n v="0"/>
    <m/>
    <m/>
    <m/>
    <m/>
    <m/>
    <m/>
    <m/>
    <m/>
    <m/>
    <m/>
    <m/>
    <d v="2018-04-30T00:00:00"/>
    <n v="1.0114726360948456E-2"/>
    <x v="1"/>
  </r>
  <r>
    <x v="31"/>
    <x v="11"/>
    <s v="COP2T_S2"/>
    <n v="7528562.5099999998"/>
    <n v="1502110.4628429001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-4.6684519305622896E-2"/>
    <x v="1"/>
  </r>
  <r>
    <x v="32"/>
    <x v="11"/>
    <s v="COP2T_S2"/>
    <n v="7235291.2800000003"/>
    <n v="1443596.5324015089"/>
    <n v="107.2"/>
    <n v="0"/>
    <n v="0"/>
    <n v="0"/>
    <n v="5.0119899276591235"/>
    <n v="0"/>
    <n v="0"/>
    <n v="-7235291.2800000003"/>
    <n v="-7235291.2800000003"/>
    <s v="Private Equity Fund"/>
    <n v="0"/>
    <n v="0"/>
    <n v="0"/>
    <n v="0"/>
    <m/>
    <m/>
    <m/>
    <m/>
    <m/>
    <m/>
    <m/>
    <m/>
    <m/>
    <m/>
    <m/>
    <d v="2018-06-29T00:00:00"/>
    <n v="-3.8954478973968087E-2"/>
    <x v="1"/>
  </r>
  <r>
    <x v="33"/>
    <x v="11"/>
    <s v="COP2T_S2"/>
    <n v="7235291.2800000003"/>
    <n v="1443596.5324015089"/>
    <n v="107.2"/>
    <n v="0"/>
    <n v="0"/>
    <n v="0"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170"/>
    <x v="11"/>
    <s v="COP2T_S3"/>
    <n v="14625000"/>
    <n v="14625000"/>
    <n v="125"/>
    <n v="14625000"/>
    <n v="0"/>
    <n v="0"/>
    <n v="1"/>
    <n v="14625000"/>
    <n v="14625000"/>
    <n v="14625000"/>
    <n v="14625000"/>
    <s v="Private Equity Fund"/>
    <n v="0"/>
    <n v="0"/>
    <n v="0"/>
    <n v="0"/>
    <m/>
    <m/>
    <m/>
    <m/>
    <m/>
    <m/>
    <m/>
    <m/>
    <m/>
    <m/>
    <m/>
    <d v="2012-07-31T00:00:00"/>
    <n v="0"/>
    <x v="1"/>
  </r>
  <r>
    <x v="171"/>
    <x v="11"/>
    <s v="COP2T_S3"/>
    <n v="14649420.602"/>
    <n v="14649420.602"/>
    <n v="125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1.6697847521367493E-3"/>
    <x v="1"/>
  </r>
  <r>
    <x v="172"/>
    <x v="11"/>
    <s v="COP2T_S3"/>
    <n v="22130551.629999999"/>
    <n v="14554800.98786664"/>
    <n v="125"/>
    <n v="7625000"/>
    <n v="0"/>
    <n v="0"/>
    <n v="1.5204984010738967"/>
    <n v="7625000"/>
    <n v="0"/>
    <n v="7625000"/>
    <n v="7625000"/>
    <s v="Private Equity Fund"/>
    <n v="0"/>
    <n v="0"/>
    <n v="0"/>
    <n v="0"/>
    <m/>
    <m/>
    <m/>
    <m/>
    <m/>
    <m/>
    <m/>
    <m/>
    <m/>
    <m/>
    <m/>
    <d v="2012-09-28T00:00:00"/>
    <n v="-9.8207960511667025E-3"/>
    <x v="1"/>
  </r>
  <r>
    <x v="173"/>
    <x v="11"/>
    <s v="COP2T_S3"/>
    <n v="22642503.828499999"/>
    <n v="14891501.242295332"/>
    <n v="125"/>
    <n v="0"/>
    <n v="0"/>
    <n v="0"/>
    <n v="1.5204984010738967"/>
    <n v="0"/>
    <n v="0"/>
    <n v="0"/>
    <n v="0"/>
    <s v="Private Equity Fund"/>
    <n v="0"/>
    <n v="0"/>
    <n v="0"/>
    <n v="0"/>
    <m/>
    <m/>
    <m/>
    <m/>
    <m/>
    <m/>
    <m/>
    <m/>
    <m/>
    <m/>
    <m/>
    <d v="2012-10-31T00:00:00"/>
    <n v="2.3133277789876727E-2"/>
    <x v="1"/>
  </r>
  <r>
    <x v="174"/>
    <x v="11"/>
    <s v="COP2T_S3"/>
    <n v="52540034.818000004"/>
    <n v="14933433.918782942"/>
    <n v="125"/>
    <n v="29750000"/>
    <n v="0"/>
    <n v="0"/>
    <n v="3.5182822051340992"/>
    <n v="29750000"/>
    <n v="0"/>
    <n v="29750000"/>
    <n v="29750000"/>
    <s v="Private Equity Fund"/>
    <n v="0"/>
    <n v="0"/>
    <n v="0"/>
    <n v="0"/>
    <m/>
    <m/>
    <m/>
    <m/>
    <m/>
    <m/>
    <m/>
    <m/>
    <m/>
    <m/>
    <m/>
    <d v="2012-11-30T00:00:00"/>
    <n v="6.5156658741207796E-3"/>
    <x v="1"/>
  </r>
  <r>
    <x v="175"/>
    <x v="11"/>
    <s v="COP2T_S3"/>
    <n v="63206583.82"/>
    <n v="15122820.093913885"/>
    <n v="125"/>
    <n v="9875000"/>
    <n v="0"/>
    <n v="0"/>
    <n v="4.1795500725051422"/>
    <n v="9875000"/>
    <n v="0"/>
    <n v="9875000"/>
    <n v="9875000"/>
    <s v="Private Equity Fund"/>
    <n v="0"/>
    <n v="0"/>
    <n v="0"/>
    <n v="0"/>
    <m/>
    <m/>
    <m/>
    <m/>
    <m/>
    <m/>
    <m/>
    <m/>
    <m/>
    <m/>
    <m/>
    <d v="2012-12-31T00:00:00"/>
    <n v="1.5065635276831024E-2"/>
    <x v="1"/>
  </r>
  <r>
    <x v="176"/>
    <x v="11"/>
    <s v="COP2T_S3"/>
    <n v="63194305.892999999"/>
    <n v="15119882.47460391"/>
    <n v="125"/>
    <n v="0"/>
    <n v="0"/>
    <n v="0"/>
    <n v="4.1795500725051422"/>
    <n v="0"/>
    <n v="0"/>
    <n v="0"/>
    <n v="0"/>
    <s v="Private Equity Fund"/>
    <n v="0"/>
    <n v="0"/>
    <n v="0"/>
    <n v="0"/>
    <m/>
    <m/>
    <m/>
    <m/>
    <m/>
    <m/>
    <m/>
    <m/>
    <m/>
    <m/>
    <m/>
    <d v="2013-01-31T00:00:00"/>
    <n v="-1.9425076088541715E-4"/>
    <x v="1"/>
  </r>
  <r>
    <x v="177"/>
    <x v="11"/>
    <s v="COP2T_S3"/>
    <n v="74490460.731000006"/>
    <n v="15205853.465926142"/>
    <n v="125"/>
    <n v="10875000"/>
    <n v="0"/>
    <n v="0"/>
    <n v="4.8988016948815849"/>
    <n v="10875000"/>
    <n v="0"/>
    <n v="10875000"/>
    <n v="10875000"/>
    <s v="Private Equity Fund"/>
    <n v="0"/>
    <n v="0"/>
    <n v="0"/>
    <n v="0"/>
    <m/>
    <m/>
    <m/>
    <m/>
    <m/>
    <m/>
    <m/>
    <m/>
    <m/>
    <m/>
    <m/>
    <d v="2013-02-28T00:00:00"/>
    <n v="6.6644428172548675E-3"/>
    <x v="1"/>
  </r>
  <r>
    <x v="178"/>
    <x v="11"/>
    <s v="COP2T_S3"/>
    <n v="81488648.310499996"/>
    <n v="15135863.577649677"/>
    <n v="125"/>
    <n v="7375000"/>
    <n v="0"/>
    <n v="0"/>
    <n v="5.3838122874488601"/>
    <n v="7375000"/>
    <n v="0"/>
    <n v="7375000"/>
    <n v="7375000"/>
    <s v="Private Equity Fund"/>
    <n v="0"/>
    <n v="0"/>
    <n v="0"/>
    <n v="0"/>
    <m/>
    <m/>
    <m/>
    <m/>
    <m/>
    <m/>
    <m/>
    <m/>
    <m/>
    <m/>
    <m/>
    <d v="2013-03-28T00:00:00"/>
    <n v="-5.0585325530574377E-3"/>
    <x v="1"/>
  </r>
  <r>
    <x v="179"/>
    <x v="11"/>
    <s v="COP2T_S3"/>
    <n v="84527219.515499994"/>
    <n v="14965641.502925906"/>
    <n v="125"/>
    <n v="4000000"/>
    <n v="0"/>
    <n v="0"/>
    <n v="5.6480852824768135"/>
    <n v="4000000"/>
    <n v="0"/>
    <n v="4000000"/>
    <n v="4000000"/>
    <s v="Private Equity Fund"/>
    <n v="0"/>
    <n v="0"/>
    <n v="0"/>
    <n v="0"/>
    <m/>
    <m/>
    <m/>
    <m/>
    <m/>
    <m/>
    <m/>
    <m/>
    <m/>
    <m/>
    <m/>
    <d v="2013-04-30T00:00:00"/>
    <n v="-1.1798315654183211E-2"/>
    <x v="1"/>
  </r>
  <r>
    <x v="180"/>
    <x v="11"/>
    <s v="COP2T_S3"/>
    <n v="85370854.103499994"/>
    <n v="15115007.977723548"/>
    <n v="125"/>
    <n v="0"/>
    <n v="0"/>
    <n v="0"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5-31T00:00:00"/>
    <n v="9.980626274419313E-3"/>
    <x v="1"/>
  </r>
  <r>
    <x v="181"/>
    <x v="11"/>
    <s v="COP2T_S3"/>
    <n v="85309280.282000005"/>
    <n v="15104106.261757782"/>
    <n v="125"/>
    <n v="0"/>
    <n v="0"/>
    <n v="0"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7.2125108910514601E-4"/>
    <x v="1"/>
  </r>
  <r>
    <x v="182"/>
    <x v="11"/>
    <s v="COP2T_S3"/>
    <n v="83127841.189999998"/>
    <n v="14717879.959763383"/>
    <n v="125"/>
    <n v="0"/>
    <n v="0"/>
    <n v="0"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2.5570947085580831E-2"/>
    <x v="1"/>
  </r>
  <r>
    <x v="183"/>
    <x v="11"/>
    <s v="COP2T_S3"/>
    <n v="82013250.579999998"/>
    <n v="14520540.409410272"/>
    <n v="125"/>
    <n v="0"/>
    <n v="0"/>
    <n v="0"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1.3408150555148546E-2"/>
    <x v="1"/>
  </r>
  <r>
    <x v="35"/>
    <x v="11"/>
    <s v="COP2T_S3"/>
    <n v="124195018.06"/>
    <n v="14674948.743075097"/>
    <n v="125"/>
    <n v="40875000"/>
    <n v="0"/>
    <n v="0"/>
    <n v="8.4630631584731013"/>
    <n v="40875000"/>
    <n v="0"/>
    <n v="40875000"/>
    <n v="40875000"/>
    <s v="Private Equity Fund"/>
    <n v="0"/>
    <n v="0"/>
    <n v="0"/>
    <n v="0"/>
    <m/>
    <m/>
    <m/>
    <m/>
    <m/>
    <m/>
    <m/>
    <m/>
    <m/>
    <m/>
    <m/>
    <d v="2013-09-30T00:00:00"/>
    <n v="1.593361402893434E-2"/>
    <x v="1"/>
  </r>
  <r>
    <x v="36"/>
    <x v="11"/>
    <s v="COP2T_S3"/>
    <n v="110091599.789"/>
    <n v="13008481.412404187"/>
    <n v="125"/>
    <n v="0"/>
    <n v="0"/>
    <n v="-16151066.669999998"/>
    <n v="8.4630631584731013"/>
    <n v="-16151066.669999998"/>
    <n v="-1908418.543920445"/>
    <n v="-16151066.669999998"/>
    <n v="-16151066.669999998"/>
    <s v="Private Equity Fund"/>
    <n v="0"/>
    <n v="0"/>
    <n v="0"/>
    <n v="0"/>
    <m/>
    <m/>
    <m/>
    <m/>
    <m/>
    <m/>
    <m/>
    <m/>
    <m/>
    <m/>
    <m/>
    <d v="2013-10-31T00:00:00"/>
    <n v="1.6487363430397473E-2"/>
    <x v="1"/>
  </r>
  <r>
    <x v="37"/>
    <x v="11"/>
    <s v="COP2T_S3"/>
    <n v="110241771.193"/>
    <n v="13026225.744590772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1.3640586955572243E-3"/>
    <x v="1"/>
  </r>
  <r>
    <x v="38"/>
    <x v="11"/>
    <s v="COP2T_S3"/>
    <n v="112194403.88349999"/>
    <n v="13256949.851682546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1.7712276112486602E-2"/>
    <x v="1"/>
  </r>
  <r>
    <x v="39"/>
    <x v="11"/>
    <s v="COP2T_S3"/>
    <n v="113714706.19949999"/>
    <n v="13436589.574030345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1.3550607368783218E-2"/>
    <x v="1"/>
  </r>
  <r>
    <x v="40"/>
    <x v="11"/>
    <s v="COP2T_S3"/>
    <n v="114456044.5795"/>
    <n v="13524186.507447744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6.519283255231878E-3"/>
    <x v="1"/>
  </r>
  <r>
    <x v="41"/>
    <x v="11"/>
    <s v="COP2T_S3"/>
    <n v="109278725.9515"/>
    <n v="12912431.811653404"/>
    <n v="125"/>
    <n v="0"/>
    <n v="0"/>
    <n v="-5311250"/>
    <n v="8.4630631584731013"/>
    <n v="-5311250"/>
    <n v="-627580.09724675759"/>
    <n v="-5311250"/>
    <n v="-5311250"/>
    <s v="Private Equity Fund"/>
    <n v="0"/>
    <n v="0"/>
    <n v="0"/>
    <n v="0"/>
    <m/>
    <m/>
    <m/>
    <m/>
    <m/>
    <m/>
    <m/>
    <m/>
    <m/>
    <m/>
    <m/>
    <d v="2014-03-31T00:00:00"/>
    <n v="1.1701555168366351E-3"/>
    <x v="1"/>
  </r>
  <r>
    <x v="42"/>
    <x v="11"/>
    <s v="COP2T_S3"/>
    <n v="107779562.5235"/>
    <n v="12735289.871444784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1.3718712539395495E-2"/>
    <x v="1"/>
  </r>
  <r>
    <x v="43"/>
    <x v="11"/>
    <s v="COP2T_S3"/>
    <n v="108445817.233"/>
    <n v="12814014.878812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6.1816423624352357E-3"/>
    <x v="1"/>
  </r>
  <r>
    <x v="44"/>
    <x v="11"/>
    <s v="COP2T_S3"/>
    <n v="108762817.355"/>
    <n v="12851471.780180227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2.9231198591912477E-3"/>
    <x v="1"/>
  </r>
  <r>
    <x v="45"/>
    <x v="11"/>
    <s v="COP2T_S3"/>
    <n v="101152810.1225"/>
    <n v="11952269.317667471"/>
    <n v="125"/>
    <n v="0"/>
    <n v="0"/>
    <n v="-8432500"/>
    <n v="8.4630631584731013"/>
    <n v="-8432500"/>
    <n v="-996388.64109828812"/>
    <n v="-8432500"/>
    <n v="-8432500"/>
    <s v="Private Equity Fund"/>
    <n v="0"/>
    <n v="0"/>
    <n v="0"/>
    <n v="0"/>
    <m/>
    <m/>
    <m/>
    <m/>
    <m/>
    <m/>
    <m/>
    <m/>
    <m/>
    <m/>
    <m/>
    <d v="2014-07-31T00:00:00"/>
    <n v="7.5622605914611452E-3"/>
    <x v="1"/>
  </r>
  <r>
    <x v="46"/>
    <x v="11"/>
    <s v="COP2T_S3"/>
    <n v="72456057.649000004"/>
    <n v="8561445.9318382852"/>
    <n v="125"/>
    <n v="0"/>
    <n v="0"/>
    <n v="-29393750"/>
    <n v="8.4630631584731013"/>
    <n v="-29393750"/>
    <n v="-3473180.9806442703"/>
    <n v="-29393750"/>
    <n v="-29393750"/>
    <s v="Private Equity Fund"/>
    <n v="0"/>
    <n v="0"/>
    <n v="0"/>
    <n v="0"/>
    <m/>
    <m/>
    <m/>
    <m/>
    <m/>
    <m/>
    <m/>
    <m/>
    <m/>
    <m/>
    <m/>
    <d v="2014-08-29T00:00:00"/>
    <n v="6.8905404175712004E-3"/>
    <x v="1"/>
  </r>
  <r>
    <x v="47"/>
    <x v="11"/>
    <s v="COP2T_S3"/>
    <n v="72862376.221499994"/>
    <n v="8609456.7483584471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5.6077929945943517E-3"/>
    <x v="1"/>
  </r>
  <r>
    <x v="184"/>
    <x v="11"/>
    <s v="COP2T_S3"/>
    <n v="57035648.439499997"/>
    <n v="6739362.2582618557"/>
    <n v="125"/>
    <n v="0"/>
    <n v="0"/>
    <n v="-14468750"/>
    <n v="8.4630631584731013"/>
    <n v="-14468750"/>
    <n v="-1709635.1201767989"/>
    <n v="-14468750"/>
    <n v="-14468750"/>
    <s v="Private Equity Fund"/>
    <n v="0"/>
    <n v="0"/>
    <n v="0"/>
    <n v="0"/>
    <m/>
    <m/>
    <m/>
    <m/>
    <m/>
    <m/>
    <m/>
    <m/>
    <m/>
    <m/>
    <m/>
    <d v="2014-10-31T00:00:00"/>
    <n v="-1.8637571987383028E-2"/>
    <x v="1"/>
  </r>
  <r>
    <x v="185"/>
    <x v="11"/>
    <s v="COP2T_S3"/>
    <n v="55339365.846500002"/>
    <n v="6538928.613701175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2.9740743542160497E-2"/>
    <x v="1"/>
  </r>
  <r>
    <x v="186"/>
    <x v="11"/>
    <s v="COP2T_S3"/>
    <n v="47432063.873999998"/>
    <n v="5604597.6481354358"/>
    <n v="125"/>
    <n v="0"/>
    <n v="0"/>
    <n v="-7187500"/>
    <n v="8.4630631584731013"/>
    <n v="-7187500"/>
    <n v="-849278.78540100157"/>
    <n v="-7187500"/>
    <n v="-7187500"/>
    <s v="Private Equity Fund"/>
    <n v="0"/>
    <n v="0"/>
    <n v="0"/>
    <n v="0"/>
    <m/>
    <m/>
    <m/>
    <m/>
    <m/>
    <m/>
    <m/>
    <m/>
    <m/>
    <m/>
    <m/>
    <d v="2014-12-31T00:00:00"/>
    <n v="-1.3007051336594411E-2"/>
    <x v="1"/>
  </r>
  <r>
    <x v="187"/>
    <x v="11"/>
    <s v="COP2T_S3"/>
    <n v="48075837.681500003"/>
    <n v="5680666.3002824383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1.3572544707524115E-2"/>
    <x v="1"/>
  </r>
  <r>
    <x v="188"/>
    <x v="11"/>
    <s v="COP2T_S3"/>
    <n v="49024080.205499999"/>
    <n v="5792711.1363239409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1.9723889790169702E-2"/>
    <x v="1"/>
  </r>
  <r>
    <x v="189"/>
    <x v="11"/>
    <s v="COP2T_S3"/>
    <n v="48683406.614500001"/>
    <n v="5752456.965390699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3-31T00:00:00"/>
    <n v="-6.949107246315589E-3"/>
    <x v="1"/>
  </r>
  <r>
    <x v="190"/>
    <x v="11"/>
    <s v="COP2T_S3"/>
    <n v="45455255.158500001"/>
    <n v="5371016.8891970078"/>
    <n v="125"/>
    <n v="0"/>
    <n v="0"/>
    <n v="-4581250"/>
    <n v="8.4630631584731013"/>
    <n v="-4581250"/>
    <n v="-541322.91278168187"/>
    <n v="-4581250"/>
    <n v="-4581250"/>
    <s v="Private Equity Fund"/>
    <n v="0"/>
    <n v="0"/>
    <n v="0"/>
    <n v="0"/>
    <m/>
    <m/>
    <m/>
    <m/>
    <m/>
    <m/>
    <m/>
    <m/>
    <m/>
    <m/>
    <m/>
    <d v="2015-04-30T00:00:00"/>
    <n v="2.7793834451942168E-2"/>
    <x v="1"/>
  </r>
  <r>
    <x v="191"/>
    <x v="11"/>
    <s v="COP2T_S3"/>
    <n v="45559086.968000002"/>
    <n v="5383285.7104920549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2.2842641436715549E-3"/>
    <x v="1"/>
  </r>
  <r>
    <x v="192"/>
    <x v="11"/>
    <s v="COP2T_S3"/>
    <n v="46078338.946000002"/>
    <n v="5444640.7976841116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1.1397330643713621E-2"/>
    <x v="1"/>
  </r>
  <r>
    <x v="193"/>
    <x v="11"/>
    <s v="COP2T_S3"/>
    <n v="39977600.859499998"/>
    <n v="4723774.3723411756"/>
    <n v="125"/>
    <n v="0"/>
    <n v="0"/>
    <n v="-4841250"/>
    <n v="8.4630631584731013"/>
    <n v="-4841250"/>
    <n v="-572044.64971444861"/>
    <n v="-4841250"/>
    <n v="-4841250"/>
    <s v="Private Equity Fund"/>
    <n v="0"/>
    <n v="0"/>
    <n v="0"/>
    <n v="0"/>
    <m/>
    <m/>
    <m/>
    <m/>
    <m/>
    <m/>
    <m/>
    <m/>
    <m/>
    <m/>
    <m/>
    <d v="2015-07-31T00:00:00"/>
    <n v="-2.7333626066165739E-2"/>
    <x v="1"/>
  </r>
  <r>
    <x v="194"/>
    <x v="11"/>
    <s v="COP2T_S3"/>
    <n v="38908789.685999997"/>
    <n v="4597483.0811755266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2.6735250503308161E-2"/>
    <x v="1"/>
  </r>
  <r>
    <x v="195"/>
    <x v="11"/>
    <s v="COP2T_S3"/>
    <n v="36942954.142999999"/>
    <n v="4365198.9180788789"/>
    <n v="125"/>
    <n v="0"/>
    <n v="0"/>
    <n v="-1343250"/>
    <n v="8.4630631584731013"/>
    <n v="-1343250"/>
    <n v="-158719.12744207241"/>
    <n v="-1343250"/>
    <n v="-1343250"/>
    <s v="Private Equity Fund"/>
    <n v="0"/>
    <n v="0"/>
    <n v="0"/>
    <n v="0"/>
    <m/>
    <m/>
    <m/>
    <m/>
    <m/>
    <m/>
    <m/>
    <m/>
    <m/>
    <m/>
    <m/>
    <d v="2015-09-30T00:00:00"/>
    <n v="-1.6001154187122224E-2"/>
    <x v="1"/>
  </r>
  <r>
    <x v="196"/>
    <x v="11"/>
    <s v="COP2T_S3"/>
    <n v="37491551.648500003"/>
    <n v="4430021.4882555827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1.4849854816062491E-2"/>
    <x v="1"/>
  </r>
  <r>
    <x v="1"/>
    <x v="11"/>
    <s v="COP2T_S3"/>
    <n v="36981524.983999997"/>
    <n v="4369756.4689653302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1.3603775839467369E-2"/>
    <x v="1"/>
  </r>
  <r>
    <x v="2"/>
    <x v="11"/>
    <s v="COP2T_S3"/>
    <n v="27250049.944499999"/>
    <n v="3219880.2530756998"/>
    <n v="125"/>
    <n v="0"/>
    <n v="0"/>
    <n v="-6875000"/>
    <n v="8.4630631584731013"/>
    <n v="-6875000"/>
    <n v="-812353.62081834942"/>
    <n v="-6875000"/>
    <n v="-6875000"/>
    <s v="Private Equity Fund"/>
    <n v="0"/>
    <n v="0"/>
    <n v="0"/>
    <n v="0"/>
    <m/>
    <m/>
    <m/>
    <m/>
    <m/>
    <m/>
    <m/>
    <m/>
    <m/>
    <m/>
    <m/>
    <d v="2015-12-31T00:00:00"/>
    <n v="-7.724059623652213E-2"/>
    <x v="1"/>
  </r>
  <r>
    <x v="3"/>
    <x v="11"/>
    <s v="COP2T_S3"/>
    <n v="26520602.316500001"/>
    <n v="3133688.3371770587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2.6768671231269692E-2"/>
    <x v="1"/>
  </r>
  <r>
    <x v="4"/>
    <x v="11"/>
    <s v="COP2T_S3"/>
    <n v="26933974.889400002"/>
    <n v="3182532.6580995773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5586847084646305E-2"/>
    <x v="1"/>
  </r>
  <r>
    <x v="5"/>
    <x v="11"/>
    <s v="COP2T_S3"/>
    <n v="27733729.631299999"/>
    <n v="3277032.0996049019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2.9693156883974892E-2"/>
    <x v="1"/>
  </r>
  <r>
    <x v="6"/>
    <x v="11"/>
    <s v="COP2T_S3"/>
    <n v="28227498.960299999"/>
    <n v="3335376.1435703123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7803928125221802E-2"/>
    <x v="1"/>
  </r>
  <r>
    <x v="7"/>
    <x v="11"/>
    <s v="COP2T_S3"/>
    <n v="28052239.994199999"/>
    <n v="3314667.4518332626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-6.2088024995232693E-3"/>
    <x v="1"/>
  </r>
  <r>
    <x v="8"/>
    <x v="11"/>
    <s v="COP2T_S3"/>
    <n v="28180256.575100001"/>
    <n v="3329793.958454194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4.5635065480142956E-3"/>
    <x v="1"/>
  </r>
  <r>
    <x v="9"/>
    <x v="11"/>
    <s v="COP2T_S3"/>
    <n v="28778298.642499998"/>
    <n v="3400458.9241056964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2.1222023504513743E-2"/>
    <x v="1"/>
  </r>
  <r>
    <x v="10"/>
    <x v="11"/>
    <s v="COP2T_S3"/>
    <n v="28950560.492899999"/>
    <n v="3420813.4750731597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5.9858246847714902E-3"/>
    <x v="1"/>
  </r>
  <r>
    <x v="11"/>
    <x v="11"/>
    <s v="COP2T_S3"/>
    <n v="28964242.230799999"/>
    <n v="3422430.1164291091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4.7258974151320743E-4"/>
    <x v="1"/>
  </r>
  <r>
    <x v="12"/>
    <x v="11"/>
    <s v="COP2T_S3"/>
    <n v="29323314.481199998"/>
    <n v="3464858.2826469755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1.2397087675857454E-2"/>
    <x v="1"/>
  </r>
  <r>
    <x v="13"/>
    <x v="11"/>
    <s v="COP2T_S3"/>
    <n v="24595750.854699999"/>
    <n v="2906246.8746998627"/>
    <n v="125"/>
    <n v="0"/>
    <n v="0"/>
    <n v="-4809500"/>
    <n v="8.4630631584731013"/>
    <n v="-4809500"/>
    <n v="-568293.05299285112"/>
    <n v="-4809500"/>
    <n v="-4809500"/>
    <s v="Private Equity Fund"/>
    <n v="0"/>
    <n v="0"/>
    <n v="0"/>
    <n v="0"/>
    <m/>
    <m/>
    <m/>
    <m/>
    <m/>
    <m/>
    <m/>
    <m/>
    <m/>
    <m/>
    <m/>
    <d v="2016-11-30T00:00:00"/>
    <n v="2.7942398378100197E-3"/>
    <x v="1"/>
  </r>
  <r>
    <x v="14"/>
    <x v="11"/>
    <s v="COP2T_S3"/>
    <n v="22426532.2502"/>
    <n v="2649930.861941739"/>
    <n v="125"/>
    <n v="0"/>
    <n v="0"/>
    <n v="-950000"/>
    <n v="8.4630631584731013"/>
    <n v="-950000"/>
    <n v="-112252.50033126283"/>
    <n v="-950000"/>
    <n v="-950000"/>
    <s v="Private Equity Fund"/>
    <n v="0"/>
    <n v="0"/>
    <n v="0"/>
    <n v="0"/>
    <m/>
    <m/>
    <m/>
    <m/>
    <m/>
    <m/>
    <m/>
    <m/>
    <m/>
    <m/>
    <m/>
    <d v="2016-12-30T00:00:00"/>
    <n v="-4.9570294141559779E-2"/>
    <x v="1"/>
  </r>
  <r>
    <x v="15"/>
    <x v="11"/>
    <s v="COP2T_S3"/>
    <n v="22531804.418699998"/>
    <n v="2662369.8768148115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4.6940903446657245E-3"/>
    <x v="1"/>
  </r>
  <r>
    <x v="16"/>
    <x v="11"/>
    <s v="COP2T_S3"/>
    <n v="22884848.463"/>
    <n v="2704085.74702506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5668698242693679E-2"/>
    <x v="1"/>
  </r>
  <r>
    <x v="17"/>
    <x v="11"/>
    <s v="COP2T_S3"/>
    <n v="22544162.391100001"/>
    <n v="2663830.1013421007"/>
    <n v="125"/>
    <n v="0"/>
    <n v="0"/>
    <n v="-1500000"/>
    <n v="8.4630631584731013"/>
    <n v="-1500000"/>
    <n v="-177240.78999673077"/>
    <n v="-1500000"/>
    <n v="-1500000"/>
    <s v="Private Equity Fund"/>
    <n v="0"/>
    <n v="0"/>
    <n v="0"/>
    <n v="0"/>
    <m/>
    <m/>
    <m/>
    <m/>
    <m/>
    <m/>
    <m/>
    <m/>
    <m/>
    <m/>
    <m/>
    <d v="2017-03-31T00:00:00"/>
    <n v="5.0658580063327463E-2"/>
    <x v="1"/>
  </r>
  <r>
    <x v="18"/>
    <x v="11"/>
    <s v="COP2T_S3"/>
    <n v="21436383.200000003"/>
    <n v="2532934.3286937652"/>
    <n v="125"/>
    <n v="0"/>
    <n v="0"/>
    <n v="-1437500"/>
    <n v="8.4630631584731013"/>
    <n v="-1437500"/>
    <n v="-169855.75708020033"/>
    <n v="-1437500"/>
    <n v="-1437500"/>
    <s v="Private Equity Fund"/>
    <n v="0"/>
    <n v="0"/>
    <n v="0"/>
    <n v="0"/>
    <m/>
    <m/>
    <m/>
    <m/>
    <m/>
    <m/>
    <m/>
    <m/>
    <m/>
    <m/>
    <m/>
    <d v="2017-04-28T00:00:00"/>
    <n v="1.4625551536577408E-2"/>
    <x v="1"/>
  </r>
  <r>
    <x v="19"/>
    <x v="11"/>
    <s v="COP2T_S3"/>
    <n v="20393130.023899999"/>
    <n v="2409662.9839613899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4.8667406547388325E-2"/>
    <x v="1"/>
  </r>
  <r>
    <x v="20"/>
    <x v="11"/>
    <s v="COP2T_S3"/>
    <n v="19877874.0592"/>
    <n v="2348780.0678054197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-2.5266154047766887E-2"/>
    <x v="1"/>
  </r>
  <r>
    <x v="21"/>
    <x v="11"/>
    <s v="COP2T_S3"/>
    <n v="20801993.010000002"/>
    <n v="2457974.4497325812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4.6489828240575681E-2"/>
    <x v="1"/>
  </r>
  <r>
    <x v="22"/>
    <x v="11"/>
    <s v="COP2T_S3"/>
    <n v="22831500"/>
    <n v="2697782.0645402391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9.7563103161527165E-2"/>
    <x v="1"/>
  </r>
  <r>
    <x v="23"/>
    <x v="11"/>
    <s v="COP2T_S3"/>
    <n v="22802400"/>
    <n v="2694343.5932143023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2745548912685978E-3"/>
    <x v="1"/>
  </r>
  <r>
    <x v="24"/>
    <x v="11"/>
    <s v="COP2T_S3"/>
    <n v="22710200"/>
    <n v="2683449.1926558367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-4.0434340244887013E-3"/>
    <x v="1"/>
  </r>
  <r>
    <x v="25"/>
    <x v="11"/>
    <s v="COP2T_S3"/>
    <n v="16640400"/>
    <n v="1966238.4279077325"/>
    <n v="125"/>
    <n v="0"/>
    <n v="0"/>
    <n v="-5458677.6900000004"/>
    <n v="8.4630631584731013"/>
    <n v="-5458677.6900000004"/>
    <n v="-645000.23074208631"/>
    <n v="-5458677.6900000004"/>
    <n v="-5458677.6900000004"/>
    <s v="Private Equity Fund"/>
    <n v="0"/>
    <n v="0"/>
    <n v="0"/>
    <n v="0"/>
    <m/>
    <m/>
    <m/>
    <m/>
    <m/>
    <m/>
    <m/>
    <m/>
    <m/>
    <m/>
    <m/>
    <d v="2017-11-30T00:00:00"/>
    <n v="-2.6909596128611768E-2"/>
    <x v="1"/>
  </r>
  <r>
    <x v="26"/>
    <x v="11"/>
    <s v="COP2T_S3"/>
    <n v="16793600"/>
    <n v="1984340.620592732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9.2065094589073304E-3"/>
    <x v="1"/>
  </r>
  <r>
    <x v="27"/>
    <x v="11"/>
    <s v="COP2T_S3"/>
    <n v="17109100"/>
    <n v="2021620.2667553776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8786918826219523E-2"/>
    <x v="1"/>
  </r>
  <r>
    <x v="28"/>
    <x v="11"/>
    <s v="COP2T_S3"/>
    <n v="16645900.000000002"/>
    <n v="1966888.3108043873"/>
    <n v="125"/>
    <n v="0"/>
    <n v="0"/>
    <n v="0"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-2.7073311863277327E-2"/>
    <x v="1"/>
  </r>
  <r>
    <x v="29"/>
    <x v="11"/>
    <s v="COP2T_S3"/>
    <n v="16731182.0178"/>
    <n v="1976965.2789426453"/>
    <n v="125"/>
    <n v="0"/>
    <n v="0"/>
    <n v="0"/>
    <n v="8.4630631584731013"/>
    <n v="0"/>
    <n v="0"/>
    <n v="0"/>
    <n v="0"/>
    <s v="Private Equity Fund"/>
    <n v="0"/>
    <n v="0.48213380218419688"/>
    <n v="0"/>
    <n v="0"/>
    <m/>
    <m/>
    <m/>
    <m/>
    <m/>
    <m/>
    <m/>
    <m/>
    <m/>
    <m/>
    <m/>
    <d v="2018-03-29T00:00:00"/>
    <n v="5.1233047056631342E-3"/>
    <x v="1"/>
  </r>
  <r>
    <x v="30"/>
    <x v="11"/>
    <s v="COP2T_S3"/>
    <n v="9624722.6890999991"/>
    <n v="1137262.3019436952"/>
    <n v="125"/>
    <n v="0"/>
    <n v="0"/>
    <n v="-7247660.5"/>
    <n v="8.4630631584731013"/>
    <n v="-7247660.5"/>
    <n v="-856387.38176540053"/>
    <n v="-7247660.5"/>
    <n v="-7247660.5"/>
    <s v="Private Equity Fund"/>
    <n v="0"/>
    <n v="0.50395051000000002"/>
    <n v="0"/>
    <n v="0"/>
    <m/>
    <m/>
    <m/>
    <m/>
    <m/>
    <m/>
    <m/>
    <m/>
    <m/>
    <m/>
    <m/>
    <d v="2018-04-30T00:00:00"/>
    <n v="8.4394020189235697E-3"/>
    <x v="1"/>
  </r>
  <r>
    <x v="31"/>
    <x v="11"/>
    <s v="COP2T_S3"/>
    <n v="9261976.1404999997"/>
    <n v="1094399.9787153944"/>
    <n v="125"/>
    <n v="0"/>
    <n v="0"/>
    <n v="0"/>
    <n v="8.4630631584731013"/>
    <n v="0"/>
    <n v="0"/>
    <n v="0"/>
    <n v="0"/>
    <s v="Private Equity Fund"/>
    <n v="0"/>
    <n v="0.43693218"/>
    <n v="0"/>
    <n v="0"/>
    <m/>
    <m/>
    <m/>
    <m/>
    <m/>
    <m/>
    <m/>
    <m/>
    <m/>
    <m/>
    <m/>
    <d v="2018-05-31T00:00:00"/>
    <n v="-3.7689038979877298E-2"/>
    <x v="1"/>
  </r>
  <r>
    <x v="32"/>
    <x v="11"/>
    <s v="COP2T_S3"/>
    <n v="8973160.1423000004"/>
    <n v="1060273.3282589528"/>
    <n v="125"/>
    <n v="0"/>
    <n v="0"/>
    <n v="0"/>
    <n v="8.4630631584731013"/>
    <n v="0"/>
    <n v="0"/>
    <n v="-8973160.1423000004"/>
    <n v="-8973160.1423000004"/>
    <s v="Private Equity Fund"/>
    <n v="0"/>
    <n v="0.38315423999999998"/>
    <n v="0"/>
    <n v="0"/>
    <m/>
    <m/>
    <m/>
    <m/>
    <m/>
    <m/>
    <m/>
    <m/>
    <m/>
    <m/>
    <m/>
    <d v="2018-06-29T00:00:00"/>
    <n v="-3.1182977997221251E-2"/>
    <x v="1"/>
  </r>
  <r>
    <x v="33"/>
    <x v="11"/>
    <s v="COP2T_S3"/>
    <n v="8973160.1423000004"/>
    <n v="1060273.3282589528"/>
    <n v="125"/>
    <n v="0"/>
    <n v="0"/>
    <n v="0"/>
    <n v="8.4630631584731013"/>
    <n v="0"/>
    <n v="0"/>
    <n v="0"/>
    <n v="0"/>
    <s v="Private Equity Fund"/>
    <n v="0"/>
    <n v="0.38315423999999998"/>
    <n v="0"/>
    <n v="0"/>
    <m/>
    <m/>
    <m/>
    <m/>
    <m/>
    <m/>
    <m/>
    <m/>
    <m/>
    <m/>
    <m/>
    <d v="2018-07-31T00:00:00"/>
    <n v="0"/>
    <x v="1"/>
  </r>
  <r>
    <x v="170"/>
    <x v="11"/>
    <s v="COP2T_S4"/>
    <n v="1440000"/>
    <n v="1440000"/>
    <n v="12"/>
    <n v="1440000"/>
    <n v="0"/>
    <n v="0"/>
    <n v="1"/>
    <n v="1440000"/>
    <n v="1440000"/>
    <n v="1440000"/>
    <n v="1440000"/>
    <s v="Private Equity Fund"/>
    <n v="0"/>
    <n v="0"/>
    <n v="0"/>
    <n v="0"/>
    <m/>
    <m/>
    <m/>
    <m/>
    <m/>
    <m/>
    <m/>
    <m/>
    <m/>
    <m/>
    <m/>
    <d v="2012-07-31T00:00:00"/>
    <n v="0"/>
    <x v="1"/>
  </r>
  <r>
    <x v="171"/>
    <x v="11"/>
    <s v="COP2T_S4"/>
    <n v="1437405.52"/>
    <n v="1437405.52"/>
    <n v="12"/>
    <n v="0"/>
    <n v="0"/>
    <n v="0"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-1.8017222222221907E-3"/>
    <x v="1"/>
  </r>
  <r>
    <x v="172"/>
    <x v="11"/>
    <s v="COP2T_S4"/>
    <n v="2150247.52"/>
    <n v="1424711.8052019663"/>
    <n v="12"/>
    <n v="732000"/>
    <n v="0"/>
    <n v="0"/>
    <n v="1.5092508619279548"/>
    <n v="732000"/>
    <n v="0"/>
    <n v="732000"/>
    <n v="732000"/>
    <s v="Private Equity Fund"/>
    <n v="0"/>
    <n v="0"/>
    <n v="0"/>
    <n v="0"/>
    <m/>
    <m/>
    <m/>
    <m/>
    <m/>
    <m/>
    <m/>
    <m/>
    <m/>
    <m/>
    <m/>
    <d v="2012-09-28T00:00:00"/>
    <n v="-1.332818034537675E-2"/>
    <x v="1"/>
  </r>
  <r>
    <x v="173"/>
    <x v="11"/>
    <s v="COP2T_S4"/>
    <n v="2194561.5040000002"/>
    <n v="1454073.3812777901"/>
    <n v="12"/>
    <n v="0"/>
    <n v="0"/>
    <n v="0"/>
    <n v="1.5092508619279548"/>
    <n v="0"/>
    <n v="0"/>
    <n v="0"/>
    <n v="0"/>
    <s v="Private Equity Fund"/>
    <n v="0"/>
    <n v="0"/>
    <n v="0"/>
    <n v="0"/>
    <m/>
    <m/>
    <m/>
    <m/>
    <m/>
    <m/>
    <m/>
    <m/>
    <m/>
    <m/>
    <m/>
    <d v="2012-10-31T00:00:00"/>
    <n v="2.0608782750741295E-2"/>
    <x v="1"/>
  </r>
  <r>
    <x v="174"/>
    <x v="11"/>
    <s v="COP2T_S4"/>
    <n v="5059264.9359999998"/>
    <n v="1456579.1281708707"/>
    <n v="12"/>
    <n v="2856000"/>
    <n v="0"/>
    <n v="0"/>
    <n v="3.4733883234708136"/>
    <n v="2856000"/>
    <n v="0"/>
    <n v="2856000"/>
    <n v="2856000"/>
    <s v="Private Equity Fund"/>
    <n v="0"/>
    <n v="0"/>
    <n v="0"/>
    <n v="0"/>
    <m/>
    <m/>
    <m/>
    <m/>
    <m/>
    <m/>
    <m/>
    <m/>
    <m/>
    <m/>
    <m/>
    <d v="2012-11-30T00:00:00"/>
    <n v="3.965909355529984E-3"/>
    <x v="1"/>
  </r>
  <r>
    <x v="175"/>
    <x v="11"/>
    <s v="COP2T_S4"/>
    <n v="6073837.7120000003"/>
    <n v="1472721.0025611424"/>
    <n v="12"/>
    <n v="948000"/>
    <n v="0"/>
    <n v="0"/>
    <n v="4.1242283510843292"/>
    <n v="948000"/>
    <n v="0"/>
    <n v="948000"/>
    <n v="948000"/>
    <s v="Private Equity Fund"/>
    <n v="0"/>
    <n v="0"/>
    <n v="0"/>
    <n v="0"/>
    <m/>
    <m/>
    <m/>
    <m/>
    <m/>
    <m/>
    <m/>
    <m/>
    <m/>
    <m/>
    <m/>
    <d v="2012-12-31T00:00:00"/>
    <n v="1.3158586640974468E-2"/>
    <x v="1"/>
  </r>
  <r>
    <x v="176"/>
    <x v="11"/>
    <s v="COP2T_S4"/>
    <n v="6067789.4079999998"/>
    <n v="1471254.4727075249"/>
    <n v="12"/>
    <n v="0"/>
    <n v="0"/>
    <n v="0"/>
    <n v="4.1242283510843292"/>
    <n v="0"/>
    <n v="0"/>
    <n v="0"/>
    <n v="0"/>
    <s v="Private Equity Fund"/>
    <n v="0"/>
    <n v="0"/>
    <n v="0"/>
    <n v="0"/>
    <m/>
    <m/>
    <m/>
    <m/>
    <m/>
    <m/>
    <m/>
    <m/>
    <m/>
    <m/>
    <m/>
    <d v="2013-01-31T00:00:00"/>
    <n v="-9.9579611553513026E-4"/>
    <x v="1"/>
  </r>
  <r>
    <x v="177"/>
    <x v="11"/>
    <s v="COP2T_S4"/>
    <n v="7181216.2800000003"/>
    <n v="1478134.8425857392"/>
    <n v="12"/>
    <n v="1080000"/>
    <n v="0"/>
    <n v="0"/>
    <n v="4.8582957881147797"/>
    <n v="1080000"/>
    <n v="0"/>
    <n v="1080000"/>
    <n v="1080000"/>
    <s v="Private Equity Fund"/>
    <n v="0"/>
    <n v="0"/>
    <n v="0"/>
    <n v="0"/>
    <m/>
    <m/>
    <m/>
    <m/>
    <m/>
    <m/>
    <m/>
    <m/>
    <m/>
    <m/>
    <m/>
    <d v="2013-02-28T00:00:00"/>
    <n v="5.5089044382339303E-3"/>
    <x v="1"/>
  </r>
  <r>
    <x v="178"/>
    <x v="11"/>
    <s v="COP2T_S4"/>
    <n v="7850468.3119999999"/>
    <n v="1470874.9678976291"/>
    <n v="12"/>
    <n v="708000"/>
    <n v="0"/>
    <n v="0"/>
    <n v="5.3372777994998017"/>
    <n v="708000"/>
    <n v="0"/>
    <n v="708000"/>
    <n v="708000"/>
    <s v="Private Equity Fund"/>
    <n v="0"/>
    <n v="0"/>
    <n v="0"/>
    <n v="0"/>
    <m/>
    <m/>
    <m/>
    <m/>
    <m/>
    <m/>
    <m/>
    <m/>
    <m/>
    <m/>
    <m/>
    <d v="2013-03-28T00:00:00"/>
    <n v="-5.3957388956401564E-3"/>
    <x v="1"/>
  </r>
  <r>
    <x v="179"/>
    <x v="11"/>
    <s v="COP2T_S4"/>
    <n v="8140580.2400000002"/>
    <n v="1454104.2901007733"/>
    <n v="12"/>
    <n v="384000"/>
    <n v="0"/>
    <n v="0"/>
    <n v="5.5983468967248804"/>
    <n v="384000"/>
    <n v="0"/>
    <n v="384000"/>
    <n v="384000"/>
    <s v="Private Equity Fund"/>
    <n v="0"/>
    <n v="0"/>
    <n v="0"/>
    <n v="0"/>
    <m/>
    <m/>
    <m/>
    <m/>
    <m/>
    <m/>
    <m/>
    <m/>
    <m/>
    <m/>
    <m/>
    <d v="2013-04-30T00:00:00"/>
    <n v="-1.1959550471210112E-2"/>
    <x v="1"/>
  </r>
  <r>
    <x v="180"/>
    <x v="11"/>
    <s v="COP2T_S4"/>
    <n v="8213050.256000001"/>
    <n v="1467049.1856810022"/>
    <n v="12"/>
    <n v="0"/>
    <n v="-9.3132257461547852E-10"/>
    <n v="0"/>
    <n v="5.5983468967248804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3-05-31T00:00:00"/>
    <n v="8.9023157887331283E-3"/>
    <x v="1"/>
  </r>
  <r>
    <x v="181"/>
    <x v="11"/>
    <s v="COP2T_S4"/>
    <n v="8202764.3039999986"/>
    <n v="1465211.8661669113"/>
    <n v="12"/>
    <n v="0"/>
    <n v="0"/>
    <n v="0"/>
    <n v="5.5983468967248804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1.2523912163435735E-3"/>
    <x v="1"/>
  </r>
  <r>
    <x v="182"/>
    <x v="11"/>
    <s v="COP2T_S4"/>
    <n v="7980169.54"/>
    <n v="1425451.0638968304"/>
    <n v="12"/>
    <n v="0"/>
    <n v="0"/>
    <n v="0"/>
    <n v="5.5983468967248804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2.7136554916182609E-2"/>
    <x v="1"/>
  </r>
  <r>
    <x v="183"/>
    <x v="11"/>
    <s v="COP2T_S4"/>
    <n v="7867053.1500000004"/>
    <n v="1405245.7439895959"/>
    <n v="12"/>
    <n v="0"/>
    <n v="0"/>
    <n v="0"/>
    <n v="5.5983468967248804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1.4174685065650783E-2"/>
    <x v="1"/>
  </r>
  <r>
    <x v="35"/>
    <x v="11"/>
    <s v="COP2T_S4"/>
    <n v="11837461.41"/>
    <n v="1419444.220717062"/>
    <n v="12"/>
    <n v="3852000"/>
    <n v="0"/>
    <n v="0"/>
    <n v="8.3395044604289268"/>
    <n v="3852000"/>
    <n v="0"/>
    <n v="3852000"/>
    <n v="3852000"/>
    <s v="Private Equity Fund"/>
    <n v="0"/>
    <n v="0"/>
    <n v="0"/>
    <n v="0"/>
    <m/>
    <m/>
    <m/>
    <m/>
    <m/>
    <m/>
    <m/>
    <m/>
    <m/>
    <m/>
    <m/>
    <d v="2013-09-30T00:00:00"/>
    <n v="1.5051158005713994E-2"/>
    <x v="1"/>
  </r>
  <r>
    <x v="36"/>
    <x v="11"/>
    <s v="COP2T_S4"/>
    <n v="10488065.176000001"/>
    <n v="1257636.4969604642"/>
    <n v="12"/>
    <n v="0"/>
    <n v="0"/>
    <n v="-1550502.4"/>
    <n v="8.3395044604289268"/>
    <n v="-1550502.4"/>
    <n v="-185922.605756392"/>
    <n v="-1550502.4"/>
    <n v="-1550502.4"/>
    <s v="Private Equity Fund"/>
    <n v="0"/>
    <n v="0"/>
    <n v="0"/>
    <n v="0"/>
    <m/>
    <m/>
    <m/>
    <m/>
    <m/>
    <m/>
    <m/>
    <m/>
    <m/>
    <m/>
    <m/>
    <d v="2013-10-31T00:00:00"/>
    <n v="1.698896064236477E-2"/>
    <x v="1"/>
  </r>
  <r>
    <x v="37"/>
    <x v="11"/>
    <s v="COP2T_S4"/>
    <n v="10496507.024"/>
    <n v="1258648.7690972628"/>
    <n v="12"/>
    <n v="0"/>
    <n v="-1.862645149230957E-9"/>
    <n v="0"/>
    <n v="8.3395044604289268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3-11-29T00:00:00"/>
    <n v="8.0490041378822319E-4"/>
    <x v="1"/>
  </r>
  <r>
    <x v="38"/>
    <x v="11"/>
    <s v="COP2T_S4"/>
    <n v="10666475.096000001"/>
    <n v="1279029.844832218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1.6192822203745738E-2"/>
    <x v="1"/>
  </r>
  <r>
    <x v="39"/>
    <x v="11"/>
    <s v="COP2T_S4"/>
    <n v="10798276.039999999"/>
    <n v="1294834.2543898118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1.2356560420735851E-2"/>
    <x v="1"/>
  </r>
  <r>
    <x v="40"/>
    <x v="11"/>
    <s v="COP2T_S4"/>
    <n v="10860006.648"/>
    <n v="1302236.4457661596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5.7167095720958017E-3"/>
    <x v="1"/>
  </r>
  <r>
    <x v="41"/>
    <x v="11"/>
    <s v="COP2T_S4"/>
    <n v="10370488.328"/>
    <n v="1243537.7158448829"/>
    <n v="12"/>
    <n v="0"/>
    <n v="0"/>
    <n v="-495840"/>
    <n v="8.3395044604289268"/>
    <n v="-495840"/>
    <n v="-59456.770165753638"/>
    <n v="-495840"/>
    <n v="-495840"/>
    <s v="Private Equity Fund"/>
    <n v="0"/>
    <n v="0"/>
    <n v="0"/>
    <n v="0"/>
    <m/>
    <m/>
    <m/>
    <m/>
    <m/>
    <m/>
    <m/>
    <m/>
    <m/>
    <m/>
    <m/>
    <d v="2014-03-31T00:00:00"/>
    <n v="5.8210645765699454E-4"/>
    <x v="1"/>
  </r>
  <r>
    <x v="42"/>
    <x v="11"/>
    <s v="COP2T_S4"/>
    <n v="10229573.304"/>
    <n v="1226640.4260036645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1.3588079899722216E-2"/>
    <x v="1"/>
  </r>
  <r>
    <x v="43"/>
    <x v="11"/>
    <s v="COP2T_S4"/>
    <n v="10284400.912"/>
    <n v="1233214.8703558631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5.3597160282885525E-3"/>
    <x v="1"/>
  </r>
  <r>
    <x v="44"/>
    <x v="11"/>
    <s v="COP2T_S4"/>
    <n v="10307860.392000001"/>
    <n v="1236027.9247898904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2.2810740460952328E-3"/>
    <x v="1"/>
  </r>
  <r>
    <x v="45"/>
    <x v="11"/>
    <s v="COP2T_S4"/>
    <n v="9569556.6879999992"/>
    <n v="1147497.0405505134"/>
    <n v="12"/>
    <n v="0"/>
    <n v="0"/>
    <n v="-807360"/>
    <n v="8.3395044604289268"/>
    <n v="-807360"/>
    <n v="-96811.507665825382"/>
    <n v="-807360"/>
    <n v="-807360"/>
    <s v="Private Equity Fund"/>
    <n v="0"/>
    <n v="0"/>
    <n v="0"/>
    <n v="0"/>
    <m/>
    <m/>
    <m/>
    <m/>
    <m/>
    <m/>
    <m/>
    <m/>
    <m/>
    <m/>
    <m/>
    <d v="2014-07-31T00:00:00"/>
    <n v="6.6993821582599367E-3"/>
    <x v="1"/>
  </r>
  <r>
    <x v="46"/>
    <x v="11"/>
    <s v="COP2T_S4"/>
    <n v="6866743.608"/>
    <n v="823399.47662151884"/>
    <n v="12"/>
    <n v="0"/>
    <n v="0"/>
    <n v="-2762400"/>
    <n v="8.3395044604289268"/>
    <n v="-2762400"/>
    <n v="-331242.70310156071"/>
    <n v="-2762400"/>
    <n v="-2762400"/>
    <s v="Private Equity Fund"/>
    <n v="0"/>
    <n v="0"/>
    <n v="0"/>
    <n v="0"/>
    <m/>
    <m/>
    <m/>
    <m/>
    <m/>
    <m/>
    <m/>
    <m/>
    <m/>
    <m/>
    <m/>
    <d v="2014-08-29T00:00:00"/>
    <n v="6.2267168629368541E-3"/>
    <x v="1"/>
  </r>
  <r>
    <x v="47"/>
    <x v="11"/>
    <s v="COP2T_S4"/>
    <n v="6899902.9040000001"/>
    <n v="827375.64764670876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4.8289695804817345E-3"/>
    <x v="1"/>
  </r>
  <r>
    <x v="184"/>
    <x v="11"/>
    <s v="COP2T_S4"/>
    <n v="5413141.5279999999"/>
    <n v="649096.30466479599"/>
    <n v="12"/>
    <n v="0"/>
    <n v="0"/>
    <n v="-1362000"/>
    <n v="8.3395044604289268"/>
    <n v="-1362000"/>
    <n v="-163319.05648143849"/>
    <n v="-1362000"/>
    <n v="-1362000"/>
    <s v="Private Equity Fund"/>
    <n v="0"/>
    <n v="0"/>
    <n v="0"/>
    <n v="0"/>
    <m/>
    <m/>
    <m/>
    <m/>
    <m/>
    <m/>
    <m/>
    <m/>
    <m/>
    <m/>
    <m/>
    <d v="2014-10-31T00:00:00"/>
    <n v="-1.8081613282945441E-2"/>
    <x v="1"/>
  </r>
  <r>
    <x v="185"/>
    <x v="11"/>
    <s v="COP2T_S4"/>
    <n v="5257287.5839999998"/>
    <n v="630407.6709768438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2.8791773352651262E-2"/>
    <x v="1"/>
  </r>
  <r>
    <x v="186"/>
    <x v="11"/>
    <s v="COP2T_S4"/>
    <n v="4500140.9519999996"/>
    <n v="539617.30860067718"/>
    <n v="12"/>
    <n v="0"/>
    <n v="0"/>
    <n v="-690000"/>
    <n v="8.3395044604289268"/>
    <n v="-690000"/>
    <n v="-82738.729054473239"/>
    <n v="-690000"/>
    <n v="-690000"/>
    <s v="Private Equity Fund"/>
    <n v="0"/>
    <n v="0"/>
    <n v="0"/>
    <n v="0"/>
    <m/>
    <m/>
    <m/>
    <m/>
    <m/>
    <m/>
    <m/>
    <m/>
    <m/>
    <m/>
    <m/>
    <d v="2014-12-31T00:00:00"/>
    <n v="-1.2772105563400027E-2"/>
    <x v="1"/>
  </r>
  <r>
    <x v="187"/>
    <x v="11"/>
    <s v="COP2T_S4"/>
    <n v="4555981.7359999996"/>
    <n v="546313.24410439504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1.2408674438337819E-2"/>
    <x v="1"/>
  </r>
  <r>
    <x v="188"/>
    <x v="11"/>
    <s v="COP2T_S4"/>
    <n v="4639663.1279999996"/>
    <n v="556347.58036466921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1.8367367748376662E-2"/>
    <x v="1"/>
  </r>
  <r>
    <x v="189"/>
    <x v="11"/>
    <s v="COP2T_S4"/>
    <n v="4606590.784"/>
    <n v="552381.8358582746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3-31T00:00:00"/>
    <n v="-7.128177862830265E-3"/>
    <x v="1"/>
  </r>
  <r>
    <x v="190"/>
    <x v="11"/>
    <s v="COP2T_S4"/>
    <n v="4292382.3439999996"/>
    <n v="514704.72428756621"/>
    <n v="12"/>
    <n v="0"/>
    <n v="0"/>
    <n v="-434400"/>
    <n v="8.3395044604289268"/>
    <n v="-434400"/>
    <n v="-52089.425943859671"/>
    <n v="-434400"/>
    <n v="-434400"/>
    <s v="Private Equity Fund"/>
    <n v="0"/>
    <n v="0"/>
    <n v="0"/>
    <n v="0"/>
    <m/>
    <m/>
    <m/>
    <m/>
    <m/>
    <m/>
    <m/>
    <m/>
    <m/>
    <m/>
    <m/>
    <d v="2015-04-30T00:00:00"/>
    <n v="2.6091217048724857E-2"/>
    <x v="1"/>
  </r>
  <r>
    <x v="191"/>
    <x v="11"/>
    <s v="COP2T_S4"/>
    <n v="4299754.2719999999"/>
    <n v="515588.70103162579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1.7174443954892649E-3"/>
    <x v="1"/>
  </r>
  <r>
    <x v="192"/>
    <x v="11"/>
    <s v="COP2T_S4"/>
    <n v="4344463.4960000003"/>
    <n v="520949.83780086029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1.0398088163118269E-2"/>
    <x v="1"/>
  </r>
  <r>
    <x v="193"/>
    <x v="11"/>
    <s v="COP2T_S4"/>
    <n v="3765320.72"/>
    <n v="451504.13167431031"/>
    <n v="12"/>
    <n v="0"/>
    <n v="0"/>
    <n v="-463680"/>
    <n v="8.3395044604289268"/>
    <n v="-463680"/>
    <n v="-55600.425924606017"/>
    <n v="-463680"/>
    <n v="-463680"/>
    <s v="Private Equity Fund"/>
    <n v="0"/>
    <n v="0"/>
    <n v="0"/>
    <n v="0"/>
    <m/>
    <m/>
    <m/>
    <m/>
    <m/>
    <m/>
    <m/>
    <m/>
    <m/>
    <m/>
    <m/>
    <d v="2015-07-31T00:00:00"/>
    <n v="-2.65769930179659E-2"/>
    <x v="1"/>
  </r>
  <r>
    <x v="194"/>
    <x v="11"/>
    <s v="COP2T_S4"/>
    <n v="3667031.92"/>
    <n v="439718.20356954314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2.6103699341712416E-2"/>
    <x v="1"/>
  </r>
  <r>
    <x v="195"/>
    <x v="11"/>
    <s v="COP2T_S4"/>
    <n v="3480368.0559999999"/>
    <n v="417335.11535540252"/>
    <n v="12"/>
    <n v="0"/>
    <n v="0"/>
    <n v="-128735.99999999999"/>
    <n v="8.3395044604289268"/>
    <n v="-128735.99999999999"/>
    <n v="-15436.888439937196"/>
    <n v="-128735.99999999999"/>
    <n v="-128735.99999999999"/>
    <s v="Private Equity Fund"/>
    <n v="0"/>
    <n v="0"/>
    <n v="0"/>
    <n v="0"/>
    <m/>
    <m/>
    <m/>
    <m/>
    <m/>
    <m/>
    <m/>
    <m/>
    <m/>
    <m/>
    <m/>
    <d v="2015-09-30T00:00:00"/>
    <n v="-1.5796934759160774E-2"/>
    <x v="1"/>
  </r>
  <r>
    <x v="196"/>
    <x v="11"/>
    <s v="COP2T_S4"/>
    <n v="3528340.304"/>
    <n v="423087.52525309235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1.3783670930233471E-2"/>
    <x v="1"/>
  </r>
  <r>
    <x v="1"/>
    <x v="11"/>
    <s v="COP2T_S4"/>
    <n v="3480662.0639999998"/>
    <n v="417370.37020794139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1.3512936931267205E-2"/>
    <x v="1"/>
  </r>
  <r>
    <x v="2"/>
    <x v="11"/>
    <s v="COP2T_S4"/>
    <n v="2540648.9300000002"/>
    <n v="304652.26585769182"/>
    <n v="12"/>
    <n v="0"/>
    <n v="0"/>
    <n v="-660000"/>
    <n v="8.3395044604289268"/>
    <n v="-660000"/>
    <n v="-79141.393008626575"/>
    <n v="-660000"/>
    <n v="-660000"/>
    <s v="Private Equity Fund"/>
    <n v="0"/>
    <n v="0"/>
    <n v="0"/>
    <n v="0"/>
    <m/>
    <m/>
    <m/>
    <m/>
    <m/>
    <m/>
    <m/>
    <m/>
    <m/>
    <m/>
    <m/>
    <d v="2015-12-31T00:00:00"/>
    <n v="-8.0448239114085829E-2"/>
    <x v="1"/>
  </r>
  <r>
    <x v="3"/>
    <x v="11"/>
    <s v="COP2T_S4"/>
    <n v="2457018.16"/>
    <n v="294623.99974226143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2917090201832755E-2"/>
    <x v="1"/>
  </r>
  <r>
    <x v="4"/>
    <x v="11"/>
    <s v="COP2T_S4"/>
    <n v="2502177.31"/>
    <n v="300039.08767875464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8379656583409121E-2"/>
    <x v="1"/>
  </r>
  <r>
    <x v="5"/>
    <x v="11"/>
    <s v="COP2T_S4"/>
    <n v="2590978.1"/>
    <n v="310687.29710430995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3.5489407423329178E-2"/>
    <x v="1"/>
  </r>
  <r>
    <x v="6"/>
    <x v="11"/>
    <s v="COP2T_S4"/>
    <n v="2645235.09"/>
    <n v="317193.31796651467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2.0940736627607759E-2"/>
    <x v="1"/>
  </r>
  <r>
    <x v="7"/>
    <x v="11"/>
    <s v="COP2T_S4"/>
    <n v="2623974.2400000002"/>
    <n v="314643.90389750339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-8.0374141717587388E-3"/>
    <x v="1"/>
  </r>
  <r>
    <x v="8"/>
    <x v="11"/>
    <s v="COP2T_S4"/>
    <n v="2636954.2000000002"/>
    <n v="316200.34649689164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4.9466796594770379E-3"/>
    <x v="1"/>
  </r>
  <r>
    <x v="9"/>
    <x v="11"/>
    <s v="COP2T_S4"/>
    <n v="2701806.6943999999"/>
    <n v="323976.88702249795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2.4593712852502225E-2"/>
    <x v="1"/>
  </r>
  <r>
    <x v="10"/>
    <x v="11"/>
    <s v="COP2T_S4"/>
    <n v="2717973.0781999999"/>
    <n v="325915.41752832232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5.9835456894483663E-3"/>
    <x v="1"/>
  </r>
  <r>
    <x v="11"/>
    <x v="11"/>
    <s v="COP2T_S4"/>
    <n v="2719825.9819"/>
    <n v="326137.60143730539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6.8172260971288701E-4"/>
    <x v="1"/>
  </r>
  <r>
    <x v="12"/>
    <x v="11"/>
    <s v="COP2T_S4"/>
    <n v="2752826.8056000001"/>
    <n v="330094.76985859347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1.2133432035584368E-2"/>
    <x v="1"/>
  </r>
  <r>
    <x v="13"/>
    <x v="11"/>
    <s v="COP2T_S4"/>
    <n v="2300339.1252000001"/>
    <n v="275836.42842511128"/>
    <n v="12"/>
    <n v="0"/>
    <n v="0"/>
    <n v="-460416"/>
    <n v="8.3395044604289268"/>
    <n v="-460416"/>
    <n v="-55209.035762817897"/>
    <n v="-460416"/>
    <n v="-460416"/>
    <s v="Private Equity Fund"/>
    <n v="0"/>
    <n v="0"/>
    <n v="0"/>
    <n v="0"/>
    <m/>
    <m/>
    <m/>
    <m/>
    <m/>
    <m/>
    <m/>
    <m/>
    <m/>
    <m/>
    <m/>
    <d v="2016-11-30T00:00:00"/>
    <n v="2.8800648060647305E-3"/>
    <x v="1"/>
  </r>
  <r>
    <x v="14"/>
    <x v="11"/>
    <s v="COP2T_S4"/>
    <n v="2078110.1500000001"/>
    <n v="249188.68499449384"/>
    <n v="12"/>
    <n v="0"/>
    <n v="0"/>
    <n v="-91200"/>
    <n v="8.3395044604289268"/>
    <n v="-91200"/>
    <n v="-10935.901579373854"/>
    <n v="-91200"/>
    <n v="-91200"/>
    <s v="Private Equity Fund"/>
    <n v="0"/>
    <n v="0"/>
    <n v="0"/>
    <n v="0"/>
    <m/>
    <m/>
    <m/>
    <m/>
    <m/>
    <m/>
    <m/>
    <m/>
    <m/>
    <m/>
    <m/>
    <d v="2016-12-30T00:00:00"/>
    <n v="-5.6960721036559137E-2"/>
    <x v="1"/>
  </r>
  <r>
    <x v="15"/>
    <x v="11"/>
    <s v="COP2T_S4"/>
    <n v="2088967.8100000003"/>
    <n v="250490.64005087878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5.224775982158647E-3"/>
    <x v="1"/>
  </r>
  <r>
    <x v="16"/>
    <x v="11"/>
    <s v="COP2T_S4"/>
    <n v="2127566.54"/>
    <n v="255119.06014264218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8477417323151446E-2"/>
    <x v="1"/>
  </r>
  <r>
    <x v="17"/>
    <x v="11"/>
    <s v="COP2T_S4"/>
    <n v="2103141.7192000002"/>
    <n v="252190.25053340266"/>
    <n v="12"/>
    <n v="0"/>
    <n v="0"/>
    <n v="-144000"/>
    <n v="8.3395044604289268"/>
    <n v="-144000"/>
    <n v="-17267.21302006398"/>
    <n v="-144000"/>
    <n v="-144000"/>
    <s v="Private Equity Fund"/>
    <n v="0"/>
    <n v="0"/>
    <n v="0"/>
    <n v="0"/>
    <m/>
    <m/>
    <m/>
    <m/>
    <m/>
    <m/>
    <m/>
    <m/>
    <m/>
    <m/>
    <m/>
    <d v="2017-03-31T00:00:00"/>
    <n v="5.620279175851306E-2"/>
    <x v="1"/>
  </r>
  <r>
    <x v="18"/>
    <x v="11"/>
    <s v="COP2T_S4"/>
    <n v="1995282.7890000001"/>
    <n v="239256.75661757204"/>
    <n v="12"/>
    <n v="0"/>
    <n v="0"/>
    <n v="-138000"/>
    <n v="8.3395044604289268"/>
    <n v="-138000"/>
    <n v="-16547.745810894648"/>
    <n v="-138000"/>
    <n v="-138000"/>
    <s v="Private Equity Fund"/>
    <n v="0"/>
    <n v="0"/>
    <n v="0"/>
    <n v="0"/>
    <m/>
    <m/>
    <m/>
    <m/>
    <m/>
    <m/>
    <m/>
    <m/>
    <m/>
    <m/>
    <m/>
    <d v="2017-04-28T00:00:00"/>
    <n v="1.4331449718692602E-2"/>
    <x v="1"/>
  </r>
  <r>
    <x v="19"/>
    <x v="11"/>
    <s v="COP2T_S4"/>
    <n v="1892755.22"/>
    <n v="226962.55262901433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5.1384981399746898E-2"/>
    <x v="1"/>
  </r>
  <r>
    <x v="20"/>
    <x v="11"/>
    <s v="COP2T_S4"/>
    <n v="1833664.41"/>
    <n v="219876.90260263844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-3.1219467459717265E-2"/>
    <x v="1"/>
  </r>
  <r>
    <x v="21"/>
    <x v="11"/>
    <s v="COP2T_S4"/>
    <n v="1936611.27"/>
    <n v="232221.38427879612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5.6142694071266819E-2"/>
    <x v="1"/>
  </r>
  <r>
    <x v="22"/>
    <x v="11"/>
    <s v="COP2T_S4"/>
    <n v="2122800"/>
    <n v="254547.49860410983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9.6141509080446497E-2"/>
    <x v="1"/>
  </r>
  <r>
    <x v="23"/>
    <x v="11"/>
    <s v="COP2T_S4"/>
    <n v="2120500"/>
    <n v="254271.70284059492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0834746561145803E-3"/>
    <x v="1"/>
  </r>
  <r>
    <x v="24"/>
    <x v="11"/>
    <s v="COP2T_S4"/>
    <n v="2112600"/>
    <n v="253324.40434852196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-3.7255364300872174E-3"/>
    <x v="1"/>
  </r>
  <r>
    <x v="25"/>
    <x v="11"/>
    <s v="COP2T_S4"/>
    <n v="1534200"/>
    <n v="183967.76538459831"/>
    <n v="12"/>
    <n v="0"/>
    <n v="0"/>
    <n v="-523531.19000000006"/>
    <n v="8.3395044604289268"/>
    <n v="-523531.19000000006"/>
    <n v="-62777.254030399934"/>
    <n v="-523531.19000000006"/>
    <n v="-523531.19000000006"/>
    <s v="Private Equity Fund"/>
    <n v="0"/>
    <n v="0"/>
    <n v="0"/>
    <n v="0"/>
    <m/>
    <m/>
    <m/>
    <m/>
    <m/>
    <m/>
    <m/>
    <m/>
    <m/>
    <m/>
    <m/>
    <d v="2017-11-30T00:00:00"/>
    <n v="-2.597217173151567E-2"/>
    <x v="1"/>
  </r>
  <r>
    <x v="26"/>
    <x v="11"/>
    <s v="COP2T_S4"/>
    <n v="1548400"/>
    <n v="185670.50444629908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9.2556381175856739E-3"/>
    <x v="1"/>
  </r>
  <r>
    <x v="27"/>
    <x v="11"/>
    <s v="COP2T_S4"/>
    <n v="1577200"/>
    <n v="189123.94705031186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1.8599845001291637E-2"/>
    <x v="1"/>
  </r>
  <r>
    <x v="28"/>
    <x v="11"/>
    <s v="COP2T_S4"/>
    <n v="1535700"/>
    <n v="184147.63218689064"/>
    <n v="12"/>
    <n v="0"/>
    <n v="0"/>
    <n v="0"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-2.6312452447375123E-2"/>
    <x v="1"/>
  </r>
  <r>
    <x v="29"/>
    <x v="11"/>
    <s v="COP2T_S4"/>
    <n v="1543673.3884000001"/>
    <n v="185103.73077018585"/>
    <n v="12"/>
    <n v="0"/>
    <n v="0"/>
    <n v="0"/>
    <n v="8.3395044604289268"/>
    <n v="0"/>
    <n v="0"/>
    <n v="0"/>
    <n v="0"/>
    <s v="Private Equity Fund"/>
    <n v="0"/>
    <n v="1.9795531645298379E-2"/>
    <n v="0"/>
    <n v="0"/>
    <m/>
    <m/>
    <m/>
    <m/>
    <m/>
    <m/>
    <m/>
    <m/>
    <m/>
    <m/>
    <m/>
    <d v="2018-03-29T00:00:00"/>
    <n v="5.1920221397407929E-3"/>
    <x v="1"/>
  </r>
  <r>
    <x v="30"/>
    <x v="11"/>
    <s v="COP2T_S4"/>
    <n v="862090.60279999999"/>
    <n v="103374.32000793726"/>
    <n v="12"/>
    <n v="0"/>
    <n v="0"/>
    <n v="-694520.74"/>
    <n v="8.3395044604289268"/>
    <n v="-694520.74"/>
    <n v="-83280.816419669936"/>
    <n v="-694520.74"/>
    <n v="-694520.74"/>
    <s v="Private Equity Fund"/>
    <n v="0"/>
    <n v="2.2509769999999998E-2"/>
    <n v="0"/>
    <n v="0"/>
    <m/>
    <m/>
    <m/>
    <m/>
    <m/>
    <m/>
    <m/>
    <m/>
    <m/>
    <m/>
    <m/>
    <d v="2018-04-30T00:00:00"/>
    <n v="8.381277086994432E-3"/>
    <x v="1"/>
  </r>
  <r>
    <x v="31"/>
    <x v="11"/>
    <s v="COP2T_S4"/>
    <n v="829487.16619999998"/>
    <n v="99464.802751282041"/>
    <n v="12"/>
    <n v="0"/>
    <n v="0"/>
    <n v="0"/>
    <n v="8.3395044604289268"/>
    <n v="0"/>
    <n v="0"/>
    <n v="0"/>
    <n v="0"/>
    <s v="Private Equity Fund"/>
    <n v="0"/>
    <n v="1.385491E-2"/>
    <n v="0"/>
    <n v="0"/>
    <m/>
    <m/>
    <m/>
    <m/>
    <m/>
    <m/>
    <m/>
    <m/>
    <m/>
    <m/>
    <m/>
    <d v="2018-05-31T00:00:00"/>
    <n v="-3.7819037226605512E-2"/>
    <x v="1"/>
  </r>
  <r>
    <x v="32"/>
    <x v="11"/>
    <s v="COP2T_S4"/>
    <n v="803557.67760000005"/>
    <n v="96355.566618243713"/>
    <n v="12"/>
    <n v="0"/>
    <n v="0"/>
    <n v="0"/>
    <n v="8.3395044604289268"/>
    <n v="0"/>
    <n v="0"/>
    <n v="-803557.67760000005"/>
    <n v="-803557.67760000005"/>
    <s v="Private Equity Fund"/>
    <n v="0"/>
    <n v="6.9010599999999997E-3"/>
    <n v="0"/>
    <n v="0"/>
    <m/>
    <m/>
    <m/>
    <m/>
    <m/>
    <m/>
    <m/>
    <m/>
    <m/>
    <m/>
    <m/>
    <d v="2018-06-29T00:00:00"/>
    <n v="-3.1259662182341663E-2"/>
    <x v="1"/>
  </r>
  <r>
    <x v="33"/>
    <x v="11"/>
    <s v="COP2T_S4"/>
    <n v="803557.67760000005"/>
    <n v="96355.566618243713"/>
    <n v="12"/>
    <n v="0"/>
    <n v="0"/>
    <n v="0"/>
    <n v="8.3395044604289268"/>
    <n v="0"/>
    <n v="0"/>
    <n v="0"/>
    <n v="0"/>
    <s v="Private Equity Fund"/>
    <n v="0"/>
    <n v="6.9010599999999997E-3"/>
    <n v="0"/>
    <n v="0"/>
    <m/>
    <m/>
    <m/>
    <m/>
    <m/>
    <m/>
    <m/>
    <m/>
    <m/>
    <m/>
    <m/>
    <d v="2018-07-31T00:00:00"/>
    <n v="0"/>
    <x v="1"/>
  </r>
  <r>
    <x v="170"/>
    <x v="11"/>
    <s v="COP2T_S5GP"/>
    <n v="23966"/>
    <n v="23966"/>
    <n v="0.2084"/>
    <n v="23966"/>
    <n v="0"/>
    <n v="0"/>
    <n v="1"/>
    <n v="23966"/>
    <n v="23966"/>
    <n v="23966"/>
    <m/>
    <s v="Private Equity Fund"/>
    <n v="0"/>
    <n v="0"/>
    <n v="0"/>
    <n v="0"/>
    <m/>
    <m/>
    <m/>
    <m/>
    <m/>
    <m/>
    <m/>
    <m/>
    <m/>
    <m/>
    <m/>
    <d v="2012-07-31T00:00:00"/>
    <n v="0"/>
    <x v="1"/>
  </r>
  <r>
    <x v="171"/>
    <x v="11"/>
    <s v="COP2T_S5GP"/>
    <n v="24030.47"/>
    <n v="24030.47"/>
    <n v="0.2084"/>
    <n v="0"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8-31T00:00:00"/>
    <n v="2.6900609196363057E-3"/>
    <x v="1"/>
  </r>
  <r>
    <x v="172"/>
    <x v="11"/>
    <s v="COP2T_S5GP"/>
    <n v="36518.019999999997"/>
    <n v="23883.6742350038"/>
    <n v="0.2084"/>
    <n v="12712"/>
    <n v="0"/>
    <n v="0"/>
    <n v="1.5289950633508207"/>
    <n v="12712"/>
    <n v="0"/>
    <n v="12712"/>
    <m/>
    <s v="Private Equity Fund"/>
    <n v="0"/>
    <n v="0"/>
    <n v="0"/>
    <n v="0"/>
    <m/>
    <m/>
    <m/>
    <m/>
    <m/>
    <m/>
    <m/>
    <m/>
    <m/>
    <m/>
    <m/>
    <d v="2012-09-28T00:00:00"/>
    <n v="-9.3402251391672131E-3"/>
    <x v="1"/>
  </r>
  <r>
    <x v="173"/>
    <x v="11"/>
    <s v="COP2T_S5GP"/>
    <n v="37514.35"/>
    <n v="24535.298314035503"/>
    <n v="0.2084"/>
    <n v="0"/>
    <n v="0"/>
    <n v="0"/>
    <n v="1.5289950633508207"/>
    <n v="0"/>
    <n v="0"/>
    <n v="0"/>
    <m/>
    <s v="Private Equity Fund"/>
    <n v="0"/>
    <n v="0"/>
    <n v="0"/>
    <n v="0"/>
    <m/>
    <m/>
    <m/>
    <m/>
    <m/>
    <m/>
    <m/>
    <m/>
    <m/>
    <m/>
    <m/>
    <d v="2012-10-31T00:00:00"/>
    <n v="2.7283242629255522E-2"/>
    <x v="1"/>
  </r>
  <r>
    <x v="174"/>
    <x v="11"/>
    <s v="COP2T_S5GP"/>
    <n v="87460.31"/>
    <n v="24633.018894211076"/>
    <n v="0.2084"/>
    <n v="49599"/>
    <n v="0"/>
    <n v="0"/>
    <n v="3.5505315193239979"/>
    <n v="49599"/>
    <n v="0"/>
    <n v="49599"/>
    <m/>
    <s v="Private Equity Fund"/>
    <n v="0"/>
    <n v="0"/>
    <n v="0"/>
    <n v="0"/>
    <m/>
    <m/>
    <m/>
    <m/>
    <m/>
    <m/>
    <m/>
    <m/>
    <m/>
    <m/>
    <m/>
    <d v="2012-11-30T00:00:00"/>
    <n v="9.2487274869483826E-3"/>
    <x v="1"/>
  </r>
  <r>
    <x v="175"/>
    <x v="11"/>
    <s v="COP2T_S5GP"/>
    <n v="105548.58"/>
    <n v="25018.065253550394"/>
    <n v="0.2084"/>
    <n v="16463.8"/>
    <n v="0"/>
    <n v="0"/>
    <n v="4.2188945839855165"/>
    <n v="16463.8"/>
    <n v="0"/>
    <n v="16463.8"/>
    <m/>
    <s v="Private Equity Fund"/>
    <n v="0"/>
    <n v="0"/>
    <n v="0"/>
    <n v="0"/>
    <m/>
    <m/>
    <m/>
    <m/>
    <m/>
    <m/>
    <m/>
    <m/>
    <m/>
    <m/>
    <m/>
    <d v="2012-12-31T00:00:00"/>
    <n v="1.8573796502665108E-2"/>
    <x v="1"/>
  </r>
  <r>
    <x v="176"/>
    <x v="11"/>
    <s v="COP2T_S5GP"/>
    <n v="105596.19"/>
    <n v="25029.350200128752"/>
    <n v="0.2084"/>
    <n v="0"/>
    <n v="0"/>
    <n v="0"/>
    <n v="4.2188945839855165"/>
    <n v="0"/>
    <n v="0"/>
    <n v="0"/>
    <m/>
    <s v="Private Equity Fund"/>
    <n v="0"/>
    <n v="0"/>
    <n v="0"/>
    <n v="0"/>
    <m/>
    <m/>
    <m/>
    <m/>
    <m/>
    <m/>
    <m/>
    <m/>
    <m/>
    <m/>
    <m/>
    <d v="2013-01-31T00:00:00"/>
    <n v="4.5107191399451629E-4"/>
    <x v="1"/>
  </r>
  <r>
    <x v="177"/>
    <x v="11"/>
    <s v="COP2T_S5GP"/>
    <n v="123795.62"/>
    <n v="25213.145872623725"/>
    <n v="0.2084"/>
    <n v="17297"/>
    <n v="0"/>
    <n v="0"/>
    <n v="4.9099632638232782"/>
    <n v="17297"/>
    <n v="0"/>
    <n v="17297"/>
    <m/>
    <s v="Private Equity Fund"/>
    <n v="0"/>
    <n v="0"/>
    <n v="0"/>
    <n v="0"/>
    <m/>
    <m/>
    <m/>
    <m/>
    <m/>
    <m/>
    <m/>
    <m/>
    <m/>
    <m/>
    <m/>
    <d v="2013-02-28T00:00:00"/>
    <n v="8.5460469738538603E-3"/>
    <x v="1"/>
  </r>
  <r>
    <x v="178"/>
    <x v="11"/>
    <s v="COP2T_S5GP"/>
    <n v="135436.21"/>
    <n v="25091.720703782496"/>
    <n v="0.2084"/>
    <n v="12296"/>
    <n v="0"/>
    <n v="0"/>
    <n v="5.3976453667278159"/>
    <n v="12296"/>
    <n v="0"/>
    <n v="12296"/>
    <m/>
    <s v="Private Equity Fund"/>
    <n v="0"/>
    <n v="0"/>
    <n v="0"/>
    <n v="0"/>
    <m/>
    <m/>
    <m/>
    <m/>
    <m/>
    <m/>
    <m/>
    <m/>
    <m/>
    <m/>
    <m/>
    <d v="2013-03-28T00:00:00"/>
    <n v="-5.2942907026920505E-3"/>
    <x v="1"/>
  </r>
  <r>
    <x v="179"/>
    <x v="11"/>
    <s v="COP2T_S5GP"/>
    <n v="140321.54"/>
    <n v="24776.775534159824"/>
    <n v="0.2084"/>
    <n v="6669"/>
    <n v="0"/>
    <n v="0"/>
    <n v="5.6634302476744089"/>
    <n v="6669"/>
    <n v="0"/>
    <n v="6669"/>
    <m/>
    <s v="Private Equity Fund"/>
    <n v="0"/>
    <n v="0"/>
    <n v="0"/>
    <n v="0"/>
    <m/>
    <m/>
    <m/>
    <m/>
    <m/>
    <m/>
    <m/>
    <m/>
    <m/>
    <m/>
    <m/>
    <d v="2013-04-30T00:00:00"/>
    <n v="-1.3169816255194866E-2"/>
    <x v="1"/>
  </r>
  <r>
    <x v="180"/>
    <x v="11"/>
    <s v="COP2T_S5GP"/>
    <n v="142073.28"/>
    <n v="25086.082777895954"/>
    <n v="0.2084"/>
    <n v="0"/>
    <n v="0"/>
    <n v="0"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5-31T00:00:00"/>
    <n v="1.2483756948505453E-2"/>
    <x v="1"/>
  </r>
  <r>
    <x v="181"/>
    <x v="11"/>
    <s v="COP2T_S5GP"/>
    <n v="142040.06"/>
    <n v="25080.217074859593"/>
    <n v="0.2084"/>
    <n v="0"/>
    <n v="0"/>
    <n v="0"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6-28T00:00:00"/>
    <n v="-2.338229961327265E-4"/>
    <x v="1"/>
  </r>
  <r>
    <x v="182"/>
    <x v="11"/>
    <s v="COP2T_S5GP"/>
    <n v="138155.04999999999"/>
    <n v="24394.235288186166"/>
    <n v="0.2084"/>
    <n v="0"/>
    <n v="0"/>
    <n v="0"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7-31T00:00:00"/>
    <n v="-2.7351509144673769E-2"/>
    <x v="1"/>
  </r>
  <r>
    <x v="183"/>
    <x v="11"/>
    <s v="COP2T_S5GP"/>
    <n v="136386.76999999999"/>
    <n v="24082.007552932235"/>
    <n v="0.2084"/>
    <n v="0"/>
    <n v="0"/>
    <n v="0"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8-30T00:00:00"/>
    <n v="-1.2799242590118887E-2"/>
    <x v="1"/>
  </r>
  <r>
    <x v="35"/>
    <x v="11"/>
    <s v="COP2T_S5GP"/>
    <n v="208104.12"/>
    <n v="24353.548336860171"/>
    <n v="0.2084"/>
    <n v="69397"/>
    <n v="0"/>
    <n v="0"/>
    <n v="8.5451252163129432"/>
    <n v="69397"/>
    <n v="0"/>
    <n v="69397"/>
    <m/>
    <s v="Private Equity Fund"/>
    <n v="0"/>
    <n v="0"/>
    <n v="0"/>
    <n v="0"/>
    <m/>
    <m/>
    <m/>
    <m/>
    <m/>
    <m/>
    <m/>
    <m/>
    <m/>
    <m/>
    <m/>
    <d v="2013-09-30T00:00:00"/>
    <n v="1.7013013798919063E-2"/>
    <x v="1"/>
  </r>
  <r>
    <x v="36"/>
    <x v="11"/>
    <s v="COP2T_S5GP"/>
    <n v="185094.82"/>
    <n v="21660.866905337738"/>
    <n v="0.2084"/>
    <n v="0"/>
    <n v="0"/>
    <n v="-26927.06"/>
    <n v="8.5451252163129432"/>
    <n v="-26927.06"/>
    <n v="-3151.1603772166263"/>
    <n v="-26927.06"/>
    <m/>
    <s v="Private Equity Fund"/>
    <n v="0"/>
    <n v="0"/>
    <n v="0"/>
    <n v="0"/>
    <m/>
    <m/>
    <m/>
    <m/>
    <m/>
    <m/>
    <m/>
    <m/>
    <m/>
    <m/>
    <m/>
    <d v="2013-10-31T00:00:00"/>
    <n v="1.8825960773866557E-2"/>
    <x v="1"/>
  </r>
  <r>
    <x v="37"/>
    <x v="11"/>
    <s v="COP2T_S5GP"/>
    <n v="185518.41"/>
    <n v="21710.437858281919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2.2885027252517176E-3"/>
    <x v="1"/>
  </r>
  <r>
    <x v="38"/>
    <x v="11"/>
    <s v="COP2T_S5GP"/>
    <n v="189510.3"/>
    <n v="22177.591925536468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3-12-31T00:00:00"/>
    <n v="2.1517487132409086E-2"/>
    <x v="1"/>
  </r>
  <r>
    <x v="39"/>
    <x v="11"/>
    <s v="COP2T_S5GP"/>
    <n v="192632.46"/>
    <n v="22542.96515541491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1.6474882895547216E-2"/>
    <x v="1"/>
  </r>
  <r>
    <x v="40"/>
    <x v="11"/>
    <s v="COP2T_S5GP"/>
    <n v="194219.23"/>
    <n v="22728.658162811786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8.2372929256055993E-3"/>
    <x v="1"/>
  </r>
  <r>
    <x v="41"/>
    <x v="11"/>
    <s v="COP2T_S5GP"/>
    <n v="185501.59"/>
    <n v="21708.469484551377"/>
    <n v="0.2084"/>
    <n v="0"/>
    <n v="0"/>
    <n v="-9125.8340000000007"/>
    <n v="8.5451252163129432"/>
    <n v="-9125.8340000000007"/>
    <n v="-1067.9579021941615"/>
    <n v="-9125.8340000000007"/>
    <m/>
    <s v="Private Equity Fund"/>
    <n v="0"/>
    <n v="0"/>
    <n v="0"/>
    <n v="0"/>
    <m/>
    <m/>
    <m/>
    <m/>
    <m/>
    <m/>
    <m/>
    <m/>
    <m/>
    <m/>
    <m/>
    <d v="2014-03-31T00:00:00"/>
    <n v="2.1017177341295934E-3"/>
    <x v="1"/>
  </r>
  <r>
    <x v="42"/>
    <x v="11"/>
    <s v="COP2T_S5GP"/>
    <n v="182698.87"/>
    <n v="21380.47897194314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-1.5108873190790462E-2"/>
    <x v="1"/>
  </r>
  <r>
    <x v="43"/>
    <x v="11"/>
    <s v="COP2T_S5GP"/>
    <n v="184141.42"/>
    <n v="21549.29452039715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5-30T00:00:00"/>
    <n v="7.8957795414937859E-3"/>
    <x v="1"/>
  </r>
  <r>
    <x v="44"/>
    <x v="11"/>
    <s v="COP2T_S5GP"/>
    <n v="184894.77"/>
    <n v="21637.455896729214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4.0911490744448553E-3"/>
    <x v="1"/>
  </r>
  <r>
    <x v="45"/>
    <x v="11"/>
    <s v="COP2T_S5GP"/>
    <n v="172540.97"/>
    <n v="20191.742734280037"/>
    <n v="0.2084"/>
    <n v="0"/>
    <n v="0"/>
    <n v="-14100.34"/>
    <n v="8.5451252163129432"/>
    <n v="-14100.34"/>
    <n v="-1650.1033797704868"/>
    <n v="-14100.34"/>
    <m/>
    <s v="Private Equity Fund"/>
    <n v="0"/>
    <n v="0"/>
    <n v="0"/>
    <n v="0"/>
    <m/>
    <m/>
    <m/>
    <m/>
    <m/>
    <m/>
    <m/>
    <m/>
    <m/>
    <m/>
    <m/>
    <d v="2014-07-31T00:00:00"/>
    <n v="9.4461298175172459E-3"/>
    <x v="1"/>
  </r>
  <r>
    <x v="46"/>
    <x v="11"/>
    <s v="COP2T_S5GP"/>
    <n v="123842.33"/>
    <n v="14492.746082126527"/>
    <n v="0.2084"/>
    <n v="0"/>
    <n v="0"/>
    <n v="-50151.46"/>
    <n v="8.5451252163129432"/>
    <n v="-50151.46"/>
    <n v="-5869.0140554358532"/>
    <n v="-50151.46"/>
    <m/>
    <s v="Private Equity Fund"/>
    <n v="0"/>
    <n v="0"/>
    <n v="0"/>
    <n v="0"/>
    <m/>
    <m/>
    <m/>
    <m/>
    <m/>
    <m/>
    <m/>
    <m/>
    <m/>
    <m/>
    <m/>
    <d v="2014-08-29T00:00:00"/>
    <n v="8.4201450820637902E-3"/>
    <x v="1"/>
  </r>
  <r>
    <x v="47"/>
    <x v="11"/>
    <s v="COP2T_S5GP"/>
    <n v="124729.49"/>
    <n v="14596.56667896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9-30T00:00:00"/>
    <n v="7.1636249091890924E-3"/>
    <x v="1"/>
  </r>
  <r>
    <x v="184"/>
    <x v="11"/>
    <s v="COP2T_S5GP"/>
    <n v="97475.71"/>
    <n v="11407.171636749741"/>
    <n v="0.2084"/>
    <n v="0"/>
    <n v="0"/>
    <n v="-24643.3"/>
    <n v="8.5451252163129432"/>
    <n v="-24643.3"/>
    <n v="-2883.9015668202355"/>
    <n v="-24643.3"/>
    <m/>
    <s v="Private Equity Fund"/>
    <n v="0"/>
    <n v="0"/>
    <n v="0"/>
    <n v="0"/>
    <m/>
    <m/>
    <m/>
    <m/>
    <m/>
    <m/>
    <m/>
    <m/>
    <m/>
    <m/>
    <m/>
    <d v="2014-10-31T00:00:00"/>
    <n v="-2.0929132316663823E-2"/>
    <x v="1"/>
  </r>
  <r>
    <x v="185"/>
    <x v="11"/>
    <s v="COP2T_S5GP"/>
    <n v="94214.06"/>
    <n v="11025.474479899025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11-28T00:00:00"/>
    <n v="-3.3461156630713473E-2"/>
    <x v="1"/>
  </r>
  <r>
    <x v="186"/>
    <x v="11"/>
    <s v="COP2T_S5GP"/>
    <n v="80873.47"/>
    <n v="9464.2814414948207"/>
    <n v="0.2084"/>
    <n v="0"/>
    <n v="0"/>
    <n v="-11983"/>
    <n v="8.5451252163129432"/>
    <n v="-11983"/>
    <n v="-1402.3200007793957"/>
    <n v="-11983"/>
    <m/>
    <s v="Private Equity Fund"/>
    <n v="0"/>
    <n v="0"/>
    <n v="0"/>
    <n v="0"/>
    <m/>
    <m/>
    <m/>
    <m/>
    <m/>
    <m/>
    <m/>
    <m/>
    <m/>
    <m/>
    <m/>
    <d v="2014-12-31T00:00:00"/>
    <n v="-1.4409632702380049E-2"/>
    <x v="1"/>
  </r>
  <r>
    <x v="187"/>
    <x v="11"/>
    <s v="COP2T_S5GP"/>
    <n v="82195.399999999994"/>
    <n v="9618.981339569618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1-30T00:00:00"/>
    <n v="1.6345656987390322E-2"/>
    <x v="1"/>
  </r>
  <r>
    <x v="188"/>
    <x v="11"/>
    <s v="COP2T_S5GP"/>
    <n v="84106.42"/>
    <n v="9842.6199582702302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2-27T00:00:00"/>
    <n v="2.324971957068156E-2"/>
    <x v="1"/>
  </r>
  <r>
    <x v="189"/>
    <x v="11"/>
    <s v="COP2T_S5GP"/>
    <n v="83496.98"/>
    <n v="9771.299762887189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3-31T00:00:00"/>
    <n v="-7.24605802981515E-3"/>
    <x v="1"/>
  </r>
  <r>
    <x v="190"/>
    <x v="11"/>
    <s v="COP2T_S5GP"/>
    <n v="78461.820000000007"/>
    <n v="9182.0562032506732"/>
    <n v="0.2084"/>
    <n v="0"/>
    <n v="0"/>
    <n v="-7742.06"/>
    <n v="8.5451252163129432"/>
    <n v="-7742.06"/>
    <n v="-906.02066137312261"/>
    <n v="-7742.06"/>
    <m/>
    <s v="Private Equity Fund"/>
    <n v="0"/>
    <n v="0"/>
    <n v="0"/>
    <n v="0"/>
    <m/>
    <m/>
    <m/>
    <m/>
    <m/>
    <m/>
    <m/>
    <m/>
    <m/>
    <m/>
    <m/>
    <d v="2015-04-30T00:00:00"/>
    <n v="3.2419136596317788E-2"/>
    <x v="1"/>
  </r>
  <r>
    <x v="191"/>
    <x v="11"/>
    <s v="COP2T_S5GP"/>
    <n v="78717.03"/>
    <n v="9211.9223542478267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5-29T00:00:00"/>
    <n v="3.252664799261451E-3"/>
    <x v="1"/>
  </r>
  <r>
    <x v="192"/>
    <x v="11"/>
    <s v="COP2T_S5GP"/>
    <n v="79792.2"/>
    <n v="9337.744969222205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6-30T00:00:00"/>
    <n v="1.3658670811131923E-2"/>
    <x v="1"/>
  </r>
  <r>
    <x v="193"/>
    <x v="11"/>
    <s v="COP2T_S5GP"/>
    <n v="69273"/>
    <n v="8106.727314861977"/>
    <n v="0.2084"/>
    <n v="0"/>
    <n v="0"/>
    <n v="-8092.1699999999992"/>
    <n v="8.5451252163129432"/>
    <n v="-8092.1699999999992"/>
    <n v="-946.9925595182342"/>
    <n v="-8092.1699999999992"/>
    <m/>
    <s v="Private Equity Fund"/>
    <n v="0"/>
    <n v="0"/>
    <n v="0"/>
    <n v="0"/>
    <m/>
    <m/>
    <m/>
    <m/>
    <m/>
    <m/>
    <m/>
    <m/>
    <m/>
    <m/>
    <m/>
    <d v="2015-07-31T00:00:00"/>
    <n v="-3.0416882853211202E-2"/>
    <x v="1"/>
  </r>
  <r>
    <x v="194"/>
    <x v="11"/>
    <s v="COP2T_S5GP"/>
    <n v="67221.3"/>
    <n v="7866.6255085030452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8-31T00:00:00"/>
    <n v="-2.9617599930708893E-2"/>
    <x v="1"/>
  </r>
  <r>
    <x v="195"/>
    <x v="11"/>
    <s v="COP2T_S5GP"/>
    <n v="63800.04"/>
    <n v="7466.2498658537488"/>
    <n v="0.2084"/>
    <n v="0"/>
    <n v="0"/>
    <n v="-2243.63"/>
    <n v="8.5451252163129432"/>
    <n v="-2243.63"/>
    <n v="-262.56256558029503"/>
    <n v="-2243.63"/>
    <m/>
    <s v="Private Equity Fund"/>
    <n v="0"/>
    <n v="0"/>
    <n v="0"/>
    <n v="0"/>
    <m/>
    <m/>
    <m/>
    <m/>
    <m/>
    <m/>
    <m/>
    <m/>
    <m/>
    <m/>
    <m/>
    <d v="2015-09-30T00:00:00"/>
    <n v="-1.7518703149150716E-2"/>
    <x v="1"/>
  </r>
  <r>
    <x v="196"/>
    <x v="11"/>
    <s v="COP2T_S5GP"/>
    <n v="64917.710000000006"/>
    <n v="7597.046076758457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10-30T00:00:00"/>
    <n v="1.7518327574716386E-2"/>
    <x v="1"/>
  </r>
  <r>
    <x v="1"/>
    <x v="11"/>
    <s v="COP2T_S5GP"/>
    <n v="63959.130000000005"/>
    <n v="7484.867498243301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11-30T00:00:00"/>
    <n v="-1.4766078470728639E-2"/>
    <x v="1"/>
  </r>
  <r>
    <x v="2"/>
    <x v="11"/>
    <s v="COP2T_S5GP"/>
    <n v="46922.41"/>
    <n v="5491.1319392281675"/>
    <n v="0.2084"/>
    <n v="0"/>
    <n v="0"/>
    <n v="-11462"/>
    <n v="8.5451252163129432"/>
    <n v="-11462"/>
    <n v="-1341.3495659629002"/>
    <n v="-11462"/>
    <m/>
    <s v="Private Equity Fund"/>
    <n v="0"/>
    <n v="0"/>
    <n v="0"/>
    <n v="0"/>
    <m/>
    <m/>
    <m/>
    <m/>
    <m/>
    <m/>
    <m/>
    <m/>
    <m/>
    <m/>
    <m/>
    <d v="2015-12-31T00:00:00"/>
    <n v="-8.7160660252883382E-2"/>
    <x v="1"/>
  </r>
  <r>
    <x v="3"/>
    <x v="11"/>
    <s v="COP2T_S5GP"/>
    <n v="45518.54"/>
    <n v="5326.8429481996955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1-29T00:00:00"/>
    <n v="-2.9918966225306876E-2"/>
    <x v="1"/>
  </r>
  <r>
    <x v="4"/>
    <x v="11"/>
    <s v="COP2T_S5GP"/>
    <n v="46310.8"/>
    <n v="5419.557797888212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2-29T00:00:00"/>
    <n v="1.7405215545138297E-2"/>
    <x v="1"/>
  </r>
  <r>
    <x v="5"/>
    <x v="11"/>
    <s v="COP2T_S5GP"/>
    <n v="47853.279999999999"/>
    <n v="5600.0677331967481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3-31T00:00:00"/>
    <n v="3.330713354120407E-2"/>
    <x v="1"/>
  </r>
  <r>
    <x v="6"/>
    <x v="11"/>
    <s v="COP2T_S5GP"/>
    <n v="48798.9"/>
    <n v="5710.7296575176206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1.9760818903113986E-2"/>
    <x v="1"/>
  </r>
  <r>
    <x v="7"/>
    <x v="11"/>
    <s v="COP2T_S5GP"/>
    <n v="48426.07"/>
    <n v="5667.098933501049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5-31T00:00:00"/>
    <n v="-7.6401312324663184E-3"/>
    <x v="1"/>
  </r>
  <r>
    <x v="8"/>
    <x v="11"/>
    <s v="COP2T_S5GP"/>
    <n v="48651.9"/>
    <n v="5693.5268668880144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6-30T00:00:00"/>
    <n v="4.6633972155907255E-3"/>
    <x v="1"/>
  </r>
  <r>
    <x v="9"/>
    <x v="11"/>
    <s v="COP2T_S5GP"/>
    <n v="49799.42"/>
    <n v="5827.8162975226114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7-29T00:00:00"/>
    <n v="2.3586334757738081E-2"/>
    <x v="1"/>
  </r>
  <r>
    <x v="10"/>
    <x v="11"/>
    <s v="COP2T_S5GP"/>
    <n v="50109.63"/>
    <n v="5864.1188667825436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8-31T00:00:00"/>
    <n v="6.229189014651082E-3"/>
    <x v="1"/>
  </r>
  <r>
    <x v="11"/>
    <x v="11"/>
    <s v="COP2T_S5GP"/>
    <n v="50109.63"/>
    <n v="5864.1188667825436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9-30T00:00:00"/>
    <n v="0"/>
    <x v="1"/>
  </r>
  <r>
    <x v="12"/>
    <x v="11"/>
    <s v="COP2T_S5GP"/>
    <n v="50788.12"/>
    <n v="5943.5196927300376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10-31T00:00:00"/>
    <n v="1.3540111950537392E-2"/>
    <x v="1"/>
  </r>
  <r>
    <x v="13"/>
    <x v="11"/>
    <s v="COP2T_S5GP"/>
    <n v="42883.31"/>
    <n v="5018.4530845884219"/>
    <n v="0.2084"/>
    <n v="0"/>
    <n v="0"/>
    <n v="-8043.4099999999989"/>
    <n v="8.5451252163129432"/>
    <n v="-8043.4099999999989"/>
    <n v="-941.28638216381523"/>
    <n v="-8043.4099999999989"/>
    <m/>
    <s v="Private Equity Fund"/>
    <n v="0"/>
    <n v="0"/>
    <n v="0"/>
    <n v="0"/>
    <m/>
    <m/>
    <m/>
    <m/>
    <m/>
    <m/>
    <m/>
    <m/>
    <m/>
    <m/>
    <m/>
    <d v="2016-11-30T00:00:00"/>
    <n v="2.7289846523161909E-3"/>
    <x v="1"/>
  </r>
  <r>
    <x v="14"/>
    <x v="11"/>
    <s v="COP2T_S5GP"/>
    <n v="38881.440000000002"/>
    <n v="4550.131099983646"/>
    <n v="0.2084"/>
    <n v="0"/>
    <n v="0"/>
    <n v="-1583.84"/>
    <n v="8.5451252163129432"/>
    <n v="-1583.84"/>
    <n v="-185.35012184214619"/>
    <n v="-1583.84"/>
    <m/>
    <s v="Private Equity Fund"/>
    <n v="0"/>
    <n v="0"/>
    <n v="0"/>
    <n v="0"/>
    <m/>
    <m/>
    <m/>
    <m/>
    <m/>
    <m/>
    <m/>
    <m/>
    <m/>
    <m/>
    <m/>
    <d v="2016-12-30T00:00:00"/>
    <n v="-5.6386272421601769E-2"/>
    <x v="1"/>
  </r>
  <r>
    <x v="15"/>
    <x v="11"/>
    <s v="COP2T_S5GP"/>
    <n v="39068.47"/>
    <n v="4572.0184328506884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4.8102642288967434E-3"/>
    <x v="1"/>
  </r>
  <r>
    <x v="16"/>
    <x v="11"/>
    <s v="COP2T_S5GP"/>
    <n v="39740.54"/>
    <n v="4650.6679532482358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2-28T00:00:00"/>
    <n v="1.7202362928468995E-2"/>
    <x v="1"/>
  </r>
  <r>
    <x v="17"/>
    <x v="11"/>
    <s v="COP2T_S5GP"/>
    <n v="39496.39"/>
    <n v="4622.0961074508314"/>
    <n v="0.2084"/>
    <n v="0"/>
    <n v="0"/>
    <n v="-2500.8000000000002"/>
    <n v="8.5451252163129432"/>
    <n v="-2500.8000000000002"/>
    <n v="-292.65808711917822"/>
    <n v="-2500.8000000000002"/>
    <m/>
    <s v="Private Equity Fund"/>
    <n v="0"/>
    <n v="0"/>
    <n v="0"/>
    <n v="0"/>
    <m/>
    <m/>
    <m/>
    <m/>
    <m/>
    <m/>
    <m/>
    <m/>
    <m/>
    <m/>
    <m/>
    <d v="2017-03-31T00:00:00"/>
    <n v="5.6784583198919769E-2"/>
    <x v="1"/>
  </r>
  <r>
    <x v="18"/>
    <x v="11"/>
    <s v="COP2T_S5GP"/>
    <n v="37731.120000000003"/>
    <n v="4415.5139971465806"/>
    <n v="0.2084"/>
    <n v="0"/>
    <n v="0"/>
    <n v="-2396.6"/>
    <n v="8.5451252163129432"/>
    <n v="-2396.6"/>
    <n v="-280.46400015587915"/>
    <n v="-2396.6"/>
    <m/>
    <s v="Private Equity Fund"/>
    <n v="0"/>
    <n v="0"/>
    <n v="0"/>
    <n v="0"/>
    <m/>
    <m/>
    <m/>
    <m/>
    <m/>
    <m/>
    <m/>
    <m/>
    <m/>
    <m/>
    <m/>
    <d v="2017-04-28T00:00:00"/>
    <n v="1.5984498836475902E-2"/>
    <x v="1"/>
  </r>
  <r>
    <x v="19"/>
    <x v="11"/>
    <s v="COP2T_S5GP"/>
    <n v="35664.46"/>
    <n v="4173.6614850201722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-5.4773354196748003E-2"/>
    <x v="1"/>
  </r>
  <r>
    <x v="20"/>
    <x v="11"/>
    <s v="COP2T_S5GP"/>
    <n v="34634.97"/>
    <n v="4053.1846079774969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-2.8865991522092238E-2"/>
    <x v="1"/>
  </r>
  <r>
    <x v="21"/>
    <x v="11"/>
    <s v="COP2T_S5GP"/>
    <n v="36437.64"/>
    <n v="4264.1434827004368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7-31T00:00:00"/>
    <n v="5.2047684753299794E-2"/>
    <x v="1"/>
  </r>
  <r>
    <x v="22"/>
    <x v="11"/>
    <s v="COP2T_S5GP"/>
    <n v="40400"/>
    <n v="4727.8417784768071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0.10874359590796767"/>
    <x v="1"/>
  </r>
  <r>
    <x v="23"/>
    <x v="11"/>
    <s v="COP2T_S5GP"/>
    <n v="40300"/>
    <n v="4716.1391998172112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-2.4752475247524774E-3"/>
    <x v="1"/>
  </r>
  <r>
    <x v="24"/>
    <x v="11"/>
    <s v="COP2T_S5GP"/>
    <n v="40100"/>
    <n v="4692.7340424980193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-4.9627791563275903E-3"/>
    <x v="1"/>
  </r>
  <r>
    <x v="25"/>
    <x v="11"/>
    <s v="COP2T_S5GP"/>
    <n v="29800"/>
    <n v="3487.3684405596255"/>
    <n v="0.2084"/>
    <n v="0"/>
    <n v="0"/>
    <n v="-9110.3917249999995"/>
    <n v="8.5451252163129432"/>
    <n v="-9110.3917249999995"/>
    <n v="-1066.1507578154551"/>
    <n v="-9110.3917249999995"/>
    <m/>
    <s v="Private Equity Fund"/>
    <n v="0"/>
    <n v="0"/>
    <n v="0"/>
    <n v="0"/>
    <m/>
    <m/>
    <m/>
    <m/>
    <m/>
    <m/>
    <m/>
    <m/>
    <m/>
    <m/>
    <m/>
    <d v="2017-11-30T00:00:00"/>
    <n v="-2.9666041770573526E-2"/>
    <x v="1"/>
  </r>
  <r>
    <x v="26"/>
    <x v="11"/>
    <s v="COP2T_S5GP"/>
    <n v="30100"/>
    <n v="3522.4761765384137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1.0067114093959662E-2"/>
    <x v="1"/>
  </r>
  <r>
    <x v="27"/>
    <x v="11"/>
    <s v="COP2T_S5GP"/>
    <n v="30700"/>
    <n v="3592.6916484959897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1.9933554817275656E-2"/>
    <x v="1"/>
  </r>
  <r>
    <x v="28"/>
    <x v="11"/>
    <s v="COP2T_S5GP"/>
    <n v="29800"/>
    <n v="3487.3684405596255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-2.931596091205213E-2"/>
    <x v="1"/>
  </r>
  <r>
    <x v="29"/>
    <x v="11"/>
    <s v="COP2T_S5GP"/>
    <n v="29936.85"/>
    <n v="3503.3834194552824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4.5922818791945819E-3"/>
    <x v="1"/>
  </r>
  <r>
    <x v="30"/>
    <x v="11"/>
    <s v="COP2T_S5GP"/>
    <n v="18101.07"/>
    <n v="2118.2919549785443"/>
    <n v="0.2084"/>
    <n v="0"/>
    <n v="0"/>
    <n v="-12107.51"/>
    <n v="8.5451252163129432"/>
    <n v="-12107.51"/>
    <n v="-1416.8908814684587"/>
    <n v="-12107.51"/>
    <m/>
    <s v="Private Equity Fund"/>
    <n v="0"/>
    <n v="0"/>
    <n v="0"/>
    <n v="0"/>
    <m/>
    <m/>
    <m/>
    <m/>
    <m/>
    <m/>
    <m/>
    <m/>
    <m/>
    <m/>
    <m/>
    <d v="2018-04-30T00:00:00"/>
    <n v="9.0767732744094776E-3"/>
    <x v="1"/>
  </r>
  <r>
    <x v="31"/>
    <x v="11"/>
    <s v="COP2T_S5GP"/>
    <n v="17384.580000000002"/>
    <n v="2034.4441491404045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3.9582742898624068E-2"/>
    <x v="1"/>
  </r>
  <r>
    <x v="32"/>
    <x v="11"/>
    <s v="COP2T_S5GP"/>
    <n v="16813.3"/>
    <n v="1967.589657773864"/>
    <n v="0.2084"/>
    <n v="0"/>
    <n v="0"/>
    <n v="0"/>
    <n v="8.5451252163129432"/>
    <n v="0"/>
    <n v="0"/>
    <n v="-16813.3"/>
    <m/>
    <s v="Private Equity Fund"/>
    <n v="0"/>
    <n v="0"/>
    <n v="0"/>
    <n v="0"/>
    <m/>
    <m/>
    <m/>
    <m/>
    <m/>
    <m/>
    <m/>
    <m/>
    <m/>
    <m/>
    <m/>
    <d v="2018-06-29T00:00:00"/>
    <n v="-3.2861305823896902E-2"/>
    <x v="1"/>
  </r>
  <r>
    <x v="33"/>
    <x v="11"/>
    <s v="COP2T_S5GP"/>
    <n v="16813.3"/>
    <n v="1967.589657773864"/>
    <n v="0.2084"/>
    <n v="0"/>
    <n v="0"/>
    <n v="0"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1"/>
  </r>
  <r>
    <x v="207"/>
    <x v="12"/>
    <s v="COTT"/>
    <n v="19979521.940000001"/>
    <n v="1000"/>
    <m/>
    <n v="19979521.940000001"/>
    <n v="0"/>
    <n v="0"/>
    <n v="19979.521940000002"/>
    <n v="19979521.940000001"/>
    <n v="1000"/>
    <n v="1000"/>
    <m/>
    <s v="Hedge Fund"/>
    <n v="0"/>
    <n v="0"/>
    <n v="0"/>
    <n v="0"/>
    <s v="ARF"/>
    <n v="4.9948800000000002"/>
    <s v="HRF"/>
    <n v="4.9948800000000002"/>
    <m/>
    <m/>
    <m/>
    <m/>
    <m/>
    <m/>
    <m/>
    <d v="2009-02-02T00:00:00"/>
    <n v="0"/>
    <x v="1"/>
  </r>
  <r>
    <x v="130"/>
    <x v="12"/>
    <s v="COTT"/>
    <n v="39674246.759999998"/>
    <n v="991.34800000000007"/>
    <m/>
    <n v="19715183.850466557"/>
    <n v="0"/>
    <n v="0"/>
    <n v="40020.504162009704"/>
    <n v="19715183.850466557"/>
    <n v="0"/>
    <n v="0"/>
    <m/>
    <s v="Hedge Fund"/>
    <n v="0"/>
    <n v="0"/>
    <n v="0"/>
    <n v="0"/>
    <s v="ARF"/>
    <n v="14.880381710000002"/>
    <s v="HRF"/>
    <n v="14.880381710000002"/>
    <m/>
    <m/>
    <m/>
    <m/>
    <m/>
    <m/>
    <m/>
    <d v="2009-03-31T00:00:00"/>
    <n v="-1.0240000000000249E-3"/>
    <x v="1"/>
  </r>
  <r>
    <x v="131"/>
    <x v="12"/>
    <s v="COTT"/>
    <n v="39876208.07"/>
    <n v="996.39450000000011"/>
    <m/>
    <n v="0"/>
    <n v="-2.1642535850405693"/>
    <n v="0"/>
    <n v="40020.501989924669"/>
    <n v="-2.1642535850405693"/>
    <n v="0"/>
    <n v="0"/>
    <m/>
    <s v="Hedge Fund"/>
    <n v="0"/>
    <n v="0"/>
    <n v="0"/>
    <n v="0"/>
    <s v="ARF"/>
    <n v="14.95613094"/>
    <s v="HRF"/>
    <n v="14.95613094"/>
    <m/>
    <m/>
    <m/>
    <m/>
    <m/>
    <m/>
    <m/>
    <d v="2009-04-30T00:00:00"/>
    <n v="5.0905433813355216E-3"/>
    <x v="1"/>
  </r>
  <r>
    <x v="132"/>
    <x v="12"/>
    <s v="COTT"/>
    <n v="40149829.530000001"/>
    <n v="1003.2314999999999"/>
    <m/>
    <n v="1.2878948971629143"/>
    <n v="0"/>
    <n v="0"/>
    <n v="40020.503273671136"/>
    <n v="1.2878948971629143"/>
    <n v="0"/>
    <n v="0"/>
    <m/>
    <s v="Hedge Fund"/>
    <n v="0"/>
    <n v="0"/>
    <n v="0"/>
    <n v="0"/>
    <s v="ARF"/>
    <n v="15.058756019999999"/>
    <s v="HRF"/>
    <n v="15.058756019999999"/>
    <m/>
    <m/>
    <m/>
    <m/>
    <m/>
    <m/>
    <m/>
    <d v="2009-05-29T00:00:00"/>
    <n v="6.8617400035826392E-3"/>
    <x v="1"/>
  </r>
  <r>
    <x v="133"/>
    <x v="12"/>
    <s v="COTT"/>
    <n v="20132711.030000001"/>
    <n v="1002.3792999999999"/>
    <m/>
    <n v="0"/>
    <n v="-19983013.027110182"/>
    <n v="-348445.29468541307"/>
    <n v="20084.922972770888"/>
    <n v="-20331458.321795594"/>
    <n v="-17.348600000000001"/>
    <n v="-17.348600000000001"/>
    <m/>
    <s v="Hedge Fund"/>
    <n v="0"/>
    <n v="0"/>
    <n v="0"/>
    <n v="0"/>
    <s v="ARF"/>
    <n v="5.0544588299999997"/>
    <s v="HRF"/>
    <n v="5.0544588299999997"/>
    <m/>
    <m/>
    <m/>
    <m/>
    <m/>
    <m/>
    <m/>
    <d v="2009-06-30T00:00:00"/>
    <n v="7.8291695251340165E-3"/>
    <x v="1"/>
  </r>
  <r>
    <x v="134"/>
    <x v="12"/>
    <s v="COTT"/>
    <n v="26460241.32"/>
    <n v="1055.3257999999998"/>
    <m/>
    <n v="5264103.9158221893"/>
    <n v="0"/>
    <n v="0"/>
    <n v="25073.054520224941"/>
    <n v="5264103.9158221893"/>
    <n v="0"/>
    <n v="0"/>
    <m/>
    <s v="Hedge Fund"/>
    <n v="0"/>
    <n v="0"/>
    <n v="0"/>
    <n v="0"/>
    <s v="ARF"/>
    <n v="7.9534914900000002"/>
    <s v="HRF"/>
    <n v="7.9534914900000002"/>
    <m/>
    <m/>
    <m/>
    <m/>
    <m/>
    <m/>
    <m/>
    <d v="2009-07-31T00:00:00"/>
    <n v="5.2820823414848839E-2"/>
    <x v="1"/>
  </r>
  <r>
    <x v="135"/>
    <x v="12"/>
    <s v="COTT"/>
    <n v="41833139.82"/>
    <n v="1067.1639"/>
    <m/>
    <n v="15076081.173284121"/>
    <n v="0"/>
    <n v="0"/>
    <n v="39200.295118678587"/>
    <n v="15076081.173284121"/>
    <n v="0"/>
    <n v="0"/>
    <m/>
    <s v="Hedge Fund"/>
    <n v="0"/>
    <n v="0"/>
    <n v="0"/>
    <n v="0"/>
    <s v="ARF"/>
    <n v="15.592481599999999"/>
    <s v="HRF"/>
    <n v="15.592481599999999"/>
    <m/>
    <m/>
    <m/>
    <m/>
    <m/>
    <m/>
    <m/>
    <d v="2009-08-31T00:00:00"/>
    <n v="1.1217483738197309E-2"/>
    <x v="1"/>
  </r>
  <r>
    <x v="136"/>
    <x v="12"/>
    <s v="COTT"/>
    <n v="42577963.890000001"/>
    <n v="1083.7762"/>
    <m/>
    <n v="93617.007399968803"/>
    <n v="0"/>
    <n v="-350523.57619530486"/>
    <n v="39286.675505514882"/>
    <n v="-256906.56879533606"/>
    <n v="-8.9222000000000001"/>
    <n v="-8.9222000000000001"/>
    <m/>
    <s v="Hedge Fund"/>
    <n v="0"/>
    <n v="0"/>
    <n v="0"/>
    <n v="0"/>
    <s v="ARF"/>
    <n v="15.87010025"/>
    <s v="HRF"/>
    <n v="15.87010025"/>
    <m/>
    <m/>
    <m/>
    <m/>
    <m/>
    <m/>
    <m/>
    <d v="2009-09-30T00:00:00"/>
    <n v="2.3945863090975017E-2"/>
    <x v="1"/>
  </r>
  <r>
    <x v="137"/>
    <x v="12"/>
    <s v="COTT"/>
    <n v="42967687.509999998"/>
    <n v="1093.6962000000001"/>
    <m/>
    <n v="0"/>
    <n v="-0.20101471245288849"/>
    <n v="0"/>
    <n v="39286.675321720963"/>
    <n v="-0.20101471245288849"/>
    <n v="0"/>
    <n v="0"/>
    <m/>
    <s v="Hedge Fund"/>
    <n v="0"/>
    <n v="0"/>
    <n v="0"/>
    <n v="0"/>
    <s v="ARF"/>
    <n v="16.015362140000001"/>
    <s v="HRF"/>
    <n v="16.015362140000001"/>
    <m/>
    <m/>
    <m/>
    <m/>
    <m/>
    <m/>
    <m/>
    <d v="2009-10-30T00:00:00"/>
    <n v="9.1531812564253912E-3"/>
    <x v="1"/>
  </r>
  <r>
    <x v="138"/>
    <x v="12"/>
    <s v="COTT"/>
    <n v="43049081.469999999"/>
    <n v="1095.768"/>
    <m/>
    <n v="0"/>
    <n v="-0.1739315390586853"/>
    <n v="0"/>
    <n v="39286.675162990701"/>
    <n v="-0.1739315390586853"/>
    <n v="0"/>
    <n v="0"/>
    <m/>
    <s v="Hedge Fund"/>
    <n v="0"/>
    <n v="0"/>
    <n v="0"/>
    <n v="0"/>
    <s v="ARF"/>
    <n v="16.04570021"/>
    <s v="HRF"/>
    <n v="16.04570021"/>
    <m/>
    <m/>
    <m/>
    <m/>
    <m/>
    <m/>
    <m/>
    <d v="2009-11-30T00:00:00"/>
    <n v="1.8943103212756274E-3"/>
    <x v="1"/>
  </r>
  <r>
    <x v="139"/>
    <x v="12"/>
    <s v="COTT"/>
    <n v="42607957.950000003"/>
    <n v="1084.5396999999998"/>
    <m/>
    <n v="0"/>
    <n v="-0.94526737928390503"/>
    <n v="-397011.48705181101"/>
    <n v="39286.674291406765"/>
    <n v="-397012.43231919029"/>
    <n v="-10.105499999999999"/>
    <n v="-10.105499999999999"/>
    <m/>
    <s v="Hedge Fund"/>
    <n v="0"/>
    <n v="0"/>
    <n v="0"/>
    <n v="0"/>
    <s v="ARF"/>
    <n v="15.88128042"/>
    <s v="HRF"/>
    <n v="15.88128042"/>
    <m/>
    <m/>
    <m/>
    <m/>
    <m/>
    <m/>
    <m/>
    <d v="2009-12-31T00:00:00"/>
    <n v="-1.0246696601773353E-3"/>
    <x v="1"/>
  </r>
  <r>
    <x v="140"/>
    <x v="12"/>
    <s v="COTT"/>
    <n v="43082944.210000001"/>
    <n v="1101.2674"/>
    <m/>
    <n v="0"/>
    <n v="-182189.44154436886"/>
    <n v="0"/>
    <n v="39121.23813889343"/>
    <n v="-182189.44154436886"/>
    <n v="0"/>
    <n v="0"/>
    <m/>
    <s v="Hedge Fund"/>
    <n v="0"/>
    <n v="0"/>
    <n v="0"/>
    <n v="0"/>
    <s v="ARF"/>
    <n v="16.126229779999999"/>
    <s v="HRF"/>
    <n v="16.126229779999999"/>
    <m/>
    <m/>
    <m/>
    <m/>
    <m/>
    <m/>
    <m/>
    <d v="2010-01-29T00:00:00"/>
    <n v="1.5423778401104205E-2"/>
    <x v="1"/>
  </r>
  <r>
    <x v="141"/>
    <x v="12"/>
    <s v="COTT"/>
    <n v="42543722.520000003"/>
    <n v="1087.4839999999999"/>
    <m/>
    <n v="1.9837636202573776"/>
    <n v="0"/>
    <n v="0"/>
    <n v="39121.23996307073"/>
    <n v="1.9837636202573776"/>
    <n v="0"/>
    <n v="0"/>
    <m/>
    <s v="Hedge Fund"/>
    <n v="0"/>
    <n v="0"/>
    <n v="0"/>
    <n v="0"/>
    <s v="ARF"/>
    <n v="15.9243948"/>
    <s v="HRF"/>
    <n v="15.9243948"/>
    <m/>
    <m/>
    <m/>
    <m/>
    <m/>
    <m/>
    <m/>
    <d v="2010-02-26T00:00:00"/>
    <n v="-1.2515942994407947E-2"/>
    <x v="1"/>
  </r>
  <r>
    <x v="142"/>
    <x v="12"/>
    <s v="COTT"/>
    <n v="44934865.420000002"/>
    <n v="1148.6053999999999"/>
    <m/>
    <n v="0"/>
    <n v="-2.056278832256794"/>
    <n v="0"/>
    <n v="39121.238172831159"/>
    <n v="-2.056278832256794"/>
    <n v="0"/>
    <n v="0"/>
    <m/>
    <s v="Hedge Fund"/>
    <n v="0"/>
    <n v="0"/>
    <n v="0"/>
    <n v="0"/>
    <s v="ARF"/>
    <n v="16.819416069999999"/>
    <s v="HRF"/>
    <n v="16.819416069999999"/>
    <m/>
    <m/>
    <m/>
    <m/>
    <m/>
    <m/>
    <m/>
    <d v="2010-03-31T00:00:00"/>
    <n v="5.6204413122399988E-2"/>
    <x v="1"/>
  </r>
  <r>
    <x v="143"/>
    <x v="12"/>
    <s v="COTT"/>
    <n v="46216769.770000003"/>
    <n v="1181.3729000000001"/>
    <m/>
    <n v="0"/>
    <n v="-0.82182824611663818"/>
    <n v="0"/>
    <n v="39121.237477175921"/>
    <n v="-0.82182824611663818"/>
    <n v="0"/>
    <n v="0"/>
    <m/>
    <s v="Hedge Fund"/>
    <n v="0"/>
    <n v="0"/>
    <n v="0"/>
    <n v="0"/>
    <s v="ARF"/>
    <n v="17.299241609999999"/>
    <s v="HRF"/>
    <n v="17.299241609999999"/>
    <m/>
    <m/>
    <m/>
    <m/>
    <m/>
    <m/>
    <m/>
    <d v="2010-04-30T00:00:00"/>
    <n v="2.8528074132334824E-2"/>
    <x v="1"/>
  </r>
  <r>
    <x v="144"/>
    <x v="12"/>
    <s v="COTT"/>
    <n v="45710298.93"/>
    <n v="1168.4267"/>
    <m/>
    <n v="0.52462701499462128"/>
    <n v="0"/>
    <n v="0"/>
    <n v="39121.237926178852"/>
    <n v="0.52462701499462128"/>
    <n v="0"/>
    <n v="0"/>
    <m/>
    <s v="Hedge Fund"/>
    <n v="0"/>
    <n v="0"/>
    <n v="0"/>
    <n v="0"/>
    <s v="ARF"/>
    <n v="17.109666050000001"/>
    <s v="HRF"/>
    <n v="17.109666050000001"/>
    <m/>
    <m/>
    <m/>
    <m/>
    <m/>
    <m/>
    <m/>
    <d v="2010-05-31T00:00:00"/>
    <n v="-1.0958605872879001E-2"/>
    <x v="1"/>
  </r>
  <r>
    <x v="145"/>
    <x v="12"/>
    <s v="COTT"/>
    <n v="45569820.68"/>
    <n v="1164.8358000000001"/>
    <m/>
    <n v="2.2032691165804863"/>
    <n v="0"/>
    <n v="-939715.65316416963"/>
    <n v="39121.239817663569"/>
    <n v="-939713.44989505305"/>
    <n v="-24.020600000000002"/>
    <n v="-24.020600000000002"/>
    <m/>
    <s v="Hedge Fund"/>
    <n v="0"/>
    <n v="0"/>
    <n v="0"/>
    <n v="0"/>
    <s v="ARF"/>
    <n v="17.057083280000001"/>
    <s v="HRF"/>
    <n v="17.057083280000001"/>
    <m/>
    <m/>
    <m/>
    <m/>
    <m/>
    <m/>
    <m/>
    <d v="2010-06-30T00:00:00"/>
    <n v="1.7484794862509867E-2"/>
    <x v="1"/>
  </r>
  <r>
    <x v="146"/>
    <x v="12"/>
    <s v="COTT"/>
    <n v="46933792.829999998"/>
    <n v="1188.8563999999997"/>
    <m/>
    <n v="424256.49683584273"/>
    <n v="0"/>
    <n v="0"/>
    <n v="39478.100828661904"/>
    <n v="424256.49683584273"/>
    <n v="0"/>
    <n v="0"/>
    <m/>
    <s v="Hedge Fund"/>
    <n v="0"/>
    <n v="0"/>
    <n v="0"/>
    <n v="0"/>
    <s v="ARF"/>
    <n v="17.56762762"/>
    <s v="HRF"/>
    <n v="17.56762762"/>
    <m/>
    <m/>
    <m/>
    <m/>
    <m/>
    <m/>
    <m/>
    <d v="2010-07-30T00:00:00"/>
    <n v="2.0621447246040647E-2"/>
    <x v="1"/>
  </r>
  <r>
    <x v="147"/>
    <x v="12"/>
    <s v="COTT"/>
    <n v="50006313.68"/>
    <n v="1213.5954999999997"/>
    <m/>
    <n v="2095868.1657896563"/>
    <n v="0"/>
    <n v="0"/>
    <n v="41205.091548213561"/>
    <n v="2095868.1657896563"/>
    <n v="0"/>
    <n v="0"/>
    <m/>
    <s v="Hedge Fund"/>
    <n v="0"/>
    <n v="0"/>
    <n v="0"/>
    <n v="0"/>
    <s v="ARF"/>
    <n v="17.77108801"/>
    <s v="HRF"/>
    <n v="17.77108801"/>
    <m/>
    <m/>
    <m/>
    <m/>
    <m/>
    <m/>
    <m/>
    <d v="2010-08-31T00:00:00"/>
    <n v="2.0809157439031223E-2"/>
    <x v="1"/>
  </r>
  <r>
    <x v="148"/>
    <x v="12"/>
    <s v="COTT"/>
    <n v="57583797.530000001"/>
    <n v="1214.5748000000001"/>
    <m/>
    <n v="7537131.7038468197"/>
    <n v="0"/>
    <n v="-1383343.6079445968"/>
    <n v="47410.663822433991"/>
    <n v="6153788.0959022231"/>
    <n v="-29.177900000000001"/>
    <n v="-29.177900000000001"/>
    <m/>
    <s v="Hedge Fund"/>
    <n v="0"/>
    <n v="0"/>
    <n v="0"/>
    <n v="0"/>
    <s v="ARF"/>
    <n v="21.553994769999999"/>
    <s v="HRF"/>
    <n v="21.553994769999999"/>
    <m/>
    <m/>
    <m/>
    <m/>
    <m/>
    <m/>
    <m/>
    <d v="2010-09-30T00:00:00"/>
    <n v="2.8470320032152108E-2"/>
    <x v="1"/>
  </r>
  <r>
    <x v="149"/>
    <x v="12"/>
    <s v="COTT"/>
    <n v="65773613.276856452"/>
    <n v="1242.0356999999999"/>
    <m/>
    <n v="6887876.2486949787"/>
    <n v="0"/>
    <n v="0"/>
    <n v="52956.298500000004"/>
    <n v="6887876.2486949787"/>
    <n v="0"/>
    <n v="0"/>
    <m/>
    <s v="Hedge Fund"/>
    <n v="0"/>
    <n v="0"/>
    <n v="0"/>
    <n v="0"/>
    <s v="ARF"/>
    <n v="22.57082097"/>
    <s v="HRF"/>
    <n v="22.57082097"/>
    <m/>
    <m/>
    <m/>
    <m/>
    <m/>
    <m/>
    <m/>
    <d v="2010-10-29T00:00:00"/>
    <n v="2.2609476172237297E-2"/>
    <x v="1"/>
  </r>
  <r>
    <x v="150"/>
    <x v="12"/>
    <s v="COTT"/>
    <n v="66222910.400219984"/>
    <n v="1250.52"/>
    <m/>
    <n v="0"/>
    <n v="-2.2351741790771484E-8"/>
    <n v="0"/>
    <n v="52956.29849999999"/>
    <n v="-2.2351741790771484E-8"/>
    <n v="0"/>
    <n v="0"/>
    <m/>
    <s v="Hedge Fund"/>
    <n v="0"/>
    <n v="0"/>
    <n v="0"/>
    <n v="0"/>
    <s v="ARF"/>
    <n v="22.725001410000001"/>
    <s v="HRF"/>
    <n v="22.725001410000001"/>
    <m/>
    <m/>
    <m/>
    <m/>
    <m/>
    <m/>
    <m/>
    <d v="2010-11-30T00:00:00"/>
    <n v="6.830963071351448E-3"/>
    <x v="1"/>
  </r>
  <r>
    <x v="151"/>
    <x v="12"/>
    <s v="COTT"/>
    <n v="67377468.915746853"/>
    <n v="1272.3221000000003"/>
    <m/>
    <n v="0"/>
    <n v="0"/>
    <n v="0"/>
    <n v="52956.29849999999"/>
    <n v="0"/>
    <n v="0"/>
    <n v="0"/>
    <m/>
    <s v="Hedge Fund"/>
    <n v="0"/>
    <n v="0"/>
    <n v="0"/>
    <n v="0"/>
    <s v="ARF"/>
    <n v="23.121198809999999"/>
    <s v="HRF"/>
    <n v="23.121198809999999"/>
    <m/>
    <m/>
    <m/>
    <m/>
    <m/>
    <m/>
    <m/>
    <d v="2010-12-31T00:00:00"/>
    <n v="1.7434427278252507E-2"/>
    <x v="1"/>
  </r>
  <r>
    <x v="152"/>
    <x v="12"/>
    <s v="COTT"/>
    <n v="67885756.356959596"/>
    <n v="1284.8171"/>
    <m/>
    <n v="0"/>
    <n v="-153401.50854474306"/>
    <n v="0"/>
    <n v="52836.902900000001"/>
    <n v="-153401.50854474306"/>
    <n v="0"/>
    <n v="0"/>
    <m/>
    <s v="Hedge Fund"/>
    <n v="0"/>
    <n v="0"/>
    <n v="0"/>
    <n v="0"/>
    <s v="ARF"/>
    <n v="23.348263450000001"/>
    <s v="HRF"/>
    <n v="23.348263450000001"/>
    <m/>
    <m/>
    <m/>
    <m/>
    <m/>
    <m/>
    <m/>
    <d v="2011-01-31T00:00:00"/>
    <n v="9.8206263964131235E-3"/>
    <x v="1"/>
  </r>
  <r>
    <x v="153"/>
    <x v="12"/>
    <s v="COTT"/>
    <n v="68114799.04734081"/>
    <n v="1289.1520000000003"/>
    <m/>
    <n v="0"/>
    <n v="0"/>
    <n v="0"/>
    <n v="52836.902900000001"/>
    <n v="0"/>
    <n v="0"/>
    <n v="0"/>
    <m/>
    <s v="Hedge Fund"/>
    <n v="0"/>
    <n v="0"/>
    <n v="0"/>
    <n v="0"/>
    <s v="ARF"/>
    <n v="23.427039180000001"/>
    <s v="HRF"/>
    <n v="23.427039180000001"/>
    <m/>
    <m/>
    <m/>
    <m/>
    <m/>
    <m/>
    <m/>
    <d v="2011-02-28T00:00:00"/>
    <n v="3.3739432639867672E-3"/>
    <x v="1"/>
  </r>
  <r>
    <x v="154"/>
    <x v="12"/>
    <s v="COTT"/>
    <n v="60182122.25"/>
    <n v="1139.0168000000001"/>
    <m/>
    <n v="2.186931274831295"/>
    <n v="0"/>
    <n v="-8799986.4977737814"/>
    <n v="52836.904820016694"/>
    <n v="-8799984.3108425066"/>
    <n v="-166.55"/>
    <n v="-166.55"/>
    <m/>
    <s v="Hedge Fund"/>
    <n v="0"/>
    <n v="0"/>
    <n v="0"/>
    <n v="0"/>
    <s v="ARF"/>
    <n v="20.698716050000002"/>
    <s v="HRF"/>
    <n v="20.698716050000002"/>
    <m/>
    <m/>
    <m/>
    <m/>
    <m/>
    <m/>
    <m/>
    <d v="2011-03-31T00:00:00"/>
    <n v="1.2733026091714894E-2"/>
    <x v="1"/>
  </r>
  <r>
    <x v="155"/>
    <x v="12"/>
    <s v="COTT"/>
    <n v="66433785.296136305"/>
    <n v="1140.3630000000001"/>
    <m/>
    <n v="6180534.0048676059"/>
    <n v="0"/>
    <n v="0"/>
    <n v="58256.700100000002"/>
    <n v="6180534.0048676059"/>
    <n v="0"/>
    <n v="0"/>
    <m/>
    <s v="Hedge Fund"/>
    <n v="0"/>
    <n v="0"/>
    <n v="0"/>
    <n v="0"/>
    <s v="ARF"/>
    <n v="23.753377"/>
    <s v="HRF"/>
    <n v="23.753377"/>
    <m/>
    <m/>
    <m/>
    <m/>
    <m/>
    <m/>
    <m/>
    <d v="2011-04-29T00:00:00"/>
    <n v="1.1818965268992621E-3"/>
    <x v="1"/>
  </r>
  <r>
    <x v="156"/>
    <x v="12"/>
    <s v="COTT"/>
    <n v="67489973.196942776"/>
    <n v="1146.9009000000001"/>
    <m/>
    <n v="675311.42122267932"/>
    <n v="0"/>
    <n v="0"/>
    <n v="58845.514199999991"/>
    <n v="675311.42122267932"/>
    <n v="0"/>
    <n v="0"/>
    <m/>
    <s v="Hedge Fund"/>
    <n v="0"/>
    <n v="0"/>
    <n v="0"/>
    <n v="0"/>
    <s v="ARF"/>
    <n v="23.889559239999997"/>
    <s v="HRF"/>
    <n v="23.889559239999997"/>
    <m/>
    <m/>
    <m/>
    <m/>
    <m/>
    <m/>
    <m/>
    <d v="2011-05-31T00:00:00"/>
    <n v="5.7331744365609616E-3"/>
    <x v="1"/>
  </r>
  <r>
    <x v="157"/>
    <x v="12"/>
    <s v="COTT"/>
    <n v="49220600.577635519"/>
    <n v="827.85119999999995"/>
    <m/>
    <n v="505271.03254848719"/>
    <n v="0"/>
    <n v="-20000949.487440001"/>
    <n v="59455.854600000006"/>
    <n v="-19495678.454891514"/>
    <n v="-336.4"/>
    <n v="-336.4"/>
    <m/>
    <s v="Hedge Fund"/>
    <n v="0"/>
    <n v="0"/>
    <n v="0"/>
    <n v="0"/>
    <s v="ARF"/>
    <n v="17.243861519999999"/>
    <s v="HRF"/>
    <n v="17.243861519999999"/>
    <m/>
    <m/>
    <m/>
    <m/>
    <m/>
    <m/>
    <m/>
    <d v="2011-06-30T00:00:00"/>
    <n v="1.8170192956007858E-2"/>
    <x v="1"/>
  </r>
  <r>
    <x v="158"/>
    <x v="12"/>
    <s v="COTT"/>
    <n v="60018032.444239162"/>
    <n v="835.81129999999996"/>
    <m/>
    <n v="10324157.318402179"/>
    <n v="0"/>
    <n v="0"/>
    <n v="71808.113200000007"/>
    <n v="10324157.318402179"/>
    <n v="0"/>
    <n v="0"/>
    <m/>
    <s v="Hedge Fund"/>
    <n v="0"/>
    <n v="0"/>
    <n v="0"/>
    <n v="0"/>
    <s v="ARF"/>
    <n v="24.484142219999999"/>
    <s v="HRF"/>
    <n v="17.409667710000001"/>
    <m/>
    <m/>
    <m/>
    <m/>
    <m/>
    <m/>
    <m/>
    <d v="2011-07-29T00:00:00"/>
    <n v="9.6153753234882178E-3"/>
    <x v="1"/>
  </r>
  <r>
    <x v="159"/>
    <x v="12"/>
    <s v="COTT"/>
    <n v="59049183.019322127"/>
    <n v="822.31910000000005"/>
    <m/>
    <n v="0"/>
    <n v="0"/>
    <n v="0"/>
    <n v="71808.113200000007"/>
    <n v="0"/>
    <n v="0"/>
    <n v="0"/>
    <m/>
    <s v="Hedge Fund"/>
    <n v="0"/>
    <n v="0"/>
    <n v="0"/>
    <n v="0"/>
    <s v="ARF"/>
    <n v="24.088903550000001"/>
    <s v="HRF"/>
    <n v="17.12862973"/>
    <m/>
    <m/>
    <m/>
    <m/>
    <m/>
    <m/>
    <m/>
    <d v="2011-08-31T00:00:00"/>
    <n v="-1.6142638894688255E-2"/>
    <x v="1"/>
  </r>
  <r>
    <x v="160"/>
    <x v="12"/>
    <s v="COTT"/>
    <n v="59709573.513177246"/>
    <n v="831.51570000000004"/>
    <m/>
    <n v="0"/>
    <n v="0"/>
    <n v="0"/>
    <n v="71808.113200000007"/>
    <n v="0"/>
    <n v="0"/>
    <n v="0"/>
    <m/>
    <s v="Hedge Fund"/>
    <n v="0"/>
    <n v="0"/>
    <n v="0"/>
    <n v="0"/>
    <s v="ARF"/>
    <n v="24.358307499999999"/>
    <s v="HRF"/>
    <n v="17.320191809999997"/>
    <m/>
    <m/>
    <m/>
    <m/>
    <m/>
    <m/>
    <m/>
    <d v="2011-09-30T00:00:00"/>
    <n v="1.1183736337876615E-2"/>
    <x v="1"/>
  </r>
  <r>
    <x v="161"/>
    <x v="12"/>
    <s v="COTT"/>
    <n v="48835268.805867329"/>
    <n v="680.08010000000002"/>
    <m/>
    <n v="0"/>
    <n v="0"/>
    <n v="-11008183.753560001"/>
    <n v="71808.113200000007"/>
    <n v="-11008183.753560001"/>
    <n v="-153.30000000000001"/>
    <n v="-153.30000000000001"/>
    <m/>
    <s v="Hedge Fund"/>
    <n v="0"/>
    <n v="0"/>
    <n v="0"/>
    <n v="0"/>
    <s v="ARF"/>
    <n v="19.922173699999998"/>
    <s v="HRF"/>
    <n v="14.165839310000001"/>
    <m/>
    <m/>
    <m/>
    <m/>
    <m/>
    <m/>
    <m/>
    <d v="2011-10-31T00:00:00"/>
    <n v="2.2421705326791663E-3"/>
    <x v="1"/>
  </r>
  <r>
    <x v="162"/>
    <x v="12"/>
    <s v="COTT"/>
    <n v="54901663.88568835"/>
    <n v="680.76589999999999"/>
    <m/>
    <n v="6017149.0757884681"/>
    <n v="0"/>
    <n v="0"/>
    <n v="80646.906499999997"/>
    <n v="6017149.0757884681"/>
    <n v="0"/>
    <n v="0"/>
    <m/>
    <s v="Hedge Fund"/>
    <n v="0"/>
    <n v="0"/>
    <n v="0"/>
    <n v="0"/>
    <s v="ARF"/>
    <n v="24.437541199999998"/>
    <s v="HRF"/>
    <n v="14.180124279999999"/>
    <m/>
    <m/>
    <m/>
    <m/>
    <m/>
    <m/>
    <m/>
    <d v="2011-11-30T00:00:00"/>
    <n v="1.0084106269245829E-3"/>
    <x v="1"/>
  </r>
  <r>
    <x v="163"/>
    <x v="12"/>
    <s v="COTT"/>
    <n v="54503703.66087345"/>
    <n v="675.83130000000006"/>
    <m/>
    <n v="0"/>
    <n v="0"/>
    <n v="0"/>
    <n v="80646.906499999997"/>
    <n v="0"/>
    <n v="0"/>
    <n v="0"/>
    <m/>
    <s v="Hedge Fund"/>
    <n v="0"/>
    <n v="0"/>
    <n v="0"/>
    <n v="0"/>
    <s v="ARF"/>
    <n v="24.26040321"/>
    <s v="HRF"/>
    <n v="14.077338220000001"/>
    <m/>
    <m/>
    <m/>
    <m/>
    <m/>
    <m/>
    <m/>
    <d v="2011-12-30T00:00:00"/>
    <n v="-7.2486004366552059E-3"/>
    <x v="1"/>
  </r>
  <r>
    <x v="164"/>
    <x v="12"/>
    <s v="COTT"/>
    <n v="60818698.849999994"/>
    <n v="693.82360000000006"/>
    <m/>
    <n v="4863971.8533065915"/>
    <n v="0"/>
    <n v="0"/>
    <n v="87657.293366786587"/>
    <n v="4863971.8533065915"/>
    <n v="0"/>
    <n v="0"/>
    <m/>
    <s v="Hedge Fund"/>
    <n v="0"/>
    <n v="0"/>
    <n v="0"/>
    <n v="0"/>
    <s v="ARF"/>
    <n v="24.906275129999997"/>
    <s v="HRF"/>
    <n v="14.45211177"/>
    <m/>
    <m/>
    <m/>
    <m/>
    <m/>
    <m/>
    <m/>
    <d v="2012-01-31T00:00:00"/>
    <n v="2.6622472205711789E-2"/>
    <x v="1"/>
  </r>
  <r>
    <x v="165"/>
    <x v="12"/>
    <s v="COTT"/>
    <n v="53866852.88209974"/>
    <n v="669.56229999999994"/>
    <m/>
    <n v="0"/>
    <n v="-4825166.0763406232"/>
    <n v="0"/>
    <n v="80450.84510000002"/>
    <n v="-4825166.0763406232"/>
    <n v="0"/>
    <n v="0"/>
    <m/>
    <s v="Hedge Fund"/>
    <n v="0"/>
    <n v="0"/>
    <n v="0"/>
    <n v="0"/>
    <s v="ARF"/>
    <n v="24.035364120000001"/>
    <s v="HRF"/>
    <n v="9.1215947100000001"/>
    <m/>
    <m/>
    <m/>
    <m/>
    <m/>
    <m/>
    <m/>
    <d v="2012-02-29T00:00:00"/>
    <n v="-3.4967533534460471E-2"/>
    <x v="1"/>
  </r>
  <r>
    <x v="166"/>
    <x v="12"/>
    <s v="COTT"/>
    <n v="52272194.220000006"/>
    <n v="649.74069999999995"/>
    <m/>
    <n v="5.8091344237327576"/>
    <n v="0"/>
    <n v="0"/>
    <n v="80450.854040696562"/>
    <n v="5.8091344237327576"/>
    <n v="0"/>
    <n v="0"/>
    <m/>
    <s v="Hedge Fund"/>
    <n v="0"/>
    <n v="0"/>
    <n v="0"/>
    <n v="0"/>
    <s v="ARF"/>
    <n v="23.323825589999998"/>
    <s v="HRF"/>
    <n v="8.8515606899999995"/>
    <m/>
    <m/>
    <m/>
    <m/>
    <m/>
    <m/>
    <m/>
    <d v="2012-03-30T00:00:00"/>
    <n v="-2.9603817299749369E-2"/>
    <x v="1"/>
  </r>
  <r>
    <x v="167"/>
    <x v="12"/>
    <s v="COTT"/>
    <n v="52853941.723234795"/>
    <n v="656.97180000000003"/>
    <m/>
    <n v="0"/>
    <n v="-0.66741890460252762"/>
    <n v="0"/>
    <n v="80450.853024794662"/>
    <n v="-0.66741890460252762"/>
    <n v="0"/>
    <n v="0"/>
    <m/>
    <s v="Hedge Fund"/>
    <n v="0"/>
    <n v="0"/>
    <n v="2.485422E-2"/>
    <n v="0.45476652000000001"/>
    <s v="ARF"/>
    <n v="23.58340132"/>
    <s v="HRF"/>
    <n v="8.9500715599999996"/>
    <m/>
    <m/>
    <m/>
    <m/>
    <m/>
    <m/>
    <m/>
    <d v="2012-04-30T00:00:00"/>
    <n v="1.1129208929039125E-2"/>
    <x v="1"/>
  </r>
  <r>
    <x v="168"/>
    <x v="12"/>
    <s v="COTT"/>
    <n v="52741750.949999996"/>
    <n v="655.57730000000004"/>
    <m/>
    <n v="0"/>
    <n v="-2.0586917251348495"/>
    <n v="0"/>
    <n v="80450.849884521609"/>
    <n v="-2.0586917251348495"/>
    <n v="0"/>
    <n v="0"/>
    <m/>
    <s v="Hedge Fund"/>
    <n v="0"/>
    <n v="0"/>
    <n v="2.485422E-2"/>
    <n v="0.44952885500000006"/>
    <s v="ARF"/>
    <n v="23.533342780000002"/>
    <s v="HRF"/>
    <n v="8.9310739800000007"/>
    <m/>
    <m/>
    <m/>
    <m/>
    <m/>
    <m/>
    <m/>
    <d v="2012-05-31T00:00:00"/>
    <n v="-2.1226177440187843E-3"/>
    <x v="1"/>
  </r>
  <r>
    <x v="169"/>
    <x v="12"/>
    <s v="COTT"/>
    <n v="52275733.001161598"/>
    <n v="649.78470000000004"/>
    <m/>
    <n v="1.6442026868462563"/>
    <n v="0"/>
    <n v="0"/>
    <n v="80450.852414902343"/>
    <n v="1.6442026868462563"/>
    <n v="0"/>
    <n v="0"/>
    <m/>
    <s v="Hedge Fund"/>
    <n v="0"/>
    <n v="0"/>
    <n v="2.3250699999999999E-2"/>
    <n v="0.43511365000000002"/>
    <s v="ARF"/>
    <n v="23.325405069999999"/>
    <s v="HRF"/>
    <n v="8.8521601099999998"/>
    <m/>
    <m/>
    <m/>
    <m/>
    <m/>
    <m/>
    <m/>
    <d v="2012-06-29T00:00:00"/>
    <n v="-8.8358764099978337E-3"/>
    <x v="1"/>
  </r>
  <r>
    <x v="170"/>
    <x v="12"/>
    <s v="COTT"/>
    <n v="52353735.550000004"/>
    <n v="650.75429999999994"/>
    <m/>
    <n v="0"/>
    <n v="-2.5976630747318268"/>
    <n v="0"/>
    <n v="80450.848423129908"/>
    <n v="-2.5976630747318268"/>
    <n v="0"/>
    <n v="0"/>
    <m/>
    <s v="Hedge Fund"/>
    <n v="0"/>
    <n v="0"/>
    <n v="2.5655959999999998E-2"/>
    <n v="0.43469770000000002"/>
    <s v="ARF"/>
    <n v="23.360210924253799"/>
    <s v="HRF"/>
    <n v="8.8653691999999999"/>
    <m/>
    <m/>
    <m/>
    <m/>
    <m/>
    <m/>
    <m/>
    <d v="2012-07-31T00:00:00"/>
    <n v="1.4921865657961941E-3"/>
    <x v="1"/>
  </r>
  <r>
    <x v="171"/>
    <x v="12"/>
    <s v="COTT"/>
    <n v="51015870.414686196"/>
    <n v="634.12469999999996"/>
    <m/>
    <n v="0.29362346976995468"/>
    <n v="0"/>
    <n v="0"/>
    <n v="80450.84888616734"/>
    <n v="0.29362346976995468"/>
    <n v="0"/>
    <n v="0"/>
    <m/>
    <s v="Hedge Fund"/>
    <n v="0"/>
    <n v="0"/>
    <n v="2.485422E-2"/>
    <n v="0.39800190000000002"/>
    <s v="ARF"/>
    <n v="22.763256031161401"/>
    <s v="HRF"/>
    <n v="8.6388204857714097"/>
    <m/>
    <m/>
    <m/>
    <m/>
    <m/>
    <m/>
    <m/>
    <d v="2012-08-31T00:00:00"/>
    <n v="-2.5554345165295089E-2"/>
    <x v="1"/>
  </r>
  <r>
    <x v="172"/>
    <x v="12"/>
    <s v="COTT"/>
    <n v="49034086.2249512"/>
    <n v="609.49120000000005"/>
    <m/>
    <n v="1.7963024005293846"/>
    <n v="0"/>
    <n v="0"/>
    <n v="80450.85183338364"/>
    <n v="1.7963024005293846"/>
    <n v="0"/>
    <n v="0"/>
    <m/>
    <s v="Hedge Fund"/>
    <n v="2.2448972543169399E-2"/>
    <n v="0.65236369000000005"/>
    <n v="2.244898E-2"/>
    <n v="0.34497265999999999"/>
    <s v="ARF"/>
    <n v="21.878984108866604"/>
    <s v="HRF"/>
    <n v="8.3032328885113618"/>
    <m/>
    <m/>
    <m/>
    <m/>
    <m/>
    <m/>
    <m/>
    <d v="2012-09-28T00:00:00"/>
    <n v="-3.8846460325547838E-2"/>
    <x v="1"/>
  </r>
  <r>
    <x v="173"/>
    <x v="12"/>
    <s v="COTT"/>
    <n v="48636220.742568232"/>
    <n v="604.54579999999999"/>
    <m/>
    <n v="0"/>
    <n v="-3.8397261425852776"/>
    <n v="0"/>
    <n v="80450.845481960569"/>
    <n v="-3.8397261425852776"/>
    <n v="0"/>
    <n v="0"/>
    <m/>
    <s v="Hedge Fund"/>
    <n v="2.64577176401639E-2"/>
    <n v="0.63267748999999995"/>
    <n v="2.6457729999999999E-2"/>
    <n v="0.33227855000000001"/>
    <s v="ARF"/>
    <n v="21.701458448099078"/>
    <s v="HRF"/>
    <n v="8.2358606148397406"/>
    <m/>
    <m/>
    <m/>
    <m/>
    <m/>
    <m/>
    <m/>
    <d v="2012-10-31T00:00:00"/>
    <n v="-8.1139809729822154E-3"/>
    <x v="1"/>
  </r>
  <r>
    <x v="174"/>
    <x v="12"/>
    <s v="COTT"/>
    <n v="48557147.744355425"/>
    <n v="603.56290000000013"/>
    <m/>
    <n v="2.1378113999962807"/>
    <n v="0"/>
    <n v="0"/>
    <n v="80450.849023946663"/>
    <n v="2.1378113999962807"/>
    <n v="0"/>
    <n v="0"/>
    <m/>
    <s v="Hedge Fund"/>
    <n v="2.40524705819672E-2"/>
    <n v="0.62600867999999998"/>
    <n v="2.40524705819672E-2"/>
    <n v="0.327960635"/>
    <s v="ARF"/>
    <n v="21.666175160201561"/>
    <s v="HRF"/>
    <n v="8.2224703516068711"/>
    <m/>
    <m/>
    <m/>
    <m/>
    <m/>
    <m/>
    <m/>
    <d v="2012-11-30T00:00:00"/>
    <n v="-1.6258486950034845E-3"/>
    <x v="1"/>
  </r>
  <r>
    <x v="175"/>
    <x v="12"/>
    <s v="COTT"/>
    <n v="50045287.809339911"/>
    <n v="622.06039999999996"/>
    <m/>
    <n v="0.48516404628753662"/>
    <n v="0"/>
    <n v="0"/>
    <n v="80450.849803877427"/>
    <n v="0.48516404628753662"/>
    <n v="0"/>
    <n v="0"/>
    <m/>
    <s v="Hedge Fund"/>
    <n v="2.48542196013661E-2"/>
    <n v="0.68203915000000004"/>
    <n v="2.48542196013661E-2"/>
    <n v="0.36387192499999998"/>
    <s v="ARF"/>
    <n v="22.330182300179558"/>
    <s v="HRF"/>
    <n v="8.4744658691061208"/>
    <m/>
    <m/>
    <m/>
    <m/>
    <m/>
    <m/>
    <m/>
    <d v="2012-12-31T00:00:00"/>
    <n v="3.0647178612204007E-2"/>
    <x v="1"/>
  </r>
  <r>
    <x v="176"/>
    <x v="12"/>
    <s v="COTT"/>
    <n v="49458795.79398603"/>
    <n v="628.77359999999999"/>
    <m/>
    <n v="0"/>
    <n v="-1126574.6602572724"/>
    <n v="0"/>
    <n v="78659.148211671156"/>
    <n v="-1126574.6602572724"/>
    <n v="0"/>
    <n v="0"/>
    <m/>
    <s v="Hedge Fund"/>
    <n v="2.4922313353698631E-2"/>
    <n v="1.5319889999999999E-2"/>
    <n v="2.4922313353698631E-2"/>
    <n v="1.4320605E-2"/>
    <s v="ARF"/>
    <n v="22.571166905239721"/>
    <s v="HRF"/>
    <n v="8.5659212716240809"/>
    <m/>
    <m/>
    <m/>
    <m/>
    <m/>
    <m/>
    <m/>
    <d v="2013-01-31T00:00:00"/>
    <n v="1.079187808772275E-2"/>
    <x v="1"/>
  </r>
  <r>
    <x v="177"/>
    <x v="12"/>
    <s v="COTT"/>
    <n v="48881722.736701936"/>
    <n v="621.43720000000008"/>
    <m/>
    <n v="1.9176559969782829"/>
    <n v="0"/>
    <n v="0"/>
    <n v="78659.151297511533"/>
    <n v="1.9176559969782829"/>
    <n v="0"/>
    <n v="0"/>
    <m/>
    <s v="Hedge Fund"/>
    <n v="2.25104765775343E-2"/>
    <n v="0"/>
    <n v="2.25104765775343E-2"/>
    <n v="0"/>
    <s v="ARF"/>
    <n v="22.307811209511399"/>
    <s v="HRF"/>
    <n v="8.4659758782151613"/>
    <m/>
    <m/>
    <m/>
    <m/>
    <m/>
    <m/>
    <m/>
    <d v="2013-02-28T00:00:00"/>
    <n v="-1.1667792668139776E-2"/>
    <x v="1"/>
  </r>
  <r>
    <x v="178"/>
    <x v="12"/>
    <s v="COTT"/>
    <n v="47581388.588106476"/>
    <n v="602.44110000000001"/>
    <m/>
    <n v="193882.95536720008"/>
    <n v="0"/>
    <n v="0"/>
    <n v="78980.980195585056"/>
    <n v="193882.95536720008"/>
    <n v="0"/>
    <n v="0"/>
    <m/>
    <s v="Hedge Fund"/>
    <n v="2.26639012350685E-2"/>
    <n v="0"/>
    <n v="2.26639012350685E-2"/>
    <n v="0"/>
    <s v="ARF"/>
    <n v="21.625905761113721"/>
    <s v="HRF"/>
    <n v="8.2071878230743316"/>
    <m/>
    <m/>
    <m/>
    <m/>
    <m/>
    <m/>
    <m/>
    <d v="2013-03-28T00:00:00"/>
    <n v="-3.0568012343001105E-2"/>
    <x v="1"/>
  </r>
  <r>
    <x v="179"/>
    <x v="12"/>
    <s v="COTT"/>
    <n v="47584161.415014409"/>
    <n v="602.47619999999995"/>
    <m/>
    <n v="0.59450306743383408"/>
    <n v="0"/>
    <n v="0"/>
    <n v="78980.981182351126"/>
    <n v="0.59450306743383408"/>
    <n v="0"/>
    <n v="0"/>
    <m/>
    <s v="Hedge Fund"/>
    <n v="2.6711024126849302E-2"/>
    <n v="0"/>
    <n v="2.6711024126849302E-2"/>
    <n v="0"/>
    <s v="ARF"/>
    <n v="21.627165750334598"/>
    <s v="HRF"/>
    <n v="8.2076659981068616"/>
    <m/>
    <m/>
    <m/>
    <m/>
    <m/>
    <m/>
    <m/>
    <d v="2013-04-30T00:00:00"/>
    <n v="5.8262957158827788E-5"/>
    <x v="1"/>
  </r>
  <r>
    <x v="180"/>
    <x v="12"/>
    <s v="COTT"/>
    <n v="48612375.418983497"/>
    <n v="615.49469999999997"/>
    <m/>
    <n v="0.10044664889574051"/>
    <n v="0"/>
    <n v="0"/>
    <n v="78980.981345547742"/>
    <n v="0.10044664889574051"/>
    <n v="0"/>
    <n v="0"/>
    <m/>
    <s v="Hedge Fund"/>
    <n v="2.50921884221918E-2"/>
    <n v="0"/>
    <n v="2.50921884221918E-2"/>
    <n v="0"/>
    <s v="ARF"/>
    <n v="22.094492521617401"/>
    <s v="HRF"/>
    <n v="8.3850198915824112"/>
    <m/>
    <m/>
    <m/>
    <m/>
    <m/>
    <m/>
    <m/>
    <d v="2013-05-31T00:00:00"/>
    <n v="2.1608322453235518E-2"/>
    <x v="1"/>
  </r>
  <r>
    <x v="181"/>
    <x v="12"/>
    <s v="COTT"/>
    <n v="48304948.170925021"/>
    <n v="611.60230000000001"/>
    <m/>
    <n v="0"/>
    <n v="-1.6762690767645836"/>
    <n v="0"/>
    <n v="78980.978604764925"/>
    <n v="-1.6762690767645836"/>
    <n v="0"/>
    <n v="0"/>
    <m/>
    <s v="Hedge Fund"/>
    <n v="2.2663899865205502E-2"/>
    <n v="0"/>
    <n v="2.2663899865205502E-2"/>
    <n v="0"/>
    <s v="ARF"/>
    <n v="21.954766537476281"/>
    <s v="HRF"/>
    <n v="8.331992868886692"/>
    <m/>
    <m/>
    <m/>
    <m/>
    <m/>
    <m/>
    <m/>
    <d v="2013-06-28T00:00:00"/>
    <n v="-6.3240187121024194E-3"/>
    <x v="1"/>
  </r>
  <r>
    <x v="182"/>
    <x v="12"/>
    <s v="COTT"/>
    <n v="47924215.662898466"/>
    <n v="606.7817"/>
    <m/>
    <n v="3.1974355801939964"/>
    <n v="0"/>
    <n v="0"/>
    <n v="78980.983874263955"/>
    <n v="3.1974355801939964"/>
    <n v="0"/>
    <n v="0"/>
    <m/>
    <s v="Hedge Fund"/>
    <n v="2.6711024126849302E-2"/>
    <n v="0"/>
    <n v="2.6711024126849302E-2"/>
    <n v="0"/>
    <s v="ARF"/>
    <n v="21.781720838383002"/>
    <s v="HRF"/>
    <n v="8.2663207731085109"/>
    <m/>
    <m/>
    <m/>
    <m/>
    <m/>
    <m/>
    <m/>
    <d v="2013-07-31T00:00:00"/>
    <n v="-7.8819193453001368E-3"/>
    <x v="1"/>
  </r>
  <r>
    <x v="183"/>
    <x v="12"/>
    <s v="COTT"/>
    <n v="47867935.315209247"/>
    <n v="606.06910000000016"/>
    <m/>
    <n v="1.5014195665717125"/>
    <n v="0"/>
    <n v="0"/>
    <n v="78980.986351571526"/>
    <n v="1.5014195665717125"/>
    <n v="0"/>
    <n v="0"/>
    <m/>
    <s v="Hedge Fund"/>
    <n v="2.4282755569863E-2"/>
    <n v="0"/>
    <n v="2.4282755569863E-2"/>
    <n v="0"/>
    <s v="ARF"/>
    <n v="21.756140544400122"/>
    <s v="HRF"/>
    <n v="8.2566128663227314"/>
    <m/>
    <m/>
    <m/>
    <m/>
    <m/>
    <m/>
    <m/>
    <d v="2013-08-30T00:00:00"/>
    <n v="-1.1743927016912847E-3"/>
    <x v="1"/>
  </r>
  <r>
    <x v="35"/>
    <x v="12"/>
    <s v="COTT"/>
    <n v="48555486.880895033"/>
    <n v="614.77440000000001"/>
    <m/>
    <n v="0"/>
    <n v="-1.6148005425930023"/>
    <n v="0"/>
    <n v="78980.983724916048"/>
    <n v="-1.6148005425930023"/>
    <n v="0"/>
    <n v="0"/>
    <m/>
    <s v="Hedge Fund"/>
    <n v="2.509219E-2"/>
    <n v="0"/>
    <n v="2.509219E-2"/>
    <n v="0"/>
    <s v="ARF"/>
    <n v="22.068635819742763"/>
    <s v="HRF"/>
    <n v="8.3752070860003212"/>
    <m/>
    <m/>
    <m/>
    <m/>
    <m/>
    <m/>
    <m/>
    <d v="2013-09-30T00:00:00"/>
    <n v="1.4363543694934977E-2"/>
    <x v="1"/>
  </r>
  <r>
    <x v="36"/>
    <x v="12"/>
    <s v="COTT"/>
    <n v="49993123.76923421"/>
    <n v="632.97670000000005"/>
    <m/>
    <n v="1.3282831385731697"/>
    <n v="0"/>
    <n v="-1998218.9413316878"/>
    <n v="78980.985823386873"/>
    <n v="-1998217.6130485493"/>
    <n v="-25.3"/>
    <n v="-25.3"/>
    <m/>
    <s v="Hedge Fund"/>
    <n v="2.5092185479452099E-2"/>
    <n v="7.1199330000000005E-2"/>
    <n v="2.5092185479452099E-2"/>
    <n v="4.6838274999999999E-2"/>
    <s v="ARF"/>
    <n v="22.722046127299002"/>
    <s v="HRF"/>
    <n v="8.6231810288670125"/>
    <m/>
    <m/>
    <m/>
    <m/>
    <m/>
    <m/>
    <m/>
    <d v="2013-10-31T00:00:00"/>
    <n v="7.076140560212596E-2"/>
    <x v="1"/>
  </r>
  <r>
    <x v="37"/>
    <x v="12"/>
    <s v="COTT"/>
    <n v="49504890.888494551"/>
    <n v="626.79510000000005"/>
    <m/>
    <n v="0"/>
    <n v="-4.0187738090753555"/>
    <n v="0"/>
    <n v="78980.979411763983"/>
    <n v="-4.0187738090753555"/>
    <n v="0"/>
    <n v="0"/>
    <m/>
    <s v="Hedge Fund"/>
    <n v="2.34733227175342E-2"/>
    <n v="4.9511660000000006E-2"/>
    <n v="2.3473310000000001E-2"/>
    <n v="3.2552474999999997E-2"/>
    <s v="ARF"/>
    <n v="22.500144435908922"/>
    <s v="HRF"/>
    <n v="8.5389677302605325"/>
    <m/>
    <m/>
    <m/>
    <m/>
    <m/>
    <m/>
    <m/>
    <d v="2013-11-29T00:00:00"/>
    <n v="-9.7659202937485645E-3"/>
    <x v="1"/>
  </r>
  <r>
    <x v="38"/>
    <x v="12"/>
    <s v="COTT"/>
    <n v="49968254.353459559"/>
    <n v="632.66190000000006"/>
    <m/>
    <n v="0"/>
    <n v="-2.1450479328632355"/>
    <n v="0"/>
    <n v="78980.976021251729"/>
    <n v="-2.1450479328632355"/>
    <n v="0"/>
    <n v="0"/>
    <m/>
    <s v="Hedge Fund"/>
    <n v="2.5901601274520548E-2"/>
    <n v="6.3152489999999992E-2"/>
    <n v="2.5901599999999997E-2"/>
    <n v="4.1523875000000002E-2"/>
    <s v="ARF"/>
    <n v="22.710745711152761"/>
    <s v="HRF"/>
    <n v="8.6188924391165713"/>
    <m/>
    <m/>
    <m/>
    <m/>
    <m/>
    <m/>
    <m/>
    <d v="2013-12-31T00:00:00"/>
    <n v="9.3599965921877804E-3"/>
    <x v="1"/>
  </r>
  <r>
    <x v="39"/>
    <x v="12"/>
    <s v="COTT"/>
    <n v="49621002.863176726"/>
    <n v="633.66210000000001"/>
    <m/>
    <n v="0"/>
    <n v="-426248.26249928772"/>
    <n v="0"/>
    <n v="78308.301637697325"/>
    <n v="-426248.26249928772"/>
    <n v="0"/>
    <n v="0"/>
    <m/>
    <s v="Hedge Fund"/>
    <n v="2.4282735569863E-2"/>
    <n v="3.3000000000000002E-7"/>
    <n v="2.4282740000000001E-2"/>
    <n v="3.3000000000000002E-7"/>
    <s v="ARF"/>
    <n v="22.746650019378521"/>
    <s v="HRF"/>
    <n v="8.6325183840606314"/>
    <m/>
    <m/>
    <m/>
    <m/>
    <m/>
    <m/>
    <m/>
    <d v="2014-01-30T00:00:00"/>
    <n v="1.5809392030718961E-3"/>
    <x v="1"/>
  </r>
  <r>
    <x v="40"/>
    <x v="12"/>
    <s v="COTT"/>
    <n v="50549346.715868704"/>
    <n v="645.51710000000003"/>
    <m/>
    <n v="0"/>
    <n v="-1.0632229223847389"/>
    <n v="0"/>
    <n v="78308.299990610161"/>
    <n v="-1.0632229223847389"/>
    <n v="0"/>
    <n v="0"/>
    <m/>
    <s v="Hedge Fund"/>
    <n v="2.3473312717534202E-2"/>
    <n v="2.9430120000000001E-2"/>
    <n v="2.3473310000000001E-2"/>
    <n v="1.9358385000000002E-2"/>
    <s v="ARF"/>
    <n v="23.172210481302525"/>
    <s v="HRF"/>
    <n v="8.7940216607171315"/>
    <m/>
    <m/>
    <m/>
    <m/>
    <m/>
    <m/>
    <m/>
    <d v="2014-02-28T00:00:00"/>
    <n v="1.870870926318613E-2"/>
    <x v="1"/>
  </r>
  <r>
    <x v="41"/>
    <x v="12"/>
    <s v="COTT"/>
    <n v="50602153.999588817"/>
    <n v="646.19140000000016"/>
    <m/>
    <n v="3.9970364347100258"/>
    <n v="0"/>
    <n v="0"/>
    <n v="78308.306176140395"/>
    <n v="3.9970364347100258"/>
    <n v="0"/>
    <n v="0"/>
    <m/>
    <s v="Hedge Fund"/>
    <n v="2.5092178422191799E-2"/>
    <n v="2.7750319999999998E-2"/>
    <n v="2.509219E-2"/>
    <n v="1.7554380000000001E-2"/>
    <s v="ARF"/>
    <n v="23.196415915252366"/>
    <s v="HRF"/>
    <n v="8.8032077981654222"/>
    <m/>
    <m/>
    <m/>
    <m/>
    <m/>
    <m/>
    <m/>
    <d v="2014-03-31T00:00:00"/>
    <n v="1.0445889039967238E-3"/>
    <x v="1"/>
  </r>
  <r>
    <x v="42"/>
    <x v="12"/>
    <s v="COTT"/>
    <n v="50555630.517183371"/>
    <n v="645.59730000000002"/>
    <m/>
    <n v="0"/>
    <n v="-0.51770619302988052"/>
    <n v="0"/>
    <n v="78308.305374237738"/>
    <n v="-0.51770619302988052"/>
    <n v="0"/>
    <n v="0"/>
    <m/>
    <s v="Hedge Fund"/>
    <n v="2.4282755569863E-2"/>
    <n v="2.2498919999999999E-2"/>
    <n v="2.4282755569863E-2"/>
    <n v="1.4778484999999999E-2"/>
    <s v="ARF"/>
    <n v="23.175089431032283"/>
    <s v="HRF"/>
    <n v="8.795114242985191"/>
    <m/>
    <m/>
    <m/>
    <m/>
    <m/>
    <m/>
    <m/>
    <d v="2014-04-30T00:00:00"/>
    <n v="-9.1938704229133084E-4"/>
    <x v="1"/>
  </r>
  <r>
    <x v="43"/>
    <x v="12"/>
    <s v="COTT"/>
    <n v="50860236.393205814"/>
    <n v="648.76409999999987"/>
    <m/>
    <n v="56619.134563311934"/>
    <n v="0"/>
    <n v="0"/>
    <n v="78395.577673311185"/>
    <n v="56619.134563311934"/>
    <n v="0"/>
    <n v="0"/>
    <m/>
    <s v="Hedge Fund"/>
    <n v="2.28652198003035E-2"/>
    <n v="2.8312980000000001E-2"/>
    <n v="2.28652198003035E-2"/>
    <n v="1.8553730000000001E-2"/>
    <s v="ARF"/>
    <n v="23.288768458516124"/>
    <s v="HRF"/>
    <n v="8.8382562570312295"/>
    <m/>
    <m/>
    <m/>
    <m/>
    <m/>
    <m/>
    <m/>
    <d v="2014-05-30T00:00:00"/>
    <n v="4.9052249753831489E-3"/>
    <x v="1"/>
  </r>
  <r>
    <x v="44"/>
    <x v="12"/>
    <s v="COTT"/>
    <n v="47380646.734462"/>
    <n v="604.37910000000011"/>
    <m/>
    <n v="0"/>
    <n v="-1.9437139183282852"/>
    <n v="-4993798.0929274838"/>
    <n v="78395.574457260343"/>
    <n v="-4993800.0366414022"/>
    <n v="-63.7"/>
    <n v="-63.7"/>
    <m/>
    <s v="Hedge Fund"/>
    <n v="2.3767246915342499E-2"/>
    <n v="0.10250115999999999"/>
    <n v="2.3767259999999998E-2"/>
    <n v="6.3905804999999996E-2"/>
    <s v="ARF"/>
    <n v="21.69547439672812"/>
    <s v="HRF"/>
    <n v="8.23358962401573"/>
    <m/>
    <m/>
    <m/>
    <m/>
    <m/>
    <m/>
    <m/>
    <d v="2014-06-30T00:00:00"/>
    <n v="2.9771988596180909E-2"/>
    <x v="1"/>
  </r>
  <r>
    <x v="45"/>
    <x v="12"/>
    <s v="COTT"/>
    <n v="47924162.465852939"/>
    <n v="611.31200000000001"/>
    <m/>
    <n v="7.0532362014055252"/>
    <n v="0"/>
    <n v="0"/>
    <n v="78395.585995126778"/>
    <n v="7.0532362014055252"/>
    <n v="0"/>
    <n v="0"/>
    <m/>
    <s v="Hedge Fund"/>
    <n v="2.3767246915342499E-2"/>
    <n v="0.12653902"/>
    <n v="2.3767259999999998E-2"/>
    <n v="7.8599520000000006E-2"/>
    <s v="ARF"/>
    <n v="21.944345600985642"/>
    <s v="HRF"/>
    <n v="8.3280380480336014"/>
    <m/>
    <m/>
    <m/>
    <m/>
    <m/>
    <m/>
    <m/>
    <d v="2014-07-31T00:00:00"/>
    <n v="1.1471111426586411E-2"/>
    <x v="1"/>
  </r>
  <r>
    <x v="46"/>
    <x v="12"/>
    <s v="COTT"/>
    <n v="48205564.307471372"/>
    <n v="614.90160000000014"/>
    <m/>
    <n v="0"/>
    <n v="-6.9538696855306625"/>
    <n v="0"/>
    <n v="78395.574686212174"/>
    <n v="-6.9538696855306625"/>
    <n v="0"/>
    <n v="0"/>
    <m/>
    <s v="Hedge Fund"/>
    <n v="2.2233860662739701E-2"/>
    <n v="0.13796728"/>
    <n v="2.2233860662739701E-2"/>
    <n v="8.5698166334033571E-2"/>
    <s v="ARF"/>
    <n v="22.073201934526121"/>
    <s v="HRF"/>
    <n v="8.3769399596224812"/>
    <m/>
    <m/>
    <m/>
    <m/>
    <m/>
    <m/>
    <m/>
    <d v="2014-08-29T00:00:00"/>
    <n v="5.8719606354857845E-3"/>
    <x v="1"/>
  </r>
  <r>
    <x v="47"/>
    <x v="12"/>
    <s v="COTT"/>
    <n v="47792846.84105707"/>
    <n v="609.63699999999994"/>
    <m/>
    <n v="3.8760787397623062"/>
    <n v="0"/>
    <n v="0"/>
    <n v="78395.58104422316"/>
    <n v="3.8760787397623062"/>
    <n v="0"/>
    <n v="0"/>
    <m/>
    <s v="Hedge Fund"/>
    <n v="2.4533930178630099E-2"/>
    <n v="0.11115245"/>
    <n v="2.4533929999999999E-2"/>
    <n v="6.9176745000000012E-2"/>
    <s v="ARF"/>
    <n v="21.884217910245638"/>
    <s v="HRF"/>
    <n v="8.3052191540311"/>
    <m/>
    <m/>
    <m/>
    <m/>
    <m/>
    <m/>
    <m/>
    <d v="2014-09-30T00:00:00"/>
    <n v="-8.5616950744641374E-3"/>
    <x v="1"/>
  </r>
  <r>
    <x v="184"/>
    <x v="12"/>
    <s v="COTT"/>
    <n v="25080401.97889575"/>
    <n v="319.92109999999997"/>
    <m/>
    <n v="1.4560887292027473"/>
    <n v="0"/>
    <n v="-22600004.84844305"/>
    <n v="78395.585595622644"/>
    <n v="-22600003.392354321"/>
    <n v="-288.28160000000003"/>
    <n v="-288.28160000000003"/>
    <m/>
    <s v="Hedge Fund"/>
    <n v="2.3767246915342499E-2"/>
    <n v="0.10107120999999999"/>
    <n v="2.3767259999999998E-2"/>
    <n v="6.2619480000000005E-2"/>
    <s v="ARF"/>
    <n v="11.484248932537701"/>
    <s v="HRF"/>
    <n v="4.3583556239183308"/>
    <m/>
    <m/>
    <m/>
    <m/>
    <m/>
    <m/>
    <m/>
    <d v="2014-10-31T00:00:00"/>
    <n v="-2.352684078036682E-3"/>
    <x v="1"/>
  </r>
  <r>
    <x v="185"/>
    <x v="12"/>
    <s v="COTT"/>
    <n v="24722933.687332001"/>
    <n v="315.36130000000003"/>
    <m/>
    <n v="0"/>
    <n v="-0.10036483407020569"/>
    <n v="0"/>
    <n v="78395.585277369159"/>
    <n v="-0.10036483407020569"/>
    <n v="0"/>
    <n v="0"/>
    <m/>
    <s v="Hedge Fund"/>
    <n v="2.1467187536438399E-2"/>
    <n v="7.8635160000000009E-2"/>
    <n v="2.1467179999999999E-2"/>
    <n v="4.8783809999999997E-2"/>
    <s v="ARF"/>
    <n v="11.320565204635463"/>
    <s v="HRF"/>
    <n v="4.2962364639943909"/>
    <m/>
    <m/>
    <m/>
    <m/>
    <m/>
    <m/>
    <m/>
    <d v="2014-11-28T00:00:00"/>
    <n v="-1.4252889228000054E-2"/>
    <x v="1"/>
  </r>
  <r>
    <x v="186"/>
    <x v="12"/>
    <s v="COTT"/>
    <n v="24349114.725628544"/>
    <n v="310.59289999999999"/>
    <m/>
    <n v="2.5471331551671028"/>
    <n v="0"/>
    <n v="0"/>
    <n v="78395.593478242881"/>
    <n v="2.5471331551671028"/>
    <n v="0"/>
    <n v="0"/>
    <m/>
    <s v="Hedge Fund"/>
    <n v="2.5300613167945199E-2"/>
    <n v="5.503065E-2"/>
    <n v="2.5300613167945199E-2"/>
    <n v="3.4217160000000003E-2"/>
    <s v="ARF"/>
    <n v="11.14939333566554"/>
    <s v="HRF"/>
    <n v="4.2312755003158697"/>
    <m/>
    <m/>
    <m/>
    <m/>
    <m/>
    <m/>
    <m/>
    <d v="2014-12-31T00:00:00"/>
    <n v="-1.5120434878978739E-2"/>
    <x v="1"/>
  </r>
  <r>
    <x v="187"/>
    <x v="12"/>
    <s v="COTT"/>
    <n v="38648777.320519373"/>
    <n v="316.32560000000001"/>
    <m/>
    <n v="13850244.176158104"/>
    <n v="0"/>
    <n v="0"/>
    <n v="122180.36516968394"/>
    <n v="13850244.176158104"/>
    <n v="0"/>
    <n v="0"/>
    <m/>
    <s v="Hedge Fund"/>
    <n v="3.4123851460274003E-2"/>
    <n v="6.5778420000000004E-2"/>
    <n v="2.3000549999999998E-2"/>
    <n v="1.090821E-2"/>
    <s v="ARF"/>
    <n v="11.355180805937302"/>
    <s v="HRF"/>
    <n v="4.3093733353296795"/>
    <m/>
    <m/>
    <m/>
    <m/>
    <m/>
    <m/>
    <m/>
    <d v="2015-01-30T00:00:00"/>
    <n v="1.8457279609418009E-2"/>
    <x v="1"/>
  </r>
  <r>
    <x v="188"/>
    <x v="12"/>
    <s v="COTT"/>
    <n v="39200325.015439585"/>
    <n v="320.83980000000008"/>
    <m/>
    <n v="1.0904712155461311"/>
    <n v="0"/>
    <n v="0"/>
    <n v="122180.36856848675"/>
    <n v="1.0904712155461311"/>
    <n v="0"/>
    <n v="0"/>
    <m/>
    <s v="Hedge Fund"/>
    <n v="3.22069135638356E-2"/>
    <n v="0.11770189"/>
    <n v="2.1467179999999999E-2"/>
    <n v="1.9349065000000002E-2"/>
    <s v="ARF"/>
    <n v="11.517227624766262"/>
    <s v="HRF"/>
    <n v="4.3708712764079394"/>
    <m/>
    <m/>
    <m/>
    <m/>
    <m/>
    <m/>
    <m/>
    <d v="2015-02-27T00:00:00"/>
    <n v="1.4270738757786505E-2"/>
    <x v="1"/>
  </r>
  <r>
    <x v="189"/>
    <x v="12"/>
    <s v="COTT"/>
    <n v="39923653.93330612"/>
    <n v="326.76"/>
    <m/>
    <n v="0"/>
    <n v="-3.3001326099038124"/>
    <n v="0"/>
    <n v="122180.35846892558"/>
    <n v="-3.3001326099038124"/>
    <n v="0"/>
    <n v="0"/>
    <m/>
    <s v="Hedge Fund"/>
    <n v="3.6807902644383599E-2"/>
    <n v="0.18698442000000001"/>
    <n v="2.4533929999999999E-2"/>
    <n v="3.0796849999999997E-2"/>
    <s v="ARF"/>
    <n v="11.729745806688021"/>
    <s v="HRF"/>
    <n v="4.4515234652279991"/>
    <m/>
    <m/>
    <m/>
    <m/>
    <m/>
    <m/>
    <m/>
    <d v="2015-03-31T00:00:00"/>
    <n v="1.8452199508913525E-2"/>
    <x v="1"/>
  </r>
  <r>
    <x v="190"/>
    <x v="12"/>
    <s v="COTT"/>
    <n v="44199557.442608364"/>
    <n v="337.36099999999993"/>
    <m/>
    <n v="2980669.529173173"/>
    <n v="0"/>
    <n v="0"/>
    <n v="131015.61070369239"/>
    <n v="2980669.529173173"/>
    <n v="0"/>
    <n v="0"/>
    <m/>
    <s v="Hedge Fund"/>
    <n v="3.68802898164384E-2"/>
    <n v="0.33741692000000001"/>
    <n v="2.5373429999999999E-2"/>
    <n v="7.3012880000000002E-2"/>
    <s v="ARF"/>
    <n v="12.110291269096821"/>
    <s v="HRF"/>
    <n v="4.5959432236282991"/>
    <m/>
    <m/>
    <m/>
    <m/>
    <m/>
    <m/>
    <m/>
    <d v="2015-04-30T00:00:00"/>
    <n v="3.2442771453053965E-2"/>
    <x v="1"/>
  </r>
  <r>
    <x v="191"/>
    <x v="12"/>
    <s v="COTT"/>
    <n v="44280514.292427242"/>
    <n v="337.97899999999998"/>
    <m/>
    <n v="0"/>
    <n v="-10.797596007585526"/>
    <n v="0"/>
    <n v="131015.57875615716"/>
    <n v="-10.797596007585526"/>
    <n v="0"/>
    <n v="0"/>
    <m/>
    <s v="Hedge Fund"/>
    <n v="3.5650939155890397E-2"/>
    <n v="0.33927230000000003"/>
    <n v="2.452764E-2"/>
    <n v="7.2598084999999993E-2"/>
    <s v="ARF"/>
    <n v="12.132475694695222"/>
    <s v="HRF"/>
    <n v="4.6043623737736992"/>
    <m/>
    <m/>
    <m/>
    <m/>
    <m/>
    <m/>
    <m/>
    <d v="2015-05-29T00:00:00"/>
    <n v="1.8318655683378093E-3"/>
    <x v="1"/>
  </r>
  <r>
    <x v="192"/>
    <x v="12"/>
    <s v="COTT"/>
    <n v="43511149.947448865"/>
    <n v="332.10669999999999"/>
    <m/>
    <n v="0"/>
    <n v="-1.5618485957384109"/>
    <n v="0"/>
    <n v="131015.57405330536"/>
    <n v="-1.5618485957384109"/>
    <n v="0"/>
    <n v="0"/>
    <m/>
    <s v="Hedge Fund"/>
    <n v="3.93389711375342E-2"/>
    <n v="0.24338242999999998"/>
    <n v="2.7064999999999999E-2"/>
    <n v="4.4324255000000007E-2"/>
    <s v="ARF"/>
    <n v="11.921676985242982"/>
    <s v="HRF"/>
    <n v="4.5243627372060091"/>
    <m/>
    <m/>
    <m/>
    <m/>
    <m/>
    <m/>
    <m/>
    <d v="2015-06-30T00:00:00"/>
    <n v="-1.7374748135239204E-2"/>
    <x v="1"/>
  </r>
  <r>
    <x v="193"/>
    <x v="12"/>
    <s v="COTT"/>
    <n v="43024591.898314565"/>
    <n v="328.3929"/>
    <m/>
    <n v="7.5897848606109619"/>
    <n v="0"/>
    <n v="0"/>
    <n v="131015.59716520841"/>
    <n v="7.5897848606109619"/>
    <n v="0"/>
    <n v="0"/>
    <m/>
    <s v="Hedge Fund"/>
    <n v="3.8109640476986298E-2"/>
    <n v="0.18159025000000001"/>
    <n v="2.621923E-2"/>
    <n v="2.5589054999999999E-2"/>
    <s v="ARF"/>
    <n v="11.788362228305541"/>
    <s v="HRF"/>
    <n v="4.4737688216558693"/>
    <m/>
    <m/>
    <m/>
    <m/>
    <m/>
    <m/>
    <m/>
    <d v="2015-07-31T00:00:00"/>
    <n v="-1.1182550668203839E-2"/>
    <x v="1"/>
  </r>
  <r>
    <x v="194"/>
    <x v="12"/>
    <s v="COTT"/>
    <n v="37212533.148588687"/>
    <n v="324.02699999999999"/>
    <m/>
    <n v="0"/>
    <n v="-5240057.754062295"/>
    <n v="0"/>
    <n v="114843.92704493357"/>
    <n v="-5240057.754062295"/>
    <n v="0"/>
    <n v="0"/>
    <m/>
    <s v="Hedge Fund"/>
    <n v="3.40251471420841E-2"/>
    <n v="8.5192309999999993E-2"/>
    <n v="2.621923E-2"/>
    <n v="1.255157E-2"/>
    <s v="ARF"/>
    <n v="11.631638953677621"/>
    <s v="HRF"/>
    <n v="4.4142912041480988"/>
    <m/>
    <m/>
    <m/>
    <m/>
    <m/>
    <m/>
    <m/>
    <d v="2015-08-31T00:00:00"/>
    <n v="-1.3294745410147413E-2"/>
    <x v="1"/>
  </r>
  <r>
    <x v="195"/>
    <x v="12"/>
    <s v="COTT"/>
    <n v="36200515.604115196"/>
    <n v="315.2149"/>
    <m/>
    <n v="0"/>
    <n v="-1.3749608397483826"/>
    <n v="0"/>
    <n v="114843.92268295438"/>
    <n v="-1.3749608397483826"/>
    <n v="0"/>
    <n v="0"/>
    <m/>
    <s v="Hedge Fund"/>
    <n v="3.2927549761893202E-2"/>
    <n v="9.3275200000000006E-3"/>
    <n v="2.5373429999999999E-2"/>
    <n v="0"/>
    <s v="ARF"/>
    <n v="11.315309864979142"/>
    <s v="HRF"/>
    <n v="4.2942420245424691"/>
    <m/>
    <m/>
    <m/>
    <m/>
    <m/>
    <m/>
    <m/>
    <d v="2015-09-30T00:00:00"/>
    <n v="-2.7195573208405266E-2"/>
    <x v="1"/>
  </r>
  <r>
    <x v="196"/>
    <x v="12"/>
    <s v="COTT"/>
    <n v="37114369.528997466"/>
    <n v="323.17230000000006"/>
    <m/>
    <n v="0"/>
    <n v="-5.1054750755429268"/>
    <n v="0"/>
    <n v="114843.90688495722"/>
    <n v="-5.1054750755429268"/>
    <n v="0"/>
    <n v="0"/>
    <m/>
    <s v="Hedge Fund"/>
    <n v="3.2927554008468501E-2"/>
    <n v="6.5405389999999994E-2"/>
    <n v="2.5373429999999999E-2"/>
    <n v="5.7687600000000004E-3"/>
    <s v="ARF"/>
    <n v="11.600957677692262"/>
    <s v="HRF"/>
    <n v="4.4026474377576896"/>
    <m/>
    <m/>
    <m/>
    <m/>
    <m/>
    <m/>
    <m/>
    <d v="2015-10-30T00:00:00"/>
    <n v="2.5244365034774896E-2"/>
    <x v="1"/>
  </r>
  <r>
    <x v="1"/>
    <x v="12"/>
    <s v="COTT"/>
    <n v="37012786.193273231"/>
    <n v="322.2878"/>
    <m/>
    <n v="0"/>
    <n v="-3.900084488093853"/>
    <n v="0"/>
    <n v="114843.89478370956"/>
    <n v="-3.900084488093853"/>
    <n v="0"/>
    <n v="0"/>
    <m/>
    <s v="Hedge Fund"/>
    <n v="3.4025157142084102E-2"/>
    <n v="5.4255879999999999E-2"/>
    <n v="2.621923E-2"/>
    <n v="3.7422750000000002E-3"/>
    <s v="ARF"/>
    <n v="11.569206667268661"/>
    <s v="HRF"/>
    <n v="4.3905976994023401"/>
    <m/>
    <m/>
    <m/>
    <m/>
    <m/>
    <m/>
    <m/>
    <d v="2015-11-30T00:00:00"/>
    <n v="-2.7369301143693736E-3"/>
    <x v="1"/>
  </r>
  <r>
    <x v="2"/>
    <x v="12"/>
    <s v="COTT"/>
    <n v="34971483.686761446"/>
    <n v="304.51319999999998"/>
    <m/>
    <n v="1.7857107445597649"/>
    <n v="0"/>
    <n v="0"/>
    <n v="114843.90064785845"/>
    <n v="1.7857107445597649"/>
    <n v="0"/>
    <n v="0"/>
    <m/>
    <s v="Hedge Fund"/>
    <n v="3.4025157142084102E-2"/>
    <n v="0"/>
    <n v="2.621923E-2"/>
    <n v="0"/>
    <s v="ARF"/>
    <n v="10.931149561700179"/>
    <s v="HRF"/>
    <n v="4.1484504078579603"/>
    <m/>
    <m/>
    <m/>
    <m/>
    <m/>
    <m/>
    <m/>
    <d v="2015-12-31T00:00:00"/>
    <n v="-5.5151327478111356E-2"/>
    <x v="1"/>
  </r>
  <r>
    <x v="3"/>
    <x v="12"/>
    <s v="COTT"/>
    <n v="34791574.441258118"/>
    <n v="305.05109999999996"/>
    <m/>
    <n v="0"/>
    <n v="-241683.77966181189"/>
    <n v="0"/>
    <n v="114051.6275511156"/>
    <n v="-241683.77966181189"/>
    <n v="0"/>
    <n v="0"/>
    <m/>
    <s v="Hedge Fund"/>
    <n v="3.1829970874852898E-2"/>
    <n v="0"/>
    <n v="2.4460619999999999E-2"/>
    <n v="0"/>
    <s v="ARF"/>
    <n v="10.950458627281701"/>
    <s v="HRF"/>
    <n v="4.1557783380573312"/>
    <m/>
    <m/>
    <m/>
    <m/>
    <m/>
    <m/>
    <m/>
    <d v="2016-01-29T00:00:00"/>
    <n v="1.766425888926948E-3"/>
    <x v="1"/>
  </r>
  <r>
    <x v="4"/>
    <x v="12"/>
    <s v="COTT"/>
    <n v="35720133.833626002"/>
    <n v="313.1927"/>
    <m/>
    <n v="0"/>
    <n v="-3.3385022804141045"/>
    <n v="0"/>
    <n v="114051.61689153675"/>
    <n v="-3.3385022804141045"/>
    <n v="0"/>
    <n v="0"/>
    <m/>
    <s v="Hedge Fund"/>
    <n v="3.3932166822023796E-2"/>
    <n v="0"/>
    <n v="2.6147569999999998E-2"/>
    <n v="0"/>
    <s v="ARF"/>
    <n v="11.24271869111978"/>
    <s v="HRF"/>
    <n v="4.2666931484518109"/>
    <m/>
    <m/>
    <m/>
    <m/>
    <m/>
    <m/>
    <m/>
    <d v="2016-02-29T00:00:00"/>
    <n v="2.6689298940407058E-2"/>
    <x v="1"/>
  </r>
  <r>
    <x v="5"/>
    <x v="12"/>
    <s v="COTT"/>
    <n v="36103572.701761097"/>
    <n v="316.55470000000003"/>
    <m/>
    <n v="0"/>
    <n v="-2.6678542494773865"/>
    <n v="0"/>
    <n v="114051.60846375395"/>
    <n v="-2.6678542494773865"/>
    <n v="0"/>
    <n v="0"/>
    <m/>
    <s v="Hedge Fund"/>
    <n v="3.3932170210001902E-2"/>
    <n v="3.6494600000000002E-3"/>
    <n v="2.6147569999999998E-2"/>
    <n v="0"/>
    <s v="ARF"/>
    <n v="11.363404838145382"/>
    <s v="HRF"/>
    <n v="4.312494415100411"/>
    <m/>
    <m/>
    <m/>
    <m/>
    <m/>
    <m/>
    <m/>
    <d v="2016-03-31T00:00:00"/>
    <n v="1.0734605244630435E-2"/>
    <x v="1"/>
  </r>
  <r>
    <x v="6"/>
    <x v="12"/>
    <s v="COTT"/>
    <n v="36784900.021408923"/>
    <n v="322.52850000000001"/>
    <m/>
    <n v="5.8210070580244064"/>
    <n v="0"/>
    <n v="0"/>
    <n v="114051.62651179329"/>
    <n v="5.8210070580244064"/>
    <n v="0"/>
    <n v="0"/>
    <m/>
    <s v="Hedge Fund"/>
    <n v="3.1742994123828701E-2"/>
    <n v="3.8861680000000003E-2"/>
    <n v="2.4460620000000002E-2"/>
    <n v="1.1289650000000002E-3"/>
    <s v="ARF"/>
    <n v="11.577847106170822"/>
    <s v="HRF"/>
    <n v="4.3938768085285504"/>
    <m/>
    <m/>
    <m/>
    <m/>
    <m/>
    <m/>
    <m/>
    <d v="2016-04-29T00:00:00"/>
    <n v="1.887130407477744E-2"/>
    <x v="1"/>
  </r>
  <r>
    <x v="7"/>
    <x v="12"/>
    <s v="COTT"/>
    <n v="37012590.620924376"/>
    <n v="324.52489999999995"/>
    <m/>
    <n v="0"/>
    <n v="-2.0676526874303818"/>
    <n v="0"/>
    <n v="114051.62014047113"/>
    <n v="-2.0676526874303818"/>
    <n v="0"/>
    <n v="0"/>
    <m/>
    <s v="Hedge Fund"/>
    <n v="3.5026773171121302E-2"/>
    <n v="5.0401090000000003E-2"/>
    <n v="2.6991049999999999E-2"/>
    <n v="2.1464699999999997E-3"/>
    <s v="ARF"/>
    <n v="11.649512134107141"/>
    <s v="HRF"/>
    <n v="4.4210742055354704"/>
    <m/>
    <m/>
    <m/>
    <m/>
    <m/>
    <m/>
    <m/>
    <d v="2016-05-31T00:00:00"/>
    <n v="6.189840587730977E-3"/>
    <x v="1"/>
  </r>
  <r>
    <x v="8"/>
    <x v="12"/>
    <s v="COTT"/>
    <n v="38510896.825249612"/>
    <n v="337.66199999999998"/>
    <m/>
    <n v="0"/>
    <n v="-1.3346221521496773"/>
    <n v="0"/>
    <n v="114051.61618793235"/>
    <n v="-1.3346221521496773"/>
    <n v="0"/>
    <n v="0"/>
    <m/>
    <s v="Hedge Fund"/>
    <n v="3.2837580000000005E-2"/>
    <n v="0.16328613"/>
    <n v="2.53041E-2"/>
    <n v="2.7337265000000003E-2"/>
    <s v="ARF"/>
    <n v="12.121096304865622"/>
    <s v="HRF"/>
    <n v="4.6000438129386003"/>
    <m/>
    <m/>
    <m/>
    <m/>
    <m/>
    <m/>
    <m/>
    <d v="2016-06-30T00:00:00"/>
    <n v="4.0481023181888398E-2"/>
    <x v="1"/>
  </r>
  <r>
    <x v="9"/>
    <x v="12"/>
    <s v="COTT"/>
    <n v="38525017.988930903"/>
    <n v="339.91899999999993"/>
    <m/>
    <n v="0"/>
    <n v="-243293.33405486494"/>
    <n v="0"/>
    <n v="113335.87704403375"/>
    <n v="-243293.33405486494"/>
    <n v="0"/>
    <n v="0"/>
    <m/>
    <s v="Hedge Fund"/>
    <n v="3.1742994123828701E-2"/>
    <n v="0.18237504999999998"/>
    <n v="2.4460619999999999E-2"/>
    <n v="3.3373980000000004E-2"/>
    <s v="ARF"/>
    <n v="12.202116124567222"/>
    <s v="HRF"/>
    <n v="4.6307914211557009"/>
    <m/>
    <m/>
    <m/>
    <m/>
    <m/>
    <m/>
    <m/>
    <d v="2016-07-29T00:00:00"/>
    <n v="6.6841989918910993E-3"/>
    <x v="1"/>
  </r>
  <r>
    <x v="10"/>
    <x v="12"/>
    <s v="COTT"/>
    <n v="38278706.6967737"/>
    <n v="337.7457"/>
    <m/>
    <n v="1.5694225877523422"/>
    <n v="0"/>
    <n v="0"/>
    <n v="113335.88169079192"/>
    <n v="1.5694225877523422"/>
    <n v="0"/>
    <n v="0"/>
    <m/>
    <s v="Hedge Fund"/>
    <n v="3.6121359520218901E-2"/>
    <n v="0.15119221999999999"/>
    <n v="2.783453E-2"/>
    <n v="2.1504810000000003E-2"/>
    <s v="ARF"/>
    <n v="12.124100894546183"/>
    <s v="HRF"/>
    <n v="4.6011840764777112"/>
    <m/>
    <m/>
    <m/>
    <m/>
    <m/>
    <m/>
    <m/>
    <d v="2016-08-31T00:00:00"/>
    <n v="-6.3935820004175081E-3"/>
    <x v="1"/>
  </r>
  <r>
    <x v="11"/>
    <x v="12"/>
    <s v="COTT"/>
    <n v="40167494.279139601"/>
    <n v="354.41109999999998"/>
    <m/>
    <n v="0"/>
    <n v="-0.22036382555961609"/>
    <n v="0"/>
    <n v="113335.88106901731"/>
    <n v="-0.22036382555961609"/>
    <n v="0"/>
    <n v="0"/>
    <m/>
    <s v="Hedge Fund"/>
    <n v="3.2837580000000005E-2"/>
    <n v="0.33582352000000004"/>
    <n v="2.53041E-2"/>
    <n v="8.7469094999999997E-2"/>
    <s v="ARF"/>
    <n v="12.722340904849704"/>
    <s v="HRF"/>
    <n v="4.8282204920653315"/>
    <m/>
    <m/>
    <m/>
    <m/>
    <m/>
    <m/>
    <m/>
    <d v="2016-09-30T00:00:00"/>
    <n v="4.9343041228948392E-2"/>
    <x v="1"/>
  </r>
  <r>
    <x v="12"/>
    <x v="12"/>
    <s v="COTT"/>
    <n v="40978146.452339955"/>
    <n v="361.56369999999998"/>
    <m/>
    <n v="5.9502661004662514"/>
    <n v="0"/>
    <n v="0"/>
    <n v="113335.89752605131"/>
    <n v="5.9502661004662514"/>
    <n v="0"/>
    <n v="0"/>
    <m/>
    <s v="Hedge Fund"/>
    <n v="3.3931999999999997E-2"/>
    <n v="0.416186"/>
    <n v="2.6147569999999998E-2"/>
    <n v="0.11862433999999999"/>
    <s v="ARF"/>
    <n v="12.979098708304583"/>
    <s v="HRF"/>
    <n v="4.9256619375831123"/>
    <m/>
    <m/>
    <m/>
    <m/>
    <m/>
    <m/>
    <m/>
    <d v="2016-10-31T00:00:00"/>
    <n v="2.0181647809563552E-2"/>
    <x v="1"/>
  </r>
  <r>
    <x v="13"/>
    <x v="12"/>
    <s v="COTT"/>
    <n v="40860433.568360403"/>
    <n v="360.52509999999995"/>
    <m/>
    <n v="0"/>
    <n v="-2.2208089902997017"/>
    <n v="0"/>
    <n v="113335.89136612238"/>
    <n v="-2.2208089902997017"/>
    <n v="0"/>
    <n v="0"/>
    <m/>
    <s v="Hedge Fund"/>
    <n v="5.5823913803974605E-2"/>
    <n v="0.38452260999999999"/>
    <n v="2.53041E-2"/>
    <n v="0.10904601"/>
    <s v="ARF"/>
    <n v="12.941815950332904"/>
    <s v="HRF"/>
    <n v="4.9115128609795331"/>
    <m/>
    <m/>
    <m/>
    <m/>
    <m/>
    <m/>
    <m/>
    <d v="2016-11-30T00:00:00"/>
    <n v="-2.8725228777115586E-3"/>
    <x v="1"/>
  </r>
  <r>
    <x v="14"/>
    <x v="12"/>
    <s v="COTT"/>
    <n v="39606680.615125783"/>
    <n v="360.03649999999999"/>
    <m/>
    <n v="0"/>
    <n v="-1198377.0367131382"/>
    <n v="0"/>
    <n v="110007.40373580396"/>
    <n v="-1198377.0367131382"/>
    <n v="0"/>
    <n v="0"/>
    <m/>
    <s v="Hedge Fund"/>
    <n v="3.2837580472926203E-2"/>
    <n v="0.38246409000000003"/>
    <n v="2.53041E-2"/>
    <n v="0.10286745"/>
    <s v="ARF"/>
    <n v="12.924276613201224"/>
    <s v="HRF"/>
    <n v="0"/>
    <m/>
    <m/>
    <m/>
    <m/>
    <m/>
    <m/>
    <m/>
    <d v="2016-12-30T00:00:00"/>
    <n v="-1.3552454461560615E-3"/>
    <x v="1"/>
  </r>
  <r>
    <x v="15"/>
    <x v="12"/>
    <s v="COTT"/>
    <n v="39296709.031208202"/>
    <n v="357.21870000000001"/>
    <m/>
    <n v="7.2783291637897491"/>
    <n v="0"/>
    <n v="0"/>
    <n v="110007.42411079879"/>
    <n v="7.2783291637897491"/>
    <n v="0"/>
    <n v="0"/>
    <m/>
    <s v="Hedge Fund"/>
    <n v="3.1742989999999999E-2"/>
    <n v="0"/>
    <n v="2.4460619999999999E-2"/>
    <n v="0"/>
    <s v="ARF"/>
    <n v="12.823125683668584"/>
    <s v="HRF"/>
    <n v="0"/>
    <m/>
    <m/>
    <m/>
    <m/>
    <m/>
    <m/>
    <m/>
    <d v="2017-01-27T00:00:00"/>
    <n v="-7.8264287093112728E-3"/>
    <x v="1"/>
  </r>
  <r>
    <x v="16"/>
    <x v="12"/>
    <s v="COTT"/>
    <n v="39990175.47273083"/>
    <n v="369.30579999999992"/>
    <m/>
    <n v="0"/>
    <n v="-636204.29444699734"/>
    <n v="0"/>
    <n v="108284.72088099032"/>
    <n v="-636204.29444699734"/>
    <n v="0"/>
    <n v="0"/>
    <m/>
    <s v="Hedge Fund"/>
    <n v="3.5122730275699697E-2"/>
    <n v="9.6379080000000006E-2"/>
    <n v="2.7064999999999999E-2"/>
    <n v="3.8411020000000004E-2"/>
    <s v="ARF"/>
    <n v="13.257017869187063"/>
    <s v="HRF"/>
    <n v="0"/>
    <m/>
    <m/>
    <m/>
    <m/>
    <m/>
    <m/>
    <m/>
    <d v="2017-02-28T00:00:00"/>
    <n v="3.3836694439568493E-2"/>
    <x v="1"/>
  </r>
  <r>
    <x v="17"/>
    <x v="12"/>
    <s v="COTT"/>
    <n v="39677061.627127267"/>
    <n v="366.41419999999999"/>
    <m/>
    <n v="2.2532959058880806"/>
    <n v="0"/>
    <n v="0"/>
    <n v="108284.72703057705"/>
    <n v="2.2532959058880806"/>
    <n v="0"/>
    <n v="0"/>
    <m/>
    <s v="Hedge Fund"/>
    <n v="3.4025157142084102E-2"/>
    <n v="5.2839410000000003E-2"/>
    <n v="2.621923E-2"/>
    <n v="1.9086499999999999E-2"/>
    <s v="ARF"/>
    <n v="13.153217731548985"/>
    <s v="HRF"/>
    <n v="0"/>
    <m/>
    <m/>
    <m/>
    <m/>
    <m/>
    <m/>
    <m/>
    <d v="2017-03-31T00:00:00"/>
    <n v="-7.8298255808599837E-3"/>
    <x v="1"/>
  </r>
  <r>
    <x v="18"/>
    <x v="12"/>
    <s v="COTT"/>
    <n v="39535342.370000005"/>
    <n v="365.10550000000006"/>
    <m/>
    <n v="0"/>
    <n v="-7.0348623543977737"/>
    <n v="0"/>
    <n v="108284.70776255082"/>
    <n v="-7.0348623543977737"/>
    <n v="0"/>
    <n v="0"/>
    <m/>
    <s v="Hedge Fund"/>
    <n v="3.073238E-2"/>
    <n v="3.0317409999999999E-2"/>
    <n v="2.3681859999999999E-2"/>
    <n v="9.0461199999999995E-3"/>
    <s v="ARF"/>
    <n v="13.106239159088425"/>
    <s v="HRF"/>
    <n v="0"/>
    <m/>
    <m/>
    <m/>
    <m/>
    <m/>
    <m/>
    <m/>
    <d v="2017-04-28T00:00:00"/>
    <n v="-3.5716410553955358E-3"/>
    <x v="1"/>
  </r>
  <r>
    <x v="19"/>
    <x v="12"/>
    <s v="COTT"/>
    <n v="37875996.793296397"/>
    <n v="349.78149999999999"/>
    <m/>
    <n v="9.2850497290492058"/>
    <n v="0"/>
    <n v="0"/>
    <n v="108284.73430783617"/>
    <n v="9.2850497290492058"/>
    <n v="0"/>
    <n v="0"/>
    <m/>
    <s v="Hedge Fund"/>
    <n v="3.6220313409315301E-2"/>
    <n v="2.7910770000000001E-2"/>
    <n v="0"/>
    <n v="0"/>
    <s v="ARF"/>
    <n v="12.556151557357223"/>
    <s v="HRF"/>
    <n v="0"/>
    <m/>
    <m/>
    <m/>
    <m/>
    <m/>
    <m/>
    <m/>
    <d v="2017-05-31T00:00:00"/>
    <n v="-4.1971430175661739E-2"/>
    <x v="1"/>
  </r>
  <r>
    <x v="20"/>
    <x v="12"/>
    <s v="COTT"/>
    <n v="37808882.209424123"/>
    <n v="349.16180000000003"/>
    <m/>
    <n v="0"/>
    <n v="-10.534021712839603"/>
    <n v="0"/>
    <n v="108284.70413837975"/>
    <n v="-10.534021712839603"/>
    <n v="0"/>
    <n v="0"/>
    <m/>
    <s v="Hedge Fund"/>
    <n v="3.2927554008468501E-2"/>
    <n v="2.537E-2"/>
    <n v="0"/>
    <n v="0"/>
    <s v="ARF"/>
    <n v="12.533906106639865"/>
    <s v="HRF"/>
    <n v="0"/>
    <m/>
    <m/>
    <m/>
    <m/>
    <m/>
    <m/>
    <m/>
    <d v="2017-06-30T00:00:00"/>
    <n v="-1.7716774615008646E-3"/>
    <x v="1"/>
  </r>
  <r>
    <x v="21"/>
    <x v="12"/>
    <s v="COTT"/>
    <n v="36962039.780000001"/>
    <n v="341.34120000000001"/>
    <m/>
    <n v="8.9277604892849922"/>
    <n v="0"/>
    <n v="0"/>
    <n v="108284.73029332526"/>
    <n v="8.9277604892849922"/>
    <n v="0"/>
    <n v="0"/>
    <m/>
    <s v="Hedge Fund"/>
    <n v="3.4025146999999999E-2"/>
    <n v="0"/>
    <n v="2.6218999999999999E-2"/>
    <n v="0"/>
    <s v="ARF"/>
    <n v="12.253169021146583"/>
    <s v="HRF"/>
    <n v="0"/>
    <m/>
    <m/>
    <m/>
    <m/>
    <m/>
    <m/>
    <m/>
    <d v="2017-07-31T00:00:00"/>
    <n v="-2.239821194643854E-2"/>
    <x v="1"/>
  </r>
  <r>
    <x v="22"/>
    <x v="12"/>
    <s v="COTT"/>
    <n v="37670000"/>
    <n v="347.87959999999998"/>
    <m/>
    <n v="0"/>
    <n v="-48.660549871623516"/>
    <n v="0"/>
    <n v="108284.59041576454"/>
    <n v="-48.660549871623516"/>
    <n v="0"/>
    <n v="0"/>
    <m/>
    <s v="Hedge Fund"/>
    <n v="3.4025146999999999E-2"/>
    <n v="0"/>
    <n v="2.6218999999999999E-2"/>
    <n v="0"/>
    <s v="ARF"/>
    <n v="12.487878808092503"/>
    <s v="HRF"/>
    <n v="0"/>
    <m/>
    <m/>
    <m/>
    <m/>
    <m/>
    <m/>
    <m/>
    <d v="2017-08-31T00:00:00"/>
    <n v="1.915502728648022E-2"/>
    <x v="1"/>
  </r>
  <r>
    <x v="23"/>
    <x v="12"/>
    <s v="COTT"/>
    <n v="36996300"/>
    <n v="341.65800000000002"/>
    <m/>
    <n v="3.4077307134866714"/>
    <n v="0"/>
    <n v="0"/>
    <n v="108284.60038986354"/>
    <n v="3.4077307134866714"/>
    <n v="0"/>
    <n v="0"/>
    <m/>
    <s v="Hedge Fund"/>
    <n v="3.1800000000000002E-2"/>
    <n v="0"/>
    <n v="2.4527630000000002E-2"/>
    <n v="0"/>
    <s v="ARF"/>
    <n v="12.264541231550423"/>
    <s v="HRF"/>
    <n v="0"/>
    <m/>
    <m/>
    <m/>
    <m/>
    <m/>
    <m/>
    <m/>
    <d v="2017-09-29T00:00:00"/>
    <n v="-1.7884348492984148E-2"/>
    <x v="1"/>
  </r>
  <r>
    <x v="24"/>
    <x v="12"/>
    <s v="COTT"/>
    <n v="36253200"/>
    <n v="334.79489999999998"/>
    <m/>
    <n v="68.040935680270195"/>
    <n v="0"/>
    <n v="0"/>
    <n v="108284.80362156055"/>
    <n v="68.040935680270195"/>
    <n v="0"/>
    <n v="0"/>
    <m/>
    <s v="Hedge Fund"/>
    <n v="3.5099999999999999E-2"/>
    <n v="0"/>
    <n v="2.7064999999999999E-2"/>
    <n v="0"/>
    <s v="ARF"/>
    <n v="12.018175646883142"/>
    <s v="HRF"/>
    <n v="0"/>
    <m/>
    <m/>
    <m/>
    <m/>
    <m/>
    <m/>
    <m/>
    <d v="2017-10-31T00:00:00"/>
    <n v="-2.0087631491140456E-2"/>
    <x v="1"/>
  </r>
  <r>
    <x v="25"/>
    <x v="12"/>
    <s v="COTT"/>
    <n v="36213318.939999998"/>
    <n v="334.42689999999993"/>
    <m/>
    <n v="0"/>
    <n v="-32.252267263829708"/>
    <n v="0"/>
    <n v="108284.70718115081"/>
    <n v="-32.252267263829708"/>
    <n v="0"/>
    <n v="0"/>
    <m/>
    <s v="Hedge Fund"/>
    <n v="3.2927600000000001E-2"/>
    <n v="0"/>
    <n v="2.5373429999999999E-2"/>
    <n v="0"/>
    <s v="ARF"/>
    <n v="12.004965503484742"/>
    <s v="HRF"/>
    <n v="0"/>
    <m/>
    <m/>
    <m/>
    <m/>
    <m/>
    <m/>
    <m/>
    <d v="2017-11-30T00:00:00"/>
    <n v="-1.0991804235968017E-3"/>
    <x v="1"/>
  </r>
  <r>
    <x v="26"/>
    <x v="12"/>
    <s v="COTT"/>
    <n v="35787200"/>
    <n v="330.49180000000007"/>
    <m/>
    <n v="0"/>
    <n v="-7.788771465420723"/>
    <n v="0"/>
    <n v="108284.68361393534"/>
    <n v="-7.788771465420723"/>
    <n v="0"/>
    <n v="0"/>
    <m/>
    <s v="Hedge Fund"/>
    <n v="3.1829999999999997E-2"/>
    <n v="0"/>
    <n v="2.452764E-2"/>
    <n v="0"/>
    <s v="ARF"/>
    <n v="11.863706711943863"/>
    <s v="HRF"/>
    <n v="0"/>
    <m/>
    <m/>
    <m/>
    <m/>
    <m/>
    <m/>
    <m/>
    <d v="2017-12-29T00:00:00"/>
    <n v="-1.1766696997161041E-2"/>
    <x v="1"/>
  </r>
  <r>
    <x v="27"/>
    <x v="12"/>
    <s v="COTT"/>
    <n v="35143700"/>
    <n v="330.08280000000002"/>
    <m/>
    <n v="0"/>
    <n v="-599211.56440189481"/>
    <n v="0"/>
    <n v="106469.34647912584"/>
    <n v="-599211.56440189481"/>
    <n v="0"/>
    <n v="0"/>
    <m/>
    <s v="Hedge Fund"/>
    <n v="3.6220299999999997E-2"/>
    <n v="0"/>
    <n v="2.7910770000000001E-2"/>
    <n v="0"/>
    <s v="ARF"/>
    <n v="11.849024786264662"/>
    <s v="HRF"/>
    <n v="0"/>
    <m/>
    <m/>
    <m/>
    <m/>
    <m/>
    <m/>
    <m/>
    <d v="2018-01-31T00:00:00"/>
    <n v="-1.2375496154520826E-3"/>
    <x v="1"/>
  </r>
  <r>
    <x v="28"/>
    <x v="12"/>
    <s v="COTT"/>
    <n v="38372000"/>
    <n v="360.40450000000004"/>
    <m/>
    <n v="0"/>
    <n v="-31.583136111497879"/>
    <n v="0"/>
    <n v="106469.25884665702"/>
    <n v="-31.583136111497879"/>
    <n v="0"/>
    <n v="0"/>
    <m/>
    <s v="Hedge Fund"/>
    <n v="3.07324E-2"/>
    <n v="0"/>
    <n v="0"/>
    <n v="0"/>
    <s v="ARF"/>
    <n v="12.937486756599624"/>
    <s v="HRF"/>
    <n v="3.0559654789352"/>
    <m/>
    <m/>
    <m/>
    <m/>
    <m/>
    <m/>
    <m/>
    <d v="2018-02-28T00:00:00"/>
    <n v="9.1860890661373595E-2"/>
    <x v="1"/>
  </r>
  <r>
    <x v="29"/>
    <x v="12"/>
    <s v="COTT"/>
    <n v="39107903.892808802"/>
    <n v="367.31650000000002"/>
    <m/>
    <n v="0"/>
    <n v="0"/>
    <n v="0"/>
    <n v="106469.22719999999"/>
    <n v="0"/>
    <n v="0"/>
    <n v="0"/>
    <m/>
    <s v="Hedge Fund"/>
    <n v="3.1829974438904118E-2"/>
    <n v="0"/>
    <n v="0"/>
    <n v="0"/>
    <s v="ARF"/>
    <n v="13.185607710865199"/>
    <s v="HRF"/>
    <n v="3.1145741627624002"/>
    <m/>
    <m/>
    <m/>
    <m/>
    <m/>
    <m/>
    <m/>
    <d v="2018-03-29T00:00:00"/>
    <n v="1.9178147941436574E-2"/>
    <x v="1"/>
  </r>
  <r>
    <x v="30"/>
    <x v="12"/>
    <s v="COTT"/>
    <n v="39272814.07881888"/>
    <n v="368.86540000000002"/>
    <m/>
    <n v="0"/>
    <n v="0"/>
    <n v="0"/>
    <n v="106469.22719999999"/>
    <n v="0"/>
    <n v="0"/>
    <n v="0"/>
    <m/>
    <s v="Hedge Fund"/>
    <n v="3.1829974438904118E-2"/>
    <n v="0"/>
    <n v="0"/>
    <n v="0"/>
    <s v="ARF"/>
    <n v="13.241208773663521"/>
    <s v="HRF"/>
    <n v="3.1277076972502407"/>
    <m/>
    <m/>
    <m/>
    <m/>
    <m/>
    <m/>
    <m/>
    <d v="2018-04-30T00:00:00"/>
    <n v="4.2167994086843574E-3"/>
    <x v="1"/>
  </r>
  <r>
    <x v="31"/>
    <x v="12"/>
    <s v="COTT"/>
    <n v="39000157.034882396"/>
    <n v="366.30450000000002"/>
    <m/>
    <n v="0"/>
    <n v="0"/>
    <n v="0"/>
    <n v="106469.22719999999"/>
    <n v="0"/>
    <n v="0"/>
    <n v="0"/>
    <m/>
    <s v="Hedge Fund"/>
    <n v="3.4025199999999999E-2"/>
    <n v="1.8799999999999999E-4"/>
    <n v="0"/>
    <n v="0"/>
    <s v="ARF"/>
    <n v="13.149279816519599"/>
    <s v="HRF"/>
    <n v="3.1059931459752006"/>
    <m/>
    <m/>
    <m/>
    <m/>
    <m/>
    <m/>
    <m/>
    <d v="2018-05-31T00:00:00"/>
    <n v="-6.9426408657468075E-3"/>
    <x v="1"/>
  </r>
  <r>
    <x v="32"/>
    <x v="12"/>
    <s v="COTT"/>
    <n v="39322567.148689434"/>
    <n v="369.33269999999999"/>
    <m/>
    <n v="0"/>
    <n v="0"/>
    <n v="0"/>
    <n v="106469.22719999999"/>
    <n v="0"/>
    <n v="0"/>
    <n v="-369.33269999999999"/>
    <m/>
    <s v="Hedge Fund"/>
    <n v="3.1829959999999997E-2"/>
    <n v="1.9698029999999998E-2"/>
    <n v="0"/>
    <n v="0"/>
    <s v="ARF"/>
    <n v="13.25798350195176"/>
    <s v="HRF"/>
    <n v="3.13167005806512"/>
    <m/>
    <m/>
    <m/>
    <m/>
    <m/>
    <m/>
    <m/>
    <d v="2018-06-29T00:00:00"/>
    <n v="8.2668927081157584E-3"/>
    <x v="1"/>
  </r>
  <r>
    <x v="33"/>
    <x v="12"/>
    <s v="COTT"/>
    <n v="39322567.148689434"/>
    <n v="369.33269999999999"/>
    <m/>
    <n v="0"/>
    <n v="0"/>
    <n v="0"/>
    <n v="106469.22719999999"/>
    <n v="0"/>
    <n v="0"/>
    <n v="0"/>
    <m/>
    <s v="Hedge Fund"/>
    <n v="3.1829959999999997E-2"/>
    <n v="1.9698029999999998E-2"/>
    <n v="0"/>
    <n v="0"/>
    <s v="ARF"/>
    <n v="13.25798350195176"/>
    <s v="HRF"/>
    <n v="3.13167005806512"/>
    <m/>
    <m/>
    <m/>
    <m/>
    <m/>
    <m/>
    <m/>
    <d v="2018-07-31T00:00:00"/>
    <n v="0"/>
    <x v="1"/>
  </r>
  <r>
    <x v="17"/>
    <x v="13"/>
    <s v="Donald"/>
    <n v="10000000"/>
    <n v="10000000"/>
    <m/>
    <n v="10000000"/>
    <n v="0"/>
    <n v="0"/>
    <n v="1"/>
    <n v="10000000"/>
    <n v="10000000"/>
    <n v="10000000"/>
    <m/>
    <s v="Private Equity Fund"/>
    <n v="0"/>
    <n v="0"/>
    <n v="0"/>
    <n v="0"/>
    <m/>
    <m/>
    <m/>
    <m/>
    <m/>
    <m/>
    <m/>
    <m/>
    <m/>
    <m/>
    <m/>
    <d v="2017-03-31T00:00:00"/>
    <n v="0"/>
    <x v="0"/>
  </r>
  <r>
    <x v="18"/>
    <x v="13"/>
    <s v="Donald"/>
    <n v="10000000"/>
    <n v="10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0"/>
    <x v="0"/>
  </r>
  <r>
    <x v="19"/>
    <x v="13"/>
    <s v="Donald"/>
    <n v="10055696.75"/>
    <n v="10055696.7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5.5696750000000517E-3"/>
    <x v="0"/>
  </r>
  <r>
    <x v="20"/>
    <x v="13"/>
    <s v="Donald"/>
    <n v="10168024.49"/>
    <n v="10168024.4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1.1170557624462951E-2"/>
    <x v="0"/>
  </r>
  <r>
    <x v="21"/>
    <x v="13"/>
    <s v="Donald"/>
    <n v="10283744.219999999"/>
    <n v="10283744.219999999"/>
    <m/>
    <m/>
    <n v="0"/>
    <n v="-183750"/>
    <n v="1"/>
    <n v="-183750"/>
    <n v="-183750"/>
    <n v="-183750"/>
    <m/>
    <s v="Private Equity Fund"/>
    <n v="0"/>
    <n v="0"/>
    <n v="0"/>
    <n v="0"/>
    <m/>
    <m/>
    <m/>
    <m/>
    <m/>
    <m/>
    <m/>
    <m/>
    <m/>
    <m/>
    <m/>
    <d v="2017-07-31T00:00:00"/>
    <n v="2.9452105499403469E-2"/>
    <x v="0"/>
  </r>
  <r>
    <x v="22"/>
    <x v="13"/>
    <s v="Donald"/>
    <n v="10216672.289999999"/>
    <n v="10216672.289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-6.5221312943156695E-3"/>
    <x v="0"/>
  </r>
  <r>
    <x v="23"/>
    <x v="13"/>
    <s v="Donald"/>
    <n v="10327045.119999999"/>
    <n v="10327045.119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1.0803207430665207E-2"/>
    <x v="0"/>
  </r>
  <r>
    <x v="24"/>
    <x v="13"/>
    <s v="Donald"/>
    <n v="10109069.619999999"/>
    <n v="10109069.619999999"/>
    <m/>
    <m/>
    <n v="0"/>
    <n v="-351251.8"/>
    <n v="1"/>
    <n v="-351251.8"/>
    <n v="-351251.8"/>
    <n v="-351251.8"/>
    <m/>
    <s v="Private Equity Fund"/>
    <n v="0"/>
    <n v="0"/>
    <n v="0"/>
    <n v="0"/>
    <m/>
    <m/>
    <m/>
    <m/>
    <m/>
    <m/>
    <m/>
    <m/>
    <m/>
    <m/>
    <m/>
    <d v="2017-10-31T00:00:00"/>
    <n v="1.2905559959439872E-2"/>
    <x v="0"/>
  </r>
  <r>
    <x v="25"/>
    <x v="13"/>
    <s v="Donald"/>
    <n v="10112994.91"/>
    <n v="10112994.9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3.8829389326155983E-4"/>
    <x v="0"/>
  </r>
  <r>
    <x v="26"/>
    <x v="13"/>
    <s v="Donald"/>
    <n v="10110400.57"/>
    <n v="10110400.5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-2.5653528189106822E-4"/>
    <x v="0"/>
  </r>
  <r>
    <x v="27"/>
    <x v="13"/>
    <s v="Donald"/>
    <n v="10117935.5"/>
    <n v="10117935.5"/>
    <m/>
    <m/>
    <n v="0"/>
    <n v="-337500"/>
    <n v="1"/>
    <n v="-337500"/>
    <n v="-337500"/>
    <n v="-337500"/>
    <m/>
    <s v="Private Equity Fund"/>
    <n v="0"/>
    <n v="0"/>
    <n v="0"/>
    <n v="0"/>
    <m/>
    <m/>
    <m/>
    <m/>
    <m/>
    <m/>
    <m/>
    <m/>
    <m/>
    <m/>
    <m/>
    <d v="2018-01-31T00:00:00"/>
    <n v="3.4126731934222443E-2"/>
    <x v="0"/>
  </r>
  <r>
    <x v="28"/>
    <x v="13"/>
    <s v="Donald"/>
    <n v="10203462.119999999"/>
    <n v="10203462.119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8.4529714584560267E-3"/>
    <x v="0"/>
  </r>
  <r>
    <x v="29"/>
    <x v="13"/>
    <s v="Donald"/>
    <n v="10310951.2764144"/>
    <n v="10310951.276414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1.0534576906372717E-2"/>
    <x v="0"/>
  </r>
  <r>
    <x v="30"/>
    <x v="13"/>
    <s v="Donald"/>
    <n v="10095913.02"/>
    <n v="10095913.0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-2.0855326598845036E-2"/>
    <x v="0"/>
  </r>
  <r>
    <x v="31"/>
    <x v="13"/>
    <s v="Donald"/>
    <n v="10212787.85"/>
    <n v="10212787.8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1.1576449774128417E-2"/>
    <x v="0"/>
  </r>
  <r>
    <x v="32"/>
    <x v="13"/>
    <s v="Donald"/>
    <n v="10323346.939999999"/>
    <n v="10323346.939999999"/>
    <m/>
    <m/>
    <n v="0"/>
    <n v="0"/>
    <n v="1"/>
    <n v="0"/>
    <n v="0"/>
    <n v="-10323346.939999999"/>
    <m/>
    <s v="Private Equity Fund"/>
    <n v="0"/>
    <n v="0"/>
    <n v="0"/>
    <n v="0"/>
    <m/>
    <m/>
    <m/>
    <m/>
    <m/>
    <m/>
    <m/>
    <m/>
    <m/>
    <m/>
    <m/>
    <d v="2018-06-29T00:00:00"/>
    <n v="1.0825554356345579E-2"/>
    <x v="0"/>
  </r>
  <r>
    <x v="33"/>
    <x v="13"/>
    <s v="Donald"/>
    <n v="10323346.939999999"/>
    <n v="10323346.939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0"/>
  </r>
  <r>
    <x v="208"/>
    <x v="14"/>
    <s v="DTK"/>
    <n v="56000000"/>
    <n v="103.70370370370371"/>
    <m/>
    <n v="56000000"/>
    <n v="0"/>
    <n v="0"/>
    <n v="540000"/>
    <n v="56000000"/>
    <n v="103.70370370370371"/>
    <n v="56000000"/>
    <m/>
    <s v="Private Equity Fund"/>
    <n v="0"/>
    <n v="0"/>
    <n v="0"/>
    <n v="0"/>
    <m/>
    <m/>
    <m/>
    <m/>
    <m/>
    <m/>
    <m/>
    <m/>
    <m/>
    <m/>
    <m/>
    <d v="2014-09-24T00:00:00"/>
    <n v="0"/>
    <x v="3"/>
  </r>
  <r>
    <x v="47"/>
    <x v="14"/>
    <s v="DTK"/>
    <n v="55978302.18"/>
    <n v="103.66352255555556"/>
    <m/>
    <n v="0"/>
    <n v="0"/>
    <n v="0"/>
    <n v="540000"/>
    <n v="0"/>
    <n v="0"/>
    <n v="0"/>
    <m/>
    <s v="Private Equity Fund"/>
    <n v="4.5000000000000005E-2"/>
    <n v="0"/>
    <n v="3.5833333333333335E-2"/>
    <n v="0"/>
    <s v="CHFC3"/>
    <n v="1.7564749499999999"/>
    <s v="HRF"/>
    <n v="0.25092499000000001"/>
    <m/>
    <m/>
    <m/>
    <m/>
    <m/>
    <m/>
    <m/>
    <d v="2014-09-30T00:00:00"/>
    <n v="-3.8746107142861863E-4"/>
    <x v="3"/>
  </r>
  <r>
    <x v="184"/>
    <x v="14"/>
    <s v="DTK"/>
    <n v="55978302.18"/>
    <n v="103.66352255555556"/>
    <m/>
    <n v="0"/>
    <n v="0"/>
    <n v="0"/>
    <n v="540000"/>
    <n v="0"/>
    <n v="0"/>
    <n v="0"/>
    <m/>
    <s v="Private Equity Fund"/>
    <n v="4.5000000000000005E-2"/>
    <n v="0"/>
    <n v="3.5833333333333335E-2"/>
    <n v="0"/>
    <s v="CHFC3"/>
    <n v="1.7856961"/>
    <s v="HRF"/>
    <n v="0.25509944000000001"/>
    <m/>
    <m/>
    <m/>
    <m/>
    <m/>
    <m/>
    <m/>
    <d v="2014-10-31T00:00:00"/>
    <n v="0"/>
    <x v="3"/>
  </r>
  <r>
    <x v="185"/>
    <x v="14"/>
    <s v="DTK"/>
    <n v="55978302.18"/>
    <n v="103.66352255555556"/>
    <m/>
    <n v="0"/>
    <n v="0"/>
    <n v="0"/>
    <n v="540000"/>
    <n v="0"/>
    <n v="0"/>
    <n v="0"/>
    <m/>
    <s v="Private Equity Fund"/>
    <n v="4.5000000000000005E-2"/>
    <n v="0"/>
    <n v="3.5833333333333335E-2"/>
    <n v="0"/>
    <s v="CHFC3"/>
    <n v="1.8122402"/>
    <s v="HRF"/>
    <n v="0.24541923000000002"/>
    <m/>
    <m/>
    <m/>
    <m/>
    <m/>
    <m/>
    <m/>
    <d v="2014-11-28T00:00:00"/>
    <n v="0"/>
    <x v="3"/>
  </r>
  <r>
    <x v="186"/>
    <x v="14"/>
    <s v="DTK"/>
    <n v="55572933.236718029"/>
    <n v="102.91283932725561"/>
    <m/>
    <n v="0"/>
    <n v="0"/>
    <n v="0"/>
    <n v="540000"/>
    <n v="0"/>
    <n v="0"/>
    <n v="0"/>
    <m/>
    <s v="Private Equity Fund"/>
    <n v="4.5000000000000005E-2"/>
    <n v="0"/>
    <n v="3.5833333333333335E-2"/>
    <n v="0"/>
    <s v="CHFC3"/>
    <n v="1.7499584099999999"/>
    <s v="HRF"/>
    <n v="0.24999405999999999"/>
    <m/>
    <m/>
    <m/>
    <m/>
    <m/>
    <m/>
    <m/>
    <d v="2014-12-31T00:00:00"/>
    <n v="-7.2415369436982235E-3"/>
    <x v="3"/>
  </r>
  <r>
    <x v="187"/>
    <x v="14"/>
    <s v="DTK"/>
    <n v="55572933.236717999"/>
    <n v="102.91283932725558"/>
    <m/>
    <n v="0"/>
    <n v="-1.4901161193847656E-8"/>
    <n v="0"/>
    <n v="539999.99999999988"/>
    <n v="-1.4901161193847656E-8"/>
    <n v="0"/>
    <n v="-1.4901161193847656E-8"/>
    <m/>
    <s v="Private Equity Fund"/>
    <n v="4.5000000000000005E-2"/>
    <n v="0"/>
    <n v="3.5833333333333335E-2"/>
    <n v="0"/>
    <s v="CHFC3"/>
    <n v="1.77869593"/>
    <s v="HRF"/>
    <n v="0.25409942000000002"/>
    <m/>
    <m/>
    <m/>
    <m/>
    <m/>
    <m/>
    <m/>
    <d v="2015-01-30T00:00:00"/>
    <n v="-2.2204460492503131E-16"/>
    <x v="3"/>
  </r>
  <r>
    <x v="188"/>
    <x v="14"/>
    <s v="DTK"/>
    <n v="55572933.236717999"/>
    <n v="102.91283932725558"/>
    <m/>
    <n v="0"/>
    <n v="0"/>
    <n v="0"/>
    <n v="539999.99999999988"/>
    <n v="0"/>
    <n v="0"/>
    <n v="0"/>
    <m/>
    <s v="Private Equity Fund"/>
    <n v="4.5000000000000005E-2"/>
    <n v="0"/>
    <n v="3.5833333333333335E-2"/>
    <n v="0"/>
    <s v="CHFC3"/>
    <n v="1.8054948500000001"/>
    <s v="HRF"/>
    <n v="0.25792784000000002"/>
    <m/>
    <m/>
    <m/>
    <m/>
    <m/>
    <m/>
    <m/>
    <d v="2015-02-27T00:00:00"/>
    <n v="0"/>
    <x v="3"/>
  </r>
  <r>
    <x v="189"/>
    <x v="14"/>
    <s v="DTK"/>
    <n v="55376503.040502302"/>
    <n v="102.54907970463391"/>
    <m/>
    <n v="0"/>
    <n v="0"/>
    <n v="0"/>
    <n v="539999.99999999988"/>
    <n v="0"/>
    <n v="0"/>
    <n v="0"/>
    <m/>
    <s v="Private Equity Fund"/>
    <n v="4.5000000000000005E-2"/>
    <n v="0"/>
    <n v="3.5833333333333335E-2"/>
    <n v="0"/>
    <s v="CHFC3"/>
    <n v="1.8366406899999999"/>
    <s v="HRF"/>
    <n v="0.26237724000000001"/>
    <m/>
    <m/>
    <m/>
    <m/>
    <m/>
    <m/>
    <m/>
    <d v="2015-03-31T00:00:00"/>
    <n v="-3.5346379032934472E-3"/>
    <x v="3"/>
  </r>
  <r>
    <x v="190"/>
    <x v="14"/>
    <s v="DTK"/>
    <n v="55376503.040502302"/>
    <n v="102.54907970463391"/>
    <m/>
    <n v="0"/>
    <n v="0"/>
    <n v="0"/>
    <n v="539999.99999999988"/>
    <n v="0"/>
    <n v="0"/>
    <n v="0"/>
    <m/>
    <s v="Private Equity Fund"/>
    <n v="4.5000000000000005E-2"/>
    <n v="0"/>
    <n v="3.5833333333333335E-2"/>
    <n v="0"/>
    <s v="CHFC3"/>
    <n v="1.8649194599999999"/>
    <s v="HRF"/>
    <n v="0.26641707000000003"/>
    <m/>
    <m/>
    <m/>
    <m/>
    <m/>
    <m/>
    <m/>
    <d v="2015-04-30T00:00:00"/>
    <n v="0"/>
    <x v="3"/>
  </r>
  <r>
    <x v="191"/>
    <x v="14"/>
    <s v="DTK"/>
    <n v="55376503.040502302"/>
    <n v="102.54907970463391"/>
    <m/>
    <n v="0"/>
    <n v="0"/>
    <n v="0"/>
    <n v="539999.99999999988"/>
    <n v="0"/>
    <n v="0"/>
    <n v="0"/>
    <m/>
    <s v="Private Equity Fund"/>
    <n v="4.5000000000000005E-2"/>
    <n v="0"/>
    <n v="3.5833333333333335E-2"/>
    <n v="0"/>
    <s v="CHFC3"/>
    <n v="1.7176623999999998"/>
    <s v="HRF"/>
    <n v="0.24538034"/>
    <m/>
    <m/>
    <m/>
    <m/>
    <m/>
    <m/>
    <m/>
    <d v="2015-05-29T00:00:00"/>
    <n v="0"/>
    <x v="3"/>
  </r>
  <r>
    <x v="192"/>
    <x v="14"/>
    <s v="DTK"/>
    <n v="54986154.609450459"/>
    <n v="101.82621223972309"/>
    <m/>
    <n v="0"/>
    <n v="0"/>
    <n v="0"/>
    <n v="539999.99999999988"/>
    <n v="0"/>
    <n v="0"/>
    <n v="0"/>
    <m/>
    <s v="Private Equity Fund"/>
    <n v="4.5000000000000005E-2"/>
    <n v="0"/>
    <n v="3.5833333333333335E-2"/>
    <n v="0"/>
    <s v="CHFC3"/>
    <n v="1.74877598"/>
    <s v="HRF"/>
    <n v="0.24982514"/>
    <m/>
    <m/>
    <m/>
    <m/>
    <m/>
    <m/>
    <m/>
    <d v="2015-06-30T00:00:00"/>
    <n v="-7.048990268785027E-3"/>
    <x v="3"/>
  </r>
  <r>
    <x v="193"/>
    <x v="14"/>
    <s v="DTK"/>
    <n v="54986154.609450459"/>
    <n v="101.82621223972309"/>
    <m/>
    <n v="0"/>
    <n v="0"/>
    <n v="0"/>
    <n v="539999.99999999988"/>
    <n v="0"/>
    <n v="0"/>
    <n v="0"/>
    <m/>
    <s v="Private Equity Fund"/>
    <n v="4.5000000000000005E-2"/>
    <n v="0"/>
    <n v="3.5833333333333335E-2"/>
    <n v="0"/>
    <s v="CHFC3"/>
    <n v="1.7773161899999999"/>
    <s v="HRF"/>
    <n v="0.25390231000000002"/>
    <m/>
    <m/>
    <m/>
    <m/>
    <m/>
    <m/>
    <m/>
    <d v="2015-07-31T00:00:00"/>
    <n v="0"/>
    <x v="3"/>
  </r>
  <r>
    <x v="194"/>
    <x v="14"/>
    <s v="DTK"/>
    <n v="71186154.609450504"/>
    <n v="101.40477864594089"/>
    <m/>
    <n v="16200000"/>
    <n v="0"/>
    <n v="0"/>
    <n v="702000"/>
    <n v="16200000"/>
    <n v="0"/>
    <n v="16200000"/>
    <m/>
    <s v="Private Equity Fund"/>
    <n v="5.8500000000000003E-2"/>
    <n v="0"/>
    <n v="3.5833333333333335E-2"/>
    <n v="0"/>
    <s v="CHFC3"/>
    <n v="1.806983"/>
    <s v="HRF"/>
    <n v="0.25813999999999998"/>
    <m/>
    <m/>
    <m/>
    <m/>
    <m/>
    <m/>
    <m/>
    <d v="2015-08-31T00:00:00"/>
    <n v="8.8817841970012523E-16"/>
    <x v="3"/>
  </r>
  <r>
    <x v="195"/>
    <x v="14"/>
    <s v="DTK"/>
    <n v="70994040.009999931"/>
    <n v="101.13111112535601"/>
    <m/>
    <n v="1.4901161193847656E-8"/>
    <n v="0"/>
    <n v="0"/>
    <n v="702000.00000000012"/>
    <n v="1.4901161193847656E-8"/>
    <n v="0"/>
    <n v="1.4901161193847656E-8"/>
    <m/>
    <s v="Private Equity Fund"/>
    <n v="5.8500000000000003E-2"/>
    <n v="0"/>
    <n v="3.5833333333333335E-2"/>
    <n v="0"/>
    <s v="CHFC3"/>
    <n v="1.8354680000000001"/>
    <s v="HRF"/>
    <n v="0.26221"/>
    <m/>
    <m/>
    <m/>
    <m/>
    <m/>
    <m/>
    <m/>
    <d v="2015-09-30T00:00:00"/>
    <n v="-2.6987635517691233E-3"/>
    <x v="3"/>
  </r>
  <r>
    <x v="196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863734"/>
    <s v="HRF"/>
    <n v="0.26624799999999998"/>
    <m/>
    <m/>
    <m/>
    <m/>
    <m/>
    <m/>
    <m/>
    <d v="2015-10-30T00:00:00"/>
    <n v="0"/>
    <x v="3"/>
  </r>
  <r>
    <x v="1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8934120000000001"/>
    <s v="HRF"/>
    <n v="0.27048699999999998"/>
    <m/>
    <m/>
    <m/>
    <m/>
    <m/>
    <m/>
    <m/>
    <d v="2015-11-30T00:00:00"/>
    <n v="0"/>
    <x v="3"/>
  </r>
  <r>
    <x v="2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92361"/>
    <s v="HRF"/>
    <n v="0.27480100000000002"/>
    <m/>
    <m/>
    <m/>
    <m/>
    <m/>
    <m/>
    <m/>
    <d v="2015-12-31T00:00:00"/>
    <n v="0"/>
    <x v="3"/>
  </r>
  <r>
    <x v="3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950955"/>
    <s v="HRF"/>
    <n v="0.27870800000000001"/>
    <m/>
    <m/>
    <m/>
    <m/>
    <m/>
    <m/>
    <m/>
    <d v="2016-01-29T00:00:00"/>
    <n v="0"/>
    <x v="3"/>
  </r>
  <r>
    <x v="4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805628"/>
    <s v="HRF"/>
    <n v="0.25794699999999998"/>
    <m/>
    <m/>
    <m/>
    <m/>
    <m/>
    <m/>
    <m/>
    <d v="2016-02-29T00:00:00"/>
    <n v="0"/>
    <x v="3"/>
  </r>
  <r>
    <x v="5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8358209999999999"/>
    <s v="HRF"/>
    <n v="0.26225999999999999"/>
    <m/>
    <m/>
    <m/>
    <m/>
    <m/>
    <m/>
    <m/>
    <d v="2016-03-31T00:00:00"/>
    <n v="0"/>
    <x v="3"/>
  </r>
  <r>
    <x v="6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8631351299999999"/>
    <s v="HRF"/>
    <n v="0.26616215999999998"/>
    <m/>
    <m/>
    <m/>
    <m/>
    <m/>
    <m/>
    <m/>
    <d v="2016-04-29T00:00:00"/>
    <n v="0"/>
    <x v="3"/>
  </r>
  <r>
    <x v="7"/>
    <x v="14"/>
    <s v="DTK"/>
    <n v="70994040.009999931"/>
    <n v="101.1311111253560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1.893769"/>
    <s v="HRF"/>
    <n v="0.270538"/>
    <m/>
    <m/>
    <m/>
    <m/>
    <m/>
    <m/>
    <m/>
    <d v="2016-05-31T00:00:00"/>
    <n v="0"/>
    <x v="3"/>
  </r>
  <r>
    <x v="8"/>
    <x v="14"/>
    <s v="DTK"/>
    <n v="279792593.61467302"/>
    <n v="398.5649481690499"/>
    <m/>
    <n v="0"/>
    <n v="-5.9604644775390625E-8"/>
    <n v="0"/>
    <n v="702000"/>
    <n v="-5.9604644775390625E-8"/>
    <n v="0"/>
    <n v="-5.9604644775390625E-8"/>
    <m/>
    <s v="Private Equity Fund"/>
    <n v="5.8500000000000003E-2"/>
    <n v="0"/>
    <n v="3.5833333333333335E-2"/>
    <n v="0"/>
    <s v="CHFC3"/>
    <n v="1.92299"/>
    <s v="HRF"/>
    <n v="0.27471299999999998"/>
    <m/>
    <m/>
    <m/>
    <m/>
    <m/>
    <m/>
    <m/>
    <d v="2016-06-30T00:00:00"/>
    <n v="2.9410715825618974"/>
    <x v="3"/>
  </r>
  <r>
    <x v="9"/>
    <x v="14"/>
    <s v="DTK"/>
    <n v="279792593.61467302"/>
    <n v="398.5649481690499"/>
    <m/>
    <n v="0"/>
    <n v="0"/>
    <n v="0"/>
    <n v="702000"/>
    <n v="0"/>
    <n v="0"/>
    <n v="0"/>
    <m/>
    <s v="Private Equity Fund"/>
    <n v="5.8500000000000003E-2"/>
    <n v="0"/>
    <n v="3.5833333333333335E-2"/>
    <n v="0"/>
    <s v="CHFC3"/>
    <n v="1.950326"/>
    <s v="HRF"/>
    <n v="0.27861799999999998"/>
    <m/>
    <m/>
    <m/>
    <m/>
    <m/>
    <m/>
    <m/>
    <d v="2016-07-29T00:00:00"/>
    <n v="0"/>
    <x v="3"/>
  </r>
  <r>
    <x v="10"/>
    <x v="14"/>
    <s v="DTK"/>
    <n v="279792593.61467302"/>
    <n v="398.5649481690499"/>
    <m/>
    <n v="0"/>
    <n v="0"/>
    <n v="0"/>
    <n v="702000"/>
    <n v="0"/>
    <n v="0"/>
    <n v="0"/>
    <m/>
    <s v="Private Equity Fund"/>
    <n v="5.8500000000000003E-2"/>
    <n v="0"/>
    <n v="3.5833333333333335E-2"/>
    <n v="0"/>
    <s v="CHFC3"/>
    <n v="1.9819199999999999"/>
    <s v="HRF"/>
    <n v="0.28313100000000002"/>
    <m/>
    <m/>
    <m/>
    <m/>
    <m/>
    <m/>
    <m/>
    <d v="2016-08-31T00:00:00"/>
    <n v="0"/>
    <x v="3"/>
  </r>
  <r>
    <x v="11"/>
    <x v="14"/>
    <s v="DTK"/>
    <n v="279298972.78955799"/>
    <n v="397.86178460050991"/>
    <m/>
    <n v="5.9604644775390625E-8"/>
    <n v="0"/>
    <n v="0"/>
    <n v="702000.00000000012"/>
    <n v="5.9604644775390625E-8"/>
    <n v="0"/>
    <n v="5.9604644775390625E-8"/>
    <m/>
    <s v="Private Equity Fund"/>
    <n v="5.8500000000000003E-2"/>
    <n v="0"/>
    <n v="3.5833333333333335E-2"/>
    <n v="0"/>
    <s v="CHFC3"/>
    <n v="2.0111520000000001"/>
    <s v="HRF"/>
    <n v="0.28730699999999998"/>
    <m/>
    <m/>
    <m/>
    <m/>
    <m/>
    <m/>
    <m/>
    <d v="2016-09-30T00:00:00"/>
    <n v="-1.7642383550541263E-3"/>
    <x v="3"/>
  </r>
  <r>
    <x v="12"/>
    <x v="14"/>
    <s v="DTK"/>
    <n v="279298972.78955799"/>
    <n v="397.86178460050991"/>
    <m/>
    <n v="0"/>
    <n v="0"/>
    <n v="0"/>
    <n v="702000.00000000012"/>
    <n v="0"/>
    <n v="0"/>
    <n v="0"/>
    <m/>
    <s v="Private Equity Fund"/>
    <n v="5.8500000000000003E-2"/>
    <n v="0"/>
    <n v="3.5833333333333335E-2"/>
    <n v="0"/>
    <s v="CHFC3"/>
    <n v="2.0403980000000002"/>
    <s v="HRF"/>
    <n v="0.29148499999999999"/>
    <m/>
    <m/>
    <m/>
    <m/>
    <m/>
    <m/>
    <m/>
    <d v="2016-10-31T00:00:00"/>
    <n v="0"/>
    <x v="3"/>
  </r>
  <r>
    <x v="13"/>
    <x v="14"/>
    <s v="DTK"/>
    <n v="278335423.63999999"/>
    <n v="388.87999999999994"/>
    <m/>
    <n v="0"/>
    <n v="0"/>
    <n v="0"/>
    <n v="715736.02046903933"/>
    <n v="0"/>
    <n v="0"/>
    <n v="0"/>
    <m/>
    <s v="Private Equity Fund"/>
    <n v="5.8500000000000003E-2"/>
    <n v="0"/>
    <n v="3.5833333333333335E-2"/>
    <n v="0"/>
    <s v="CHFC3"/>
    <n v="2.0689860000000002"/>
    <s v="HRF"/>
    <n v="0.29556900000000003"/>
    <m/>
    <m/>
    <m/>
    <m/>
    <m/>
    <m/>
    <m/>
    <d v="2016-11-30T00:00:00"/>
    <n v="-3.4498843298074178E-3"/>
    <x v="3"/>
  </r>
  <r>
    <x v="14"/>
    <x v="14"/>
    <s v="DTK"/>
    <n v="297515423.63999999"/>
    <n v="388.88"/>
    <m/>
    <n v="19187000"/>
    <n v="0"/>
    <n v="0"/>
    <n v="765057.14780909277"/>
    <n v="19187000"/>
    <n v="0"/>
    <n v="19187000"/>
    <m/>
    <s v="Private Equity Fund"/>
    <n v="5.8500000000000003E-2"/>
    <n v="0"/>
    <n v="3.5833333333333335E-2"/>
    <n v="0"/>
    <s v="CHFC3"/>
    <n v="2.0991960000000001"/>
    <s v="HRF"/>
    <n v="0.29988500000000001"/>
    <m/>
    <m/>
    <m/>
    <m/>
    <m/>
    <m/>
    <m/>
    <d v="2016-12-30T00:00:00"/>
    <n v="-2.5149511723832063E-5"/>
    <x v="3"/>
  </r>
  <r>
    <x v="15"/>
    <x v="14"/>
    <s v="DTK"/>
    <n v="297515423.63999999"/>
    <n v="388.88"/>
    <m/>
    <n v="0"/>
    <n v="0"/>
    <n v="0"/>
    <n v="765057.14780909277"/>
    <n v="0"/>
    <n v="0"/>
    <n v="0"/>
    <m/>
    <s v="Private Equity Fund"/>
    <n v="5.8500000000000003E-2"/>
    <n v="0"/>
    <n v="3.5833333333333335E-2"/>
    <n v="0"/>
    <s v="CHFC3"/>
    <n v="2.124657"/>
    <s v="HRF"/>
    <n v="0.30352200000000001"/>
    <m/>
    <m/>
    <m/>
    <m/>
    <m/>
    <m/>
    <m/>
    <d v="2017-01-27T00:00:00"/>
    <n v="0"/>
    <x v="3"/>
  </r>
  <r>
    <x v="16"/>
    <x v="14"/>
    <s v="DTK"/>
    <n v="297515423.63999999"/>
    <n v="388.88"/>
    <m/>
    <n v="0"/>
    <n v="0"/>
    <n v="0"/>
    <n v="765057.14780909277"/>
    <n v="0"/>
    <n v="0"/>
    <n v="0"/>
    <m/>
    <s v="Private Equity Fund"/>
    <n v="5.8500000000000003E-2"/>
    <n v="0"/>
    <n v="3.5833333333333335E-2"/>
    <n v="0"/>
    <s v="CHFC3"/>
    <n v="2.1552750000000001"/>
    <s v="HRF"/>
    <n v="0.307896"/>
    <m/>
    <m/>
    <m/>
    <m/>
    <m/>
    <m/>
    <m/>
    <d v="2017-02-28T00:00:00"/>
    <n v="0"/>
    <x v="3"/>
  </r>
  <r>
    <x v="17"/>
    <x v="14"/>
    <s v="DTK"/>
    <n v="297515423.63999999"/>
    <n v="388.88"/>
    <m/>
    <n v="0"/>
    <n v="0"/>
    <n v="0"/>
    <n v="765057.14780909277"/>
    <n v="0"/>
    <n v="0"/>
    <n v="0"/>
    <m/>
    <s v="Private Equity Fund"/>
    <n v="5.8500000000000003E-2"/>
    <n v="0"/>
    <n v="3.5833333333333335E-2"/>
    <n v="0"/>
    <s v="CHFC3"/>
    <n v="2.185492"/>
    <s v="HRF"/>
    <n v="0.31221300000000002"/>
    <m/>
    <m/>
    <m/>
    <m/>
    <m/>
    <m/>
    <m/>
    <d v="2017-03-31T00:00:00"/>
    <n v="0"/>
    <x v="3"/>
  </r>
  <r>
    <x v="18"/>
    <x v="14"/>
    <s v="DTK"/>
    <n v="297515423.63999999"/>
    <n v="388.88"/>
    <m/>
    <n v="0"/>
    <n v="0"/>
    <n v="0"/>
    <n v="765057.14780909277"/>
    <n v="0"/>
    <n v="0"/>
    <n v="0"/>
    <m/>
    <s v="Private Equity Fund"/>
    <n v="5.8500000000000003E-2"/>
    <n v="0"/>
    <n v="3.5833333333333335E-2"/>
    <n v="0"/>
    <s v="CHFC3"/>
    <n v="2.212866"/>
    <s v="HRF"/>
    <n v="0.31612400000000002"/>
    <m/>
    <m/>
    <m/>
    <m/>
    <m/>
    <m/>
    <m/>
    <d v="2017-04-28T00:00:00"/>
    <n v="0"/>
    <x v="3"/>
  </r>
  <r>
    <x v="19"/>
    <x v="14"/>
    <s v="DTK"/>
    <n v="297515423.63999999"/>
    <n v="388.88"/>
    <m/>
    <n v="0"/>
    <n v="0"/>
    <n v="0"/>
    <n v="765057.14780909277"/>
    <n v="0"/>
    <n v="0"/>
    <n v="0"/>
    <m/>
    <s v="Private Equity Fund"/>
    <n v="5.8500000000000003E-2"/>
    <n v="0"/>
    <n v="3.5833333333333335E-2"/>
    <n v="0"/>
    <s v="CHFC3"/>
    <n v="2.2435390000000002"/>
    <s v="HRF"/>
    <n v="0.32050600000000001"/>
    <m/>
    <m/>
    <m/>
    <m/>
    <m/>
    <m/>
    <m/>
    <d v="2017-05-31T00:00:00"/>
    <n v="0"/>
    <x v="3"/>
  </r>
  <r>
    <x v="20"/>
    <x v="14"/>
    <s v="DTK"/>
    <n v="365229912.22000003"/>
    <n v="388.88000000000005"/>
    <m/>
    <n v="0"/>
    <n v="0"/>
    <n v="0"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2468599999999997"/>
    <m/>
    <m/>
    <m/>
    <m/>
    <m/>
    <m/>
    <m/>
    <d v="2017-06-30T00:00:00"/>
    <n v="0.22759992659048156"/>
    <x v="3"/>
  </r>
  <r>
    <x v="21"/>
    <x v="14"/>
    <s v="DTK"/>
    <n v="365229912.22000003"/>
    <n v="388.88000000000005"/>
    <m/>
    <n v="0"/>
    <n v="0"/>
    <n v="0"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2888200000000001"/>
    <m/>
    <m/>
    <m/>
    <m/>
    <m/>
    <m/>
    <m/>
    <d v="2017-07-31T00:00:00"/>
    <n v="0"/>
    <x v="3"/>
  </r>
  <r>
    <x v="22"/>
    <x v="14"/>
    <s v="DTK"/>
    <n v="365229912.22000003"/>
    <n v="388.88000000000005"/>
    <m/>
    <n v="0"/>
    <n v="0"/>
    <n v="0"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3302900000000002"/>
    <m/>
    <m/>
    <m/>
    <m/>
    <m/>
    <m/>
    <m/>
    <d v="2017-08-31T00:00:00"/>
    <n v="0"/>
    <x v="3"/>
  </r>
  <r>
    <x v="23"/>
    <x v="14"/>
    <s v="DTK"/>
    <n v="365229912.22000003"/>
    <n v="388.88000000000005"/>
    <m/>
    <n v="0"/>
    <n v="0"/>
    <n v="0"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3706399999999997"/>
    <m/>
    <m/>
    <m/>
    <m/>
    <m/>
    <m/>
    <m/>
    <d v="2017-09-29T00:00:00"/>
    <n v="0"/>
    <x v="3"/>
  </r>
  <r>
    <x v="24"/>
    <x v="14"/>
    <s v="DTK"/>
    <n v="365229912.22000003"/>
    <n v="388.88000000000005"/>
    <m/>
    <n v="0"/>
    <n v="0"/>
    <n v="0"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41312"/>
    <m/>
    <m/>
    <m/>
    <m/>
    <m/>
    <m/>
    <m/>
    <d v="2017-10-31T00:00:00"/>
    <n v="0"/>
    <x v="3"/>
  </r>
  <r>
    <x v="25"/>
    <x v="14"/>
    <s v="DTK"/>
    <n v="365869890"/>
    <n v="388.88"/>
    <m/>
    <n v="639977.78000003099"/>
    <n v="0"/>
    <n v="0"/>
    <n v="940829.79325241724"/>
    <n v="639977.78000003099"/>
    <n v="0"/>
    <n v="639977.78000003099"/>
    <m/>
    <s v="Private Equity Fund"/>
    <n v="5.8500000000000003E-2"/>
    <n v="0"/>
    <n v="3.5833333333333335E-2"/>
    <n v="0"/>
    <s v="CHFC3"/>
    <n v="2.2728009999999998"/>
    <s v="HRF"/>
    <n v="0.34544000000000002"/>
    <m/>
    <m/>
    <m/>
    <m/>
    <m/>
    <m/>
    <m/>
    <d v="2017-11-30T00:00:00"/>
    <n v="-1.1102230246251565E-16"/>
    <x v="3"/>
  </r>
  <r>
    <x v="26"/>
    <x v="14"/>
    <s v="DTK"/>
    <n v="365869890"/>
    <n v="388.88"/>
    <m/>
    <n v="0"/>
    <n v="0"/>
    <n v="0"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4947400000000001"/>
    <m/>
    <m/>
    <m/>
    <m/>
    <m/>
    <m/>
    <m/>
    <d v="2017-12-29T00:00:00"/>
    <n v="0"/>
    <x v="3"/>
  </r>
  <r>
    <x v="27"/>
    <x v="14"/>
    <s v="DTK"/>
    <n v="365869890"/>
    <n v="388.88"/>
    <m/>
    <n v="0"/>
    <n v="0"/>
    <n v="0"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5399700000000001"/>
    <m/>
    <m/>
    <m/>
    <m/>
    <m/>
    <m/>
    <m/>
    <d v="2018-01-31T00:00:00"/>
    <n v="0"/>
    <x v="3"/>
  </r>
  <r>
    <x v="28"/>
    <x v="14"/>
    <s v="DTK"/>
    <n v="378493319.47299999"/>
    <n v="402.29733601926148"/>
    <m/>
    <n v="0"/>
    <n v="0"/>
    <n v="0"/>
    <n v="940829.79325241724"/>
    <n v="0"/>
    <n v="0"/>
    <n v="0"/>
    <m/>
    <s v="Private Equity Fund"/>
    <n v="5.8500000000000003E-2"/>
    <n v="0"/>
    <n v="3.5833333333333335E-2"/>
    <n v="0"/>
    <s v="CHFC3"/>
    <n v="11.678892614759938"/>
    <s v="HRF"/>
    <n v="1.8387259352400622"/>
    <m/>
    <m/>
    <m/>
    <m/>
    <m/>
    <m/>
    <m/>
    <d v="2018-02-28T00:00:00"/>
    <n v="3.4502509821182636E-2"/>
    <x v="3"/>
  </r>
  <r>
    <x v="29"/>
    <x v="14"/>
    <s v="DTK"/>
    <n v="365869789.18608689"/>
    <n v="472.06850535610829"/>
    <m/>
    <n v="0"/>
    <n v="0"/>
    <n v="0"/>
    <n v="775035.37100000004"/>
    <n v="0"/>
    <n v="0"/>
    <n v="0"/>
    <m/>
    <s v="Private Equity Fund"/>
    <n v="7.4489166666666676E-2"/>
    <m/>
    <n v="3.5833333333333335E-2"/>
    <n v="0"/>
    <s v="CHFC3"/>
    <n v="1.9205309541926601"/>
    <s v="HRF"/>
    <n v="0.27436156488466501"/>
    <m/>
    <m/>
    <m/>
    <m/>
    <m/>
    <m/>
    <m/>
    <d v="2018-03-29T00:00:00"/>
    <n v="-3.3352055736385555E-2"/>
    <x v="3"/>
  </r>
  <r>
    <x v="30"/>
    <x v="14"/>
    <s v="DTK"/>
    <n v="365869789.18608689"/>
    <n v="472.06850535610829"/>
    <m/>
    <n v="0"/>
    <n v="0"/>
    <n v="0"/>
    <n v="775035.37100000004"/>
    <n v="0"/>
    <n v="0"/>
    <n v="0"/>
    <m/>
    <s v="Private Equity Fund"/>
    <n v="7.4489166666666676E-2"/>
    <m/>
    <n v="3.5833333333333335E-2"/>
    <n v="0"/>
    <s v="CHFC3"/>
    <n v="1.9205309541926601"/>
    <s v="HRF"/>
    <n v="0.27436156488466501"/>
    <m/>
    <m/>
    <m/>
    <m/>
    <m/>
    <m/>
    <m/>
    <d v="2018-04-30T00:00:00"/>
    <n v="0"/>
    <x v="3"/>
  </r>
  <r>
    <x v="31"/>
    <x v="14"/>
    <s v="DTK"/>
    <n v="555837653.47535658"/>
    <n v="717.17714348724417"/>
    <m/>
    <n v="0"/>
    <n v="0"/>
    <n v="0"/>
    <n v="775035.37100000004"/>
    <n v="0"/>
    <n v="0"/>
    <n v="0"/>
    <m/>
    <s v="Private Equity Fund"/>
    <n v="7.4489166666666676E-2"/>
    <m/>
    <n v="3.5833333333333335E-2"/>
    <n v="0"/>
    <s v="CHFC3"/>
    <n v="1.9805220452168499"/>
    <s v="HRF"/>
    <n v="0.28293172074526501"/>
    <m/>
    <m/>
    <m/>
    <m/>
    <m/>
    <m/>
    <m/>
    <d v="2018-05-31T00:00:00"/>
    <n v="0.51922260296995759"/>
    <x v="3"/>
  </r>
  <r>
    <x v="32"/>
    <x v="14"/>
    <s v="DTK"/>
    <n v="534131653.47850001"/>
    <n v="689.17067977082036"/>
    <m/>
    <n v="0"/>
    <n v="0"/>
    <n v="0"/>
    <n v="775035.37100000004"/>
    <n v="0"/>
    <n v="0"/>
    <n v="-534131653.47850001"/>
    <m/>
    <s v="Private Equity Fund"/>
    <n v="7.4489166666666676E-2"/>
    <m/>
    <n v="3.5833333333333335E-2"/>
    <n v="0"/>
    <s v="CHFC3"/>
    <n v="3.0646686131186698"/>
    <s v="HRF"/>
    <n v="0.43780980187409596"/>
    <m/>
    <m/>
    <m/>
    <m/>
    <m/>
    <m/>
    <m/>
    <d v="2018-06-29T00:00:00"/>
    <n v="-3.9050970838590215E-2"/>
    <x v="3"/>
  </r>
  <r>
    <x v="33"/>
    <x v="14"/>
    <s v="DTK"/>
    <n v="534131653.47850001"/>
    <n v="689.17067977082036"/>
    <m/>
    <n v="0"/>
    <n v="0"/>
    <n v="0"/>
    <n v="775035.37100000004"/>
    <n v="0"/>
    <n v="0"/>
    <n v="0"/>
    <m/>
    <s v="Private Equity Fund"/>
    <n v="7.4489166666666676E-2"/>
    <m/>
    <n v="3.5833333333333335E-2"/>
    <n v="0"/>
    <s v="CHFC3"/>
    <n v="3.0646686131186698"/>
    <s v="HRF"/>
    <n v="0.43780980187409596"/>
    <m/>
    <m/>
    <m/>
    <m/>
    <m/>
    <m/>
    <m/>
    <d v="2018-07-31T00:00:00"/>
    <n v="0"/>
    <x v="3"/>
  </r>
  <r>
    <x v="27"/>
    <x v="15"/>
    <s v="Gloves"/>
    <n v="10069896.939999999"/>
    <n v="10140282.438222136"/>
    <m/>
    <n v="10000000"/>
    <n v="0"/>
    <n v="0"/>
    <n v="0.99305882270528978"/>
    <n v="10000000"/>
    <n v="10140282.438222136"/>
    <n v="10000000"/>
    <m/>
    <s v="Private Equity Fund"/>
    <n v="0"/>
    <n v="0"/>
    <n v="0"/>
    <n v="0"/>
    <m/>
    <m/>
    <m/>
    <m/>
    <m/>
    <m/>
    <m/>
    <m/>
    <m/>
    <m/>
    <m/>
    <d v="2018-01-31T00:00:00"/>
    <n v="6.9896940000000463E-3"/>
    <x v="0"/>
  </r>
  <r>
    <x v="28"/>
    <x v="15"/>
    <s v="Gloves"/>
    <n v="9921204.7799999993"/>
    <n v="9990550.9655235372"/>
    <m/>
    <m/>
    <n v="0"/>
    <n v="-404736.48"/>
    <n v="0.99305882270528978"/>
    <n v="-404736.48"/>
    <n v="-407565.46414583712"/>
    <n v="-404736.48"/>
    <m/>
    <s v="Private Equity Fund"/>
    <n v="0"/>
    <n v="0.21321399999999999"/>
    <n v="0"/>
    <n v="0"/>
    <m/>
    <m/>
    <m/>
    <m/>
    <m/>
    <m/>
    <m/>
    <m/>
    <m/>
    <m/>
    <m/>
    <d v="2018-02-28T00:00:00"/>
    <n v="2.542670709795769E-2"/>
    <x v="0"/>
  </r>
  <r>
    <x v="29"/>
    <x v="15"/>
    <s v="Gloves"/>
    <n v="9921204.7799999993"/>
    <n v="9990550.9655235372"/>
    <m/>
    <m/>
    <n v="0"/>
    <n v="0"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3-29T00:00:00"/>
    <n v="0"/>
    <x v="0"/>
  </r>
  <r>
    <x v="30"/>
    <x v="15"/>
    <s v="Gloves"/>
    <n v="10514171.24"/>
    <n v="10587662.0796312"/>
    <m/>
    <m/>
    <n v="0"/>
    <n v="0"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4-30T00:00:00"/>
    <n v="5.9767586008843576E-2"/>
    <x v="0"/>
  </r>
  <r>
    <x v="31"/>
    <x v="15"/>
    <s v="Gloves"/>
    <n v="10844675.633567419"/>
    <n v="10920476.597775312"/>
    <m/>
    <m/>
    <n v="0"/>
    <n v="0"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5-31T00:00:00"/>
    <n v="3.1434184019188516E-2"/>
    <x v="0"/>
  </r>
  <r>
    <x v="32"/>
    <x v="15"/>
    <s v="Gloves"/>
    <n v="11158132.2975088"/>
    <n v="11236124.227879904"/>
    <m/>
    <m/>
    <n v="0"/>
    <n v="0"/>
    <n v="0.99305882270528978"/>
    <n v="0"/>
    <n v="0"/>
    <n v="-11158132.2975088"/>
    <m/>
    <s v="Private Equity Fund"/>
    <n v="0"/>
    <n v="0.21321399999999999"/>
    <n v="0"/>
    <n v="0"/>
    <m/>
    <m/>
    <m/>
    <m/>
    <m/>
    <m/>
    <m/>
    <m/>
    <m/>
    <m/>
    <m/>
    <d v="2018-06-29T00:00:00"/>
    <n v="2.8904199123406027E-2"/>
    <x v="0"/>
  </r>
  <r>
    <x v="33"/>
    <x v="15"/>
    <s v="Gloves"/>
    <n v="11158132.2975088"/>
    <n v="11236124.227879904"/>
    <m/>
    <m/>
    <n v="0"/>
    <n v="0"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7-31T00:00:00"/>
    <n v="0"/>
    <x v="0"/>
  </r>
  <r>
    <x v="92"/>
    <x v="16"/>
    <s v="HRF"/>
    <n v="24929000"/>
    <n v="998.58931883260755"/>
    <m/>
    <n v="24929000"/>
    <n v="0"/>
    <n v="0"/>
    <n v="24964.216550145997"/>
    <n v="24929000"/>
    <n v="998.58931883260755"/>
    <n v="998.58931883260755"/>
    <m/>
    <s v="Hedge Fund"/>
    <n v="0"/>
    <n v="0"/>
    <n v="0"/>
    <n v="0"/>
    <m/>
    <m/>
    <m/>
    <m/>
    <m/>
    <m/>
    <m/>
    <m/>
    <m/>
    <m/>
    <m/>
    <d v="2006-01-30T00:00:00"/>
    <n v="0"/>
    <x v="1"/>
  </r>
  <r>
    <x v="93"/>
    <x v="16"/>
    <s v="HRF"/>
    <n v="40220000"/>
    <n v="998.58931883260755"/>
    <m/>
    <n v="15291000"/>
    <n v="0"/>
    <n v="0"/>
    <n v="40276.817748279995"/>
    <n v="15291000"/>
    <n v="0"/>
    <n v="0"/>
    <m/>
    <s v="Hedge Fund"/>
    <n v="0"/>
    <n v="0"/>
    <n v="0"/>
    <n v="0"/>
    <m/>
    <m/>
    <m/>
    <m/>
    <m/>
    <m/>
    <m/>
    <m/>
    <m/>
    <m/>
    <m/>
    <d v="2006-02-27T00:00:00"/>
    <n v="0"/>
    <x v="1"/>
  </r>
  <r>
    <x v="94"/>
    <x v="16"/>
    <s v="HRF"/>
    <n v="50836000"/>
    <n v="998.58931883260755"/>
    <m/>
    <n v="10616000"/>
    <n v="0"/>
    <n v="0"/>
    <n v="50907.814695463996"/>
    <n v="10616000"/>
    <n v="0"/>
    <n v="0"/>
    <m/>
    <s v="Hedge Fund"/>
    <n v="0"/>
    <n v="0"/>
    <n v="0"/>
    <n v="0"/>
    <m/>
    <m/>
    <m/>
    <m/>
    <m/>
    <m/>
    <m/>
    <m/>
    <m/>
    <m/>
    <m/>
    <d v="2006-03-31T00:00:00"/>
    <n v="0"/>
    <x v="1"/>
  </r>
  <r>
    <x v="95"/>
    <x v="16"/>
    <s v="HRF"/>
    <n v="51139000"/>
    <n v="998.58931883260743"/>
    <m/>
    <n v="303000.00000000745"/>
    <n v="0"/>
    <n v="0"/>
    <n v="51211.242735685999"/>
    <n v="303000.00000000745"/>
    <n v="0"/>
    <n v="0"/>
    <m/>
    <s v="Hedge Fund"/>
    <n v="0"/>
    <n v="0"/>
    <n v="0"/>
    <n v="0"/>
    <m/>
    <m/>
    <m/>
    <m/>
    <m/>
    <m/>
    <m/>
    <m/>
    <m/>
    <m/>
    <m/>
    <d v="2006-04-30T00:00:00"/>
    <n v="-1.1102230246251565E-16"/>
    <x v="1"/>
  </r>
  <r>
    <x v="96"/>
    <x v="16"/>
    <s v="HRF"/>
    <n v="51046000"/>
    <n v="998.58931883260755"/>
    <m/>
    <n v="0"/>
    <n v="-93000"/>
    <n v="0"/>
    <n v="51118.111357003996"/>
    <n v="-93000"/>
    <n v="0"/>
    <n v="0"/>
    <m/>
    <s v="Hedge Fund"/>
    <n v="0"/>
    <n v="0"/>
    <n v="0"/>
    <n v="0"/>
    <m/>
    <m/>
    <m/>
    <m/>
    <m/>
    <m/>
    <m/>
    <m/>
    <m/>
    <m/>
    <m/>
    <d v="2006-05-31T00:00:00"/>
    <n v="0"/>
    <x v="1"/>
  </r>
  <r>
    <x v="97"/>
    <x v="16"/>
    <s v="HRF"/>
    <n v="50620000"/>
    <n v="1010.9585771891899"/>
    <m/>
    <n v="0"/>
    <n v="-1058293.1260753274"/>
    <n v="0"/>
    <n v="50071.289904617937"/>
    <n v="-1058293.1260753274"/>
    <n v="0"/>
    <n v="0"/>
    <m/>
    <s v="Hedge Fund"/>
    <n v="0"/>
    <n v="0"/>
    <n v="0"/>
    <n v="0"/>
    <m/>
    <m/>
    <m/>
    <m/>
    <m/>
    <m/>
    <m/>
    <m/>
    <m/>
    <m/>
    <m/>
    <d v="2006-06-30T00:00:00"/>
    <n v="1.2386732086261842E-2"/>
    <x v="1"/>
  </r>
  <r>
    <x v="98"/>
    <x v="16"/>
    <s v="HRF"/>
    <n v="51400000"/>
    <n v="1024.7994000000001"/>
    <m/>
    <n v="86972.148521475494"/>
    <n v="0"/>
    <n v="0"/>
    <n v="50156.157390412205"/>
    <n v="86972.148521475494"/>
    <n v="0"/>
    <n v="0"/>
    <m/>
    <s v="Hedge Fund"/>
    <n v="0"/>
    <n v="0"/>
    <n v="0"/>
    <n v="0"/>
    <m/>
    <m/>
    <m/>
    <m/>
    <m/>
    <m/>
    <m/>
    <m/>
    <m/>
    <m/>
    <m/>
    <d v="2006-07-31T00:00:00"/>
    <n v="1.3690791218461618E-2"/>
    <x v="1"/>
  </r>
  <r>
    <x v="99"/>
    <x v="16"/>
    <s v="HRF"/>
    <n v="51500000"/>
    <n v="1028.0932"/>
    <m/>
    <n v="0"/>
    <n v="-65204.351212531328"/>
    <n v="0"/>
    <n v="50092.734783188913"/>
    <n v="-65204.351212531328"/>
    <n v="0"/>
    <n v="0"/>
    <m/>
    <s v="Hedge Fund"/>
    <n v="0"/>
    <n v="0"/>
    <n v="0"/>
    <n v="0"/>
    <m/>
    <m/>
    <m/>
    <m/>
    <m/>
    <m/>
    <m/>
    <m/>
    <m/>
    <m/>
    <m/>
    <d v="2006-08-31T00:00:00"/>
    <n v="3.2140924360415379E-3"/>
    <x v="1"/>
  </r>
  <r>
    <x v="100"/>
    <x v="16"/>
    <s v="HRF"/>
    <n v="53100000"/>
    <n v="1049.6315"/>
    <m/>
    <n v="521087.65041925013"/>
    <n v="0"/>
    <n v="0"/>
    <n v="50589.182965640801"/>
    <n v="521087.65041925013"/>
    <n v="0"/>
    <n v="0"/>
    <m/>
    <s v="Hedge Fund"/>
    <n v="0"/>
    <n v="0"/>
    <n v="0"/>
    <n v="0"/>
    <m/>
    <m/>
    <m/>
    <m/>
    <m/>
    <m/>
    <m/>
    <m/>
    <m/>
    <m/>
    <m/>
    <d v="2006-09-30T00:00:00"/>
    <n v="2.0949754360791273E-2"/>
    <x v="1"/>
  </r>
  <r>
    <x v="101"/>
    <x v="16"/>
    <s v="HRF"/>
    <n v="54270000"/>
    <n v="1083.8539000000001"/>
    <m/>
    <n v="0"/>
    <n v="-561283.25512335449"/>
    <n v="0"/>
    <n v="50071.324188619881"/>
    <n v="-561283.25512335449"/>
    <n v="0"/>
    <n v="0"/>
    <m/>
    <s v="Hedge Fund"/>
    <n v="0"/>
    <n v="0"/>
    <n v="0"/>
    <n v="0"/>
    <m/>
    <m/>
    <m/>
    <m/>
    <m/>
    <m/>
    <m/>
    <m/>
    <m/>
    <m/>
    <m/>
    <d v="2006-10-31T00:00:00"/>
    <n v="3.2604204427935102E-2"/>
    <x v="1"/>
  </r>
  <r>
    <x v="102"/>
    <x v="16"/>
    <s v="HRF"/>
    <n v="56200000"/>
    <n v="1122.4797000000001"/>
    <m/>
    <n v="0"/>
    <n v="-4044.9538447931409"/>
    <n v="0"/>
    <n v="50067.720601094166"/>
    <n v="-4044.9538447931409"/>
    <n v="0"/>
    <n v="0"/>
    <m/>
    <s v="Hedge Fund"/>
    <n v="0"/>
    <n v="0"/>
    <n v="0"/>
    <n v="0"/>
    <m/>
    <m/>
    <m/>
    <m/>
    <m/>
    <m/>
    <m/>
    <m/>
    <m/>
    <m/>
    <m/>
    <d v="2006-11-30T00:00:00"/>
    <n v="3.5637459993454801E-2"/>
    <x v="1"/>
  </r>
  <r>
    <x v="103"/>
    <x v="16"/>
    <s v="HRF"/>
    <n v="58560000"/>
    <n v="1169.4659999999999"/>
    <m/>
    <n v="7503.0595208182931"/>
    <n v="0"/>
    <n v="0"/>
    <n v="50074.136400716226"/>
    <n v="7503.0595208182931"/>
    <n v="0"/>
    <n v="0"/>
    <m/>
    <s v="Hedge Fund"/>
    <n v="0"/>
    <n v="0"/>
    <n v="0"/>
    <n v="0"/>
    <m/>
    <m/>
    <m/>
    <m/>
    <m/>
    <m/>
    <m/>
    <m/>
    <m/>
    <m/>
    <m/>
    <d v="2006-12-31T00:00:00"/>
    <n v="4.185937616511004E-2"/>
    <x v="1"/>
  </r>
  <r>
    <x v="104"/>
    <x v="16"/>
    <s v="HRF"/>
    <n v="60720000"/>
    <n v="1212.6121490124165"/>
    <m/>
    <n v="0"/>
    <n v="-506.15081337094307"/>
    <n v="0"/>
    <n v="50073.718995353942"/>
    <n v="-506.15081337094307"/>
    <n v="0"/>
    <n v="0"/>
    <m/>
    <s v="Hedge Fund"/>
    <n v="0"/>
    <n v="0"/>
    <n v="0"/>
    <n v="0"/>
    <m/>
    <m/>
    <m/>
    <m/>
    <m/>
    <m/>
    <m/>
    <m/>
    <m/>
    <m/>
    <m/>
    <d v="2007-01-31T00:00:00"/>
    <n v="3.6893889187386897E-2"/>
    <x v="1"/>
  </r>
  <r>
    <x v="105"/>
    <x v="16"/>
    <s v="HRF"/>
    <n v="67050000"/>
    <n v="1237.8916999999999"/>
    <m/>
    <n v="5064158.867519021"/>
    <n v="0"/>
    <n v="0"/>
    <n v="54164.673694798992"/>
    <n v="5064158.867519021"/>
    <n v="0"/>
    <n v="0"/>
    <m/>
    <s v="Hedge Fund"/>
    <n v="0"/>
    <n v="0"/>
    <n v="0"/>
    <n v="0"/>
    <m/>
    <m/>
    <m/>
    <m/>
    <m/>
    <m/>
    <m/>
    <m/>
    <m/>
    <m/>
    <m/>
    <d v="2007-02-28T00:00:00"/>
    <n v="2.0847185976300642E-2"/>
    <x v="1"/>
  </r>
  <r>
    <x v="106"/>
    <x v="16"/>
    <s v="HRF"/>
    <n v="75020000"/>
    <n v="1289.7640000000001"/>
    <m/>
    <n v="5160353.7967012674"/>
    <n v="0"/>
    <n v="0"/>
    <n v="58165.679922838593"/>
    <n v="5160353.7967012674"/>
    <n v="0"/>
    <n v="0"/>
    <m/>
    <s v="Hedge Fund"/>
    <n v="0"/>
    <n v="0"/>
    <n v="0"/>
    <n v="0"/>
    <m/>
    <m/>
    <m/>
    <m/>
    <m/>
    <m/>
    <m/>
    <m/>
    <m/>
    <m/>
    <m/>
    <d v="2007-03-30T00:00:00"/>
    <n v="4.1903746507065298E-2"/>
    <x v="1"/>
  </r>
  <r>
    <x v="107"/>
    <x v="16"/>
    <s v="HRF"/>
    <n v="83477240.517945811"/>
    <n v="1346.7928092107445"/>
    <m/>
    <n v="5140121.0550130159"/>
    <n v="0"/>
    <n v="0"/>
    <n v="61982.243999999999"/>
    <n v="5140121.0550130159"/>
    <n v="0"/>
    <n v="0"/>
    <m/>
    <s v="Hedge Fund"/>
    <n v="0"/>
    <n v="0"/>
    <n v="0"/>
    <n v="0"/>
    <m/>
    <m/>
    <m/>
    <m/>
    <m/>
    <m/>
    <m/>
    <m/>
    <m/>
    <m/>
    <m/>
    <d v="2007-04-30T00:00:00"/>
    <n v="4.421646844751792E-2"/>
    <x v="1"/>
  </r>
  <r>
    <x v="108"/>
    <x v="16"/>
    <s v="HRF"/>
    <n v="86187214.805608019"/>
    <n v="1390.5146"/>
    <m/>
    <n v="0"/>
    <n v="-0.41715437173843384"/>
    <n v="0"/>
    <n v="61982.243699999999"/>
    <n v="-0.41715437173843384"/>
    <n v="0"/>
    <n v="0"/>
    <m/>
    <s v="Hedge Fund"/>
    <n v="0"/>
    <n v="0"/>
    <n v="0"/>
    <n v="0"/>
    <m/>
    <m/>
    <m/>
    <m/>
    <m/>
    <m/>
    <m/>
    <m/>
    <m/>
    <m/>
    <m/>
    <d v="2007-05-31T00:00:00"/>
    <n v="3.2463635453234607E-2"/>
    <x v="1"/>
  </r>
  <r>
    <x v="109"/>
    <x v="16"/>
    <s v="HRF"/>
    <n v="90814746.693594009"/>
    <n v="1386.9100000000003"/>
    <m/>
    <n v="4850953.0836269855"/>
    <n v="0"/>
    <n v="0"/>
    <n v="65479.91339999999"/>
    <n v="4850953.0836269855"/>
    <n v="0"/>
    <n v="0"/>
    <m/>
    <s v="Hedge Fund"/>
    <n v="0"/>
    <n v="0"/>
    <n v="0"/>
    <n v="0"/>
    <m/>
    <m/>
    <m/>
    <m/>
    <m/>
    <m/>
    <m/>
    <m/>
    <m/>
    <m/>
    <m/>
    <d v="2007-06-29T00:00:00"/>
    <n v="-2.5922777078353221E-3"/>
    <x v="1"/>
  </r>
  <r>
    <x v="110"/>
    <x v="16"/>
    <s v="HRF"/>
    <n v="92672791.620249718"/>
    <n v="1415.2858000000001"/>
    <m/>
    <n v="0"/>
    <n v="0"/>
    <n v="0"/>
    <n v="65479.91339999999"/>
    <n v="0"/>
    <n v="0"/>
    <n v="0"/>
    <m/>
    <s v="Hedge Fund"/>
    <n v="0"/>
    <n v="0"/>
    <n v="0"/>
    <n v="0"/>
    <m/>
    <m/>
    <m/>
    <m/>
    <m/>
    <m/>
    <m/>
    <m/>
    <m/>
    <m/>
    <m/>
    <d v="2007-07-31T00:00:00"/>
    <n v="2.0459727019056739E-2"/>
    <x v="1"/>
  </r>
  <r>
    <x v="111"/>
    <x v="16"/>
    <s v="HRF"/>
    <n v="97000000"/>
    <n v="1344.0094999999999"/>
    <m/>
    <n v="8994374.331222713"/>
    <n v="0"/>
    <n v="0"/>
    <n v="72172.108902504042"/>
    <n v="8994374.331222713"/>
    <n v="0"/>
    <n v="0"/>
    <m/>
    <s v="Hedge Fund"/>
    <n v="0"/>
    <n v="0"/>
    <n v="0"/>
    <n v="0"/>
    <m/>
    <m/>
    <m/>
    <m/>
    <m/>
    <m/>
    <m/>
    <m/>
    <m/>
    <m/>
    <m/>
    <d v="2007-08-31T00:00:00"/>
    <n v="-5.036177145280496E-2"/>
    <x v="1"/>
  </r>
  <r>
    <x v="112"/>
    <x v="16"/>
    <s v="HRF"/>
    <n v="98260000"/>
    <n v="1358.4600999999998"/>
    <m/>
    <n v="217069.72309347987"/>
    <n v="0"/>
    <n v="0"/>
    <n v="72331.899921094489"/>
    <n v="217069.72309347987"/>
    <n v="0"/>
    <n v="0"/>
    <m/>
    <s v="Hedge Fund"/>
    <n v="0"/>
    <n v="0"/>
    <n v="0"/>
    <n v="0"/>
    <m/>
    <m/>
    <m/>
    <m/>
    <m/>
    <m/>
    <m/>
    <m/>
    <m/>
    <m/>
    <m/>
    <d v="2007-09-30T00:00:00"/>
    <n v="1.0751858524809421E-2"/>
    <x v="1"/>
  </r>
  <r>
    <x v="113"/>
    <x v="16"/>
    <s v="HRF"/>
    <n v="99300000"/>
    <n v="1372.7299000000003"/>
    <m/>
    <n v="7838.2545059323311"/>
    <n v="0"/>
    <n v="0"/>
    <n v="72337.609896892303"/>
    <n v="7838.2545059323311"/>
    <n v="0"/>
    <n v="0"/>
    <m/>
    <s v="Hedge Fund"/>
    <n v="0"/>
    <n v="0"/>
    <n v="0"/>
    <n v="0"/>
    <m/>
    <m/>
    <m/>
    <m/>
    <m/>
    <m/>
    <m/>
    <m/>
    <m/>
    <m/>
    <m/>
    <d v="2007-10-31T00:00:00"/>
    <n v="1.0504393908956411E-2"/>
    <x v="1"/>
  </r>
  <r>
    <x v="114"/>
    <x v="16"/>
    <s v="HRF"/>
    <n v="100550000"/>
    <n v="1390.0980999999999"/>
    <m/>
    <n v="0"/>
    <n v="-6374.0762111842632"/>
    <n v="0"/>
    <n v="72333.024554166361"/>
    <n v="-6374.0762111842632"/>
    <n v="0"/>
    <n v="0"/>
    <m/>
    <s v="Hedge Fund"/>
    <n v="0"/>
    <n v="0"/>
    <n v="0"/>
    <n v="0"/>
    <m/>
    <m/>
    <m/>
    <m/>
    <m/>
    <m/>
    <m/>
    <m/>
    <m/>
    <m/>
    <m/>
    <d v="2007-11-30T00:00:00"/>
    <n v="1.2652306910485134E-2"/>
    <x v="1"/>
  </r>
  <r>
    <x v="115"/>
    <x v="16"/>
    <s v="HRF"/>
    <n v="105370000"/>
    <n v="1389.5148999999999"/>
    <m/>
    <n v="4862184.6199199855"/>
    <n v="0"/>
    <n v="0"/>
    <n v="75832.220295010877"/>
    <n v="4862184.6199199855"/>
    <n v="0"/>
    <n v="0"/>
    <m/>
    <s v="Hedge Fund"/>
    <n v="0"/>
    <n v="0"/>
    <n v="0"/>
    <n v="0"/>
    <m/>
    <m/>
    <m/>
    <m/>
    <m/>
    <m/>
    <m/>
    <m/>
    <m/>
    <m/>
    <m/>
    <d v="2007-12-31T00:00:00"/>
    <n v="-4.1953873615097059E-4"/>
    <x v="1"/>
  </r>
  <r>
    <x v="116"/>
    <x v="16"/>
    <s v="HRF"/>
    <n v="104033198.98867595"/>
    <n v="1362.8155000000002"/>
    <m/>
    <n v="687873.77122054994"/>
    <n v="0"/>
    <n v="0"/>
    <n v="76336.964899999992"/>
    <n v="687873.77122054994"/>
    <n v="0"/>
    <n v="0"/>
    <m/>
    <s v="Hedge Fund"/>
    <n v="0"/>
    <n v="0"/>
    <n v="0"/>
    <n v="0"/>
    <m/>
    <m/>
    <m/>
    <m/>
    <m/>
    <m/>
    <m/>
    <m/>
    <m/>
    <m/>
    <m/>
    <d v="2008-01-31T00:00:00"/>
    <n v="-1.921490730326092E-2"/>
    <x v="1"/>
  </r>
  <r>
    <x v="117"/>
    <x v="16"/>
    <s v="HRF"/>
    <n v="105217953.83456975"/>
    <n v="1378.3355674724996"/>
    <m/>
    <n v="0"/>
    <n v="-2.9802322387695313E-8"/>
    <n v="0"/>
    <n v="76336.964899999977"/>
    <n v="-2.9802322387695313E-8"/>
    <n v="0"/>
    <n v="0"/>
    <m/>
    <s v="Hedge Fund"/>
    <n v="0"/>
    <n v="0"/>
    <n v="0"/>
    <n v="0"/>
    <m/>
    <m/>
    <m/>
    <m/>
    <m/>
    <m/>
    <m/>
    <m/>
    <m/>
    <m/>
    <m/>
    <d v="2008-02-29T00:00:00"/>
    <n v="1.1388238152926444E-2"/>
    <x v="1"/>
  </r>
  <r>
    <x v="118"/>
    <x v="16"/>
    <s v="HRF"/>
    <n v="101967651.478034"/>
    <n v="1335.7572129257455"/>
    <m/>
    <n v="0"/>
    <n v="-4.3213367462158203E-7"/>
    <n v="0"/>
    <n v="76336.964899999657"/>
    <n v="-4.3213367462158203E-7"/>
    <n v="0"/>
    <n v="0"/>
    <m/>
    <s v="Hedge Fund"/>
    <n v="0"/>
    <n v="0"/>
    <n v="0"/>
    <n v="0"/>
    <m/>
    <m/>
    <m/>
    <m/>
    <m/>
    <m/>
    <m/>
    <m/>
    <m/>
    <m/>
    <m/>
    <d v="2008-03-31T00:00:00"/>
    <n v="-3.0891138233363091E-2"/>
    <x v="1"/>
  </r>
  <r>
    <x v="119"/>
    <x v="16"/>
    <s v="HRF"/>
    <n v="100177833.03881393"/>
    <n v="1312.3109252515483"/>
    <m/>
    <n v="4.1723251342773438E-7"/>
    <n v="0"/>
    <n v="0"/>
    <n v="76336.964899999977"/>
    <n v="4.1723251342773438E-7"/>
    <n v="0"/>
    <n v="0"/>
    <m/>
    <s v="Hedge Fund"/>
    <n v="0"/>
    <n v="0"/>
    <n v="0"/>
    <n v="0"/>
    <m/>
    <m/>
    <m/>
    <m/>
    <m/>
    <m/>
    <m/>
    <m/>
    <m/>
    <m/>
    <m/>
    <d v="2008-04-30T00:00:00"/>
    <n v="-1.7552806338842153E-2"/>
    <x v="1"/>
  </r>
  <r>
    <x v="120"/>
    <x v="16"/>
    <s v="HRF"/>
    <n v="98649298.7052131"/>
    <n v="1292.2874106200302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08-05-30T00:00:00"/>
    <n v="-1.5258209198921291E-2"/>
    <x v="1"/>
  </r>
  <r>
    <x v="121"/>
    <x v="16"/>
    <s v="HRF"/>
    <n v="100340000"/>
    <n v="1314.3789891435765"/>
    <m/>
    <n v="4297.2404493540525"/>
    <n v="0"/>
    <n v="0"/>
    <n v="76340.234307442457"/>
    <n v="4297.2404493540525"/>
    <n v="0"/>
    <n v="0"/>
    <m/>
    <s v="Hedge Fund"/>
    <n v="0"/>
    <n v="0"/>
    <n v="0"/>
    <n v="0"/>
    <m/>
    <m/>
    <m/>
    <m/>
    <m/>
    <m/>
    <m/>
    <m/>
    <m/>
    <m/>
    <m/>
    <d v="2008-06-30T00:00:00"/>
    <n v="1.709494214831575E-2"/>
    <x v="1"/>
  </r>
  <r>
    <x v="122"/>
    <x v="16"/>
    <s v="HRF"/>
    <n v="97200000"/>
    <n v="1273.3309087439413"/>
    <m/>
    <n v="0"/>
    <n v="-6379.9244211167097"/>
    <n v="0"/>
    <n v="76335.223886052932"/>
    <n v="-6379.9244211167097"/>
    <n v="0"/>
    <n v="0"/>
    <m/>
    <s v="Hedge Fund"/>
    <n v="0"/>
    <n v="0"/>
    <n v="0"/>
    <n v="0"/>
    <m/>
    <m/>
    <m/>
    <m/>
    <m/>
    <m/>
    <m/>
    <m/>
    <m/>
    <m/>
    <m/>
    <d v="2008-07-31T00:00:00"/>
    <n v="-3.1230018692235184E-2"/>
    <x v="1"/>
  </r>
  <r>
    <x v="123"/>
    <x v="16"/>
    <s v="HRF"/>
    <n v="91780000"/>
    <n v="1202.2570632626241"/>
    <m/>
    <n v="5437.9072590768337"/>
    <n v="0"/>
    <n v="0"/>
    <n v="76339.746968033694"/>
    <n v="5437.9072590768337"/>
    <n v="0"/>
    <n v="0"/>
    <m/>
    <s v="Hedge Fund"/>
    <n v="0"/>
    <n v="0"/>
    <n v="0"/>
    <n v="0"/>
    <m/>
    <m/>
    <m/>
    <m/>
    <m/>
    <m/>
    <m/>
    <m/>
    <m/>
    <m/>
    <m/>
    <d v="2008-08-29T00:00:00"/>
    <n v="-5.5817262420360891E-2"/>
    <x v="1"/>
  </r>
  <r>
    <x v="124"/>
    <x v="16"/>
    <s v="HRF"/>
    <n v="89580000"/>
    <n v="1173.5172"/>
    <m/>
    <n v="0"/>
    <n v="-6006.1106353849173"/>
    <n v="0"/>
    <n v="76334.628925762649"/>
    <n v="-6006.1106353849173"/>
    <n v="0"/>
    <n v="0"/>
    <m/>
    <s v="Hedge Fund"/>
    <n v="0"/>
    <n v="0"/>
    <n v="0"/>
    <n v="0"/>
    <m/>
    <m/>
    <m/>
    <m/>
    <m/>
    <m/>
    <m/>
    <m/>
    <m/>
    <m/>
    <m/>
    <d v="2008-09-30T00:00:00"/>
    <n v="-2.3904923614781137E-2"/>
    <x v="1"/>
  </r>
  <r>
    <x v="125"/>
    <x v="16"/>
    <s v="HRF"/>
    <n v="84960000"/>
    <n v="1112.9547132416715"/>
    <m/>
    <n v="3014.953518435359"/>
    <n v="0"/>
    <n v="0"/>
    <n v="76337.337889103714"/>
    <n v="3014.953518435359"/>
    <n v="0"/>
    <n v="0"/>
    <m/>
    <s v="Hedge Fund"/>
    <n v="0"/>
    <n v="0"/>
    <n v="0"/>
    <n v="0"/>
    <m/>
    <m/>
    <m/>
    <m/>
    <m/>
    <m/>
    <m/>
    <m/>
    <m/>
    <m/>
    <m/>
    <d v="2008-10-31T00:00:00"/>
    <n v="-5.1607668603688706E-2"/>
    <x v="1"/>
  </r>
  <r>
    <x v="126"/>
    <x v="16"/>
    <s v="HRF"/>
    <n v="82270000"/>
    <n v="1077.7607641598856"/>
    <m/>
    <n v="0"/>
    <n v="-3387.6172918081284"/>
    <n v="0"/>
    <n v="76334.194689421129"/>
    <n v="-3387.6172918081284"/>
    <n v="0"/>
    <n v="0"/>
    <m/>
    <s v="Hedge Fund"/>
    <n v="0"/>
    <n v="0"/>
    <n v="0"/>
    <n v="0"/>
    <m/>
    <m/>
    <m/>
    <m/>
    <m/>
    <m/>
    <m/>
    <m/>
    <m/>
    <m/>
    <m/>
    <d v="2008-11-28T00:00:00"/>
    <n v="-3.1622085483853479E-2"/>
    <x v="1"/>
  </r>
  <r>
    <x v="127"/>
    <x v="16"/>
    <s v="HRF"/>
    <n v="81210000"/>
    <n v="1063.8877000000002"/>
    <m/>
    <n v="0"/>
    <n v="-1010.8194804787636"/>
    <n v="0"/>
    <n v="76333.244570832045"/>
    <n v="-1010.8194804787636"/>
    <n v="0"/>
    <n v="0"/>
    <m/>
    <s v="Hedge Fund"/>
    <n v="0"/>
    <n v="0"/>
    <n v="0"/>
    <n v="0"/>
    <m/>
    <m/>
    <m/>
    <m/>
    <m/>
    <m/>
    <m/>
    <m/>
    <m/>
    <m/>
    <m/>
    <d v="2008-12-31T00:00:00"/>
    <n v="-1.287211839697977E-2"/>
    <x v="1"/>
  </r>
  <r>
    <x v="128"/>
    <x v="16"/>
    <s v="HRF"/>
    <n v="82490000"/>
    <n v="1080.6556"/>
    <m/>
    <n v="51.788360744714737"/>
    <n v="0"/>
    <n v="0"/>
    <n v="76333.292493926827"/>
    <n v="51.788360744714737"/>
    <n v="0"/>
    <n v="0"/>
    <m/>
    <s v="Hedge Fund"/>
    <n v="0"/>
    <n v="0"/>
    <n v="0"/>
    <n v="0"/>
    <m/>
    <m/>
    <m/>
    <m/>
    <m/>
    <m/>
    <m/>
    <m/>
    <m/>
    <m/>
    <m/>
    <d v="2009-01-30T00:00:00"/>
    <n v="1.5760968004423725E-2"/>
    <x v="1"/>
  </r>
  <r>
    <x v="129"/>
    <x v="16"/>
    <s v="HRF"/>
    <n v="81710000"/>
    <n v="1070.3797"/>
    <m/>
    <n v="4393.2803383618593"/>
    <n v="0"/>
    <n v="0"/>
    <n v="76337.396906910697"/>
    <n v="4393.2803383618593"/>
    <n v="0"/>
    <n v="0"/>
    <m/>
    <s v="Hedge Fund"/>
    <n v="0"/>
    <n v="0"/>
    <n v="0"/>
    <n v="0"/>
    <m/>
    <m/>
    <m/>
    <m/>
    <m/>
    <m/>
    <m/>
    <m/>
    <m/>
    <m/>
    <m/>
    <d v="2009-02-27T00:00:00"/>
    <n v="-9.5089499374271247E-3"/>
    <x v="1"/>
  </r>
  <r>
    <x v="130"/>
    <x v="16"/>
    <s v="HRF"/>
    <n v="78530000"/>
    <n v="1028.6811737056728"/>
    <m/>
    <n v="3156.9521633088589"/>
    <n v="0"/>
    <n v="0"/>
    <n v="76340.465838513614"/>
    <n v="3156.9521633088589"/>
    <n v="0"/>
    <n v="0"/>
    <m/>
    <s v="Hedge Fund"/>
    <n v="0"/>
    <n v="0"/>
    <n v="0"/>
    <n v="0"/>
    <m/>
    <m/>
    <m/>
    <m/>
    <m/>
    <m/>
    <m/>
    <m/>
    <m/>
    <m/>
    <m/>
    <d v="2009-03-31T00:00:00"/>
    <n v="-3.89567611328272E-2"/>
    <x v="1"/>
  </r>
  <r>
    <x v="131"/>
    <x v="16"/>
    <s v="HRF"/>
    <n v="77300000"/>
    <n v="1012.6589000000001"/>
    <m/>
    <n v="0"/>
    <n v="-6852.1615167856216"/>
    <n v="0"/>
    <n v="76333.699333507058"/>
    <n v="-6852.1615167856216"/>
    <n v="0"/>
    <n v="0"/>
    <m/>
    <s v="Hedge Fund"/>
    <n v="0"/>
    <n v="0"/>
    <n v="0"/>
    <n v="0"/>
    <m/>
    <m/>
    <m/>
    <m/>
    <m/>
    <m/>
    <m/>
    <m/>
    <m/>
    <m/>
    <m/>
    <d v="2009-04-30T00:00:00"/>
    <n v="-1.5575548688185559E-2"/>
    <x v="1"/>
  </r>
  <r>
    <x v="132"/>
    <x v="16"/>
    <s v="HRF"/>
    <n v="79820000"/>
    <n v="1045.5875000000001"/>
    <m/>
    <n v="6438.1481266766787"/>
    <n v="0"/>
    <n v="0"/>
    <n v="76339.856779083522"/>
    <n v="6438.1481266766787"/>
    <n v="0"/>
    <n v="0"/>
    <m/>
    <s v="Hedge Fund"/>
    <n v="0"/>
    <n v="0"/>
    <n v="0"/>
    <n v="0"/>
    <m/>
    <m/>
    <m/>
    <m/>
    <m/>
    <m/>
    <m/>
    <m/>
    <m/>
    <m/>
    <m/>
    <d v="2009-05-29T00:00:00"/>
    <n v="3.2516970916860677E-2"/>
    <x v="1"/>
  </r>
  <r>
    <x v="133"/>
    <x v="16"/>
    <s v="HRF"/>
    <n v="78841958.320000008"/>
    <n v="1032.8149000000001"/>
    <m/>
    <n v="0"/>
    <n v="-2983.2253034710884"/>
    <n v="0"/>
    <n v="76336.968337695362"/>
    <n v="-2983.2253034710884"/>
    <n v="0"/>
    <n v="0"/>
    <m/>
    <s v="Hedge Fund"/>
    <n v="0"/>
    <n v="0"/>
    <n v="0"/>
    <n v="0"/>
    <m/>
    <m/>
    <m/>
    <m/>
    <m/>
    <m/>
    <m/>
    <m/>
    <m/>
    <m/>
    <m/>
    <d v="2009-06-30T00:00:00"/>
    <n v="-1.2215716044807312E-2"/>
    <x v="1"/>
  </r>
  <r>
    <x v="134"/>
    <x v="16"/>
    <s v="HRF"/>
    <n v="81210000"/>
    <n v="1063.8269000000003"/>
    <m/>
    <n v="679.61791136860847"/>
    <n v="0"/>
    <n v="0"/>
    <n v="76337.60718026587"/>
    <n v="679.61791136860847"/>
    <n v="0"/>
    <n v="0"/>
    <m/>
    <s v="Hedge Fund"/>
    <n v="0"/>
    <n v="0"/>
    <n v="0"/>
    <n v="0"/>
    <m/>
    <m/>
    <m/>
    <m/>
    <m/>
    <m/>
    <m/>
    <m/>
    <m/>
    <m/>
    <m/>
    <d v="2009-07-31T00:00:00"/>
    <n v="3.0026677577947636E-2"/>
    <x v="1"/>
  </r>
  <r>
    <x v="135"/>
    <x v="16"/>
    <s v="HRF"/>
    <n v="80580000"/>
    <n v="1055.6198999999999"/>
    <m/>
    <n v="0"/>
    <n v="-3497.2578715384007"/>
    <n v="0"/>
    <n v="76334.29419055098"/>
    <n v="-3497.2578715384007"/>
    <n v="0"/>
    <n v="0"/>
    <m/>
    <s v="Hedge Fund"/>
    <n v="0"/>
    <n v="0"/>
    <n v="0"/>
    <n v="0"/>
    <m/>
    <m/>
    <m/>
    <m/>
    <m/>
    <m/>
    <m/>
    <m/>
    <m/>
    <m/>
    <m/>
    <d v="2009-08-31T00:00:00"/>
    <n v="-7.7146009374271518E-3"/>
    <x v="1"/>
  </r>
  <r>
    <x v="136"/>
    <x v="16"/>
    <s v="HRF"/>
    <n v="87323228.21447818"/>
    <n v="1143.9180000000001"/>
    <m/>
    <n v="3055.0726114809513"/>
    <n v="0"/>
    <n v="0"/>
    <n v="76336.964899999977"/>
    <n v="3055.0726114809513"/>
    <n v="0"/>
    <n v="0"/>
    <m/>
    <s v="Hedge Fund"/>
    <n v="0"/>
    <n v="0"/>
    <n v="0"/>
    <n v="0"/>
    <m/>
    <m/>
    <m/>
    <m/>
    <m/>
    <m/>
    <m/>
    <m/>
    <m/>
    <m/>
    <m/>
    <d v="2009-09-30T00:00:00"/>
    <n v="8.36457327111777E-2"/>
    <x v="1"/>
  </r>
  <r>
    <x v="137"/>
    <x v="16"/>
    <s v="HRF"/>
    <n v="87635339.529168323"/>
    <n v="1148.0066000000002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09-10-30T00:00:00"/>
    <n v="3.5742072421274251E-3"/>
    <x v="1"/>
  </r>
  <r>
    <x v="138"/>
    <x v="16"/>
    <s v="HRF"/>
    <n v="92205431.659999996"/>
    <n v="1207.8739999999998"/>
    <m/>
    <n v="0"/>
    <n v="-3.4816225618124008"/>
    <n v="0"/>
    <n v="76336.96201756144"/>
    <n v="-3.4816225618124008"/>
    <n v="0"/>
    <n v="0"/>
    <m/>
    <s v="Hedge Fund"/>
    <n v="0"/>
    <n v="0"/>
    <n v="0"/>
    <n v="0"/>
    <m/>
    <m/>
    <m/>
    <m/>
    <m/>
    <m/>
    <m/>
    <m/>
    <m/>
    <m/>
    <m/>
    <d v="2009-11-30T00:00:00"/>
    <n v="5.2149003324545085E-2"/>
    <x v="1"/>
  </r>
  <r>
    <x v="139"/>
    <x v="16"/>
    <s v="HRF"/>
    <n v="91418042.249768555"/>
    <n v="1197.5592999999999"/>
    <m/>
    <n v="3.4518910944461823"/>
    <n v="0"/>
    <n v="0"/>
    <n v="76336.964899999992"/>
    <n v="3.4518910944461823"/>
    <n v="0"/>
    <n v="0"/>
    <m/>
    <s v="Hedge Fund"/>
    <n v="0"/>
    <n v="0"/>
    <n v="0"/>
    <n v="0"/>
    <m/>
    <m/>
    <m/>
    <m/>
    <m/>
    <m/>
    <m/>
    <m/>
    <m/>
    <m/>
    <m/>
    <d v="2009-12-31T00:00:00"/>
    <n v="-8.5395496550135785E-3"/>
    <x v="1"/>
  </r>
  <r>
    <x v="140"/>
    <x v="16"/>
    <s v="HRF"/>
    <n v="93353398.053485274"/>
    <n v="1222.9121000000002"/>
    <m/>
    <n v="0"/>
    <n v="-2.9802322387695313E-8"/>
    <n v="0"/>
    <n v="76336.964899999977"/>
    <n v="-2.9802322387695313E-8"/>
    <n v="0"/>
    <n v="0"/>
    <m/>
    <s v="Hedge Fund"/>
    <n v="0"/>
    <n v="0"/>
    <n v="0"/>
    <n v="0"/>
    <m/>
    <m/>
    <m/>
    <m/>
    <m/>
    <m/>
    <m/>
    <m/>
    <m/>
    <m/>
    <m/>
    <d v="2010-01-29T00:00:00"/>
    <n v="2.1170392146760753E-2"/>
    <x v="1"/>
  </r>
  <r>
    <x v="141"/>
    <x v="16"/>
    <s v="HRF"/>
    <n v="94186318.31120567"/>
    <n v="1233.8232000000003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2-26T00:00:00"/>
    <n v="8.9222275255924632E-3"/>
    <x v="1"/>
  </r>
  <r>
    <x v="142"/>
    <x v="16"/>
    <s v="HRF"/>
    <n v="99176603.113255486"/>
    <n v="1299.1950000000002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3-31T00:00:00"/>
    <n v="5.2983117840546212E-2"/>
    <x v="1"/>
  </r>
  <r>
    <x v="143"/>
    <x v="16"/>
    <s v="HRF"/>
    <n v="103222882.10626243"/>
    <n v="1352.2005000000001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4-30T00:00:00"/>
    <n v="4.0798725364552535E-2"/>
    <x v="1"/>
  </r>
  <r>
    <x v="144"/>
    <x v="16"/>
    <s v="HRF"/>
    <n v="100230076.12996496"/>
    <n v="1312.9953000000003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5-31T00:00:00"/>
    <n v="-2.8993629273173505E-2"/>
    <x v="1"/>
  </r>
  <r>
    <x v="145"/>
    <x v="16"/>
    <s v="HRF"/>
    <n v="107482446.57919998"/>
    <n v="1408.0000000000002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6-30T00:00:00"/>
    <n v="7.2357227782917422E-2"/>
    <x v="1"/>
  </r>
  <r>
    <x v="146"/>
    <x v="16"/>
    <s v="HRF"/>
    <n v="113564342.34562333"/>
    <n v="1485.1492273943418"/>
    <m/>
    <n v="192557.90275937319"/>
    <n v="0"/>
    <n v="0"/>
    <n v="76466.620492318616"/>
    <n v="192557.90275937319"/>
    <n v="0"/>
    <n v="0"/>
    <m/>
    <s v="Hedge Fund"/>
    <n v="0"/>
    <n v="0"/>
    <n v="0"/>
    <n v="0"/>
    <m/>
    <m/>
    <m/>
    <m/>
    <m/>
    <m/>
    <m/>
    <m/>
    <m/>
    <m/>
    <m/>
    <d v="2010-07-30T00:00:00"/>
    <n v="5.4793485365299377E-2"/>
    <x v="1"/>
  </r>
  <r>
    <x v="147"/>
    <x v="16"/>
    <s v="HRF"/>
    <n v="113727634.7472409"/>
    <n v="1489.8108000000002"/>
    <m/>
    <n v="0"/>
    <n v="-193162.3017167002"/>
    <n v="0"/>
    <n v="76336.964899999977"/>
    <n v="-193162.3017167002"/>
    <n v="0"/>
    <n v="0"/>
    <m/>
    <s v="Hedge Fund"/>
    <n v="0"/>
    <n v="0"/>
    <n v="0"/>
    <n v="0"/>
    <m/>
    <m/>
    <m/>
    <m/>
    <m/>
    <m/>
    <m/>
    <m/>
    <m/>
    <m/>
    <m/>
    <d v="2010-08-31T00:00:00"/>
    <n v="3.1387907152178318E-3"/>
    <x v="1"/>
  </r>
  <r>
    <x v="148"/>
    <x v="16"/>
    <s v="HRF"/>
    <n v="117979725.83131476"/>
    <n v="1545.5124000000001"/>
    <m/>
    <n v="2.9802322387695313E-8"/>
    <n v="0"/>
    <n v="0"/>
    <n v="76336.964899999992"/>
    <n v="2.9802322387695313E-8"/>
    <n v="0"/>
    <n v="0"/>
    <m/>
    <s v="Hedge Fund"/>
    <n v="0"/>
    <n v="0"/>
    <n v="0"/>
    <n v="0"/>
    <m/>
    <m/>
    <m/>
    <m/>
    <m/>
    <m/>
    <m/>
    <m/>
    <m/>
    <m/>
    <m/>
    <d v="2010-09-30T00:00:00"/>
    <n v="3.7388371731497561E-2"/>
    <x v="1"/>
  </r>
  <r>
    <x v="149"/>
    <x v="16"/>
    <s v="HRF"/>
    <n v="124157589.73"/>
    <n v="1626.4413"/>
    <m/>
    <n v="0"/>
    <n v="-2.7000103443861008"/>
    <n v="0"/>
    <n v="76336.963239927572"/>
    <n v="-2.7000103443861008"/>
    <n v="0"/>
    <n v="0"/>
    <m/>
    <s v="Hedge Fund"/>
    <n v="0"/>
    <n v="0"/>
    <n v="0"/>
    <n v="0"/>
    <m/>
    <m/>
    <m/>
    <m/>
    <m/>
    <m/>
    <m/>
    <m/>
    <m/>
    <m/>
    <m/>
    <d v="2010-10-29T00:00:00"/>
    <n v="5.2363798569328601E-2"/>
    <x v="1"/>
  </r>
  <r>
    <x v="150"/>
    <x v="16"/>
    <s v="HRF"/>
    <n v="127900569.39407663"/>
    <n v="1675.4736000000005"/>
    <m/>
    <n v="2.7814074754714966"/>
    <n v="0"/>
    <n v="0"/>
    <n v="76336.964899999977"/>
    <n v="2.7814074754714966"/>
    <n v="0"/>
    <n v="0"/>
    <m/>
    <s v="Hedge Fund"/>
    <n v="0"/>
    <n v="0"/>
    <n v="0"/>
    <n v="0"/>
    <m/>
    <m/>
    <m/>
    <m/>
    <m/>
    <m/>
    <m/>
    <m/>
    <m/>
    <m/>
    <m/>
    <d v="2010-11-30T00:00:00"/>
    <n v="3.0146984093431861E-2"/>
    <x v="1"/>
  </r>
  <r>
    <x v="151"/>
    <x v="16"/>
    <s v="HRF"/>
    <n v="130481056.52185972"/>
    <n v="1709.2775000000001"/>
    <m/>
    <n v="0"/>
    <n v="0"/>
    <n v="0"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12-31T00:00:00"/>
    <n v="2.0175728223948086E-2"/>
    <x v="1"/>
  </r>
  <r>
    <x v="152"/>
    <x v="16"/>
    <s v="HRF"/>
    <n v="132479426.32791139"/>
    <n v="1735.0281999999997"/>
    <m/>
    <n v="32639.524001270533"/>
    <n v="0"/>
    <n v="0"/>
    <n v="76355.777000000002"/>
    <n v="32639.524001270533"/>
    <n v="0"/>
    <n v="0"/>
    <m/>
    <s v="Hedge Fund"/>
    <n v="0"/>
    <n v="0"/>
    <n v="0"/>
    <n v="0"/>
    <m/>
    <m/>
    <m/>
    <m/>
    <m/>
    <m/>
    <m/>
    <m/>
    <m/>
    <m/>
    <m/>
    <d v="2011-01-31T00:00:00"/>
    <n v="1.5065254179031484E-2"/>
    <x v="1"/>
  </r>
  <r>
    <x v="153"/>
    <x v="16"/>
    <s v="HRF"/>
    <n v="132481465.02715729"/>
    <n v="1735.0548999999999"/>
    <m/>
    <n v="0"/>
    <n v="0"/>
    <n v="0"/>
    <n v="76355.777000000002"/>
    <n v="0"/>
    <n v="0"/>
    <n v="0"/>
    <m/>
    <s v="Hedge Fund"/>
    <n v="0"/>
    <n v="0"/>
    <n v="0"/>
    <n v="0"/>
    <m/>
    <m/>
    <m/>
    <m/>
    <m/>
    <m/>
    <m/>
    <m/>
    <m/>
    <m/>
    <m/>
    <d v="2011-02-28T00:00:00"/>
    <n v="1.5388798867865816E-5"/>
    <x v="1"/>
  </r>
  <r>
    <x v="154"/>
    <x v="16"/>
    <s v="HRF"/>
    <n v="136692982.4412578"/>
    <n v="1790.2113999999997"/>
    <m/>
    <n v="2.9802322387695313E-8"/>
    <n v="0"/>
    <n v="0"/>
    <n v="76355.777000000016"/>
    <n v="2.9802322387695313E-8"/>
    <n v="0"/>
    <n v="0"/>
    <m/>
    <s v="Hedge Fund"/>
    <n v="0"/>
    <n v="0"/>
    <n v="0"/>
    <n v="0"/>
    <m/>
    <m/>
    <m/>
    <m/>
    <m/>
    <m/>
    <m/>
    <m/>
    <m/>
    <m/>
    <m/>
    <d v="2011-03-31T00:00:00"/>
    <n v="3.1789484009987046E-2"/>
    <x v="1"/>
  </r>
  <r>
    <x v="155"/>
    <x v="16"/>
    <s v="HRF"/>
    <n v="139412439.252579"/>
    <n v="1825.827"/>
    <m/>
    <n v="0"/>
    <n v="-2.9802322387695313E-8"/>
    <n v="0"/>
    <n v="76355.777000000002"/>
    <n v="-2.9802322387695313E-8"/>
    <n v="0"/>
    <n v="0"/>
    <m/>
    <s v="Hedge Fund"/>
    <n v="0"/>
    <n v="0"/>
    <n v="0"/>
    <n v="0"/>
    <m/>
    <m/>
    <m/>
    <m/>
    <m/>
    <m/>
    <m/>
    <m/>
    <m/>
    <m/>
    <m/>
    <d v="2011-04-29T00:00:00"/>
    <n v="1.9894633672872697E-2"/>
    <x v="1"/>
  </r>
  <r>
    <x v="156"/>
    <x v="16"/>
    <s v="HRF"/>
    <n v="140520071.424896"/>
    <n v="1840.3332"/>
    <m/>
    <n v="0"/>
    <n v="-4.1723251342773438E-7"/>
    <n v="0"/>
    <n v="76355.776999999784"/>
    <n v="-4.1723251342773438E-7"/>
    <n v="0"/>
    <n v="0"/>
    <m/>
    <s v="Hedge Fund"/>
    <n v="0"/>
    <n v="0"/>
    <n v="0"/>
    <n v="0"/>
    <m/>
    <m/>
    <m/>
    <m/>
    <m/>
    <m/>
    <m/>
    <m/>
    <m/>
    <m/>
    <m/>
    <d v="2011-05-31T00:00:00"/>
    <n v="7.9450024564211574E-3"/>
    <x v="1"/>
  </r>
  <r>
    <x v="157"/>
    <x v="16"/>
    <s v="HRF"/>
    <n v="140794211.57105953"/>
    <n v="1843.9234999999999"/>
    <m/>
    <n v="4.4703483581542969E-7"/>
    <n v="0"/>
    <n v="0"/>
    <n v="76355.777000000016"/>
    <n v="4.4703483581542969E-7"/>
    <n v="0"/>
    <n v="0"/>
    <m/>
    <s v="Hedge Fund"/>
    <n v="0"/>
    <n v="0"/>
    <n v="0"/>
    <n v="0"/>
    <m/>
    <m/>
    <m/>
    <m/>
    <m/>
    <m/>
    <m/>
    <m/>
    <m/>
    <m/>
    <m/>
    <d v="2011-06-30T00:00:00"/>
    <n v="1.9508967180505987E-3"/>
    <x v="1"/>
  </r>
  <r>
    <x v="158"/>
    <x v="16"/>
    <s v="HRF"/>
    <n v="134609886.65266526"/>
    <n v="1897.7165000000002"/>
    <m/>
    <n v="0"/>
    <n v="-10291731.230555296"/>
    <n v="0"/>
    <n v="70932.558499999999"/>
    <n v="-10291731.230555296"/>
    <n v="0"/>
    <n v="0"/>
    <m/>
    <s v="Hedge Fund"/>
    <n v="0"/>
    <n v="0"/>
    <n v="0"/>
    <n v="0"/>
    <m/>
    <m/>
    <m/>
    <m/>
    <m/>
    <m/>
    <m/>
    <m/>
    <m/>
    <m/>
    <m/>
    <d v="2011-07-29T00:00:00"/>
    <n v="2.9173119166820305E-2"/>
    <x v="1"/>
  </r>
  <r>
    <x v="159"/>
    <x v="16"/>
    <s v="HRF"/>
    <n v="126560545.03315544"/>
    <n v="1784.2376999999999"/>
    <m/>
    <n v="0"/>
    <n v="0"/>
    <n v="0"/>
    <n v="70932.558499999999"/>
    <n v="0"/>
    <n v="0"/>
    <n v="0"/>
    <m/>
    <s v="Hedge Fund"/>
    <n v="0"/>
    <n v="0"/>
    <n v="0"/>
    <n v="0"/>
    <m/>
    <m/>
    <m/>
    <m/>
    <m/>
    <m/>
    <m/>
    <m/>
    <m/>
    <m/>
    <m/>
    <d v="2011-08-31T00:00:00"/>
    <n v="-5.9797551425621376E-2"/>
    <x v="1"/>
  </r>
  <r>
    <x v="160"/>
    <x v="16"/>
    <s v="HRF"/>
    <n v="117352349.83240774"/>
    <n v="1654.4214999999999"/>
    <m/>
    <n v="0"/>
    <n v="0"/>
    <n v="0"/>
    <n v="70932.558499999999"/>
    <n v="0"/>
    <n v="0"/>
    <n v="0"/>
    <m/>
    <s v="Hedge Fund"/>
    <n v="0"/>
    <n v="0"/>
    <n v="0"/>
    <n v="0"/>
    <m/>
    <m/>
    <m/>
    <m/>
    <m/>
    <m/>
    <m/>
    <m/>
    <m/>
    <m/>
    <m/>
    <d v="2011-09-30T00:00:00"/>
    <n v="-7.27572340837771E-2"/>
    <x v="1"/>
  </r>
  <r>
    <x v="161"/>
    <x v="16"/>
    <s v="HRF"/>
    <n v="109107476.907912"/>
    <n v="1681.47"/>
    <m/>
    <n v="0"/>
    <n v="-10163492.233082995"/>
    <n v="0"/>
    <n v="64888.149599999997"/>
    <n v="-10163492.233082995"/>
    <n v="0"/>
    <n v="0"/>
    <m/>
    <s v="Hedge Fund"/>
    <n v="0"/>
    <n v="0"/>
    <n v="0"/>
    <n v="0"/>
    <m/>
    <m/>
    <m/>
    <m/>
    <m/>
    <m/>
    <m/>
    <m/>
    <m/>
    <m/>
    <m/>
    <d v="2011-10-31T00:00:00"/>
    <n v="1.6349219349482524E-2"/>
    <x v="1"/>
  </r>
  <r>
    <x v="162"/>
    <x v="16"/>
    <s v="HRF"/>
    <n v="105500941.64262432"/>
    <n v="1625.8892000000003"/>
    <m/>
    <n v="0"/>
    <n v="-1.4901161193847656E-8"/>
    <n v="0"/>
    <n v="64888.14959999999"/>
    <n v="-1.4901161193847656E-8"/>
    <n v="0"/>
    <n v="0"/>
    <m/>
    <s v="Hedge Fund"/>
    <n v="0"/>
    <n v="0"/>
    <n v="0"/>
    <n v="0"/>
    <m/>
    <m/>
    <m/>
    <m/>
    <m/>
    <m/>
    <m/>
    <m/>
    <m/>
    <m/>
    <m/>
    <d v="2011-11-30T00:00:00"/>
    <n v="-3.3054886498123603E-2"/>
    <x v="1"/>
  </r>
  <r>
    <x v="163"/>
    <x v="16"/>
    <s v="HRF"/>
    <n v="106979768.52726816"/>
    <n v="1648.6795999999999"/>
    <m/>
    <n v="1.4901161193847656E-8"/>
    <n v="0"/>
    <n v="0"/>
    <n v="64888.149599999997"/>
    <n v="1.4901161193847656E-8"/>
    <n v="0"/>
    <n v="0"/>
    <m/>
    <s v="Hedge Fund"/>
    <n v="0"/>
    <n v="0"/>
    <n v="0"/>
    <n v="0"/>
    <m/>
    <m/>
    <m/>
    <m/>
    <m/>
    <m/>
    <m/>
    <m/>
    <m/>
    <m/>
    <m/>
    <d v="2011-12-30T00:00:00"/>
    <n v="1.401719133136492E-2"/>
    <x v="1"/>
  </r>
  <r>
    <x v="164"/>
    <x v="16"/>
    <s v="HRF"/>
    <n v="89493725.005111426"/>
    <n v="1758.0934"/>
    <m/>
    <n v="0"/>
    <n v="-24585702.544861212"/>
    <n v="0"/>
    <n v="50903.851300000002"/>
    <n v="-24585702.544861212"/>
    <n v="0"/>
    <n v="0"/>
    <m/>
    <s v="Hedge Fund"/>
    <n v="0"/>
    <n v="0"/>
    <n v="0"/>
    <n v="0"/>
    <m/>
    <m/>
    <m/>
    <m/>
    <m/>
    <m/>
    <m/>
    <m/>
    <m/>
    <m/>
    <m/>
    <d v="2012-01-31T00:00:00"/>
    <n v="6.6364501629061268E-2"/>
    <x v="1"/>
  </r>
  <r>
    <x v="165"/>
    <x v="16"/>
    <s v="HRF"/>
    <n v="93715853.324257582"/>
    <n v="1841.0365999999999"/>
    <m/>
    <n v="0"/>
    <n v="0"/>
    <n v="0"/>
    <n v="50903.851300000002"/>
    <n v="0"/>
    <n v="0"/>
    <n v="0"/>
    <m/>
    <s v="Hedge Fund"/>
    <n v="0"/>
    <n v="0"/>
    <n v="0"/>
    <n v="0"/>
    <m/>
    <m/>
    <m/>
    <m/>
    <m/>
    <m/>
    <m/>
    <m/>
    <m/>
    <m/>
    <m/>
    <d v="2012-02-29T00:00:00"/>
    <n v="4.7177925814407828E-2"/>
    <x v="1"/>
  </r>
  <r>
    <x v="166"/>
    <x v="16"/>
    <s v="HRF"/>
    <n v="92777910.430000007"/>
    <n v="1822.6107999999999"/>
    <m/>
    <n v="1.2890259623527527"/>
    <n v="0"/>
    <n v="0"/>
    <n v="50903.852007241483"/>
    <n v="1.2890259623527527"/>
    <n v="0"/>
    <n v="0"/>
    <m/>
    <s v="Hedge Fund"/>
    <n v="0"/>
    <n v="0"/>
    <n v="0"/>
    <n v="0"/>
    <m/>
    <m/>
    <m/>
    <m/>
    <m/>
    <m/>
    <m/>
    <m/>
    <m/>
    <m/>
    <m/>
    <d v="2012-03-30T00:00:00"/>
    <n v="-1.0008383320570524E-2"/>
    <x v="1"/>
  </r>
  <r>
    <x v="167"/>
    <x v="16"/>
    <s v="HRF"/>
    <n v="96447185.289999992"/>
    <n v="1894.6932999999999"/>
    <m/>
    <n v="0"/>
    <n v="-2.0523119866847992"/>
    <n v="0"/>
    <n v="50903.850924051927"/>
    <n v="-2.0523119866847992"/>
    <n v="0"/>
    <n v="0"/>
    <m/>
    <s v="Hedge Fund"/>
    <n v="0"/>
    <n v="0"/>
    <n v="0"/>
    <n v="0"/>
    <m/>
    <m/>
    <m/>
    <m/>
    <m/>
    <m/>
    <m/>
    <m/>
    <m/>
    <m/>
    <m/>
    <d v="2012-04-30T00:00:00"/>
    <n v="3.9549035921437437E-2"/>
    <x v="1"/>
  </r>
  <r>
    <x v="168"/>
    <x v="16"/>
    <s v="HRF"/>
    <n v="94895815.619658604"/>
    <n v="1864.2167999999999"/>
    <m/>
    <n v="1.5423454791307449"/>
    <n v="0"/>
    <n v="0"/>
    <n v="50903.851751394264"/>
    <n v="1.5423454791307449"/>
    <n v="0"/>
    <n v="0"/>
    <m/>
    <s v="Hedge Fund"/>
    <n v="0"/>
    <n v="0"/>
    <n v="0"/>
    <n v="0"/>
    <m/>
    <m/>
    <m/>
    <m/>
    <m/>
    <m/>
    <m/>
    <m/>
    <m/>
    <m/>
    <m/>
    <d v="2012-05-31T00:00:00"/>
    <n v="-1.6085189091025964E-2"/>
    <x v="1"/>
  </r>
  <r>
    <x v="169"/>
    <x v="16"/>
    <s v="HRF"/>
    <n v="105226430.46118"/>
    <n v="1820.3407"/>
    <m/>
    <n v="12564077.331350744"/>
    <n v="0"/>
    <n v="0"/>
    <n v="57805.898896387916"/>
    <n v="12564077.331350744"/>
    <n v="0"/>
    <n v="0"/>
    <m/>
    <s v="Hedge Fund"/>
    <n v="0"/>
    <n v="0"/>
    <n v="0"/>
    <n v="0"/>
    <m/>
    <m/>
    <m/>
    <m/>
    <m/>
    <m/>
    <m/>
    <m/>
    <m/>
    <m/>
    <m/>
    <d v="2012-06-29T00:00:00"/>
    <n v="-2.3535942815234745E-2"/>
    <x v="1"/>
  </r>
  <r>
    <x v="170"/>
    <x v="16"/>
    <s v="HRF"/>
    <n v="106367658.77000001"/>
    <n v="1840.0832"/>
    <m/>
    <n v="0"/>
    <n v="-4.6501419395208359"/>
    <n v="0"/>
    <n v="57805.896369251132"/>
    <n v="-4.6501419395208359"/>
    <n v="0"/>
    <n v="0"/>
    <m/>
    <s v="Hedge Fund"/>
    <n v="0"/>
    <n v="0"/>
    <n v="0"/>
    <n v="0"/>
    <m/>
    <m/>
    <m/>
    <m/>
    <m/>
    <m/>
    <m/>
    <m/>
    <m/>
    <m/>
    <m/>
    <d v="2012-07-31T00:00:00"/>
    <n v="1.0845497219284406E-2"/>
    <x v="1"/>
  </r>
  <r>
    <x v="171"/>
    <x v="16"/>
    <s v="HRF"/>
    <n v="111126878.56317499"/>
    <n v="1922.4141999999999"/>
    <m/>
    <n v="2.53919817507267"/>
    <n v="0"/>
    <n v="0"/>
    <n v="57805.897690089369"/>
    <n v="2.53919817507267"/>
    <n v="0"/>
    <n v="0"/>
    <m/>
    <s v="Hedge Fund"/>
    <n v="0"/>
    <n v="0"/>
    <n v="0"/>
    <n v="0"/>
    <m/>
    <m/>
    <m/>
    <m/>
    <m/>
    <m/>
    <m/>
    <m/>
    <m/>
    <m/>
    <m/>
    <d v="2012-08-31T00:00:00"/>
    <n v="4.4743085530045468E-2"/>
    <x v="1"/>
  </r>
  <r>
    <x v="172"/>
    <x v="16"/>
    <s v="HRF"/>
    <n v="117150698.33232999"/>
    <n v="2026.6219000000001"/>
    <m/>
    <n v="0.12443545460700989"/>
    <n v="0"/>
    <n v="0"/>
    <n v="57805.8977514898"/>
    <n v="0.12443545460700989"/>
    <n v="0"/>
    <n v="0"/>
    <m/>
    <s v="Hedge Fund"/>
    <n v="7.37319465841587E-2"/>
    <n v="3.2372435400000001"/>
    <n v="0"/>
    <n v="0"/>
    <m/>
    <m/>
    <m/>
    <m/>
    <m/>
    <m/>
    <m/>
    <m/>
    <m/>
    <m/>
    <m/>
    <d v="2012-09-28T00:00:00"/>
    <n v="5.4206684490782697E-2"/>
    <x v="1"/>
  </r>
  <r>
    <x v="173"/>
    <x v="16"/>
    <s v="HRF"/>
    <n v="115904530.12483177"/>
    <n v="2005.0642"/>
    <m/>
    <n v="0"/>
    <n v="-6.0055409371852875"/>
    <n v="0"/>
    <n v="57805.894756303445"/>
    <n v="-6.0055409371852875"/>
    <n v="0"/>
    <n v="0"/>
    <m/>
    <s v="Hedge Fund"/>
    <n v="8.5850917644022695E-2"/>
    <n v="3.0173316900000002"/>
    <n v="0"/>
    <n v="0"/>
    <m/>
    <m/>
    <m/>
    <m/>
    <m/>
    <m/>
    <m/>
    <m/>
    <m/>
    <m/>
    <m/>
    <d v="2012-10-31T00:00:00"/>
    <n v="-1.0637257990747995E-2"/>
    <x v="1"/>
  </r>
  <r>
    <x v="174"/>
    <x v="16"/>
    <s v="HRF"/>
    <n v="115716603.81628507"/>
    <n v="2001.8132000000003"/>
    <m/>
    <n v="0.65530604124069214"/>
    <n v="0"/>
    <n v="0"/>
    <n v="57805.895083659685"/>
    <n v="0.65530604124069214"/>
    <n v="0"/>
    <n v="0"/>
    <m/>
    <s v="Hedge Fund"/>
    <n v="7.7895312521760698E-2"/>
    <n v="2.9841681700000002"/>
    <n v="0"/>
    <n v="0"/>
    <m/>
    <m/>
    <m/>
    <m/>
    <m/>
    <m/>
    <m/>
    <m/>
    <m/>
    <m/>
    <m/>
    <d v="2012-11-30T00:00:00"/>
    <n v="-1.621394467069881E-3"/>
    <x v="1"/>
  </r>
  <r>
    <x v="175"/>
    <x v="16"/>
    <s v="HRF"/>
    <n v="120184119.71912195"/>
    <n v="2079.0979000000002"/>
    <m/>
    <n v="4.6430647671222687"/>
    <n v="0"/>
    <n v="0"/>
    <n v="57805.897316870905"/>
    <n v="4.6430647671222687"/>
    <n v="0"/>
    <n v="0"/>
    <m/>
    <s v="Hedge Fund"/>
    <n v="8.4058000297997898E-2"/>
    <n v="3.7725527300000001"/>
    <n v="0"/>
    <n v="0"/>
    <m/>
    <m/>
    <m/>
    <m/>
    <m/>
    <m/>
    <m/>
    <m/>
    <m/>
    <m/>
    <m/>
    <d v="2012-12-31T00:00:00"/>
    <n v="3.8607348577779366E-2"/>
    <x v="1"/>
  </r>
  <r>
    <x v="176"/>
    <x v="16"/>
    <s v="HRF"/>
    <n v="124648786.45471448"/>
    <n v="2152.9526999999998"/>
    <m/>
    <n v="195423.75043451786"/>
    <n v="0"/>
    <n v="0"/>
    <n v="57896.667425491738"/>
    <n v="195423.75043451786"/>
    <n v="0"/>
    <n v="0"/>
    <m/>
    <s v="Hedge Fund"/>
    <n v="8.52722033506981E-2"/>
    <n v="0.75457882999999992"/>
    <n v="0"/>
    <n v="0"/>
    <m/>
    <m/>
    <m/>
    <m/>
    <m/>
    <m/>
    <m/>
    <m/>
    <m/>
    <m/>
    <m/>
    <d v="2013-01-31T00:00:00"/>
    <n v="3.5522521570532817E-2"/>
    <x v="1"/>
  </r>
  <r>
    <x v="177"/>
    <x v="16"/>
    <s v="HRF"/>
    <n v="126164865.61337222"/>
    <n v="2179.1387"/>
    <m/>
    <n v="0"/>
    <n v="-2.9745461940765381"/>
    <n v="0"/>
    <n v="57896.666060481708"/>
    <n v="-2.9745461940765381"/>
    <n v="0"/>
    <n v="0"/>
    <m/>
    <s v="Hedge Fund"/>
    <n v="7.8109606332895154E-2"/>
    <n v="1.0221222299999999"/>
    <n v="0"/>
    <n v="0"/>
    <m/>
    <m/>
    <m/>
    <m/>
    <m/>
    <m/>
    <m/>
    <m/>
    <m/>
    <m/>
    <m/>
    <d v="2013-02-28T00:00:00"/>
    <n v="1.2162831073808666E-2"/>
    <x v="1"/>
  </r>
  <r>
    <x v="178"/>
    <x v="16"/>
    <s v="HRF"/>
    <n v="126276143.44013076"/>
    <n v="2181.0607"/>
    <m/>
    <n v="0.43459028005599976"/>
    <n v="0"/>
    <n v="0"/>
    <n v="57896.6662597381"/>
    <n v="0.43459028005599976"/>
    <n v="0"/>
    <n v="0"/>
    <m/>
    <s v="Hedge Fund"/>
    <n v="7.8190005545692789E-2"/>
    <n v="1.0417595900000001"/>
    <n v="0"/>
    <n v="0"/>
    <m/>
    <m/>
    <m/>
    <m/>
    <m/>
    <m/>
    <m/>
    <m/>
    <m/>
    <m/>
    <m/>
    <d v="2013-03-28T00:00:00"/>
    <n v="8.819998470037671E-4"/>
    <x v="1"/>
  </r>
  <r>
    <x v="179"/>
    <x v="16"/>
    <s v="HRF"/>
    <n v="126443760.47416349"/>
    <n v="2183.9559000000004"/>
    <m/>
    <n v="0"/>
    <n v="-5.3941224962472916"/>
    <n v="0"/>
    <n v="57896.663789851918"/>
    <n v="-5.3941224962472916"/>
    <n v="0"/>
    <n v="0"/>
    <m/>
    <s v="Hedge Fund"/>
    <n v="9.2306879095650968E-2"/>
    <n v="1.0713399099999998"/>
    <n v="0"/>
    <n v="0"/>
    <m/>
    <m/>
    <m/>
    <m/>
    <m/>
    <m/>
    <m/>
    <m/>
    <m/>
    <m/>
    <m/>
    <d v="2013-04-30T00:00:00"/>
    <n v="1.3274275218477793E-3"/>
    <x v="1"/>
  </r>
  <r>
    <x v="180"/>
    <x v="16"/>
    <s v="HRF"/>
    <n v="131705258.52871521"/>
    <n v="2274.8332"/>
    <m/>
    <n v="5.5703222453594208"/>
    <n v="0"/>
    <n v="0"/>
    <n v="57896.66623852474"/>
    <n v="5.5703222453594208"/>
    <n v="0"/>
    <n v="0"/>
    <m/>
    <s v="Hedge Fund"/>
    <n v="9.0917243137490902E-2"/>
    <n v="1.99983884"/>
    <n v="0"/>
    <n v="0"/>
    <m/>
    <m/>
    <m/>
    <m/>
    <m/>
    <m/>
    <m/>
    <m/>
    <m/>
    <m/>
    <m/>
    <d v="2013-05-31T00:00:00"/>
    <n v="4.1611325576674574E-2"/>
    <x v="1"/>
  </r>
  <r>
    <x v="181"/>
    <x v="16"/>
    <s v="HRF"/>
    <n v="126690978.86147915"/>
    <n v="2188.2258000000002"/>
    <m/>
    <n v="6.4350351691246033E-2"/>
    <n v="0"/>
    <n v="0"/>
    <n v="57896.666267932284"/>
    <n v="6.4350351691246033E-2"/>
    <n v="0"/>
    <n v="0"/>
    <m/>
    <s v="Hedge Fund"/>
    <n v="7.8489727967604894E-2"/>
    <n v="1.1149664699999999"/>
    <n v="0"/>
    <n v="0"/>
    <m/>
    <m/>
    <m/>
    <m/>
    <m/>
    <m/>
    <m/>
    <m/>
    <m/>
    <m/>
    <m/>
    <d v="2013-06-28T00:00:00"/>
    <n v="-3.8071978200423739E-2"/>
    <x v="1"/>
  </r>
  <r>
    <x v="182"/>
    <x v="16"/>
    <s v="HRF"/>
    <n v="124642338.01894009"/>
    <n v="2152.8413999999998"/>
    <m/>
    <n v="0"/>
    <n v="-2.0446480065584183"/>
    <n v="0"/>
    <n v="57896.665318188374"/>
    <n v="-2.0446480065584183"/>
    <n v="0"/>
    <n v="0"/>
    <m/>
    <s v="Hedge Fund"/>
    <n v="9.0772724108601502E-2"/>
    <n v="0.75344115"/>
    <n v="0"/>
    <n v="0"/>
    <m/>
    <m/>
    <m/>
    <m/>
    <m/>
    <m/>
    <m/>
    <m/>
    <m/>
    <m/>
    <m/>
    <d v="2013-07-31T00:00:00"/>
    <n v="-1.6170360481080337E-2"/>
    <x v="1"/>
  </r>
  <r>
    <x v="183"/>
    <x v="16"/>
    <s v="HRF"/>
    <n v="121467272.88111438"/>
    <n v="2098.0011"/>
    <m/>
    <n v="5.357223317027092"/>
    <n v="0"/>
    <n v="0"/>
    <n v="57896.667871677659"/>
    <n v="5.357223317027092"/>
    <n v="0"/>
    <n v="0"/>
    <m/>
    <s v="Hedge Fund"/>
    <n v="8.0056420730929292E-2"/>
    <n v="0.19313543"/>
    <n v="0"/>
    <n v="0"/>
    <m/>
    <m/>
    <m/>
    <m/>
    <m/>
    <m/>
    <m/>
    <m/>
    <m/>
    <m/>
    <m/>
    <d v="2013-08-30T00:00:00"/>
    <n v="-2.5473451040099682E-2"/>
    <x v="1"/>
  </r>
  <r>
    <x v="35"/>
    <x v="16"/>
    <s v="HRF"/>
    <n v="120920211.13337706"/>
    <n v="2088.5522000000001"/>
    <m/>
    <n v="0"/>
    <n v="-1.9226846396923065"/>
    <n v="0"/>
    <n v="57896.666951095147"/>
    <n v="-1.9226846396923065"/>
    <n v="0"/>
    <n v="0"/>
    <m/>
    <s v="Hedge Fund"/>
    <n v="8.2289416122947337E-2"/>
    <n v="9.6595089999999995E-2"/>
    <n v="0"/>
    <n v="0"/>
    <m/>
    <m/>
    <m/>
    <m/>
    <m/>
    <m/>
    <m/>
    <m/>
    <m/>
    <m/>
    <m/>
    <d v="2013-09-30T00:00:00"/>
    <n v="-4.5037631295806735E-3"/>
    <x v="1"/>
  </r>
  <r>
    <x v="36"/>
    <x v="16"/>
    <s v="HRF"/>
    <n v="122750712.71748152"/>
    <n v="2120.1690000000008"/>
    <m/>
    <n v="0"/>
    <n v="-5.7555549740791321"/>
    <n v="0"/>
    <n v="57896.664236427139"/>
    <n v="-5.7555549740791321"/>
    <n v="0"/>
    <n v="0"/>
    <m/>
    <s v="Hedge Fund"/>
    <n v="8.3753782066029209E-2"/>
    <n v="0.41962548999999999"/>
    <n v="0"/>
    <n v="0"/>
    <m/>
    <m/>
    <m/>
    <m/>
    <m/>
    <m/>
    <m/>
    <m/>
    <m/>
    <m/>
    <m/>
    <d v="2013-10-31T00:00:00"/>
    <n v="1.5138142106288166E-2"/>
    <x v="1"/>
  </r>
  <r>
    <x v="37"/>
    <x v="16"/>
    <s v="HRF"/>
    <n v="121394588.26288603"/>
    <n v="2096.7456999999999"/>
    <m/>
    <n v="6.4808136522769928"/>
    <n v="0"/>
    <n v="0"/>
    <n v="57896.667327318726"/>
    <n v="6.4808136522769928"/>
    <n v="0"/>
    <n v="0"/>
    <m/>
    <s v="Hedge Fund"/>
    <n v="8.0000151950221685E-2"/>
    <n v="0.18030932"/>
    <n v="0"/>
    <n v="0"/>
    <m/>
    <m/>
    <m/>
    <m/>
    <m/>
    <m/>
    <m/>
    <m/>
    <m/>
    <m/>
    <m/>
    <d v="2013-11-29T00:00:00"/>
    <n v="-1.1047845714186266E-2"/>
    <x v="1"/>
  </r>
  <r>
    <x v="38"/>
    <x v="16"/>
    <s v="HRF"/>
    <n v="122373903.61101939"/>
    <n v="2113.6606000000002"/>
    <m/>
    <n v="0"/>
    <n v="-0.99004150927066803"/>
    <n v="0"/>
    <n v="57896.666858917357"/>
    <n v="-0.99004150927066803"/>
    <n v="0"/>
    <n v="0"/>
    <m/>
    <s v="Hedge Fund"/>
    <n v="8.6146525819238762E-2"/>
    <n v="0.35312915"/>
    <n v="0"/>
    <n v="0"/>
    <m/>
    <m/>
    <m/>
    <m/>
    <m/>
    <m/>
    <m/>
    <m/>
    <m/>
    <m/>
    <m/>
    <d v="2013-12-31T00:00:00"/>
    <n v="8.0672157811030321E-3"/>
    <x v="1"/>
  </r>
  <r>
    <x v="39"/>
    <x v="16"/>
    <s v="HRF"/>
    <n v="123348933.43208557"/>
    <n v="2130.5014999999999"/>
    <m/>
    <n v="0"/>
    <n v="-2.1558381319046021"/>
    <n v="0"/>
    <n v="57896.665847025019"/>
    <n v="-2.1558381319046021"/>
    <n v="0"/>
    <n v="0"/>
    <m/>
    <s v="Hedge Fund"/>
    <n v="8.1280747760225591E-2"/>
    <n v="0.17206426"/>
    <n v="0"/>
    <n v="0"/>
    <m/>
    <m/>
    <m/>
    <m/>
    <m/>
    <m/>
    <m/>
    <m/>
    <m/>
    <m/>
    <m/>
    <d v="2014-01-30T00:00:00"/>
    <n v="7.967646272064588E-3"/>
    <x v="1"/>
  </r>
  <r>
    <x v="40"/>
    <x v="16"/>
    <s v="HRF"/>
    <n v="122559881.30965824"/>
    <n v="2116.8728000000001"/>
    <m/>
    <n v="4.1674020141363144"/>
    <n v="0"/>
    <n v="0"/>
    <n v="57896.667815684646"/>
    <n v="4.1674020141363144"/>
    <n v="0"/>
    <n v="0"/>
    <m/>
    <s v="Hedge Fund"/>
    <n v="7.797893532094341E-2"/>
    <n v="3.2819589999999996E-2"/>
    <n v="0"/>
    <n v="0"/>
    <m/>
    <m/>
    <m/>
    <m/>
    <m/>
    <m/>
    <m/>
    <m/>
    <m/>
    <m/>
    <m/>
    <d v="2014-02-28T00:00:00"/>
    <n v="-6.3969445691541837E-3"/>
    <x v="1"/>
  </r>
  <r>
    <x v="41"/>
    <x v="16"/>
    <s v="HRF"/>
    <n v="122156170.99987981"/>
    <n v="2109.8998999999999"/>
    <m/>
    <n v="0"/>
    <n v="-2.6347664445638657"/>
    <n v="0"/>
    <n v="57896.666566920925"/>
    <n v="-2.6347664445638657"/>
    <n v="0"/>
    <n v="0"/>
    <m/>
    <s v="Hedge Fund"/>
    <n v="8.3064165227103998E-2"/>
    <n v="0"/>
    <n v="0"/>
    <n v="0"/>
    <m/>
    <m/>
    <m/>
    <m/>
    <m/>
    <m/>
    <m/>
    <m/>
    <m/>
    <m/>
    <m/>
    <d v="2014-03-31T00:00:00"/>
    <n v="-3.2939626792880539E-3"/>
    <x v="1"/>
  </r>
  <r>
    <x v="42"/>
    <x v="16"/>
    <s v="HRF"/>
    <n v="125717462.65811197"/>
    <n v="2171.4110000000001"/>
    <m/>
    <n v="4.0113676339387894"/>
    <n v="0"/>
    <n v="0"/>
    <n v="57896.668414276231"/>
    <n v="4.0113676339387894"/>
    <n v="0"/>
    <n v="0"/>
    <m/>
    <s v="Hedge Fund"/>
    <n v="8.3114355706635307E-2"/>
    <n v="0.59003969000000001"/>
    <n v="0"/>
    <n v="0"/>
    <m/>
    <m/>
    <m/>
    <m/>
    <m/>
    <m/>
    <m/>
    <m/>
    <m/>
    <m/>
    <m/>
    <d v="2014-04-30T00:00:00"/>
    <n v="2.9153563161930185E-2"/>
    <x v="1"/>
  </r>
  <r>
    <x v="43"/>
    <x v="16"/>
    <s v="HRF"/>
    <n v="122579795.1965078"/>
    <n v="2117.2168000000001"/>
    <m/>
    <n v="0"/>
    <n v="-3.8342272043228149"/>
    <n v="0"/>
    <n v="57896.66660330099"/>
    <n v="-3.8342272043228149"/>
    <n v="0"/>
    <n v="0"/>
    <m/>
    <s v="Hedge Fund"/>
    <n v="8.0685315958263989E-2"/>
    <n v="3.6334209999999999E-2"/>
    <n v="0"/>
    <n v="0"/>
    <m/>
    <m/>
    <m/>
    <m/>
    <m/>
    <m/>
    <m/>
    <m/>
    <m/>
    <m/>
    <m/>
    <d v="2014-05-30T00:00:00"/>
    <n v="-2.4958057226384223E-2"/>
    <x v="1"/>
  </r>
  <r>
    <x v="44"/>
    <x v="16"/>
    <s v="HRF"/>
    <n v="119781084.55260624"/>
    <n v="2068.8771000000002"/>
    <m/>
    <n v="0"/>
    <n v="-3.1492979675531387"/>
    <n v="0"/>
    <n v="57896.665081075247"/>
    <n v="-3.1492979675531387"/>
    <n v="0"/>
    <n v="0"/>
    <m/>
    <s v="Hedge Fund"/>
    <n v="8.14491459327846E-2"/>
    <n v="0"/>
    <n v="0"/>
    <n v="0"/>
    <m/>
    <m/>
    <m/>
    <m/>
    <m/>
    <m/>
    <m/>
    <m/>
    <m/>
    <m/>
    <m/>
    <d v="2014-06-30T00:00:00"/>
    <n v="-2.2831719453576982E-2"/>
    <x v="1"/>
  </r>
  <r>
    <x v="45"/>
    <x v="16"/>
    <s v="HRF"/>
    <n v="116126136.83612441"/>
    <n v="2005.7483"/>
    <m/>
    <n v="0"/>
    <n v="-0.72591163218021393"/>
    <n v="0"/>
    <n v="57896.664719159628"/>
    <n v="-0.72591163218021393"/>
    <n v="0"/>
    <n v="0"/>
    <m/>
    <s v="Hedge Fund"/>
    <n v="7.8963842574852602E-2"/>
    <n v="0"/>
    <n v="0"/>
    <n v="0"/>
    <m/>
    <m/>
    <m/>
    <m/>
    <m/>
    <m/>
    <m/>
    <m/>
    <m/>
    <m/>
    <m/>
    <d v="2014-07-31T00:00:00"/>
    <n v="-3.0513557330205998E-2"/>
    <x v="1"/>
  </r>
  <r>
    <x v="46"/>
    <x v="16"/>
    <s v="HRF"/>
    <n v="110904050.70862301"/>
    <n v="2001.7398000000001"/>
    <m/>
    <n v="0"/>
    <n v="-4990007.3469746411"/>
    <n v="0"/>
    <n v="55403.829562974672"/>
    <n v="-4990007.3469746411"/>
    <n v="0"/>
    <n v="0"/>
    <m/>
    <s v="Hedge Fund"/>
    <n v="7.0544002477428494E-2"/>
    <n v="0"/>
    <n v="0"/>
    <n v="0"/>
    <m/>
    <m/>
    <m/>
    <m/>
    <m/>
    <m/>
    <m/>
    <m/>
    <m/>
    <m/>
    <m/>
    <d v="2014-08-29T00:00:00"/>
    <n v="-1.9985059939974237E-3"/>
    <x v="1"/>
  </r>
  <r>
    <x v="47"/>
    <x v="16"/>
    <s v="HRF"/>
    <n v="107843228.69521548"/>
    <n v="1946.4940999999999"/>
    <m/>
    <n v="1.3334797024726868"/>
    <n v="0"/>
    <n v="0"/>
    <n v="55403.830248042097"/>
    <n v="1.3334797024726868"/>
    <n v="0"/>
    <n v="0"/>
    <m/>
    <s v="Hedge Fund"/>
    <n v="7.5699048771543903E-2"/>
    <n v="0"/>
    <n v="0"/>
    <n v="0"/>
    <m/>
    <m/>
    <m/>
    <m/>
    <m/>
    <m/>
    <m/>
    <m/>
    <m/>
    <m/>
    <m/>
    <d v="2014-09-30T00:00:00"/>
    <n v="-2.7598841767546456E-2"/>
    <x v="1"/>
  </r>
  <r>
    <x v="184"/>
    <x v="16"/>
    <s v="HRF"/>
    <n v="102714681.64907247"/>
    <n v="1944.0610999999997"/>
    <m/>
    <n v="0"/>
    <n v="-4993749.5271494985"/>
    <n v="0"/>
    <n v="52835.109785938563"/>
    <n v="-4993749.5271494985"/>
    <n v="0"/>
    <n v="0"/>
    <m/>
    <s v="Hedge Fund"/>
    <n v="6.9844275716175894E-2"/>
    <n v="0"/>
    <n v="0"/>
    <n v="0"/>
    <m/>
    <m/>
    <m/>
    <m/>
    <m/>
    <m/>
    <m/>
    <m/>
    <m/>
    <m/>
    <m/>
    <d v="2014-10-31T00:00:00"/>
    <n v="-1.2499395708419625E-3"/>
    <x v="1"/>
  </r>
  <r>
    <x v="185"/>
    <x v="16"/>
    <s v="HRF"/>
    <n v="98615730.848852426"/>
    <n v="1866.481"/>
    <m/>
    <n v="2.3004840314388275"/>
    <n v="0"/>
    <n v="0"/>
    <n v="52835.111018463314"/>
    <n v="2.3004840314388275"/>
    <n v="0"/>
    <n v="0"/>
    <m/>
    <s v="Hedge Fund"/>
    <n v="6.0563082338611997E-2"/>
    <n v="0"/>
    <n v="0"/>
    <n v="0"/>
    <m/>
    <m/>
    <m/>
    <m/>
    <m/>
    <m/>
    <m/>
    <m/>
    <m/>
    <m/>
    <m/>
    <d v="2014-11-28T00:00:00"/>
    <n v="-3.9906204594083783E-2"/>
    <x v="1"/>
  </r>
  <r>
    <x v="186"/>
    <x v="16"/>
    <s v="HRF"/>
    <n v="94474764.687180534"/>
    <n v="1788.1058"/>
    <m/>
    <n v="0"/>
    <n v="-3.7685776352882385"/>
    <n v="0"/>
    <n v="52835.108910882416"/>
    <n v="-3.7685776352882385"/>
    <n v="0"/>
    <n v="0"/>
    <m/>
    <s v="Hedge Fund"/>
    <n v="6.8389318158489296E-2"/>
    <n v="0"/>
    <n v="0"/>
    <n v="0"/>
    <m/>
    <m/>
    <m/>
    <m/>
    <m/>
    <m/>
    <m/>
    <m/>
    <m/>
    <m/>
    <m/>
    <d v="2014-12-31T00:00:00"/>
    <n v="-4.1990890879681997E-2"/>
    <x v="1"/>
  </r>
  <r>
    <x v="187"/>
    <x v="16"/>
    <s v="HRF"/>
    <n v="91526561.361671776"/>
    <n v="1829.1098"/>
    <m/>
    <n v="0"/>
    <n v="-5114654.1312905699"/>
    <n v="0"/>
    <n v="50038.855710942982"/>
    <n v="-5114654.1312905699"/>
    <n v="0"/>
    <n v="0"/>
    <m/>
    <s v="Hedge Fund"/>
    <n v="6.0227390777985598E-2"/>
    <n v="0"/>
    <n v="0"/>
    <n v="0"/>
    <m/>
    <m/>
    <m/>
    <m/>
    <m/>
    <m/>
    <m/>
    <m/>
    <m/>
    <m/>
    <m/>
    <d v="2015-01-30T00:00:00"/>
    <n v="2.2931528995655537E-2"/>
    <x v="1"/>
  </r>
  <r>
    <x v="188"/>
    <x v="16"/>
    <s v="HRF"/>
    <n v="91224092.17975013"/>
    <n v="1823.0652"/>
    <m/>
    <n v="0"/>
    <n v="-4.3146912753582001"/>
    <n v="0"/>
    <n v="50038.853344219468"/>
    <n v="-4.3146912753582001"/>
    <n v="0"/>
    <n v="0"/>
    <m/>
    <s v="Hedge Fund"/>
    <n v="5.6023639570129603E-2"/>
    <n v="0"/>
    <n v="0"/>
    <n v="0"/>
    <m/>
    <m/>
    <m/>
    <m/>
    <m/>
    <m/>
    <m/>
    <m/>
    <m/>
    <m/>
    <m/>
    <d v="2015-02-27T00:00:00"/>
    <n v="-3.304667658551752E-3"/>
    <x v="1"/>
  </r>
  <r>
    <x v="189"/>
    <x v="16"/>
    <s v="HRF"/>
    <n v="85851590.800057724"/>
    <n v="1715.6985999999999"/>
    <m/>
    <n v="0.17177507281303406"/>
    <n v="0"/>
    <n v="0"/>
    <n v="50038.853444339074"/>
    <n v="0.17177507281303406"/>
    <n v="0"/>
    <n v="0"/>
    <m/>
    <s v="Hedge Fund"/>
    <n v="6.0262324899904997E-2"/>
    <n v="0"/>
    <n v="0"/>
    <n v="0"/>
    <m/>
    <m/>
    <m/>
    <m/>
    <m/>
    <m/>
    <m/>
    <m/>
    <m/>
    <m/>
    <m/>
    <d v="2015-03-31T00:00:00"/>
    <n v="-5.8893450437208728E-2"/>
    <x v="1"/>
  </r>
  <r>
    <x v="190"/>
    <x v="16"/>
    <s v="HRF"/>
    <n v="83991517.084733859"/>
    <n v="1678.5260000000001"/>
    <m/>
    <n v="0.56822116672992706"/>
    <n v="0"/>
    <n v="0"/>
    <n v="50038.853782862971"/>
    <n v="0.56822116672992706"/>
    <n v="0"/>
    <n v="0"/>
    <m/>
    <s v="Hedge Fund"/>
    <n v="5.5269091752492602E-2"/>
    <n v="0"/>
    <n v="0"/>
    <n v="0"/>
    <m/>
    <m/>
    <m/>
    <m/>
    <m/>
    <m/>
    <m/>
    <m/>
    <m/>
    <m/>
    <m/>
    <d v="2015-04-30T00:00:00"/>
    <n v="-2.1666159778879535E-2"/>
    <x v="1"/>
  </r>
  <r>
    <x v="191"/>
    <x v="16"/>
    <s v="HRF"/>
    <n v="79740760.0835087"/>
    <n v="1593.5768"/>
    <m/>
    <n v="3.5965460240840912"/>
    <n v="0"/>
    <n v="-5000000"/>
    <n v="50038.856039764571"/>
    <n v="-4999996.4034539759"/>
    <n v="-99.922348265248729"/>
    <n v="-99.922348265248729"/>
    <m/>
    <s v="Hedge Fund"/>
    <n v="5.0721614399605E-2"/>
    <n v="0"/>
    <n v="0"/>
    <n v="0"/>
    <m/>
    <m/>
    <m/>
    <m/>
    <m/>
    <m/>
    <m/>
    <m/>
    <m/>
    <m/>
    <m/>
    <d v="2015-05-29T00:00:00"/>
    <n v="8.9204175401780272E-3"/>
    <x v="1"/>
  </r>
  <r>
    <x v="192"/>
    <x v="16"/>
    <s v="HRF"/>
    <n v="76491035.622110069"/>
    <n v="1528.6327999999999"/>
    <m/>
    <n v="0"/>
    <n v="-0.99475215375423431"/>
    <n v="0"/>
    <n v="50038.855389018259"/>
    <n v="-0.99475215375423431"/>
    <n v="0"/>
    <n v="0"/>
    <m/>
    <s v="Hedge Fund"/>
    <n v="5.3691815718706203E-2"/>
    <n v="0"/>
    <n v="0"/>
    <n v="0"/>
    <m/>
    <m/>
    <m/>
    <m/>
    <m/>
    <m/>
    <m/>
    <m/>
    <m/>
    <m/>
    <m/>
    <d v="2015-06-30T00:00:00"/>
    <n v="-4.0753605348672339E-2"/>
    <x v="1"/>
  </r>
  <r>
    <x v="193"/>
    <x v="16"/>
    <s v="HRF"/>
    <n v="72146129.890763551"/>
    <n v="1441.8022000000001"/>
    <m/>
    <n v="0"/>
    <n v="-1.8946048319339752"/>
    <n v="0"/>
    <n v="50038.854074965027"/>
    <n v="-1.8946048319339752"/>
    <n v="0"/>
    <n v="0"/>
    <m/>
    <s v="Hedge Fund"/>
    <n v="4.9058168978361599E-2"/>
    <n v="0"/>
    <n v="0"/>
    <n v="0"/>
    <m/>
    <m/>
    <m/>
    <m/>
    <m/>
    <m/>
    <m/>
    <m/>
    <m/>
    <m/>
    <m/>
    <d v="2015-07-31T00:00:00"/>
    <n v="-5.6802784815293772E-2"/>
    <x v="1"/>
  </r>
  <r>
    <x v="194"/>
    <x v="16"/>
    <s v="HRF"/>
    <n v="63798897.999580681"/>
    <n v="1274.9872"/>
    <m/>
    <n v="0"/>
    <n v="-0.44866757094860077"/>
    <n v="-4999999.7685099747"/>
    <n v="50038.85372306536"/>
    <n v="-5000000.2171775457"/>
    <n v="-99.922348265248729"/>
    <n v="-99.922348265248729"/>
    <m/>
    <s v="Hedge Fund"/>
    <n v="4.3382191024372997E-2"/>
    <n v="0"/>
    <n v="0"/>
    <n v="0"/>
    <m/>
    <m/>
    <m/>
    <m/>
    <m/>
    <m/>
    <m/>
    <m/>
    <m/>
    <m/>
    <m/>
    <d v="2015-08-31T00:00:00"/>
    <n v="-4.6395166020317014E-2"/>
    <x v="1"/>
  </r>
  <r>
    <x v="195"/>
    <x v="16"/>
    <s v="HRF"/>
    <n v="66392707.737291358"/>
    <n v="1326.8231000000001"/>
    <m/>
    <n v="0.72000723332166672"/>
    <n v="0"/>
    <n v="0"/>
    <n v="50038.854265720394"/>
    <n v="0.72000723332166672"/>
    <n v="0"/>
    <n v="0"/>
    <m/>
    <s v="Hedge Fund"/>
    <n v="4.36885145418177E-2"/>
    <n v="0"/>
    <n v="0"/>
    <n v="0"/>
    <m/>
    <m/>
    <m/>
    <m/>
    <m/>
    <m/>
    <m/>
    <m/>
    <m/>
    <m/>
    <m/>
    <d v="2015-09-30T00:00:00"/>
    <n v="4.0656015997650785E-2"/>
    <x v="1"/>
  </r>
  <r>
    <x v="196"/>
    <x v="16"/>
    <s v="HRF"/>
    <n v="60699761.078674696"/>
    <n v="1213.0526"/>
    <m/>
    <n v="0"/>
    <n v="-1.1893785148859024"/>
    <n v="-8000001.7000598162"/>
    <n v="50038.853285236517"/>
    <n v="-8000002.8894383311"/>
    <n v="-159.8758"/>
    <n v="-159.8758"/>
    <m/>
    <s v="Hedge Fund"/>
    <n v="3.9942375011465997E-2"/>
    <n v="0"/>
    <n v="0"/>
    <n v="0"/>
    <m/>
    <m/>
    <m/>
    <m/>
    <m/>
    <m/>
    <m/>
    <m/>
    <m/>
    <m/>
    <m/>
    <d v="2015-10-30T00:00:00"/>
    <n v="3.4748638961231038E-2"/>
    <x v="1"/>
  </r>
  <r>
    <x v="1"/>
    <x v="16"/>
    <s v="HRF"/>
    <n v="59083182.035678342"/>
    <n v="1180.7461000000001"/>
    <m/>
    <n v="1.170663133263588"/>
    <n v="0"/>
    <n v="0"/>
    <n v="50038.854276697028"/>
    <n v="1.170663133263588"/>
    <n v="0"/>
    <n v="0"/>
    <m/>
    <s v="Hedge Fund"/>
    <n v="4.0175582528069097E-2"/>
    <n v="0"/>
    <n v="0"/>
    <n v="0"/>
    <m/>
    <m/>
    <m/>
    <m/>
    <m/>
    <m/>
    <m/>
    <m/>
    <m/>
    <m/>
    <m/>
    <d v="2015-11-30T00:00:00"/>
    <n v="-2.6632398298309434E-2"/>
    <x v="1"/>
  </r>
  <r>
    <x v="2"/>
    <x v="16"/>
    <s v="HRF"/>
    <n v="58532501.923675448"/>
    <n v="1169.741"/>
    <m/>
    <n v="2.4831975921988487"/>
    <n v="0"/>
    <n v="0"/>
    <n v="50038.856399558063"/>
    <n v="2.4831975921988487"/>
    <n v="0"/>
    <n v="0"/>
    <m/>
    <s v="Hedge Fund"/>
    <n v="3.9801128004324199E-2"/>
    <n v="0"/>
    <n v="0"/>
    <n v="0"/>
    <m/>
    <m/>
    <m/>
    <m/>
    <m/>
    <m/>
    <m/>
    <m/>
    <m/>
    <m/>
    <m/>
    <d v="2015-12-31T00:00:00"/>
    <n v="-9.320462714211053E-3"/>
    <x v="1"/>
  </r>
  <r>
    <x v="3"/>
    <x v="16"/>
    <s v="HRF"/>
    <n v="54823626.126298875"/>
    <n v="1095.6211000000001"/>
    <m/>
    <n v="0"/>
    <n v="-0.7649269700050354"/>
    <n v="0"/>
    <n v="50038.855701390625"/>
    <n v="-0.7649269700050354"/>
    <n v="0"/>
    <n v="0"/>
    <m/>
    <s v="Hedge Fund"/>
    <n v="3.4776939451439899E-2"/>
    <n v="0"/>
    <n v="0"/>
    <n v="0"/>
    <m/>
    <m/>
    <m/>
    <m/>
    <m/>
    <m/>
    <m/>
    <m/>
    <m/>
    <m/>
    <m/>
    <d v="2016-01-29T00:00:00"/>
    <n v="-6.336436869358264E-2"/>
    <x v="1"/>
  </r>
  <r>
    <x v="4"/>
    <x v="16"/>
    <s v="HRF"/>
    <n v="55962519.612347901"/>
    <n v="1118.3813"/>
    <m/>
    <n v="0"/>
    <n v="-0.87748575955629349"/>
    <n v="0"/>
    <n v="50038.854916787241"/>
    <n v="-0.87748575955629349"/>
    <n v="0"/>
    <n v="0"/>
    <m/>
    <s v="Hedge Fund"/>
    <n v="3.7949530733845799E-2"/>
    <n v="0"/>
    <n v="0"/>
    <n v="0"/>
    <m/>
    <m/>
    <m/>
    <m/>
    <m/>
    <m/>
    <m/>
    <m/>
    <m/>
    <m/>
    <m/>
    <d v="2016-02-29T00:00:00"/>
    <n v="2.0773787580396164E-2"/>
    <x v="1"/>
  </r>
  <r>
    <x v="5"/>
    <x v="16"/>
    <s v="HRF"/>
    <n v="59250891.208987646"/>
    <n v="1184.0977"/>
    <m/>
    <n v="0"/>
    <n v="-1.8086138218641281"/>
    <n v="0"/>
    <n v="50038.853389367825"/>
    <n v="-1.8086138218641281"/>
    <n v="0"/>
    <n v="0"/>
    <m/>
    <s v="Hedge Fund"/>
    <n v="4.0179454098737397E-2"/>
    <n v="0"/>
    <n v="0"/>
    <n v="0"/>
    <m/>
    <m/>
    <m/>
    <m/>
    <m/>
    <m/>
    <m/>
    <m/>
    <m/>
    <m/>
    <m/>
    <d v="2016-03-31T00:00:00"/>
    <n v="5.8760281488970056E-2"/>
    <x v="1"/>
  </r>
  <r>
    <x v="6"/>
    <x v="16"/>
    <s v="HRF"/>
    <n v="58879114.100439511"/>
    <n v="1176.6678999999999"/>
    <m/>
    <n v="1.5643641948699951"/>
    <n v="0"/>
    <n v="0"/>
    <n v="50038.854718854411"/>
    <n v="1.5643641948699951"/>
    <n v="0"/>
    <n v="0"/>
    <m/>
    <s v="Hedge Fund"/>
    <n v="3.7349506337685398E-2"/>
    <n v="0"/>
    <n v="0"/>
    <n v="0"/>
    <m/>
    <m/>
    <m/>
    <m/>
    <m/>
    <m/>
    <m/>
    <m/>
    <m/>
    <m/>
    <m/>
    <d v="2016-04-29T00:00:00"/>
    <n v="-6.2746511542079997E-3"/>
    <x v="1"/>
  </r>
  <r>
    <x v="7"/>
    <x v="16"/>
    <s v="HRF"/>
    <n v="59265313.027914785"/>
    <n v="1184.3859"/>
    <m/>
    <n v="0"/>
    <n v="-0.95324484258890152"/>
    <n v="0"/>
    <n v="50038.853914011292"/>
    <n v="-0.95324484258890152"/>
    <n v="0"/>
    <n v="0"/>
    <m/>
    <s v="Hedge Fund"/>
    <n v="4.1486704428770498E-2"/>
    <n v="0"/>
    <n v="0"/>
    <n v="0"/>
    <m/>
    <m/>
    <m/>
    <m/>
    <m/>
    <m/>
    <m/>
    <m/>
    <m/>
    <m/>
    <m/>
    <d v="2016-05-31T00:00:00"/>
    <n v="6.559199923784842E-3"/>
    <x v="1"/>
  </r>
  <r>
    <x v="8"/>
    <x v="16"/>
    <s v="HRF"/>
    <n v="50966114.59724196"/>
    <n v="1018.5308"/>
    <m/>
    <n v="0.68912091106176376"/>
    <n v="0"/>
    <n v="-9000003.3983207159"/>
    <n v="50038.854590594572"/>
    <n v="-9000002.7091998048"/>
    <n v="-179.86029999999997"/>
    <n v="-179.86029999999997"/>
    <m/>
    <s v="Hedge Fund"/>
    <n v="3.3445620000000002E-2"/>
    <n v="0"/>
    <n v="0"/>
    <n v="0"/>
    <m/>
    <m/>
    <m/>
    <m/>
    <m/>
    <m/>
    <m/>
    <m/>
    <m/>
    <m/>
    <m/>
    <d v="2016-06-30T00:00:00"/>
    <n v="1.1824864203398233E-2"/>
    <x v="1"/>
  </r>
  <r>
    <x v="9"/>
    <x v="16"/>
    <s v="HRF"/>
    <n v="51150445.813132003"/>
    <n v="1022.2146"/>
    <m/>
    <n v="0"/>
    <n v="-1.9166507944464684"/>
    <n v="0"/>
    <n v="50038.85271559612"/>
    <n v="-1.9166507944464684"/>
    <n v="0"/>
    <n v="0"/>
    <m/>
    <s v="Hedge Fund"/>
    <n v="3.2446885950322843E-2"/>
    <n v="0"/>
    <n v="0"/>
    <n v="0"/>
    <m/>
    <m/>
    <m/>
    <m/>
    <m/>
    <m/>
    <m/>
    <m/>
    <m/>
    <m/>
    <m/>
    <d v="2016-07-29T00:00:00"/>
    <n v="3.6167782064127074E-3"/>
    <x v="1"/>
  </r>
  <r>
    <x v="10"/>
    <x v="16"/>
    <s v="HRF"/>
    <n v="51397715.603005096"/>
    <n v="1027.1560999999999"/>
    <m/>
    <n v="2.7991789802908897"/>
    <n v="0"/>
    <n v="0"/>
    <n v="50038.855440770007"/>
    <n v="2.7991789802908897"/>
    <n v="0"/>
    <n v="0"/>
    <m/>
    <s v="Hedge Fund"/>
    <n v="3.71045405948578E-2"/>
    <n v="0"/>
    <n v="0"/>
    <n v="0"/>
    <m/>
    <m/>
    <m/>
    <m/>
    <m/>
    <m/>
    <m/>
    <m/>
    <m/>
    <m/>
    <m/>
    <d v="2016-08-31T00:00:00"/>
    <n v="4.8341121326185288E-3"/>
    <x v="1"/>
  </r>
  <r>
    <x v="11"/>
    <x v="16"/>
    <s v="HRF"/>
    <n v="52478673.193884797"/>
    <n v="1048.7584999999999"/>
    <m/>
    <n v="0"/>
    <n v="-1.7798939868807793"/>
    <n v="0"/>
    <n v="50038.853743626205"/>
    <n v="-1.7798939868807793"/>
    <n v="0"/>
    <n v="0"/>
    <m/>
    <s v="Hedge Fund"/>
    <n v="3.4438209999999997E-2"/>
    <n v="0"/>
    <n v="0"/>
    <n v="0"/>
    <m/>
    <m/>
    <m/>
    <m/>
    <m/>
    <m/>
    <m/>
    <m/>
    <m/>
    <m/>
    <m/>
    <d v="2016-09-30T00:00:00"/>
    <n v="2.1031272656609756E-2"/>
    <x v="1"/>
  </r>
  <r>
    <x v="12"/>
    <x v="16"/>
    <s v="HRF"/>
    <n v="53029646.579744205"/>
    <n v="1059.7693999999999"/>
    <m/>
    <n v="0.57117371261119843"/>
    <n v="0"/>
    <n v="0"/>
    <n v="50038.854282586581"/>
    <n v="0.57117371261119843"/>
    <n v="0"/>
    <n v="0"/>
    <m/>
    <s v="Hedge Fund"/>
    <n v="3.5960678517184874E-2"/>
    <n v="0"/>
    <n v="0"/>
    <n v="0"/>
    <m/>
    <m/>
    <m/>
    <m/>
    <m/>
    <m/>
    <m/>
    <m/>
    <m/>
    <m/>
    <m/>
    <d v="2016-10-31T00:00:00"/>
    <n v="1.0498985228725166E-2"/>
    <x v="1"/>
  </r>
  <r>
    <x v="13"/>
    <x v="16"/>
    <s v="HRF"/>
    <n v="48683225.941388197"/>
    <n v="972.90850000000012"/>
    <m/>
    <n v="0"/>
    <n v="-0.72040169686079025"/>
    <n v="-5000002.3391775973"/>
    <n v="50038.853542124663"/>
    <n v="-5000003.0595792942"/>
    <n v="-99.922399999999996"/>
    <n v="-99.922399999999996"/>
    <m/>
    <s v="Hedge Fund"/>
    <n v="3.5960678517184902E-2"/>
    <n v="0"/>
    <n v="0"/>
    <n v="0"/>
    <m/>
    <m/>
    <m/>
    <m/>
    <m/>
    <m/>
    <m/>
    <m/>
    <m/>
    <m/>
    <m/>
    <d v="2016-11-30T00:00:00"/>
    <n v="1.2324849652551428E-2"/>
    <x v="1"/>
  </r>
  <r>
    <x v="14"/>
    <x v="16"/>
    <s v="HRF"/>
    <n v="46799358.9920367"/>
    <n v="935.2604"/>
    <m/>
    <n v="0.81268776953220367"/>
    <n v="0"/>
    <n v="-2501942.7205533721"/>
    <n v="50038.854411067441"/>
    <n v="-2501941.9078656025"/>
    <n v="-50"/>
    <n v="-50"/>
    <m/>
    <s v="Hedge Fund"/>
    <n v="3.0711263570585498E-2"/>
    <n v="0"/>
    <n v="0"/>
    <n v="0"/>
    <m/>
    <m/>
    <m/>
    <m/>
    <m/>
    <m/>
    <m/>
    <m/>
    <m/>
    <m/>
    <m/>
    <d v="2016-12-30T00:00:00"/>
    <n v="1.2695850502146833E-2"/>
    <x v="1"/>
  </r>
  <r>
    <x v="15"/>
    <x v="16"/>
    <s v="HRF"/>
    <n v="47697202.9374841"/>
    <n v="953.20330000000001"/>
    <m/>
    <n v="1.7846350595355034"/>
    <n v="0"/>
    <n v="0"/>
    <n v="50038.856283317633"/>
    <n v="1.7846350595355034"/>
    <n v="0"/>
    <n v="0"/>
    <m/>
    <s v="Hedge Fund"/>
    <n v="2.92923813025204E-2"/>
    <n v="0"/>
    <n v="0"/>
    <n v="0"/>
    <m/>
    <m/>
    <m/>
    <m/>
    <m/>
    <m/>
    <m/>
    <m/>
    <m/>
    <m/>
    <m/>
    <d v="2017-01-27T00:00:00"/>
    <n v="1.9184924326957509E-2"/>
    <x v="1"/>
  </r>
  <r>
    <x v="16"/>
    <x v="16"/>
    <s v="HRF"/>
    <n v="52385174.57618285"/>
    <n v="1046.8900000000001"/>
    <m/>
    <n v="0"/>
    <n v="-3.678259551525116"/>
    <n v="0"/>
    <n v="50038.85276980661"/>
    <n v="-3.678259551525116"/>
    <n v="0"/>
    <n v="0"/>
    <m/>
    <s v="Hedge Fund"/>
    <n v="3.6771041331700997E-2"/>
    <n v="0"/>
    <n v="0"/>
    <n v="0"/>
    <m/>
    <m/>
    <m/>
    <m/>
    <m/>
    <m/>
    <m/>
    <m/>
    <m/>
    <m/>
    <m/>
    <d v="2017-02-28T00:00:00"/>
    <n v="9.8286168333659996E-2"/>
    <x v="1"/>
  </r>
  <r>
    <x v="17"/>
    <x v="16"/>
    <s v="HRF"/>
    <n v="55261929.882489793"/>
    <n v="1104.3804"/>
    <m/>
    <n v="1.6450296640396118"/>
    <n v="0"/>
    <n v="0"/>
    <n v="50038.854259356463"/>
    <n v="1.6450296640396118"/>
    <n v="0"/>
    <n v="0"/>
    <m/>
    <s v="Hedge Fund"/>
    <n v="3.75771934971037E-2"/>
    <n v="0"/>
    <n v="0"/>
    <n v="0"/>
    <m/>
    <m/>
    <m/>
    <m/>
    <m/>
    <m/>
    <m/>
    <m/>
    <m/>
    <m/>
    <m/>
    <d v="2017-03-31T00:00:00"/>
    <n v="5.4915416137320872E-2"/>
    <x v="1"/>
  </r>
  <r>
    <x v="18"/>
    <x v="16"/>
    <s v="HRF"/>
    <n v="54478214.1233273"/>
    <n v="1088.7182"/>
    <m/>
    <n v="2.7840183973312378"/>
    <n v="0"/>
    <n v="0"/>
    <n v="50038.856816508895"/>
    <n v="2.7840183973312378"/>
    <n v="0"/>
    <n v="0"/>
    <m/>
    <s v="Hedge Fund"/>
    <n v="3.3456817999999999E-2"/>
    <n v="0"/>
    <n v="0"/>
    <n v="0"/>
    <m/>
    <m/>
    <m/>
    <m/>
    <m/>
    <m/>
    <m/>
    <m/>
    <m/>
    <m/>
    <m/>
    <d v="2017-04-28T00:00:00"/>
    <n v="-1.4181888776729434E-2"/>
    <x v="1"/>
  </r>
  <r>
    <x v="19"/>
    <x v="16"/>
    <s v="HRF"/>
    <n v="52826456.611245103"/>
    <n v="1055.7086999999999"/>
    <m/>
    <n v="0.13200236111879349"/>
    <n v="0"/>
    <n v="0"/>
    <n v="50038.856941545622"/>
    <n v="0.13200236111879349"/>
    <n v="0"/>
    <n v="0"/>
    <m/>
    <s v="Hedge Fund"/>
    <n v="3.8240534470668497E-2"/>
    <n v="0"/>
    <n v="0"/>
    <n v="0"/>
    <m/>
    <m/>
    <m/>
    <m/>
    <m/>
    <m/>
    <m/>
    <m/>
    <m/>
    <m/>
    <m/>
    <d v="2017-05-31T00:00:00"/>
    <n v="-3.0319599690718957E-2"/>
    <x v="1"/>
  </r>
  <r>
    <x v="20"/>
    <x v="16"/>
    <s v="HRF"/>
    <n v="52909784.242713489"/>
    <n v="1057.374"/>
    <m/>
    <n v="0"/>
    <n v="-2.0769963711500168"/>
    <n v="0"/>
    <n v="50038.854977248819"/>
    <n v="-2.0769963711500168"/>
    <n v="0"/>
    <n v="0"/>
    <m/>
    <s v="Hedge Fund"/>
    <n v="3.4816321981145301E-2"/>
    <n v="0"/>
    <n v="0"/>
    <n v="0"/>
    <m/>
    <m/>
    <m/>
    <m/>
    <m/>
    <m/>
    <m/>
    <m/>
    <m/>
    <m/>
    <m/>
    <d v="2017-06-30T00:00:00"/>
    <n v="1.5774237722963047E-3"/>
    <x v="1"/>
  </r>
  <r>
    <x v="21"/>
    <x v="16"/>
    <s v="HRF"/>
    <n v="53972888.810000002"/>
    <n v="1078.6196"/>
    <m/>
    <n v="0"/>
    <n v="-0.93001812696456909"/>
    <n v="0"/>
    <n v="50038.854115018861"/>
    <n v="-0.93001812696456909"/>
    <n v="0"/>
    <n v="0"/>
    <m/>
    <s v="Hedge Fund"/>
    <n v="3.6700666999999999E-2"/>
    <n v="0"/>
    <n v="0"/>
    <n v="0"/>
    <m/>
    <m/>
    <m/>
    <m/>
    <m/>
    <m/>
    <m/>
    <m/>
    <m/>
    <m/>
    <m/>
    <d v="2017-07-31T00:00:00"/>
    <n v="2.0092795926512252E-2"/>
    <x v="1"/>
  </r>
  <r>
    <x v="22"/>
    <x v="16"/>
    <s v="HRF"/>
    <n v="54809300"/>
    <n v="1095.335"/>
    <m/>
    <n v="0"/>
    <n v="-8.2720741853117943"/>
    <n v="0"/>
    <n v="50038.846562923674"/>
    <n v="-8.2720741853117943"/>
    <n v="0"/>
    <n v="0"/>
    <m/>
    <s v="Hedge Fund"/>
    <n v="3.73E-2"/>
    <n v="0"/>
    <n v="0"/>
    <n v="0"/>
    <m/>
    <m/>
    <m/>
    <m/>
    <m/>
    <m/>
    <m/>
    <m/>
    <m/>
    <m/>
    <m/>
    <d v="2017-08-31T00:00:00"/>
    <n v="1.5497029722063127E-2"/>
    <x v="1"/>
  </r>
  <r>
    <x v="23"/>
    <x v="16"/>
    <s v="HRF"/>
    <n v="53853700"/>
    <n v="1076.2379999999998"/>
    <m/>
    <n v="0"/>
    <n v="-8.1471878439188004"/>
    <n v="0"/>
    <n v="50038.838992862176"/>
    <n v="-8.1471878439188004"/>
    <n v="0"/>
    <n v="0"/>
    <m/>
    <s v="Hedge Fund"/>
    <n v="3.4299999999999997E-2"/>
    <n v="0"/>
    <n v="0"/>
    <n v="0"/>
    <m/>
    <m/>
    <m/>
    <m/>
    <m/>
    <m/>
    <m/>
    <m/>
    <m/>
    <m/>
    <m/>
    <d v="2017-09-29T00:00:00"/>
    <n v="-1.7434848699256489E-2"/>
    <x v="1"/>
  </r>
  <r>
    <x v="24"/>
    <x v="16"/>
    <s v="HRF"/>
    <n v="55842400"/>
    <n v="1115.9811000000002"/>
    <m/>
    <n v="1.4180227667093277"/>
    <n v="0"/>
    <n v="0"/>
    <n v="50038.840263513419"/>
    <n v="1.4180227667093277"/>
    <n v="0"/>
    <n v="0"/>
    <m/>
    <s v="Hedge Fund"/>
    <n v="3.9199999999999999E-2"/>
    <n v="0"/>
    <n v="0"/>
    <n v="0"/>
    <m/>
    <m/>
    <m/>
    <m/>
    <m/>
    <m/>
    <m/>
    <m/>
    <m/>
    <m/>
    <m/>
    <d v="2017-10-31T00:00:00"/>
    <n v="3.6927798498102016E-2"/>
    <x v="1"/>
  </r>
  <r>
    <x v="25"/>
    <x v="16"/>
    <s v="HRF"/>
    <n v="54286200"/>
    <n v="1084.8819000000001"/>
    <m/>
    <n v="0"/>
    <n v="-32.098876945674419"/>
    <n v="0"/>
    <n v="50038.810676074507"/>
    <n v="-32.098876945674419"/>
    <n v="0"/>
    <n v="0"/>
    <m/>
    <s v="Hedge Fund"/>
    <n v="3.5700000000000003E-2"/>
    <n v="0"/>
    <n v="0"/>
    <n v="0"/>
    <m/>
    <m/>
    <m/>
    <m/>
    <m/>
    <m/>
    <m/>
    <m/>
    <m/>
    <m/>
    <m/>
    <d v="2017-11-30T00:00:00"/>
    <n v="-2.7867138610143116E-2"/>
    <x v="1"/>
  </r>
  <r>
    <x v="26"/>
    <x v="16"/>
    <s v="HRF"/>
    <n v="52643700"/>
    <n v="1052.0561"/>
    <m/>
    <n v="63.991490691900253"/>
    <n v="0"/>
    <n v="0"/>
    <n v="50038.871501244088"/>
    <n v="63.991490691900253"/>
    <n v="0"/>
    <n v="0"/>
    <m/>
    <s v="Hedge Fund"/>
    <n v="3.34857E-2"/>
    <n v="0"/>
    <n v="0"/>
    <m/>
    <m/>
    <m/>
    <m/>
    <m/>
    <m/>
    <m/>
    <m/>
    <m/>
    <m/>
    <m/>
    <m/>
    <d v="2017-12-29T00:00:00"/>
    <n v="-3.0257487013102602E-2"/>
    <x v="1"/>
  </r>
  <r>
    <x v="27"/>
    <x v="16"/>
    <s v="HRF"/>
    <n v="37863400"/>
    <n v="1135.0195000000001"/>
    <m/>
    <n v="0"/>
    <n v="-18931694.911906317"/>
    <n v="0"/>
    <n v="33359.250656045995"/>
    <n v="-18931694.911906317"/>
    <n v="0"/>
    <n v="0"/>
    <m/>
    <s v="Hedge Fund"/>
    <n v="2.74089E-2"/>
    <n v="0"/>
    <n v="0"/>
    <m/>
    <m/>
    <m/>
    <m/>
    <m/>
    <m/>
    <m/>
    <m/>
    <m/>
    <m/>
    <m/>
    <m/>
    <d v="2018-01-31T00:00:00"/>
    <n v="7.8858342249999769E-2"/>
    <x v="1"/>
  </r>
  <r>
    <x v="28"/>
    <x v="16"/>
    <s v="HRF"/>
    <n v="37010885.307930604"/>
    <n v="1109.4644000000001"/>
    <m/>
    <n v="0"/>
    <n v="-1.0135596767067909"/>
    <n v="0"/>
    <n v="33359.236499999999"/>
    <n v="-1.0135596767067909"/>
    <n v="0"/>
    <n v="0"/>
    <m/>
    <s v="Hedge Fund"/>
    <n v="2.2729599999999999E-2"/>
    <n v="0"/>
    <n v="0"/>
    <m/>
    <m/>
    <m/>
    <m/>
    <m/>
    <m/>
    <m/>
    <m/>
    <m/>
    <m/>
    <m/>
    <m/>
    <d v="2018-02-28T00:00:00"/>
    <n v="-2.2515507812550406E-2"/>
    <x v="1"/>
  </r>
  <r>
    <x v="29"/>
    <x v="16"/>
    <s v="HRF"/>
    <n v="36398236.2577608"/>
    <n v="1091.0992000000001"/>
    <m/>
    <n v="0"/>
    <n v="0"/>
    <n v="0"/>
    <n v="33359.236499999999"/>
    <n v="0"/>
    <n v="0"/>
    <n v="0"/>
    <m/>
    <s v="Hedge Fund"/>
    <n v="2.3135317292604124E-2"/>
    <n v="0"/>
    <n v="0"/>
    <m/>
    <m/>
    <m/>
    <m/>
    <m/>
    <m/>
    <m/>
    <m/>
    <m/>
    <m/>
    <m/>
    <m/>
    <d v="2018-03-29T00:00:00"/>
    <n v="-1.6553212523087835E-2"/>
    <x v="1"/>
  </r>
  <r>
    <x v="30"/>
    <x v="16"/>
    <s v="HRF"/>
    <n v="35777330.796557248"/>
    <n v="1072.4865"/>
    <m/>
    <n v="0"/>
    <n v="0"/>
    <n v="0"/>
    <n v="33359.236499999999"/>
    <n v="0"/>
    <n v="0"/>
    <n v="0"/>
    <m/>
    <s v="Hedge Fund"/>
    <n v="2.2740659574798032E-2"/>
    <n v="0"/>
    <n v="0"/>
    <m/>
    <m/>
    <m/>
    <m/>
    <m/>
    <m/>
    <m/>
    <m/>
    <m/>
    <m/>
    <m/>
    <m/>
    <d v="2018-04-30T00:00:00"/>
    <n v="-1.7058668909298191E-2"/>
    <x v="1"/>
  </r>
  <r>
    <x v="31"/>
    <x v="16"/>
    <s v="HRF"/>
    <n v="34776520.342320748"/>
    <n v="1042.4855"/>
    <m/>
    <n v="0"/>
    <n v="0"/>
    <n v="0"/>
    <n v="33359.236499999999"/>
    <n v="0"/>
    <n v="0"/>
    <n v="0"/>
    <m/>
    <s v="Hedge Fund"/>
    <n v="2.2104527998406617E-2"/>
    <n v="0"/>
    <n v="0"/>
    <m/>
    <m/>
    <m/>
    <m/>
    <m/>
    <m/>
    <m/>
    <m/>
    <m/>
    <m/>
    <m/>
    <m/>
    <d v="2018-05-31T00:00:00"/>
    <n v="-2.797331248458601E-2"/>
    <x v="1"/>
  </r>
  <r>
    <x v="32"/>
    <x v="16"/>
    <s v="HRF"/>
    <n v="34020593.371383451"/>
    <n v="1019.8253"/>
    <m/>
    <n v="0"/>
    <n v="0"/>
    <n v="0"/>
    <n v="33359.236499999999"/>
    <n v="0"/>
    <n v="0"/>
    <n v="-1019.8253"/>
    <m/>
    <s v="Hedge Fund"/>
    <n v="2.16399E-2"/>
    <n v="0"/>
    <n v="0"/>
    <m/>
    <m/>
    <m/>
    <m/>
    <m/>
    <m/>
    <m/>
    <m/>
    <m/>
    <m/>
    <m/>
    <m/>
    <d v="2018-06-29T00:00:00"/>
    <n v="-2.173670521076787E-2"/>
    <x v="1"/>
  </r>
  <r>
    <x v="33"/>
    <x v="16"/>
    <s v="HRF"/>
    <n v="34020593.371383451"/>
    <n v="1019.8253"/>
    <m/>
    <n v="0"/>
    <n v="0"/>
    <n v="0"/>
    <n v="33359.236499999999"/>
    <n v="0"/>
    <n v="0"/>
    <n v="0"/>
    <m/>
    <s v="Hedge Fund"/>
    <n v="2.16399E-2"/>
    <n v="0"/>
    <n v="0"/>
    <m/>
    <m/>
    <m/>
    <m/>
    <m/>
    <m/>
    <m/>
    <m/>
    <m/>
    <m/>
    <m/>
    <m/>
    <d v="2018-07-31T00:00:00"/>
    <n v="0"/>
    <x v="1"/>
  </r>
  <r>
    <x v="24"/>
    <x v="17"/>
    <s v="Leopark 2"/>
    <n v="5000000"/>
    <n v="5000000"/>
    <m/>
    <n v="5000000"/>
    <n v="0"/>
    <n v="0"/>
    <n v="1"/>
    <n v="5000000"/>
    <n v="5000000"/>
    <n v="5000000"/>
    <m/>
    <s v="Private Equity Fund"/>
    <n v="0"/>
    <n v="0"/>
    <n v="0"/>
    <n v="0"/>
    <m/>
    <m/>
    <m/>
    <m/>
    <m/>
    <m/>
    <m/>
    <m/>
    <m/>
    <m/>
    <m/>
    <d v="2017-10-31T00:00:00"/>
    <n v="0"/>
    <x v="0"/>
  </r>
  <r>
    <x v="25"/>
    <x v="17"/>
    <s v="Leopark 2"/>
    <n v="4885734"/>
    <n v="488573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-2.2853200000000018E-2"/>
    <x v="0"/>
  </r>
  <r>
    <x v="26"/>
    <x v="17"/>
    <s v="Leopark 2"/>
    <n v="4906550.93"/>
    <n v="4906550.93"/>
    <m/>
    <m/>
    <n v="0"/>
    <n v="0"/>
    <n v="1"/>
    <n v="0"/>
    <n v="0"/>
    <n v="0"/>
    <m/>
    <s v="Private Equity Fund"/>
    <n v="3.6111099999999998E-3"/>
    <n v="9.6480699999999999E-3"/>
    <n v="0"/>
    <n v="0"/>
    <m/>
    <m/>
    <m/>
    <m/>
    <m/>
    <m/>
    <m/>
    <m/>
    <m/>
    <m/>
    <m/>
    <d v="2017-12-29T00:00:00"/>
    <n v="4.2607579536666496E-3"/>
    <x v="0"/>
  </r>
  <r>
    <x v="27"/>
    <x v="17"/>
    <s v="Leopark 2"/>
    <n v="4829312.1500000004"/>
    <n v="4829312.1500000004"/>
    <m/>
    <m/>
    <n v="0"/>
    <n v="-149722.22"/>
    <n v="1"/>
    <n v="-149722.22"/>
    <n v="-149722.22"/>
    <n v="-149722.22"/>
    <m/>
    <s v="Private Equity Fund"/>
    <n v="0"/>
    <n v="1.7195820000000001E-2"/>
    <n v="0"/>
    <n v="0"/>
    <m/>
    <m/>
    <m/>
    <m/>
    <m/>
    <m/>
    <m/>
    <m/>
    <m/>
    <m/>
    <m/>
    <d v="2018-01-31T00:00:00"/>
    <n v="1.4772788672551274E-2"/>
    <x v="0"/>
  </r>
  <r>
    <x v="28"/>
    <x v="17"/>
    <s v="Leopark 2"/>
    <n v="4890910.379999999"/>
    <n v="4890910.379999999"/>
    <m/>
    <m/>
    <n v="0"/>
    <n v="0"/>
    <n v="1"/>
    <n v="0"/>
    <n v="0"/>
    <n v="0"/>
    <m/>
    <s v="Private Equity Fund"/>
    <n v="0"/>
    <n v="2.3631465000000001E-2"/>
    <n v="0"/>
    <n v="0"/>
    <m/>
    <m/>
    <m/>
    <m/>
    <m/>
    <m/>
    <m/>
    <m/>
    <m/>
    <m/>
    <m/>
    <d v="2018-02-28T00:00:00"/>
    <n v="1.2755073204369083E-2"/>
    <x v="0"/>
  </r>
  <r>
    <x v="29"/>
    <x v="17"/>
    <s v="Leopark 2"/>
    <n v="4953556.8371344563"/>
    <n v="4953556.8371344563"/>
    <m/>
    <m/>
    <n v="0"/>
    <n v="0"/>
    <n v="1"/>
    <n v="0"/>
    <n v="0"/>
    <n v="0"/>
    <m/>
    <s v="Private Equity Fund"/>
    <n v="0"/>
    <n v="2.3631465000000001E-2"/>
    <n v="0"/>
    <n v="0"/>
    <m/>
    <m/>
    <m/>
    <m/>
    <m/>
    <m/>
    <m/>
    <m/>
    <m/>
    <m/>
    <m/>
    <d v="2018-03-29T00:00:00"/>
    <n v="1.2808751800203133E-2"/>
    <x v="0"/>
  </r>
  <r>
    <x v="30"/>
    <x v="17"/>
    <s v="Leopark 2"/>
    <n v="4875922.16"/>
    <n v="4875922.16"/>
    <m/>
    <m/>
    <n v="0"/>
    <n v="-142777.78"/>
    <n v="1"/>
    <n v="-142777.78"/>
    <n v="-142777.78"/>
    <n v="-142777.78"/>
    <m/>
    <s v="Private Equity Fund"/>
    <n v="6.3888900000000004E-3"/>
    <n v="3.781019E-2"/>
    <n v="0"/>
    <n v="0"/>
    <m/>
    <m/>
    <m/>
    <m/>
    <m/>
    <m/>
    <m/>
    <m/>
    <m/>
    <m/>
    <m/>
    <d v="2018-04-30T00:00:00"/>
    <n v="1.3150773274104299E-2"/>
    <x v="0"/>
  </r>
  <r>
    <x v="31"/>
    <x v="17"/>
    <s v="Leopark 2"/>
    <n v="4948624.4364909632"/>
    <n v="4948624.4364909632"/>
    <m/>
    <m/>
    <n v="0"/>
    <n v="0"/>
    <n v="1"/>
    <n v="0"/>
    <n v="0"/>
    <n v="0"/>
    <m/>
    <s v="Private Equity Fund"/>
    <n v="6.3888900000000004E-3"/>
    <n v="4.5022958000000009E-2"/>
    <n v="0"/>
    <n v="0"/>
    <m/>
    <m/>
    <m/>
    <m/>
    <m/>
    <m/>
    <m/>
    <m/>
    <m/>
    <m/>
    <m/>
    <d v="2018-05-31T00:00:00"/>
    <n v="1.4910467006093997E-2"/>
    <x v="0"/>
  </r>
  <r>
    <x v="32"/>
    <x v="17"/>
    <s v="Leopark 2"/>
    <n v="5012195.6673057461"/>
    <n v="5012195.6673057461"/>
    <m/>
    <m/>
    <n v="0"/>
    <n v="0"/>
    <n v="1"/>
    <n v="0"/>
    <n v="0"/>
    <n v="-5012195.6673057461"/>
    <m/>
    <s v="Private Equity Fund"/>
    <n v="6.3888900000000004E-3"/>
    <n v="4.5022958000000009E-2"/>
    <n v="0"/>
    <n v="0"/>
    <m/>
    <m/>
    <m/>
    <m/>
    <m/>
    <m/>
    <m/>
    <m/>
    <m/>
    <m/>
    <m/>
    <d v="2018-06-29T00:00:00"/>
    <n v="1.2846242755059523E-2"/>
    <x v="0"/>
  </r>
  <r>
    <x v="33"/>
    <x v="17"/>
    <s v="Leopark 2"/>
    <n v="5012195.6673057461"/>
    <n v="5012195.6673057461"/>
    <m/>
    <m/>
    <n v="0"/>
    <n v="0"/>
    <n v="1"/>
    <n v="0"/>
    <n v="0"/>
    <n v="0"/>
    <m/>
    <s v="Private Equity Fund"/>
    <n v="6.3888900000000004E-3"/>
    <n v="4.5022958000000009E-2"/>
    <n v="0"/>
    <n v="0"/>
    <m/>
    <m/>
    <m/>
    <m/>
    <m/>
    <m/>
    <m/>
    <m/>
    <m/>
    <m/>
    <m/>
    <d v="2018-07-31T00:00:00"/>
    <n v="0"/>
    <x v="0"/>
  </r>
  <r>
    <x v="209"/>
    <x v="18"/>
    <s v="Mercury"/>
    <n v="4000000"/>
    <n v="4000000"/>
    <m/>
    <n v="4000000"/>
    <n v="0"/>
    <n v="0"/>
    <n v="1"/>
    <n v="4000000"/>
    <n v="4000000"/>
    <n v="4000000"/>
    <m/>
    <s v="Private Equity Fund"/>
    <n v="0"/>
    <n v="0"/>
    <n v="0"/>
    <n v="0"/>
    <m/>
    <m/>
    <m/>
    <m/>
    <m/>
    <m/>
    <m/>
    <m/>
    <m/>
    <m/>
    <m/>
    <d v="2016-11-01T00:00:00"/>
    <n v="0"/>
    <x v="0"/>
  </r>
  <r>
    <x v="13"/>
    <x v="18"/>
    <s v="Mercury"/>
    <n v="4000000"/>
    <n v="4000000"/>
    <m/>
    <m/>
    <n v="0"/>
    <n v="-140000"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6-11-30T00:00:00"/>
    <n v="3.499999999999992E-2"/>
    <x v="0"/>
  </r>
  <r>
    <x v="14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6-12-30T00:00:00"/>
    <n v="0"/>
    <x v="0"/>
  </r>
  <r>
    <x v="15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0"/>
    <x v="0"/>
  </r>
  <r>
    <x v="16"/>
    <x v="18"/>
    <s v="Mercury"/>
    <n v="4000000"/>
    <n v="4000000"/>
    <m/>
    <m/>
    <n v="0"/>
    <n v="-140000"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02-28T00:00:00"/>
    <n v="3.499999999999992E-2"/>
    <x v="0"/>
  </r>
  <r>
    <x v="17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3-31T00:00:00"/>
    <n v="0"/>
    <x v="0"/>
  </r>
  <r>
    <x v="18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0"/>
    <x v="0"/>
  </r>
  <r>
    <x v="19"/>
    <x v="18"/>
    <s v="Mercury"/>
    <n v="4000000"/>
    <n v="4000000"/>
    <m/>
    <m/>
    <n v="0"/>
    <n v="-140000"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05-31T00:00:00"/>
    <n v="3.499999999999992E-2"/>
    <x v="0"/>
  </r>
  <r>
    <x v="20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0"/>
    <x v="0"/>
  </r>
  <r>
    <x v="21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7-31T00:00:00"/>
    <n v="0"/>
    <x v="0"/>
  </r>
  <r>
    <x v="22"/>
    <x v="18"/>
    <s v="Mercury"/>
    <n v="4000000"/>
    <n v="4000000"/>
    <m/>
    <m/>
    <n v="0"/>
    <n v="-140000"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08-31T00:00:00"/>
    <n v="3.499999999999992E-2"/>
    <x v="0"/>
  </r>
  <r>
    <x v="23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0"/>
    <x v="0"/>
  </r>
  <r>
    <x v="24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0"/>
    <x v="0"/>
  </r>
  <r>
    <x v="25"/>
    <x v="18"/>
    <s v="Mercury"/>
    <n v="4000000"/>
    <n v="4000000"/>
    <m/>
    <m/>
    <n v="0"/>
    <n v="-140000"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11-30T00:00:00"/>
    <n v="3.499999999999992E-2"/>
    <x v="0"/>
  </r>
  <r>
    <x v="26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0"/>
    <x v="0"/>
  </r>
  <r>
    <x v="27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0"/>
    <x v="0"/>
  </r>
  <r>
    <x v="28"/>
    <x v="18"/>
    <s v="Mercury"/>
    <n v="3932770.77"/>
    <n v="3932770.77"/>
    <m/>
    <m/>
    <n v="0"/>
    <n v="-140000"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8-02-28T00:00:00"/>
    <n v="1.8192692499999996E-2"/>
    <x v="0"/>
  </r>
  <r>
    <x v="29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1.7094622069722121E-2"/>
    <x v="0"/>
  </r>
  <r>
    <x v="30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0"/>
    <x v="0"/>
  </r>
  <r>
    <x v="31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0"/>
    <x v="0"/>
  </r>
  <r>
    <x v="32"/>
    <x v="18"/>
    <s v="Mercury"/>
    <n v="4000000"/>
    <n v="4000000"/>
    <m/>
    <m/>
    <n v="0"/>
    <n v="0"/>
    <n v="1"/>
    <n v="0"/>
    <n v="0"/>
    <n v="-4000000"/>
    <m/>
    <s v="Private Equity Fund"/>
    <n v="0"/>
    <n v="0"/>
    <n v="0"/>
    <n v="0"/>
    <m/>
    <m/>
    <m/>
    <m/>
    <m/>
    <m/>
    <m/>
    <m/>
    <m/>
    <m/>
    <m/>
    <d v="2018-06-29T00:00:00"/>
    <n v="0"/>
    <x v="0"/>
  </r>
  <r>
    <x v="33"/>
    <x v="18"/>
    <s v="Mercury"/>
    <n v="4000000"/>
    <n v="4000000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0"/>
  </r>
  <r>
    <x v="210"/>
    <x v="19"/>
    <s v="New BMTR"/>
    <n v="64557926.877264522"/>
    <n v="64557926.877264522"/>
    <m/>
    <n v="64557926.877264522"/>
    <n v="0"/>
    <n v="0"/>
    <n v="1"/>
    <n v="64557926.877264522"/>
    <n v="64557926.877264522"/>
    <n v="64557926.877264522"/>
    <m/>
    <s v="Private Equity Fund"/>
    <n v="0"/>
    <n v="0"/>
    <n v="0"/>
    <n v="0"/>
    <m/>
    <m/>
    <m/>
    <m/>
    <m/>
    <m/>
    <m/>
    <m/>
    <m/>
    <m/>
    <m/>
    <d v="2015-04-20T00:00:00"/>
    <n v="0"/>
    <x v="0"/>
  </r>
  <r>
    <x v="92"/>
    <x v="20"/>
    <s v="OPL"/>
    <n v="9005953.0999999996"/>
    <n v="9005953.0999999996"/>
    <m/>
    <n v="9005953.0999999996"/>
    <m/>
    <n v="0"/>
    <n v="1"/>
    <n v="9005953.0999999996"/>
    <n v="9005953.0999999996"/>
    <n v="9005953.0999999996"/>
    <m/>
    <s v="Private Equity Fund"/>
    <n v="0"/>
    <n v="0"/>
    <n v="0"/>
    <n v="0"/>
    <m/>
    <m/>
    <m/>
    <m/>
    <m/>
    <m/>
    <m/>
    <m/>
    <m/>
    <m/>
    <m/>
    <d v="2006-01-30T00:00:00"/>
    <n v="0"/>
    <x v="0"/>
  </r>
  <r>
    <x v="93"/>
    <x v="20"/>
    <s v="OPL"/>
    <n v="9005953.0999999996"/>
    <n v="9005953.0999999996"/>
    <m/>
    <m/>
    <m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2-27T00:00:00"/>
    <n v="0"/>
    <x v="0"/>
  </r>
  <r>
    <x v="94"/>
    <x v="20"/>
    <s v="OPL"/>
    <n v="8850861.3900000006"/>
    <n v="8850861.3900000006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3-31T00:00:00"/>
    <n v="-1.7221021282022742E-2"/>
    <x v="0"/>
  </r>
  <r>
    <x v="95"/>
    <x v="20"/>
    <s v="OPL"/>
    <n v="9501453.4678000007"/>
    <n v="9501453.467800000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4-30T00:00:00"/>
    <n v="7.3506074621737971E-2"/>
    <x v="0"/>
  </r>
  <r>
    <x v="96"/>
    <x v="20"/>
    <s v="OPL"/>
    <n v="9883443.0380000006"/>
    <n v="9883443.0380000006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5-31T00:00:00"/>
    <n v="4.0203277476919208E-2"/>
    <x v="0"/>
  </r>
  <r>
    <x v="97"/>
    <x v="20"/>
    <s v="OPL"/>
    <n v="9418784.0607000012"/>
    <n v="9418784.0607000012"/>
    <m/>
    <m/>
    <n v="0"/>
    <n v="-409619"/>
    <n v="1"/>
    <n v="-409619"/>
    <n v="-409619"/>
    <n v="-409619"/>
    <m/>
    <s v="Private Equity Fund"/>
    <n v="0"/>
    <n v="0"/>
    <n v="0"/>
    <n v="0"/>
    <m/>
    <m/>
    <m/>
    <m/>
    <m/>
    <m/>
    <m/>
    <m/>
    <m/>
    <m/>
    <m/>
    <d v="2006-06-30T00:00:00"/>
    <n v="-5.5689072207307788E-3"/>
    <x v="0"/>
  </r>
  <r>
    <x v="98"/>
    <x v="20"/>
    <s v="OPL"/>
    <n v="9975706.5765000004"/>
    <n v="9975706.576500000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7-31T00:00:00"/>
    <n v="5.9128918574932188E-2"/>
    <x v="0"/>
  </r>
  <r>
    <x v="99"/>
    <x v="20"/>
    <s v="OPL"/>
    <n v="9352477.5504999999"/>
    <n v="9352477.5504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8-31T00:00:00"/>
    <n v="-6.2474674973716171E-2"/>
    <x v="0"/>
  </r>
  <r>
    <x v="100"/>
    <x v="20"/>
    <s v="OPL"/>
    <n v="10421864.596500002"/>
    <n v="10421864.59650000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9-30T00:00:00"/>
    <n v="0.11434264773432479"/>
    <x v="0"/>
  </r>
  <r>
    <x v="101"/>
    <x v="20"/>
    <s v="OPL"/>
    <n v="12168472.222199999"/>
    <n v="12168472.2221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10-31T00:00:00"/>
    <n v="0.1675907040940221"/>
    <x v="0"/>
  </r>
  <r>
    <x v="102"/>
    <x v="20"/>
    <s v="OPL"/>
    <n v="11944091.729500001"/>
    <n v="11944091.729500001"/>
    <m/>
    <m/>
    <n v="0"/>
    <n v="-1648157.33"/>
    <n v="1"/>
    <n v="-1648157.33"/>
    <n v="-1648157.33"/>
    <n v="-1648157.33"/>
    <m/>
    <s v="Private Equity Fund"/>
    <n v="0"/>
    <n v="0"/>
    <n v="0"/>
    <n v="0"/>
    <m/>
    <m/>
    <m/>
    <m/>
    <m/>
    <m/>
    <m/>
    <m/>
    <m/>
    <m/>
    <m/>
    <d v="2006-11-30T00:00:00"/>
    <n v="0.11700538993732379"/>
    <x v="0"/>
  </r>
  <r>
    <x v="103"/>
    <x v="20"/>
    <s v="OPL"/>
    <n v="13165898.005399998"/>
    <n v="13165898.00539999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6-12-31T00:00:00"/>
    <n v="0.10229377867907119"/>
    <x v="0"/>
  </r>
  <r>
    <x v="104"/>
    <x v="20"/>
    <s v="OPL"/>
    <n v="13654606.895299999"/>
    <n v="13654606.8952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1-31T00:00:00"/>
    <n v="3.7119297878470237E-2"/>
    <x v="0"/>
  </r>
  <r>
    <x v="105"/>
    <x v="20"/>
    <s v="OPL"/>
    <n v="13648686.7699"/>
    <n v="13648686.76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2-28T00:00:00"/>
    <n v="-4.3356249252679557E-4"/>
    <x v="0"/>
  </r>
  <r>
    <x v="106"/>
    <x v="20"/>
    <s v="OPL"/>
    <n v="16072364.949200001"/>
    <n v="16072364.949200001"/>
    <m/>
    <m/>
    <n v="0"/>
    <n v="-832219.91"/>
    <n v="1"/>
    <n v="-832219.91"/>
    <n v="-832219.91"/>
    <n v="-832219.91"/>
    <m/>
    <s v="Private Equity Fund"/>
    <n v="0"/>
    <n v="0"/>
    <n v="0"/>
    <n v="0"/>
    <m/>
    <m/>
    <m/>
    <m/>
    <m/>
    <m/>
    <m/>
    <m/>
    <m/>
    <m/>
    <m/>
    <d v="2007-03-30T00:00:00"/>
    <n v="0.23855028283602819"/>
    <x v="0"/>
  </r>
  <r>
    <x v="107"/>
    <x v="20"/>
    <s v="OPL"/>
    <n v="18884341.082600001"/>
    <n v="18884341.0826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4-30T00:00:00"/>
    <n v="0.17495721023557054"/>
    <x v="0"/>
  </r>
  <r>
    <x v="108"/>
    <x v="20"/>
    <s v="OPL"/>
    <n v="20933279.1941"/>
    <n v="20933279.1941"/>
    <m/>
    <m/>
    <n v="0"/>
    <n v="-1571283.66"/>
    <n v="1"/>
    <n v="-1571283.66"/>
    <n v="-1571283.66"/>
    <n v="-1571283.66"/>
    <m/>
    <s v="Private Equity Fund"/>
    <n v="0"/>
    <n v="0"/>
    <n v="0"/>
    <n v="0"/>
    <m/>
    <m/>
    <m/>
    <m/>
    <m/>
    <m/>
    <m/>
    <m/>
    <m/>
    <m/>
    <m/>
    <d v="2007-05-31T00:00:00"/>
    <n v="0.19170495574429469"/>
    <x v="0"/>
  </r>
  <r>
    <x v="109"/>
    <x v="20"/>
    <s v="OPL"/>
    <n v="17347487.535700001"/>
    <n v="17347487.535700001"/>
    <m/>
    <m/>
    <n v="0"/>
    <n v="-2328706.88"/>
    <n v="1"/>
    <n v="-2328706.88"/>
    <n v="-2328706.88"/>
    <n v="-2328706.88"/>
    <m/>
    <s v="Private Equity Fund"/>
    <n v="0"/>
    <n v="0"/>
    <n v="0"/>
    <n v="0"/>
    <m/>
    <m/>
    <m/>
    <m/>
    <m/>
    <m/>
    <m/>
    <m/>
    <m/>
    <m/>
    <m/>
    <d v="2007-06-29T00:00:00"/>
    <n v="-6.0051975934774071E-2"/>
    <x v="0"/>
  </r>
  <r>
    <x v="110"/>
    <x v="20"/>
    <s v="OPL"/>
    <n v="16650986.466100002"/>
    <n v="16650986.46610000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7-31T00:00:00"/>
    <n v="-4.0149968009295045E-2"/>
    <x v="0"/>
  </r>
  <r>
    <x v="111"/>
    <x v="20"/>
    <s v="OPL"/>
    <n v="17279581.752300002"/>
    <n v="17279581.752300002"/>
    <m/>
    <m/>
    <n v="0"/>
    <n v="-2134414.79"/>
    <n v="1"/>
    <n v="-2134414.79"/>
    <n v="-2134414.79"/>
    <n v="-2134414.79"/>
    <m/>
    <s v="Private Equity Fund"/>
    <n v="0"/>
    <n v="0"/>
    <n v="0"/>
    <n v="0"/>
    <m/>
    <m/>
    <m/>
    <m/>
    <m/>
    <m/>
    <m/>
    <m/>
    <m/>
    <m/>
    <m/>
    <d v="2007-08-31T00:00:00"/>
    <n v="0.1659367198349031"/>
    <x v="0"/>
  </r>
  <r>
    <x v="112"/>
    <x v="20"/>
    <s v="OPL"/>
    <n v="17240114.835999999"/>
    <n v="17240114.835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9-30T00:00:00"/>
    <n v="-2.2840203464270514E-3"/>
    <x v="0"/>
  </r>
  <r>
    <x v="113"/>
    <x v="20"/>
    <s v="OPL"/>
    <n v="17627440.259099998"/>
    <n v="17627440.25909999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7-10-31T00:00:00"/>
    <n v="2.2466522223576035E-2"/>
    <x v="0"/>
  </r>
  <r>
    <x v="114"/>
    <x v="20"/>
    <s v="OPL"/>
    <n v="17281942.715799998"/>
    <n v="17281942.715799998"/>
    <m/>
    <m/>
    <n v="0"/>
    <n v="-3066750.1"/>
    <n v="1"/>
    <n v="-3066750.1"/>
    <n v="-3066750.1"/>
    <n v="-3066750.1"/>
    <m/>
    <s v="Private Equity Fund"/>
    <n v="0"/>
    <n v="0"/>
    <n v="0"/>
    <n v="0"/>
    <m/>
    <m/>
    <m/>
    <m/>
    <m/>
    <m/>
    <m/>
    <m/>
    <m/>
    <m/>
    <m/>
    <d v="2007-11-30T00:00:00"/>
    <n v="0.15437593415159534"/>
    <x v="0"/>
  </r>
  <r>
    <x v="115"/>
    <x v="20"/>
    <s v="OPL"/>
    <n v="14607353.548899999"/>
    <n v="14607353.5488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7-12-31T00:00:00"/>
    <n v="-0.1547620664460807"/>
    <x v="0"/>
  </r>
  <r>
    <x v="116"/>
    <x v="20"/>
    <s v="OPL"/>
    <n v="13312883.375400001"/>
    <n v="13312883.3754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1-31T00:00:00"/>
    <n v="-8.8617706771222604E-2"/>
    <x v="0"/>
  </r>
  <r>
    <x v="117"/>
    <x v="20"/>
    <s v="OPL"/>
    <n v="13858374.7568"/>
    <n v="13858374.756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2-29T00:00:00"/>
    <n v="4.097469841942547E-2"/>
    <x v="0"/>
  </r>
  <r>
    <x v="118"/>
    <x v="20"/>
    <s v="OPL"/>
    <n v="13198675.3157"/>
    <n v="13198675.315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3-31T00:00:00"/>
    <n v="-4.7602944261288638E-2"/>
    <x v="0"/>
  </r>
  <r>
    <x v="119"/>
    <x v="20"/>
    <s v="OPL"/>
    <n v="13212696.137141576"/>
    <n v="13212696.137141576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4-30T00:00:00"/>
    <n v="1.06229004852465E-3"/>
    <x v="0"/>
  </r>
  <r>
    <x v="120"/>
    <x v="20"/>
    <s v="OPL"/>
    <n v="12541219.000179252"/>
    <n v="12541219.00017925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5-30T00:00:00"/>
    <n v="-5.0820599368418651E-2"/>
    <x v="0"/>
  </r>
  <r>
    <x v="121"/>
    <x v="20"/>
    <s v="OPL"/>
    <n v="11973988.358993264"/>
    <n v="11973988.35899326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6-30T00:00:00"/>
    <n v="-4.522930675063408E-2"/>
    <x v="0"/>
  </r>
  <r>
    <x v="122"/>
    <x v="20"/>
    <s v="OPL"/>
    <n v="10851614.452166066"/>
    <n v="10851614.452166066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7-31T00:00:00"/>
    <n v="-9.3734340904400582E-2"/>
    <x v="0"/>
  </r>
  <r>
    <x v="123"/>
    <x v="20"/>
    <s v="OPL"/>
    <n v="8959547.3835000005"/>
    <n v="8959547.383500000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8-29T00:00:00"/>
    <n v="-0.17435811758759956"/>
    <x v="0"/>
  </r>
  <r>
    <x v="124"/>
    <x v="20"/>
    <s v="OPL"/>
    <n v="7731420.3601257904"/>
    <n v="7731420.360125790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9-30T00:00:00"/>
    <n v="-0.13707467250365146"/>
    <x v="0"/>
  </r>
  <r>
    <x v="125"/>
    <x v="20"/>
    <s v="OPL"/>
    <n v="5292774.6245671185"/>
    <n v="5292774.624567118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10-31T00:00:00"/>
    <n v="-0.31542014558357234"/>
    <x v="0"/>
  </r>
  <r>
    <x v="126"/>
    <x v="20"/>
    <s v="OPL"/>
    <n v="5177830.7596805431"/>
    <n v="5177830.759680543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11-28T00:00:00"/>
    <n v="-2.1717128168097011E-2"/>
    <x v="0"/>
  </r>
  <r>
    <x v="127"/>
    <x v="20"/>
    <s v="OPL"/>
    <n v="4669857.4962914446"/>
    <n v="4669857.4962914446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8-12-31T00:00:00"/>
    <n v="-9.8105420390456888E-2"/>
    <x v="0"/>
  </r>
  <r>
    <x v="128"/>
    <x v="20"/>
    <s v="OPL"/>
    <n v="4318747.7726973919"/>
    <n v="4318747.772697391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1-30T00:00:00"/>
    <n v="-7.5186389279091603E-2"/>
    <x v="0"/>
  </r>
  <r>
    <x v="129"/>
    <x v="20"/>
    <s v="OPL"/>
    <n v="4224381.8455724195"/>
    <n v="4224381.845572419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2-27T00:00:00"/>
    <n v="-2.1850298302101057E-2"/>
    <x v="0"/>
  </r>
  <r>
    <x v="130"/>
    <x v="20"/>
    <s v="OPL"/>
    <n v="4152757.4557141424"/>
    <n v="4152757.455714142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3-31T00:00:00"/>
    <n v="-1.6954998974192281E-2"/>
    <x v="0"/>
  </r>
  <r>
    <x v="131"/>
    <x v="20"/>
    <s v="OPL"/>
    <n v="4184828.7385757361"/>
    <n v="4184828.738575736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4-30T00:00:00"/>
    <n v="7.7228885153077798E-3"/>
    <x v="0"/>
  </r>
  <r>
    <x v="132"/>
    <x v="20"/>
    <s v="OPL"/>
    <n v="4284028.4058595886"/>
    <n v="4284028.4058595886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5-29T00:00:00"/>
    <n v="2.370459425721072E-2"/>
    <x v="0"/>
  </r>
  <r>
    <x v="133"/>
    <x v="20"/>
    <s v="OPL"/>
    <n v="4039300.7496487615"/>
    <n v="4039300.749648761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6-30T00:00:00"/>
    <n v="-5.7125591388725305E-2"/>
    <x v="0"/>
  </r>
  <r>
    <x v="134"/>
    <x v="20"/>
    <s v="OPL"/>
    <n v="4199125.3059773697"/>
    <n v="4199125.305977369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7-31T00:00:00"/>
    <n v="3.9567382137243978E-2"/>
    <x v="0"/>
  </r>
  <r>
    <x v="135"/>
    <x v="20"/>
    <s v="OPL"/>
    <n v="4518652.24"/>
    <n v="4518652.2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8-31T00:00:00"/>
    <n v="7.609368874222211E-2"/>
    <x v="0"/>
  </r>
  <r>
    <x v="136"/>
    <x v="20"/>
    <s v="OPL"/>
    <n v="6526871.8700000001"/>
    <n v="6526871.87000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9-30T00:00:00"/>
    <n v="0.44442889678980912"/>
    <x v="0"/>
  </r>
  <r>
    <x v="137"/>
    <x v="20"/>
    <s v="OPL"/>
    <n v="6667129.0700000003"/>
    <n v="6667129.0700000003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10-30T00:00:00"/>
    <n v="2.1489191575013944E-2"/>
    <x v="0"/>
  </r>
  <r>
    <x v="138"/>
    <x v="20"/>
    <s v="OPL"/>
    <n v="8278917.5700000012"/>
    <n v="8278917.570000001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09-11-30T00:00:00"/>
    <n v="0.24175150699459924"/>
    <x v="0"/>
  </r>
  <r>
    <x v="139"/>
    <x v="20"/>
    <s v="OPL"/>
    <n v="6543605.8300000001"/>
    <n v="6543605.8300000001"/>
    <m/>
    <m/>
    <n v="0"/>
    <n v="-1835991.59"/>
    <n v="1"/>
    <n v="-1835991.59"/>
    <n v="-1835991.59"/>
    <n v="-1835991.59"/>
    <m/>
    <s v="Private Equity Fund"/>
    <n v="0"/>
    <n v="0"/>
    <n v="0"/>
    <n v="0"/>
    <m/>
    <m/>
    <m/>
    <m/>
    <m/>
    <m/>
    <m/>
    <m/>
    <m/>
    <m/>
    <m/>
    <d v="2009-12-31T00:00:00"/>
    <n v="1.2160991959242251E-2"/>
    <x v="0"/>
  </r>
  <r>
    <x v="140"/>
    <x v="20"/>
    <s v="OPL"/>
    <n v="6530913.1100000003"/>
    <n v="6530913.1100000003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1-29T00:00:00"/>
    <n v="-1.9397134133306571E-3"/>
    <x v="0"/>
  </r>
  <r>
    <x v="141"/>
    <x v="20"/>
    <s v="OPL"/>
    <n v="6800882.0099999998"/>
    <n v="6800882.009999999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2-26T00:00:00"/>
    <n v="4.1337083414358711E-2"/>
    <x v="0"/>
  </r>
  <r>
    <x v="142"/>
    <x v="20"/>
    <s v="OPL"/>
    <n v="7315920.7999999998"/>
    <n v="7315920.799999999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3-31T00:00:00"/>
    <n v="7.5731175639084602E-2"/>
    <x v="0"/>
  </r>
  <r>
    <x v="143"/>
    <x v="20"/>
    <s v="OPL"/>
    <n v="7671479.3700000001"/>
    <n v="7671479.37000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4-30T00:00:00"/>
    <n v="4.8600658716808409E-2"/>
    <x v="0"/>
  </r>
  <r>
    <x v="144"/>
    <x v="20"/>
    <s v="OPL"/>
    <n v="6458096.7400000002"/>
    <n v="6458096.7400000002"/>
    <m/>
    <m/>
    <n v="0"/>
    <n v="-468343.73"/>
    <n v="1"/>
    <n v="-468343.73"/>
    <n v="-468343.73"/>
    <n v="-468343.73"/>
    <m/>
    <s v="Private Equity Fund"/>
    <n v="0"/>
    <n v="0"/>
    <n v="0"/>
    <n v="0"/>
    <m/>
    <m/>
    <m/>
    <m/>
    <m/>
    <m/>
    <m/>
    <m/>
    <m/>
    <m/>
    <m/>
    <d v="2010-05-31T00:00:00"/>
    <n v="-9.7118021709546642E-2"/>
    <x v="0"/>
  </r>
  <r>
    <x v="145"/>
    <x v="20"/>
    <s v="OPL"/>
    <n v="7782077.1200000001"/>
    <n v="7782077.12000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6-30T00:00:00"/>
    <n v="0.20501092400792986"/>
    <x v="0"/>
  </r>
  <r>
    <x v="146"/>
    <x v="20"/>
    <s v="OPL"/>
    <n v="8892084.9900000002"/>
    <n v="8892084.990000000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7-30T00:00:00"/>
    <n v="0.14263645205304787"/>
    <x v="0"/>
  </r>
  <r>
    <x v="147"/>
    <x v="20"/>
    <s v="OPL"/>
    <n v="8548219.9499999993"/>
    <n v="8548219.9499999993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8-31T00:00:00"/>
    <n v="-3.8670912433553029E-2"/>
    <x v="0"/>
  </r>
  <r>
    <x v="148"/>
    <x v="20"/>
    <s v="OPL"/>
    <n v="9010054.2200000007"/>
    <n v="9010054.220000000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9-30T00:00:00"/>
    <n v="5.4026952125863614E-2"/>
    <x v="0"/>
  </r>
  <r>
    <x v="149"/>
    <x v="20"/>
    <s v="OPL"/>
    <n v="9492515.5800000001"/>
    <n v="9492515.58000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10-29T00:00:00"/>
    <n v="5.3546998521835754E-2"/>
    <x v="0"/>
  </r>
  <r>
    <x v="150"/>
    <x v="20"/>
    <s v="OPL"/>
    <n v="10907065.949999999"/>
    <n v="10907065.949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0-11-30T00:00:00"/>
    <n v="0.14901743990606109"/>
    <x v="0"/>
  </r>
  <r>
    <x v="151"/>
    <x v="20"/>
    <s v="OPL"/>
    <n v="9254283.2300000004"/>
    <n v="9254283.2300000004"/>
    <m/>
    <m/>
    <n v="0"/>
    <n v="-2011987.9699999997"/>
    <n v="1"/>
    <n v="-2011987.9699999997"/>
    <n v="-2011987.9699999997"/>
    <n v="-2011987.9699999997"/>
    <m/>
    <s v="Private Equity Fund"/>
    <n v="0"/>
    <n v="0"/>
    <n v="0"/>
    <n v="0"/>
    <m/>
    <m/>
    <m/>
    <m/>
    <m/>
    <m/>
    <m/>
    <m/>
    <m/>
    <m/>
    <m/>
    <d v="2010-12-31T00:00:00"/>
    <n v="3.2933261029745697E-2"/>
    <x v="0"/>
  </r>
  <r>
    <x v="152"/>
    <x v="20"/>
    <s v="OPL"/>
    <n v="9927969.2599999998"/>
    <n v="9927969.259999999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1-31T00:00:00"/>
    <n v="7.2797213274830685E-2"/>
    <x v="0"/>
  </r>
  <r>
    <x v="153"/>
    <x v="20"/>
    <s v="OPL"/>
    <n v="10574605.560000001"/>
    <n v="10574605.5600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2-28T00:00:00"/>
    <n v="6.5132786279396671E-2"/>
    <x v="0"/>
  </r>
  <r>
    <x v="154"/>
    <x v="20"/>
    <s v="OPL"/>
    <n v="11518178.51"/>
    <n v="11518178.5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3-31T00:00:00"/>
    <n v="8.9230084720058223E-2"/>
    <x v="0"/>
  </r>
  <r>
    <x v="155"/>
    <x v="20"/>
    <s v="OPL"/>
    <n v="12316067.75"/>
    <n v="12316067.75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4-29T00:00:00"/>
    <n v="6.9272171750704992E-2"/>
    <x v="0"/>
  </r>
  <r>
    <x v="156"/>
    <x v="20"/>
    <s v="OPL"/>
    <n v="12753495.609999999"/>
    <n v="12753495.609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5-31T00:00:00"/>
    <n v="3.551684424600543E-2"/>
    <x v="0"/>
  </r>
  <r>
    <x v="157"/>
    <x v="20"/>
    <s v="OPL"/>
    <n v="10370453.630000001"/>
    <n v="10370453.630000001"/>
    <m/>
    <m/>
    <n v="0"/>
    <n v="-2978130.2"/>
    <n v="1"/>
    <n v="-2978130.2"/>
    <n v="-2978130.2"/>
    <n v="-2978130.2"/>
    <m/>
    <s v="Private Equity Fund"/>
    <n v="0"/>
    <n v="0"/>
    <n v="0"/>
    <n v="0"/>
    <m/>
    <m/>
    <m/>
    <m/>
    <m/>
    <m/>
    <m/>
    <m/>
    <m/>
    <m/>
    <m/>
    <d v="2011-06-30T00:00:00"/>
    <n v="4.6660793103139087E-2"/>
    <x v="0"/>
  </r>
  <r>
    <x v="158"/>
    <x v="20"/>
    <s v="OPL"/>
    <n v="10458301.76"/>
    <n v="10458301.76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7-29T00:00:00"/>
    <n v="8.4710016682267852E-3"/>
    <x v="0"/>
  </r>
  <r>
    <x v="159"/>
    <x v="20"/>
    <s v="OPL"/>
    <n v="9288797.9000000004"/>
    <n v="9288797.900000000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8-31T00:00:00"/>
    <n v="-0.1118254078757811"/>
    <x v="0"/>
  </r>
  <r>
    <x v="160"/>
    <x v="20"/>
    <s v="OPL"/>
    <n v="8044249.4800000014"/>
    <n v="8044249.480000001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9-30T00:00:00"/>
    <n v="-0.13398379783890002"/>
    <x v="0"/>
  </r>
  <r>
    <x v="161"/>
    <x v="20"/>
    <s v="OPL"/>
    <n v="9118415.7899999991"/>
    <n v="9118415.789999999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10-31T00:00:00"/>
    <n v="0.13353219746237865"/>
    <x v="0"/>
  </r>
  <r>
    <x v="162"/>
    <x v="20"/>
    <s v="OPL"/>
    <n v="8604088.0899999999"/>
    <n v="8604088.0899999999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1-11-30T00:00:00"/>
    <n v="-5.640537916290822E-2"/>
    <x v="0"/>
  </r>
  <r>
    <x v="163"/>
    <x v="20"/>
    <s v="OPL"/>
    <n v="7934380.5999999996"/>
    <n v="7934380.5999999996"/>
    <m/>
    <m/>
    <n v="0"/>
    <n v="-600506.10366267851"/>
    <n v="1"/>
    <n v="-600506.10366267851"/>
    <n v="-600506.10366267851"/>
    <n v="-600506.10366267851"/>
    <m/>
    <s v="Private Equity Fund"/>
    <n v="0"/>
    <n v="0"/>
    <n v="0"/>
    <n v="0"/>
    <m/>
    <m/>
    <m/>
    <m/>
    <m/>
    <m/>
    <m/>
    <m/>
    <m/>
    <m/>
    <m/>
    <d v="2011-12-30T00:00:00"/>
    <n v="-8.0428495865528804E-3"/>
    <x v="0"/>
  </r>
  <r>
    <x v="164"/>
    <x v="20"/>
    <s v="OPL"/>
    <n v="8635682.4299999997"/>
    <n v="8635682.4299999997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1-31T00:00:00"/>
    <n v="8.838772241402193E-2"/>
    <x v="0"/>
  </r>
  <r>
    <x v="165"/>
    <x v="20"/>
    <s v="OPL"/>
    <n v="9925296.3699999992"/>
    <n v="9925296.369999999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2-29T00:00:00"/>
    <n v="0.14933549843379312"/>
    <x v="0"/>
  </r>
  <r>
    <x v="166"/>
    <x v="20"/>
    <s v="OPL"/>
    <n v="9822358.0399999991"/>
    <n v="9822358.039999999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3-30T00:00:00"/>
    <n v="-1.0371310453876181E-2"/>
    <x v="0"/>
  </r>
  <r>
    <x v="167"/>
    <x v="20"/>
    <s v="OPL"/>
    <n v="10107152.790000001"/>
    <n v="10107152.790000001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4-30T00:00:00"/>
    <n v="2.8994539685910592E-2"/>
    <x v="0"/>
  </r>
  <r>
    <x v="168"/>
    <x v="20"/>
    <s v="OPL"/>
    <n v="9913889.6500000004"/>
    <n v="9913889.650000000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5-31T00:00:00"/>
    <n v="-1.9121422621731332E-2"/>
    <x v="0"/>
  </r>
  <r>
    <x v="169"/>
    <x v="20"/>
    <s v="OPL"/>
    <n v="9542944.9800000004"/>
    <n v="9542944.980000000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6-29T00:00:00"/>
    <n v="-3.7416663196367161E-2"/>
    <x v="0"/>
  </r>
  <r>
    <x v="170"/>
    <x v="20"/>
    <s v="OPL"/>
    <n v="9757848.9900000002"/>
    <n v="9757848.9900000002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7-31T00:00:00"/>
    <n v="2.2519674005287982E-2"/>
    <x v="0"/>
  </r>
  <r>
    <x v="171"/>
    <x v="20"/>
    <s v="OPL"/>
    <n v="11299019.74"/>
    <n v="11299019.74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8-31T00:00:00"/>
    <n v="0.15794164795739474"/>
    <x v="0"/>
  </r>
  <r>
    <x v="172"/>
    <x v="20"/>
    <s v="OPL"/>
    <n v="12259013.873834601"/>
    <n v="12259013.873834601"/>
    <m/>
    <m/>
    <n v="0"/>
    <n v="0"/>
    <n v="1"/>
    <n v="0"/>
    <n v="0"/>
    <n v="0"/>
    <m/>
    <s v="Private Equity Fund"/>
    <n v="0"/>
    <n v="1.2259013873834601"/>
    <n v="0"/>
    <n v="0"/>
    <m/>
    <m/>
    <m/>
    <m/>
    <m/>
    <m/>
    <m/>
    <m/>
    <m/>
    <m/>
    <m/>
    <d v="2012-09-28T00:00:00"/>
    <n v="8.4962603475777332E-2"/>
    <x v="0"/>
  </r>
  <r>
    <x v="173"/>
    <x v="20"/>
    <s v="OPL"/>
    <n v="12360190.223033275"/>
    <n v="12360190.223033275"/>
    <m/>
    <m/>
    <n v="0"/>
    <n v="0"/>
    <n v="1"/>
    <n v="0"/>
    <n v="0"/>
    <n v="0"/>
    <m/>
    <s v="Private Equity Fund"/>
    <n v="0"/>
    <n v="1.2360190223033276"/>
    <n v="0"/>
    <n v="0"/>
    <m/>
    <m/>
    <m/>
    <m/>
    <m/>
    <m/>
    <m/>
    <m/>
    <m/>
    <m/>
    <m/>
    <d v="2012-10-31T00:00:00"/>
    <n v="8.2532208740397905E-3"/>
    <x v="0"/>
  </r>
  <r>
    <x v="174"/>
    <x v="20"/>
    <s v="OPL"/>
    <n v="12522151.163343713"/>
    <n v="12522151.163343713"/>
    <m/>
    <m/>
    <n v="0"/>
    <n v="0"/>
    <n v="1"/>
    <n v="0"/>
    <n v="0"/>
    <n v="0"/>
    <m/>
    <s v="Private Equity Fund"/>
    <n v="0"/>
    <n v="1.2522151163343713"/>
    <n v="0"/>
    <n v="0"/>
    <m/>
    <m/>
    <m/>
    <m/>
    <m/>
    <m/>
    <m/>
    <m/>
    <m/>
    <m/>
    <m/>
    <d v="2012-11-30T00:00:00"/>
    <n v="1.3103434282801141E-2"/>
    <x v="0"/>
  </r>
  <r>
    <x v="175"/>
    <x v="20"/>
    <s v="OPL"/>
    <n v="11663643.111214403"/>
    <n v="11663643.111214403"/>
    <m/>
    <m/>
    <n v="0"/>
    <n v="-2477026.73"/>
    <n v="1"/>
    <n v="-2477026.73"/>
    <n v="-2477026.73"/>
    <n v="-2477026.73"/>
    <m/>
    <s v="Private Equity Fund"/>
    <n v="0"/>
    <n v="1.1663643111214403"/>
    <n v="0"/>
    <n v="0"/>
    <m/>
    <m/>
    <m/>
    <m/>
    <m/>
    <m/>
    <m/>
    <m/>
    <m/>
    <m/>
    <m/>
    <d v="2012-12-31T00:00:00"/>
    <n v="0.12925244686460946"/>
    <x v="0"/>
  </r>
  <r>
    <x v="176"/>
    <x v="20"/>
    <s v="OPL"/>
    <n v="12249015.800824463"/>
    <n v="12249015.800824463"/>
    <m/>
    <m/>
    <n v="0"/>
    <n v="0"/>
    <n v="1"/>
    <n v="0"/>
    <n v="0"/>
    <n v="0"/>
    <m/>
    <s v="Private Equity Fund"/>
    <n v="0"/>
    <n v="1.2249015800824463"/>
    <n v="0"/>
    <n v="0"/>
    <m/>
    <m/>
    <m/>
    <m/>
    <m/>
    <m/>
    <m/>
    <m/>
    <m/>
    <m/>
    <m/>
    <d v="2013-01-31T00:00:00"/>
    <n v="5.0187808734239558E-2"/>
    <x v="0"/>
  </r>
  <r>
    <x v="177"/>
    <x v="20"/>
    <s v="OPL"/>
    <n v="12311712.423821142"/>
    <n v="12311712.423821142"/>
    <m/>
    <m/>
    <n v="0"/>
    <n v="0"/>
    <n v="1"/>
    <n v="0"/>
    <n v="0"/>
    <n v="0"/>
    <m/>
    <s v="Private Equity Fund"/>
    <n v="0"/>
    <n v="1.2311712423821142"/>
    <n v="0"/>
    <n v="0"/>
    <m/>
    <m/>
    <m/>
    <m/>
    <m/>
    <m/>
    <m/>
    <m/>
    <m/>
    <m/>
    <m/>
    <d v="2013-02-28T00:00:00"/>
    <n v="5.1185029080016431E-3"/>
    <x v="0"/>
  </r>
  <r>
    <x v="178"/>
    <x v="20"/>
    <s v="OPL"/>
    <n v="11729882.238661507"/>
    <n v="11729882.238661507"/>
    <m/>
    <m/>
    <n v="0"/>
    <n v="-662953.29"/>
    <n v="1"/>
    <n v="-662953.29"/>
    <n v="-662953.29"/>
    <n v="-662953.29"/>
    <m/>
    <s v="Private Equity Fund"/>
    <n v="0"/>
    <n v="1.1729882238661506"/>
    <n v="0"/>
    <n v="0"/>
    <m/>
    <m/>
    <m/>
    <m/>
    <m/>
    <m/>
    <m/>
    <m/>
    <m/>
    <m/>
    <m/>
    <d v="2013-03-28T00:00:00"/>
    <n v="6.5891000413074163E-3"/>
    <x v="0"/>
  </r>
  <r>
    <x v="179"/>
    <x v="20"/>
    <s v="OPL"/>
    <n v="11735901.6124679"/>
    <n v="11735901.6124679"/>
    <m/>
    <m/>
    <n v="0"/>
    <n v="0"/>
    <n v="1"/>
    <n v="0"/>
    <n v="0"/>
    <n v="0"/>
    <m/>
    <s v="Private Equity Fund"/>
    <n v="0"/>
    <n v="1.1735901612467901"/>
    <n v="0"/>
    <n v="0"/>
    <m/>
    <m/>
    <m/>
    <m/>
    <m/>
    <m/>
    <m/>
    <m/>
    <m/>
    <m/>
    <m/>
    <d v="2013-04-30T00:00:00"/>
    <n v="5.1316574914572755E-4"/>
    <x v="0"/>
  </r>
  <r>
    <x v="180"/>
    <x v="20"/>
    <s v="OPL"/>
    <n v="13266416.386573002"/>
    <n v="13266416.386573002"/>
    <m/>
    <m/>
    <n v="0"/>
    <n v="0"/>
    <n v="1"/>
    <n v="0"/>
    <n v="0"/>
    <n v="0"/>
    <m/>
    <s v="Private Equity Fund"/>
    <n v="0"/>
    <n v="1.3266416386573003"/>
    <n v="0"/>
    <n v="0"/>
    <m/>
    <m/>
    <m/>
    <m/>
    <m/>
    <m/>
    <m/>
    <m/>
    <m/>
    <m/>
    <m/>
    <d v="2013-05-31T00:00:00"/>
    <n v="0.13041305428797445"/>
    <x v="0"/>
  </r>
  <r>
    <x v="181"/>
    <x v="20"/>
    <s v="OPL"/>
    <n v="11808721.390754219"/>
    <n v="11808721.390754219"/>
    <m/>
    <m/>
    <n v="0"/>
    <n v="0"/>
    <n v="1"/>
    <n v="0"/>
    <n v="0"/>
    <n v="0"/>
    <m/>
    <s v="Private Equity Fund"/>
    <n v="0"/>
    <n v="1.180872139075422"/>
    <n v="0"/>
    <n v="0"/>
    <m/>
    <m/>
    <m/>
    <m/>
    <m/>
    <m/>
    <m/>
    <m/>
    <m/>
    <m/>
    <m/>
    <d v="2013-06-28T00:00:00"/>
    <n v="-0.10987858011860097"/>
    <x v="0"/>
  </r>
  <r>
    <x v="182"/>
    <x v="20"/>
    <s v="OPL"/>
    <n v="11736773.782846084"/>
    <n v="11736773.782846084"/>
    <m/>
    <m/>
    <n v="0"/>
    <n v="0"/>
    <n v="1"/>
    <n v="0"/>
    <n v="0"/>
    <n v="0"/>
    <m/>
    <s v="Private Equity Fund"/>
    <n v="0"/>
    <n v="1.1736773782846084"/>
    <n v="0"/>
    <n v="0"/>
    <m/>
    <m/>
    <m/>
    <m/>
    <m/>
    <m/>
    <m/>
    <m/>
    <m/>
    <m/>
    <m/>
    <d v="2013-07-31T00:00:00"/>
    <n v="-6.0927517490985128E-3"/>
    <x v="0"/>
  </r>
  <r>
    <x v="183"/>
    <x v="20"/>
    <s v="OPL"/>
    <n v="11566719.12818744"/>
    <n v="11566719.12818744"/>
    <m/>
    <m/>
    <n v="0"/>
    <n v="0"/>
    <n v="1"/>
    <n v="0"/>
    <n v="0"/>
    <n v="0"/>
    <m/>
    <s v="Private Equity Fund"/>
    <n v="0"/>
    <n v="1.1566719128187442"/>
    <n v="0"/>
    <n v="0"/>
    <m/>
    <m/>
    <m/>
    <m/>
    <m/>
    <m/>
    <m/>
    <m/>
    <m/>
    <m/>
    <m/>
    <d v="2013-08-30T00:00:00"/>
    <n v="-1.4489045951212587E-2"/>
    <x v="0"/>
  </r>
  <r>
    <x v="35"/>
    <x v="20"/>
    <s v="OPL"/>
    <n v="11750427.537092499"/>
    <n v="11750427.537092499"/>
    <m/>
    <m/>
    <n v="0"/>
    <n v="0"/>
    <n v="1"/>
    <n v="0"/>
    <n v="0"/>
    <n v="0"/>
    <m/>
    <s v="Private Equity Fund"/>
    <n v="0"/>
    <n v="1.1750427537092498"/>
    <n v="0"/>
    <n v="0"/>
    <m/>
    <m/>
    <m/>
    <m/>
    <m/>
    <m/>
    <m/>
    <m/>
    <m/>
    <m/>
    <m/>
    <d v="2013-09-30T00:00:00"/>
    <n v="1.5882499338759848E-2"/>
    <x v="0"/>
  </r>
  <r>
    <x v="36"/>
    <x v="20"/>
    <s v="OPL"/>
    <n v="11887180.954927858"/>
    <n v="11887180.954927858"/>
    <m/>
    <m/>
    <n v="0"/>
    <n v="0"/>
    <n v="1"/>
    <n v="0"/>
    <n v="0"/>
    <n v="0"/>
    <m/>
    <s v="Private Equity Fund"/>
    <n v="0"/>
    <n v="1.1887180954927858"/>
    <n v="0"/>
    <n v="0"/>
    <m/>
    <m/>
    <m/>
    <m/>
    <m/>
    <m/>
    <m/>
    <m/>
    <m/>
    <m/>
    <m/>
    <d v="2013-10-31T00:00:00"/>
    <n v="1.1638165284086011E-2"/>
    <x v="0"/>
  </r>
  <r>
    <x v="37"/>
    <x v="20"/>
    <s v="OPL"/>
    <n v="11702406.115568081"/>
    <n v="11702406.115568081"/>
    <m/>
    <m/>
    <n v="0"/>
    <n v="0"/>
    <n v="1"/>
    <n v="0"/>
    <n v="0"/>
    <n v="0"/>
    <m/>
    <s v="Private Equity Fund"/>
    <n v="0"/>
    <n v="1.1702406115568083"/>
    <n v="0"/>
    <n v="0"/>
    <m/>
    <m/>
    <m/>
    <m/>
    <m/>
    <m/>
    <m/>
    <m/>
    <m/>
    <m/>
    <m/>
    <d v="2013-11-29T00:00:00"/>
    <n v="-1.5544041944038689E-2"/>
    <x v="0"/>
  </r>
  <r>
    <x v="38"/>
    <x v="20"/>
    <s v="OPL"/>
    <n v="11764090.47267909"/>
    <n v="11764090.47267909"/>
    <m/>
    <m/>
    <n v="0"/>
    <n v="0"/>
    <n v="1"/>
    <n v="0"/>
    <n v="0"/>
    <n v="0"/>
    <m/>
    <s v="Private Equity Fund"/>
    <n v="0"/>
    <n v="1.176409047267909"/>
    <n v="0"/>
    <n v="0"/>
    <m/>
    <m/>
    <m/>
    <m/>
    <m/>
    <m/>
    <m/>
    <m/>
    <m/>
    <m/>
    <m/>
    <d v="2013-12-31T00:00:00"/>
    <n v="5.2710832714093492E-3"/>
    <x v="0"/>
  </r>
  <r>
    <x v="39"/>
    <x v="20"/>
    <s v="OPL"/>
    <n v="11676868.879779583"/>
    <n v="11676868.879779583"/>
    <m/>
    <m/>
    <n v="0"/>
    <n v="0"/>
    <n v="1"/>
    <n v="0"/>
    <n v="0"/>
    <n v="0"/>
    <m/>
    <s v="Private Equity Fund"/>
    <n v="0"/>
    <n v="1.1676868879779583"/>
    <n v="0"/>
    <n v="0"/>
    <m/>
    <m/>
    <m/>
    <m/>
    <m/>
    <m/>
    <m/>
    <m/>
    <m/>
    <m/>
    <m/>
    <d v="2014-01-30T00:00:00"/>
    <n v="-7.4142232331577684E-3"/>
    <x v="0"/>
  </r>
  <r>
    <x v="40"/>
    <x v="20"/>
    <s v="OPL"/>
    <n v="11583844.626509063"/>
    <n v="11583844.626509063"/>
    <m/>
    <m/>
    <n v="0"/>
    <n v="0"/>
    <n v="1"/>
    <n v="0"/>
    <n v="0"/>
    <n v="0"/>
    <m/>
    <s v="Private Equity Fund"/>
    <n v="0"/>
    <n v="1.1583844626509063"/>
    <n v="0"/>
    <n v="0"/>
    <m/>
    <m/>
    <m/>
    <m/>
    <m/>
    <m/>
    <m/>
    <m/>
    <m/>
    <m/>
    <m/>
    <d v="2014-02-28T00:00:00"/>
    <n v="-7.9665408790884351E-3"/>
    <x v="0"/>
  </r>
  <r>
    <x v="41"/>
    <x v="20"/>
    <s v="OPL"/>
    <n v="11430571.1"/>
    <n v="11430571.1"/>
    <m/>
    <m/>
    <n v="0"/>
    <n v="0"/>
    <n v="1"/>
    <n v="0"/>
    <n v="0"/>
    <n v="0"/>
    <m/>
    <s v="Private Equity Fund"/>
    <n v="0"/>
    <n v="1.14305711"/>
    <n v="0"/>
    <n v="0"/>
    <m/>
    <m/>
    <m/>
    <m/>
    <m/>
    <m/>
    <m/>
    <m/>
    <m/>
    <m/>
    <m/>
    <d v="2014-03-31T00:00:00"/>
    <n v="-1.3231662841739489E-2"/>
    <x v="0"/>
  </r>
  <r>
    <x v="42"/>
    <x v="20"/>
    <s v="OPL"/>
    <n v="12077816.77"/>
    <n v="12077816.77"/>
    <m/>
    <m/>
    <n v="0"/>
    <n v="0"/>
    <n v="1"/>
    <n v="0"/>
    <n v="0"/>
    <n v="0"/>
    <m/>
    <s v="Private Equity Fund"/>
    <n v="0"/>
    <n v="1.2077816770000001"/>
    <n v="0"/>
    <n v="0"/>
    <m/>
    <m/>
    <m/>
    <m/>
    <m/>
    <m/>
    <m/>
    <m/>
    <m/>
    <m/>
    <m/>
    <d v="2014-04-30T00:00:00"/>
    <n v="5.6624088537448491E-2"/>
    <x v="0"/>
  </r>
  <r>
    <x v="43"/>
    <x v="20"/>
    <s v="OPL"/>
    <n v="10377040.9767846"/>
    <n v="10377040.9767846"/>
    <m/>
    <m/>
    <n v="0"/>
    <n v="-346558.62999999902"/>
    <n v="1"/>
    <n v="-346558.62999999902"/>
    <n v="-346558.62999999902"/>
    <n v="-346558.62999999902"/>
    <m/>
    <s v="Private Equity Fund"/>
    <n v="0"/>
    <n v="1.0377040976784602"/>
    <n v="0"/>
    <n v="0"/>
    <m/>
    <m/>
    <m/>
    <m/>
    <m/>
    <m/>
    <m/>
    <m/>
    <m/>
    <m/>
    <m/>
    <d v="2014-05-30T00:00:00"/>
    <n v="-0.11212433414117784"/>
    <x v="0"/>
  </r>
  <r>
    <x v="44"/>
    <x v="20"/>
    <s v="OPL"/>
    <n v="9796896.9100000001"/>
    <n v="9796896.9100000001"/>
    <m/>
    <m/>
    <n v="0"/>
    <n v="0"/>
    <n v="1"/>
    <n v="0"/>
    <n v="0"/>
    <n v="0"/>
    <m/>
    <s v="Private Equity Fund"/>
    <n v="0"/>
    <n v="0.97968969100000014"/>
    <n v="0"/>
    <n v="0"/>
    <m/>
    <m/>
    <m/>
    <m/>
    <m/>
    <m/>
    <m/>
    <m/>
    <m/>
    <m/>
    <m/>
    <d v="2014-06-30T00:00:00"/>
    <n v="-5.5906502449252327E-2"/>
    <x v="0"/>
  </r>
  <r>
    <x v="45"/>
    <x v="20"/>
    <s v="OPL"/>
    <n v="9352044.7416898012"/>
    <n v="9352044.7416898012"/>
    <m/>
    <m/>
    <n v="0"/>
    <n v="0"/>
    <n v="1"/>
    <n v="0"/>
    <n v="0"/>
    <n v="0"/>
    <m/>
    <s v="Private Equity Fund"/>
    <n v="0"/>
    <n v="0.93520447416898012"/>
    <n v="0"/>
    <n v="0"/>
    <m/>
    <m/>
    <m/>
    <m/>
    <m/>
    <m/>
    <m/>
    <m/>
    <m/>
    <m/>
    <m/>
    <d v="2014-07-31T00:00:00"/>
    <n v="-4.5407456299363935E-2"/>
    <x v="0"/>
  </r>
  <r>
    <x v="46"/>
    <x v="20"/>
    <s v="OPL"/>
    <n v="8890893.009968942"/>
    <n v="8890893.009968942"/>
    <m/>
    <m/>
    <n v="0"/>
    <n v="0"/>
    <n v="1"/>
    <n v="0"/>
    <n v="0"/>
    <n v="0"/>
    <m/>
    <s v="Private Equity Fund"/>
    <n v="0"/>
    <n v="0.88908930099689421"/>
    <n v="0"/>
    <n v="0"/>
    <m/>
    <m/>
    <m/>
    <m/>
    <m/>
    <m/>
    <m/>
    <m/>
    <m/>
    <m/>
    <m/>
    <d v="2014-08-29T00:00:00"/>
    <n v="-4.931025721734672E-2"/>
    <x v="0"/>
  </r>
  <r>
    <x v="47"/>
    <x v="20"/>
    <s v="OPL"/>
    <n v="8044295.8954608878"/>
    <n v="8044295.8954608878"/>
    <m/>
    <m/>
    <n v="0"/>
    <n v="0"/>
    <n v="1"/>
    <n v="0"/>
    <n v="0"/>
    <n v="0"/>
    <m/>
    <s v="Private Equity Fund"/>
    <n v="0"/>
    <n v="0.80442958954608879"/>
    <n v="0"/>
    <n v="0"/>
    <m/>
    <m/>
    <m/>
    <m/>
    <m/>
    <m/>
    <m/>
    <m/>
    <m/>
    <m/>
    <m/>
    <d v="2014-09-30T00:00:00"/>
    <n v="-9.5220706576808922E-2"/>
    <x v="0"/>
  </r>
  <r>
    <x v="184"/>
    <x v="20"/>
    <s v="OPL"/>
    <n v="8771280.3446469381"/>
    <n v="8771280.3446469381"/>
    <m/>
    <m/>
    <n v="0"/>
    <n v="0"/>
    <n v="1"/>
    <n v="0"/>
    <n v="0"/>
    <n v="0"/>
    <m/>
    <s v="Private Equity Fund"/>
    <n v="0"/>
    <n v="0.87712803446469378"/>
    <n v="0"/>
    <n v="0"/>
    <m/>
    <m/>
    <m/>
    <m/>
    <m/>
    <m/>
    <m/>
    <m/>
    <m/>
    <m/>
    <m/>
    <d v="2014-10-31T00:00:00"/>
    <n v="9.0372663889236371E-2"/>
    <x v="0"/>
  </r>
  <r>
    <x v="185"/>
    <x v="20"/>
    <s v="OPL"/>
    <n v="8579195.0304291267"/>
    <n v="8579195.0304291267"/>
    <m/>
    <m/>
    <n v="0"/>
    <n v="0"/>
    <n v="1"/>
    <n v="0"/>
    <n v="0"/>
    <n v="0"/>
    <m/>
    <s v="Private Equity Fund"/>
    <n v="0"/>
    <n v="0.85791950304291265"/>
    <n v="0"/>
    <n v="0"/>
    <m/>
    <m/>
    <m/>
    <m/>
    <m/>
    <m/>
    <m/>
    <m/>
    <m/>
    <m/>
    <m/>
    <d v="2014-11-28T00:00:00"/>
    <n v="-2.1899347264055957E-2"/>
    <x v="0"/>
  </r>
  <r>
    <x v="186"/>
    <x v="20"/>
    <s v="OPL"/>
    <n v="7981146.8548097275"/>
    <n v="7981146.8548097275"/>
    <m/>
    <m/>
    <n v="0"/>
    <n v="0"/>
    <n v="1"/>
    <n v="0"/>
    <n v="0"/>
    <n v="0"/>
    <m/>
    <s v="Private Equity Fund"/>
    <n v="0"/>
    <n v="0.79811468548097286"/>
    <n v="0"/>
    <n v="0"/>
    <m/>
    <m/>
    <m/>
    <m/>
    <m/>
    <m/>
    <m/>
    <m/>
    <m/>
    <m/>
    <m/>
    <d v="2014-12-31T00:00:00"/>
    <n v="-6.9709124632114206E-2"/>
    <x v="0"/>
  </r>
  <r>
    <x v="187"/>
    <x v="20"/>
    <s v="OPL"/>
    <n v="7732859.4476359673"/>
    <n v="7732859.4476359673"/>
    <m/>
    <m/>
    <n v="0"/>
    <n v="0"/>
    <n v="1"/>
    <n v="0"/>
    <n v="0"/>
    <n v="0"/>
    <m/>
    <s v="Private Equity Fund"/>
    <n v="0"/>
    <n v="0.77328594476359669"/>
    <n v="0"/>
    <n v="0"/>
    <m/>
    <m/>
    <m/>
    <m/>
    <m/>
    <m/>
    <m/>
    <m/>
    <m/>
    <m/>
    <m/>
    <d v="2015-01-30T00:00:00"/>
    <n v="-3.1109239272315015E-2"/>
    <x v="0"/>
  </r>
  <r>
    <x v="188"/>
    <x v="20"/>
    <s v="OPL"/>
    <n v="7482915.7060653726"/>
    <n v="7482915.7060653726"/>
    <m/>
    <m/>
    <n v="0"/>
    <n v="0"/>
    <n v="1"/>
    <n v="0"/>
    <n v="0"/>
    <n v="0"/>
    <m/>
    <s v="Private Equity Fund"/>
    <n v="0"/>
    <n v="0.74829157060653728"/>
    <n v="0"/>
    <n v="0"/>
    <m/>
    <m/>
    <m/>
    <m/>
    <m/>
    <m/>
    <m/>
    <m/>
    <m/>
    <m/>
    <m/>
    <d v="2015-02-27T00:00:00"/>
    <n v="-3.2322292065841918E-2"/>
    <x v="0"/>
  </r>
  <r>
    <x v="189"/>
    <x v="20"/>
    <s v="OPL"/>
    <n v="6302512.1139103901"/>
    <n v="6302512.1139103901"/>
    <m/>
    <m/>
    <n v="0"/>
    <n v="0"/>
    <n v="1"/>
    <n v="0"/>
    <n v="0"/>
    <n v="0"/>
    <m/>
    <s v="Private Equity Fund"/>
    <n v="0"/>
    <n v="0.63025121139103901"/>
    <n v="0"/>
    <n v="0"/>
    <m/>
    <m/>
    <m/>
    <m/>
    <m/>
    <m/>
    <m/>
    <m/>
    <m/>
    <m/>
    <m/>
    <d v="2015-03-31T00:00:00"/>
    <n v="-0.15774647724525237"/>
    <x v="0"/>
  </r>
  <r>
    <x v="190"/>
    <x v="20"/>
    <s v="OPL"/>
    <n v="6469526.0955323968"/>
    <n v="6469526.0955323968"/>
    <m/>
    <m/>
    <n v="0"/>
    <n v="0"/>
    <n v="1"/>
    <n v="0"/>
    <n v="0"/>
    <n v="0"/>
    <m/>
    <s v="Private Equity Fund"/>
    <n v="0"/>
    <n v="0.64695260955323974"/>
    <n v="0"/>
    <n v="0"/>
    <m/>
    <m/>
    <m/>
    <m/>
    <m/>
    <m/>
    <m/>
    <m/>
    <m/>
    <m/>
    <m/>
    <d v="2015-04-30T00:00:00"/>
    <n v="2.6499589148490044E-2"/>
    <x v="0"/>
  </r>
  <r>
    <x v="191"/>
    <x v="20"/>
    <s v="OPL"/>
    <n v="6014644.6195175694"/>
    <n v="6014644.6195175694"/>
    <m/>
    <m/>
    <n v="0"/>
    <n v="0"/>
    <n v="1"/>
    <n v="0"/>
    <n v="0"/>
    <n v="0"/>
    <m/>
    <s v="Private Equity Fund"/>
    <n v="0"/>
    <n v="0.60146446195175696"/>
    <n v="0"/>
    <n v="0"/>
    <m/>
    <m/>
    <m/>
    <m/>
    <m/>
    <m/>
    <m/>
    <m/>
    <m/>
    <m/>
    <m/>
    <d v="2015-05-29T00:00:00"/>
    <n v="-7.0311406013023214E-2"/>
    <x v="0"/>
  </r>
  <r>
    <x v="192"/>
    <x v="20"/>
    <s v="OPL"/>
    <n v="5053632.1086379457"/>
    <n v="5053632.1086379457"/>
    <m/>
    <m/>
    <n v="0"/>
    <n v="0"/>
    <n v="1"/>
    <n v="0"/>
    <n v="0"/>
    <n v="0"/>
    <m/>
    <s v="Private Equity Fund"/>
    <n v="0"/>
    <n v="0.50536321086379465"/>
    <n v="0"/>
    <n v="0"/>
    <m/>
    <m/>
    <m/>
    <m/>
    <m/>
    <m/>
    <m/>
    <m/>
    <m/>
    <m/>
    <m/>
    <d v="2015-06-30T00:00:00"/>
    <n v="-0.1597787686010792"/>
    <x v="0"/>
  </r>
  <r>
    <x v="193"/>
    <x v="20"/>
    <s v="OPL"/>
    <n v="4574254.4232739527"/>
    <n v="4574254.4232739527"/>
    <m/>
    <m/>
    <n v="0"/>
    <n v="0"/>
    <n v="1"/>
    <n v="0"/>
    <n v="0"/>
    <n v="0"/>
    <m/>
    <s v="Private Equity Fund"/>
    <n v="0"/>
    <n v="0.45742544232739529"/>
    <n v="0"/>
    <n v="0"/>
    <m/>
    <m/>
    <m/>
    <m/>
    <m/>
    <m/>
    <m/>
    <m/>
    <m/>
    <m/>
    <m/>
    <d v="2015-07-31T00:00:00"/>
    <n v="-9.4858049628229635E-2"/>
    <x v="0"/>
  </r>
  <r>
    <x v="194"/>
    <x v="20"/>
    <s v="OPL"/>
    <n v="3346522.7698141458"/>
    <n v="3346522.7698141458"/>
    <m/>
    <m/>
    <n v="0"/>
    <n v="0"/>
    <n v="1"/>
    <n v="0"/>
    <n v="0"/>
    <n v="0"/>
    <m/>
    <s v="Private Equity Fund"/>
    <n v="0"/>
    <n v="0.33465227698141459"/>
    <n v="0"/>
    <n v="0"/>
    <m/>
    <m/>
    <m/>
    <m/>
    <m/>
    <m/>
    <m/>
    <m/>
    <m/>
    <m/>
    <m/>
    <d v="2015-08-31T00:00:00"/>
    <n v="-0.26840038612917305"/>
    <x v="0"/>
  </r>
  <r>
    <x v="195"/>
    <x v="20"/>
    <s v="OPL"/>
    <n v="3919614.6482686936"/>
    <n v="3919614.6482686936"/>
    <m/>
    <m/>
    <n v="0"/>
    <n v="0"/>
    <n v="1"/>
    <n v="0"/>
    <n v="0"/>
    <n v="0"/>
    <m/>
    <s v="Private Equity Fund"/>
    <n v="0"/>
    <n v="0.39196146482686939"/>
    <n v="0"/>
    <n v="0"/>
    <m/>
    <m/>
    <m/>
    <m/>
    <m/>
    <m/>
    <m/>
    <m/>
    <m/>
    <m/>
    <m/>
    <d v="2015-09-30T00:00:00"/>
    <n v="0.17124995640964236"/>
    <x v="0"/>
  </r>
  <r>
    <x v="196"/>
    <x v="20"/>
    <s v="OPL"/>
    <n v="4174230.9565974711"/>
    <n v="4174230.9565974711"/>
    <m/>
    <m/>
    <n v="0"/>
    <n v="0"/>
    <n v="1"/>
    <n v="0"/>
    <n v="0"/>
    <n v="0"/>
    <m/>
    <s v="Private Equity Fund"/>
    <n v="0"/>
    <n v="0.41742309565974711"/>
    <n v="0"/>
    <n v="0"/>
    <m/>
    <m/>
    <m/>
    <m/>
    <m/>
    <m/>
    <m/>
    <m/>
    <m/>
    <m/>
    <m/>
    <d v="2015-10-30T00:00:00"/>
    <n v="6.4959525661851147E-2"/>
    <x v="0"/>
  </r>
  <r>
    <x v="1"/>
    <x v="20"/>
    <s v="OPL"/>
    <n v="3550027.1552387862"/>
    <n v="3550027.1552387862"/>
    <m/>
    <m/>
    <n v="0"/>
    <n v="0"/>
    <n v="1"/>
    <n v="0"/>
    <n v="0"/>
    <n v="0"/>
    <m/>
    <s v="Private Equity Fund"/>
    <n v="0"/>
    <n v="0.35500271552387863"/>
    <n v="0"/>
    <n v="0"/>
    <m/>
    <m/>
    <m/>
    <m/>
    <m/>
    <m/>
    <m/>
    <m/>
    <m/>
    <m/>
    <m/>
    <d v="2015-11-30T00:00:00"/>
    <n v="-0.14953743763797156"/>
    <x v="0"/>
  </r>
  <r>
    <x v="2"/>
    <x v="20"/>
    <s v="OPL"/>
    <n v="3542318.3312115283"/>
    <n v="3542318.3312115283"/>
    <m/>
    <m/>
    <n v="0"/>
    <n v="0"/>
    <n v="1"/>
    <n v="0"/>
    <n v="0"/>
    <n v="0"/>
    <m/>
    <s v="Private Equity Fund"/>
    <n v="0"/>
    <n v="0.35423183312115286"/>
    <n v="0"/>
    <n v="0"/>
    <m/>
    <m/>
    <m/>
    <m/>
    <m/>
    <m/>
    <m/>
    <m/>
    <m/>
    <m/>
    <m/>
    <d v="2015-12-31T00:00:00"/>
    <n v="-2.1714831155255077E-3"/>
    <x v="0"/>
  </r>
  <r>
    <x v="3"/>
    <x v="20"/>
    <s v="OPL"/>
    <n v="2908506.6755012688"/>
    <n v="2908506.6755012688"/>
    <m/>
    <m/>
    <n v="0"/>
    <n v="0"/>
    <n v="1"/>
    <n v="0"/>
    <n v="0"/>
    <n v="0"/>
    <m/>
    <s v="Private Equity Fund"/>
    <n v="0"/>
    <n v="0.2908506675501269"/>
    <n v="0"/>
    <n v="0"/>
    <m/>
    <m/>
    <m/>
    <m/>
    <m/>
    <m/>
    <m/>
    <m/>
    <m/>
    <m/>
    <m/>
    <d v="2016-01-29T00:00:00"/>
    <n v="-0.17892566292693579"/>
    <x v="0"/>
  </r>
  <r>
    <x v="4"/>
    <x v="20"/>
    <s v="OPL"/>
    <n v="3186703.4429349126"/>
    <n v="3186703.4429349126"/>
    <m/>
    <m/>
    <n v="0"/>
    <n v="0"/>
    <n v="1"/>
    <n v="0"/>
    <n v="0"/>
    <n v="0"/>
    <m/>
    <s v="Private Equity Fund"/>
    <n v="0"/>
    <n v="0.31867034429349128"/>
    <n v="0"/>
    <n v="0"/>
    <m/>
    <m/>
    <m/>
    <m/>
    <m/>
    <m/>
    <m/>
    <m/>
    <m/>
    <m/>
    <m/>
    <d v="2016-02-29T00:00:00"/>
    <n v="9.5649348092246678E-2"/>
    <x v="0"/>
  </r>
  <r>
    <x v="5"/>
    <x v="20"/>
    <s v="OPL"/>
    <n v="3870898.4679717189"/>
    <n v="3870898.4679717189"/>
    <m/>
    <m/>
    <n v="0"/>
    <n v="0"/>
    <n v="1"/>
    <n v="0"/>
    <n v="0"/>
    <n v="0"/>
    <m/>
    <s v="Private Equity Fund"/>
    <n v="0"/>
    <n v="0.3870898467971719"/>
    <n v="0"/>
    <n v="0"/>
    <m/>
    <m/>
    <m/>
    <m/>
    <m/>
    <m/>
    <m/>
    <m/>
    <m/>
    <m/>
    <m/>
    <d v="2016-03-31T00:00:00"/>
    <n v="0.21470307397247845"/>
    <x v="0"/>
  </r>
  <r>
    <x v="6"/>
    <x v="20"/>
    <s v="OPL"/>
    <n v="3469102.0631553303"/>
    <n v="3469102.0631553303"/>
    <m/>
    <m/>
    <n v="0"/>
    <n v="0"/>
    <n v="1"/>
    <n v="0"/>
    <n v="0"/>
    <n v="0"/>
    <m/>
    <s v="Private Equity Fund"/>
    <n v="0"/>
    <n v="0.34691020631553304"/>
    <n v="0"/>
    <n v="0"/>
    <m/>
    <m/>
    <m/>
    <m/>
    <m/>
    <m/>
    <m/>
    <m/>
    <m/>
    <m/>
    <m/>
    <d v="2016-04-29T00:00:00"/>
    <n v="-0.1037992621457009"/>
    <x v="0"/>
  </r>
  <r>
    <x v="7"/>
    <x v="20"/>
    <s v="OPL"/>
    <n v="3610901.9761490626"/>
    <n v="3610901.9761490626"/>
    <m/>
    <m/>
    <n v="0"/>
    <n v="0"/>
    <n v="1"/>
    <n v="0"/>
    <n v="0"/>
    <n v="0"/>
    <m/>
    <s v="Private Equity Fund"/>
    <n v="0"/>
    <n v="0.36109019761490629"/>
    <n v="0"/>
    <n v="0"/>
    <m/>
    <m/>
    <m/>
    <m/>
    <m/>
    <m/>
    <m/>
    <m/>
    <m/>
    <m/>
    <m/>
    <d v="2016-05-31T00:00:00"/>
    <n v="4.0875105549577739E-2"/>
    <x v="0"/>
  </r>
  <r>
    <x v="8"/>
    <x v="20"/>
    <s v="OPL"/>
    <n v="3561047.7545026601"/>
    <n v="3561047.7545026601"/>
    <m/>
    <m/>
    <n v="0"/>
    <n v="0"/>
    <n v="1"/>
    <n v="0"/>
    <n v="0"/>
    <n v="0"/>
    <m/>
    <s v="Private Equity Fund"/>
    <n v="0"/>
    <n v="0.35610477545026603"/>
    <n v="0"/>
    <n v="0"/>
    <m/>
    <m/>
    <m/>
    <m/>
    <m/>
    <m/>
    <m/>
    <m/>
    <m/>
    <m/>
    <m/>
    <d v="2016-06-30T00:00:00"/>
    <n v="-1.3806584054538829E-2"/>
    <x v="0"/>
  </r>
  <r>
    <x v="9"/>
    <x v="20"/>
    <s v="OPL"/>
    <n v="3391406.3491183999"/>
    <n v="3391406.3491183999"/>
    <m/>
    <m/>
    <n v="0"/>
    <n v="0"/>
    <n v="1"/>
    <n v="0"/>
    <n v="0"/>
    <n v="0"/>
    <m/>
    <s v="Private Equity Fund"/>
    <n v="0"/>
    <n v="0.33914063491183999"/>
    <n v="0"/>
    <n v="0"/>
    <m/>
    <m/>
    <m/>
    <m/>
    <m/>
    <m/>
    <m/>
    <m/>
    <m/>
    <m/>
    <m/>
    <d v="2016-07-29T00:00:00"/>
    <n v="-4.7638059660885523E-2"/>
    <x v="0"/>
  </r>
  <r>
    <x v="10"/>
    <x v="20"/>
    <s v="OPL"/>
    <n v="3201453.6413659099"/>
    <n v="3201453.6413659099"/>
    <m/>
    <m/>
    <n v="0"/>
    <n v="0"/>
    <n v="1"/>
    <n v="0"/>
    <n v="0"/>
    <n v="0"/>
    <m/>
    <s v="Private Equity Fund"/>
    <n v="0"/>
    <n v="0.320145364136591"/>
    <n v="0"/>
    <n v="0"/>
    <m/>
    <m/>
    <m/>
    <m/>
    <m/>
    <m/>
    <m/>
    <m/>
    <m/>
    <m/>
    <m/>
    <d v="2016-08-31T00:00:00"/>
    <n v="-5.6010011245590907E-2"/>
    <x v="0"/>
  </r>
  <r>
    <x v="11"/>
    <x v="20"/>
    <s v="OPL"/>
    <n v="3074181.7027843199"/>
    <n v="3074181.7027843199"/>
    <m/>
    <m/>
    <n v="0"/>
    <n v="0"/>
    <n v="1"/>
    <n v="0"/>
    <n v="0"/>
    <n v="0"/>
    <m/>
    <s v="Private Equity Fund"/>
    <n v="0"/>
    <n v="0.30741817027843199"/>
    <n v="0"/>
    <n v="0"/>
    <m/>
    <m/>
    <m/>
    <m/>
    <m/>
    <m/>
    <m/>
    <m/>
    <m/>
    <m/>
    <m/>
    <d v="2016-09-30T00:00:00"/>
    <n v="-3.9754421846723731E-2"/>
    <x v="0"/>
  </r>
  <r>
    <x v="12"/>
    <x v="20"/>
    <s v="OPL"/>
    <n v="2895554.0215577199"/>
    <n v="2895554.0215577199"/>
    <m/>
    <m/>
    <n v="0"/>
    <n v="0"/>
    <n v="1"/>
    <n v="0"/>
    <n v="0"/>
    <n v="0"/>
    <m/>
    <s v="Private Equity Fund"/>
    <n v="0"/>
    <n v="0.28955540215577197"/>
    <n v="0"/>
    <n v="0"/>
    <m/>
    <m/>
    <m/>
    <m/>
    <m/>
    <m/>
    <m/>
    <m/>
    <m/>
    <m/>
    <m/>
    <d v="2016-10-31T00:00:00"/>
    <n v="-5.8105765532601716E-2"/>
    <x v="0"/>
  </r>
  <r>
    <x v="13"/>
    <x v="20"/>
    <s v="OPL"/>
    <n v="3051675.0085303402"/>
    <n v="3051675.0085303402"/>
    <m/>
    <m/>
    <n v="0"/>
    <n v="0"/>
    <n v="1"/>
    <n v="0"/>
    <n v="0"/>
    <n v="0"/>
    <m/>
    <s v="Private Equity Fund"/>
    <n v="0"/>
    <n v="0.30516750085303407"/>
    <n v="0"/>
    <n v="0"/>
    <m/>
    <m/>
    <m/>
    <m/>
    <m/>
    <m/>
    <m/>
    <m/>
    <m/>
    <m/>
    <m/>
    <d v="2016-11-30T00:00:00"/>
    <n v="5.3917483773496366E-2"/>
    <x v="0"/>
  </r>
  <r>
    <x v="14"/>
    <x v="20"/>
    <s v="OPL"/>
    <n v="2948636.4878177601"/>
    <n v="2948636.4878177601"/>
    <m/>
    <m/>
    <n v="0"/>
    <n v="0"/>
    <n v="1"/>
    <n v="0"/>
    <n v="0"/>
    <n v="0"/>
    <m/>
    <s v="Private Equity Fund"/>
    <n v="0"/>
    <n v="0.29486364878177601"/>
    <n v="0"/>
    <n v="0"/>
    <m/>
    <m/>
    <m/>
    <m/>
    <m/>
    <m/>
    <m/>
    <m/>
    <m/>
    <m/>
    <m/>
    <d v="2016-12-30T00:00:00"/>
    <n v="-3.3764578608323825E-2"/>
    <x v="0"/>
  </r>
  <r>
    <x v="15"/>
    <x v="20"/>
    <s v="OPL"/>
    <n v="2926383.3195470301"/>
    <n v="2926383.3195470301"/>
    <m/>
    <m/>
    <n v="0"/>
    <n v="0"/>
    <n v="1"/>
    <n v="0"/>
    <n v="0"/>
    <n v="0"/>
    <m/>
    <s v="Private Equity Fund"/>
    <n v="0"/>
    <n v="0.29263833195470301"/>
    <n v="0"/>
    <n v="0"/>
    <m/>
    <m/>
    <m/>
    <m/>
    <m/>
    <m/>
    <m/>
    <m/>
    <m/>
    <m/>
    <m/>
    <d v="2017-01-27T00:00:00"/>
    <n v="-7.5469351215955438E-3"/>
    <x v="0"/>
  </r>
  <r>
    <x v="16"/>
    <x v="20"/>
    <s v="OPL"/>
    <n v="3304077.6886254"/>
    <n v="3304077.6886254"/>
    <m/>
    <m/>
    <n v="0"/>
    <n v="0"/>
    <n v="1"/>
    <n v="0"/>
    <n v="0"/>
    <n v="0"/>
    <m/>
    <s v="Private Equity Fund"/>
    <n v="0"/>
    <n v="0.33040776886253997"/>
    <n v="0"/>
    <n v="0"/>
    <m/>
    <m/>
    <m/>
    <m/>
    <m/>
    <m/>
    <m/>
    <m/>
    <m/>
    <m/>
    <m/>
    <d v="2017-02-28T00:00:00"/>
    <n v="0.12906524123327512"/>
    <x v="0"/>
  </r>
  <r>
    <x v="17"/>
    <x v="20"/>
    <s v="OPL"/>
    <n v="3941737.3756737304"/>
    <n v="3941737.3756737304"/>
    <m/>
    <m/>
    <n v="0"/>
    <n v="0"/>
    <n v="1"/>
    <n v="0"/>
    <n v="0"/>
    <n v="0"/>
    <m/>
    <s v="Private Equity Fund"/>
    <n v="0"/>
    <n v="0.39417373756737306"/>
    <n v="0"/>
    <n v="0"/>
    <m/>
    <m/>
    <m/>
    <m/>
    <m/>
    <m/>
    <m/>
    <m/>
    <m/>
    <m/>
    <m/>
    <d v="2017-03-31T00:00:00"/>
    <n v="0.19299173540729209"/>
    <x v="0"/>
  </r>
  <r>
    <x v="18"/>
    <x v="20"/>
    <s v="OPL"/>
    <n v="3852310.14"/>
    <n v="3852310.14"/>
    <m/>
    <m/>
    <n v="0"/>
    <n v="0"/>
    <n v="1"/>
    <n v="0"/>
    <n v="0"/>
    <n v="0"/>
    <m/>
    <s v="Private Equity Fund"/>
    <n v="0"/>
    <n v="0.38523101400000004"/>
    <n v="0"/>
    <n v="0"/>
    <m/>
    <m/>
    <m/>
    <m/>
    <m/>
    <m/>
    <m/>
    <m/>
    <m/>
    <m/>
    <m/>
    <d v="2017-04-28T00:00:00"/>
    <n v="-2.2687263800380664E-2"/>
    <x v="0"/>
  </r>
  <r>
    <x v="19"/>
    <x v="20"/>
    <s v="OPL"/>
    <n v="3847270.2890292201"/>
    <n v="3847270.2890292201"/>
    <m/>
    <m/>
    <n v="0"/>
    <n v="0"/>
    <n v="1"/>
    <n v="0"/>
    <n v="0"/>
    <n v="0"/>
    <m/>
    <s v="Private Equity Fund"/>
    <n v="0"/>
    <n v="0.38472702890292204"/>
    <n v="0"/>
    <n v="0"/>
    <m/>
    <m/>
    <m/>
    <m/>
    <m/>
    <m/>
    <m/>
    <m/>
    <m/>
    <m/>
    <m/>
    <d v="2017-05-31T00:00:00"/>
    <n v="-1.3082671923138056E-3"/>
    <x v="0"/>
  </r>
  <r>
    <x v="20"/>
    <x v="20"/>
    <s v="OPL"/>
    <n v="3855230.38996726"/>
    <n v="3855230.38996726"/>
    <m/>
    <m/>
    <n v="0"/>
    <n v="0"/>
    <n v="1"/>
    <n v="0"/>
    <n v="0"/>
    <n v="0"/>
    <m/>
    <s v="Private Equity Fund"/>
    <n v="0"/>
    <n v="0.38552303899672602"/>
    <n v="0"/>
    <n v="0"/>
    <m/>
    <m/>
    <m/>
    <m/>
    <m/>
    <m/>
    <m/>
    <m/>
    <m/>
    <m/>
    <m/>
    <d v="2017-06-30T00:00:00"/>
    <n v="2.0690256571622712E-3"/>
    <x v="0"/>
  </r>
  <r>
    <x v="21"/>
    <x v="20"/>
    <s v="OPL"/>
    <n v="3879680.6239999998"/>
    <n v="3879680.6239999998"/>
    <m/>
    <m/>
    <n v="0"/>
    <n v="0"/>
    <n v="1"/>
    <n v="0"/>
    <n v="0"/>
    <n v="0"/>
    <m/>
    <s v="Private Equity Fund"/>
    <n v="0"/>
    <n v="0.38796806239999998"/>
    <n v="0"/>
    <n v="0"/>
    <m/>
    <m/>
    <m/>
    <m/>
    <m/>
    <m/>
    <m/>
    <m/>
    <m/>
    <m/>
    <m/>
    <d v="2017-07-31T00:00:00"/>
    <n v="6.3420941317460233E-3"/>
    <x v="0"/>
  </r>
  <r>
    <x v="22"/>
    <x v="20"/>
    <s v="OPL"/>
    <n v="3750376.31"/>
    <n v="3750376.31"/>
    <m/>
    <m/>
    <n v="0"/>
    <n v="0"/>
    <n v="1"/>
    <n v="0"/>
    <n v="0"/>
    <n v="0"/>
    <m/>
    <s v="Private Equity Fund"/>
    <n v="0"/>
    <n v="0.37503763100000004"/>
    <n v="0"/>
    <n v="0"/>
    <m/>
    <m/>
    <m/>
    <m/>
    <m/>
    <m/>
    <m/>
    <m/>
    <m/>
    <m/>
    <m/>
    <d v="2017-08-31T00:00:00"/>
    <n v="-3.3328597513958558E-2"/>
    <x v="0"/>
  </r>
  <r>
    <x v="23"/>
    <x v="20"/>
    <s v="OPL"/>
    <n v="3493098"/>
    <n v="3493098"/>
    <m/>
    <m/>
    <n v="0"/>
    <n v="0"/>
    <n v="1"/>
    <n v="0"/>
    <n v="0"/>
    <n v="0"/>
    <m/>
    <s v="Private Equity Fund"/>
    <n v="0"/>
    <n v="0.3493098"/>
    <n v="0"/>
    <n v="0"/>
    <m/>
    <m/>
    <m/>
    <m/>
    <m/>
    <m/>
    <m/>
    <m/>
    <m/>
    <m/>
    <m/>
    <d v="2017-09-29T00:00:00"/>
    <n v="-6.860066530230402E-2"/>
    <x v="0"/>
  </r>
  <r>
    <x v="24"/>
    <x v="20"/>
    <s v="OPL"/>
    <n v="3538387.8279515295"/>
    <n v="3538387.8279515295"/>
    <m/>
    <m/>
    <n v="0"/>
    <n v="0"/>
    <n v="1"/>
    <n v="0"/>
    <n v="0"/>
    <n v="0"/>
    <m/>
    <s v="Private Equity Fund"/>
    <n v="0"/>
    <n v="0.35383878279515302"/>
    <n v="0"/>
    <n v="0"/>
    <m/>
    <m/>
    <m/>
    <m/>
    <m/>
    <m/>
    <m/>
    <m/>
    <m/>
    <m/>
    <m/>
    <d v="2017-10-31T00:00:00"/>
    <n v="1.2965518846459467E-2"/>
    <x v="0"/>
  </r>
  <r>
    <x v="25"/>
    <x v="20"/>
    <s v="OPL"/>
    <n v="3155560.26"/>
    <n v="3155560.26"/>
    <m/>
    <m/>
    <n v="0"/>
    <n v="0"/>
    <n v="1"/>
    <n v="0"/>
    <n v="0"/>
    <n v="0"/>
    <m/>
    <s v="Private Equity Fund"/>
    <n v="0"/>
    <n v="0.31555602599999999"/>
    <n v="0"/>
    <n v="0"/>
    <m/>
    <m/>
    <m/>
    <m/>
    <m/>
    <m/>
    <m/>
    <m/>
    <m/>
    <m/>
    <m/>
    <d v="2017-11-30T00:00:00"/>
    <n v="-0.10819265342464146"/>
    <x v="0"/>
  </r>
  <r>
    <x v="26"/>
    <x v="20"/>
    <s v="OPL"/>
    <n v="3205132.13"/>
    <n v="3205132.13"/>
    <m/>
    <m/>
    <n v="0"/>
    <n v="0"/>
    <n v="1"/>
    <n v="0"/>
    <n v="0"/>
    <n v="0"/>
    <m/>
    <s v="Private Equity Fund"/>
    <n v="0"/>
    <n v="0.32051321300000002"/>
    <n v="0"/>
    <n v="0"/>
    <m/>
    <m/>
    <m/>
    <m/>
    <m/>
    <m/>
    <m/>
    <m/>
    <m/>
    <m/>
    <m/>
    <d v="2017-12-29T00:00:00"/>
    <n v="1.5709372002295385E-2"/>
    <x v="0"/>
  </r>
  <r>
    <x v="27"/>
    <x v="20"/>
    <s v="OPL"/>
    <n v="3329627.1210000003"/>
    <n v="3329627.1210000003"/>
    <m/>
    <m/>
    <n v="0"/>
    <n v="0"/>
    <n v="1"/>
    <n v="0"/>
    <n v="0"/>
    <n v="0"/>
    <m/>
    <s v="Private Equity Fund"/>
    <n v="0"/>
    <n v="0.33296271210000006"/>
    <n v="0"/>
    <n v="0"/>
    <m/>
    <m/>
    <m/>
    <m/>
    <m/>
    <m/>
    <m/>
    <m/>
    <m/>
    <m/>
    <m/>
    <d v="2018-01-31T00:00:00"/>
    <n v="3.8842389627163465E-2"/>
    <x v="0"/>
  </r>
  <r>
    <x v="28"/>
    <x v="20"/>
    <s v="OPL"/>
    <n v="3847521.01"/>
    <n v="3847521.01"/>
    <m/>
    <m/>
    <n v="0"/>
    <n v="0"/>
    <n v="1"/>
    <n v="0"/>
    <n v="0"/>
    <n v="0"/>
    <m/>
    <s v="Private Equity Fund"/>
    <n v="0"/>
    <n v="0.34627689090000002"/>
    <n v="0"/>
    <n v="0"/>
    <m/>
    <m/>
    <m/>
    <m/>
    <m/>
    <m/>
    <m/>
    <m/>
    <m/>
    <m/>
    <m/>
    <d v="2018-02-28T00:00:00"/>
    <n v="0.15554110721096559"/>
    <x v="0"/>
  </r>
  <r>
    <x v="29"/>
    <x v="20"/>
    <s v="OPL"/>
    <n v="3839160.035813387"/>
    <n v="3839160.035813387"/>
    <m/>
    <m/>
    <n v="0"/>
    <n v="0"/>
    <n v="1"/>
    <n v="0"/>
    <n v="0"/>
    <n v="0"/>
    <m/>
    <s v="Private Equity Fund"/>
    <n v="0"/>
    <n v="0.38391600358133871"/>
    <n v="0"/>
    <n v="0"/>
    <m/>
    <m/>
    <m/>
    <m/>
    <m/>
    <m/>
    <m/>
    <m/>
    <m/>
    <m/>
    <m/>
    <d v="2018-03-29T00:00:00"/>
    <n v="-2.1730808395540313E-3"/>
    <x v="0"/>
  </r>
  <r>
    <x v="30"/>
    <x v="20"/>
    <s v="OPL"/>
    <n v="3716114.02"/>
    <n v="3716114.02"/>
    <m/>
    <m/>
    <n v="0"/>
    <n v="0"/>
    <n v="1"/>
    <n v="0"/>
    <n v="0"/>
    <n v="0"/>
    <m/>
    <s v="Private Equity Fund"/>
    <n v="0"/>
    <n v="0.37161140200000004"/>
    <n v="0"/>
    <n v="0"/>
    <m/>
    <m/>
    <m/>
    <m/>
    <m/>
    <m/>
    <m/>
    <m/>
    <m/>
    <m/>
    <m/>
    <d v="2018-04-30T00:00:00"/>
    <n v="-3.2050243976692649E-2"/>
    <x v="0"/>
  </r>
  <r>
    <x v="31"/>
    <x v="20"/>
    <s v="OPL"/>
    <n v="3611732.0956333522"/>
    <n v="3611732.0956333522"/>
    <m/>
    <m/>
    <n v="0"/>
    <n v="0"/>
    <n v="1"/>
    <n v="0"/>
    <n v="0"/>
    <n v="0"/>
    <m/>
    <s v="Private Equity Fund"/>
    <n v="0"/>
    <n v="0.36117320956333526"/>
    <n v="0"/>
    <n v="0"/>
    <m/>
    <m/>
    <m/>
    <m/>
    <m/>
    <m/>
    <m/>
    <m/>
    <m/>
    <m/>
    <m/>
    <d v="2018-05-31T00:00:00"/>
    <n v="-2.8088999370005308E-2"/>
    <x v="0"/>
  </r>
  <r>
    <x v="32"/>
    <x v="20"/>
    <s v="OPL"/>
    <n v="3649853.4114958849"/>
    <n v="3649853.4114958849"/>
    <m/>
    <m/>
    <n v="0"/>
    <n v="0"/>
    <n v="1"/>
    <n v="0"/>
    <n v="0"/>
    <n v="-3649853.4114958849"/>
    <m/>
    <s v="Private Equity Fund"/>
    <n v="0"/>
    <n v="0.36498534114958847"/>
    <n v="0"/>
    <n v="0"/>
    <m/>
    <m/>
    <m/>
    <m/>
    <m/>
    <m/>
    <m/>
    <m/>
    <m/>
    <m/>
    <m/>
    <d v="2018-06-29T00:00:00"/>
    <n v="1.0554857019606123E-2"/>
    <x v="0"/>
  </r>
  <r>
    <x v="33"/>
    <x v="20"/>
    <s v="OPL"/>
    <n v="3649853.4114958849"/>
    <n v="3649853.4114958849"/>
    <m/>
    <m/>
    <n v="0"/>
    <n v="0"/>
    <n v="1"/>
    <n v="0"/>
    <n v="0"/>
    <n v="0"/>
    <m/>
    <s v="Private Equity Fund"/>
    <n v="0"/>
    <n v="0.36498534114958847"/>
    <n v="0"/>
    <n v="0"/>
    <m/>
    <m/>
    <m/>
    <m/>
    <m/>
    <m/>
    <m/>
    <m/>
    <m/>
    <m/>
    <m/>
    <d v="2018-07-31T00:00:00"/>
    <n v="0"/>
    <x v="0"/>
  </r>
  <r>
    <x v="211"/>
    <x v="21"/>
    <s v="RR"/>
    <n v="5882317.2199999997"/>
    <n v="5882317.2199999997"/>
    <m/>
    <n v="5882317.2199999997"/>
    <m/>
    <n v="0"/>
    <n v="1"/>
    <n v="5882317.2199999997"/>
    <n v="5882317.2199999997"/>
    <n v="5882317.2199999997"/>
    <m/>
    <s v="Private Equity Fund"/>
    <n v="0"/>
    <n v="0"/>
    <n v="0"/>
    <n v="0"/>
    <m/>
    <m/>
    <m/>
    <m/>
    <m/>
    <m/>
    <m/>
    <m/>
    <m/>
    <m/>
    <m/>
    <d v="2016-04-06T00:00:00"/>
    <n v="0"/>
    <x v="2"/>
  </r>
  <r>
    <x v="6"/>
    <x v="21"/>
    <s v="RR"/>
    <n v="5882317.2199999997"/>
    <n v="5882317.2199999997"/>
    <m/>
    <n v="0"/>
    <m/>
    <n v="0"/>
    <n v="1"/>
    <n v="0"/>
    <n v="0"/>
    <n v="0"/>
    <m/>
    <s v="Private Equity Fund"/>
    <n v="0.01"/>
    <n v="0"/>
    <n v="0"/>
    <n v="0"/>
    <m/>
    <m/>
    <m/>
    <m/>
    <m/>
    <m/>
    <m/>
    <m/>
    <m/>
    <m/>
    <m/>
    <d v="2016-04-29T00:00:00"/>
    <n v="0"/>
    <x v="2"/>
  </r>
  <r>
    <x v="7"/>
    <x v="21"/>
    <s v="RR"/>
    <n v="5882317.2199999997"/>
    <n v="5882317.2199999997"/>
    <m/>
    <n v="0"/>
    <m/>
    <n v="0"/>
    <n v="1"/>
    <n v="0"/>
    <n v="0"/>
    <n v="0"/>
    <m/>
    <s v="Private Equity Fund"/>
    <n v="0.01"/>
    <n v="0"/>
    <n v="0"/>
    <n v="0"/>
    <m/>
    <m/>
    <m/>
    <m/>
    <m/>
    <m/>
    <m/>
    <m/>
    <m/>
    <m/>
    <m/>
    <d v="2016-05-31T00:00:00"/>
    <n v="0"/>
    <x v="2"/>
  </r>
  <r>
    <x v="8"/>
    <x v="21"/>
    <s v="RR"/>
    <n v="7165813.2800000003"/>
    <n v="5723736.7302228762"/>
    <m/>
    <n v="1482030.3800000001"/>
    <m/>
    <n v="0"/>
    <n v="1.2519466945714974"/>
    <n v="1482030.3800000001"/>
    <n v="0"/>
    <n v="1482030.3800000001"/>
    <m/>
    <s v="Private Equity Fund"/>
    <n v="0.01"/>
    <n v="0"/>
    <n v="0"/>
    <n v="0"/>
    <m/>
    <m/>
    <m/>
    <m/>
    <m/>
    <m/>
    <m/>
    <m/>
    <m/>
    <m/>
    <m/>
    <d v="2016-06-30T00:00:00"/>
    <n v="-3.3751039356561541E-2"/>
    <x v="2"/>
  </r>
  <r>
    <x v="9"/>
    <x v="21"/>
    <s v="RR"/>
    <n v="7165813.2800000003"/>
    <n v="4270671.7252963977"/>
    <m/>
    <n v="2438115.8699999996"/>
    <m/>
    <n v="0"/>
    <n v="1.6779124552128089"/>
    <n v="2438115.8699999996"/>
    <n v="0"/>
    <n v="2438115.8699999996"/>
    <m/>
    <s v="Private Equity Fund"/>
    <n v="0.01"/>
    <n v="0"/>
    <n v="0"/>
    <n v="0"/>
    <m/>
    <m/>
    <m/>
    <m/>
    <m/>
    <m/>
    <m/>
    <m/>
    <m/>
    <m/>
    <m/>
    <d v="2016-07-29T00:00:00"/>
    <n v="-0.34024272957332768"/>
    <x v="2"/>
  </r>
  <r>
    <x v="10"/>
    <x v="21"/>
    <s v="RR"/>
    <n v="7165813.2800000003"/>
    <n v="4270671.7252963977"/>
    <m/>
    <n v="0"/>
    <m/>
    <n v="0"/>
    <n v="1.6779124552128089"/>
    <n v="0"/>
    <n v="0"/>
    <n v="0"/>
    <m/>
    <s v="Private Equity Fund"/>
    <n v="0.01"/>
    <n v="0"/>
    <n v="0"/>
    <n v="0"/>
    <m/>
    <m/>
    <m/>
    <m/>
    <m/>
    <m/>
    <m/>
    <m/>
    <m/>
    <m/>
    <m/>
    <d v="2016-08-31T00:00:00"/>
    <n v="0"/>
    <x v="2"/>
  </r>
  <r>
    <x v="11"/>
    <x v="21"/>
    <s v="RR"/>
    <n v="9258070.5699999984"/>
    <n v="5517612.4005979812"/>
    <m/>
    <n v="0"/>
    <m/>
    <n v="0"/>
    <n v="1.6779124552128089"/>
    <n v="0"/>
    <n v="0"/>
    <n v="0"/>
    <m/>
    <s v="Private Equity Fund"/>
    <n v="0.01"/>
    <n v="0"/>
    <n v="0"/>
    <n v="0"/>
    <m/>
    <m/>
    <m/>
    <m/>
    <m/>
    <m/>
    <m/>
    <m/>
    <m/>
    <m/>
    <m/>
    <d v="2016-09-30T00:00:00"/>
    <n v="0.29197764555762995"/>
    <x v="2"/>
  </r>
  <r>
    <x v="12"/>
    <x v="21"/>
    <s v="RR"/>
    <n v="9258070.5699999984"/>
    <n v="5517612.4005979812"/>
    <m/>
    <n v="0"/>
    <m/>
    <n v="0"/>
    <n v="1.6779124552128089"/>
    <n v="0"/>
    <n v="0"/>
    <n v="0"/>
    <m/>
    <s v="Private Equity Fund"/>
    <n v="0.01"/>
    <n v="0"/>
    <n v="0"/>
    <n v="0"/>
    <m/>
    <m/>
    <m/>
    <m/>
    <m/>
    <m/>
    <m/>
    <m/>
    <m/>
    <m/>
    <m/>
    <d v="2016-10-31T00:00:00"/>
    <n v="0"/>
    <x v="2"/>
  </r>
  <r>
    <x v="13"/>
    <x v="21"/>
    <s v="RR"/>
    <n v="17698070.57"/>
    <n v="5517612.4005979812"/>
    <m/>
    <n v="8440000"/>
    <m/>
    <n v="0"/>
    <n v="3.2075595901013161"/>
    <n v="8440000"/>
    <n v="0"/>
    <n v="8440000"/>
    <m/>
    <s v="Private Equity Fund"/>
    <n v="0.01"/>
    <n v="0"/>
    <n v="0"/>
    <n v="0"/>
    <m/>
    <m/>
    <m/>
    <m/>
    <m/>
    <m/>
    <m/>
    <m/>
    <m/>
    <m/>
    <m/>
    <d v="2016-11-30T00:00:00"/>
    <n v="2.2204460492503131E-16"/>
    <x v="2"/>
  </r>
  <r>
    <x v="14"/>
    <x v="21"/>
    <s v="RR"/>
    <n v="20366787.039999999"/>
    <n v="6349620.784241355"/>
    <m/>
    <n v="0"/>
    <m/>
    <n v="0"/>
    <n v="3.2075595901013161"/>
    <n v="0"/>
    <n v="0"/>
    <n v="0"/>
    <m/>
    <s v="Private Equity Fund"/>
    <n v="0.01"/>
    <n v="0"/>
    <n v="0"/>
    <n v="0"/>
    <m/>
    <m/>
    <m/>
    <m/>
    <m/>
    <m/>
    <m/>
    <m/>
    <m/>
    <m/>
    <m/>
    <d v="2016-12-30T00:00:00"/>
    <n v="0.15079137917574692"/>
    <x v="2"/>
  </r>
  <r>
    <x v="15"/>
    <x v="21"/>
    <s v="RR"/>
    <n v="20366787.039999999"/>
    <n v="6349620.784241355"/>
    <m/>
    <n v="0"/>
    <m/>
    <n v="0"/>
    <n v="3.2075595901013161"/>
    <n v="0"/>
    <n v="0"/>
    <n v="0"/>
    <m/>
    <s v="Private Equity Fund"/>
    <n v="0.01"/>
    <n v="0"/>
    <n v="0"/>
    <n v="0"/>
    <m/>
    <m/>
    <m/>
    <m/>
    <m/>
    <m/>
    <m/>
    <m/>
    <m/>
    <m/>
    <m/>
    <d v="2017-01-27T00:00:00"/>
    <n v="0"/>
    <x v="2"/>
  </r>
  <r>
    <x v="16"/>
    <x v="21"/>
    <s v="RR"/>
    <n v="20366787.039999999"/>
    <n v="6349620.784241355"/>
    <m/>
    <n v="0"/>
    <m/>
    <n v="0"/>
    <n v="3.2075595901013161"/>
    <n v="0"/>
    <n v="0"/>
    <n v="0"/>
    <m/>
    <s v="Private Equity Fund"/>
    <n v="0.01"/>
    <n v="0"/>
    <n v="0"/>
    <n v="0"/>
    <m/>
    <m/>
    <m/>
    <m/>
    <m/>
    <m/>
    <m/>
    <m/>
    <m/>
    <m/>
    <m/>
    <d v="2017-02-28T00:00:00"/>
    <n v="0"/>
    <x v="2"/>
  </r>
  <r>
    <x v="17"/>
    <x v="21"/>
    <s v="RR"/>
    <n v="20166787.039999999"/>
    <n v="6287268.084507511"/>
    <m/>
    <n v="0"/>
    <m/>
    <n v="0"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3-31T00:00:00"/>
    <n v="-9.8199092280585321E-3"/>
    <x v="2"/>
  </r>
  <r>
    <x v="18"/>
    <x v="21"/>
    <s v="RR"/>
    <n v="20610000"/>
    <n v="6425445.707572653"/>
    <m/>
    <n v="0"/>
    <m/>
    <n v="0"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4-28T00:00:00"/>
    <n v="2.1977370967467769E-2"/>
    <x v="2"/>
  </r>
  <r>
    <x v="19"/>
    <x v="21"/>
    <s v="RR"/>
    <n v="20610000"/>
    <n v="6425445.707572653"/>
    <m/>
    <n v="0"/>
    <m/>
    <n v="0"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5-31T00:00:00"/>
    <n v="0"/>
    <x v="2"/>
  </r>
  <r>
    <x v="20"/>
    <x v="21"/>
    <s v="RR"/>
    <n v="20580000"/>
    <n v="6416092.8026125766"/>
    <m/>
    <n v="0"/>
    <m/>
    <n v="0"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6-30T00:00:00"/>
    <n v="-1.4556040756914523E-3"/>
    <x v="2"/>
  </r>
  <r>
    <x v="21"/>
    <x v="21"/>
    <s v="RR"/>
    <n v="20513333.333333332"/>
    <n v="6395308.569367961"/>
    <m/>
    <n v="0"/>
    <m/>
    <n v="0"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7-31T00:00:00"/>
    <n v="-3.2393909944931076E-3"/>
    <x v="2"/>
  </r>
  <r>
    <x v="22"/>
    <x v="21"/>
    <s v="RR"/>
    <n v="22863291.360000003"/>
    <n v="6358398.9127377104"/>
    <m/>
    <n v="2482676.38"/>
    <m/>
    <n v="0"/>
    <n v="3.5957623410821586"/>
    <n v="2482676.38"/>
    <n v="0"/>
    <n v="2482676.38"/>
    <m/>
    <s v="Private Equity Fund"/>
    <n v="6.6666666666666666E-2"/>
    <n v="0"/>
    <n v="0"/>
    <n v="0"/>
    <m/>
    <m/>
    <m/>
    <m/>
    <m/>
    <m/>
    <m/>
    <m/>
    <m/>
    <m/>
    <m/>
    <d v="2017-08-31T00:00:00"/>
    <n v="-6.4698579785502641E-3"/>
    <x v="2"/>
  </r>
  <r>
    <x v="23"/>
    <x v="21"/>
    <s v="RR"/>
    <n v="26280631.400000002"/>
    <n v="7308778.753183878"/>
    <m/>
    <n v="0"/>
    <m/>
    <n v="0"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9-29T00:00:00"/>
    <n v="0.14946842019337314"/>
    <x v="2"/>
  </r>
  <r>
    <x v="24"/>
    <x v="21"/>
    <s v="RR"/>
    <n v="29023668.82"/>
    <n v="8071631.5670810472"/>
    <m/>
    <n v="0"/>
    <m/>
    <n v="0"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10-31T00:00:00"/>
    <n v="0.10437486749271918"/>
    <x v="2"/>
  </r>
  <r>
    <x v="25"/>
    <x v="21"/>
    <s v="RR"/>
    <n v="28970000"/>
    <n v="8056705.992221212"/>
    <m/>
    <n v="0"/>
    <m/>
    <n v="0"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11-30T00:00:00"/>
    <n v="-1.8491397601332338E-3"/>
    <x v="2"/>
  </r>
  <r>
    <x v="26"/>
    <x v="21"/>
    <s v="RR"/>
    <n v="28920000"/>
    <n v="8042800.7350720549"/>
    <m/>
    <n v="0"/>
    <m/>
    <n v="0"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12-29T00:00:00"/>
    <n v="-1.7259233690024578E-3"/>
    <x v="2"/>
  </r>
  <r>
    <x v="27"/>
    <x v="21"/>
    <s v="RR"/>
    <n v="28920000"/>
    <n v="8042800.7350720549"/>
    <m/>
    <n v="0"/>
    <m/>
    <n v="0"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1-31T00:00:00"/>
    <n v="0"/>
    <x v="2"/>
  </r>
  <r>
    <x v="28"/>
    <x v="21"/>
    <s v="RR"/>
    <n v="30915762.989999998"/>
    <n v="8597832.68676644"/>
    <m/>
    <n v="0"/>
    <m/>
    <n v="0"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2-28T00:00:00"/>
    <n v="6.9009785269709578E-2"/>
    <x v="2"/>
  </r>
  <r>
    <x v="29"/>
    <x v="21"/>
    <s v="RR"/>
    <n v="28961664.705082446"/>
    <n v="1.3974170941520785"/>
    <m/>
    <n v="0"/>
    <m/>
    <n v="0"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3-29T00:00:00"/>
    <n v="-6.3207182871392265E-2"/>
    <x v="2"/>
  </r>
  <r>
    <x v="30"/>
    <x v="21"/>
    <s v="RR"/>
    <n v="28961664.705082446"/>
    <n v="1.3974170941520785"/>
    <m/>
    <n v="0"/>
    <m/>
    <n v="0"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4-30T00:00:00"/>
    <n v="0"/>
    <x v="2"/>
  </r>
  <r>
    <x v="31"/>
    <x v="21"/>
    <s v="RR"/>
    <n v="31846892.637449495"/>
    <n v="1.5366310127673031"/>
    <m/>
    <n v="0"/>
    <m/>
    <n v="0"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5-31T00:00:00"/>
    <n v="9.9622309758344851E-2"/>
    <x v="2"/>
  </r>
  <r>
    <x v="32"/>
    <x v="21"/>
    <s v="RR"/>
    <n v="32262811.969999999"/>
    <n v="1.5566993614279518"/>
    <m/>
    <n v="0"/>
    <m/>
    <n v="0"/>
    <n v="20725139.850000001"/>
    <n v="0"/>
    <n v="0"/>
    <n v="-32262811.969999999"/>
    <m/>
    <s v="Private Equity Fund"/>
    <n v="6.6666666666666666E-2"/>
    <n v="0"/>
    <n v="0"/>
    <n v="0"/>
    <m/>
    <m/>
    <m/>
    <m/>
    <m/>
    <m/>
    <m/>
    <m/>
    <m/>
    <m/>
    <m/>
    <d v="2018-06-29T00:00:00"/>
    <n v="1.3059965921492056E-2"/>
    <x v="2"/>
  </r>
  <r>
    <x v="33"/>
    <x v="21"/>
    <s v="RR"/>
    <n v="32262811.969999999"/>
    <n v="1.5566993614279518"/>
    <m/>
    <n v="0"/>
    <m/>
    <n v="0"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7-31T00:00:00"/>
    <n v="0"/>
    <x v="2"/>
  </r>
  <r>
    <x v="212"/>
    <x v="22"/>
    <s v="SamSen"/>
    <n v="6000000"/>
    <n v="1"/>
    <m/>
    <n v="6000000"/>
    <n v="0"/>
    <n v="0"/>
    <n v="6000000"/>
    <n v="6000000"/>
    <n v="1"/>
    <n v="6000000"/>
    <m/>
    <s v="Private Equity Fund"/>
    <n v="0"/>
    <n v="0"/>
    <n v="0"/>
    <n v="0"/>
    <m/>
    <m/>
    <m/>
    <m/>
    <m/>
    <m/>
    <m/>
    <m/>
    <m/>
    <m/>
    <m/>
    <d v="2015-06-01T00:00:00"/>
    <n v="0"/>
    <x v="2"/>
  </r>
  <r>
    <x v="192"/>
    <x v="22"/>
    <s v="SamSen"/>
    <n v="6029534.29"/>
    <n v="0.93397272517868668"/>
    <m/>
    <n v="0"/>
    <n v="0"/>
    <n v="0"/>
    <n v="6455792.688000001"/>
    <n v="0"/>
    <n v="0"/>
    <n v="0"/>
    <m/>
    <s v="Private Equity Fund"/>
    <n v="4.8571248447222218E-3"/>
    <n v="0"/>
    <n v="0"/>
    <n v="0"/>
    <m/>
    <m/>
    <m/>
    <m/>
    <m/>
    <m/>
    <m/>
    <m/>
    <m/>
    <m/>
    <m/>
    <d v="2015-06-30T00:00:00"/>
    <n v="4.9223816666665865E-3"/>
    <x v="2"/>
  </r>
  <r>
    <x v="193"/>
    <x v="22"/>
    <s v="SamSen"/>
    <n v="6065516.9800000004"/>
    <n v="0.93954643111055236"/>
    <m/>
    <n v="0"/>
    <n v="0"/>
    <n v="0"/>
    <n v="6455792.688000001"/>
    <n v="0"/>
    <n v="0"/>
    <n v="0"/>
    <m/>
    <s v="Private Equity Fund"/>
    <n v="5.2230840661111116E-3"/>
    <n v="0"/>
    <n v="0"/>
    <n v="0"/>
    <m/>
    <m/>
    <m/>
    <m/>
    <m/>
    <m/>
    <m/>
    <m/>
    <m/>
    <m/>
    <m/>
    <d v="2015-07-31T00:00:00"/>
    <n v="5.9677395084523077E-3"/>
    <x v="2"/>
  </r>
  <r>
    <x v="194"/>
    <x v="22"/>
    <s v="SamSen"/>
    <n v="6110664.9000000004"/>
    <n v="0.94653982792205804"/>
    <m/>
    <n v="0"/>
    <n v="-9.3132257461547852E-10"/>
    <n v="0"/>
    <n v="6455792.6880000001"/>
    <n v="-9.3132257461547852E-10"/>
    <n v="0"/>
    <n v="-9.3132257461547852E-10"/>
    <m/>
    <s v="Private Equity Fund"/>
    <n v="5.2619614416666675E-3"/>
    <n v="0"/>
    <n v="0"/>
    <n v="0"/>
    <m/>
    <m/>
    <m/>
    <m/>
    <m/>
    <m/>
    <m/>
    <m/>
    <m/>
    <m/>
    <m/>
    <d v="2015-08-31T00:00:00"/>
    <n v="7.4433754202434255E-3"/>
    <x v="2"/>
  </r>
  <r>
    <x v="195"/>
    <x v="22"/>
    <s v="SamSen"/>
    <n v="43164193.439999998"/>
    <n v="6.6861182702216286"/>
    <m/>
    <n v="37000000"/>
    <n v="0"/>
    <n v="0"/>
    <n v="6455792.6880000001"/>
    <n v="37000000"/>
    <n v="0"/>
    <n v="37000000"/>
    <m/>
    <s v="Private Equity Fund"/>
    <n v="3.5970161200000003E-2"/>
    <n v="0"/>
    <n v="0"/>
    <n v="0"/>
    <m/>
    <m/>
    <m/>
    <m/>
    <m/>
    <m/>
    <m/>
    <m/>
    <m/>
    <m/>
    <m/>
    <d v="2015-09-30T00:00:00"/>
    <n v="8.7598552491394699E-3"/>
    <x v="2"/>
  </r>
  <r>
    <x v="196"/>
    <x v="22"/>
    <s v="SamSen"/>
    <n v="43162911.119999997"/>
    <n v="6.6859196393079703"/>
    <m/>
    <n v="7.4505805969238281E-9"/>
    <n v="0"/>
    <n v="0"/>
    <n v="6455792.688000001"/>
    <n v="7.4505805969238281E-9"/>
    <n v="0"/>
    <n v="7.4505805969238281E-9"/>
    <m/>
    <s v="Private Equity Fund"/>
    <n v="3.5969092599999995E-2"/>
    <n v="0"/>
    <n v="0"/>
    <n v="0"/>
    <m/>
    <m/>
    <m/>
    <m/>
    <m/>
    <m/>
    <m/>
    <m/>
    <m/>
    <m/>
    <m/>
    <d v="2015-10-30T00:00:00"/>
    <n v="-2.9707956938684887E-5"/>
    <x v="2"/>
  </r>
  <r>
    <x v="1"/>
    <x v="22"/>
    <s v="SamSen"/>
    <n v="43509559.960000001"/>
    <n v="6.7396154218017843"/>
    <m/>
    <n v="0"/>
    <n v="0"/>
    <n v="0"/>
    <n v="6455792.688000001"/>
    <n v="0"/>
    <n v="0"/>
    <n v="0"/>
    <m/>
    <s v="Private Equity Fund"/>
    <n v="3.7466565521111113E-2"/>
    <n v="0"/>
    <n v="0"/>
    <n v="0"/>
    <m/>
    <m/>
    <m/>
    <m/>
    <m/>
    <m/>
    <m/>
    <m/>
    <m/>
    <m/>
    <m/>
    <d v="2015-11-30T00:00:00"/>
    <n v="8.0311737787162052E-3"/>
    <x v="2"/>
  </r>
  <r>
    <x v="2"/>
    <x v="22"/>
    <s v="SamSen"/>
    <n v="43776643.130000003"/>
    <n v="6.7809865102037481"/>
    <m/>
    <n v="0"/>
    <n v="0"/>
    <n v="0"/>
    <n v="6455792.688000001"/>
    <n v="0"/>
    <n v="0"/>
    <n v="0"/>
    <m/>
    <s v="Private Equity Fund"/>
    <n v="3.7696553806388887E-2"/>
    <n v="0"/>
    <n v="0"/>
    <n v="0"/>
    <m/>
    <m/>
    <m/>
    <m/>
    <m/>
    <m/>
    <m/>
    <m/>
    <m/>
    <m/>
    <m/>
    <d v="2015-12-31T00:00:00"/>
    <n v="6.1384939366324609E-3"/>
    <x v="2"/>
  </r>
  <r>
    <x v="3"/>
    <x v="22"/>
    <s v="SamSen"/>
    <n v="43879503.289999999"/>
    <n v="6.7969195125430577"/>
    <m/>
    <n v="0"/>
    <n v="-7.4505805969238281E-9"/>
    <n v="0"/>
    <n v="6455792.6880000001"/>
    <n v="-7.4505805969238281E-9"/>
    <n v="0"/>
    <n v="-7.4505805969238281E-9"/>
    <m/>
    <s v="Private Equity Fund"/>
    <n v="3.5347377650277782E-2"/>
    <n v="0"/>
    <n v="0"/>
    <n v="0"/>
    <m/>
    <m/>
    <m/>
    <m/>
    <m/>
    <m/>
    <m/>
    <m/>
    <m/>
    <m/>
    <m/>
    <d v="2016-01-29T00:00:00"/>
    <n v="2.3496584627229478E-3"/>
    <x v="2"/>
  </r>
  <r>
    <x v="4"/>
    <x v="22"/>
    <s v="SamSen"/>
    <n v="44314968.920000002"/>
    <n v="6.864372984338929"/>
    <m/>
    <n v="7.4505805969238281E-9"/>
    <n v="0"/>
    <n v="0"/>
    <n v="6455792.688000001"/>
    <n v="7.4505805969238281E-9"/>
    <n v="0"/>
    <n v="7.4505805969238281E-9"/>
    <m/>
    <s v="Private Equity Fund"/>
    <n v="3.8160112125555555E-2"/>
    <n v="0"/>
    <n v="0"/>
    <n v="0"/>
    <m/>
    <m/>
    <m/>
    <m/>
    <m/>
    <m/>
    <m/>
    <m/>
    <m/>
    <m/>
    <m/>
    <d v="2016-02-29T00:00:00"/>
    <n v="9.9241239610667886E-3"/>
    <x v="2"/>
  </r>
  <r>
    <x v="5"/>
    <x v="22"/>
    <s v="SamSen"/>
    <n v="44597788.93"/>
    <n v="6.9081817036811257"/>
    <m/>
    <n v="0"/>
    <n v="0"/>
    <n v="0"/>
    <n v="6455792.688000001"/>
    <n v="0"/>
    <n v="0"/>
    <n v="0"/>
    <m/>
    <s v="Private Equity Fund"/>
    <n v="3.8403651578611107E-2"/>
    <n v="0"/>
    <n v="0"/>
    <n v="0"/>
    <m/>
    <m/>
    <m/>
    <m/>
    <m/>
    <m/>
    <m/>
    <m/>
    <m/>
    <m/>
    <m/>
    <d v="2016-03-31T00:00:00"/>
    <n v="6.3820423864127118E-3"/>
    <x v="2"/>
  </r>
  <r>
    <x v="6"/>
    <x v="22"/>
    <s v="SamSen"/>
    <n v="44872543.729999997"/>
    <n v="6.9507411248519304"/>
    <m/>
    <n v="0"/>
    <n v="0"/>
    <n v="0"/>
    <n v="6455792.688000001"/>
    <n v="0"/>
    <n v="0"/>
    <n v="0"/>
    <m/>
    <s v="Private Equity Fund"/>
    <n v="3.6147326893611109E-2"/>
    <n v="0"/>
    <n v="0"/>
    <n v="0"/>
    <m/>
    <m/>
    <m/>
    <m/>
    <m/>
    <m/>
    <m/>
    <m/>
    <m/>
    <m/>
    <m/>
    <d v="2016-04-29T00:00:00"/>
    <n v="6.160726946155215E-3"/>
    <x v="2"/>
  </r>
  <r>
    <x v="7"/>
    <x v="22"/>
    <s v="SamSen"/>
    <n v="45159838.82"/>
    <n v="6.9952430325005501"/>
    <m/>
    <n v="0"/>
    <n v="-7.4505805969238281E-9"/>
    <n v="0"/>
    <n v="6455792.6880000001"/>
    <n v="-7.4505805969238281E-9"/>
    <n v="0"/>
    <n v="-7.4505805969238281E-9"/>
    <m/>
    <s v="Private Equity Fund"/>
    <n v="4.0142078951111111E-2"/>
    <n v="0"/>
    <n v="0"/>
    <n v="0"/>
    <m/>
    <m/>
    <m/>
    <m/>
    <m/>
    <m/>
    <m/>
    <m/>
    <m/>
    <m/>
    <m/>
    <d v="2016-05-31T00:00:00"/>
    <n v="6.4024694416406902E-3"/>
    <x v="2"/>
  </r>
  <r>
    <x v="8"/>
    <x v="22"/>
    <s v="SamSen"/>
    <n v="45431340.859999999"/>
    <n v="7.0372986022998498"/>
    <m/>
    <n v="7.4505805969238281E-9"/>
    <n v="0"/>
    <n v="0"/>
    <n v="6455792.688000001"/>
    <n v="7.4505805969238281E-9"/>
    <n v="0"/>
    <n v="7.4505805969238281E-9"/>
    <m/>
    <s v="Private Equity Fund"/>
    <n v="3.7859450716666666E-2"/>
    <n v="0"/>
    <n v="0"/>
    <n v="0"/>
    <m/>
    <m/>
    <m/>
    <m/>
    <m/>
    <m/>
    <m/>
    <m/>
    <m/>
    <m/>
    <m/>
    <d v="2016-06-30T00:00:00"/>
    <n v="6.0120241146597309E-3"/>
    <x v="2"/>
  </r>
  <r>
    <x v="9"/>
    <x v="22"/>
    <s v="SamSen"/>
    <n v="45716828.810000002"/>
    <n v="7.0815205846027629"/>
    <m/>
    <n v="0"/>
    <n v="-7.4505805969238281E-9"/>
    <n v="0"/>
    <n v="6455792.6880000001"/>
    <n v="-7.4505805969238281E-9"/>
    <n v="0"/>
    <n v="-7.4505805969238281E-9"/>
    <m/>
    <s v="Private Equity Fund"/>
    <n v="3.6827445430277779E-2"/>
    <n v="0"/>
    <n v="0"/>
    <n v="0"/>
    <m/>
    <m/>
    <m/>
    <m/>
    <m/>
    <m/>
    <m/>
    <m/>
    <m/>
    <m/>
    <m/>
    <d v="2016-07-29T00:00:00"/>
    <n v="6.2839428596166425E-3"/>
    <x v="2"/>
  </r>
  <r>
    <x v="10"/>
    <x v="22"/>
    <s v="SamSen"/>
    <n v="46004700.630000003"/>
    <n v="7.1261118275240367"/>
    <m/>
    <n v="7.4505805969238281E-9"/>
    <n v="0"/>
    <n v="0"/>
    <n v="6455792.688000001"/>
    <n v="7.4505805969238281E-9"/>
    <n v="0"/>
    <n v="7.4505805969238281E-9"/>
    <m/>
    <s v="Private Equity Fund"/>
    <n v="4.2170975577500006E-2"/>
    <n v="0"/>
    <n v="0"/>
    <n v="0"/>
    <m/>
    <m/>
    <m/>
    <m/>
    <m/>
    <m/>
    <m/>
    <m/>
    <m/>
    <m/>
    <m/>
    <d v="2016-08-31T00:00:00"/>
    <n v="6.2968457675922629E-3"/>
    <x v="2"/>
  </r>
  <r>
    <x v="11"/>
    <x v="22"/>
    <s v="SamSen"/>
    <n v="43164193.439999998"/>
    <n v="6.6861182702216286"/>
    <m/>
    <n v="0"/>
    <n v="-7.4505805969238281E-9"/>
    <n v="0"/>
    <n v="6455792.6880000001"/>
    <n v="-7.4505805969238281E-9"/>
    <n v="0"/>
    <n v="-7.4505805969238281E-9"/>
    <m/>
    <s v="Private Equity Fund"/>
    <n v="3.5970161200000003E-2"/>
    <n v="0"/>
    <n v="0"/>
    <n v="0"/>
    <m/>
    <m/>
    <m/>
    <m/>
    <m/>
    <m/>
    <m/>
    <m/>
    <m/>
    <m/>
    <m/>
    <d v="2016-09-30T00:00:00"/>
    <n v="-6.174384684828671E-2"/>
    <x v="2"/>
  </r>
  <r>
    <x v="12"/>
    <x v="22"/>
    <s v="SamSen"/>
    <n v="46568592.829999998"/>
    <n v="7.2134585295097056"/>
    <m/>
    <n v="7.4505805969238281E-9"/>
    <n v="0"/>
    <n v="0"/>
    <n v="6455792.688000001"/>
    <n v="7.4505805969238281E-9"/>
    <n v="0"/>
    <n v="7.4505805969238281E-9"/>
    <m/>
    <s v="Private Equity Fund"/>
    <n v="4.0100732714722219E-2"/>
    <n v="0"/>
    <n v="0"/>
    <n v="0"/>
    <m/>
    <m/>
    <m/>
    <m/>
    <m/>
    <m/>
    <m/>
    <m/>
    <m/>
    <m/>
    <m/>
    <d v="2016-10-31T00:00:00"/>
    <n v="7.8870914030450878E-2"/>
    <x v="2"/>
  </r>
  <r>
    <x v="13"/>
    <x v="22"/>
    <s v="SamSen"/>
    <n v="46845538.100000001"/>
    <n v="7.2563572537074004"/>
    <m/>
    <n v="0"/>
    <n v="0"/>
    <n v="0"/>
    <n v="6455792.688000001"/>
    <n v="0"/>
    <n v="0"/>
    <n v="0"/>
    <m/>
    <s v="Private Equity Fund"/>
    <n v="3.9037948416666669E-2"/>
    <n v="0"/>
    <n v="0"/>
    <n v="0"/>
    <m/>
    <m/>
    <m/>
    <m/>
    <m/>
    <m/>
    <m/>
    <m/>
    <m/>
    <m/>
    <m/>
    <d v="2016-11-30T00:00:00"/>
    <n v="5.9470396928462677E-3"/>
    <x v="2"/>
  </r>
  <r>
    <x v="14"/>
    <x v="22"/>
    <s v="SamSen"/>
    <n v="47131785.739999995"/>
    <n v="7.3006969117221425"/>
    <m/>
    <n v="0"/>
    <n v="0"/>
    <n v="0"/>
    <n v="6455792.688000001"/>
    <n v="0"/>
    <n v="0"/>
    <n v="0"/>
    <m/>
    <s v="Private Equity Fund"/>
    <n v="3.9276488116666668E-2"/>
    <n v="0"/>
    <n v="0"/>
    <n v="0"/>
    <m/>
    <m/>
    <m/>
    <m/>
    <m/>
    <m/>
    <m/>
    <m/>
    <m/>
    <m/>
    <m/>
    <d v="2016-12-30T00:00:00"/>
    <n v="6.1104568676091375E-3"/>
    <x v="2"/>
  </r>
  <r>
    <x v="15"/>
    <x v="22"/>
    <s v="SamSen"/>
    <n v="47423009.82"/>
    <n v="7.3458074185296693"/>
    <m/>
    <n v="0"/>
    <n v="0"/>
    <n v="0"/>
    <n v="6455792.688000001"/>
    <n v="0"/>
    <n v="0"/>
    <n v="0"/>
    <m/>
    <s v="Private Equity Fund"/>
    <n v="3.6884563193333331E-2"/>
    <n v="0"/>
    <n v="0"/>
    <n v="0"/>
    <m/>
    <m/>
    <m/>
    <m/>
    <m/>
    <m/>
    <m/>
    <m/>
    <m/>
    <m/>
    <m/>
    <d v="2017-01-27T00:00:00"/>
    <n v="6.1789315942011314E-3"/>
    <x v="2"/>
  </r>
  <r>
    <x v="16"/>
    <x v="22"/>
    <s v="SamSen"/>
    <n v="47683967.149999999"/>
    <n v="7.3862296164860988"/>
    <m/>
    <n v="0"/>
    <n v="-7.4505805969238281E-9"/>
    <n v="0"/>
    <n v="6455792.6880000001"/>
    <n v="-7.4505805969238281E-9"/>
    <n v="0"/>
    <n v="-7.4505805969238281E-9"/>
    <m/>
    <s v="Private Equity Fund"/>
    <n v="4.2385748577777778E-2"/>
    <n v="0"/>
    <n v="0"/>
    <n v="0"/>
    <m/>
    <m/>
    <m/>
    <m/>
    <m/>
    <m/>
    <m/>
    <m/>
    <m/>
    <m/>
    <m/>
    <d v="2017-02-28T00:00:00"/>
    <n v="5.5027576484600882E-3"/>
    <x v="2"/>
  </r>
  <r>
    <x v="17"/>
    <x v="22"/>
    <s v="SamSen"/>
    <n v="47979602.689999998"/>
    <n v="7.4320234568845862"/>
    <m/>
    <n v="0"/>
    <n v="0"/>
    <n v="0"/>
    <n v="6455792.6880000001"/>
    <n v="0"/>
    <n v="0"/>
    <n v="0"/>
    <m/>
    <s v="Private Equity Fund"/>
    <n v="4.1315768983055556E-2"/>
    <n v="0"/>
    <n v="0"/>
    <n v="0"/>
    <m/>
    <m/>
    <m/>
    <m/>
    <m/>
    <m/>
    <m/>
    <m/>
    <m/>
    <m/>
    <m/>
    <d v="2017-03-31T00:00:00"/>
    <n v="6.1998939616332294E-3"/>
    <x v="2"/>
  </r>
  <r>
    <x v="18"/>
    <x v="22"/>
    <s v="SamSen"/>
    <n v="48266683.539999999"/>
    <n v="7.4764921788331122"/>
    <m/>
    <n v="7.4505805969238281E-9"/>
    <n v="0"/>
    <n v="0"/>
    <n v="6455792.688000001"/>
    <n v="7.4505805969238281E-9"/>
    <n v="0"/>
    <n v="7.4505805969238281E-9"/>
    <m/>
    <s v="Private Equity Fund"/>
    <n v="3.754075386444445E-2"/>
    <n v="0"/>
    <n v="0"/>
    <n v="0"/>
    <m/>
    <m/>
    <m/>
    <m/>
    <m/>
    <m/>
    <m/>
    <m/>
    <m/>
    <m/>
    <m/>
    <d v="2017-04-28T00:00:00"/>
    <n v="5.9833936486479722E-3"/>
    <x v="2"/>
  </r>
  <r>
    <x v="19"/>
    <x v="22"/>
    <s v="SamSen"/>
    <n v="48567053.369999997"/>
    <n v="7.523019359075179"/>
    <m/>
    <n v="0"/>
    <n v="0"/>
    <n v="0"/>
    <n v="6455792.688000001"/>
    <n v="0"/>
    <n v="0"/>
    <n v="0"/>
    <m/>
    <s v="Private Equity Fund"/>
    <n v="4.4519798922499992E-2"/>
    <n v="0"/>
    <n v="0"/>
    <n v="0"/>
    <m/>
    <m/>
    <m/>
    <m/>
    <m/>
    <m/>
    <m/>
    <m/>
    <m/>
    <m/>
    <m/>
    <d v="2017-05-31T00:00:00"/>
    <n v="6.2231296614998488E-3"/>
    <x v="2"/>
  </r>
  <r>
    <x v="20"/>
    <x v="22"/>
    <s v="SamSen"/>
    <n v="48835531.810000002"/>
    <n v="7.5646065743057811"/>
    <m/>
    <n v="7.4505805969238281E-9"/>
    <n v="0"/>
    <n v="0"/>
    <n v="6455792.6880000019"/>
    <n v="7.4505805969238281E-9"/>
    <n v="0"/>
    <n v="7.4505805969238281E-9"/>
    <m/>
    <s v="Private Equity Fund"/>
    <n v="4.0696276508333337E-2"/>
    <n v="0"/>
    <n v="0"/>
    <n v="0"/>
    <m/>
    <m/>
    <m/>
    <m/>
    <m/>
    <m/>
    <m/>
    <m/>
    <m/>
    <m/>
    <m/>
    <d v="2017-06-30T00:00:00"/>
    <n v="5.5279952430846713E-3"/>
    <x v="2"/>
  </r>
  <r>
    <x v="21"/>
    <x v="22"/>
    <s v="SamSen"/>
    <n v="49113008.232000001"/>
    <n v="7.6075875737600827"/>
    <m/>
    <n v="0"/>
    <n v="-1.4901161193847656E-8"/>
    <n v="0"/>
    <n v="6455792.6880000001"/>
    <n v="-1.4901161193847656E-8"/>
    <n v="0"/>
    <n v="-1.4901161193847656E-8"/>
    <m/>
    <s v="Private Equity Fund"/>
    <n v="4.2291757088666664E-2"/>
    <n v="0"/>
    <n v="0"/>
    <n v="0"/>
    <m/>
    <m/>
    <m/>
    <m/>
    <m/>
    <m/>
    <m/>
    <m/>
    <m/>
    <m/>
    <m/>
    <d v="2017-07-31T00:00:00"/>
    <n v="5.681855233594435E-3"/>
    <x v="2"/>
  </r>
  <r>
    <x v="22"/>
    <x v="22"/>
    <s v="SamSen"/>
    <n v="37218551.07"/>
    <n v="5.7651403737269442"/>
    <m/>
    <n v="7.4505805969238281E-9"/>
    <n v="0"/>
    <n v="0"/>
    <n v="6455792.688000001"/>
    <n v="7.4505805969238281E-9"/>
    <n v="0"/>
    <n v="7.4505805969238281E-9"/>
    <m/>
    <s v="Private Equity Fund"/>
    <n v="3.2049307865833335E-2"/>
    <n v="0"/>
    <n v="0"/>
    <n v="0"/>
    <m/>
    <m/>
    <m/>
    <m/>
    <m/>
    <m/>
    <m/>
    <m/>
    <m/>
    <m/>
    <m/>
    <d v="2017-08-31T00:00:00"/>
    <n v="-0.2421854736694804"/>
    <x v="2"/>
  </r>
  <r>
    <x v="23"/>
    <x v="22"/>
    <s v="SamSen"/>
    <n v="37503984.410000004"/>
    <n v="5.8093538969602063"/>
    <m/>
    <n v="0"/>
    <n v="-7.4505805969238281E-9"/>
    <n v="0"/>
    <n v="6455792.6880000001"/>
    <n v="-7.4505805969238281E-9"/>
    <n v="0"/>
    <n v="-7.4505805969238281E-9"/>
    <m/>
    <s v="Private Equity Fund"/>
    <n v="3.0211542996944448E-2"/>
    <n v="0"/>
    <n v="0"/>
    <n v="0"/>
    <m/>
    <m/>
    <m/>
    <m/>
    <m/>
    <m/>
    <m/>
    <m/>
    <m/>
    <m/>
    <m/>
    <d v="2017-09-29T00:00:00"/>
    <n v="7.6691147772833812E-3"/>
    <x v="2"/>
  </r>
  <r>
    <x v="24"/>
    <x v="22"/>
    <s v="SamSen"/>
    <n v="37000828.369999997"/>
    <n v="5.7314152046389246"/>
    <m/>
    <n v="0"/>
    <n v="0"/>
    <n v="0"/>
    <n v="6455792.688000001"/>
    <n v="0"/>
    <n v="0"/>
    <n v="0"/>
    <m/>
    <s v="Private Equity Fund"/>
    <n v="3.2889625217777781E-2"/>
    <n v="0"/>
    <n v="0"/>
    <n v="0"/>
    <m/>
    <m/>
    <m/>
    <m/>
    <m/>
    <m/>
    <m/>
    <m/>
    <m/>
    <m/>
    <m/>
    <d v="2017-10-31T00:00:00"/>
    <n v="-1.3416068930154679E-2"/>
    <x v="2"/>
  </r>
  <r>
    <x v="25"/>
    <x v="22"/>
    <s v="SamSen"/>
    <n v="36413162.460000001"/>
    <n v="5.6403859633975895"/>
    <m/>
    <n v="0"/>
    <n v="0"/>
    <n v="0"/>
    <n v="6455792.688000001"/>
    <n v="0"/>
    <n v="0"/>
    <n v="0"/>
    <m/>
    <s v="Private Equity Fund"/>
    <n v="3.0344302050000004E-2"/>
    <n v="0"/>
    <n v="0"/>
    <n v="0"/>
    <m/>
    <m/>
    <m/>
    <m/>
    <m/>
    <m/>
    <m/>
    <m/>
    <m/>
    <m/>
    <m/>
    <d v="2017-11-30T00:00:00"/>
    <n v="-1.588250684885939E-2"/>
    <x v="2"/>
  </r>
  <r>
    <x v="26"/>
    <x v="22"/>
    <s v="SamSen"/>
    <n v="36282978.420000002"/>
    <n v="5.620220501727486"/>
    <m/>
    <n v="0"/>
    <n v="0"/>
    <n v="0"/>
    <n v="6455792.688000001"/>
    <n v="0"/>
    <n v="0"/>
    <n v="0"/>
    <m/>
    <s v="Private Equity Fund"/>
    <n v="2.9227954838333334E-2"/>
    <n v="0"/>
    <n v="0"/>
    <n v="0"/>
    <m/>
    <m/>
    <m/>
    <m/>
    <m/>
    <m/>
    <m/>
    <m/>
    <m/>
    <m/>
    <m/>
    <d v="2017-12-29T00:00:00"/>
    <n v="-3.5751918044197861E-3"/>
    <x v="2"/>
  </r>
  <r>
    <x v="27"/>
    <x v="22"/>
    <s v="SamSen"/>
    <n v="36114709.079999998"/>
    <n v="5.5941556405814978"/>
    <m/>
    <n v="0"/>
    <n v="0"/>
    <n v="0"/>
    <n v="6455792.688000001"/>
    <n v="0"/>
    <n v="0"/>
    <n v="0"/>
    <m/>
    <s v="Private Equity Fund"/>
    <n v="3.3105149989999992E-2"/>
    <n v="0"/>
    <n v="0"/>
    <n v="0"/>
    <m/>
    <m/>
    <m/>
    <m/>
    <m/>
    <m/>
    <m/>
    <m/>
    <m/>
    <m/>
    <m/>
    <d v="2018-01-31T00:00:00"/>
    <n v="-4.6376936879924946E-3"/>
    <x v="2"/>
  </r>
  <r>
    <x v="28"/>
    <x v="22"/>
    <s v="SamSen"/>
    <n v="35559287.539999999"/>
    <n v="5.5081210408285637"/>
    <m/>
    <n v="0"/>
    <n v="0"/>
    <n v="0"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2-28T00:00:00"/>
    <n v="-1.5379371844575829E-2"/>
    <x v="2"/>
  </r>
  <r>
    <x v="29"/>
    <x v="22"/>
    <s v="SamSen"/>
    <n v="58431109.219999999"/>
    <n v="9.0509581152770728"/>
    <m/>
    <n v="0"/>
    <n v="0"/>
    <n v="0"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3-29T00:00:00"/>
    <n v="0.64320247289184018"/>
    <x v="2"/>
  </r>
  <r>
    <x v="30"/>
    <x v="22"/>
    <s v="SamSen"/>
    <n v="58574142.509999998"/>
    <n v="9.0731139212195213"/>
    <m/>
    <n v="0"/>
    <n v="0"/>
    <n v="0"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4-30T00:00:00"/>
    <n v="2.4478961962104417E-3"/>
    <x v="2"/>
  </r>
  <r>
    <x v="31"/>
    <x v="22"/>
    <s v="SamSen"/>
    <n v="58439031.590000004"/>
    <n v="9.0521852875830753"/>
    <m/>
    <n v="0"/>
    <n v="0"/>
    <n v="0"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5-31T00:00:00"/>
    <n v="-2.3066649243209669E-3"/>
    <x v="2"/>
  </r>
  <r>
    <x v="32"/>
    <x v="22"/>
    <s v="SamSen"/>
    <n v="62354903.359999999"/>
    <n v="9.6587524373118452"/>
    <m/>
    <n v="0"/>
    <n v="0"/>
    <n v="0"/>
    <n v="6455792.688000001"/>
    <n v="0"/>
    <n v="0"/>
    <n v="-62354903.359999999"/>
    <m/>
    <s v="Private Equity Fund"/>
    <n v="2.7657223642222225E-2"/>
    <n v="0"/>
    <n v="0"/>
    <n v="0"/>
    <m/>
    <m/>
    <m/>
    <m/>
    <m/>
    <m/>
    <m/>
    <m/>
    <m/>
    <m/>
    <m/>
    <d v="2018-06-29T00:00:00"/>
    <n v="6.7007814186128112E-2"/>
    <x v="2"/>
  </r>
  <r>
    <x v="33"/>
    <x v="22"/>
    <s v="SamSen"/>
    <n v="62354903.359999999"/>
    <n v="9.6587524373118452"/>
    <m/>
    <n v="0"/>
    <n v="0"/>
    <n v="0"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7-31T00:00:00"/>
    <n v="0"/>
    <x v="2"/>
  </r>
  <r>
    <x v="213"/>
    <x v="23"/>
    <s v="SKK"/>
    <n v="50000000"/>
    <n v="1000"/>
    <m/>
    <n v="50000000"/>
    <n v="0"/>
    <n v="0"/>
    <n v="50000"/>
    <n v="50000000"/>
    <n v="1000"/>
    <n v="1000"/>
    <m/>
    <s v="Hedge Fund"/>
    <n v="0"/>
    <n v="0"/>
    <n v="0"/>
    <n v="0"/>
    <s v="ARF"/>
    <n v="2.6789999999999998"/>
    <s v="HRF"/>
    <n v="0.25"/>
    <s v="COP2"/>
    <n v="7.0709999999999997"/>
    <s v="COTT"/>
    <n v="0"/>
    <m/>
    <m/>
    <m/>
    <d v="2012-12-18T00:00:00"/>
    <n v="0"/>
    <x v="2"/>
  </r>
  <r>
    <x v="175"/>
    <x v="23"/>
    <s v="SKK"/>
    <n v="65719262.410500407"/>
    <n v="1314.3900000000003"/>
    <m/>
    <n v="65719262.410500407"/>
    <n v="0"/>
    <n v="0"/>
    <n v="49999.819239723671"/>
    <n v="65719262.410500407"/>
    <n v="0"/>
    <n v="0"/>
    <m/>
    <s v="Hedge Fund"/>
    <n v="1.5170961304347828E-2"/>
    <n v="0"/>
    <n v="3.0341922608695658E-3"/>
    <n v="0"/>
    <s v="ARF"/>
    <n v="3.5212508100000002"/>
    <s v="HRF"/>
    <n v="0.32859750000000004"/>
    <s v="COP2"/>
    <n v="9.2940516899999999"/>
    <s v="COTT"/>
    <n v="0"/>
    <m/>
    <m/>
    <m/>
    <d v="2012-12-31T00:00:00"/>
    <n v="-1"/>
    <x v="2"/>
  </r>
  <r>
    <x v="176"/>
    <x v="23"/>
    <s v="SKK"/>
    <n v="62213438.039310001"/>
    <n v="1244.27"/>
    <m/>
    <n v="162.95389903336763"/>
    <n v="0"/>
    <n v="0"/>
    <n v="49999.950203179375"/>
    <n v="162.95389903336763"/>
    <n v="0"/>
    <n v="0"/>
    <m/>
    <s v="Hedge Fund"/>
    <n v="3.3333333333333333E-2"/>
    <n v="0"/>
    <n v="6.6666666666666671E-3"/>
    <n v="0"/>
    <s v="ARF"/>
    <n v="3.3333993299999998"/>
    <s v="HRF"/>
    <n v="0.3110675"/>
    <s v="COP2"/>
    <n v="8.7982331699999996"/>
    <s v="COTT"/>
    <n v="0"/>
    <m/>
    <m/>
    <m/>
    <d v="2013-01-31T00:00:00"/>
    <n v="-5.334794086990946E-2"/>
    <x v="2"/>
  </r>
  <r>
    <x v="177"/>
    <x v="23"/>
    <s v="SKK"/>
    <n v="57041331.74453"/>
    <n v="1140.83"/>
    <m/>
    <n v="0"/>
    <n v="-111.44576312601566"/>
    <n v="0"/>
    <n v="49999.852514861988"/>
    <n v="-111.44576312601566"/>
    <n v="0"/>
    <n v="0"/>
    <m/>
    <s v="Hedge Fund"/>
    <n v="3.3333333333333333E-2"/>
    <n v="0"/>
    <n v="6.6666666666666671E-3"/>
    <n v="0"/>
    <s v="ARF"/>
    <n v="3.0562835699999997"/>
    <s v="HRF"/>
    <n v="0.2852075"/>
    <s v="COP2"/>
    <n v="8.0668089299999988"/>
    <s v="COTT"/>
    <n v="0"/>
    <m/>
    <m/>
    <m/>
    <d v="2013-02-28T00:00:00"/>
    <n v="-8.3133082048108542E-2"/>
    <x v="2"/>
  </r>
  <r>
    <x v="178"/>
    <x v="23"/>
    <s v="SKK"/>
    <n v="57321785.130564995"/>
    <n v="1146.44"/>
    <m/>
    <n v="0"/>
    <n v="-45.786573387682438"/>
    <n v="0"/>
    <n v="49999.812576816053"/>
    <n v="-45.786573387682438"/>
    <n v="0"/>
    <n v="0"/>
    <m/>
    <s v="Hedge Fund"/>
    <n v="3.3333333333333333E-2"/>
    <n v="0"/>
    <n v="6.6666666666666671E-3"/>
    <n v="0"/>
    <s v="ARF"/>
    <n v="3.0713127600000001"/>
    <s v="HRF"/>
    <n v="0.28661000000000003"/>
    <s v="COP2"/>
    <n v="8.1064772400000003"/>
    <s v="COTT"/>
    <n v="0"/>
    <m/>
    <m/>
    <m/>
    <d v="2013-03-28T00:00:00"/>
    <n v="4.9174723666103315E-3"/>
    <x v="2"/>
  </r>
  <r>
    <x v="179"/>
    <x v="23"/>
    <s v="SKK"/>
    <n v="56000990.289800003"/>
    <n v="1120.02"/>
    <m/>
    <n v="200.20751448720694"/>
    <n v="0"/>
    <n v="0"/>
    <n v="49999.991330333389"/>
    <n v="200.20751448720694"/>
    <n v="0"/>
    <n v="0"/>
    <m/>
    <s v="Hedge Fund"/>
    <n v="3.3333333333333333E-2"/>
    <n v="0"/>
    <n v="6.6666666666666671E-3"/>
    <n v="0"/>
    <s v="ARF"/>
    <n v="3.0005335799999999"/>
    <s v="HRF"/>
    <n v="0.280005"/>
    <s v="COP2"/>
    <n v="7.9196614199999997"/>
    <s v="COTT"/>
    <n v="0"/>
    <m/>
    <m/>
    <m/>
    <d v="2013-04-30T00:00:00"/>
    <n v="-2.3045253131432908E-2"/>
    <x v="2"/>
  </r>
  <r>
    <x v="180"/>
    <x v="23"/>
    <s v="SKK"/>
    <n v="56809260.847825803"/>
    <n v="1136.19"/>
    <m/>
    <n v="0"/>
    <n v="-229.30178569257259"/>
    <n v="0"/>
    <n v="49999.789513924436"/>
    <n v="-229.30178569257259"/>
    <n v="0"/>
    <n v="0"/>
    <m/>
    <s v="Hedge Fund"/>
    <n v="3.3333333333333333E-2"/>
    <n v="0"/>
    <n v="6.6666666666666671E-3"/>
    <n v="0"/>
    <s v="ARF"/>
    <n v="3.0438530100000003"/>
    <s v="HRF"/>
    <n v="0.28404750000000001"/>
    <s v="COP2"/>
    <n v="8.0339994900000011"/>
    <s v="COTT"/>
    <n v="0"/>
    <m/>
    <m/>
    <m/>
    <d v="2013-05-31T00:00:00"/>
    <n v="1.4437242192103739E-2"/>
    <x v="2"/>
  </r>
  <r>
    <x v="181"/>
    <x v="23"/>
    <s v="SKK"/>
    <n v="55882347.575962074"/>
    <n v="1117.6500000000001"/>
    <m/>
    <n v="82.825724422931671"/>
    <n v="0"/>
    <n v="0"/>
    <n v="49999.863620956537"/>
    <n v="82.825724422931671"/>
    <n v="0"/>
    <n v="0"/>
    <m/>
    <s v="Hedge Fund"/>
    <n v="3.3333333333333333E-2"/>
    <n v="0"/>
    <n v="6.6666666666666671E-3"/>
    <n v="0"/>
    <s v="ARF"/>
    <n v="2.9941843500000003"/>
    <s v="HRF"/>
    <n v="0.27941250000000001"/>
    <s v="COP2"/>
    <n v="7.902903150000002"/>
    <s v="COTT"/>
    <n v="0"/>
    <m/>
    <m/>
    <m/>
    <d v="2013-06-28T00:00:00"/>
    <n v="-1.6317693343542716E-2"/>
    <x v="2"/>
  </r>
  <r>
    <x v="182"/>
    <x v="23"/>
    <s v="SKK"/>
    <n v="51967128.741489731"/>
    <n v="1039.3399999999999"/>
    <m/>
    <n v="270.48568476736546"/>
    <n v="0"/>
    <n v="0"/>
    <n v="50000.123868502829"/>
    <n v="270.48568476736546"/>
    <n v="0"/>
    <n v="0"/>
    <m/>
    <s v="Hedge Fund"/>
    <n v="3.3333333333333333E-2"/>
    <n v="0"/>
    <n v="6.6666666666666671E-3"/>
    <n v="0"/>
    <s v="ARF"/>
    <n v="2.7843918599999999"/>
    <s v="HRF"/>
    <n v="0.25983499999999998"/>
    <s v="COP2"/>
    <n v="7.3491731400000004"/>
    <s v="COTT"/>
    <n v="0"/>
    <m/>
    <m/>
    <m/>
    <d v="2013-07-31T00:00:00"/>
    <n v="-7.0066657719321856E-2"/>
    <x v="2"/>
  </r>
  <r>
    <x v="183"/>
    <x v="23"/>
    <s v="SKK"/>
    <n v="51496411.199453689"/>
    <n v="1029.9300000000003"/>
    <m/>
    <n v="0"/>
    <n v="-216.37643344700336"/>
    <n v="0"/>
    <n v="49999.913780017749"/>
    <n v="-216.37643344700336"/>
    <n v="0"/>
    <n v="0"/>
    <m/>
    <s v="Hedge Fund"/>
    <n v="3.3333333333333333E-2"/>
    <n v="0"/>
    <n v="6.6666666666666671E-3"/>
    <n v="0"/>
    <s v="ARF"/>
    <n v="2.7591824700000003"/>
    <s v="HRF"/>
    <n v="0.2574825"/>
    <s v="COP2"/>
    <n v="7.2826350300000016"/>
    <s v="COTT"/>
    <n v="0"/>
    <m/>
    <m/>
    <m/>
    <d v="2013-08-30T00:00:00"/>
    <n v="-9.0538226181996473E-3"/>
    <x v="2"/>
  </r>
  <r>
    <x v="35"/>
    <x v="23"/>
    <s v="SKK"/>
    <n v="56652346.486825034"/>
    <n v="1133.05"/>
    <m/>
    <n v="0"/>
    <n v="-55.82162407040596"/>
    <n v="0"/>
    <n v="49999.864513326895"/>
    <n v="-55.82162407040596"/>
    <n v="0"/>
    <n v="0"/>
    <m/>
    <s v="Hedge Fund"/>
    <n v="3.3333333333333333E-2"/>
    <n v="0"/>
    <n v="6.6666666666666671E-3"/>
    <n v="0"/>
    <s v="ARF"/>
    <n v="3.0354409499999999"/>
    <s v="HRF"/>
    <n v="0.28326249999999997"/>
    <s v="COP2"/>
    <n v="8.0117965500000015"/>
    <s v="COTT"/>
    <n v="0"/>
    <m/>
    <m/>
    <m/>
    <d v="2013-09-30T00:00:00"/>
    <n v="0.10012330935112068"/>
    <x v="2"/>
  </r>
  <r>
    <x v="36"/>
    <x v="23"/>
    <s v="SKK"/>
    <n v="59214739.683031447"/>
    <n v="1184.29"/>
    <m/>
    <n v="400.13854353874922"/>
    <n v="0"/>
    <n v="0"/>
    <n v="50000.202385422024"/>
    <n v="400.13854353874922"/>
    <n v="0"/>
    <n v="0"/>
    <m/>
    <s v="Hedge Fund"/>
    <n v="3.3333333333333333E-2"/>
    <n v="0"/>
    <n v="6.6666666666666671E-3"/>
    <n v="0"/>
    <s v="ARF"/>
    <n v="3.17271291"/>
    <s v="HRF"/>
    <n v="0.29607250000000002"/>
    <s v="COP2"/>
    <n v="8.3741145900000014"/>
    <s v="COTT"/>
    <n v="0"/>
    <m/>
    <m/>
    <m/>
    <d v="2013-10-31T00:00:00"/>
    <n v="4.5223070473500826E-2"/>
    <x v="2"/>
  </r>
  <r>
    <x v="37"/>
    <x v="23"/>
    <s v="SKK"/>
    <n v="57274374.746451333"/>
    <n v="1145.49"/>
    <m/>
    <n v="0"/>
    <n v="-357.08402574062347"/>
    <n v="0"/>
    <n v="49999.890655048352"/>
    <n v="-357.08402574062347"/>
    <n v="0"/>
    <n v="0"/>
    <m/>
    <s v="Hedge Fund"/>
    <n v="3.3333333333333333E-2"/>
    <n v="0"/>
    <n v="6.6666666666666671E-3"/>
    <n v="0"/>
    <s v="ARF"/>
    <n v="3.0687677099999999"/>
    <s v="HRF"/>
    <n v="0.28637250000000003"/>
    <s v="COP2"/>
    <n v="8.099759790000002"/>
    <s v="COTT"/>
    <n v="0"/>
    <m/>
    <m/>
    <m/>
    <d v="2013-11-29T00:00:00"/>
    <n v="-3.2762245733730766E-2"/>
    <x v="2"/>
  </r>
  <r>
    <x v="38"/>
    <x v="23"/>
    <s v="SKK"/>
    <n v="62937256.873457022"/>
    <n v="1258.7499999999998"/>
    <m/>
    <n v="0"/>
    <n v="-105.48858507722616"/>
    <n v="0"/>
    <n v="49999.806850809953"/>
    <n v="-105.48858507722616"/>
    <n v="0"/>
    <n v="0"/>
    <m/>
    <s v="Hedge Fund"/>
    <n v="3.3333333333333333E-2"/>
    <n v="0"/>
    <n v="6.6666666666666671E-3"/>
    <n v="0"/>
    <s v="ARF"/>
    <n v="3.3721912499999998"/>
    <s v="HRF"/>
    <n v="0.31468750000000001"/>
    <s v="COP2"/>
    <n v="8.9006212500000021"/>
    <s v="COTT"/>
    <n v="0"/>
    <m/>
    <m/>
    <m/>
    <d v="2013-12-31T00:00:00"/>
    <n v="9.8874717369858978E-2"/>
    <x v="2"/>
  </r>
  <r>
    <x v="39"/>
    <x v="23"/>
    <s v="SKK"/>
    <n v="69559589.841135517"/>
    <n v="1391.19"/>
    <m/>
    <n v="358.54835721850395"/>
    <n v="0"/>
    <n v="0"/>
    <n v="50000.064578623707"/>
    <n v="358.54835721850395"/>
    <n v="0"/>
    <n v="0"/>
    <m/>
    <s v="Hedge Fund"/>
    <n v="3.3333333333333333E-2"/>
    <n v="0"/>
    <n v="6.6666666666666671E-3"/>
    <n v="0"/>
    <s v="ARF"/>
    <n v="3.72699801"/>
    <s v="HRF"/>
    <n v="0.34779750000000004"/>
    <s v="COP2"/>
    <n v="9.8371044900000033"/>
    <s v="COTT"/>
    <n v="0"/>
    <m/>
    <m/>
    <m/>
    <d v="2014-01-30T00:00:00"/>
    <n v="0.1052154915590866"/>
    <x v="2"/>
  </r>
  <r>
    <x v="40"/>
    <x v="23"/>
    <s v="SKK"/>
    <n v="71305982.316969454"/>
    <n v="1426.1200000000001"/>
    <m/>
    <n v="0"/>
    <n v="-109.77989739179611"/>
    <n v="0"/>
    <n v="49999.987600601249"/>
    <n v="-109.77989739179611"/>
    <n v="0"/>
    <n v="0"/>
    <m/>
    <s v="Hedge Fund"/>
    <n v="3.3333333333333333E-2"/>
    <n v="0"/>
    <n v="6.6666666666666671E-3"/>
    <n v="0"/>
    <s v="ARF"/>
    <n v="3.8205754799999996"/>
    <s v="HRF"/>
    <n v="0.35652999999999996"/>
    <s v="COP2"/>
    <n v="10.084094520000003"/>
    <s v="COTT"/>
    <n v="0"/>
    <m/>
    <m/>
    <m/>
    <d v="2014-02-28T00:00:00"/>
    <n v="2.5108001063837371E-2"/>
    <x v="2"/>
  </r>
  <r>
    <x v="41"/>
    <x v="23"/>
    <s v="SKK"/>
    <n v="67879116.421086162"/>
    <n v="1357.58"/>
    <m/>
    <n v="133.25426192581654"/>
    <n v="0"/>
    <n v="0"/>
    <n v="50000.085756335662"/>
    <n v="133.25426192581654"/>
    <n v="0"/>
    <n v="0"/>
    <m/>
    <s v="Hedge Fund"/>
    <n v="3.3333333333333333E-2"/>
    <n v="0"/>
    <n v="6.6666666666666671E-3"/>
    <n v="0"/>
    <s v="ARF"/>
    <n v="3.6369568199999995"/>
    <s v="HRF"/>
    <n v="0.339395"/>
    <s v="COP2"/>
    <n v="9.5994481800000031"/>
    <s v="COTT"/>
    <n v="0"/>
    <m/>
    <m/>
    <m/>
    <d v="2014-03-31T00:00:00"/>
    <n v="-4.8060471769556634E-2"/>
    <x v="2"/>
  </r>
  <r>
    <x v="42"/>
    <x v="23"/>
    <s v="SKK"/>
    <n v="63560487.165880002"/>
    <n v="1271.21"/>
    <m/>
    <n v="0"/>
    <n v="-121.84843145310879"/>
    <n v="0"/>
    <n v="49999.989904012713"/>
    <n v="-121.84843145310879"/>
    <n v="0"/>
    <n v="0"/>
    <m/>
    <s v="Hedge Fund"/>
    <n v="3.3333333333333333E-2"/>
    <n v="0"/>
    <n v="6.6666666666666671E-3"/>
    <n v="0"/>
    <s v="ARF"/>
    <n v="3.4055715900000001"/>
    <s v="HRF"/>
    <n v="0.31780250000000004"/>
    <s v="COP2"/>
    <n v="8.988725910000003"/>
    <s v="COTT"/>
    <n v="0"/>
    <m/>
    <m/>
    <m/>
    <d v="2014-04-30T00:00:00"/>
    <n v="-6.3620560114321045E-2"/>
    <x v="2"/>
  </r>
  <r>
    <x v="43"/>
    <x v="23"/>
    <s v="SKK"/>
    <n v="62681149.760169737"/>
    <n v="1253.6199999999997"/>
    <m/>
    <n v="162.41670133918524"/>
    <n v="0"/>
    <n v="0"/>
    <n v="50000.119462173345"/>
    <n v="162.41670133918524"/>
    <n v="0"/>
    <n v="0"/>
    <m/>
    <s v="Hedge Fund"/>
    <n v="3.3333333333333333E-2"/>
    <n v="0"/>
    <n v="6.6666666666666671E-3"/>
    <n v="0"/>
    <s v="ARF"/>
    <n v="3.3584479799999998"/>
    <s v="HRF"/>
    <n v="0.31340499999999999"/>
    <s v="COP2"/>
    <n v="8.8643470200000021"/>
    <s v="COTT"/>
    <n v="0"/>
    <m/>
    <m/>
    <m/>
    <d v="2014-05-30T00:00:00"/>
    <n v="-1.3837210217037654E-2"/>
    <x v="2"/>
  </r>
  <r>
    <x v="44"/>
    <x v="23"/>
    <s v="SKK"/>
    <n v="70171356.072159603"/>
    <n v="1403.4300000000003"/>
    <m/>
    <n v="0"/>
    <n v="-311.58463834226131"/>
    <n v="0"/>
    <n v="49999.897445657843"/>
    <n v="-311.58463834226131"/>
    <n v="0"/>
    <n v="0"/>
    <m/>
    <s v="Hedge Fund"/>
    <n v="3.3333333333333333E-2"/>
    <n v="0"/>
    <n v="6.6666666666666671E-3"/>
    <n v="0"/>
    <s v="ARF"/>
    <n v="3.7597889700000002"/>
    <s v="HRF"/>
    <n v="0.35085750000000004"/>
    <s v="COP2"/>
    <n v="9.9236535300000046"/>
    <s v="COTT"/>
    <n v="0"/>
    <m/>
    <m/>
    <m/>
    <d v="2014-06-30T00:00:00"/>
    <n v="0.11950192243263547"/>
    <x v="2"/>
  </r>
  <r>
    <x v="45"/>
    <x v="23"/>
    <s v="SKK"/>
    <n v="74898465.341994569"/>
    <n v="1497.97"/>
    <m/>
    <n v="118.96532249450684"/>
    <n v="0"/>
    <n v="0"/>
    <n v="49999.976863351447"/>
    <n v="118.96532249450684"/>
    <n v="0"/>
    <n v="0"/>
    <m/>
    <s v="Hedge Fund"/>
    <n v="3.3333333333333333E-2"/>
    <n v="0"/>
    <n v="6.6666666666666671E-3"/>
    <n v="0"/>
    <s v="ARF"/>
    <n v="4.0130616300000002"/>
    <s v="HRF"/>
    <n v="0.37449250000000001"/>
    <s v="COP2"/>
    <n v="10.592145870000005"/>
    <s v="COTT"/>
    <n v="0"/>
    <m/>
    <m/>
    <m/>
    <d v="2014-07-31T00:00:00"/>
    <n v="6.7363530778164593E-2"/>
    <x v="2"/>
  </r>
  <r>
    <x v="46"/>
    <x v="23"/>
    <s v="SKK"/>
    <n v="73088746.202739105"/>
    <n v="1461.77"/>
    <m/>
    <n v="280.02319785952568"/>
    <n v="0"/>
    <n v="0"/>
    <n v="50000.168427823191"/>
    <n v="280.02319785952568"/>
    <n v="0"/>
    <n v="0"/>
    <m/>
    <s v="Hedge Fund"/>
    <n v="3.3333333333333333E-2"/>
    <n v="0"/>
    <n v="6.6666666666666671E-3"/>
    <n v="0"/>
    <s v="ARF"/>
    <n v="3.91608183"/>
    <s v="HRF"/>
    <n v="0.3654425"/>
    <s v="COP2"/>
    <n v="10.336175670000005"/>
    <s v="COTT"/>
    <n v="0"/>
    <m/>
    <m/>
    <m/>
    <d v="2014-08-29T00:00:00"/>
    <n v="-2.4166038038144988E-2"/>
    <x v="2"/>
  </r>
  <r>
    <x v="47"/>
    <x v="23"/>
    <s v="SKK"/>
    <n v="68006387.162528455"/>
    <n v="1360.1300000000003"/>
    <m/>
    <n v="0"/>
    <n v="-341.92120671272278"/>
    <n v="0"/>
    <n v="49999.917039200991"/>
    <n v="-341.92120671272278"/>
    <n v="0"/>
    <n v="0"/>
    <m/>
    <s v="Hedge Fund"/>
    <n v="3.3333333333333333E-2"/>
    <n v="0"/>
    <n v="6.6666666666666671E-3"/>
    <n v="0"/>
    <s v="ARF"/>
    <n v="3.6437882700000004"/>
    <s v="HRF"/>
    <n v="0.34003250000000002"/>
    <s v="COP2"/>
    <n v="9.617479230000006"/>
    <s v="COTT"/>
    <n v="0"/>
    <m/>
    <m/>
    <m/>
    <d v="2014-09-30T00:00:00"/>
    <n v="-6.9532142539523778E-2"/>
    <x v="2"/>
  </r>
  <r>
    <x v="184"/>
    <x v="23"/>
    <s v="SKK"/>
    <n v="70523903.345223695"/>
    <n v="1410.48"/>
    <m/>
    <n v="20.359771475195885"/>
    <n v="0"/>
    <n v="0"/>
    <n v="49999.931473841316"/>
    <n v="20.359771475195885"/>
    <n v="0"/>
    <n v="0"/>
    <m/>
    <s v="Hedge Fund"/>
    <n v="3.3333333333333333E-2"/>
    <n v="0"/>
    <n v="6.6666666666666671E-3"/>
    <n v="0"/>
    <s v="ARF"/>
    <n v="3.77867592"/>
    <s v="HRF"/>
    <n v="0.35261999999999999"/>
    <s v="COP2"/>
    <n v="9.973504080000005"/>
    <s v="COTT"/>
    <n v="0"/>
    <m/>
    <m/>
    <m/>
    <d v="2014-10-31T00:00:00"/>
    <n v="3.7018520288501833E-2"/>
    <x v="2"/>
  </r>
  <r>
    <x v="185"/>
    <x v="23"/>
    <s v="SKK"/>
    <n v="67412499.174794555"/>
    <n v="1348.25"/>
    <m/>
    <n v="91.565188005566597"/>
    <n v="0"/>
    <n v="0"/>
    <n v="49999.999387943302"/>
    <n v="91.565188005566597"/>
    <n v="0"/>
    <n v="0"/>
    <m/>
    <s v="Hedge Fund"/>
    <n v="3.3333333333333333E-2"/>
    <n v="0"/>
    <n v="6.6666666666666671E-3"/>
    <n v="0"/>
    <s v="ARF"/>
    <n v="3.6119617499999999"/>
    <s v="HRF"/>
    <n v="0.33706249999999999"/>
    <s v="COP2"/>
    <n v="9.5334757500000045"/>
    <s v="COTT"/>
    <n v="0"/>
    <m/>
    <m/>
    <m/>
    <d v="2014-11-28T00:00:00"/>
    <n v="-4.4119732289716995E-2"/>
    <x v="2"/>
  </r>
  <r>
    <x v="186"/>
    <x v="23"/>
    <s v="SKK"/>
    <n v="74106782.462648049"/>
    <n v="1482.1399999999999"/>
    <m/>
    <n v="0"/>
    <n v="-216.63019822537899"/>
    <n v="0"/>
    <n v="49999.853227527798"/>
    <n v="-216.63019822537899"/>
    <n v="0"/>
    <n v="0"/>
    <m/>
    <s v="Hedge Fund"/>
    <n v="3.3333333333333333E-2"/>
    <n v="0"/>
    <n v="6.6666666666666671E-3"/>
    <n v="0"/>
    <s v="ARF"/>
    <n v="3.9706530600000001"/>
    <s v="HRF"/>
    <n v="0.37053500000000006"/>
    <s v="COP2"/>
    <n v="10.480211940000006"/>
    <s v="COTT"/>
    <n v="0"/>
    <m/>
    <m/>
    <m/>
    <d v="2014-12-31T00:00:00"/>
    <n v="9.9306508436862506E-2"/>
    <x v="2"/>
  </r>
  <r>
    <x v="187"/>
    <x v="23"/>
    <s v="SKK"/>
    <n v="74258043.618664622"/>
    <n v="1485.1600000000003"/>
    <m/>
    <n v="261.59926941990852"/>
    <n v="0"/>
    <n v="0"/>
    <n v="50000.029369673706"/>
    <n v="261.59926941990852"/>
    <n v="0"/>
    <n v="0"/>
    <m/>
    <s v="Hedge Fund"/>
    <n v="3.3333333333333333E-2"/>
    <n v="0"/>
    <n v="6.6666666666666671E-3"/>
    <n v="0"/>
    <s v="ARF"/>
    <n v="3.9787436400000002"/>
    <s v="HRF"/>
    <n v="0.37129000000000001"/>
    <s v="COP2"/>
    <n v="10.501566360000005"/>
    <s v="COTT"/>
    <n v="0"/>
    <m/>
    <m/>
    <m/>
    <d v="2015-01-30T00:00:00"/>
    <n v="2.0375942893386956E-3"/>
    <x v="2"/>
  </r>
  <r>
    <x v="188"/>
    <x v="23"/>
    <s v="SKK"/>
    <n v="72468164.967020229"/>
    <n v="1449.36"/>
    <m/>
    <n v="122.39978994429111"/>
    <n v="0"/>
    <n v="0"/>
    <n v="50000.113820596838"/>
    <n v="122.39978994429111"/>
    <n v="0"/>
    <n v="0"/>
    <m/>
    <s v="Hedge Fund"/>
    <n v="3.3333333333333333E-2"/>
    <n v="0"/>
    <n v="6.6666666666666671E-3"/>
    <n v="0"/>
    <s v="ARF"/>
    <n v="3.8828354399999996"/>
    <s v="HRF"/>
    <n v="0.36234"/>
    <s v="COP2"/>
    <n v="10.248424560000004"/>
    <s v="COTT"/>
    <n v="0"/>
    <m/>
    <m/>
    <m/>
    <d v="2015-02-27T00:00:00"/>
    <n v="-2.4105146920197384E-2"/>
    <x v="2"/>
  </r>
  <r>
    <x v="189"/>
    <x v="23"/>
    <s v="SKK"/>
    <n v="72893499.448669106"/>
    <n v="1457.87"/>
    <m/>
    <n v="0"/>
    <n v="-166.48696440458298"/>
    <n v="0"/>
    <n v="49999.999621824383"/>
    <n v="-166.48696440458298"/>
    <n v="0"/>
    <n v="0"/>
    <m/>
    <s v="Hedge Fund"/>
    <n v="3.3333333333333333E-2"/>
    <n v="0"/>
    <n v="6.6666666666666671E-3"/>
    <n v="0"/>
    <s v="ARF"/>
    <n v="3.9056337299999995"/>
    <s v="HRF"/>
    <n v="0.3644675"/>
    <s v="COP2"/>
    <n v="10.308598770000003"/>
    <s v="COTT"/>
    <n v="0"/>
    <m/>
    <m/>
    <m/>
    <d v="2015-03-31T00:00:00"/>
    <n v="5.871557101065239E-3"/>
    <x v="2"/>
  </r>
  <r>
    <x v="190"/>
    <x v="23"/>
    <s v="SKK"/>
    <n v="92115550.803931519"/>
    <n v="1842.31"/>
    <m/>
    <n v="51.500648245215416"/>
    <n v="0"/>
    <n v="0"/>
    <n v="50000.027576212211"/>
    <n v="51.500648245215416"/>
    <n v="0"/>
    <n v="0"/>
    <m/>
    <s v="Hedge Fund"/>
    <n v="3.3333333333333333E-2"/>
    <n v="0"/>
    <n v="6.6666666666666671E-3"/>
    <n v="0"/>
    <s v="ARF"/>
    <n v="4.9355484899999995"/>
    <s v="HRF"/>
    <n v="0.46057749999999997"/>
    <s v="COP2"/>
    <n v="13.026974010000005"/>
    <s v="COTT"/>
    <n v="0"/>
    <m/>
    <m/>
    <m/>
    <d v="2015-04-30T00:00:00"/>
    <n v="0.26369978118762316"/>
    <x v="2"/>
  </r>
  <r>
    <x v="191"/>
    <x v="23"/>
    <s v="SKK"/>
    <n v="111374907.3837744"/>
    <n v="2227.5"/>
    <m/>
    <n v="0"/>
    <n v="-154.04223829507828"/>
    <n v="0"/>
    <n v="49999.95842144754"/>
    <n v="-154.04223829507828"/>
    <n v="0"/>
    <n v="0"/>
    <m/>
    <s v="Hedge Fund"/>
    <n v="3.3333333333333333E-2"/>
    <n v="0"/>
    <n v="6.6666666666666671E-3"/>
    <n v="0"/>
    <s v="ARF"/>
    <n v="5.9674724999999995"/>
    <s v="HRF"/>
    <n v="0.55687500000000001"/>
    <s v="COP2"/>
    <n v="15.750652500000008"/>
    <s v="COTT"/>
    <n v="0"/>
    <m/>
    <m/>
    <m/>
    <d v="2015-05-29T00:00:00"/>
    <n v="0.20907990511911678"/>
    <x v="2"/>
  </r>
  <r>
    <x v="192"/>
    <x v="23"/>
    <s v="SKK"/>
    <n v="108181634.11686856"/>
    <n v="2163.6300000000006"/>
    <m/>
    <n v="224.077471986413"/>
    <n v="0"/>
    <n v="0"/>
    <n v="50000.061986970293"/>
    <n v="224.077471986413"/>
    <n v="0"/>
    <n v="0"/>
    <m/>
    <s v="Hedge Fund"/>
    <n v="3.3333333333333333E-2"/>
    <n v="0"/>
    <n v="6.6666666666666671E-3"/>
    <n v="0"/>
    <s v="ARF"/>
    <n v="5.7963647700000003"/>
    <s v="HRF"/>
    <n v="0.54090749999999999"/>
    <s v="COP2"/>
    <n v="15.299027730000008"/>
    <s v="COTT"/>
    <n v="0"/>
    <m/>
    <m/>
    <m/>
    <d v="2015-06-30T00:00:00"/>
    <n v="-2.8673400673400407E-2"/>
    <x v="2"/>
  </r>
  <r>
    <x v="193"/>
    <x v="23"/>
    <s v="SKK"/>
    <n v="88780727.979023203"/>
    <n v="1775.61"/>
    <m/>
    <n v="117.91433888673782"/>
    <n v="0"/>
    <n v="0"/>
    <n v="50000.128394761916"/>
    <n v="117.91433888673782"/>
    <n v="0"/>
    <n v="0"/>
    <m/>
    <s v="Hedge Fund"/>
    <n v="3.3333333333333333E-2"/>
    <n v="0"/>
    <n v="6.6666666666666671E-3"/>
    <n v="0"/>
    <s v="ARF"/>
    <n v="4.7568591899999992"/>
    <s v="HRF"/>
    <n v="0.44390249999999998"/>
    <s v="COP2"/>
    <n v="12.555338310000005"/>
    <s v="COTT"/>
    <n v="0"/>
    <m/>
    <m/>
    <m/>
    <d v="2015-07-31T00:00:00"/>
    <n v="-0.17933750225315814"/>
    <x v="2"/>
  </r>
  <r>
    <x v="194"/>
    <x v="23"/>
    <s v="SKK"/>
    <n v="78704201.448774502"/>
    <n v="1574.0800000000002"/>
    <m/>
    <n v="0"/>
    <n v="-0.65485234558582306"/>
    <n v="0"/>
    <n v="50000.127978739642"/>
    <n v="-0.65485234558582306"/>
    <n v="0"/>
    <n v="0"/>
    <m/>
    <s v="Hedge Fund"/>
    <n v="3.3333333333333333E-2"/>
    <n v="0"/>
    <n v="6.6666666666666671E-3"/>
    <n v="0"/>
    <s v="ARF"/>
    <n v="4.2169603199999992"/>
    <s v="HRF"/>
    <n v="0.39351999999999998"/>
    <s v="COP2"/>
    <n v="11.130319680000005"/>
    <s v="COTT"/>
    <n v="0"/>
    <m/>
    <m/>
    <m/>
    <d v="2015-08-31T00:00:00"/>
    <n v="-0.11349902287101321"/>
    <x v="2"/>
  </r>
  <r>
    <x v="195"/>
    <x v="23"/>
    <s v="SKK"/>
    <n v="78829820.461431265"/>
    <n v="1576.6"/>
    <m/>
    <n v="0"/>
    <n v="-381.30984964966774"/>
    <n v="0"/>
    <n v="49999.886122942582"/>
    <n v="-381.30984964966774"/>
    <n v="0"/>
    <n v="0"/>
    <m/>
    <s v="Hedge Fund"/>
    <n v="3.3333333333333333E-2"/>
    <n v="0"/>
    <n v="6.6666666666666671E-3"/>
    <n v="0"/>
    <s v="ARF"/>
    <n v="4.2237113999999991"/>
    <s v="HRF"/>
    <n v="0.39415"/>
    <s v="COP2"/>
    <n v="11.148138600000005"/>
    <s v="COTT"/>
    <n v="0"/>
    <m/>
    <m/>
    <m/>
    <d v="2015-09-30T00:00:00"/>
    <n v="1.6009351494203905E-3"/>
    <x v="2"/>
  </r>
  <r>
    <x v="196"/>
    <x v="23"/>
    <s v="SKK"/>
    <n v="86709789.018429056"/>
    <n v="1734.2000000000003"/>
    <m/>
    <n v="0"/>
    <n v="-13.495977982878685"/>
    <n v="0"/>
    <n v="49999.878340692565"/>
    <n v="-13.495977982878685"/>
    <n v="0"/>
    <n v="0"/>
    <m/>
    <s v="Hedge Fund"/>
    <n v="3.3333333333333333E-2"/>
    <n v="0"/>
    <n v="6.6666666666666671E-3"/>
    <n v="0"/>
    <s v="ARF"/>
    <n v="4.6459217999999991"/>
    <s v="HRF"/>
    <n v="0.43355000000000005"/>
    <s v="COP2"/>
    <n v="12.262528200000006"/>
    <s v="COTT"/>
    <n v="0"/>
    <m/>
    <m/>
    <m/>
    <d v="2015-10-30T00:00:00"/>
    <n v="9.9961943422555155E-2"/>
    <x v="2"/>
  </r>
  <r>
    <x v="1"/>
    <x v="23"/>
    <s v="SKK"/>
    <n v="80853670.232222617"/>
    <n v="1617.0700000000002"/>
    <m/>
    <n v="366.96383887529373"/>
    <n v="0"/>
    <n v="0"/>
    <n v="50000.105272018285"/>
    <n v="366.96383887529373"/>
    <n v="0"/>
    <n v="0"/>
    <m/>
    <s v="Hedge Fund"/>
    <n v="3.3333333333333333E-2"/>
    <n v="0"/>
    <n v="6.6666666666666671E-3"/>
    <n v="0"/>
    <s v="ARF"/>
    <n v="4.3321305299999988"/>
    <s v="HRF"/>
    <n v="0.4042675"/>
    <s v="COP2"/>
    <n v="11.434301970000003"/>
    <s v="COTT"/>
    <n v="0"/>
    <m/>
    <m/>
    <m/>
    <d v="2015-11-30T00:00:00"/>
    <n v="-6.7541229385307266E-2"/>
    <x v="2"/>
  </r>
  <r>
    <x v="2"/>
    <x v="23"/>
    <s v="SKK"/>
    <n v="78275984.417652145"/>
    <n v="1565.52"/>
    <m/>
    <n v="0"/>
    <n v="-180.38779792189598"/>
    <n v="0"/>
    <n v="49999.990046535429"/>
    <n v="-180.38779792189598"/>
    <n v="0"/>
    <n v="0"/>
    <m/>
    <s v="Hedge Fund"/>
    <n v="3.3333333333333333E-2"/>
    <n v="0"/>
    <n v="6.6666666666666671E-3"/>
    <n v="0"/>
    <s v="ARF"/>
    <n v="4.1940280799999989"/>
    <s v="HRF"/>
    <n v="0.39138000000000001"/>
    <s v="COP2"/>
    <n v="11.069791920000004"/>
    <s v="COTT"/>
    <n v="0"/>
    <m/>
    <m/>
    <m/>
    <d v="2015-12-31T00:00:00"/>
    <n v="-3.1878644709258164E-2"/>
    <x v="2"/>
  </r>
  <r>
    <x v="3"/>
    <x v="23"/>
    <s v="SKK"/>
    <n v="63262715.536859512"/>
    <n v="1265.25"/>
    <m/>
    <n v="228.13048055768013"/>
    <n v="0"/>
    <n v="0"/>
    <n v="50000.170351202934"/>
    <n v="228.13048055768013"/>
    <n v="0"/>
    <n v="0"/>
    <m/>
    <s v="Hedge Fund"/>
    <n v="3.3333333333333333E-2"/>
    <n v="0"/>
    <n v="6.6666666666666671E-3"/>
    <n v="0"/>
    <s v="ARF"/>
    <n v="3.3896047499999993"/>
    <s v="HRF"/>
    <n v="0.3163125"/>
    <s v="COP2"/>
    <n v="8.9465827500000028"/>
    <s v="COTT"/>
    <n v="0"/>
    <m/>
    <m/>
    <m/>
    <d v="2016-01-29T00:00:00"/>
    <n v="-0.19180208493024675"/>
    <x v="2"/>
  </r>
  <r>
    <x v="4"/>
    <x v="23"/>
    <s v="SKK"/>
    <n v="66387548.122993052"/>
    <n v="1327.7499999999998"/>
    <m/>
    <n v="0"/>
    <n v="-178.06081663072109"/>
    <n v="0"/>
    <n v="50000.036244016614"/>
    <n v="-178.06081663072109"/>
    <n v="0"/>
    <n v="0"/>
    <m/>
    <s v="Hedge Fund"/>
    <n v="3.3333333333333333E-2"/>
    <n v="0"/>
    <n v="6.6666666666666671E-3"/>
    <n v="0"/>
    <s v="ARF"/>
    <n v="3.5570422499999994"/>
    <s v="HRF"/>
    <n v="0.3319375"/>
    <s v="COP2"/>
    <n v="9.3885202500000027"/>
    <s v="COTT"/>
    <n v="0"/>
    <m/>
    <m/>
    <m/>
    <d v="2016-02-29T00:00:00"/>
    <n v="4.9397352301916442E-2"/>
    <x v="2"/>
  </r>
  <r>
    <x v="5"/>
    <x v="23"/>
    <s v="SKK"/>
    <n v="74258403.319707036"/>
    <n v="1327.75"/>
    <m/>
    <n v="0"/>
    <n v="0"/>
    <n v="0"/>
    <n v="55928.000993942413"/>
    <n v="0"/>
    <n v="0"/>
    <n v="0"/>
    <m/>
    <s v="Hedge Fund"/>
    <n v="3.3333333333333333E-2"/>
    <n v="0"/>
    <n v="6.6666666666666671E-3"/>
    <n v="0"/>
    <s v="ARF"/>
    <n v="3.5570422499999994"/>
    <s v="HRF"/>
    <n v="0.3319375"/>
    <s v="COP2"/>
    <n v="9.3885202500000027"/>
    <s v="COTT"/>
    <n v="0"/>
    <m/>
    <m/>
    <m/>
    <d v="2016-03-31T00:00:00"/>
    <n v="0.11855920905727713"/>
    <x v="2"/>
  </r>
  <r>
    <x v="6"/>
    <x v="23"/>
    <s v="SKK"/>
    <n v="87638884.141781285"/>
    <n v="1542.49"/>
    <m/>
    <n v="10000000"/>
    <n v="0"/>
    <n v="0"/>
    <n v="56816.500685113868"/>
    <n v="10000000"/>
    <n v="0"/>
    <n v="0"/>
    <m/>
    <s v="Hedge Fund"/>
    <n v="3.3333333333333333E-2"/>
    <n v="0"/>
    <n v="6.6666666666666671E-3"/>
    <n v="0"/>
    <s v="ARF"/>
    <n v="4.1323307099999997"/>
    <s v="HRF"/>
    <n v="0.85876588259999997"/>
    <s v="COP2"/>
    <n v="10.906946790000001"/>
    <s v="COTT"/>
    <n v="0.57829492589999998"/>
    <m/>
    <m/>
    <m/>
    <d v="2016-04-29T00:00:00"/>
    <n v="4.5523209104296969E-2"/>
    <x v="2"/>
  </r>
  <r>
    <x v="7"/>
    <x v="23"/>
    <s v="SKK"/>
    <n v="86791425.474924549"/>
    <n v="1527.58"/>
    <m/>
    <n v="0"/>
    <n v="-324.6416416913271"/>
    <n v="0"/>
    <n v="56816.288164891237"/>
    <n v="-324.6416416913271"/>
    <n v="0"/>
    <n v="0"/>
    <m/>
    <s v="Hedge Fund"/>
    <n v="3.3333333333333333E-2"/>
    <n v="0"/>
    <n v="6.6666666666666671E-3"/>
    <n v="0"/>
    <s v="ARF"/>
    <n v="4.0923868199999998"/>
    <s v="HRF"/>
    <n v="0.85046488919999996"/>
    <s v="COP2"/>
    <n v="10.80151818"/>
    <s v="COTT"/>
    <n v="0.57270501779999994"/>
    <m/>
    <m/>
    <m/>
    <d v="2016-05-31T00:00:00"/>
    <n v="-9.666189083883836E-3"/>
    <x v="2"/>
  </r>
  <r>
    <x v="8"/>
    <x v="23"/>
    <s v="SKK"/>
    <n v="86099971.131198362"/>
    <n v="1515.41"/>
    <m/>
    <n v="0"/>
    <n v="-0.11675947904586792"/>
    <n v="0"/>
    <n v="56816.288087843132"/>
    <n v="-0.11675947904586792"/>
    <n v="0"/>
    <n v="0"/>
    <m/>
    <s v="Hedge Fund"/>
    <n v="3.3333333333333333E-2"/>
    <n v="0"/>
    <n v="6.6666666666666671E-3"/>
    <n v="0"/>
    <s v="ARF"/>
    <n v="4.0597833899999998"/>
    <s v="HRF"/>
    <n v="0.84368936340000011"/>
    <s v="COP2"/>
    <n v="10.715464110000003"/>
    <s v="COTT"/>
    <n v="0.56814236309999999"/>
    <m/>
    <m/>
    <m/>
    <d v="2016-06-30T00:00:00"/>
    <n v="-7.9668495267021244E-3"/>
    <x v="2"/>
  </r>
  <r>
    <x v="9"/>
    <x v="23"/>
    <s v="SKK"/>
    <n v="94231012.532591999"/>
    <n v="1658.5199999999998"/>
    <m/>
    <n v="62.413142427802086"/>
    <n v="0"/>
    <n v="0"/>
    <n v="56816.325719672968"/>
    <n v="62.413142427802086"/>
    <n v="0"/>
    <n v="0"/>
    <m/>
    <s v="Hedge Fund"/>
    <n v="3.3333333333333333E-2"/>
    <n v="0"/>
    <n v="6.6666666666666671E-3"/>
    <n v="0"/>
    <s v="ARF"/>
    <n v="4.4431750799999987"/>
    <s v="HRF"/>
    <n v="0.92336442480000003"/>
    <s v="COP2"/>
    <n v="11.727394920000004"/>
    <s v="COTT"/>
    <n v="0.62179573320000003"/>
    <m/>
    <m/>
    <m/>
    <d v="2016-07-29T00:00:00"/>
    <n v="9.4436489134953394E-2"/>
    <x v="2"/>
  </r>
  <r>
    <x v="10"/>
    <x v="23"/>
    <s v="SKK"/>
    <n v="97101597.688332304"/>
    <n v="1709.04"/>
    <m/>
    <n v="224.38038241863251"/>
    <n v="0"/>
    <n v="0"/>
    <n v="56816.457009977712"/>
    <n v="224.38038241863251"/>
    <n v="0"/>
    <n v="0"/>
    <m/>
    <s v="Hedge Fund"/>
    <n v="3.3333333333333333E-2"/>
    <n v="0"/>
    <n v="6.6666666666666671E-3"/>
    <n v="0"/>
    <s v="ARF"/>
    <n v="4.578518159999998"/>
    <s v="HRF"/>
    <n v="0.95149092960000003"/>
    <s v="COP2"/>
    <n v="12.084621840000004"/>
    <s v="COTT"/>
    <n v="0.64073618639999996"/>
    <m/>
    <m/>
    <m/>
    <d v="2016-08-31T00:00:00"/>
    <n v="3.0460892844222709E-2"/>
    <x v="2"/>
  </r>
  <r>
    <x v="11"/>
    <x v="23"/>
    <s v="SKK"/>
    <n v="95200452.512183696"/>
    <n v="1675.5799999999997"/>
    <m/>
    <n v="0"/>
    <n v="-66.524594739079475"/>
    <n v="0"/>
    <n v="56816.417307549455"/>
    <n v="-66.524594739079475"/>
    <n v="0"/>
    <n v="0"/>
    <m/>
    <s v="Hedge Fund"/>
    <n v="3.3333333333333333E-2"/>
    <n v="0"/>
    <n v="6.6666666666666671E-3"/>
    <n v="0"/>
    <s v="ARF"/>
    <n v="4.4888788199999983"/>
    <s v="HRF"/>
    <n v="0.93286240919999996"/>
    <s v="COP2"/>
    <n v="11.848026180000003"/>
    <s v="COTT"/>
    <n v="0.62819169779999995"/>
    <m/>
    <m/>
    <m/>
    <d v="2016-09-30T00:00:00"/>
    <n v="-1.9578242756167374E-2"/>
    <x v="2"/>
  </r>
  <r>
    <x v="12"/>
    <x v="23"/>
    <s v="SKK"/>
    <n v="97927163.872442886"/>
    <n v="1723.57"/>
    <m/>
    <n v="91.493669882416725"/>
    <n v="0"/>
    <n v="0"/>
    <n v="56816.470391363793"/>
    <n v="91.493669882416725"/>
    <n v="0"/>
    <n v="0"/>
    <m/>
    <s v="Hedge Fund"/>
    <n v="3.3333333333333333E-2"/>
    <n v="0"/>
    <n v="6.6666666666666671E-3"/>
    <n v="0"/>
    <s v="ARF"/>
    <n v="4.6174440300000006"/>
    <s v="HRF"/>
    <n v="0"/>
    <s v="COP2"/>
    <n v="12.187363469999999"/>
    <s v="COTT"/>
    <n v="0.64616639299999989"/>
    <m/>
    <m/>
    <m/>
    <d v="2016-10-31T00:00:00"/>
    <n v="2.8640828847324551E-2"/>
    <x v="2"/>
  </r>
  <r>
    <x v="13"/>
    <x v="23"/>
    <s v="SKK"/>
    <n v="103433048.199292"/>
    <n v="1820.4799999999998"/>
    <m/>
    <n v="0"/>
    <n v="-199.81877794861794"/>
    <n v="0"/>
    <n v="56816.360629774572"/>
    <n v="-199.81877794861794"/>
    <n v="0"/>
    <n v="0"/>
    <m/>
    <s v="Hedge Fund"/>
    <n v="3.3333333333333333E-2"/>
    <n v="0"/>
    <n v="6.6666666666666671E-3"/>
    <n v="0"/>
    <s v="ARF"/>
    <n v="4.8770659199999997"/>
    <s v="HRF"/>
    <n v="0"/>
    <s v="COP2"/>
    <n v="12.87261408"/>
    <s v="COTT"/>
    <n v="0.68249795199999996"/>
    <m/>
    <m/>
    <m/>
    <d v="2016-11-30T00:00:00"/>
    <n v="5.6226320950121034E-2"/>
    <x v="2"/>
  </r>
  <r>
    <x v="14"/>
    <x v="23"/>
    <s v="SKK"/>
    <n v="105802499.43129019"/>
    <n v="1862.18"/>
    <m/>
    <n v="208.99373658001423"/>
    <n v="0"/>
    <n v="0"/>
    <n v="56816.472860459347"/>
    <n v="208.99373658001423"/>
    <n v="0"/>
    <n v="0"/>
    <m/>
    <s v="Hedge Fund"/>
    <n v="3.3333333333333333E-2"/>
    <n v="0"/>
    <n v="6.6666666666666671E-3"/>
    <n v="0"/>
    <s v="ARF"/>
    <n v="4.9887802199999998"/>
    <s v="HRF"/>
    <n v="0"/>
    <s v="COP2"/>
    <n v="13.167474780000001"/>
    <s v="COTT"/>
    <n v="0.69813128199999996"/>
    <m/>
    <m/>
    <m/>
    <d v="2016-12-30T00:00:00"/>
    <n v="2.2906046756899334E-2"/>
    <x v="2"/>
  </r>
  <r>
    <x v="15"/>
    <x v="23"/>
    <s v="SKK"/>
    <n v="105821795.07890099"/>
    <n v="1862.5199999999998"/>
    <m/>
    <n v="0"/>
    <n v="-21.953161731362343"/>
    <n v="0"/>
    <n v="56816.461073653438"/>
    <n v="-21.953161731362343"/>
    <n v="0"/>
    <n v="0"/>
    <m/>
    <s v="Hedge Fund"/>
    <n v="3.3333333333333333E-2"/>
    <n v="0"/>
    <n v="6.6666666666666671E-3"/>
    <n v="0"/>
    <s v="ARF"/>
    <n v="4.9896910800000001"/>
    <s v="HRF"/>
    <n v="0"/>
    <s v="COP2"/>
    <n v="13.16987892"/>
    <s v="COTT"/>
    <n v="0.69825874799999987"/>
    <m/>
    <m/>
    <m/>
    <d v="2017-01-27T00:00:00"/>
    <n v="1.8258170531293416E-4"/>
    <x v="2"/>
  </r>
  <r>
    <x v="16"/>
    <x v="23"/>
    <s v="SKK"/>
    <n v="113962660.29977046"/>
    <n v="2005.8"/>
    <m/>
    <n v="202.67823639512062"/>
    <n v="0"/>
    <n v="0"/>
    <n v="56816.562119737988"/>
    <n v="202.67823639512062"/>
    <n v="0"/>
    <n v="0"/>
    <m/>
    <s v="Hedge Fund"/>
    <n v="3.3333333333333333E-2"/>
    <n v="0"/>
    <n v="6.6666666666666671E-3"/>
    <n v="0"/>
    <s v="ARF"/>
    <n v="5.3735382000000005"/>
    <s v="HRF"/>
    <n v="0"/>
    <s v="COP2"/>
    <n v="14.183011799999999"/>
    <s v="COTT"/>
    <n v="0.75197441999999992"/>
    <m/>
    <m/>
    <m/>
    <d v="2017-02-28T00:00:00"/>
    <n v="7.6928032987565231E-2"/>
    <x v="2"/>
  </r>
  <r>
    <x v="17"/>
    <x v="23"/>
    <s v="SKK"/>
    <n v="134448281.32020485"/>
    <n v="2366.36"/>
    <m/>
    <n v="0"/>
    <n v="-158.61745834350586"/>
    <n v="0"/>
    <n v="56816.495089591117"/>
    <n v="-158.61745834350586"/>
    <n v="0"/>
    <n v="0"/>
    <m/>
    <s v="Hedge Fund"/>
    <n v="3.3333333333333333E-2"/>
    <n v="0"/>
    <n v="6.6666666666666671E-3"/>
    <n v="0"/>
    <s v="ARF"/>
    <n v="4.5698671048000001"/>
    <s v="HRF"/>
    <n v="0"/>
    <s v="COP2"/>
    <n v="16.732531560000002"/>
    <s v="COTT"/>
    <n v="1.4770109212"/>
    <m/>
    <m/>
    <m/>
    <d v="2017-03-31T00:00:00"/>
    <n v="0.17975869977066505"/>
    <x v="2"/>
  </r>
  <r>
    <x v="18"/>
    <x v="23"/>
    <s v="SKK"/>
    <n v="138096674.5"/>
    <n v="2430.58"/>
    <m/>
    <n v="0"/>
    <n v="-362.13485836982727"/>
    <n v="0"/>
    <n v="56816.346098462098"/>
    <n v="-362.13485836982727"/>
    <n v="0"/>
    <n v="0"/>
    <m/>
    <s v="Hedge Fund"/>
    <n v="3.3333333333333333E-2"/>
    <n v="0"/>
    <n v="6.6666666666666671E-3"/>
    <n v="0"/>
    <s v="ARF"/>
    <n v="4.6938874843999994"/>
    <s v="HRF"/>
    <n v="0"/>
    <s v="COP2"/>
    <n v="17.186631179999999"/>
    <s v="COTT"/>
    <n v="1.5170951185999999"/>
    <m/>
    <m/>
    <m/>
    <d v="2017-04-28T00:00:00"/>
    <n v="2.7138727835155807E-2"/>
    <x v="2"/>
  </r>
  <r>
    <x v="19"/>
    <x v="23"/>
    <s v="SKK"/>
    <n v="126196955.430124"/>
    <n v="2221.13"/>
    <m/>
    <n v="464.62044687569141"/>
    <n v="0"/>
    <n v="0"/>
    <n v="56816.555280476154"/>
    <n v="464.62044687569141"/>
    <n v="0"/>
    <n v="0"/>
    <m/>
    <s v="Hedge Fund"/>
    <n v="3.3333333333333333E-2"/>
    <n v="0"/>
    <n v="6.6666666666666671E-3"/>
    <n v="0"/>
    <s v="ARF"/>
    <n v="4.2894018333999995"/>
    <s v="HRF"/>
    <n v="0"/>
    <s v="COP2"/>
    <n v="15.70561023"/>
    <s v="COTT"/>
    <n v="1.3863627120999999"/>
    <m/>
    <m/>
    <m/>
    <d v="2017-05-31T00:00:00"/>
    <n v="-8.61728476330752E-2"/>
    <x v="2"/>
  </r>
  <r>
    <x v="20"/>
    <x v="23"/>
    <s v="SKK"/>
    <n v="115215909.67337903"/>
    <n v="2027.86"/>
    <m/>
    <n v="0"/>
    <n v="-110.11768732964993"/>
    <n v="0"/>
    <n v="56816.500978065073"/>
    <n v="-110.11768732964993"/>
    <n v="0"/>
    <n v="0"/>
    <m/>
    <s v="Hedge Fund"/>
    <n v="3.3333333333333333E-2"/>
    <n v="0"/>
    <n v="6.6666666666666671E-3"/>
    <n v="0"/>
    <s v="ARF"/>
    <n v="3.9161626747999998"/>
    <s v="HRF"/>
    <n v="0"/>
    <s v="COP2"/>
    <n v="14.338998059999998"/>
    <s v="COTT"/>
    <n v="1.2657293761999999"/>
    <m/>
    <m/>
    <m/>
    <d v="2017-06-30T00:00:00"/>
    <n v="-8.7014267512482424E-2"/>
    <x v="2"/>
  </r>
  <r>
    <x v="21"/>
    <x v="23"/>
    <s v="SKK"/>
    <n v="123246172.59999999"/>
    <n v="2169.1999999999998"/>
    <m/>
    <n v="0"/>
    <n v="-181.32161875069141"/>
    <n v="0"/>
    <n v="56816.417388899135"/>
    <n v="-181.32161875069141"/>
    <n v="0"/>
    <n v="0"/>
    <m/>
    <s v="Hedge Fund"/>
    <n v="3.3333333333333333E-2"/>
    <n v="0"/>
    <n v="6.6666666666666671E-3"/>
    <n v="0"/>
    <s v="ARF"/>
    <n v="4.1891156559999994"/>
    <s v="HRF"/>
    <n v="0"/>
    <s v="COP2"/>
    <n v="15.3384132"/>
    <s v="COTT"/>
    <n v="1.3539495639999999"/>
    <m/>
    <m/>
    <m/>
    <d v="2017-07-31T00:00:00"/>
    <n v="6.9699091653269818E-2"/>
    <x v="2"/>
  </r>
  <r>
    <x v="22"/>
    <x v="23"/>
    <s v="SKK"/>
    <n v="121613800"/>
    <n v="2140.4699999999998"/>
    <m/>
    <n v="0"/>
    <n v="-36.928416922688484"/>
    <n v="0"/>
    <n v="56816.400136418641"/>
    <n v="-36.928416922688484"/>
    <n v="0"/>
    <n v="0"/>
    <m/>
    <s v="Hedge Fund"/>
    <n v="3.3333333333333333E-2"/>
    <n v="0"/>
    <n v="6.6666666666666671E-3"/>
    <n v="0"/>
    <s v="ARF"/>
    <n v="4.1336328545999992"/>
    <s v="HRF"/>
    <n v="0"/>
    <s v="COP2"/>
    <n v="15.135263369999999"/>
    <s v="COTT"/>
    <n v="1.3360171598999999"/>
    <m/>
    <m/>
    <m/>
    <d v="2017-08-31T00:00:00"/>
    <n v="-1.3244514106583116E-2"/>
    <x v="2"/>
  </r>
  <r>
    <x v="23"/>
    <x v="23"/>
    <s v="SKK"/>
    <n v="124489600"/>
    <n v="2191.0856671857964"/>
    <m/>
    <n v="0"/>
    <n v="-1.4901161193847656E-8"/>
    <n v="0"/>
    <n v="56816.400136418641"/>
    <n v="-1.4901161193847656E-8"/>
    <n v="0"/>
    <n v="0"/>
    <m/>
    <s v="Hedge Fund"/>
    <n v="3.3333333333333333E-2"/>
    <n v="0"/>
    <n v="6.6666666666666671E-3"/>
    <n v="0"/>
    <s v="ARF"/>
    <n v="4.1336328545999992"/>
    <s v="HRF"/>
    <n v="0"/>
    <s v="COP2"/>
    <n v="15.135263369999999"/>
    <s v="COTT"/>
    <n v="1.3360171598999999"/>
    <m/>
    <m/>
    <m/>
    <d v="2017-09-29T00:00:00"/>
    <n v="2.3646987430702815E-2"/>
    <x v="2"/>
  </r>
  <r>
    <x v="24"/>
    <x v="23"/>
    <s v="SKK"/>
    <n v="121116367.48999999"/>
    <n v="2131.71"/>
    <m/>
    <n v="279.15519501268864"/>
    <n v="0"/>
    <n v="0"/>
    <n v="56816.531090063843"/>
    <n v="279.15519501268864"/>
    <n v="0"/>
    <n v="0"/>
    <m/>
    <s v="Hedge Fund"/>
    <n v="3.3333333333333333E-2"/>
    <n v="0"/>
    <n v="6.6666666666666671E-3"/>
    <n v="0"/>
    <s v="ARF"/>
    <n v="4.1167157178"/>
    <s v="HRF"/>
    <n v="0"/>
    <s v="COP2"/>
    <n v="15.07332141"/>
    <s v="COTT"/>
    <n v="1.3305494306999999"/>
    <m/>
    <m/>
    <m/>
    <d v="2017-10-31T00:00:00"/>
    <n v="-2.7098742908604589E-2"/>
    <x v="2"/>
  </r>
  <r>
    <x v="25"/>
    <x v="23"/>
    <s v="SKK"/>
    <n v="112134034.73999999"/>
    <n v="1973.62"/>
    <m/>
    <n v="0"/>
    <n v="-207.34997180104256"/>
    <n v="0"/>
    <n v="56816.426029326823"/>
    <n v="-207.34997180104256"/>
    <n v="0"/>
    <n v="0"/>
    <m/>
    <s v="Hedge Fund"/>
    <n v="3.3333333333333333E-2"/>
    <n v="0"/>
    <n v="6.6666666666666671E-3"/>
    <n v="0"/>
    <s v="ARF"/>
    <n v="3.8114154715999993"/>
    <s v="HRF"/>
    <n v="0"/>
    <s v="COP2"/>
    <n v="13.95546702"/>
    <s v="COTT"/>
    <n v="1.2318743953999998"/>
    <m/>
    <m/>
    <m/>
    <d v="2017-11-30T00:00:00"/>
    <n v="-7.4161119476852E-2"/>
    <x v="2"/>
  </r>
  <r>
    <x v="26"/>
    <x v="23"/>
    <s v="SKK"/>
    <n v="111686400"/>
    <n v="1965.7399999999998"/>
    <m/>
    <n v="78.69711109995842"/>
    <n v="0"/>
    <n v="0"/>
    <n v="56816.466063670683"/>
    <n v="78.69711109995842"/>
    <n v="0"/>
    <n v="0"/>
    <m/>
    <s v="Hedge Fund"/>
    <n v="3.3333333333333333E-2"/>
    <n v="0"/>
    <n v="6.6666666666666671E-3"/>
    <n v="0"/>
    <s v="ARF"/>
    <n v="3.7961977731999998"/>
    <s v="HRF"/>
    <n v="0"/>
    <s v="COP2"/>
    <n v="13.899747540000002"/>
    <s v="COTT"/>
    <n v="1.2269559358"/>
    <m/>
    <m/>
    <m/>
    <d v="2017-12-29T00:00:00"/>
    <n v="-3.992663227976978E-3"/>
    <x v="2"/>
  </r>
  <r>
    <x v="27"/>
    <x v="23"/>
    <s v="SKK"/>
    <n v="115981510.2"/>
    <n v="2041.34"/>
    <m/>
    <n v="0"/>
    <n v="-214.63441351056099"/>
    <n v="0"/>
    <n v="56816.360919787985"/>
    <n v="-214.63441351056099"/>
    <n v="0"/>
    <n v="0"/>
    <m/>
    <s v="Hedge Fund"/>
    <n v="3.3333333333333333E-2"/>
    <n v="0"/>
    <n v="6.6666666666666671E-3"/>
    <n v="0"/>
    <s v="ARF"/>
    <n v="3.9421949811999992"/>
    <s v="HRF"/>
    <n v="0"/>
    <s v="COP2"/>
    <n v="14.434315139999999"/>
    <s v="COTT"/>
    <n v="1.2741431878"/>
    <m/>
    <m/>
    <m/>
    <d v="2018-01-31T00:00:00"/>
    <n v="3.845879923082407E-2"/>
    <x v="2"/>
  </r>
  <r>
    <x v="28"/>
    <x v="23"/>
    <s v="SKK"/>
    <n v="107170997.11216848"/>
    <n v="1886.27"/>
    <m/>
    <n v="0"/>
    <n v="0"/>
    <n v="0"/>
    <n v="56816.360919787985"/>
    <n v="0"/>
    <n v="0"/>
    <n v="0"/>
    <m/>
    <s v="Hedge Fund"/>
    <n v="3.3333333333333333E-2"/>
    <n v="0"/>
    <n v="6.6666666666666671E-3"/>
    <n v="0"/>
    <s v="ARF"/>
    <n v="3.6427269999999998"/>
    <s v="HRF"/>
    <n v="0"/>
    <s v="COP2"/>
    <n v="14.434315139999999"/>
    <s v="COTT"/>
    <n v="1.2741431878"/>
    <m/>
    <m/>
    <m/>
    <d v="2018-02-28T00:00:00"/>
    <n v="-7.5964807430413339E-2"/>
    <x v="2"/>
  </r>
  <r>
    <x v="29"/>
    <x v="23"/>
    <s v="SKK"/>
    <n v="86433748.071999997"/>
    <n v="1901.6"/>
    <m/>
    <n v="0"/>
    <n v="0"/>
    <n v="0"/>
    <n v="45453.17"/>
    <n v="0"/>
    <n v="0"/>
    <n v="0"/>
    <m/>
    <s v="Hedge Fund"/>
    <n v="3.3333333333333333E-2"/>
    <n v="0"/>
    <n v="0"/>
    <n v="0"/>
    <s v="ARF"/>
    <n v="0"/>
    <s v="HRF"/>
    <n v="0"/>
    <s v="COP2"/>
    <n v="0"/>
    <s v="COTT"/>
    <n v="0"/>
    <m/>
    <m/>
    <m/>
    <d v="2018-03-29T00:00:00"/>
    <n v="-0.19349683775419424"/>
    <x v="2"/>
  </r>
  <r>
    <x v="30"/>
    <x v="23"/>
    <s v="SKK"/>
    <n v="87936884.403899997"/>
    <n v="1934.67"/>
    <m/>
    <n v="0"/>
    <n v="0"/>
    <n v="0"/>
    <n v="45453.17"/>
    <n v="0"/>
    <n v="0"/>
    <n v="0"/>
    <m/>
    <s v="Hedge Fund"/>
    <n v="3.3333333333333333E-2"/>
    <n v="0"/>
    <n v="0"/>
    <n v="0"/>
    <s v="ARF"/>
    <n v="0"/>
    <s v="HRF"/>
    <n v="0"/>
    <s v="COP2"/>
    <n v="0"/>
    <s v="COTT"/>
    <n v="0"/>
    <m/>
    <m/>
    <m/>
    <d v="2018-04-30T00:00:00"/>
    <n v="1.7390618426588178E-2"/>
    <x v="2"/>
  </r>
  <r>
    <x v="31"/>
    <x v="23"/>
    <s v="SKK"/>
    <n v="96242542.158000007"/>
    <n v="2117.4"/>
    <m/>
    <n v="0"/>
    <n v="0"/>
    <n v="0"/>
    <n v="45453.17"/>
    <n v="0"/>
    <n v="0"/>
    <n v="0"/>
    <m/>
    <s v="Hedge Fund"/>
    <n v="3.3333333333333333E-2"/>
    <n v="0"/>
    <n v="0"/>
    <n v="0"/>
    <m/>
    <m/>
    <m/>
    <m/>
    <m/>
    <m/>
    <m/>
    <m/>
    <m/>
    <m/>
    <m/>
    <d v="2018-05-31T00:00:00"/>
    <n v="9.4450216315961066E-2"/>
    <x v="2"/>
  </r>
  <r>
    <x v="32"/>
    <x v="23"/>
    <s v="SKK"/>
    <n v="87461898.777400002"/>
    <n v="1924.22"/>
    <m/>
    <n v="0"/>
    <n v="0"/>
    <n v="0"/>
    <n v="45453.17"/>
    <n v="0"/>
    <n v="0"/>
    <n v="-1924.22"/>
    <m/>
    <s v="Hedge Fund"/>
    <n v="3.3333333333333333E-2"/>
    <n v="0"/>
    <n v="0"/>
    <n v="0"/>
    <m/>
    <m/>
    <m/>
    <m/>
    <m/>
    <m/>
    <m/>
    <m/>
    <m/>
    <m/>
    <m/>
    <d v="2018-06-29T00:00:00"/>
    <n v="-9.1234532917729316E-2"/>
    <x v="2"/>
  </r>
  <r>
    <x v="33"/>
    <x v="23"/>
    <s v="SKK"/>
    <n v="87461898.777400002"/>
    <n v="1924.22"/>
    <m/>
    <n v="0"/>
    <n v="0"/>
    <n v="0"/>
    <n v="45453.17"/>
    <n v="0"/>
    <n v="0"/>
    <n v="0"/>
    <m/>
    <s v="Hedge Fund"/>
    <n v="3.3333333333333333E-2"/>
    <n v="0"/>
    <n v="0"/>
    <n v="0"/>
    <m/>
    <m/>
    <m/>
    <m/>
    <m/>
    <m/>
    <m/>
    <m/>
    <m/>
    <m/>
    <m/>
    <d v="2018-07-31T00:00:00"/>
    <n v="0"/>
    <x v="2"/>
  </r>
  <r>
    <x v="11"/>
    <x v="24"/>
    <s v="SuperA"/>
    <n v="496062.01360000001"/>
    <n v="1537984.5083555414"/>
    <n v="15"/>
    <n v="160000"/>
    <m/>
    <n v="0"/>
    <n v="0.32254031877759565"/>
    <n v="160000"/>
    <n v="1537984.5083555414"/>
    <n v="160000"/>
    <m/>
    <s v="Private Equity Fund"/>
    <n v="0"/>
    <n v="1.7687474500000001E-2"/>
    <n v="0"/>
    <n v="0"/>
    <m/>
    <m/>
    <m/>
    <m/>
    <m/>
    <m/>
    <m/>
    <m/>
    <m/>
    <m/>
    <m/>
    <d v="2016-09-30T00:00:00"/>
    <n v="2.100387585"/>
    <x v="0"/>
  </r>
  <r>
    <x v="12"/>
    <x v="24"/>
    <s v="SuperA"/>
    <n v="674534.48360000004"/>
    <n v="2091318.3386078263"/>
    <n v="15"/>
    <n v="0"/>
    <m/>
    <n v="0"/>
    <n v="0.32254031877759565"/>
    <n v="0"/>
    <n v="0"/>
    <n v="0"/>
    <m/>
    <s v="Private Equity Fund"/>
    <n v="0"/>
    <n v="0"/>
    <n v="0"/>
    <n v="0"/>
    <m/>
    <m/>
    <m/>
    <m/>
    <m/>
    <m/>
    <m/>
    <m/>
    <m/>
    <m/>
    <m/>
    <d v="2016-10-31T00:00:00"/>
    <n v="0.35977854604265547"/>
    <x v="0"/>
  </r>
  <r>
    <x v="13"/>
    <x v="24"/>
    <s v="SuperA"/>
    <n v="3630475.2766999998"/>
    <n v="2127022.3215122861"/>
    <n v="15"/>
    <n v="2895000"/>
    <m/>
    <n v="0"/>
    <n v="1.706834592181796"/>
    <n v="2895000"/>
    <n v="0"/>
    <n v="2895000"/>
    <m/>
    <s v="Private Equity Fund"/>
    <n v="0"/>
    <n v="0"/>
    <n v="0"/>
    <n v="0"/>
    <m/>
    <m/>
    <m/>
    <m/>
    <m/>
    <m/>
    <m/>
    <m/>
    <m/>
    <m/>
    <m/>
    <d v="2016-11-30T00:00:00"/>
    <n v="9.0344963203004669E-2"/>
    <x v="0"/>
  </r>
  <r>
    <x v="14"/>
    <x v="24"/>
    <s v="SuperA"/>
    <n v="3644232.1653875099"/>
    <n v="2135082.2054345617"/>
    <n v="15"/>
    <n v="0"/>
    <m/>
    <n v="0"/>
    <n v="1.706834592181796"/>
    <n v="0"/>
    <n v="0"/>
    <n v="0"/>
    <m/>
    <s v="Private Equity Fund"/>
    <n v="0"/>
    <n v="3.10122195E-2"/>
    <n v="0"/>
    <n v="0"/>
    <m/>
    <m/>
    <m/>
    <m/>
    <m/>
    <m/>
    <m/>
    <m/>
    <m/>
    <m/>
    <m/>
    <d v="2016-12-30T00:00:00"/>
    <n v="3.7892803666230712E-3"/>
    <x v="0"/>
  </r>
  <r>
    <x v="15"/>
    <x v="24"/>
    <s v="SuperA"/>
    <n v="3745933.7941000001"/>
    <n v="2194667.1407167134"/>
    <n v="15"/>
    <n v="0"/>
    <m/>
    <n v="0"/>
    <n v="1.706834592181796"/>
    <n v="0"/>
    <n v="0"/>
    <n v="0"/>
    <m/>
    <s v="Private Equity Fund"/>
    <n v="0"/>
    <n v="3.4409200000000001E-2"/>
    <n v="0"/>
    <n v="0"/>
    <m/>
    <m/>
    <m/>
    <m/>
    <m/>
    <m/>
    <m/>
    <m/>
    <m/>
    <m/>
    <m/>
    <d v="2017-01-27T00:00:00"/>
    <n v="2.7907560247791174E-2"/>
    <x v="0"/>
  </r>
  <r>
    <x v="16"/>
    <x v="24"/>
    <s v="SuperA"/>
    <n v="3968825.1388948201"/>
    <n v="1835307.9704590959"/>
    <n v="15"/>
    <n v="1000000"/>
    <m/>
    <n v="-797553.71"/>
    <n v="2.1624845545143208"/>
    <n v="202446.29000000004"/>
    <n v="-368813.59838388534"/>
    <n v="202446.29000000004"/>
    <m/>
    <s v="Private Equity Fund"/>
    <n v="0"/>
    <n v="3.4409200000000001E-2"/>
    <n v="0"/>
    <n v="0"/>
    <m/>
    <m/>
    <m/>
    <m/>
    <m/>
    <m/>
    <m/>
    <m/>
    <m/>
    <m/>
    <m/>
    <d v="2017-02-28T00:00:00"/>
    <n v="5.4579327661961052E-3"/>
    <x v="0"/>
  </r>
  <r>
    <x v="17"/>
    <x v="24"/>
    <s v="SuperA"/>
    <n v="3969364.9099581363"/>
    <n v="1835557.5773578777"/>
    <n v="15"/>
    <n v="0"/>
    <m/>
    <n v="0"/>
    <n v="2.1624845545143208"/>
    <n v="0"/>
    <n v="0"/>
    <n v="0"/>
    <m/>
    <s v="Private Equity Fund"/>
    <n v="0"/>
    <n v="3.4409200000000001E-2"/>
    <n v="0"/>
    <n v="0"/>
    <m/>
    <m/>
    <m/>
    <m/>
    <m/>
    <m/>
    <m/>
    <m/>
    <m/>
    <m/>
    <m/>
    <d v="2017-03-31T00:00:00"/>
    <n v="1.3600273240221838E-4"/>
    <x v="0"/>
  </r>
  <r>
    <x v="18"/>
    <x v="24"/>
    <s v="SuperA"/>
    <n v="4015699.8499999996"/>
    <n v="1856984.2922655686"/>
    <n v="15"/>
    <n v="0"/>
    <m/>
    <n v="0"/>
    <n v="2.1624845545143208"/>
    <n v="0"/>
    <n v="0"/>
    <n v="0"/>
    <m/>
    <s v="Private Equity Fund"/>
    <n v="0"/>
    <n v="3.9908079999999999E-2"/>
    <n v="0"/>
    <n v="0"/>
    <m/>
    <m/>
    <m/>
    <m/>
    <m/>
    <m/>
    <m/>
    <m/>
    <m/>
    <m/>
    <m/>
    <d v="2017-04-28T00:00:00"/>
    <n v="1.1673136910547166E-2"/>
    <x v="0"/>
  </r>
  <r>
    <x v="19"/>
    <x v="24"/>
    <s v="SuperA"/>
    <n v="5558178.2314845603"/>
    <n v="1839929.0417435162"/>
    <n v="15"/>
    <n v="1594000"/>
    <m/>
    <n v="-105000"/>
    <n v="3.0208655363239618"/>
    <n v="1489000"/>
    <n v="-34758.250156269009"/>
    <n v="1489000"/>
    <m/>
    <s v="Private Equity Fund"/>
    <n v="0"/>
    <n v="4.2722732499999999E-2"/>
    <n v="0"/>
    <n v="0"/>
    <m/>
    <m/>
    <m/>
    <m/>
    <m/>
    <m/>
    <m/>
    <m/>
    <m/>
    <m/>
    <m/>
    <d v="2017-05-31T00:00:00"/>
    <n v="1.3317325368468635E-2"/>
    <x v="0"/>
  </r>
  <r>
    <x v="20"/>
    <x v="24"/>
    <s v="SuperA"/>
    <n v="5618716.6995986504"/>
    <n v="1859969.1485891053"/>
    <n v="15"/>
    <n v="0"/>
    <m/>
    <n v="0"/>
    <n v="3.0208655363239618"/>
    <n v="0"/>
    <n v="0"/>
    <n v="0"/>
    <m/>
    <s v="Private Equity Fund"/>
    <n v="0"/>
    <n v="4.590897E-2"/>
    <n v="0"/>
    <n v="0"/>
    <m/>
    <m/>
    <m/>
    <m/>
    <m/>
    <m/>
    <m/>
    <m/>
    <m/>
    <m/>
    <m/>
    <d v="2017-06-30T00:00:00"/>
    <n v="1.0891782449718335E-2"/>
    <x v="0"/>
  </r>
  <r>
    <x v="21"/>
    <x v="24"/>
    <s v="SuperA"/>
    <n v="5611088.6100000003"/>
    <n v="1857444.0148130644"/>
    <n v="15"/>
    <n v="0"/>
    <m/>
    <n v="-69730"/>
    <n v="3.0208655363239618"/>
    <n v="-69730"/>
    <n v="-23082.78841330131"/>
    <n v="-69730"/>
    <m/>
    <s v="Private Equity Fund"/>
    <n v="0"/>
    <n v="4.6735140000000001E-2"/>
    <n v="0"/>
    <n v="0"/>
    <m/>
    <m/>
    <m/>
    <m/>
    <m/>
    <m/>
    <m/>
    <m/>
    <m/>
    <m/>
    <m/>
    <d v="2017-07-31T00:00:00"/>
    <n v="1.1052685821619335E-2"/>
    <x v="0"/>
  </r>
  <r>
    <x v="22"/>
    <x v="24"/>
    <s v="SuperA"/>
    <n v="5460800"/>
    <n v="1807693.8328890838"/>
    <n v="15"/>
    <n v="0"/>
    <m/>
    <n v="-52602"/>
    <n v="3.0208655363239618"/>
    <n v="-52602"/>
    <n v="-17412.890235429164"/>
    <n v="-52602"/>
    <m/>
    <s v="Private Equity Fund"/>
    <n v="0"/>
    <n v="4.944117E-2"/>
    <n v="0"/>
    <n v="0"/>
    <m/>
    <m/>
    <m/>
    <m/>
    <m/>
    <m/>
    <m/>
    <m/>
    <m/>
    <m/>
    <m/>
    <d v="2017-08-31T00:00:00"/>
    <n v="-1.7409564665563204E-2"/>
    <x v="0"/>
  </r>
  <r>
    <x v="23"/>
    <x v="24"/>
    <s v="SuperA"/>
    <n v="5480500"/>
    <n v="1814215.1426803074"/>
    <n v="15"/>
    <n v="0"/>
    <m/>
    <n v="-105000"/>
    <n v="3.0208655363239618"/>
    <n v="-105000"/>
    <n v="-34758.250156269009"/>
    <n v="-105000"/>
    <m/>
    <s v="Private Equity Fund"/>
    <n v="0"/>
    <n v="5.28E-2"/>
    <n v="0"/>
    <n v="0"/>
    <m/>
    <m/>
    <m/>
    <m/>
    <m/>
    <m/>
    <m/>
    <m/>
    <m/>
    <m/>
    <m/>
    <d v="2017-09-29T00:00:00"/>
    <n v="2.2835481980662209E-2"/>
    <x v="0"/>
  </r>
  <r>
    <x v="24"/>
    <x v="24"/>
    <s v="SuperA"/>
    <n v="5538206.4699999997"/>
    <n v="1833317.7704888335"/>
    <n v="15"/>
    <n v="0"/>
    <m/>
    <n v="-41178.33"/>
    <n v="3.0208655363239618"/>
    <n v="-41178.33"/>
    <n v="-13631.301858641873"/>
    <n v="-41178.33"/>
    <m/>
    <s v="Private Equity Fund"/>
    <n v="0"/>
    <n v="5.6530030000000002E-2"/>
    <n v="0"/>
    <n v="0"/>
    <m/>
    <m/>
    <m/>
    <m/>
    <m/>
    <m/>
    <m/>
    <m/>
    <m/>
    <m/>
    <m/>
    <d v="2017-10-31T00:00:00"/>
    <n v="1.8043025271416768E-2"/>
    <x v="0"/>
  </r>
  <r>
    <x v="25"/>
    <x v="24"/>
    <s v="SuperA"/>
    <n v="5482523.2199999997"/>
    <n v="1814884.8911267947"/>
    <n v="15"/>
    <n v="0"/>
    <m/>
    <n v="-13800"/>
    <n v="3.0208655363239618"/>
    <n v="-13800"/>
    <n v="-4568.2271633953551"/>
    <n v="-13800"/>
    <m/>
    <s v="Private Equity Fund"/>
    <n v="0"/>
    <n v="5.912564E-2"/>
    <n v="0"/>
    <n v="0"/>
    <m/>
    <m/>
    <m/>
    <m/>
    <m/>
    <m/>
    <m/>
    <m/>
    <m/>
    <m/>
    <m/>
    <d v="2017-11-30T00:00:00"/>
    <n v="-7.5626017604937257E-3"/>
    <x v="0"/>
  </r>
  <r>
    <x v="26"/>
    <x v="24"/>
    <s v="SuperA"/>
    <n v="5995971.9500000002"/>
    <n v="1817445.7951705558"/>
    <n v="15"/>
    <n v="505000"/>
    <m/>
    <n v="-53922"/>
    <n v="3.2991200980700039"/>
    <n v="451078"/>
    <n v="-16344.358009744643"/>
    <n v="451078"/>
    <m/>
    <s v="Private Equity Fund"/>
    <n v="0"/>
    <n v="6.2408319999999996E-2"/>
    <n v="0"/>
    <n v="0"/>
    <m/>
    <m/>
    <m/>
    <m/>
    <m/>
    <m/>
    <m/>
    <m/>
    <m/>
    <m/>
    <m/>
    <d v="2017-12-29T00:00:00"/>
    <n v="1.1376281959458945E-2"/>
    <x v="0"/>
  </r>
  <r>
    <x v="27"/>
    <x v="24"/>
    <s v="SuperA"/>
    <n v="5480500"/>
    <n v="1661200.5131932332"/>
    <n v="15"/>
    <n v="0"/>
    <m/>
    <n v="-35000"/>
    <n v="3.2991200980700039"/>
    <n v="-35000"/>
    <n v="-10608.889327937808"/>
    <n v="-35000"/>
    <m/>
    <s v="Private Equity Fund"/>
    <n v="0"/>
    <n v="6.703524000000001E-2"/>
    <n v="0"/>
    <n v="0"/>
    <m/>
    <m/>
    <m/>
    <m/>
    <m/>
    <m/>
    <m/>
    <m/>
    <m/>
    <m/>
    <m/>
    <d v="2018-01-31T00:00:00"/>
    <n v="-8.0132454588951241E-2"/>
    <x v="0"/>
  </r>
  <r>
    <x v="28"/>
    <x v="24"/>
    <s v="SuperA"/>
    <n v="5995978.0199999996"/>
    <n v="1817447.6350550761"/>
    <n v="15"/>
    <n v="0"/>
    <m/>
    <n v="-104900"/>
    <n v="3.2991200980700039"/>
    <n v="-104900"/>
    <n v="-31796.35687144789"/>
    <n v="-104900"/>
    <m/>
    <s v="Private Equity Fund"/>
    <n v="0"/>
    <n v="6.977179E-2"/>
    <n v="0"/>
    <n v="0"/>
    <m/>
    <m/>
    <m/>
    <m/>
    <m/>
    <m/>
    <m/>
    <m/>
    <m/>
    <m/>
    <m/>
    <d v="2018-02-28T00:00:00"/>
    <n v="0.1131973396587902"/>
    <x v="0"/>
  </r>
  <r>
    <x v="29"/>
    <x v="24"/>
    <s v="SuperA"/>
    <n v="6056956.9890000001"/>
    <n v="1835931.0388680121"/>
    <n v="15"/>
    <n v="0"/>
    <m/>
    <n v="-76167.56"/>
    <n v="3.2991200980700039"/>
    <n v="-76167.56"/>
    <n v="-23087.234697687505"/>
    <n v="-76167.56"/>
    <m/>
    <s v="Private Equity Fund"/>
    <n v="0"/>
    <n v="7.6990031E-2"/>
    <n v="0"/>
    <n v="0"/>
    <m/>
    <m/>
    <m/>
    <m/>
    <m/>
    <m/>
    <m/>
    <m/>
    <m/>
    <m/>
    <m/>
    <d v="2018-03-29T00:00:00"/>
    <n v="2.2873087349976728E-2"/>
    <x v="0"/>
  </r>
  <r>
    <x v="30"/>
    <x v="24"/>
    <s v="SuperA"/>
    <n v="6056956.9890000001"/>
    <n v="1835931.0388680121"/>
    <n v="15"/>
    <n v="0"/>
    <m/>
    <n v="-35000"/>
    <n v="3.2991200980700039"/>
    <n v="-35000"/>
    <n v="-10608.889327937808"/>
    <n v="-35000"/>
    <m/>
    <s v="Private Equity Fund"/>
    <n v="0"/>
    <n v="7.6990031E-2"/>
    <n v="0"/>
    <n v="0"/>
    <m/>
    <m/>
    <m/>
    <m/>
    <m/>
    <m/>
    <m/>
    <m/>
    <m/>
    <m/>
    <m/>
    <d v="2018-04-30T00:00:00"/>
    <n v="5.7784792039241584E-3"/>
    <x v="0"/>
  </r>
  <r>
    <x v="31"/>
    <x v="24"/>
    <s v="SuperA"/>
    <n v="5984925.5465000002"/>
    <n v="1814097.5073933201"/>
    <n v="15"/>
    <n v="0"/>
    <m/>
    <n v="-105000"/>
    <n v="3.2991200980700039"/>
    <n v="-105000"/>
    <n v="-31826.667983813426"/>
    <n v="-105000"/>
    <m/>
    <s v="Private Equity Fund"/>
    <n v="0"/>
    <n v="8.0567323499999996E-2"/>
    <n v="0"/>
    <n v="0"/>
    <m/>
    <m/>
    <m/>
    <m/>
    <m/>
    <m/>
    <m/>
    <m/>
    <m/>
    <m/>
    <m/>
    <d v="2018-05-31T00:00:00"/>
    <n v="5.4430892542036702E-3"/>
    <x v="0"/>
  </r>
  <r>
    <x v="32"/>
    <x v="24"/>
    <s v="SuperA"/>
    <n v="5208303.2494999999"/>
    <n v="1578694.6502938387"/>
    <n v="15"/>
    <n v="0"/>
    <m/>
    <n v="-839000"/>
    <n v="3.2991200980700039"/>
    <n v="-839000"/>
    <n v="-254310.23274685204"/>
    <n v="-6047303.2494999999"/>
    <m/>
    <s v="Private Equity Fund"/>
    <n v="0"/>
    <n v="8.0567323499999996E-2"/>
    <n v="0"/>
    <n v="0"/>
    <m/>
    <m/>
    <m/>
    <m/>
    <m/>
    <m/>
    <m/>
    <m/>
    <m/>
    <m/>
    <m/>
    <d v="2018-06-29T00:00:00"/>
    <n v="1.0422469338232432E-2"/>
    <x v="0"/>
  </r>
  <r>
    <x v="33"/>
    <x v="24"/>
    <s v="SuperA"/>
    <n v="5208303.2494999999"/>
    <n v="1578694.6502938387"/>
    <n v="15"/>
    <n v="0"/>
    <m/>
    <n v="-839000"/>
    <n v="3.2991200980700039"/>
    <n v="-839000"/>
    <n v="-254310.23274685204"/>
    <n v="-839000"/>
    <m/>
    <s v="Private Equity Fund"/>
    <n v="0"/>
    <n v="8.0567323499999996E-2"/>
    <n v="0"/>
    <n v="0"/>
    <m/>
    <m/>
    <m/>
    <m/>
    <m/>
    <m/>
    <m/>
    <m/>
    <m/>
    <m/>
    <m/>
    <d v="2018-07-31T00:00:00"/>
    <n v="0.16108893046512684"/>
    <x v="0"/>
  </r>
  <r>
    <x v="214"/>
    <x v="25"/>
    <s v="Tanker"/>
    <n v="999999.5"/>
    <n v="1006989.190505153"/>
    <m/>
    <n v="1000000"/>
    <n v="0"/>
    <n v="0"/>
    <n v="0.99305882270528978"/>
    <n v="1000000"/>
    <n v="1006989.190505153"/>
    <n v="1000000"/>
    <m/>
    <s v="Private Equity Fund"/>
    <n v="0"/>
    <n v="0"/>
    <n v="0"/>
    <n v="0"/>
    <m/>
    <m/>
    <m/>
    <m/>
    <m/>
    <m/>
    <m/>
    <m/>
    <m/>
    <m/>
    <m/>
    <d v="2017-12-31T00:00:00"/>
    <n v="-4.9999999995886668E-7"/>
    <x v="0"/>
  </r>
  <r>
    <x v="27"/>
    <x v="25"/>
    <s v="Tanker"/>
    <n v="999946.76"/>
    <n v="1006936.0818686915"/>
    <m/>
    <m/>
    <n v="0"/>
    <n v="0"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-5.2740026370012849E-5"/>
    <x v="0"/>
  </r>
  <r>
    <x v="28"/>
    <x v="25"/>
    <s v="Tanker"/>
    <n v="989534.53"/>
    <n v="996451.07356713386"/>
    <m/>
    <m/>
    <n v="0"/>
    <n v="0"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-1.0412784376640172E-2"/>
    <x v="0"/>
  </r>
  <r>
    <x v="29"/>
    <x v="25"/>
    <s v="Tanker"/>
    <n v="978868.91578947369"/>
    <n v="985710.90997695387"/>
    <m/>
    <m/>
    <n v="0"/>
    <n v="0"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-1.0778415393474239E-2"/>
    <x v="0"/>
  </r>
  <r>
    <x v="30"/>
    <x v="25"/>
    <s v="Tanker"/>
    <n v="978596.59"/>
    <n v="985436.68071354344"/>
    <m/>
    <m/>
    <n v="0"/>
    <n v="0"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-2.7820455331761806E-4"/>
    <x v="0"/>
  </r>
  <r>
    <x v="31"/>
    <x v="25"/>
    <s v="Tanker"/>
    <n v="968896.22894736845"/>
    <n v="975668.51710546447"/>
    <m/>
    <m/>
    <n v="0"/>
    <n v="0"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9.9125228431784507E-3"/>
    <x v="0"/>
  </r>
  <r>
    <x v="32"/>
    <x v="25"/>
    <s v="Tanker"/>
    <n v="945890.25263157894"/>
    <n v="952501.73605505633"/>
    <m/>
    <m/>
    <n v="0"/>
    <n v="0"/>
    <n v="0.99305882270528978"/>
    <n v="0"/>
    <n v="0"/>
    <n v="-945890.25263157894"/>
    <m/>
    <s v="Private Equity Fund"/>
    <n v="0"/>
    <n v="0"/>
    <n v="0"/>
    <n v="0"/>
    <m/>
    <m/>
    <m/>
    <m/>
    <m/>
    <m/>
    <m/>
    <m/>
    <m/>
    <m/>
    <m/>
    <d v="2018-06-29T00:00:00"/>
    <n v="-2.3744520443416017E-2"/>
    <x v="0"/>
  </r>
  <r>
    <x v="33"/>
    <x v="25"/>
    <s v="Tanker"/>
    <n v="945890.25263157894"/>
    <n v="952501.73605505633"/>
    <m/>
    <m/>
    <n v="0"/>
    <n v="0"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0"/>
  </r>
  <r>
    <x v="215"/>
    <x v="26"/>
    <s v="Televisi"/>
    <n v="30000000"/>
    <n v="30000000"/>
    <m/>
    <n v="30000000"/>
    <n v="0"/>
    <n v="0"/>
    <n v="1"/>
    <n v="30000000"/>
    <n v="30000000"/>
    <n v="30000000"/>
    <m/>
    <s v="Private Equity Fund"/>
    <n v="0"/>
    <n v="0"/>
    <n v="0"/>
    <n v="0"/>
    <m/>
    <m/>
    <m/>
    <m/>
    <m/>
    <m/>
    <m/>
    <m/>
    <m/>
    <m/>
    <m/>
    <d v="2016-04-27T00:00:00"/>
    <n v="0"/>
    <x v="0"/>
  </r>
  <r>
    <x v="6"/>
    <x v="26"/>
    <s v="Televisi"/>
    <n v="29999989.285714298"/>
    <n v="29999989.285714298"/>
    <m/>
    <m/>
    <n v="0"/>
    <n v="0"/>
    <n v="1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-3.5714285673282831E-7"/>
    <x v="0"/>
  </r>
  <r>
    <x v="7"/>
    <x v="26"/>
    <s v="Televisi"/>
    <n v="29322203.8983973"/>
    <n v="29322203.8983973"/>
    <m/>
    <m/>
    <n v="0"/>
    <n v="-1049999.9999999998"/>
    <n v="1"/>
    <n v="-1049999.9999999998"/>
    <n v="-1049999.9999999998"/>
    <n v="-1049999.9999999998"/>
    <m/>
    <s v="Private Equity Fund"/>
    <n v="2.3249997892637903E-2"/>
    <n v="2.3249997892637927E-2"/>
    <n v="0"/>
    <n v="0"/>
    <m/>
    <m/>
    <m/>
    <m/>
    <m/>
    <m/>
    <m/>
    <m/>
    <m/>
    <m/>
    <m/>
    <d v="2016-05-31T00:00:00"/>
    <n v="1.240715818722804E-2"/>
    <x v="0"/>
  </r>
  <r>
    <x v="8"/>
    <x v="26"/>
    <s v="Televisi"/>
    <n v="29650291.704686102"/>
    <n v="29650291.704686102"/>
    <m/>
    <m/>
    <n v="0"/>
    <n v="0"/>
    <n v="1"/>
    <n v="0"/>
    <n v="0"/>
    <n v="0"/>
    <m/>
    <s v="Private Equity Fund"/>
    <n v="2.74057587912887E-2"/>
    <n v="5.0655756683926662E-2"/>
    <n v="0"/>
    <n v="0"/>
    <m/>
    <m/>
    <m/>
    <m/>
    <m/>
    <m/>
    <m/>
    <m/>
    <m/>
    <m/>
    <m/>
    <d v="2016-06-30T00:00:00"/>
    <n v="1.1189056846669487E-2"/>
    <x v="0"/>
  </r>
  <r>
    <x v="9"/>
    <x v="26"/>
    <s v="Televisi"/>
    <n v="30003938.835981801"/>
    <n v="30003938.835981801"/>
    <m/>
    <m/>
    <n v="0"/>
    <n v="0"/>
    <n v="1"/>
    <n v="0"/>
    <n v="0"/>
    <n v="0"/>
    <m/>
    <s v="Private Equity Fund"/>
    <n v="2.55482077909641E-2"/>
    <n v="7.6203964474890765E-2"/>
    <n v="0"/>
    <n v="0"/>
    <m/>
    <m/>
    <m/>
    <m/>
    <m/>
    <m/>
    <m/>
    <m/>
    <m/>
    <m/>
    <m/>
    <d v="2016-07-29T00:00:00"/>
    <n v="1.1927273256465476E-2"/>
    <x v="0"/>
  </r>
  <r>
    <x v="10"/>
    <x v="26"/>
    <s v="Televisi"/>
    <n v="29717264.358937398"/>
    <n v="29717264.358937398"/>
    <m/>
    <m/>
    <n v="0"/>
    <n v="-700000"/>
    <n v="1"/>
    <n v="-700000"/>
    <n v="-700000"/>
    <n v="-700000"/>
    <m/>
    <s v="Private Equity Fund"/>
    <n v="2.98506325920645E-2"/>
    <n v="0.10605459706695528"/>
    <n v="0"/>
    <n v="0"/>
    <m/>
    <m/>
    <m/>
    <m/>
    <m/>
    <m/>
    <m/>
    <m/>
    <m/>
    <m/>
    <m/>
    <d v="2016-08-31T00:00:00"/>
    <n v="1.3775708756609051E-2"/>
    <x v="0"/>
  </r>
  <r>
    <x v="11"/>
    <x v="26"/>
    <s v="Televisi"/>
    <n v="29604490.160641208"/>
    <n v="29604490.160641208"/>
    <m/>
    <m/>
    <n v="0"/>
    <n v="-350000"/>
    <n v="1"/>
    <n v="-350000"/>
    <n v="-350000"/>
    <n v="-350000"/>
    <m/>
    <s v="Private Equity Fund"/>
    <n v="4.1666666666666701E-3"/>
    <n v="0.12329691623627545"/>
    <n v="0"/>
    <n v="0"/>
    <m/>
    <m/>
    <m/>
    <m/>
    <m/>
    <m/>
    <m/>
    <m/>
    <m/>
    <m/>
    <m/>
    <d v="2016-09-30T00:00:00"/>
    <n v="7.9827604196167634E-3"/>
    <x v="0"/>
  </r>
  <r>
    <x v="12"/>
    <x v="26"/>
    <s v="Televisi"/>
    <n v="30011116.047060501"/>
    <n v="30011116.047060501"/>
    <m/>
    <m/>
    <n v="0"/>
    <n v="0"/>
    <n v="1"/>
    <n v="0"/>
    <n v="0"/>
    <n v="0"/>
    <m/>
    <s v="Private Equity Fund"/>
    <n v="4.3055555555555503E-3"/>
    <n v="0.15264916209162502"/>
    <n v="0"/>
    <n v="0"/>
    <m/>
    <m/>
    <m/>
    <m/>
    <m/>
    <m/>
    <m/>
    <m/>
    <m/>
    <m/>
    <m/>
    <d v="2016-10-31T00:00:00"/>
    <n v="1.3735277460035222E-2"/>
    <x v="0"/>
  </r>
  <r>
    <x v="13"/>
    <x v="26"/>
    <s v="Televisi"/>
    <n v="29283663"/>
    <n v="29283663"/>
    <m/>
    <m/>
    <n v="0"/>
    <n v="-1050000"/>
    <n v="1"/>
    <n v="-1050000"/>
    <n v="-1050000"/>
    <n v="-1050000"/>
    <m/>
    <s v="Private Equity Fund"/>
    <n v="4.1666666666666701E-3"/>
    <n v="0.17598585617866802"/>
    <n v="0"/>
    <n v="0"/>
    <m/>
    <m/>
    <m/>
    <m/>
    <m/>
    <m/>
    <m/>
    <m/>
    <m/>
    <m/>
    <m/>
    <d v="2016-11-30T00:00:00"/>
    <n v="1.0747582743464434E-2"/>
    <x v="0"/>
  </r>
  <r>
    <x v="14"/>
    <x v="26"/>
    <s v="Televisi"/>
    <n v="29571609.140000001"/>
    <n v="29571609.140000001"/>
    <m/>
    <m/>
    <n v="0"/>
    <n v="0"/>
    <n v="1"/>
    <n v="0"/>
    <n v="0"/>
    <n v="0"/>
    <m/>
    <s v="Private Equity Fund"/>
    <n v="4.1666666666666597E-3"/>
    <n v="0.19685104933018499"/>
    <n v="0"/>
    <n v="0"/>
    <m/>
    <m/>
    <m/>
    <m/>
    <m/>
    <m/>
    <m/>
    <m/>
    <m/>
    <m/>
    <m/>
    <d v="2016-12-30T00:00:00"/>
    <n v="9.8329959609220197E-3"/>
    <x v="0"/>
  </r>
  <r>
    <x v="15"/>
    <x v="26"/>
    <s v="Televisi"/>
    <n v="29849244.050000001"/>
    <n v="29849244.050000001"/>
    <m/>
    <m/>
    <n v="0"/>
    <n v="0"/>
    <n v="1"/>
    <n v="0"/>
    <n v="0"/>
    <n v="0"/>
    <m/>
    <s v="Private Equity Fund"/>
    <n v="3.8888888888888901E-3"/>
    <n v="0.21695989226283702"/>
    <n v="0"/>
    <n v="0"/>
    <m/>
    <m/>
    <m/>
    <m/>
    <m/>
    <m/>
    <m/>
    <m/>
    <m/>
    <m/>
    <m/>
    <d v="2017-01-27T00:00:00"/>
    <n v="9.3885628166394675E-3"/>
    <x v="0"/>
  </r>
  <r>
    <x v="16"/>
    <x v="26"/>
    <s v="Televisi"/>
    <n v="29173209.593673799"/>
    <n v="29173209.593673799"/>
    <m/>
    <m/>
    <n v="0"/>
    <n v="-1050000"/>
    <n v="1"/>
    <n v="-1050000"/>
    <n v="-1050000"/>
    <n v="-1050000"/>
    <m/>
    <s v="Private Equity Fund"/>
    <n v="4.4444444444444496E-3"/>
    <n v="0.243989177325909"/>
    <n v="0"/>
    <n v="0"/>
    <m/>
    <m/>
    <m/>
    <m/>
    <m/>
    <m/>
    <m/>
    <m/>
    <m/>
    <m/>
    <m/>
    <d v="2017-02-28T00:00:00"/>
    <n v="1.2528476200180272E-2"/>
    <x v="0"/>
  </r>
  <r>
    <x v="17"/>
    <x v="26"/>
    <s v="Televisi"/>
    <n v="29669203.509999998"/>
    <n v="29669203.509999998"/>
    <m/>
    <m/>
    <n v="0"/>
    <n v="0"/>
    <n v="1"/>
    <n v="0"/>
    <n v="0"/>
    <n v="0"/>
    <m/>
    <s v="Private Equity Fund"/>
    <n v="4.3055555555555547E-3"/>
    <n v="0.27972485000000002"/>
    <n v="0"/>
    <n v="0"/>
    <m/>
    <m/>
    <m/>
    <m/>
    <m/>
    <m/>
    <m/>
    <m/>
    <m/>
    <m/>
    <m/>
    <d v="2017-03-31T00:00:00"/>
    <n v="1.7001691731366897E-2"/>
    <x v="0"/>
  </r>
  <r>
    <x v="18"/>
    <x v="26"/>
    <s v="Televisi"/>
    <n v="30034146.32"/>
    <n v="30034146.32"/>
    <m/>
    <m/>
    <n v="0"/>
    <n v="0"/>
    <n v="1"/>
    <n v="0"/>
    <n v="0"/>
    <n v="0"/>
    <m/>
    <s v="Private Equity Fund"/>
    <n v="3.8888899999999999E-3"/>
    <n v="0.30606998000000002"/>
    <n v="0"/>
    <n v="0"/>
    <m/>
    <m/>
    <m/>
    <m/>
    <m/>
    <m/>
    <m/>
    <m/>
    <m/>
    <m/>
    <m/>
    <d v="2017-04-28T00:00:00"/>
    <n v="1.2300391207906936E-2"/>
    <x v="0"/>
  </r>
  <r>
    <x v="19"/>
    <x v="26"/>
    <s v="Televisi"/>
    <n v="29388526.884210601"/>
    <n v="29388526.884210601"/>
    <m/>
    <m/>
    <n v="0"/>
    <n v="-1050000"/>
    <n v="1"/>
    <n v="-1050000"/>
    <n v="-1050000"/>
    <n v="-1050000"/>
    <m/>
    <s v="Private Equity Fund"/>
    <n v="1.07429130462531E-2"/>
    <n v="0.33572165218501199"/>
    <n v="0"/>
    <n v="0"/>
    <m/>
    <m/>
    <m/>
    <m/>
    <m/>
    <m/>
    <m/>
    <m/>
    <m/>
    <m/>
    <m/>
    <d v="2017-05-31T00:00:00"/>
    <n v="1.3464027240931431E-2"/>
    <x v="0"/>
  </r>
  <r>
    <x v="20"/>
    <x v="26"/>
    <s v="Televisi"/>
    <n v="29725696.643229801"/>
    <n v="29725696.643229801"/>
    <m/>
    <m/>
    <n v="0"/>
    <n v="0"/>
    <n v="1"/>
    <n v="0"/>
    <n v="0"/>
    <n v="0"/>
    <m/>
    <s v="Private Equity Fund"/>
    <n v="5.9582999999999997E-2"/>
    <n v="0.37268499999999999"/>
    <n v="0"/>
    <n v="0"/>
    <m/>
    <m/>
    <m/>
    <m/>
    <m/>
    <m/>
    <m/>
    <m/>
    <m/>
    <m/>
    <m/>
    <d v="2017-06-30T00:00:00"/>
    <n v="1.1472836333295433E-2"/>
    <x v="0"/>
  </r>
  <r>
    <x v="21"/>
    <x v="26"/>
    <s v="Televisi"/>
    <n v="30120000"/>
    <n v="30120000"/>
    <m/>
    <m/>
    <n v="0"/>
    <n v="0"/>
    <n v="1"/>
    <n v="0"/>
    <n v="0"/>
    <n v="0"/>
    <m/>
    <s v="Private Equity Fund"/>
    <n v="6.3889000000000001E-2"/>
    <n v="0.4091204"/>
    <n v="0"/>
    <n v="0"/>
    <m/>
    <m/>
    <m/>
    <m/>
    <m/>
    <m/>
    <m/>
    <m/>
    <m/>
    <m/>
    <m/>
    <d v="2017-07-31T00:00:00"/>
    <n v="1.3264730563009586E-2"/>
    <x v="0"/>
  </r>
  <r>
    <x v="22"/>
    <x v="26"/>
    <s v="Televisi"/>
    <n v="29449328.25"/>
    <n v="29449328.25"/>
    <m/>
    <m/>
    <n v="0"/>
    <n v="-1050000"/>
    <n v="1"/>
    <n v="-1050000"/>
    <n v="-1050000"/>
    <n v="-1050000"/>
    <m/>
    <s v="Private Equity Fund"/>
    <n v="6.8199999999999997E-2"/>
    <n v="0.48299999999999998"/>
    <n v="0"/>
    <n v="0"/>
    <m/>
    <m/>
    <m/>
    <m/>
    <m/>
    <m/>
    <m/>
    <m/>
    <m/>
    <m/>
    <m/>
    <d v="2017-08-31T00:00:00"/>
    <n v="1.2593899402390418E-2"/>
    <x v="0"/>
  </r>
  <r>
    <x v="23"/>
    <x v="26"/>
    <s v="Televisi"/>
    <n v="29702703"/>
    <n v="29702703"/>
    <m/>
    <m/>
    <n v="0"/>
    <n v="0"/>
    <n v="1"/>
    <n v="0"/>
    <n v="0"/>
    <n v="0"/>
    <m/>
    <s v="Private Equity Fund"/>
    <n v="4.0277777777777803E-3"/>
    <n v="0.46650838256895905"/>
    <n v="0"/>
    <n v="0"/>
    <m/>
    <m/>
    <m/>
    <m/>
    <m/>
    <m/>
    <m/>
    <m/>
    <m/>
    <m/>
    <m/>
    <d v="2017-09-29T00:00:00"/>
    <n v="8.6037531263551958E-3"/>
    <x v="0"/>
  </r>
  <r>
    <x v="24"/>
    <x v="26"/>
    <s v="Televisi"/>
    <n v="28997985.784473099"/>
    <n v="28997985.784473099"/>
    <m/>
    <m/>
    <n v="0"/>
    <n v="0"/>
    <n v="1"/>
    <n v="0"/>
    <n v="0"/>
    <n v="0"/>
    <m/>
    <s v="Private Equity Fund"/>
    <n v="4.4444444444444696E-3"/>
    <n v="0.49805931373997997"/>
    <n v="0"/>
    <n v="0"/>
    <m/>
    <m/>
    <m/>
    <m/>
    <m/>
    <m/>
    <m/>
    <m/>
    <m/>
    <m/>
    <m/>
    <d v="2017-10-31T00:00:00"/>
    <n v="-2.3725693096917855E-2"/>
    <x v="0"/>
  </r>
  <r>
    <x v="25"/>
    <x v="26"/>
    <s v="Televisi"/>
    <n v="29359187.583866201"/>
    <n v="29359187.583866201"/>
    <m/>
    <m/>
    <n v="0"/>
    <n v="-1050000"/>
    <n v="1"/>
    <n v="-1050000"/>
    <n v="-1050000"/>
    <n v="-1050000"/>
    <m/>
    <s v="Private Equity Fund"/>
    <n v="4.1666666666666293E-3"/>
    <n v="0.53104735610904796"/>
    <n v="0"/>
    <n v="0"/>
    <m/>
    <m/>
    <m/>
    <m/>
    <m/>
    <m/>
    <m/>
    <m/>
    <m/>
    <m/>
    <m/>
    <d v="2017-11-30T00:00:00"/>
    <n v="4.8665511111076087E-2"/>
    <x v="0"/>
  </r>
  <r>
    <x v="26"/>
    <x v="26"/>
    <s v="Televisi"/>
    <n v="29768504.07"/>
    <n v="29768504.07"/>
    <m/>
    <m/>
    <n v="0"/>
    <n v="0"/>
    <n v="1"/>
    <n v="0"/>
    <n v="0"/>
    <n v="0"/>
    <m/>
    <s v="Private Equity Fund"/>
    <n v="4.0280000000000003E-3"/>
    <n v="0.56840400000000002"/>
    <n v="0"/>
    <n v="0"/>
    <m/>
    <m/>
    <m/>
    <m/>
    <m/>
    <m/>
    <m/>
    <m/>
    <m/>
    <m/>
    <m/>
    <d v="2017-12-29T00:00:00"/>
    <n v="1.3941682989849769E-2"/>
    <x v="0"/>
  </r>
  <r>
    <x v="27"/>
    <x v="26"/>
    <s v="Televisi"/>
    <n v="29846675.48"/>
    <n v="29846675.48"/>
    <m/>
    <m/>
    <n v="0"/>
    <n v="0"/>
    <n v="1"/>
    <n v="0"/>
    <n v="0"/>
    <n v="0"/>
    <m/>
    <s v="Private Equity Fund"/>
    <n v="4.5830000000000003E-3"/>
    <n v="0.60749600000000004"/>
    <n v="0"/>
    <n v="0"/>
    <m/>
    <m/>
    <m/>
    <m/>
    <m/>
    <m/>
    <m/>
    <m/>
    <m/>
    <m/>
    <m/>
    <d v="2018-01-31T00:00:00"/>
    <n v="2.6259771003669385E-3"/>
    <x v="0"/>
  </r>
  <r>
    <x v="28"/>
    <x v="26"/>
    <s v="Televisi"/>
    <n v="30452765.579999998"/>
    <n v="30452765.579999998"/>
    <m/>
    <m/>
    <n v="0"/>
    <n v="-1050000"/>
    <n v="1"/>
    <n v="-1050000"/>
    <n v="-1050000"/>
    <n v="-1050000"/>
    <m/>
    <s v="Private Equity Fund"/>
    <n v="3.8890000000000001E-3"/>
    <n v="0.63493299999999997"/>
    <n v="0"/>
    <n v="0"/>
    <m/>
    <m/>
    <m/>
    <m/>
    <m/>
    <m/>
    <m/>
    <m/>
    <m/>
    <m/>
    <m/>
    <d v="2018-02-28T00:00:00"/>
    <n v="5.5486585134405741E-2"/>
    <x v="0"/>
  </r>
  <r>
    <x v="29"/>
    <x v="26"/>
    <s v="Televisi"/>
    <n v="29849416.3667624"/>
    <n v="29849416.3667624"/>
    <m/>
    <m/>
    <n v="0"/>
    <n v="0"/>
    <n v="1"/>
    <n v="0"/>
    <n v="0"/>
    <n v="0"/>
    <m/>
    <s v="Private Equity Fund"/>
    <n v="3.8890000000000001E-3"/>
    <n v="0.59619800000000001"/>
    <n v="0"/>
    <n v="0"/>
    <m/>
    <m/>
    <m/>
    <m/>
    <m/>
    <m/>
    <m/>
    <m/>
    <m/>
    <m/>
    <m/>
    <d v="2018-03-29T00:00:00"/>
    <n v="-1.9812624625260677E-2"/>
    <x v="0"/>
  </r>
  <r>
    <x v="30"/>
    <x v="26"/>
    <s v="Televisi"/>
    <n v="30289645.559999999"/>
    <n v="30289645.559999999"/>
    <m/>
    <m/>
    <n v="0"/>
    <n v="0"/>
    <n v="1"/>
    <n v="0"/>
    <n v="0"/>
    <n v="0"/>
    <m/>
    <s v="Private Equity Fund"/>
    <n v="4.44444E-3"/>
    <n v="3.1762400000000003E-2"/>
    <n v="0"/>
    <n v="0"/>
    <m/>
    <m/>
    <m/>
    <m/>
    <m/>
    <m/>
    <m/>
    <m/>
    <m/>
    <m/>
    <m/>
    <d v="2018-04-30T00:00:00"/>
    <n v="1.4748335037056082E-2"/>
    <x v="0"/>
  </r>
  <r>
    <x v="31"/>
    <x v="26"/>
    <s v="Televisi"/>
    <n v="30704653.75"/>
    <n v="30704653.75"/>
    <m/>
    <m/>
    <n v="0"/>
    <n v="0"/>
    <n v="1"/>
    <n v="0"/>
    <n v="0"/>
    <n v="0"/>
    <m/>
    <s v="Private Equity Fund"/>
    <n v="4.3055600000000008E-3"/>
    <n v="0.62796079420812501"/>
    <n v="0"/>
    <n v="0"/>
    <m/>
    <m/>
    <m/>
    <m/>
    <m/>
    <m/>
    <m/>
    <m/>
    <m/>
    <m/>
    <m/>
    <d v="2018-05-31T00:00:00"/>
    <n v="1.3701322096289381E-2"/>
    <x v="0"/>
  </r>
  <r>
    <x v="32"/>
    <x v="26"/>
    <s v="Televisi"/>
    <n v="30088729.640000001"/>
    <n v="30088729.640000001"/>
    <m/>
    <m/>
    <n v="0"/>
    <n v="0"/>
    <n v="1"/>
    <n v="0"/>
    <n v="0"/>
    <n v="-30088729.640000001"/>
    <m/>
    <s v="Private Equity Fund"/>
    <n v="4.0277799999999999E-3"/>
    <n v="0.68920489514777905"/>
    <n v="0"/>
    <n v="0"/>
    <m/>
    <m/>
    <m/>
    <m/>
    <m/>
    <m/>
    <m/>
    <m/>
    <m/>
    <m/>
    <m/>
    <d v="2018-06-29T00:00:00"/>
    <n v="-2.0059633794111686E-2"/>
    <x v="0"/>
  </r>
  <r>
    <x v="33"/>
    <x v="26"/>
    <s v="Televisi"/>
    <n v="30088729.640000001"/>
    <n v="30088729.640000001"/>
    <m/>
    <m/>
    <n v="0"/>
    <n v="0"/>
    <n v="1"/>
    <n v="0"/>
    <n v="0"/>
    <n v="0"/>
    <m/>
    <s v="Private Equity Fund"/>
    <n v="4.0277799999999999E-3"/>
    <n v="0.68920489514777905"/>
    <n v="0"/>
    <n v="0"/>
    <m/>
    <m/>
    <m/>
    <m/>
    <m/>
    <m/>
    <m/>
    <m/>
    <m/>
    <m/>
    <m/>
    <d v="2018-07-31T00:00:00"/>
    <n v="0"/>
    <x v="0"/>
  </r>
  <r>
    <x v="216"/>
    <x v="27"/>
    <s v="William"/>
    <n v="14696666.67"/>
    <n v="14696666.67"/>
    <m/>
    <n v="14696666.67"/>
    <n v="0"/>
    <n v="0"/>
    <n v="1"/>
    <n v="14696666.67"/>
    <n v="14696666.67"/>
    <n v="14696666.67"/>
    <m/>
    <s v="Private Equity Fund"/>
    <n v="0"/>
    <n v="0"/>
    <n v="0"/>
    <n v="0"/>
    <m/>
    <m/>
    <m/>
    <m/>
    <m/>
    <m/>
    <m/>
    <m/>
    <m/>
    <m/>
    <m/>
    <d v="2015-07-14T00:00:00"/>
    <n v="0"/>
    <x v="0"/>
  </r>
  <r>
    <x v="193"/>
    <x v="27"/>
    <s v="William"/>
    <n v="14645725.628252827"/>
    <n v="14645725.628252827"/>
    <m/>
    <m/>
    <n v="0"/>
    <n v="-153333.32999999999"/>
    <n v="1"/>
    <n v="-153333.32999999999"/>
    <n v="-153333.32999999999"/>
    <n v="-153333.32999999999"/>
    <m/>
    <s v="Private Equity Fund"/>
    <n v="3.0710641666666667E-3"/>
    <n v="0.56573334322244551"/>
    <n v="0"/>
    <n v="0"/>
    <m/>
    <m/>
    <m/>
    <m/>
    <m/>
    <m/>
    <m/>
    <m/>
    <m/>
    <m/>
    <m/>
    <d v="2015-07-31T00:00:00"/>
    <n v="6.9670416123568391E-3"/>
    <x v="0"/>
  </r>
  <r>
    <x v="194"/>
    <x v="27"/>
    <s v="William"/>
    <n v="14696851.377192808"/>
    <n v="14696851.377192808"/>
    <m/>
    <m/>
    <n v="0"/>
    <n v="-148541.66737316063"/>
    <n v="1"/>
    <n v="-148541.66737316063"/>
    <n v="-148541.66737316063"/>
    <n v="-148541.66737316063"/>
    <m/>
    <s v="Private Equity Fund"/>
    <n v="5.6001758333333327E-3"/>
    <n v="0.57084591811644381"/>
    <n v="0"/>
    <n v="0"/>
    <m/>
    <m/>
    <m/>
    <m/>
    <m/>
    <m/>
    <m/>
    <m/>
    <m/>
    <m/>
    <m/>
    <d v="2015-08-31T00:00:00"/>
    <n v="1.3633152865295095E-2"/>
    <x v="0"/>
  </r>
  <r>
    <x v="195"/>
    <x v="27"/>
    <s v="William"/>
    <n v="14747048.035198668"/>
    <n v="14747048.035198668"/>
    <m/>
    <m/>
    <n v="0"/>
    <n v="-143541.67000000001"/>
    <n v="1"/>
    <n v="-143541.67000000001"/>
    <n v="-143541.67000000001"/>
    <n v="-143541.67000000001"/>
    <m/>
    <s v="Private Equity Fund"/>
    <n v="5.4195249999999997E-3"/>
    <n v="0.57586558391702969"/>
    <n v="0"/>
    <n v="0"/>
    <m/>
    <m/>
    <m/>
    <m/>
    <m/>
    <m/>
    <m/>
    <m/>
    <m/>
    <m/>
    <m/>
    <d v="2015-09-30T00:00:00"/>
    <n v="1.3182301639554694E-2"/>
    <x v="0"/>
  </r>
  <r>
    <x v="196"/>
    <x v="27"/>
    <s v="William"/>
    <n v="14792962.810864134"/>
    <n v="14792962.810864134"/>
    <m/>
    <m/>
    <n v="0"/>
    <n v="-143541.67000000001"/>
    <n v="1"/>
    <n v="-143541.67000000001"/>
    <n v="-143541.67000000001"/>
    <n v="-143541.67000000001"/>
    <m/>
    <s v="Private Equity Fund"/>
    <n v="5.4195249999999997E-3"/>
    <n v="0.58045706148357634"/>
    <n v="0"/>
    <n v="0"/>
    <m/>
    <m/>
    <m/>
    <m/>
    <m/>
    <m/>
    <m/>
    <m/>
    <m/>
    <m/>
    <m/>
    <d v="2015-10-30T00:00:00"/>
    <n v="1.2847075917381323E-2"/>
    <x v="0"/>
  </r>
  <r>
    <x v="1"/>
    <x v="27"/>
    <s v="William"/>
    <n v="14851119.460035175"/>
    <n v="14851119.460035175"/>
    <m/>
    <m/>
    <n v="0"/>
    <n v="-143541.67000000001"/>
    <n v="1"/>
    <n v="-143541.67000000001"/>
    <n v="-143541.67000000001"/>
    <n v="-143541.67000000001"/>
    <m/>
    <s v="Private Equity Fund"/>
    <n v="5.6001758333333327E-3"/>
    <n v="0.5862727264006804"/>
    <n v="0"/>
    <n v="0"/>
    <m/>
    <m/>
    <m/>
    <m/>
    <m/>
    <m/>
    <m/>
    <m/>
    <m/>
    <m/>
    <m/>
    <d v="2015-11-30T00:00:00"/>
    <n v="1.3634747937236069E-2"/>
    <x v="0"/>
  </r>
  <r>
    <x v="2"/>
    <x v="27"/>
    <s v="William"/>
    <n v="14756596.616155753"/>
    <n v="14756596.616155753"/>
    <m/>
    <m/>
    <n v="0"/>
    <n v="-293750"/>
    <n v="1"/>
    <n v="-293750"/>
    <n v="-293750"/>
    <n v="-293750"/>
    <m/>
    <s v="Private Equity Fund"/>
    <n v="5.6001758333333327E-3"/>
    <n v="0.57682044201273808"/>
    <n v="0"/>
    <n v="0"/>
    <m/>
    <m/>
    <m/>
    <m/>
    <m/>
    <m/>
    <m/>
    <m/>
    <m/>
    <m/>
    <m/>
    <d v="2015-12-31T00:00:00"/>
    <n v="1.3414958828976031E-2"/>
    <x v="0"/>
  </r>
  <r>
    <x v="3"/>
    <x v="27"/>
    <s v="William"/>
    <n v="14794570.903602375"/>
    <n v="14794570.903602375"/>
    <m/>
    <m/>
    <n v="0"/>
    <n v="-152463.91"/>
    <n v="1"/>
    <n v="-152463.91"/>
    <n v="-152463.91"/>
    <n v="-152463.91"/>
    <m/>
    <s v="Private Equity Fund"/>
    <n v="5.2388741666666667E-3"/>
    <n v="0.58061787075740046"/>
    <n v="0"/>
    <n v="0"/>
    <m/>
    <m/>
    <m/>
    <m/>
    <m/>
    <m/>
    <m/>
    <m/>
    <m/>
    <m/>
    <m/>
    <d v="2016-01-29T00:00:00"/>
    <n v="1.2905292622699127E-2"/>
    <x v="0"/>
  </r>
  <r>
    <x v="4"/>
    <x v="27"/>
    <s v="William"/>
    <n v="14843893.495419782"/>
    <n v="14843893.495419782"/>
    <m/>
    <m/>
    <n v="0"/>
    <n v="-158922.24333333335"/>
    <n v="1"/>
    <n v="-158922.24333333335"/>
    <n v="-158922.24333333335"/>
    <n v="-158922.24333333335"/>
    <m/>
    <s v="Private Equity Fund"/>
    <n v="5.6001758333333327E-3"/>
    <n v="0.58555012993914102"/>
    <n v="0"/>
    <n v="0"/>
    <m/>
    <m/>
    <m/>
    <m/>
    <m/>
    <m/>
    <m/>
    <m/>
    <m/>
    <m/>
    <m/>
    <d v="2016-02-29T00:00:00"/>
    <n v="1.4075760392620484E-2"/>
    <x v="0"/>
  </r>
  <r>
    <x v="5"/>
    <x v="27"/>
    <s v="William"/>
    <n v="14904099.34772088"/>
    <n v="14904099.34772088"/>
    <m/>
    <m/>
    <n v="0"/>
    <n v="-148669.09666666665"/>
    <n v="1"/>
    <n v="-148669.09666666665"/>
    <n v="-148669.09666666665"/>
    <n v="-148669.09666666665"/>
    <m/>
    <s v="Private Equity Fund"/>
    <n v="5.6001758333333327E-3"/>
    <n v="0.59157071516925086"/>
    <n v="0"/>
    <n v="0"/>
    <m/>
    <m/>
    <m/>
    <m/>
    <m/>
    <m/>
    <m/>
    <m/>
    <m/>
    <m/>
    <m/>
    <d v="2016-03-31T00:00:00"/>
    <n v="1.407143947995948E-2"/>
    <x v="0"/>
  </r>
  <r>
    <x v="6"/>
    <x v="27"/>
    <s v="William"/>
    <n v="14944913.319970088"/>
    <n v="14944913.319970088"/>
    <m/>
    <m/>
    <n v="0"/>
    <n v="-158327.3833333333"/>
    <n v="1"/>
    <n v="-158327.3833333333"/>
    <n v="-158327.3833333333"/>
    <n v="-158327.3833333333"/>
    <m/>
    <s v="Private Equity Fund"/>
    <n v="5.2388741666666667E-3"/>
    <n v="0.5956521123941716"/>
    <n v="0"/>
    <n v="0"/>
    <m/>
    <m/>
    <m/>
    <m/>
    <m/>
    <m/>
    <m/>
    <m/>
    <m/>
    <m/>
    <m/>
    <d v="2016-04-29T00:00:00"/>
    <n v="1.3361515576115091E-2"/>
    <x v="0"/>
  </r>
  <r>
    <x v="7"/>
    <x v="27"/>
    <s v="William"/>
    <n v="15008517.709309621"/>
    <n v="15008517.709309621"/>
    <m/>
    <m/>
    <n v="0"/>
    <n v="-147545.66"/>
    <n v="1"/>
    <n v="-147545.66"/>
    <n v="-147545.66"/>
    <n v="-147545.66"/>
    <m/>
    <s v="Private Equity Fund"/>
    <n v="5.7808266666666665E-3"/>
    <n v="0.60201255132812492"/>
    <n v="0"/>
    <n v="0"/>
    <m/>
    <m/>
    <m/>
    <m/>
    <m/>
    <m/>
    <m/>
    <m/>
    <m/>
    <m/>
    <m/>
    <d v="2016-05-31T00:00:00"/>
    <n v="1.4128556306672202E-2"/>
    <x v="0"/>
  </r>
  <r>
    <x v="8"/>
    <x v="27"/>
    <s v="William"/>
    <n v="14654670.005635561"/>
    <n v="14654670.005635561"/>
    <m/>
    <m/>
    <n v="0"/>
    <n v="-547875.67000000004"/>
    <n v="1"/>
    <n v="-547875.67000000004"/>
    <n v="-547875.67000000004"/>
    <n v="-547875.67000000004"/>
    <m/>
    <s v="Private Equity Fund"/>
    <n v="5.4195249999999997E-3"/>
    <n v="0.56662778096071897"/>
    <n v="0"/>
    <n v="0"/>
    <m/>
    <m/>
    <m/>
    <m/>
    <m/>
    <m/>
    <m/>
    <m/>
    <m/>
    <m/>
    <m/>
    <d v="2016-06-30T00:00:00"/>
    <n v="1.2927856706701046E-2"/>
    <x v="0"/>
  </r>
  <r>
    <x v="9"/>
    <x v="27"/>
    <s v="William"/>
    <n v="14848729.8660897"/>
    <n v="14848729.8660897"/>
    <m/>
    <m/>
    <n v="0"/>
    <n v="0"/>
    <n v="1"/>
    <n v="0"/>
    <n v="0"/>
    <n v="0"/>
    <m/>
    <s v="Private Equity Fund"/>
    <n v="5.2388741666666667E-3"/>
    <n v="0.58603376700613286"/>
    <n v="0"/>
    <n v="0"/>
    <m/>
    <m/>
    <m/>
    <m/>
    <m/>
    <m/>
    <m/>
    <m/>
    <m/>
    <m/>
    <m/>
    <d v="2016-07-29T00:00:00"/>
    <n v="1.3242185622706737E-2"/>
    <x v="0"/>
  </r>
  <r>
    <x v="10"/>
    <x v="27"/>
    <s v="William"/>
    <n v="14760472.054414799"/>
    <n v="14760472.054414799"/>
    <m/>
    <m/>
    <n v="0"/>
    <n v="-296317.45999999996"/>
    <n v="1"/>
    <n v="-296317.45999999996"/>
    <n v="-296317.45999999996"/>
    <n v="-296317.45999999996"/>
    <m/>
    <s v="Private Equity Fund"/>
    <n v="5.9614775000000004E-3"/>
    <n v="0.57720798583864286"/>
    <n v="0"/>
    <n v="0"/>
    <m/>
    <m/>
    <m/>
    <m/>
    <m/>
    <m/>
    <m/>
    <m/>
    <m/>
    <m/>
    <m/>
    <d v="2016-08-31T00:00:00"/>
    <n v="1.4011949183630135E-2"/>
    <x v="0"/>
  </r>
  <r>
    <x v="11"/>
    <x v="27"/>
    <s v="William"/>
    <n v="14434308.1285714"/>
    <n v="14434308.1285714"/>
    <m/>
    <m/>
    <n v="0"/>
    <n v="-524658.50268499996"/>
    <n v="1"/>
    <n v="-524658.50268499996"/>
    <n v="-524658.50268499996"/>
    <n v="-524658.50268499996"/>
    <m/>
    <s v="Private Equity Fund"/>
    <n v="5.4195249999999997E-3"/>
    <n v="0.34258568942631895"/>
    <n v="0"/>
    <n v="0"/>
    <m/>
    <m/>
    <m/>
    <m/>
    <m/>
    <m/>
    <m/>
    <m/>
    <m/>
    <m/>
    <m/>
    <d v="2016-09-30T00:00:00"/>
    <n v="1.3447711977628174E-2"/>
    <x v="0"/>
  </r>
  <r>
    <x v="12"/>
    <x v="27"/>
    <s v="William"/>
    <n v="14336357.077197701"/>
    <n v="14336357.077197701"/>
    <m/>
    <m/>
    <n v="0"/>
    <n v="-299100.94965416699"/>
    <n v="1"/>
    <n v="-299100.94965416699"/>
    <n v="-299100.94965416699"/>
    <n v="-299100.94965416699"/>
    <m/>
    <s v="Private Equity Fund"/>
    <n v="5.6001758333333327E-3"/>
    <n v="0.29304712999999999"/>
    <n v="0"/>
    <n v="0"/>
    <m/>
    <m/>
    <m/>
    <m/>
    <m/>
    <m/>
    <m/>
    <m/>
    <m/>
    <m/>
    <m/>
    <d v="2016-10-31T00:00:00"/>
    <n v="1.393554138437092E-2"/>
    <x v="0"/>
  </r>
  <r>
    <x v="13"/>
    <x v="27"/>
    <s v="William"/>
    <n v="14385027.551208399"/>
    <n v="14385027.551208399"/>
    <m/>
    <m/>
    <n v="0"/>
    <n v="-145042.85230930601"/>
    <n v="1"/>
    <n v="-145042.85230930601"/>
    <n v="-145042.85230930601"/>
    <n v="-145042.85230930601"/>
    <m/>
    <s v="Private Equity Fund"/>
    <n v="5.4195249999999997E-3"/>
    <n v="0.34123275109635498"/>
    <n v="0"/>
    <n v="0"/>
    <m/>
    <m/>
    <m/>
    <m/>
    <m/>
    <m/>
    <m/>
    <m/>
    <m/>
    <m/>
    <m/>
    <d v="2016-11-30T00:00:00"/>
    <n v="1.3512032748410618E-2"/>
    <x v="0"/>
  </r>
  <r>
    <x v="14"/>
    <x v="27"/>
    <s v="William"/>
    <n v="14385501.470089899"/>
    <n v="14385501.470089899"/>
    <m/>
    <m/>
    <n v="0"/>
    <n v="-210672.019654167"/>
    <n v="1"/>
    <n v="-210672.019654167"/>
    <n v="-210672.019654167"/>
    <n v="-210672.019654167"/>
    <m/>
    <s v="Private Equity Fund"/>
    <n v="5.4195249999999997E-3"/>
    <n v="0.38213621990000801"/>
    <n v="0"/>
    <n v="0"/>
    <m/>
    <m/>
    <m/>
    <m/>
    <m/>
    <m/>
    <m/>
    <m/>
    <m/>
    <m/>
    <m/>
    <d v="2016-12-30T00:00:00"/>
    <n v="1.4678174079543638E-2"/>
    <x v="0"/>
  </r>
  <r>
    <x v="15"/>
    <x v="27"/>
    <s v="William"/>
    <n v="14358310.264785901"/>
    <n v="14358310.264785901"/>
    <m/>
    <m/>
    <n v="0"/>
    <n v="-210672.02230930599"/>
    <n v="1"/>
    <n v="-210672.02230930599"/>
    <n v="-210672.02230930599"/>
    <n v="-210672.02230930599"/>
    <m/>
    <s v="Private Equity Fund"/>
    <n v="5.0582233333333329E-3"/>
    <n v="0.38213621990000801"/>
    <n v="0"/>
    <n v="0"/>
    <m/>
    <m/>
    <m/>
    <m/>
    <m/>
    <m/>
    <m/>
    <m/>
    <m/>
    <m/>
    <m/>
    <d v="2017-01-27T00:00:00"/>
    <n v="1.2754565239647464E-2"/>
    <x v="0"/>
  </r>
  <r>
    <x v="16"/>
    <x v="27"/>
    <s v="William"/>
    <n v="14383894.4625721"/>
    <n v="14383894.4625721"/>
    <m/>
    <m/>
    <n v="0"/>
    <n v="-196142.95230930601"/>
    <n v="1"/>
    <n v="-196142.95230930601"/>
    <n v="-196142.95230930601"/>
    <n v="-196142.95230930601"/>
    <m/>
    <s v="Private Equity Fund"/>
    <n v="5.7808266666666665E-3"/>
    <n v="0.399850109003759"/>
    <n v="0"/>
    <n v="0"/>
    <m/>
    <m/>
    <m/>
    <m/>
    <m/>
    <m/>
    <m/>
    <m/>
    <m/>
    <m/>
    <m/>
    <d v="2017-02-28T00:00:00"/>
    <n v="1.5442426442009438E-2"/>
    <x v="0"/>
  </r>
  <r>
    <x v="17"/>
    <x v="27"/>
    <s v="William"/>
    <n v="14397196.8450264"/>
    <n v="14397196.8450264"/>
    <m/>
    <m/>
    <n v="0"/>
    <n v="-210671.54434388899"/>
    <n v="1"/>
    <n v="-210671.54434388899"/>
    <n v="-210671.54434388899"/>
    <n v="-210671.54434388899"/>
    <m/>
    <s v="Private Equity Fund"/>
    <n v="5.6001758333333327E-3"/>
    <n v="0.46256726999999997"/>
    <n v="0"/>
    <n v="0"/>
    <m/>
    <m/>
    <m/>
    <m/>
    <m/>
    <m/>
    <m/>
    <m/>
    <m/>
    <m/>
    <m/>
    <d v="2017-03-31T00:00:00"/>
    <n v="1.5571160326640632E-2"/>
    <x v="0"/>
  </r>
  <r>
    <x v="18"/>
    <x v="27"/>
    <s v="William"/>
    <n v="14577431.210000001"/>
    <n v="14577431.210000001"/>
    <m/>
    <m/>
    <n v="0"/>
    <n v="-6255.5700000000006"/>
    <n v="1"/>
    <n v="-6255.5700000000006"/>
    <n v="-6255.5700000000006"/>
    <n v="-6255.5700000000006"/>
    <m/>
    <s v="Private Equity Fund"/>
    <n v="5.0582233333333329E-3"/>
    <n v="0.46279136999999998"/>
    <n v="0"/>
    <n v="0"/>
    <m/>
    <m/>
    <m/>
    <m/>
    <m/>
    <m/>
    <m/>
    <m/>
    <m/>
    <m/>
    <m/>
    <d v="2017-04-28T00:00:00"/>
    <n v="1.2953211446714796E-2"/>
    <x v="0"/>
  </r>
  <r>
    <x v="19"/>
    <x v="27"/>
    <s v="William"/>
    <n v="14383072.065502601"/>
    <n v="14383072.065502601"/>
    <m/>
    <m/>
    <n v="0"/>
    <n v="-199392.41"/>
    <n v="1"/>
    <n v="-199392.41"/>
    <n v="-199392.41"/>
    <n v="-199392.41"/>
    <m/>
    <s v="Private Equity Fund"/>
    <n v="5.9614775000000004E-3"/>
    <n v="0.46279136600375897"/>
    <n v="0"/>
    <n v="0"/>
    <m/>
    <m/>
    <m/>
    <m/>
    <m/>
    <m/>
    <m/>
    <m/>
    <m/>
    <m/>
    <m/>
    <d v="2017-05-31T00:00:00"/>
    <n v="3.4527794575689441E-4"/>
    <x v="0"/>
  </r>
  <r>
    <x v="20"/>
    <x v="27"/>
    <s v="William"/>
    <n v="14498427.959645599"/>
    <n v="14498427.959645599"/>
    <m/>
    <m/>
    <n v="0"/>
    <n v="-207039.27"/>
    <n v="1"/>
    <n v="-207039.27"/>
    <n v="-207039.27"/>
    <n v="-207039.27"/>
    <m/>
    <s v="Private Equity Fund"/>
    <n v="5.4195249999999997E-3"/>
    <n v="0.5680182579874391"/>
    <n v="0"/>
    <n v="0"/>
    <m/>
    <m/>
    <m/>
    <m/>
    <m/>
    <m/>
    <m/>
    <m/>
    <m/>
    <m/>
    <m/>
    <d v="2017-06-30T00:00:00"/>
    <n v="2.2414902927188507E-2"/>
    <x v="0"/>
  </r>
  <r>
    <x v="21"/>
    <x v="27"/>
    <s v="William"/>
    <n v="14481671.02"/>
    <n v="14481671.02"/>
    <m/>
    <m/>
    <n v="0"/>
    <n v="-208683.48"/>
    <n v="1"/>
    <n v="-208683.48"/>
    <n v="-208683.48"/>
    <n v="-208683.48"/>
    <m/>
    <s v="Private Equity Fund"/>
    <n v="5.6001758333333327E-3"/>
    <n v="0.56839817000000004"/>
    <n v="0"/>
    <n v="0"/>
    <m/>
    <m/>
    <m/>
    <m/>
    <m/>
    <m/>
    <m/>
    <m/>
    <m/>
    <m/>
    <m/>
    <d v="2017-07-31T00:00:00"/>
    <n v="1.3237748319238518E-2"/>
    <x v="0"/>
  </r>
  <r>
    <x v="22"/>
    <x v="27"/>
    <s v="William"/>
    <n v="14380000"/>
    <n v="14380000"/>
    <m/>
    <m/>
    <n v="0"/>
    <n v="-297811.01"/>
    <n v="1"/>
    <n v="-297811.01"/>
    <n v="-297811.01"/>
    <n v="-297811.01"/>
    <m/>
    <s v="Private Equity Fund"/>
    <n v="5.6001758333333327E-3"/>
    <n v="0.56848243999999992"/>
    <n v="0"/>
    <n v="0"/>
    <m/>
    <m/>
    <m/>
    <m/>
    <m/>
    <m/>
    <m/>
    <m/>
    <m/>
    <m/>
    <m/>
    <d v="2017-08-31T00:00:00"/>
    <n v="1.3544016414205329E-2"/>
    <x v="0"/>
  </r>
  <r>
    <x v="23"/>
    <x v="27"/>
    <s v="William"/>
    <n v="14350536.189999999"/>
    <n v="14350536.189999999"/>
    <m/>
    <m/>
    <n v="0"/>
    <n v="-211680.5"/>
    <n v="1"/>
    <n v="-211680.5"/>
    <n v="-211680.5"/>
    <n v="-211680.5"/>
    <m/>
    <s v="Private Equity Fund"/>
    <n v="5.2388741666666667E-3"/>
    <n v="0.56834859999999998"/>
    <n v="0"/>
    <n v="0"/>
    <m/>
    <m/>
    <m/>
    <m/>
    <m/>
    <m/>
    <m/>
    <m/>
    <m/>
    <m/>
    <m/>
    <d v="2017-09-29T00:00:00"/>
    <n v="1.2671536161335206E-2"/>
    <x v="0"/>
  </r>
  <r>
    <x v="24"/>
    <x v="27"/>
    <s v="William"/>
    <n v="14407976.119999999"/>
    <n v="14407976.119999999"/>
    <m/>
    <m/>
    <n v="0"/>
    <n v="-144079.96"/>
    <n v="1"/>
    <n v="-144079.96"/>
    <n v="-144079.96"/>
    <n v="-144079.96"/>
    <m/>
    <s v="Private Equity Fund"/>
    <n v="5.7808266666666665E-3"/>
    <n v="0.56834859999999998"/>
    <n v="0"/>
    <n v="0"/>
    <m/>
    <m/>
    <m/>
    <m/>
    <m/>
    <m/>
    <m/>
    <m/>
    <m/>
    <m/>
    <m/>
    <d v="2017-10-31T00:00:00"/>
    <n v="1.4042673202721678E-2"/>
    <x v="0"/>
  </r>
  <r>
    <x v="25"/>
    <x v="27"/>
    <s v="William"/>
    <n v="14385290.359999999"/>
    <n v="14385290.359999999"/>
    <m/>
    <m/>
    <n v="0"/>
    <n v="-211680.49"/>
    <n v="1"/>
    <n v="-211680.49"/>
    <n v="-211680.49"/>
    <n v="-211680.49"/>
    <m/>
    <s v="Private Equity Fund"/>
    <n v="5.4195249999999997E-3"/>
    <n v="0.56834859999999998"/>
    <n v="0"/>
    <n v="0"/>
    <m/>
    <m/>
    <m/>
    <m/>
    <m/>
    <m/>
    <m/>
    <m/>
    <m/>
    <m/>
    <m/>
    <d v="2017-11-30T00:00:00"/>
    <n v="1.3117368353883663E-2"/>
    <x v="0"/>
  </r>
  <r>
    <x v="26"/>
    <x v="27"/>
    <s v="William"/>
    <n v="13793911.74"/>
    <n v="13793911.74"/>
    <m/>
    <m/>
    <n v="0"/>
    <n v="-704838.91"/>
    <n v="1"/>
    <n v="-704838.91"/>
    <n v="-704838.91"/>
    <n v="-704838.91"/>
    <m/>
    <s v="Private Equity Fund"/>
    <n v="5.2388741666666667E-3"/>
    <n v="0.67098701000000005"/>
    <n v="0"/>
    <n v="0"/>
    <m/>
    <m/>
    <m/>
    <m/>
    <m/>
    <m/>
    <m/>
    <m/>
    <m/>
    <m/>
    <m/>
    <d v="2017-12-29T00:00:00"/>
    <n v="7.8872436468497842E-3"/>
    <x v="0"/>
  </r>
  <r>
    <x v="27"/>
    <x v="27"/>
    <s v="William"/>
    <n v="13852986.49"/>
    <n v="13852986.49"/>
    <m/>
    <m/>
    <n v="0"/>
    <n v="-138969.21"/>
    <n v="1"/>
    <n v="-138969.21"/>
    <n v="-138969.21"/>
    <n v="-138969.21"/>
    <m/>
    <s v="Private Equity Fund"/>
    <n v="5.9614775000000004E-3"/>
    <n v="0.67098701000000005"/>
    <n v="0"/>
    <n v="0"/>
    <m/>
    <m/>
    <m/>
    <m/>
    <m/>
    <m/>
    <m/>
    <m/>
    <m/>
    <m/>
    <m/>
    <d v="2018-01-31T00:00:00"/>
    <n v="1.4357345743028604E-2"/>
    <x v="0"/>
  </r>
  <r>
    <x v="28"/>
    <x v="27"/>
    <s v="William"/>
    <n v="13825486.93"/>
    <n v="13825486.93"/>
    <m/>
    <m/>
    <n v="0"/>
    <n v="-139553.93"/>
    <n v="1"/>
    <n v="-139553.93"/>
    <n v="-139553.93"/>
    <n v="-139553.93"/>
    <m/>
    <s v="Private Equity Fund"/>
    <n v="5.0582233333333329E-3"/>
    <n v="0.67098701000000005"/>
    <n v="0"/>
    <n v="0"/>
    <m/>
    <m/>
    <m/>
    <m/>
    <m/>
    <m/>
    <m/>
    <m/>
    <m/>
    <m/>
    <m/>
    <d v="2018-02-28T00:00:00"/>
    <n v="8.0888240294529901E-3"/>
    <x v="0"/>
  </r>
  <r>
    <x v="29"/>
    <x v="27"/>
    <s v="William"/>
    <n v="14058249.32"/>
    <n v="14058249.32"/>
    <m/>
    <m/>
    <n v="0"/>
    <n v="-205021.35"/>
    <n v="1"/>
    <n v="-205021.35"/>
    <n v="-205021.35"/>
    <n v="-205021.35"/>
    <m/>
    <s v="Private Equity Fund"/>
    <n v="5.2388741666666667E-3"/>
    <n v="0.67098701000000005"/>
    <n v="0"/>
    <n v="0"/>
    <m/>
    <m/>
    <m/>
    <m/>
    <m/>
    <m/>
    <m/>
    <m/>
    <m/>
    <m/>
    <m/>
    <d v="2018-03-29T00:00:00"/>
    <n v="3.1664978037775349E-2"/>
    <x v="0"/>
  </r>
  <r>
    <x v="30"/>
    <x v="27"/>
    <s v="William"/>
    <n v="14058249.32"/>
    <n v="14058249.32"/>
    <m/>
    <m/>
    <n v="0"/>
    <n v="-139164.12"/>
    <n v="1"/>
    <n v="-139164.12"/>
    <n v="-139164.12"/>
    <n v="-139164.12"/>
    <m/>
    <s v="Private Equity Fund"/>
    <n v="5.2388741666666667E-3"/>
    <n v="0.67093743000000006"/>
    <n v="0"/>
    <n v="0"/>
    <m/>
    <m/>
    <m/>
    <m/>
    <m/>
    <m/>
    <m/>
    <m/>
    <m/>
    <m/>
    <m/>
    <d v="2018-04-30T00:00:00"/>
    <n v="9.8991074089158637E-3"/>
    <x v="0"/>
  </r>
  <r>
    <x v="31"/>
    <x v="27"/>
    <s v="William"/>
    <n v="13895942.915481418"/>
    <n v="13895942.915481418"/>
    <m/>
    <m/>
    <n v="0"/>
    <n v="-204458.208487483"/>
    <n v="1"/>
    <n v="-204458.208487483"/>
    <n v="-204458.208487483"/>
    <n v="-204458.208487483"/>
    <m/>
    <s v="Private Equity Fund"/>
    <n v="5.2388741666666667E-3"/>
    <n v="0.67093743000000006"/>
    <n v="0"/>
    <n v="0"/>
    <m/>
    <m/>
    <m/>
    <m/>
    <m/>
    <m/>
    <m/>
    <m/>
    <m/>
    <m/>
    <m/>
    <d v="2018-05-31T00:00:00"/>
    <n v="2.998367933974011E-3"/>
    <x v="0"/>
  </r>
  <r>
    <x v="32"/>
    <x v="27"/>
    <s v="William"/>
    <n v="14025870.263168195"/>
    <n v="14025870.263168195"/>
    <m/>
    <m/>
    <n v="0"/>
    <n v="-145011.351920833"/>
    <n v="1"/>
    <n v="-145011.351920833"/>
    <n v="-145011.351920833"/>
    <n v="-14170881.615089029"/>
    <m/>
    <s v="Private Equity Fund"/>
    <n v="5.2388741666666667E-3"/>
    <n v="0.774024130442449"/>
    <n v="0"/>
    <n v="0"/>
    <m/>
    <m/>
    <m/>
    <m/>
    <m/>
    <m/>
    <m/>
    <m/>
    <m/>
    <m/>
    <m/>
    <d v="2018-06-29T00:00:00"/>
    <n v="1.9785537496797234E-2"/>
    <x v="0"/>
  </r>
  <r>
    <x v="33"/>
    <x v="27"/>
    <s v="William"/>
    <n v="14025870.263168195"/>
    <n v="14025870.263168195"/>
    <m/>
    <m/>
    <n v="0"/>
    <n v="-145011.351920833"/>
    <n v="1"/>
    <n v="-145011.351920833"/>
    <n v="-145011.351920833"/>
    <n v="-145011.351920833"/>
    <m/>
    <s v="Private Equity Fund"/>
    <n v="5.2388741666666667E-3"/>
    <n v="0.774024130442449"/>
    <n v="0"/>
    <n v="0"/>
    <m/>
    <m/>
    <m/>
    <m/>
    <m/>
    <m/>
    <m/>
    <m/>
    <m/>
    <m/>
    <m/>
    <d v="2018-07-31T00:00:00"/>
    <n v="1.0338848798682632E-2"/>
    <x v="0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  <r>
    <x v="217"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445">
  <r>
    <d v="2013-09-25T00:00:00"/>
    <x v="0"/>
    <s v="NA"/>
    <n v="5000000"/>
    <s v=""/>
    <m/>
    <n v="5000000"/>
    <n v="0"/>
    <n v="0"/>
    <m/>
    <m/>
    <n v="5000000"/>
    <s v=""/>
    <n v="5000000"/>
    <m/>
    <s v="Private Equity Fund"/>
    <n v="0"/>
    <n v="0"/>
    <n v="0"/>
    <n v="0"/>
    <m/>
    <m/>
    <m/>
    <m/>
    <m/>
    <m/>
    <m/>
    <m/>
    <m/>
    <m/>
    <m/>
    <d v="2013-09-25T00:00:00"/>
    <n v="0"/>
    <x v="0"/>
    <n v="0"/>
    <x v="0"/>
  </r>
  <r>
    <d v="2013-09-30T00:00:00"/>
    <x v="0"/>
    <s v="NA"/>
    <n v="5000000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3-09-30T00:00:00"/>
    <n v="0"/>
    <x v="0"/>
    <n v="0"/>
    <x v="0"/>
  </r>
  <r>
    <d v="2013-10-31T00:00:00"/>
    <x v="0"/>
    <s v="NA"/>
    <n v="5000000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3-10-31T00:00:00"/>
    <n v="0"/>
    <x v="0"/>
    <n v="0"/>
    <x v="1"/>
  </r>
  <r>
    <d v="2013-11-29T00:00:00"/>
    <x v="0"/>
    <s v="NA"/>
    <n v="5125316.4396383502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3-11-29T00:00:00"/>
    <n v="2.5063287927669986E-2"/>
    <x v="0"/>
    <n v="0"/>
    <x v="2"/>
  </r>
  <r>
    <d v="2013-12-31T00:00:00"/>
    <x v="0"/>
    <s v="NA"/>
    <n v="5187317.3793550124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3-12-31T00:00:00"/>
    <n v="1.2096997414082988E-2"/>
    <x v="0"/>
    <n v="0"/>
    <x v="3"/>
  </r>
  <r>
    <d v="2014-01-30T00:00:00"/>
    <x v="0"/>
    <s v="NA"/>
    <n v="5245667.6219666172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1-30T00:00:00"/>
    <n v="1.1248635536324159E-2"/>
    <x v="0"/>
    <n v="0"/>
    <x v="4"/>
  </r>
  <r>
    <d v="2014-02-28T00:00:00"/>
    <x v="0"/>
    <s v="NA"/>
    <n v="5302134.6910279123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2-28T00:00:00"/>
    <n v="1.0764515240125894E-2"/>
    <x v="0"/>
    <n v="0"/>
    <x v="5"/>
  </r>
  <r>
    <d v="2014-03-31T00:00:00"/>
    <x v="0"/>
    <s v="NA"/>
    <n v="5362007.8615804501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3-31T00:00:00"/>
    <n v="1.1292276421014602E-2"/>
    <x v="0"/>
    <n v="0"/>
    <x v="6"/>
  </r>
  <r>
    <d v="2014-04-30T00:00:00"/>
    <x v="0"/>
    <s v="NA"/>
    <n v="5419999.19074817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4-30T00:00:00"/>
    <n v="1.0815226434716108E-2"/>
    <x v="0"/>
    <n v="0"/>
    <x v="7"/>
  </r>
  <r>
    <d v="2014-05-30T00:00:00"/>
    <x v="0"/>
    <s v="NA"/>
    <n v="5478065.2156705195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5-30T00:00:00"/>
    <n v="1.0713290330645719E-2"/>
    <x v="0"/>
    <n v="0"/>
    <x v="8"/>
  </r>
  <r>
    <d v="2014-06-30T00:00:00"/>
    <x v="0"/>
    <s v="NA"/>
    <n v="5538169.8641023338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6-30T00:00:00"/>
    <n v="1.0971875300038292E-2"/>
    <x v="0"/>
    <n v="0"/>
    <x v="9"/>
  </r>
  <r>
    <d v="2014-07-31T00:00:00"/>
    <x v="0"/>
    <s v="NA"/>
    <n v="5598380.2334553897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7-31T00:00:00"/>
    <n v="1.087188923968041E-2"/>
    <x v="0"/>
    <n v="0"/>
    <x v="10"/>
  </r>
  <r>
    <d v="2014-08-29T00:00:00"/>
    <x v="0"/>
    <s v="NA"/>
    <n v="5654814.7240162529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8-29T00:00:00"/>
    <n v="1.0080503325518242E-2"/>
    <x v="0"/>
    <n v="0"/>
    <x v="11"/>
  </r>
  <r>
    <d v="2014-09-30T00:00:00"/>
    <x v="0"/>
    <s v="NA"/>
    <n v="0"/>
    <s v=""/>
    <m/>
    <m/>
    <n v="0"/>
    <n v="-5706975.6700801905"/>
    <m/>
    <m/>
    <n v="-5706975.6700801905"/>
    <e v="#DIV/0!"/>
    <n v="-5706975.6700801905"/>
    <m/>
    <s v="Private Equity Fund"/>
    <n v="0"/>
    <n v="0"/>
    <n v="0"/>
    <n v="0"/>
    <m/>
    <m/>
    <m/>
    <m/>
    <m/>
    <m/>
    <m/>
    <m/>
    <m/>
    <m/>
    <m/>
    <d v="2014-09-30T00:00:00"/>
    <n v="9.2241653545972468E-3"/>
    <x v="0"/>
    <n v="0"/>
    <x v="12"/>
  </r>
  <r>
    <d v="2002-05-31T00:00:00"/>
    <x v="1"/>
    <s v="NA"/>
    <n v="6749909.9918982461"/>
    <n v="618.68607472861777"/>
    <m/>
    <n v="6749909.9918982461"/>
    <n v="0"/>
    <n v="0"/>
    <m/>
    <n v="10910.072600000001"/>
    <n v="6749909.9918982461"/>
    <n v="618.68607472861777"/>
    <n v="618.68607472861777"/>
    <m/>
    <s v="Hedge Fund"/>
    <n v="0"/>
    <n v="0"/>
    <n v="0"/>
    <n v="0"/>
    <m/>
    <m/>
    <m/>
    <m/>
    <m/>
    <m/>
    <m/>
    <m/>
    <m/>
    <m/>
    <m/>
    <d v="2002-05-31T00:00:00"/>
    <e v="#DIV/0!"/>
    <x v="1"/>
    <n v="0"/>
    <x v="13"/>
  </r>
  <r>
    <d v="2002-06-28T00:00:00"/>
    <x v="1"/>
    <s v="NA"/>
    <n v="6781984.8891887469"/>
    <n v="621.62600908712068"/>
    <m/>
    <n v="0"/>
    <n v="0"/>
    <n v="0"/>
    <m/>
    <n v="10910.072600000001"/>
    <n v="0"/>
    <n v="0"/>
    <n v="0"/>
    <m/>
    <s v="Hedge Fund"/>
    <n v="0"/>
    <n v="0"/>
    <n v="0"/>
    <n v="0"/>
    <m/>
    <m/>
    <m/>
    <m/>
    <m/>
    <m/>
    <m/>
    <m/>
    <m/>
    <m/>
    <m/>
    <d v="2002-06-28T00:00:00"/>
    <n v="4.7519000000000311E-3"/>
    <x v="1"/>
    <n v="0"/>
    <x v="14"/>
  </r>
  <r>
    <d v="2002-07-31T00:00:00"/>
    <x v="1"/>
    <s v="NA"/>
    <n v="7728473.6066321544"/>
    <n v="624.254249401175"/>
    <m/>
    <n v="917814.42480682768"/>
    <n v="0"/>
    <n v="0"/>
    <m/>
    <n v="12380.329992220006"/>
    <n v="917814.42480682768"/>
    <n v="0"/>
    <n v="0"/>
    <m/>
    <s v="Hedge Fund"/>
    <n v="0"/>
    <n v="0"/>
    <n v="0"/>
    <n v="0"/>
    <m/>
    <m/>
    <m/>
    <m/>
    <m/>
    <m/>
    <m/>
    <m/>
    <m/>
    <m/>
    <m/>
    <d v="2002-07-31T00:00:00"/>
    <n v="4.2280089243917907E-3"/>
    <x v="1"/>
    <n v="0"/>
    <x v="15"/>
  </r>
  <r>
    <d v="2002-08-30T00:00:00"/>
    <x v="1"/>
    <s v="NA"/>
    <n v="7851026.2108998587"/>
    <n v="634.15322659683318"/>
    <m/>
    <n v="0"/>
    <n v="-4.6566128730773926E-9"/>
    <n v="0"/>
    <m/>
    <n v="12380.329992219999"/>
    <n v="-4.6566128730773926E-9"/>
    <n v="0"/>
    <n v="0"/>
    <m/>
    <s v="Hedge Fund"/>
    <n v="0"/>
    <n v="0"/>
    <n v="0"/>
    <n v="0"/>
    <m/>
    <m/>
    <m/>
    <m/>
    <m/>
    <m/>
    <m/>
    <m/>
    <m/>
    <m/>
    <m/>
    <d v="2002-08-30T00:00:00"/>
    <n v="1.5857284440040198E-2"/>
    <x v="1"/>
    <n v="0"/>
    <x v="16"/>
  </r>
  <r>
    <d v="2002-09-30T00:00:00"/>
    <x v="1"/>
    <s v="NA"/>
    <n v="8023874.4039590294"/>
    <n v="648.11474403358886"/>
    <m/>
    <n v="1.862645149230957E-9"/>
    <n v="0"/>
    <n v="0"/>
    <m/>
    <n v="12380.32999222"/>
    <n v="1.862645149230957E-9"/>
    <n v="0"/>
    <n v="0"/>
    <m/>
    <s v="Hedge Fund"/>
    <n v="0"/>
    <n v="0"/>
    <n v="0"/>
    <n v="0"/>
    <m/>
    <m/>
    <m/>
    <m/>
    <m/>
    <m/>
    <m/>
    <m/>
    <m/>
    <m/>
    <m/>
    <d v="2002-09-30T00:00:00"/>
    <n v="2.2015999999999591E-2"/>
    <x v="1"/>
    <n v="0"/>
    <x v="17"/>
  </r>
  <r>
    <d v="2002-10-30T00:00:00"/>
    <x v="1"/>
    <s v="NA"/>
    <n v="11214338.140100392"/>
    <n v="649.00169239032004"/>
    <m/>
    <n v="3179483.0227989731"/>
    <n v="0"/>
    <n v="0"/>
    <m/>
    <n v="17279.366558810001"/>
    <n v="3179483.0227989731"/>
    <n v="0"/>
    <n v="0"/>
    <m/>
    <s v="Hedge Fund"/>
    <n v="0"/>
    <n v="0"/>
    <n v="0"/>
    <n v="0"/>
    <m/>
    <m/>
    <m/>
    <m/>
    <m/>
    <m/>
    <m/>
    <m/>
    <m/>
    <m/>
    <m/>
    <d v="2002-10-30T00:00:00"/>
    <n v="1.3685051372402945E-3"/>
    <x v="1"/>
    <n v="0"/>
    <x v="18"/>
  </r>
  <r>
    <d v="2002-11-29T00:00:00"/>
    <x v="1"/>
    <s v="NA"/>
    <n v="14316516.878817642"/>
    <n v="730.66825425449758"/>
    <m/>
    <n v="1691032.2806683928"/>
    <n v="0"/>
    <n v="0"/>
    <m/>
    <n v="19593.730527440002"/>
    <n v="1691032.2806683928"/>
    <n v="0"/>
    <n v="0"/>
    <m/>
    <s v="Hedge Fund"/>
    <n v="0"/>
    <n v="0"/>
    <n v="0"/>
    <n v="0"/>
    <m/>
    <m/>
    <m/>
    <m/>
    <m/>
    <m/>
    <m/>
    <m/>
    <m/>
    <m/>
    <m/>
    <d v="2002-11-29T00:00:00"/>
    <n v="0.12583412774070535"/>
    <x v="1"/>
    <n v="0"/>
    <x v="19"/>
  </r>
  <r>
    <d v="2002-12-31T00:00:00"/>
    <x v="1"/>
    <s v="NA"/>
    <n v="16925908.766360465"/>
    <n v="863.84309218995372"/>
    <m/>
    <n v="0"/>
    <n v="0"/>
    <n v="0"/>
    <m/>
    <n v="19593.730527440002"/>
    <n v="0"/>
    <n v="0"/>
    <n v="0"/>
    <m/>
    <s v="Hedge Fund"/>
    <n v="0"/>
    <n v="0"/>
    <n v="0"/>
    <n v="0"/>
    <m/>
    <m/>
    <m/>
    <m/>
    <m/>
    <m/>
    <m/>
    <m/>
    <m/>
    <m/>
    <m/>
    <d v="2002-12-31T00:00:00"/>
    <n v="0.18226443691786609"/>
    <x v="1"/>
    <n v="0"/>
    <x v="20"/>
  </r>
  <r>
    <d v="2003-01-31T00:00:00"/>
    <x v="1"/>
    <s v="NA"/>
    <n v="22284435.707187761"/>
    <n v="937.85236211303766"/>
    <m/>
    <n v="3908409.24942182"/>
    <n v="0"/>
    <n v="0"/>
    <m/>
    <n v="23761.134062700006"/>
    <n v="3908409.24942182"/>
    <n v="0"/>
    <n v="0"/>
    <m/>
    <s v="Hedge Fund"/>
    <n v="0"/>
    <n v="0"/>
    <n v="0"/>
    <n v="0"/>
    <m/>
    <m/>
    <m/>
    <m/>
    <m/>
    <m/>
    <m/>
    <m/>
    <m/>
    <m/>
    <m/>
    <d v="2003-01-31T00:00:00"/>
    <n v="8.567443623987403E-2"/>
    <x v="1"/>
    <n v="0"/>
    <x v="21"/>
  </r>
  <r>
    <d v="2003-02-28T00:00:00"/>
    <x v="1"/>
    <s v="NA"/>
    <n v="26974538.276231118"/>
    <n v="976.59596895912296"/>
    <m/>
    <n v="3769510.5327009819"/>
    <n v="0"/>
    <n v="0"/>
    <m/>
    <n v="27620.98056270001"/>
    <n v="3769510.5327009819"/>
    <n v="0"/>
    <n v="0"/>
    <m/>
    <s v="Hedge Fund"/>
    <n v="0"/>
    <n v="0"/>
    <n v="0"/>
    <n v="0"/>
    <m/>
    <m/>
    <m/>
    <m/>
    <m/>
    <m/>
    <m/>
    <m/>
    <m/>
    <m/>
    <m/>
    <d v="2003-02-28T00:00:00"/>
    <n v="4.1310987113999165E-2"/>
    <x v="1"/>
    <n v="0"/>
    <x v="22"/>
  </r>
  <r>
    <d v="2003-03-31T00:00:00"/>
    <x v="1"/>
    <s v="NA"/>
    <n v="27079382.675778888"/>
    <n v="980.39179363340543"/>
    <m/>
    <n v="0"/>
    <n v="-3.7252902984619141E-9"/>
    <n v="0"/>
    <m/>
    <n v="27620.980562700006"/>
    <n v="-3.7252902984619141E-9"/>
    <n v="0"/>
    <n v="0"/>
    <m/>
    <s v="Hedge Fund"/>
    <n v="0"/>
    <n v="0"/>
    <n v="0"/>
    <n v="0"/>
    <m/>
    <m/>
    <m/>
    <m/>
    <m/>
    <m/>
    <m/>
    <m/>
    <m/>
    <m/>
    <m/>
    <d v="2003-03-31T00:00:00"/>
    <n v="3.8867912575228925E-3"/>
    <x v="1"/>
    <n v="0"/>
    <x v="23"/>
  </r>
  <r>
    <d v="2003-04-30T00:00:00"/>
    <x v="1"/>
    <s v="NA"/>
    <n v="48659638.343423203"/>
    <n v="996.43398038672808"/>
    <m/>
    <n v="21137154.739147589"/>
    <n v="0"/>
    <n v="0"/>
    <m/>
    <n v="48833.780562700005"/>
    <n v="21137154.739147589"/>
    <n v="0"/>
    <n v="0"/>
    <m/>
    <s v="Hedge Fund"/>
    <n v="0"/>
    <n v="0"/>
    <n v="0"/>
    <n v="0"/>
    <m/>
    <m/>
    <m/>
    <m/>
    <m/>
    <m/>
    <m/>
    <m/>
    <m/>
    <m/>
    <m/>
    <d v="2003-04-30T00:00:00"/>
    <n v="1.6363036550794741E-2"/>
    <x v="1"/>
    <n v="0"/>
    <x v="24"/>
  </r>
  <r>
    <d v="2003-05-30T00:00:00"/>
    <x v="1"/>
    <s v="NA"/>
    <n v="49882723.180063948"/>
    <n v="1021.479856879341"/>
    <m/>
    <n v="0"/>
    <n v="0"/>
    <n v="0"/>
    <m/>
    <n v="48833.780562700005"/>
    <n v="0"/>
    <n v="0"/>
    <n v="0"/>
    <m/>
    <s v="Hedge Fund"/>
    <n v="0"/>
    <n v="0"/>
    <n v="0"/>
    <n v="0"/>
    <m/>
    <m/>
    <m/>
    <m/>
    <m/>
    <m/>
    <m/>
    <m/>
    <m/>
    <m/>
    <m/>
    <d v="2003-05-30T00:00:00"/>
    <n v="2.5135510215029244E-2"/>
    <x v="1"/>
    <n v="0"/>
    <x v="25"/>
  </r>
  <r>
    <d v="2003-06-30T00:00:00"/>
    <x v="1"/>
    <s v="NA"/>
    <n v="53252382.71416261"/>
    <n v="1027.8809398558005"/>
    <m/>
    <n v="3057070.4526626021"/>
    <n v="0"/>
    <n v="0"/>
    <m/>
    <n v="51807.928962699989"/>
    <n v="3057070.4526626021"/>
    <n v="0"/>
    <n v="0"/>
    <m/>
    <s v="Hedge Fund"/>
    <n v="0"/>
    <n v="0"/>
    <n v="0"/>
    <n v="0"/>
    <m/>
    <m/>
    <m/>
    <m/>
    <m/>
    <m/>
    <m/>
    <m/>
    <m/>
    <m/>
    <m/>
    <d v="2003-06-30T00:00:00"/>
    <n v="6.2664798853842019E-3"/>
    <x v="1"/>
    <n v="0"/>
    <x v="26"/>
  </r>
  <r>
    <d v="2003-07-31T00:00:00"/>
    <x v="1"/>
    <s v="NA"/>
    <n v="54456302.425475195"/>
    <n v="1031.7350973533248"/>
    <m/>
    <n v="1004243.7934697866"/>
    <n v="0"/>
    <n v="0"/>
    <m/>
    <n v="52781.283262700003"/>
    <n v="1004243.7934697866"/>
    <n v="0"/>
    <n v="0"/>
    <m/>
    <s v="Hedge Fund"/>
    <n v="0"/>
    <n v="0"/>
    <n v="0"/>
    <n v="0"/>
    <m/>
    <m/>
    <m/>
    <m/>
    <m/>
    <m/>
    <m/>
    <m/>
    <m/>
    <m/>
    <m/>
    <d v="2003-07-31T00:00:00"/>
    <n v="3.7496147151683257E-3"/>
    <x v="1"/>
    <n v="0"/>
    <x v="27"/>
  </r>
  <r>
    <d v="2003-08-29T00:00:00"/>
    <x v="1"/>
    <s v="NA"/>
    <n v="55881933.612649925"/>
    <n v="1058.7452626818024"/>
    <m/>
    <n v="0"/>
    <n v="-7.4505805969238281E-9"/>
    <n v="0"/>
    <m/>
    <n v="52781.283262699995"/>
    <n v="-7.4505805969238281E-9"/>
    <n v="0"/>
    <n v="0"/>
    <m/>
    <s v="Hedge Fund"/>
    <n v="0"/>
    <n v="0"/>
    <n v="0"/>
    <n v="0"/>
    <m/>
    <m/>
    <m/>
    <m/>
    <m/>
    <m/>
    <m/>
    <m/>
    <m/>
    <m/>
    <m/>
    <d v="2003-08-29T00:00:00"/>
    <n v="2.617936076592331E-2"/>
    <x v="1"/>
    <n v="0"/>
    <x v="28"/>
  </r>
  <r>
    <d v="2003-09-30T00:00:00"/>
    <x v="1"/>
    <s v="NA"/>
    <n v="57656149.670950986"/>
    <n v="1092.3597553319814"/>
    <m/>
    <n v="1.4901161193847656E-8"/>
    <n v="0"/>
    <n v="0"/>
    <m/>
    <n v="52781.283262700003"/>
    <n v="1.4901161193847656E-8"/>
    <n v="0"/>
    <n v="0"/>
    <m/>
    <s v="Hedge Fund"/>
    <n v="0"/>
    <n v="0"/>
    <n v="0"/>
    <n v="0"/>
    <m/>
    <m/>
    <m/>
    <m/>
    <m/>
    <m/>
    <m/>
    <m/>
    <m/>
    <m/>
    <m/>
    <d v="2003-09-30T00:00:00"/>
    <n v="3.1749367704402731E-2"/>
    <x v="1"/>
    <n v="0"/>
    <x v="29"/>
  </r>
  <r>
    <d v="2003-10-31T00:00:00"/>
    <x v="1"/>
    <s v="NA"/>
    <n v="79379745.093518212"/>
    <n v="1107.5970631330749"/>
    <m/>
    <n v="20919350.763356768"/>
    <n v="0"/>
    <n v="0"/>
    <m/>
    <n v="71668.432262699978"/>
    <n v="20919350.763356768"/>
    <n v="0"/>
    <n v="0"/>
    <m/>
    <s v="Hedge Fund"/>
    <n v="0"/>
    <n v="0"/>
    <n v="0"/>
    <n v="0"/>
    <m/>
    <m/>
    <m/>
    <m/>
    <m/>
    <m/>
    <m/>
    <m/>
    <m/>
    <m/>
    <m/>
    <d v="2003-10-31T00:00:00"/>
    <n v="1.3948983131901072E-2"/>
    <x v="1"/>
    <n v="0"/>
    <x v="30"/>
  </r>
  <r>
    <d v="2003-11-28T00:00:00"/>
    <x v="1"/>
    <s v="NA"/>
    <n v="90224471.478453606"/>
    <n v="1102.5368963469984"/>
    <m/>
    <n v="11207380.605481282"/>
    <n v="0"/>
    <n v="0"/>
    <m/>
    <n v="81833.516662699971"/>
    <n v="11207380.605481282"/>
    <n v="0"/>
    <n v="0"/>
    <m/>
    <s v="Hedge Fund"/>
    <n v="0"/>
    <n v="0"/>
    <n v="0"/>
    <n v="0"/>
    <m/>
    <m/>
    <m/>
    <m/>
    <m/>
    <m/>
    <m/>
    <m/>
    <m/>
    <m/>
    <m/>
    <d v="2003-11-28T00:00:00"/>
    <n v="-4.5685989557996409E-3"/>
    <x v="1"/>
    <n v="0"/>
    <x v="31"/>
  </r>
  <r>
    <d v="2003-12-31T00:00:00"/>
    <x v="1"/>
    <s v="NA"/>
    <n v="91843291.29175207"/>
    <n v="1104.7140999999999"/>
    <m/>
    <n v="1440651.5818824768"/>
    <n v="0"/>
    <n v="0"/>
    <m/>
    <n v="83137.611162699992"/>
    <n v="1440651.5818824768"/>
    <n v="0"/>
    <n v="0"/>
    <m/>
    <s v="Hedge Fund"/>
    <n v="0"/>
    <n v="0"/>
    <n v="0"/>
    <n v="0"/>
    <m/>
    <m/>
    <m/>
    <m/>
    <m/>
    <m/>
    <m/>
    <m/>
    <m/>
    <m/>
    <m/>
    <d v="2003-12-31T00:00:00"/>
    <n v="1.9747218076919815E-3"/>
    <x v="1"/>
    <n v="0"/>
    <x v="32"/>
  </r>
  <r>
    <d v="2004-01-31T00:00:00"/>
    <x v="1"/>
    <s v="NA"/>
    <n v="90237190.528417513"/>
    <n v="1142.7991999999999"/>
    <m/>
    <n v="0"/>
    <n v="-4772404.9982271045"/>
    <n v="0"/>
    <m/>
    <n v="78961.54506270001"/>
    <n v="-4772404.9982271045"/>
    <n v="0"/>
    <n v="0"/>
    <m/>
    <s v="Hedge Fund"/>
    <n v="0"/>
    <n v="0"/>
    <n v="0"/>
    <n v="0"/>
    <m/>
    <m/>
    <m/>
    <m/>
    <m/>
    <m/>
    <m/>
    <m/>
    <m/>
    <m/>
    <m/>
    <d v="2004-01-31T00:00:00"/>
    <n v="3.4475073686486057E-2"/>
    <x v="1"/>
    <n v="0"/>
    <x v="33"/>
  </r>
  <r>
    <d v="2004-02-27T00:00:00"/>
    <x v="1"/>
    <s v="NA"/>
    <n v="93657771.974627659"/>
    <n v="1173.1184000000001"/>
    <m/>
    <n v="1026530.5691451132"/>
    <n v="0"/>
    <n v="0"/>
    <m/>
    <n v="79836.589362700004"/>
    <n v="1026530.5691451132"/>
    <n v="0"/>
    <n v="0"/>
    <m/>
    <s v="Hedge Fund"/>
    <n v="0"/>
    <n v="0"/>
    <n v="0"/>
    <n v="0"/>
    <m/>
    <m/>
    <m/>
    <m/>
    <m/>
    <m/>
    <m/>
    <m/>
    <m/>
    <m/>
    <m/>
    <d v="2004-02-27T00:00:00"/>
    <n v="2.6530645103707062E-2"/>
    <x v="1"/>
    <n v="0"/>
    <x v="34"/>
  </r>
  <r>
    <d v="2004-03-31T00:00:00"/>
    <x v="1"/>
    <s v="NA"/>
    <n v="97485302.037818968"/>
    <n v="1171.0465999999999"/>
    <m/>
    <n v="3992935.5090329647"/>
    <n v="0"/>
    <n v="0"/>
    <m/>
    <n v="83246.3046627"/>
    <n v="3992935.5090329647"/>
    <n v="0"/>
    <n v="0"/>
    <m/>
    <s v="Hedge Fund"/>
    <n v="0"/>
    <n v="0"/>
    <n v="0"/>
    <n v="0"/>
    <m/>
    <m/>
    <m/>
    <m/>
    <m/>
    <m/>
    <m/>
    <m/>
    <m/>
    <m/>
    <m/>
    <d v="2004-03-31T00:00:00"/>
    <n v="-1.7660621468388316E-3"/>
    <x v="1"/>
    <n v="0"/>
    <x v="35"/>
  </r>
  <r>
    <d v="2004-04-30T00:00:00"/>
    <x v="1"/>
    <s v="NA"/>
    <n v="101662518.16102278"/>
    <n v="1167.9290000000001"/>
    <m/>
    <n v="4436744.8026202321"/>
    <n v="0"/>
    <n v="0"/>
    <m/>
    <n v="87045.118462700018"/>
    <n v="4436744.8026202321"/>
    <n v="0"/>
    <n v="0"/>
    <m/>
    <s v="Hedge Fund"/>
    <n v="0"/>
    <n v="0"/>
    <n v="0"/>
    <n v="0"/>
    <m/>
    <m/>
    <m/>
    <m/>
    <m/>
    <m/>
    <m/>
    <m/>
    <m/>
    <m/>
    <m/>
    <d v="2004-04-30T00:00:00"/>
    <n v="-2.6622339367193826E-3"/>
    <x v="1"/>
    <n v="0"/>
    <x v="36"/>
  </r>
  <r>
    <d v="2004-05-31T00:00:00"/>
    <x v="1"/>
    <s v="NA"/>
    <n v="118417278.68384798"/>
    <n v="1141.9378999999997"/>
    <m/>
    <n v="19017158.901301116"/>
    <n v="0"/>
    <n v="0"/>
    <m/>
    <n v="103698.52746270003"/>
    <n v="19017158.901301116"/>
    <n v="0"/>
    <n v="0"/>
    <m/>
    <s v="Hedge Fund"/>
    <n v="0"/>
    <n v="0"/>
    <n v="0"/>
    <n v="0"/>
    <m/>
    <m/>
    <m/>
    <m/>
    <m/>
    <m/>
    <m/>
    <m/>
    <m/>
    <m/>
    <m/>
    <d v="2004-05-31T00:00:00"/>
    <n v="-2.2254006878843158E-2"/>
    <x v="1"/>
    <n v="0"/>
    <x v="37"/>
  </r>
  <r>
    <d v="2004-06-30T00:00:00"/>
    <x v="1"/>
    <s v="NA"/>
    <n v="119663386.78956835"/>
    <n v="1152.3003000000001"/>
    <m/>
    <n v="171542.48474085331"/>
    <n v="0"/>
    <n v="0"/>
    <m/>
    <n v="103847.39706270001"/>
    <n v="171542.48474085331"/>
    <n v="0"/>
    <n v="0"/>
    <m/>
    <s v="Hedge Fund"/>
    <n v="0"/>
    <n v="0"/>
    <n v="0"/>
    <n v="0"/>
    <m/>
    <m/>
    <m/>
    <m/>
    <m/>
    <m/>
    <m/>
    <m/>
    <m/>
    <m/>
    <m/>
    <d v="2004-06-30T00:00:00"/>
    <n v="9.0743988793089425E-3"/>
    <x v="1"/>
    <n v="0"/>
    <x v="38"/>
  </r>
  <r>
    <d v="2004-07-30T00:00:00"/>
    <x v="1"/>
    <s v="NA"/>
    <n v="120028558.13680373"/>
    <n v="1158.3661"/>
    <m/>
    <n v="0"/>
    <n v="-264746.1938675344"/>
    <n v="0"/>
    <m/>
    <n v="103618.84566270003"/>
    <n v="-264746.1938675344"/>
    <n v="0"/>
    <n v="0"/>
    <m/>
    <s v="Hedge Fund"/>
    <n v="0"/>
    <n v="0"/>
    <n v="0"/>
    <n v="0"/>
    <m/>
    <m/>
    <m/>
    <m/>
    <m/>
    <m/>
    <m/>
    <m/>
    <m/>
    <m/>
    <m/>
    <d v="2004-07-30T00:00:00"/>
    <n v="5.2640791640858886E-3"/>
    <x v="1"/>
    <n v="0"/>
    <x v="39"/>
  </r>
  <r>
    <d v="2004-08-31T00:00:00"/>
    <x v="1"/>
    <s v="NA"/>
    <n v="120175468.9361843"/>
    <n v="1159.7838999999999"/>
    <m/>
    <n v="0"/>
    <n v="-1.4901161193847656E-8"/>
    <n v="0"/>
    <m/>
    <n v="103618.84566270003"/>
    <n v="-1.4901161193847656E-8"/>
    <n v="0"/>
    <n v="0"/>
    <m/>
    <s v="Hedge Fund"/>
    <n v="0"/>
    <n v="0"/>
    <n v="0"/>
    <n v="0"/>
    <m/>
    <m/>
    <m/>
    <m/>
    <m/>
    <m/>
    <m/>
    <m/>
    <m/>
    <m/>
    <m/>
    <d v="2004-08-31T00:00:00"/>
    <n v="1.2239653767491809E-3"/>
    <x v="1"/>
    <n v="0"/>
    <x v="40"/>
  </r>
  <r>
    <d v="2004-09-30T00:00:00"/>
    <x v="1"/>
    <s v="NA"/>
    <n v="133151966.97990951"/>
    <n v="1185.8472000000002"/>
    <m/>
    <n v="10275848.983564526"/>
    <n v="0"/>
    <n v="0"/>
    <m/>
    <n v="112284.2529627"/>
    <n v="10275848.983564526"/>
    <n v="0"/>
    <n v="0"/>
    <m/>
    <s v="Hedge Fund"/>
    <n v="0"/>
    <n v="0"/>
    <n v="0"/>
    <n v="0"/>
    <m/>
    <m/>
    <m/>
    <m/>
    <m/>
    <m/>
    <m/>
    <m/>
    <m/>
    <m/>
    <m/>
    <d v="2004-09-30T00:00:00"/>
    <n v="2.2472548549777427E-2"/>
    <x v="1"/>
    <n v="0"/>
    <x v="41"/>
  </r>
  <r>
    <d v="2004-10-29T00:00:00"/>
    <x v="1"/>
    <s v="NA"/>
    <n v="132441385.28338923"/>
    <n v="1202.7425000000003"/>
    <m/>
    <n v="0"/>
    <n v="-2607657.8356010169"/>
    <n v="0"/>
    <m/>
    <n v="110116.1597627"/>
    <n v="-2607657.8356010169"/>
    <n v="0"/>
    <n v="0"/>
    <m/>
    <s v="Hedge Fund"/>
    <n v="0"/>
    <n v="0"/>
    <n v="0"/>
    <n v="0"/>
    <m/>
    <m/>
    <m/>
    <m/>
    <m/>
    <m/>
    <m/>
    <m/>
    <m/>
    <m/>
    <m/>
    <d v="2004-10-29T00:00:00"/>
    <n v="1.4247451104999254E-2"/>
    <x v="1"/>
    <n v="0"/>
    <x v="42"/>
  </r>
  <r>
    <d v="2004-11-30T00:00:00"/>
    <x v="1"/>
    <s v="NA"/>
    <n v="138826338.32738152"/>
    <n v="1258.3509999999999"/>
    <m/>
    <n v="261558.57382822037"/>
    <n v="0"/>
    <n v="0"/>
    <m/>
    <n v="110324.01796270002"/>
    <n v="261558.57382822037"/>
    <n v="0"/>
    <n v="0"/>
    <m/>
    <s v="Hedge Fund"/>
    <n v="0"/>
    <n v="0"/>
    <n v="0"/>
    <n v="0"/>
    <m/>
    <m/>
    <m/>
    <m/>
    <m/>
    <m/>
    <m/>
    <m/>
    <m/>
    <m/>
    <m/>
    <d v="2004-11-30T00:00:00"/>
    <n v="4.6234750996160701E-2"/>
    <x v="1"/>
    <n v="0"/>
    <x v="43"/>
  </r>
  <r>
    <d v="2004-12-31T00:00:00"/>
    <x v="1"/>
    <s v="NA"/>
    <n v="161923259.5087077"/>
    <n v="1291.0157999999999"/>
    <m/>
    <n v="19493209.199378192"/>
    <n v="0"/>
    <n v="0"/>
    <m/>
    <n v="125423.14316270004"/>
    <n v="19493209.199378192"/>
    <n v="0"/>
    <n v="0"/>
    <m/>
    <s v="Hedge Fund"/>
    <n v="0"/>
    <n v="0"/>
    <n v="0"/>
    <n v="0"/>
    <m/>
    <m/>
    <m/>
    <m/>
    <m/>
    <m/>
    <m/>
    <m/>
    <m/>
    <m/>
    <m/>
    <d v="2004-12-31T00:00:00"/>
    <n v="2.5958417007655221E-2"/>
    <x v="1"/>
    <n v="0"/>
    <x v="44"/>
  </r>
  <r>
    <d v="2005-01-31T00:00:00"/>
    <x v="1"/>
    <s v="NA"/>
    <n v="183039313.04451823"/>
    <n v="1306.5826000000002"/>
    <m/>
    <n v="19163616.550825357"/>
    <n v="0"/>
    <n v="0"/>
    <m/>
    <n v="140090.1198627"/>
    <n v="19163616.550825357"/>
    <n v="0"/>
    <n v="0"/>
    <m/>
    <s v="Hedge Fund"/>
    <n v="0"/>
    <n v="0"/>
    <n v="0"/>
    <n v="0"/>
    <m/>
    <m/>
    <m/>
    <m/>
    <m/>
    <m/>
    <m/>
    <m/>
    <m/>
    <m/>
    <m/>
    <d v="2005-01-31T00:00:00"/>
    <n v="1.205779201153101E-2"/>
    <x v="1"/>
    <n v="0"/>
    <x v="45"/>
  </r>
  <r>
    <d v="2005-02-28T00:00:00"/>
    <x v="1"/>
    <s v="NA"/>
    <n v="197976654.86490938"/>
    <n v="1337.2299999999998"/>
    <m/>
    <n v="10643943.880911082"/>
    <n v="0"/>
    <n v="0"/>
    <m/>
    <n v="148049.81556270007"/>
    <n v="10643943.880911082"/>
    <n v="0"/>
    <n v="0"/>
    <m/>
    <s v="Hedge Fund"/>
    <n v="0"/>
    <n v="0"/>
    <n v="0"/>
    <n v="0"/>
    <m/>
    <m/>
    <m/>
    <m/>
    <m/>
    <m/>
    <m/>
    <m/>
    <m/>
    <m/>
    <m/>
    <d v="2005-02-28T00:00:00"/>
    <n v="2.3456151949367454E-2"/>
    <x v="1"/>
    <n v="0"/>
    <x v="46"/>
  </r>
  <r>
    <d v="2005-03-31T00:00:00"/>
    <x v="1"/>
    <s v="NA"/>
    <n v="197964520.74361074"/>
    <n v="1323.7750000000001"/>
    <m/>
    <n v="1979876.1470974386"/>
    <n v="0"/>
    <n v="0"/>
    <m/>
    <n v="149545.44446270002"/>
    <n v="1979876.1470974386"/>
    <n v="0"/>
    <n v="0"/>
    <m/>
    <s v="Hedge Fund"/>
    <n v="0"/>
    <n v="0"/>
    <n v="0"/>
    <n v="0"/>
    <m/>
    <m/>
    <m/>
    <m/>
    <m/>
    <m/>
    <m/>
    <m/>
    <m/>
    <m/>
    <m/>
    <d v="2005-03-31T00:00:00"/>
    <n v="-1.0061844260149444E-2"/>
    <x v="1"/>
    <n v="0"/>
    <x v="47"/>
  </r>
  <r>
    <d v="2005-04-30T00:00:00"/>
    <x v="1"/>
    <s v="NA"/>
    <n v="195145846.018877"/>
    <n v="1295.7067999999999"/>
    <m/>
    <n v="1378796.7195342481"/>
    <n v="0"/>
    <n v="0"/>
    <m/>
    <n v="150609.5715627"/>
    <n v="1378796.7195342481"/>
    <n v="0"/>
    <n v="0"/>
    <m/>
    <s v="Hedge Fund"/>
    <n v="0"/>
    <n v="0"/>
    <n v="0"/>
    <n v="0"/>
    <m/>
    <m/>
    <m/>
    <m/>
    <m/>
    <m/>
    <m/>
    <m/>
    <m/>
    <m/>
    <m/>
    <d v="2005-04-30T00:00:00"/>
    <n v="-2.1203150082151567E-2"/>
    <x v="1"/>
    <n v="0"/>
    <x v="48"/>
  </r>
  <r>
    <d v="2005-05-31T00:00:00"/>
    <x v="1"/>
    <s v="NA"/>
    <n v="196818576.16448098"/>
    <n v="1306.8132000000001"/>
    <m/>
    <n v="0"/>
    <n v="0"/>
    <n v="0"/>
    <m/>
    <n v="150609.5715627"/>
    <n v="0"/>
    <n v="0"/>
    <n v="0"/>
    <m/>
    <s v="Hedge Fund"/>
    <n v="0"/>
    <n v="0"/>
    <n v="0"/>
    <n v="0"/>
    <m/>
    <m/>
    <m/>
    <m/>
    <m/>
    <m/>
    <m/>
    <m/>
    <m/>
    <m/>
    <m/>
    <d v="2005-05-31T00:00:00"/>
    <n v="8.5716922995233702E-3"/>
    <x v="1"/>
    <n v="0"/>
    <x v="49"/>
  </r>
  <r>
    <d v="2005-06-30T00:00:00"/>
    <x v="1"/>
    <s v="NA"/>
    <n v="196630871.4554424"/>
    <n v="1305.5669"/>
    <m/>
    <n v="0"/>
    <n v="0"/>
    <n v="0"/>
    <m/>
    <n v="150609.5715627"/>
    <n v="0"/>
    <n v="0"/>
    <n v="0"/>
    <m/>
    <s v="Hedge Fund"/>
    <n v="0"/>
    <n v="0"/>
    <n v="0"/>
    <n v="0"/>
    <m/>
    <m/>
    <m/>
    <m/>
    <m/>
    <m/>
    <m/>
    <m/>
    <m/>
    <m/>
    <m/>
    <d v="2005-06-30T00:00:00"/>
    <n v="-9.5369407043022214E-4"/>
    <x v="1"/>
    <n v="0"/>
    <x v="50"/>
  </r>
  <r>
    <d v="2005-07-31T00:00:00"/>
    <x v="1"/>
    <s v="NA"/>
    <n v="201327054.55061355"/>
    <n v="1305.5878"/>
    <m/>
    <n v="4693035.3551254869"/>
    <n v="0"/>
    <n v="0"/>
    <m/>
    <n v="154204.1481627"/>
    <n v="4693035.3551254869"/>
    <n v="0"/>
    <n v="0"/>
    <m/>
    <s v="Hedge Fund"/>
    <n v="0"/>
    <n v="0"/>
    <n v="0"/>
    <n v="0"/>
    <m/>
    <m/>
    <m/>
    <m/>
    <m/>
    <m/>
    <m/>
    <m/>
    <m/>
    <m/>
    <m/>
    <d v="2005-07-31T00:00:00"/>
    <n v="1.6008371535702892E-5"/>
    <x v="1"/>
    <n v="0"/>
    <x v="51"/>
  </r>
  <r>
    <d v="2005-08-31T00:00:00"/>
    <x v="1"/>
    <s v="NA"/>
    <n v="201580000"/>
    <n v="1294.8004000000001"/>
    <m/>
    <n v="1916407.2772767544"/>
    <n v="0"/>
    <n v="0"/>
    <m/>
    <n v="155684.22746857352"/>
    <n v="1916407.2772767544"/>
    <n v="0"/>
    <n v="0"/>
    <m/>
    <s v="Hedge Fund"/>
    <n v="0"/>
    <n v="0"/>
    <n v="0"/>
    <n v="0"/>
    <m/>
    <m/>
    <m/>
    <m/>
    <m/>
    <m/>
    <m/>
    <m/>
    <m/>
    <m/>
    <m/>
    <d v="2005-08-31T00:00:00"/>
    <n v="-8.2624852958950168E-3"/>
    <x v="1"/>
    <n v="0"/>
    <x v="52"/>
  </r>
  <r>
    <d v="2005-09-30T00:00:00"/>
    <x v="1"/>
    <s v="NA"/>
    <n v="201700000"/>
    <n v="1307.2343000000001"/>
    <m/>
    <n v="0"/>
    <n v="-1815762.1159214973"/>
    <n v="0"/>
    <m/>
    <n v="154295.21700891721"/>
    <n v="-1815762.1159214973"/>
    <n v="0"/>
    <n v="0"/>
    <m/>
    <s v="Hedge Fund"/>
    <n v="0"/>
    <n v="0"/>
    <n v="0"/>
    <n v="0"/>
    <m/>
    <m/>
    <m/>
    <m/>
    <m/>
    <m/>
    <m/>
    <m/>
    <m/>
    <m/>
    <m/>
    <d v="2005-09-30T00:00:00"/>
    <n v="9.6029472959693329E-3"/>
    <x v="1"/>
    <n v="0"/>
    <x v="53"/>
  </r>
  <r>
    <d v="2005-10-31T00:00:00"/>
    <x v="1"/>
    <s v="NA"/>
    <n v="219140000"/>
    <n v="1309.8898999999999"/>
    <m/>
    <n v="17030253.621711135"/>
    <n v="0"/>
    <n v="0"/>
    <m/>
    <n v="167296.50331680549"/>
    <n v="17030253.621711135"/>
    <n v="0"/>
    <n v="0"/>
    <m/>
    <s v="Hedge Fund"/>
    <n v="0"/>
    <n v="0"/>
    <n v="0"/>
    <n v="0"/>
    <m/>
    <m/>
    <m/>
    <m/>
    <m/>
    <m/>
    <m/>
    <m/>
    <m/>
    <m/>
    <m/>
    <d v="2005-10-31T00:00:00"/>
    <n v="2.0314644436731921E-3"/>
    <x v="1"/>
    <n v="0"/>
    <x v="54"/>
  </r>
  <r>
    <d v="2005-11-30T00:00:00"/>
    <x v="1"/>
    <s v="NA"/>
    <n v="224740000"/>
    <n v="1321.2363"/>
    <m/>
    <n v="3701786.9547661841"/>
    <n v="0"/>
    <n v="0"/>
    <m/>
    <n v="170098.26327054441"/>
    <n v="3701786.9547661841"/>
    <n v="0"/>
    <n v="0"/>
    <m/>
    <s v="Hedge Fund"/>
    <n v="0"/>
    <n v="0"/>
    <n v="0"/>
    <n v="0"/>
    <m/>
    <m/>
    <m/>
    <m/>
    <m/>
    <m/>
    <m/>
    <m/>
    <m/>
    <m/>
    <m/>
    <d v="2005-11-30T00:00:00"/>
    <n v="8.6621020591119979E-3"/>
    <x v="1"/>
    <n v="0"/>
    <x v="55"/>
  </r>
  <r>
    <d v="2005-12-31T00:00:00"/>
    <x v="1"/>
    <s v="NA"/>
    <n v="222840000"/>
    <n v="1347.0795000000001"/>
    <m/>
    <n v="0"/>
    <n v="-6295883.4373533428"/>
    <n v="0"/>
    <m/>
    <n v="165424.53507755109"/>
    <n v="-6295883.4373533428"/>
    <n v="0"/>
    <n v="0"/>
    <m/>
    <s v="Hedge Fund"/>
    <n v="0"/>
    <n v="0"/>
    <n v="0"/>
    <n v="0"/>
    <m/>
    <m/>
    <m/>
    <m/>
    <m/>
    <m/>
    <m/>
    <m/>
    <m/>
    <m/>
    <m/>
    <d v="2005-12-31T00:00:00"/>
    <n v="1.9559862229035163E-2"/>
    <x v="1"/>
    <n v="0"/>
    <x v="56"/>
  </r>
  <r>
    <d v="2006-01-30T00:00:00"/>
    <x v="1"/>
    <s v="NA"/>
    <n v="233820000"/>
    <n v="1388.9559999999999"/>
    <m/>
    <n v="4052599.4568249583"/>
    <n v="0"/>
    <n v="0"/>
    <m/>
    <n v="168342.26570172131"/>
    <n v="4052599.4568249583"/>
    <n v="0"/>
    <n v="0"/>
    <m/>
    <s v="Hedge Fund"/>
    <n v="0"/>
    <n v="0"/>
    <n v="0"/>
    <n v="0"/>
    <m/>
    <m/>
    <m/>
    <m/>
    <m/>
    <m/>
    <m/>
    <m/>
    <m/>
    <m/>
    <m/>
    <d v="2006-01-30T00:00:00"/>
    <n v="3.1086880915343063E-2"/>
    <x v="1"/>
    <n v="0"/>
    <x v="57"/>
  </r>
  <r>
    <d v="2006-02-27T00:00:00"/>
    <x v="1"/>
    <s v="NA"/>
    <n v="239660000"/>
    <n v="1395.6912"/>
    <m/>
    <n v="4706181.1720457375"/>
    <n v="0"/>
    <n v="0"/>
    <m/>
    <n v="171714.20153684425"/>
    <n v="4706181.1720457375"/>
    <n v="0"/>
    <n v="0"/>
    <m/>
    <s v="Hedge Fund"/>
    <n v="0"/>
    <n v="0"/>
    <n v="0"/>
    <n v="0"/>
    <m/>
    <m/>
    <m/>
    <m/>
    <m/>
    <m/>
    <m/>
    <m/>
    <m/>
    <m/>
    <m/>
    <d v="2006-02-27T00:00:00"/>
    <n v="4.8491096910199261E-3"/>
    <x v="1"/>
    <n v="0"/>
    <x v="58"/>
  </r>
  <r>
    <d v="2006-03-31T00:00:00"/>
    <x v="1"/>
    <s v="NA"/>
    <n v="247110000"/>
    <n v="1430.5590999999999"/>
    <m/>
    <n v="1462686.3922334909"/>
    <n v="0"/>
    <n v="0"/>
    <m/>
    <n v="172736.65939421867"/>
    <n v="1462686.3922334909"/>
    <n v="0"/>
    <n v="0"/>
    <m/>
    <s v="Hedge Fund"/>
    <n v="0"/>
    <n v="0"/>
    <n v="0"/>
    <n v="0"/>
    <m/>
    <m/>
    <m/>
    <m/>
    <m/>
    <m/>
    <m/>
    <m/>
    <m/>
    <m/>
    <m/>
    <d v="2006-03-31T00:00:00"/>
    <n v="2.4982531952626674E-2"/>
    <x v="1"/>
    <n v="0"/>
    <x v="59"/>
  </r>
  <r>
    <d v="2006-04-30T00:00:00"/>
    <x v="1"/>
    <s v="NA"/>
    <n v="254680000"/>
    <n v="1484.4526999999998"/>
    <m/>
    <n v="0"/>
    <n v="-1739400.4267282486"/>
    <n v="0"/>
    <m/>
    <n v="171564.91412626352"/>
    <n v="-1739400.4267282486"/>
    <n v="0"/>
    <n v="0"/>
    <m/>
    <s v="Hedge Fund"/>
    <n v="0"/>
    <n v="0"/>
    <n v="0"/>
    <n v="0"/>
    <m/>
    <m/>
    <m/>
    <m/>
    <m/>
    <m/>
    <m/>
    <m/>
    <m/>
    <m/>
    <m/>
    <d v="2006-04-30T00:00:00"/>
    <n v="3.7673102774991918E-2"/>
    <x v="1"/>
    <n v="0"/>
    <x v="60"/>
  </r>
  <r>
    <d v="2006-05-31T00:00:00"/>
    <x v="1"/>
    <s v="NA"/>
    <n v="266430000"/>
    <n v="1482.2828999999999"/>
    <m/>
    <n v="12122261.55067116"/>
    <n v="0"/>
    <n v="0"/>
    <m/>
    <n v="179743.01666706134"/>
    <n v="12122261.55067116"/>
    <n v="0"/>
    <n v="0"/>
    <m/>
    <s v="Hedge Fund"/>
    <n v="0"/>
    <n v="0"/>
    <n v="0"/>
    <n v="0"/>
    <m/>
    <m/>
    <m/>
    <m/>
    <m/>
    <m/>
    <m/>
    <m/>
    <m/>
    <m/>
    <m/>
    <d v="2006-05-31T00:00:00"/>
    <n v="-1.4616834877931861E-3"/>
    <x v="1"/>
    <n v="0"/>
    <x v="61"/>
  </r>
  <r>
    <d v="2006-06-30T00:00:00"/>
    <x v="1"/>
    <s v="NA"/>
    <n v="298760000"/>
    <n v="1477.5463999999999"/>
    <m/>
    <n v="33181352.798443526"/>
    <n v="0"/>
    <n v="0"/>
    <m/>
    <n v="202200.07980798438"/>
    <n v="33181352.798443526"/>
    <n v="0"/>
    <n v="0"/>
    <m/>
    <s v="Hedge Fund"/>
    <n v="0"/>
    <n v="0"/>
    <n v="0"/>
    <n v="0"/>
    <m/>
    <m/>
    <m/>
    <m/>
    <m/>
    <m/>
    <m/>
    <m/>
    <m/>
    <m/>
    <m/>
    <d v="2006-06-30T00:00:00"/>
    <n v="-3.1954089195793678E-3"/>
    <x v="1"/>
    <n v="0"/>
    <x v="62"/>
  </r>
  <r>
    <d v="2006-07-31T00:00:00"/>
    <x v="1"/>
    <s v="NA"/>
    <n v="302060000"/>
    <n v="1496.846"/>
    <m/>
    <n v="0"/>
    <n v="-602380.66026216745"/>
    <n v="0"/>
    <m/>
    <n v="201797.64651807869"/>
    <n v="-602380.66026216745"/>
    <n v="0"/>
    <n v="0"/>
    <m/>
    <s v="Hedge Fund"/>
    <n v="0"/>
    <n v="0"/>
    <n v="0"/>
    <n v="0"/>
    <m/>
    <m/>
    <m/>
    <m/>
    <m/>
    <m/>
    <m/>
    <m/>
    <m/>
    <m/>
    <m/>
    <d v="2006-07-31T00:00:00"/>
    <n v="1.3061924823477566E-2"/>
    <x v="1"/>
    <n v="0"/>
    <x v="63"/>
  </r>
  <r>
    <d v="2006-08-31T00:00:00"/>
    <x v="1"/>
    <s v="NA"/>
    <n v="328550000"/>
    <n v="1513.3480999999999"/>
    <m/>
    <n v="23159915.057394028"/>
    <n v="0"/>
    <n v="0"/>
    <m/>
    <n v="217101.40581667895"/>
    <n v="23159915.057394028"/>
    <n v="0"/>
    <n v="0"/>
    <m/>
    <s v="Hedge Fund"/>
    <n v="0"/>
    <n v="0"/>
    <n v="0"/>
    <n v="0"/>
    <m/>
    <m/>
    <m/>
    <m/>
    <m/>
    <m/>
    <m/>
    <m/>
    <m/>
    <m/>
    <m/>
    <d v="2006-08-31T00:00:00"/>
    <n v="1.1024581019022595E-2"/>
    <x v="1"/>
    <n v="0"/>
    <x v="64"/>
  </r>
  <r>
    <d v="2006-09-30T00:00:00"/>
    <x v="1"/>
    <s v="NA"/>
    <n v="339800000"/>
    <n v="1529.6334999999999"/>
    <m/>
    <n v="7714416.7657130361"/>
    <n v="0"/>
    <n v="0"/>
    <m/>
    <n v="222144.71636506394"/>
    <n v="7714416.7657130361"/>
    <n v="0"/>
    <n v="0"/>
    <m/>
    <s v="Hedge Fund"/>
    <n v="0"/>
    <n v="0"/>
    <n v="0"/>
    <n v="0"/>
    <m/>
    <m/>
    <m/>
    <m/>
    <m/>
    <m/>
    <m/>
    <m/>
    <m/>
    <m/>
    <m/>
    <d v="2006-09-30T00:00:00"/>
    <n v="1.0761172528646945E-2"/>
    <x v="1"/>
    <n v="0"/>
    <x v="65"/>
  </r>
  <r>
    <d v="2006-10-31T00:00:00"/>
    <x v="1"/>
    <s v="NA"/>
    <n v="350770000"/>
    <n v="1587.1284000000001"/>
    <m/>
    <n v="0"/>
    <n v="-1802188.2529377341"/>
    <n v="0"/>
    <m/>
    <n v="221009.21387330728"/>
    <n v="-1802188.2529377341"/>
    <n v="0"/>
    <n v="0"/>
    <m/>
    <s v="Hedge Fund"/>
    <n v="0"/>
    <n v="0"/>
    <n v="0"/>
    <n v="0"/>
    <m/>
    <m/>
    <m/>
    <m/>
    <m/>
    <m/>
    <m/>
    <m/>
    <m/>
    <m/>
    <m/>
    <d v="2006-10-31T00:00:00"/>
    <n v="3.7587369784984448E-2"/>
    <x v="1"/>
    <n v="0"/>
    <x v="66"/>
  </r>
  <r>
    <d v="2006-11-30T00:00:00"/>
    <x v="1"/>
    <s v="NA"/>
    <n v="357370000"/>
    <n v="1624.2778000000001"/>
    <m/>
    <n v="0"/>
    <n v="-1610359.6898650527"/>
    <n v="0"/>
    <m/>
    <n v="220017.78267239753"/>
    <n v="-1610359.6898650527"/>
    <n v="0"/>
    <n v="0"/>
    <m/>
    <s v="Hedge Fund"/>
    <n v="0"/>
    <n v="0"/>
    <n v="0"/>
    <n v="0"/>
    <m/>
    <m/>
    <m/>
    <m/>
    <m/>
    <m/>
    <m/>
    <m/>
    <m/>
    <m/>
    <m/>
    <d v="2006-11-30T00:00:00"/>
    <n v="2.340667585558931E-2"/>
    <x v="1"/>
    <n v="0"/>
    <x v="67"/>
  </r>
  <r>
    <d v="2006-12-31T00:00:00"/>
    <x v="1"/>
    <s v="NA"/>
    <n v="407360000"/>
    <n v="1638.4662000000001"/>
    <m/>
    <n v="46868299.692330956"/>
    <n v="0"/>
    <n v="0"/>
    <m/>
    <n v="248622.76682912349"/>
    <n v="46868299.692330956"/>
    <n v="0"/>
    <n v="0"/>
    <m/>
    <s v="Hedge Fund"/>
    <n v="0"/>
    <n v="0"/>
    <n v="0"/>
    <n v="0"/>
    <m/>
    <m/>
    <m/>
    <m/>
    <m/>
    <m/>
    <m/>
    <m/>
    <m/>
    <m/>
    <m/>
    <d v="2006-12-31T00:00:00"/>
    <n v="8.735205270921087E-3"/>
    <x v="1"/>
    <n v="0"/>
    <x v="68"/>
  </r>
  <r>
    <d v="2007-01-31T00:00:00"/>
    <x v="1"/>
    <s v="NA"/>
    <n v="441610000"/>
    <n v="1668.1523000000002"/>
    <m/>
    <n v="26869359.68163389"/>
    <n v="0"/>
    <n v="0"/>
    <m/>
    <n v="264730.02495035972"/>
    <n v="26869359.68163389"/>
    <n v="0"/>
    <n v="0"/>
    <m/>
    <s v="Hedge Fund"/>
    <n v="0"/>
    <n v="0"/>
    <n v="0"/>
    <n v="0"/>
    <m/>
    <m/>
    <m/>
    <m/>
    <m/>
    <m/>
    <m/>
    <m/>
    <m/>
    <m/>
    <m/>
    <d v="2007-01-31T00:00:00"/>
    <n v="1.8118225447677938E-2"/>
    <x v="1"/>
    <n v="0"/>
    <x v="69"/>
  </r>
  <r>
    <d v="2007-02-28T00:00:00"/>
    <x v="1"/>
    <s v="NA"/>
    <n v="442030000"/>
    <n v="1693.7085"/>
    <m/>
    <n v="0"/>
    <n v="-6345493.4636363387"/>
    <n v="0"/>
    <m/>
    <n v="260983.51634888767"/>
    <n v="-6345493.4636363387"/>
    <n v="0"/>
    <n v="0"/>
    <m/>
    <s v="Hedge Fund"/>
    <n v="0"/>
    <n v="0"/>
    <n v="0"/>
    <n v="0"/>
    <m/>
    <m/>
    <m/>
    <m/>
    <m/>
    <m/>
    <m/>
    <m/>
    <m/>
    <m/>
    <m/>
    <d v="2007-02-28T00:00:00"/>
    <n v="1.5320064001350442E-2"/>
    <x v="1"/>
    <n v="0"/>
    <x v="70"/>
  </r>
  <r>
    <d v="2007-03-30T00:00:00"/>
    <x v="1"/>
    <s v="NA"/>
    <n v="458480000"/>
    <n v="1753.7643245748914"/>
    <m/>
    <n v="776419.72521287203"/>
    <n v="0"/>
    <n v="0"/>
    <m/>
    <n v="261426.23246206957"/>
    <n v="776419.72521287203"/>
    <n v="0"/>
    <n v="0"/>
    <m/>
    <s v="Hedge Fund"/>
    <n v="0"/>
    <n v="0"/>
    <n v="0"/>
    <n v="0"/>
    <m/>
    <m/>
    <m/>
    <m/>
    <m/>
    <m/>
    <m/>
    <m/>
    <m/>
    <m/>
    <m/>
    <d v="2007-03-30T00:00:00"/>
    <n v="3.5458182193034649E-2"/>
    <x v="1"/>
    <n v="0"/>
    <x v="71"/>
  </r>
  <r>
    <d v="2007-04-30T00:00:00"/>
    <x v="1"/>
    <s v="NA"/>
    <n v="477589385.90630847"/>
    <n v="1817.9249080723571"/>
    <m/>
    <n v="2336126.2899979949"/>
    <n v="0"/>
    <n v="0"/>
    <m/>
    <n v="262711.28350000002"/>
    <n v="2336126.2899979949"/>
    <n v="0"/>
    <n v="0"/>
    <m/>
    <s v="Hedge Fund"/>
    <n v="0"/>
    <n v="0"/>
    <n v="0"/>
    <n v="0"/>
    <m/>
    <m/>
    <m/>
    <m/>
    <m/>
    <m/>
    <m/>
    <m/>
    <m/>
    <m/>
    <m/>
    <d v="2007-04-30T00:00:00"/>
    <n v="3.6584495760579427E-2"/>
    <x v="1"/>
    <n v="0"/>
    <x v="72"/>
  </r>
  <r>
    <d v="2007-05-31T00:00:00"/>
    <x v="1"/>
    <s v="NA"/>
    <n v="512447611.87423545"/>
    <n v="1866.9561000000001"/>
    <m/>
    <n v="21977178.605081022"/>
    <n v="0"/>
    <n v="0"/>
    <m/>
    <n v="274482.94679999998"/>
    <n v="21977178.605081022"/>
    <n v="0"/>
    <n v="0"/>
    <m/>
    <s v="Hedge Fund"/>
    <n v="0"/>
    <n v="0"/>
    <n v="0"/>
    <n v="0"/>
    <m/>
    <m/>
    <m/>
    <m/>
    <m/>
    <m/>
    <m/>
    <m/>
    <m/>
    <m/>
    <m/>
    <d v="2007-05-31T00:00:00"/>
    <n v="2.6970966572889665E-2"/>
    <x v="1"/>
    <n v="0"/>
    <x v="73"/>
  </r>
  <r>
    <d v="2007-06-29T00:00:00"/>
    <x v="1"/>
    <s v="NA"/>
    <n v="509518247.52110177"/>
    <n v="1856.2837999999999"/>
    <m/>
    <n v="0"/>
    <n v="0"/>
    <n v="0"/>
    <m/>
    <n v="274482.94679999998"/>
    <n v="0"/>
    <n v="0"/>
    <n v="0"/>
    <m/>
    <s v="Hedge Fund"/>
    <n v="0"/>
    <n v="0"/>
    <n v="0"/>
    <n v="0"/>
    <m/>
    <m/>
    <m/>
    <m/>
    <m/>
    <m/>
    <m/>
    <m/>
    <m/>
    <m/>
    <m/>
    <d v="2007-06-29T00:00:00"/>
    <n v="-5.7164172205228514E-3"/>
    <x v="1"/>
    <n v="0"/>
    <x v="74"/>
  </r>
  <r>
    <d v="2007-07-31T00:00:00"/>
    <x v="1"/>
    <s v="NA"/>
    <n v="559120000"/>
    <n v="1906.9264000000001"/>
    <m/>
    <n v="35701222.397284508"/>
    <n v="0"/>
    <n v="0"/>
    <m/>
    <n v="293204.81377781543"/>
    <n v="35701222.397284508"/>
    <n v="0"/>
    <n v="0"/>
    <m/>
    <s v="Hedge Fund"/>
    <n v="0"/>
    <n v="0"/>
    <n v="0"/>
    <n v="0"/>
    <m/>
    <m/>
    <m/>
    <m/>
    <m/>
    <m/>
    <m/>
    <m/>
    <m/>
    <m/>
    <m/>
    <d v="2007-07-31T00:00:00"/>
    <n v="2.7281711988220936E-2"/>
    <x v="1"/>
    <n v="0"/>
    <x v="75"/>
  </r>
  <r>
    <d v="2007-08-31T00:00:00"/>
    <x v="1"/>
    <s v="NA"/>
    <n v="533270000"/>
    <n v="1802.6483000000003"/>
    <m/>
    <n v="4724840.8916043639"/>
    <n v="0"/>
    <n v="0"/>
    <m/>
    <n v="295825.86908383621"/>
    <n v="4724840.8916043639"/>
    <n v="0"/>
    <n v="0"/>
    <m/>
    <s v="Hedge Fund"/>
    <n v="0"/>
    <n v="0"/>
    <n v="0"/>
    <n v="0"/>
    <m/>
    <m/>
    <m/>
    <m/>
    <m/>
    <m/>
    <m/>
    <m/>
    <m/>
    <m/>
    <m/>
    <d v="2007-08-31T00:00:00"/>
    <n v="-5.4683861946638213E-2"/>
    <x v="1"/>
    <n v="0"/>
    <x v="76"/>
  </r>
  <r>
    <d v="2007-09-30T00:00:00"/>
    <x v="1"/>
    <s v="NA"/>
    <n v="555580000"/>
    <n v="1813.7191"/>
    <m/>
    <n v="19034970.968546748"/>
    <n v="0"/>
    <n v="0"/>
    <m/>
    <n v="306320.86302669469"/>
    <n v="19034970.968546748"/>
    <n v="0"/>
    <n v="0"/>
    <m/>
    <s v="Hedge Fund"/>
    <n v="0"/>
    <n v="0"/>
    <n v="0"/>
    <n v="0"/>
    <m/>
    <m/>
    <m/>
    <m/>
    <m/>
    <m/>
    <m/>
    <m/>
    <m/>
    <m/>
    <m/>
    <d v="2007-09-30T00:00:00"/>
    <n v="6.1414087262610106E-3"/>
    <x v="1"/>
    <n v="0"/>
    <x v="77"/>
  </r>
  <r>
    <d v="2007-10-31T00:00:00"/>
    <x v="1"/>
    <s v="NA"/>
    <n v="558798778.40037513"/>
    <n v="1818.7966000000001"/>
    <m/>
    <n v="1663434.2183570862"/>
    <n v="0"/>
    <n v="0"/>
    <m/>
    <n v="307235.44259999995"/>
    <n v="1663434.2183570862"/>
    <n v="0"/>
    <n v="0"/>
    <m/>
    <s v="Hedge Fund"/>
    <n v="0"/>
    <n v="0"/>
    <n v="0"/>
    <n v="0"/>
    <m/>
    <m/>
    <m/>
    <m/>
    <m/>
    <m/>
    <m/>
    <m/>
    <m/>
    <m/>
    <m/>
    <d v="2007-10-31T00:00:00"/>
    <n v="2.7994963497930403E-3"/>
    <x v="1"/>
    <n v="0"/>
    <x v="78"/>
  </r>
  <r>
    <d v="2007-11-30T00:00:00"/>
    <x v="1"/>
    <s v="NA"/>
    <n v="571347344.46757579"/>
    <n v="1846.8496000000002"/>
    <m/>
    <n v="3929690.1959428787"/>
    <n v="0"/>
    <n v="0"/>
    <m/>
    <n v="309363.22289999994"/>
    <n v="3929690.1959428787"/>
    <n v="0"/>
    <n v="0"/>
    <m/>
    <s v="Hedge Fund"/>
    <n v="0"/>
    <n v="0"/>
    <n v="0"/>
    <n v="0"/>
    <m/>
    <m/>
    <m/>
    <m/>
    <m/>
    <m/>
    <m/>
    <m/>
    <m/>
    <m/>
    <m/>
    <d v="2007-11-30T00:00:00"/>
    <n v="1.5423934704958286E-2"/>
    <x v="1"/>
    <n v="0"/>
    <x v="79"/>
  </r>
  <r>
    <d v="2007-12-31T00:00:00"/>
    <x v="1"/>
    <s v="NA"/>
    <n v="584090357.11431062"/>
    <n v="1868.7528999999997"/>
    <m/>
    <n v="5966937.1665893793"/>
    <n v="0"/>
    <n v="0"/>
    <m/>
    <n v="312556.22780000005"/>
    <n v="5966937.1665893793"/>
    <n v="0"/>
    <n v="0"/>
    <m/>
    <s v="Hedge Fund"/>
    <n v="0"/>
    <n v="0"/>
    <n v="0"/>
    <n v="0"/>
    <m/>
    <m/>
    <m/>
    <m/>
    <m/>
    <m/>
    <m/>
    <m/>
    <m/>
    <m/>
    <m/>
    <d v="2007-12-31T00:00:00"/>
    <n v="1.1859817929949168E-2"/>
    <x v="1"/>
    <n v="0"/>
    <x v="80"/>
  </r>
  <r>
    <d v="2008-01-31T00:00:00"/>
    <x v="1"/>
    <s v="NA"/>
    <n v="578824889.01440358"/>
    <n v="1820.7343000000003"/>
    <m/>
    <n v="9743044.3803298473"/>
    <n v="0"/>
    <n v="0"/>
    <m/>
    <n v="317907.38989999995"/>
    <n v="9743044.3803298473"/>
    <n v="0"/>
    <n v="0"/>
    <m/>
    <s v="Hedge Fund"/>
    <n v="0"/>
    <n v="0"/>
    <n v="0"/>
    <n v="0"/>
    <m/>
    <m/>
    <m/>
    <m/>
    <m/>
    <m/>
    <m/>
    <m/>
    <m/>
    <m/>
    <m/>
    <d v="2008-01-31T00:00:00"/>
    <n v="-2.569553203101349E-2"/>
    <x v="1"/>
    <n v="0"/>
    <x v="81"/>
  </r>
  <r>
    <d v="2008-02-29T00:00:00"/>
    <x v="1"/>
    <s v="NA"/>
    <n v="623022111.54772389"/>
    <n v="1849.4313000000002"/>
    <m/>
    <n v="35074234.165360093"/>
    <n v="0"/>
    <n v="0"/>
    <m/>
    <n v="336872.26529999997"/>
    <n v="35074234.165360093"/>
    <n v="0"/>
    <n v="0"/>
    <m/>
    <s v="Hedge Fund"/>
    <n v="0"/>
    <n v="0"/>
    <n v="0"/>
    <n v="0"/>
    <m/>
    <m/>
    <m/>
    <m/>
    <m/>
    <m/>
    <m/>
    <m/>
    <m/>
    <m/>
    <m/>
    <d v="2008-02-29T00:00:00"/>
    <n v="1.5761223370153399E-2"/>
    <x v="1"/>
    <n v="0"/>
    <x v="82"/>
  </r>
  <r>
    <d v="2008-03-31T00:00:00"/>
    <x v="1"/>
    <s v="NA"/>
    <n v="616185608.06165004"/>
    <n v="1812.8426000000002"/>
    <m/>
    <n v="5489214.7673082352"/>
    <n v="0"/>
    <n v="0"/>
    <m/>
    <n v="339900.22523833561"/>
    <n v="5489214.7673082352"/>
    <n v="0"/>
    <n v="0"/>
    <m/>
    <s v="Hedge Fund"/>
    <n v="0"/>
    <n v="0"/>
    <n v="0"/>
    <n v="0"/>
    <m/>
    <m/>
    <m/>
    <m/>
    <m/>
    <m/>
    <m/>
    <m/>
    <m/>
    <m/>
    <m/>
    <d v="2008-03-31T00:00:00"/>
    <n v="-1.9783757309611794E-2"/>
    <x v="1"/>
    <n v="0"/>
    <x v="83"/>
  </r>
  <r>
    <d v="2008-04-30T00:00:00"/>
    <x v="1"/>
    <s v="NA"/>
    <n v="612147534.47961235"/>
    <n v="1779.9915000000003"/>
    <m/>
    <n v="7128022.7072893381"/>
    <n v="0"/>
    <n v="0"/>
    <m/>
    <n v="343904.75150000001"/>
    <n v="7128022.7072893381"/>
    <n v="0"/>
    <n v="0"/>
    <m/>
    <s v="Hedge Fund"/>
    <n v="0"/>
    <n v="0"/>
    <n v="0"/>
    <n v="0"/>
    <m/>
    <m/>
    <m/>
    <m/>
    <m/>
    <m/>
    <m/>
    <m/>
    <m/>
    <m/>
    <m/>
    <d v="2008-04-30T00:00:00"/>
    <n v="-1.8121319523272339E-2"/>
    <x v="1"/>
    <n v="0"/>
    <x v="84"/>
  </r>
  <r>
    <d v="2008-05-30T00:00:00"/>
    <x v="1"/>
    <s v="NA"/>
    <n v="613046016.40129268"/>
    <n v="1781.0038999999997"/>
    <m/>
    <n v="550312.75126194954"/>
    <n v="0"/>
    <n v="0"/>
    <m/>
    <n v="344213.74170000007"/>
    <n v="550312.75126194954"/>
    <n v="0"/>
    <n v="0"/>
    <m/>
    <s v="Hedge Fund"/>
    <n v="0"/>
    <n v="0"/>
    <n v="0"/>
    <n v="0"/>
    <m/>
    <m/>
    <m/>
    <m/>
    <m/>
    <m/>
    <m/>
    <m/>
    <m/>
    <m/>
    <m/>
    <d v="2008-05-30T00:00:00"/>
    <n v="5.6876676096462297E-4"/>
    <x v="1"/>
    <n v="0"/>
    <x v="85"/>
  </r>
  <r>
    <d v="2008-06-30T00:00:00"/>
    <x v="1"/>
    <s v="NA"/>
    <n v="624070000"/>
    <n v="1813.0252"/>
    <m/>
    <n v="1812.1116089820862"/>
    <n v="0"/>
    <n v="0"/>
    <m/>
    <n v="344214.74119609589"/>
    <n v="1812.1116089820862"/>
    <n v="0"/>
    <n v="0"/>
    <m/>
    <s v="Hedge Fund"/>
    <n v="0"/>
    <n v="0"/>
    <n v="0"/>
    <n v="0"/>
    <m/>
    <m/>
    <m/>
    <m/>
    <m/>
    <m/>
    <m/>
    <m/>
    <m/>
    <m/>
    <m/>
    <d v="2008-06-30T00:00:00"/>
    <n v="1.7979354228253142E-2"/>
    <x v="1"/>
    <n v="0"/>
    <x v="86"/>
  </r>
  <r>
    <d v="2008-07-31T00:00:00"/>
    <x v="1"/>
    <s v="NA"/>
    <n v="606867092.72744"/>
    <n v="1762.7"/>
    <m/>
    <n v="119768.42108178139"/>
    <n v="0"/>
    <n v="0"/>
    <m/>
    <n v="344282.68719999999"/>
    <n v="119768.42108178139"/>
    <n v="0"/>
    <n v="0"/>
    <m/>
    <s v="Hedge Fund"/>
    <n v="0"/>
    <n v="0"/>
    <n v="0"/>
    <n v="0"/>
    <m/>
    <m/>
    <m/>
    <m/>
    <m/>
    <m/>
    <m/>
    <m/>
    <m/>
    <m/>
    <m/>
    <d v="2008-07-31T00:00:00"/>
    <n v="-2.7757584395407209E-2"/>
    <x v="1"/>
    <n v="0"/>
    <x v="87"/>
  </r>
  <r>
    <d v="2008-08-29T00:00:00"/>
    <x v="1"/>
    <s v="NA"/>
    <n v="578360000"/>
    <n v="1679.4906000000001"/>
    <m/>
    <n v="140463.10485970974"/>
    <n v="0"/>
    <n v="0"/>
    <m/>
    <n v="344366.32155011763"/>
    <n v="140463.10485970974"/>
    <n v="0"/>
    <n v="0"/>
    <m/>
    <s v="Hedge Fund"/>
    <n v="0"/>
    <n v="0"/>
    <n v="0"/>
    <n v="0"/>
    <m/>
    <m/>
    <m/>
    <m/>
    <m/>
    <m/>
    <m/>
    <m/>
    <m/>
    <m/>
    <m/>
    <d v="2008-08-29T00:00:00"/>
    <n v="-4.7205650422647127E-2"/>
    <x v="1"/>
    <n v="0"/>
    <x v="88"/>
  </r>
  <r>
    <d v="2008-09-30T00:00:00"/>
    <x v="1"/>
    <s v="NA"/>
    <n v="554100000"/>
    <n v="1608.3681999999997"/>
    <m/>
    <n v="232159.26781618595"/>
    <n v="0"/>
    <n v="0"/>
    <m/>
    <n v="344510.66615219082"/>
    <n v="232159.26781618595"/>
    <n v="0"/>
    <n v="0"/>
    <m/>
    <s v="Hedge Fund"/>
    <n v="0"/>
    <n v="0"/>
    <n v="0"/>
    <n v="0"/>
    <m/>
    <m/>
    <m/>
    <m/>
    <m/>
    <m/>
    <m/>
    <m/>
    <m/>
    <m/>
    <m/>
    <d v="2008-09-30T00:00:00"/>
    <n v="-4.2347602302746035E-2"/>
    <x v="1"/>
    <n v="0"/>
    <x v="89"/>
  </r>
  <r>
    <d v="2008-10-31T00:00:00"/>
    <x v="1"/>
    <s v="NA"/>
    <n v="518440000.00000006"/>
    <n v="1540.2582"/>
    <m/>
    <n v="0"/>
    <n v="-12195378.528374314"/>
    <n v="0"/>
    <m/>
    <n v="336592.91669409716"/>
    <n v="-12195378.528374314"/>
    <n v="0"/>
    <n v="0"/>
    <m/>
    <s v="Hedge Fund"/>
    <n v="0"/>
    <n v="0"/>
    <n v="0"/>
    <n v="0"/>
    <m/>
    <m/>
    <m/>
    <m/>
    <m/>
    <m/>
    <m/>
    <m/>
    <m/>
    <m/>
    <m/>
    <d v="2008-10-31T00:00:00"/>
    <n v="-4.2347268492376133E-2"/>
    <x v="1"/>
    <n v="0"/>
    <x v="90"/>
  </r>
  <r>
    <d v="2008-11-28T00:00:00"/>
    <x v="1"/>
    <s v="NA"/>
    <n v="517700000.00000006"/>
    <n v="1537.1346000000001"/>
    <m/>
    <n v="311381.63458567858"/>
    <n v="0"/>
    <n v="0"/>
    <m/>
    <n v="336795.48947762937"/>
    <n v="311381.63458567858"/>
    <n v="0"/>
    <n v="0"/>
    <m/>
    <s v="Hedge Fund"/>
    <n v="0"/>
    <n v="0"/>
    <n v="0"/>
    <n v="0"/>
    <m/>
    <m/>
    <m/>
    <m/>
    <m/>
    <m/>
    <m/>
    <m/>
    <m/>
    <m/>
    <m/>
    <d v="2008-11-28T00:00:00"/>
    <n v="-2.0279716738401676E-3"/>
    <x v="1"/>
    <n v="0"/>
    <x v="91"/>
  </r>
  <r>
    <d v="2008-12-31T00:00:00"/>
    <x v="1"/>
    <s v="NA"/>
    <n v="508910000"/>
    <n v="1511.0528999999999"/>
    <m/>
    <n v="0"/>
    <n v="-5801.0820913314819"/>
    <n v="0"/>
    <m/>
    <n v="336791.65037835541"/>
    <n v="-5801.0820913314819"/>
    <n v="0"/>
    <n v="0"/>
    <m/>
    <s v="Hedge Fund"/>
    <n v="0"/>
    <n v="0"/>
    <n v="0"/>
    <n v="0"/>
    <m/>
    <m/>
    <m/>
    <m/>
    <m/>
    <m/>
    <m/>
    <m/>
    <m/>
    <m/>
    <m/>
    <d v="2008-12-31T00:00:00"/>
    <n v="-1.6967739845294094E-2"/>
    <x v="1"/>
    <n v="0"/>
    <x v="92"/>
  </r>
  <r>
    <d v="2009-01-30T00:00:00"/>
    <x v="1"/>
    <s v="NA"/>
    <n v="431380000"/>
    <n v="1529.8933999999999"/>
    <m/>
    <n v="0"/>
    <n v="-83875323.088953435"/>
    <n v="0"/>
    <m/>
    <n v="281967.35798716435"/>
    <n v="-83875323.088953435"/>
    <n v="0"/>
    <n v="0"/>
    <m/>
    <s v="Hedge Fund"/>
    <n v="0"/>
    <n v="0"/>
    <n v="0"/>
    <n v="0"/>
    <m/>
    <m/>
    <m/>
    <m/>
    <m/>
    <m/>
    <m/>
    <m/>
    <m/>
    <m/>
    <m/>
    <d v="2009-01-30T00:00:00"/>
    <n v="1.2468458251858827E-2"/>
    <x v="1"/>
    <n v="0"/>
    <x v="93"/>
  </r>
  <r>
    <d v="2009-02-27T00:00:00"/>
    <x v="1"/>
    <s v="NA"/>
    <n v="428120000"/>
    <n v="1518.3263000000002"/>
    <m/>
    <n v="1544.6265732645988"/>
    <n v="0"/>
    <n v="0"/>
    <m/>
    <n v="281968.37530904915"/>
    <n v="1544.6265732645988"/>
    <n v="0"/>
    <n v="0"/>
    <m/>
    <s v="Hedge Fund"/>
    <n v="0"/>
    <n v="0"/>
    <n v="0"/>
    <n v="0"/>
    <m/>
    <m/>
    <m/>
    <m/>
    <m/>
    <m/>
    <m/>
    <m/>
    <m/>
    <m/>
    <m/>
    <d v="2009-02-27T00:00:00"/>
    <n v="-7.5607228582068586E-3"/>
    <x v="1"/>
    <n v="0"/>
    <x v="94"/>
  </r>
  <r>
    <d v="2009-03-31T00:00:00"/>
    <x v="1"/>
    <s v="NA"/>
    <n v="408010000"/>
    <n v="1447.0174000000002"/>
    <m/>
    <n v="0"/>
    <n v="-3145.3219245672226"/>
    <n v="0"/>
    <m/>
    <n v="281966.20165037405"/>
    <n v="-3145.3219245672226"/>
    <n v="0"/>
    <n v="0"/>
    <m/>
    <s v="Hedge Fund"/>
    <n v="0"/>
    <n v="0"/>
    <n v="0"/>
    <n v="0"/>
    <m/>
    <m/>
    <m/>
    <m/>
    <m/>
    <m/>
    <m/>
    <m/>
    <m/>
    <m/>
    <m/>
    <d v="2009-03-31T00:00:00"/>
    <n v="-4.6965464538156199E-2"/>
    <x v="1"/>
    <n v="0"/>
    <x v="95"/>
  </r>
  <r>
    <d v="2009-04-30T00:00:00"/>
    <x v="1"/>
    <s v="NA"/>
    <n v="349930000"/>
    <n v="1413.8922"/>
    <m/>
    <n v="0"/>
    <n v="-48739813.177091002"/>
    <n v="0"/>
    <m/>
    <n v="247494.11588804296"/>
    <n v="-48739813.177091002"/>
    <n v="0"/>
    <n v="0"/>
    <m/>
    <s v="Hedge Fund"/>
    <n v="0"/>
    <n v="0"/>
    <n v="0"/>
    <n v="0"/>
    <m/>
    <m/>
    <m/>
    <m/>
    <m/>
    <m/>
    <m/>
    <m/>
    <m/>
    <m/>
    <m/>
    <d v="2009-04-30T00:00:00"/>
    <n v="-2.2892053682284752E-2"/>
    <x v="1"/>
    <n v="0"/>
    <x v="96"/>
  </r>
  <r>
    <d v="2009-05-29T00:00:00"/>
    <x v="1"/>
    <s v="NA"/>
    <n v="348210000"/>
    <n v="1406.9434000000003"/>
    <m/>
    <n v="0"/>
    <n v="-212.88751727342606"/>
    <n v="0"/>
    <m/>
    <n v="247493.96457597366"/>
    <n v="-212.88751727342606"/>
    <n v="0"/>
    <n v="0"/>
    <m/>
    <s v="Hedge Fund"/>
    <n v="0"/>
    <n v="0"/>
    <n v="0"/>
    <n v="0"/>
    <m/>
    <m/>
    <m/>
    <m/>
    <m/>
    <m/>
    <m/>
    <m/>
    <m/>
    <m/>
    <m/>
    <d v="2009-05-29T00:00:00"/>
    <n v="-4.9146603963156066E-3"/>
    <x v="1"/>
    <n v="0"/>
    <x v="97"/>
  </r>
  <r>
    <d v="2009-06-30T00:00:00"/>
    <x v="1"/>
    <s v="NA"/>
    <n v="345404460.07499999"/>
    <n v="1395.6012000000001"/>
    <m/>
    <n v="1586.120013654232"/>
    <n v="0"/>
    <n v="0"/>
    <m/>
    <n v="247495.10108976689"/>
    <n v="1586.120013654232"/>
    <n v="0"/>
    <n v="0"/>
    <m/>
    <s v="Hedge Fund"/>
    <n v="0"/>
    <n v="0"/>
    <n v="0"/>
    <n v="0"/>
    <m/>
    <m/>
    <m/>
    <m/>
    <m/>
    <m/>
    <m/>
    <m/>
    <m/>
    <m/>
    <m/>
    <d v="2009-06-30T00:00:00"/>
    <n v="-8.0615894001139221E-3"/>
    <x v="1"/>
    <n v="0"/>
    <x v="98"/>
  </r>
  <r>
    <d v="2009-07-31T00:00:00"/>
    <x v="1"/>
    <s v="NA"/>
    <n v="315390000"/>
    <n v="1409.1298999999999"/>
    <m/>
    <n v="0"/>
    <n v="-33362747.049113095"/>
    <n v="0"/>
    <m/>
    <n v="223818.96800287894"/>
    <n v="-33362747.049113095"/>
    <n v="0"/>
    <n v="0"/>
    <m/>
    <s v="Hedge Fund"/>
    <n v="0"/>
    <n v="0"/>
    <n v="0"/>
    <n v="0"/>
    <m/>
    <m/>
    <m/>
    <m/>
    <m/>
    <m/>
    <m/>
    <m/>
    <m/>
    <m/>
    <m/>
    <d v="2009-07-31T00:00:00"/>
    <n v="9.693815109932391E-3"/>
    <x v="1"/>
    <n v="0"/>
    <x v="99"/>
  </r>
  <r>
    <d v="2009-08-31T00:00:00"/>
    <x v="1"/>
    <s v="NA"/>
    <n v="317550000"/>
    <n v="1418.2234000000001"/>
    <m/>
    <n v="124702.21446579695"/>
    <n v="0"/>
    <n v="0"/>
    <m/>
    <n v="223906.89647343286"/>
    <n v="124702.21446579695"/>
    <n v="0"/>
    <n v="0"/>
    <m/>
    <s v="Hedge Fund"/>
    <n v="0"/>
    <n v="0"/>
    <n v="0"/>
    <n v="0"/>
    <m/>
    <m/>
    <m/>
    <m/>
    <m/>
    <m/>
    <m/>
    <m/>
    <m/>
    <m/>
    <m/>
    <d v="2009-08-31T00:00:00"/>
    <n v="6.4532730445929776E-3"/>
    <x v="1"/>
    <n v="0"/>
    <x v="100"/>
  </r>
  <r>
    <d v="2009-09-30T00:00:00"/>
    <x v="1"/>
    <s v="NA"/>
    <n v="338568492.37493181"/>
    <n v="1510.9146000000001"/>
    <m/>
    <n v="264293.45253360271"/>
    <n v="0"/>
    <n v="0"/>
    <m/>
    <n v="224081.8193"/>
    <n v="264293.45253360271"/>
    <n v="0"/>
    <n v="0"/>
    <m/>
    <s v="Hedge Fund"/>
    <n v="0"/>
    <n v="0"/>
    <n v="0"/>
    <n v="0"/>
    <m/>
    <m/>
    <m/>
    <m/>
    <m/>
    <m/>
    <m/>
    <m/>
    <m/>
    <m/>
    <m/>
    <d v="2009-09-30T00:00:00"/>
    <n v="6.5357263178706271E-2"/>
    <x v="1"/>
    <n v="0"/>
    <x v="101"/>
  </r>
  <r>
    <d v="2009-10-30T00:00:00"/>
    <x v="1"/>
    <s v="NA"/>
    <n v="334519302.79206502"/>
    <n v="1514.7872999999997"/>
    <m/>
    <n v="0"/>
    <n v="-4916991.2444698215"/>
    <n v="0"/>
    <m/>
    <n v="220835.82480000003"/>
    <n v="-4916991.2444698215"/>
    <n v="0"/>
    <n v="0"/>
    <m/>
    <s v="Hedge Fund"/>
    <n v="0"/>
    <n v="0"/>
    <n v="0"/>
    <n v="0"/>
    <m/>
    <m/>
    <m/>
    <m/>
    <m/>
    <m/>
    <m/>
    <m/>
    <m/>
    <m/>
    <m/>
    <d v="2009-10-30T00:00:00"/>
    <n v="2.5631494989852843E-3"/>
    <x v="1"/>
    <n v="0"/>
    <x v="102"/>
  </r>
  <r>
    <d v="2009-11-30T00:00:00"/>
    <x v="1"/>
    <s v="NA"/>
    <n v="349295003.95000005"/>
    <n v="1581.6953000000003"/>
    <m/>
    <n v="17.79221647977829"/>
    <n v="0"/>
    <n v="0"/>
    <m/>
    <n v="220835.83604882684"/>
    <n v="17.79221647977829"/>
    <n v="0"/>
    <n v="0"/>
    <m/>
    <s v="Hedge Fund"/>
    <n v="0"/>
    <n v="0"/>
    <n v="0"/>
    <n v="0"/>
    <m/>
    <m/>
    <m/>
    <m/>
    <m/>
    <m/>
    <m/>
    <m/>
    <m/>
    <m/>
    <m/>
    <d v="2009-11-30T00:00:00"/>
    <n v="4.4169897648336898E-2"/>
    <x v="1"/>
    <n v="0"/>
    <x v="103"/>
  </r>
  <r>
    <d v="2009-12-31T00:00:00"/>
    <x v="1"/>
    <s v="NA"/>
    <n v="353252518.72327679"/>
    <n v="1599.616"/>
    <m/>
    <n v="0"/>
    <n v="-17.993803381919861"/>
    <n v="0"/>
    <m/>
    <n v="220835.8248"/>
    <n v="-17.993803381919861"/>
    <n v="0"/>
    <n v="0"/>
    <m/>
    <s v="Hedge Fund"/>
    <n v="0"/>
    <n v="0"/>
    <n v="0"/>
    <n v="0"/>
    <m/>
    <m/>
    <m/>
    <m/>
    <m/>
    <m/>
    <m/>
    <m/>
    <m/>
    <m/>
    <m/>
    <d v="2009-12-31T00:00:00"/>
    <n v="1.1330058324128256E-2"/>
    <x v="1"/>
    <n v="0"/>
    <x v="104"/>
  </r>
  <r>
    <d v="2010-01-29T00:00:00"/>
    <x v="1"/>
    <s v="NA"/>
    <n v="352948806.02760398"/>
    <n v="1625.3155999999997"/>
    <m/>
    <n v="0"/>
    <n v="-5979105.0587028265"/>
    <n v="0"/>
    <m/>
    <n v="217157.09000000003"/>
    <n v="-5979105.0587028265"/>
    <n v="0"/>
    <n v="0"/>
    <m/>
    <s v="Hedge Fund"/>
    <n v="0"/>
    <n v="0"/>
    <n v="0"/>
    <n v="0"/>
    <m/>
    <m/>
    <m/>
    <m/>
    <m/>
    <m/>
    <m/>
    <m/>
    <m/>
    <m/>
    <m/>
    <d v="2010-01-29T00:00:00"/>
    <n v="1.6066105865407465E-2"/>
    <x v="1"/>
    <n v="0"/>
    <x v="105"/>
  </r>
  <r>
    <d v="2010-02-26T00:00:00"/>
    <x v="1"/>
    <s v="NA"/>
    <n v="355018201.71693742"/>
    <n v="1652.1982"/>
    <m/>
    <n v="0"/>
    <n v="-3768351.498300612"/>
    <n v="0"/>
    <m/>
    <n v="214876.27919999999"/>
    <n v="-3768351.498300612"/>
    <n v="0"/>
    <n v="0"/>
    <m/>
    <s v="Hedge Fund"/>
    <n v="0"/>
    <n v="0"/>
    <n v="0"/>
    <n v="0"/>
    <m/>
    <m/>
    <m/>
    <m/>
    <m/>
    <m/>
    <m/>
    <m/>
    <m/>
    <m/>
    <m/>
    <d v="2010-02-26T00:00:00"/>
    <n v="1.6539926153419149E-2"/>
    <x v="1"/>
    <n v="0"/>
    <x v="106"/>
  </r>
  <r>
    <d v="2010-03-31T00:00:00"/>
    <x v="1"/>
    <s v="NA"/>
    <n v="368917989.54005951"/>
    <n v="1716.8856000000001"/>
    <m/>
    <n v="0"/>
    <n v="0"/>
    <n v="0"/>
    <m/>
    <n v="214876.27919999999"/>
    <n v="0"/>
    <n v="0"/>
    <n v="0"/>
    <m/>
    <s v="Hedge Fund"/>
    <n v="0"/>
    <n v="0"/>
    <n v="0"/>
    <n v="0"/>
    <m/>
    <m/>
    <m/>
    <m/>
    <m/>
    <m/>
    <m/>
    <m/>
    <m/>
    <m/>
    <m/>
    <d v="2010-03-31T00:00:00"/>
    <n v="3.9152324460830501E-2"/>
    <x v="1"/>
    <n v="0"/>
    <x v="107"/>
  </r>
  <r>
    <d v="2010-04-30T00:00:00"/>
    <x v="1"/>
    <s v="NA"/>
    <n v="372784963.22142768"/>
    <n v="1753.6153999999999"/>
    <m/>
    <n v="0"/>
    <n v="-4025389.0783919692"/>
    <n v="0"/>
    <m/>
    <n v="212580.79920000001"/>
    <n v="-4025389.0783919692"/>
    <n v="0"/>
    <n v="0"/>
    <m/>
    <s v="Hedge Fund"/>
    <n v="0"/>
    <n v="0"/>
    <n v="0"/>
    <n v="0"/>
    <m/>
    <m/>
    <m/>
    <m/>
    <m/>
    <m/>
    <m/>
    <m/>
    <m/>
    <m/>
    <m/>
    <d v="2010-04-30T00:00:00"/>
    <n v="2.1393271630911093E-2"/>
    <x v="1"/>
    <n v="0"/>
    <x v="108"/>
  </r>
  <r>
    <d v="2010-05-31T00:00:00"/>
    <x v="1"/>
    <s v="NA"/>
    <n v="366711884.58983797"/>
    <n v="1717.0327"/>
    <m/>
    <n v="1703700.9713041186"/>
    <n v="0"/>
    <n v="0"/>
    <m/>
    <n v="213573.03479999999"/>
    <n v="1703700.9713041186"/>
    <n v="0"/>
    <n v="0"/>
    <m/>
    <s v="Hedge Fund"/>
    <n v="0"/>
    <n v="0"/>
    <n v="0"/>
    <n v="0"/>
    <m/>
    <m/>
    <m/>
    <m/>
    <m/>
    <m/>
    <m/>
    <m/>
    <m/>
    <m/>
    <m/>
    <d v="2010-05-31T00:00:00"/>
    <n v="-2.0861301742673977E-2"/>
    <x v="1"/>
    <n v="0"/>
    <x v="109"/>
  </r>
  <r>
    <d v="2010-06-30T00:00:00"/>
    <x v="1"/>
    <s v="NA"/>
    <n v="397911829.52241683"/>
    <n v="1863.1183000000003"/>
    <m/>
    <n v="0"/>
    <n v="-5.9604644775390625E-8"/>
    <n v="0"/>
    <m/>
    <n v="213573.03479999996"/>
    <n v="-5.9604644775390625E-8"/>
    <n v="0"/>
    <n v="0"/>
    <m/>
    <s v="Hedge Fund"/>
    <n v="0"/>
    <n v="0"/>
    <n v="0"/>
    <n v="0"/>
    <m/>
    <m/>
    <m/>
    <m/>
    <m/>
    <m/>
    <m/>
    <m/>
    <m/>
    <m/>
    <m/>
    <d v="2010-06-30T00:00:00"/>
    <n v="8.5080266671683225E-2"/>
    <x v="1"/>
    <n v="0"/>
    <x v="110"/>
  </r>
  <r>
    <d v="2010-07-30T00:00:00"/>
    <x v="1"/>
    <s v="NA"/>
    <n v="420171548.96384674"/>
    <n v="1929.0141999999998"/>
    <m/>
    <n v="8186132.0975526571"/>
    <n v="0"/>
    <n v="0"/>
    <m/>
    <n v="217816.72160000002"/>
    <n v="8186132.0975526571"/>
    <n v="0"/>
    <n v="0"/>
    <m/>
    <s v="Hedge Fund"/>
    <n v="0"/>
    <n v="0"/>
    <n v="0"/>
    <n v="0"/>
    <m/>
    <m/>
    <m/>
    <m/>
    <m/>
    <m/>
    <m/>
    <m/>
    <m/>
    <m/>
    <m/>
    <d v="2010-07-30T00:00:00"/>
    <n v="3.5368607565069654E-2"/>
    <x v="1"/>
    <n v="0"/>
    <x v="111"/>
  </r>
  <r>
    <d v="2010-08-31T00:00:00"/>
    <x v="1"/>
    <s v="NA"/>
    <n v="423729540.27980381"/>
    <n v="1943.0368000000001"/>
    <m/>
    <n v="503634.55564886332"/>
    <n v="0"/>
    <n v="0"/>
    <m/>
    <n v="218075.92129999999"/>
    <n v="503634.55564886332"/>
    <n v="0"/>
    <n v="0"/>
    <m/>
    <s v="Hedge Fund"/>
    <n v="0"/>
    <n v="0"/>
    <n v="0"/>
    <n v="0"/>
    <m/>
    <m/>
    <m/>
    <m/>
    <m/>
    <m/>
    <m/>
    <m/>
    <m/>
    <m/>
    <m/>
    <d v="2010-08-31T00:00:00"/>
    <n v="7.2693088521589289E-3"/>
    <x v="1"/>
    <n v="0"/>
    <x v="112"/>
  </r>
  <r>
    <d v="2010-09-30T00:00:00"/>
    <x v="1"/>
    <s v="NA"/>
    <n v="442850372.91364473"/>
    <n v="1990.7815000000003"/>
    <m/>
    <n v="8708863.1941487193"/>
    <n v="0"/>
    <n v="0"/>
    <m/>
    <n v="222450.51649999997"/>
    <n v="8708863.1941487193"/>
    <n v="0"/>
    <n v="0"/>
    <m/>
    <s v="Hedge Fund"/>
    <n v="0"/>
    <n v="0"/>
    <n v="0"/>
    <n v="0"/>
    <m/>
    <m/>
    <m/>
    <m/>
    <m/>
    <m/>
    <m/>
    <m/>
    <m/>
    <m/>
    <m/>
    <d v="2010-09-30T00:00:00"/>
    <n v="2.4572205734858077E-2"/>
    <x v="1"/>
    <n v="0"/>
    <x v="113"/>
  </r>
  <r>
    <d v="2010-10-29T00:00:00"/>
    <x v="1"/>
    <s v="NA"/>
    <n v="457607576.10000002"/>
    <n v="2083.2993999999999"/>
    <m/>
    <n v="0"/>
    <n v="-5823451.4541400075"/>
    <n v="0"/>
    <m/>
    <n v="219655.21427213008"/>
    <n v="-5823451.4541400075"/>
    <n v="0"/>
    <n v="0"/>
    <m/>
    <s v="Hedge Fund"/>
    <n v="0"/>
    <n v="0"/>
    <n v="0"/>
    <n v="0"/>
    <m/>
    <m/>
    <m/>
    <m/>
    <m/>
    <m/>
    <m/>
    <m/>
    <m/>
    <m/>
    <m/>
    <d v="2010-10-29T00:00:00"/>
    <n v="4.6473156396118709E-2"/>
    <x v="1"/>
    <n v="0"/>
    <x v="114"/>
  </r>
  <r>
    <d v="2010-11-30T00:00:00"/>
    <x v="1"/>
    <s v="NA"/>
    <n v="474324050.08314651"/>
    <n v="2131.4557"/>
    <m/>
    <n v="6138691.5880935192"/>
    <n v="0"/>
    <n v="0"/>
    <m/>
    <n v="222535.26079999999"/>
    <n v="6138691.5880935192"/>
    <n v="0"/>
    <n v="0"/>
    <m/>
    <s v="Hedge Fund"/>
    <n v="0"/>
    <n v="0"/>
    <n v="0"/>
    <n v="0"/>
    <m/>
    <m/>
    <m/>
    <m/>
    <m/>
    <m/>
    <m/>
    <m/>
    <m/>
    <m/>
    <m/>
    <d v="2010-11-30T00:00:00"/>
    <n v="2.3115400503643357E-2"/>
    <x v="1"/>
    <n v="0"/>
    <x v="115"/>
  </r>
  <r>
    <d v="2010-12-31T00:00:00"/>
    <x v="1"/>
    <s v="NA"/>
    <n v="486399190.24615806"/>
    <n v="2149.4643000000001"/>
    <m/>
    <n v="8067591.6653686166"/>
    <n v="0"/>
    <n v="0"/>
    <m/>
    <n v="226288.56419999999"/>
    <n v="8067591.6653686166"/>
    <n v="0"/>
    <n v="0"/>
    <m/>
    <s v="Hedge Fund"/>
    <n v="0"/>
    <n v="0"/>
    <n v="0"/>
    <n v="0"/>
    <m/>
    <m/>
    <m/>
    <m/>
    <m/>
    <m/>
    <m/>
    <m/>
    <m/>
    <m/>
    <m/>
    <d v="2010-12-31T00:00:00"/>
    <n v="8.4489675295622568E-3"/>
    <x v="1"/>
    <n v="0"/>
    <x v="116"/>
  </r>
  <r>
    <d v="2011-01-31T00:00:00"/>
    <x v="1"/>
    <s v="NA"/>
    <n v="491389942.62095493"/>
    <n v="2172.3395"/>
    <m/>
    <n v="0"/>
    <n v="-185643.78899097443"/>
    <n v="0"/>
    <m/>
    <n v="226203.10620000001"/>
    <n v="-185643.78899097443"/>
    <n v="0"/>
    <n v="0"/>
    <m/>
    <s v="Hedge Fund"/>
    <n v="0"/>
    <n v="0"/>
    <n v="0"/>
    <n v="0"/>
    <m/>
    <m/>
    <m/>
    <m/>
    <m/>
    <m/>
    <m/>
    <m/>
    <m/>
    <m/>
    <m/>
    <d v="2011-01-31T00:00:00"/>
    <n v="1.0642279567053103E-2"/>
    <x v="1"/>
    <n v="0"/>
    <x v="117"/>
  </r>
  <r>
    <d v="2011-02-28T00:00:00"/>
    <x v="1"/>
    <s v="NA"/>
    <n v="489732805.8110106"/>
    <n v="2172.2797999999998"/>
    <m/>
    <n v="0"/>
    <n v="-1643632.4845041633"/>
    <n v="0"/>
    <m/>
    <n v="225446.46680000002"/>
    <n v="-1643632.4845041633"/>
    <n v="0"/>
    <n v="0"/>
    <m/>
    <s v="Hedge Fund"/>
    <n v="0"/>
    <n v="0"/>
    <n v="0"/>
    <n v="0"/>
    <m/>
    <m/>
    <m/>
    <m/>
    <m/>
    <m/>
    <m/>
    <m/>
    <m/>
    <m/>
    <m/>
    <d v="2011-02-28T00:00:00"/>
    <n v="-2.7481892218128579E-5"/>
    <x v="1"/>
    <n v="0"/>
    <x v="118"/>
  </r>
  <r>
    <d v="2011-03-31T00:00:00"/>
    <x v="1"/>
    <s v="NA"/>
    <n v="498912940.84981328"/>
    <n v="2212.9996000000001"/>
    <m/>
    <n v="0"/>
    <n v="-5.9604644775390625E-8"/>
    <n v="0"/>
    <m/>
    <n v="225446.46679999999"/>
    <n v="-5.9604644775390625E-8"/>
    <n v="0"/>
    <n v="0"/>
    <m/>
    <s v="Hedge Fund"/>
    <n v="0"/>
    <n v="0"/>
    <n v="0"/>
    <n v="0"/>
    <m/>
    <m/>
    <m/>
    <m/>
    <m/>
    <m/>
    <m/>
    <m/>
    <m/>
    <m/>
    <m/>
    <d v="2011-03-31T00:00:00"/>
    <n v="1.8745191112121251E-2"/>
    <x v="1"/>
    <n v="0"/>
    <x v="119"/>
  </r>
  <r>
    <d v="2011-04-29T00:00:00"/>
    <x v="1"/>
    <s v="NA"/>
    <n v="492545205.69928956"/>
    <n v="2243.5120999999999"/>
    <m/>
    <n v="0"/>
    <n v="-13246670.468758702"/>
    <n v="0"/>
    <m/>
    <n v="219542.03219999999"/>
    <n v="-13246670.468758702"/>
    <n v="0"/>
    <n v="0"/>
    <m/>
    <s v="Hedge Fund"/>
    <n v="0"/>
    <n v="0"/>
    <n v="0"/>
    <n v="0"/>
    <m/>
    <m/>
    <m/>
    <m/>
    <m/>
    <m/>
    <m/>
    <m/>
    <m/>
    <m/>
    <m/>
    <d v="2011-04-29T00:00:00"/>
    <n v="1.3787847047057822E-2"/>
    <x v="1"/>
    <n v="0"/>
    <x v="120"/>
  </r>
  <r>
    <d v="2011-05-31T00:00:00"/>
    <x v="1"/>
    <s v="NA"/>
    <n v="492545205.69928956"/>
    <n v="2252.0594999999998"/>
    <m/>
    <n v="0"/>
    <n v="-1876513.5660262704"/>
    <n v="0"/>
    <m/>
    <n v="218708.78886605334"/>
    <n v="-1876513.5660262704"/>
    <n v="0"/>
    <n v="0"/>
    <m/>
    <s v="Hedge Fund"/>
    <n v="0"/>
    <n v="0"/>
    <n v="0"/>
    <n v="0"/>
    <m/>
    <m/>
    <m/>
    <m/>
    <m/>
    <m/>
    <m/>
    <m/>
    <m/>
    <m/>
    <m/>
    <d v="2011-05-31T00:00:00"/>
    <n v="3.8098301319613448E-3"/>
    <x v="1"/>
    <n v="0"/>
    <x v="121"/>
  </r>
  <r>
    <d v="2011-06-30T00:00:00"/>
    <x v="1"/>
    <s v="NA"/>
    <n v="494491126.54956007"/>
    <n v="2252.2640000000001"/>
    <m/>
    <n v="1901194.9029473066"/>
    <n v="0"/>
    <n v="0"/>
    <m/>
    <n v="219552.91500000001"/>
    <n v="1901194.9029473066"/>
    <n v="0"/>
    <n v="0"/>
    <m/>
    <s v="Hedge Fund"/>
    <n v="0"/>
    <n v="0"/>
    <n v="0"/>
    <n v="0"/>
    <m/>
    <m/>
    <m/>
    <m/>
    <m/>
    <m/>
    <m/>
    <m/>
    <m/>
    <m/>
    <m/>
    <d v="2011-06-30T00:00:00"/>
    <n v="9.0805771339796948E-5"/>
    <x v="1"/>
    <n v="0"/>
    <x v="122"/>
  </r>
  <r>
    <d v="2011-07-29T00:00:00"/>
    <x v="1"/>
    <s v="NA"/>
    <n v="487597309.0112915"/>
    <n v="2289.8463999999999"/>
    <m/>
    <n v="0"/>
    <n v="-15145143.010964513"/>
    <n v="0"/>
    <m/>
    <n v="212938.87179999999"/>
    <n v="-15145143.010964513"/>
    <n v="0"/>
    <n v="0"/>
    <m/>
    <s v="Hedge Fund"/>
    <n v="0"/>
    <n v="0"/>
    <n v="0"/>
    <n v="0"/>
    <m/>
    <m/>
    <m/>
    <m/>
    <m/>
    <m/>
    <m/>
    <m/>
    <m/>
    <m/>
    <m/>
    <d v="2011-07-29T00:00:00"/>
    <n v="1.6686498563223351E-2"/>
    <x v="1"/>
    <n v="0"/>
    <x v="123"/>
  </r>
  <r>
    <d v="2011-08-31T00:00:00"/>
    <x v="1"/>
    <s v="NA"/>
    <n v="462417258.86628366"/>
    <n v="2179.3768"/>
    <m/>
    <n v="0"/>
    <n v="-1656778.1528105736"/>
    <n v="0"/>
    <m/>
    <n v="212178.66450000004"/>
    <n v="-1656778.1528105736"/>
    <n v="0"/>
    <n v="0"/>
    <m/>
    <s v="Hedge Fund"/>
    <n v="0"/>
    <n v="0"/>
    <n v="0"/>
    <n v="0"/>
    <m/>
    <m/>
    <m/>
    <m/>
    <m/>
    <m/>
    <m/>
    <m/>
    <m/>
    <m/>
    <m/>
    <d v="2011-08-31T00:00:00"/>
    <n v="-4.8243235878179469E-2"/>
    <x v="1"/>
    <n v="0"/>
    <x v="124"/>
  </r>
  <r>
    <d v="2011-09-30T00:00:00"/>
    <x v="1"/>
    <s v="NA"/>
    <n v="480594466.19034344"/>
    <n v="2193.4211"/>
    <m/>
    <n v="15197306.506222367"/>
    <n v="0"/>
    <n v="0"/>
    <m/>
    <n v="219107.25040000002"/>
    <n v="15197306.506222367"/>
    <n v="0"/>
    <n v="0"/>
    <m/>
    <s v="Hedge Fund"/>
    <n v="0"/>
    <n v="0"/>
    <n v="0"/>
    <n v="0"/>
    <m/>
    <m/>
    <m/>
    <m/>
    <m/>
    <m/>
    <m/>
    <m/>
    <m/>
    <m/>
    <m/>
    <d v="2011-09-30T00:00:00"/>
    <n v="6.4441816578024724E-3"/>
    <x v="1"/>
    <n v="0"/>
    <x v="125"/>
  </r>
  <r>
    <d v="2011-10-31T00:00:00"/>
    <x v="1"/>
    <s v="NA"/>
    <n v="462880101.72788733"/>
    <n v="2139.3407999999999"/>
    <m/>
    <n v="0"/>
    <n v="-5864978.6286489964"/>
    <n v="0"/>
    <m/>
    <n v="216365.7617"/>
    <n v="-5864978.6286489964"/>
    <n v="0"/>
    <n v="0"/>
    <m/>
    <s v="Hedge Fund"/>
    <n v="0"/>
    <n v="0"/>
    <n v="0"/>
    <n v="0"/>
    <m/>
    <m/>
    <m/>
    <m/>
    <m/>
    <m/>
    <m/>
    <m/>
    <m/>
    <m/>
    <m/>
    <d v="2011-10-31T00:00:00"/>
    <n v="-2.4655685130411054E-2"/>
    <x v="1"/>
    <n v="0"/>
    <x v="126"/>
  </r>
  <r>
    <d v="2011-11-30T00:00:00"/>
    <x v="1"/>
    <s v="NA"/>
    <n v="459860079.32083493"/>
    <n v="2120.8011000000001"/>
    <m/>
    <n v="991333.90513700247"/>
    <n v="0"/>
    <n v="0"/>
    <m/>
    <n v="216833.1954"/>
    <n v="991333.90513700247"/>
    <n v="0"/>
    <n v="0"/>
    <m/>
    <s v="Hedge Fund"/>
    <n v="0"/>
    <n v="0"/>
    <n v="0"/>
    <n v="0"/>
    <m/>
    <m/>
    <m/>
    <m/>
    <m/>
    <m/>
    <m/>
    <m/>
    <m/>
    <m/>
    <m/>
    <d v="2011-11-30T00:00:00"/>
    <n v="-8.6660806917717714E-3"/>
    <x v="1"/>
    <n v="0"/>
    <x v="127"/>
  </r>
  <r>
    <d v="2011-12-30T00:00:00"/>
    <x v="1"/>
    <s v="NA"/>
    <n v="469485998.73086625"/>
    <n v="2165.1943000000001"/>
    <m/>
    <n v="0"/>
    <n v="0"/>
    <n v="0"/>
    <m/>
    <n v="216833.19540000003"/>
    <n v="0"/>
    <n v="0"/>
    <n v="0"/>
    <m/>
    <s v="Hedge Fund"/>
    <n v="0"/>
    <n v="0"/>
    <n v="0"/>
    <n v="0"/>
    <m/>
    <m/>
    <m/>
    <m/>
    <m/>
    <m/>
    <m/>
    <m/>
    <m/>
    <m/>
    <m/>
    <d v="2011-12-30T00:00:00"/>
    <n v="2.0932278845008145E-2"/>
    <x v="1"/>
    <n v="0"/>
    <x v="128"/>
  </r>
  <r>
    <d v="2012-01-31T00:00:00"/>
    <x v="1"/>
    <s v="NA"/>
    <n v="465072443.76236367"/>
    <n v="2234.8852999999999"/>
    <m/>
    <n v="0"/>
    <n v="-19524877.189123988"/>
    <n v="0"/>
    <m/>
    <n v="208096.78409999999"/>
    <n v="-19524877.189123988"/>
    <n v="0"/>
    <n v="0"/>
    <m/>
    <s v="Hedge Fund"/>
    <n v="0"/>
    <n v="0"/>
    <n v="0.13628189915686975"/>
    <n v="2.6138737031278323"/>
    <m/>
    <m/>
    <m/>
    <m/>
    <m/>
    <m/>
    <m/>
    <m/>
    <m/>
    <m/>
    <m/>
    <d v="2012-01-31T00:00:00"/>
    <n v="3.2186949688533639E-2"/>
    <x v="1"/>
    <n v="0"/>
    <x v="129"/>
  </r>
  <r>
    <d v="2012-02-29T00:00:00"/>
    <x v="1"/>
    <s v="NA"/>
    <n v="500712163.51099485"/>
    <n v="2275.0497"/>
    <m/>
    <n v="27281637.273325086"/>
    <n v="0"/>
    <n v="0"/>
    <m/>
    <n v="220088.45060000001"/>
    <n v="27281637.273325086"/>
    <n v="0"/>
    <n v="0"/>
    <m/>
    <s v="Hedge Fund"/>
    <n v="0"/>
    <n v="0"/>
    <n v="0.12977234258469142"/>
    <n v="2.9572753198474966"/>
    <m/>
    <m/>
    <m/>
    <m/>
    <m/>
    <m/>
    <m/>
    <m/>
    <m/>
    <m/>
    <m/>
    <d v="2012-02-29T00:00:00"/>
    <n v="1.7971571068994052E-2"/>
    <x v="1"/>
    <n v="0"/>
    <x v="130"/>
  </r>
  <r>
    <d v="2012-03-30T00:00:00"/>
    <x v="1"/>
    <s v="NA"/>
    <n v="503927581.342408"/>
    <n v="2287.8317000000002"/>
    <m/>
    <n v="402247.2558439374"/>
    <n v="0"/>
    <n v="0"/>
    <m/>
    <n v="220264.27090000021"/>
    <n v="402247.2558439374"/>
    <n v="0"/>
    <n v="0"/>
    <m/>
    <s v="Hedge Fund"/>
    <n v="0"/>
    <n v="0"/>
    <n v="0.13539106294725917"/>
    <n v="3.0795417008306547"/>
    <m/>
    <m/>
    <m/>
    <m/>
    <m/>
    <m/>
    <m/>
    <m/>
    <m/>
    <m/>
    <m/>
    <d v="2012-03-30T00:00:00"/>
    <n v="5.6183387993677947E-3"/>
    <x v="1"/>
    <n v="0"/>
    <x v="131"/>
  </r>
  <r>
    <d v="2012-04-30T00:00:00"/>
    <x v="1"/>
    <s v="NA"/>
    <n v="499555681.40999997"/>
    <n v="2353.3773000000001"/>
    <m/>
    <n v="0"/>
    <n v="-18809253.727111101"/>
    <n v="0"/>
    <m/>
    <n v="212271.81948682855"/>
    <n v="-18809253.727111101"/>
    <n v="0"/>
    <n v="0"/>
    <m/>
    <s v="Hedge Fund"/>
    <n v="0"/>
    <n v="0"/>
    <n v="0.14192737503898437"/>
    <n v="3.5738000305829618"/>
    <m/>
    <m/>
    <m/>
    <m/>
    <m/>
    <m/>
    <m/>
    <m/>
    <m/>
    <m/>
    <m/>
    <d v="2012-04-30T00:00:00"/>
    <n v="2.8649659850416453E-2"/>
    <x v="1"/>
    <n v="0"/>
    <x v="132"/>
  </r>
  <r>
    <d v="2012-05-31T00:00:00"/>
    <x v="1"/>
    <s v="NA"/>
    <n v="517268733.92861003"/>
    <n v="2343.3036000000002"/>
    <m/>
    <n v="19851415.146574497"/>
    <n v="0"/>
    <n v="0"/>
    <m/>
    <n v="220743.37014145753"/>
    <n v="19851415.146574497"/>
    <n v="0"/>
    <n v="0"/>
    <m/>
    <s v="Hedge Fund"/>
    <n v="0"/>
    <n v="0"/>
    <n v="0.1425170558664097"/>
    <n v="3.4844562344206684"/>
    <m/>
    <m/>
    <m/>
    <m/>
    <m/>
    <m/>
    <m/>
    <m/>
    <m/>
    <m/>
    <m/>
    <d v="2012-05-31T00:00:00"/>
    <n v="-4.2805290932311779E-3"/>
    <x v="1"/>
    <n v="0"/>
    <x v="133"/>
  </r>
  <r>
    <d v="2012-06-29T00:00:00"/>
    <x v="1"/>
    <s v="NA"/>
    <n v="561900298.21897602"/>
    <n v="2312.2212000000004"/>
    <m/>
    <n v="51492798.018450797"/>
    <n v="0"/>
    <n v="0"/>
    <m/>
    <n v="243013.21094148603"/>
    <n v="51492798.018450797"/>
    <n v="0"/>
    <n v="0"/>
    <m/>
    <s v="Hedge Fund"/>
    <n v="0"/>
    <n v="0"/>
    <n v="0.15349152222868309"/>
    <n v="3.2716804980254421"/>
    <m/>
    <m/>
    <m/>
    <m/>
    <m/>
    <m/>
    <m/>
    <m/>
    <m/>
    <m/>
    <m/>
    <d v="2012-06-29T00:00:00"/>
    <n v="-1.3264350381230972E-2"/>
    <x v="1"/>
    <n v="0"/>
    <x v="134"/>
  </r>
  <r>
    <d v="2012-07-31T00:00:00"/>
    <x v="1"/>
    <s v="NA"/>
    <n v="543766689.38784707"/>
    <n v="2315.4141000000004"/>
    <m/>
    <n v="0"/>
    <n v="-18909525.71234405"/>
    <n v="0"/>
    <m/>
    <n v="234846.41014661136"/>
    <n v="-18909525.71234405"/>
    <n v="0"/>
    <n v="0"/>
    <m/>
    <s v="Hedge Fund"/>
    <n v="0"/>
    <n v="0"/>
    <n v="0.16941602927151156"/>
    <n v="3.3651884082228638"/>
    <m/>
    <m/>
    <m/>
    <m/>
    <m/>
    <m/>
    <m/>
    <m/>
    <m/>
    <m/>
    <m/>
    <d v="2012-07-31T00:00:00"/>
    <n v="1.380879995391382E-3"/>
    <x v="1"/>
    <n v="0"/>
    <x v="135"/>
  </r>
  <r>
    <d v="2012-08-31T00:00:00"/>
    <x v="1"/>
    <s v="NA"/>
    <n v="555879294.26315308"/>
    <n v="2366.9908"/>
    <m/>
    <n v="2.0330972671508789"/>
    <n v="0"/>
    <n v="0"/>
    <m/>
    <n v="234846.41100554893"/>
    <n v="2.0330972671508789"/>
    <n v="0"/>
    <n v="0"/>
    <m/>
    <s v="Hedge Fund"/>
    <n v="0"/>
    <n v="0"/>
    <n v="0.1684496758974445"/>
    <n v="3.7924198645614777"/>
    <m/>
    <m/>
    <m/>
    <m/>
    <m/>
    <m/>
    <m/>
    <m/>
    <m/>
    <m/>
    <m/>
    <d v="2012-08-31T00:00:00"/>
    <n v="2.2275367503376664E-2"/>
    <x v="1"/>
    <n v="0"/>
    <x v="136"/>
  </r>
  <r>
    <d v="2012-09-28T00:00:00"/>
    <x v="1"/>
    <s v="NA"/>
    <n v="576537387.77257502"/>
    <n v="2446.1541000000002"/>
    <m/>
    <n v="2066876.6210663319"/>
    <n v="0"/>
    <n v="0"/>
    <m/>
    <n v="235691.36047993664"/>
    <n v="2066876.6210663319"/>
    <n v="0"/>
    <n v="0"/>
    <m/>
    <s v="Hedge Fund"/>
    <n v="0.69941867984112105"/>
    <n v="32.209986639999997"/>
    <n v="0.16198986988243222"/>
    <n v="4.4140508027934224"/>
    <m/>
    <m/>
    <m/>
    <m/>
    <m/>
    <m/>
    <m/>
    <m/>
    <m/>
    <m/>
    <m/>
    <d v="2012-09-28T00:00:00"/>
    <n v="3.3444701179235814E-2"/>
    <x v="1"/>
    <n v="0"/>
    <x v="137"/>
  </r>
  <r>
    <d v="2012-10-31T00:00:00"/>
    <x v="1"/>
    <s v="NA"/>
    <n v="568394319.54851401"/>
    <n v="2430.212"/>
    <m/>
    <n v="0"/>
    <n v="-4385652.9861537218"/>
    <n v="0"/>
    <m/>
    <n v="233886.72245405504"/>
    <n v="-4385652.9861537218"/>
    <n v="0"/>
    <n v="0"/>
    <m/>
    <s v="Hedge Fund"/>
    <n v="0.81253432439588902"/>
    <n v="31.521932184387399"/>
    <n v="0.18931355382078119"/>
    <n v="4.3277235492371178"/>
    <m/>
    <m/>
    <m/>
    <m/>
    <m/>
    <m/>
    <m/>
    <m/>
    <m/>
    <m/>
    <m/>
    <d v="2012-10-31T00:00:00"/>
    <n v="-6.5172100155098667E-3"/>
    <x v="1"/>
    <n v="0"/>
    <x v="138"/>
  </r>
  <r>
    <d v="2012-11-30T00:00:00"/>
    <x v="1"/>
    <s v="NA"/>
    <n v="572222920.3565985"/>
    <n v="2406.3620999999998"/>
    <m/>
    <n v="9406775.7499414682"/>
    <n v="0"/>
    <n v="0"/>
    <m/>
    <n v="237795.8497420644"/>
    <n v="9406775.7499414682"/>
    <n v="0"/>
    <n v="0"/>
    <m/>
    <s v="Hedge Fund"/>
    <n v="0.74169943263698102"/>
    <n v="30.234805453042998"/>
    <n v="0.17908132054136874"/>
    <n v="4.1618716763579888"/>
    <m/>
    <m/>
    <m/>
    <m/>
    <m/>
    <m/>
    <m/>
    <m/>
    <m/>
    <m/>
    <m/>
    <d v="2012-11-30T00:00:00"/>
    <n v="-9.813917468928679E-3"/>
    <x v="1"/>
    <n v="0"/>
    <x v="139"/>
  </r>
  <r>
    <d v="2012-12-31T00:00:00"/>
    <x v="1"/>
    <s v="NA"/>
    <n v="579286023.37716031"/>
    <n v="2436.0645"/>
    <m/>
    <n v="0"/>
    <n v="-4.4268169403076172"/>
    <n v="0"/>
    <m/>
    <n v="237795.84792486418"/>
    <n v="-4.4268169403076172"/>
    <n v="0"/>
    <n v="0"/>
    <m/>
    <s v="Hedge Fund"/>
    <n v="0.77775839091030341"/>
    <n v="32.055488260000004"/>
    <n v="0.18962388891577797"/>
    <n v="4.4249729688920389"/>
    <m/>
    <m/>
    <m/>
    <m/>
    <m/>
    <m/>
    <m/>
    <m/>
    <m/>
    <m/>
    <m/>
    <d v="2012-12-31T00:00:00"/>
    <n v="1.234327950893177E-2"/>
    <x v="1"/>
    <n v="0"/>
    <x v="140"/>
  </r>
  <r>
    <d v="2013-01-31T00:00:00"/>
    <x v="1"/>
    <s v="NA"/>
    <n v="591693066.89228654"/>
    <n v="2464.3440000000001"/>
    <m/>
    <n v="5682295.8337349892"/>
    <n v="0"/>
    <n v="0"/>
    <m/>
    <n v="240101.65256647876"/>
    <n v="5682295.8337349892"/>
    <n v="0"/>
    <n v="0"/>
    <m/>
    <s v="Hedge Fund"/>
    <n v="0.75699196771218757"/>
    <n v="1.6974706399999999"/>
    <n v="0.18345500000000001"/>
    <n v="0.26187624651358571"/>
    <m/>
    <m/>
    <m/>
    <m/>
    <m/>
    <m/>
    <m/>
    <m/>
    <m/>
    <m/>
    <m/>
    <d v="2013-01-31T00:00:00"/>
    <n v="1.1608682775025025E-2"/>
    <x v="1"/>
    <n v="0"/>
    <x v="141"/>
  </r>
  <r>
    <d v="2013-02-28T00:00:00"/>
    <x v="1"/>
    <s v="NA"/>
    <n v="603289142.41616726"/>
    <n v="2512.6405"/>
    <m/>
    <n v="6.0607037544250488"/>
    <n v="0"/>
    <n v="0"/>
    <m/>
    <n v="240101.65497856427"/>
    <n v="6.0607037544250488"/>
    <n v="0"/>
    <n v="0"/>
    <m/>
    <s v="Hedge Fund"/>
    <n v="0.70034444981618571"/>
    <n v="4.59650596"/>
    <n v="0.16972699999999999"/>
    <n v="0.70912315036101337"/>
    <m/>
    <m/>
    <m/>
    <m/>
    <m/>
    <m/>
    <m/>
    <m/>
    <m/>
    <m/>
    <m/>
    <d v="2013-02-28T00:00:00"/>
    <n v="1.9598116172092839E-2"/>
    <x v="1"/>
    <n v="0"/>
    <x v="142"/>
  </r>
  <r>
    <d v="2013-03-28T00:00:00"/>
    <x v="1"/>
    <s v="NA"/>
    <n v="609358108.90183723"/>
    <n v="2514.4333999999999"/>
    <m/>
    <n v="5638488.2284590006"/>
    <n v="0"/>
    <n v="0"/>
    <m/>
    <n v="242344.10380558789"/>
    <n v="5638488.2284590006"/>
    <n v="0"/>
    <n v="0"/>
    <m/>
    <s v="Hedge Fund"/>
    <n v="0.7074690304866571"/>
    <n v="4.7115388600000001"/>
    <n v="0.17119200000000001"/>
    <n v="0.725600356267594"/>
    <m/>
    <m/>
    <m/>
    <m/>
    <m/>
    <m/>
    <m/>
    <m/>
    <m/>
    <m/>
    <m/>
    <d v="2013-03-28T00:00:00"/>
    <n v="7.1355213768131698E-4"/>
    <x v="1"/>
    <n v="0"/>
    <x v="143"/>
  </r>
  <r>
    <d v="2013-04-30T00:00:00"/>
    <x v="1"/>
    <s v="NA"/>
    <n v="618889861.5677011"/>
    <n v="2505.2494000000002"/>
    <m/>
    <n v="11757440.9152143"/>
    <n v="0"/>
    <n v="0"/>
    <m/>
    <n v="247037.2257419565"/>
    <n v="11757440.9152143"/>
    <n v="0"/>
    <n v="0"/>
    <m/>
    <s v="Hedge Fund"/>
    <n v="0.84619966690578996"/>
    <n v="4.1729467400000004"/>
    <n v="0.21522796694710511"/>
    <n v="0.6480654379907802"/>
    <m/>
    <m/>
    <m/>
    <m/>
    <m/>
    <m/>
    <m/>
    <m/>
    <m/>
    <m/>
    <m/>
    <d v="2013-04-30T00:00:00"/>
    <n v="-3.6525127291101578E-3"/>
    <x v="1"/>
    <n v="0"/>
    <x v="144"/>
  </r>
  <r>
    <d v="2013-05-31T00:00:00"/>
    <x v="1"/>
    <s v="NA"/>
    <n v="631699773.97302437"/>
    <n v="2557.1035000000006"/>
    <m/>
    <n v="19.397977113723755"/>
    <n v="0"/>
    <n v="0"/>
    <m/>
    <n v="247037.23332787439"/>
    <n v="19.397977113723755"/>
    <n v="0"/>
    <n v="0"/>
    <m/>
    <s v="Hedge Fund"/>
    <n v="0.81506017030468436"/>
    <n v="7.3354023923487999"/>
    <n v="0.20734867462684728"/>
    <n v="1.1448488706155575"/>
    <m/>
    <m/>
    <m/>
    <m/>
    <m/>
    <m/>
    <m/>
    <m/>
    <m/>
    <m/>
    <m/>
    <d v="2013-05-31T00:00:00"/>
    <n v="2.0698178792099675E-2"/>
    <x v="1"/>
    <n v="0"/>
    <x v="145"/>
  </r>
  <r>
    <d v="2013-06-28T00:00:00"/>
    <x v="1"/>
    <s v="NA"/>
    <n v="623808928.02271652"/>
    <n v="2525.1615999999999"/>
    <m/>
    <n v="0"/>
    <n v="-7.3470721244812012"/>
    <n v="0"/>
    <m/>
    <n v="247037.23041832907"/>
    <n v="-7.3470721244812012"/>
    <n v="0"/>
    <n v="0"/>
    <m/>
    <s v="Hedge Fund"/>
    <n v="0.72493023695588299"/>
    <n v="5.4167094599999999"/>
    <n v="0.18376154046453097"/>
    <n v="0.84740799900075703"/>
    <m/>
    <m/>
    <m/>
    <m/>
    <m/>
    <m/>
    <m/>
    <m/>
    <m/>
    <m/>
    <m/>
    <d v="2013-06-28T00:00:00"/>
    <n v="-1.2491438066546956E-2"/>
    <x v="1"/>
    <n v="0"/>
    <x v="146"/>
  </r>
  <r>
    <d v="2013-07-31T00:00:00"/>
    <x v="1"/>
    <s v="NA"/>
    <n v="612933697.98724139"/>
    <n v="2473.3011000000001"/>
    <m/>
    <n v="1936244.2526346445"/>
    <n v="0"/>
    <n v="0"/>
    <m/>
    <n v="247820.08870138836"/>
    <n v="1936244.2526346445"/>
    <n v="0"/>
    <n v="0"/>
    <m/>
    <s v="Hedge Fund"/>
    <n v="0.8355238810303246"/>
    <n v="2.26844336"/>
    <n v="0.21267347607464632"/>
    <n v="0.35619020460900735"/>
    <m/>
    <m/>
    <m/>
    <m/>
    <m/>
    <m/>
    <m/>
    <m/>
    <m/>
    <m/>
    <m/>
    <d v="2013-07-31T00:00:00"/>
    <n v="-2.0537497481349365E-2"/>
    <x v="1"/>
    <n v="0"/>
    <x v="147"/>
  </r>
  <r>
    <d v="2013-08-30T00:00:00"/>
    <x v="1"/>
    <s v="NA"/>
    <n v="604493524.41609669"/>
    <n v="2425.3937999999998"/>
    <m/>
    <n v="3432217.7642993927"/>
    <n v="0"/>
    <n v="0"/>
    <m/>
    <n v="249235.2064296102"/>
    <n v="3432217.7642993927"/>
    <n v="0"/>
    <n v="0"/>
    <m/>
    <s v="Hedge Fund"/>
    <n v="0.74624735539131903"/>
    <n v="0"/>
    <n v="0.18908246916556176"/>
    <n v="0"/>
    <m/>
    <m/>
    <m/>
    <m/>
    <m/>
    <m/>
    <m/>
    <m/>
    <m/>
    <m/>
    <m/>
    <d v="2013-08-30T00:00:00"/>
    <n v="-1.9369780735552289E-2"/>
    <x v="1"/>
    <n v="0"/>
    <x v="148"/>
  </r>
  <r>
    <d v="2013-09-30T00:00:00"/>
    <x v="1"/>
    <s v="NA"/>
    <n v="591803650.95728004"/>
    <n v="2373.4969999999998"/>
    <m/>
    <n v="244636.20221960545"/>
    <n v="0"/>
    <n v="0"/>
    <m/>
    <n v="249338.2763733344"/>
    <n v="244636.20221960545"/>
    <n v="0"/>
    <n v="0"/>
    <m/>
    <s v="Hedge Fund"/>
    <n v="0.75496756604902904"/>
    <n v="0"/>
    <n v="0.19121289649932685"/>
    <n v="0"/>
    <m/>
    <m/>
    <m/>
    <m/>
    <m/>
    <m/>
    <m/>
    <m/>
    <m/>
    <m/>
    <m/>
    <d v="2013-09-30T00:00:00"/>
    <n v="-2.1397267528267094E-2"/>
    <x v="1"/>
    <n v="0"/>
    <x v="0"/>
  </r>
  <r>
    <d v="2013-10-31T00:00:00"/>
    <x v="1"/>
    <s v="NA"/>
    <n v="566819693.64793813"/>
    <n v="2413.4202"/>
    <m/>
    <n v="0"/>
    <n v="-34938339.184649825"/>
    <n v="0"/>
    <m/>
    <n v="234861.58508490902"/>
    <n v="-34938339.184649825"/>
    <n v="0"/>
    <n v="0"/>
    <m/>
    <s v="Hedge Fund"/>
    <n v="0.72309538186393396"/>
    <n v="0"/>
    <n v="0.190327651777635"/>
    <n v="0"/>
    <m/>
    <m/>
    <m/>
    <m/>
    <m/>
    <m/>
    <m/>
    <m/>
    <m/>
    <m/>
    <m/>
    <d v="2013-10-31T00:00:00"/>
    <n v="1.6820413086681807E-2"/>
    <x v="1"/>
    <n v="0"/>
    <x v="1"/>
  </r>
  <r>
    <d v="2013-11-29T00:00:00"/>
    <x v="1"/>
    <s v="NA"/>
    <n v="482046496.66465259"/>
    <n v="2052.4706000000001"/>
    <m/>
    <n v="0"/>
    <n v="-1.7915217280387878"/>
    <n v="-82201554.474216789"/>
    <m/>
    <n v="234861.58421204795"/>
    <n v="-82201556.265738517"/>
    <n v="-350"/>
    <n v="-350"/>
    <m/>
    <s v="Hedge Fund"/>
    <n v="0.57522501494810896"/>
    <n v="0"/>
    <n v="0.15158891477962635"/>
    <n v="0"/>
    <m/>
    <m/>
    <m/>
    <m/>
    <m/>
    <m/>
    <m/>
    <m/>
    <m/>
    <m/>
    <m/>
    <d v="2013-11-29T00:00:00"/>
    <n v="-4.5369643051681452E-3"/>
    <x v="1"/>
    <n v="0"/>
    <x v="2"/>
  </r>
  <r>
    <d v="2013-12-31T00:00:00"/>
    <x v="1"/>
    <s v="NA"/>
    <n v="492330936.31148612"/>
    <n v="2096.2600000000002"/>
    <m/>
    <n v="0"/>
    <n v="-8.2088615894317627"/>
    <n v="0"/>
    <m/>
    <n v="234861.58029609214"/>
    <n v="-8.2088615894317627"/>
    <n v="0"/>
    <n v="0"/>
    <m/>
    <s v="Hedge Fund"/>
    <n v="0.64914670640875238"/>
    <n v="0.5986151999999999"/>
    <n v="0.22805468182351463"/>
    <n v="9.4696204753426924E-2"/>
    <m/>
    <m/>
    <m/>
    <m/>
    <m/>
    <m/>
    <m/>
    <m/>
    <m/>
    <m/>
    <m/>
    <d v="2013-12-31T00:00:00"/>
    <n v="2.1334970644646623E-2"/>
    <x v="1"/>
    <n v="0"/>
    <x v="3"/>
  </r>
  <r>
    <d v="2014-01-30T00:00:00"/>
    <x v="1"/>
    <s v="NA"/>
    <n v="494849589.29393572"/>
    <n v="2106.9839999999999"/>
    <m/>
    <n v="0"/>
    <n v="-2.6046456694602966"/>
    <n v="0"/>
    <m/>
    <n v="234861.57905989591"/>
    <n v="-2.6046456694602966"/>
    <n v="0"/>
    <n v="0"/>
    <m/>
    <s v="Hedge Fund"/>
    <n v="0.6124082681588694"/>
    <n v="1.2283260600000001"/>
    <n v="0.21491427020717993"/>
    <n v="0.20194878998831403"/>
    <m/>
    <m/>
    <m/>
    <m/>
    <m/>
    <m/>
    <m/>
    <m/>
    <m/>
    <m/>
    <m/>
    <d v="2014-01-30T00:00:00"/>
    <n v="5.1157776230046359E-3"/>
    <x v="1"/>
    <n v="0"/>
    <x v="4"/>
  </r>
  <r>
    <d v="2014-02-28T00:00:00"/>
    <x v="1"/>
    <s v="NA"/>
    <n v="494353038.32696199"/>
    <n v="2104.8697000000002"/>
    <m/>
    <n v="16.869632542133331"/>
    <n v="0"/>
    <n v="0"/>
    <m/>
    <n v="234861.58707446925"/>
    <n v="16.869632542133331"/>
    <n v="0"/>
    <n v="0"/>
    <m/>
    <s v="Hedge Fund"/>
    <n v="0.59122794119189448"/>
    <n v="1.1041312599999999"/>
    <n v="0.20748139374268534"/>
    <n v="0.18152995284932091"/>
    <m/>
    <m/>
    <m/>
    <m/>
    <m/>
    <m/>
    <m/>
    <m/>
    <m/>
    <m/>
    <m/>
    <d v="2014-02-28T00:00:00"/>
    <n v="-1.0034722617731084E-3"/>
    <x v="1"/>
    <n v="0"/>
    <x v="5"/>
  </r>
  <r>
    <d v="2014-03-31T00:00:00"/>
    <x v="1"/>
    <s v="NA"/>
    <n v="466992186.74625331"/>
    <n v="1988.3719999999998"/>
    <m/>
    <n v="0"/>
    <n v="-16.868183195590973"/>
    <n v="-29357697.323881883"/>
    <m/>
    <n v="234861.57859105506"/>
    <n v="-29357714.192065079"/>
    <n v="-125"/>
    <n v="-125"/>
    <m/>
    <s v="Hedge Fund"/>
    <n v="0.59779021761025397"/>
    <n v="1.6033530199999999"/>
    <n v="0.20968211978879578"/>
    <n v="0.26356119874511802"/>
    <m/>
    <m/>
    <m/>
    <m/>
    <m/>
    <m/>
    <m/>
    <m/>
    <m/>
    <m/>
    <m/>
    <d v="2014-03-31T00:00:00"/>
    <n v="4.0393452786582351E-3"/>
    <x v="1"/>
    <n v="0"/>
    <x v="6"/>
  </r>
  <r>
    <d v="2014-04-30T00:00:00"/>
    <x v="1"/>
    <s v="NA"/>
    <n v="475819830.91237307"/>
    <n v="2025.9585000000002"/>
    <m/>
    <n v="19.442407011985779"/>
    <n v="0"/>
    <n v="0"/>
    <m/>
    <n v="234861.5881877013"/>
    <n v="19.442407011985779"/>
    <n v="0"/>
    <n v="0"/>
    <m/>
    <s v="Hedge Fund"/>
    <n v="0.59210347592880497"/>
    <n v="3.8103003000000002"/>
    <n v="0.20764202067824317"/>
    <n v="0.62597884765462919"/>
    <m/>
    <m/>
    <m/>
    <m/>
    <m/>
    <m/>
    <m/>
    <m/>
    <m/>
    <m/>
    <m/>
    <d v="2014-04-30T00:00:00"/>
    <n v="1.8903152931141864E-2"/>
    <x v="1"/>
    <n v="0"/>
    <x v="7"/>
  </r>
  <r>
    <d v="2014-05-30T00:00:00"/>
    <x v="1"/>
    <s v="NA"/>
    <n v="467688271.20599842"/>
    <n v="1991.3358000000001"/>
    <m/>
    <n v="0"/>
    <n v="-17.39702832698822"/>
    <n v="0"/>
    <m/>
    <n v="234861.57945134037"/>
    <n v="-17.39702832698822"/>
    <n v="0"/>
    <n v="0"/>
    <m/>
    <s v="Hedge Fund"/>
    <n v="0.57955543042823199"/>
    <n v="1.7773854600000001"/>
    <n v="0.20324163090893543"/>
    <n v="0.29199947915820496"/>
    <m/>
    <m/>
    <m/>
    <m/>
    <m/>
    <m/>
    <m/>
    <m/>
    <m/>
    <m/>
    <m/>
    <d v="2014-05-30T00:00:00"/>
    <n v="-1.7089540580421558E-2"/>
    <x v="1"/>
    <n v="0"/>
    <x v="8"/>
  </r>
  <r>
    <d v="2014-06-30T00:00:00"/>
    <x v="1"/>
    <s v="NA"/>
    <n v="430385592.93757498"/>
    <n v="1832.5074"/>
    <m/>
    <n v="10.617305815219879"/>
    <n v="0"/>
    <n v="-30532006.081877079"/>
    <m/>
    <n v="234861.58524520829"/>
    <n v="-30531995.464571264"/>
    <n v="-130"/>
    <n v="-130"/>
    <m/>
    <s v="Hedge Fund"/>
    <n v="0.54915359520930396"/>
    <n v="8.4691080000000002E-2"/>
    <n v="0.19241539958101614"/>
    <n v="1.3888147074010235E-2"/>
    <m/>
    <m/>
    <m/>
    <m/>
    <m/>
    <m/>
    <m/>
    <m/>
    <m/>
    <m/>
    <m/>
    <d v="2014-06-30T00:00:00"/>
    <n v="-1.4476913834920557E-2"/>
    <x v="1"/>
    <n v="0"/>
    <x v="9"/>
  </r>
  <r>
    <d v="2014-07-31T00:00:00"/>
    <x v="1"/>
    <s v="NA"/>
    <n v="419056108.60221601"/>
    <n v="1784.2683999999999"/>
    <m/>
    <n v="3.6752846240997314"/>
    <n v="0"/>
    <n v="0"/>
    <m/>
    <n v="234861.5873050355"/>
    <n v="3.6752846240997314"/>
    <n v="0"/>
    <n v="0"/>
    <m/>
    <s v="Hedge Fund"/>
    <n v="0.53459246126251103"/>
    <n v="0"/>
    <n v="0.18807725420351545"/>
    <n v="0"/>
    <m/>
    <m/>
    <m/>
    <m/>
    <m/>
    <m/>
    <m/>
    <m/>
    <m/>
    <m/>
    <m/>
    <d v="2014-07-31T00:00:00"/>
    <n v="-2.6324041037978918E-2"/>
    <x v="1"/>
    <n v="0"/>
    <x v="10"/>
  </r>
  <r>
    <d v="2014-08-29T00:00:00"/>
    <x v="1"/>
    <s v="NA"/>
    <n v="421138817.86430156"/>
    <n v="1793.1361999999999"/>
    <m/>
    <n v="3.6781820058822632"/>
    <n v="0"/>
    <n v="0"/>
    <m/>
    <n v="234861.58935629184"/>
    <n v="3.6781820058822632"/>
    <n v="0"/>
    <n v="0"/>
    <m/>
    <s v="Hedge Fund"/>
    <n v="0.50254401287917005"/>
    <n v="0"/>
    <n v="0.17680215579171576"/>
    <n v="0"/>
    <m/>
    <m/>
    <m/>
    <m/>
    <m/>
    <m/>
    <m/>
    <m/>
    <m/>
    <m/>
    <m/>
    <d v="2014-08-29T00:00:00"/>
    <n v="4.9699921827903726E-3"/>
    <x v="1"/>
    <n v="0"/>
    <x v="11"/>
  </r>
  <r>
    <d v="2014-09-30T00:00:00"/>
    <x v="1"/>
    <s v="NA"/>
    <n v="412209501.4978497"/>
    <n v="1755.1167000000003"/>
    <m/>
    <n v="3.8300796151161194"/>
    <n v="0"/>
    <n v="0"/>
    <m/>
    <n v="234861.59153852827"/>
    <n v="3.8300796151161194"/>
    <n v="0"/>
    <n v="0"/>
    <m/>
    <s v="Hedge Fund"/>
    <n v="0.54284519852222302"/>
    <n v="0"/>
    <n v="0.19098068805962898"/>
    <n v="0"/>
    <m/>
    <m/>
    <m/>
    <m/>
    <m/>
    <m/>
    <m/>
    <m/>
    <m/>
    <m/>
    <m/>
    <d v="2014-09-30T00:00:00"/>
    <n v="-2.12027954150944E-2"/>
    <x v="1"/>
    <n v="0"/>
    <x v="12"/>
  </r>
  <r>
    <d v="2014-10-31T00:00:00"/>
    <x v="1"/>
    <s v="NA"/>
    <n v="370264556.89962053"/>
    <n v="1576.5224000000001"/>
    <m/>
    <n v="0"/>
    <n v="-3.0605197548866272"/>
    <n v="-36403546.387568727"/>
    <m/>
    <n v="234861.58959721759"/>
    <n v="-36403549.448088482"/>
    <n v="-155"/>
    <n v="-155"/>
    <m/>
    <s v="Hedge Fund"/>
    <n v="0.47234877795119801"/>
    <n v="0"/>
    <n v="0.16617904121252294"/>
    <n v="0"/>
    <m/>
    <m/>
    <m/>
    <m/>
    <m/>
    <m/>
    <m/>
    <m/>
    <m/>
    <m/>
    <m/>
    <d v="2014-10-31T00:00:00"/>
    <n v="-1.3443152401885206E-2"/>
    <x v="1"/>
    <n v="0"/>
    <x v="149"/>
  </r>
  <r>
    <d v="2014-11-28T00:00:00"/>
    <x v="1"/>
    <s v="NA"/>
    <n v="356152611.33447576"/>
    <n v="1516.4362000000001"/>
    <m/>
    <n v="0"/>
    <n v="-5.1202884316444397"/>
    <n v="0"/>
    <m/>
    <n v="234861.58622069014"/>
    <n v="-5.1202884316444397"/>
    <n v="0"/>
    <n v="0"/>
    <m/>
    <s v="Hedge Fund"/>
    <n v="0.41032307077420999"/>
    <n v="0"/>
    <n v="0.14435751222729182"/>
    <n v="0"/>
    <m/>
    <m/>
    <m/>
    <m/>
    <m/>
    <m/>
    <m/>
    <m/>
    <m/>
    <m/>
    <m/>
    <d v="2014-11-28T00:00:00"/>
    <n v="-3.8113127983465445E-2"/>
    <x v="1"/>
    <n v="0"/>
    <x v="150"/>
  </r>
  <r>
    <d v="2014-12-31T00:00:00"/>
    <x v="1"/>
    <s v="NA"/>
    <n v="329336476.57777905"/>
    <n v="1402.2576999999999"/>
    <m/>
    <n v="8.865602433681488"/>
    <n v="0"/>
    <n v="-10568771.664438041"/>
    <m/>
    <n v="234861.59254306756"/>
    <n v="-10568762.798835607"/>
    <n v="-45.000000000000007"/>
    <n v="-45.000000000000007"/>
    <m/>
    <s v="Hedge Fund"/>
    <n v="0.44728142175997199"/>
    <n v="0"/>
    <n v="0.15742750087113641"/>
    <n v="0"/>
    <m/>
    <m/>
    <m/>
    <m/>
    <m/>
    <m/>
    <m/>
    <m/>
    <m/>
    <m/>
    <m/>
    <d v="2014-12-31T00:00:00"/>
    <n v="-4.5619129105872513E-2"/>
    <x v="1"/>
    <n v="0"/>
    <x v="151"/>
  </r>
  <r>
    <d v="2015-01-30T00:00:00"/>
    <x v="1"/>
    <s v="NA"/>
    <n v="339560282.33671457"/>
    <n v="1445.7889"/>
    <m/>
    <n v="0"/>
    <n v="-1.1983752846717834"/>
    <n v="0"/>
    <m/>
    <n v="234861.59171419463"/>
    <n v="-1.1983752846717834"/>
    <n v="0"/>
    <n v="0"/>
    <m/>
    <s v="Hedge Fund"/>
    <n v="0"/>
    <n v="0"/>
    <n v="0"/>
    <n v="0"/>
    <m/>
    <m/>
    <m/>
    <m/>
    <m/>
    <m/>
    <m/>
    <m/>
    <m/>
    <m/>
    <m/>
    <d v="2015-01-30T00:00:00"/>
    <n v="3.1043651962118002E-2"/>
    <x v="1"/>
    <n v="0"/>
    <x v="152"/>
  </r>
  <r>
    <d v="2015-02-27T00:00:00"/>
    <x v="1"/>
    <s v="NA"/>
    <n v="343654344.0506829"/>
    <n v="1463.2207000000003"/>
    <m/>
    <n v="1.4195247888565063"/>
    <n v="0"/>
    <n v="0"/>
    <m/>
    <n v="234861.59268433179"/>
    <n v="1.4195247888565063"/>
    <n v="0"/>
    <n v="0"/>
    <m/>
    <s v="Hedge Fund"/>
    <n v="0"/>
    <n v="0"/>
    <n v="0"/>
    <n v="0"/>
    <m/>
    <m/>
    <m/>
    <m/>
    <m/>
    <m/>
    <m/>
    <m/>
    <m/>
    <m/>
    <m/>
    <d v="2015-02-27T00:00:00"/>
    <n v="1.2056946902829546E-2"/>
    <x v="1"/>
    <n v="0"/>
    <x v="153"/>
  </r>
  <r>
    <d v="2015-03-31T00:00:00"/>
    <x v="1"/>
    <s v="NA"/>
    <n v="295358441.80687124"/>
    <n v="1257.5851"/>
    <m/>
    <n v="2.284786581993103"/>
    <n v="0"/>
    <n v="-32880623.230159111"/>
    <m/>
    <n v="234861.59450113651"/>
    <n v="-32880620.945372529"/>
    <n v="-140"/>
    <n v="-140"/>
    <m/>
    <s v="Hedge Fund"/>
    <n v="0"/>
    <n v="0"/>
    <n v="0"/>
    <n v="0"/>
    <m/>
    <m/>
    <m/>
    <m/>
    <m/>
    <m/>
    <m/>
    <m/>
    <m/>
    <m/>
    <m/>
    <d v="2015-03-31T00:00:00"/>
    <n v="-4.4856937109358008E-2"/>
    <x v="1"/>
    <n v="0"/>
    <x v="154"/>
  </r>
  <r>
    <d v="2015-04-30T00:00:00"/>
    <x v="1"/>
    <s v="NA"/>
    <n v="296262682.58616579"/>
    <n v="1261.4351999999999"/>
    <m/>
    <n v="0.15430575609207153"/>
    <n v="0"/>
    <n v="0"/>
    <m/>
    <n v="234861.59462346209"/>
    <n v="0.15430575609207153"/>
    <n v="0"/>
    <n v="0"/>
    <m/>
    <s v="Hedge Fund"/>
    <n v="0"/>
    <n v="0"/>
    <n v="0"/>
    <n v="0"/>
    <m/>
    <m/>
    <m/>
    <m/>
    <m/>
    <m/>
    <m/>
    <m/>
    <m/>
    <m/>
    <m/>
    <d v="2015-04-30T00:00:00"/>
    <n v="3.061502557560436E-3"/>
    <x v="1"/>
    <n v="0"/>
    <x v="155"/>
  </r>
  <r>
    <d v="2015-05-29T00:00:00"/>
    <x v="1"/>
    <s v="NA"/>
    <n v="297046959.72046518"/>
    <n v="1264.7746"/>
    <m/>
    <n v="0"/>
    <n v="-19.67478621006012"/>
    <n v="0"/>
    <m/>
    <n v="234861.57906749961"/>
    <n v="-19.67478621006012"/>
    <n v="0"/>
    <n v="0"/>
    <m/>
    <s v="Hedge Fund"/>
    <n v="0"/>
    <n v="0"/>
    <n v="0"/>
    <n v="0"/>
    <m/>
    <m/>
    <m/>
    <m/>
    <m/>
    <m/>
    <m/>
    <m/>
    <m/>
    <m/>
    <m/>
    <d v="2015-05-29T00:00:00"/>
    <n v="2.6473020572124195E-3"/>
    <x v="1"/>
    <n v="0"/>
    <x v="156"/>
  </r>
  <r>
    <d v="2015-06-30T00:00:00"/>
    <x v="1"/>
    <s v="NA"/>
    <n v="288817948.81501245"/>
    <n v="1229.7367999999999"/>
    <m/>
    <n v="22.129598498344421"/>
    <n v="0"/>
    <n v="0"/>
    <m/>
    <n v="234861.59706289385"/>
    <n v="22.129598498344421"/>
    <n v="0"/>
    <n v="0"/>
    <m/>
    <s v="Hedge Fund"/>
    <n v="0"/>
    <n v="0"/>
    <n v="0"/>
    <n v="0"/>
    <m/>
    <m/>
    <m/>
    <m/>
    <m/>
    <m/>
    <m/>
    <m/>
    <m/>
    <m/>
    <m/>
    <d v="2015-06-30T00:00:00"/>
    <n v="-2.7702801748232364E-2"/>
    <x v="1"/>
    <n v="0"/>
    <x v="157"/>
  </r>
  <r>
    <d v="2015-07-31T00:00:00"/>
    <x v="1"/>
    <s v="NA"/>
    <n v="261856452.08637106"/>
    <n v="1114.9395"/>
    <m/>
    <n v="0"/>
    <n v="-19.51213327050209"/>
    <n v="-10568771.080302294"/>
    <m/>
    <n v="234861.5795622732"/>
    <n v="-10568790.592435565"/>
    <n v="-45"/>
    <n v="-45"/>
    <m/>
    <s v="Hedge Fund"/>
    <n v="0"/>
    <n v="0"/>
    <n v="0"/>
    <n v="0"/>
    <m/>
    <m/>
    <m/>
    <m/>
    <m/>
    <m/>
    <m/>
    <m/>
    <m/>
    <m/>
    <m/>
    <d v="2015-07-31T00:00:00"/>
    <n v="-5.6757920355930858E-2"/>
    <x v="1"/>
    <n v="0"/>
    <x v="158"/>
  </r>
  <r>
    <d v="2015-08-31T00:00:00"/>
    <x v="1"/>
    <s v="NA"/>
    <n v="249270259.18336296"/>
    <n v="1061.3496"/>
    <m/>
    <n v="15.659576117992401"/>
    <n v="0"/>
    <n v="0"/>
    <m/>
    <n v="234861.5943166728"/>
    <n v="15.659576117992401"/>
    <n v="0"/>
    <n v="0"/>
    <m/>
    <s v="Hedge Fund"/>
    <n v="0"/>
    <n v="0"/>
    <n v="0"/>
    <n v="0"/>
    <m/>
    <m/>
    <m/>
    <m/>
    <m/>
    <m/>
    <m/>
    <m/>
    <m/>
    <m/>
    <m/>
    <d v="2015-08-31T00:00:00"/>
    <n v="-4.8065298610372897E-2"/>
    <x v="1"/>
    <n v="0"/>
    <x v="159"/>
  </r>
  <r>
    <d v="2015-09-30T00:00:00"/>
    <x v="1"/>
    <s v="NA"/>
    <n v="243935946.43107399"/>
    <n v="1038.6369999999999"/>
    <m/>
    <n v="4.6947879195213318"/>
    <n v="0"/>
    <n v="-15031142.32555622"/>
    <m/>
    <n v="234861.59883681595"/>
    <n v="-15031137.630768301"/>
    <n v="-64"/>
    <n v="-64"/>
    <m/>
    <s v="Hedge Fund"/>
    <n v="0"/>
    <n v="0"/>
    <n v="0"/>
    <n v="0"/>
    <m/>
    <m/>
    <m/>
    <m/>
    <m/>
    <m/>
    <m/>
    <m/>
    <m/>
    <m/>
    <m/>
    <d v="2015-09-30T00:00:00"/>
    <n v="3.8900849665127302E-2"/>
    <x v="1"/>
    <n v="0"/>
    <x v="160"/>
  </r>
  <r>
    <d v="2015-10-30T00:00:00"/>
    <x v="1"/>
    <s v="NA"/>
    <n v="245324847.21667984"/>
    <n v="1044.5507"/>
    <m/>
    <n v="0"/>
    <n v="-0.25143542885780334"/>
    <n v="0"/>
    <m/>
    <n v="234861.59859610436"/>
    <n v="-0.25143542885780334"/>
    <n v="0"/>
    <n v="0"/>
    <m/>
    <s v="Hedge Fund"/>
    <n v="0"/>
    <n v="0"/>
    <n v="0"/>
    <n v="0"/>
    <m/>
    <m/>
    <m/>
    <m/>
    <m/>
    <m/>
    <m/>
    <m/>
    <m/>
    <m/>
    <m/>
    <d v="2015-10-30T00:00:00"/>
    <n v="5.6937120476161507E-3"/>
    <x v="1"/>
    <n v="0"/>
    <x v="161"/>
  </r>
  <r>
    <d v="2015-11-30T00:00:00"/>
    <x v="1"/>
    <s v="NA"/>
    <n v="243647935.04559928"/>
    <n v="1037.4106999999999"/>
    <m/>
    <n v="0"/>
    <n v="-0.35710433125495911"/>
    <n v="0"/>
    <m/>
    <n v="234861.59825187776"/>
    <n v="-0.35710433125495911"/>
    <n v="0"/>
    <n v="0"/>
    <m/>
    <s v="Hedge Fund"/>
    <n v="0"/>
    <n v="0"/>
    <n v="0"/>
    <n v="0"/>
    <m/>
    <m/>
    <m/>
    <m/>
    <m/>
    <m/>
    <m/>
    <m/>
    <m/>
    <m/>
    <m/>
    <d v="2015-11-30T00:00:00"/>
    <n v="-6.8354748122807507E-3"/>
    <x v="1"/>
    <n v="0"/>
    <x v="162"/>
  </r>
  <r>
    <d v="2015-12-31T00:00:00"/>
    <x v="1"/>
    <s v="NA"/>
    <n v="229115611.82595748"/>
    <n v="975.53459999999995"/>
    <m/>
    <n v="0"/>
    <n v="-3.4800487756729126"/>
    <n v="-12212802.923596753"/>
    <m/>
    <n v="234861.59468455295"/>
    <n v="-12212806.403645528"/>
    <n v="-52"/>
    <n v="-52"/>
    <m/>
    <s v="Hedge Fund"/>
    <n v="0"/>
    <n v="0"/>
    <n v="0"/>
    <n v="0"/>
    <m/>
    <m/>
    <m/>
    <m/>
    <m/>
    <m/>
    <m/>
    <m/>
    <m/>
    <m/>
    <m/>
    <d v="2015-12-31T00:00:00"/>
    <n v="-9.519952695524303E-3"/>
    <x v="1"/>
    <n v="0"/>
    <x v="163"/>
  </r>
  <r>
    <d v="2016-01-29T00:00:00"/>
    <x v="1"/>
    <s v="NA"/>
    <n v="215210879.89468837"/>
    <n v="916.33069999999998"/>
    <m/>
    <n v="0"/>
    <n v="-9.5657243132591248"/>
    <n v="0"/>
    <m/>
    <n v="234861.58424539128"/>
    <n v="-9.5657243132591248"/>
    <n v="0"/>
    <n v="0"/>
    <m/>
    <s v="Hedge Fund"/>
    <n v="0"/>
    <n v="0"/>
    <n v="0"/>
    <n v="0"/>
    <m/>
    <m/>
    <m/>
    <m/>
    <m/>
    <m/>
    <m/>
    <m/>
    <m/>
    <m/>
    <m/>
    <d v="2016-01-29T00:00:00"/>
    <n v="-6.0688672651897702E-2"/>
    <x v="1"/>
    <n v="0"/>
    <x v="164"/>
  </r>
  <r>
    <d v="2016-02-29T00:00:00"/>
    <x v="1"/>
    <s v="NA"/>
    <n v="216884947.29431319"/>
    <n v="923.45860000000005"/>
    <m/>
    <n v="0"/>
    <n v="-2.4867179095745087"/>
    <n v="0"/>
    <m/>
    <n v="234861.58155256032"/>
    <n v="-2.4867179095745087"/>
    <n v="0"/>
    <n v="0"/>
    <m/>
    <s v="Hedge Fund"/>
    <n v="0"/>
    <n v="0"/>
    <n v="0"/>
    <n v="0"/>
    <m/>
    <m/>
    <m/>
    <m/>
    <m/>
    <m/>
    <m/>
    <m/>
    <m/>
    <m/>
    <m/>
    <d v="2016-02-29T00:00:00"/>
    <n v="7.7787418887089732E-3"/>
    <x v="1"/>
    <n v="0"/>
    <x v="165"/>
  </r>
  <r>
    <d v="2016-03-31T00:00:00"/>
    <x v="1"/>
    <s v="NA"/>
    <n v="226940767.57510108"/>
    <n v="966.27449999999999"/>
    <m/>
    <n v="10.291191637516022"/>
    <n v="0"/>
    <n v="0"/>
    <m/>
    <n v="234861.59220294139"/>
    <n v="10.291191637516022"/>
    <n v="0"/>
    <n v="0"/>
    <m/>
    <s v="Hedge Fund"/>
    <n v="0"/>
    <n v="0"/>
    <n v="0"/>
    <n v="0"/>
    <m/>
    <m/>
    <m/>
    <m/>
    <m/>
    <m/>
    <m/>
    <m/>
    <m/>
    <m/>
    <m/>
    <d v="2016-03-31T00:00:00"/>
    <n v="4.6364720627432465E-2"/>
    <x v="1"/>
    <n v="0"/>
    <x v="166"/>
  </r>
  <r>
    <d v="2016-04-29T00:00:00"/>
    <x v="1"/>
    <s v="NA"/>
    <n v="210448303.84221861"/>
    <n v="896.05240000000003"/>
    <m/>
    <n v="10.48095166683197"/>
    <n v="0"/>
    <n v="-15031142.649583876"/>
    <m/>
    <n v="234861.60389974806"/>
    <n v="-15031132.168632209"/>
    <n v="-64"/>
    <n v="-64"/>
    <m/>
    <s v="Hedge Fund"/>
    <n v="0"/>
    <n v="0"/>
    <n v="0"/>
    <n v="0"/>
    <m/>
    <m/>
    <m/>
    <m/>
    <m/>
    <m/>
    <m/>
    <m/>
    <m/>
    <m/>
    <m/>
    <d v="2016-04-29T00:00:00"/>
    <n v="-6.4392642179932347E-3"/>
    <x v="1"/>
    <n v="0"/>
    <x v="167"/>
  </r>
  <r>
    <d v="2016-05-31T00:00:00"/>
    <x v="1"/>
    <s v="NA"/>
    <n v="210448303.84221861"/>
    <n v="913.46119999999996"/>
    <m/>
    <n v="0"/>
    <n v="-4088658.6899699271"/>
    <n v="0"/>
    <m/>
    <n v="230385.59693856578"/>
    <n v="-4088658.6899699271"/>
    <n v="0"/>
    <n v="0"/>
    <m/>
    <s v="Hedge Fund"/>
    <n v="0"/>
    <n v="0"/>
    <n v="0"/>
    <n v="0"/>
    <m/>
    <m/>
    <m/>
    <m/>
    <m/>
    <m/>
    <m/>
    <m/>
    <m/>
    <m/>
    <m/>
    <d v="2016-05-31T00:00:00"/>
    <n v="1.9428328075456358E-2"/>
    <x v="1"/>
    <n v="0"/>
    <x v="168"/>
  </r>
  <r>
    <d v="2016-06-30T00:00:00"/>
    <x v="1"/>
    <s v="NA"/>
    <n v="214375470.17588401"/>
    <n v="912.77359999999987"/>
    <m/>
    <n v="4085579.4701203704"/>
    <n v="0"/>
    <n v="0"/>
    <m/>
    <n v="234861.60223727333"/>
    <n v="4085579.4701203704"/>
    <n v="0"/>
    <n v="0"/>
    <m/>
    <s v="Hedge Fund"/>
    <n v="0"/>
    <n v="0"/>
    <n v="0"/>
    <n v="0"/>
    <m/>
    <m/>
    <m/>
    <m/>
    <m/>
    <m/>
    <m/>
    <m/>
    <m/>
    <m/>
    <m/>
    <d v="2016-06-30T00:00:00"/>
    <n v="-7.527413315421283E-4"/>
    <x v="1"/>
    <n v="0"/>
    <x v="169"/>
  </r>
  <r>
    <d v="2016-07-29T00:00:00"/>
    <x v="1"/>
    <s v="NA"/>
    <n v="212639820.515331"/>
    <n v="905.38350000000003"/>
    <m/>
    <n v="1.0661406517028809"/>
    <n v="0"/>
    <n v="-7985294.5161042297"/>
    <m/>
    <n v="234861.60341483029"/>
    <n v="-7985293.449963578"/>
    <n v="-34"/>
    <n v="-34"/>
    <m/>
    <s v="Hedge Fund"/>
    <n v="0"/>
    <n v="0"/>
    <n v="0"/>
    <n v="0"/>
    <m/>
    <m/>
    <m/>
    <m/>
    <m/>
    <m/>
    <m/>
    <m/>
    <m/>
    <m/>
    <m/>
    <d v="2016-07-29T00:00:00"/>
    <n v="2.9152793387615894E-2"/>
    <x v="1"/>
    <n v="0"/>
    <x v="170"/>
  </r>
  <r>
    <d v="2016-08-31T00:00:00"/>
    <x v="1"/>
    <s v="NA"/>
    <n v="215959790.50103399"/>
    <n v="919.51940000000002"/>
    <m/>
    <n v="0"/>
    <n v="-10.154008716344833"/>
    <n v="0"/>
    <m/>
    <n v="234861.59237209568"/>
    <n v="-10.154008716344833"/>
    <n v="0"/>
    <n v="0"/>
    <m/>
    <s v="Hedge Fund"/>
    <n v="0"/>
    <n v="0"/>
    <n v="0"/>
    <n v="0"/>
    <m/>
    <m/>
    <m/>
    <m/>
    <m/>
    <m/>
    <m/>
    <m/>
    <m/>
    <m/>
    <m/>
    <d v="2016-08-31T00:00:00"/>
    <n v="1.5613162819954285E-2"/>
    <x v="1"/>
    <n v="0"/>
    <x v="171"/>
  </r>
  <r>
    <d v="2016-09-30T00:00:00"/>
    <x v="1"/>
    <s v="NA"/>
    <n v="218353454.76887801"/>
    <n v="929.71120000000008"/>
    <m/>
    <n v="1.8907060623168945"/>
    <n v="0"/>
    <n v="0"/>
    <m/>
    <n v="234861.59440574449"/>
    <n v="1.8907060623168945"/>
    <n v="0"/>
    <n v="0"/>
    <m/>
    <s v="Hedge Fund"/>
    <n v="0"/>
    <n v="0"/>
    <n v="0"/>
    <n v="0"/>
    <m/>
    <m/>
    <m/>
    <m/>
    <m/>
    <m/>
    <m/>
    <m/>
    <m/>
    <m/>
    <m/>
    <d v="2016-09-30T00:00:00"/>
    <n v="1.1083833576540192E-2"/>
    <x v="1"/>
    <n v="0"/>
    <x v="172"/>
  </r>
  <r>
    <d v="2016-10-31T00:00:00"/>
    <x v="1"/>
    <s v="NA"/>
    <n v="226208428.01196498"/>
    <n v="963.1563000000001"/>
    <m/>
    <n v="3.7320273816585541"/>
    <n v="0"/>
    <n v="0"/>
    <m/>
    <n v="234861.59828053345"/>
    <n v="3.7320273816585541"/>
    <n v="0"/>
    <n v="0"/>
    <m/>
    <s v="Hedge Fund"/>
    <n v="0"/>
    <n v="0"/>
    <n v="0"/>
    <n v="0"/>
    <m/>
    <m/>
    <m/>
    <m/>
    <m/>
    <m/>
    <m/>
    <m/>
    <m/>
    <m/>
    <m/>
    <d v="2016-10-31T00:00:00"/>
    <n v="3.5973644288678219E-2"/>
    <x v="1"/>
    <n v="0"/>
    <x v="173"/>
  </r>
  <r>
    <d v="2016-11-30T00:00:00"/>
    <x v="1"/>
    <s v="NA"/>
    <n v="210770566.722247"/>
    <n v="897.42460000000005"/>
    <m/>
    <n v="0"/>
    <n v="-9.1700214147567749"/>
    <n v="-12212802.579243809"/>
    <m/>
    <n v="234861.58806238094"/>
    <n v="-12212811.749265224"/>
    <n v="-52"/>
    <n v="-52"/>
    <m/>
    <s v="Hedge Fund"/>
    <n v="0"/>
    <n v="0"/>
    <n v="0"/>
    <n v="0"/>
    <m/>
    <m/>
    <m/>
    <m/>
    <m/>
    <m/>
    <m/>
    <m/>
    <m/>
    <m/>
    <m/>
    <d v="2016-11-30T00:00:00"/>
    <n v="-1.4256982238885274E-2"/>
    <x v="1"/>
    <n v="0"/>
    <x v="174"/>
  </r>
  <r>
    <d v="2016-12-30T00:00:00"/>
    <x v="1"/>
    <s v="NA"/>
    <n v="211047913.87174401"/>
    <n v="898.60550000000001"/>
    <m/>
    <n v="0"/>
    <n v="-0.89984583854675293"/>
    <n v="-6000713.5494085662"/>
    <m/>
    <n v="234861.58706100064"/>
    <n v="-6000714.4492544048"/>
    <n v="-25.55"/>
    <n v="-25.55"/>
    <m/>
    <s v="Hedge Fund"/>
    <n v="0"/>
    <n v="0"/>
    <n v="0"/>
    <n v="0"/>
    <m/>
    <m/>
    <m/>
    <m/>
    <m/>
    <m/>
    <m/>
    <m/>
    <m/>
    <m/>
    <m/>
    <d v="2016-12-30T00:00:00"/>
    <n v="2.9786234844757065E-2"/>
    <x v="1"/>
    <n v="0"/>
    <x v="175"/>
  </r>
  <r>
    <d v="2017-01-27T00:00:00"/>
    <x v="1"/>
    <s v="NA"/>
    <n v="213759052.237176"/>
    <n v="910.14899999999989"/>
    <m/>
    <n v="13.635193347930908"/>
    <n v="0"/>
    <n v="0"/>
    <m/>
    <n v="234861.60204227662"/>
    <n v="13.635193347930908"/>
    <n v="0"/>
    <n v="0"/>
    <m/>
    <s v="Hedge Fund"/>
    <n v="0"/>
    <n v="0"/>
    <n v="0"/>
    <n v="0"/>
    <m/>
    <m/>
    <m/>
    <m/>
    <m/>
    <m/>
    <m/>
    <m/>
    <m/>
    <m/>
    <m/>
    <d v="2017-01-27T00:00:00"/>
    <n v="1.2846015298147995E-2"/>
    <x v="1"/>
    <n v="0"/>
    <x v="176"/>
  </r>
  <r>
    <d v="2017-02-28T00:00:00"/>
    <x v="1"/>
    <s v="NA"/>
    <n v="237836518.87778831"/>
    <n v="1012.6666999999999"/>
    <m/>
    <n v="0"/>
    <n v="-4.6190771758556366"/>
    <n v="0"/>
    <m/>
    <n v="234861.59748097605"/>
    <n v="-4.6190771758556366"/>
    <n v="0"/>
    <n v="0"/>
    <m/>
    <s v="Hedge Fund"/>
    <n v="0"/>
    <n v="0"/>
    <n v="0"/>
    <n v="0"/>
    <m/>
    <m/>
    <m/>
    <m/>
    <m/>
    <m/>
    <m/>
    <m/>
    <m/>
    <m/>
    <m/>
    <d v="2017-02-28T00:00:00"/>
    <n v="0.11263837020092304"/>
    <x v="1"/>
    <n v="0"/>
    <x v="177"/>
  </r>
  <r>
    <d v="2017-03-31T00:00:00"/>
    <x v="1"/>
    <s v="NA"/>
    <n v="245836832.63201973"/>
    <n v="1046.7307000000001"/>
    <m/>
    <n v="0"/>
    <n v="-11.702360600233078"/>
    <n v="0"/>
    <m/>
    <n v="234861.58630106074"/>
    <n v="-11.702360600233078"/>
    <n v="0"/>
    <n v="0"/>
    <m/>
    <s v="Hedge Fund"/>
    <n v="0"/>
    <n v="0"/>
    <n v="0"/>
    <n v="0"/>
    <m/>
    <m/>
    <m/>
    <m/>
    <m/>
    <m/>
    <m/>
    <m/>
    <m/>
    <m/>
    <m/>
    <d v="2017-03-31T00:00:00"/>
    <n v="3.3637918576763903E-2"/>
    <x v="1"/>
    <n v="0"/>
    <x v="178"/>
  </r>
  <r>
    <d v="2017-04-28T00:00:00"/>
    <x v="1"/>
    <s v="NA"/>
    <n v="242958698.65935501"/>
    <n v="1034.4761000000001"/>
    <m/>
    <n v="0.82282024621963501"/>
    <n v="0"/>
    <n v="0"/>
    <m/>
    <n v="234861.58709645877"/>
    <n v="0.82282024621963501"/>
    <n v="0"/>
    <n v="0"/>
    <m/>
    <s v="Hedge Fund"/>
    <n v="0"/>
    <n v="0"/>
    <n v="0"/>
    <n v="0"/>
    <m/>
    <m/>
    <m/>
    <m/>
    <m/>
    <m/>
    <m/>
    <m/>
    <m/>
    <m/>
    <m/>
    <d v="2017-04-28T00:00:00"/>
    <n v="-1.170750031502843E-2"/>
    <x v="1"/>
    <n v="0"/>
    <x v="179"/>
  </r>
  <r>
    <d v="2017-05-31T00:00:00"/>
    <x v="1"/>
    <s v="NA"/>
    <n v="238010661.764819"/>
    <n v="1013.4082"/>
    <m/>
    <n v="3.5362535119056702"/>
    <n v="0"/>
    <n v="0"/>
    <m/>
    <n v="234861.5905859248"/>
    <n v="3.5362535119056702"/>
    <n v="0"/>
    <n v="0"/>
    <m/>
    <s v="Hedge Fund"/>
    <n v="0"/>
    <n v="0"/>
    <n v="0"/>
    <n v="0"/>
    <m/>
    <m/>
    <m/>
    <m/>
    <m/>
    <m/>
    <m/>
    <m/>
    <m/>
    <m/>
    <m/>
    <d v="2017-05-31T00:00:00"/>
    <n v="-2.0365767754325304E-2"/>
    <x v="1"/>
    <n v="0"/>
    <x v="180"/>
  </r>
  <r>
    <d v="2017-06-30T00:00:00"/>
    <x v="1"/>
    <s v="NA"/>
    <n v="241533864.84749463"/>
    <n v="1028.4093999999998"/>
    <m/>
    <n v="0"/>
    <n v="-2.6100218892097473"/>
    <n v="0"/>
    <m/>
    <n v="234861.5880480037"/>
    <n v="-2.6100218892097473"/>
    <n v="0"/>
    <n v="0"/>
    <m/>
    <s v="Hedge Fund"/>
    <n v="0"/>
    <n v="0"/>
    <n v="0"/>
    <n v="0"/>
    <m/>
    <m/>
    <m/>
    <m/>
    <m/>
    <m/>
    <m/>
    <m/>
    <m/>
    <m/>
    <m/>
    <d v="2017-06-30T00:00:00"/>
    <n v="1.4802722140988989E-2"/>
    <x v="1"/>
    <n v="0"/>
    <x v="181"/>
  </r>
  <r>
    <d v="2017-07-31T00:00:00"/>
    <x v="1"/>
    <s v="NA"/>
    <n v="214874151.69999999"/>
    <n v="914.89689999999985"/>
    <m/>
    <n v="12.865804374217987"/>
    <n v="0"/>
    <n v="-28000200.203622948"/>
    <m/>
    <n v="234861.60211057664"/>
    <n v="-28000187.337818574"/>
    <n v="-119.22"/>
    <n v="-119.22"/>
    <m/>
    <s v="Hedge Fund"/>
    <n v="0"/>
    <n v="0"/>
    <n v="0"/>
    <n v="0"/>
    <m/>
    <m/>
    <m/>
    <m/>
    <m/>
    <m/>
    <m/>
    <m/>
    <m/>
    <m/>
    <m/>
    <d v="2017-07-31T00:00:00"/>
    <n v="5.5498395273487766E-3"/>
    <x v="1"/>
    <n v="0"/>
    <x v="182"/>
  </r>
  <r>
    <d v="2017-08-31T00:00:00"/>
    <x v="1"/>
    <s v="NA"/>
    <n v="218153100"/>
    <n v="928.85810000000015"/>
    <m/>
    <n v="0"/>
    <n v="-1.4993862509727478"/>
    <n v="0"/>
    <m/>
    <n v="234861.60049635134"/>
    <n v="-1.4993862509727478"/>
    <n v="0"/>
    <n v="0"/>
    <m/>
    <s v="Hedge Fund"/>
    <n v="0"/>
    <n v="0"/>
    <n v="0"/>
    <n v="0"/>
    <m/>
    <m/>
    <m/>
    <m/>
    <m/>
    <m/>
    <m/>
    <m/>
    <m/>
    <m/>
    <m/>
    <d v="2017-08-31T00:00:00"/>
    <n v="1.5259861521008888E-2"/>
    <x v="1"/>
    <n v="0"/>
    <x v="183"/>
  </r>
  <r>
    <d v="2017-09-29T00:00:00"/>
    <x v="1"/>
    <s v="NA"/>
    <n v="217665400"/>
    <n v="926.78179999999998"/>
    <m/>
    <n v="0"/>
    <n v="-56.858889371156693"/>
    <n v="0"/>
    <m/>
    <n v="234861.53914546015"/>
    <n v="-56.858889371156693"/>
    <n v="0"/>
    <n v="0"/>
    <m/>
    <s v="Hedge Fund"/>
    <n v="0"/>
    <n v="0"/>
    <n v="0"/>
    <n v="0"/>
    <m/>
    <m/>
    <m/>
    <m/>
    <m/>
    <m/>
    <m/>
    <m/>
    <m/>
    <m/>
    <m/>
    <d v="2017-09-29T00:00:00"/>
    <n v="-2.2353252881147645E-3"/>
    <x v="1"/>
    <n v="0"/>
    <x v="184"/>
  </r>
  <r>
    <d v="2017-10-31T00:00:00"/>
    <x v="1"/>
    <s v="NA"/>
    <n v="234208400"/>
    <n v="997.21889999999985"/>
    <m/>
    <n v="34.281057327985764"/>
    <n v="0"/>
    <n v="0"/>
    <m/>
    <n v="234861.5735221224"/>
    <n v="34.281057327985764"/>
    <n v="0"/>
    <n v="0"/>
    <m/>
    <s v="Hedge Fund"/>
    <n v="0"/>
    <n v="0"/>
    <n v="0"/>
    <n v="0"/>
    <m/>
    <m/>
    <m/>
    <m/>
    <m/>
    <m/>
    <m/>
    <m/>
    <m/>
    <m/>
    <m/>
    <d v="2017-10-31T00:00:00"/>
    <n v="7.6001816177227344E-2"/>
    <x v="1"/>
    <n v="0"/>
    <x v="185"/>
  </r>
  <r>
    <d v="2017-11-30T00:00:00"/>
    <x v="1"/>
    <s v="NA"/>
    <n v="226861500"/>
    <n v="965.93679999999995"/>
    <m/>
    <n v="63.229076355695724"/>
    <n v="0"/>
    <n v="0"/>
    <m/>
    <n v="234861.63898093542"/>
    <n v="63.229076355695724"/>
    <n v="0"/>
    <n v="0"/>
    <m/>
    <s v="Hedge Fund"/>
    <n v="0"/>
    <n v="0"/>
    <n v="0"/>
    <n v="0"/>
    <m/>
    <m/>
    <m/>
    <m/>
    <m/>
    <m/>
    <m/>
    <m/>
    <m/>
    <m/>
    <m/>
    <d v="2017-11-30T00:00:00"/>
    <n v="-3.1369341275019891E-2"/>
    <x v="1"/>
    <n v="0"/>
    <x v="186"/>
  </r>
  <r>
    <d v="2017-12-29T00:00:00"/>
    <x v="1"/>
    <s v="NA"/>
    <n v="192630303.73301128"/>
    <n v="820.18649999999991"/>
    <m/>
    <n v="0"/>
    <n v="-41.927025675773621"/>
    <n v="-12799956.538481329"/>
    <m/>
    <n v="234861.58786204271"/>
    <n v="-12799998.465507004"/>
    <n v="-54.500000000000007"/>
    <n v="-54.500000000000007"/>
    <m/>
    <s v="Hedge Fund"/>
    <n v="0"/>
    <n v="0"/>
    <n v="0"/>
    <n v="0"/>
    <m/>
    <m/>
    <m/>
    <m/>
    <m/>
    <m/>
    <m/>
    <m/>
    <m/>
    <m/>
    <m/>
    <d v="2017-12-29T00:00:00"/>
    <n v="-9.4468201089571102E-2"/>
    <x v="1"/>
    <n v="0"/>
    <x v="187"/>
  </r>
  <r>
    <d v="2018-01-31T00:00:00"/>
    <x v="1"/>
    <s v="NA"/>
    <n v="197800300"/>
    <n v="842.19930000000011"/>
    <m/>
    <n v="35.105699121952057"/>
    <n v="0"/>
    <n v="0"/>
    <m/>
    <n v="234861.62954540568"/>
    <n v="35.105699121952057"/>
    <n v="0"/>
    <n v="0"/>
    <m/>
    <s v="Hedge Fund"/>
    <n v="0"/>
    <n v="0"/>
    <n v="0"/>
    <n v="0"/>
    <m/>
    <m/>
    <m/>
    <m/>
    <m/>
    <m/>
    <m/>
    <m/>
    <m/>
    <m/>
    <m/>
    <d v="2018-01-31T00:00:00"/>
    <n v="2.6838773864237053E-2"/>
    <x v="1"/>
    <n v="0"/>
    <x v="188"/>
  </r>
  <r>
    <d v="2018-02-28T00:00:00"/>
    <x v="1"/>
    <s v="NA"/>
    <n v="197016054.0312115"/>
    <n v="838.86030000000005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2-28T00:00:00"/>
    <n v="-3.9648371048400799E-3"/>
    <x v="1"/>
    <n v="0"/>
    <x v="189"/>
  </r>
  <r>
    <d v="2018-03-29T00:00:00"/>
    <x v="1"/>
    <s v="NA"/>
    <n v="193826539.85326615"/>
    <n v="825.2799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3-29T00:00:00"/>
    <n v="-1.618910800761475E-2"/>
    <x v="1"/>
    <n v="0"/>
    <x v="190"/>
  </r>
  <r>
    <d v="2018-04-30T00:00:00"/>
    <x v="1"/>
    <s v="NA"/>
    <n v="192484024.09938771"/>
    <n v="819.56370000000004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4-30T00:00:00"/>
    <n v="-6.9263773417963526E-3"/>
    <x v="1"/>
    <n v="0"/>
    <x v="191"/>
  </r>
  <r>
    <d v="2018-05-31T00:00:00"/>
    <x v="1"/>
    <s v="NA"/>
    <n v="175269750.77325788"/>
    <n v="746.26829999999995"/>
    <m/>
    <n v="0"/>
    <n v="0"/>
    <n v="-15000000"/>
    <m/>
    <n v="234861.57829999999"/>
    <n v="-15000000"/>
    <n v="-63.867406957641144"/>
    <n v="-63.867406957641144"/>
    <m/>
    <s v="Hedge Fund"/>
    <n v="0"/>
    <n v="0"/>
    <n v="0"/>
    <n v="0"/>
    <m/>
    <m/>
    <m/>
    <m/>
    <m/>
    <m/>
    <m/>
    <m/>
    <m/>
    <m/>
    <m/>
    <d v="2018-05-31T00:00:00"/>
    <n v="-1.1503673286602178E-2"/>
    <x v="1"/>
    <n v="0"/>
    <x v="192"/>
  </r>
  <r>
    <d v="2018-06-29T00:00:00"/>
    <x v="1"/>
    <s v="NA"/>
    <n v="176066401.24685147"/>
    <n v="749.66030000000001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6-29T00:00:00"/>
    <n v="4.5452821726448267E-3"/>
    <x v="1"/>
    <n v="0"/>
    <x v="193"/>
  </r>
  <r>
    <d v="2018-07-31T00:00:00"/>
    <x v="1"/>
    <s v="NA"/>
    <n v="121348961.37462108"/>
    <n v="516.68290000000002"/>
    <m/>
    <n v="0"/>
    <n v="0"/>
    <n v="-51899711.572733998"/>
    <m/>
    <n v="234861.57829999999"/>
    <n v="-51899711.572733998"/>
    <n v="-220.98"/>
    <n v="-220.98"/>
    <m/>
    <s v="Hedge Fund"/>
    <n v="0"/>
    <n v="0"/>
    <n v="0"/>
    <n v="0"/>
    <m/>
    <m/>
    <m/>
    <m/>
    <m/>
    <m/>
    <m/>
    <m/>
    <m/>
    <m/>
    <m/>
    <d v="2018-07-31T00:00:00"/>
    <n v="-1.6003781979651133E-2"/>
    <x v="1"/>
    <n v="0"/>
    <x v="194"/>
  </r>
  <r>
    <d v="2018-08-31T00:00:00"/>
    <x v="1"/>
    <s v="NA"/>
    <n v="118937637.55021498"/>
    <n v="506.41590000000002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  <m/>
    <m/>
    <m/>
    <d v="2018-08-31T00:00:00"/>
    <n v="-1.9870988569584913E-2"/>
    <x v="1"/>
    <n v="0"/>
    <x v="195"/>
  </r>
  <r>
    <d v="2018-09-28T00:00:00"/>
    <x v="1"/>
    <s v="NA"/>
    <n v="121056603.11353731"/>
    <n v="515.43799999999999"/>
    <n v="0"/>
    <n v="0"/>
    <n v="0"/>
    <n v="0"/>
    <m/>
    <n v="234861.57829999999"/>
    <n v="0"/>
    <n v="0"/>
    <n v="0"/>
    <m/>
    <s v="Hedge Fund"/>
    <n v="0"/>
    <n v="0"/>
    <m/>
    <m/>
    <m/>
    <m/>
    <m/>
    <m/>
    <m/>
    <m/>
    <m/>
    <m/>
    <m/>
    <m/>
    <m/>
    <d v="2018-09-28T00:00:00"/>
    <n v="1.7815769734182973E-2"/>
    <x v="1"/>
    <n v="0"/>
    <x v="196"/>
  </r>
  <r>
    <d v="2018-10-31T00:00:00"/>
    <x v="1"/>
    <s v="NA"/>
    <n v="120878631.41458665"/>
    <n v="514.68029999999999"/>
    <n v="0"/>
    <n v="0"/>
    <n v="0"/>
    <n v="0"/>
    <m/>
    <n v="234861.57829999999"/>
    <n v="0"/>
    <n v="0"/>
    <n v="-514.68029999999999"/>
    <m/>
    <s v="Hedge Fund"/>
    <n v="0"/>
    <m/>
    <m/>
    <m/>
    <m/>
    <m/>
    <m/>
    <m/>
    <m/>
    <m/>
    <m/>
    <m/>
    <m/>
    <m/>
    <m/>
    <d v="2018-10-31T00:00:00"/>
    <n v="-1.4701527580758267E-3"/>
    <x v="1"/>
    <n v="0"/>
    <x v="197"/>
  </r>
  <r>
    <d v="2015-04-01T00:00:00"/>
    <x v="2"/>
    <s v="NA"/>
    <n v="64551471.087311998"/>
    <s v=""/>
    <m/>
    <n v="64551461.088312"/>
    <n v="0"/>
    <n v="0"/>
    <m/>
    <m/>
    <n v="64551461.088312"/>
    <s v=""/>
    <n v="64551461.088312"/>
    <m/>
    <s v="Private Equity Fund"/>
    <n v="0"/>
    <n v="0"/>
    <n v="0"/>
    <n v="0"/>
    <m/>
    <m/>
    <m/>
    <m/>
    <m/>
    <m/>
    <m/>
    <m/>
    <m/>
    <m/>
    <m/>
    <d v="2015-04-01T00:00:00"/>
    <n v="-0.99999991728066506"/>
    <x v="2"/>
    <n v="0"/>
    <x v="155"/>
  </r>
  <r>
    <d v="2015-04-30T00:00:00"/>
    <x v="2"/>
    <s v="NA"/>
    <n v="61320067.704341397"/>
    <s v=""/>
    <m/>
    <n v="1.4901161193847656E-8"/>
    <n v="0"/>
    <n v="0"/>
    <m/>
    <m/>
    <n v="1.4901161193847656E-8"/>
    <e v="#DIV/0!"/>
    <n v="1.4901161193847656E-8"/>
    <m/>
    <s v="Private Equity Fund"/>
    <n v="2.6895833333333334E-2"/>
    <n v="0"/>
    <n v="0"/>
    <n v="0"/>
    <m/>
    <m/>
    <m/>
    <m/>
    <m/>
    <m/>
    <m/>
    <m/>
    <m/>
    <m/>
    <m/>
    <d v="2015-04-30T00:00:00"/>
    <n v="-5.0059329842380151E-2"/>
    <x v="2"/>
    <n v="0"/>
    <x v="155"/>
  </r>
  <r>
    <d v="2015-05-29T00:00:00"/>
    <x v="2"/>
    <s v="NA"/>
    <n v="60883517.728767626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  <m/>
    <m/>
    <m/>
    <d v="2015-05-29T00:00:00"/>
    <n v="-7.119202439218153E-3"/>
    <x v="2"/>
    <n v="0"/>
    <x v="156"/>
  </r>
  <r>
    <d v="2015-06-30T00:00:00"/>
    <x v="2"/>
    <s v="NA"/>
    <n v="65373874.499672115"/>
    <s v=""/>
    <m/>
    <n v="7.4505805969238281E-9"/>
    <n v="0"/>
    <n v="0"/>
    <m/>
    <m/>
    <n v="7.4505805969238281E-9"/>
    <e v="#DIV/0!"/>
    <n v="7.4505805969238281E-9"/>
    <m/>
    <s v="Private Equity Fund"/>
    <n v="2.6895833333333334E-2"/>
    <n v="0"/>
    <n v="0"/>
    <n v="0"/>
    <m/>
    <m/>
    <m/>
    <m/>
    <m/>
    <m/>
    <m/>
    <m/>
    <m/>
    <m/>
    <m/>
    <d v="2015-06-30T00:00:00"/>
    <n v="7.3753241245171575E-2"/>
    <x v="2"/>
    <n v="0"/>
    <x v="157"/>
  </r>
  <r>
    <d v="2015-07-31T00:00:00"/>
    <x v="2"/>
    <s v="NA"/>
    <n v="65823955.098767616"/>
    <s v=""/>
    <m/>
    <n v="0"/>
    <n v="-1.4901161193847656E-8"/>
    <n v="0"/>
    <m/>
    <m/>
    <n v="-1.4901161193847656E-8"/>
    <e v="#DIV/0!"/>
    <n v="-1.4901161193847656E-8"/>
    <m/>
    <s v="Private Equity Fund"/>
    <n v="2.6895833333333334E-2"/>
    <n v="0"/>
    <n v="0"/>
    <n v="0"/>
    <m/>
    <m/>
    <m/>
    <m/>
    <m/>
    <m/>
    <m/>
    <m/>
    <m/>
    <m/>
    <m/>
    <d v="2015-07-31T00:00:00"/>
    <n v="6.8847166018555228E-3"/>
    <x v="2"/>
    <n v="0"/>
    <x v="158"/>
  </r>
  <r>
    <d v="2015-08-31T00:00:00"/>
    <x v="2"/>
    <s v="NA"/>
    <n v="59740395.084341399"/>
    <s v=""/>
    <m/>
    <n v="0"/>
    <n v="-7.4505805969238281E-9"/>
    <n v="0"/>
    <m/>
    <m/>
    <n v="-7.4505805969238281E-9"/>
    <e v="#DIV/0!"/>
    <n v="-7.4505805969238281E-9"/>
    <m/>
    <s v="Private Equity Fund"/>
    <n v="2.6895833333333334E-2"/>
    <n v="0"/>
    <n v="0"/>
    <n v="0"/>
    <m/>
    <m/>
    <m/>
    <m/>
    <m/>
    <m/>
    <m/>
    <m/>
    <m/>
    <m/>
    <m/>
    <d v="2015-08-31T00:00:00"/>
    <n v="-9.2421672403275368E-2"/>
    <x v="2"/>
    <n v="0"/>
    <x v="159"/>
  </r>
  <r>
    <d v="2015-09-30T00:00:00"/>
    <x v="2"/>
    <s v="NA"/>
    <n v="55807551.999915168"/>
    <s v=""/>
    <m/>
    <n v="2.2351741790771484E-8"/>
    <n v="0"/>
    <n v="0"/>
    <m/>
    <m/>
    <n v="2.2351741790771484E-8"/>
    <e v="#DIV/0!"/>
    <n v="2.2351741790771484E-8"/>
    <m/>
    <s v="Private Equity Fund"/>
    <n v="2.6895833333333334E-2"/>
    <n v="0"/>
    <n v="0"/>
    <n v="0"/>
    <m/>
    <m/>
    <m/>
    <m/>
    <m/>
    <m/>
    <m/>
    <m/>
    <m/>
    <m/>
    <m/>
    <d v="2015-09-30T00:00:00"/>
    <n v="-6.5832224224059321E-2"/>
    <x v="2"/>
    <n v="0"/>
    <x v="160"/>
  </r>
  <r>
    <d v="2015-10-30T00:00:00"/>
    <x v="2"/>
    <s v="NA"/>
    <n v="56271664.266705543"/>
    <s v=""/>
    <m/>
    <n v="0"/>
    <n v="-2.2351741790771484E-8"/>
    <n v="0"/>
    <m/>
    <m/>
    <n v="-2.2351741790771484E-8"/>
    <e v="#DIV/0!"/>
    <n v="-2.2351741790771484E-8"/>
    <m/>
    <s v="Private Equity Fund"/>
    <n v="2.6895833333333334E-2"/>
    <n v="0"/>
    <n v="0"/>
    <n v="0"/>
    <m/>
    <m/>
    <m/>
    <m/>
    <m/>
    <m/>
    <m/>
    <m/>
    <m/>
    <m/>
    <m/>
    <d v="2015-10-30T00:00:00"/>
    <n v="8.3162986040150599E-3"/>
    <x v="2"/>
    <n v="0"/>
    <x v="161"/>
  </r>
  <r>
    <d v="2015-11-30T00:00:00"/>
    <x v="2"/>
    <s v="NA"/>
    <n v="56338493.622279316"/>
    <s v=""/>
    <m/>
    <n v="7.4505805969238281E-9"/>
    <n v="0"/>
    <n v="0"/>
    <m/>
    <m/>
    <n v="7.4505805969238281E-9"/>
    <e v="#DIV/0!"/>
    <n v="7.4505805969238281E-9"/>
    <m/>
    <s v="Private Equity Fund"/>
    <n v="2.6895833333333334E-2"/>
    <n v="0"/>
    <n v="0"/>
    <n v="0"/>
    <m/>
    <m/>
    <m/>
    <m/>
    <m/>
    <m/>
    <m/>
    <m/>
    <m/>
    <m/>
    <m/>
    <d v="2015-11-30T00:00:00"/>
    <n v="1.1876200294524963E-3"/>
    <x v="2"/>
    <n v="0"/>
    <x v="162"/>
  </r>
  <r>
    <d v="2015-12-31T00:00:00"/>
    <x v="2"/>
    <s v="NA"/>
    <n v="60037154.736705534"/>
    <s v=""/>
    <m/>
    <n v="0"/>
    <n v="-7.4505805969238281E-9"/>
    <n v="0"/>
    <m/>
    <m/>
    <n v="-7.4505805969238281E-9"/>
    <e v="#DIV/0!"/>
    <n v="-7.4505805969238281E-9"/>
    <m/>
    <s v="Private Equity Fund"/>
    <n v="2.6895833333333334E-2"/>
    <n v="0"/>
    <n v="0"/>
    <n v="0"/>
    <m/>
    <m/>
    <m/>
    <m/>
    <m/>
    <m/>
    <m/>
    <m/>
    <m/>
    <m/>
    <m/>
    <d v="2015-12-31T00:00:00"/>
    <n v="6.5650692388473431E-2"/>
    <x v="2"/>
    <n v="0"/>
    <x v="163"/>
  </r>
  <r>
    <d v="2016-01-29T00:00:00"/>
    <x v="2"/>
    <s v="NA"/>
    <n v="60511647.844827257"/>
    <s v=""/>
    <m/>
    <n v="1.4901161193847656E-8"/>
    <n v="0"/>
    <n v="0"/>
    <m/>
    <m/>
    <n v="1.4901161193847656E-8"/>
    <e v="#DIV/0!"/>
    <n v="1.4901161193847656E-8"/>
    <m/>
    <s v="Private Equity Fund"/>
    <n v="2.6895833333333334E-2"/>
    <n v="0"/>
    <n v="0"/>
    <n v="0"/>
    <m/>
    <m/>
    <m/>
    <m/>
    <m/>
    <m/>
    <m/>
    <m/>
    <m/>
    <m/>
    <m/>
    <d v="2016-01-29T00:00:00"/>
    <n v="7.9033243697608224E-3"/>
    <x v="2"/>
    <n v="0"/>
    <x v="164"/>
  </r>
  <r>
    <d v="2016-02-29T00:00:00"/>
    <x v="2"/>
    <s v="NA"/>
    <n v="55959711.520489521"/>
    <s v=""/>
    <m/>
    <n v="0"/>
    <n v="-1.4901161193847656E-8"/>
    <n v="0"/>
    <m/>
    <m/>
    <n v="-1.4901161193847656E-8"/>
    <e v="#DIV/0!"/>
    <n v="-1.4901161193847656E-8"/>
    <m/>
    <s v="Private Equity Fund"/>
    <n v="2.6895833333333334E-2"/>
    <n v="0"/>
    <n v="0"/>
    <n v="0"/>
    <m/>
    <m/>
    <m/>
    <m/>
    <m/>
    <m/>
    <m/>
    <m/>
    <m/>
    <m/>
    <m/>
    <d v="2016-02-29T00:00:00"/>
    <n v="-7.522413430238184E-2"/>
    <x v="2"/>
    <n v="0"/>
    <x v="165"/>
  </r>
  <r>
    <d v="2016-03-31T00:00:00"/>
    <x v="2"/>
    <s v="NA"/>
    <n v="56979444.618611224"/>
    <s v=""/>
    <m/>
    <n v="7.4505805969238281E-9"/>
    <n v="0"/>
    <n v="0"/>
    <m/>
    <m/>
    <n v="7.4505805969238281E-9"/>
    <e v="#DIV/0!"/>
    <n v="7.4505805969238281E-9"/>
    <m/>
    <s v="Private Equity Fund"/>
    <n v="2.6895833333333334E-2"/>
    <n v="0"/>
    <n v="0"/>
    <n v="0"/>
    <m/>
    <m/>
    <m/>
    <m/>
    <m/>
    <m/>
    <m/>
    <m/>
    <m/>
    <m/>
    <m/>
    <d v="2016-03-31T00:00:00"/>
    <n v="1.8222629645764377E-2"/>
    <x v="2"/>
    <n v="0"/>
    <x v="166"/>
  </r>
  <r>
    <d v="2016-04-29T00:00:00"/>
    <x v="2"/>
    <s v="NA"/>
    <n v="55839204.274027817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  <m/>
    <m/>
    <m/>
    <d v="2016-04-29T00:00:00"/>
    <n v="-2.001143310917719E-2"/>
    <x v="2"/>
    <n v="0"/>
    <x v="167"/>
  </r>
  <r>
    <d v="2016-05-31T00:00:00"/>
    <x v="2"/>
    <s v="NA"/>
    <n v="55355748.643712372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  <m/>
    <m/>
    <m/>
    <d v="2016-05-31T00:00:00"/>
    <n v="-8.6579964131099363E-3"/>
    <x v="2"/>
    <n v="0"/>
    <x v="168"/>
  </r>
  <r>
    <d v="2016-06-16T00:00:00"/>
    <x v="2"/>
    <s v="NA"/>
    <n v="-478541.16382188606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  <m/>
    <m/>
    <m/>
    <d v="2016-06-16T00:00:00"/>
    <n v="-1.0086448322992059"/>
    <x v="2"/>
    <n v="0"/>
    <x v="169"/>
  </r>
  <r>
    <d v="2018-10-31T00:00:00"/>
    <x v="3"/>
    <s v="NA"/>
    <n v="873699.32472540811"/>
    <m/>
    <m/>
    <m/>
    <m/>
    <m/>
    <m/>
    <m/>
    <n v="0"/>
    <e v="#DIV/0!"/>
    <n v="-873699.32472540811"/>
    <m/>
    <s v="Private Equity Fund"/>
    <m/>
    <m/>
    <m/>
    <m/>
    <m/>
    <m/>
    <m/>
    <m/>
    <m/>
    <m/>
    <m/>
    <m/>
    <m/>
    <m/>
    <m/>
    <d v="2018-10-31T00:00:00"/>
    <n v="-2.8257558404120919"/>
    <x v="2"/>
    <n v="0"/>
    <x v="198"/>
  </r>
  <r>
    <d v="2012-12-14T00:00:00"/>
    <x v="4"/>
    <s v="NA"/>
    <n v="25000000"/>
    <s v=""/>
    <m/>
    <n v="25000000"/>
    <n v="0"/>
    <n v="0"/>
    <m/>
    <m/>
    <n v="25000000"/>
    <s v=""/>
    <n v="25000000"/>
    <m/>
    <s v="Private Equity Fund"/>
    <n v="0"/>
    <n v="0"/>
    <n v="0"/>
    <n v="0"/>
    <m/>
    <m/>
    <m/>
    <m/>
    <m/>
    <m/>
    <m/>
    <m/>
    <m/>
    <m/>
    <m/>
    <d v="2012-12-14T00:00:00"/>
    <n v="-1"/>
    <x v="0"/>
    <n v="0"/>
    <x v="140"/>
  </r>
  <r>
    <d v="2012-12-31T00:00:00"/>
    <x v="4"/>
    <s v="NA"/>
    <n v="25645789.683333334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2-12-31T00:00:00"/>
    <n v="2.5831587333333239E-2"/>
    <x v="0"/>
    <n v="0"/>
    <x v="140"/>
  </r>
  <r>
    <d v="2013-01-31T00:00:00"/>
    <x v="4"/>
    <s v="NA"/>
    <n v="25772005.156203363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01-31T00:00:00"/>
    <n v="4.9214890408328937E-3"/>
    <x v="0"/>
    <n v="0"/>
    <x v="141"/>
  </r>
  <r>
    <d v="2013-02-28T00:00:00"/>
    <x v="4"/>
    <s v="NA"/>
    <n v="25583989.6869055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02-28T00:00:00"/>
    <n v="-7.2953372528954397E-3"/>
    <x v="0"/>
    <n v="0"/>
    <x v="142"/>
  </r>
  <r>
    <d v="2013-03-28T00:00:00"/>
    <x v="4"/>
    <s v="NA"/>
    <n v="24677865.519999396"/>
    <s v=""/>
    <m/>
    <n v="0"/>
    <n v="0"/>
    <n v="-812500"/>
    <m/>
    <m/>
    <n v="-812500"/>
    <e v="#DIV/0!"/>
    <n v="-812500"/>
    <m/>
    <s v="Private Equity Fund"/>
    <n v="1.0416666666666668E-2"/>
    <n v="0"/>
    <n v="0"/>
    <n v="0"/>
    <m/>
    <m/>
    <m/>
    <m/>
    <m/>
    <m/>
    <m/>
    <m/>
    <m/>
    <m/>
    <m/>
    <d v="2013-03-28T00:00:00"/>
    <n v="-3.6594826706806138E-3"/>
    <x v="0"/>
    <n v="0"/>
    <x v="143"/>
  </r>
  <r>
    <d v="2013-04-30T00:00:00"/>
    <x v="4"/>
    <s v="NA"/>
    <n v="24033286.523564719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04-30T00:00:00"/>
    <n v="-2.6119722384916111E-2"/>
    <x v="0"/>
    <n v="0"/>
    <x v="144"/>
  </r>
  <r>
    <d v="2013-05-31T00:00:00"/>
    <x v="4"/>
    <s v="NA"/>
    <n v="24446119.317117728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05-31T00:00:00"/>
    <n v="1.7177542203735907E-2"/>
    <x v="0"/>
    <n v="0"/>
    <x v="145"/>
  </r>
  <r>
    <d v="2013-06-28T00:00:00"/>
    <x v="4"/>
    <s v="NA"/>
    <n v="24024233.432600282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  <m/>
    <m/>
    <m/>
    <d v="2013-06-28T00:00:00"/>
    <n v="1.725689505193384E-2"/>
    <x v="0"/>
    <n v="0"/>
    <x v="146"/>
  </r>
  <r>
    <d v="2013-07-31T00:00:00"/>
    <x v="4"/>
    <s v="NA"/>
    <n v="24247813.102273945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07-31T00:00:00"/>
    <n v="9.3064226295049846E-3"/>
    <x v="0"/>
    <n v="0"/>
    <x v="147"/>
  </r>
  <r>
    <d v="2013-08-30T00:00:00"/>
    <x v="4"/>
    <s v="NA"/>
    <n v="24686541.963991936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08-30T00:00:00"/>
    <n v="1.8093543523594935E-2"/>
    <x v="0"/>
    <n v="0"/>
    <x v="148"/>
  </r>
  <r>
    <d v="2013-09-30T00:00:00"/>
    <x v="4"/>
    <s v="NA"/>
    <n v="24421385.61779771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  <m/>
    <m/>
    <m/>
    <d v="2013-09-30T00:00:00"/>
    <n v="2.3437614496583548E-2"/>
    <x v="0"/>
    <n v="0"/>
    <x v="0"/>
  </r>
  <r>
    <d v="2013-10-31T00:00:00"/>
    <x v="4"/>
    <s v="NA"/>
    <n v="25094211.274091199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10-31T00:00:00"/>
    <n v="2.7550674921702711E-2"/>
    <x v="0"/>
    <n v="0"/>
    <x v="1"/>
  </r>
  <r>
    <d v="2013-11-29T00:00:00"/>
    <x v="4"/>
    <s v="NA"/>
    <n v="25174712.007505503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3-11-29T00:00:00"/>
    <n v="3.2079403705913556E-3"/>
    <x v="0"/>
    <n v="0"/>
    <x v="2"/>
  </r>
  <r>
    <d v="2013-12-31T00:00:00"/>
    <x v="4"/>
    <s v="NA"/>
    <n v="25553447.800464701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  <m/>
    <m/>
    <m/>
    <d v="2013-12-31T00:00:00"/>
    <n v="4.8560070621452622E-2"/>
    <x v="0"/>
    <n v="0"/>
    <x v="3"/>
  </r>
  <r>
    <d v="2014-01-30T00:00:00"/>
    <x v="4"/>
    <s v="NA"/>
    <n v="25896176.7156156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01-30T00:00:00"/>
    <n v="1.3412237668557037E-2"/>
    <x v="0"/>
    <n v="0"/>
    <x v="4"/>
  </r>
  <r>
    <d v="2014-02-28T00:00:00"/>
    <x v="4"/>
    <s v="NA"/>
    <n v="26363552.1641124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02-28T00:00:00"/>
    <n v="1.8048048313439535E-2"/>
    <x v="0"/>
    <n v="0"/>
    <x v="5"/>
  </r>
  <r>
    <d v="2014-03-31T00:00:00"/>
    <x v="4"/>
    <s v="NA"/>
    <n v="25845197.603877198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  <m/>
    <m/>
    <m/>
    <d v="2014-03-31T00:00:00"/>
    <n v="1.2342625065818957E-2"/>
    <x v="0"/>
    <n v="0"/>
    <x v="6"/>
  </r>
  <r>
    <d v="2014-04-30T00:00:00"/>
    <x v="4"/>
    <s v="NA"/>
    <n v="26079566.1336242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04-30T00:00:00"/>
    <n v="9.0681655191462429E-3"/>
    <x v="0"/>
    <n v="0"/>
    <x v="7"/>
  </r>
  <r>
    <d v="2014-05-30T00:00:00"/>
    <x v="4"/>
    <s v="NA"/>
    <n v="26451152.577025499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05-30T00:00:00"/>
    <n v="1.4248183481941235E-2"/>
    <x v="0"/>
    <n v="0"/>
    <x v="8"/>
  </r>
  <r>
    <d v="2014-06-30T00:00:00"/>
    <x v="4"/>
    <s v="NA"/>
    <n v="26006477.390000001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  <m/>
    <m/>
    <m/>
    <d v="2014-06-30T00:00:00"/>
    <n v="1.5087237193630809E-2"/>
    <x v="0"/>
    <n v="0"/>
    <x v="9"/>
  </r>
  <r>
    <d v="2014-07-31T00:00:00"/>
    <x v="4"/>
    <s v="NA"/>
    <n v="26388437.5363997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07-31T00:00:00"/>
    <n v="1.4687115854705057E-2"/>
    <x v="0"/>
    <n v="0"/>
    <x v="10"/>
  </r>
  <r>
    <d v="2014-08-29T00:00:00"/>
    <x v="4"/>
    <s v="NA"/>
    <n v="26766084.7136112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08-29T00:00:00"/>
    <n v="1.4311085174731675E-2"/>
    <x v="0"/>
    <n v="0"/>
    <x v="11"/>
  </r>
  <r>
    <d v="2014-09-30T00:00:00"/>
    <x v="4"/>
    <s v="NA"/>
    <n v="26523624.981788699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  <m/>
    <m/>
    <m/>
    <d v="2014-09-30T00:00:00"/>
    <n v="2.2464632934219519E-2"/>
    <x v="0"/>
    <n v="0"/>
    <x v="12"/>
  </r>
  <r>
    <d v="2014-10-31T00:00:00"/>
    <x v="4"/>
    <s v="NA"/>
    <n v="26925719.785053298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10-31T00:00:00"/>
    <n v="1.5159873642485833E-2"/>
    <x v="0"/>
    <n v="0"/>
    <x v="149"/>
  </r>
  <r>
    <d v="2014-11-28T00:00:00"/>
    <x v="4"/>
    <s v="NA"/>
    <n v="27294238.825214498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  <m/>
    <m/>
    <m/>
    <d v="2014-11-28T00:00:00"/>
    <n v="1.3686506548499677E-2"/>
    <x v="0"/>
    <n v="0"/>
    <x v="150"/>
  </r>
  <r>
    <d v="2014-12-31T00:00:00"/>
    <x v="4"/>
    <s v="NA"/>
    <n v="17062665.5121461"/>
    <s v=""/>
    <m/>
    <n v="0"/>
    <n v="0"/>
    <n v="-9156600"/>
    <m/>
    <m/>
    <n v="-9156600"/>
    <e v="#DIV/0!"/>
    <n v="-9156600"/>
    <m/>
    <s v="Private Equity Fund"/>
    <n v="1.0416666666666668E-2"/>
    <n v="0"/>
    <n v="0"/>
    <n v="0"/>
    <m/>
    <m/>
    <m/>
    <m/>
    <m/>
    <m/>
    <m/>
    <m/>
    <m/>
    <m/>
    <m/>
    <d v="2014-12-31T00:00:00"/>
    <n v="-3.938462325153147E-2"/>
    <x v="0"/>
    <n v="0"/>
    <x v="151"/>
  </r>
  <r>
    <d v="2015-01-30T00:00:00"/>
    <x v="4"/>
    <s v="NA"/>
    <n v="17372148.6819272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  <m/>
    <m/>
    <m/>
    <d v="2015-01-30T00:00:00"/>
    <n v="1.8138031807562127E-2"/>
    <x v="0"/>
    <n v="0"/>
    <x v="152"/>
  </r>
  <r>
    <d v="2015-02-27T00:00:00"/>
    <x v="4"/>
    <s v="NA"/>
    <n v="17644593.0530967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  <m/>
    <m/>
    <m/>
    <d v="2015-02-27T00:00:00"/>
    <n v="1.568282520244213E-2"/>
    <x v="0"/>
    <n v="0"/>
    <x v="153"/>
  </r>
  <r>
    <d v="2015-03-31T00:00:00"/>
    <x v="4"/>
    <s v="NA"/>
    <n v="17143174.444285102"/>
    <s v=""/>
    <m/>
    <n v="0"/>
    <n v="0"/>
    <n v="-675000"/>
    <m/>
    <m/>
    <n v="-675000"/>
    <e v="#DIV/0!"/>
    <n v="-675000"/>
    <m/>
    <s v="Private Equity Fund"/>
    <n v="6.9444444444444449E-3"/>
    <n v="0"/>
    <n v="0"/>
    <n v="0"/>
    <m/>
    <m/>
    <m/>
    <m/>
    <m/>
    <m/>
    <m/>
    <m/>
    <m/>
    <m/>
    <m/>
    <d v="2015-03-31T00:00:00"/>
    <n v="9.8376534197222032E-3"/>
    <x v="0"/>
    <n v="0"/>
    <x v="154"/>
  </r>
  <r>
    <d v="2015-04-30T00:00:00"/>
    <x v="4"/>
    <s v="NA"/>
    <n v="17332792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  <m/>
    <m/>
    <m/>
    <d v="2015-04-30T00:00:00"/>
    <n v="1.1060819355898754E-2"/>
    <x v="0"/>
    <n v="0"/>
    <x v="155"/>
  </r>
  <r>
    <d v="2015-05-29T00:00:00"/>
    <x v="4"/>
    <s v="NA"/>
    <n v="17538276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  <m/>
    <m/>
    <m/>
    <d v="2015-05-29T00:00:00"/>
    <n v="1.1855216401373658E-2"/>
    <x v="0"/>
    <n v="0"/>
    <x v="156"/>
  </r>
  <r>
    <d v="2015-06-30T00:00:00"/>
    <x v="4"/>
    <s v="NA"/>
    <n v="17102772.816886302"/>
    <s v=""/>
    <m/>
    <n v="0"/>
    <n v="0"/>
    <n v="-687991.67"/>
    <m/>
    <m/>
    <n v="-687991.67"/>
    <e v="#DIV/0!"/>
    <n v="-687991.67"/>
    <m/>
    <s v="Private Equity Fund"/>
    <n v="6.9444444444444449E-3"/>
    <n v="1.3103059338443153"/>
    <n v="0"/>
    <n v="0"/>
    <m/>
    <m/>
    <m/>
    <m/>
    <m/>
    <m/>
    <m/>
    <m/>
    <m/>
    <m/>
    <m/>
    <d v="2015-06-30T00:00:00"/>
    <n v="1.4396425674125801E-2"/>
    <x v="0"/>
    <n v="0"/>
    <x v="157"/>
  </r>
  <r>
    <d v="2015-07-31T00:00:00"/>
    <x v="4"/>
    <s v="NA"/>
    <n v="17373049.710770797"/>
    <s v=""/>
    <m/>
    <n v="0"/>
    <n v="0"/>
    <n v="0"/>
    <m/>
    <m/>
    <n v="0"/>
    <e v="#DIV/0!"/>
    <n v="0"/>
    <m/>
    <s v="Private Equity Fund"/>
    <n v="6.9444444444444449E-3"/>
    <n v="1.3238197785385399"/>
    <n v="0"/>
    <n v="0"/>
    <m/>
    <m/>
    <m/>
    <m/>
    <m/>
    <m/>
    <m/>
    <m/>
    <m/>
    <m/>
    <m/>
    <d v="2015-07-31T00:00:00"/>
    <n v="1.5803103787804362E-2"/>
    <x v="0"/>
    <n v="0"/>
    <x v="158"/>
  </r>
  <r>
    <d v="2015-08-31T00:00:00"/>
    <x v="4"/>
    <s v="NA"/>
    <n v="17642680.043448534"/>
    <s v=""/>
    <m/>
    <n v="0"/>
    <n v="0"/>
    <n v="0"/>
    <m/>
    <m/>
    <n v="0"/>
    <e v="#DIV/0!"/>
    <n v="0"/>
    <m/>
    <s v="Private Equity Fund"/>
    <n v="6.9444444444444449E-3"/>
    <n v="1.3373012951724268"/>
    <n v="0"/>
    <n v="0"/>
    <m/>
    <m/>
    <m/>
    <m/>
    <m/>
    <m/>
    <m/>
    <m/>
    <m/>
    <m/>
    <m/>
    <d v="2015-08-31T00:00:00"/>
    <n v="1.5520034603399235E-2"/>
    <x v="0"/>
    <n v="0"/>
    <x v="159"/>
  </r>
  <r>
    <d v="2015-09-30T00:00:00"/>
    <x v="4"/>
    <s v="NA"/>
    <n v="17156535.915793724"/>
    <s v=""/>
    <m/>
    <n v="0"/>
    <n v="0"/>
    <n v="-701008.34"/>
    <m/>
    <m/>
    <n v="-701008.34"/>
    <e v="#DIV/0!"/>
    <n v="-701008.34"/>
    <m/>
    <s v="Private Equity Fund"/>
    <n v="6.9444444444444449E-3"/>
    <n v="1.3129940887896865"/>
    <n v="0"/>
    <n v="0"/>
    <m/>
    <m/>
    <m/>
    <m/>
    <m/>
    <m/>
    <m/>
    <m/>
    <m/>
    <m/>
    <m/>
    <d v="2015-09-30T00:00:00"/>
    <n v="1.217866060122641E-2"/>
    <x v="0"/>
    <n v="0"/>
    <x v="160"/>
  </r>
  <r>
    <d v="2015-10-30T00:00:00"/>
    <x v="4"/>
    <s v="NA"/>
    <n v="17412183.412775867"/>
    <s v=""/>
    <m/>
    <n v="0"/>
    <n v="0"/>
    <n v="0"/>
    <m/>
    <m/>
    <n v="0"/>
    <e v="#DIV/0!"/>
    <n v="0"/>
    <m/>
    <s v="Private Equity Fund"/>
    <n v="6.9444444444444449E-3"/>
    <n v="1.3257764636387934"/>
    <n v="0"/>
    <n v="0"/>
    <m/>
    <m/>
    <m/>
    <m/>
    <m/>
    <m/>
    <m/>
    <m/>
    <m/>
    <m/>
    <m/>
    <d v="2015-10-30T00:00:00"/>
    <n v="1.4900880820982065E-2"/>
    <x v="0"/>
    <n v="0"/>
    <x v="161"/>
  </r>
  <r>
    <d v="2015-11-30T00:00:00"/>
    <x v="4"/>
    <s v="NA"/>
    <n v="17691784.370716549"/>
    <s v=""/>
    <m/>
    <n v="0"/>
    <n v="0"/>
    <n v="0"/>
    <m/>
    <m/>
    <n v="0"/>
    <e v="#DIV/0!"/>
    <n v="0"/>
    <m/>
    <s v="Private Equity Fund"/>
    <n v="6.9444444444444449E-3"/>
    <n v="1.3397565115358276"/>
    <n v="0"/>
    <n v="0"/>
    <m/>
    <m/>
    <m/>
    <m/>
    <m/>
    <m/>
    <m/>
    <m/>
    <m/>
    <m/>
    <m/>
    <d v="2015-11-30T00:00:00"/>
    <n v="1.6057776977902227E-2"/>
    <x v="0"/>
    <n v="0"/>
    <x v="162"/>
  </r>
  <r>
    <d v="2015-12-31T00:00:00"/>
    <x v="4"/>
    <s v="NA"/>
    <n v="8479342.4011224769"/>
    <s v=""/>
    <m/>
    <n v="0"/>
    <n v="0"/>
    <n v="-9400576.6600000001"/>
    <m/>
    <m/>
    <n v="-9400576.6600000001"/>
    <e v="#DIV/0!"/>
    <n v="-9400576.6600000001"/>
    <m/>
    <s v="Private Equity Fund"/>
    <n v="6.9444444444444449E-3"/>
    <n v="0.87913441305612394"/>
    <n v="0"/>
    <n v="0"/>
    <m/>
    <m/>
    <m/>
    <m/>
    <m/>
    <m/>
    <m/>
    <m/>
    <m/>
    <m/>
    <m/>
    <d v="2015-12-31T00:00:00"/>
    <n v="1.0634014436516015E-2"/>
    <x v="0"/>
    <n v="0"/>
    <x v="163"/>
  </r>
  <r>
    <d v="2016-01-29T00:00:00"/>
    <x v="4"/>
    <s v="NA"/>
    <n v="8556839.0005567409"/>
    <s v=""/>
    <m/>
    <n v="0"/>
    <n v="0"/>
    <n v="0"/>
    <m/>
    <m/>
    <n v="0"/>
    <e v="#DIV/0!"/>
    <n v="0"/>
    <m/>
    <s v="Private Equity Fund"/>
    <n v="6.9444444444444449E-3"/>
    <n v="0.88300924302783701"/>
    <n v="0"/>
    <n v="0"/>
    <m/>
    <m/>
    <m/>
    <m/>
    <m/>
    <m/>
    <m/>
    <m/>
    <m/>
    <m/>
    <m/>
    <d v="2016-01-29T00:00:00"/>
    <n v="9.1394586712296721E-3"/>
    <x v="0"/>
    <n v="0"/>
    <x v="164"/>
  </r>
  <r>
    <d v="2016-02-29T00:00:00"/>
    <x v="4"/>
    <s v="NA"/>
    <n v="8754153.935605105"/>
    <s v=""/>
    <m/>
    <n v="0"/>
    <n v="0"/>
    <n v="0"/>
    <m/>
    <m/>
    <n v="0"/>
    <e v="#DIV/0!"/>
    <n v="0"/>
    <m/>
    <s v="Private Equity Fund"/>
    <n v="6.9444444444444449E-3"/>
    <n v="0.89287498978025548"/>
    <n v="0"/>
    <n v="0"/>
    <m/>
    <m/>
    <m/>
    <m/>
    <m/>
    <m/>
    <m/>
    <m/>
    <m/>
    <m/>
    <m/>
    <d v="2016-02-29T00:00:00"/>
    <n v="2.3059325416257881E-2"/>
    <x v="0"/>
    <n v="0"/>
    <x v="165"/>
  </r>
  <r>
    <d v="2016-03-31T00:00:00"/>
    <x v="4"/>
    <s v="NA"/>
    <n v="8550827.4914703406"/>
    <s v=""/>
    <m/>
    <n v="0"/>
    <n v="0"/>
    <n v="-394334.63"/>
    <m/>
    <m/>
    <n v="-394334.63"/>
    <e v="#DIV/0!"/>
    <n v="-394334.63"/>
    <m/>
    <s v="Private Equity Fund"/>
    <n v="6.9444444444444449E-3"/>
    <n v="0.88270866757351707"/>
    <n v="0"/>
    <n v="0"/>
    <m/>
    <m/>
    <m/>
    <m/>
    <m/>
    <m/>
    <m/>
    <m/>
    <m/>
    <m/>
    <m/>
    <d v="2016-03-31T00:00:00"/>
    <n v="2.1819148631641472E-2"/>
    <x v="0"/>
    <n v="0"/>
    <x v="166"/>
  </r>
  <r>
    <d v="2016-04-29T00:00:00"/>
    <x v="4"/>
    <s v="NA"/>
    <n v="8690309.6835255511"/>
    <s v=""/>
    <m/>
    <n v="0"/>
    <n v="0"/>
    <n v="0"/>
    <m/>
    <m/>
    <n v="0"/>
    <e v="#DIV/0!"/>
    <n v="0"/>
    <m/>
    <s v="Private Equity Fund"/>
    <n v="6.9444444444444449E-3"/>
    <n v="0.88968277717627764"/>
    <n v="0"/>
    <n v="0"/>
    <m/>
    <m/>
    <m/>
    <m/>
    <m/>
    <m/>
    <m/>
    <m/>
    <m/>
    <m/>
    <m/>
    <d v="2016-04-29T00:00:00"/>
    <n v="1.6312127942511578E-2"/>
    <x v="0"/>
    <n v="0"/>
    <x v="167"/>
  </r>
  <r>
    <d v="2016-05-31T00:00:00"/>
    <x v="4"/>
    <s v="NA"/>
    <n v="8441034.9266496263"/>
    <s v=""/>
    <m/>
    <n v="0"/>
    <n v="0"/>
    <n v="-389708.33"/>
    <m/>
    <m/>
    <n v="-389708.33"/>
    <e v="#DIV/0!"/>
    <n v="-389708.33"/>
    <m/>
    <s v="Private Equity Fund"/>
    <n v="6.9444444444444449E-3"/>
    <n v="0.87721903933248135"/>
    <n v="0"/>
    <n v="0"/>
    <m/>
    <m/>
    <m/>
    <m/>
    <m/>
    <m/>
    <m/>
    <m/>
    <m/>
    <m/>
    <m/>
    <d v="2016-05-31T00:00:00"/>
    <n v="1.6159789263931357E-2"/>
    <x v="0"/>
    <n v="0"/>
    <x v="168"/>
  </r>
  <r>
    <d v="2016-06-30T00:00:00"/>
    <x v="4"/>
    <s v="NA"/>
    <n v="8656372.5526439138"/>
    <s v=""/>
    <m/>
    <n v="0"/>
    <n v="0"/>
    <n v="0"/>
    <m/>
    <m/>
    <n v="0"/>
    <e v="#DIV/0!"/>
    <n v="0"/>
    <m/>
    <s v="Private Equity Fund"/>
    <n v="6.9444444444444449E-3"/>
    <n v="0.88798592063219572"/>
    <n v="0"/>
    <n v="0"/>
    <m/>
    <m/>
    <m/>
    <m/>
    <m/>
    <m/>
    <m/>
    <m/>
    <m/>
    <m/>
    <m/>
    <d v="2016-06-30T00:00:00"/>
    <n v="2.5510808551974407E-2"/>
    <x v="0"/>
    <n v="0"/>
    <x v="169"/>
  </r>
  <r>
    <d v="2016-07-29T00:00:00"/>
    <x v="4"/>
    <s v="NA"/>
    <n v="8805165.2137730792"/>
    <s v=""/>
    <m/>
    <n v="0"/>
    <n v="0"/>
    <n v="0"/>
    <m/>
    <m/>
    <n v="0"/>
    <e v="#DIV/0!"/>
    <n v="0"/>
    <m/>
    <s v="Private Equity Fund"/>
    <n v="6.9444444444444449E-3"/>
    <n v="0.89542555368865406"/>
    <n v="0"/>
    <n v="0"/>
    <m/>
    <m/>
    <m/>
    <m/>
    <m/>
    <m/>
    <m/>
    <m/>
    <m/>
    <m/>
    <m/>
    <d v="2016-07-29T00:00:00"/>
    <n v="1.7188800530970605E-2"/>
    <x v="0"/>
    <n v="0"/>
    <x v="170"/>
  </r>
  <r>
    <d v="2016-08-31T00:00:00"/>
    <x v="4"/>
    <s v="NA"/>
    <n v="8523639.6865817495"/>
    <s v=""/>
    <m/>
    <n v="0"/>
    <n v="0"/>
    <n v="-408964.16000000003"/>
    <m/>
    <m/>
    <n v="-408964.16000000003"/>
    <e v="#DIV/0!"/>
    <n v="-408964.16000000003"/>
    <m/>
    <s v="Private Equity Fund"/>
    <n v="6.9444444444444449E-3"/>
    <n v="0.88134927732908752"/>
    <n v="0"/>
    <n v="0"/>
    <m/>
    <m/>
    <m/>
    <m/>
    <m/>
    <m/>
    <m/>
    <m/>
    <m/>
    <m/>
    <m/>
    <d v="2016-08-31T00:00:00"/>
    <n v="1.4473167704943224E-2"/>
    <x v="0"/>
    <n v="0"/>
    <x v="171"/>
  </r>
  <r>
    <d v="2016-09-30T00:00:00"/>
    <x v="4"/>
    <s v="NA"/>
    <n v="8639239.8956346698"/>
    <s v=""/>
    <m/>
    <n v="0"/>
    <n v="0"/>
    <n v="0"/>
    <m/>
    <m/>
    <n v="0"/>
    <e v="#DIV/0!"/>
    <n v="0"/>
    <m/>
    <s v="Private Equity Fund"/>
    <n v="6.9444444444444449E-3"/>
    <n v="0.88712928778173361"/>
    <n v="0"/>
    <n v="0"/>
    <m/>
    <m/>
    <m/>
    <m/>
    <m/>
    <m/>
    <m/>
    <m/>
    <m/>
    <m/>
    <m/>
    <d v="2016-09-30T00:00:00"/>
    <n v="1.3562305928405571E-2"/>
    <x v="0"/>
    <n v="0"/>
    <x v="172"/>
  </r>
  <r>
    <d v="2016-10-31T00:00:00"/>
    <x v="4"/>
    <s v="NA"/>
    <n v="8749623.5137581192"/>
    <s v=""/>
    <m/>
    <n v="0"/>
    <n v="0"/>
    <n v="0"/>
    <m/>
    <m/>
    <n v="0"/>
    <e v="#DIV/0!"/>
    <n v="0"/>
    <m/>
    <s v="Private Equity Fund"/>
    <n v="6.9444444444444449E-3"/>
    <n v="0.89264846868790615"/>
    <n v="0"/>
    <n v="0"/>
    <m/>
    <m/>
    <m/>
    <m/>
    <m/>
    <m/>
    <m/>
    <m/>
    <m/>
    <m/>
    <m/>
    <d v="2016-10-31T00:00:00"/>
    <n v="1.2777005784875284E-2"/>
    <x v="0"/>
    <n v="0"/>
    <x v="173"/>
  </r>
  <r>
    <d v="2016-11-30T00:00:00"/>
    <x v="4"/>
    <s v="NA"/>
    <n v="8878240.9103699606"/>
    <s v=""/>
    <m/>
    <n v="0"/>
    <n v="0"/>
    <n v="0"/>
    <m/>
    <m/>
    <n v="0"/>
    <e v="#DIV/0!"/>
    <n v="0"/>
    <m/>
    <s v="Private Equity Fund"/>
    <n v="6.9444444444444449E-3"/>
    <n v="0.89907933851849808"/>
    <n v="0"/>
    <n v="0"/>
    <m/>
    <m/>
    <m/>
    <m/>
    <m/>
    <m/>
    <m/>
    <m/>
    <m/>
    <m/>
    <m/>
    <d v="2016-11-30T00:00:00"/>
    <n v="1.4699763528065013E-2"/>
    <x v="0"/>
    <n v="0"/>
    <x v="174"/>
  </r>
  <r>
    <d v="2016-12-30T00:00:00"/>
    <x v="4"/>
    <s v="NA"/>
    <n v="8660621.0364860501"/>
    <s v=""/>
    <m/>
    <n v="0"/>
    <n v="0"/>
    <n v="-145749.42000000001"/>
    <m/>
    <m/>
    <n v="-145749.42000000001"/>
    <e v="#DIV/0!"/>
    <n v="-145749.42000000001"/>
    <m/>
    <s v="Private Equity Fund"/>
    <n v="6.9444444444444449E-3"/>
    <n v="0.88819834482430271"/>
    <n v="0"/>
    <n v="0"/>
    <m/>
    <m/>
    <m/>
    <m/>
    <m/>
    <m/>
    <m/>
    <m/>
    <m/>
    <m/>
    <m/>
    <d v="2016-12-30T00:00:00"/>
    <n v="-8.0951231904469179E-3"/>
    <x v="0"/>
    <n v="0"/>
    <x v="175"/>
  </r>
  <r>
    <d v="2017-01-27T00:00:00"/>
    <x v="4"/>
    <s v="NA"/>
    <n v="8751206.7843473405"/>
    <s v=""/>
    <m/>
    <n v="0"/>
    <n v="0"/>
    <n v="0"/>
    <m/>
    <m/>
    <n v="0"/>
    <e v="#DIV/0!"/>
    <n v="0"/>
    <m/>
    <s v="Private Equity Fund"/>
    <n v="6.9444444444444449E-3"/>
    <n v="0.89272763221736717"/>
    <n v="0"/>
    <n v="0"/>
    <m/>
    <m/>
    <m/>
    <m/>
    <m/>
    <m/>
    <m/>
    <m/>
    <m/>
    <m/>
    <m/>
    <d v="2017-01-27T00:00:00"/>
    <n v="1.045949793665657E-2"/>
    <x v="0"/>
    <n v="0"/>
    <x v="176"/>
  </r>
  <r>
    <d v="2017-02-28T00:00:00"/>
    <x v="4"/>
    <s v="NA"/>
    <n v="5522306.5709242104"/>
    <s v=""/>
    <m/>
    <n v="0"/>
    <n v="0"/>
    <n v="-3160862.9"/>
    <m/>
    <m/>
    <n v="-3160862.9"/>
    <e v="#DIV/0!"/>
    <n v="-3160862.9"/>
    <m/>
    <s v="Private Equity Fund"/>
    <n v="6.9444444444444449E-3"/>
    <n v="0.73128262154621071"/>
    <n v="0"/>
    <n v="0"/>
    <m/>
    <m/>
    <m/>
    <m/>
    <m/>
    <m/>
    <m/>
    <m/>
    <m/>
    <m/>
    <m/>
    <d v="2017-02-28T00:00:00"/>
    <n v="-7.7746207008643209E-3"/>
    <x v="0"/>
    <n v="0"/>
    <x v="177"/>
  </r>
  <r>
    <d v="2017-03-31T00:00:00"/>
    <x v="4"/>
    <s v="NA"/>
    <n v="5525772.5703539206"/>
    <s v=""/>
    <m/>
    <n v="0"/>
    <n v="0"/>
    <n v="0"/>
    <m/>
    <m/>
    <n v="0"/>
    <e v="#DIV/0!"/>
    <n v="0"/>
    <m/>
    <s v="Private Equity Fund"/>
    <n v="4.1666666666666666E-3"/>
    <n v="0.73145592151769612"/>
    <n v="0"/>
    <n v="0"/>
    <m/>
    <m/>
    <m/>
    <m/>
    <m/>
    <m/>
    <m/>
    <m/>
    <m/>
    <m/>
    <m/>
    <d v="2017-03-31T00:00:00"/>
    <n v="6.2763618520556008E-4"/>
    <x v="0"/>
    <n v="0"/>
    <x v="178"/>
  </r>
  <r>
    <d v="2017-04-28T00:00:00"/>
    <x v="4"/>
    <s v="NA"/>
    <n v="3342035.97"/>
    <s v=""/>
    <m/>
    <n v="0"/>
    <n v="0"/>
    <n v="-2097624.21"/>
    <m/>
    <m/>
    <n v="-2097624.21"/>
    <e v="#DIV/0!"/>
    <n v="-2097624.21"/>
    <m/>
    <s v="Private Equity Fund"/>
    <n v="4.1666666666666666E-3"/>
    <n v="0.6222690915000002"/>
    <n v="0"/>
    <n v="0"/>
    <m/>
    <m/>
    <m/>
    <m/>
    <m/>
    <m/>
    <m/>
    <m/>
    <m/>
    <m/>
    <m/>
    <d v="2017-04-28T00:00:00"/>
    <n v="-1.5583773899041531E-2"/>
    <x v="0"/>
    <n v="0"/>
    <x v="179"/>
  </r>
  <r>
    <d v="2017-05-31T00:00:00"/>
    <x v="4"/>
    <s v="NA"/>
    <n v="3390600.12361567"/>
    <s v=""/>
    <m/>
    <n v="0"/>
    <n v="0"/>
    <n v="0"/>
    <m/>
    <m/>
    <n v="0"/>
    <e v="#DIV/0!"/>
    <n v="0"/>
    <m/>
    <s v="Private Equity Fund"/>
    <n v="4.1666666666666666E-3"/>
    <n v="0.62469729918078354"/>
    <n v="0"/>
    <n v="0"/>
    <m/>
    <m/>
    <m/>
    <m/>
    <m/>
    <m/>
    <m/>
    <m/>
    <m/>
    <m/>
    <m/>
    <d v="2017-05-31T00:00:00"/>
    <n v="1.4531307876877841E-2"/>
    <x v="0"/>
    <n v="0"/>
    <x v="180"/>
  </r>
  <r>
    <d v="2017-06-30T00:00:00"/>
    <x v="4"/>
    <s v="NA"/>
    <n v="3429652.5697062798"/>
    <s v=""/>
    <m/>
    <n v="0"/>
    <n v="0"/>
    <n v="0"/>
    <m/>
    <m/>
    <n v="0"/>
    <e v="#DIV/0!"/>
    <n v="0"/>
    <m/>
    <s v="Private Equity Fund"/>
    <n v="4.1666666666666666E-3"/>
    <n v="0.62664992148531407"/>
    <n v="0"/>
    <n v="0"/>
    <m/>
    <m/>
    <m/>
    <m/>
    <m/>
    <m/>
    <m/>
    <m/>
    <m/>
    <m/>
    <m/>
    <d v="2017-06-30T00:00:00"/>
    <n v="1.1517856623258993E-2"/>
    <x v="0"/>
    <n v="0"/>
    <x v="181"/>
  </r>
  <r>
    <d v="2017-07-31T00:00:00"/>
    <x v="4"/>
    <s v="NA"/>
    <n v="3363149.16"/>
    <s v=""/>
    <m/>
    <n v="0"/>
    <n v="0"/>
    <n v="-93621.28"/>
    <m/>
    <m/>
    <n v="-93621.28"/>
    <e v="#DIV/0!"/>
    <n v="-93621.28"/>
    <m/>
    <s v="Private Equity Fund"/>
    <n v="4.1666666666666666E-3"/>
    <n v="0.62332475100000018"/>
    <n v="0"/>
    <n v="0"/>
    <m/>
    <m/>
    <m/>
    <m/>
    <m/>
    <m/>
    <m/>
    <m/>
    <m/>
    <m/>
    <m/>
    <d v="2017-07-31T00:00:00"/>
    <n v="7.9068855350681311E-3"/>
    <x v="0"/>
    <n v="0"/>
    <x v="182"/>
  </r>
  <r>
    <d v="2017-08-31T00:00:00"/>
    <x v="4"/>
    <s v="NA"/>
    <n v="3402563.57"/>
    <s v=""/>
    <m/>
    <n v="0"/>
    <n v="0"/>
    <n v="0"/>
    <m/>
    <m/>
    <n v="0"/>
    <e v="#DIV/0!"/>
    <n v="0"/>
    <m/>
    <s v="Private Equity Fund"/>
    <n v="4.1666666666666666E-3"/>
    <n v="0.62529547150000009"/>
    <n v="0"/>
    <n v="0"/>
    <m/>
    <m/>
    <m/>
    <m/>
    <m/>
    <m/>
    <m/>
    <m/>
    <m/>
    <m/>
    <m/>
    <d v="2017-08-31T00:00:00"/>
    <n v="1.1719495069912211E-2"/>
    <x v="0"/>
    <n v="0"/>
    <x v="183"/>
  </r>
  <r>
    <d v="2017-09-29T00:00:00"/>
    <x v="4"/>
    <s v="NA"/>
    <n v="3443364.1599999997"/>
    <s v=""/>
    <m/>
    <n v="0"/>
    <n v="0"/>
    <n v="0"/>
    <m/>
    <m/>
    <n v="0"/>
    <e v="#DIV/0!"/>
    <n v="0"/>
    <m/>
    <s v="Private Equity Fund"/>
    <n v="4.1666666666666666E-3"/>
    <n v="0.62733550100000013"/>
    <n v="0"/>
    <n v="0"/>
    <m/>
    <m/>
    <m/>
    <m/>
    <m/>
    <m/>
    <m/>
    <m/>
    <m/>
    <m/>
    <m/>
    <d v="2017-09-29T00:00:00"/>
    <n v="1.1991132321445441E-2"/>
    <x v="0"/>
    <n v="0"/>
    <x v="184"/>
  </r>
  <r>
    <d v="2017-10-31T00:00:00"/>
    <x v="4"/>
    <s v="NA"/>
    <n v="2500509.04"/>
    <s v=""/>
    <m/>
    <n v="0"/>
    <n v="0"/>
    <n v="-916304.26"/>
    <m/>
    <m/>
    <n v="-916304.26"/>
    <e v="#DIV/0!"/>
    <n v="-916304.26"/>
    <m/>
    <s v="Private Equity Fund"/>
    <n v="4.1666666666666666E-3"/>
    <n v="0.58019274500000007"/>
    <n v="0"/>
    <n v="0"/>
    <m/>
    <m/>
    <m/>
    <m/>
    <m/>
    <m/>
    <m/>
    <m/>
    <m/>
    <m/>
    <m/>
    <d v="2017-10-31T00:00:00"/>
    <n v="-7.7107325180499897E-3"/>
    <x v="0"/>
    <n v="0"/>
    <x v="185"/>
  </r>
  <r>
    <d v="2017-11-30T00:00:00"/>
    <x v="4"/>
    <s v="NA"/>
    <n v="2531078.9300000002"/>
    <s v=""/>
    <m/>
    <n v="0"/>
    <n v="0"/>
    <n v="0"/>
    <m/>
    <m/>
    <n v="0"/>
    <e v="#DIV/0!"/>
    <n v="0"/>
    <m/>
    <s v="Private Equity Fund"/>
    <n v="4.1666666666666666E-3"/>
    <n v="0.5817212395000001"/>
    <n v="0"/>
    <n v="0"/>
    <m/>
    <m/>
    <m/>
    <m/>
    <m/>
    <m/>
    <m/>
    <m/>
    <m/>
    <m/>
    <m/>
    <d v="2017-11-30T00:00:00"/>
    <n v="1.2225466699372634E-2"/>
    <x v="0"/>
    <n v="0"/>
    <x v="186"/>
  </r>
  <r>
    <d v="2017-12-29T00:00:00"/>
    <x v="4"/>
    <s v="NA"/>
    <n v="2559118.13"/>
    <s v=""/>
    <m/>
    <n v="0"/>
    <n v="0"/>
    <n v="0"/>
    <m/>
    <m/>
    <n v="0"/>
    <e v="#DIV/0!"/>
    <n v="0"/>
    <m/>
    <s v="Private Equity Fund"/>
    <n v="4.1666666666666666E-3"/>
    <n v="0.58699004600000004"/>
    <n v="0"/>
    <n v="0"/>
    <m/>
    <m/>
    <m/>
    <m/>
    <m/>
    <m/>
    <m/>
    <m/>
    <m/>
    <m/>
    <m/>
    <d v="2017-12-29T00:00:00"/>
    <n v="1.1077963499146914E-2"/>
    <x v="0"/>
    <n v="0"/>
    <x v="187"/>
  </r>
  <r>
    <d v="2018-01-31T00:00:00"/>
    <x v="4"/>
    <s v="NA"/>
    <n v="2507823.14"/>
    <s v=""/>
    <m/>
    <n v="0"/>
    <n v="0"/>
    <n v="-77336.929999999993"/>
    <m/>
    <m/>
    <n v="-77336.929999999993"/>
    <e v="#DIV/0!"/>
    <n v="-77336.929999999993"/>
    <m/>
    <s v="Private Equity Fund"/>
    <n v="4.1666666666666666E-3"/>
    <n v="0.58442529650000008"/>
    <n v="0"/>
    <n v="0"/>
    <m/>
    <m/>
    <m/>
    <m/>
    <m/>
    <m/>
    <m/>
    <m/>
    <m/>
    <m/>
    <m/>
    <d v="2018-01-31T00:00:00"/>
    <n v="1.0176138293389592E-2"/>
    <x v="0"/>
    <n v="0"/>
    <x v="188"/>
  </r>
  <r>
    <d v="2018-02-28T00:00:00"/>
    <x v="4"/>
    <s v="NA"/>
    <n v="2536423.0499999998"/>
    <s v=""/>
    <m/>
    <n v="0"/>
    <n v="0"/>
    <n v="0"/>
    <m/>
    <m/>
    <n v="0"/>
    <e v="#DIV/0!"/>
    <n v="0"/>
    <m/>
    <s v="Private Equity Fund"/>
    <n v="4.1666666666666666E-3"/>
    <n v="0.58585529200000008"/>
    <n v="0"/>
    <n v="0"/>
    <m/>
    <m/>
    <m/>
    <m/>
    <m/>
    <m/>
    <m/>
    <m/>
    <m/>
    <m/>
    <m/>
    <d v="2018-02-28T00:00:00"/>
    <n v="1.1404277097466942E-2"/>
    <x v="0"/>
    <n v="0"/>
    <x v="189"/>
  </r>
  <r>
    <d v="2018-03-29T00:00:00"/>
    <x v="4"/>
    <s v="NA"/>
    <n v="2566070.87"/>
    <s v=""/>
    <m/>
    <n v="0"/>
    <n v="0"/>
    <n v="0"/>
    <m/>
    <m/>
    <n v="0"/>
    <e v="#DIV/0!"/>
    <n v="0"/>
    <m/>
    <s v="Private Equity Fund"/>
    <n v="4.1666666666666666E-3"/>
    <n v="0.587337683"/>
    <n v="0"/>
    <n v="0"/>
    <m/>
    <m/>
    <m/>
    <m/>
    <m/>
    <m/>
    <m/>
    <m/>
    <m/>
    <m/>
    <m/>
    <d v="2018-03-29T00:00:00"/>
    <n v="1.1688830851777743E-2"/>
    <x v="0"/>
    <n v="0"/>
    <x v="190"/>
  </r>
  <r>
    <d v="2018-04-30T00:00:00"/>
    <x v="4"/>
    <s v="NA"/>
    <n v="2514085.81"/>
    <s v=""/>
    <m/>
    <n v="0"/>
    <n v="0"/>
    <n v="-77187.5"/>
    <m/>
    <m/>
    <n v="-77187.5"/>
    <e v="#DIV/0!"/>
    <n v="-77187.5"/>
    <m/>
    <s v="Private Equity Fund"/>
    <n v="4.1666666666666666E-3"/>
    <n v="0.58473843000000003"/>
    <n v="0"/>
    <n v="0"/>
    <m/>
    <m/>
    <m/>
    <m/>
    <m/>
    <m/>
    <m/>
    <m/>
    <m/>
    <m/>
    <m/>
    <d v="2018-04-30T00:00:00"/>
    <n v="9.8214122979385365E-3"/>
    <x v="0"/>
    <n v="0"/>
    <x v="191"/>
  </r>
  <r>
    <d v="2018-05-31T00:00:00"/>
    <x v="4"/>
    <s v="NA"/>
    <n v="2545874.9087597281"/>
    <s v=""/>
    <m/>
    <n v="0"/>
    <n v="0"/>
    <n v="0"/>
    <m/>
    <m/>
    <n v="0"/>
    <e v="#DIV/0!"/>
    <n v="0"/>
    <m/>
    <s v="Private Equity Fund"/>
    <n v="4.1666666666666666E-3"/>
    <n v="0.58632788493798649"/>
    <n v="0"/>
    <n v="0"/>
    <m/>
    <m/>
    <m/>
    <m/>
    <m/>
    <m/>
    <m/>
    <m/>
    <m/>
    <m/>
    <m/>
    <d v="2018-05-31T00:00:00"/>
    <n v="1.2644396875112207E-2"/>
    <x v="0"/>
    <n v="0"/>
    <x v="192"/>
  </r>
  <r>
    <d v="2018-06-29T00:00:00"/>
    <x v="4"/>
    <s v="NA"/>
    <n v="2575928.85"/>
    <s v=""/>
    <m/>
    <n v="0"/>
    <n v="0"/>
    <n v="0"/>
    <m/>
    <m/>
    <n v="0"/>
    <e v="#DIV/0!"/>
    <n v="0"/>
    <m/>
    <s v="Private Equity Fund"/>
    <n v="4.1666666666666666E-3"/>
    <n v="0.58783058200000005"/>
    <n v="0"/>
    <n v="0"/>
    <m/>
    <m/>
    <m/>
    <m/>
    <m/>
    <m/>
    <m/>
    <m/>
    <m/>
    <m/>
    <m/>
    <d v="2018-06-29T00:00:00"/>
    <n v="1.1804955984625831E-2"/>
    <x v="0"/>
    <n v="0"/>
    <x v="193"/>
  </r>
  <r>
    <d v="2018-07-31T00:00:00"/>
    <x v="4"/>
    <s v="NA"/>
    <n v="2524083.7422295436"/>
    <s v=""/>
    <m/>
    <n v="0"/>
    <m/>
    <n v="-77187.5"/>
    <m/>
    <m/>
    <n v="-77187.5"/>
    <e v="#DIV/0!"/>
    <n v="-77187.5"/>
    <m/>
    <s v="Private Equity Fund"/>
    <n v="4.1666666666666666E-3"/>
    <n v="0.58523832661147723"/>
    <n v="0"/>
    <n v="0"/>
    <m/>
    <m/>
    <m/>
    <m/>
    <m/>
    <m/>
    <m/>
    <m/>
    <m/>
    <m/>
    <m/>
    <d v="2018-07-31T00:00:00"/>
    <n v="9.8381569155310267E-3"/>
    <x v="0"/>
    <n v="0"/>
    <x v="194"/>
  </r>
  <r>
    <d v="2018-08-31T00:00:00"/>
    <x v="4"/>
    <s v="NA"/>
    <n v="2555998.4625278935"/>
    <s v=""/>
    <m/>
    <n v="0"/>
    <m/>
    <n v="0"/>
    <m/>
    <m/>
    <n v="0"/>
    <e v="#DIV/0!"/>
    <n v="0"/>
    <m/>
    <s v="Private Equity Fund"/>
    <n v="4.1666666666666666E-3"/>
    <n v="0.5868340626263947"/>
    <n v="0"/>
    <n v="0"/>
    <m/>
    <m/>
    <m/>
    <m/>
    <m/>
    <m/>
    <m/>
    <m/>
    <m/>
    <m/>
    <m/>
    <d v="2018-08-31T00:00:00"/>
    <n v="1.2644081400468687E-2"/>
    <x v="0"/>
    <n v="0"/>
    <x v="195"/>
  </r>
  <r>
    <d v="2018-09-28T00:00:00"/>
    <x v="4"/>
    <s v="NA"/>
    <n v="2587230.6109355227"/>
    <s v=""/>
    <m/>
    <n v="0"/>
    <m/>
    <n v="0"/>
    <m/>
    <m/>
    <n v="0"/>
    <e v="#DIV/0!"/>
    <n v="0"/>
    <m/>
    <s v="Private Equity Fund"/>
    <n v="4.1666666666666666E-3"/>
    <n v="0.58839567004677618"/>
    <n v="0"/>
    <n v="0"/>
    <m/>
    <m/>
    <m/>
    <m/>
    <m/>
    <m/>
    <m/>
    <m/>
    <m/>
    <m/>
    <m/>
    <d v="2018-09-28T00:00:00"/>
    <n v="1.2219157744226772E-2"/>
    <x v="0"/>
    <n v="0"/>
    <x v="196"/>
  </r>
  <r>
    <d v="2018-10-31T00:00:00"/>
    <x v="4"/>
    <s v="NA"/>
    <n v="0"/>
    <m/>
    <m/>
    <m/>
    <m/>
    <n v="-2602597"/>
    <m/>
    <m/>
    <n v="-2602597"/>
    <e v="#DIV/0!"/>
    <n v="-2602597"/>
    <m/>
    <s v="Private Equity Fund"/>
    <m/>
    <m/>
    <m/>
    <m/>
    <m/>
    <m/>
    <m/>
    <m/>
    <m/>
    <m/>
    <m/>
    <m/>
    <m/>
    <m/>
    <m/>
    <d v="2018-10-31T00:00:00"/>
    <n v="5.9393194404580019E-3"/>
    <x v="0"/>
    <n v="0"/>
    <x v="198"/>
  </r>
  <r>
    <d v="2013-10-31T00:00:00"/>
    <x v="5"/>
    <s v="Series 1a"/>
    <n v="1570000"/>
    <e v="#DIV/0!"/>
    <n v="31.4"/>
    <n v="1570000"/>
    <n v="0"/>
    <n v="0"/>
    <m/>
    <m/>
    <n v="1570000"/>
    <e v="#DIV/0!"/>
    <n v="1570000"/>
    <n v="1570000"/>
    <s v="Private Equity Fund"/>
    <n v="0"/>
    <n v="0"/>
    <n v="0"/>
    <n v="0"/>
    <m/>
    <m/>
    <m/>
    <m/>
    <m/>
    <m/>
    <m/>
    <m/>
    <m/>
    <m/>
    <m/>
    <d v="2013-10-31T00:00:00"/>
    <e v="#REF!"/>
    <x v="1"/>
    <n v="0"/>
    <x v="1"/>
  </r>
  <r>
    <d v="2013-11-29T00:00:00"/>
    <x v="5"/>
    <s v="Series 1a"/>
    <n v="1538219.61"/>
    <e v="#DIV/0!"/>
    <n v="31.4"/>
    <n v="0"/>
    <n v="0"/>
    <n v="0"/>
    <m/>
    <m/>
    <n v="0"/>
    <e v="#DIV/0!"/>
    <n v="0"/>
    <n v="0"/>
    <s v="Private Equity Fund"/>
    <n v="3.4054307453827699E-3"/>
    <n v="0"/>
    <n v="0"/>
    <n v="0"/>
    <m/>
    <m/>
    <m/>
    <m/>
    <m/>
    <m/>
    <m/>
    <m/>
    <m/>
    <m/>
    <m/>
    <d v="2013-11-29T00:00:00"/>
    <n v="-2.0242286624203798E-2"/>
    <x v="1"/>
    <n v="0"/>
    <x v="2"/>
  </r>
  <r>
    <d v="2013-12-31T00:00:00"/>
    <x v="5"/>
    <s v="Series 1a"/>
    <n v="3231889.6"/>
    <e v="#DIV/0!"/>
    <n v="31.4"/>
    <n v="1570000"/>
    <n v="0"/>
    <n v="0"/>
    <m/>
    <m/>
    <n v="1570000"/>
    <e v="#DIV/0!"/>
    <n v="1570000"/>
    <n v="1570000"/>
    <s v="Private Equity Fund"/>
    <n v="1.00555717317576E-2"/>
    <n v="9.1083766999999777E-3"/>
    <n v="0"/>
    <n v="0"/>
    <m/>
    <m/>
    <m/>
    <m/>
    <m/>
    <m/>
    <m/>
    <m/>
    <m/>
    <m/>
    <m/>
    <d v="2013-12-31T00:00:00"/>
    <n v="8.0398136388340591E-2"/>
    <x v="1"/>
    <n v="0"/>
    <x v="3"/>
  </r>
  <r>
    <d v="2014-01-30T00:00:00"/>
    <x v="5"/>
    <s v="Series 1a"/>
    <n v="13900618.630000001"/>
    <e v="#DIV/0!"/>
    <n v="31.4"/>
    <n v="10770200"/>
    <n v="0"/>
    <n v="0"/>
    <m/>
    <m/>
    <n v="10770200"/>
    <e v="#DIV/0!"/>
    <n v="10770200"/>
    <n v="10770200"/>
    <s v="Private Equity Fund"/>
    <n v="1.54284713860697E-2"/>
    <n v="0"/>
    <n v="0"/>
    <n v="0"/>
    <m/>
    <m/>
    <m/>
    <m/>
    <m/>
    <m/>
    <m/>
    <m/>
    <m/>
    <m/>
    <m/>
    <d v="2014-01-30T00:00:00"/>
    <n v="-3.139679338056578E-2"/>
    <x v="1"/>
    <n v="0"/>
    <x v="4"/>
  </r>
  <r>
    <d v="2014-02-28T00:00:00"/>
    <x v="5"/>
    <s v="Series 1a"/>
    <n v="13941876.949999999"/>
    <e v="#DIV/0!"/>
    <n v="31.4"/>
    <n v="0"/>
    <n v="0"/>
    <n v="0"/>
    <m/>
    <m/>
    <n v="0"/>
    <e v="#DIV/0!"/>
    <n v="0"/>
    <n v="0"/>
    <s v="Private Equity Fund"/>
    <n v="1.4935254584058999E-2"/>
    <n v="0"/>
    <n v="0"/>
    <n v="0"/>
    <m/>
    <m/>
    <m/>
    <m/>
    <m/>
    <m/>
    <m/>
    <m/>
    <m/>
    <m/>
    <m/>
    <d v="2014-02-28T00:00:00"/>
    <n v="2.9680923632389167E-3"/>
    <x v="1"/>
    <n v="0"/>
    <x v="5"/>
  </r>
  <r>
    <d v="2014-03-31T00:00:00"/>
    <x v="5"/>
    <s v="Series 1a"/>
    <n v="13973652.550000001"/>
    <e v="#DIV/0!"/>
    <n v="31.4"/>
    <n v="0"/>
    <n v="0"/>
    <n v="0"/>
    <m/>
    <m/>
    <n v="0"/>
    <e v="#DIV/0!"/>
    <n v="0"/>
    <n v="0"/>
    <s v="Private Equity Fund"/>
    <n v="1.6006150595865399E-2"/>
    <n v="8.7930480000003195E-4"/>
    <n v="0"/>
    <n v="0"/>
    <m/>
    <m/>
    <m/>
    <m/>
    <m/>
    <m/>
    <m/>
    <m/>
    <m/>
    <m/>
    <m/>
    <d v="2014-03-31T00:00:00"/>
    <n v="2.2791479306523144E-3"/>
    <x v="1"/>
    <n v="0"/>
    <x v="6"/>
  </r>
  <r>
    <d v="2014-04-30T00:00:00"/>
    <x v="5"/>
    <s v="Series 1a"/>
    <n v="13544883.9679951"/>
    <e v="#DIV/0!"/>
    <n v="31.4"/>
    <n v="0"/>
    <n v="0"/>
    <n v="0"/>
    <m/>
    <m/>
    <n v="0"/>
    <e v="#DIV/0!"/>
    <n v="0"/>
    <n v="0"/>
    <s v="Private Equity Fund"/>
    <n v="1.6020908964155901E-2"/>
    <n v="0"/>
    <n v="0"/>
    <n v="0"/>
    <m/>
    <m/>
    <m/>
    <m/>
    <m/>
    <m/>
    <m/>
    <m/>
    <m/>
    <m/>
    <m/>
    <d v="2014-04-30T00:00:00"/>
    <n v="-3.0684073506958676E-2"/>
    <x v="1"/>
    <n v="0"/>
    <x v="7"/>
  </r>
  <r>
    <d v="2014-05-30T00:00:00"/>
    <x v="5"/>
    <s v="Series 1a"/>
    <n v="13580251.029999999"/>
    <e v="#DIV/0!"/>
    <n v="31.4"/>
    <n v="0"/>
    <n v="0"/>
    <n v="0"/>
    <m/>
    <m/>
    <n v="0"/>
    <e v="#DIV/0!"/>
    <n v="0"/>
    <n v="0"/>
    <s v="Private Equity Fund"/>
    <n v="1.6046626098367201E-2"/>
    <n v="0"/>
    <n v="0"/>
    <n v="0"/>
    <m/>
    <m/>
    <m/>
    <m/>
    <m/>
    <m/>
    <m/>
    <m/>
    <m/>
    <m/>
    <m/>
    <d v="2014-05-30T00:00:00"/>
    <n v="2.6111011425766772E-3"/>
    <x v="1"/>
    <n v="0"/>
    <x v="8"/>
  </r>
  <r>
    <d v="2014-06-30T00:00:00"/>
    <x v="5"/>
    <s v="Series 1a"/>
    <n v="13509914.300000001"/>
    <e v="#DIV/0!"/>
    <n v="31.4"/>
    <n v="0"/>
    <n v="0"/>
    <n v="0"/>
    <m/>
    <m/>
    <n v="0"/>
    <e v="#DIV/0!"/>
    <n v="0"/>
    <n v="0"/>
    <s v="Private Equity Fund"/>
    <n v="1.54705351970461E-2"/>
    <n v="0"/>
    <n v="0"/>
    <n v="0"/>
    <m/>
    <m/>
    <m/>
    <m/>
    <m/>
    <m/>
    <m/>
    <m/>
    <m/>
    <m/>
    <m/>
    <d v="2014-06-30T00:00:00"/>
    <n v="-5.1793394573206308E-3"/>
    <x v="1"/>
    <n v="0"/>
    <x v="9"/>
  </r>
  <r>
    <d v="2014-07-31T00:00:00"/>
    <x v="5"/>
    <s v="Series 1a"/>
    <n v="13807474.706977401"/>
    <e v="#DIV/0!"/>
    <n v="31.4"/>
    <n v="0"/>
    <n v="0"/>
    <n v="0"/>
    <m/>
    <m/>
    <n v="0"/>
    <e v="#DIV/0!"/>
    <n v="0"/>
    <n v="0"/>
    <s v="Private Equity Fund"/>
    <n v="2.57017146390193E-2"/>
    <n v="0"/>
    <n v="0"/>
    <n v="0"/>
    <m/>
    <m/>
    <m/>
    <m/>
    <m/>
    <m/>
    <m/>
    <m/>
    <m/>
    <m/>
    <m/>
    <d v="2014-07-31T00:00:00"/>
    <n v="2.2025336384065675E-2"/>
    <x v="1"/>
    <n v="0"/>
    <x v="10"/>
  </r>
  <r>
    <d v="2014-08-29T00:00:00"/>
    <x v="5"/>
    <s v="Series 1a"/>
    <n v="20613683.719999999"/>
    <e v="#DIV/0!"/>
    <n v="31.4"/>
    <n v="6688200"/>
    <n v="0"/>
    <n v="0"/>
    <m/>
    <m/>
    <n v="6688200"/>
    <e v="#DIV/0!"/>
    <n v="6688200"/>
    <n v="6688200"/>
    <s v="Private Equity Fund"/>
    <n v="2.57017146390193E-2"/>
    <n v="0"/>
    <n v="0"/>
    <n v="0"/>
    <m/>
    <m/>
    <m/>
    <m/>
    <m/>
    <m/>
    <m/>
    <m/>
    <m/>
    <m/>
    <m/>
    <d v="2014-08-29T00:00:00"/>
    <n v="8.5467484479955225E-3"/>
    <x v="1"/>
    <n v="0"/>
    <x v="11"/>
  </r>
  <r>
    <d v="2014-09-30T00:00:00"/>
    <x v="5"/>
    <s v="Series 1a"/>
    <n v="20053645.350000001"/>
    <e v="#DIV/0!"/>
    <n v="31.4"/>
    <n v="0"/>
    <n v="0"/>
    <n v="0"/>
    <m/>
    <m/>
    <n v="0"/>
    <e v="#DIV/0!"/>
    <n v="0"/>
    <n v="0"/>
    <s v="Private Equity Fund"/>
    <n v="2.7415162281620602E-2"/>
    <n v="0"/>
    <n v="2.8046939803949697E-4"/>
    <n v="0"/>
    <m/>
    <m/>
    <m/>
    <m/>
    <m/>
    <m/>
    <m/>
    <m/>
    <m/>
    <m/>
    <m/>
    <d v="2014-09-30T00:00:00"/>
    <n v="-2.7168281885329937E-2"/>
    <x v="1"/>
    <n v="0"/>
    <x v="12"/>
  </r>
  <r>
    <d v="2014-10-31T00:00:00"/>
    <x v="5"/>
    <s v="Series 1a"/>
    <n v="24941602.829999998"/>
    <e v="#DIV/0!"/>
    <n v="31.4"/>
    <n v="5306600"/>
    <n v="0"/>
    <n v="0"/>
    <m/>
    <m/>
    <n v="5306600"/>
    <e v="#DIV/0!"/>
    <n v="5306600"/>
    <n v="5306600"/>
    <s v="Private Equity Fund"/>
    <n v="3.3231878357865299E-2"/>
    <n v="0"/>
    <n v="0"/>
    <n v="0"/>
    <m/>
    <m/>
    <m/>
    <m/>
    <m/>
    <m/>
    <m/>
    <m/>
    <m/>
    <m/>
    <m/>
    <d v="2014-10-31T00:00:00"/>
    <n v="-2.0876130633276757E-2"/>
    <x v="1"/>
    <n v="0"/>
    <x v="149"/>
  </r>
  <r>
    <d v="2014-11-28T00:00:00"/>
    <x v="5"/>
    <s v="Series 1a"/>
    <n v="25250255.969999999"/>
    <e v="#DIV/0!"/>
    <n v="31.4"/>
    <n v="0"/>
    <n v="0"/>
    <n v="0"/>
    <m/>
    <m/>
    <n v="0"/>
    <e v="#DIV/0!"/>
    <n v="0"/>
    <n v="0"/>
    <s v="Private Equity Fund"/>
    <n v="3.0411032621366199E-2"/>
    <n v="0"/>
    <n v="0"/>
    <n v="0"/>
    <m/>
    <m/>
    <m/>
    <m/>
    <m/>
    <m/>
    <m/>
    <m/>
    <m/>
    <m/>
    <m/>
    <d v="2014-11-28T00:00:00"/>
    <n v="1.2375032274539732E-2"/>
    <x v="1"/>
    <n v="0"/>
    <x v="150"/>
  </r>
  <r>
    <d v="2014-12-31T00:00:00"/>
    <x v="5"/>
    <s v="Series 1a"/>
    <n v="25083508.142660901"/>
    <e v="#DIV/0!"/>
    <n v="31.4"/>
    <n v="0"/>
    <n v="0"/>
    <n v="0"/>
    <m/>
    <m/>
    <n v="0"/>
    <e v="#DIV/0!"/>
    <n v="0"/>
    <n v="0"/>
    <s v="Private Equity Fund"/>
    <n v="3.5833381912730208E-2"/>
    <n v="1.3173307500000042E-2"/>
    <n v="3.4950084573890603E-4"/>
    <n v="0"/>
    <m/>
    <m/>
    <m/>
    <m/>
    <m/>
    <m/>
    <m/>
    <m/>
    <m/>
    <m/>
    <m/>
    <d v="2014-12-31T00:00:00"/>
    <n v="-6.6038074044560968E-3"/>
    <x v="1"/>
    <n v="0"/>
    <x v="151"/>
  </r>
  <r>
    <d v="2015-01-30T00:00:00"/>
    <x v="5"/>
    <s v="Series 1a"/>
    <n v="28166791.91"/>
    <e v="#DIV/0!"/>
    <n v="29.65"/>
    <n v="2482400"/>
    <n v="0"/>
    <n v="0"/>
    <m/>
    <m/>
    <n v="2482400"/>
    <e v="#DIV/0!"/>
    <n v="2482400"/>
    <n v="2482400"/>
    <s v="Private Equity Fund"/>
    <n v="5.0291263894687799E-2"/>
    <n v="4.0546282500000003E-2"/>
    <n v="0"/>
    <n v="0"/>
    <m/>
    <m/>
    <m/>
    <m/>
    <m/>
    <m/>
    <m/>
    <m/>
    <m/>
    <m/>
    <m/>
    <d v="2015-01-30T00:00:00"/>
    <n v="2.3955332082004288E-2"/>
    <x v="1"/>
    <n v="0"/>
    <x v="152"/>
  </r>
  <r>
    <d v="2015-02-27T00:00:00"/>
    <x v="5"/>
    <s v="Series 1a"/>
    <n v="28389786.66"/>
    <e v="#DIV/0!"/>
    <n v="29.65"/>
    <n v="0"/>
    <n v="0"/>
    <n v="0"/>
    <m/>
    <m/>
    <n v="0"/>
    <e v="#DIV/0!"/>
    <n v="0"/>
    <n v="0"/>
    <s v="Private Equity Fund"/>
    <n v="5.2595888685421199E-2"/>
    <n v="5.6029820250000022E-2"/>
    <n v="0"/>
    <n v="0"/>
    <m/>
    <m/>
    <m/>
    <m/>
    <m/>
    <m/>
    <m/>
    <m/>
    <m/>
    <m/>
    <m/>
    <d v="2015-02-27T00:00:00"/>
    <n v="7.9169381700452401E-3"/>
    <x v="1"/>
    <n v="0"/>
    <x v="153"/>
  </r>
  <r>
    <d v="2015-03-31T00:00:00"/>
    <x v="5"/>
    <s v="Series 1a"/>
    <n v="29883548.75"/>
    <e v="#DIV/0!"/>
    <n v="29.65"/>
    <n v="941600"/>
    <n v="0"/>
    <n v="0"/>
    <m/>
    <m/>
    <n v="941600"/>
    <e v="#DIV/0!"/>
    <n v="941600"/>
    <n v="941600"/>
    <s v="Private Equity Fund"/>
    <n v="7.3847029761967997E-2"/>
    <n v="0.18079215509999996"/>
    <n v="1.65574174547086E-3"/>
    <n v="7.5470659562139103E-4"/>
    <m/>
    <m/>
    <m/>
    <m/>
    <m/>
    <m/>
    <m/>
    <m/>
    <m/>
    <m/>
    <m/>
    <d v="2015-03-31T00:00:00"/>
    <n v="1.9449321568096645E-2"/>
    <x v="1"/>
    <n v="0"/>
    <x v="154"/>
  </r>
  <r>
    <d v="2015-04-30T00:00:00"/>
    <x v="5"/>
    <s v="Series 1a"/>
    <n v="32360591.469999995"/>
    <e v="#DIV/0!"/>
    <n v="29.65"/>
    <n v="321000"/>
    <n v="0"/>
    <n v="0"/>
    <m/>
    <m/>
    <n v="321000"/>
    <e v="#DIV/0!"/>
    <n v="321000"/>
    <n v="321000"/>
    <s v="Private Equity Fund"/>
    <n v="6.6601732655277995E-2"/>
    <n v="0.77697664154999957"/>
    <n v="0"/>
    <n v="0"/>
    <m/>
    <m/>
    <m/>
    <m/>
    <m/>
    <m/>
    <m/>
    <m/>
    <m/>
    <m/>
    <m/>
    <d v="2015-04-30T00:00:00"/>
    <n v="7.2148148736852935E-2"/>
    <x v="1"/>
    <n v="0"/>
    <x v="155"/>
  </r>
  <r>
    <d v="2015-05-29T00:00:00"/>
    <x v="5"/>
    <s v="Series 1a"/>
    <n v="33026978.780000001"/>
    <e v="#DIV/0!"/>
    <n v="29.65"/>
    <n v="0"/>
    <n v="0"/>
    <n v="0"/>
    <m/>
    <m/>
    <n v="0"/>
    <e v="#DIV/0!"/>
    <n v="0"/>
    <n v="0"/>
    <s v="Private Equity Fund"/>
    <n v="7.0410888600164007E-2"/>
    <n v="0.86488644609999987"/>
    <n v="0"/>
    <n v="0"/>
    <m/>
    <m/>
    <m/>
    <m/>
    <m/>
    <m/>
    <m/>
    <m/>
    <m/>
    <m/>
    <m/>
    <d v="2015-05-29T00:00:00"/>
    <n v="2.0592556555024233E-2"/>
    <x v="1"/>
    <n v="0"/>
    <x v="156"/>
  </r>
  <r>
    <d v="2015-06-30T00:00:00"/>
    <x v="5"/>
    <s v="Series 1a"/>
    <n v="32953550"/>
    <e v="#DIV/0!"/>
    <n v="29.65"/>
    <n v="0"/>
    <n v="0"/>
    <n v="0"/>
    <m/>
    <m/>
    <n v="0"/>
    <e v="#DIV/0!"/>
    <n v="0"/>
    <n v="0"/>
    <s v="Private Equity Fund"/>
    <n v="7.1638458715270997E-2"/>
    <n v="0.74071833634999973"/>
    <n v="2.1613581122426999E-3"/>
    <n v="1.7844698538790399E-3"/>
    <m/>
    <m/>
    <m/>
    <m/>
    <m/>
    <m/>
    <m/>
    <m/>
    <m/>
    <m/>
    <m/>
    <d v="2015-06-30T00:00:00"/>
    <n v="-2.2232969139903691E-3"/>
    <x v="1"/>
    <n v="0"/>
    <x v="157"/>
  </r>
  <r>
    <d v="2015-07-31T00:00:00"/>
    <x v="5"/>
    <s v="Series 1a"/>
    <n v="32455827.480000004"/>
    <e v="#DIV/0!"/>
    <n v="29.65"/>
    <n v="0"/>
    <n v="0"/>
    <n v="0"/>
    <m/>
    <m/>
    <n v="0"/>
    <e v="#DIV/0!"/>
    <n v="0"/>
    <n v="0"/>
    <s v="Private Equity Fund"/>
    <n v="8.0384212948106007E-2"/>
    <n v="0.58249043209999984"/>
    <n v="0"/>
    <n v="0"/>
    <m/>
    <m/>
    <m/>
    <m/>
    <m/>
    <m/>
    <m/>
    <m/>
    <m/>
    <m/>
    <m/>
    <d v="2015-07-31T00:00:00"/>
    <n v="-1.5103760292896951E-2"/>
    <x v="1"/>
    <n v="0"/>
    <x v="158"/>
  </r>
  <r>
    <d v="2015-08-31T00:00:00"/>
    <x v="5"/>
    <s v="Series 1a"/>
    <n v="31918760.91"/>
    <e v="#DIV/0!"/>
    <n v="29.65"/>
    <n v="0"/>
    <n v="0"/>
    <n v="0"/>
    <m/>
    <m/>
    <n v="0"/>
    <e v="#DIV/0!"/>
    <n v="0"/>
    <n v="0"/>
    <s v="Private Equity Fund"/>
    <n v="7.7928565940158998E-2"/>
    <n v="0.42374165515000006"/>
    <n v="0"/>
    <n v="0"/>
    <m/>
    <m/>
    <m/>
    <m/>
    <m/>
    <m/>
    <m/>
    <m/>
    <m/>
    <m/>
    <m/>
    <d v="2015-08-31T00:00:00"/>
    <n v="-1.6547615996879372E-2"/>
    <x v="1"/>
    <n v="0"/>
    <x v="159"/>
  </r>
  <r>
    <d v="2015-09-30T00:00:00"/>
    <x v="5"/>
    <s v="Series 1a"/>
    <n v="32058201.579999994"/>
    <e v="#DIV/0!"/>
    <n v="29.65"/>
    <n v="0"/>
    <n v="0"/>
    <n v="0"/>
    <m/>
    <m/>
    <n v="0"/>
    <e v="#DIV/0!"/>
    <n v="0"/>
    <n v="0"/>
    <s v="Private Equity Fund"/>
    <n v="7.7458067181946005E-2"/>
    <n v="0.44912747364999994"/>
    <n v="3.9496571137065698E-3"/>
    <n v="1.16917083479527E-3"/>
    <m/>
    <m/>
    <m/>
    <m/>
    <m/>
    <m/>
    <m/>
    <m/>
    <m/>
    <m/>
    <m/>
    <d v="2015-09-30T00:00:00"/>
    <n v="4.368611626033081E-3"/>
    <x v="1"/>
    <n v="0"/>
    <x v="160"/>
  </r>
  <r>
    <d v="2015-10-30T00:00:00"/>
    <x v="5"/>
    <s v="Series 1a"/>
    <n v="32942558.859999999"/>
    <e v="#DIV/0!"/>
    <n v="29.65"/>
    <n v="0"/>
    <n v="0"/>
    <n v="0"/>
    <m/>
    <m/>
    <n v="0"/>
    <e v="#DIV/0!"/>
    <n v="0"/>
    <n v="0"/>
    <s v="Private Equity Fund"/>
    <n v="7.8762006662963707E-2"/>
    <n v="0.71197127599999976"/>
    <n v="0"/>
    <n v="0"/>
    <m/>
    <m/>
    <m/>
    <m/>
    <m/>
    <m/>
    <m/>
    <m/>
    <m/>
    <m/>
    <m/>
    <d v="2015-10-30T00:00:00"/>
    <n v="2.7585991615690864E-2"/>
    <x v="1"/>
    <n v="0"/>
    <x v="161"/>
  </r>
  <r>
    <d v="2015-11-30T00:00:00"/>
    <x v="5"/>
    <s v="Series 1a"/>
    <n v="32928287.529999997"/>
    <e v="#DIV/0!"/>
    <n v="29.65"/>
    <n v="0"/>
    <n v="0"/>
    <n v="0"/>
    <m/>
    <m/>
    <n v="0"/>
    <e v="#DIV/0!"/>
    <n v="0"/>
    <n v="0"/>
    <s v="Private Equity Fund"/>
    <n v="9.0907669999999996E-2"/>
    <n v="0.69671716540000006"/>
    <n v="0"/>
    <n v="0"/>
    <m/>
    <m/>
    <m/>
    <m/>
    <m/>
    <m/>
    <m/>
    <m/>
    <m/>
    <m/>
    <m/>
    <d v="2015-11-30T00:00:00"/>
    <n v="-4.332186233817481E-4"/>
    <x v="1"/>
    <n v="0"/>
    <x v="162"/>
  </r>
  <r>
    <d v="2015-12-31T00:00:00"/>
    <x v="5"/>
    <s v="Series 1a"/>
    <n v="33029479.899999999"/>
    <e v="#DIV/0!"/>
    <n v="29.65"/>
    <n v="0"/>
    <n v="0"/>
    <n v="0"/>
    <m/>
    <m/>
    <n v="0"/>
    <e v="#DIV/0!"/>
    <n v="0"/>
    <n v="0"/>
    <s v="Private Equity Fund"/>
    <n v="8.9176745141277297E-2"/>
    <n v="0.71960480625000001"/>
    <n v="5.2254257511467304E-3"/>
    <n v="1.9003521976907599E-3"/>
    <m/>
    <m/>
    <m/>
    <m/>
    <m/>
    <m/>
    <m/>
    <m/>
    <m/>
    <m/>
    <m/>
    <d v="2015-12-31T00:00:00"/>
    <n v="3.0731136536574777E-3"/>
    <x v="1"/>
    <n v="0"/>
    <x v="163"/>
  </r>
  <r>
    <d v="2016-01-29T00:00:00"/>
    <x v="5"/>
    <s v="Series 1a"/>
    <n v="32641619.800000001"/>
    <e v="#DIV/0!"/>
    <n v="29.65"/>
    <n v="0"/>
    <n v="0"/>
    <n v="0"/>
    <m/>
    <m/>
    <n v="0"/>
    <e v="#DIV/0!"/>
    <n v="0"/>
    <n v="0"/>
    <s v="Private Equity Fund"/>
    <n v="8.0473602740569306E-2"/>
    <n v="0.71960480625000001"/>
    <n v="0"/>
    <n v="0"/>
    <m/>
    <m/>
    <m/>
    <m/>
    <m/>
    <m/>
    <m/>
    <m/>
    <m/>
    <m/>
    <m/>
    <d v="2016-01-29T00:00:00"/>
    <n v="-1.1742846123350525E-2"/>
    <x v="1"/>
    <n v="0"/>
    <x v="164"/>
  </r>
  <r>
    <d v="2016-02-29T00:00:00"/>
    <x v="5"/>
    <s v="Series 1a"/>
    <n v="33219222.809999999"/>
    <e v="#DIV/0!"/>
    <n v="29.65"/>
    <n v="0"/>
    <n v="0"/>
    <n v="0"/>
    <m/>
    <m/>
    <n v="0"/>
    <e v="#DIV/0!"/>
    <n v="0"/>
    <n v="0"/>
    <s v="Private Equity Fund"/>
    <n v="0.105368399215298"/>
    <n v="0.78766958470000048"/>
    <n v="0"/>
    <n v="0"/>
    <m/>
    <m/>
    <m/>
    <m/>
    <m/>
    <m/>
    <m/>
    <m/>
    <m/>
    <m/>
    <m/>
    <d v="2016-02-29T00:00:00"/>
    <n v="1.7695292498933979E-2"/>
    <x v="1"/>
    <n v="0"/>
    <x v="165"/>
  </r>
  <r>
    <d v="2016-03-31T00:00:00"/>
    <x v="5"/>
    <s v="Series 1a"/>
    <n v="33815648.039999999"/>
    <e v="#DIV/0!"/>
    <n v="29.65"/>
    <n v="0"/>
    <n v="0"/>
    <n v="0"/>
    <m/>
    <m/>
    <n v="0"/>
    <e v="#DIV/0!"/>
    <n v="0"/>
    <n v="0"/>
    <s v="Private Equity Fund"/>
    <n v="0.12579417458966569"/>
    <n v="0.89243120444999979"/>
    <n v="8.3756631936899705E-3"/>
    <n v="3.1544602762288427E-3"/>
    <m/>
    <m/>
    <m/>
    <m/>
    <m/>
    <m/>
    <m/>
    <m/>
    <m/>
    <m/>
    <m/>
    <d v="2016-03-31T00:00:00"/>
    <n v="1.7954219862737375E-2"/>
    <x v="1"/>
    <n v="0"/>
    <x v="166"/>
  </r>
  <r>
    <d v="2016-04-29T00:00:00"/>
    <x v="5"/>
    <s v="Series 1a"/>
    <n v="34374314.149999999"/>
    <e v="#DIV/0!"/>
    <n v="29.65"/>
    <n v="0"/>
    <n v="0"/>
    <n v="0"/>
    <m/>
    <m/>
    <n v="0"/>
    <e v="#DIV/0!"/>
    <n v="0"/>
    <n v="0"/>
    <s v="Private Equity Fund"/>
    <n v="0.11105236282941799"/>
    <n v="1.0783258878499995"/>
    <n v="0"/>
    <n v="0"/>
    <m/>
    <m/>
    <m/>
    <m/>
    <m/>
    <m/>
    <m/>
    <m/>
    <m/>
    <m/>
    <m/>
    <d v="2016-04-29T00:00:00"/>
    <n v="1.6520934608118765E-2"/>
    <x v="1"/>
    <n v="0"/>
    <x v="167"/>
  </r>
  <r>
    <d v="2016-05-31T00:00:00"/>
    <x v="5"/>
    <s v="Series 1a"/>
    <n v="35043688.940000005"/>
    <e v="#DIV/0!"/>
    <n v="29.65"/>
    <n v="0"/>
    <n v="0"/>
    <n v="0"/>
    <m/>
    <m/>
    <n v="0"/>
    <e v="#DIV/0!"/>
    <n v="0"/>
    <n v="0"/>
    <s v="Private Equity Fund"/>
    <n v="0.1267221"/>
    <n v="1.3177194056000003"/>
    <n v="0"/>
    <n v="0"/>
    <m/>
    <m/>
    <m/>
    <m/>
    <m/>
    <m/>
    <m/>
    <m/>
    <m/>
    <m/>
    <m/>
    <d v="2016-05-31T00:00:00"/>
    <n v="1.9473109691121149E-2"/>
    <x v="1"/>
    <n v="0"/>
    <x v="168"/>
  </r>
  <r>
    <d v="2016-06-30T00:00:00"/>
    <x v="5"/>
    <s v="Series 1a"/>
    <n v="36239688.419999994"/>
    <e v="#DIV/0!"/>
    <n v="29.65"/>
    <n v="0"/>
    <n v="0"/>
    <n v="0"/>
    <m/>
    <m/>
    <n v="0"/>
    <e v="#DIV/0!"/>
    <n v="0"/>
    <n v="0"/>
    <s v="Private Equity Fund"/>
    <n v="0.122919215285926"/>
    <n v="1.6005225211"/>
    <n v="1.0830792825554299E-2"/>
    <n v="8.0552343872943299E-3"/>
    <m/>
    <m/>
    <m/>
    <m/>
    <m/>
    <m/>
    <m/>
    <m/>
    <m/>
    <m/>
    <m/>
    <d v="2016-06-30T00:00:00"/>
    <n v="3.4128812239137218E-2"/>
    <x v="1"/>
    <n v="0"/>
    <x v="169"/>
  </r>
  <r>
    <d v="2016-07-29T00:00:00"/>
    <x v="5"/>
    <s v="Series 1a"/>
    <n v="36415493.780000001"/>
    <e v="#DIV/0!"/>
    <n v="29.65"/>
    <n v="0"/>
    <n v="0"/>
    <n v="0"/>
    <m/>
    <m/>
    <n v="0"/>
    <e v="#DIV/0!"/>
    <n v="0"/>
    <n v="0"/>
    <s v="Private Equity Fund"/>
    <n v="0.11598075767429"/>
    <n v="1.7714104123500001"/>
    <n v="0"/>
    <n v="0"/>
    <m/>
    <m/>
    <m/>
    <m/>
    <m/>
    <m/>
    <m/>
    <m/>
    <m/>
    <m/>
    <m/>
    <d v="2016-07-29T00:00:00"/>
    <n v="4.8511829892825542E-3"/>
    <x v="1"/>
    <n v="0"/>
    <x v="170"/>
  </r>
  <r>
    <d v="2016-08-31T00:00:00"/>
    <x v="5"/>
    <s v="Series 1a"/>
    <n v="36415493.780000001"/>
    <e v="#DIV/0!"/>
    <n v="29.65"/>
    <n v="0"/>
    <n v="0"/>
    <n v="0"/>
    <m/>
    <m/>
    <n v="0"/>
    <e v="#DIV/0!"/>
    <n v="0"/>
    <n v="0"/>
    <s v="Private Equity Fund"/>
    <n v="0.132175368947997"/>
    <n v="1.7225015678"/>
    <n v="0"/>
    <n v="0"/>
    <m/>
    <m/>
    <m/>
    <m/>
    <m/>
    <m/>
    <m/>
    <m/>
    <m/>
    <m/>
    <m/>
    <d v="2016-08-31T00:00:00"/>
    <n v="0"/>
    <x v="1"/>
    <n v="0"/>
    <x v="171"/>
  </r>
  <r>
    <d v="2016-09-30T00:00:00"/>
    <x v="5"/>
    <s v="Series 1a"/>
    <n v="38138053.659999996"/>
    <e v="#DIV/0!"/>
    <n v="29.65"/>
    <n v="0"/>
    <n v="0"/>
    <n v="0"/>
    <m/>
    <m/>
    <n v="0"/>
    <e v="#DIV/0!"/>
    <n v="0"/>
    <n v="0"/>
    <s v="Private Equity Fund"/>
    <n v="0.13390901384676199"/>
    <n v="2.3253418314499998"/>
    <n v="8.14509610451844E-3"/>
    <n v="1.9635656748106401E-2"/>
    <m/>
    <m/>
    <m/>
    <m/>
    <m/>
    <m/>
    <m/>
    <m/>
    <m/>
    <m/>
    <m/>
    <d v="2016-09-30T00:00:00"/>
    <n v="4.7302938974455255E-2"/>
    <x v="1"/>
    <n v="0"/>
    <x v="172"/>
  </r>
  <r>
    <d v="2016-10-31T00:00:00"/>
    <x v="5"/>
    <s v="Series 1a"/>
    <n v="39252399.119999997"/>
    <e v="#DIV/0!"/>
    <n v="29.65"/>
    <n v="0"/>
    <n v="0"/>
    <n v="0"/>
    <m/>
    <m/>
    <n v="0"/>
    <e v="#DIV/0!"/>
    <n v="0"/>
    <n v="0"/>
    <s v="Private Equity Fund"/>
    <n v="0.13279840000000001"/>
    <n v="2.8169656940000003"/>
    <n v="0"/>
    <n v="0"/>
    <m/>
    <m/>
    <m/>
    <m/>
    <m/>
    <m/>
    <m/>
    <m/>
    <m/>
    <m/>
    <m/>
    <d v="2016-10-31T00:00:00"/>
    <n v="2.9218729144763644E-2"/>
    <x v="1"/>
    <n v="0"/>
    <x v="173"/>
  </r>
  <r>
    <d v="2016-11-30T00:00:00"/>
    <x v="5"/>
    <s v="Series 1a"/>
    <n v="39252399.119999997"/>
    <e v="#DIV/0!"/>
    <n v="29.65"/>
    <n v="0"/>
    <n v="0"/>
    <n v="0"/>
    <m/>
    <m/>
    <n v="0"/>
    <e v="#DIV/0!"/>
    <n v="0"/>
    <n v="0"/>
    <s v="Private Equity Fund"/>
    <n v="0.12929867533436298"/>
    <n v="2.9160986075499999"/>
    <n v="0"/>
    <n v="0"/>
    <m/>
    <m/>
    <m/>
    <m/>
    <m/>
    <m/>
    <m/>
    <m/>
    <m/>
    <m/>
    <m/>
    <d v="2016-11-30T00:00:00"/>
    <n v="0"/>
    <x v="1"/>
    <n v="0"/>
    <x v="174"/>
  </r>
  <r>
    <d v="2016-12-30T00:00:00"/>
    <x v="5"/>
    <s v="Series 1a"/>
    <n v="39228419.93"/>
    <e v="#DIV/0!"/>
    <n v="29.65"/>
    <n v="0"/>
    <n v="0"/>
    <n v="0"/>
    <m/>
    <m/>
    <n v="0"/>
    <e v="#DIV/0!"/>
    <n v="0"/>
    <n v="0"/>
    <s v="Private Equity Fund"/>
    <n v="0.14625836942770601"/>
    <n v="2.8408196464760298"/>
    <n v="8.14509610451844E-3"/>
    <n v="3.0328195401804498E-2"/>
    <m/>
    <m/>
    <m/>
    <m/>
    <m/>
    <m/>
    <m/>
    <m/>
    <m/>
    <m/>
    <m/>
    <d v="2016-12-30T00:00:00"/>
    <n v="-6.1089743652842365E-4"/>
    <x v="1"/>
    <n v="0"/>
    <x v="175"/>
  </r>
  <r>
    <d v="2017-01-27T00:00:00"/>
    <x v="5"/>
    <s v="Series 1a"/>
    <n v="39772314.300000004"/>
    <e v="#DIV/0!"/>
    <n v="29.65"/>
    <n v="0"/>
    <n v="0"/>
    <n v="0"/>
    <m/>
    <m/>
    <n v="0"/>
    <e v="#DIV/0!"/>
    <n v="0"/>
    <n v="0"/>
    <s v="Private Equity Fund"/>
    <n v="0.13843012327705501"/>
    <n v="3.0757721821499997"/>
    <n v="0"/>
    <n v="0"/>
    <m/>
    <m/>
    <m/>
    <m/>
    <m/>
    <m/>
    <m/>
    <m/>
    <m/>
    <m/>
    <m/>
    <d v="2017-01-27T00:00:00"/>
    <n v="1.3864804419105869E-2"/>
    <x v="1"/>
    <n v="0"/>
    <x v="176"/>
  </r>
  <r>
    <d v="2017-02-28T00:00:00"/>
    <x v="5"/>
    <s v="Series 1a"/>
    <n v="41583673.660000004"/>
    <e v="#DIV/0!"/>
    <n v="29.65"/>
    <n v="0"/>
    <n v="0"/>
    <n v="0"/>
    <m/>
    <m/>
    <n v="0"/>
    <e v="#DIV/0!"/>
    <n v="0"/>
    <n v="0"/>
    <s v="Private Equity Fund"/>
    <n v="0.16910341435044501"/>
    <n v="3.7449375961500002"/>
    <n v="0"/>
    <n v="0"/>
    <m/>
    <m/>
    <m/>
    <m/>
    <m/>
    <m/>
    <m/>
    <m/>
    <m/>
    <m/>
    <m/>
    <d v="2017-02-28T00:00:00"/>
    <n v="4.5543222512450132E-2"/>
    <x v="1"/>
    <n v="0"/>
    <x v="177"/>
  </r>
  <r>
    <d v="2017-03-31T00:00:00"/>
    <x v="5"/>
    <s v="Series 1a"/>
    <n v="41289529.060000002"/>
    <e v="#DIV/0!"/>
    <n v="29.65"/>
    <n v="0"/>
    <n v="0"/>
    <n v="0"/>
    <m/>
    <m/>
    <n v="0"/>
    <e v="#DIV/0!"/>
    <n v="0"/>
    <n v="0"/>
    <s v="Private Equity Fund"/>
    <n v="0.15382000000000001"/>
    <n v="3.507736"/>
    <n v="1.3324000000000001E-2"/>
    <n v="3.0629E-2"/>
    <m/>
    <m/>
    <m/>
    <m/>
    <m/>
    <m/>
    <m/>
    <m/>
    <m/>
    <m/>
    <m/>
    <d v="2017-03-31T00:00:00"/>
    <n v="-7.0735597437834308E-3"/>
    <x v="1"/>
    <n v="0"/>
    <x v="178"/>
  </r>
  <r>
    <d v="2017-04-28T00:00:00"/>
    <x v="5"/>
    <s v="Series 1a"/>
    <n v="41165407.509999998"/>
    <e v="#DIV/0!"/>
    <n v="29.65"/>
    <n v="0"/>
    <n v="0"/>
    <n v="0"/>
    <m/>
    <m/>
    <n v="0"/>
    <e v="#DIV/0!"/>
    <n v="0"/>
    <n v="0"/>
    <s v="Private Equity Fund"/>
    <n v="0.14174078000000001"/>
    <n v="3.5220046800000002"/>
    <n v="0"/>
    <n v="0"/>
    <m/>
    <m/>
    <m/>
    <m/>
    <m/>
    <m/>
    <m/>
    <m/>
    <m/>
    <m/>
    <m/>
    <d v="2017-04-28T00:00:00"/>
    <n v="-3.0061265610377141E-3"/>
    <x v="1"/>
    <n v="0"/>
    <x v="179"/>
  </r>
  <r>
    <d v="2017-05-31T00:00:00"/>
    <x v="5"/>
    <s v="Series 1a"/>
    <n v="39936127.310000002"/>
    <e v="#DIV/0!"/>
    <n v="29.65"/>
    <n v="0"/>
    <n v="0"/>
    <n v="0"/>
    <m/>
    <m/>
    <n v="0"/>
    <e v="#DIV/0!"/>
    <n v="0"/>
    <n v="0"/>
    <s v="Private Equity Fund"/>
    <n v="0.16524702366001204"/>
    <n v="3.3823965622499998"/>
    <n v="0"/>
    <n v="0"/>
    <m/>
    <m/>
    <m/>
    <m/>
    <m/>
    <m/>
    <m/>
    <m/>
    <m/>
    <m/>
    <m/>
    <d v="2017-05-31T00:00:00"/>
    <n v="-2.9861970872057442E-2"/>
    <x v="1"/>
    <n v="0"/>
    <x v="180"/>
  </r>
  <r>
    <d v="2017-06-30T00:00:00"/>
    <x v="5"/>
    <s v="Series 1a"/>
    <n v="41439987.240000002"/>
    <e v="#DIV/0!"/>
    <n v="29.65"/>
    <n v="0"/>
    <n v="0"/>
    <n v="0"/>
    <m/>
    <m/>
    <n v="0"/>
    <e v="#DIV/0!"/>
    <n v="0"/>
    <n v="0"/>
    <s v="Private Equity Fund"/>
    <n v="6.3254392679975957E-2"/>
    <n v="3.7692040000000002"/>
    <n v="2.3259999999999999E-3"/>
    <n v="6.2541029623037106E-2"/>
    <m/>
    <m/>
    <m/>
    <m/>
    <m/>
    <m/>
    <m/>
    <m/>
    <m/>
    <m/>
    <m/>
    <d v="2017-06-30T00:00:00"/>
    <n v="3.7656629004771736E-2"/>
    <x v="1"/>
    <n v="0"/>
    <x v="181"/>
  </r>
  <r>
    <d v="2017-07-31T00:00:00"/>
    <x v="5"/>
    <s v="Series 1a"/>
    <n v="42553230.669999994"/>
    <e v="#DIV/0!"/>
    <n v="29.65"/>
    <n v="0"/>
    <n v="0"/>
    <n v="0"/>
    <m/>
    <m/>
    <n v="0"/>
    <e v="#DIV/0!"/>
    <n v="0"/>
    <n v="0"/>
    <s v="Private Equity Fund"/>
    <n v="0.16219930999999999"/>
    <n v="4.1644473949999998"/>
    <n v="0"/>
    <n v="0"/>
    <m/>
    <m/>
    <m/>
    <m/>
    <m/>
    <m/>
    <m/>
    <m/>
    <m/>
    <m/>
    <m/>
    <d v="2017-07-31T00:00:00"/>
    <n v="2.6863990655996872E-2"/>
    <x v="1"/>
    <n v="0"/>
    <x v="182"/>
  </r>
  <r>
    <d v="2017-08-31T00:00:00"/>
    <x v="5"/>
    <s v="Series 1a"/>
    <n v="42825242.350000001"/>
    <e v="#DIV/0!"/>
    <n v="29.65"/>
    <n v="0"/>
    <n v="0"/>
    <n v="0"/>
    <m/>
    <m/>
    <n v="0"/>
    <e v="#DIV/0!"/>
    <n v="0"/>
    <n v="0"/>
    <s v="Private Equity Fund"/>
    <n v="0.16290069000000001"/>
    <n v="4.1874000000000002"/>
    <n v="0"/>
    <n v="0"/>
    <m/>
    <m/>
    <m/>
    <m/>
    <m/>
    <m/>
    <m/>
    <m/>
    <m/>
    <m/>
    <m/>
    <d v="2017-08-31T00:00:00"/>
    <n v="6.392268594350714E-3"/>
    <x v="1"/>
    <n v="0"/>
    <x v="183"/>
  </r>
  <r>
    <d v="2017-09-29T00:00:00"/>
    <x v="5"/>
    <s v="Series 1a"/>
    <n v="42655889.466184251"/>
    <e v="#DIV/0!"/>
    <n v="29.65"/>
    <n v="0"/>
    <n v="0"/>
    <n v="0"/>
    <m/>
    <m/>
    <n v="0"/>
    <e v="#DIV/0!"/>
    <n v="0"/>
    <n v="0"/>
    <s v="Private Equity Fund"/>
    <n v="0.14739999999999998"/>
    <n v="4.1554502600000003"/>
    <n v="1.4379701819813E-2"/>
    <n v="7.0865736510435109E-2"/>
    <m/>
    <m/>
    <m/>
    <m/>
    <m/>
    <m/>
    <m/>
    <m/>
    <m/>
    <m/>
    <m/>
    <d v="2017-09-29T00:00:00"/>
    <n v="-3.9545108100421666E-3"/>
    <x v="1"/>
    <n v="0"/>
    <x v="184"/>
  </r>
  <r>
    <d v="2017-10-31T00:00:00"/>
    <x v="5"/>
    <s v="Series 1a"/>
    <n v="42726425.919999994"/>
    <e v="#DIV/0!"/>
    <n v="29.65"/>
    <n v="0"/>
    <n v="0"/>
    <n v="0"/>
    <m/>
    <m/>
    <n v="0"/>
    <e v="#DIV/0!"/>
    <n v="0"/>
    <n v="0"/>
    <s v="Private Equity Fund"/>
    <n v="0.16900536999999999"/>
    <n v="4.3480566300000003"/>
    <n v="0"/>
    <n v="0"/>
    <m/>
    <m/>
    <m/>
    <m/>
    <m/>
    <m/>
    <m/>
    <m/>
    <m/>
    <m/>
    <m/>
    <d v="2017-10-31T00:00:00"/>
    <n v="1.6536158241797771E-3"/>
    <x v="1"/>
    <n v="0"/>
    <x v="185"/>
  </r>
  <r>
    <d v="2017-11-30T00:00:00"/>
    <x v="5"/>
    <s v="Series 1a"/>
    <n v="42879879.289999999"/>
    <e v="#DIV/0!"/>
    <n v="29.65"/>
    <n v="0"/>
    <n v="0"/>
    <n v="0"/>
    <m/>
    <m/>
    <n v="0"/>
    <e v="#DIV/0!"/>
    <n v="0"/>
    <n v="0"/>
    <s v="Private Equity Fund"/>
    <n v="0.15866278"/>
    <n v="4.34058206"/>
    <n v="0"/>
    <n v="0"/>
    <m/>
    <m/>
    <m/>
    <m/>
    <m/>
    <m/>
    <m/>
    <m/>
    <m/>
    <m/>
    <m/>
    <d v="2017-11-30T00:00:00"/>
    <n v="3.5915330312750182E-3"/>
    <x v="1"/>
    <n v="0"/>
    <x v="186"/>
  </r>
  <r>
    <d v="2017-12-29T00:00:00"/>
    <x v="5"/>
    <s v="Series 1a"/>
    <n v="44164800"/>
    <e v="#DIV/0!"/>
    <n v="29.65"/>
    <n v="0"/>
    <n v="-7.4505805969238281E-9"/>
    <n v="0"/>
    <m/>
    <m/>
    <n v="-7.4505805969238281E-9"/>
    <e v="#DIV/0!"/>
    <n v="-7.4505805969238281E-9"/>
    <n v="-7.4505805969238281E-9"/>
    <s v="Private Equity Fund"/>
    <n v="0.18145"/>
    <n v="5.4838778599999998"/>
    <n v="1.5841000000000001E-2"/>
    <n v="0.129771"/>
    <m/>
    <m/>
    <m/>
    <m/>
    <m/>
    <m/>
    <m/>
    <m/>
    <m/>
    <m/>
    <m/>
    <d v="2017-12-29T00:00:00"/>
    <n v="2.9965585987544063E-2"/>
    <x v="1"/>
    <n v="0"/>
    <x v="187"/>
  </r>
  <r>
    <d v="2018-01-31T00:00:00"/>
    <x v="5"/>
    <s v="Series 1a"/>
    <n v="44515800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7.9475057059015253E-3"/>
    <x v="1"/>
    <n v="0"/>
    <x v="188"/>
  </r>
  <r>
    <d v="2018-02-28T00:00:00"/>
    <x v="5"/>
    <s v="Series 1a"/>
    <n v="45075151.25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2565229648798804E-2"/>
    <x v="1"/>
    <n v="0"/>
    <x v="189"/>
  </r>
  <r>
    <d v="2018-03-29T00:00:00"/>
    <x v="5"/>
    <s v="Series 1a"/>
    <n v="45667423.57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3-29T00:00:00"/>
    <n v="1.3139663508062061E-2"/>
    <x v="1"/>
    <n v="0"/>
    <x v="190"/>
  </r>
  <r>
    <d v="2018-04-30T00:00:00"/>
    <x v="5"/>
    <s v="Series 1a"/>
    <n v="46059111.229999997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4-30T00:00:00"/>
    <n v="8.5769598847547091E-3"/>
    <x v="1"/>
    <n v="0"/>
    <x v="191"/>
  </r>
  <r>
    <d v="2018-05-31T00:00:00"/>
    <x v="5"/>
    <s v="Series 1a"/>
    <n v="46401099.969999999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5-31T00:00:00"/>
    <n v="7.4249965070374291E-3"/>
    <x v="1"/>
    <n v="0"/>
    <x v="192"/>
  </r>
  <r>
    <d v="2018-06-29T00:00:00"/>
    <x v="5"/>
    <s v="Series 1a"/>
    <n v="46936244.099999994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6-29T00:00:00"/>
    <n v="1.1533005259487084E-2"/>
    <x v="1"/>
    <n v="0"/>
    <x v="193"/>
  </r>
  <r>
    <d v="2018-07-31T00:00:00"/>
    <x v="5"/>
    <s v="Series 1a"/>
    <n v="52876260.840000004"/>
    <s v="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7-31T00:00:00"/>
    <n v="0.12655500783881446"/>
    <x v="1"/>
    <n v="0"/>
    <x v="194"/>
  </r>
  <r>
    <d v="2018-08-31T00:00:00"/>
    <x v="5"/>
    <s v="Series 1a"/>
    <n v="46159993.859999999"/>
    <s v=""/>
    <n v="29.65"/>
    <n v="0"/>
    <n v="0"/>
    <n v="-6827557.1600000001"/>
    <m/>
    <m/>
    <n v="-6827557.1600000001"/>
    <e v="#DIV/0!"/>
    <n v="-6827557.1600000001"/>
    <n v="-6827557.1600000001"/>
    <s v="Private Equity Fund"/>
    <n v="0"/>
    <n v="0"/>
    <n v="0"/>
    <n v="0"/>
    <m/>
    <m/>
    <m/>
    <m/>
    <m/>
    <m/>
    <m/>
    <m/>
    <m/>
    <m/>
    <m/>
    <d v="2018-08-31T00:00:00"/>
    <n v="2.1047286292945611E-3"/>
    <x v="1"/>
    <n v="0"/>
    <x v="195"/>
  </r>
  <r>
    <d v="2018-09-28T00:00:00"/>
    <x v="5"/>
    <s v="Series 1a"/>
    <n v="40265819.460000001"/>
    <m/>
    <n v="29.6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0.12769010363988809"/>
    <x v="1"/>
    <n v="0"/>
    <x v="196"/>
  </r>
  <r>
    <d v="2018-10-31T00:00:00"/>
    <x v="5"/>
    <s v="Series 1a"/>
    <n v="39660205.350000001"/>
    <m/>
    <n v="29.65"/>
    <n v="0"/>
    <n v="0"/>
    <n v="0"/>
    <n v="0"/>
    <m/>
    <n v="0"/>
    <e v="#DIV/0!"/>
    <n v="-39660205.350000001"/>
    <n v="-39660205.350000001"/>
    <s v="Private Equity Fund"/>
    <n v="0"/>
    <n v="0"/>
    <m/>
    <m/>
    <m/>
    <m/>
    <m/>
    <m/>
    <m/>
    <m/>
    <m/>
    <m/>
    <m/>
    <m/>
    <m/>
    <d v="2018-10-31T00:00:00"/>
    <n v="-1.5040401961808225E-2"/>
    <x v="1"/>
    <n v="0"/>
    <x v="197"/>
  </r>
  <r>
    <d v="2013-12-31T00:00:00"/>
    <x v="5"/>
    <s v="Series 1b"/>
    <n v="1715000"/>
    <e v="#DIV/0!"/>
    <n v="5"/>
    <n v="1715000"/>
    <n v="0"/>
    <n v="0"/>
    <m/>
    <m/>
    <n v="1715000"/>
    <e v="#DIV/0!"/>
    <n v="1715000"/>
    <n v="1715000"/>
    <s v="Private Equity Fund"/>
    <n v="0"/>
    <n v="0"/>
    <n v="0"/>
    <n v="0"/>
    <m/>
    <m/>
    <m/>
    <m/>
    <m/>
    <m/>
    <m/>
    <m/>
    <m/>
    <m/>
    <m/>
    <d v="2013-12-31T00:00:00"/>
    <n v="0"/>
    <x v="1"/>
    <n v="0"/>
    <x v="3"/>
  </r>
  <r>
    <d v="2014-01-30T00:00:00"/>
    <x v="5"/>
    <s v="Series 1b"/>
    <n v="1710131.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1-30T00:00:00"/>
    <n v="-2.8387755102040613E-3"/>
    <x v="1"/>
    <n v="0"/>
    <x v="4"/>
  </r>
  <r>
    <d v="2014-02-28T00:00:00"/>
    <x v="5"/>
    <s v="Series 1b"/>
    <n v="1708806.1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2-28T00:00:00"/>
    <n v="-7.7499888166498998E-4"/>
    <x v="1"/>
    <n v="0"/>
    <x v="5"/>
  </r>
  <r>
    <d v="2014-03-31T00:00:00"/>
    <x v="5"/>
    <s v="Series 1b"/>
    <n v="1709258.4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3-31T00:00:00"/>
    <n v="2.646760137188231E-4"/>
    <x v="1"/>
    <n v="0"/>
    <x v="6"/>
  </r>
  <r>
    <d v="2014-04-30T00:00:00"/>
    <x v="5"/>
    <s v="Series 1b"/>
    <n v="1665599.5811384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4-30T00:00:00"/>
    <n v="-2.5542567522407911E-2"/>
    <x v="1"/>
    <n v="0"/>
    <x v="7"/>
  </r>
  <r>
    <d v="2014-05-30T00:00:00"/>
    <x v="5"/>
    <s v="Series 1b"/>
    <n v="1660287.4895163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5-30T00:00:00"/>
    <n v="-3.1892969248281666E-3"/>
    <x v="1"/>
    <n v="0"/>
    <x v="8"/>
  </r>
  <r>
    <d v="2014-06-30T00:00:00"/>
    <x v="5"/>
    <s v="Series 1b"/>
    <n v="1667302.7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6-30T00:00:00"/>
    <n v="4.2253167164945094E-3"/>
    <x v="1"/>
    <n v="0"/>
    <x v="9"/>
  </r>
  <r>
    <d v="2014-07-31T00:00:00"/>
    <x v="5"/>
    <s v="Series 1b"/>
    <n v="1701679.4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7-31T00:00:00"/>
    <n v="2.0618187316228997E-2"/>
    <x v="1"/>
    <n v="0"/>
    <x v="10"/>
  </r>
  <r>
    <d v="2014-08-29T00:00:00"/>
    <x v="5"/>
    <s v="Series 1b"/>
    <n v="2838902.21"/>
    <e v="#DIV/0!"/>
    <n v="5"/>
    <n v="1115000"/>
    <n v="0"/>
    <n v="0"/>
    <m/>
    <m/>
    <n v="1115000"/>
    <e v="#DIV/0!"/>
    <n v="1115000"/>
    <n v="1115000"/>
    <s v="Private Equity Fund"/>
    <n v="0"/>
    <n v="0"/>
    <n v="0"/>
    <n v="0"/>
    <m/>
    <m/>
    <m/>
    <m/>
    <m/>
    <m/>
    <m/>
    <m/>
    <m/>
    <m/>
    <m/>
    <d v="2014-08-29T00:00:00"/>
    <n v="1.3059286505239687E-2"/>
    <x v="1"/>
    <n v="0"/>
    <x v="11"/>
  </r>
  <r>
    <d v="2014-09-30T00:00:00"/>
    <x v="5"/>
    <s v="Series 1b"/>
    <n v="2774774.3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2588960540490088E-2"/>
    <x v="1"/>
    <n v="0"/>
    <x v="12"/>
  </r>
  <r>
    <d v="2014-10-31T00:00:00"/>
    <x v="5"/>
    <s v="Series 1b"/>
    <n v="3592667.11"/>
    <e v="#DIV/0!"/>
    <n v="5"/>
    <n v="845000"/>
    <n v="0"/>
    <n v="0"/>
    <m/>
    <m/>
    <n v="845000"/>
    <e v="#DIV/0!"/>
    <n v="845000"/>
    <n v="845000"/>
    <s v="Private Equity Fund"/>
    <n v="0"/>
    <n v="0"/>
    <n v="0"/>
    <n v="0"/>
    <m/>
    <m/>
    <m/>
    <m/>
    <m/>
    <m/>
    <m/>
    <m/>
    <m/>
    <m/>
    <m/>
    <d v="2014-10-31T00:00:00"/>
    <n v="-9.7691727265347694E-3"/>
    <x v="1"/>
    <n v="0"/>
    <x v="149"/>
  </r>
  <r>
    <d v="2014-11-28T00:00:00"/>
    <x v="5"/>
    <s v="Series 1b"/>
    <n v="3628168.5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9.8816335922644605E-3"/>
    <x v="1"/>
    <n v="0"/>
    <x v="150"/>
  </r>
  <r>
    <d v="2014-12-31T00:00:00"/>
    <x v="5"/>
    <s v="Series 1b"/>
    <n v="3612168.4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4.4099550138592125E-3"/>
    <x v="1"/>
    <n v="0"/>
    <x v="151"/>
  </r>
  <r>
    <d v="2015-01-30T00:00:00"/>
    <x v="5"/>
    <s v="Series 1b"/>
    <n v="4283262.28"/>
    <e v="#DIV/0!"/>
    <n v="5"/>
    <n v="580000"/>
    <n v="0"/>
    <n v="0"/>
    <m/>
    <m/>
    <n v="580000"/>
    <e v="#DIV/0!"/>
    <n v="580000"/>
    <n v="580000"/>
    <s v="Private Equity Fund"/>
    <n v="0"/>
    <n v="0"/>
    <n v="0"/>
    <n v="0"/>
    <m/>
    <m/>
    <m/>
    <m/>
    <m/>
    <m/>
    <m/>
    <m/>
    <m/>
    <m/>
    <m/>
    <d v="2015-01-30T00:00:00"/>
    <n v="2.5218593971061409E-2"/>
    <x v="1"/>
    <n v="0"/>
    <x v="152"/>
  </r>
  <r>
    <d v="2015-02-27T00:00:00"/>
    <x v="5"/>
    <s v="Series 1b"/>
    <n v="4391115.97"/>
    <e v="#DIV/0!"/>
    <n v="5"/>
    <n v="70000"/>
    <n v="0"/>
    <n v="0"/>
    <m/>
    <m/>
    <n v="70000"/>
    <e v="#DIV/0!"/>
    <n v="70000"/>
    <n v="70000"/>
    <s v="Private Equity Fund"/>
    <n v="0"/>
    <n v="0"/>
    <n v="0"/>
    <n v="0"/>
    <m/>
    <m/>
    <m/>
    <m/>
    <m/>
    <m/>
    <m/>
    <m/>
    <m/>
    <m/>
    <m/>
    <d v="2015-02-27T00:00:00"/>
    <n v="8.8375839548167079E-3"/>
    <x v="1"/>
    <n v="0"/>
    <x v="153"/>
  </r>
  <r>
    <d v="2015-03-31T00:00:00"/>
    <x v="5"/>
    <s v="Series 1b"/>
    <n v="4767176.66"/>
    <e v="#DIV/0!"/>
    <n v="5"/>
    <n v="270000"/>
    <n v="0"/>
    <n v="0"/>
    <m/>
    <m/>
    <n v="270000"/>
    <e v="#DIV/0!"/>
    <n v="270000"/>
    <n v="270000"/>
    <s v="Private Equity Fund"/>
    <n v="0"/>
    <n v="0"/>
    <n v="0"/>
    <n v="0"/>
    <m/>
    <m/>
    <m/>
    <m/>
    <m/>
    <m/>
    <m/>
    <m/>
    <m/>
    <m/>
    <m/>
    <d v="2015-03-31T00:00:00"/>
    <n v="2.4153470490099638E-2"/>
    <x v="1"/>
    <n v="0"/>
    <x v="154"/>
  </r>
  <r>
    <d v="2015-04-30T00:00:00"/>
    <x v="5"/>
    <s v="Series 1b"/>
    <n v="5113303.48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4-30T00:00:00"/>
    <n v="7.2606249922359867E-2"/>
    <x v="1"/>
    <n v="0"/>
    <x v="155"/>
  </r>
  <r>
    <d v="2015-05-29T00:00:00"/>
    <x v="5"/>
    <s v="Series 1b"/>
    <n v="5221944.7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5-29T00:00:00"/>
    <n v="2.1246787018399216E-2"/>
    <x v="1"/>
    <n v="0"/>
    <x v="156"/>
  </r>
  <r>
    <d v="2015-06-30T00:00:00"/>
    <x v="5"/>
    <s v="Series 1b"/>
    <n v="5180495.0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7.9375925990025076E-3"/>
    <x v="1"/>
    <n v="0"/>
    <x v="157"/>
  </r>
  <r>
    <d v="2015-07-31T00:00:00"/>
    <x v="5"/>
    <s v="Series 1b"/>
    <n v="5503461.46"/>
    <e v="#DIV/0!"/>
    <n v="5"/>
    <n v="405000"/>
    <n v="0"/>
    <n v="0"/>
    <m/>
    <m/>
    <n v="405000"/>
    <e v="#DIV/0!"/>
    <n v="405000"/>
    <n v="405000"/>
    <s v="Private Equity Fund"/>
    <n v="0"/>
    <n v="0"/>
    <n v="0"/>
    <n v="0"/>
    <m/>
    <m/>
    <m/>
    <m/>
    <m/>
    <m/>
    <m/>
    <m/>
    <m/>
    <m/>
    <m/>
    <d v="2015-07-31T00:00:00"/>
    <n v="-1.5835092734032719E-2"/>
    <x v="1"/>
    <n v="0"/>
    <x v="158"/>
  </r>
  <r>
    <d v="2015-08-31T00:00:00"/>
    <x v="5"/>
    <s v="Series 1b"/>
    <n v="5419781.80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5204912509735324E-2"/>
    <x v="1"/>
    <n v="0"/>
    <x v="159"/>
  </r>
  <r>
    <d v="2015-09-30T00:00:00"/>
    <x v="5"/>
    <s v="Series 1b"/>
    <n v="5439797.15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693015826406576E-3"/>
    <x v="1"/>
    <n v="0"/>
    <x v="160"/>
  </r>
  <r>
    <d v="2015-10-30T00:00:00"/>
    <x v="5"/>
    <s v="Series 1b"/>
    <n v="5583165.01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6355370622597407E-2"/>
    <x v="1"/>
    <n v="0"/>
    <x v="161"/>
  </r>
  <r>
    <d v="2015-11-30T00:00:00"/>
    <x v="5"/>
    <s v="Series 1b"/>
    <n v="5574337.65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1-30T00:00:00"/>
    <n v="-1.581069154928727E-3"/>
    <x v="1"/>
    <n v="0"/>
    <x v="162"/>
  </r>
  <r>
    <d v="2015-12-31T00:00:00"/>
    <x v="5"/>
    <s v="Series 1b"/>
    <n v="5615713.25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7.4225159288654474E-3"/>
    <x v="1"/>
    <n v="0"/>
    <x v="163"/>
  </r>
  <r>
    <d v="2016-01-29T00:00:00"/>
    <x v="5"/>
    <s v="Series 1b"/>
    <n v="5554342.15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0928462184338739E-2"/>
    <x v="1"/>
    <n v="0"/>
    <x v="164"/>
  </r>
  <r>
    <d v="2016-02-29T00:00:00"/>
    <x v="5"/>
    <s v="Series 1b"/>
    <n v="5657600.84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2-29T00:00:00"/>
    <n v="1.8590626434491275E-2"/>
    <x v="1"/>
    <n v="0"/>
    <x v="165"/>
  </r>
  <r>
    <d v="2016-03-31T00:00:00"/>
    <x v="5"/>
    <s v="Series 1b"/>
    <n v="5761592.089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8380801819909198E-2"/>
    <x v="1"/>
    <n v="0"/>
    <x v="166"/>
  </r>
  <r>
    <d v="2016-04-29T00:00:00"/>
    <x v="5"/>
    <s v="Series 1b"/>
    <n v="5836690.63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303433995793335E-2"/>
    <x v="1"/>
    <n v="0"/>
    <x v="167"/>
  </r>
  <r>
    <d v="2016-05-31T00:00:00"/>
    <x v="5"/>
    <s v="Series 1b"/>
    <n v="5990345.00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2.6325597753455776E-2"/>
    <x v="1"/>
    <n v="0"/>
    <x v="168"/>
  </r>
  <r>
    <d v="2016-06-30T00:00:00"/>
    <x v="5"/>
    <s v="Series 1b"/>
    <n v="6188571.91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3.3091065651325469E-2"/>
    <x v="1"/>
    <n v="0"/>
    <x v="169"/>
  </r>
  <r>
    <d v="2016-07-29T00:00:00"/>
    <x v="5"/>
    <s v="Series 1b"/>
    <n v="6239692.80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8.2605325983842182E-3"/>
    <x v="1"/>
    <n v="0"/>
    <x v="170"/>
  </r>
  <r>
    <d v="2016-08-31T00:00:00"/>
    <x v="5"/>
    <s v="Series 1b"/>
    <n v="6229363.589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1.655405212167782E-3"/>
    <x v="1"/>
    <n v="0"/>
    <x v="171"/>
  </r>
  <r>
    <d v="2016-09-30T00:00:00"/>
    <x v="5"/>
    <s v="Series 1b"/>
    <n v="6528370.73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4.7999628803172989E-2"/>
    <x v="1"/>
    <n v="0"/>
    <x v="172"/>
  </r>
  <r>
    <d v="2016-10-31T00:00:00"/>
    <x v="5"/>
    <s v="Series 1b"/>
    <n v="6756982.92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5018262512184206E-2"/>
    <x v="1"/>
    <n v="0"/>
    <x v="173"/>
  </r>
  <r>
    <d v="2016-11-30T00:00:00"/>
    <x v="5"/>
    <s v="Series 1b"/>
    <n v="6792676.29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5.2824419374402076E-3"/>
    <x v="1"/>
    <n v="0"/>
    <x v="174"/>
  </r>
  <r>
    <d v="2016-12-30T00:00:00"/>
    <x v="5"/>
    <s v="Series 1b"/>
    <n v="6739588.50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7.8154452906875616E-3"/>
    <x v="1"/>
    <n v="0"/>
    <x v="175"/>
  </r>
  <r>
    <d v="2017-01-27T00:00:00"/>
    <x v="5"/>
    <s v="Series 1b"/>
    <n v="6837463.5599999996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1-27T00:00:00"/>
    <n v="1.452240739249544E-2"/>
    <x v="1"/>
    <n v="0"/>
    <x v="176"/>
  </r>
  <r>
    <d v="2017-02-28T00:00:00"/>
    <x v="5"/>
    <s v="Series 1b"/>
    <n v="7144092.58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4.4845433881917529E-2"/>
    <x v="1"/>
    <n v="0"/>
    <x v="177"/>
  </r>
  <r>
    <d v="2017-03-31T00:00:00"/>
    <x v="5"/>
    <s v="Series 1b"/>
    <n v="7072450.0800000001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3-31T00:00:00"/>
    <n v="-1.0028215507811744E-2"/>
    <x v="1"/>
    <n v="0"/>
    <x v="178"/>
  </r>
  <r>
    <d v="2017-04-28T00:00:00"/>
    <x v="5"/>
    <s v="Series 1b"/>
    <n v="7039290.359999999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4.6885760415293909E-3"/>
    <x v="1"/>
    <n v="0"/>
    <x v="179"/>
  </r>
  <r>
    <d v="2017-05-31T00:00:00"/>
    <x v="5"/>
    <s v="Series 1b"/>
    <n v="6852835.19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6487779373260412E-2"/>
    <x v="1"/>
    <n v="0"/>
    <x v="180"/>
  </r>
  <r>
    <d v="2017-06-30T00:00:00"/>
    <x v="5"/>
    <s v="Series 1b"/>
    <n v="7108090.7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7248174357451536E-2"/>
    <x v="1"/>
    <n v="0"/>
    <x v="181"/>
  </r>
  <r>
    <d v="2017-07-31T00:00:00"/>
    <x v="5"/>
    <s v="Series 1b"/>
    <n v="7281360.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4376406424600594E-2"/>
    <x v="1"/>
    <n v="0"/>
    <x v="182"/>
  </r>
  <r>
    <d v="2017-08-31T00:00:00"/>
    <x v="5"/>
    <s v="Series 1b"/>
    <n v="7341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8.2593768019039171E-3"/>
    <x v="1"/>
    <n v="0"/>
    <x v="183"/>
  </r>
  <r>
    <d v="2017-09-29T00:00:00"/>
    <x v="5"/>
    <s v="Series 1b"/>
    <n v="7288776.1186818518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9-29T00:00:00"/>
    <n v="-7.1816224638217019E-3"/>
    <x v="1"/>
    <n v="0"/>
    <x v="184"/>
  </r>
  <r>
    <d v="2017-10-31T00:00:00"/>
    <x v="5"/>
    <s v="Series 1b"/>
    <n v="73279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5.3676887149640695E-3"/>
    <x v="1"/>
    <n v="0"/>
    <x v="185"/>
  </r>
  <r>
    <d v="2017-11-30T00:00:00"/>
    <x v="5"/>
    <s v="Series 1b"/>
    <n v="73543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3.6026692503992042E-3"/>
    <x v="1"/>
    <n v="0"/>
    <x v="186"/>
  </r>
  <r>
    <d v="2017-12-29T00:00:00"/>
    <x v="5"/>
    <s v="Series 1b"/>
    <n v="75650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2.8649905497464045E-2"/>
    <x v="1"/>
    <n v="0"/>
    <x v="187"/>
  </r>
  <r>
    <d v="2018-01-31T00:00:00"/>
    <x v="5"/>
    <s v="Series 1b"/>
    <n v="76504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1288830138797001E-2"/>
    <x v="1"/>
    <n v="0"/>
    <x v="188"/>
  </r>
  <r>
    <d v="2018-02-28T00:00:00"/>
    <x v="5"/>
    <s v="Series 1b"/>
    <n v="7735560.90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113156174840535E-2"/>
    <x v="1"/>
    <n v="0"/>
    <x v="189"/>
  </r>
  <r>
    <d v="2018-03-29T00:00:00"/>
    <x v="5"/>
    <s v="Series 1b"/>
    <n v="7809241.66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3-29T00:00:00"/>
    <n v="9.5249408481807851E-3"/>
    <x v="1"/>
    <n v="0"/>
    <x v="190"/>
  </r>
  <r>
    <d v="2018-04-30T00:00:00"/>
    <x v="5"/>
    <s v="Series 1b"/>
    <n v="7874016.6100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4-30T00:00:00"/>
    <n v="8.2946530303686927E-3"/>
    <x v="1"/>
    <n v="0"/>
    <x v="191"/>
  </r>
  <r>
    <d v="2018-05-31T00:00:00"/>
    <x v="5"/>
    <s v="Series 1b"/>
    <n v="7931624.71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5-31T00:00:00"/>
    <n v="7.3162291690922476E-3"/>
    <x v="1"/>
    <n v="0"/>
    <x v="192"/>
  </r>
  <r>
    <d v="2018-06-29T00:00:00"/>
    <x v="5"/>
    <s v="Series 1b"/>
    <n v="8016238.84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6-29T00:00:00"/>
    <n v="1.0667944209039604E-2"/>
    <x v="1"/>
    <n v="0"/>
    <x v="193"/>
  </r>
  <r>
    <d v="2018-07-31T00:00:00"/>
    <x v="5"/>
    <s v="Series 1b"/>
    <n v="7971364.96"/>
    <s v="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7-31T00:00:00"/>
    <n v="-5.597873371749551E-3"/>
    <x v="1"/>
    <n v="0"/>
    <x v="194"/>
  </r>
  <r>
    <d v="2018-08-31T00:00:00"/>
    <x v="5"/>
    <s v="Series 1b"/>
    <n v="8001516.6100000003"/>
    <s v="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8-31T00:00:00"/>
    <n v="3.7824952378042731E-3"/>
    <x v="1"/>
    <n v="0"/>
    <x v="195"/>
  </r>
  <r>
    <d v="2018-09-28T00:00:00"/>
    <x v="5"/>
    <s v="Series 1b"/>
    <n v="7982313.3099999996"/>
    <m/>
    <n v="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2.3999575250522875E-3"/>
    <x v="1"/>
    <n v="0"/>
    <x v="196"/>
  </r>
  <r>
    <d v="2018-10-31T00:00:00"/>
    <x v="5"/>
    <s v="Series 1b"/>
    <n v="7896428.04"/>
    <m/>
    <n v="5"/>
    <n v="0"/>
    <n v="0"/>
    <n v="0"/>
    <n v="0"/>
    <m/>
    <n v="0"/>
    <e v="#DIV/0!"/>
    <n v="-7896428.04"/>
    <n v="-7896428.04"/>
    <s v="Private Equity Fund"/>
    <n v="0"/>
    <n v="0"/>
    <m/>
    <m/>
    <m/>
    <m/>
    <m/>
    <m/>
    <m/>
    <m/>
    <m/>
    <m/>
    <m/>
    <m/>
    <m/>
    <d v="2018-10-31T00:00:00"/>
    <n v="-1.0759446123519756E-2"/>
    <x v="1"/>
    <n v="0"/>
    <x v="197"/>
  </r>
  <r>
    <d v="2013-10-31T00:00:00"/>
    <x v="5"/>
    <s v="Series 1GP"/>
    <n v="150000"/>
    <e v="#DIV/0!"/>
    <n v="3"/>
    <n v="150000"/>
    <m/>
    <n v="0"/>
    <m/>
    <m/>
    <n v="150000"/>
    <e v="#DIV/0!"/>
    <n v="150000"/>
    <n v="1.0000000000000001E-5"/>
    <s v="Private Equity Fund"/>
    <n v="0"/>
    <n v="0"/>
    <n v="0"/>
    <n v="0"/>
    <m/>
    <m/>
    <m/>
    <m/>
    <m/>
    <m/>
    <m/>
    <m/>
    <m/>
    <m/>
    <m/>
    <d v="2013-10-31T00:00:00"/>
    <n v="0"/>
    <x v="1"/>
    <n v="0"/>
    <x v="1"/>
  </r>
  <r>
    <d v="2013-11-29T00:00:00"/>
    <x v="5"/>
    <s v="Series 1GP"/>
    <n v="146963.66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3-11-29T00:00:00"/>
    <n v="-2.024226666666662E-2"/>
    <x v="1"/>
    <n v="0"/>
    <x v="2"/>
  </r>
  <r>
    <d v="2013-12-31T00:00:00"/>
    <x v="5"/>
    <s v="Series 1GP"/>
    <n v="317887.63669999997"/>
    <e v="#DIV/0!"/>
    <n v="3"/>
    <n v="150000"/>
    <m/>
    <n v="0"/>
    <m/>
    <m/>
    <n v="150000"/>
    <e v="#DIV/0!"/>
    <n v="150000"/>
    <m/>
    <s v="Private Equity Fund"/>
    <n v="0"/>
    <n v="0"/>
    <n v="0"/>
    <n v="0"/>
    <m/>
    <m/>
    <m/>
    <m/>
    <m/>
    <m/>
    <m/>
    <m/>
    <m/>
    <m/>
    <m/>
    <d v="2013-12-31T00:00:00"/>
    <n v="0.14237517424375512"/>
    <x v="1"/>
    <n v="0"/>
    <x v="3"/>
  </r>
  <r>
    <d v="2014-01-30T00:00:00"/>
    <x v="5"/>
    <s v="Series 1GP"/>
    <n v="1319084.58"/>
    <e v="#DIV/0!"/>
    <n v="3"/>
    <n v="1020000"/>
    <m/>
    <n v="0"/>
    <m/>
    <m/>
    <n v="1020000"/>
    <e v="#DIV/0!"/>
    <n v="1020000"/>
    <m/>
    <s v="Private Equity Fund"/>
    <n v="0"/>
    <n v="0"/>
    <n v="0"/>
    <n v="0"/>
    <m/>
    <m/>
    <m/>
    <m/>
    <m/>
    <m/>
    <m/>
    <m/>
    <m/>
    <m/>
    <m/>
    <d v="2014-01-30T00:00:00"/>
    <n v="-5.9150009403306614E-2"/>
    <x v="1"/>
    <n v="0"/>
    <x v="4"/>
  </r>
  <r>
    <d v="2014-02-28T00:00:00"/>
    <x v="5"/>
    <s v="Series 1GP"/>
    <n v="1323026.46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2-28T00:00:00"/>
    <n v="2.9883451446304221E-3"/>
    <x v="1"/>
    <n v="0"/>
    <x v="5"/>
  </r>
  <r>
    <d v="2014-03-31T00:00:00"/>
    <x v="5"/>
    <s v="Series 1GP"/>
    <n v="1326941.6547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3-31T00:00:00"/>
    <n v="2.9592717291533344E-3"/>
    <x v="1"/>
    <n v="0"/>
    <x v="6"/>
  </r>
  <r>
    <d v="2014-04-30T00:00:00"/>
    <x v="5"/>
    <s v="Series 1GP"/>
    <n v="1285097.19439442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4-30T00:00:00"/>
    <n v="-3.1534514162099181E-2"/>
    <x v="1"/>
    <n v="0"/>
    <x v="7"/>
  </r>
  <r>
    <d v="2014-05-30T00:00:00"/>
    <x v="5"/>
    <s v="Series 1GP"/>
    <n v="1288476.2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5-30T00:00:00"/>
    <n v="2.6293852482981439E-3"/>
    <x v="1"/>
    <n v="0"/>
    <x v="8"/>
  </r>
  <r>
    <d v="2014-06-30T00:00:00"/>
    <x v="5"/>
    <s v="Series 1GP"/>
    <n v="1281756.1399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6-30T00:00:00"/>
    <n v="-5.2155173280227229E-3"/>
    <x v="1"/>
    <n v="0"/>
    <x v="9"/>
  </r>
  <r>
    <d v="2014-07-31T00:00:00"/>
    <x v="5"/>
    <s v="Series 1GP"/>
    <n v="1310185.4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7-31T00:00:00"/>
    <n v="2.2179991273535204E-2"/>
    <x v="1"/>
    <n v="0"/>
    <x v="10"/>
  </r>
  <r>
    <d v="2014-08-29T00:00:00"/>
    <x v="5"/>
    <s v="Series 1GP"/>
    <n v="1960050.6895000001"/>
    <e v="#DIV/0!"/>
    <n v="3"/>
    <n v="633000"/>
    <m/>
    <n v="0"/>
    <m/>
    <m/>
    <n v="633000"/>
    <e v="#DIV/0!"/>
    <n v="633000"/>
    <m/>
    <s v="Private Equity Fund"/>
    <n v="0"/>
    <n v="0"/>
    <n v="0"/>
    <n v="0"/>
    <m/>
    <m/>
    <m/>
    <m/>
    <m/>
    <m/>
    <m/>
    <m/>
    <m/>
    <m/>
    <m/>
    <d v="2014-08-29T00:00:00"/>
    <n v="1.2872383152956468E-2"/>
    <x v="1"/>
    <n v="0"/>
    <x v="11"/>
  </r>
  <r>
    <d v="2014-09-30T00:00:00"/>
    <x v="5"/>
    <s v="Series 1GP"/>
    <n v="1900953.3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9-30T00:00:00"/>
    <n v="-3.0150908757913597E-2"/>
    <x v="1"/>
    <n v="0"/>
    <x v="12"/>
  </r>
  <r>
    <d v="2014-10-31T00:00:00"/>
    <x v="5"/>
    <s v="Series 1GP"/>
    <n v="2367955.6800000002"/>
    <e v="#DIV/0!"/>
    <n v="3"/>
    <n v="507000"/>
    <m/>
    <n v="0"/>
    <m/>
    <m/>
    <n v="507000"/>
    <e v="#DIV/0!"/>
    <n v="507000"/>
    <m/>
    <s v="Private Equity Fund"/>
    <n v="0"/>
    <n v="0"/>
    <n v="0"/>
    <n v="0"/>
    <m/>
    <m/>
    <m/>
    <m/>
    <m/>
    <m/>
    <m/>
    <m/>
    <m/>
    <m/>
    <m/>
    <d v="2014-10-31T00:00:00"/>
    <n v="-2.1040863190447956E-2"/>
    <x v="1"/>
    <n v="0"/>
    <x v="149"/>
  </r>
  <r>
    <d v="2014-11-28T00:00:00"/>
    <x v="5"/>
    <s v="Series 1GP"/>
    <n v="2408646.9284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11-28T00:00:00"/>
    <n v="1.7184125887018231E-2"/>
    <x v="1"/>
    <n v="0"/>
    <x v="150"/>
  </r>
  <r>
    <d v="2014-12-31T00:00:00"/>
    <x v="5"/>
    <s v="Series 1GP"/>
    <n v="2394687.2174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12-31T00:00:00"/>
    <n v="-5.795665124192162E-3"/>
    <x v="1"/>
    <n v="0"/>
    <x v="151"/>
  </r>
  <r>
    <d v="2015-01-30T00:00:00"/>
    <x v="5"/>
    <s v="Series 1GP"/>
    <n v="2827147.6724999999"/>
    <e v="#DIV/0!"/>
    <n v="3"/>
    <n v="348000"/>
    <m/>
    <n v="0"/>
    <m/>
    <m/>
    <n v="348000"/>
    <e v="#DIV/0!"/>
    <n v="348000"/>
    <m/>
    <s v="Private Equity Fund"/>
    <n v="0"/>
    <n v="0"/>
    <n v="0"/>
    <n v="0"/>
    <m/>
    <m/>
    <m/>
    <m/>
    <m/>
    <m/>
    <m/>
    <m/>
    <m/>
    <m/>
    <m/>
    <d v="2015-01-30T00:00:00"/>
    <n v="3.526993186532934E-2"/>
    <x v="1"/>
    <n v="0"/>
    <x v="152"/>
  </r>
  <r>
    <d v="2015-02-27T00:00:00"/>
    <x v="5"/>
    <s v="Series 1GP"/>
    <n v="2864701.77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2-27T00:00:00"/>
    <n v="1.3283387410319314E-2"/>
    <x v="1"/>
    <n v="0"/>
    <x v="153"/>
  </r>
  <r>
    <d v="2015-03-31T00:00:00"/>
    <x v="5"/>
    <s v="Series 1GP"/>
    <n v="3185872.1850999999"/>
    <e v="#DIV/0!"/>
    <n v="3"/>
    <n v="132000"/>
    <m/>
    <n v="0"/>
    <m/>
    <m/>
    <n v="132000"/>
    <e v="#DIV/0!"/>
    <n v="132000"/>
    <m/>
    <s v="Private Equity Fund"/>
    <n v="0"/>
    <n v="0"/>
    <n v="0"/>
    <n v="0"/>
    <m/>
    <m/>
    <m/>
    <m/>
    <m/>
    <m/>
    <m/>
    <m/>
    <m/>
    <m/>
    <m/>
    <d v="2015-03-31T00:00:00"/>
    <n v="6.6034941843244432E-2"/>
    <x v="1"/>
    <n v="0"/>
    <x v="154"/>
  </r>
  <r>
    <d v="2015-04-30T00:00:00"/>
    <x v="5"/>
    <s v="Series 1GP"/>
    <n v="4069761.0416000006"/>
    <e v="#DIV/0!"/>
    <n v="3"/>
    <n v="60000"/>
    <m/>
    <n v="0"/>
    <m/>
    <m/>
    <n v="60000"/>
    <e v="#DIV/0!"/>
    <n v="60000"/>
    <m/>
    <s v="Private Equity Fund"/>
    <n v="0"/>
    <n v="0"/>
    <n v="0"/>
    <n v="0"/>
    <m/>
    <m/>
    <m/>
    <m/>
    <m/>
    <m/>
    <m/>
    <m/>
    <m/>
    <m/>
    <m/>
    <d v="2015-04-30T00:00:00"/>
    <n v="0.25860700261399217"/>
    <x v="1"/>
    <n v="0"/>
    <x v="155"/>
  </r>
  <r>
    <d v="2015-05-29T00:00:00"/>
    <x v="5"/>
    <s v="Series 1GP"/>
    <n v="4220792.305700000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5-29T00:00:00"/>
    <n v="3.7110597540297663E-2"/>
    <x v="1"/>
    <n v="0"/>
    <x v="156"/>
  </r>
  <r>
    <d v="2015-06-30T00:00:00"/>
    <x v="5"/>
    <s v="Series 1GP"/>
    <n v="4078696.8763999995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6-30T00:00:00"/>
    <n v="-3.3665581959128166E-2"/>
    <x v="1"/>
    <n v="0"/>
    <x v="157"/>
  </r>
  <r>
    <d v="2015-07-31T00:00:00"/>
    <x v="5"/>
    <s v="Series 1GP"/>
    <n v="3865713.532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7-31T00:00:00"/>
    <n v="-5.2218478292014203E-2"/>
    <x v="1"/>
    <n v="0"/>
    <x v="158"/>
  </r>
  <r>
    <d v="2015-08-31T00:00:00"/>
    <x v="5"/>
    <s v="Series 1GP"/>
    <n v="3650081.20520000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8-31T00:00:00"/>
    <n v="-5.5780731062826661E-2"/>
    <x v="1"/>
    <n v="0"/>
    <x v="159"/>
  </r>
  <r>
    <d v="2015-09-30T00:00:00"/>
    <x v="5"/>
    <s v="Series 1GP"/>
    <n v="3689699.3336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9-30T00:00:00"/>
    <n v="1.085404030013315E-2"/>
    <x v="1"/>
    <n v="0"/>
    <x v="160"/>
  </r>
  <r>
    <d v="2015-10-30T00:00:00"/>
    <x v="5"/>
    <s v="Series 1GP"/>
    <n v="4043769.9460000005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0-30T00:00:00"/>
    <n v="9.5961914583685415E-2"/>
    <x v="1"/>
    <n v="0"/>
    <x v="161"/>
  </r>
  <r>
    <d v="2015-11-30T00:00:00"/>
    <x v="5"/>
    <s v="Series 1GP"/>
    <n v="3982468.3794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1-30T00:00:00"/>
    <n v="-1.5159508903477281E-2"/>
    <x v="1"/>
    <n v="0"/>
    <x v="162"/>
  </r>
  <r>
    <d v="2015-12-31T00:00:00"/>
    <x v="5"/>
    <s v="Series 1GP"/>
    <n v="4061089.0263000005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2-31T00:00:00"/>
    <n v="1.97416876439509E-2"/>
    <x v="1"/>
    <n v="0"/>
    <x v="163"/>
  </r>
  <r>
    <d v="2016-01-29T00:00:00"/>
    <x v="5"/>
    <s v="Series 1GP"/>
    <n v="3895394.3670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1-29T00:00:00"/>
    <n v="-4.0800548357090016E-2"/>
    <x v="1"/>
    <n v="0"/>
    <x v="164"/>
  </r>
  <r>
    <d v="2016-02-29T00:00:00"/>
    <x v="5"/>
    <s v="Series 1GP"/>
    <n v="4134414.9668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2-29T00:00:00"/>
    <n v="6.1359794997584149E-2"/>
    <x v="1"/>
    <n v="0"/>
    <x v="165"/>
  </r>
  <r>
    <d v="2016-03-31T00:00:00"/>
    <x v="5"/>
    <s v="Series 1GP"/>
    <n v="4314428.394500000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3-31T00:00:00"/>
    <n v="4.3540241857961126E-2"/>
    <x v="1"/>
    <n v="0"/>
    <x v="166"/>
  </r>
  <r>
    <d v="2016-04-29T00:00:00"/>
    <x v="5"/>
    <s v="Series 1GP"/>
    <n v="4549045.8778999997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4-29T00:00:00"/>
    <n v="5.437973746396807E-2"/>
    <x v="1"/>
    <n v="0"/>
    <x v="167"/>
  </r>
  <r>
    <d v="2016-05-31T00:00:00"/>
    <x v="5"/>
    <s v="Series 1GP"/>
    <n v="4877021.4655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5-31T00:00:00"/>
    <n v="7.2097665423283219E-2"/>
    <x v="1"/>
    <n v="0"/>
    <x v="168"/>
  </r>
  <r>
    <d v="2016-06-30T00:00:00"/>
    <x v="5"/>
    <s v="Series 1GP"/>
    <n v="5279719.151100000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6-30T00:00:00"/>
    <n v="8.2570414819869598E-2"/>
    <x v="1"/>
    <n v="0"/>
    <x v="169"/>
  </r>
  <r>
    <d v="2016-07-29T00:00:00"/>
    <x v="5"/>
    <s v="Series 1GP"/>
    <n v="5480885.3323999997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7-29T00:00:00"/>
    <n v="3.8101682218852018E-2"/>
    <x v="1"/>
    <n v="0"/>
    <x v="170"/>
  </r>
  <r>
    <d v="2016-08-31T00:00:00"/>
    <x v="5"/>
    <s v="Series 1GP"/>
    <n v="5425331.6677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8-31T00:00:00"/>
    <n v="-1.0135892512035727E-2"/>
    <x v="1"/>
    <n v="0"/>
    <x v="171"/>
  </r>
  <r>
    <d v="2016-09-30T00:00:00"/>
    <x v="5"/>
    <s v="Series 1GP"/>
    <n v="6208452.71150000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9-30T00:00:00"/>
    <n v="0.14434528461143104"/>
    <x v="1"/>
    <n v="0"/>
    <x v="172"/>
  </r>
  <r>
    <d v="2016-10-31T00:00:00"/>
    <x v="5"/>
    <s v="Series 1GP"/>
    <n v="6837924.614000000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10-31T00:00:00"/>
    <n v="0.10138949779451822"/>
    <x v="1"/>
    <n v="0"/>
    <x v="173"/>
  </r>
  <r>
    <d v="2016-11-30T00:00:00"/>
    <x v="5"/>
    <s v="Series 1GP"/>
    <n v="6956428.8748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11-30T00:00:00"/>
    <n v="1.7330442713184402E-2"/>
    <x v="1"/>
    <n v="0"/>
    <x v="174"/>
  </r>
  <r>
    <d v="2016-12-30T00:00:00"/>
    <x v="5"/>
    <s v="Series 1GP"/>
    <n v="6774999.5607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12-30T00:00:00"/>
    <n v="-2.6080812061090253E-2"/>
    <x v="1"/>
    <n v="0"/>
    <x v="175"/>
  </r>
  <r>
    <d v="2017-01-27T00:00:00"/>
    <x v="5"/>
    <s v="Series 1GP"/>
    <n v="7129025.3021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1-27T00:00:00"/>
    <n v="5.2254725380885603E-2"/>
    <x v="1"/>
    <n v="0"/>
    <x v="176"/>
  </r>
  <r>
    <d v="2017-02-28T00:00:00"/>
    <x v="5"/>
    <s v="Series 1GP"/>
    <n v="7986363.446200000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2-28T00:00:00"/>
    <n v="0.12026021898609729"/>
    <x v="1"/>
    <n v="0"/>
    <x v="177"/>
  </r>
  <r>
    <d v="2017-03-31T00:00:00"/>
    <x v="5"/>
    <s v="Series 1GP"/>
    <n v="7714559.4543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3-31T00:00:00"/>
    <n v="-3.4033511463759769E-2"/>
    <x v="1"/>
    <n v="0"/>
    <x v="178"/>
  </r>
  <r>
    <d v="2017-04-28T00:00:00"/>
    <x v="5"/>
    <s v="Series 1GP"/>
    <n v="7711987.967999999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4-28T00:00:00"/>
    <n v="-3.3332898854876447E-4"/>
    <x v="1"/>
    <n v="0"/>
    <x v="179"/>
  </r>
  <r>
    <d v="2017-05-31T00:00:00"/>
    <x v="5"/>
    <s v="Series 1GP"/>
    <n v="7453411.11230000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5-31T00:00:00"/>
    <n v="-3.3529208911234565E-2"/>
    <x v="1"/>
    <n v="0"/>
    <x v="180"/>
  </r>
  <r>
    <d v="2017-06-30T00:00:00"/>
    <x v="5"/>
    <s v="Series 1GP"/>
    <n v="7987115.8896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6-30T00:00:00"/>
    <n v="7.1605439342967925E-2"/>
    <x v="1"/>
    <n v="0"/>
    <x v="181"/>
  </r>
  <r>
    <d v="2017-07-31T00:00:00"/>
    <x v="5"/>
    <s v="Series 1GP"/>
    <n v="8497206.164999999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7-31T00:00:00"/>
    <n v="6.3864138501381396E-2"/>
    <x v="1"/>
    <n v="0"/>
    <x v="182"/>
  </r>
  <r>
    <d v="2017-08-31T00:00:00"/>
    <x v="5"/>
    <s v="Series 1GP"/>
    <n v="85489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8-31T00:00:00"/>
    <n v="6.0836272530291335E-3"/>
    <x v="1"/>
    <n v="0"/>
    <x v="183"/>
  </r>
  <r>
    <d v="2017-09-29T00:00:00"/>
    <x v="5"/>
    <s v="Series 1GP"/>
    <n v="8497472.95742622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9-29T00:00:00"/>
    <n v="-6.0156327216109862E-3"/>
    <x v="1"/>
    <n v="0"/>
    <x v="184"/>
  </r>
  <r>
    <d v="2017-10-31T00:00:00"/>
    <x v="5"/>
    <s v="Series 1GP"/>
    <n v="86590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0-31T00:00:00"/>
    <n v="1.9008832788648844E-2"/>
    <x v="1"/>
    <n v="0"/>
    <x v="185"/>
  </r>
  <r>
    <d v="2017-11-30T00:00:00"/>
    <x v="5"/>
    <s v="Series 1GP"/>
    <n v="86788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1-30T00:00:00"/>
    <n v="2.2866381799284685E-3"/>
    <x v="1"/>
    <n v="0"/>
    <x v="186"/>
  </r>
  <r>
    <d v="2017-12-29T00:00:00"/>
    <x v="5"/>
    <s v="Series 1GP"/>
    <n v="99797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2-29T00:00:00"/>
    <n v="0.14989399456146013"/>
    <x v="1"/>
    <n v="0"/>
    <x v="187"/>
  </r>
  <r>
    <d v="2018-01-31T00:00:00"/>
    <x v="5"/>
    <s v="Series 1GP"/>
    <n v="104232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1-31T00:00:00"/>
    <n v="4.444021363367634E-2"/>
    <x v="1"/>
    <n v="0"/>
    <x v="188"/>
  </r>
  <r>
    <d v="2018-02-28T00:00:00"/>
    <x v="5"/>
    <s v="Series 1GP"/>
    <n v="10674736.699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2-28T00:00:00"/>
    <n v="2.4132387366643471E-2"/>
    <x v="1"/>
    <n v="0"/>
    <x v="189"/>
  </r>
  <r>
    <d v="2018-03-29T00:00:00"/>
    <x v="5"/>
    <s v="Series 1GP"/>
    <n v="10930650.250600001"/>
    <e v="#DIV/0!"/>
    <n v="3"/>
    <n v="0"/>
    <m/>
    <n v="0"/>
    <m/>
    <m/>
    <n v="0"/>
    <e v="#DIV/0!"/>
    <n v="0"/>
    <m/>
    <s v="Private Equity Fund"/>
    <n v="0"/>
    <m/>
    <n v="0"/>
    <n v="0"/>
    <m/>
    <m/>
    <m/>
    <m/>
    <m/>
    <m/>
    <m/>
    <m/>
    <m/>
    <m/>
    <m/>
    <d v="2018-03-29T00:00:00"/>
    <n v="2.3973757647811844E-2"/>
    <x v="1"/>
    <n v="0"/>
    <x v="190"/>
  </r>
  <r>
    <d v="2018-04-30T00:00:00"/>
    <x v="5"/>
    <s v="Series 1GP"/>
    <n v="11225271.3255"/>
    <e v="#DIV/0!"/>
    <n v="3"/>
    <n v="0"/>
    <m/>
    <n v="0"/>
    <m/>
    <m/>
    <n v="0"/>
    <e v="#DIV/0!"/>
    <n v="0"/>
    <m/>
    <s v="Private Equity Fund"/>
    <n v="0"/>
    <m/>
    <n v="0"/>
    <n v="0"/>
    <m/>
    <m/>
    <m/>
    <m/>
    <m/>
    <m/>
    <m/>
    <m/>
    <m/>
    <m/>
    <m/>
    <d v="2018-04-30T00:00:00"/>
    <n v="2.6953664068048111E-2"/>
    <x v="1"/>
    <n v="0"/>
    <x v="191"/>
  </r>
  <r>
    <d v="2018-05-31T00:00:00"/>
    <x v="5"/>
    <s v="Series 1GP"/>
    <n v="11416671.114399999"/>
    <e v="#DIV/0!"/>
    <n v="3"/>
    <n v="0"/>
    <m/>
    <n v="0"/>
    <m/>
    <m/>
    <n v="0"/>
    <e v="#DIV/0!"/>
    <n v="0"/>
    <m/>
    <s v="Private Equity Fund"/>
    <n v="0"/>
    <m/>
    <n v="0"/>
    <n v="0"/>
    <m/>
    <m/>
    <m/>
    <m/>
    <m/>
    <m/>
    <m/>
    <m/>
    <m/>
    <m/>
    <m/>
    <d v="2018-05-31T00:00:00"/>
    <n v="1.7050793994190849E-2"/>
    <x v="1"/>
    <n v="0"/>
    <x v="192"/>
  </r>
  <r>
    <d v="2018-06-29T00:00:00"/>
    <x v="5"/>
    <s v="Series 1GP"/>
    <n v="11511267.413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6-29T00:00:00"/>
    <n v="8.2858039836748443E-3"/>
    <x v="1"/>
    <n v="0"/>
    <x v="193"/>
  </r>
  <r>
    <d v="2018-07-31T00:00:00"/>
    <x v="5"/>
    <s v="Series 1GP"/>
    <n v="7448321.3964999998"/>
    <s v="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7-31T00:00:00"/>
    <n v="-0.35295383826896587"/>
    <x v="1"/>
    <n v="0"/>
    <x v="194"/>
  </r>
  <r>
    <d v="2018-08-31T00:00:00"/>
    <x v="5"/>
    <s v="Series 1GP"/>
    <n v="7429964.5773"/>
    <s v=""/>
    <n v="3"/>
    <n v="0"/>
    <n v="0"/>
    <n v="-33569.160000000003"/>
    <m/>
    <m/>
    <n v="-33569.160000000003"/>
    <e v="#DIV/0!"/>
    <n v="-33569.160000000003"/>
    <m/>
    <s v="Private Equity Fund"/>
    <n v="0"/>
    <n v="0"/>
    <n v="0"/>
    <n v="0"/>
    <m/>
    <m/>
    <m/>
    <m/>
    <m/>
    <m/>
    <m/>
    <m/>
    <m/>
    <m/>
    <m/>
    <d v="2018-08-31T00:00:00"/>
    <n v="2.0423851214514954E-3"/>
    <x v="1"/>
    <n v="0"/>
    <x v="195"/>
  </r>
  <r>
    <d v="2018-09-28T00:00:00"/>
    <x v="5"/>
    <s v="Series 1GP"/>
    <n v="6649805.5535000004"/>
    <m/>
    <n v="0.15300000164685079"/>
    <n v="0"/>
    <n v="0"/>
    <n v="0"/>
    <m/>
    <n v="0"/>
    <n v="0"/>
    <e v="#DIV/0!"/>
    <n v="0"/>
    <m/>
    <s v="Private Equity Fund"/>
    <n v="0"/>
    <n v="0"/>
    <m/>
    <m/>
    <m/>
    <m/>
    <m/>
    <m/>
    <m/>
    <m/>
    <m/>
    <m/>
    <m/>
    <m/>
    <m/>
    <d v="2018-09-28T00:00:00"/>
    <n v="-0.10500171510689815"/>
    <x v="1"/>
    <n v="0"/>
    <x v="196"/>
  </r>
  <r>
    <d v="2018-10-31T00:00:00"/>
    <x v="5"/>
    <s v="Series 1GP"/>
    <n v="6573257.1261"/>
    <m/>
    <n v="0.15300000164685079"/>
    <n v="0"/>
    <n v="0"/>
    <n v="0"/>
    <n v="0"/>
    <m/>
    <n v="0"/>
    <e v="#DIV/0!"/>
    <n v="-6573257.1261"/>
    <m/>
    <s v="Private Equity Fund"/>
    <n v="0"/>
    <m/>
    <m/>
    <m/>
    <m/>
    <m/>
    <m/>
    <m/>
    <m/>
    <m/>
    <m/>
    <m/>
    <m/>
    <m/>
    <m/>
    <d v="2018-10-31T00:00:00"/>
    <n v="-1.1511378307852982E-2"/>
    <x v="1"/>
    <n v="0"/>
    <x v="197"/>
  </r>
  <r>
    <d v="2018-09-28T00:00:00"/>
    <x v="5"/>
    <s v="Series 1LASM"/>
    <n v="3863684.12"/>
    <m/>
    <n v="2.847"/>
    <n v="0"/>
    <n v="0"/>
    <n v="0"/>
    <m/>
    <n v="0"/>
    <n v="0"/>
    <n v="0"/>
    <n v="0"/>
    <m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5"/>
    <s v="Series 1LASM"/>
    <n v="3812982.58"/>
    <m/>
    <n v="2.847"/>
    <n v="0"/>
    <n v="0"/>
    <n v="0"/>
    <n v="0"/>
    <m/>
    <n v="0"/>
    <e v="#DIV/0!"/>
    <n v="-3812982.58"/>
    <m/>
    <s v="Private Equity Fund"/>
    <n v="0"/>
    <m/>
    <m/>
    <m/>
    <m/>
    <m/>
    <m/>
    <m/>
    <m/>
    <m/>
    <m/>
    <m/>
    <m/>
    <m/>
    <m/>
    <d v="2018-10-31T00:00:00"/>
    <n v="-1.3122589328032341E-2"/>
    <x v="1"/>
    <n v="0"/>
    <x v="197"/>
  </r>
  <r>
    <d v="2013-10-31T00:00:00"/>
    <x v="5"/>
    <s v="Series 2"/>
    <n v="530000"/>
    <e v="#DIV/0!"/>
    <n v="10.6"/>
    <n v="530000"/>
    <m/>
    <n v="0"/>
    <m/>
    <m/>
    <n v="530000"/>
    <e v="#DIV/0!"/>
    <n v="530000"/>
    <n v="530000"/>
    <s v="Private Equity Fund"/>
    <n v="0"/>
    <n v="0"/>
    <n v="0"/>
    <n v="0"/>
    <m/>
    <m/>
    <m/>
    <m/>
    <m/>
    <m/>
    <m/>
    <m/>
    <m/>
    <m/>
    <m/>
    <d v="2013-10-31T00:00:00"/>
    <n v="0"/>
    <x v="1"/>
    <n v="0"/>
    <x v="1"/>
  </r>
  <r>
    <d v="2013-11-29T00:00:00"/>
    <x v="5"/>
    <s v="Series 2"/>
    <n v="518631.39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3-11-29T00:00:00"/>
    <n v="-2.1450207547169753E-2"/>
    <x v="1"/>
    <n v="0"/>
    <x v="2"/>
  </r>
  <r>
    <d v="2013-12-31T00:00:00"/>
    <x v="5"/>
    <s v="Series 2"/>
    <n v="1105197.1065"/>
    <e v="#DIV/0!"/>
    <n v="10.6"/>
    <n v="551200"/>
    <m/>
    <n v="0"/>
    <m/>
    <m/>
    <n v="551200"/>
    <e v="#DIV/0!"/>
    <n v="551200"/>
    <n v="551200"/>
    <s v="Private Equity Fund"/>
    <n v="0"/>
    <n v="0"/>
    <n v="0"/>
    <n v="0"/>
    <m/>
    <m/>
    <m/>
    <m/>
    <m/>
    <m/>
    <m/>
    <m/>
    <m/>
    <m/>
    <m/>
    <d v="2013-12-31T00:00:00"/>
    <n v="6.8190466643370806E-2"/>
    <x v="1"/>
    <n v="0"/>
    <x v="3"/>
  </r>
  <r>
    <d v="2014-01-30T00:00:00"/>
    <x v="5"/>
    <s v="Series 2"/>
    <n v="4726343.17"/>
    <e v="#DIV/0!"/>
    <n v="10.6"/>
    <n v="3657000"/>
    <m/>
    <n v="0"/>
    <m/>
    <m/>
    <n v="3657000"/>
    <e v="#DIV/0!"/>
    <n v="3657000"/>
    <n v="3657000"/>
    <s v="Private Equity Fund"/>
    <n v="0"/>
    <n v="0"/>
    <n v="0"/>
    <n v="0"/>
    <m/>
    <m/>
    <m/>
    <m/>
    <m/>
    <m/>
    <m/>
    <m/>
    <m/>
    <m/>
    <m/>
    <d v="2014-01-30T00:00:00"/>
    <n v="-3.2441214593426082E-2"/>
    <x v="1"/>
    <n v="0"/>
    <x v="4"/>
  </r>
  <r>
    <d v="2014-02-28T00:00:00"/>
    <x v="5"/>
    <s v="Series 2"/>
    <n v="4728777.5999999996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2-28T00:00:00"/>
    <n v="5.1507686015095366E-4"/>
    <x v="1"/>
    <n v="0"/>
    <x v="5"/>
  </r>
  <r>
    <d v="2014-03-31T00:00:00"/>
    <x v="5"/>
    <s v="Series 2"/>
    <n v="4739082.6059999997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3-31T00:00:00"/>
    <n v="2.1792113885839015E-3"/>
    <x v="1"/>
    <n v="0"/>
    <x v="6"/>
  </r>
  <r>
    <d v="2014-04-30T00:00:00"/>
    <x v="5"/>
    <s v="Series 2"/>
    <n v="4588830.3771351697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4-30T00:00:00"/>
    <n v="-3.1704918727223808E-2"/>
    <x v="1"/>
    <n v="0"/>
    <x v="7"/>
  </r>
  <r>
    <d v="2014-05-30T00:00:00"/>
    <x v="5"/>
    <s v="Series 2"/>
    <n v="4600754.85854627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5-30T00:00:00"/>
    <n v="2.59858840512317E-3"/>
    <x v="1"/>
    <n v="0"/>
    <x v="8"/>
  </r>
  <r>
    <d v="2014-06-30T00:00:00"/>
    <x v="5"/>
    <s v="Series 2"/>
    <n v="4565551.7699999996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6-30T00:00:00"/>
    <n v="-7.6515897126919752E-3"/>
    <x v="1"/>
    <n v="0"/>
    <x v="9"/>
  </r>
  <r>
    <d v="2014-07-31T00:00:00"/>
    <x v="5"/>
    <s v="Series 2"/>
    <n v="4660057.74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7-31T00:00:00"/>
    <n v="2.0699791561010095E-2"/>
    <x v="1"/>
    <n v="0"/>
    <x v="10"/>
  </r>
  <r>
    <d v="2014-08-29T00:00:00"/>
    <x v="5"/>
    <s v="Series 2"/>
    <n v="6976515.1399999997"/>
    <e v="#DIV/0!"/>
    <n v="10.6"/>
    <n v="2279000"/>
    <m/>
    <n v="0"/>
    <m/>
    <m/>
    <n v="2279000"/>
    <e v="#DIV/0!"/>
    <n v="2279000"/>
    <n v="2279000"/>
    <s v="Private Equity Fund"/>
    <n v="0"/>
    <n v="0"/>
    <n v="0"/>
    <n v="0"/>
    <m/>
    <m/>
    <m/>
    <m/>
    <m/>
    <m/>
    <m/>
    <m/>
    <m/>
    <m/>
    <m/>
    <d v="2014-08-29T00:00:00"/>
    <n v="8.0379690746061883E-3"/>
    <x v="1"/>
    <n v="0"/>
    <x v="11"/>
  </r>
  <r>
    <d v="2014-09-30T00:00:00"/>
    <x v="5"/>
    <s v="Series 2"/>
    <n v="6770088.3600000003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9588809865321863E-2"/>
    <x v="1"/>
    <n v="0"/>
    <x v="12"/>
  </r>
  <r>
    <d v="2014-10-31T00:00:00"/>
    <x v="5"/>
    <s v="Series 2"/>
    <n v="8409436.1199999992"/>
    <e v="#DIV/0!"/>
    <n v="10.6"/>
    <n v="1791400"/>
    <m/>
    <n v="0"/>
    <m/>
    <m/>
    <n v="1791400"/>
    <e v="#DIV/0!"/>
    <n v="1791400"/>
    <n v="1791400"/>
    <s v="Private Equity Fund"/>
    <n v="0"/>
    <n v="0"/>
    <n v="0"/>
    <n v="0"/>
    <m/>
    <m/>
    <m/>
    <m/>
    <m/>
    <m/>
    <m/>
    <m/>
    <m/>
    <m/>
    <m/>
    <d v="2014-10-31T00:00:00"/>
    <n v="-2.2459417353897115E-2"/>
    <x v="1"/>
    <n v="0"/>
    <x v="149"/>
  </r>
  <r>
    <d v="2014-11-28T00:00:00"/>
    <x v="5"/>
    <s v="Series 2"/>
    <n v="8514549.3300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1.2499436169092437E-2"/>
    <x v="1"/>
    <n v="0"/>
    <x v="150"/>
  </r>
  <r>
    <d v="2014-12-31T00:00:00"/>
    <x v="5"/>
    <s v="Series 2"/>
    <n v="8436051.689999999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9.2192360344220958E-3"/>
    <x v="1"/>
    <n v="0"/>
    <x v="151"/>
  </r>
  <r>
    <d v="2015-01-30T00:00:00"/>
    <x v="5"/>
    <s v="Series 2"/>
    <n v="9887172.3200000003"/>
    <e v="#DIV/0!"/>
    <n v="10.6"/>
    <n v="1229600"/>
    <m/>
    <n v="0"/>
    <m/>
    <m/>
    <n v="1229600"/>
    <e v="#DIV/0!"/>
    <n v="1229600"/>
    <n v="1229600"/>
    <s v="Private Equity Fund"/>
    <n v="0"/>
    <n v="0"/>
    <n v="0"/>
    <n v="0"/>
    <m/>
    <m/>
    <m/>
    <m/>
    <m/>
    <m/>
    <m/>
    <m/>
    <m/>
    <m/>
    <m/>
    <d v="2015-01-30T00:00:00"/>
    <n v="2.6258804253486145E-2"/>
    <x v="1"/>
    <n v="0"/>
    <x v="152"/>
  </r>
  <r>
    <d v="2015-02-27T00:00:00"/>
    <x v="5"/>
    <s v="Series 2"/>
    <n v="9953578.0299999993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2-27T00:00:00"/>
    <n v="6.7163500190718928E-3"/>
    <x v="1"/>
    <n v="0"/>
    <x v="153"/>
  </r>
  <r>
    <d v="2015-03-31T00:00:00"/>
    <x v="5"/>
    <s v="Series 2"/>
    <n v="10649062.6165"/>
    <e v="#DIV/0!"/>
    <n v="10.6"/>
    <n v="530000"/>
    <m/>
    <n v="0"/>
    <m/>
    <m/>
    <n v="530000"/>
    <e v="#DIV/0!"/>
    <n v="530000"/>
    <n v="530000"/>
    <s v="Private Equity Fund"/>
    <n v="0"/>
    <n v="0"/>
    <n v="0"/>
    <n v="0"/>
    <m/>
    <m/>
    <m/>
    <m/>
    <m/>
    <m/>
    <m/>
    <m/>
    <m/>
    <m/>
    <m/>
    <d v="2015-03-31T00:00:00"/>
    <n v="1.6625638137484966E-2"/>
    <x v="1"/>
    <n v="0"/>
    <x v="154"/>
  </r>
  <r>
    <d v="2015-04-30T00:00:00"/>
    <x v="5"/>
    <s v="Series 2"/>
    <n v="11413470.706"/>
    <e v="#DIV/0!"/>
    <n v="10.6"/>
    <n v="31800.000000000004"/>
    <m/>
    <n v="0"/>
    <m/>
    <m/>
    <n v="31800.000000000004"/>
    <e v="#DIV/0!"/>
    <n v="31800.000000000004"/>
    <n v="31800.000000000004"/>
    <s v="Private Equity Fund"/>
    <n v="0"/>
    <n v="0"/>
    <n v="0"/>
    <n v="0"/>
    <m/>
    <m/>
    <m/>
    <m/>
    <m/>
    <m/>
    <m/>
    <m/>
    <m/>
    <m/>
    <m/>
    <d v="2015-04-30T00:00:00"/>
    <n v="6.8795547165332094E-2"/>
    <x v="1"/>
    <n v="0"/>
    <x v="155"/>
  </r>
  <r>
    <d v="2015-05-29T00:00:00"/>
    <x v="5"/>
    <s v="Series 2"/>
    <n v="11574110.599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5-29T00:00:00"/>
    <n v="1.4074587620008794E-2"/>
    <x v="1"/>
    <n v="0"/>
    <x v="156"/>
  </r>
  <r>
    <d v="2015-06-30T00:00:00"/>
    <x v="5"/>
    <s v="Series 2"/>
    <n v="11463405.375499999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9.5649011687156671E-3"/>
    <x v="1"/>
    <n v="0"/>
    <x v="157"/>
  </r>
  <r>
    <d v="2015-07-31T00:00:00"/>
    <x v="5"/>
    <s v="Series 2"/>
    <n v="11286587.602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1.5424541635585931E-2"/>
    <x v="1"/>
    <n v="0"/>
    <x v="158"/>
  </r>
  <r>
    <d v="2015-08-31T00:00:00"/>
    <x v="5"/>
    <s v="Series 2"/>
    <n v="11103813.683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6193904255668246E-2"/>
    <x v="1"/>
    <n v="0"/>
    <x v="159"/>
  </r>
  <r>
    <d v="2015-09-30T00:00:00"/>
    <x v="5"/>
    <s v="Series 2"/>
    <n v="11134637.139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2.7759342312443369E-3"/>
    <x v="1"/>
    <n v="0"/>
    <x v="160"/>
  </r>
  <r>
    <d v="2015-10-30T00:00:00"/>
    <x v="5"/>
    <s v="Series 2"/>
    <n v="11432695.368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6768562393707729E-2"/>
    <x v="1"/>
    <n v="0"/>
    <x v="161"/>
  </r>
  <r>
    <d v="2015-11-30T00:00:00"/>
    <x v="5"/>
    <s v="Series 2"/>
    <n v="11347949.357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1-30T00:00:00"/>
    <n v="-7.4126012080665271E-3"/>
    <x v="1"/>
    <n v="0"/>
    <x v="162"/>
  </r>
  <r>
    <d v="2015-12-31T00:00:00"/>
    <x v="5"/>
    <s v="Series 2"/>
    <n v="11400477.852499999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4.6288975961630285E-3"/>
    <x v="1"/>
    <n v="0"/>
    <x v="163"/>
  </r>
  <r>
    <d v="2016-01-29T00:00:00"/>
    <x v="5"/>
    <s v="Series 2"/>
    <n v="11294442.299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9.3009744742187372E-3"/>
    <x v="1"/>
    <n v="0"/>
    <x v="164"/>
  </r>
  <r>
    <d v="2016-02-29T00:00:00"/>
    <x v="5"/>
    <s v="Series 2"/>
    <n v="11470431.6795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2-29T00:00:00"/>
    <n v="1.5581945158600785E-2"/>
    <x v="1"/>
    <n v="0"/>
    <x v="165"/>
  </r>
  <r>
    <d v="2016-03-31T00:00:00"/>
    <x v="5"/>
    <s v="Series 2"/>
    <n v="11604795.0555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1713890091872958E-2"/>
    <x v="1"/>
    <n v="0"/>
    <x v="166"/>
  </r>
  <r>
    <d v="2016-04-29T00:00:00"/>
    <x v="5"/>
    <s v="Series 2"/>
    <n v="11813649.788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7997278840440556E-2"/>
    <x v="1"/>
    <n v="0"/>
    <x v="167"/>
  </r>
  <r>
    <d v="2016-05-31T00:00:00"/>
    <x v="5"/>
    <s v="Series 2"/>
    <n v="12065563.4975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2.1323952717464678E-2"/>
    <x v="1"/>
    <n v="0"/>
    <x v="168"/>
  </r>
  <r>
    <d v="2016-06-30T00:00:00"/>
    <x v="5"/>
    <s v="Series 2"/>
    <n v="12337020.288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2498475977209553E-2"/>
    <x v="1"/>
    <n v="0"/>
    <x v="169"/>
  </r>
  <r>
    <d v="2016-07-29T00:00:00"/>
    <x v="5"/>
    <s v="Series 2"/>
    <n v="12529891.527000001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5633535043109381E-2"/>
    <x v="1"/>
    <n v="0"/>
    <x v="170"/>
  </r>
  <r>
    <d v="2016-08-31T00:00:00"/>
    <x v="5"/>
    <s v="Series 2"/>
    <n v="12495096.139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7769903215061342E-3"/>
    <x v="1"/>
    <n v="0"/>
    <x v="171"/>
  </r>
  <r>
    <d v="2016-09-30T00:00:00"/>
    <x v="5"/>
    <s v="Series 2"/>
    <n v="12906612.054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2934193535262057E-2"/>
    <x v="1"/>
    <n v="0"/>
    <x v="172"/>
  </r>
  <r>
    <d v="2016-10-31T00:00:00"/>
    <x v="5"/>
    <s v="Series 2"/>
    <n v="13305670.759500001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0918935490613642E-2"/>
    <x v="1"/>
    <n v="0"/>
    <x v="173"/>
  </r>
  <r>
    <d v="2016-11-30T00:00:00"/>
    <x v="5"/>
    <s v="Series 2"/>
    <n v="13363494.763499999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3458165353078559E-3"/>
    <x v="1"/>
    <n v="0"/>
    <x v="174"/>
  </r>
  <r>
    <d v="2016-12-30T00:00:00"/>
    <x v="5"/>
    <s v="Series 2"/>
    <n v="13205800.239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1.1800395576964884E-2"/>
    <x v="1"/>
    <n v="0"/>
    <x v="175"/>
  </r>
  <r>
    <d v="2017-01-27T00:00:00"/>
    <x v="5"/>
    <s v="Series 2"/>
    <n v="13403996.082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5008241788686094E-2"/>
    <x v="1"/>
    <n v="0"/>
    <x v="176"/>
  </r>
  <r>
    <d v="2017-02-28T00:00:00"/>
    <x v="5"/>
    <s v="Series 2"/>
    <n v="13952193.900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4.0898088536161614E-2"/>
    <x v="1"/>
    <n v="0"/>
    <x v="177"/>
  </r>
  <r>
    <d v="2017-03-31T00:00:00"/>
    <x v="5"/>
    <s v="Series 2"/>
    <n v="13789553.710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1656961705081459E-2"/>
    <x v="1"/>
    <n v="0"/>
    <x v="178"/>
  </r>
  <r>
    <d v="2017-04-28T00:00:00"/>
    <x v="5"/>
    <s v="Series 2"/>
    <n v="13770736.460000001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1.3646018497082135E-3"/>
    <x v="1"/>
    <n v="0"/>
    <x v="179"/>
  </r>
  <r>
    <d v="2017-05-31T00:00:00"/>
    <x v="5"/>
    <s v="Series 2"/>
    <n v="13352113.212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3.0399481445017806E-2"/>
    <x v="1"/>
    <n v="0"/>
    <x v="180"/>
  </r>
  <r>
    <d v="2017-06-30T00:00:00"/>
    <x v="5"/>
    <s v="Series 2"/>
    <n v="13777107.653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1829751158949815E-2"/>
    <x v="1"/>
    <n v="0"/>
    <x v="181"/>
  </r>
  <r>
    <d v="2017-07-31T00:00:00"/>
    <x v="5"/>
    <s v="Series 2"/>
    <n v="14151754.560000001"/>
    <e v="#DIV/0!"/>
    <n v="10.6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07-31T00:00:00"/>
    <n v="2.7193436817257055E-2"/>
    <x v="1"/>
    <n v="0"/>
    <x v="182"/>
  </r>
  <r>
    <d v="2017-08-31T00:00:00"/>
    <x v="5"/>
    <s v="Series 2"/>
    <n v="141762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1.7273787427811715E-3"/>
    <x v="1"/>
    <n v="0"/>
    <x v="183"/>
  </r>
  <r>
    <d v="2017-09-29T00:00:00"/>
    <x v="5"/>
    <s v="Series 2"/>
    <n v="14102883.024617514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5.1718355682401906E-3"/>
    <x v="1"/>
    <n v="0"/>
    <x v="184"/>
  </r>
  <r>
    <d v="2017-10-31T00:00:00"/>
    <x v="5"/>
    <s v="Series 2"/>
    <n v="14156000"/>
    <e v="#DIV/0!"/>
    <n v="10.6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10-31T00:00:00"/>
    <n v="3.7663912612597716E-3"/>
    <x v="1"/>
    <n v="0"/>
    <x v="185"/>
  </r>
  <r>
    <d v="2017-11-30T00:00:00"/>
    <x v="5"/>
    <s v="Series 2"/>
    <n v="141411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-1.0525572195535515E-3"/>
    <x v="1"/>
    <n v="0"/>
    <x v="186"/>
  </r>
  <r>
    <d v="2017-12-29T00:00:00"/>
    <x v="5"/>
    <s v="Series 2"/>
    <n v="145162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2.6525517816859967E-2"/>
    <x v="1"/>
    <n v="0"/>
    <x v="187"/>
  </r>
  <r>
    <d v="2018-01-31T00:00:00"/>
    <x v="5"/>
    <s v="Series 2"/>
    <n v="146536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9.4652870585965054E-3"/>
    <x v="1"/>
    <n v="0"/>
    <x v="188"/>
  </r>
  <r>
    <d v="2018-02-28T00:00:00"/>
    <x v="5"/>
    <s v="Series 2"/>
    <n v="14810746.539999999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072409100835281E-2"/>
    <x v="1"/>
    <n v="0"/>
    <x v="189"/>
  </r>
  <r>
    <d v="2018-03-29T00:00:00"/>
    <x v="5"/>
    <s v="Series 2"/>
    <n v="14915524.239"/>
    <e v="#DIV/0!"/>
    <n v="10.6"/>
    <n v="0"/>
    <n v="0"/>
    <n v="0"/>
    <m/>
    <m/>
    <n v="0"/>
    <e v="#DIV/0!"/>
    <n v="0"/>
    <n v="0"/>
    <s v="Private Equity Fund"/>
    <n v="5.8199004298520839E-2"/>
    <n v="0.76156310099999991"/>
    <n v="0"/>
    <n v="0"/>
    <m/>
    <m/>
    <m/>
    <m/>
    <m/>
    <m/>
    <m/>
    <m/>
    <m/>
    <m/>
    <m/>
    <d v="2018-03-29T00:00:00"/>
    <n v="7.0744373834921159E-3"/>
    <x v="1"/>
    <n v="0"/>
    <x v="190"/>
  </r>
  <r>
    <d v="2018-04-30T00:00:00"/>
    <x v="5"/>
    <s v="Series 2"/>
    <n v="15121138.7885"/>
    <e v="#DIV/0!"/>
    <n v="10.6"/>
    <n v="0"/>
    <n v="0"/>
    <n v="0"/>
    <m/>
    <m/>
    <n v="0"/>
    <e v="#DIV/0!"/>
    <n v="0"/>
    <n v="0"/>
    <s v="Private Equity Fund"/>
    <n v="0"/>
    <n v="0.79784801999999999"/>
    <n v="0"/>
    <n v="0"/>
    <m/>
    <m/>
    <m/>
    <m/>
    <m/>
    <m/>
    <m/>
    <m/>
    <m/>
    <m/>
    <m/>
    <d v="2018-04-30T00:00:00"/>
    <n v="1.3785271386062004E-2"/>
    <x v="1"/>
    <n v="0"/>
    <x v="191"/>
  </r>
  <r>
    <d v="2018-05-31T00:00:00"/>
    <x v="5"/>
    <s v="Series 2"/>
    <n v="15209589.771500001"/>
    <e v="#DIV/0!"/>
    <n v="10.6"/>
    <n v="0"/>
    <n v="0"/>
    <n v="0"/>
    <m/>
    <m/>
    <n v="0"/>
    <e v="#DIV/0!"/>
    <n v="0"/>
    <n v="0"/>
    <s v="Private Equity Fund"/>
    <n v="0"/>
    <n v="0.81345701999999998"/>
    <n v="0"/>
    <n v="0"/>
    <m/>
    <m/>
    <m/>
    <m/>
    <m/>
    <m/>
    <m/>
    <m/>
    <m/>
    <m/>
    <m/>
    <d v="2018-05-31T00:00:00"/>
    <n v="5.8494921736496064E-3"/>
    <x v="1"/>
    <n v="0"/>
    <x v="192"/>
  </r>
  <r>
    <d v="2018-06-29T00:00:00"/>
    <x v="5"/>
    <s v="Series 2"/>
    <n v="15256892.093"/>
    <e v="#DIV/0!"/>
    <n v="10.6"/>
    <n v="0"/>
    <n v="0"/>
    <n v="0"/>
    <m/>
    <m/>
    <n v="0"/>
    <e v="#DIV/0!"/>
    <n v="0"/>
    <n v="0"/>
    <s v="Private Equity Fund"/>
    <n v="6.1021400000000003E-2"/>
    <n v="0.82180448699999997"/>
    <n v="0"/>
    <n v="0"/>
    <m/>
    <m/>
    <m/>
    <m/>
    <m/>
    <m/>
    <m/>
    <m/>
    <m/>
    <m/>
    <m/>
    <d v="2018-06-29T00:00:00"/>
    <n v="3.1100326971760239E-3"/>
    <x v="1"/>
    <n v="0"/>
    <x v="193"/>
  </r>
  <r>
    <d v="2018-07-31T00:00:00"/>
    <x v="5"/>
    <s v="Series 2"/>
    <n v="15658718.458000001"/>
    <s v=""/>
    <n v="10.6"/>
    <n v="0"/>
    <n v="0"/>
    <n v="0"/>
    <m/>
    <m/>
    <n v="0"/>
    <e v="#DIV/0!"/>
    <n v="0"/>
    <n v="0"/>
    <s v="Private Equity Fund"/>
    <n v="0"/>
    <n v="0.89271502199999997"/>
    <n v="0"/>
    <n v="0"/>
    <m/>
    <m/>
    <m/>
    <m/>
    <m/>
    <m/>
    <m/>
    <m/>
    <m/>
    <m/>
    <m/>
    <d v="2018-07-31T00:00:00"/>
    <n v="2.6337366912646765E-2"/>
    <x v="1"/>
    <n v="0"/>
    <x v="194"/>
  </r>
  <r>
    <d v="2018-08-31T00:00:00"/>
    <x v="5"/>
    <s v="Series 2"/>
    <n v="13353128.341499999"/>
    <s v=""/>
    <n v="10.6"/>
    <n v="0"/>
    <n v="0"/>
    <n v="-2325706.65"/>
    <m/>
    <m/>
    <n v="-2325706.65"/>
    <e v="#DIV/0!"/>
    <n v="-2325706.65"/>
    <n v="-2325706.65"/>
    <s v="Private Equity Fund"/>
    <n v="0"/>
    <n v="0.89626499849999997"/>
    <n v="0"/>
    <n v="0"/>
    <m/>
    <m/>
    <m/>
    <m/>
    <m/>
    <m/>
    <m/>
    <m/>
    <m/>
    <m/>
    <m/>
    <d v="2018-08-31T00:00:00"/>
    <n v="1.2846858160171504E-3"/>
    <x v="1"/>
    <n v="0"/>
    <x v="195"/>
  </r>
  <r>
    <d v="2018-09-28T00:00:00"/>
    <x v="5"/>
    <s v="Series 2"/>
    <n v="12747967.8325"/>
    <m/>
    <n v="10.6"/>
    <n v="0"/>
    <n v="0"/>
    <n v="0"/>
    <m/>
    <n v="0"/>
    <n v="0"/>
    <e v="#DIV/0!"/>
    <n v="0"/>
    <n v="0"/>
    <s v="Private Equity Fund"/>
    <n v="5.0816355213805425E-2"/>
    <n v="0.78947196750000015"/>
    <m/>
    <m/>
    <m/>
    <m/>
    <m/>
    <m/>
    <m/>
    <m/>
    <m/>
    <m/>
    <m/>
    <m/>
    <m/>
    <d v="2018-09-28T00:00:00"/>
    <n v="-4.5319755305521126E-2"/>
    <x v="1"/>
    <n v="0"/>
    <x v="196"/>
  </r>
  <r>
    <d v="2018-10-31T00:00:00"/>
    <x v="5"/>
    <s v="Series 2"/>
    <n v="12743254.463500001"/>
    <m/>
    <n v="10.6"/>
    <n v="0"/>
    <n v="0"/>
    <n v="0"/>
    <n v="0"/>
    <m/>
    <n v="0"/>
    <e v="#DIV/0!"/>
    <n v="-12743254.463500001"/>
    <n v="-12743254.463500001"/>
    <s v="Private Equity Fund"/>
    <n v="1.8376394991231525E-2"/>
    <n v="0.78864019650000006"/>
    <m/>
    <m/>
    <m/>
    <m/>
    <m/>
    <m/>
    <m/>
    <m/>
    <m/>
    <m/>
    <m/>
    <m/>
    <m/>
    <d v="2018-10-31T00:00:00"/>
    <n v="-3.6973493045555639E-4"/>
    <x v="1"/>
    <n v="0"/>
    <x v="197"/>
  </r>
  <r>
    <d v="2013-10-31T00:00:00"/>
    <x v="5"/>
    <s v="Series 2a"/>
    <n v="625000"/>
    <e v="#DIV/0!"/>
    <n v="12.5"/>
    <n v="625000"/>
    <n v="0"/>
    <n v="0"/>
    <m/>
    <m/>
    <n v="625000"/>
    <e v="#DIV/0!"/>
    <n v="625000"/>
    <n v="625000"/>
    <s v="Private Equity Fund"/>
    <n v="0"/>
    <n v="0"/>
    <n v="0"/>
    <n v="0"/>
    <m/>
    <m/>
    <m/>
    <m/>
    <m/>
    <m/>
    <m/>
    <m/>
    <m/>
    <m/>
    <m/>
    <d v="2013-10-31T00:00:00"/>
    <n v="0"/>
    <x v="1"/>
    <n v="0"/>
    <x v="1"/>
  </r>
  <r>
    <d v="2013-11-29T00:00:00"/>
    <x v="5"/>
    <s v="Series 2a"/>
    <n v="615087.0600000000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3-11-29T00:00:00"/>
    <n v="-1.5860703999999948E-2"/>
    <x v="1"/>
    <n v="0"/>
    <x v="2"/>
  </r>
  <r>
    <d v="2013-12-31T00:00:00"/>
    <x v="5"/>
    <s v="Series 2a"/>
    <n v="1304875.9208"/>
    <e v="#DIV/0!"/>
    <n v="12.5"/>
    <n v="650000"/>
    <n v="0"/>
    <n v="0"/>
    <m/>
    <m/>
    <n v="650000"/>
    <e v="#DIV/0!"/>
    <n v="650000"/>
    <n v="650000"/>
    <s v="Private Equity Fund"/>
    <n v="0"/>
    <n v="0"/>
    <n v="0"/>
    <n v="0"/>
    <m/>
    <m/>
    <m/>
    <m/>
    <m/>
    <m/>
    <m/>
    <m/>
    <m/>
    <m/>
    <m/>
    <d v="2013-12-31T00:00:00"/>
    <n v="6.4688177312655304E-2"/>
    <x v="1"/>
    <n v="0"/>
    <x v="3"/>
  </r>
  <r>
    <d v="2014-01-30T00:00:00"/>
    <x v="5"/>
    <s v="Series 2a"/>
    <n v="5575550.8099999996"/>
    <e v="#DIV/0!"/>
    <n v="12.5"/>
    <n v="4312500"/>
    <n v="0"/>
    <n v="0"/>
    <m/>
    <m/>
    <n v="4312500"/>
    <e v="#DIV/0!"/>
    <n v="4312500"/>
    <n v="4312500"/>
    <s v="Private Equity Fund"/>
    <n v="0"/>
    <n v="0"/>
    <n v="0"/>
    <n v="0"/>
    <m/>
    <m/>
    <m/>
    <m/>
    <m/>
    <m/>
    <m/>
    <m/>
    <m/>
    <m/>
    <m/>
    <d v="2014-01-30T00:00:00"/>
    <n v="-3.2052940922044137E-2"/>
    <x v="1"/>
    <n v="0"/>
    <x v="4"/>
  </r>
  <r>
    <d v="2014-02-28T00:00:00"/>
    <x v="5"/>
    <s v="Series 2a"/>
    <n v="5581128.400000000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2-28T00:00:00"/>
    <n v="1.0003657378563346E-3"/>
    <x v="1"/>
    <n v="0"/>
    <x v="5"/>
  </r>
  <r>
    <d v="2014-03-31T00:00:00"/>
    <x v="5"/>
    <s v="Series 2a"/>
    <n v="5592806.0392000005"/>
    <e v="#DIV/0!"/>
    <n v="12.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4-03-31T00:00:00"/>
    <n v="2.0923437633151298E-3"/>
    <x v="1"/>
    <n v="0"/>
    <x v="6"/>
  </r>
  <r>
    <d v="2014-04-30T00:00:00"/>
    <x v="5"/>
    <s v="Series 2a"/>
    <n v="5417492.9050840503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4-30T00:00:00"/>
    <n v="-3.1346185239963575E-2"/>
    <x v="1"/>
    <n v="0"/>
    <x v="7"/>
  </r>
  <r>
    <d v="2014-05-30T00:00:00"/>
    <x v="5"/>
    <s v="Series 2a"/>
    <n v="5431558.26513554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5-30T00:00:00"/>
    <n v="2.5962858277672751E-3"/>
    <x v="1"/>
    <n v="0"/>
    <x v="8"/>
  </r>
  <r>
    <d v="2014-06-30T00:00:00"/>
    <x v="5"/>
    <s v="Series 2a"/>
    <n v="5392738.1100000003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6-30T00:00:00"/>
    <n v="-7.1471487997709637E-3"/>
    <x v="1"/>
    <n v="0"/>
    <x v="9"/>
  </r>
  <r>
    <d v="2014-07-31T00:00:00"/>
    <x v="5"/>
    <s v="Series 2a"/>
    <n v="5505576.799999999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7-31T00:00:00"/>
    <n v="2.0924192441453382E-2"/>
    <x v="1"/>
    <n v="0"/>
    <x v="10"/>
  </r>
  <r>
    <d v="2014-08-29T00:00:00"/>
    <x v="5"/>
    <s v="Series 2a"/>
    <n v="8237810.1699999999"/>
    <e v="#DIV/0!"/>
    <n v="12.5"/>
    <n v="2687500"/>
    <n v="0"/>
    <n v="0"/>
    <m/>
    <m/>
    <n v="2687500"/>
    <e v="#DIV/0!"/>
    <n v="2687500"/>
    <n v="2687500"/>
    <s v="Private Equity Fund"/>
    <n v="0"/>
    <n v="0"/>
    <n v="0"/>
    <n v="0"/>
    <m/>
    <m/>
    <m/>
    <m/>
    <m/>
    <m/>
    <m/>
    <m/>
    <m/>
    <m/>
    <m/>
    <d v="2014-08-29T00:00:00"/>
    <n v="8.1251014425953727E-3"/>
    <x v="1"/>
    <n v="0"/>
    <x v="11"/>
  </r>
  <r>
    <d v="2014-09-30T00:00:00"/>
    <x v="5"/>
    <s v="Series 2a"/>
    <n v="7998460.5800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9055001882860809E-2"/>
    <x v="1"/>
    <n v="0"/>
    <x v="12"/>
  </r>
  <r>
    <d v="2014-10-31T00:00:00"/>
    <x v="5"/>
    <s v="Series 2a"/>
    <n v="9934168.5199999996"/>
    <e v="#DIV/0!"/>
    <n v="12.5"/>
    <n v="2112500"/>
    <n v="0"/>
    <n v="0"/>
    <m/>
    <m/>
    <n v="2112500"/>
    <e v="#DIV/0!"/>
    <n v="2112500"/>
    <n v="2112500"/>
    <s v="Private Equity Fund"/>
    <n v="0"/>
    <n v="0"/>
    <n v="0"/>
    <n v="0"/>
    <m/>
    <m/>
    <m/>
    <m/>
    <m/>
    <m/>
    <m/>
    <m/>
    <m/>
    <m/>
    <m/>
    <d v="2014-10-31T00:00:00"/>
    <n v="-2.2103260775212852E-2"/>
    <x v="1"/>
    <n v="0"/>
    <x v="149"/>
  </r>
  <r>
    <d v="2014-11-28T00:00:00"/>
    <x v="5"/>
    <s v="Series 2a"/>
    <n v="10057907.689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1.2455916139421319E-2"/>
    <x v="1"/>
    <n v="0"/>
    <x v="150"/>
  </r>
  <r>
    <d v="2014-12-31T00:00:00"/>
    <x v="5"/>
    <s v="Series 2a"/>
    <n v="9970545.960000000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8.6858751037114379E-3"/>
    <x v="1"/>
    <n v="0"/>
    <x v="151"/>
  </r>
  <r>
    <d v="2015-01-30T00:00:00"/>
    <x v="5"/>
    <s v="Series 2a"/>
    <n v="11677130.890000001"/>
    <e v="#DIV/0!"/>
    <n v="12.5"/>
    <n v="1450000"/>
    <n v="0"/>
    <n v="0"/>
    <m/>
    <m/>
    <n v="1450000"/>
    <e v="#DIV/0!"/>
    <n v="1450000"/>
    <n v="1450000"/>
    <s v="Private Equity Fund"/>
    <n v="0"/>
    <n v="0"/>
    <n v="0"/>
    <n v="0"/>
    <m/>
    <m/>
    <m/>
    <m/>
    <m/>
    <m/>
    <m/>
    <m/>
    <m/>
    <m/>
    <m/>
    <d v="2015-01-30T00:00:00"/>
    <n v="2.5734290883304922E-2"/>
    <x v="1"/>
    <n v="0"/>
    <x v="152"/>
  </r>
  <r>
    <d v="2015-02-27T00:00:00"/>
    <x v="5"/>
    <s v="Series 2a"/>
    <n v="11758156.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2-27T00:00:00"/>
    <n v="6.9388063526278909E-3"/>
    <x v="1"/>
    <n v="0"/>
    <x v="153"/>
  </r>
  <r>
    <d v="2015-03-31T00:00:00"/>
    <x v="5"/>
    <s v="Series 2a"/>
    <n v="12576599.862400001"/>
    <e v="#DIV/0!"/>
    <n v="12.5"/>
    <n v="612500"/>
    <n v="0"/>
    <n v="0"/>
    <m/>
    <m/>
    <n v="612500"/>
    <e v="#DIV/0!"/>
    <n v="612500"/>
    <n v="612500"/>
    <s v="Private Equity Fund"/>
    <n v="0"/>
    <n v="0"/>
    <n v="0"/>
    <n v="0"/>
    <m/>
    <m/>
    <m/>
    <m/>
    <m/>
    <m/>
    <m/>
    <m/>
    <m/>
    <m/>
    <m/>
    <d v="2015-03-31T00:00:00"/>
    <n v="1.7514958824871085E-2"/>
    <x v="1"/>
    <n v="0"/>
    <x v="154"/>
  </r>
  <r>
    <d v="2015-04-30T00:00:00"/>
    <x v="5"/>
    <s v="Series 2a"/>
    <n v="13509168.309599999"/>
    <e v="#DIV/0!"/>
    <n v="12.5"/>
    <n v="50000"/>
    <n v="0"/>
    <n v="0"/>
    <m/>
    <m/>
    <n v="50000"/>
    <e v="#DIV/0!"/>
    <n v="50000"/>
    <n v="50000"/>
    <s v="Private Equity Fund"/>
    <n v="0"/>
    <n v="0"/>
    <n v="0"/>
    <n v="0"/>
    <m/>
    <m/>
    <m/>
    <m/>
    <m/>
    <m/>
    <m/>
    <m/>
    <m/>
    <m/>
    <m/>
    <d v="2015-04-30T00:00:00"/>
    <n v="7.0175441443326436E-2"/>
    <x v="1"/>
    <n v="0"/>
    <x v="155"/>
  </r>
  <r>
    <d v="2015-05-29T00:00:00"/>
    <x v="5"/>
    <s v="Series 2a"/>
    <n v="13716734.5343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5-29T00:00:00"/>
    <n v="1.5364841124416051E-2"/>
    <x v="1"/>
    <n v="0"/>
    <x v="156"/>
  </r>
  <r>
    <d v="2015-06-30T00:00:00"/>
    <x v="5"/>
    <s v="Series 2a"/>
    <n v="13590945.723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9.1704632822436905E-3"/>
    <x v="1"/>
    <n v="0"/>
    <x v="157"/>
  </r>
  <r>
    <d v="2015-07-31T00:00:00"/>
    <x v="5"/>
    <s v="Series 2a"/>
    <n v="13378057.584799999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  <m/>
    <m/>
    <m/>
    <d v="2015-07-31T00:00:00"/>
    <n v="-1.5663968021302765E-2"/>
    <x v="1"/>
    <n v="0"/>
    <x v="158"/>
  </r>
  <r>
    <d v="2015-08-31T00:00:00"/>
    <x v="5"/>
    <s v="Series 2a"/>
    <n v="13157791.4991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6464728470765744E-2"/>
    <x v="1"/>
    <n v="0"/>
    <x v="159"/>
  </r>
  <r>
    <d v="2015-09-30T00:00:00"/>
    <x v="5"/>
    <s v="Series 2a"/>
    <n v="13198297.230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0784597249822188E-3"/>
    <x v="1"/>
    <n v="0"/>
    <x v="160"/>
  </r>
  <r>
    <d v="2015-10-30T00:00:00"/>
    <x v="5"/>
    <s v="Series 2a"/>
    <n v="13556383.2576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  <m/>
    <m/>
    <m/>
    <d v="2015-10-30T00:00:00"/>
    <n v="2.7131229199416129E-2"/>
    <x v="1"/>
    <n v="0"/>
    <x v="161"/>
  </r>
  <r>
    <d v="2015-11-30T00:00:00"/>
    <x v="5"/>
    <s v="Series 2a"/>
    <n v="13466546.3895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1-30T00:00:00"/>
    <n v="-6.6269052956758889E-3"/>
    <x v="1"/>
    <n v="0"/>
    <x v="162"/>
  </r>
  <r>
    <d v="2015-12-31T00:00:00"/>
    <x v="5"/>
    <s v="Series 2a"/>
    <n v="13531806.58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4.8460972035413441E-3"/>
    <x v="1"/>
    <n v="0"/>
    <x v="163"/>
  </r>
  <r>
    <d v="2016-01-29T00:00:00"/>
    <x v="5"/>
    <s v="Series 2a"/>
    <n v="13396181.791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0022666934687008E-2"/>
    <x v="1"/>
    <n v="0"/>
    <x v="164"/>
  </r>
  <r>
    <d v="2016-02-29T00:00:00"/>
    <x v="5"/>
    <s v="Series 2a"/>
    <n v="13614130.793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2-29T00:00:00"/>
    <n v="1.6269486707783942E-2"/>
    <x v="1"/>
    <n v="0"/>
    <x v="165"/>
  </r>
  <r>
    <d v="2016-03-31T00:00:00"/>
    <x v="5"/>
    <s v="Series 2a"/>
    <n v="13790241.814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2935898991273787E-2"/>
    <x v="1"/>
    <n v="0"/>
    <x v="166"/>
  </r>
  <r>
    <d v="2016-04-29T00:00:00"/>
    <x v="5"/>
    <s v="Series 2a"/>
    <n v="14030215.676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7401715272999496E-2"/>
    <x v="1"/>
    <n v="0"/>
    <x v="167"/>
  </r>
  <r>
    <d v="2016-05-31T00:00:00"/>
    <x v="5"/>
    <s v="Series 2a"/>
    <n v="14341170.1615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2.216320067922517E-2"/>
    <x v="1"/>
    <n v="0"/>
    <x v="168"/>
  </r>
  <r>
    <d v="2016-06-30T00:00:00"/>
    <x v="5"/>
    <s v="Series 2a"/>
    <n v="14693824.256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4590329186963356E-2"/>
    <x v="1"/>
    <n v="0"/>
    <x v="169"/>
  </r>
  <r>
    <d v="2016-07-29T00:00:00"/>
    <x v="5"/>
    <s v="Series 2a"/>
    <n v="14904850.7207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4361575333415422E-2"/>
    <x v="1"/>
    <n v="0"/>
    <x v="170"/>
  </r>
  <r>
    <d v="2016-08-31T00:00:00"/>
    <x v="5"/>
    <s v="Series 2a"/>
    <n v="14865943.896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6103464388076425E-3"/>
    <x v="1"/>
    <n v="0"/>
    <x v="171"/>
  </r>
  <r>
    <d v="2016-09-30T00:00:00"/>
    <x v="5"/>
    <s v="Series 2a"/>
    <n v="15399456.744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5888259212039753E-2"/>
    <x v="1"/>
    <n v="0"/>
    <x v="172"/>
  </r>
  <r>
    <d v="2016-10-31T00:00:00"/>
    <x v="5"/>
    <s v="Series 2a"/>
    <n v="15890217.732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186872078235603E-2"/>
    <x v="1"/>
    <n v="0"/>
    <x v="173"/>
  </r>
  <r>
    <d v="2016-11-30T00:00:00"/>
    <x v="5"/>
    <s v="Series 2a"/>
    <n v="15960715.3856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4365442178950776E-3"/>
    <x v="1"/>
    <n v="0"/>
    <x v="174"/>
  </r>
  <r>
    <d v="2016-12-30T00:00:00"/>
    <x v="5"/>
    <s v="Series 2a"/>
    <n v="15775094.00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1.162989118692459E-2"/>
    <x v="1"/>
    <n v="0"/>
    <x v="175"/>
  </r>
  <r>
    <d v="2017-01-27T00:00:00"/>
    <x v="5"/>
    <s v="Series 2a"/>
    <n v="16009942.242400002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01-27T00:00:00"/>
    <n v="1.4887279908714079E-2"/>
    <x v="1"/>
    <n v="0"/>
    <x v="176"/>
  </r>
  <r>
    <d v="2017-02-28T00:00:00"/>
    <x v="5"/>
    <s v="Series 2a"/>
    <n v="16683268.5751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4.2056762142263615E-2"/>
    <x v="1"/>
    <n v="0"/>
    <x v="177"/>
  </r>
  <r>
    <d v="2017-03-31T00:00:00"/>
    <x v="5"/>
    <s v="Series 2a"/>
    <n v="16498679.47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1064324617682808E-2"/>
    <x v="1"/>
    <n v="0"/>
    <x v="178"/>
  </r>
  <r>
    <d v="2017-04-28T00:00:00"/>
    <x v="5"/>
    <s v="Series 2a"/>
    <n v="16468145.270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1.8507060546520959E-3"/>
    <x v="1"/>
    <n v="0"/>
    <x v="179"/>
  </r>
  <r>
    <d v="2017-05-31T00:00:00"/>
    <x v="5"/>
    <s v="Series 2a"/>
    <n v="15971631.22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3.014996767756839E-2"/>
    <x v="1"/>
    <n v="0"/>
    <x v="180"/>
  </r>
  <r>
    <d v="2017-06-30T00:00:00"/>
    <x v="5"/>
    <s v="Series 2a"/>
    <n v="16494341.709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2727432778870025E-2"/>
    <x v="1"/>
    <n v="0"/>
    <x v="181"/>
  </r>
  <r>
    <d v="2017-07-31T00:00:00"/>
    <x v="5"/>
    <s v="Series 2a"/>
    <n v="16944683.969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7302833197513587E-2"/>
    <x v="1"/>
    <n v="0"/>
    <x v="182"/>
  </r>
  <r>
    <d v="2017-08-31T00:00:00"/>
    <x v="5"/>
    <s v="Series 2a"/>
    <n v="169892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2.6271384039273649E-3"/>
    <x v="1"/>
    <n v="0"/>
    <x v="183"/>
  </r>
  <r>
    <d v="2017-09-29T00:00:00"/>
    <x v="5"/>
    <s v="Series 2a"/>
    <n v="16903192.986779157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  <m/>
    <m/>
    <m/>
    <d v="2017-09-29T00:00:00"/>
    <n v="-5.0624522179290032E-3"/>
    <x v="1"/>
    <n v="0"/>
    <x v="184"/>
  </r>
  <r>
    <d v="2017-10-31T00:00:00"/>
    <x v="5"/>
    <s v="Series 2a"/>
    <n v="169608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3.4080551092270372E-3"/>
    <x v="1"/>
    <n v="0"/>
    <x v="185"/>
  </r>
  <r>
    <d v="2017-11-30T00:00:00"/>
    <x v="5"/>
    <s v="Series 2a"/>
    <n v="169575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-1.9456629404268622E-4"/>
    <x v="1"/>
    <n v="0"/>
    <x v="186"/>
  </r>
  <r>
    <d v="2017-12-29T00:00:00"/>
    <x v="5"/>
    <s v="Series 2a"/>
    <n v="174193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2.7232787851982909E-2"/>
    <x v="1"/>
    <n v="0"/>
    <x v="187"/>
  </r>
  <r>
    <d v="2018-01-31T00:00:00"/>
    <x v="5"/>
    <s v="Series 2a"/>
    <n v="175797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9.2081771368539567E-3"/>
    <x v="1"/>
    <n v="0"/>
    <x v="188"/>
  </r>
  <r>
    <d v="2018-02-28T00:00:00"/>
    <x v="5"/>
    <s v="Series 2a"/>
    <n v="17774999.809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1109393789427546E-2"/>
    <x v="1"/>
    <n v="0"/>
    <x v="189"/>
  </r>
  <r>
    <d v="2018-03-29T00:00:00"/>
    <x v="5"/>
    <s v="Series 2a"/>
    <n v="17918458.056000002"/>
    <e v="#DIV/0!"/>
    <n v="12.5"/>
    <n v="0"/>
    <n v="0"/>
    <n v="0"/>
    <m/>
    <m/>
    <n v="0"/>
    <e v="#DIV/0!"/>
    <n v="0"/>
    <n v="0"/>
    <s v="Private Equity Fund"/>
    <n v="5.5369108026619186E-2"/>
    <n v="0.73888064399999986"/>
    <n v="0"/>
    <n v="0"/>
    <m/>
    <m/>
    <m/>
    <m/>
    <m/>
    <m/>
    <m/>
    <m/>
    <m/>
    <m/>
    <m/>
    <d v="2018-03-29T00:00:00"/>
    <n v="8.0707874843011229E-3"/>
    <x v="1"/>
    <n v="0"/>
    <x v="190"/>
  </r>
  <r>
    <d v="2018-04-30T00:00:00"/>
    <x v="5"/>
    <s v="Series 2a"/>
    <n v="18150563.9168"/>
    <e v="#DIV/0!"/>
    <n v="12.5"/>
    <n v="0"/>
    <n v="0"/>
    <n v="0"/>
    <m/>
    <m/>
    <n v="0"/>
    <e v="#DIV/0!"/>
    <n v="0"/>
    <n v="0"/>
    <s v="Private Equity Fund"/>
    <n v="0"/>
    <n v="0.77053143999999996"/>
    <n v="0"/>
    <n v="0"/>
    <m/>
    <m/>
    <m/>
    <m/>
    <m/>
    <m/>
    <m/>
    <m/>
    <m/>
    <m/>
    <m/>
    <d v="2018-04-30T00:00:00"/>
    <n v="1.2953450574519465E-2"/>
    <x v="1"/>
    <n v="0"/>
    <x v="191"/>
  </r>
  <r>
    <d v="2018-05-31T00:00:00"/>
    <x v="5"/>
    <s v="Series 2a"/>
    <n v="18262436.899999999"/>
    <e v="#DIV/0!"/>
    <n v="12.5"/>
    <n v="0"/>
    <n v="0"/>
    <n v="0"/>
    <m/>
    <m/>
    <n v="0"/>
    <e v="#DIV/0!"/>
    <n v="0"/>
    <n v="0"/>
    <s v="Private Equity Fund"/>
    <n v="0"/>
    <n v="0.78578685000000004"/>
    <n v="0"/>
    <n v="0"/>
    <m/>
    <m/>
    <m/>
    <m/>
    <m/>
    <m/>
    <m/>
    <m/>
    <m/>
    <m/>
    <m/>
    <d v="2018-05-31T00:00:00"/>
    <n v="6.1636092251904362E-3"/>
    <x v="1"/>
    <n v="0"/>
    <x v="192"/>
  </r>
  <r>
    <d v="2018-06-29T00:00:00"/>
    <x v="5"/>
    <s v="Series 2a"/>
    <n v="18347434.128800001"/>
    <e v="#DIV/0!"/>
    <n v="12.5"/>
    <n v="0"/>
    <n v="0"/>
    <n v="0"/>
    <m/>
    <m/>
    <n v="0"/>
    <e v="#DIV/0!"/>
    <n v="0"/>
    <n v="0"/>
    <s v="Private Equity Fund"/>
    <n v="5.8082179999999997E-2"/>
    <n v="0.79737738120000012"/>
    <n v="0"/>
    <n v="0"/>
    <m/>
    <m/>
    <m/>
    <m/>
    <m/>
    <m/>
    <m/>
    <m/>
    <m/>
    <m/>
    <m/>
    <d v="2018-06-29T00:00:00"/>
    <n v="4.6542106765610214E-3"/>
    <x v="1"/>
    <n v="0"/>
    <x v="193"/>
  </r>
  <r>
    <d v="2018-07-31T00:00:00"/>
    <x v="5"/>
    <s v="Series 2a"/>
    <n v="16928343.462400001"/>
    <s v=""/>
    <n v="12.5"/>
    <n v="0"/>
    <n v="0"/>
    <n v="0"/>
    <m/>
    <m/>
    <n v="0"/>
    <e v="#DIV/0!"/>
    <n v="0"/>
    <n v="0"/>
    <s v="Private Equity Fund"/>
    <n v="0"/>
    <n v="0.6038650176"/>
    <n v="0"/>
    <n v="0"/>
    <m/>
    <m/>
    <m/>
    <m/>
    <m/>
    <m/>
    <m/>
    <m/>
    <m/>
    <m/>
    <m/>
    <d v="2018-07-31T00:00:00"/>
    <n v="-7.7345456396676782E-2"/>
    <x v="1"/>
    <n v="0"/>
    <x v="194"/>
  </r>
  <r>
    <d v="2018-08-31T00:00:00"/>
    <x v="5"/>
    <s v="Series 2a"/>
    <n v="14215265.427999999"/>
    <s v=""/>
    <n v="12.5"/>
    <n v="0"/>
    <n v="0"/>
    <n v="-2742578.6"/>
    <m/>
    <m/>
    <n v="-2742578.6"/>
    <e v="#DIV/0!"/>
    <n v="-2742578.6"/>
    <n v="-2742578.6"/>
    <s v="Private Equity Fund"/>
    <n v="0"/>
    <n v="0.60788782199999991"/>
    <n v="0"/>
    <n v="0"/>
    <m/>
    <m/>
    <m/>
    <m/>
    <m/>
    <m/>
    <m/>
    <m/>
    <m/>
    <m/>
    <m/>
    <d v="2018-08-31T00:00:00"/>
    <n v="1.7426729121798878E-3"/>
    <x v="1"/>
    <n v="0"/>
    <x v="195"/>
  </r>
  <r>
    <d v="2018-09-28T00:00:00"/>
    <x v="5"/>
    <s v="Series 2a"/>
    <n v="15391233.584000001"/>
    <m/>
    <n v="12.5"/>
    <n v="0"/>
    <n v="0"/>
    <n v="0"/>
    <m/>
    <n v="0"/>
    <n v="0"/>
    <e v="#DIV/0!"/>
    <n v="0"/>
    <n v="0"/>
    <s v="Private Equity Fund"/>
    <n v="4.8490697976908977E-2"/>
    <n v="0.76824711599999984"/>
    <m/>
    <m/>
    <m/>
    <m/>
    <m/>
    <m/>
    <m/>
    <m/>
    <m/>
    <m/>
    <m/>
    <m/>
    <m/>
    <d v="2018-09-28T00:00:00"/>
    <n v="8.2725726224125218E-2"/>
    <x v="1"/>
    <n v="0"/>
    <x v="196"/>
  </r>
  <r>
    <d v="2018-10-31T00:00:00"/>
    <x v="5"/>
    <s v="Series 2a"/>
    <n v="15343742.5624"/>
    <m/>
    <n v="12.5"/>
    <n v="0"/>
    <n v="0"/>
    <n v="0"/>
    <n v="0"/>
    <m/>
    <n v="0"/>
    <e v="#DIV/0!"/>
    <n v="-15343742.5624"/>
    <n v="-15343742.5624"/>
    <s v="Private Equity Fund"/>
    <n v="1.7492357180470468E-2"/>
    <n v="0.76177106760000002"/>
    <m/>
    <m/>
    <m/>
    <m/>
    <m/>
    <m/>
    <m/>
    <m/>
    <m/>
    <m/>
    <m/>
    <m/>
    <m/>
    <d v="2018-10-31T00:00:00"/>
    <n v="-3.0855890361750626E-3"/>
    <x v="1"/>
    <n v="0"/>
    <x v="197"/>
  </r>
  <r>
    <d v="2013-10-31T00:00:00"/>
    <x v="5"/>
    <s v="Series 2b"/>
    <n v="250000"/>
    <e v="#DIV/0!"/>
    <n v="5"/>
    <n v="250000"/>
    <n v="0"/>
    <n v="0"/>
    <m/>
    <m/>
    <n v="250000"/>
    <e v="#DIV/0!"/>
    <n v="250000"/>
    <n v="250000"/>
    <s v="Private Equity Fund"/>
    <n v="0"/>
    <n v="0"/>
    <n v="0"/>
    <n v="0"/>
    <m/>
    <m/>
    <m/>
    <m/>
    <m/>
    <m/>
    <m/>
    <m/>
    <m/>
    <m/>
    <m/>
    <d v="2013-10-31T00:00:00"/>
    <n v="0"/>
    <x v="1"/>
    <n v="0"/>
    <x v="1"/>
  </r>
  <r>
    <d v="2013-11-29T00:00:00"/>
    <x v="5"/>
    <s v="Series 2b"/>
    <n v="244123.2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3-11-29T00:00:00"/>
    <n v="-2.3506999999999945E-2"/>
    <x v="1"/>
    <n v="0"/>
    <x v="2"/>
  </r>
  <r>
    <d v="2013-12-31T00:00:00"/>
    <x v="5"/>
    <s v="Series 2b"/>
    <n v="529195.446"/>
    <e v="#DIV/0!"/>
    <n v="5"/>
    <n v="270000"/>
    <n v="0"/>
    <n v="0"/>
    <m/>
    <m/>
    <n v="270000"/>
    <e v="#DIV/0!"/>
    <n v="270000"/>
    <n v="270000"/>
    <s v="Private Equity Fund"/>
    <n v="0"/>
    <n v="0"/>
    <n v="0"/>
    <n v="0"/>
    <m/>
    <m/>
    <m/>
    <m/>
    <m/>
    <m/>
    <m/>
    <m/>
    <m/>
    <m/>
    <m/>
    <d v="2013-12-31T00:00:00"/>
    <n v="6.1740108736058508E-2"/>
    <x v="1"/>
    <n v="0"/>
    <x v="3"/>
  </r>
  <r>
    <d v="2014-01-30T00:00:00"/>
    <x v="5"/>
    <s v="Series 2b"/>
    <n v="2235864.92"/>
    <e v="#DIV/0!"/>
    <n v="5"/>
    <n v="1725000"/>
    <n v="0"/>
    <n v="0"/>
    <m/>
    <m/>
    <n v="1725000"/>
    <e v="#DIV/0!"/>
    <n v="1725000"/>
    <n v="1725000"/>
    <s v="Private Equity Fund"/>
    <n v="0"/>
    <n v="0"/>
    <n v="0"/>
    <n v="0"/>
    <m/>
    <m/>
    <m/>
    <m/>
    <m/>
    <m/>
    <m/>
    <m/>
    <m/>
    <m/>
    <m/>
    <d v="2014-01-30T00:00:00"/>
    <n v="-3.4638480241192537E-2"/>
    <x v="1"/>
    <n v="0"/>
    <x v="4"/>
  </r>
  <r>
    <d v="2014-02-28T00:00:00"/>
    <x v="5"/>
    <s v="Series 2b"/>
    <n v="2236583.3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2-28T00:00:00"/>
    <n v="3.2130295241628026E-4"/>
    <x v="1"/>
    <n v="0"/>
    <x v="5"/>
  </r>
  <r>
    <d v="2014-03-31T00:00:00"/>
    <x v="5"/>
    <s v="Series 2b"/>
    <n v="2241521.1800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3-31T00:00:00"/>
    <n v="2.2077737850954016E-3"/>
    <x v="1"/>
    <n v="0"/>
    <x v="6"/>
  </r>
  <r>
    <d v="2014-04-30T00:00:00"/>
    <x v="5"/>
    <s v="Series 2b"/>
    <n v="2170327.50793077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4-30T00:00:00"/>
    <n v="-3.1761320260748183E-2"/>
    <x v="1"/>
    <n v="0"/>
    <x v="7"/>
  </r>
  <r>
    <d v="2014-05-30T00:00:00"/>
    <x v="5"/>
    <s v="Series 2b"/>
    <n v="2175954.57771003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5-30T00:00:00"/>
    <n v="2.5927284056013189E-3"/>
    <x v="1"/>
    <n v="0"/>
    <x v="8"/>
  </r>
  <r>
    <d v="2014-06-30T00:00:00"/>
    <x v="5"/>
    <s v="Series 2b"/>
    <n v="2158838.8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6-30T00:00:00"/>
    <n v="-7.8658478836687307E-3"/>
    <x v="1"/>
    <n v="0"/>
    <x v="9"/>
  </r>
  <r>
    <d v="2014-07-31T00:00:00"/>
    <x v="5"/>
    <s v="Series 2b"/>
    <n v="2203177.3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7-31T00:00:00"/>
    <n v="2.053813326548215E-2"/>
    <x v="1"/>
    <n v="0"/>
    <x v="10"/>
  </r>
  <r>
    <d v="2014-08-29T00:00:00"/>
    <x v="5"/>
    <s v="Series 2b"/>
    <n v="3306719.03"/>
    <e v="#DIV/0!"/>
    <n v="5"/>
    <n v="1085000"/>
    <n v="0"/>
    <n v="0"/>
    <m/>
    <m/>
    <n v="1085000"/>
    <e v="#DIV/0!"/>
    <n v="1085000"/>
    <n v="1085000"/>
    <s v="Private Equity Fund"/>
    <n v="0"/>
    <n v="0"/>
    <n v="0"/>
    <n v="0"/>
    <m/>
    <m/>
    <m/>
    <m/>
    <m/>
    <m/>
    <m/>
    <m/>
    <m/>
    <m/>
    <m/>
    <d v="2014-08-29T00:00:00"/>
    <n v="8.4158725722567329E-3"/>
    <x v="1"/>
    <n v="0"/>
    <x v="11"/>
  </r>
  <r>
    <d v="2014-09-30T00:00:00"/>
    <x v="5"/>
    <s v="Series 2b"/>
    <n v="3210611.3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9064374423127148E-2"/>
    <x v="1"/>
    <n v="0"/>
    <x v="12"/>
  </r>
  <r>
    <d v="2014-10-31T00:00:00"/>
    <x v="5"/>
    <s v="Series 2b"/>
    <n v="3985210.28"/>
    <e v="#DIV/0!"/>
    <n v="5"/>
    <n v="845000"/>
    <n v="0"/>
    <n v="0"/>
    <m/>
    <m/>
    <n v="845000"/>
    <e v="#DIV/0!"/>
    <n v="845000"/>
    <n v="845000"/>
    <s v="Private Equity Fund"/>
    <n v="0"/>
    <n v="0"/>
    <n v="0"/>
    <n v="0"/>
    <m/>
    <m/>
    <m/>
    <m/>
    <m/>
    <m/>
    <m/>
    <m/>
    <m/>
    <m/>
    <m/>
    <d v="2014-10-31T00:00:00"/>
    <n v="-2.1927609169233309E-2"/>
    <x v="1"/>
    <n v="0"/>
    <x v="149"/>
  </r>
  <r>
    <d v="2014-11-28T00:00:00"/>
    <x v="5"/>
    <s v="Series 2b"/>
    <n v="4034682.92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1.2414062627581046E-2"/>
    <x v="1"/>
    <n v="0"/>
    <x v="150"/>
  </r>
  <r>
    <d v="2014-12-31T00:00:00"/>
    <x v="5"/>
    <s v="Series 2b"/>
    <n v="4000393.9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8.4985562917578861E-3"/>
    <x v="1"/>
    <n v="0"/>
    <x v="151"/>
  </r>
  <r>
    <d v="2015-01-30T00:00:00"/>
    <x v="5"/>
    <s v="Series 2b"/>
    <n v="4682738.01"/>
    <e v="#DIV/0!"/>
    <n v="5"/>
    <n v="580000"/>
    <n v="0"/>
    <n v="0"/>
    <m/>
    <m/>
    <n v="580000"/>
    <e v="#DIV/0!"/>
    <n v="580000"/>
    <n v="580000"/>
    <s v="Private Equity Fund"/>
    <n v="0"/>
    <n v="0"/>
    <n v="0"/>
    <n v="0"/>
    <m/>
    <m/>
    <m/>
    <m/>
    <m/>
    <m/>
    <m/>
    <m/>
    <m/>
    <m/>
    <m/>
    <d v="2015-01-30T00:00:00"/>
    <n v="2.5583495345502083E-2"/>
    <x v="1"/>
    <n v="0"/>
    <x v="152"/>
  </r>
  <r>
    <d v="2015-02-27T00:00:00"/>
    <x v="5"/>
    <s v="Series 2b"/>
    <n v="4715774.5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2-27T00:00:00"/>
    <n v="7.0549686805989609E-3"/>
    <x v="1"/>
    <n v="0"/>
    <x v="153"/>
  </r>
  <r>
    <d v="2015-03-31T00:00:00"/>
    <x v="5"/>
    <s v="Series 2b"/>
    <n v="5043013.6500000004"/>
    <e v="#DIV/0!"/>
    <n v="5"/>
    <n v="240000"/>
    <n v="0"/>
    <n v="0"/>
    <m/>
    <m/>
    <n v="240000"/>
    <e v="#DIV/0!"/>
    <n v="240000"/>
    <n v="240000"/>
    <s v="Private Equity Fund"/>
    <n v="0"/>
    <n v="0"/>
    <n v="0"/>
    <n v="0"/>
    <m/>
    <m/>
    <m/>
    <m/>
    <m/>
    <m/>
    <m/>
    <m/>
    <m/>
    <m/>
    <m/>
    <d v="2015-03-31T00:00:00"/>
    <n v="1.849941478754924E-2"/>
    <x v="1"/>
    <n v="0"/>
    <x v="154"/>
  </r>
  <r>
    <d v="2015-04-30T00:00:00"/>
    <x v="5"/>
    <s v="Series 2b"/>
    <n v="5408016.7063999996"/>
    <e v="#DIV/0!"/>
    <n v="5"/>
    <n v="5000"/>
    <n v="0"/>
    <n v="0"/>
    <m/>
    <m/>
    <n v="5000"/>
    <e v="#DIV/0!"/>
    <n v="5000"/>
    <n v="5000"/>
    <s v="Private Equity Fund"/>
    <n v="0"/>
    <n v="0"/>
    <n v="0"/>
    <n v="0"/>
    <m/>
    <m/>
    <m/>
    <m/>
    <m/>
    <m/>
    <m/>
    <m/>
    <m/>
    <m/>
    <m/>
    <d v="2015-04-30T00:00:00"/>
    <n v="7.1386492558868975E-2"/>
    <x v="1"/>
    <n v="0"/>
    <x v="155"/>
  </r>
  <r>
    <d v="2015-05-29T00:00:00"/>
    <x v="5"/>
    <s v="Series 2b"/>
    <n v="5503822.2772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5-29T00:00:00"/>
    <n v="1.7715472418312173E-2"/>
    <x v="1"/>
    <n v="0"/>
    <x v="156"/>
  </r>
  <r>
    <d v="2015-06-30T00:00:00"/>
    <x v="5"/>
    <s v="Series 2b"/>
    <n v="5453826.5883999998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5-06-30T00:00:00"/>
    <n v="-9.0838123547539729E-3"/>
    <x v="1"/>
    <n v="0"/>
    <x v="157"/>
  </r>
  <r>
    <d v="2015-07-31T00:00:00"/>
    <x v="5"/>
    <s v="Series 2b"/>
    <n v="5365647.2655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1.6168340039918516E-2"/>
    <x v="1"/>
    <n v="0"/>
    <x v="158"/>
  </r>
  <r>
    <d v="2015-08-31T00:00:00"/>
    <x v="5"/>
    <s v="Series 2b"/>
    <n v="5274352.9884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7014587929642944E-2"/>
    <x v="1"/>
    <n v="0"/>
    <x v="159"/>
  </r>
  <r>
    <d v="2015-09-30T00:00:00"/>
    <x v="5"/>
    <s v="Series 2b"/>
    <n v="5292107.7372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3662420469484644E-3"/>
    <x v="1"/>
    <n v="0"/>
    <x v="160"/>
  </r>
  <r>
    <d v="2015-10-30T00:00:00"/>
    <x v="5"/>
    <s v="Series 2b"/>
    <n v="5440204.7463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7984503822357176E-2"/>
    <x v="1"/>
    <n v="0"/>
    <x v="161"/>
  </r>
  <r>
    <d v="2015-11-30T00:00:00"/>
    <x v="5"/>
    <s v="Series 2b"/>
    <n v="5406503.803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1-30T00:00:00"/>
    <n v="-6.1947931688234315E-3"/>
    <x v="1"/>
    <n v="0"/>
    <x v="162"/>
  </r>
  <r>
    <d v="2015-12-31T00:00:00"/>
    <x v="5"/>
    <s v="Series 2b"/>
    <n v="5434118.6336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5.1077057198509745E-3"/>
    <x v="1"/>
    <n v="0"/>
    <x v="163"/>
  </r>
  <r>
    <d v="2016-01-29T00:00:00"/>
    <x v="5"/>
    <s v="Series 2b"/>
    <n v="5375650.646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0759424138899631E-2"/>
    <x v="1"/>
    <n v="0"/>
    <x v="164"/>
  </r>
  <r>
    <d v="2016-02-29T00:00:00"/>
    <x v="5"/>
    <s v="Series 2b"/>
    <n v="5467670.417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2-29T00:00:00"/>
    <n v="1.7117885229692931E-2"/>
    <x v="1"/>
    <n v="0"/>
    <x v="165"/>
  </r>
  <r>
    <d v="2016-03-31T00:00:00"/>
    <x v="5"/>
    <s v="Series 2b"/>
    <n v="5544748.3760000002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6-03-31T00:00:00"/>
    <n v="1.4097038211654533E-2"/>
    <x v="1"/>
    <n v="0"/>
    <x v="166"/>
  </r>
  <r>
    <d v="2016-04-29T00:00:00"/>
    <x v="5"/>
    <s v="Series 2b"/>
    <n v="5640834.2615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7329169708746317E-2"/>
    <x v="1"/>
    <n v="0"/>
    <x v="167"/>
  </r>
  <r>
    <d v="2016-05-31T00:00:00"/>
    <x v="5"/>
    <s v="Series 2b"/>
    <n v="5771834.754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2.3223602524858222E-2"/>
    <x v="1"/>
    <n v="0"/>
    <x v="168"/>
  </r>
  <r>
    <d v="2016-06-30T00:00:00"/>
    <x v="5"/>
    <s v="Series 2b"/>
    <n v="5925349.201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659716608881979E-2"/>
    <x v="1"/>
    <n v="0"/>
    <x v="169"/>
  </r>
  <r>
    <d v="2016-07-29T00:00:00"/>
    <x v="5"/>
    <s v="Series 2b"/>
    <n v="6006646.474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3720249934393802E-2"/>
    <x v="1"/>
    <n v="0"/>
    <x v="170"/>
  </r>
  <r>
    <d v="2016-08-31T00:00:00"/>
    <x v="5"/>
    <s v="Series 2b"/>
    <n v="5991389.838000000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5399590380487114E-3"/>
    <x v="1"/>
    <n v="0"/>
    <x v="171"/>
  </r>
  <r>
    <d v="2016-09-30T00:00:00"/>
    <x v="5"/>
    <s v="Series 2b"/>
    <n v="6223342.9060000004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6-09-30T00:00:00"/>
    <n v="3.871440087721445E-2"/>
    <x v="1"/>
    <n v="0"/>
    <x v="172"/>
  </r>
  <r>
    <d v="2016-10-31T00:00:00"/>
    <x v="5"/>
    <s v="Series 2b"/>
    <n v="6429584.64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3140024439463067E-2"/>
    <x v="1"/>
    <n v="0"/>
    <x v="173"/>
  </r>
  <r>
    <d v="2016-11-30T00:00:00"/>
    <x v="5"/>
    <s v="Series 2b"/>
    <n v="6459037.5864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5808471370927251E-3"/>
    <x v="1"/>
    <n v="0"/>
    <x v="174"/>
  </r>
  <r>
    <d v="2016-12-30T00:00:00"/>
    <x v="5"/>
    <s v="Series 2b"/>
    <n v="6383377.9916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1.1713756699497591E-2"/>
    <x v="1"/>
    <n v="0"/>
    <x v="175"/>
  </r>
  <r>
    <d v="2017-01-27T00:00:00"/>
    <x v="5"/>
    <s v="Series 2b"/>
    <n v="6479560.33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506762383906568E-2"/>
    <x v="1"/>
    <n v="0"/>
    <x v="176"/>
  </r>
  <r>
    <d v="2017-02-28T00:00:00"/>
    <x v="5"/>
    <s v="Series 2b"/>
    <n v="6762283.4415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4.3633070332103729E-2"/>
    <x v="1"/>
    <n v="0"/>
    <x v="177"/>
  </r>
  <r>
    <d v="2017-03-31T00:00:00"/>
    <x v="5"/>
    <s v="Series 2b"/>
    <n v="6689070.6787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0826633256691309E-2"/>
    <x v="1"/>
    <n v="0"/>
    <x v="178"/>
  </r>
  <r>
    <d v="2017-04-28T00:00:00"/>
    <x v="5"/>
    <s v="Series 2b"/>
    <n v="6674150.072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2.2305947292931005E-3"/>
    <x v="1"/>
    <n v="0"/>
    <x v="179"/>
  </r>
  <r>
    <d v="2017-05-31T00:00:00"/>
    <x v="5"/>
    <s v="Series 2b"/>
    <n v="6470667.287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3.0488194417920167E-2"/>
    <x v="1"/>
    <n v="0"/>
    <x v="180"/>
  </r>
  <r>
    <d v="2017-06-30T00:00:00"/>
    <x v="5"/>
    <s v="Series 2b"/>
    <n v="6690350.546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3950634180713868E-2"/>
    <x v="1"/>
    <n v="0"/>
    <x v="181"/>
  </r>
  <r>
    <d v="2017-07-31T00:00:00"/>
    <x v="5"/>
    <s v="Series 2b"/>
    <n v="6876665.504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7848310446362712E-2"/>
    <x v="1"/>
    <n v="0"/>
    <x v="182"/>
  </r>
  <r>
    <d v="2017-08-31T00:00:00"/>
    <x v="5"/>
    <s v="Series 2b"/>
    <n v="6899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3.3205766637038892E-3"/>
    <x v="1"/>
    <n v="0"/>
    <x v="183"/>
  </r>
  <r>
    <d v="2017-09-29T00:00:00"/>
    <x v="5"/>
    <s v="Series 2b"/>
    <n v="6864496.364077932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5.0733583480060407E-3"/>
    <x v="1"/>
    <n v="0"/>
    <x v="184"/>
  </r>
  <r>
    <d v="2017-10-31T00:00:00"/>
    <x v="5"/>
    <s v="Series 2b"/>
    <n v="6886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3.2054261165048725E-3"/>
    <x v="1"/>
    <n v="0"/>
    <x v="185"/>
  </r>
  <r>
    <d v="2017-11-30T00:00:00"/>
    <x v="5"/>
    <s v="Series 2b"/>
    <n v="68893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4.0659260872732972E-4"/>
    <x v="1"/>
    <n v="0"/>
    <x v="186"/>
  </r>
  <r>
    <d v="2017-12-29T00:00:00"/>
    <x v="5"/>
    <s v="Series 2b"/>
    <n v="7083600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12-29T00:00:00"/>
    <n v="2.820315561813258E-2"/>
    <x v="1"/>
    <n v="0"/>
    <x v="187"/>
  </r>
  <r>
    <d v="2018-01-31T00:00:00"/>
    <x v="5"/>
    <s v="Series 2b"/>
    <n v="71486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9.1761251341127004E-3"/>
    <x v="1"/>
    <n v="0"/>
    <x v="188"/>
  </r>
  <r>
    <d v="2018-02-28T00:00:00"/>
    <x v="5"/>
    <s v="Series 2b"/>
    <n v="7231237.23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1559918025907168E-2"/>
    <x v="1"/>
    <n v="0"/>
    <x v="189"/>
  </r>
  <r>
    <d v="2018-03-29T00:00:00"/>
    <x v="5"/>
    <s v="Series 2b"/>
    <n v="7295664.2331999997"/>
    <e v="#DIV/0!"/>
    <n v="5"/>
    <n v="0"/>
    <n v="0"/>
    <n v="0"/>
    <m/>
    <m/>
    <n v="0"/>
    <e v="#DIV/0!"/>
    <n v="0"/>
    <n v="0"/>
    <s v="Private Equity Fund"/>
    <n v="1.8527213647000065E-2"/>
    <n v="0.19962297679999999"/>
    <n v="0"/>
    <n v="0"/>
    <m/>
    <m/>
    <m/>
    <m/>
    <m/>
    <m/>
    <m/>
    <m/>
    <m/>
    <m/>
    <m/>
    <d v="2018-03-29T00:00:00"/>
    <n v="8.9095408089658878E-3"/>
    <x v="1"/>
    <n v="0"/>
    <x v="190"/>
  </r>
  <r>
    <d v="2018-04-30T00:00:00"/>
    <x v="5"/>
    <s v="Series 2b"/>
    <n v="7387326.0872"/>
    <e v="#DIV/0!"/>
    <n v="5"/>
    <n v="0"/>
    <n v="0"/>
    <n v="0"/>
    <m/>
    <m/>
    <n v="0"/>
    <e v="#DIV/0!"/>
    <n v="0"/>
    <n v="0"/>
    <s v="Private Equity Fund"/>
    <n v="0"/>
    <n v="0.20759357000000001"/>
    <n v="0"/>
    <n v="0"/>
    <m/>
    <m/>
    <m/>
    <m/>
    <m/>
    <m/>
    <m/>
    <m/>
    <m/>
    <m/>
    <m/>
    <d v="2018-04-30T00:00:00"/>
    <n v="1.2563880555642726E-2"/>
    <x v="1"/>
    <n v="0"/>
    <x v="191"/>
  </r>
  <r>
    <d v="2018-05-31T00:00:00"/>
    <x v="5"/>
    <s v="Series 2b"/>
    <n v="7435216.4387999997"/>
    <e v="#DIV/0!"/>
    <n v="5"/>
    <n v="0"/>
    <n v="0"/>
    <n v="0"/>
    <m/>
    <m/>
    <n v="0"/>
    <e v="#DIV/0!"/>
    <n v="0"/>
    <n v="0"/>
    <s v="Private Equity Fund"/>
    <n v="0"/>
    <n v="0.21175795"/>
    <n v="0"/>
    <n v="0"/>
    <m/>
    <m/>
    <m/>
    <m/>
    <m/>
    <m/>
    <m/>
    <m/>
    <m/>
    <m/>
    <m/>
    <d v="2018-05-31T00:00:00"/>
    <n v="6.4827721200746424E-3"/>
    <x v="1"/>
    <n v="0"/>
    <x v="192"/>
  </r>
  <r>
    <d v="2018-06-29T00:00:00"/>
    <x v="5"/>
    <s v="Series 2b"/>
    <n v="7478541.5848000003"/>
    <e v="#DIV/0!"/>
    <n v="5"/>
    <n v="0"/>
    <n v="0"/>
    <n v="0"/>
    <m/>
    <m/>
    <n v="0"/>
    <e v="#DIV/0!"/>
    <n v="0"/>
    <n v="0"/>
    <s v="Private Equity Fund"/>
    <n v="1.9442270000000001E-2"/>
    <n v="0.21552535520000005"/>
    <n v="0"/>
    <n v="0"/>
    <m/>
    <m/>
    <m/>
    <m/>
    <m/>
    <m/>
    <m/>
    <m/>
    <m/>
    <m/>
    <m/>
    <d v="2018-06-29T00:00:00"/>
    <n v="5.8270188039062365E-3"/>
    <x v="1"/>
    <n v="0"/>
    <x v="193"/>
  </r>
  <r>
    <d v="2018-07-31T00:00:00"/>
    <x v="5"/>
    <s v="Series 2b"/>
    <n v="6472772.3676000005"/>
    <s v=""/>
    <n v="5"/>
    <n v="0"/>
    <n v="0"/>
    <n v="0"/>
    <m/>
    <m/>
    <n v="0"/>
    <e v="#DIV/0!"/>
    <n v="0"/>
    <n v="0"/>
    <s v="Private Equity Fund"/>
    <n v="0"/>
    <n v="0.12806716239999999"/>
    <n v="0"/>
    <n v="0"/>
    <m/>
    <m/>
    <m/>
    <m/>
    <m/>
    <m/>
    <m/>
    <m/>
    <m/>
    <m/>
    <m/>
    <d v="2018-07-31T00:00:00"/>
    <n v="-0.13448734700415488"/>
    <x v="1"/>
    <n v="0"/>
    <x v="194"/>
  </r>
  <r>
    <d v="2018-08-31T00:00:00"/>
    <x v="5"/>
    <s v="Series 2b"/>
    <n v="5389155.2359999996"/>
    <s v=""/>
    <n v="5"/>
    <n v="0"/>
    <n v="0"/>
    <n v="-1097031.44"/>
    <m/>
    <m/>
    <n v="-1097031.44"/>
    <e v="#DIV/0!"/>
    <n v="-1097031.44"/>
    <n v="-1097031.44"/>
    <s v="Private Equity Fund"/>
    <n v="0"/>
    <n v="0.12923362400000002"/>
    <n v="0"/>
    <n v="0"/>
    <m/>
    <m/>
    <m/>
    <m/>
    <m/>
    <m/>
    <m/>
    <m/>
    <m/>
    <m/>
    <m/>
    <d v="2018-08-31T00:00:00"/>
    <n v="2.0724208481586182E-3"/>
    <x v="1"/>
    <n v="0"/>
    <x v="195"/>
  </r>
  <r>
    <d v="2018-09-28T00:00:00"/>
    <x v="5"/>
    <s v="Series 2b"/>
    <n v="6295068.5272000004"/>
    <m/>
    <n v="5"/>
    <n v="0"/>
    <n v="0"/>
    <n v="0"/>
    <m/>
    <n v="0"/>
    <n v="0"/>
    <e v="#DIV/0!"/>
    <n v="0"/>
    <n v="0"/>
    <s v="Private Equity Fund"/>
    <n v="1.6253674272088788E-2"/>
    <n v="0.20800869279999998"/>
    <m/>
    <m/>
    <m/>
    <m/>
    <m/>
    <m/>
    <m/>
    <m/>
    <m/>
    <m/>
    <m/>
    <m/>
    <m/>
    <d v="2018-09-28T00:00:00"/>
    <n v="0.168099312699034"/>
    <x v="1"/>
    <n v="0"/>
    <x v="196"/>
  </r>
  <r>
    <d v="2018-10-31T00:00:00"/>
    <x v="5"/>
    <s v="Series 2b"/>
    <n v="6263279.5372000001"/>
    <m/>
    <n v="5"/>
    <n v="0"/>
    <n v="0"/>
    <n v="0"/>
    <n v="0"/>
    <m/>
    <n v="0"/>
    <e v="#DIV/0!"/>
    <n v="-6263279.5372000001"/>
    <n v="-6263279.5372000001"/>
    <s v="Private Equity Fund"/>
    <n v="5.853546798801435E-3"/>
    <n v="0.20524443279999999"/>
    <m/>
    <m/>
    <m/>
    <m/>
    <m/>
    <m/>
    <m/>
    <m/>
    <m/>
    <m/>
    <m/>
    <m/>
    <m/>
    <d v="2018-10-31T00:00:00"/>
    <n v="-5.0498242970103968E-3"/>
    <x v="1"/>
    <n v="0"/>
    <x v="197"/>
  </r>
  <r>
    <d v="2013-12-31T00:00:00"/>
    <x v="5"/>
    <s v="Series 3"/>
    <n v="478860"/>
    <e v="#DIV/0!"/>
    <n v="1.3879999999999999"/>
    <n v="478860"/>
    <n v="0"/>
    <n v="0"/>
    <m/>
    <m/>
    <n v="478860"/>
    <e v="#DIV/0!"/>
    <n v="478860"/>
    <n v="478860"/>
    <s v="Private Equity Fund"/>
    <n v="0"/>
    <n v="0"/>
    <n v="0"/>
    <n v="0"/>
    <m/>
    <m/>
    <m/>
    <m/>
    <m/>
    <m/>
    <m/>
    <m/>
    <m/>
    <m/>
    <m/>
    <d v="2013-12-31T00:00:00"/>
    <n v="0"/>
    <x v="1"/>
    <n v="0"/>
    <x v="3"/>
  </r>
  <r>
    <d v="2014-01-30T00:00:00"/>
    <x v="5"/>
    <s v="Series 3"/>
    <n v="476919.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1-30T00:00:00"/>
    <n v="-4.0517061354049533E-3"/>
    <x v="1"/>
    <n v="0"/>
    <x v="4"/>
  </r>
  <r>
    <d v="2014-02-28T00:00:00"/>
    <x v="5"/>
    <s v="Series 3"/>
    <n v="475396.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2-28T00:00:00"/>
    <n v="-3.1942477540247705E-3"/>
    <x v="1"/>
    <n v="0"/>
    <x v="5"/>
  </r>
  <r>
    <d v="2014-03-31T00:00:00"/>
    <x v="5"/>
    <s v="Series 3"/>
    <n v="475500.9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3-31T00:00:00"/>
    <n v="2.1983759237542699E-4"/>
    <x v="1"/>
    <n v="0"/>
    <x v="6"/>
  </r>
  <r>
    <d v="2014-04-30T00:00:00"/>
    <x v="5"/>
    <s v="Series 3"/>
    <n v="462809.9208905330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4-30T00:00:00"/>
    <n v="-2.6689726228845578E-2"/>
    <x v="1"/>
    <n v="0"/>
    <x v="7"/>
  </r>
  <r>
    <d v="2014-05-30T00:00:00"/>
    <x v="5"/>
    <s v="Series 3"/>
    <n v="461337.10230139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5-30T00:00:00"/>
    <n v="-3.1823401415013164E-3"/>
    <x v="1"/>
    <n v="0"/>
    <x v="8"/>
  </r>
  <r>
    <d v="2014-06-30T00:00:00"/>
    <x v="5"/>
    <s v="Series 3"/>
    <n v="462119.3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6-30T00:00:00"/>
    <n v="1.6955447430955228E-3"/>
    <x v="1"/>
    <n v="0"/>
    <x v="9"/>
  </r>
  <r>
    <d v="2014-07-31T00:00:00"/>
    <x v="5"/>
    <s v="Series 3"/>
    <n v="471061.43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7-31T00:00:00"/>
    <n v="1.9350218900174854E-2"/>
    <x v="1"/>
    <n v="0"/>
    <x v="10"/>
  </r>
  <r>
    <d v="2014-08-29T00:00:00"/>
    <x v="5"/>
    <s v="Series 3"/>
    <n v="789189.67"/>
    <e v="#DIV/0!"/>
    <n v="1.3879999999999999"/>
    <n v="312300"/>
    <n v="0"/>
    <n v="0"/>
    <m/>
    <m/>
    <n v="312300"/>
    <e v="#DIV/0!"/>
    <n v="312300"/>
    <n v="312300"/>
    <s v="Private Equity Fund"/>
    <n v="0"/>
    <n v="0"/>
    <n v="0"/>
    <n v="0"/>
    <m/>
    <m/>
    <m/>
    <m/>
    <m/>
    <m/>
    <m/>
    <m/>
    <m/>
    <m/>
    <m/>
    <d v="2014-08-29T00:00:00"/>
    <n v="1.2372568902531578E-2"/>
    <x v="1"/>
    <n v="0"/>
    <x v="11"/>
  </r>
  <r>
    <d v="2014-09-30T00:00:00"/>
    <x v="5"/>
    <s v="Series 3"/>
    <n v="769409.4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5064012812027858E-2"/>
    <x v="1"/>
    <n v="0"/>
    <x v="12"/>
  </r>
  <r>
    <d v="2014-10-31T00:00:00"/>
    <x v="5"/>
    <s v="Series 3"/>
    <n v="995186.97"/>
    <e v="#DIV/0!"/>
    <n v="1.3879999999999999"/>
    <n v="234572"/>
    <n v="0"/>
    <n v="0"/>
    <m/>
    <m/>
    <n v="234572"/>
    <e v="#DIV/0!"/>
    <n v="234572"/>
    <n v="234572"/>
    <s v="Private Equity Fund"/>
    <n v="0"/>
    <n v="0"/>
    <n v="0"/>
    <n v="0"/>
    <m/>
    <m/>
    <m/>
    <m/>
    <m/>
    <m/>
    <m/>
    <m/>
    <m/>
    <m/>
    <m/>
    <d v="2014-10-31T00:00:00"/>
    <n v="-1.1430117549511176E-2"/>
    <x v="1"/>
    <n v="0"/>
    <x v="149"/>
  </r>
  <r>
    <d v="2014-11-28T00:00:00"/>
    <x v="5"/>
    <s v="Series 3"/>
    <n v="1005153.6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1.0014912072251247E-2"/>
    <x v="1"/>
    <n v="0"/>
    <x v="150"/>
  </r>
  <r>
    <d v="2014-12-31T00:00:00"/>
    <x v="5"/>
    <s v="Series 3"/>
    <n v="998082.1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7.0352724570436065E-3"/>
    <x v="1"/>
    <n v="0"/>
    <x v="151"/>
  </r>
  <r>
    <d v="2015-01-30T00:00:00"/>
    <x v="5"/>
    <s v="Series 3"/>
    <n v="1186700.83"/>
    <e v="#DIV/0!"/>
    <n v="1.3879999999999999"/>
    <n v="161008"/>
    <n v="0"/>
    <n v="0"/>
    <m/>
    <m/>
    <n v="161008"/>
    <e v="#DIV/0!"/>
    <n v="161008"/>
    <n v="161008"/>
    <s v="Private Equity Fund"/>
    <n v="0"/>
    <n v="0"/>
    <n v="0"/>
    <n v="0"/>
    <m/>
    <m/>
    <m/>
    <m/>
    <m/>
    <m/>
    <m/>
    <m/>
    <m/>
    <m/>
    <m/>
    <d v="2015-01-30T00:00:00"/>
    <n v="2.7663734893966341E-2"/>
    <x v="1"/>
    <n v="0"/>
    <x v="152"/>
  </r>
  <r>
    <d v="2015-02-27T00:00:00"/>
    <x v="5"/>
    <s v="Series 3"/>
    <n v="1213847.8740000001"/>
    <e v="#DIV/0!"/>
    <n v="1.3879999999999999"/>
    <n v="19432"/>
    <n v="0"/>
    <n v="0"/>
    <m/>
    <m/>
    <n v="19432"/>
    <e v="#DIV/0!"/>
    <n v="19432"/>
    <n v="19432"/>
    <s v="Private Equity Fund"/>
    <n v="0"/>
    <n v="0"/>
    <n v="0"/>
    <n v="0"/>
    <m/>
    <m/>
    <m/>
    <m/>
    <m/>
    <m/>
    <m/>
    <m/>
    <m/>
    <m/>
    <m/>
    <d v="2015-02-27T00:00:00"/>
    <n v="6.5012544063021149E-3"/>
    <x v="1"/>
    <n v="0"/>
    <x v="153"/>
  </r>
  <r>
    <d v="2015-03-31T00:00:00"/>
    <x v="5"/>
    <s v="Series 3"/>
    <n v="1317230.17"/>
    <e v="#DIV/0!"/>
    <n v="1.3879999999999999"/>
    <n v="83280"/>
    <n v="0"/>
    <n v="0"/>
    <m/>
    <m/>
    <n v="83280"/>
    <e v="#DIV/0!"/>
    <n v="83280"/>
    <n v="83280"/>
    <s v="Private Equity Fund"/>
    <n v="0"/>
    <n v="0"/>
    <n v="0"/>
    <n v="0"/>
    <m/>
    <m/>
    <m/>
    <m/>
    <m/>
    <m/>
    <m/>
    <m/>
    <m/>
    <m/>
    <m/>
    <d v="2015-03-31T00:00:00"/>
    <n v="1.6560803400970325E-2"/>
    <x v="1"/>
    <n v="0"/>
    <x v="154"/>
  </r>
  <r>
    <d v="2015-04-30T00:00:00"/>
    <x v="5"/>
    <s v="Series 3"/>
    <n v="1404798.63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4-30T00:00:00"/>
    <n v="6.6479241057772143E-2"/>
    <x v="1"/>
    <n v="0"/>
    <x v="155"/>
  </r>
  <r>
    <d v="2015-05-29T00:00:00"/>
    <x v="5"/>
    <s v="Series 3"/>
    <n v="1424749.5430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5-29T00:00:00"/>
    <n v="1.4201972115815753E-2"/>
    <x v="1"/>
    <n v="0"/>
    <x v="156"/>
  </r>
  <r>
    <d v="2015-06-30T00:00:00"/>
    <x v="5"/>
    <s v="Series 3"/>
    <n v="1410189.3064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0219505997764111E-2"/>
    <x v="1"/>
    <n v="0"/>
    <x v="157"/>
  </r>
  <r>
    <d v="2015-07-31T00:00:00"/>
    <x v="5"/>
    <s v="Series 3"/>
    <n v="1487748.469"/>
    <e v="#DIV/0!"/>
    <n v="1.3879999999999999"/>
    <n v="98548"/>
    <n v="0"/>
    <n v="0"/>
    <m/>
    <m/>
    <n v="98548"/>
    <e v="#DIV/0!"/>
    <n v="98548"/>
    <n v="98548"/>
    <s v="Private Equity Fund"/>
    <n v="0"/>
    <n v="0"/>
    <n v="0"/>
    <n v="0"/>
    <m/>
    <m/>
    <m/>
    <m/>
    <m/>
    <m/>
    <m/>
    <m/>
    <m/>
    <m/>
    <m/>
    <d v="2015-07-31T00:00:00"/>
    <n v="-1.4883702069825588E-2"/>
    <x v="1"/>
    <n v="0"/>
    <x v="158"/>
  </r>
  <r>
    <d v="2015-08-31T00:00:00"/>
    <x v="5"/>
    <s v="Series 3"/>
    <n v="1466421.535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4335039789578841E-2"/>
    <x v="1"/>
    <n v="0"/>
    <x v="159"/>
  </r>
  <r>
    <d v="2015-09-30T00:00:00"/>
    <x v="5"/>
    <s v="Series 3"/>
    <n v="1469571.30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2.1479284255914166E-3"/>
    <x v="1"/>
    <n v="0"/>
    <x v="160"/>
  </r>
  <r>
    <d v="2015-10-30T00:00:00"/>
    <x v="5"/>
    <s v="Series 3"/>
    <n v="1506584.7834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5186582916564504E-2"/>
    <x v="1"/>
    <n v="0"/>
    <x v="161"/>
  </r>
  <r>
    <d v="2015-11-30T00:00:00"/>
    <x v="5"/>
    <s v="Series 3"/>
    <n v="1497037.04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1-30T00:00:00"/>
    <n v="-6.3373370052359768E-3"/>
    <x v="1"/>
    <n v="0"/>
    <x v="162"/>
  </r>
  <r>
    <d v="2015-12-31T00:00:00"/>
    <x v="5"/>
    <s v="Series 3"/>
    <n v="1506154.343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6.0902270335796427E-3"/>
    <x v="1"/>
    <n v="0"/>
    <x v="163"/>
  </r>
  <r>
    <d v="2016-01-29T00:00:00"/>
    <x v="5"/>
    <s v="Series 3"/>
    <n v="1495063.85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7.3634455511564223E-3"/>
    <x v="1"/>
    <n v="0"/>
    <x v="164"/>
  </r>
  <r>
    <d v="2016-02-29T00:00:00"/>
    <x v="5"/>
    <s v="Series 3"/>
    <n v="1517727.3145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2-29T00:00:00"/>
    <n v="1.5158855174465691E-2"/>
    <x v="1"/>
    <n v="0"/>
    <x v="165"/>
  </r>
  <r>
    <d v="2016-03-31T00:00:00"/>
    <x v="5"/>
    <s v="Series 3"/>
    <n v="1535606.8095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6-03-31T00:00:00"/>
    <n v="1.1780439627846029E-2"/>
    <x v="1"/>
    <n v="0"/>
    <x v="166"/>
  </r>
  <r>
    <d v="2016-04-29T00:00:00"/>
    <x v="5"/>
    <s v="Series 3"/>
    <n v="1561607.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6931802033663734E-2"/>
    <x v="1"/>
    <n v="0"/>
    <x v="167"/>
  </r>
  <r>
    <d v="2016-05-31T00:00:00"/>
    <x v="5"/>
    <s v="Series 3"/>
    <n v="1595990.85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2.2017987363533331E-2"/>
    <x v="1"/>
    <n v="0"/>
    <x v="168"/>
  </r>
  <r>
    <d v="2016-06-30T00:00:00"/>
    <x v="5"/>
    <s v="Series 3"/>
    <n v="1631030.6059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1954858924216447E-2"/>
    <x v="1"/>
    <n v="0"/>
    <x v="169"/>
  </r>
  <r>
    <d v="2016-07-29T00:00:00"/>
    <x v="5"/>
    <s v="Series 3"/>
    <n v="1656591.1854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5671428485750871E-2"/>
    <x v="1"/>
    <n v="0"/>
    <x v="170"/>
  </r>
  <r>
    <d v="2016-08-31T00:00:00"/>
    <x v="5"/>
    <s v="Series 3"/>
    <n v="1652188.7975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657498143497028E-3"/>
    <x v="1"/>
    <n v="0"/>
    <x v="171"/>
  </r>
  <r>
    <d v="2016-09-30T00:00:00"/>
    <x v="5"/>
    <s v="Series 3"/>
    <n v="1705542.447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2292707758781347E-2"/>
    <x v="1"/>
    <n v="0"/>
    <x v="172"/>
  </r>
  <r>
    <d v="2016-10-31T00:00:00"/>
    <x v="5"/>
    <s v="Series 3"/>
    <n v="1757509.6880000001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6-10-31T00:00:00"/>
    <n v="3.0469625998563954E-2"/>
    <x v="1"/>
    <n v="0"/>
    <x v="173"/>
  </r>
  <r>
    <d v="2016-11-30T00:00:00"/>
    <x v="5"/>
    <s v="Series 3"/>
    <n v="1765985.2675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8224937579974814E-3"/>
    <x v="1"/>
    <n v="0"/>
    <x v="174"/>
  </r>
  <r>
    <d v="2016-12-30T00:00:00"/>
    <x v="5"/>
    <s v="Series 3"/>
    <n v="1749611.173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9.2719312563575018E-3"/>
    <x v="1"/>
    <n v="0"/>
    <x v="175"/>
  </r>
  <r>
    <d v="2017-01-27T00:00:00"/>
    <x v="5"/>
    <s v="Series 3"/>
    <n v="1776669.1044999999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7-01-27T00:00:00"/>
    <n v="1.5465110997132214E-2"/>
    <x v="1"/>
    <n v="0"/>
    <x v="176"/>
  </r>
  <r>
    <d v="2017-02-28T00:00:00"/>
    <x v="5"/>
    <s v="Series 3"/>
    <n v="1846777.86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9460784409672378E-2"/>
    <x v="1"/>
    <n v="0"/>
    <x v="177"/>
  </r>
  <r>
    <d v="2017-03-31T00:00:00"/>
    <x v="5"/>
    <s v="Series 3"/>
    <n v="1822095.1869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3365264183227143E-2"/>
    <x v="1"/>
    <n v="0"/>
    <x v="178"/>
  </r>
  <r>
    <d v="2017-04-28T00:00:00"/>
    <x v="5"/>
    <s v="Series 3"/>
    <n v="1818473.771000000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1.9875009965655277E-3"/>
    <x v="1"/>
    <n v="0"/>
    <x v="179"/>
  </r>
  <r>
    <d v="2017-05-31T00:00:00"/>
    <x v="5"/>
    <s v="Series 3"/>
    <n v="1766358.97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8658538732368788E-2"/>
    <x v="1"/>
    <n v="0"/>
    <x v="180"/>
  </r>
  <r>
    <d v="2017-06-30T00:00:00"/>
    <x v="5"/>
    <s v="Series 3"/>
    <n v="1824437.9909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2880644300744777E-2"/>
    <x v="1"/>
    <n v="0"/>
    <x v="181"/>
  </r>
  <r>
    <d v="2017-07-31T00:00:00"/>
    <x v="5"/>
    <s v="Series 3"/>
    <n v="1869270.8330000001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7-07-31T00:00:00"/>
    <n v="2.457350823714588E-2"/>
    <x v="1"/>
    <n v="0"/>
    <x v="182"/>
  </r>
  <r>
    <d v="2017-08-31T00:00:00"/>
    <x v="5"/>
    <s v="Series 3"/>
    <n v="18752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3.1719143611117495E-3"/>
    <x v="1"/>
    <n v="0"/>
    <x v="183"/>
  </r>
  <r>
    <d v="2017-09-29T00:00:00"/>
    <x v="5"/>
    <s v="Series 3"/>
    <n v="1860868.776804926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7.6425038369635212E-3"/>
    <x v="1"/>
    <n v="0"/>
    <x v="184"/>
  </r>
  <r>
    <d v="2017-10-31T00:00:00"/>
    <x v="5"/>
    <s v="Series 3"/>
    <n v="18741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7.1102397761715341E-3"/>
    <x v="1"/>
    <n v="0"/>
    <x v="185"/>
  </r>
  <r>
    <d v="2017-11-30T00:00:00"/>
    <x v="5"/>
    <s v="Series 3"/>
    <n v="18721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-1.0671789125447084E-3"/>
    <x v="1"/>
    <n v="0"/>
    <x v="186"/>
  </r>
  <r>
    <d v="2017-12-29T00:00:00"/>
    <x v="5"/>
    <s v="Series 3"/>
    <n v="19196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2.5372576251268653E-2"/>
    <x v="1"/>
    <n v="0"/>
    <x v="187"/>
  </r>
  <r>
    <d v="2018-01-31T00:00:00"/>
    <x v="5"/>
    <s v="Series 3"/>
    <n v="19438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2606793081892054E-2"/>
    <x v="1"/>
    <n v="0"/>
    <x v="188"/>
  </r>
  <r>
    <d v="2018-02-28T00:00:00"/>
    <x v="5"/>
    <s v="Series 3"/>
    <n v="1962029.3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9.3781973454059031E-3"/>
    <x v="1"/>
    <n v="0"/>
    <x v="189"/>
  </r>
  <r>
    <d v="2018-03-29T00:00:00"/>
    <x v="5"/>
    <s v="Series 3"/>
    <n v="1970710.4620000001"/>
    <e v="#DIV/0!"/>
    <n v="1.3879999999999999"/>
    <n v="0"/>
    <n v="0"/>
    <n v="0"/>
    <m/>
    <m/>
    <n v="0"/>
    <e v="#DIV/0!"/>
    <n v="0"/>
    <n v="0"/>
    <s v="Private Equity Fund"/>
    <n v="7.6977349587588955E-3"/>
    <n v="0.10283125799999998"/>
    <n v="0"/>
    <n v="0"/>
    <m/>
    <m/>
    <m/>
    <m/>
    <m/>
    <m/>
    <m/>
    <m/>
    <m/>
    <m/>
    <m/>
    <d v="2018-03-29T00:00:00"/>
    <n v="4.424562784570707E-3"/>
    <x v="1"/>
    <n v="0"/>
    <x v="190"/>
  </r>
  <r>
    <d v="2018-04-30T00:00:00"/>
    <x v="5"/>
    <s v="Series 3"/>
    <n v="1996607.1484999999"/>
    <e v="#DIV/0!"/>
    <n v="1.3879999999999999"/>
    <n v="0"/>
    <n v="0"/>
    <n v="0"/>
    <m/>
    <m/>
    <n v="0"/>
    <e v="#DIV/0!"/>
    <n v="0"/>
    <n v="0"/>
    <s v="Private Equity Fund"/>
    <n v="0"/>
    <n v="0.10740126"/>
    <n v="0"/>
    <n v="0"/>
    <m/>
    <m/>
    <m/>
    <m/>
    <m/>
    <m/>
    <m/>
    <m/>
    <m/>
    <m/>
    <m/>
    <d v="2018-04-30T00:00:00"/>
    <n v="1.3140787040688995E-2"/>
    <x v="1"/>
    <n v="0"/>
    <x v="191"/>
  </r>
  <r>
    <d v="2018-05-31T00:00:00"/>
    <x v="5"/>
    <s v="Series 3"/>
    <n v="2008032.0834999999"/>
    <e v="#DIV/0!"/>
    <n v="1.3879999999999999"/>
    <n v="0"/>
    <n v="0"/>
    <n v="0"/>
    <m/>
    <m/>
    <n v="0"/>
    <e v="#DIV/0!"/>
    <n v="0"/>
    <n v="0"/>
    <s v="Private Equity Fund"/>
    <n v="0"/>
    <n v="0.10941743"/>
    <n v="0"/>
    <n v="0"/>
    <m/>
    <m/>
    <m/>
    <m/>
    <m/>
    <m/>
    <m/>
    <m/>
    <m/>
    <m/>
    <m/>
    <d v="2018-05-31T00:00:00"/>
    <n v="5.7221747445828086E-3"/>
    <x v="1"/>
    <n v="0"/>
    <x v="192"/>
  </r>
  <r>
    <d v="2018-06-29T00:00:00"/>
    <x v="5"/>
    <s v="Series 3"/>
    <n v="2012705.1115000001"/>
    <e v="#DIV/0!"/>
    <n v="1.3879999999999999"/>
    <n v="0"/>
    <n v="0"/>
    <n v="0"/>
    <m/>
    <m/>
    <n v="0"/>
    <e v="#DIV/0!"/>
    <n v="0"/>
    <n v="0"/>
    <s v="Private Equity Fund"/>
    <n v="8.0569500000000002E-3"/>
    <n v="0.11024207849999999"/>
    <n v="0"/>
    <n v="0"/>
    <m/>
    <m/>
    <m/>
    <m/>
    <m/>
    <m/>
    <m/>
    <m/>
    <m/>
    <m/>
    <m/>
    <d v="2018-06-29T00:00:00"/>
    <n v="2.3271679961682779E-3"/>
    <x v="1"/>
    <n v="0"/>
    <x v="193"/>
  </r>
  <r>
    <d v="2018-07-31T00:00:00"/>
    <x v="5"/>
    <s v="Series 3"/>
    <n v="2019547.2545"/>
    <s v=""/>
    <n v="1.3879999999999999"/>
    <n v="0"/>
    <n v="0"/>
    <n v="0"/>
    <m/>
    <m/>
    <n v="0"/>
    <e v="#DIV/0!"/>
    <n v="0"/>
    <n v="0"/>
    <s v="Private Equity Fund"/>
    <n v="0"/>
    <n v="0.1114495155"/>
    <n v="0"/>
    <n v="0"/>
    <m/>
    <m/>
    <m/>
    <m/>
    <m/>
    <m/>
    <m/>
    <m/>
    <m/>
    <m/>
    <m/>
    <d v="2018-07-31T00:00:00"/>
    <n v="3.3994761383104866E-3"/>
    <x v="1"/>
    <n v="0"/>
    <x v="194"/>
  </r>
  <r>
    <d v="2018-08-31T00:00:00"/>
    <x v="5"/>
    <s v="Series 3"/>
    <n v="2024332.7715"/>
    <s v=""/>
    <n v="1.3879999999999999"/>
    <n v="0"/>
    <n v="0"/>
    <n v="0"/>
    <m/>
    <m/>
    <n v="0"/>
    <e v="#DIV/0!"/>
    <n v="0"/>
    <n v="0"/>
    <s v="Private Equity Fund"/>
    <n v="0"/>
    <n v="0.11229401850000001"/>
    <n v="0"/>
    <n v="0"/>
    <m/>
    <m/>
    <m/>
    <m/>
    <m/>
    <m/>
    <m/>
    <m/>
    <m/>
    <m/>
    <m/>
    <d v="2018-08-31T00:00:00"/>
    <n v="2.3695989233907255E-3"/>
    <x v="1"/>
    <n v="0"/>
    <x v="195"/>
  </r>
  <r>
    <d v="2018-09-28T00:00:00"/>
    <x v="5"/>
    <s v="Series 3"/>
    <n v="1997981.6240000001"/>
    <m/>
    <n v="1.3879999999999999"/>
    <n v="0"/>
    <n v="0"/>
    <n v="0"/>
    <m/>
    <n v="0"/>
    <n v="0"/>
    <e v="#DIV/0!"/>
    <n v="0"/>
    <n v="0"/>
    <s v="Private Equity Fund"/>
    <n v="7.9040211368797807E-3"/>
    <n v="0.10764381599999999"/>
    <m/>
    <m/>
    <m/>
    <m/>
    <m/>
    <m/>
    <m/>
    <m/>
    <m/>
    <m/>
    <m/>
    <m/>
    <m/>
    <d v="2018-09-28T00:00:00"/>
    <n v="-1.3017201455704397E-2"/>
    <x v="1"/>
    <n v="0"/>
    <x v="196"/>
  </r>
  <r>
    <d v="2018-10-31T00:00:00"/>
    <x v="5"/>
    <s v="Series 3"/>
    <n v="2001814.5885000001"/>
    <m/>
    <n v="1.3879999999999999"/>
    <n v="0"/>
    <n v="0"/>
    <n v="0"/>
    <n v="0"/>
    <m/>
    <n v="0"/>
    <e v="#DIV/0!"/>
    <n v="-2001814.5885000001"/>
    <n v="-2001814.5885000001"/>
    <s v="Private Equity Fund"/>
    <n v="2.8655758604566439E-3"/>
    <n v="0.10832022149999999"/>
    <m/>
    <m/>
    <m/>
    <m/>
    <m/>
    <m/>
    <m/>
    <m/>
    <m/>
    <m/>
    <m/>
    <m/>
    <m/>
    <d v="2018-10-31T00:00:00"/>
    <n v="1.9184182947220574E-3"/>
    <x v="1"/>
    <n v="0"/>
    <x v="197"/>
  </r>
  <r>
    <d v="2014-08-05T00:00:00"/>
    <x v="5"/>
    <s v="Series 4"/>
    <n v="611040"/>
    <e v="#DIV/0!"/>
    <n v="5.36"/>
    <n v="611040"/>
    <n v="0"/>
    <n v="0"/>
    <m/>
    <m/>
    <n v="611040"/>
    <e v="#DIV/0!"/>
    <n v="611040"/>
    <n v="611040"/>
    <s v="Private Equity Fund"/>
    <n v="0"/>
    <n v="0"/>
    <n v="0"/>
    <n v="0"/>
    <m/>
    <m/>
    <m/>
    <m/>
    <m/>
    <m/>
    <m/>
    <m/>
    <m/>
    <m/>
    <m/>
    <d v="2014-08-05T00:00:00"/>
    <n v="0"/>
    <x v="1"/>
    <n v="0"/>
    <x v="11"/>
  </r>
  <r>
    <d v="2014-08-19T00:00:00"/>
    <x v="5"/>
    <s v="Series 4"/>
    <n v="1356080"/>
    <e v="#DIV/0!"/>
    <n v="5.36"/>
    <n v="745040"/>
    <n v="0"/>
    <n v="0"/>
    <m/>
    <m/>
    <n v="745040"/>
    <e v="#DIV/0!"/>
    <n v="745040"/>
    <n v="745040"/>
    <s v="Private Equity Fund"/>
    <n v="0"/>
    <n v="0"/>
    <n v="0"/>
    <n v="0"/>
    <m/>
    <m/>
    <m/>
    <m/>
    <m/>
    <m/>
    <m/>
    <m/>
    <m/>
    <m/>
    <m/>
    <d v="2014-08-19T00:00:00"/>
    <n v="0"/>
    <x v="1"/>
    <n v="0"/>
    <x v="11"/>
  </r>
  <r>
    <d v="2014-08-29T00:00:00"/>
    <x v="5"/>
    <s v="Series 4"/>
    <n v="1361855.2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8-29T00:00:00"/>
    <n v="4.2587900418853408E-3"/>
    <x v="1"/>
    <n v="0"/>
    <x v="11"/>
  </r>
  <r>
    <d v="2014-09-30T00:00:00"/>
    <x v="5"/>
    <s v="Series 4"/>
    <n v="1329933.120000000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3440185559807536E-2"/>
    <x v="1"/>
    <n v="0"/>
    <x v="12"/>
  </r>
  <r>
    <d v="2014-10-31T00:00:00"/>
    <x v="5"/>
    <s v="Series 4"/>
    <n v="2254028.6"/>
    <e v="#DIV/0!"/>
    <n v="5.36"/>
    <n v="905840"/>
    <n v="0"/>
    <n v="0"/>
    <m/>
    <m/>
    <n v="905840"/>
    <e v="#DIV/0!"/>
    <n v="905840"/>
    <n v="905840"/>
    <s v="Private Equity Fund"/>
    <n v="0"/>
    <n v="0"/>
    <n v="0"/>
    <n v="0"/>
    <m/>
    <m/>
    <m/>
    <m/>
    <m/>
    <m/>
    <m/>
    <m/>
    <m/>
    <m/>
    <m/>
    <d v="2014-10-31T00:00:00"/>
    <n v="1.372661506467332E-2"/>
    <x v="1"/>
    <n v="0"/>
    <x v="149"/>
  </r>
  <r>
    <d v="2014-11-28T00:00:00"/>
    <x v="5"/>
    <s v="Series 4"/>
    <n v="2306091.7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2.3097812512228089E-2"/>
    <x v="1"/>
    <n v="0"/>
    <x v="150"/>
  </r>
  <r>
    <d v="2014-12-31T00:00:00"/>
    <x v="5"/>
    <s v="Series 4"/>
    <n v="2319192.5299999998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5.6809535499264818E-3"/>
    <x v="1"/>
    <n v="0"/>
    <x v="151"/>
  </r>
  <r>
    <d v="2015-01-30T00:00:00"/>
    <x v="5"/>
    <s v="Series 4"/>
    <n v="3012891.62"/>
    <e v="#DIV/0!"/>
    <n v="5.36"/>
    <n v="621760"/>
    <n v="0"/>
    <n v="0"/>
    <m/>
    <m/>
    <n v="621760"/>
    <e v="#DIV/0!"/>
    <n v="621760"/>
    <n v="621760"/>
    <s v="Private Equity Fund"/>
    <n v="0"/>
    <n v="0"/>
    <n v="0"/>
    <n v="0"/>
    <m/>
    <m/>
    <m/>
    <m/>
    <m/>
    <m/>
    <m/>
    <m/>
    <m/>
    <m/>
    <m/>
    <d v="2015-01-30T00:00:00"/>
    <n v="3.1019024539545414E-2"/>
    <x v="1"/>
    <n v="0"/>
    <x v="152"/>
  </r>
  <r>
    <d v="2015-02-27T00:00:00"/>
    <x v="5"/>
    <s v="Series 4"/>
    <n v="3307051.67"/>
    <e v="#DIV/0!"/>
    <n v="5.36"/>
    <n v="249240"/>
    <n v="0"/>
    <n v="0"/>
    <m/>
    <m/>
    <n v="249240"/>
    <e v="#DIV/0!"/>
    <n v="249240"/>
    <n v="249240"/>
    <s v="Private Equity Fund"/>
    <n v="0"/>
    <n v="0"/>
    <n v="0"/>
    <n v="0"/>
    <m/>
    <m/>
    <m/>
    <m/>
    <m/>
    <m/>
    <m/>
    <m/>
    <m/>
    <m/>
    <m/>
    <d v="2015-02-27T00:00:00"/>
    <n v="1.4909281735132618E-2"/>
    <x v="1"/>
    <n v="0"/>
    <x v="153"/>
  </r>
  <r>
    <d v="2015-03-31T00:00:00"/>
    <x v="5"/>
    <s v="Series 4"/>
    <n v="3786701.32"/>
    <e v="#DIV/0!"/>
    <n v="5.36"/>
    <n v="380560"/>
    <n v="0"/>
    <n v="0"/>
    <m/>
    <m/>
    <n v="380560"/>
    <e v="#DIV/0!"/>
    <n v="380560"/>
    <n v="380560"/>
    <s v="Private Equity Fund"/>
    <n v="0"/>
    <n v="0"/>
    <n v="0"/>
    <n v="0"/>
    <m/>
    <m/>
    <m/>
    <m/>
    <m/>
    <m/>
    <m/>
    <m/>
    <m/>
    <m/>
    <m/>
    <d v="2015-03-31T00:00:00"/>
    <n v="2.9963139342180201E-2"/>
    <x v="1"/>
    <n v="0"/>
    <x v="154"/>
  </r>
  <r>
    <d v="2015-04-30T00:00:00"/>
    <x v="5"/>
    <s v="Series 4"/>
    <n v="4155725.0000000005"/>
    <e v="#DIV/0!"/>
    <n v="5.36"/>
    <n v="53600"/>
    <n v="0"/>
    <n v="0"/>
    <m/>
    <m/>
    <n v="53600"/>
    <e v="#DIV/0!"/>
    <n v="53600"/>
    <n v="53600"/>
    <s v="Private Equity Fund"/>
    <n v="0"/>
    <n v="0"/>
    <n v="0"/>
    <n v="0"/>
    <m/>
    <m/>
    <m/>
    <m/>
    <m/>
    <m/>
    <m/>
    <m/>
    <m/>
    <m/>
    <m/>
    <d v="2015-04-30T00:00:00"/>
    <n v="8.3297744750568503E-2"/>
    <x v="1"/>
    <n v="0"/>
    <x v="155"/>
  </r>
  <r>
    <d v="2015-05-29T00:00:00"/>
    <x v="5"/>
    <s v="Series 4"/>
    <n v="4340370.76"/>
    <e v="#DIV/0!"/>
    <n v="5.36"/>
    <n v="160800"/>
    <n v="0"/>
    <n v="0"/>
    <m/>
    <m/>
    <n v="160800"/>
    <e v="#DIV/0!"/>
    <n v="160800"/>
    <n v="160800"/>
    <s v="Private Equity Fund"/>
    <n v="0"/>
    <n v="0"/>
    <n v="0"/>
    <n v="0"/>
    <m/>
    <m/>
    <m/>
    <m/>
    <m/>
    <m/>
    <m/>
    <m/>
    <m/>
    <m/>
    <m/>
    <d v="2015-05-29T00:00:00"/>
    <n v="5.7380505206670041E-3"/>
    <x v="1"/>
    <n v="0"/>
    <x v="156"/>
  </r>
  <r>
    <d v="2015-06-30T00:00:00"/>
    <x v="5"/>
    <s v="Series 4"/>
    <n v="4280901.63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3701391721660183E-2"/>
    <x v="1"/>
    <n v="0"/>
    <x v="157"/>
  </r>
  <r>
    <d v="2015-07-31T00:00:00"/>
    <x v="5"/>
    <s v="Series 4"/>
    <n v="4359077.57"/>
    <e v="#DIV/0!"/>
    <n v="5.36"/>
    <n v="155440"/>
    <n v="0"/>
    <n v="0"/>
    <m/>
    <m/>
    <n v="155440"/>
    <e v="#DIV/0!"/>
    <n v="155440"/>
    <n v="155440"/>
    <s v="Private Equity Fund"/>
    <n v="0"/>
    <n v="0"/>
    <n v="0"/>
    <n v="0"/>
    <m/>
    <m/>
    <m/>
    <m/>
    <m/>
    <m/>
    <m/>
    <m/>
    <m/>
    <m/>
    <m/>
    <d v="2015-07-31T00:00:00"/>
    <n v="-1.8048550631964422E-2"/>
    <x v="1"/>
    <n v="0"/>
    <x v="158"/>
  </r>
  <r>
    <d v="2015-08-31T00:00:00"/>
    <x v="5"/>
    <s v="Series 4"/>
    <n v="4287609.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6395335676488099E-2"/>
    <x v="1"/>
    <n v="0"/>
    <x v="159"/>
  </r>
  <r>
    <d v="2015-09-30T00:00:00"/>
    <x v="5"/>
    <s v="Series 4"/>
    <n v="4310120.5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5.2503761053044329E-3"/>
    <x v="1"/>
    <n v="0"/>
    <x v="160"/>
  </r>
  <r>
    <d v="2015-10-30T00:00:00"/>
    <x v="5"/>
    <s v="Series 4"/>
    <n v="4443583.2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3.0964941052844086E-2"/>
    <x v="1"/>
    <n v="0"/>
    <x v="161"/>
  </r>
  <r>
    <d v="2015-11-30T00:00:00"/>
    <x v="5"/>
    <s v="Series 4"/>
    <n v="4670845.82"/>
    <e v="#DIV/0!"/>
    <n v="5.36"/>
    <n v="230480"/>
    <n v="0"/>
    <n v="0"/>
    <m/>
    <m/>
    <n v="230480"/>
    <e v="#DIV/0!"/>
    <n v="230480"/>
    <n v="230480"/>
    <s v="Private Equity Fund"/>
    <n v="0"/>
    <n v="0"/>
    <n v="0"/>
    <n v="0"/>
    <m/>
    <m/>
    <m/>
    <m/>
    <m/>
    <m/>
    <m/>
    <m/>
    <m/>
    <m/>
    <m/>
    <d v="2015-11-30T00:00:00"/>
    <n v="-7.2405530417851693E-4"/>
    <x v="1"/>
    <n v="0"/>
    <x v="162"/>
  </r>
  <r>
    <d v="2015-12-31T00:00:00"/>
    <x v="5"/>
    <s v="Series 4"/>
    <n v="4713172.11000000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9.0618041423597973E-3"/>
    <x v="1"/>
    <n v="0"/>
    <x v="163"/>
  </r>
  <r>
    <d v="2016-01-29T00:00:00"/>
    <x v="5"/>
    <s v="Series 4"/>
    <n v="4645760.9000000004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4302726152726875E-2"/>
    <x v="1"/>
    <n v="0"/>
    <x v="164"/>
  </r>
  <r>
    <d v="2016-02-29T00:00:00"/>
    <x v="5"/>
    <s v="Series 4"/>
    <n v="5998952.4000000004"/>
    <e v="#DIV/0!"/>
    <n v="5.36"/>
    <n v="1246200"/>
    <n v="0"/>
    <n v="0"/>
    <m/>
    <m/>
    <n v="1246200"/>
    <e v="#DIV/0!"/>
    <n v="1246200"/>
    <n v="1246200"/>
    <s v="Private Equity Fund"/>
    <n v="0"/>
    <n v="0"/>
    <n v="0"/>
    <n v="0"/>
    <m/>
    <m/>
    <m/>
    <m/>
    <m/>
    <m/>
    <m/>
    <m/>
    <m/>
    <m/>
    <m/>
    <d v="2016-02-29T00:00:00"/>
    <n v="2.3029919598315907E-2"/>
    <x v="1"/>
    <n v="0"/>
    <x v="165"/>
  </r>
  <r>
    <d v="2016-03-31T00:00:00"/>
    <x v="5"/>
    <s v="Series 4"/>
    <n v="6073133.4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2365669045815375E-2"/>
    <x v="1"/>
    <n v="0"/>
    <x v="166"/>
  </r>
  <r>
    <d v="2016-04-29T00:00:00"/>
    <x v="5"/>
    <s v="Series 4"/>
    <n v="6144593.599999999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1766601289213252E-2"/>
    <x v="1"/>
    <n v="0"/>
    <x v="167"/>
  </r>
  <r>
    <d v="2016-05-31T00:00:00"/>
    <x v="5"/>
    <s v="Series 4"/>
    <n v="6225331.63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3139687545812739E-2"/>
    <x v="1"/>
    <n v="0"/>
    <x v="168"/>
  </r>
  <r>
    <d v="2016-06-30T00:00:00"/>
    <x v="5"/>
    <s v="Series 4"/>
    <n v="6439846.7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3.4458416419402171E-2"/>
    <x v="1"/>
    <n v="0"/>
    <x v="169"/>
  </r>
  <r>
    <d v="2016-07-29T00:00:00"/>
    <x v="5"/>
    <s v="Series 4"/>
    <n v="6491037.92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7.9491364166337508E-3"/>
    <x v="1"/>
    <n v="0"/>
    <x v="170"/>
  </r>
  <r>
    <d v="2016-08-31T00:00:00"/>
    <x v="5"/>
    <s v="Series 4"/>
    <n v="6480549.96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1.615760085382778E-3"/>
    <x v="1"/>
    <n v="0"/>
    <x v="171"/>
  </r>
  <r>
    <d v="2016-09-30T00:00:00"/>
    <x v="5"/>
    <s v="Series 4"/>
    <n v="6803889.12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4.9893783937599911E-2"/>
    <x v="1"/>
    <n v="0"/>
    <x v="172"/>
  </r>
  <r>
    <d v="2016-10-31T00:00:00"/>
    <x v="5"/>
    <s v="Series 4"/>
    <n v="7047647.740000000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5826364207671935E-2"/>
    <x v="1"/>
    <n v="0"/>
    <x v="173"/>
  </r>
  <r>
    <d v="2016-11-30T00:00:00"/>
    <x v="5"/>
    <s v="Series 4"/>
    <n v="7085855.7599999998"/>
    <e v="#DIV/0!"/>
    <n v="5.36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6-11-30T00:00:00"/>
    <n v="5.4213861716079226E-3"/>
    <x v="1"/>
    <n v="0"/>
    <x v="174"/>
  </r>
  <r>
    <d v="2016-12-30T00:00:00"/>
    <x v="5"/>
    <s v="Series 4"/>
    <n v="7050644.88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4.9691767928394803E-3"/>
    <x v="1"/>
    <n v="0"/>
    <x v="175"/>
  </r>
  <r>
    <d v="2017-01-27T00:00:00"/>
    <x v="5"/>
    <s v="Series 4"/>
    <n v="7160134.9800000004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5529088715741768E-2"/>
    <x v="1"/>
    <n v="0"/>
    <x v="176"/>
  </r>
  <r>
    <d v="2017-02-28T00:00:00"/>
    <x v="5"/>
    <s v="Series 4"/>
    <n v="7477471.910000000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4.4319964761334596E-2"/>
    <x v="1"/>
    <n v="0"/>
    <x v="177"/>
  </r>
  <r>
    <d v="2017-03-31T00:00:00"/>
    <x v="5"/>
    <s v="Series 4"/>
    <n v="7379042.87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316341019862155E-2"/>
    <x v="1"/>
    <n v="0"/>
    <x v="178"/>
  </r>
  <r>
    <d v="2017-04-28T00:00:00"/>
    <x v="5"/>
    <s v="Series 4"/>
    <n v="7339903.350000000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5.3041472500562348E-3"/>
    <x v="1"/>
    <n v="0"/>
    <x v="179"/>
  </r>
  <r>
    <d v="2017-05-31T00:00:00"/>
    <x v="5"/>
    <s v="Series 4"/>
    <n v="7155239.62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515887624051627E-2"/>
    <x v="1"/>
    <n v="0"/>
    <x v="180"/>
  </r>
  <r>
    <d v="2017-06-30T00:00:00"/>
    <x v="5"/>
    <s v="Series 4"/>
    <n v="7447567.61000000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4.0855092927195358E-2"/>
    <x v="1"/>
    <n v="0"/>
    <x v="181"/>
  </r>
  <r>
    <d v="2017-07-31T00:00:00"/>
    <x v="5"/>
    <s v="Series 4"/>
    <n v="7613230.5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2243892056456271E-2"/>
    <x v="1"/>
    <n v="0"/>
    <x v="182"/>
  </r>
  <r>
    <d v="2017-08-31T00:00:00"/>
    <x v="5"/>
    <s v="Series 4"/>
    <n v="76623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6.445292835938643E-3"/>
    <x v="1"/>
    <n v="0"/>
    <x v="183"/>
  </r>
  <r>
    <d v="2017-09-29T00:00:00"/>
    <x v="5"/>
    <s v="Series 4"/>
    <n v="7625108.6931535918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4.8538045817062558E-3"/>
    <x v="1"/>
    <n v="0"/>
    <x v="184"/>
  </r>
  <r>
    <d v="2017-10-31T00:00:00"/>
    <x v="5"/>
    <s v="Series 4"/>
    <n v="7665296.490000000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5.2704556044547157E-3"/>
    <x v="1"/>
    <n v="0"/>
    <x v="185"/>
  </r>
  <r>
    <d v="2017-11-30T00:00:00"/>
    <x v="5"/>
    <s v="Series 4"/>
    <n v="77047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5.1405069655694469E-3"/>
    <x v="1"/>
    <n v="0"/>
    <x v="186"/>
  </r>
  <r>
    <d v="2017-12-29T00:00:00"/>
    <x v="5"/>
    <s v="Series 4"/>
    <n v="81084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5.2396589094968027E-2"/>
    <x v="1"/>
    <n v="0"/>
    <x v="187"/>
  </r>
  <r>
    <d v="2018-01-31T00:00:00"/>
    <x v="5"/>
    <s v="Series 4"/>
    <n v="82018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1518918652261956E-2"/>
    <x v="1"/>
    <n v="0"/>
    <x v="188"/>
  </r>
  <r>
    <d v="2018-02-28T00:00:00"/>
    <x v="5"/>
    <s v="Series 4"/>
    <n v="8286601.490000000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0339375502938397E-2"/>
    <x v="1"/>
    <n v="0"/>
    <x v="189"/>
  </r>
  <r>
    <d v="2018-03-29T00:00:00"/>
    <x v="5"/>
    <s v="Series 4"/>
    <n v="8385406.57000000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3-29T00:00:00"/>
    <n v="1.1923474312024673E-2"/>
    <x v="1"/>
    <n v="0"/>
    <x v="190"/>
  </r>
  <r>
    <d v="2018-04-30T00:00:00"/>
    <x v="5"/>
    <s v="Series 4"/>
    <n v="8455532.539999999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4-30T00:00:00"/>
    <n v="8.3628586657782389E-3"/>
    <x v="1"/>
    <n v="0"/>
    <x v="191"/>
  </r>
  <r>
    <d v="2018-05-31T00:00:00"/>
    <x v="5"/>
    <s v="Series 4"/>
    <n v="8521073.66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5-31T00:00:00"/>
    <n v="7.7512716898611167E-3"/>
    <x v="1"/>
    <n v="0"/>
    <x v="192"/>
  </r>
  <r>
    <d v="2018-06-29T00:00:00"/>
    <x v="5"/>
    <s v="Series 4"/>
    <n v="8604963.5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6-29T00:00:00"/>
    <n v="9.8449835371510197E-3"/>
    <x v="1"/>
    <n v="0"/>
    <x v="193"/>
  </r>
  <r>
    <d v="2018-07-31T00:00:00"/>
    <x v="5"/>
    <s v="Series 4"/>
    <n v="8562379.1999999993"/>
    <s v="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7-31T00:00:00"/>
    <n v="-4.9488065812249848E-3"/>
    <x v="1"/>
    <n v="0"/>
    <x v="194"/>
  </r>
  <r>
    <d v="2018-08-31T00:00:00"/>
    <x v="5"/>
    <s v="Series 4"/>
    <n v="8594662.0099999998"/>
    <s v="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8-31T00:00:00"/>
    <n v="3.7703083741025267E-3"/>
    <x v="1"/>
    <n v="0"/>
    <x v="195"/>
  </r>
  <r>
    <d v="2018-09-28T00:00:00"/>
    <x v="5"/>
    <s v="Series 4"/>
    <n v="8562986.9000000004"/>
    <m/>
    <n v="5.36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3.6854398652494957E-3"/>
    <x v="1"/>
    <n v="0"/>
    <x v="196"/>
  </r>
  <r>
    <d v="2018-10-31T00:00:00"/>
    <x v="5"/>
    <s v="Series 4"/>
    <n v="8468736.7400000002"/>
    <m/>
    <n v="5.36"/>
    <n v="0"/>
    <n v="0"/>
    <n v="0"/>
    <n v="0"/>
    <m/>
    <n v="0"/>
    <e v="#DIV/0!"/>
    <n v="-8468736.7400000002"/>
    <n v="-8468736.7400000002"/>
    <s v="Private Equity Fund"/>
    <n v="0"/>
    <n v="0"/>
    <m/>
    <m/>
    <m/>
    <m/>
    <m/>
    <m/>
    <m/>
    <m/>
    <m/>
    <m/>
    <m/>
    <m/>
    <m/>
    <d v="2018-10-31T00:00:00"/>
    <n v="-1.1006692069095658E-2"/>
    <x v="1"/>
    <n v="0"/>
    <x v="197"/>
  </r>
  <r>
    <d v="2014-08-05T00:00:00"/>
    <x v="5"/>
    <s v="Series 5"/>
    <n v="300080"/>
    <e v="#DIV/0!"/>
    <n v="2.63"/>
    <n v="300080"/>
    <n v="0"/>
    <n v="0"/>
    <m/>
    <m/>
    <n v="300080"/>
    <e v="#DIV/0!"/>
    <n v="300080"/>
    <n v="300080"/>
    <s v="Private Equity Fund"/>
    <n v="0"/>
    <n v="0"/>
    <n v="0"/>
    <n v="0"/>
    <m/>
    <m/>
    <m/>
    <m/>
    <m/>
    <m/>
    <m/>
    <m/>
    <m/>
    <m/>
    <m/>
    <d v="2014-08-05T00:00:00"/>
    <n v="0"/>
    <x v="1"/>
    <n v="0"/>
    <x v="11"/>
  </r>
  <r>
    <d v="2014-08-19T00:00:00"/>
    <x v="5"/>
    <s v="Series 5"/>
    <n v="665910"/>
    <e v="#DIV/0!"/>
    <n v="2.63"/>
    <n v="365830"/>
    <n v="0"/>
    <n v="0"/>
    <m/>
    <m/>
    <n v="365830"/>
    <e v="#DIV/0!"/>
    <n v="365830"/>
    <n v="365830"/>
    <s v="Private Equity Fund"/>
    <n v="0"/>
    <n v="0"/>
    <n v="0"/>
    <n v="0"/>
    <m/>
    <m/>
    <m/>
    <m/>
    <m/>
    <m/>
    <m/>
    <m/>
    <m/>
    <m/>
    <m/>
    <d v="2014-08-19T00:00:00"/>
    <n v="0"/>
    <x v="1"/>
    <n v="0"/>
    <x v="11"/>
  </r>
  <r>
    <d v="2014-08-29T00:00:00"/>
    <x v="5"/>
    <s v="Series 5"/>
    <n v="667641.24600000004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8-29T00:00:00"/>
    <n v="2.5998197954679725E-3"/>
    <x v="1"/>
    <n v="0"/>
    <x v="11"/>
  </r>
  <r>
    <d v="2014-09-30T00:00:00"/>
    <x v="5"/>
    <s v="Series 5"/>
    <n v="650611.2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5507645164271397E-2"/>
    <x v="1"/>
    <n v="0"/>
    <x v="12"/>
  </r>
  <r>
    <d v="2014-10-31T00:00:00"/>
    <x v="5"/>
    <s v="Series 5"/>
    <n v="1103306.8999999999"/>
    <e v="#DIV/0!"/>
    <n v="2.63"/>
    <n v="444470"/>
    <n v="0"/>
    <n v="0"/>
    <m/>
    <m/>
    <n v="444470"/>
    <e v="#DIV/0!"/>
    <n v="444470"/>
    <n v="444470"/>
    <s v="Private Equity Fund"/>
    <n v="0"/>
    <n v="0"/>
    <n v="0"/>
    <n v="0"/>
    <m/>
    <m/>
    <m/>
    <m/>
    <m/>
    <m/>
    <m/>
    <m/>
    <m/>
    <m/>
    <m/>
    <d v="2014-10-31T00:00:00"/>
    <n v="1.2642894653733805E-2"/>
    <x v="1"/>
    <n v="0"/>
    <x v="149"/>
  </r>
  <r>
    <d v="2014-11-28T00:00:00"/>
    <x v="5"/>
    <s v="Series 5"/>
    <n v="1125599.114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2.0204907628149638E-2"/>
    <x v="1"/>
    <n v="0"/>
    <x v="150"/>
  </r>
  <r>
    <d v="2014-12-31T00:00:00"/>
    <x v="5"/>
    <s v="Series 5"/>
    <n v="1128516.96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2.592260391562462E-3"/>
    <x v="1"/>
    <n v="0"/>
    <x v="151"/>
  </r>
  <r>
    <d v="2015-01-30T00:00:00"/>
    <x v="5"/>
    <s v="Series 5"/>
    <n v="1465704.2904999999"/>
    <e v="#DIV/0!"/>
    <n v="2.63"/>
    <n v="305080"/>
    <n v="0"/>
    <n v="0"/>
    <m/>
    <m/>
    <n v="305080"/>
    <e v="#DIV/0!"/>
    <n v="305080"/>
    <n v="305080"/>
    <s v="Private Equity Fund"/>
    <n v="0"/>
    <n v="0"/>
    <n v="0"/>
    <n v="0"/>
    <m/>
    <m/>
    <m/>
    <m/>
    <m/>
    <m/>
    <m/>
    <m/>
    <m/>
    <m/>
    <m/>
    <d v="2015-01-30T00:00:00"/>
    <n v="2.8450906488813432E-2"/>
    <x v="1"/>
    <n v="0"/>
    <x v="152"/>
  </r>
  <r>
    <d v="2015-02-27T00:00:00"/>
    <x v="5"/>
    <s v="Series 5"/>
    <n v="1604997.6754999999"/>
    <e v="#DIV/0!"/>
    <n v="2.63"/>
    <n v="122295"/>
    <n v="0"/>
    <n v="0"/>
    <m/>
    <m/>
    <n v="122295"/>
    <e v="#DIV/0!"/>
    <n v="122295"/>
    <n v="122295"/>
    <s v="Private Equity Fund"/>
    <n v="0"/>
    <n v="0"/>
    <n v="0"/>
    <n v="0"/>
    <m/>
    <m/>
    <m/>
    <m/>
    <m/>
    <m/>
    <m/>
    <m/>
    <m/>
    <m/>
    <m/>
    <d v="2015-02-27T00:00:00"/>
    <n v="1.1597417780772945E-2"/>
    <x v="1"/>
    <n v="0"/>
    <x v="153"/>
  </r>
  <r>
    <d v="2015-03-31T00:00:00"/>
    <x v="5"/>
    <s v="Series 5"/>
    <n v="1837353.1429999999"/>
    <e v="#DIV/0!"/>
    <n v="2.63"/>
    <n v="197250"/>
    <n v="0"/>
    <n v="0"/>
    <m/>
    <m/>
    <n v="197250"/>
    <e v="#DIV/0!"/>
    <n v="197250"/>
    <n v="197250"/>
    <s v="Private Equity Fund"/>
    <n v="0"/>
    <n v="0"/>
    <n v="0"/>
    <n v="0"/>
    <m/>
    <m/>
    <m/>
    <m/>
    <m/>
    <m/>
    <m/>
    <m/>
    <m/>
    <m/>
    <m/>
    <d v="2015-03-31T00:00:00"/>
    <n v="2.187259709835021E-2"/>
    <x v="1"/>
    <n v="0"/>
    <x v="154"/>
  </r>
  <r>
    <d v="2015-04-30T00:00:00"/>
    <x v="5"/>
    <s v="Series 5"/>
    <n v="2002566.909"/>
    <e v="#DIV/0!"/>
    <n v="2.63"/>
    <n v="26300"/>
    <n v="0"/>
    <n v="0"/>
    <m/>
    <m/>
    <n v="26300"/>
    <e v="#DIV/0!"/>
    <n v="26300"/>
    <n v="26300"/>
    <s v="Private Equity Fund"/>
    <n v="0"/>
    <n v="0"/>
    <n v="0"/>
    <n v="0"/>
    <m/>
    <m/>
    <m/>
    <m/>
    <m/>
    <m/>
    <m/>
    <m/>
    <m/>
    <m/>
    <m/>
    <d v="2015-04-30T00:00:00"/>
    <n v="7.5605370981206121E-2"/>
    <x v="1"/>
    <n v="0"/>
    <x v="155"/>
  </r>
  <r>
    <d v="2015-05-29T00:00:00"/>
    <x v="5"/>
    <s v="Series 5"/>
    <n v="2084092.9754999999"/>
    <e v="#DIV/0!"/>
    <n v="2.63"/>
    <n v="78900"/>
    <n v="0"/>
    <n v="0"/>
    <m/>
    <m/>
    <n v="78900"/>
    <e v="#DIV/0!"/>
    <n v="78900"/>
    <n v="78900"/>
    <s v="Private Equity Fund"/>
    <n v="0"/>
    <n v="0"/>
    <n v="0"/>
    <n v="0"/>
    <m/>
    <m/>
    <m/>
    <m/>
    <m/>
    <m/>
    <m/>
    <m/>
    <m/>
    <m/>
    <m/>
    <d v="2015-05-29T00:00:00"/>
    <n v="1.3113501916954817E-3"/>
    <x v="1"/>
    <n v="0"/>
    <x v="156"/>
  </r>
  <r>
    <d v="2015-06-30T00:00:00"/>
    <x v="5"/>
    <s v="Series 5"/>
    <n v="2052580.959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5120254408246714E-2"/>
    <x v="1"/>
    <n v="0"/>
    <x v="157"/>
  </r>
  <r>
    <d v="2015-07-31T00:00:00"/>
    <x v="5"/>
    <s v="Series 5"/>
    <n v="2094321.554"/>
    <e v="#DIV/0!"/>
    <n v="2.63"/>
    <n v="76270"/>
    <n v="0"/>
    <n v="0"/>
    <m/>
    <m/>
    <n v="76270"/>
    <e v="#DIV/0!"/>
    <n v="76270"/>
    <n v="76270"/>
    <s v="Private Equity Fund"/>
    <n v="0"/>
    <n v="0"/>
    <n v="0"/>
    <n v="0"/>
    <m/>
    <m/>
    <m/>
    <m/>
    <m/>
    <m/>
    <m/>
    <m/>
    <m/>
    <m/>
    <m/>
    <d v="2015-07-31T00:00:00"/>
    <n v="-1.6822432918022989E-2"/>
    <x v="1"/>
    <n v="0"/>
    <x v="158"/>
  </r>
  <r>
    <d v="2015-08-31T00:00:00"/>
    <x v="5"/>
    <s v="Series 5"/>
    <n v="2062285.241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5296749889630257E-2"/>
    <x v="1"/>
    <n v="0"/>
    <x v="159"/>
  </r>
  <r>
    <d v="2015-09-30T00:00:00"/>
    <x v="5"/>
    <s v="Series 5"/>
    <n v="2069444.9439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4717326476758625E-3"/>
    <x v="1"/>
    <n v="0"/>
    <x v="160"/>
  </r>
  <r>
    <d v="2015-10-30T00:00:00"/>
    <x v="5"/>
    <s v="Series 5"/>
    <n v="2129597.293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9066900124307127E-2"/>
    <x v="1"/>
    <n v="0"/>
    <x v="161"/>
  </r>
  <r>
    <d v="2015-11-30T00:00:00"/>
    <x v="5"/>
    <s v="Series 5"/>
    <n v="2230071.602"/>
    <e v="#DIV/0!"/>
    <n v="2.63"/>
    <n v="113090"/>
    <n v="0"/>
    <n v="0"/>
    <m/>
    <m/>
    <n v="113090"/>
    <e v="#DIV/0!"/>
    <n v="113090"/>
    <n v="113090"/>
    <s v="Private Equity Fund"/>
    <n v="0"/>
    <n v="0"/>
    <n v="0"/>
    <n v="0"/>
    <m/>
    <m/>
    <m/>
    <m/>
    <m/>
    <m/>
    <m/>
    <m/>
    <m/>
    <m/>
    <m/>
    <d v="2015-11-30T00:00:00"/>
    <n v="-5.9239798709859182E-3"/>
    <x v="1"/>
    <n v="0"/>
    <x v="162"/>
  </r>
  <r>
    <d v="2015-12-31T00:00:00"/>
    <x v="5"/>
    <s v="Series 5"/>
    <n v="2247136.7544999998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7.6522890496857343E-3"/>
    <x v="1"/>
    <n v="0"/>
    <x v="163"/>
  </r>
  <r>
    <d v="2016-01-29T00:00:00"/>
    <x v="5"/>
    <s v="Series 5"/>
    <n v="2224103.6924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0249960067572728E-2"/>
    <x v="1"/>
    <n v="0"/>
    <x v="164"/>
  </r>
  <r>
    <d v="2016-02-29T00:00:00"/>
    <x v="5"/>
    <s v="Series 5"/>
    <n v="2865344.7275"/>
    <e v="#DIV/0!"/>
    <n v="2.63"/>
    <n v="600435"/>
    <n v="0"/>
    <n v="0"/>
    <m/>
    <m/>
    <n v="600435"/>
    <e v="#DIV/0!"/>
    <n v="600435"/>
    <n v="600435"/>
    <s v="Private Equity Fund"/>
    <n v="0"/>
    <n v="0"/>
    <n v="0"/>
    <n v="0"/>
    <m/>
    <m/>
    <m/>
    <m/>
    <m/>
    <m/>
    <m/>
    <m/>
    <m/>
    <m/>
    <m/>
    <d v="2016-02-29T00:00:00"/>
    <n v="1.8347181895162601E-2"/>
    <x v="1"/>
    <n v="0"/>
    <x v="165"/>
  </r>
  <r>
    <d v="2016-03-31T00:00:00"/>
    <x v="5"/>
    <s v="Series 5"/>
    <n v="2885692.605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7.101371714444138E-3"/>
    <x v="1"/>
    <n v="0"/>
    <x v="166"/>
  </r>
  <r>
    <d v="2016-04-29T00:00:00"/>
    <x v="5"/>
    <s v="Series 5"/>
    <n v="2929170.6154999998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5066750324387534E-2"/>
    <x v="1"/>
    <n v="0"/>
    <x v="167"/>
  </r>
  <r>
    <d v="2016-05-31T00:00:00"/>
    <x v="5"/>
    <s v="Series 5"/>
    <n v="2959422.447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032778061473083E-2"/>
    <x v="1"/>
    <n v="0"/>
    <x v="168"/>
  </r>
  <r>
    <d v="2016-06-30T00:00:00"/>
    <x v="5"/>
    <s v="Series 5"/>
    <n v="3028777.0325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3435175863556035E-2"/>
    <x v="1"/>
    <n v="0"/>
    <x v="169"/>
  </r>
  <r>
    <d v="2016-07-29T00:00:00"/>
    <x v="5"/>
    <s v="Series 5"/>
    <n v="3073498.992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4765682326600915E-2"/>
    <x v="1"/>
    <n v="0"/>
    <x v="170"/>
  </r>
  <r>
    <d v="2016-08-31T00:00:00"/>
    <x v="5"/>
    <s v="Series 5"/>
    <n v="3065489.697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6059208156069547E-3"/>
    <x v="1"/>
    <n v="0"/>
    <x v="171"/>
  </r>
  <r>
    <d v="2016-09-30T00:00:00"/>
    <x v="5"/>
    <s v="Series 5"/>
    <n v="3170103.523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4126301778922619E-2"/>
    <x v="1"/>
    <n v="0"/>
    <x v="172"/>
  </r>
  <r>
    <d v="2016-10-31T00:00:00"/>
    <x v="5"/>
    <s v="Series 5"/>
    <n v="3268102.106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0913369791723211E-2"/>
    <x v="1"/>
    <n v="0"/>
    <x v="173"/>
  </r>
  <r>
    <d v="2016-11-30T00:00:00"/>
    <x v="5"/>
    <s v="Series 5"/>
    <n v="3284136.1575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9062272168800547E-3"/>
    <x v="1"/>
    <n v="0"/>
    <x v="174"/>
  </r>
  <r>
    <d v="2016-12-30T00:00:00"/>
    <x v="5"/>
    <s v="Series 5"/>
    <n v="3262282.717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6.6542431409529756E-3"/>
    <x v="1"/>
    <n v="0"/>
    <x v="175"/>
  </r>
  <r>
    <d v="2017-01-27T00:00:00"/>
    <x v="5"/>
    <s v="Series 5"/>
    <n v="3315318.4925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6257259134417223E-2"/>
    <x v="1"/>
    <n v="0"/>
    <x v="176"/>
  </r>
  <r>
    <d v="2017-02-28T00:00:00"/>
    <x v="5"/>
    <s v="Series 5"/>
    <n v="3443498.637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8662995663907518E-2"/>
    <x v="1"/>
    <n v="0"/>
    <x v="177"/>
  </r>
  <r>
    <d v="2017-03-31T00:00:00"/>
    <x v="5"/>
    <s v="Series 5"/>
    <n v="3388011.1894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6113683596036266E-2"/>
    <x v="1"/>
    <n v="0"/>
    <x v="178"/>
  </r>
  <r>
    <d v="2017-04-28T00:00:00"/>
    <x v="5"/>
    <s v="Series 5"/>
    <n v="3379414.052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2.5375174458229788E-3"/>
    <x v="1"/>
    <n v="0"/>
    <x v="179"/>
  </r>
  <r>
    <d v="2017-05-31T00:00:00"/>
    <x v="5"/>
    <s v="Series 5"/>
    <n v="3287223.978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7279898994750362E-2"/>
    <x v="1"/>
    <n v="0"/>
    <x v="180"/>
  </r>
  <r>
    <d v="2017-06-30T00:00:00"/>
    <x v="5"/>
    <s v="Series 5"/>
    <n v="3405044.0589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5841817225878092E-2"/>
    <x v="1"/>
    <n v="0"/>
    <x v="181"/>
  </r>
  <r>
    <d v="2017-07-31T00:00:00"/>
    <x v="5"/>
    <s v="Series 5"/>
    <n v="3481511.3000000003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2457048917733369E-2"/>
    <x v="1"/>
    <n v="0"/>
    <x v="182"/>
  </r>
  <r>
    <d v="2017-08-31T00:00:00"/>
    <x v="5"/>
    <s v="Series 5"/>
    <n v="34866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1.4616353535890081E-3"/>
    <x v="1"/>
    <n v="0"/>
    <x v="183"/>
  </r>
  <r>
    <d v="2017-09-29T00:00:00"/>
    <x v="5"/>
    <s v="Series 5"/>
    <n v="3467281.3861674946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5.5408173672074623E-3"/>
    <x v="1"/>
    <n v="0"/>
    <x v="184"/>
  </r>
  <r>
    <d v="2017-10-31T00:00:00"/>
    <x v="5"/>
    <s v="Series 5"/>
    <n v="34914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6.9560589829038566E-3"/>
    <x v="1"/>
    <n v="0"/>
    <x v="185"/>
  </r>
  <r>
    <d v="2017-11-30T00:00:00"/>
    <x v="5"/>
    <s v="Series 5"/>
    <n v="34924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2.8641805579421309E-4"/>
    <x v="1"/>
    <n v="0"/>
    <x v="186"/>
  </r>
  <r>
    <d v="2017-12-29T00:00:00"/>
    <x v="5"/>
    <s v="Series 5"/>
    <n v="36538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6214637498568356E-2"/>
    <x v="1"/>
    <n v="0"/>
    <x v="187"/>
  </r>
  <r>
    <d v="2018-01-31T00:00:00"/>
    <x v="5"/>
    <s v="Series 5"/>
    <n v="37004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2753845311730183E-2"/>
    <x v="1"/>
    <n v="0"/>
    <x v="188"/>
  </r>
  <r>
    <d v="2018-02-28T00:00:00"/>
    <x v="5"/>
    <s v="Series 5"/>
    <n v="3732083.6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8.5622094908659463E-3"/>
    <x v="1"/>
    <n v="0"/>
    <x v="189"/>
  </r>
  <r>
    <d v="2018-03-29T00:00:00"/>
    <x v="5"/>
    <s v="Series 5"/>
    <n v="3756526.6834999998"/>
    <e v="#DIV/0!"/>
    <n v="2.63"/>
    <n v="0"/>
    <n v="0"/>
    <n v="0"/>
    <m/>
    <m/>
    <n v="0"/>
    <e v="#DIV/0!"/>
    <n v="0"/>
    <n v="0"/>
    <s v="Private Equity Fund"/>
    <n v="1.4683595309372504E-2"/>
    <n v="0.19879882649999997"/>
    <n v="0"/>
    <n v="0"/>
    <m/>
    <m/>
    <m/>
    <m/>
    <m/>
    <m/>
    <m/>
    <m/>
    <m/>
    <m/>
    <m/>
    <d v="2018-03-29T00:00:00"/>
    <n v="6.5494469362903374E-3"/>
    <x v="1"/>
    <n v="0"/>
    <x v="190"/>
  </r>
  <r>
    <d v="2018-04-30T00:00:00"/>
    <x v="5"/>
    <s v="Series 5"/>
    <n v="3805919.9794999999"/>
    <e v="#DIV/0!"/>
    <n v="2.63"/>
    <n v="0"/>
    <n v="0"/>
    <n v="0"/>
    <m/>
    <m/>
    <n v="0"/>
    <e v="#DIV/0!"/>
    <n v="0"/>
    <n v="0"/>
    <s v="Private Equity Fund"/>
    <n v="0"/>
    <n v="0.20751528999999999"/>
    <n v="0"/>
    <n v="0"/>
    <m/>
    <m/>
    <m/>
    <m/>
    <m/>
    <m/>
    <m/>
    <m/>
    <m/>
    <m/>
    <m/>
    <d v="2018-04-30T00:00:00"/>
    <n v="1.31486610269409E-2"/>
    <x v="1"/>
    <n v="0"/>
    <x v="191"/>
  </r>
  <r>
    <d v="2018-05-31T00:00:00"/>
    <x v="5"/>
    <s v="Series 5"/>
    <n v="3829040.5065000001"/>
    <e v="#DIV/0!"/>
    <n v="2.63"/>
    <n v="0"/>
    <n v="0"/>
    <n v="0"/>
    <m/>
    <m/>
    <n v="0"/>
    <e v="#DIV/0!"/>
    <n v="0"/>
    <n v="0"/>
    <s v="Private Equity Fund"/>
    <n v="0"/>
    <n v="0.21159538"/>
    <n v="0"/>
    <n v="0"/>
    <m/>
    <m/>
    <m/>
    <m/>
    <m/>
    <m/>
    <m/>
    <m/>
    <m/>
    <m/>
    <m/>
    <d v="2018-05-31T00:00:00"/>
    <n v="6.0748852116008223E-3"/>
    <x v="1"/>
    <n v="0"/>
    <x v="192"/>
  </r>
  <r>
    <d v="2018-06-29T00:00:00"/>
    <x v="5"/>
    <s v="Series 5"/>
    <n v="3834910.7850000001"/>
    <e v="#DIV/0!"/>
    <n v="2.63"/>
    <n v="0"/>
    <n v="0"/>
    <n v="0"/>
    <m/>
    <m/>
    <n v="0"/>
    <e v="#DIV/0!"/>
    <n v="0"/>
    <n v="0"/>
    <s v="Private Equity Fund"/>
    <n v="1.5361110000000001E-2"/>
    <n v="0.21263132000000001"/>
    <n v="0"/>
    <n v="0"/>
    <m/>
    <m/>
    <m/>
    <m/>
    <m/>
    <m/>
    <m/>
    <m/>
    <m/>
    <m/>
    <m/>
    <d v="2018-06-29T00:00:00"/>
    <n v="1.5330938625577328E-3"/>
    <x v="1"/>
    <n v="0"/>
    <x v="193"/>
  </r>
  <r>
    <d v="2018-07-31T00:00:00"/>
    <x v="5"/>
    <s v="Series 5"/>
    <n v="3850278.5894999998"/>
    <s v=""/>
    <n v="2.63"/>
    <n v="0"/>
    <n v="0"/>
    <n v="0"/>
    <m/>
    <m/>
    <n v="0"/>
    <e v="#DIV/0!"/>
    <n v="0"/>
    <n v="0"/>
    <s v="Private Equity Fund"/>
    <n v="0"/>
    <n v="0.21534328049999998"/>
    <n v="0"/>
    <n v="0"/>
    <m/>
    <m/>
    <m/>
    <m/>
    <m/>
    <m/>
    <m/>
    <m/>
    <m/>
    <m/>
    <m/>
    <d v="2018-07-31T00:00:00"/>
    <n v="4.0073434198546476E-3"/>
    <x v="1"/>
    <n v="0"/>
    <x v="194"/>
  </r>
  <r>
    <d v="2018-08-31T00:00:00"/>
    <x v="5"/>
    <s v="Series 5"/>
    <n v="3859226.7179999999"/>
    <s v=""/>
    <n v="2.63"/>
    <n v="0"/>
    <n v="0"/>
    <n v="0"/>
    <m/>
    <m/>
    <n v="0"/>
    <e v="#DIV/0!"/>
    <n v="0"/>
    <n v="0"/>
    <s v="Private Equity Fund"/>
    <n v="0"/>
    <n v="0.21692236200000001"/>
    <n v="0"/>
    <n v="0"/>
    <m/>
    <m/>
    <m/>
    <m/>
    <m/>
    <m/>
    <m/>
    <m/>
    <m/>
    <m/>
    <m/>
    <d v="2018-08-31T00:00:00"/>
    <n v="2.3240210525030669E-3"/>
    <x v="1"/>
    <n v="0"/>
    <x v="195"/>
  </r>
  <r>
    <d v="2018-09-28T00:00:00"/>
    <x v="5"/>
    <s v="Series 5"/>
    <n v="3804708.5765"/>
    <m/>
    <n v="2.63"/>
    <n v="0"/>
    <n v="0"/>
    <n v="0"/>
    <m/>
    <n v="0"/>
    <n v="0"/>
    <e v="#DIV/0!"/>
    <n v="0"/>
    <n v="0"/>
    <s v="Private Equity Fund"/>
    <n v="1.5060139345472665E-2"/>
    <n v="0.20730151349999998"/>
    <m/>
    <m/>
    <m/>
    <m/>
    <m/>
    <m/>
    <m/>
    <m/>
    <m/>
    <m/>
    <m/>
    <m/>
    <m/>
    <d v="2018-09-28T00:00:00"/>
    <n v="-1.4126700886921029E-2"/>
    <x v="1"/>
    <n v="0"/>
    <x v="196"/>
  </r>
  <r>
    <d v="2018-10-31T00:00:00"/>
    <x v="5"/>
    <s v="Series 5"/>
    <n v="3811240.699"/>
    <m/>
    <n v="2.63"/>
    <n v="0"/>
    <n v="0"/>
    <n v="0"/>
    <n v="0"/>
    <m/>
    <n v="0"/>
    <e v="#DIV/0!"/>
    <n v="-3811240.699"/>
    <n v="-3811240.699"/>
    <s v="Private Equity Fund"/>
    <n v="5.4587700977269168E-3"/>
    <n v="0.20845424099999998"/>
    <m/>
    <m/>
    <m/>
    <m/>
    <m/>
    <m/>
    <m/>
    <m/>
    <m/>
    <m/>
    <m/>
    <m/>
    <m/>
    <d v="2018-10-31T00:00:00"/>
    <n v="1.7168522552151178E-3"/>
    <x v="1"/>
    <n v="0"/>
    <x v="197"/>
  </r>
  <r>
    <d v="2014-08-05T00:00:00"/>
    <x v="5"/>
    <s v="Series 5c"/>
    <n v="319200"/>
    <e v="#DIV/0!"/>
    <n v="2.8"/>
    <n v="319200"/>
    <n v="0"/>
    <n v="0"/>
    <m/>
    <m/>
    <n v="319200"/>
    <e v="#DIV/0!"/>
    <n v="319200"/>
    <n v="319200"/>
    <s v="Private Equity Fund"/>
    <n v="0"/>
    <n v="0"/>
    <n v="0"/>
    <n v="0"/>
    <m/>
    <m/>
    <m/>
    <m/>
    <m/>
    <m/>
    <m/>
    <m/>
    <m/>
    <m/>
    <m/>
    <d v="2014-08-05T00:00:00"/>
    <n v="0"/>
    <x v="1"/>
    <n v="0"/>
    <x v="11"/>
  </r>
  <r>
    <d v="2014-08-19T00:00:00"/>
    <x v="5"/>
    <s v="Series 5c"/>
    <n v="708399.99999999988"/>
    <e v="#DIV/0!"/>
    <n v="2.8"/>
    <n v="389200"/>
    <n v="0"/>
    <n v="0"/>
    <m/>
    <m/>
    <n v="389200"/>
    <e v="#DIV/0!"/>
    <n v="389200"/>
    <n v="389200"/>
    <s v="Private Equity Fund"/>
    <n v="0"/>
    <n v="0"/>
    <n v="0"/>
    <n v="0"/>
    <m/>
    <m/>
    <m/>
    <m/>
    <m/>
    <m/>
    <m/>
    <m/>
    <m/>
    <m/>
    <m/>
    <d v="2014-08-19T00:00:00"/>
    <n v="-3.3306690738754696E-16"/>
    <x v="1"/>
    <n v="0"/>
    <x v="11"/>
  </r>
  <r>
    <d v="2014-08-29T00:00:00"/>
    <x v="5"/>
    <s v="Series 5c"/>
    <n v="710243.71799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8-29T00:00:00"/>
    <n v="2.6026510446077733E-3"/>
    <x v="1"/>
    <n v="0"/>
    <x v="11"/>
  </r>
  <r>
    <d v="2014-09-30T00:00:00"/>
    <x v="5"/>
    <s v="Series 5c"/>
    <n v="689478.5"/>
    <e v="#DIV/0!"/>
    <n v="2.8"/>
    <n v="0"/>
    <n v="-1.1641532182693481E-10"/>
    <n v="0"/>
    <m/>
    <m/>
    <n v="-1.1641532182693481E-10"/>
    <e v="#DIV/0!"/>
    <n v="-1.1641532182693481E-10"/>
    <n v="-1.1641532182693481E-10"/>
    <s v="Private Equity Fund"/>
    <n v="0"/>
    <n v="0"/>
    <n v="0"/>
    <n v="0"/>
    <m/>
    <m/>
    <m/>
    <m/>
    <m/>
    <m/>
    <m/>
    <m/>
    <m/>
    <m/>
    <m/>
    <d v="2014-09-30T00:00:00"/>
    <n v="-2.9236749968691522E-2"/>
    <x v="1"/>
    <n v="0"/>
    <x v="12"/>
  </r>
  <r>
    <d v="2014-10-31T00:00:00"/>
    <x v="5"/>
    <s v="Series 5c"/>
    <n v="1170752.6000000001"/>
    <e v="#DIV/0!"/>
    <n v="2.8"/>
    <n v="473200"/>
    <n v="0"/>
    <n v="0"/>
    <m/>
    <m/>
    <n v="473200"/>
    <e v="#DIV/0!"/>
    <n v="473200"/>
    <n v="473200"/>
    <s v="Private Equity Fund"/>
    <n v="0"/>
    <n v="0"/>
    <n v="0"/>
    <n v="0"/>
    <m/>
    <m/>
    <m/>
    <m/>
    <m/>
    <m/>
    <m/>
    <m/>
    <m/>
    <m/>
    <m/>
    <d v="2014-10-31T00:00:00"/>
    <n v="1.1710444923228369E-2"/>
    <x v="1"/>
    <n v="0"/>
    <x v="149"/>
  </r>
  <r>
    <d v="2014-11-28T00:00:00"/>
    <x v="5"/>
    <s v="Series 5c"/>
    <n v="1195039.5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2.0744707293411047E-2"/>
    <x v="1"/>
    <n v="0"/>
    <x v="150"/>
  </r>
  <r>
    <d v="2014-12-31T00:00:00"/>
    <x v="5"/>
    <s v="Series 5c"/>
    <n v="1196947.0305000001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1.5961903084176221E-3"/>
    <x v="1"/>
    <n v="0"/>
    <x v="151"/>
  </r>
  <r>
    <d v="2015-01-30T00:00:00"/>
    <x v="5"/>
    <s v="Series 5c"/>
    <n v="1557204.6444999999"/>
    <e v="#DIV/0!"/>
    <n v="2.8"/>
    <n v="324800"/>
    <n v="0"/>
    <n v="0"/>
    <m/>
    <m/>
    <n v="324800"/>
    <e v="#DIV/0!"/>
    <n v="324800"/>
    <n v="324800"/>
    <s v="Private Equity Fund"/>
    <n v="0"/>
    <n v="0"/>
    <n v="0"/>
    <n v="0"/>
    <m/>
    <m/>
    <m/>
    <m/>
    <m/>
    <m/>
    <m/>
    <m/>
    <m/>
    <m/>
    <m/>
    <d v="2015-01-30T00:00:00"/>
    <n v="2.9623377723898114E-2"/>
    <x v="1"/>
    <n v="0"/>
    <x v="152"/>
  </r>
  <r>
    <d v="2015-02-27T00:00:00"/>
    <x v="5"/>
    <s v="Series 5c"/>
    <n v="1705171.0895"/>
    <e v="#DIV/0!"/>
    <n v="2.8"/>
    <n v="130200.00000000001"/>
    <n v="0"/>
    <n v="0"/>
    <m/>
    <m/>
    <n v="130200.00000000001"/>
    <e v="#DIV/0!"/>
    <n v="130200.00000000001"/>
    <n v="130200.00000000001"/>
    <s v="Private Equity Fund"/>
    <n v="0"/>
    <n v="0"/>
    <n v="0"/>
    <n v="0"/>
    <m/>
    <m/>
    <m/>
    <m/>
    <m/>
    <m/>
    <m/>
    <m/>
    <m/>
    <m/>
    <m/>
    <d v="2015-02-27T00:00:00"/>
    <n v="1.1409190861811691E-2"/>
    <x v="1"/>
    <n v="0"/>
    <x v="153"/>
  </r>
  <r>
    <d v="2015-03-31T00:00:00"/>
    <x v="5"/>
    <s v="Series 5c"/>
    <n v="1953412.9445"/>
    <e v="#DIV/0!"/>
    <n v="2.8"/>
    <n v="212800"/>
    <n v="0"/>
    <n v="0"/>
    <m/>
    <m/>
    <n v="212800"/>
    <e v="#DIV/0!"/>
    <n v="212800"/>
    <n v="212800"/>
    <s v="Private Equity Fund"/>
    <n v="0"/>
    <n v="0"/>
    <n v="0"/>
    <n v="0"/>
    <m/>
    <m/>
    <m/>
    <m/>
    <m/>
    <m/>
    <m/>
    <m/>
    <m/>
    <m/>
    <m/>
    <d v="2015-03-31T00:00:00"/>
    <n v="2.0784926051257591E-2"/>
    <x v="1"/>
    <n v="0"/>
    <x v="154"/>
  </r>
  <r>
    <d v="2015-04-30T00:00:00"/>
    <x v="5"/>
    <s v="Series 5c"/>
    <n v="2131696.0809999998"/>
    <e v="#DIV/0!"/>
    <n v="2.8"/>
    <n v="28000"/>
    <n v="0"/>
    <n v="0"/>
    <m/>
    <m/>
    <n v="28000"/>
    <e v="#DIV/0!"/>
    <n v="28000"/>
    <n v="28000"/>
    <s v="Private Equity Fund"/>
    <n v="0"/>
    <n v="0"/>
    <n v="0"/>
    <n v="0"/>
    <m/>
    <m/>
    <m/>
    <m/>
    <m/>
    <m/>
    <m/>
    <m/>
    <m/>
    <m/>
    <m/>
    <d v="2015-04-30T00:00:00"/>
    <n v="7.6933623749722013E-2"/>
    <x v="1"/>
    <n v="0"/>
    <x v="155"/>
  </r>
  <r>
    <d v="2015-05-29T00:00:00"/>
    <x v="5"/>
    <s v="Series 5c"/>
    <n v="2216335.2725"/>
    <e v="#DIV/0!"/>
    <n v="2.8"/>
    <n v="84000"/>
    <n v="0"/>
    <n v="0"/>
    <m/>
    <m/>
    <n v="84000"/>
    <e v="#DIV/0!"/>
    <n v="84000"/>
    <n v="84000"/>
    <s v="Private Equity Fund"/>
    <n v="0"/>
    <n v="0"/>
    <n v="0"/>
    <n v="0"/>
    <m/>
    <m/>
    <m/>
    <m/>
    <m/>
    <m/>
    <m/>
    <m/>
    <m/>
    <m/>
    <m/>
    <d v="2015-05-29T00:00:00"/>
    <n v="2.9985113999009272E-4"/>
    <x v="1"/>
    <n v="0"/>
    <x v="156"/>
  </r>
  <r>
    <d v="2015-06-30T00:00:00"/>
    <x v="5"/>
    <s v="Series 5c"/>
    <n v="2181675.63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5638266885905083E-2"/>
    <x v="1"/>
    <n v="0"/>
    <x v="157"/>
  </r>
  <r>
    <d v="2015-07-31T00:00:00"/>
    <x v="5"/>
    <s v="Series 5c"/>
    <n v="2225845.8815000001"/>
    <e v="#DIV/0!"/>
    <n v="2.8"/>
    <n v="81200"/>
    <n v="0"/>
    <n v="0"/>
    <m/>
    <m/>
    <n v="81200"/>
    <e v="#DIV/0!"/>
    <n v="81200"/>
    <n v="81200"/>
    <s v="Private Equity Fund"/>
    <n v="0"/>
    <n v="0"/>
    <n v="0"/>
    <n v="0"/>
    <m/>
    <m/>
    <m/>
    <m/>
    <m/>
    <m/>
    <m/>
    <m/>
    <m/>
    <m/>
    <m/>
    <d v="2015-07-31T00:00:00"/>
    <n v="-1.6973077019703298E-2"/>
    <x v="1"/>
    <n v="0"/>
    <x v="158"/>
  </r>
  <r>
    <d v="2015-08-31T00:00:00"/>
    <x v="5"/>
    <s v="Series 5c"/>
    <n v="2191470.385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5443789835455579E-2"/>
    <x v="1"/>
    <n v="0"/>
    <x v="159"/>
  </r>
  <r>
    <d v="2015-09-30T00:00:00"/>
    <x v="5"/>
    <s v="Series 5c"/>
    <n v="2198833.1365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3597310046789008E-3"/>
    <x v="1"/>
    <n v="0"/>
    <x v="160"/>
  </r>
  <r>
    <d v="2015-10-30T00:00:00"/>
    <x v="5"/>
    <s v="Series 5c"/>
    <n v="2263410.4670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936890909457146E-2"/>
    <x v="1"/>
    <n v="0"/>
    <x v="161"/>
  </r>
  <r>
    <d v="2015-11-30T00:00:00"/>
    <x v="5"/>
    <s v="Series 5c"/>
    <n v="2369405.517"/>
    <e v="#DIV/0!"/>
    <n v="2.8"/>
    <n v="120400"/>
    <n v="0"/>
    <n v="0"/>
    <m/>
    <m/>
    <n v="120400"/>
    <e v="#DIV/0!"/>
    <n v="120400"/>
    <n v="120400"/>
    <s v="Private Equity Fund"/>
    <n v="0"/>
    <n v="0"/>
    <n v="0"/>
    <n v="0"/>
    <m/>
    <m/>
    <m/>
    <m/>
    <m/>
    <m/>
    <m/>
    <m/>
    <m/>
    <m/>
    <m/>
    <d v="2015-11-30T00:00:00"/>
    <n v="-6.3642676439032986E-3"/>
    <x v="1"/>
    <n v="0"/>
    <x v="162"/>
  </r>
  <r>
    <d v="2015-12-31T00:00:00"/>
    <x v="5"/>
    <s v="Series 5c"/>
    <n v="2387345.2684999998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7.5714145895608986E-3"/>
    <x v="1"/>
    <n v="0"/>
    <x v="163"/>
  </r>
  <r>
    <d v="2016-01-29T00:00:00"/>
    <x v="5"/>
    <s v="Series 5c"/>
    <n v="2363279.3629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0080613733396304E-2"/>
    <x v="1"/>
    <n v="0"/>
    <x v="164"/>
  </r>
  <r>
    <d v="2016-02-29T00:00:00"/>
    <x v="5"/>
    <s v="Series 5c"/>
    <n v="3043948.8695"/>
    <e v="#DIV/0!"/>
    <n v="2.8"/>
    <n v="637000"/>
    <n v="0"/>
    <n v="0"/>
    <m/>
    <m/>
    <n v="637000"/>
    <e v="#DIV/0!"/>
    <n v="637000"/>
    <n v="637000"/>
    <s v="Private Equity Fund"/>
    <n v="0"/>
    <n v="0"/>
    <n v="0"/>
    <n v="0"/>
    <m/>
    <m/>
    <m/>
    <m/>
    <m/>
    <m/>
    <m/>
    <m/>
    <m/>
    <m/>
    <m/>
    <d v="2016-02-29T00:00:00"/>
    <n v="1.8478351389048298E-2"/>
    <x v="1"/>
    <n v="0"/>
    <x v="165"/>
  </r>
  <r>
    <d v="2016-03-31T00:00:00"/>
    <x v="5"/>
    <s v="Series 5c"/>
    <n v="3064957.3930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6.9017333735474917E-3"/>
    <x v="1"/>
    <n v="0"/>
    <x v="166"/>
  </r>
  <r>
    <d v="2016-04-29T00:00:00"/>
    <x v="5"/>
    <s v="Series 5c"/>
    <n v="3111891.9449999998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5313280408788987E-2"/>
    <x v="1"/>
    <n v="0"/>
    <x v="167"/>
  </r>
  <r>
    <d v="2016-05-31T00:00:00"/>
    <x v="5"/>
    <s v="Series 5c"/>
    <n v="3144107.922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0352537321150379E-2"/>
    <x v="1"/>
    <n v="0"/>
    <x v="168"/>
  </r>
  <r>
    <d v="2016-06-30T00:00:00"/>
    <x v="5"/>
    <s v="Series 5c"/>
    <n v="3217317.9125000001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3284820942720108E-2"/>
    <x v="1"/>
    <n v="0"/>
    <x v="169"/>
  </r>
  <r>
    <d v="2016-07-29T00:00:00"/>
    <x v="5"/>
    <s v="Series 5c"/>
    <n v="3265549.513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4991244978498797E-2"/>
    <x v="1"/>
    <n v="0"/>
    <x v="170"/>
  </r>
  <r>
    <d v="2016-08-31T00:00:00"/>
    <x v="5"/>
    <s v="Series 5c"/>
    <n v="3257031.510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6084439892232192E-3"/>
    <x v="1"/>
    <n v="0"/>
    <x v="171"/>
  </r>
  <r>
    <d v="2016-09-30T00:00:00"/>
    <x v="5"/>
    <s v="Series 5c"/>
    <n v="3367806.8594999998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4011138253616124E-2"/>
    <x v="1"/>
    <n v="0"/>
    <x v="172"/>
  </r>
  <r>
    <d v="2016-10-31T00:00:00"/>
    <x v="5"/>
    <s v="Series 5c"/>
    <n v="3472149.850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0982474753760592E-2"/>
    <x v="1"/>
    <n v="0"/>
    <x v="173"/>
  </r>
  <r>
    <d v="2016-11-30T00:00:00"/>
    <x v="5"/>
    <s v="Series 5c"/>
    <n v="3489220.026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9163131589904374E-3"/>
    <x v="1"/>
    <n v="0"/>
    <x v="174"/>
  </r>
  <r>
    <d v="2016-12-30T00:00:00"/>
    <x v="5"/>
    <s v="Series 5c"/>
    <n v="3465971.285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6.6630194781154284E-3"/>
    <x v="1"/>
    <n v="0"/>
    <x v="175"/>
  </r>
  <r>
    <d v="2017-01-27T00:00:00"/>
    <x v="5"/>
    <s v="Series 5c"/>
    <n v="3522416.640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6285580678680356E-2"/>
    <x v="1"/>
    <n v="0"/>
    <x v="176"/>
  </r>
  <r>
    <d v="2017-02-28T00:00:00"/>
    <x v="5"/>
    <s v="Series 5c"/>
    <n v="3658891.671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874471561110604E-2"/>
    <x v="1"/>
    <n v="0"/>
    <x v="177"/>
  </r>
  <r>
    <d v="2017-03-31T00:00:00"/>
    <x v="5"/>
    <s v="Series 5c"/>
    <n v="3599853.510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6135531275731085E-2"/>
    <x v="1"/>
    <n v="0"/>
    <x v="178"/>
  </r>
  <r>
    <d v="2017-04-28T00:00:00"/>
    <x v="5"/>
    <s v="Series 5c"/>
    <n v="3590667.6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2.5517400842024474E-3"/>
    <x v="1"/>
    <n v="0"/>
    <x v="179"/>
  </r>
  <r>
    <d v="2017-05-31T00:00:00"/>
    <x v="5"/>
    <s v="Series 5c"/>
    <n v="3492533.8450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7330230861078664E-2"/>
    <x v="1"/>
    <n v="0"/>
    <x v="180"/>
  </r>
  <r>
    <d v="2017-06-30T00:00:00"/>
    <x v="5"/>
    <s v="Series 5c"/>
    <n v="3617964.2650000001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5913873871134872E-2"/>
    <x v="1"/>
    <n v="0"/>
    <x v="181"/>
  </r>
  <r>
    <d v="2017-07-31T00:00:00"/>
    <x v="5"/>
    <s v="Series 5c"/>
    <n v="3699358.727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2497309547085731E-2"/>
    <x v="1"/>
    <n v="0"/>
    <x v="182"/>
  </r>
  <r>
    <d v="2017-08-31T00:00:00"/>
    <x v="5"/>
    <s v="Series 5c"/>
    <n v="37048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1.4708692510101429E-3"/>
    <x v="1"/>
    <n v="0"/>
    <x v="183"/>
  </r>
  <r>
    <d v="2017-09-29T00:00:00"/>
    <x v="5"/>
    <s v="Series 5c"/>
    <n v="3684195.5575059503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5.5615532536303913E-3"/>
    <x v="1"/>
    <n v="0"/>
    <x v="184"/>
  </r>
  <r>
    <d v="2017-10-31T00:00:00"/>
    <x v="5"/>
    <s v="Series 5c"/>
    <n v="37098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6.9498054851850899E-3"/>
    <x v="1"/>
    <n v="0"/>
    <x v="185"/>
  </r>
  <r>
    <d v="2017-11-30T00:00:00"/>
    <x v="5"/>
    <s v="Series 5c"/>
    <n v="37110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3.2346757237577961E-4"/>
    <x v="1"/>
    <n v="0"/>
    <x v="186"/>
  </r>
  <r>
    <d v="2017-12-29T00:00:00"/>
    <x v="5"/>
    <s v="Series 5c"/>
    <n v="38822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6133117758016651E-2"/>
    <x v="1"/>
    <n v="0"/>
    <x v="187"/>
  </r>
  <r>
    <d v="2018-01-31T00:00:00"/>
    <x v="5"/>
    <s v="Series 5c"/>
    <n v="39318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2776260883004431E-2"/>
    <x v="1"/>
    <n v="0"/>
    <x v="188"/>
  </r>
  <r>
    <d v="2018-02-28T00:00:00"/>
    <x v="5"/>
    <s v="Series 5c"/>
    <n v="3965527.85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8.5782211709650724E-3"/>
    <x v="1"/>
    <n v="0"/>
    <x v="189"/>
  </r>
  <r>
    <d v="2018-03-29T00:00:00"/>
    <x v="5"/>
    <s v="Series 5c"/>
    <n v="3991556.9789999998"/>
    <e v="#DIV/0!"/>
    <n v="2.8"/>
    <n v="0"/>
    <n v="0"/>
    <n v="0"/>
    <m/>
    <m/>
    <n v="0"/>
    <e v="#DIV/0!"/>
    <n v="0"/>
    <n v="0"/>
    <s v="Private Equity Fund"/>
    <n v="1.5598715376257248E-2"/>
    <n v="0.21027476100000003"/>
    <n v="0"/>
    <n v="0"/>
    <m/>
    <m/>
    <m/>
    <m/>
    <m/>
    <m/>
    <m/>
    <m/>
    <m/>
    <m/>
    <m/>
    <d v="2018-03-29T00:00:00"/>
    <n v="6.5638497533184736E-3"/>
    <x v="1"/>
    <n v="0"/>
    <x v="190"/>
  </r>
  <r>
    <d v="2018-04-30T00:00:00"/>
    <x v="5"/>
    <s v="Series 5c"/>
    <n v="4044079.5244999998"/>
    <e v="#DIV/0!"/>
    <n v="2.8"/>
    <n v="0"/>
    <n v="0"/>
    <n v="0"/>
    <m/>
    <m/>
    <n v="0"/>
    <e v="#DIV/0!"/>
    <n v="0"/>
    <n v="0"/>
    <s v="Private Equity Fund"/>
    <n v="0"/>
    <n v="0.21954345"/>
    <n v="0"/>
    <n v="0"/>
    <m/>
    <m/>
    <m/>
    <m/>
    <m/>
    <m/>
    <m/>
    <m/>
    <m/>
    <m/>
    <m/>
    <d v="2018-04-30T00:00:00"/>
    <n v="1.3158410559169331E-2"/>
    <x v="1"/>
    <n v="0"/>
    <x v="191"/>
  </r>
  <r>
    <d v="2018-05-31T00:00:00"/>
    <x v="5"/>
    <s v="Series 5c"/>
    <n v="4068688.5970000001"/>
    <e v="#DIV/0!"/>
    <n v="2.8"/>
    <n v="0"/>
    <n v="0"/>
    <n v="0"/>
    <m/>
    <m/>
    <n v="0"/>
    <e v="#DIV/0!"/>
    <n v="0"/>
    <n v="0"/>
    <s v="Private Equity Fund"/>
    <n v="0"/>
    <n v="0.22388622"/>
    <n v="0"/>
    <n v="0"/>
    <m/>
    <m/>
    <m/>
    <m/>
    <m/>
    <m/>
    <m/>
    <m/>
    <m/>
    <m/>
    <m/>
    <d v="2018-05-31T00:00:00"/>
    <n v="6.0852098359867046E-3"/>
    <x v="1"/>
    <n v="0"/>
    <x v="192"/>
  </r>
  <r>
    <d v="2018-06-29T00:00:00"/>
    <x v="5"/>
    <s v="Series 5c"/>
    <n v="4075010.8714999999"/>
    <e v="#DIV/0!"/>
    <n v="2.8"/>
    <n v="0"/>
    <n v="0"/>
    <n v="0"/>
    <m/>
    <m/>
    <n v="0"/>
    <e v="#DIV/0!"/>
    <n v="0"/>
    <n v="0"/>
    <s v="Private Equity Fund"/>
    <n v="1.6319279999999999E-2"/>
    <n v="0.22500191999999999"/>
    <n v="0"/>
    <n v="0"/>
    <m/>
    <m/>
    <m/>
    <m/>
    <m/>
    <m/>
    <m/>
    <m/>
    <m/>
    <m/>
    <m/>
    <d v="2018-06-29T00:00:00"/>
    <n v="1.5538850785143943E-3"/>
    <x v="1"/>
    <n v="0"/>
    <x v="193"/>
  </r>
  <r>
    <d v="2018-07-31T00:00:00"/>
    <x v="5"/>
    <s v="Series 5c"/>
    <n v="4091275.8254999998"/>
    <s v=""/>
    <n v="2.8"/>
    <n v="0"/>
    <n v="0"/>
    <n v="0"/>
    <m/>
    <m/>
    <n v="0"/>
    <e v="#DIV/0!"/>
    <n v="0"/>
    <n v="0"/>
    <s v="Private Equity Fund"/>
    <n v="0"/>
    <n v="0.22787220449999998"/>
    <n v="0"/>
    <n v="0"/>
    <m/>
    <m/>
    <m/>
    <m/>
    <m/>
    <m/>
    <m/>
    <m/>
    <m/>
    <m/>
    <m/>
    <d v="2018-07-31T00:00:00"/>
    <n v="3.9913891061627016E-3"/>
    <x v="1"/>
    <n v="0"/>
    <x v="194"/>
  </r>
  <r>
    <d v="2018-08-31T00:00:00"/>
    <x v="5"/>
    <s v="Series 5c"/>
    <n v="4100797.585"/>
    <s v=""/>
    <n v="2.8"/>
    <n v="0"/>
    <n v="0"/>
    <n v="0"/>
    <m/>
    <m/>
    <n v="0"/>
    <e v="#DIV/0!"/>
    <n v="0"/>
    <n v="0"/>
    <s v="Private Equity Fund"/>
    <n v="0"/>
    <n v="0.22955251499999993"/>
    <n v="0"/>
    <n v="0"/>
    <m/>
    <m/>
    <m/>
    <m/>
    <m/>
    <m/>
    <m/>
    <m/>
    <m/>
    <m/>
    <m/>
    <d v="2018-08-31T00:00:00"/>
    <n v="2.3273325745121198E-3"/>
    <x v="1"/>
    <n v="0"/>
    <x v="195"/>
  </r>
  <r>
    <d v="2018-09-28T00:00:00"/>
    <x v="5"/>
    <s v="Series 5c"/>
    <n v="4042907.0515000001"/>
    <m/>
    <n v="2.8"/>
    <n v="0"/>
    <n v="0"/>
    <n v="0"/>
    <m/>
    <n v="0"/>
    <n v="0"/>
    <e v="#DIV/0!"/>
    <n v="0"/>
    <n v="0"/>
    <s v="Private Equity Fund"/>
    <n v="1.5999456882540623E-2"/>
    <n v="0.21933653849999996"/>
    <m/>
    <m/>
    <m/>
    <m/>
    <m/>
    <m/>
    <m/>
    <m/>
    <m/>
    <m/>
    <m/>
    <m/>
    <m/>
    <d v="2018-09-28T00:00:00"/>
    <n v="-1.4116896115954014E-2"/>
    <x v="1"/>
    <n v="0"/>
    <x v="196"/>
  </r>
  <r>
    <d v="2018-10-31T00:00:00"/>
    <x v="5"/>
    <s v="Series 5c"/>
    <n v="4049736.6485000001"/>
    <m/>
    <n v="2.8"/>
    <n v="0"/>
    <n v="0"/>
    <n v="0"/>
    <n v="0"/>
    <m/>
    <n v="0"/>
    <e v="#DIV/0!"/>
    <n v="-4049736.6485000001"/>
    <n v="-4049736.6485000001"/>
    <s v="Private Equity Fund"/>
    <n v="5.7990639749147853E-3"/>
    <n v="0.22054176150000002"/>
    <m/>
    <m/>
    <m/>
    <m/>
    <m/>
    <m/>
    <m/>
    <m/>
    <m/>
    <m/>
    <m/>
    <m/>
    <m/>
    <d v="2018-10-31T00:00:00"/>
    <n v="1.6892787573401513E-3"/>
    <x v="1"/>
    <n v="0"/>
    <x v="197"/>
  </r>
  <r>
    <d v="2014-08-05T00:00:00"/>
    <x v="5"/>
    <s v="Series 5d"/>
    <n v="592800"/>
    <e v="#DIV/0!"/>
    <n v="5.2"/>
    <n v="592800"/>
    <n v="0"/>
    <n v="0"/>
    <m/>
    <m/>
    <n v="592800"/>
    <e v="#DIV/0!"/>
    <n v="592800"/>
    <n v="592800"/>
    <s v="Private Equity Fund"/>
    <n v="0"/>
    <n v="0"/>
    <n v="0"/>
    <n v="0"/>
    <m/>
    <m/>
    <m/>
    <m/>
    <m/>
    <m/>
    <m/>
    <m/>
    <m/>
    <m/>
    <m/>
    <d v="2014-08-05T00:00:00"/>
    <n v="0"/>
    <x v="1"/>
    <n v="0"/>
    <x v="11"/>
  </r>
  <r>
    <d v="2014-08-19T00:00:00"/>
    <x v="5"/>
    <s v="Series 5d"/>
    <n v="1315599.9999999998"/>
    <e v="#DIV/0!"/>
    <n v="5.2"/>
    <n v="722800"/>
    <n v="0"/>
    <n v="0"/>
    <m/>
    <m/>
    <n v="722800"/>
    <e v="#DIV/0!"/>
    <n v="722800"/>
    <n v="722800"/>
    <s v="Private Equity Fund"/>
    <n v="0"/>
    <n v="0"/>
    <n v="0"/>
    <n v="0"/>
    <m/>
    <m/>
    <m/>
    <m/>
    <m/>
    <m/>
    <m/>
    <m/>
    <m/>
    <m/>
    <m/>
    <d v="2014-08-19T00:00:00"/>
    <n v="-4.4408920985006262E-16"/>
    <x v="1"/>
    <n v="0"/>
    <x v="11"/>
  </r>
  <r>
    <d v="2014-08-29T00:00:00"/>
    <x v="5"/>
    <s v="Series 5d"/>
    <n v="1319648.626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8-29T00:00:00"/>
    <n v="3.0773992854973287E-3"/>
    <x v="1"/>
    <n v="0"/>
    <x v="11"/>
  </r>
  <r>
    <d v="2014-09-30T00:00:00"/>
    <x v="5"/>
    <s v="Series 5d"/>
    <n v="1287631.9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2.4261516177162545E-2"/>
    <x v="1"/>
    <n v="0"/>
    <x v="12"/>
  </r>
  <r>
    <d v="2014-10-31T00:00:00"/>
    <x v="5"/>
    <s v="Series 5d"/>
    <n v="2183993.2400000002"/>
    <e v="#DIV/0!"/>
    <n v="5.2"/>
    <n v="878800"/>
    <n v="0"/>
    <n v="0"/>
    <m/>
    <m/>
    <n v="878800"/>
    <e v="#DIV/0!"/>
    <n v="878800"/>
    <n v="878800"/>
    <s v="Private Equity Fund"/>
    <n v="0"/>
    <n v="0"/>
    <n v="0"/>
    <n v="0"/>
    <m/>
    <m/>
    <m/>
    <m/>
    <m/>
    <m/>
    <m/>
    <m/>
    <m/>
    <m/>
    <m/>
    <d v="2014-10-31T00:00:00"/>
    <n v="1.3638439151809179E-2"/>
    <x v="1"/>
    <n v="0"/>
    <x v="149"/>
  </r>
  <r>
    <d v="2014-11-28T00:00:00"/>
    <x v="5"/>
    <s v="Series 5d"/>
    <n v="2227448.08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1.9896968637137302E-2"/>
    <x v="1"/>
    <n v="0"/>
    <x v="150"/>
  </r>
  <r>
    <d v="2014-12-31T00:00:00"/>
    <x v="5"/>
    <s v="Series 5d"/>
    <n v="2235564.7519999999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3.643930942614837E-3"/>
    <x v="1"/>
    <n v="0"/>
    <x v="151"/>
  </r>
  <r>
    <d v="2015-01-30T00:00:00"/>
    <x v="5"/>
    <s v="Series 5d"/>
    <n v="2900307.3870000001"/>
    <e v="#DIV/0!"/>
    <n v="5.2"/>
    <n v="603200"/>
    <n v="0"/>
    <n v="0"/>
    <m/>
    <m/>
    <n v="603200"/>
    <e v="#DIV/0!"/>
    <n v="603200"/>
    <n v="603200"/>
    <s v="Private Equity Fund"/>
    <n v="0"/>
    <n v="0"/>
    <n v="0"/>
    <n v="0"/>
    <m/>
    <m/>
    <m/>
    <m/>
    <m/>
    <m/>
    <m/>
    <m/>
    <m/>
    <m/>
    <m/>
    <d v="2015-01-30T00:00:00"/>
    <n v="2.7528898433804017E-2"/>
    <x v="1"/>
    <n v="0"/>
    <x v="152"/>
  </r>
  <r>
    <d v="2015-02-27T00:00:00"/>
    <x v="5"/>
    <s v="Series 5d"/>
    <n v="3177317.9145"/>
    <e v="#DIV/0!"/>
    <n v="5.2"/>
    <n v="241800"/>
    <n v="0"/>
    <n v="0"/>
    <m/>
    <m/>
    <n v="241800"/>
    <e v="#DIV/0!"/>
    <n v="241800"/>
    <n v="241800"/>
    <s v="Private Equity Fund"/>
    <n v="0"/>
    <n v="0"/>
    <n v="0"/>
    <n v="0"/>
    <m/>
    <m/>
    <m/>
    <m/>
    <m/>
    <m/>
    <m/>
    <m/>
    <m/>
    <m/>
    <m/>
    <d v="2015-02-27T00:00:00"/>
    <n v="1.2140274392232753E-2"/>
    <x v="1"/>
    <n v="0"/>
    <x v="153"/>
  </r>
  <r>
    <d v="2015-03-31T00:00:00"/>
    <x v="5"/>
    <s v="Series 5d"/>
    <n v="3632076.7675000001"/>
    <e v="#DIV/0!"/>
    <n v="5.2"/>
    <n v="379600"/>
    <n v="0"/>
    <n v="0"/>
    <m/>
    <m/>
    <n v="379600"/>
    <e v="#DIV/0!"/>
    <n v="379600"/>
    <n v="379600"/>
    <s v="Private Equity Fund"/>
    <n v="0"/>
    <n v="0"/>
    <n v="0"/>
    <n v="0"/>
    <m/>
    <m/>
    <m/>
    <m/>
    <m/>
    <m/>
    <m/>
    <m/>
    <m/>
    <m/>
    <m/>
    <d v="2015-03-31T00:00:00"/>
    <n v="2.3654810447832464E-2"/>
    <x v="1"/>
    <n v="0"/>
    <x v="154"/>
  </r>
  <r>
    <d v="2015-04-30T00:00:00"/>
    <x v="5"/>
    <s v="Series 5d"/>
    <n v="3951943.0134999999"/>
    <e v="#DIV/0!"/>
    <n v="5.2"/>
    <n v="52000"/>
    <n v="0"/>
    <n v="0"/>
    <m/>
    <m/>
    <n v="52000"/>
    <e v="#DIV/0!"/>
    <n v="52000"/>
    <n v="52000"/>
    <s v="Private Equity Fund"/>
    <n v="0"/>
    <n v="0"/>
    <n v="0"/>
    <n v="0"/>
    <m/>
    <m/>
    <m/>
    <m/>
    <m/>
    <m/>
    <m/>
    <m/>
    <m/>
    <m/>
    <m/>
    <d v="2015-04-30T00:00:00"/>
    <n v="7.375016089882247E-2"/>
    <x v="1"/>
    <n v="0"/>
    <x v="155"/>
  </r>
  <r>
    <d v="2015-05-29T00:00:00"/>
    <x v="5"/>
    <s v="Series 5d"/>
    <n v="4119888.9389999998"/>
    <e v="#DIV/0!"/>
    <n v="5.2"/>
    <n v="156000"/>
    <n v="0"/>
    <n v="0"/>
    <m/>
    <m/>
    <n v="156000"/>
    <e v="#DIV/0!"/>
    <n v="156000"/>
    <n v="156000"/>
    <s v="Private Equity Fund"/>
    <n v="0"/>
    <n v="0"/>
    <n v="0"/>
    <n v="0"/>
    <m/>
    <m/>
    <m/>
    <m/>
    <m/>
    <m/>
    <m/>
    <m/>
    <m/>
    <m/>
    <m/>
    <d v="2015-05-29T00:00:00"/>
    <n v="3.0227980158601397E-3"/>
    <x v="1"/>
    <n v="0"/>
    <x v="156"/>
  </r>
  <r>
    <d v="2015-06-30T00:00:00"/>
    <x v="5"/>
    <s v="Series 5d"/>
    <n v="4063773.4434999996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3620633063380794E-2"/>
    <x v="1"/>
    <n v="0"/>
    <x v="157"/>
  </r>
  <r>
    <d v="2015-07-31T00:00:00"/>
    <x v="5"/>
    <s v="Series 5d"/>
    <n v="4148424.1315000006"/>
    <e v="#DIV/0!"/>
    <n v="5.2"/>
    <n v="150800"/>
    <n v="0"/>
    <n v="0"/>
    <m/>
    <m/>
    <n v="150800"/>
    <e v="#DIV/0!"/>
    <n v="150800"/>
    <n v="150800"/>
    <s v="Private Equity Fund"/>
    <n v="0"/>
    <n v="0"/>
    <n v="0"/>
    <n v="0"/>
    <m/>
    <m/>
    <m/>
    <m/>
    <m/>
    <m/>
    <m/>
    <m/>
    <m/>
    <m/>
    <m/>
    <d v="2015-07-31T00:00:00"/>
    <n v="-1.6277805079366492E-2"/>
    <x v="1"/>
    <n v="0"/>
    <x v="158"/>
  </r>
  <r>
    <d v="2015-08-31T00:00:00"/>
    <x v="5"/>
    <s v="Series 5d"/>
    <n v="4087134.05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4774302857465837E-2"/>
    <x v="1"/>
    <n v="0"/>
    <x v="159"/>
  </r>
  <r>
    <d v="2015-09-30T00:00:00"/>
    <x v="5"/>
    <s v="Series 5d"/>
    <n v="4103342.281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9656700205954465E-3"/>
    <x v="1"/>
    <n v="0"/>
    <x v="160"/>
  </r>
  <r>
    <d v="2015-10-30T00:00:00"/>
    <x v="5"/>
    <s v="Series 5d"/>
    <n v="4218142.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797724637878507E-2"/>
    <x v="1"/>
    <n v="0"/>
    <x v="161"/>
  </r>
  <r>
    <d v="2015-11-30T00:00:00"/>
    <x v="5"/>
    <s v="Series 5d"/>
    <n v="4427179.1694999998"/>
    <e v="#DIV/0!"/>
    <n v="5.2"/>
    <n v="223600"/>
    <n v="0"/>
    <n v="0"/>
    <m/>
    <m/>
    <n v="223600"/>
    <e v="#DIV/0!"/>
    <n v="223600"/>
    <n v="223600"/>
    <s v="Private Equity Fund"/>
    <n v="0"/>
    <n v="0"/>
    <n v="0"/>
    <n v="0"/>
    <m/>
    <m/>
    <m/>
    <m/>
    <m/>
    <m/>
    <m/>
    <m/>
    <m/>
    <m/>
    <m/>
    <d v="2015-11-30T00:00:00"/>
    <n v="-3.4525458777175944E-3"/>
    <x v="1"/>
    <n v="0"/>
    <x v="162"/>
  </r>
  <r>
    <d v="2015-12-31T00:00:00"/>
    <x v="5"/>
    <s v="Series 5d"/>
    <n v="4461447.4464999996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7.7404314774704996E-3"/>
    <x v="1"/>
    <n v="0"/>
    <x v="163"/>
  </r>
  <r>
    <d v="2016-01-29T00:00:00"/>
    <x v="5"/>
    <s v="Series 5d"/>
    <n v="4411236.4079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1254427873938155E-2"/>
    <x v="1"/>
    <n v="0"/>
    <x v="164"/>
  </r>
  <r>
    <d v="2016-02-29T00:00:00"/>
    <x v="5"/>
    <s v="Series 5d"/>
    <n v="5694017.5860000001"/>
    <e v="#DIV/0!"/>
    <n v="5.2"/>
    <n v="1198600"/>
    <n v="0"/>
    <n v="0"/>
    <m/>
    <m/>
    <n v="1198600"/>
    <e v="#DIV/0!"/>
    <n v="1198600"/>
    <n v="1198600"/>
    <s v="Private Equity Fund"/>
    <n v="0"/>
    <n v="0"/>
    <n v="0"/>
    <n v="0"/>
    <m/>
    <m/>
    <m/>
    <m/>
    <m/>
    <m/>
    <m/>
    <m/>
    <m/>
    <m/>
    <m/>
    <d v="2016-02-29T00:00:00"/>
    <n v="1.9083352197432291E-2"/>
    <x v="1"/>
    <n v="0"/>
    <x v="165"/>
  </r>
  <r>
    <d v="2016-03-31T00:00:00"/>
    <x v="5"/>
    <s v="Series 5d"/>
    <n v="5743964.7675000001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8.7718699047938387E-3"/>
    <x v="1"/>
    <n v="0"/>
    <x v="166"/>
  </r>
  <r>
    <d v="2016-04-29T00:00:00"/>
    <x v="5"/>
    <s v="Series 5d"/>
    <n v="5817384.129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2782000755891643E-2"/>
    <x v="1"/>
    <n v="0"/>
    <x v="167"/>
  </r>
  <r>
    <d v="2016-05-31T00:00:00"/>
    <x v="5"/>
    <s v="Series 5d"/>
    <n v="5880338.554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0821775577919635E-2"/>
    <x v="1"/>
    <n v="0"/>
    <x v="168"/>
  </r>
  <r>
    <d v="2016-06-30T00:00:00"/>
    <x v="5"/>
    <s v="Series 5d"/>
    <n v="6035891.9550000001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6453136761612983E-2"/>
    <x v="1"/>
    <n v="0"/>
    <x v="169"/>
  </r>
  <r>
    <d v="2016-07-29T00:00:00"/>
    <x v="5"/>
    <s v="Series 5d"/>
    <n v="6102899.095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110144797149526E-2"/>
    <x v="1"/>
    <n v="0"/>
    <x v="170"/>
  </r>
  <r>
    <d v="2016-08-31T00:00:00"/>
    <x v="5"/>
    <s v="Series 5d"/>
    <n v="6090400.51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0479739717826906E-3"/>
    <x v="1"/>
    <n v="0"/>
    <x v="171"/>
  </r>
  <r>
    <d v="2016-09-30T00:00:00"/>
    <x v="5"/>
    <s v="Series 5d"/>
    <n v="6324918.202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8506118825091251E-2"/>
    <x v="1"/>
    <n v="0"/>
    <x v="172"/>
  </r>
  <r>
    <d v="2016-10-31T00:00:00"/>
    <x v="5"/>
    <s v="Series 5d"/>
    <n v="6522023.521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1163299219665763E-2"/>
    <x v="1"/>
    <n v="0"/>
    <x v="173"/>
  </r>
  <r>
    <d v="2016-11-30T00:00:00"/>
    <x v="5"/>
    <s v="Series 5d"/>
    <n v="6553636.0925000003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8470495231716093E-3"/>
    <x v="1"/>
    <n v="0"/>
    <x v="174"/>
  </r>
  <r>
    <d v="2016-12-30T00:00:00"/>
    <x v="5"/>
    <s v="Series 5d"/>
    <n v="6516965.6560000004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5.5954337382213559E-3"/>
    <x v="1"/>
    <n v="0"/>
    <x v="175"/>
  </r>
  <r>
    <d v="2017-01-27T00:00:00"/>
    <x v="5"/>
    <s v="Series 5d"/>
    <n v="6615104.913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5059041689078789E-2"/>
    <x v="1"/>
    <n v="0"/>
    <x v="176"/>
  </r>
  <r>
    <d v="2017-02-28T00:00:00"/>
    <x v="5"/>
    <s v="Series 5d"/>
    <n v="6872350.247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8887566843424981E-2"/>
    <x v="1"/>
    <n v="0"/>
    <x v="177"/>
  </r>
  <r>
    <d v="2017-03-31T00:00:00"/>
    <x v="5"/>
    <s v="Series 5d"/>
    <n v="6775789.0324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405068310191282E-2"/>
    <x v="1"/>
    <n v="0"/>
    <x v="178"/>
  </r>
  <r>
    <d v="2017-04-28T00:00:00"/>
    <x v="5"/>
    <s v="Series 5d"/>
    <n v="6751761.6749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3.546060449159949E-3"/>
    <x v="1"/>
    <n v="0"/>
    <x v="179"/>
  </r>
  <r>
    <d v="2017-05-31T00:00:00"/>
    <x v="5"/>
    <s v="Series 5d"/>
    <n v="6583300.1744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4950747465475431E-2"/>
    <x v="1"/>
    <n v="0"/>
    <x v="180"/>
  </r>
  <r>
    <d v="2017-06-30T00:00:00"/>
    <x v="5"/>
    <s v="Series 5d"/>
    <n v="6819993.724499999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5953631723617541E-2"/>
    <x v="1"/>
    <n v="0"/>
    <x v="181"/>
  </r>
  <r>
    <d v="2017-07-31T00:00:00"/>
    <x v="5"/>
    <s v="Series 5d"/>
    <n v="6964480.193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1185718687826594E-2"/>
    <x v="1"/>
    <n v="0"/>
    <x v="182"/>
  </r>
  <r>
    <d v="2017-08-31T00:00:00"/>
    <x v="5"/>
    <s v="Series 5d"/>
    <n v="69886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3.4632601905082439E-3"/>
    <x v="1"/>
    <n v="0"/>
    <x v="183"/>
  </r>
  <r>
    <d v="2017-09-29T00:00:00"/>
    <x v="5"/>
    <s v="Series 5d"/>
    <n v="6953801.0628649574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4.9793860193805273E-3"/>
    <x v="1"/>
    <n v="0"/>
    <x v="184"/>
  </r>
  <r>
    <d v="2017-10-31T00:00:00"/>
    <x v="5"/>
    <s v="Series 5d"/>
    <n v="69948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5.8959030844276672E-3"/>
    <x v="1"/>
    <n v="0"/>
    <x v="185"/>
  </r>
  <r>
    <d v="2017-11-30T00:00:00"/>
    <x v="5"/>
    <s v="Series 5d"/>
    <n v="70108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2.2874135071766499E-3"/>
    <x v="1"/>
    <n v="0"/>
    <x v="186"/>
  </r>
  <r>
    <d v="2017-12-29T00:00:00"/>
    <x v="5"/>
    <s v="Series 5d"/>
    <n v="73366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6471158783591093E-2"/>
    <x v="1"/>
    <n v="0"/>
    <x v="187"/>
  </r>
  <r>
    <d v="2018-01-31T00:00:00"/>
    <x v="5"/>
    <s v="Series 5d"/>
    <n v="74218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1613008750647413E-2"/>
    <x v="1"/>
    <n v="0"/>
    <x v="188"/>
  </r>
  <r>
    <d v="2018-02-28T00:00:00"/>
    <x v="5"/>
    <s v="Series 5d"/>
    <n v="7487797.8200000003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8.8924277129538432E-3"/>
    <x v="1"/>
    <n v="0"/>
    <x v="189"/>
  </r>
  <r>
    <d v="2018-03-29T00:00:00"/>
    <x v="5"/>
    <s v="Series 5d"/>
    <n v="7551320.983"/>
    <e v="#DIV/0!"/>
    <n v="5.2"/>
    <n v="0"/>
    <n v="0"/>
    <n v="0"/>
    <m/>
    <m/>
    <n v="0"/>
    <e v="#DIV/0!"/>
    <n v="0"/>
    <n v="0"/>
    <s v="Private Equity Fund"/>
    <n v="1.5745325537686965E-2"/>
    <n v="0.41493899700000003"/>
    <n v="0"/>
    <n v="0"/>
    <m/>
    <m/>
    <m/>
    <m/>
    <m/>
    <m/>
    <m/>
    <m/>
    <m/>
    <m/>
    <m/>
    <d v="2018-03-29T00:00:00"/>
    <n v="8.4835574526769264E-3"/>
    <x v="1"/>
    <n v="0"/>
    <x v="190"/>
  </r>
  <r>
    <d v="2018-04-30T00:00:00"/>
    <x v="5"/>
    <s v="Series 5d"/>
    <n v="7630754.0949999997"/>
    <e v="#DIV/0!"/>
    <n v="5.2"/>
    <n v="0"/>
    <n v="0"/>
    <n v="0"/>
    <m/>
    <m/>
    <n v="0"/>
    <e v="#DIV/0!"/>
    <n v="0"/>
    <n v="0"/>
    <s v="Private Equity Fund"/>
    <n v="0"/>
    <n v="0.42895661000000002"/>
    <n v="0"/>
    <n v="0"/>
    <m/>
    <m/>
    <m/>
    <m/>
    <m/>
    <m/>
    <m/>
    <m/>
    <m/>
    <m/>
    <m/>
    <d v="2018-04-30T00:00:00"/>
    <n v="1.051910151598956E-2"/>
    <x v="1"/>
    <n v="0"/>
    <x v="191"/>
  </r>
  <r>
    <d v="2018-05-31T00:00:00"/>
    <x v="5"/>
    <s v="Series 5d"/>
    <n v="7680300.3569999998"/>
    <e v="#DIV/0!"/>
    <n v="5.2"/>
    <n v="0"/>
    <n v="0"/>
    <n v="0"/>
    <m/>
    <m/>
    <n v="0"/>
    <e v="#DIV/0!"/>
    <n v="0"/>
    <n v="0"/>
    <s v="Private Equity Fund"/>
    <n v="0"/>
    <n v="0.43770006"/>
    <n v="0"/>
    <n v="0"/>
    <m/>
    <m/>
    <m/>
    <m/>
    <m/>
    <m/>
    <m/>
    <m/>
    <m/>
    <m/>
    <m/>
    <d v="2018-05-31T00:00:00"/>
    <n v="6.4929706006993104E-3"/>
    <x v="1"/>
    <n v="0"/>
    <x v="192"/>
  </r>
  <r>
    <d v="2018-06-29T00:00:00"/>
    <x v="5"/>
    <s v="Series 5d"/>
    <n v="7718232.5080000004"/>
    <e v="#DIV/0!"/>
    <n v="5.2"/>
    <n v="0"/>
    <n v="0"/>
    <n v="0"/>
    <m/>
    <m/>
    <n v="0"/>
    <e v="#DIV/0!"/>
    <n v="0"/>
    <n v="0"/>
    <s v="Private Equity Fund"/>
    <n v="1.6492690000000001E-2"/>
    <n v="0.44439397000000003"/>
    <n v="0"/>
    <n v="0"/>
    <m/>
    <m/>
    <m/>
    <m/>
    <m/>
    <m/>
    <m/>
    <m/>
    <m/>
    <m/>
    <m/>
    <d v="2018-06-29T00:00:00"/>
    <n v="4.9388890065253932E-3"/>
    <x v="1"/>
    <n v="0"/>
    <x v="193"/>
  </r>
  <r>
    <d v="2018-07-31T00:00:00"/>
    <x v="5"/>
    <s v="Series 5d"/>
    <n v="7718663.8490000004"/>
    <s v=""/>
    <n v="5.2"/>
    <n v="0"/>
    <n v="0"/>
    <n v="0"/>
    <m/>
    <m/>
    <n v="0"/>
    <e v="#DIV/0!"/>
    <n v="0"/>
    <n v="0"/>
    <s v="Private Equity Fund"/>
    <n v="0"/>
    <n v="0.44447009100000001"/>
    <n v="0"/>
    <n v="0"/>
    <m/>
    <m/>
    <m/>
    <m/>
    <m/>
    <m/>
    <m/>
    <m/>
    <m/>
    <m/>
    <m/>
    <d v="2018-07-31T00:00:00"/>
    <n v="5.5885981609549162E-5"/>
    <x v="1"/>
    <n v="0"/>
    <x v="194"/>
  </r>
  <r>
    <d v="2018-08-31T00:00:00"/>
    <x v="5"/>
    <s v="Series 5d"/>
    <n v="7740461.8439999996"/>
    <s v=""/>
    <n v="5.2"/>
    <n v="0"/>
    <n v="0"/>
    <n v="0"/>
    <m/>
    <m/>
    <n v="0"/>
    <e v="#DIV/0!"/>
    <n v="0"/>
    <n v="0"/>
    <s v="Private Equity Fund"/>
    <n v="0"/>
    <n v="0.44831679599999991"/>
    <n v="0"/>
    <n v="0"/>
    <m/>
    <m/>
    <m/>
    <m/>
    <m/>
    <m/>
    <m/>
    <m/>
    <m/>
    <m/>
    <m/>
    <d v="2018-08-31T00:00:00"/>
    <n v="2.8240632610037064E-3"/>
    <x v="1"/>
    <n v="0"/>
    <x v="195"/>
  </r>
  <r>
    <d v="2018-09-28T00:00:00"/>
    <x v="5"/>
    <s v="Series 5d"/>
    <n v="7669947.8415000001"/>
    <m/>
    <n v="5.2"/>
    <n v="0"/>
    <n v="0"/>
    <n v="0"/>
    <m/>
    <n v="0"/>
    <n v="0"/>
    <e v="#DIV/0!"/>
    <n v="0"/>
    <n v="0"/>
    <s v="Private Equity Fund"/>
    <n v="1.6199536836271119E-2"/>
    <n v="0.43587314850000003"/>
    <m/>
    <m/>
    <m/>
    <m/>
    <m/>
    <m/>
    <m/>
    <m/>
    <m/>
    <m/>
    <m/>
    <m/>
    <m/>
    <d v="2018-09-28T00:00:00"/>
    <n v="-9.1097926611004576E-3"/>
    <x v="1"/>
    <n v="0"/>
    <x v="196"/>
  </r>
  <r>
    <d v="2018-10-31T00:00:00"/>
    <x v="5"/>
    <s v="Series 5d"/>
    <n v="7641448.1914999997"/>
    <m/>
    <n v="5.2"/>
    <n v="0"/>
    <n v="0"/>
    <n v="0"/>
    <n v="0"/>
    <m/>
    <n v="0"/>
    <e v="#DIV/0!"/>
    <n v="-7641448.1914999997"/>
    <n v="-7641448.1914999997"/>
    <s v="Private Equity Fund"/>
    <n v="5.8428153100409672E-3"/>
    <n v="0.43084379850000004"/>
    <m/>
    <m/>
    <m/>
    <m/>
    <m/>
    <m/>
    <m/>
    <m/>
    <m/>
    <m/>
    <m/>
    <m/>
    <m/>
    <d v="2018-10-31T00:00:00"/>
    <n v="-3.7157553856881353E-3"/>
    <x v="1"/>
    <n v="0"/>
    <x v="197"/>
  </r>
  <r>
    <d v="2015-01-15T00:00:00"/>
    <x v="5"/>
    <s v="Series 6"/>
    <n v="859790"/>
    <e v="#DIV/0!"/>
    <n v="6.77"/>
    <n v="859790"/>
    <n v="0"/>
    <n v="0"/>
    <m/>
    <m/>
    <n v="859790"/>
    <e v="#DIV/0!"/>
    <n v="859790"/>
    <n v="859790"/>
    <s v="Private Equity Fund"/>
    <n v="0"/>
    <n v="0"/>
    <n v="0"/>
    <n v="0"/>
    <m/>
    <m/>
    <m/>
    <m/>
    <m/>
    <m/>
    <m/>
    <m/>
    <m/>
    <m/>
    <m/>
    <d v="2015-01-15T00:00:00"/>
    <n v="0"/>
    <x v="1"/>
    <n v="0"/>
    <x v="152"/>
  </r>
  <r>
    <d v="2015-01-30T00:00:00"/>
    <x v="5"/>
    <s v="Series 6"/>
    <n v="857293.5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1-30T00:00:00"/>
    <n v="-2.9036043685085611E-3"/>
    <x v="1"/>
    <n v="0"/>
    <x v="152"/>
  </r>
  <r>
    <d v="2015-02-27T00:00:00"/>
    <x v="5"/>
    <s v="Series 6"/>
    <n v="1397700.68"/>
    <e v="#DIV/0!"/>
    <n v="6.77"/>
    <n v="534830"/>
    <n v="0"/>
    <n v="0"/>
    <m/>
    <m/>
    <n v="534830"/>
    <e v="#DIV/0!"/>
    <n v="534830"/>
    <n v="534830"/>
    <s v="Private Equity Fund"/>
    <n v="0"/>
    <n v="0"/>
    <n v="0"/>
    <n v="0"/>
    <m/>
    <m/>
    <m/>
    <m/>
    <m/>
    <m/>
    <m/>
    <m/>
    <m/>
    <m/>
    <m/>
    <d v="2015-02-27T00:00:00"/>
    <n v="6.5055549061603379E-3"/>
    <x v="1"/>
    <n v="0"/>
    <x v="153"/>
  </r>
  <r>
    <d v="2015-03-31T00:00:00"/>
    <x v="5"/>
    <s v="Series 6"/>
    <n v="2030467.2799999998"/>
    <e v="#DIV/0!"/>
    <n v="6.77"/>
    <n v="541600"/>
    <n v="0"/>
    <n v="0"/>
    <m/>
    <m/>
    <n v="541600"/>
    <e v="#DIV/0!"/>
    <n v="541600"/>
    <n v="541600"/>
    <s v="Private Equity Fund"/>
    <n v="0"/>
    <n v="0"/>
    <n v="0"/>
    <n v="0"/>
    <m/>
    <m/>
    <m/>
    <m/>
    <m/>
    <m/>
    <m/>
    <m/>
    <m/>
    <m/>
    <m/>
    <d v="2015-03-31T00:00:00"/>
    <n v="6.5226125524958434E-2"/>
    <x v="1"/>
    <n v="0"/>
    <x v="154"/>
  </r>
  <r>
    <d v="2015-04-30T00:00:00"/>
    <x v="5"/>
    <s v="Series 6"/>
    <n v="3046891.53"/>
    <e v="#DIV/0!"/>
    <n v="6.77"/>
    <n v="771780"/>
    <n v="0"/>
    <n v="0"/>
    <m/>
    <m/>
    <n v="771780"/>
    <e v="#DIV/0!"/>
    <n v="771780"/>
    <n v="771780"/>
    <s v="Private Equity Fund"/>
    <n v="0"/>
    <n v="0"/>
    <n v="0"/>
    <n v="0"/>
    <m/>
    <m/>
    <m/>
    <m/>
    <m/>
    <m/>
    <m/>
    <m/>
    <m/>
    <m/>
    <m/>
    <d v="2015-04-30T00:00:00"/>
    <n v="0.12048667437773242"/>
    <x v="1"/>
    <n v="0"/>
    <x v="155"/>
  </r>
  <r>
    <d v="2015-05-29T00:00:00"/>
    <x v="5"/>
    <s v="Series 6"/>
    <n v="3586142.68"/>
    <e v="#DIV/0!"/>
    <n v="6.77"/>
    <n v="514520"/>
    <n v="0"/>
    <n v="0"/>
    <m/>
    <m/>
    <n v="514520"/>
    <e v="#DIV/0!"/>
    <n v="514520"/>
    <n v="514520"/>
    <s v="Private Equity Fund"/>
    <n v="0"/>
    <n v="0"/>
    <n v="0"/>
    <n v="0"/>
    <m/>
    <m/>
    <m/>
    <m/>
    <m/>
    <m/>
    <m/>
    <m/>
    <m/>
    <m/>
    <m/>
    <d v="2015-05-29T00:00:00"/>
    <n v="8.1168462206464564E-3"/>
    <x v="1"/>
    <n v="0"/>
    <x v="156"/>
  </r>
  <r>
    <d v="2015-06-30T00:00:00"/>
    <x v="5"/>
    <s v="Series 6"/>
    <n v="3531947.4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5112413207162168E-2"/>
    <x v="1"/>
    <n v="0"/>
    <x v="157"/>
  </r>
  <r>
    <d v="2015-07-31T00:00:00"/>
    <x v="5"/>
    <s v="Series 6"/>
    <n v="4044744.11"/>
    <e v="#DIV/0!"/>
    <n v="6.77"/>
    <n v="588990"/>
    <n v="0"/>
    <n v="0"/>
    <m/>
    <m/>
    <n v="588990"/>
    <e v="#DIV/0!"/>
    <n v="588990"/>
    <n v="588990"/>
    <s v="Private Equity Fund"/>
    <n v="0"/>
    <n v="0"/>
    <n v="0"/>
    <n v="0"/>
    <m/>
    <m/>
    <m/>
    <m/>
    <m/>
    <m/>
    <m/>
    <m/>
    <m/>
    <m/>
    <m/>
    <d v="2015-07-31T00:00:00"/>
    <n v="-2.1572603200227247E-2"/>
    <x v="1"/>
    <n v="0"/>
    <x v="158"/>
  </r>
  <r>
    <d v="2015-08-31T00:00:00"/>
    <x v="5"/>
    <s v="Series 6"/>
    <n v="3968308.7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8897457520495653E-2"/>
    <x v="1"/>
    <n v="0"/>
    <x v="159"/>
  </r>
  <r>
    <d v="2015-09-30T00:00:00"/>
    <x v="5"/>
    <s v="Series 6"/>
    <n v="3982092.5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4734721862228479E-3"/>
    <x v="1"/>
    <n v="0"/>
    <x v="160"/>
  </r>
  <r>
    <d v="2015-10-30T00:00:00"/>
    <x v="5"/>
    <s v="Series 6"/>
    <n v="4100663.6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9776075972357985E-2"/>
    <x v="1"/>
    <n v="0"/>
    <x v="161"/>
  </r>
  <r>
    <d v="2015-11-30T00:00:00"/>
    <x v="5"/>
    <s v="Series 6"/>
    <n v="4451253.05"/>
    <e v="#DIV/0!"/>
    <n v="6.77"/>
    <n v="338500"/>
    <n v="0"/>
    <n v="0"/>
    <m/>
    <m/>
    <n v="338500"/>
    <e v="#DIV/0!"/>
    <n v="338500"/>
    <n v="338500"/>
    <s v="Private Equity Fund"/>
    <n v="0"/>
    <n v="0"/>
    <n v="0"/>
    <n v="0"/>
    <m/>
    <m/>
    <m/>
    <m/>
    <m/>
    <m/>
    <m/>
    <m/>
    <m/>
    <m/>
    <m/>
    <d v="2015-11-30T00:00:00"/>
    <n v="2.9481618320399416E-3"/>
    <x v="1"/>
    <n v="0"/>
    <x v="162"/>
  </r>
  <r>
    <d v="2015-12-31T00:00:00"/>
    <x v="5"/>
    <s v="Series 6"/>
    <n v="4483105.889999999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7.1559265766747426E-3"/>
    <x v="1"/>
    <n v="0"/>
    <x v="163"/>
  </r>
  <r>
    <d v="2016-01-29T00:00:00"/>
    <x v="5"/>
    <s v="Series 6"/>
    <n v="4389303.26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2.0923581173765249E-2"/>
    <x v="1"/>
    <n v="0"/>
    <x v="164"/>
  </r>
  <r>
    <d v="2016-02-29T00:00:00"/>
    <x v="5"/>
    <s v="Series 6"/>
    <n v="6006931.2300000004"/>
    <e v="#DIV/0!"/>
    <n v="6.77"/>
    <n v="1516480"/>
    <n v="0"/>
    <n v="0"/>
    <m/>
    <m/>
    <n v="1516480"/>
    <e v="#DIV/0!"/>
    <n v="1516480"/>
    <n v="1516480"/>
    <s v="Private Equity Fund"/>
    <n v="0"/>
    <n v="0"/>
    <n v="0"/>
    <n v="0"/>
    <m/>
    <m/>
    <m/>
    <m/>
    <m/>
    <m/>
    <m/>
    <m/>
    <m/>
    <m/>
    <m/>
    <d v="2016-02-29T00:00:00"/>
    <n v="2.3044197224139973E-2"/>
    <x v="1"/>
    <n v="0"/>
    <x v="165"/>
  </r>
  <r>
    <d v="2016-03-31T00:00:00"/>
    <x v="5"/>
    <s v="Series 6"/>
    <n v="6079516.65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208361095221E-2"/>
    <x v="1"/>
    <n v="0"/>
    <x v="166"/>
  </r>
  <r>
    <d v="2016-04-29T00:00:00"/>
    <x v="5"/>
    <s v="Series 6"/>
    <n v="7232755.7800000003"/>
    <e v="#DIV/0!"/>
    <n v="6.77"/>
    <n v="1103510"/>
    <n v="0"/>
    <n v="0"/>
    <m/>
    <m/>
    <n v="1103510"/>
    <e v="#DIV/0!"/>
    <n v="1103510"/>
    <n v="1103510"/>
    <s v="Private Equity Fund"/>
    <n v="0"/>
    <n v="0"/>
    <n v="0"/>
    <n v="0"/>
    <m/>
    <m/>
    <m/>
    <m/>
    <m/>
    <m/>
    <m/>
    <m/>
    <m/>
    <m/>
    <m/>
    <d v="2016-04-29T00:00:00"/>
    <n v="8.1797835030190669E-3"/>
    <x v="1"/>
    <n v="0"/>
    <x v="167"/>
  </r>
  <r>
    <d v="2016-05-31T00:00:00"/>
    <x v="5"/>
    <s v="Series 6"/>
    <n v="7331596.780000000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3665745534131579E-2"/>
    <x v="1"/>
    <n v="0"/>
    <x v="168"/>
  </r>
  <r>
    <d v="2016-06-30T00:00:00"/>
    <x v="5"/>
    <s v="Series 6"/>
    <n v="7552291.69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3.0101888663877086E-2"/>
    <x v="1"/>
    <n v="0"/>
    <x v="169"/>
  </r>
  <r>
    <d v="2016-07-29T00:00:00"/>
    <x v="5"/>
    <s v="Series 6"/>
    <n v="7579551.160000000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3.6094302390483612E-3"/>
    <x v="1"/>
    <n v="0"/>
    <x v="170"/>
  </r>
  <r>
    <d v="2016-08-31T00:00:00"/>
    <x v="5"/>
    <s v="Series 6"/>
    <n v="7551779.830000000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3.6639808101777138E-3"/>
    <x v="1"/>
    <n v="0"/>
    <x v="171"/>
  </r>
  <r>
    <d v="2016-09-30T00:00:00"/>
    <x v="5"/>
    <s v="Series 6"/>
    <n v="7943256.79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5.1839032494674919E-2"/>
    <x v="1"/>
    <n v="0"/>
    <x v="172"/>
  </r>
  <r>
    <d v="2016-10-31T00:00:00"/>
    <x v="5"/>
    <s v="Series 6"/>
    <n v="8157145.0599999996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6927024475561501E-2"/>
    <x v="1"/>
    <n v="0"/>
    <x v="173"/>
  </r>
  <r>
    <d v="2016-11-30T00:00:00"/>
    <x v="5"/>
    <s v="Series 6"/>
    <n v="8193606.929999999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4699303165267601E-3"/>
    <x v="1"/>
    <n v="0"/>
    <x v="174"/>
  </r>
  <r>
    <d v="2016-12-30T00:00:00"/>
    <x v="5"/>
    <s v="Series 6"/>
    <n v="8162605.360000000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3.7836291470719763E-3"/>
    <x v="1"/>
    <n v="0"/>
    <x v="175"/>
  </r>
  <r>
    <d v="2017-01-27T00:00:00"/>
    <x v="5"/>
    <s v="Series 6"/>
    <n v="8276887.69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4000717290588272E-2"/>
    <x v="1"/>
    <n v="0"/>
    <x v="176"/>
  </r>
  <r>
    <d v="2017-02-28T00:00:00"/>
    <x v="5"/>
    <s v="Series 6"/>
    <n v="8596559.859999999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8622267447971037E-2"/>
    <x v="1"/>
    <n v="0"/>
    <x v="177"/>
  </r>
  <r>
    <d v="2017-03-31T00:00:00"/>
    <x v="5"/>
    <s v="Series 6"/>
    <n v="8507608.25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0347349573390785E-2"/>
    <x v="1"/>
    <n v="0"/>
    <x v="178"/>
  </r>
  <r>
    <d v="2017-04-28T00:00:00"/>
    <x v="5"/>
    <s v="Series 6"/>
    <n v="8485080.429999999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2.647961605425353E-3"/>
    <x v="1"/>
    <n v="0"/>
    <x v="179"/>
  </r>
  <r>
    <d v="2017-05-31T00:00:00"/>
    <x v="5"/>
    <s v="Series 6"/>
    <n v="8553917.300000000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8.1126950496097638E-3"/>
    <x v="1"/>
    <n v="0"/>
    <x v="180"/>
  </r>
  <r>
    <d v="2017-06-30T00:00:00"/>
    <x v="5"/>
    <s v="Series 6"/>
    <n v="8635086.40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9.4891144201265654E-3"/>
    <x v="1"/>
    <n v="0"/>
    <x v="181"/>
  </r>
  <r>
    <d v="2017-07-31T00:00:00"/>
    <x v="5"/>
    <s v="Series 6"/>
    <n v="8787317.1899999995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1.7629330263562837E-2"/>
    <x v="1"/>
    <n v="0"/>
    <x v="182"/>
  </r>
  <r>
    <d v="2017-08-31T00:00:00"/>
    <x v="5"/>
    <s v="Series 6"/>
    <n v="88362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5.5628821565276709E-3"/>
    <x v="1"/>
    <n v="0"/>
    <x v="183"/>
  </r>
  <r>
    <d v="2017-09-29T00:00:00"/>
    <x v="5"/>
    <s v="Series 6"/>
    <n v="8822200.01278718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1.5843900333649685E-3"/>
    <x v="1"/>
    <n v="0"/>
    <x v="184"/>
  </r>
  <r>
    <d v="2017-10-31T00:00:00"/>
    <x v="5"/>
    <s v="Series 6"/>
    <n v="88631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4.6360303726438179E-3"/>
    <x v="1"/>
    <n v="0"/>
    <x v="185"/>
  </r>
  <r>
    <d v="2017-11-30T00:00:00"/>
    <x v="5"/>
    <s v="Series 6"/>
    <n v="89063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4.8741411018717873E-3"/>
    <x v="1"/>
    <n v="0"/>
    <x v="186"/>
  </r>
  <r>
    <d v="2017-12-29T00:00:00"/>
    <x v="5"/>
    <s v="Series 6"/>
    <n v="93856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5.3815838226873192E-2"/>
    <x v="1"/>
    <n v="0"/>
    <x v="187"/>
  </r>
  <r>
    <d v="2018-01-31T00:00:00"/>
    <x v="5"/>
    <s v="Series 6"/>
    <n v="95193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4245226730310367E-2"/>
    <x v="1"/>
    <n v="0"/>
    <x v="188"/>
  </r>
  <r>
    <d v="2018-02-28T00:00:00"/>
    <x v="5"/>
    <s v="Series 6"/>
    <n v="9629991.910000000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1628156482094365E-2"/>
    <x v="1"/>
    <n v="0"/>
    <x v="189"/>
  </r>
  <r>
    <d v="2018-03-29T00:00:00"/>
    <x v="5"/>
    <s v="Series 6"/>
    <n v="9765815.4600000009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3-29T00:00:00"/>
    <n v="1.4104222648303466E-2"/>
    <x v="1"/>
    <n v="0"/>
    <x v="190"/>
  </r>
  <r>
    <d v="2018-04-30T00:00:00"/>
    <x v="5"/>
    <s v="Series 6"/>
    <n v="9837125.029999999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4-30T00:00:00"/>
    <n v="7.3019575571622308E-3"/>
    <x v="1"/>
    <n v="0"/>
    <x v="191"/>
  </r>
  <r>
    <d v="2018-05-31T00:00:00"/>
    <x v="5"/>
    <s v="Series 6"/>
    <n v="9916416.48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5-31T00:00:00"/>
    <n v="8.060429216685483E-3"/>
    <x v="1"/>
    <n v="0"/>
    <x v="192"/>
  </r>
  <r>
    <d v="2018-06-29T00:00:00"/>
    <x v="5"/>
    <s v="Series 6"/>
    <n v="10017799.789999999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6-29T00:00:00"/>
    <n v="1.0223784993749874E-2"/>
    <x v="1"/>
    <n v="0"/>
    <x v="193"/>
  </r>
  <r>
    <d v="2018-07-31T00:00:00"/>
    <x v="5"/>
    <s v="Series 6"/>
    <n v="9965116.4167347848"/>
    <s v="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7-31T00:00:00"/>
    <n v="-5.258976458863196E-3"/>
    <x v="1"/>
    <n v="0"/>
    <x v="194"/>
  </r>
  <r>
    <d v="2018-08-31T00:00:00"/>
    <x v="5"/>
    <s v="Series 6"/>
    <n v="10000078.720000001"/>
    <s v="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8-31T00:00:00"/>
    <n v="3.5084691240037102E-3"/>
    <x v="1"/>
    <n v="0"/>
    <x v="195"/>
  </r>
  <r>
    <d v="2018-09-28T00:00:00"/>
    <x v="5"/>
    <s v="Series 6"/>
    <n v="9954867.5399999991"/>
    <m/>
    <n v="6.77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4.5210824100394564E-3"/>
    <x v="1"/>
    <n v="0"/>
    <x v="196"/>
  </r>
  <r>
    <d v="2018-10-31T00:00:00"/>
    <x v="5"/>
    <s v="Series 6"/>
    <n v="9834044.7899999991"/>
    <m/>
    <n v="6.77"/>
    <n v="0"/>
    <n v="0"/>
    <n v="0"/>
    <n v="0"/>
    <m/>
    <n v="0"/>
    <e v="#DIV/0!"/>
    <n v="-9834044.7899999991"/>
    <n v="-9834044.7899999991"/>
    <s v="Private Equity Fund"/>
    <n v="0"/>
    <n v="0"/>
    <m/>
    <m/>
    <m/>
    <m/>
    <m/>
    <m/>
    <m/>
    <m/>
    <m/>
    <m/>
    <m/>
    <m/>
    <m/>
    <d v="2018-10-31T00:00:00"/>
    <n v="-1.2137052503663925E-2"/>
    <x v="1"/>
    <n v="0"/>
    <x v="197"/>
  </r>
  <r>
    <d v="2015-01-15T00:00:00"/>
    <x v="5"/>
    <s v="Series 7"/>
    <n v="339090"/>
    <e v="#DIV/0!"/>
    <n v="2.67"/>
    <n v="339090"/>
    <n v="0"/>
    <n v="0"/>
    <m/>
    <m/>
    <n v="339090"/>
    <e v="#DIV/0!"/>
    <n v="339090"/>
    <n v="339090"/>
    <s v="Private Equity Fund"/>
    <n v="0"/>
    <n v="0"/>
    <n v="0"/>
    <n v="0"/>
    <m/>
    <m/>
    <m/>
    <m/>
    <m/>
    <m/>
    <m/>
    <m/>
    <m/>
    <m/>
    <m/>
    <d v="2015-01-15T00:00:00"/>
    <n v="0"/>
    <x v="1"/>
    <n v="0"/>
    <x v="152"/>
  </r>
  <r>
    <d v="2015-01-30T00:00:00"/>
    <x v="5"/>
    <s v="Series 7"/>
    <n v="337688.57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1-30T00:00:00"/>
    <n v="-4.1329145654546151E-3"/>
    <x v="1"/>
    <n v="0"/>
    <x v="152"/>
  </r>
  <r>
    <d v="2015-02-27T00:00:00"/>
    <x v="5"/>
    <s v="Series 7"/>
    <n v="549921.07999999996"/>
    <e v="#DIV/0!"/>
    <n v="2.67"/>
    <n v="210930"/>
    <n v="0"/>
    <n v="0"/>
    <m/>
    <m/>
    <n v="210930"/>
    <e v="#DIV/0!"/>
    <n v="210930"/>
    <n v="210930"/>
    <s v="Private Equity Fund"/>
    <n v="0"/>
    <n v="0"/>
    <n v="0"/>
    <n v="0"/>
    <m/>
    <m/>
    <m/>
    <m/>
    <m/>
    <m/>
    <m/>
    <m/>
    <m/>
    <m/>
    <m/>
    <d v="2015-02-27T00:00:00"/>
    <n v="3.8571338082302731E-3"/>
    <x v="1"/>
    <n v="0"/>
    <x v="153"/>
  </r>
  <r>
    <d v="2015-03-31T00:00:00"/>
    <x v="5"/>
    <s v="Series 7"/>
    <n v="795358.47"/>
    <e v="#DIV/0!"/>
    <n v="2.67"/>
    <n v="216270"/>
    <n v="0"/>
    <n v="0"/>
    <m/>
    <m/>
    <n v="216270"/>
    <e v="#DIV/0!"/>
    <n v="216270"/>
    <n v="216270"/>
    <s v="Private Equity Fund"/>
    <n v="0"/>
    <n v="0"/>
    <n v="0"/>
    <n v="0"/>
    <m/>
    <m/>
    <m/>
    <m/>
    <m/>
    <m/>
    <m/>
    <m/>
    <m/>
    <m/>
    <m/>
    <d v="2015-03-31T00:00:00"/>
    <n v="5.3039228828980267E-2"/>
    <x v="1"/>
    <n v="0"/>
    <x v="154"/>
  </r>
  <r>
    <d v="2015-04-30T00:00:00"/>
    <x v="5"/>
    <s v="Series 7"/>
    <n v="1183014.1854999999"/>
    <e v="#DIV/0!"/>
    <n v="2.67"/>
    <n v="304380"/>
    <n v="0"/>
    <n v="0"/>
    <m/>
    <m/>
    <n v="304380"/>
    <e v="#DIV/0!"/>
    <n v="304380"/>
    <n v="304380"/>
    <s v="Private Equity Fund"/>
    <n v="0"/>
    <n v="0"/>
    <n v="0"/>
    <n v="0"/>
    <m/>
    <m/>
    <m/>
    <m/>
    <m/>
    <m/>
    <m/>
    <m/>
    <m/>
    <m/>
    <m/>
    <d v="2015-04-30T00:00:00"/>
    <n v="0.10470211689579401"/>
    <x v="1"/>
    <n v="0"/>
    <x v="155"/>
  </r>
  <r>
    <d v="2015-05-29T00:00:00"/>
    <x v="5"/>
    <s v="Series 7"/>
    <n v="1391626.0149999999"/>
    <e v="#DIV/0!"/>
    <n v="2.67"/>
    <n v="202920"/>
    <n v="0"/>
    <n v="0"/>
    <m/>
    <m/>
    <n v="202920"/>
    <e v="#DIV/0!"/>
    <n v="202920"/>
    <n v="202920"/>
    <s v="Private Equity Fund"/>
    <n v="0"/>
    <n v="0"/>
    <n v="0"/>
    <n v="0"/>
    <m/>
    <m/>
    <m/>
    <m/>
    <m/>
    <m/>
    <m/>
    <m/>
    <m/>
    <m/>
    <m/>
    <d v="2015-05-29T00:00:00"/>
    <n v="4.8112943781770667E-3"/>
    <x v="1"/>
    <n v="0"/>
    <x v="156"/>
  </r>
  <r>
    <d v="2015-06-30T00:00:00"/>
    <x v="5"/>
    <s v="Series 7"/>
    <n v="1370366.1635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5276986252660607E-2"/>
    <x v="1"/>
    <n v="0"/>
    <x v="157"/>
  </r>
  <r>
    <d v="2015-07-31T00:00:00"/>
    <x v="5"/>
    <s v="Series 7"/>
    <n v="1575392.5325"/>
    <e v="#DIV/0!"/>
    <n v="2.67"/>
    <n v="232290"/>
    <n v="0"/>
    <n v="0"/>
    <m/>
    <m/>
    <n v="232290"/>
    <e v="#DIV/0!"/>
    <n v="232290"/>
    <n v="232290"/>
    <s v="Private Equity Fund"/>
    <n v="0"/>
    <n v="0"/>
    <n v="0"/>
    <n v="0"/>
    <m/>
    <m/>
    <m/>
    <m/>
    <m/>
    <m/>
    <m/>
    <m/>
    <m/>
    <m/>
    <m/>
    <d v="2015-07-31T00:00:00"/>
    <n v="-1.9895143156750894E-2"/>
    <x v="1"/>
    <n v="0"/>
    <x v="158"/>
  </r>
  <r>
    <d v="2015-08-31T00:00:00"/>
    <x v="5"/>
    <s v="Series 7"/>
    <n v="1548113.031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7316002162781619E-2"/>
    <x v="1"/>
    <n v="0"/>
    <x v="159"/>
  </r>
  <r>
    <d v="2015-09-30T00:00:00"/>
    <x v="5"/>
    <s v="Series 7"/>
    <n v="1551081.98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1.9177850316036693E-3"/>
    <x v="1"/>
    <n v="0"/>
    <x v="160"/>
  </r>
  <r>
    <d v="2015-10-30T00:00:00"/>
    <x v="5"/>
    <s v="Series 7"/>
    <n v="1594170.791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7779841785022796E-2"/>
    <x v="1"/>
    <n v="0"/>
    <x v="161"/>
  </r>
  <r>
    <d v="2015-11-30T00:00:00"/>
    <x v="5"/>
    <s v="Series 7"/>
    <n v="1723020.3655000001"/>
    <e v="#DIV/0!"/>
    <n v="2.67"/>
    <n v="133500"/>
    <n v="0"/>
    <n v="0"/>
    <m/>
    <m/>
    <n v="133500"/>
    <e v="#DIV/0!"/>
    <n v="133500"/>
    <n v="133500"/>
    <s v="Private Equity Fund"/>
    <n v="0"/>
    <n v="0"/>
    <n v="0"/>
    <n v="0"/>
    <m/>
    <m/>
    <m/>
    <m/>
    <m/>
    <m/>
    <m/>
    <m/>
    <m/>
    <m/>
    <m/>
    <d v="2015-11-30T00:00:00"/>
    <n v="-2.9171444636527655E-3"/>
    <x v="1"/>
    <n v="0"/>
    <x v="162"/>
  </r>
  <r>
    <d v="2015-12-31T00:00:00"/>
    <x v="5"/>
    <s v="Series 7"/>
    <n v="1733415.8230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6.0332760471948355E-3"/>
    <x v="1"/>
    <n v="0"/>
    <x v="163"/>
  </r>
  <r>
    <d v="2016-01-29T00:00:00"/>
    <x v="5"/>
    <s v="Series 7"/>
    <n v="1705873.7660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5888892113799513E-2"/>
    <x v="1"/>
    <n v="0"/>
    <x v="164"/>
  </r>
  <r>
    <d v="2016-02-29T00:00:00"/>
    <x v="5"/>
    <s v="Series 7"/>
    <n v="2334662.2004999998"/>
    <e v="#DIV/0!"/>
    <n v="2.67"/>
    <n v="598080"/>
    <n v="0"/>
    <n v="0"/>
    <m/>
    <m/>
    <n v="598080"/>
    <e v="#DIV/0!"/>
    <n v="598080"/>
    <n v="598080"/>
    <s v="Private Equity Fund"/>
    <n v="0"/>
    <n v="0"/>
    <n v="0"/>
    <n v="0"/>
    <m/>
    <m/>
    <m/>
    <m/>
    <m/>
    <m/>
    <m/>
    <m/>
    <m/>
    <m/>
    <m/>
    <d v="2016-02-29T00:00:00"/>
    <n v="1.80015867012282E-2"/>
    <x v="1"/>
    <n v="0"/>
    <x v="165"/>
  </r>
  <r>
    <d v="2016-03-31T00:00:00"/>
    <x v="5"/>
    <s v="Series 7"/>
    <n v="2350747.3539999998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6.8897134225907042E-3"/>
    <x v="1"/>
    <n v="0"/>
    <x v="166"/>
  </r>
  <r>
    <d v="2016-04-29T00:00:00"/>
    <x v="5"/>
    <s v="Series 7"/>
    <n v="2810271.5644999999"/>
    <e v="#DIV/0!"/>
    <n v="2.67"/>
    <n v="432540"/>
    <n v="0"/>
    <n v="0"/>
    <m/>
    <m/>
    <n v="432540"/>
    <e v="#DIV/0!"/>
    <n v="432540"/>
    <n v="432540"/>
    <s v="Private Equity Fund"/>
    <n v="0"/>
    <n v="0"/>
    <n v="0"/>
    <n v="0"/>
    <m/>
    <m/>
    <m/>
    <m/>
    <m/>
    <m/>
    <m/>
    <m/>
    <m/>
    <m/>
    <m/>
    <d v="2016-04-29T00:00:00"/>
    <n v="1.1478992182670789E-2"/>
    <x v="1"/>
    <n v="0"/>
    <x v="167"/>
  </r>
  <r>
    <d v="2016-05-31T00:00:00"/>
    <x v="5"/>
    <s v="Series 7"/>
    <n v="2840150.075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0631894752604065E-2"/>
    <x v="1"/>
    <n v="0"/>
    <x v="168"/>
  </r>
  <r>
    <d v="2016-06-30T00:00:00"/>
    <x v="5"/>
    <s v="Series 7"/>
    <n v="2897727.401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0272634881707052E-2"/>
    <x v="1"/>
    <n v="0"/>
    <x v="169"/>
  </r>
  <r>
    <d v="2016-07-29T00:00:00"/>
    <x v="5"/>
    <s v="Series 7"/>
    <n v="2926397.094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9.8938542269915164E-3"/>
    <x v="1"/>
    <n v="0"/>
    <x v="170"/>
  </r>
  <r>
    <d v="2016-08-31T00:00:00"/>
    <x v="5"/>
    <s v="Series 7"/>
    <n v="2913673.2230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4.3479646101644009E-3"/>
    <x v="1"/>
    <n v="0"/>
    <x v="171"/>
  </r>
  <r>
    <d v="2016-09-30T00:00:00"/>
    <x v="5"/>
    <s v="Series 7"/>
    <n v="3018880.2815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6108050027544136E-2"/>
    <x v="1"/>
    <n v="0"/>
    <x v="172"/>
  </r>
  <r>
    <d v="2016-10-31T00:00:00"/>
    <x v="5"/>
    <s v="Series 7"/>
    <n v="3087154.703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2615809881031845E-2"/>
    <x v="1"/>
    <n v="0"/>
    <x v="173"/>
  </r>
  <r>
    <d v="2016-11-30T00:00:00"/>
    <x v="5"/>
    <s v="Series 7"/>
    <n v="3099473.260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3.9902622903993379E-3"/>
    <x v="1"/>
    <n v="0"/>
    <x v="174"/>
  </r>
  <r>
    <d v="2016-12-30T00:00:00"/>
    <x v="5"/>
    <s v="Series 7"/>
    <n v="3082372.765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5.5172263349296813E-3"/>
    <x v="1"/>
    <n v="0"/>
    <x v="175"/>
  </r>
  <r>
    <d v="2017-01-27T00:00:00"/>
    <x v="5"/>
    <s v="Series 7"/>
    <n v="3127581.3925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4666826642775188E-2"/>
    <x v="1"/>
    <n v="0"/>
    <x v="176"/>
  </r>
  <r>
    <d v="2017-02-28T00:00:00"/>
    <x v="5"/>
    <s v="Series 7"/>
    <n v="3230890.086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3031496557607287E-2"/>
    <x v="1"/>
    <n v="0"/>
    <x v="177"/>
  </r>
  <r>
    <d v="2017-03-31T00:00:00"/>
    <x v="5"/>
    <s v="Series 7"/>
    <n v="3187566.003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3409333756362107E-2"/>
    <x v="1"/>
    <n v="0"/>
    <x v="178"/>
  </r>
  <r>
    <d v="2017-04-28T00:00:00"/>
    <x v="5"/>
    <s v="Series 7"/>
    <n v="3187248.1370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9.9720601769770489E-5"/>
    <x v="1"/>
    <n v="0"/>
    <x v="179"/>
  </r>
  <r>
    <d v="2017-05-31T00:00:00"/>
    <x v="5"/>
    <s v="Series 7"/>
    <n v="3196022.117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2.7528388512161328E-3"/>
    <x v="1"/>
    <n v="0"/>
    <x v="180"/>
  </r>
  <r>
    <d v="2017-06-30T00:00:00"/>
    <x v="5"/>
    <s v="Series 7"/>
    <n v="3219658.441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7.3955445647819751E-3"/>
    <x v="1"/>
    <n v="0"/>
    <x v="181"/>
  </r>
  <r>
    <d v="2017-07-31T00:00:00"/>
    <x v="5"/>
    <s v="Series 7"/>
    <n v="3277605.686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1.7997948090730631E-2"/>
    <x v="1"/>
    <n v="0"/>
    <x v="182"/>
  </r>
  <r>
    <d v="2017-08-31T00:00:00"/>
    <x v="5"/>
    <s v="Series 7"/>
    <n v="32797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6.389764968699474E-4"/>
    <x v="1"/>
    <n v="0"/>
    <x v="183"/>
  </r>
  <r>
    <d v="2017-09-29T00:00:00"/>
    <x v="5"/>
    <s v="Series 7"/>
    <n v="3271540.5241503487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2.4878726254387029E-3"/>
    <x v="1"/>
    <n v="0"/>
    <x v="184"/>
  </r>
  <r>
    <d v="2017-10-31T00:00:00"/>
    <x v="5"/>
    <s v="Series 7"/>
    <n v="32922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6.3149075174657732E-3"/>
    <x v="1"/>
    <n v="0"/>
    <x v="185"/>
  </r>
  <r>
    <d v="2017-11-30T00:00:00"/>
    <x v="5"/>
    <s v="Series 7"/>
    <n v="32923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3.0374825344736678E-5"/>
    <x v="1"/>
    <n v="0"/>
    <x v="186"/>
  </r>
  <r>
    <d v="2017-12-29T00:00:00"/>
    <x v="5"/>
    <s v="Series 7"/>
    <n v="34483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7383288278710856E-2"/>
    <x v="1"/>
    <n v="0"/>
    <x v="187"/>
  </r>
  <r>
    <d v="2018-01-31T00:00:00"/>
    <x v="5"/>
    <s v="Series 7"/>
    <n v="35003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5079894440738872E-2"/>
    <x v="1"/>
    <n v="0"/>
    <x v="188"/>
  </r>
  <r>
    <d v="2018-02-28T00:00:00"/>
    <x v="5"/>
    <s v="Series 7"/>
    <n v="3534000.1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9.6277804759592467E-3"/>
    <x v="1"/>
    <n v="0"/>
    <x v="189"/>
  </r>
  <r>
    <d v="2018-03-29T00:00:00"/>
    <x v="5"/>
    <s v="Series 7"/>
    <n v="3563924.5745000001"/>
    <e v="#DIV/0!"/>
    <n v="2.67"/>
    <n v="0"/>
    <n v="0"/>
    <n v="0"/>
    <m/>
    <m/>
    <n v="0"/>
    <e v="#DIV/0!"/>
    <n v="0"/>
    <n v="0"/>
    <s v="Private Equity Fund"/>
    <n v="1.3816203926527304E-2"/>
    <n v="0.1577513955"/>
    <n v="0"/>
    <n v="0"/>
    <m/>
    <m/>
    <m/>
    <m/>
    <m/>
    <m/>
    <m/>
    <m/>
    <m/>
    <m/>
    <m/>
    <d v="2018-03-29T00:00:00"/>
    <n v="8.4675872902912896E-3"/>
    <x v="1"/>
    <n v="0"/>
    <x v="190"/>
  </r>
  <r>
    <d v="2018-04-30T00:00:00"/>
    <x v="5"/>
    <s v="Series 7"/>
    <n v="3606773.2445"/>
    <e v="#DIV/0!"/>
    <n v="2.67"/>
    <n v="0"/>
    <n v="0"/>
    <n v="0"/>
    <m/>
    <m/>
    <n v="0"/>
    <e v="#DIV/0!"/>
    <n v="0"/>
    <n v="0"/>
    <s v="Private Equity Fund"/>
    <n v="0"/>
    <n v="0.16531293"/>
    <n v="0"/>
    <n v="0"/>
    <m/>
    <m/>
    <m/>
    <m/>
    <m/>
    <m/>
    <m/>
    <m/>
    <m/>
    <m/>
    <m/>
    <d v="2018-04-30T00:00:00"/>
    <n v="1.2022889122453195E-2"/>
    <x v="1"/>
    <n v="0"/>
    <x v="191"/>
  </r>
  <r>
    <d v="2018-05-31T00:00:00"/>
    <x v="5"/>
    <s v="Series 7"/>
    <n v="3629442.9994999999"/>
    <e v="#DIV/0!"/>
    <n v="2.67"/>
    <n v="0"/>
    <n v="0"/>
    <n v="0"/>
    <m/>
    <m/>
    <n v="0"/>
    <e v="#DIV/0!"/>
    <n v="0"/>
    <n v="0"/>
    <s v="Private Equity Fund"/>
    <n v="0"/>
    <n v="0.16931346999999999"/>
    <n v="0"/>
    <n v="0"/>
    <m/>
    <m/>
    <m/>
    <m/>
    <m/>
    <m/>
    <m/>
    <m/>
    <m/>
    <m/>
    <m/>
    <d v="2018-05-31T00:00:00"/>
    <n v="6.2853285924113766E-3"/>
    <x v="1"/>
    <n v="0"/>
    <x v="192"/>
  </r>
  <r>
    <d v="2018-06-29T00:00:00"/>
    <x v="5"/>
    <s v="Series 7"/>
    <n v="3636086.03"/>
    <e v="#DIV/0!"/>
    <n v="2.67"/>
    <n v="0"/>
    <n v="0"/>
    <n v="0"/>
    <m/>
    <m/>
    <n v="0"/>
    <e v="#DIV/0!"/>
    <n v="0"/>
    <n v="0"/>
    <s v="Private Equity Fund"/>
    <n v="1.444659E-2"/>
    <n v="0.17048577000000001"/>
    <n v="0"/>
    <n v="0"/>
    <m/>
    <m/>
    <m/>
    <m/>
    <m/>
    <m/>
    <m/>
    <m/>
    <m/>
    <m/>
    <m/>
    <d v="2018-06-29T00:00:00"/>
    <n v="1.8303168009292659E-3"/>
    <x v="1"/>
    <n v="0"/>
    <x v="193"/>
  </r>
  <r>
    <d v="2018-07-31T00:00:00"/>
    <x v="5"/>
    <s v="Series 7"/>
    <n v="3649588.0674999999"/>
    <s v=""/>
    <n v="2.67"/>
    <n v="0"/>
    <n v="0"/>
    <n v="0"/>
    <m/>
    <m/>
    <n v="0"/>
    <e v="#DIV/0!"/>
    <n v="0"/>
    <n v="0"/>
    <s v="Private Equity Fund"/>
    <n v="0"/>
    <n v="0.1728684825"/>
    <n v="0"/>
    <n v="0"/>
    <m/>
    <m/>
    <m/>
    <m/>
    <m/>
    <m/>
    <m/>
    <m/>
    <m/>
    <m/>
    <m/>
    <d v="2018-07-31T00:00:00"/>
    <n v="3.7133437956637927E-3"/>
    <x v="1"/>
    <n v="0"/>
    <x v="194"/>
  </r>
  <r>
    <d v="2018-08-31T00:00:00"/>
    <x v="5"/>
    <s v="Series 7"/>
    <n v="3657115.7779999999"/>
    <s v=""/>
    <n v="2.67"/>
    <n v="0"/>
    <n v="0"/>
    <n v="0"/>
    <m/>
    <m/>
    <n v="0"/>
    <e v="#DIV/0!"/>
    <n v="0"/>
    <n v="0"/>
    <s v="Private Equity Fund"/>
    <n v="0"/>
    <n v="0.17419690200000004"/>
    <n v="0"/>
    <n v="0"/>
    <m/>
    <m/>
    <m/>
    <m/>
    <m/>
    <m/>
    <m/>
    <m/>
    <m/>
    <m/>
    <m/>
    <d v="2018-08-31T00:00:00"/>
    <n v="2.0626192218884398E-3"/>
    <x v="1"/>
    <n v="0"/>
    <x v="195"/>
  </r>
  <r>
    <d v="2018-09-28T00:00:00"/>
    <x v="5"/>
    <s v="Series 7"/>
    <n v="3602993.5835000002"/>
    <m/>
    <n v="2.67"/>
    <n v="0"/>
    <n v="0"/>
    <n v="0"/>
    <m/>
    <n v="0"/>
    <n v="0"/>
    <e v="#DIV/0!"/>
    <n v="0"/>
    <n v="0"/>
    <s v="Private Equity Fund"/>
    <n v="1.4142829852559425E-2"/>
    <n v="0.16464592649999998"/>
    <m/>
    <m/>
    <m/>
    <m/>
    <m/>
    <m/>
    <m/>
    <m/>
    <m/>
    <m/>
    <m/>
    <m/>
    <m/>
    <d v="2018-09-28T00:00:00"/>
    <n v="-1.4799147138184976E-2"/>
    <x v="1"/>
    <n v="0"/>
    <x v="196"/>
  </r>
  <r>
    <d v="2018-10-31T00:00:00"/>
    <x v="5"/>
    <s v="Series 7"/>
    <n v="3605600.8054999998"/>
    <m/>
    <n v="2.67"/>
    <n v="0"/>
    <n v="0"/>
    <n v="0"/>
    <n v="0"/>
    <m/>
    <n v="0"/>
    <e v="#DIV/0!"/>
    <n v="-3605600.8054999998"/>
    <n v="-3605600.8054999998"/>
    <s v="Private Equity Fund"/>
    <n v="5.1206427321923292E-3"/>
    <n v="0.1651060245"/>
    <m/>
    <m/>
    <m/>
    <m/>
    <m/>
    <m/>
    <m/>
    <m/>
    <m/>
    <m/>
    <m/>
    <m/>
    <m/>
    <d v="2018-10-31T00:00:00"/>
    <n v="7.2362660092961661E-4"/>
    <x v="1"/>
    <n v="0"/>
    <x v="197"/>
  </r>
  <r>
    <d v="2015-01-15T00:00:00"/>
    <x v="5"/>
    <s v="Series 7a"/>
    <n v="1160000"/>
    <e v="#DIV/0!"/>
    <n v="1.75"/>
    <n v="1160000"/>
    <n v="0"/>
    <n v="0"/>
    <m/>
    <m/>
    <n v="1160000"/>
    <e v="#DIV/0!"/>
    <n v="1160000"/>
    <n v="1160000"/>
    <s v="Private Equity Fund"/>
    <n v="0"/>
    <n v="0"/>
    <n v="0"/>
    <n v="0"/>
    <m/>
    <m/>
    <m/>
    <m/>
    <m/>
    <m/>
    <m/>
    <m/>
    <m/>
    <m/>
    <m/>
    <d v="2015-01-15T00:00:00"/>
    <n v="0"/>
    <x v="1"/>
    <n v="0"/>
    <x v="152"/>
  </r>
  <r>
    <d v="2015-01-30T00:00:00"/>
    <x v="5"/>
    <s v="Series 7a"/>
    <n v="1156631.8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1-30T00:00:00"/>
    <n v="-2.9036034482757822E-3"/>
    <x v="1"/>
    <n v="0"/>
    <x v="152"/>
  </r>
  <r>
    <d v="2015-02-27T00:00:00"/>
    <x v="5"/>
    <s v="Series 7a"/>
    <n v="1164642.2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2-27T00:00:00"/>
    <n v="6.9256870349632127E-3"/>
    <x v="1"/>
    <n v="0"/>
    <x v="153"/>
  </r>
  <r>
    <d v="2015-03-31T00:00:00"/>
    <x v="5"/>
    <s v="Series 7a"/>
    <n v="1726618.06"/>
    <e v="#DIV/0!"/>
    <n v="1.75"/>
    <n v="440000"/>
    <n v="0"/>
    <n v="0"/>
    <m/>
    <m/>
    <n v="440000"/>
    <e v="#DIV/0!"/>
    <n v="440000"/>
    <n v="440000"/>
    <s v="Private Equity Fund"/>
    <n v="0"/>
    <n v="0"/>
    <n v="0"/>
    <n v="0"/>
    <m/>
    <m/>
    <m/>
    <m/>
    <m/>
    <m/>
    <m/>
    <m/>
    <m/>
    <m/>
    <m/>
    <d v="2015-03-31T00:00:00"/>
    <n v="0.10473238954769548"/>
    <x v="1"/>
    <n v="0"/>
    <x v="154"/>
  </r>
  <r>
    <d v="2015-04-30T00:00:00"/>
    <x v="5"/>
    <s v="Series 7a"/>
    <n v="2008952.2"/>
    <e v="#DIV/0!"/>
    <n v="1.75"/>
    <n v="150000"/>
    <n v="0"/>
    <n v="0"/>
    <m/>
    <m/>
    <n v="150000"/>
    <e v="#DIV/0!"/>
    <n v="150000"/>
    <n v="150000"/>
    <s v="Private Equity Fund"/>
    <n v="0"/>
    <n v="0"/>
    <n v="0"/>
    <n v="0"/>
    <m/>
    <m/>
    <m/>
    <m/>
    <m/>
    <m/>
    <m/>
    <m/>
    <m/>
    <m/>
    <m/>
    <d v="2015-04-30T00:00:00"/>
    <n v="7.664355138275325E-2"/>
    <x v="1"/>
    <n v="0"/>
    <x v="155"/>
  </r>
  <r>
    <d v="2015-05-29T00:00:00"/>
    <x v="5"/>
    <s v="Series 7a"/>
    <n v="2161800.1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5-29T00:00:00"/>
    <n v="7.6083437923510466E-2"/>
    <x v="1"/>
    <n v="0"/>
    <x v="156"/>
  </r>
  <r>
    <d v="2015-06-30T00:00:00"/>
    <x v="5"/>
    <s v="Series 7a"/>
    <n v="1983954.53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8.2267390308629729E-2"/>
    <x v="1"/>
    <n v="0"/>
    <x v="157"/>
  </r>
  <r>
    <d v="2015-07-31T00:00:00"/>
    <x v="5"/>
    <s v="Series 7a"/>
    <n v="1908570.1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3.7997020022429662E-2"/>
    <x v="1"/>
    <n v="0"/>
    <x v="158"/>
  </r>
  <r>
    <d v="2015-08-31T00:00:00"/>
    <x v="5"/>
    <s v="Series 7a"/>
    <n v="1850255.55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3.0554087513586126E-2"/>
    <x v="1"/>
    <n v="0"/>
    <x v="159"/>
  </r>
  <r>
    <d v="2015-09-30T00:00:00"/>
    <x v="5"/>
    <s v="Series 7a"/>
    <n v="1859779.78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5.1475213788712004E-3"/>
    <x v="1"/>
    <n v="0"/>
    <x v="160"/>
  </r>
  <r>
    <d v="2015-10-30T00:00:00"/>
    <x v="5"/>
    <s v="Series 7a"/>
    <n v="1930263.09"/>
    <e v="#DIV/0!"/>
    <n v="1.75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5-10-30T00:00:00"/>
    <n v="3.7898739817463944E-2"/>
    <x v="1"/>
    <n v="0"/>
    <x v="161"/>
  </r>
  <r>
    <d v="2015-11-30T00:00:00"/>
    <x v="5"/>
    <s v="Series 7a"/>
    <n v="1846102.8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1-30T00:00:00"/>
    <n v="-4.3600414076197302E-2"/>
    <x v="1"/>
    <n v="0"/>
    <x v="162"/>
  </r>
  <r>
    <d v="2015-12-31T00:00:00"/>
    <x v="5"/>
    <s v="Series 7a"/>
    <n v="1944715.6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5.341678097864544E-2"/>
    <x v="1"/>
    <n v="0"/>
    <x v="163"/>
  </r>
  <r>
    <d v="2016-01-29T00:00:00"/>
    <x v="5"/>
    <s v="Series 7a"/>
    <n v="1873639.5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3.6548370728679558E-2"/>
    <x v="1"/>
    <n v="0"/>
    <x v="164"/>
  </r>
  <r>
    <d v="2016-02-29T00:00:00"/>
    <x v="5"/>
    <s v="Series 7a"/>
    <n v="1954122.4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2-29T00:00:00"/>
    <n v="4.2955403107161283E-2"/>
    <x v="1"/>
    <n v="0"/>
    <x v="165"/>
  </r>
  <r>
    <d v="2016-03-31T00:00:00"/>
    <x v="5"/>
    <s v="Series 7a"/>
    <n v="2001249.940000000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2.4116963725159479E-2"/>
    <x v="1"/>
    <n v="0"/>
    <x v="166"/>
  </r>
  <r>
    <d v="2016-04-29T00:00:00"/>
    <x v="5"/>
    <s v="Series 7a"/>
    <n v="1921050.9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-4.0074464661820408E-2"/>
    <x v="1"/>
    <n v="0"/>
    <x v="167"/>
  </r>
  <r>
    <d v="2016-05-31T00:00:00"/>
    <x v="5"/>
    <s v="Series 7a"/>
    <n v="2178835.13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0.13418916037894513"/>
    <x v="1"/>
    <n v="0"/>
    <x v="168"/>
  </r>
  <r>
    <d v="2016-06-30T00:00:00"/>
    <x v="5"/>
    <s v="Series 7a"/>
    <n v="2269232.4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4.1488811500850042E-2"/>
    <x v="1"/>
    <n v="0"/>
    <x v="169"/>
  </r>
  <r>
    <d v="2016-07-29T00:00:00"/>
    <x v="5"/>
    <s v="Series 7a"/>
    <n v="2378839.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4.8301438634925864E-2"/>
    <x v="1"/>
    <n v="0"/>
    <x v="170"/>
  </r>
  <r>
    <d v="2016-08-31T00:00:00"/>
    <x v="5"/>
    <s v="Series 7a"/>
    <n v="2340113.0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1.6279592789694597E-2"/>
    <x v="1"/>
    <n v="0"/>
    <x v="171"/>
  </r>
  <r>
    <d v="2016-09-30T00:00:00"/>
    <x v="5"/>
    <s v="Series 7a"/>
    <n v="2505169.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7.053357498889401E-2"/>
    <x v="1"/>
    <n v="0"/>
    <x v="172"/>
  </r>
  <r>
    <d v="2016-10-31T00:00:00"/>
    <x v="5"/>
    <s v="Series 7a"/>
    <n v="2802133.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0.11854039742458955"/>
    <x v="1"/>
    <n v="0"/>
    <x v="173"/>
  </r>
  <r>
    <d v="2016-11-30T00:00:00"/>
    <x v="5"/>
    <s v="Series 7a"/>
    <n v="2811723.3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3.4223602630767402E-3"/>
    <x v="1"/>
    <n v="0"/>
    <x v="174"/>
  </r>
  <r>
    <d v="2016-12-30T00:00:00"/>
    <x v="5"/>
    <s v="Series 7a"/>
    <n v="2609019.490000000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7.2092378108143174E-2"/>
    <x v="1"/>
    <n v="0"/>
    <x v="175"/>
  </r>
  <r>
    <d v="2017-01-27T00:00:00"/>
    <x v="5"/>
    <s v="Series 7a"/>
    <n v="2651731.13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637076310227159E-2"/>
    <x v="1"/>
    <n v="0"/>
    <x v="176"/>
  </r>
  <r>
    <d v="2017-02-28T00:00:00"/>
    <x v="5"/>
    <s v="Series 7a"/>
    <n v="2809913.0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5.9652307208084121E-2"/>
    <x v="1"/>
    <n v="0"/>
    <x v="177"/>
  </r>
  <r>
    <d v="2017-03-31T00:00:00"/>
    <x v="5"/>
    <s v="Series 7a"/>
    <n v="2741889.2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2.4208503878203502E-2"/>
    <x v="1"/>
    <n v="0"/>
    <x v="178"/>
  </r>
  <r>
    <d v="2017-04-28T00:00:00"/>
    <x v="5"/>
    <s v="Series 7a"/>
    <n v="2689507.659999999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1.9104185398125084E-2"/>
    <x v="1"/>
    <n v="0"/>
    <x v="179"/>
  </r>
  <r>
    <d v="2017-05-31T00:00:00"/>
    <x v="5"/>
    <s v="Series 7a"/>
    <n v="2673231.2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6.0518325499023806E-3"/>
    <x v="1"/>
    <n v="0"/>
    <x v="180"/>
  </r>
  <r>
    <d v="2017-06-30T00:00:00"/>
    <x v="5"/>
    <s v="Series 7a"/>
    <n v="2706661.7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1.2505652288864244E-2"/>
    <x v="1"/>
    <n v="0"/>
    <x v="181"/>
  </r>
  <r>
    <d v="2017-07-31T00:00:00"/>
    <x v="5"/>
    <s v="Series 7a"/>
    <n v="2795517.9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3.2828723911714874E-2"/>
    <x v="1"/>
    <n v="0"/>
    <x v="182"/>
  </r>
  <r>
    <d v="2017-08-31T00:00:00"/>
    <x v="5"/>
    <s v="Series 7a"/>
    <n v="28241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1.0224237657911583E-2"/>
    <x v="1"/>
    <n v="0"/>
    <x v="183"/>
  </r>
  <r>
    <d v="2017-09-29T00:00:00"/>
    <x v="5"/>
    <s v="Series 7a"/>
    <n v="2788860.298837219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1.247820585771775E-2"/>
    <x v="1"/>
    <n v="0"/>
    <x v="184"/>
  </r>
  <r>
    <d v="2017-10-31T00:00:00"/>
    <x v="5"/>
    <s v="Series 7a"/>
    <n v="2797005.7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2.9206952984259793E-3"/>
    <x v="1"/>
    <n v="0"/>
    <x v="185"/>
  </r>
  <r>
    <d v="2017-11-30T00:00:00"/>
    <x v="5"/>
    <s v="Series 7a"/>
    <n v="28095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4.4670234155510524E-3"/>
    <x v="1"/>
    <n v="0"/>
    <x v="186"/>
  </r>
  <r>
    <d v="2017-12-29T00:00:00"/>
    <x v="5"/>
    <s v="Series 7a"/>
    <n v="28802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2.5164620039152874E-2"/>
    <x v="1"/>
    <n v="0"/>
    <x v="187"/>
  </r>
  <r>
    <d v="2018-01-31T00:00:00"/>
    <x v="5"/>
    <s v="Series 7a"/>
    <n v="29002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6.9439622248455013E-3"/>
    <x v="1"/>
    <n v="0"/>
    <x v="188"/>
  </r>
  <r>
    <d v="2018-02-28T00:00:00"/>
    <x v="5"/>
    <s v="Series 7a"/>
    <n v="2938514.65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3211037169850393E-2"/>
    <x v="1"/>
    <n v="0"/>
    <x v="189"/>
  </r>
  <r>
    <d v="2018-03-29T00:00:00"/>
    <x v="5"/>
    <s v="Series 7a"/>
    <n v="2940364.8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3-29T00:00:00"/>
    <n v="6.2963443112318274E-4"/>
    <x v="1"/>
    <n v="0"/>
    <x v="190"/>
  </r>
  <r>
    <d v="2018-04-30T00:00:00"/>
    <x v="5"/>
    <s v="Series 7a"/>
    <n v="2985580.5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4-30T00:00:00"/>
    <n v="1.5377591714094807E-2"/>
    <x v="1"/>
    <n v="0"/>
    <x v="191"/>
  </r>
  <r>
    <d v="2018-05-31T00:00:00"/>
    <x v="5"/>
    <s v="Series 7a"/>
    <n v="3008781.8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5-31T00:00:00"/>
    <n v="7.7711183657658278E-3"/>
    <x v="1"/>
    <n v="0"/>
    <x v="192"/>
  </r>
  <r>
    <d v="2018-06-29T00:00:00"/>
    <x v="5"/>
    <s v="Series 7a"/>
    <n v="3041542.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6-29T00:00:00"/>
    <n v="1.0888469625084385E-2"/>
    <x v="1"/>
    <n v="0"/>
    <x v="193"/>
  </r>
  <r>
    <d v="2018-07-31T00:00:00"/>
    <x v="5"/>
    <s v="Series 7a"/>
    <n v="3024051.4804923646"/>
    <s v="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7-31T00:00:00"/>
    <n v="-5.7508376776915782E-3"/>
    <x v="1"/>
    <n v="0"/>
    <x v="194"/>
  </r>
  <r>
    <d v="2018-08-31T00:00:00"/>
    <x v="5"/>
    <s v="Series 7a"/>
    <n v="3049153.62"/>
    <s v="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8-31T00:00:00"/>
    <n v="8.3008307462901776E-3"/>
    <x v="1"/>
    <n v="0"/>
    <x v="195"/>
  </r>
  <r>
    <d v="2018-09-28T00:00:00"/>
    <x v="5"/>
    <s v="Series 7a"/>
    <n v="3050868.61"/>
    <m/>
    <n v="1.7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5.6244788348824848E-4"/>
    <x v="1"/>
    <n v="0"/>
    <x v="196"/>
  </r>
  <r>
    <d v="2018-10-31T00:00:00"/>
    <x v="5"/>
    <s v="Series 7a"/>
    <n v="3037214.32"/>
    <m/>
    <n v="1.75"/>
    <n v="0"/>
    <n v="0"/>
    <n v="0"/>
    <n v="0"/>
    <m/>
    <n v="0"/>
    <e v="#DIV/0!"/>
    <n v="-3037214.32"/>
    <n v="-3037214.32"/>
    <s v="Private Equity Fund"/>
    <n v="0"/>
    <n v="0"/>
    <m/>
    <m/>
    <m/>
    <m/>
    <m/>
    <m/>
    <m/>
    <m/>
    <m/>
    <m/>
    <m/>
    <m/>
    <m/>
    <d v="2018-10-31T00:00:00"/>
    <n v="-4.475541803158789E-3"/>
    <x v="1"/>
    <n v="0"/>
    <x v="197"/>
  </r>
  <r>
    <d v="2015-01-15T00:00:00"/>
    <x v="5"/>
    <s v="Series 7c"/>
    <n v="2794000"/>
    <e v="#DIV/0!"/>
    <n v="22"/>
    <n v="2794000"/>
    <n v="0"/>
    <n v="0"/>
    <m/>
    <m/>
    <n v="2794000"/>
    <e v="#DIV/0!"/>
    <n v="2794000"/>
    <n v="2794000"/>
    <s v="Private Equity Fund"/>
    <n v="0"/>
    <n v="0"/>
    <n v="0"/>
    <n v="0"/>
    <m/>
    <m/>
    <m/>
    <m/>
    <m/>
    <m/>
    <m/>
    <m/>
    <m/>
    <m/>
    <m/>
    <d v="2015-01-15T00:00:00"/>
    <n v="0"/>
    <x v="1"/>
    <n v="0"/>
    <x v="152"/>
  </r>
  <r>
    <d v="2015-01-30T00:00:00"/>
    <x v="5"/>
    <s v="Series 7c"/>
    <n v="2774559.8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1-30T00:00:00"/>
    <n v="-6.9578382247674764E-3"/>
    <x v="1"/>
    <n v="0"/>
    <x v="152"/>
  </r>
  <r>
    <d v="2015-02-27T00:00:00"/>
    <x v="5"/>
    <s v="Series 7c"/>
    <n v="4517306.2300000004"/>
    <e v="#DIV/0!"/>
    <n v="22"/>
    <n v="1738000"/>
    <n v="0"/>
    <n v="0"/>
    <m/>
    <m/>
    <n v="1738000"/>
    <e v="#DIV/0!"/>
    <n v="1738000"/>
    <n v="1738000"/>
    <s v="Private Equity Fund"/>
    <n v="0"/>
    <n v="0"/>
    <n v="0"/>
    <n v="0"/>
    <m/>
    <m/>
    <m/>
    <m/>
    <m/>
    <m/>
    <m/>
    <m/>
    <m/>
    <m/>
    <m/>
    <d v="2015-02-27T00:00:00"/>
    <n v="1.7106965941049435E-3"/>
    <x v="1"/>
    <n v="0"/>
    <x v="153"/>
  </r>
  <r>
    <d v="2015-03-31T00:00:00"/>
    <x v="5"/>
    <s v="Series 7c"/>
    <n v="6580985.2005000003"/>
    <e v="#DIV/0!"/>
    <n v="22"/>
    <n v="1826000"/>
    <n v="0"/>
    <n v="0"/>
    <m/>
    <m/>
    <n v="1826000"/>
    <e v="#DIV/0!"/>
    <n v="1826000"/>
    <n v="1826000"/>
    <s v="Private Equity Fund"/>
    <n v="0"/>
    <n v="0"/>
    <n v="0"/>
    <n v="0"/>
    <m/>
    <m/>
    <m/>
    <m/>
    <m/>
    <m/>
    <m/>
    <m/>
    <m/>
    <m/>
    <m/>
    <d v="2015-03-31T00:00:00"/>
    <n v="5.2615199944060498E-2"/>
    <x v="1"/>
    <n v="0"/>
    <x v="154"/>
  </r>
  <r>
    <d v="2015-04-30T00:00:00"/>
    <x v="5"/>
    <s v="Series 7c"/>
    <n v="9787048.4145"/>
    <e v="#DIV/0!"/>
    <n v="22"/>
    <n v="2508000"/>
    <n v="0"/>
    <n v="0"/>
    <m/>
    <m/>
    <n v="2508000"/>
    <e v="#DIV/0!"/>
    <n v="2508000"/>
    <n v="2508000"/>
    <s v="Private Equity Fund"/>
    <n v="0"/>
    <n v="0"/>
    <n v="0"/>
    <n v="0"/>
    <m/>
    <m/>
    <m/>
    <m/>
    <m/>
    <m/>
    <m/>
    <m/>
    <m/>
    <m/>
    <m/>
    <d v="2015-04-30T00:00:00"/>
    <n v="0.1060727524424403"/>
    <x v="1"/>
    <n v="0"/>
    <x v="155"/>
  </r>
  <r>
    <d v="2015-05-29T00:00:00"/>
    <x v="5"/>
    <s v="Series 7c"/>
    <n v="11483766.125499999"/>
    <e v="#DIV/0!"/>
    <n v="22"/>
    <n v="1672000"/>
    <n v="0"/>
    <n v="0"/>
    <m/>
    <m/>
    <n v="1672000"/>
    <e v="#DIV/0!"/>
    <n v="1672000"/>
    <n v="1672000"/>
    <s v="Private Equity Fund"/>
    <n v="0"/>
    <n v="0"/>
    <n v="0"/>
    <n v="0"/>
    <m/>
    <m/>
    <m/>
    <m/>
    <m/>
    <m/>
    <m/>
    <m/>
    <m/>
    <m/>
    <m/>
    <d v="2015-05-29T00:00:00"/>
    <n v="2.5255531548591392E-3"/>
    <x v="1"/>
    <n v="0"/>
    <x v="156"/>
  </r>
  <r>
    <d v="2015-06-30T00:00:00"/>
    <x v="5"/>
    <s v="Series 7c"/>
    <n v="11304354.73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5623045048053674E-2"/>
    <x v="1"/>
    <n v="0"/>
    <x v="157"/>
  </r>
  <r>
    <d v="2015-07-31T00:00:00"/>
    <x v="5"/>
    <s v="Series 7c"/>
    <n v="12990256.0485"/>
    <e v="#DIV/0!"/>
    <n v="22"/>
    <n v="1914000"/>
    <n v="0"/>
    <n v="0"/>
    <m/>
    <m/>
    <n v="1914000"/>
    <e v="#DIV/0!"/>
    <n v="1914000"/>
    <n v="1914000"/>
    <s v="Private Equity Fund"/>
    <n v="0"/>
    <n v="0"/>
    <n v="0"/>
    <n v="0"/>
    <m/>
    <m/>
    <m/>
    <m/>
    <m/>
    <m/>
    <m/>
    <m/>
    <m/>
    <m/>
    <m/>
    <d v="2015-07-31T00:00:00"/>
    <n v="-2.0177947963244902E-2"/>
    <x v="1"/>
    <n v="0"/>
    <x v="158"/>
  </r>
  <r>
    <d v="2015-08-31T00:00:00"/>
    <x v="5"/>
    <s v="Series 7c"/>
    <n v="12762026.619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7569278669172572E-2"/>
    <x v="1"/>
    <n v="0"/>
    <x v="159"/>
  </r>
  <r>
    <d v="2015-09-30T00:00:00"/>
    <x v="5"/>
    <s v="Series 7c"/>
    <n v="12783146.79950000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1.6549236362588537E-3"/>
    <x v="1"/>
    <n v="0"/>
    <x v="160"/>
  </r>
  <r>
    <d v="2015-10-30T00:00:00"/>
    <x v="5"/>
    <s v="Series 7c"/>
    <n v="13145094.7090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8314460842627343E-2"/>
    <x v="1"/>
    <n v="0"/>
    <x v="161"/>
  </r>
  <r>
    <d v="2015-11-30T00:00:00"/>
    <x v="5"/>
    <s v="Series 7c"/>
    <n v="14193352.9395"/>
    <e v="#DIV/0!"/>
    <n v="22"/>
    <n v="1100000"/>
    <n v="0"/>
    <n v="0"/>
    <m/>
    <m/>
    <n v="1100000"/>
    <e v="#DIV/0!"/>
    <n v="1100000"/>
    <n v="1100000"/>
    <s v="Private Equity Fund"/>
    <n v="0"/>
    <n v="0"/>
    <n v="0"/>
    <n v="0"/>
    <m/>
    <m/>
    <m/>
    <m/>
    <m/>
    <m/>
    <m/>
    <m/>
    <m/>
    <m/>
    <m/>
    <d v="2015-11-30T00:00:00"/>
    <n v="-3.9362036292195368E-3"/>
    <x v="1"/>
    <n v="0"/>
    <x v="162"/>
  </r>
  <r>
    <d v="2015-12-31T00:00:00"/>
    <x v="5"/>
    <s v="Series 7c"/>
    <n v="14276487.0875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5.8572592645560473E-3"/>
    <x v="1"/>
    <n v="0"/>
    <x v="163"/>
  </r>
  <r>
    <d v="2016-01-29T00:00:00"/>
    <x v="5"/>
    <s v="Series 7c"/>
    <n v="14055736.7240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5462512741897139E-2"/>
    <x v="1"/>
    <n v="0"/>
    <x v="164"/>
  </r>
  <r>
    <d v="2016-02-29T00:00:00"/>
    <x v="5"/>
    <s v="Series 7c"/>
    <n v="19237163.476"/>
    <e v="#DIV/0!"/>
    <n v="22"/>
    <n v="4928000"/>
    <n v="0"/>
    <n v="0"/>
    <m/>
    <m/>
    <n v="4928000"/>
    <e v="#DIV/0!"/>
    <n v="4928000"/>
    <n v="4928000"/>
    <s v="Private Equity Fund"/>
    <n v="0"/>
    <n v="0"/>
    <n v="0"/>
    <n v="0"/>
    <m/>
    <m/>
    <m/>
    <m/>
    <m/>
    <m/>
    <m/>
    <m/>
    <m/>
    <m/>
    <m/>
    <d v="2016-02-29T00:00:00"/>
    <n v="1.803012940383808E-2"/>
    <x v="1"/>
    <n v="0"/>
    <x v="165"/>
  </r>
  <r>
    <d v="2016-03-31T00:00:00"/>
    <x v="5"/>
    <s v="Series 7c"/>
    <n v="19359442.6484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6.3564034610692488E-3"/>
    <x v="1"/>
    <n v="0"/>
    <x v="166"/>
  </r>
  <r>
    <d v="2016-04-29T00:00:00"/>
    <x v="5"/>
    <s v="Series 7c"/>
    <n v="23114540.901500002"/>
    <e v="#DIV/0!"/>
    <n v="22"/>
    <n v="3520000"/>
    <n v="0"/>
    <n v="0"/>
    <m/>
    <m/>
    <n v="3520000"/>
    <e v="#DIV/0!"/>
    <n v="3520000"/>
    <n v="3520000"/>
    <s v="Private Equity Fund"/>
    <n v="0"/>
    <n v="0"/>
    <n v="0"/>
    <n v="0"/>
    <m/>
    <m/>
    <m/>
    <m/>
    <m/>
    <m/>
    <m/>
    <m/>
    <m/>
    <m/>
    <m/>
    <d v="2016-04-29T00:00:00"/>
    <n v="1.2143854410923138E-2"/>
    <x v="1"/>
    <n v="0"/>
    <x v="167"/>
  </r>
  <r>
    <d v="2016-05-31T00:00:00"/>
    <x v="5"/>
    <s v="Series 7c"/>
    <n v="23360785.16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0653218748723603E-2"/>
    <x v="1"/>
    <n v="0"/>
    <x v="168"/>
  </r>
  <r>
    <d v="2016-06-30T00:00:00"/>
    <x v="5"/>
    <s v="Series 7c"/>
    <n v="23822597.981999997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1.9768719963711101E-2"/>
    <x v="1"/>
    <n v="0"/>
    <x v="169"/>
  </r>
  <r>
    <d v="2016-07-29T00:00:00"/>
    <x v="5"/>
    <s v="Series 7c"/>
    <n v="24071380.3680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044312573246553E-2"/>
    <x v="1"/>
    <n v="0"/>
    <x v="170"/>
  </r>
  <r>
    <d v="2016-08-31T00:00:00"/>
    <x v="5"/>
    <s v="Series 7c"/>
    <n v="23966595.5894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4.3530855687570202E-3"/>
    <x v="1"/>
    <n v="0"/>
    <x v="171"/>
  </r>
  <r>
    <d v="2016-09-30T00:00:00"/>
    <x v="5"/>
    <s v="Series 7c"/>
    <n v="24821064.25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5652483862762319E-2"/>
    <x v="1"/>
    <n v="0"/>
    <x v="172"/>
  </r>
  <r>
    <d v="2016-10-31T00:00:00"/>
    <x v="5"/>
    <s v="Series 7c"/>
    <n v="25383692.078500006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2667353050934258E-2"/>
    <x v="1"/>
    <n v="0"/>
    <x v="173"/>
  </r>
  <r>
    <d v="2016-11-30T00:00:00"/>
    <x v="5"/>
    <s v="Series 7c"/>
    <n v="25485191.096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3.998591622767167E-3"/>
    <x v="1"/>
    <n v="0"/>
    <x v="174"/>
  </r>
  <r>
    <d v="2016-12-30T00:00:00"/>
    <x v="5"/>
    <s v="Series 7c"/>
    <n v="25344423.208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5.5235170677834233E-3"/>
    <x v="1"/>
    <n v="0"/>
    <x v="175"/>
  </r>
  <r>
    <d v="2017-01-27T00:00:00"/>
    <x v="5"/>
    <s v="Series 7c"/>
    <n v="25716790.520499997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4692277998568537E-2"/>
    <x v="1"/>
    <n v="0"/>
    <x v="176"/>
  </r>
  <r>
    <d v="2017-02-28T00:00:00"/>
    <x v="5"/>
    <s v="Series 7c"/>
    <n v="26568093.715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31030108061654E-2"/>
    <x v="1"/>
    <n v="0"/>
    <x v="177"/>
  </r>
  <r>
    <d v="2017-03-31T00:00:00"/>
    <x v="5"/>
    <s v="Series 7c"/>
    <n v="26211382.969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342628300044757E-2"/>
    <x v="1"/>
    <n v="0"/>
    <x v="178"/>
  </r>
  <r>
    <d v="2017-04-28T00:00:00"/>
    <x v="5"/>
    <s v="Series 7c"/>
    <n v="26208342.489999998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1.159984577494555E-4"/>
    <x v="1"/>
    <n v="0"/>
    <x v="179"/>
  </r>
  <r>
    <d v="2017-05-31T00:00:00"/>
    <x v="5"/>
    <s v="Series 7c"/>
    <n v="26280494.3535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2.7530113179623505E-3"/>
    <x v="1"/>
    <n v="0"/>
    <x v="180"/>
  </r>
  <r>
    <d v="2017-06-30T00:00:00"/>
    <x v="5"/>
    <s v="Series 7c"/>
    <n v="26475037.550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7.4025699396362832E-3"/>
    <x v="1"/>
    <n v="0"/>
    <x v="181"/>
  </r>
  <r>
    <d v="2017-07-31T00:00:00"/>
    <x v="5"/>
    <s v="Series 7c"/>
    <n v="26952415.592999998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1.8031250799187992E-2"/>
    <x v="1"/>
    <n v="0"/>
    <x v="182"/>
  </r>
  <r>
    <d v="2017-08-31T00:00:00"/>
    <x v="5"/>
    <s v="Series 7c"/>
    <n v="269694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6.3016270068239066E-4"/>
    <x v="1"/>
    <n v="0"/>
    <x v="183"/>
  </r>
  <r>
    <d v="2017-09-29T00:00:00"/>
    <x v="5"/>
    <s v="Series 7c"/>
    <n v="26901638.7924114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2.5125218799297855E-3"/>
    <x v="1"/>
    <n v="0"/>
    <x v="184"/>
  </r>
  <r>
    <d v="2017-10-31T00:00:00"/>
    <x v="5"/>
    <s v="Series 7c"/>
    <n v="270713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6.3067238727640973E-3"/>
    <x v="1"/>
    <n v="0"/>
    <x v="185"/>
  </r>
  <r>
    <d v="2017-11-30T00:00:00"/>
    <x v="5"/>
    <s v="Series 7c"/>
    <n v="270725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4.4327387306752897E-5"/>
    <x v="1"/>
    <n v="0"/>
    <x v="186"/>
  </r>
  <r>
    <d v="2017-12-29T00:00:00"/>
    <x v="5"/>
    <s v="Series 7c"/>
    <n v="283471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7080986240650047E-2"/>
    <x v="1"/>
    <n v="0"/>
    <x v="187"/>
  </r>
  <r>
    <d v="2018-01-31T00:00:00"/>
    <x v="5"/>
    <s v="Series 7c"/>
    <n v="287752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5102073933488835E-2"/>
    <x v="1"/>
    <n v="0"/>
    <x v="188"/>
  </r>
  <r>
    <d v="2018-02-28T00:00:00"/>
    <x v="5"/>
    <s v="Series 7c"/>
    <n v="29052532.109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9.6378864438821932E-3"/>
    <x v="1"/>
    <n v="0"/>
    <x v="189"/>
  </r>
  <r>
    <d v="2018-03-29T00:00:00"/>
    <x v="5"/>
    <s v="Series 7c"/>
    <n v="29298788.057999998"/>
    <e v="#DIV/0!"/>
    <n v="22"/>
    <n v="0"/>
    <n v="0"/>
    <n v="0"/>
    <m/>
    <m/>
    <n v="0"/>
    <e v="#DIV/0!"/>
    <n v="0"/>
    <n v="0"/>
    <s v="Private Equity Fund"/>
    <n v="0.113549272084965"/>
    <n v="1.2880214219999999"/>
    <n v="2.5806652746583046E-3"/>
    <n v="0"/>
    <m/>
    <m/>
    <m/>
    <m/>
    <m/>
    <m/>
    <m/>
    <m/>
    <m/>
    <m/>
    <m/>
    <d v="2018-03-29T00:00:00"/>
    <n v="8.4762301291885223E-3"/>
    <x v="1"/>
    <n v="0"/>
    <x v="190"/>
  </r>
  <r>
    <d v="2018-04-30T00:00:00"/>
    <x v="5"/>
    <s v="Series 7c"/>
    <n v="29651132.1065"/>
    <e v="#DIV/0!"/>
    <n v="22"/>
    <n v="0"/>
    <n v="0"/>
    <n v="0"/>
    <m/>
    <m/>
    <n v="0"/>
    <e v="#DIV/0!"/>
    <n v="0"/>
    <n v="0"/>
    <s v="Private Equity Fund"/>
    <n v="0"/>
    <n v="1.350199784"/>
    <n v="0"/>
    <n v="0"/>
    <m/>
    <m/>
    <m/>
    <m/>
    <m/>
    <m/>
    <m/>
    <m/>
    <m/>
    <m/>
    <m/>
    <d v="2018-04-30T00:00:00"/>
    <n v="1.2025891576214587E-2"/>
    <x v="1"/>
    <n v="0"/>
    <x v="191"/>
  </r>
  <r>
    <d v="2018-05-31T00:00:00"/>
    <x v="5"/>
    <s v="Series 7c"/>
    <n v="29837704.938999999"/>
    <e v="#DIV/0!"/>
    <n v="22"/>
    <n v="0"/>
    <n v="0"/>
    <n v="0"/>
    <m/>
    <m/>
    <n v="0"/>
    <e v="#DIV/0!"/>
    <n v="0"/>
    <n v="0"/>
    <s v="Private Equity Fund"/>
    <n v="0"/>
    <n v="1.3831244"/>
    <n v="0"/>
    <n v="0"/>
    <m/>
    <m/>
    <m/>
    <m/>
    <m/>
    <m/>
    <m/>
    <m/>
    <m/>
    <m/>
    <m/>
    <d v="2018-05-31T00:00:00"/>
    <n v="6.2922667448201963E-3"/>
    <x v="1"/>
    <n v="0"/>
    <x v="192"/>
  </r>
  <r>
    <d v="2018-06-29T00:00:00"/>
    <x v="5"/>
    <s v="Series 7c"/>
    <n v="29893114.5605"/>
    <e v="#DIV/0!"/>
    <n v="22"/>
    <n v="0"/>
    <n v="0"/>
    <n v="0"/>
    <m/>
    <m/>
    <n v="0"/>
    <e v="#DIV/0!"/>
    <n v="0"/>
    <n v="0"/>
    <s v="Private Equity Fund"/>
    <n v="0.11873577"/>
    <n v="1.39290257"/>
    <n v="2.6985404114846178E-3"/>
    <n v="0"/>
    <m/>
    <m/>
    <m/>
    <m/>
    <m/>
    <m/>
    <m/>
    <m/>
    <m/>
    <m/>
    <m/>
    <d v="2018-06-29T00:00:00"/>
    <n v="1.8570336295395951E-3"/>
    <x v="1"/>
    <n v="0"/>
    <x v="193"/>
  </r>
  <r>
    <d v="2018-07-31T00:00:00"/>
    <x v="5"/>
    <s v="Series 7c"/>
    <n v="30003333.850000001"/>
    <s v=""/>
    <n v="22"/>
    <n v="0"/>
    <n v="0"/>
    <n v="0"/>
    <m/>
    <m/>
    <n v="0"/>
    <e v="#DIV/0!"/>
    <n v="0"/>
    <n v="0"/>
    <s v="Private Equity Fund"/>
    <n v="0"/>
    <n v="1.41235303"/>
    <n v="0"/>
    <n v="0"/>
    <m/>
    <m/>
    <m/>
    <m/>
    <m/>
    <m/>
    <m/>
    <m/>
    <m/>
    <m/>
    <m/>
    <d v="2018-07-31T00:00:00"/>
    <n v="3.6871129395676938E-3"/>
    <x v="1"/>
    <n v="0"/>
    <x v="194"/>
  </r>
  <r>
    <d v="2018-08-31T00:00:00"/>
    <x v="5"/>
    <s v="Series 7c"/>
    <n v="30065156.490000002"/>
    <s v=""/>
    <n v="22"/>
    <n v="0"/>
    <n v="0"/>
    <n v="0"/>
    <m/>
    <m/>
    <n v="0"/>
    <e v="#DIV/0!"/>
    <n v="0"/>
    <n v="0"/>
    <s v="Private Equity Fund"/>
    <n v="0"/>
    <n v="1.4232629099999998"/>
    <n v="0"/>
    <n v="0"/>
    <m/>
    <m/>
    <m/>
    <m/>
    <m/>
    <m/>
    <m/>
    <m/>
    <m/>
    <m/>
    <m/>
    <d v="2018-08-31T00:00:00"/>
    <n v="2.0605256838817088E-3"/>
    <x v="1"/>
    <n v="0"/>
    <x v="195"/>
  </r>
  <r>
    <d v="2018-09-28T00:00:00"/>
    <x v="5"/>
    <s v="Series 7c"/>
    <n v="29621115.1895"/>
    <m/>
    <n v="22"/>
    <n v="0"/>
    <n v="0"/>
    <n v="0"/>
    <m/>
    <n v="0"/>
    <n v="0"/>
    <e v="#DIV/0!"/>
    <n v="0"/>
    <n v="0"/>
    <s v="Private Equity Fund"/>
    <n v="0.11623912546798738"/>
    <n v="1.3449026804999997"/>
    <n v="2.6417983060906224E-3"/>
    <m/>
    <m/>
    <m/>
    <m/>
    <m/>
    <m/>
    <m/>
    <m/>
    <m/>
    <m/>
    <m/>
    <m/>
    <d v="2018-09-28T00:00:00"/>
    <n v="-1.4769299492843002E-2"/>
    <x v="1"/>
    <n v="0"/>
    <x v="196"/>
  </r>
  <r>
    <d v="2018-10-31T00:00:00"/>
    <x v="5"/>
    <s v="Series 7c"/>
    <n v="29641320.786000002"/>
    <m/>
    <n v="22"/>
    <n v="0"/>
    <n v="0"/>
    <n v="0"/>
    <n v="0"/>
    <m/>
    <n v="0"/>
    <e v="#DIV/0!"/>
    <n v="-29641320.786000002"/>
    <n v="-29641320.786000002"/>
    <s v="Private Equity Fund"/>
    <n v="4.2084321568942179E-2"/>
    <n v="1.3484683740000003"/>
    <m/>
    <m/>
    <m/>
    <m/>
    <m/>
    <m/>
    <m/>
    <m/>
    <m/>
    <m/>
    <m/>
    <m/>
    <m/>
    <d v="2018-10-31T00:00:00"/>
    <n v="6.8213490176649572E-4"/>
    <x v="1"/>
    <n v="0"/>
    <x v="197"/>
  </r>
  <r>
    <d v="2015-01-15T00:00:00"/>
    <x v="5"/>
    <s v="Series 7d"/>
    <n v="635000"/>
    <e v="#DIV/0!"/>
    <n v="5"/>
    <n v="635000"/>
    <n v="0"/>
    <n v="0"/>
    <m/>
    <m/>
    <n v="635000"/>
    <e v="#DIV/0!"/>
    <n v="635000"/>
    <n v="635000"/>
    <s v="Private Equity Fund"/>
    <n v="0"/>
    <n v="0"/>
    <n v="0"/>
    <n v="0"/>
    <m/>
    <m/>
    <m/>
    <m/>
    <m/>
    <m/>
    <m/>
    <m/>
    <m/>
    <m/>
    <m/>
    <d v="2015-01-15T00:00:00"/>
    <n v="0"/>
    <x v="1"/>
    <n v="0"/>
    <x v="152"/>
  </r>
  <r>
    <d v="2015-01-30T00:00:00"/>
    <x v="5"/>
    <s v="Series 7d"/>
    <n v="632739.8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1-30T00:00:00"/>
    <n v="-3.559228346456722E-3"/>
    <x v="1"/>
    <n v="0"/>
    <x v="152"/>
  </r>
  <r>
    <d v="2015-02-27T00:00:00"/>
    <x v="5"/>
    <s v="Series 7d"/>
    <n v="1030818.5330000002"/>
    <e v="#DIV/0!"/>
    <n v="5"/>
    <n v="395000"/>
    <n v="0"/>
    <n v="0"/>
    <m/>
    <m/>
    <n v="395000"/>
    <e v="#DIV/0!"/>
    <n v="395000"/>
    <n v="395000"/>
    <s v="Private Equity Fund"/>
    <n v="0"/>
    <n v="0"/>
    <n v="0"/>
    <n v="0"/>
    <m/>
    <m/>
    <m/>
    <m/>
    <m/>
    <m/>
    <m/>
    <m/>
    <m/>
    <m/>
    <m/>
    <d v="2015-02-27T00:00:00"/>
    <n v="4.8655743831800269E-3"/>
    <x v="1"/>
    <n v="0"/>
    <x v="153"/>
  </r>
  <r>
    <d v="2015-03-31T00:00:00"/>
    <x v="5"/>
    <s v="Series 7d"/>
    <n v="1491642.7845000001"/>
    <e v="#DIV/0!"/>
    <n v="5"/>
    <n v="405000"/>
    <n v="0"/>
    <n v="0"/>
    <m/>
    <m/>
    <n v="405000"/>
    <e v="#DIV/0!"/>
    <n v="405000"/>
    <n v="405000"/>
    <s v="Private Equity Fund"/>
    <n v="0"/>
    <n v="0"/>
    <n v="0"/>
    <n v="0"/>
    <m/>
    <m/>
    <m/>
    <m/>
    <m/>
    <m/>
    <m/>
    <m/>
    <m/>
    <m/>
    <m/>
    <d v="2015-03-31T00:00:00"/>
    <n v="5.4155265658189178E-2"/>
    <x v="1"/>
    <n v="0"/>
    <x v="154"/>
  </r>
  <r>
    <d v="2015-04-30T00:00:00"/>
    <x v="5"/>
    <s v="Series 7d"/>
    <n v="2216485.2955"/>
    <e v="#DIV/0!"/>
    <n v="5"/>
    <n v="570000"/>
    <n v="0"/>
    <n v="0"/>
    <m/>
    <m/>
    <n v="570000"/>
    <e v="#DIV/0!"/>
    <n v="570000"/>
    <n v="570000"/>
    <s v="Private Equity Fund"/>
    <n v="0"/>
    <n v="0"/>
    <n v="0"/>
    <n v="0"/>
    <m/>
    <m/>
    <m/>
    <m/>
    <m/>
    <m/>
    <m/>
    <m/>
    <m/>
    <m/>
    <m/>
    <d v="2015-04-30T00:00:00"/>
    <n v="0.1038066972930809"/>
    <x v="1"/>
    <n v="0"/>
    <x v="155"/>
  </r>
  <r>
    <d v="2015-05-29T00:00:00"/>
    <x v="5"/>
    <s v="Series 7d"/>
    <n v="2609415.2404999998"/>
    <e v="#DIV/0!"/>
    <n v="5"/>
    <n v="380000"/>
    <n v="0"/>
    <n v="0"/>
    <m/>
    <m/>
    <n v="380000"/>
    <e v="#DIV/0!"/>
    <n v="380000"/>
    <n v="380000"/>
    <s v="Private Equity Fund"/>
    <n v="0"/>
    <n v="0"/>
    <n v="0"/>
    <n v="0"/>
    <m/>
    <m/>
    <m/>
    <m/>
    <m/>
    <m/>
    <m/>
    <m/>
    <m/>
    <m/>
    <m/>
    <d v="2015-05-29T00:00:00"/>
    <n v="5.8335352037979238E-3"/>
    <x v="1"/>
    <n v="0"/>
    <x v="156"/>
  </r>
  <r>
    <d v="2015-06-30T00:00:00"/>
    <x v="5"/>
    <s v="Series 7d"/>
    <n v="2566544.17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6429377292893066E-2"/>
    <x v="1"/>
    <n v="0"/>
    <x v="157"/>
  </r>
  <r>
    <d v="2015-07-31T00:00:00"/>
    <x v="5"/>
    <s v="Series 7d"/>
    <n v="2951992.8450000002"/>
    <e v="#DIV/0!"/>
    <n v="5"/>
    <n v="435000"/>
    <n v="0"/>
    <n v="0"/>
    <m/>
    <m/>
    <n v="435000"/>
    <e v="#DIV/0!"/>
    <n v="435000"/>
    <n v="435000"/>
    <s v="Private Equity Fund"/>
    <n v="0"/>
    <n v="0"/>
    <n v="0"/>
    <n v="0"/>
    <m/>
    <m/>
    <m/>
    <m/>
    <m/>
    <m/>
    <m/>
    <m/>
    <m/>
    <m/>
    <m/>
    <d v="2015-07-31T00:00:00"/>
    <n v="-1.9306633613120239E-2"/>
    <x v="1"/>
    <n v="0"/>
    <x v="158"/>
  </r>
  <r>
    <d v="2015-08-31T00:00:00"/>
    <x v="5"/>
    <s v="Series 7d"/>
    <n v="2902354.740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6815116806287667E-2"/>
    <x v="1"/>
    <n v="0"/>
    <x v="159"/>
  </r>
  <r>
    <d v="2015-09-30T00:00:00"/>
    <x v="5"/>
    <s v="Series 7d"/>
    <n v="2909357.8735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2.4129142114426294E-3"/>
    <x v="1"/>
    <n v="0"/>
    <x v="160"/>
  </r>
  <r>
    <d v="2015-10-30T00:00:00"/>
    <x v="5"/>
    <s v="Series 7d"/>
    <n v="2987129.7965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6731645394466153E-2"/>
    <x v="1"/>
    <n v="0"/>
    <x v="161"/>
  </r>
  <r>
    <d v="2015-11-30T00:00:00"/>
    <x v="5"/>
    <s v="Series 7d"/>
    <n v="3236025.9185000001"/>
    <e v="#DIV/0!"/>
    <n v="5"/>
    <n v="250000"/>
    <n v="0"/>
    <n v="0"/>
    <m/>
    <m/>
    <n v="250000"/>
    <e v="#DIV/0!"/>
    <n v="250000"/>
    <n v="250000"/>
    <s v="Private Equity Fund"/>
    <n v="0"/>
    <n v="0"/>
    <n v="0"/>
    <n v="0"/>
    <m/>
    <m/>
    <m/>
    <m/>
    <m/>
    <m/>
    <m/>
    <m/>
    <m/>
    <m/>
    <m/>
    <d v="2015-11-30T00:00:00"/>
    <n v="-3.6954470518602012E-4"/>
    <x v="1"/>
    <n v="0"/>
    <x v="162"/>
  </r>
  <r>
    <d v="2015-12-31T00:00:00"/>
    <x v="5"/>
    <s v="Series 7d"/>
    <n v="3255730.796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6.0892214698742286E-3"/>
    <x v="1"/>
    <n v="0"/>
    <x v="163"/>
  </r>
  <r>
    <d v="2016-01-29T00:00:00"/>
    <x v="5"/>
    <s v="Series 7d"/>
    <n v="3200749.515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6887539059022516E-2"/>
    <x v="1"/>
    <n v="0"/>
    <x v="164"/>
  </r>
  <r>
    <d v="2016-02-29T00:00:00"/>
    <x v="5"/>
    <s v="Series 7d"/>
    <n v="4381048.6349999998"/>
    <e v="#DIV/0!"/>
    <n v="5"/>
    <n v="1120000"/>
    <n v="0"/>
    <n v="0"/>
    <m/>
    <m/>
    <n v="1120000"/>
    <e v="#DIV/0!"/>
    <n v="1120000"/>
    <n v="1120000"/>
    <s v="Private Equity Fund"/>
    <n v="0"/>
    <n v="0"/>
    <n v="0"/>
    <n v="0"/>
    <m/>
    <m/>
    <m/>
    <m/>
    <m/>
    <m/>
    <m/>
    <m/>
    <m/>
    <m/>
    <m/>
    <d v="2016-02-29T00:00:00"/>
    <n v="1.8839062131720929E-2"/>
    <x v="1"/>
    <n v="0"/>
    <x v="165"/>
  </r>
  <r>
    <d v="2016-03-31T00:00:00"/>
    <x v="5"/>
    <s v="Series 7d"/>
    <n v="4418355.576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8.5155279267972173E-3"/>
    <x v="1"/>
    <n v="0"/>
    <x v="166"/>
  </r>
  <r>
    <d v="2016-04-29T00:00:00"/>
    <x v="5"/>
    <s v="Series 7d"/>
    <n v="5269900.5935000004"/>
    <e v="#DIV/0!"/>
    <n v="5"/>
    <n v="810000"/>
    <n v="0"/>
    <n v="0"/>
    <m/>
    <m/>
    <n v="810000"/>
    <e v="#DIV/0!"/>
    <n v="810000"/>
    <n v="810000"/>
    <s v="Private Equity Fund"/>
    <n v="0"/>
    <n v="0"/>
    <n v="0"/>
    <n v="0"/>
    <m/>
    <m/>
    <m/>
    <m/>
    <m/>
    <m/>
    <m/>
    <m/>
    <m/>
    <m/>
    <m/>
    <d v="2016-04-29T00:00:00"/>
    <n v="9.4028232395477751E-3"/>
    <x v="1"/>
    <n v="0"/>
    <x v="167"/>
  </r>
  <r>
    <d v="2016-05-31T00:00:00"/>
    <x v="5"/>
    <s v="Series 7d"/>
    <n v="5328694.864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1156618508614269E-2"/>
    <x v="1"/>
    <n v="0"/>
    <x v="168"/>
  </r>
  <r>
    <d v="2016-06-30T00:00:00"/>
    <x v="5"/>
    <s v="Series 7d"/>
    <n v="5450800.798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291479191742285E-2"/>
    <x v="1"/>
    <n v="0"/>
    <x v="169"/>
  </r>
  <r>
    <d v="2016-07-29T00:00:00"/>
    <x v="5"/>
    <s v="Series 7d"/>
    <n v="5487478.025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6.7287779097442435E-3"/>
    <x v="1"/>
    <n v="0"/>
    <x v="170"/>
  </r>
  <r>
    <d v="2016-08-31T00:00:00"/>
    <x v="5"/>
    <s v="Series 7d"/>
    <n v="5466630.756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3.7990621376930989E-3"/>
    <x v="1"/>
    <n v="0"/>
    <x v="171"/>
  </r>
  <r>
    <d v="2016-09-30T00:00:00"/>
    <x v="5"/>
    <s v="Series 7d"/>
    <n v="5686290.2635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4.0181881181367229E-2"/>
    <x v="1"/>
    <n v="0"/>
    <x v="172"/>
  </r>
  <r>
    <d v="2016-10-31T00:00:00"/>
    <x v="5"/>
    <s v="Series 7d"/>
    <n v="5817117.095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3007413610200311E-2"/>
    <x v="1"/>
    <n v="0"/>
    <x v="173"/>
  </r>
  <r>
    <d v="2016-11-30T00:00:00"/>
    <x v="5"/>
    <s v="Series 7d"/>
    <n v="5840102.829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3.9513961336246073E-3"/>
    <x v="1"/>
    <n v="0"/>
    <x v="174"/>
  </r>
  <r>
    <d v="2016-12-30T00:00:00"/>
    <x v="5"/>
    <s v="Series 7d"/>
    <n v="5813898.0944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4.4870331507919081E-3"/>
    <x v="1"/>
    <n v="0"/>
    <x v="175"/>
  </r>
  <r>
    <d v="2017-01-27T00:00:00"/>
    <x v="5"/>
    <s v="Series 7d"/>
    <n v="5892575.667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3532671405855901E-2"/>
    <x v="1"/>
    <n v="0"/>
    <x v="176"/>
  </r>
  <r>
    <d v="2017-02-28T00:00:00"/>
    <x v="5"/>
    <s v="Series 7d"/>
    <n v="6089383.154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3399229491811955E-2"/>
    <x v="1"/>
    <n v="0"/>
    <x v="177"/>
  </r>
  <r>
    <d v="2017-03-31T00:00:00"/>
    <x v="5"/>
    <s v="Series 7d"/>
    <n v="6019948.6174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1402556670192521E-2"/>
    <x v="1"/>
    <n v="0"/>
    <x v="178"/>
  </r>
  <r>
    <d v="2017-04-28T00:00:00"/>
    <x v="5"/>
    <s v="Series 7d"/>
    <n v="6013073.919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1.1419860760962797E-3"/>
    <x v="1"/>
    <n v="0"/>
    <x v="179"/>
  </r>
  <r>
    <d v="2017-05-31T00:00:00"/>
    <x v="5"/>
    <s v="Series 7d"/>
    <n v="6041855.9225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4.7865705432739158E-3"/>
    <x v="1"/>
    <n v="0"/>
    <x v="180"/>
  </r>
  <r>
    <d v="2017-06-30T00:00:00"/>
    <x v="5"/>
    <s v="Series 7d"/>
    <n v="6089193.731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7.8349781271203067E-3"/>
    <x v="1"/>
    <n v="0"/>
    <x v="181"/>
  </r>
  <r>
    <d v="2017-07-31T00:00:00"/>
    <x v="5"/>
    <s v="Series 7d"/>
    <n v="6191735.063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1.6839886530386483E-2"/>
    <x v="1"/>
    <n v="0"/>
    <x v="182"/>
  </r>
  <r>
    <d v="2017-08-31T00:00:00"/>
    <x v="5"/>
    <s v="Series 7d"/>
    <n v="62080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2.6268787075847122E-3"/>
    <x v="1"/>
    <n v="0"/>
    <x v="183"/>
  </r>
  <r>
    <d v="2017-09-29T00:00:00"/>
    <x v="5"/>
    <s v="Series 7d"/>
    <n v="6195650.069016211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1.9893574393988755E-3"/>
    <x v="1"/>
    <n v="0"/>
    <x v="184"/>
  </r>
  <r>
    <d v="2017-10-31T00:00:00"/>
    <x v="5"/>
    <s v="Series 7d"/>
    <n v="62283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5.2698152122998554E-3"/>
    <x v="1"/>
    <n v="0"/>
    <x v="185"/>
  </r>
  <r>
    <d v="2017-11-30T00:00:00"/>
    <x v="5"/>
    <s v="Series 7d"/>
    <n v="62409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2.023023939116575E-3"/>
    <x v="1"/>
    <n v="0"/>
    <x v="186"/>
  </r>
  <r>
    <d v="2017-12-29T00:00:00"/>
    <x v="5"/>
    <s v="Series 7d"/>
    <n v="6536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736496338669105E-2"/>
    <x v="1"/>
    <n v="0"/>
    <x v="187"/>
  </r>
  <r>
    <d v="2018-01-31T00:00:00"/>
    <x v="5"/>
    <s v="Series 7d"/>
    <n v="66277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3952421020423822E-2"/>
    <x v="1"/>
    <n v="0"/>
    <x v="188"/>
  </r>
  <r>
    <d v="2018-02-28T00:00:00"/>
    <x v="5"/>
    <s v="Series 7d"/>
    <n v="6693713.7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9.9602863738552649E-3"/>
    <x v="1"/>
    <n v="0"/>
    <x v="189"/>
  </r>
  <r>
    <d v="2018-03-29T00:00:00"/>
    <x v="5"/>
    <s v="Series 7d"/>
    <n v="6763152.9685000004"/>
    <e v="#DIV/0!"/>
    <n v="5"/>
    <n v="0"/>
    <n v="0"/>
    <n v="0"/>
    <m/>
    <m/>
    <n v="0"/>
    <e v="#DIV/0!"/>
    <n v="0"/>
    <n v="0"/>
    <s v="Private Equity Fund"/>
    <n v="1.3982360487840309E-2"/>
    <n v="0.31114464150000004"/>
    <n v="0"/>
    <n v="0"/>
    <m/>
    <m/>
    <m/>
    <m/>
    <m/>
    <m/>
    <m/>
    <m/>
    <m/>
    <m/>
    <m/>
    <d v="2018-03-29T00:00:00"/>
    <n v="1.0373789599988248E-2"/>
    <x v="1"/>
    <n v="0"/>
    <x v="190"/>
  </r>
  <r>
    <d v="2018-04-30T00:00:00"/>
    <x v="5"/>
    <s v="Series 7d"/>
    <n v="6827067.8430000003"/>
    <e v="#DIV/0!"/>
    <n v="5"/>
    <n v="0"/>
    <n v="0"/>
    <n v="0"/>
    <m/>
    <m/>
    <n v="0"/>
    <e v="#DIV/0!"/>
    <n v="0"/>
    <n v="0"/>
    <s v="Private Equity Fund"/>
    <n v="0"/>
    <n v="0.32242374000000001"/>
    <n v="0"/>
    <n v="0"/>
    <m/>
    <m/>
    <m/>
    <m/>
    <m/>
    <m/>
    <m/>
    <m/>
    <m/>
    <m/>
    <m/>
    <d v="2018-04-30T00:00:00"/>
    <n v="9.4504552532952424E-3"/>
    <x v="1"/>
    <n v="0"/>
    <x v="191"/>
  </r>
  <r>
    <d v="2018-05-31T00:00:00"/>
    <x v="5"/>
    <s v="Series 7d"/>
    <n v="6872878.5420000004"/>
    <e v="#DIV/0!"/>
    <n v="5"/>
    <n v="0"/>
    <n v="0"/>
    <n v="0"/>
    <m/>
    <m/>
    <n v="0"/>
    <e v="#DIV/0!"/>
    <n v="0"/>
    <n v="0"/>
    <s v="Private Equity Fund"/>
    <n v="0"/>
    <n v="0.33050797999999998"/>
    <n v="0"/>
    <n v="0"/>
    <m/>
    <m/>
    <m/>
    <m/>
    <m/>
    <m/>
    <m/>
    <m/>
    <m/>
    <m/>
    <m/>
    <d v="2018-05-31T00:00:00"/>
    <n v="6.7101572817929167E-3"/>
    <x v="1"/>
    <n v="0"/>
    <x v="192"/>
  </r>
  <r>
    <d v="2018-06-29T00:00:00"/>
    <x v="5"/>
    <s v="Series 7d"/>
    <n v="6908838.2850000001"/>
    <e v="#DIV/0!"/>
    <n v="5"/>
    <n v="0"/>
    <n v="0"/>
    <n v="0"/>
    <m/>
    <m/>
    <n v="0"/>
    <e v="#DIV/0!"/>
    <n v="0"/>
    <n v="0"/>
    <s v="Private Equity Fund"/>
    <n v="1.464001E-2"/>
    <n v="0.33685382000000003"/>
    <n v="0"/>
    <n v="0"/>
    <m/>
    <m/>
    <m/>
    <m/>
    <m/>
    <m/>
    <m/>
    <m/>
    <m/>
    <m/>
    <m/>
    <d v="2018-06-29T00:00:00"/>
    <n v="5.2321225786620129E-3"/>
    <x v="1"/>
    <n v="0"/>
    <x v="193"/>
  </r>
  <r>
    <d v="2018-07-31T00:00:00"/>
    <x v="5"/>
    <s v="Series 7d"/>
    <n v="6907294.6849999996"/>
    <s v=""/>
    <n v="5"/>
    <n v="0"/>
    <n v="0"/>
    <n v="0"/>
    <m/>
    <m/>
    <n v="0"/>
    <e v="#DIV/0!"/>
    <n v="0"/>
    <n v="0"/>
    <s v="Private Equity Fund"/>
    <n v="0"/>
    <n v="0.33658141499999999"/>
    <n v="0"/>
    <n v="0"/>
    <m/>
    <m/>
    <m/>
    <m/>
    <m/>
    <m/>
    <m/>
    <m/>
    <m/>
    <m/>
    <m/>
    <d v="2018-07-31T00:00:00"/>
    <n v="-2.2342395875030174E-4"/>
    <x v="1"/>
    <n v="0"/>
    <x v="194"/>
  </r>
  <r>
    <d v="2018-08-31T00:00:00"/>
    <x v="5"/>
    <s v="Series 7d"/>
    <n v="6924993.0789999999"/>
    <s v=""/>
    <n v="5"/>
    <n v="0"/>
    <n v="0"/>
    <n v="0"/>
    <m/>
    <m/>
    <n v="0"/>
    <e v="#DIV/0!"/>
    <n v="0"/>
    <n v="0"/>
    <s v="Private Equity Fund"/>
    <n v="0"/>
    <n v="0.33970466100000002"/>
    <n v="0"/>
    <n v="0"/>
    <m/>
    <m/>
    <m/>
    <m/>
    <m/>
    <m/>
    <m/>
    <m/>
    <m/>
    <m/>
    <m/>
    <d v="2018-08-31T00:00:00"/>
    <n v="2.5622757978509547E-3"/>
    <x v="1"/>
    <n v="0"/>
    <x v="195"/>
  </r>
  <r>
    <d v="2018-09-28T00:00:00"/>
    <x v="5"/>
    <s v="Series 7d"/>
    <n v="6857174.1799999997"/>
    <m/>
    <n v="5"/>
    <n v="0"/>
    <n v="0"/>
    <n v="0"/>
    <m/>
    <n v="0"/>
    <n v="0"/>
    <e v="#DIV/0!"/>
    <n v="0"/>
    <n v="0"/>
    <s v="Private Equity Fund"/>
    <n v="1.4359091719455935E-2"/>
    <n v="0.32773661999999992"/>
    <m/>
    <m/>
    <m/>
    <m/>
    <m/>
    <m/>
    <m/>
    <m/>
    <m/>
    <m/>
    <m/>
    <m/>
    <m/>
    <d v="2018-09-28T00:00:00"/>
    <n v="-9.7933526035802743E-3"/>
    <x v="1"/>
    <n v="0"/>
    <x v="196"/>
  </r>
  <r>
    <d v="2018-10-31T00:00:00"/>
    <x v="5"/>
    <s v="Series 7d"/>
    <n v="6824984.8075000001"/>
    <m/>
    <n v="5"/>
    <n v="0"/>
    <n v="0"/>
    <n v="0"/>
    <n v="0"/>
    <m/>
    <n v="0"/>
    <e v="#DIV/0!"/>
    <n v="-6824984.8075000001"/>
    <n v="-6824984.8075000001"/>
    <s v="Private Equity Fund"/>
    <n v="5.1731082511125483E-3"/>
    <n v="0.32205614250000003"/>
    <m/>
    <m/>
    <m/>
    <m/>
    <m/>
    <m/>
    <m/>
    <m/>
    <m/>
    <m/>
    <m/>
    <m/>
    <m/>
    <d v="2018-10-31T00:00:00"/>
    <n v="-4.6942620465854068E-3"/>
    <x v="1"/>
    <n v="0"/>
    <x v="197"/>
  </r>
  <r>
    <d v="2015-01-15T00:00:00"/>
    <x v="5"/>
    <s v="Series 7e"/>
    <n v="127000"/>
    <e v="#DIV/0!"/>
    <n v="1"/>
    <n v="127000"/>
    <n v="0"/>
    <n v="0"/>
    <m/>
    <m/>
    <n v="127000"/>
    <e v="#DIV/0!"/>
    <n v="127000"/>
    <n v="127000"/>
    <s v="Private Equity Fund"/>
    <n v="0"/>
    <n v="0"/>
    <n v="0"/>
    <n v="0"/>
    <m/>
    <m/>
    <m/>
    <m/>
    <m/>
    <m/>
    <m/>
    <m/>
    <m/>
    <m/>
    <m/>
    <d v="2015-01-15T00:00:00"/>
    <n v="0"/>
    <x v="1"/>
    <n v="0"/>
    <x v="152"/>
  </r>
  <r>
    <d v="2015-01-30T00:00:00"/>
    <x v="5"/>
    <s v="Series 7e"/>
    <n v="126485.53000000001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1-30T00:00:00"/>
    <n v="-4.0509448818896177E-3"/>
    <x v="1"/>
    <n v="0"/>
    <x v="152"/>
  </r>
  <r>
    <d v="2015-02-27T00:00:00"/>
    <x v="5"/>
    <s v="Series 7e"/>
    <n v="205995.76"/>
    <e v="#DIV/0!"/>
    <n v="1"/>
    <n v="79000"/>
    <n v="0"/>
    <n v="0"/>
    <m/>
    <m/>
    <n v="79000"/>
    <e v="#DIV/0!"/>
    <n v="79000"/>
    <n v="79000"/>
    <s v="Private Equity Fund"/>
    <n v="0"/>
    <n v="0"/>
    <n v="0"/>
    <n v="0"/>
    <m/>
    <m/>
    <m/>
    <m/>
    <m/>
    <m/>
    <m/>
    <m/>
    <m/>
    <m/>
    <m/>
    <d v="2015-02-27T00:00:00"/>
    <n v="4.0339001623348469E-3"/>
    <x v="1"/>
    <n v="0"/>
    <x v="153"/>
  </r>
  <r>
    <d v="2015-03-31T00:00:00"/>
    <x v="5"/>
    <s v="Series 7e"/>
    <n v="297950.1335"/>
    <e v="#DIV/0!"/>
    <n v="1"/>
    <n v="81000"/>
    <n v="0"/>
    <n v="0"/>
    <m/>
    <m/>
    <n v="81000"/>
    <e v="#DIV/0!"/>
    <n v="81000"/>
    <n v="81000"/>
    <s v="Private Equity Fund"/>
    <n v="0"/>
    <n v="0"/>
    <n v="0"/>
    <n v="0"/>
    <m/>
    <m/>
    <m/>
    <m/>
    <m/>
    <m/>
    <m/>
    <m/>
    <m/>
    <m/>
    <m/>
    <d v="2015-03-31T00:00:00"/>
    <n v="5.3177664918928391E-2"/>
    <x v="1"/>
    <n v="0"/>
    <x v="154"/>
  </r>
  <r>
    <d v="2015-04-30T00:00:00"/>
    <x v="5"/>
    <s v="Series 7e"/>
    <n v="443107.98849999998"/>
    <e v="#DIV/0!"/>
    <n v="1"/>
    <n v="114000"/>
    <n v="0"/>
    <n v="0"/>
    <m/>
    <m/>
    <n v="114000"/>
    <e v="#DIV/0!"/>
    <n v="114000"/>
    <n v="114000"/>
    <s v="Private Equity Fund"/>
    <n v="0"/>
    <n v="0"/>
    <n v="0"/>
    <n v="0"/>
    <m/>
    <m/>
    <m/>
    <m/>
    <m/>
    <m/>
    <m/>
    <m/>
    <m/>
    <m/>
    <m/>
    <d v="2015-04-30T00:00:00"/>
    <n v="0.10457405953805354"/>
    <x v="1"/>
    <n v="0"/>
    <x v="155"/>
  </r>
  <r>
    <d v="2015-05-29T00:00:00"/>
    <x v="5"/>
    <s v="Series 7e"/>
    <n v="521304.64350000006"/>
    <e v="#DIV/0!"/>
    <n v="1"/>
    <n v="76000"/>
    <n v="0"/>
    <n v="0"/>
    <m/>
    <m/>
    <n v="76000"/>
    <e v="#DIV/0!"/>
    <n v="76000"/>
    <n v="76000"/>
    <s v="Private Equity Fund"/>
    <n v="0"/>
    <n v="0"/>
    <n v="0"/>
    <n v="0"/>
    <m/>
    <m/>
    <m/>
    <m/>
    <m/>
    <m/>
    <m/>
    <m/>
    <m/>
    <m/>
    <m/>
    <d v="2015-05-29T00:00:00"/>
    <n v="4.9573807221037214E-3"/>
    <x v="1"/>
    <n v="0"/>
    <x v="156"/>
  </r>
  <r>
    <d v="2015-06-30T00:00:00"/>
    <x v="5"/>
    <s v="Series 7e"/>
    <n v="513419.13400000008"/>
    <e v="#DIV/0!"/>
    <n v="1"/>
    <n v="0"/>
    <n v="-5.8207660913467407E-11"/>
    <n v="0"/>
    <m/>
    <m/>
    <n v="-5.8207660913467407E-11"/>
    <e v="#DIV/0!"/>
    <n v="-5.8207660913467407E-11"/>
    <n v="-5.8207660913467407E-11"/>
    <s v="Private Equity Fund"/>
    <n v="0"/>
    <n v="0"/>
    <n v="0"/>
    <n v="0"/>
    <m/>
    <m/>
    <m/>
    <m/>
    <m/>
    <m/>
    <m/>
    <m/>
    <m/>
    <m/>
    <m/>
    <d v="2015-06-30T00:00:00"/>
    <n v="-1.5126490044395591E-2"/>
    <x v="1"/>
    <n v="0"/>
    <x v="157"/>
  </r>
  <r>
    <d v="2015-07-31T00:00:00"/>
    <x v="5"/>
    <s v="Series 7e"/>
    <n v="590250.81350000005"/>
    <e v="#DIV/0!"/>
    <n v="1"/>
    <n v="87000"/>
    <n v="0"/>
    <n v="0"/>
    <m/>
    <m/>
    <n v="87000"/>
    <e v="#DIV/0!"/>
    <n v="87000"/>
    <n v="87000"/>
    <s v="Private Equity Fund"/>
    <n v="0"/>
    <n v="0"/>
    <n v="0"/>
    <n v="0"/>
    <m/>
    <m/>
    <m/>
    <m/>
    <m/>
    <m/>
    <m/>
    <m/>
    <m/>
    <m/>
    <m/>
    <d v="2015-07-31T00:00:00"/>
    <n v="-1.9805106250675997E-2"/>
    <x v="1"/>
    <n v="0"/>
    <x v="158"/>
  </r>
  <r>
    <d v="2015-08-31T00:00:00"/>
    <x v="5"/>
    <s v="Series 7e"/>
    <n v="580074.91949999996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7239949132234589E-2"/>
    <x v="1"/>
    <n v="0"/>
    <x v="159"/>
  </r>
  <r>
    <d v="2015-09-30T00:00:00"/>
    <x v="5"/>
    <s v="Series 7e"/>
    <n v="581227.92749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1.9876880748332937E-3"/>
    <x v="1"/>
    <n v="0"/>
    <x v="160"/>
  </r>
  <r>
    <d v="2015-10-30T00:00:00"/>
    <x v="5"/>
    <s v="Series 7e"/>
    <n v="597283.067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762279518993016E-2"/>
    <x v="1"/>
    <n v="0"/>
    <x v="161"/>
  </r>
  <r>
    <d v="2015-11-30T00:00:00"/>
    <x v="5"/>
    <s v="Series 7e"/>
    <n v="645757.71699999995"/>
    <e v="#DIV/0!"/>
    <n v="1"/>
    <n v="50000.000000000007"/>
    <n v="0"/>
    <n v="0"/>
    <m/>
    <m/>
    <n v="50000.000000000007"/>
    <e v="#DIV/0!"/>
    <n v="50000.000000000007"/>
    <n v="50000.000000000007"/>
    <s v="Private Equity Fund"/>
    <n v="0"/>
    <n v="0"/>
    <n v="0"/>
    <n v="0"/>
    <m/>
    <m/>
    <m/>
    <m/>
    <m/>
    <m/>
    <m/>
    <m/>
    <m/>
    <m/>
    <m/>
    <d v="2015-11-30T00:00:00"/>
    <n v="-2.5538150719467412E-3"/>
    <x v="1"/>
    <n v="0"/>
    <x v="162"/>
  </r>
  <r>
    <d v="2015-12-31T00:00:00"/>
    <x v="5"/>
    <s v="Series 7e"/>
    <n v="649657.47450000001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6.0390412647597369E-3"/>
    <x v="1"/>
    <n v="0"/>
    <x v="163"/>
  </r>
  <r>
    <d v="2016-01-29T00:00:00"/>
    <x v="5"/>
    <s v="Series 7e"/>
    <n v="639245.54399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6026800134968711E-2"/>
    <x v="1"/>
    <n v="0"/>
    <x v="164"/>
  </r>
  <r>
    <d v="2016-02-29T00:00:00"/>
    <x v="5"/>
    <s v="Series 7e"/>
    <n v="874826.36049999995"/>
    <e v="#DIV/0!"/>
    <n v="1"/>
    <n v="224000"/>
    <n v="0"/>
    <n v="0"/>
    <m/>
    <m/>
    <n v="224000"/>
    <e v="#DIV/0!"/>
    <n v="224000"/>
    <n v="224000"/>
    <s v="Private Equity Fund"/>
    <n v="0"/>
    <n v="0"/>
    <n v="0"/>
    <n v="0"/>
    <m/>
    <m/>
    <m/>
    <m/>
    <m/>
    <m/>
    <m/>
    <m/>
    <m/>
    <m/>
    <m/>
    <d v="2016-02-29T00:00:00"/>
    <n v="1.8116382051776903E-2"/>
    <x v="1"/>
    <n v="0"/>
    <x v="165"/>
  </r>
  <r>
    <d v="2016-03-31T00:00:00"/>
    <x v="5"/>
    <s v="Series 7e"/>
    <n v="881054.616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7.1194196713966207E-3"/>
    <x v="1"/>
    <n v="0"/>
    <x v="166"/>
  </r>
  <r>
    <d v="2016-04-29T00:00:00"/>
    <x v="5"/>
    <s v="Series 7e"/>
    <n v="1052905.9805000001"/>
    <e v="#DIV/0!"/>
    <n v="1"/>
    <n v="162000"/>
    <n v="0"/>
    <n v="0"/>
    <m/>
    <m/>
    <n v="162000"/>
    <e v="#DIV/0!"/>
    <n v="162000"/>
    <n v="162000"/>
    <s v="Private Equity Fund"/>
    <n v="0"/>
    <n v="0"/>
    <n v="0"/>
    <n v="0"/>
    <m/>
    <m/>
    <m/>
    <m/>
    <m/>
    <m/>
    <m/>
    <m/>
    <m/>
    <m/>
    <m/>
    <d v="2016-04-29T00:00:00"/>
    <n v="1.1181331798855609E-2"/>
    <x v="1"/>
    <n v="0"/>
    <x v="167"/>
  </r>
  <r>
    <d v="2016-05-31T00:00:00"/>
    <x v="5"/>
    <s v="Series 7e"/>
    <n v="1064177.3629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0705022773873196E-2"/>
    <x v="1"/>
    <n v="0"/>
    <x v="168"/>
  </r>
  <r>
    <d v="2016-06-30T00:00:00"/>
    <x v="5"/>
    <s v="Series 7e"/>
    <n v="1086146.956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0644672367457817E-2"/>
    <x v="1"/>
    <n v="0"/>
    <x v="169"/>
  </r>
  <r>
    <d v="2016-07-29T00:00:00"/>
    <x v="5"/>
    <s v="Series 7e"/>
    <n v="1096401.9424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9.4416197028865945E-3"/>
    <x v="1"/>
    <n v="0"/>
    <x v="170"/>
  </r>
  <r>
    <d v="2016-08-31T00:00:00"/>
    <x v="5"/>
    <s v="Series 7e"/>
    <n v="1091721.315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4.2690794484796513E-3"/>
    <x v="1"/>
    <n v="0"/>
    <x v="171"/>
  </r>
  <r>
    <d v="2016-09-30T00:00:00"/>
    <x v="5"/>
    <s v="Series 7e"/>
    <n v="1131767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668123350844299E-2"/>
    <x v="1"/>
    <n v="0"/>
    <x v="172"/>
  </r>
  <r>
    <d v="2016-10-31T00:00:00"/>
    <x v="5"/>
    <s v="Series 7e"/>
    <n v="1157422.728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2668737028027852E-2"/>
    <x v="1"/>
    <n v="0"/>
    <x v="173"/>
  </r>
  <r>
    <d v="2016-11-30T00:00:00"/>
    <x v="5"/>
    <s v="Series 7e"/>
    <n v="1162034.0804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3.9841553880457514E-3"/>
    <x v="1"/>
    <n v="0"/>
    <x v="174"/>
  </r>
  <r>
    <d v="2016-12-30T00:00:00"/>
    <x v="5"/>
    <s v="Series 7e"/>
    <n v="1155793.797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5.3701381093013145E-3"/>
    <x v="1"/>
    <n v="0"/>
    <x v="175"/>
  </r>
  <r>
    <d v="2017-01-27T00:00:00"/>
    <x v="5"/>
    <s v="Series 7e"/>
    <n v="1172556.281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4503006110180738E-2"/>
    <x v="1"/>
    <n v="0"/>
    <x v="176"/>
  </r>
  <r>
    <d v="2017-02-28T00:00:00"/>
    <x v="5"/>
    <s v="Series 7e"/>
    <n v="1211343.57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3079259487980517E-2"/>
    <x v="1"/>
    <n v="0"/>
    <x v="177"/>
  </r>
  <r>
    <d v="2017-03-31T00:00:00"/>
    <x v="5"/>
    <s v="Series 7e"/>
    <n v="1195448.524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3121835396699866E-2"/>
    <x v="1"/>
    <n v="0"/>
    <x v="178"/>
  </r>
  <r>
    <d v="2017-04-28T00:00:00"/>
    <x v="5"/>
    <s v="Series 7e"/>
    <n v="1195151.67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2.4831265758451515E-4"/>
    <x v="1"/>
    <n v="0"/>
    <x v="179"/>
  </r>
  <r>
    <d v="2017-05-31T00:00:00"/>
    <x v="5"/>
    <s v="Series 7e"/>
    <n v="1198787.281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3.0419590784007688E-3"/>
    <x v="1"/>
    <n v="0"/>
    <x v="180"/>
  </r>
  <r>
    <d v="2017-06-30T00:00:00"/>
    <x v="5"/>
    <s v="Series 7e"/>
    <n v="1207726.799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7.4571345041416492E-3"/>
    <x v="1"/>
    <n v="0"/>
    <x v="181"/>
  </r>
  <r>
    <d v="2017-07-31T00:00:00"/>
    <x v="5"/>
    <s v="Series 7e"/>
    <n v="1229260.9889999998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1.7830348311319355E-2"/>
    <x v="1"/>
    <n v="0"/>
    <x v="182"/>
  </r>
  <r>
    <d v="2017-08-31T00:00:00"/>
    <x v="5"/>
    <s v="Series 7e"/>
    <n v="12304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9.2658191400563084E-4"/>
    <x v="1"/>
    <n v="0"/>
    <x v="183"/>
  </r>
  <r>
    <d v="2017-09-29T00:00:00"/>
    <x v="5"/>
    <s v="Series 7e"/>
    <n v="1227420.8877113301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2.4212551110776026E-3"/>
    <x v="1"/>
    <n v="0"/>
    <x v="184"/>
  </r>
  <r>
    <d v="2017-10-31T00:00:00"/>
    <x v="5"/>
    <s v="Series 7e"/>
    <n v="12350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6.1748275302713207E-3"/>
    <x v="1"/>
    <n v="0"/>
    <x v="185"/>
  </r>
  <r>
    <d v="2017-11-30T00:00:00"/>
    <x v="5"/>
    <s v="Series 7e"/>
    <n v="12354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3.2388663967619635E-4"/>
    <x v="1"/>
    <n v="0"/>
    <x v="186"/>
  </r>
  <r>
    <d v="2017-12-29T00:00:00"/>
    <x v="5"/>
    <s v="Series 7e"/>
    <n v="12939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7353084021369618E-2"/>
    <x v="1"/>
    <n v="0"/>
    <x v="187"/>
  </r>
  <r>
    <d v="2018-01-31T00:00:00"/>
    <x v="5"/>
    <s v="Series 7e"/>
    <n v="13132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491614498802063E-2"/>
    <x v="1"/>
    <n v="0"/>
    <x v="188"/>
  </r>
  <r>
    <d v="2018-02-28T00:00:00"/>
    <x v="5"/>
    <s v="Series 7e"/>
    <n v="1325905.72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9.6753883643008187E-3"/>
    <x v="1"/>
    <n v="0"/>
    <x v="189"/>
  </r>
  <r>
    <d v="2018-03-29T00:00:00"/>
    <x v="5"/>
    <s v="Series 7e"/>
    <n v="1337491.1995000001"/>
    <e v="#DIV/0!"/>
    <n v="1"/>
    <n v="0"/>
    <n v="0"/>
    <n v="0"/>
    <m/>
    <m/>
    <n v="0"/>
    <e v="#DIV/0!"/>
    <n v="0"/>
    <n v="0"/>
    <s v="Private Equity Fund"/>
    <n v="4.8393937167223811E-3"/>
    <n v="5.9557270499999988E-2"/>
    <n v="9.6787874334447628E-4"/>
    <n v="0"/>
    <m/>
    <m/>
    <m/>
    <m/>
    <m/>
    <m/>
    <m/>
    <m/>
    <m/>
    <m/>
    <m/>
    <d v="2018-03-29T00:00:00"/>
    <n v="8.7377852929091393E-3"/>
    <x v="1"/>
    <n v="0"/>
    <x v="190"/>
  </r>
  <r>
    <d v="2018-04-30T00:00:00"/>
    <x v="5"/>
    <s v="Series 7e"/>
    <n v="1353079.0264999999"/>
    <e v="#DIV/0!"/>
    <n v="1"/>
    <n v="0"/>
    <n v="0"/>
    <n v="0"/>
    <m/>
    <m/>
    <n v="0"/>
    <e v="#DIV/0!"/>
    <n v="0"/>
    <n v="0"/>
    <s v="Private Equity Fund"/>
    <n v="0"/>
    <n v="6.2308059999999998E-2"/>
    <n v="0"/>
    <n v="0"/>
    <m/>
    <m/>
    <m/>
    <m/>
    <m/>
    <m/>
    <m/>
    <m/>
    <m/>
    <m/>
    <m/>
    <d v="2018-04-30T00:00:00"/>
    <n v="1.1654526778065666E-2"/>
    <x v="1"/>
    <n v="0"/>
    <x v="191"/>
  </r>
  <r>
    <d v="2018-05-31T00:00:00"/>
    <x v="5"/>
    <s v="Series 7e"/>
    <n v="1361664.4005"/>
    <e v="#DIV/0!"/>
    <n v="1"/>
    <n v="0"/>
    <n v="0"/>
    <n v="0"/>
    <m/>
    <m/>
    <n v="0"/>
    <e v="#DIV/0!"/>
    <n v="0"/>
    <n v="0"/>
    <s v="Private Equity Fund"/>
    <n v="0"/>
    <n v="6.3823130000000006E-2"/>
    <n v="0"/>
    <n v="0"/>
    <m/>
    <m/>
    <m/>
    <m/>
    <m/>
    <m/>
    <m/>
    <m/>
    <m/>
    <m/>
    <m/>
    <d v="2018-05-31T00:00:00"/>
    <n v="6.3450647241261038E-3"/>
    <x v="1"/>
    <n v="0"/>
    <x v="192"/>
  </r>
  <r>
    <d v="2018-06-29T00:00:00"/>
    <x v="5"/>
    <s v="Series 7e"/>
    <n v="1364815.0870000001"/>
    <e v="#DIV/0!"/>
    <n v="1"/>
    <n v="0"/>
    <n v="0"/>
    <n v="0"/>
    <m/>
    <m/>
    <n v="0"/>
    <e v="#DIV/0!"/>
    <n v="0"/>
    <n v="0"/>
    <s v="Private Equity Fund"/>
    <n v="5.0611500000000004E-3"/>
    <n v="6.4379130000000007E-2"/>
    <n v="1.0122306390809538E-3"/>
    <n v="0"/>
    <m/>
    <m/>
    <m/>
    <m/>
    <m/>
    <m/>
    <m/>
    <m/>
    <m/>
    <m/>
    <m/>
    <d v="2018-06-29T00:00:00"/>
    <n v="2.3138495056806985E-3"/>
    <x v="1"/>
    <n v="0"/>
    <x v="193"/>
  </r>
  <r>
    <d v="2018-07-31T00:00:00"/>
    <x v="5"/>
    <s v="Series 7e"/>
    <n v="1369115.9424999999"/>
    <s v=""/>
    <n v="1"/>
    <n v="0"/>
    <n v="0"/>
    <n v="0"/>
    <m/>
    <m/>
    <n v="0"/>
    <e v="#DIV/0!"/>
    <n v="0"/>
    <n v="0"/>
    <s v="Private Equity Fund"/>
    <n v="0"/>
    <n v="6.51381075E-2"/>
    <n v="0"/>
    <n v="0"/>
    <m/>
    <m/>
    <m/>
    <m/>
    <m/>
    <m/>
    <m/>
    <m/>
    <m/>
    <m/>
    <m/>
    <d v="2018-07-31T00:00:00"/>
    <n v="3.1512367799608754E-3"/>
    <x v="1"/>
    <n v="0"/>
    <x v="194"/>
  </r>
  <r>
    <d v="2018-08-31T00:00:00"/>
    <x v="5"/>
    <s v="Series 7e"/>
    <n v="1372037.0355"/>
    <s v=""/>
    <n v="1"/>
    <n v="0"/>
    <n v="0"/>
    <n v="0"/>
    <m/>
    <m/>
    <n v="0"/>
    <e v="#DIV/0!"/>
    <n v="0"/>
    <n v="0"/>
    <s v="Private Equity Fund"/>
    <n v="0"/>
    <n v="6.5653594499999982E-2"/>
    <n v="0"/>
    <n v="0"/>
    <m/>
    <m/>
    <m/>
    <m/>
    <m/>
    <m/>
    <m/>
    <m/>
    <m/>
    <m/>
    <m/>
    <d v="2018-08-31T00:00:00"/>
    <n v="2.1335614532880243E-3"/>
    <x v="1"/>
    <n v="0"/>
    <x v="195"/>
  </r>
  <r>
    <d v="2018-09-28T00:00:00"/>
    <x v="5"/>
    <s v="Series 7e"/>
    <n v="1352710.645"/>
    <m/>
    <n v="1"/>
    <n v="0"/>
    <n v="0"/>
    <n v="0"/>
    <m/>
    <n v="0"/>
    <n v="0"/>
    <e v="#DIV/0!"/>
    <n v="0"/>
    <n v="0"/>
    <s v="Private Equity Fund"/>
    <n v="4.9560686339302374E-3"/>
    <n v="6.2243054999999992E-2"/>
    <n v="9.9121372678604726E-4"/>
    <m/>
    <m/>
    <m/>
    <m/>
    <m/>
    <m/>
    <m/>
    <m/>
    <m/>
    <m/>
    <m/>
    <m/>
    <d v="2018-09-28T00:00:00"/>
    <n v="-1.4085910219586051E-2"/>
    <x v="1"/>
    <n v="0"/>
    <x v="196"/>
  </r>
  <r>
    <d v="2018-10-31T00:00:00"/>
    <x v="5"/>
    <s v="Series 7e"/>
    <n v="1352643.0870000001"/>
    <m/>
    <n v="1"/>
    <n v="0"/>
    <n v="0"/>
    <n v="0"/>
    <n v="0"/>
    <m/>
    <n v="0"/>
    <e v="#DIV/0!"/>
    <n v="-1352643.0870000001"/>
    <n v="-1352643.0870000001"/>
    <s v="Private Equity Fund"/>
    <n v="1.7931515744181148E-3"/>
    <n v="6.2231132999999994E-2"/>
    <m/>
    <m/>
    <m/>
    <m/>
    <m/>
    <m/>
    <m/>
    <m/>
    <m/>
    <m/>
    <m/>
    <m/>
    <m/>
    <d v="2018-10-31T00:00:00"/>
    <n v="-4.9942683787995712E-5"/>
    <x v="1"/>
    <n v="0"/>
    <x v="197"/>
  </r>
  <r>
    <d v="2015-07-22T00:00:00"/>
    <x v="5"/>
    <s v="Series 8"/>
    <n v="504426.00000000006"/>
    <e v="#DIV/0!"/>
    <n v="5.798"/>
    <n v="504426.00000000006"/>
    <n v="0"/>
    <n v="0"/>
    <m/>
    <m/>
    <n v="504426.00000000006"/>
    <e v="#DIV/0!"/>
    <n v="504426.00000000006"/>
    <n v="504426.00000000006"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8"/>
    <n v="502986.1099999999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2.8545118610066034E-3"/>
    <x v="1"/>
    <n v="0"/>
    <x v="158"/>
  </r>
  <r>
    <d v="2015-08-31T00:00:00"/>
    <x v="5"/>
    <s v="Series 8"/>
    <n v="500839.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4.2681297899059834E-3"/>
    <x v="1"/>
    <n v="0"/>
    <x v="159"/>
  </r>
  <r>
    <d v="2015-09-30T00:00:00"/>
    <x v="5"/>
    <s v="Series 8"/>
    <n v="502121.0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2.5592839859014394E-3"/>
    <x v="1"/>
    <n v="0"/>
    <x v="160"/>
  </r>
  <r>
    <d v="2015-10-30T00:00:00"/>
    <x v="5"/>
    <s v="Series 8"/>
    <n v="500313.9399999999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-3.5990322573387079E-3"/>
    <x v="1"/>
    <n v="0"/>
    <x v="161"/>
  </r>
  <r>
    <d v="2015-11-30T00:00:00"/>
    <x v="5"/>
    <s v="Series 8"/>
    <n v="938848.33"/>
    <e v="#DIV/0!"/>
    <n v="5.798"/>
    <n v="521819.99999999994"/>
    <n v="0"/>
    <n v="0"/>
    <m/>
    <m/>
    <n v="521819.99999999994"/>
    <e v="#DIV/0!"/>
    <n v="521819.99999999994"/>
    <n v="521819.99999999994"/>
    <s v="Private Equity Fund"/>
    <n v="0"/>
    <n v="0"/>
    <n v="0"/>
    <n v="0"/>
    <m/>
    <m/>
    <m/>
    <m/>
    <m/>
    <m/>
    <m/>
    <m/>
    <m/>
    <m/>
    <m/>
    <d v="2015-11-30T00:00:00"/>
    <n v="-0.16646669888910137"/>
    <x v="1"/>
    <n v="0"/>
    <x v="162"/>
  </r>
  <r>
    <d v="2015-12-31T00:00:00"/>
    <x v="5"/>
    <s v="Series 8"/>
    <n v="1037218.1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0.10477706233977124"/>
    <x v="1"/>
    <n v="0"/>
    <x v="163"/>
  </r>
  <r>
    <d v="2016-01-29T00:00:00"/>
    <x v="5"/>
    <s v="Series 8"/>
    <n v="1030504.1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6.4730841083471269E-3"/>
    <x v="1"/>
    <n v="0"/>
    <x v="164"/>
  </r>
  <r>
    <d v="2016-02-29T00:00:00"/>
    <x v="5"/>
    <s v="Series 8"/>
    <n v="2345408.2200000002"/>
    <e v="#DIV/0!"/>
    <n v="5.798"/>
    <n v="1298752"/>
    <n v="0"/>
    <n v="0"/>
    <m/>
    <m/>
    <n v="1298752"/>
    <e v="#DIV/0!"/>
    <n v="1298752"/>
    <n v="1298752"/>
    <s v="Private Equity Fund"/>
    <n v="0"/>
    <n v="0"/>
    <n v="0"/>
    <n v="0"/>
    <m/>
    <m/>
    <m/>
    <m/>
    <m/>
    <m/>
    <m/>
    <m/>
    <m/>
    <m/>
    <m/>
    <d v="2016-02-29T00:00:00"/>
    <n v="1.5673998773998221E-2"/>
    <x v="1"/>
    <n v="0"/>
    <x v="165"/>
  </r>
  <r>
    <d v="2016-03-31T00:00:00"/>
    <x v="5"/>
    <s v="Series 8"/>
    <n v="2360166.6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6.2924738960794535E-3"/>
    <x v="1"/>
    <n v="0"/>
    <x v="166"/>
  </r>
  <r>
    <d v="2016-04-29T00:00:00"/>
    <x v="5"/>
    <s v="Series 8"/>
    <n v="3289877.32"/>
    <e v="#DIV/0!"/>
    <n v="5.798"/>
    <n v="927680"/>
    <n v="0"/>
    <n v="0"/>
    <m/>
    <m/>
    <n v="927680"/>
    <e v="#DIV/0!"/>
    <n v="927680"/>
    <n v="927680"/>
    <s v="Private Equity Fund"/>
    <n v="0"/>
    <n v="0"/>
    <n v="0"/>
    <n v="0"/>
    <m/>
    <m/>
    <m/>
    <m/>
    <m/>
    <m/>
    <m/>
    <m/>
    <m/>
    <m/>
    <m/>
    <d v="2016-04-29T00:00:00"/>
    <n v="8.6039687434946721E-4"/>
    <x v="1"/>
    <n v="0"/>
    <x v="167"/>
  </r>
  <r>
    <d v="2016-05-31T00:00:00"/>
    <x v="5"/>
    <s v="Series 8"/>
    <n v="3340819.11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5484404141854258E-2"/>
    <x v="1"/>
    <n v="0"/>
    <x v="168"/>
  </r>
  <r>
    <d v="2016-06-30T00:00:00"/>
    <x v="5"/>
    <s v="Series 8"/>
    <n v="3344890.68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1.2187340487286313E-3"/>
    <x v="1"/>
    <n v="0"/>
    <x v="169"/>
  </r>
  <r>
    <d v="2016-07-29T00:00:00"/>
    <x v="5"/>
    <s v="Series 8"/>
    <n v="3322915.3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-6.5698230831270354E-3"/>
    <x v="1"/>
    <n v="0"/>
    <x v="170"/>
  </r>
  <r>
    <d v="2016-08-31T00:00:00"/>
    <x v="5"/>
    <s v="Series 8"/>
    <n v="3324291.3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4.1410925624130179E-4"/>
    <x v="1"/>
    <n v="0"/>
    <x v="171"/>
  </r>
  <r>
    <d v="2016-09-30T00:00:00"/>
    <x v="5"/>
    <s v="Series 8"/>
    <n v="3483042.17"/>
    <e v="#DIV/0!"/>
    <n v="5.798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6-09-30T00:00:00"/>
    <n v="4.7754772784825095E-2"/>
    <x v="1"/>
    <n v="0"/>
    <x v="172"/>
  </r>
  <r>
    <d v="2016-10-31T00:00:00"/>
    <x v="5"/>
    <s v="Series 8"/>
    <n v="3594157.2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1901729745637875E-2"/>
    <x v="1"/>
    <n v="0"/>
    <x v="173"/>
  </r>
  <r>
    <d v="2016-11-30T00:00:00"/>
    <x v="5"/>
    <s v="Series 8"/>
    <n v="3634138.62"/>
    <e v="#DIV/0!"/>
    <n v="5.798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6-11-30T00:00:00"/>
    <n v="1.1123993005937693E-2"/>
    <x v="1"/>
    <n v="0"/>
    <x v="174"/>
  </r>
  <r>
    <d v="2016-12-30T00:00:00"/>
    <x v="5"/>
    <s v="Series 8"/>
    <n v="6174599.0599999996"/>
    <e v="#DIV/0!"/>
    <n v="5.798"/>
    <n v="2545322"/>
    <n v="0"/>
    <n v="0"/>
    <m/>
    <m/>
    <n v="2545322"/>
    <e v="#DIV/0!"/>
    <n v="2545322"/>
    <n v="2545322"/>
    <s v="Private Equity Fund"/>
    <n v="0"/>
    <n v="0"/>
    <n v="0"/>
    <n v="0"/>
    <m/>
    <m/>
    <m/>
    <m/>
    <m/>
    <m/>
    <m/>
    <m/>
    <m/>
    <m/>
    <m/>
    <d v="2016-12-30T00:00:00"/>
    <n v="-1.3377475402962524E-3"/>
    <x v="1"/>
    <n v="0"/>
    <x v="175"/>
  </r>
  <r>
    <d v="2017-01-27T00:00:00"/>
    <x v="5"/>
    <s v="Series 8"/>
    <n v="6248850.7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2025352460699024E-2"/>
    <x v="1"/>
    <n v="0"/>
    <x v="176"/>
  </r>
  <r>
    <d v="2017-02-28T00:00:00"/>
    <x v="5"/>
    <s v="Series 8"/>
    <n v="6385129.030000000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2.1808528412629924E-2"/>
    <x v="1"/>
    <n v="0"/>
    <x v="177"/>
  </r>
  <r>
    <d v="2017-03-31T00:00:00"/>
    <x v="5"/>
    <s v="Series 8"/>
    <n v="6370744.669999999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2.2527908100864469E-3"/>
    <x v="1"/>
    <n v="0"/>
    <x v="178"/>
  </r>
  <r>
    <d v="2017-04-28T00:00:00"/>
    <x v="5"/>
    <s v="Series 8"/>
    <n v="6393070.2000000002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3.5043831069123677E-3"/>
    <x v="1"/>
    <n v="0"/>
    <x v="179"/>
  </r>
  <r>
    <d v="2017-05-31T00:00:00"/>
    <x v="5"/>
    <s v="Series 8"/>
    <n v="6519843.320000000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1.9829771304560317E-2"/>
    <x v="1"/>
    <n v="0"/>
    <x v="180"/>
  </r>
  <r>
    <d v="2017-06-30T00:00:00"/>
    <x v="5"/>
    <s v="Series 8"/>
    <n v="6592540.780000000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1.1150185124387368E-2"/>
    <x v="1"/>
    <n v="0"/>
    <x v="181"/>
  </r>
  <r>
    <d v="2017-07-31T00:00:00"/>
    <x v="5"/>
    <s v="Series 8"/>
    <n v="6637241.5599999996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6.7805086827235073E-3"/>
    <x v="1"/>
    <n v="0"/>
    <x v="182"/>
  </r>
  <r>
    <d v="2017-08-31T00:00:00"/>
    <x v="5"/>
    <s v="Series 8"/>
    <n v="66639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4.0164938640563363E-3"/>
    <x v="1"/>
    <n v="0"/>
    <x v="183"/>
  </r>
  <r>
    <d v="2017-09-29T00:00:00"/>
    <x v="5"/>
    <s v="Series 8"/>
    <n v="6711796.3608642947"/>
    <e v="#DIV/0!"/>
    <n v="5.798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09-29T00:00:00"/>
    <n v="7.1874369159645735E-3"/>
    <x v="1"/>
    <n v="0"/>
    <x v="184"/>
  </r>
  <r>
    <d v="2017-10-31T00:00:00"/>
    <x v="5"/>
    <s v="Series 8"/>
    <n v="6768778.1600000001"/>
    <e v="#DIV/0!"/>
    <n v="5.798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7-10-31T00:00:00"/>
    <n v="8.4897985683773936E-3"/>
    <x v="1"/>
    <n v="0"/>
    <x v="185"/>
  </r>
  <r>
    <d v="2017-11-30T00:00:00"/>
    <x v="5"/>
    <s v="Series 8"/>
    <n v="68021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4.9228737022162239E-3"/>
    <x v="1"/>
    <n v="0"/>
    <x v="186"/>
  </r>
  <r>
    <d v="2017-12-29T00:00:00"/>
    <x v="5"/>
    <s v="Series 8"/>
    <n v="74291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9.2177415798062379E-2"/>
    <x v="1"/>
    <n v="0"/>
    <x v="187"/>
  </r>
  <r>
    <d v="2018-01-31T00:00:00"/>
    <x v="5"/>
    <s v="Series 8"/>
    <n v="76328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2.7419202864411574E-2"/>
    <x v="1"/>
    <n v="0"/>
    <x v="188"/>
  </r>
  <r>
    <d v="2018-02-28T00:00:00"/>
    <x v="5"/>
    <s v="Series 8"/>
    <n v="7675398.46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5.5809742165391363E-3"/>
    <x v="1"/>
    <n v="0"/>
    <x v="189"/>
  </r>
  <r>
    <d v="2018-03-29T00:00:00"/>
    <x v="5"/>
    <s v="Series 8"/>
    <n v="7790059.0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3-29T00:00:00"/>
    <n v="1.4938713683406712E-2"/>
    <x v="1"/>
    <n v="0"/>
    <x v="190"/>
  </r>
  <r>
    <d v="2018-04-30T00:00:00"/>
    <x v="5"/>
    <s v="Series 8"/>
    <n v="7799059.25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4-30T00:00:00"/>
    <n v="1.1553455440820315E-3"/>
    <x v="1"/>
    <n v="0"/>
    <x v="191"/>
  </r>
  <r>
    <d v="2018-05-31T00:00:00"/>
    <x v="5"/>
    <s v="Series 8"/>
    <n v="7864554.7199999997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5-31T00:00:00"/>
    <n v="8.397867986449814E-3"/>
    <x v="1"/>
    <n v="0"/>
    <x v="192"/>
  </r>
  <r>
    <d v="2018-06-29T00:00:00"/>
    <x v="5"/>
    <s v="Series 8"/>
    <n v="7914038.0999999996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6-29T00:00:00"/>
    <n v="6.2919493552713313E-3"/>
    <x v="1"/>
    <n v="0"/>
    <x v="193"/>
  </r>
  <r>
    <d v="2018-07-31T00:00:00"/>
    <x v="5"/>
    <s v="Series 8"/>
    <n v="7873150.8774561826"/>
    <s v="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7-31T00:00:00"/>
    <n v="-5.1664171977914286E-3"/>
    <x v="1"/>
    <n v="0"/>
    <x v="194"/>
  </r>
  <r>
    <d v="2018-08-31T00:00:00"/>
    <x v="5"/>
    <s v="Series 8"/>
    <n v="7861182.2000000002"/>
    <s v="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8-31T00:00:00"/>
    <n v="-1.5201890123118789E-3"/>
    <x v="1"/>
    <n v="0"/>
    <x v="195"/>
  </r>
  <r>
    <d v="2018-09-28T00:00:00"/>
    <x v="5"/>
    <s v="Series 8"/>
    <n v="7799576.0800000001"/>
    <m/>
    <n v="5.798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7.8367500501387299E-3"/>
    <x v="1"/>
    <n v="0"/>
    <x v="196"/>
  </r>
  <r>
    <d v="2018-10-31T00:00:00"/>
    <x v="5"/>
    <s v="Series 8"/>
    <n v="7637609.6299999999"/>
    <m/>
    <n v="5.798"/>
    <n v="0"/>
    <n v="0"/>
    <n v="0"/>
    <n v="0"/>
    <m/>
    <n v="0"/>
    <e v="#DIV/0!"/>
    <n v="-7637609.6299999999"/>
    <n v="-7637609.6299999999"/>
    <s v="Private Equity Fund"/>
    <n v="0"/>
    <n v="0"/>
    <m/>
    <m/>
    <m/>
    <m/>
    <m/>
    <m/>
    <m/>
    <m/>
    <m/>
    <m/>
    <m/>
    <m/>
    <m/>
    <d v="2018-10-31T00:00:00"/>
    <n v="-2.0766058095813889E-2"/>
    <x v="1"/>
    <n v="0"/>
    <x v="197"/>
  </r>
  <r>
    <d v="2015-07-22T00:00:00"/>
    <x v="5"/>
    <s v="Series 8GP"/>
    <n v="217500"/>
    <e v="#DIV/0!"/>
    <n v="2.5"/>
    <n v="217500"/>
    <n v="0"/>
    <n v="0"/>
    <m/>
    <m/>
    <n v="217500"/>
    <e v="#DIV/0!"/>
    <n v="217500"/>
    <m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8GP"/>
    <n v="216879.1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7-31T00:00:00"/>
    <n v="-2.8545287356320781E-3"/>
    <x v="1"/>
    <n v="0"/>
    <x v="158"/>
  </r>
  <r>
    <d v="2015-08-31T00:00:00"/>
    <x v="5"/>
    <s v="Series 8GP"/>
    <n v="215953.47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8-31T00:00:00"/>
    <n v="-4.2681375442562564E-3"/>
    <x v="1"/>
    <n v="0"/>
    <x v="159"/>
  </r>
  <r>
    <d v="2015-09-30T00:00:00"/>
    <x v="5"/>
    <s v="Series 8GP"/>
    <n v="216506.1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9-30T00:00:00"/>
    <n v="2.5593013161584466E-3"/>
    <x v="1"/>
    <n v="0"/>
    <x v="160"/>
  </r>
  <r>
    <d v="2015-10-30T00:00:00"/>
    <x v="5"/>
    <s v="Series 8GP"/>
    <n v="215726.95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0-30T00:00:00"/>
    <n v="-3.5990200001699835E-3"/>
    <x v="1"/>
    <n v="0"/>
    <x v="161"/>
  </r>
  <r>
    <d v="2015-11-30T00:00:00"/>
    <x v="5"/>
    <s v="Series 8GP"/>
    <n v="404815.59"/>
    <e v="#DIV/0!"/>
    <n v="2.5"/>
    <n v="225000"/>
    <n v="0"/>
    <n v="0"/>
    <m/>
    <m/>
    <n v="225000"/>
    <e v="#DIV/0!"/>
    <n v="225000"/>
    <m/>
    <s v="Private Equity Fund"/>
    <n v="0"/>
    <n v="0"/>
    <n v="0"/>
    <n v="0"/>
    <m/>
    <m/>
    <m/>
    <m/>
    <m/>
    <m/>
    <m/>
    <m/>
    <m/>
    <m/>
    <m/>
    <d v="2015-11-30T00:00:00"/>
    <n v="-0.16646673028103343"/>
    <x v="1"/>
    <n v="0"/>
    <x v="162"/>
  </r>
  <r>
    <d v="2015-12-31T00:00:00"/>
    <x v="5"/>
    <s v="Series 8GP"/>
    <n v="447231.29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2-31T00:00:00"/>
    <n v="0.10477783229642901"/>
    <x v="1"/>
    <n v="0"/>
    <x v="163"/>
  </r>
  <r>
    <d v="2016-01-29T00:00:00"/>
    <x v="5"/>
    <s v="Series 8GP"/>
    <n v="444336.02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1-29T00:00:00"/>
    <n v="-6.4737643915745435E-3"/>
    <x v="1"/>
    <n v="0"/>
    <x v="164"/>
  </r>
  <r>
    <d v="2016-02-29T00:00:00"/>
    <x v="5"/>
    <s v="Series 8GP"/>
    <n v="1011300.5400000002"/>
    <e v="#DIV/0!"/>
    <n v="2.5"/>
    <n v="560000"/>
    <n v="0"/>
    <n v="0"/>
    <m/>
    <m/>
    <n v="560000"/>
    <e v="#DIV/0!"/>
    <n v="560000"/>
    <m/>
    <s v="Private Equity Fund"/>
    <n v="0"/>
    <n v="0"/>
    <n v="0"/>
    <n v="0"/>
    <m/>
    <m/>
    <m/>
    <m/>
    <m/>
    <m/>
    <m/>
    <m/>
    <m/>
    <m/>
    <m/>
    <d v="2016-02-29T00:00:00"/>
    <n v="1.5673993749145465E-2"/>
    <x v="1"/>
    <n v="0"/>
    <x v="165"/>
  </r>
  <r>
    <d v="2016-03-31T00:00:00"/>
    <x v="5"/>
    <s v="Series 8GP"/>
    <n v="1017664.4299999999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3-31T00:00:00"/>
    <n v="6.2927782081474426E-3"/>
    <x v="1"/>
    <n v="0"/>
    <x v="166"/>
  </r>
  <r>
    <d v="2016-04-29T00:00:00"/>
    <x v="5"/>
    <s v="Series 8GP"/>
    <n v="1418539.72"/>
    <e v="#DIV/0!"/>
    <n v="2.5"/>
    <n v="400000"/>
    <n v="0"/>
    <n v="0"/>
    <m/>
    <m/>
    <n v="400000"/>
    <e v="#DIV/0!"/>
    <n v="400000"/>
    <m/>
    <s v="Private Equity Fund"/>
    <n v="0"/>
    <n v="0"/>
    <n v="0"/>
    <n v="0"/>
    <m/>
    <m/>
    <m/>
    <m/>
    <m/>
    <m/>
    <m/>
    <m/>
    <m/>
    <m/>
    <m/>
    <d v="2016-04-29T00:00:00"/>
    <n v="8.6009687888966013E-4"/>
    <x v="1"/>
    <n v="0"/>
    <x v="167"/>
  </r>
  <r>
    <d v="2016-05-31T00:00:00"/>
    <x v="5"/>
    <s v="Series 8GP"/>
    <n v="1440504.9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5-31T00:00:00"/>
    <n v="1.5484402509363671E-2"/>
    <x v="1"/>
    <n v="0"/>
    <x v="168"/>
  </r>
  <r>
    <d v="2016-06-30T00:00:00"/>
    <x v="5"/>
    <s v="Series 8GP"/>
    <n v="1442260.7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6-30T00:00:00"/>
    <n v="1.2188434255719915E-3"/>
    <x v="1"/>
    <n v="0"/>
    <x v="169"/>
  </r>
  <r>
    <d v="2016-07-29T00:00:00"/>
    <x v="5"/>
    <s v="Series 8GP"/>
    <n v="1432785.1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7-29T00:00:00"/>
    <n v="-6.5699286781514266E-3"/>
    <x v="1"/>
    <n v="0"/>
    <x v="170"/>
  </r>
  <r>
    <d v="2016-08-31T00:00:00"/>
    <x v="5"/>
    <s v="Series 8GP"/>
    <n v="1433378.49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8-31T00:00:00"/>
    <n v="4.1410953753873159E-4"/>
    <x v="1"/>
    <n v="0"/>
    <x v="171"/>
  </r>
  <r>
    <d v="2016-09-30T00:00:00"/>
    <x v="5"/>
    <s v="Series 8GP"/>
    <n v="1501829.3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9-30T00:00:00"/>
    <n v="4.7754874569102768E-2"/>
    <x v="1"/>
    <n v="0"/>
    <x v="172"/>
  </r>
  <r>
    <d v="2016-10-31T00:00:00"/>
    <x v="5"/>
    <s v="Series 8GP"/>
    <n v="1549740.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10-31T00:00:00"/>
    <n v="3.1901628234314083E-2"/>
    <x v="1"/>
    <n v="0"/>
    <x v="173"/>
  </r>
  <r>
    <d v="2016-11-30T00:00:00"/>
    <x v="5"/>
    <s v="Series 8GP"/>
    <n v="1566979.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11-30T00:00:00"/>
    <n v="1.1123994274910842E-2"/>
    <x v="1"/>
    <n v="0"/>
    <x v="174"/>
  </r>
  <r>
    <d v="2016-12-30T00:00:00"/>
    <x v="5"/>
    <s v="Series 8GP"/>
    <n v="2662383.33"/>
    <e v="#DIV/0!"/>
    <n v="2.5"/>
    <n v="1097500"/>
    <n v="0"/>
    <n v="0"/>
    <m/>
    <m/>
    <n v="1097500"/>
    <e v="#DIV/0!"/>
    <n v="1097500"/>
    <m/>
    <s v="Private Equity Fund"/>
    <n v="0"/>
    <n v="0"/>
    <n v="0"/>
    <n v="0"/>
    <m/>
    <m/>
    <m/>
    <m/>
    <m/>
    <m/>
    <m/>
    <m/>
    <m/>
    <m/>
    <m/>
    <d v="2016-12-30T00:00:00"/>
    <n v="-1.3376500035672256E-3"/>
    <x v="1"/>
    <n v="0"/>
    <x v="175"/>
  </r>
  <r>
    <d v="2017-01-27T00:00:00"/>
    <x v="5"/>
    <s v="Series 8GP"/>
    <n v="2694399.42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1-27T00:00:00"/>
    <n v="1.2025349482638115E-2"/>
    <x v="1"/>
    <n v="0"/>
    <x v="176"/>
  </r>
  <r>
    <d v="2017-02-28T00:00:00"/>
    <x v="5"/>
    <s v="Series 8GP"/>
    <n v="2753160.3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2-28T00:00:00"/>
    <n v="2.1808529783605701E-2"/>
    <x v="1"/>
    <n v="0"/>
    <x v="177"/>
  </r>
  <r>
    <d v="2017-03-31T00:00:00"/>
    <x v="5"/>
    <s v="Series 8GP"/>
    <n v="2746958.0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3-31T00:00:00"/>
    <n v="-2.2527929003888225E-3"/>
    <x v="1"/>
    <n v="0"/>
    <x v="178"/>
  </r>
  <r>
    <d v="2017-04-28T00:00:00"/>
    <x v="5"/>
    <s v="Series 8GP"/>
    <n v="2756584.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4-28T00:00:00"/>
    <n v="3.5043819253721686E-3"/>
    <x v="1"/>
    <n v="0"/>
    <x v="179"/>
  </r>
  <r>
    <d v="2017-05-31T00:00:00"/>
    <x v="5"/>
    <s v="Series 8GP"/>
    <n v="2811246.8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5-31T00:00:00"/>
    <n v="1.9829771945310215E-2"/>
    <x v="1"/>
    <n v="0"/>
    <x v="180"/>
  </r>
  <r>
    <d v="2017-06-30T00:00:00"/>
    <x v="5"/>
    <s v="Series 8GP"/>
    <n v="2842592.7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6-30T00:00:00"/>
    <n v="1.1150184165258148E-2"/>
    <x v="1"/>
    <n v="0"/>
    <x v="181"/>
  </r>
  <r>
    <d v="2017-07-31T00:00:00"/>
    <x v="5"/>
    <s v="Series 8GP"/>
    <n v="2861866.98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7-31T00:00:00"/>
    <n v="6.7805069622426384E-3"/>
    <x v="1"/>
    <n v="0"/>
    <x v="182"/>
  </r>
  <r>
    <d v="2017-08-31T00:00:00"/>
    <x v="5"/>
    <s v="Series 8GP"/>
    <n v="28734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8-31T00:00:00"/>
    <n v="4.0298938003051621E-3"/>
    <x v="1"/>
    <n v="0"/>
    <x v="183"/>
  </r>
  <r>
    <d v="2017-09-29T00:00:00"/>
    <x v="5"/>
    <s v="Series 8GP"/>
    <n v="2894013.7589100967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9-29T00:00:00"/>
    <n v="7.1739955836627178E-3"/>
    <x v="1"/>
    <n v="0"/>
    <x v="184"/>
  </r>
  <r>
    <d v="2017-10-31T00:00:00"/>
    <x v="5"/>
    <s v="Series 8GP"/>
    <n v="2918583.35"/>
    <e v="#DIV/0!"/>
    <n v="2.5"/>
    <n v="0"/>
    <n v="-4.6566128730773926E-10"/>
    <n v="0"/>
    <m/>
    <m/>
    <n v="-4.6566128730773926E-10"/>
    <e v="#DIV/0!"/>
    <n v="-4.6566128730773926E-10"/>
    <m/>
    <s v="Private Equity Fund"/>
    <n v="0"/>
    <n v="0"/>
    <n v="0"/>
    <n v="0"/>
    <m/>
    <m/>
    <m/>
    <m/>
    <m/>
    <m/>
    <m/>
    <m/>
    <m/>
    <m/>
    <m/>
    <d v="2017-10-31T00:00:00"/>
    <n v="8.4897976086875104E-3"/>
    <x v="1"/>
    <n v="0"/>
    <x v="185"/>
  </r>
  <r>
    <d v="2017-11-30T00:00:00"/>
    <x v="5"/>
    <s v="Series 8GP"/>
    <n v="29329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1-30T00:00:00"/>
    <n v="4.9053421756826143E-3"/>
    <x v="1"/>
    <n v="0"/>
    <x v="186"/>
  </r>
  <r>
    <d v="2017-12-29T00:00:00"/>
    <x v="5"/>
    <s v="Series 8GP"/>
    <n v="32033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2-29T00:00:00"/>
    <n v="9.2195437962426352E-2"/>
    <x v="1"/>
    <n v="0"/>
    <x v="187"/>
  </r>
  <r>
    <d v="2018-01-31T00:00:00"/>
    <x v="5"/>
    <s v="Series 8GP"/>
    <n v="32911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1-31T00:00:00"/>
    <n v="2.7409234227203205E-2"/>
    <x v="1"/>
    <n v="0"/>
    <x v="188"/>
  </r>
  <r>
    <d v="2018-02-28T00:00:00"/>
    <x v="5"/>
    <s v="Series 8GP"/>
    <n v="3309502.7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2-28T00:00:00"/>
    <n v="5.5916745161190828E-3"/>
    <x v="1"/>
    <n v="0"/>
    <x v="189"/>
  </r>
  <r>
    <d v="2018-03-29T00:00:00"/>
    <x v="5"/>
    <s v="Series 8GP"/>
    <n v="3358942.47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3-29T00:00:00"/>
    <n v="1.4938712424582112E-2"/>
    <x v="1"/>
    <n v="0"/>
    <x v="190"/>
  </r>
  <r>
    <d v="2018-04-30T00:00:00"/>
    <x v="5"/>
    <s v="Series 8GP"/>
    <n v="3362823.22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4-30T00:00:00"/>
    <n v="1.1553487547526498E-3"/>
    <x v="1"/>
    <n v="0"/>
    <x v="191"/>
  </r>
  <r>
    <d v="2018-05-31T00:00:00"/>
    <x v="5"/>
    <s v="Series 8GP"/>
    <n v="3391063.7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5-31T00:00:00"/>
    <n v="8.3978663618242688E-3"/>
    <x v="1"/>
    <n v="0"/>
    <x v="192"/>
  </r>
  <r>
    <d v="2018-06-29T00:00:00"/>
    <x v="5"/>
    <s v="Series 8GP"/>
    <n v="3412400.1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6-29T00:00:00"/>
    <n v="6.2919489310930832E-3"/>
    <x v="1"/>
    <n v="0"/>
    <x v="193"/>
  </r>
  <r>
    <d v="2018-07-31T00:00:00"/>
    <x v="5"/>
    <s v="Series 8GP"/>
    <n v="3394770.276930056"/>
    <s v="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7-31T00:00:00"/>
    <n v="-5.1664172556902255E-3"/>
    <x v="1"/>
    <n v="0"/>
    <x v="194"/>
  </r>
  <r>
    <d v="2018-08-31T00:00:00"/>
    <x v="5"/>
    <s v="Series 8GP"/>
    <n v="3389609.58"/>
    <s v="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8-31T00:00:00"/>
    <n v="-1.5201903248436288E-3"/>
    <x v="1"/>
    <n v="0"/>
    <x v="195"/>
  </r>
  <r>
    <d v="2018-09-28T00:00:00"/>
    <x v="5"/>
    <s v="Series 8LASM"/>
    <n v="3363046.06"/>
    <m/>
    <n v="2.5"/>
    <n v="0"/>
    <n v="0"/>
    <n v="0"/>
    <m/>
    <n v="0"/>
    <n v="0"/>
    <e v="#DIV/0!"/>
    <n v="0"/>
    <m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5"/>
    <s v="Series 8LASM"/>
    <n v="3293208.86"/>
    <m/>
    <n v="2.5"/>
    <n v="0"/>
    <n v="0"/>
    <n v="0"/>
    <m/>
    <n v="0"/>
    <n v="0"/>
    <e v="#DIV/0!"/>
    <n v="-3293208.86"/>
    <m/>
    <s v="Private Equity Fund"/>
    <n v="0"/>
    <n v="0"/>
    <m/>
    <m/>
    <m/>
    <m/>
    <m/>
    <m/>
    <m/>
    <m/>
    <m/>
    <m/>
    <m/>
    <m/>
    <m/>
    <d v="2018-10-31T00:00:00"/>
    <n v="-2.0766055163692898E-2"/>
    <x v="1"/>
    <n v="0"/>
    <x v="197"/>
  </r>
  <r>
    <d v="2015-07-22T00:00:00"/>
    <x v="5"/>
    <s v="Series 9"/>
    <n v="17835"/>
    <e v="#DIV/0!"/>
    <n v="0.20499999999999999"/>
    <n v="17835"/>
    <n v="0"/>
    <n v="0"/>
    <m/>
    <m/>
    <n v="17835"/>
    <e v="#DIV/0!"/>
    <n v="17835"/>
    <n v="17835"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9"/>
    <n v="17761.4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4.1250350434538507E-3"/>
    <x v="1"/>
    <n v="0"/>
    <x v="158"/>
  </r>
  <r>
    <d v="2015-08-31T00:00:00"/>
    <x v="5"/>
    <s v="Series 9"/>
    <n v="17663.07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5.5378423921947917E-3"/>
    <x v="1"/>
    <n v="0"/>
    <x v="159"/>
  </r>
  <r>
    <d v="2015-09-30T00:00:00"/>
    <x v="5"/>
    <s v="Series 9"/>
    <n v="17686.38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1.3197026338003237E-3"/>
    <x v="1"/>
    <n v="0"/>
    <x v="160"/>
  </r>
  <r>
    <d v="2015-10-30T00:00:00"/>
    <x v="5"/>
    <s v="Series 9"/>
    <n v="17667.8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-1.0505258848900745E-3"/>
    <x v="1"/>
    <n v="0"/>
    <x v="161"/>
  </r>
  <r>
    <d v="2015-11-30T00:00:00"/>
    <x v="5"/>
    <s v="Series 9"/>
    <n v="32962.97"/>
    <e v="#DIV/0!"/>
    <n v="0.20499999999999999"/>
    <n v="18450"/>
    <n v="0"/>
    <n v="0"/>
    <m/>
    <m/>
    <n v="18450"/>
    <e v="#DIV/0!"/>
    <n v="18450"/>
    <n v="18450"/>
    <s v="Private Equity Fund"/>
    <n v="0"/>
    <n v="0"/>
    <n v="0"/>
    <n v="0"/>
    <m/>
    <m/>
    <m/>
    <m/>
    <m/>
    <m/>
    <m/>
    <m/>
    <m/>
    <m/>
    <m/>
    <d v="2015-11-30T00:00:00"/>
    <n v="-0.17856382798084636"/>
    <x v="1"/>
    <n v="0"/>
    <x v="162"/>
  </r>
  <r>
    <d v="2015-12-31T00:00:00"/>
    <x v="5"/>
    <s v="Series 9"/>
    <n v="36439.767999999996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0.10547587186470131"/>
    <x v="1"/>
    <n v="0"/>
    <x v="163"/>
  </r>
  <r>
    <d v="2016-01-29T00:00:00"/>
    <x v="5"/>
    <s v="Series 9"/>
    <n v="36319.07650000000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3.3120820088644587E-3"/>
    <x v="1"/>
    <n v="0"/>
    <x v="164"/>
  </r>
  <r>
    <d v="2016-02-29T00:00:00"/>
    <x v="5"/>
    <s v="Series 9"/>
    <n v="82587.678499999995"/>
    <e v="#DIV/0!"/>
    <n v="0.20499999999999999"/>
    <n v="45920"/>
    <n v="0"/>
    <n v="0"/>
    <m/>
    <m/>
    <n v="45920"/>
    <e v="#DIV/0!"/>
    <n v="45920"/>
    <n v="45920"/>
    <s v="Private Equity Fund"/>
    <n v="0"/>
    <n v="0"/>
    <n v="0"/>
    <n v="0"/>
    <m/>
    <m/>
    <m/>
    <m/>
    <m/>
    <m/>
    <m/>
    <m/>
    <m/>
    <m/>
    <m/>
    <d v="2016-02-29T00:00:00"/>
    <n v="9.5983167413409287E-3"/>
    <x v="1"/>
    <n v="0"/>
    <x v="165"/>
  </r>
  <r>
    <d v="2016-03-31T00:00:00"/>
    <x v="5"/>
    <s v="Series 9"/>
    <n v="82823.06900000000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2.8501890872256741E-3"/>
    <x v="1"/>
    <n v="0"/>
    <x v="166"/>
  </r>
  <r>
    <d v="2016-04-29T00:00:00"/>
    <x v="5"/>
    <s v="Series 9"/>
    <n v="115948.15150000001"/>
    <e v="#DIV/0!"/>
    <n v="0.20499999999999999"/>
    <n v="32800"/>
    <n v="0"/>
    <n v="0"/>
    <m/>
    <m/>
    <n v="32800"/>
    <e v="#DIV/0!"/>
    <n v="32800"/>
    <n v="32800"/>
    <s v="Private Equity Fund"/>
    <n v="0"/>
    <n v="0"/>
    <n v="0"/>
    <n v="0"/>
    <m/>
    <m/>
    <m/>
    <m/>
    <m/>
    <m/>
    <m/>
    <m/>
    <m/>
    <m/>
    <m/>
    <d v="2016-04-29T00:00:00"/>
    <n v="3.9250235945735845E-3"/>
    <x v="1"/>
    <n v="0"/>
    <x v="167"/>
  </r>
  <r>
    <d v="2016-05-31T00:00:00"/>
    <x v="5"/>
    <s v="Series 9"/>
    <n v="117345.3390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2050105861325378E-2"/>
    <x v="1"/>
    <n v="0"/>
    <x v="168"/>
  </r>
  <r>
    <d v="2016-06-30T00:00:00"/>
    <x v="5"/>
    <s v="Series 9"/>
    <n v="116964.0629999999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-3.2491789043279651E-3"/>
    <x v="1"/>
    <n v="0"/>
    <x v="169"/>
  </r>
  <r>
    <d v="2016-07-29T00:00:00"/>
    <x v="5"/>
    <s v="Series 9"/>
    <n v="116940.1950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-2.040626786364852E-4"/>
    <x v="1"/>
    <n v="0"/>
    <x v="170"/>
  </r>
  <r>
    <d v="2016-08-31T00:00:00"/>
    <x v="5"/>
    <s v="Series 9"/>
    <n v="116845.7685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8.0747684746040882E-4"/>
    <x v="1"/>
    <n v="0"/>
    <x v="171"/>
  </r>
  <r>
    <d v="2016-09-30T00:00:00"/>
    <x v="5"/>
    <s v="Series 9"/>
    <n v="120724.378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3194265824012303E-2"/>
    <x v="1"/>
    <n v="0"/>
    <x v="172"/>
  </r>
  <r>
    <d v="2016-10-31T00:00:00"/>
    <x v="5"/>
    <s v="Series 9"/>
    <n v="123928.07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6537316265982325E-2"/>
    <x v="1"/>
    <n v="0"/>
    <x v="173"/>
  </r>
  <r>
    <d v="2016-11-30T00:00:00"/>
    <x v="5"/>
    <s v="Series 9"/>
    <n v="125132.5715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9.7192864580755156E-3"/>
    <x v="1"/>
    <n v="0"/>
    <x v="174"/>
  </r>
  <r>
    <d v="2016-12-30T00:00:00"/>
    <x v="5"/>
    <s v="Series 9"/>
    <n v="214426.65299999999"/>
    <e v="#DIV/0!"/>
    <n v="0.20499999999999999"/>
    <n v="89995"/>
    <n v="0"/>
    <n v="0"/>
    <m/>
    <m/>
    <n v="89995"/>
    <e v="#DIV/0!"/>
    <n v="89995"/>
    <n v="89995"/>
    <s v="Private Equity Fund"/>
    <n v="0"/>
    <n v="0"/>
    <n v="0"/>
    <n v="0"/>
    <m/>
    <m/>
    <m/>
    <m/>
    <m/>
    <m/>
    <m/>
    <m/>
    <m/>
    <m/>
    <m/>
    <d v="2016-12-30T00:00:00"/>
    <n v="-5.6014073042526258E-3"/>
    <x v="1"/>
    <n v="0"/>
    <x v="175"/>
  </r>
  <r>
    <d v="2017-01-27T00:00:00"/>
    <x v="5"/>
    <s v="Series 9"/>
    <n v="217131.0469999999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2612210106175636E-2"/>
    <x v="1"/>
    <n v="0"/>
    <x v="176"/>
  </r>
  <r>
    <d v="2017-02-28T00:00:00"/>
    <x v="5"/>
    <s v="Series 9"/>
    <n v="220971.1939999999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1.7685849412405696E-2"/>
    <x v="1"/>
    <n v="0"/>
    <x v="177"/>
  </r>
  <r>
    <d v="2017-03-31T00:00:00"/>
    <x v="5"/>
    <s v="Series 9"/>
    <n v="219612.57949999999"/>
    <e v="#DIV/0!"/>
    <n v="0.20499999999999999"/>
    <n v="0"/>
    <n v="-2.9103830456733704E-11"/>
    <n v="0"/>
    <m/>
    <m/>
    <n v="-2.9103830456733704E-11"/>
    <e v="#DIV/0!"/>
    <n v="-2.9103830456733704E-11"/>
    <n v="-2.9103830456733704E-11"/>
    <s v="Private Equity Fund"/>
    <n v="0"/>
    <n v="0"/>
    <n v="0"/>
    <n v="0"/>
    <m/>
    <m/>
    <m/>
    <m/>
    <m/>
    <m/>
    <m/>
    <m/>
    <m/>
    <m/>
    <m/>
    <d v="2017-03-31T00:00:00"/>
    <n v="-6.14837832663373E-3"/>
    <x v="1"/>
    <n v="0"/>
    <x v="178"/>
  </r>
  <r>
    <d v="2017-04-28T00:00:00"/>
    <x v="5"/>
    <s v="Series 9"/>
    <n v="220773.56100000002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5.2864981716587156E-3"/>
    <x v="1"/>
    <n v="0"/>
    <x v="179"/>
  </r>
  <r>
    <d v="2017-05-31T00:00:00"/>
    <x v="5"/>
    <s v="Series 9"/>
    <n v="223608.829"/>
    <e v="#DIV/0!"/>
    <n v="0.20499999999999999"/>
    <n v="0"/>
    <n v="-2.9103830456733704E-11"/>
    <n v="0"/>
    <m/>
    <m/>
    <n v="-2.9103830456733704E-11"/>
    <e v="#DIV/0!"/>
    <n v="-2.9103830456733704E-11"/>
    <n v="-2.9103830456733704E-11"/>
    <s v="Private Equity Fund"/>
    <n v="0"/>
    <n v="0"/>
    <n v="0"/>
    <n v="0"/>
    <m/>
    <m/>
    <m/>
    <m/>
    <m/>
    <m/>
    <m/>
    <m/>
    <m/>
    <m/>
    <m/>
    <d v="2017-05-31T00:00:00"/>
    <n v="1.2842425456914164E-2"/>
    <x v="1"/>
    <n v="0"/>
    <x v="180"/>
  </r>
  <r>
    <d v="2017-06-30T00:00:00"/>
    <x v="5"/>
    <s v="Series 9"/>
    <n v="225547.1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8.6681371601833312E-3"/>
    <x v="1"/>
    <n v="0"/>
    <x v="181"/>
  </r>
  <r>
    <d v="2017-07-31T00:00:00"/>
    <x v="5"/>
    <s v="Series 9"/>
    <n v="227370.92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8.0862400443799665E-3"/>
    <x v="1"/>
    <n v="0"/>
    <x v="182"/>
  </r>
  <r>
    <d v="2017-08-31T00:00:00"/>
    <x v="5"/>
    <s v="Series 9"/>
    <n v="227200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-7.5176277262778424E-4"/>
    <x v="1"/>
    <n v="0"/>
    <x v="183"/>
  </r>
  <r>
    <d v="2017-09-29T00:00:00"/>
    <x v="5"/>
    <s v="Series 9"/>
    <n v="228389.2557031231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5.2344001017743391E-3"/>
    <x v="1"/>
    <n v="0"/>
    <x v="184"/>
  </r>
  <r>
    <d v="2017-10-31T00:00:00"/>
    <x v="5"/>
    <s v="Series 9"/>
    <n v="230600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9.6797210975221315E-3"/>
    <x v="1"/>
    <n v="0"/>
    <x v="185"/>
  </r>
  <r>
    <d v="2017-11-30T00:00:00"/>
    <x v="5"/>
    <s v="Series 9"/>
    <n v="230600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0"/>
    <x v="1"/>
    <n v="0"/>
    <x v="186"/>
  </r>
  <r>
    <d v="2017-12-29T00:00:00"/>
    <x v="5"/>
    <s v="Series 9"/>
    <n v="249100"/>
    <e v="#DIV/0!"/>
    <n v="0.20499999999999999"/>
    <n v="0"/>
    <n v="-2.9103830456733704E-11"/>
    <n v="0"/>
    <m/>
    <m/>
    <n v="-2.9103830456733704E-11"/>
    <e v="#DIV/0!"/>
    <n v="-2.9103830456733704E-11"/>
    <n v="-2.9103830456733704E-11"/>
    <s v="Private Equity Fund"/>
    <n v="0"/>
    <n v="0"/>
    <n v="0"/>
    <n v="0"/>
    <m/>
    <m/>
    <m/>
    <m/>
    <m/>
    <m/>
    <m/>
    <m/>
    <m/>
    <m/>
    <m/>
    <d v="2017-12-29T00:00:00"/>
    <n v="8.0225498699046049E-2"/>
    <x v="1"/>
    <n v="0"/>
    <x v="187"/>
  </r>
  <r>
    <d v="2018-01-31T00:00:00"/>
    <x v="5"/>
    <s v="Series 9"/>
    <n v="255800.0000000000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2.6896828582898547E-2"/>
    <x v="1"/>
    <n v="0"/>
    <x v="188"/>
  </r>
  <r>
    <d v="2018-02-28T00:00:00"/>
    <x v="5"/>
    <s v="Series 9"/>
    <n v="256799.42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3.9070367474589585E-3"/>
    <x v="1"/>
    <n v="0"/>
    <x v="189"/>
  </r>
  <r>
    <d v="2018-03-29T00:00:00"/>
    <x v="5"/>
    <s v="Series 9"/>
    <n v="259127.23499999999"/>
    <e v="#DIV/0!"/>
    <n v="0.20499999999999999"/>
    <n v="0"/>
    <n v="0"/>
    <n v="0"/>
    <m/>
    <m/>
    <n v="0"/>
    <e v="#DIV/0!"/>
    <n v="0"/>
    <n v="0"/>
    <s v="Private Equity Fund"/>
    <n v="9.9743376961578195E-4"/>
    <n v="9.5518649999999962E-3"/>
    <n v="2.9184656832626854E-3"/>
    <n v="2.7922227302052852E-2"/>
    <m/>
    <m/>
    <m/>
    <m/>
    <m/>
    <m/>
    <m/>
    <m/>
    <m/>
    <m/>
    <m/>
    <d v="2018-03-29T00:00:00"/>
    <n v="9.0647206290417337E-3"/>
    <x v="1"/>
    <n v="0"/>
    <x v="190"/>
  </r>
  <r>
    <d v="2018-04-30T00:00:00"/>
    <x v="5"/>
    <s v="Series 9"/>
    <n v="260762.397"/>
    <e v="#DIV/0!"/>
    <n v="0.20499999999999999"/>
    <n v="0"/>
    <n v="0"/>
    <n v="0"/>
    <m/>
    <m/>
    <n v="0"/>
    <e v="#DIV/0!"/>
    <n v="0"/>
    <n v="0"/>
    <s v="Private Equity Fund"/>
    <n v="0"/>
    <n v="9.8404200000000008E-3"/>
    <n v="0"/>
    <n v="0"/>
    <m/>
    <m/>
    <m/>
    <m/>
    <m/>
    <m/>
    <m/>
    <m/>
    <m/>
    <m/>
    <m/>
    <d v="2018-04-30T00:00:00"/>
    <n v="6.3102668463235201E-3"/>
    <x v="1"/>
    <n v="0"/>
    <x v="191"/>
  </r>
  <r>
    <d v="2018-05-31T00:00:00"/>
    <x v="5"/>
    <s v="Series 9"/>
    <n v="262451.33850000001"/>
    <e v="#DIV/0!"/>
    <n v="0.20499999999999999"/>
    <n v="0"/>
    <n v="0"/>
    <n v="0"/>
    <m/>
    <m/>
    <n v="0"/>
    <e v="#DIV/0!"/>
    <n v="0"/>
    <n v="0"/>
    <s v="Private Equity Fund"/>
    <n v="0"/>
    <n v="1.013847E-2"/>
    <n v="0"/>
    <n v="0"/>
    <m/>
    <m/>
    <m/>
    <m/>
    <m/>
    <m/>
    <m/>
    <m/>
    <m/>
    <m/>
    <m/>
    <d v="2018-05-31T00:00:00"/>
    <n v="6.4769365500196852E-3"/>
    <x v="1"/>
    <n v="0"/>
    <x v="192"/>
  </r>
  <r>
    <d v="2018-06-29T00:00:00"/>
    <x v="5"/>
    <s v="Series 9"/>
    <n v="261975.6955"/>
    <e v="#DIV/0!"/>
    <n v="0.20499999999999999"/>
    <n v="0"/>
    <n v="0"/>
    <n v="0"/>
    <m/>
    <m/>
    <n v="0"/>
    <e v="#DIV/0!"/>
    <n v="0"/>
    <n v="0"/>
    <s v="Private Equity Fund"/>
    <n v="1.0323999999999999E-3"/>
    <n v="1.0054530000000001E-2"/>
    <n v="3.0206441724097972E-3"/>
    <n v="2.9387677605614178E-2"/>
    <m/>
    <m/>
    <m/>
    <m/>
    <m/>
    <m/>
    <m/>
    <m/>
    <m/>
    <m/>
    <m/>
    <d v="2018-06-29T00:00:00"/>
    <n v="-1.8123092940522945E-3"/>
    <x v="1"/>
    <n v="0"/>
    <x v="193"/>
  </r>
  <r>
    <d v="2018-07-31T00:00:00"/>
    <x v="5"/>
    <s v="Series 9"/>
    <n v="262986.17550000001"/>
    <s v=""/>
    <n v="0.20499999999999999"/>
    <n v="0"/>
    <n v="0"/>
    <n v="0"/>
    <m/>
    <m/>
    <n v="0"/>
    <e v="#DIV/0!"/>
    <n v="0"/>
    <n v="0"/>
    <s v="Private Equity Fund"/>
    <n v="0"/>
    <n v="1.0232854500000003E-2"/>
    <n v="0"/>
    <n v="0"/>
    <m/>
    <m/>
    <m/>
    <m/>
    <m/>
    <m/>
    <m/>
    <m/>
    <m/>
    <m/>
    <m/>
    <d v="2018-07-31T00:00:00"/>
    <n v="3.8571517028380686E-3"/>
    <x v="1"/>
    <n v="0"/>
    <x v="194"/>
  </r>
  <r>
    <d v="2018-08-31T00:00:00"/>
    <x v="5"/>
    <s v="Series 9"/>
    <n v="262331.15700000001"/>
    <s v=""/>
    <n v="0.20499999999999999"/>
    <n v="0"/>
    <n v="0"/>
    <n v="0"/>
    <m/>
    <m/>
    <n v="0"/>
    <e v="#DIV/0!"/>
    <n v="0"/>
    <n v="0"/>
    <s v="Private Equity Fund"/>
    <n v="0"/>
    <n v="1.0117262999999998E-2"/>
    <n v="0"/>
    <n v="0"/>
    <m/>
    <m/>
    <m/>
    <m/>
    <m/>
    <m/>
    <m/>
    <m/>
    <m/>
    <m/>
    <m/>
    <d v="2018-08-31T00:00:00"/>
    <n v="-2.4906955612957749E-3"/>
    <x v="1"/>
    <n v="0"/>
    <x v="195"/>
  </r>
  <r>
    <d v="2018-09-28T00:00:00"/>
    <x v="5"/>
    <s v="Series 9"/>
    <n v="257683.86"/>
    <m/>
    <n v="0.20499999999999999"/>
    <n v="0"/>
    <n v="0"/>
    <n v="0"/>
    <m/>
    <n v="0"/>
    <n v="0"/>
    <e v="#DIV/0!"/>
    <n v="0"/>
    <n v="0"/>
    <s v="Private Equity Fund"/>
    <n v="1E-3"/>
    <n v="9.2971500000000006E-3"/>
    <n v="2.9320780998473369E-3"/>
    <n v="2.7165518663514993E-2"/>
    <m/>
    <m/>
    <m/>
    <m/>
    <m/>
    <m/>
    <m/>
    <m/>
    <m/>
    <m/>
    <m/>
    <d v="2018-09-28T00:00:00"/>
    <n v="-1.7715383308434141E-2"/>
    <x v="1"/>
    <n v="0"/>
    <x v="196"/>
  </r>
  <r>
    <d v="2018-10-31T00:00:00"/>
    <x v="5"/>
    <s v="Series 9"/>
    <n v="255907.39"/>
    <m/>
    <n v="0.20499999999999999"/>
    <n v="0"/>
    <n v="0"/>
    <n v="0"/>
    <n v="0"/>
    <m/>
    <n v="0"/>
    <e v="#DIV/0!"/>
    <n v="-255907.39"/>
    <n v="-255907.39"/>
    <s v="Private Equity Fund"/>
    <n v="3.5972000000000001E-4"/>
    <n v="8.9836599999999992E-3"/>
    <m/>
    <m/>
    <m/>
    <m/>
    <m/>
    <m/>
    <m/>
    <m/>
    <m/>
    <m/>
    <m/>
    <m/>
    <m/>
    <d v="2018-10-31T00:00:00"/>
    <n v="-6.8939901785077806E-3"/>
    <x v="1"/>
    <n v="0"/>
    <x v="197"/>
  </r>
  <r>
    <d v="2015-07-22T00:00:00"/>
    <x v="5"/>
    <s v="Series 9b"/>
    <n v="435000"/>
    <e v="#DIV/0!"/>
    <n v="5"/>
    <n v="435000"/>
    <n v="0"/>
    <n v="0"/>
    <m/>
    <m/>
    <n v="435000"/>
    <e v="#DIV/0!"/>
    <n v="435000"/>
    <n v="435000"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9b"/>
    <n v="431451.3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8.1578620689655157E-3"/>
    <x v="1"/>
    <n v="0"/>
    <x v="158"/>
  </r>
  <r>
    <d v="2015-08-31T00:00:00"/>
    <x v="5"/>
    <s v="Series 9b"/>
    <n v="427296.1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9.63063435219913E-3"/>
    <x v="1"/>
    <n v="0"/>
    <x v="159"/>
  </r>
  <r>
    <d v="2015-09-30T00:00:00"/>
    <x v="5"/>
    <s v="Series 9b"/>
    <n v="426167.7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-2.6408848307513111E-3"/>
    <x v="1"/>
    <n v="0"/>
    <x v="160"/>
  </r>
  <r>
    <d v="2015-10-30T00:00:00"/>
    <x v="5"/>
    <s v="Series 9b"/>
    <n v="429223.2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7.1697355599933399E-3"/>
    <x v="1"/>
    <n v="0"/>
    <x v="161"/>
  </r>
  <r>
    <d v="2015-11-30T00:00:00"/>
    <x v="5"/>
    <s v="Series 9b"/>
    <n v="796277.43"/>
    <e v="#DIV/0!"/>
    <n v="5"/>
    <n v="450000"/>
    <n v="0"/>
    <n v="0"/>
    <m/>
    <m/>
    <n v="450000"/>
    <e v="#DIV/0!"/>
    <n v="450000"/>
    <n v="450000"/>
    <s v="Private Equity Fund"/>
    <n v="0"/>
    <n v="0"/>
    <n v="0"/>
    <n v="0"/>
    <m/>
    <m/>
    <m/>
    <m/>
    <m/>
    <m/>
    <m/>
    <m/>
    <m/>
    <m/>
    <m/>
    <d v="2015-11-30T00:00:00"/>
    <n v="-0.19324633509484856"/>
    <x v="1"/>
    <n v="0"/>
    <x v="162"/>
  </r>
  <r>
    <d v="2015-12-31T00:00:00"/>
    <x v="5"/>
    <s v="Series 9b"/>
    <n v="880195.2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0.10538770388104557"/>
    <x v="1"/>
    <n v="0"/>
    <x v="163"/>
  </r>
  <r>
    <d v="2016-01-29T00:00:00"/>
    <x v="5"/>
    <s v="Series 9b"/>
    <n v="879492.1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7.9887953954949076E-4"/>
    <x v="1"/>
    <n v="0"/>
    <x v="164"/>
  </r>
  <r>
    <d v="2016-02-29T00:00:00"/>
    <x v="5"/>
    <s v="Series 9b"/>
    <n v="2009582.7867999999"/>
    <e v="#DIV/0!"/>
    <n v="5"/>
    <n v="1120000"/>
    <n v="0"/>
    <n v="0"/>
    <m/>
    <m/>
    <n v="1120000"/>
    <e v="#DIV/0!"/>
    <n v="1120000"/>
    <n v="1120000"/>
    <s v="Private Equity Fund"/>
    <n v="0"/>
    <n v="0"/>
    <n v="0"/>
    <n v="0"/>
    <m/>
    <m/>
    <m/>
    <m/>
    <m/>
    <m/>
    <m/>
    <m/>
    <m/>
    <m/>
    <m/>
    <d v="2016-02-29T00:00:00"/>
    <n v="1.1473299970820472E-2"/>
    <x v="1"/>
    <n v="0"/>
    <x v="165"/>
  </r>
  <r>
    <d v="2016-03-31T00:00:00"/>
    <x v="5"/>
    <s v="Series 9b"/>
    <n v="2011728.1623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0675726395010798E-3"/>
    <x v="1"/>
    <n v="0"/>
    <x v="166"/>
  </r>
  <r>
    <d v="2016-04-29T00:00:00"/>
    <x v="5"/>
    <s v="Series 9b"/>
    <n v="2825345.0548"/>
    <e v="#DIV/0!"/>
    <n v="5"/>
    <n v="800000"/>
    <n v="0"/>
    <n v="0"/>
    <m/>
    <m/>
    <n v="800000"/>
    <e v="#DIV/0!"/>
    <n v="800000"/>
    <n v="800000"/>
    <s v="Private Equity Fund"/>
    <n v="0"/>
    <n v="0"/>
    <n v="0"/>
    <n v="0"/>
    <m/>
    <m/>
    <m/>
    <m/>
    <m/>
    <m/>
    <m/>
    <m/>
    <m/>
    <m/>
    <m/>
    <d v="2016-04-29T00:00:00"/>
    <n v="6.7687536788048064E-3"/>
    <x v="1"/>
    <n v="0"/>
    <x v="167"/>
  </r>
  <r>
    <d v="2016-05-31T00:00:00"/>
    <x v="5"/>
    <s v="Series 9b"/>
    <n v="2862525.5484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3159629312120336E-2"/>
    <x v="1"/>
    <n v="0"/>
    <x v="168"/>
  </r>
  <r>
    <d v="2016-06-30T00:00:00"/>
    <x v="5"/>
    <s v="Series 9b"/>
    <n v="2847929.941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-5.0988564305245454E-3"/>
    <x v="1"/>
    <n v="0"/>
    <x v="169"/>
  </r>
  <r>
    <d v="2016-07-29T00:00:00"/>
    <x v="5"/>
    <s v="Series 9b"/>
    <n v="2851543.7475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2689237706351442E-3"/>
    <x v="1"/>
    <n v="0"/>
    <x v="170"/>
  </r>
  <r>
    <d v="2016-08-31T00:00:00"/>
    <x v="5"/>
    <s v="Series 9b"/>
    <n v="2849335.0024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7.7457875295050549E-4"/>
    <x v="1"/>
    <n v="0"/>
    <x v="171"/>
  </r>
  <r>
    <d v="2016-09-30T00:00:00"/>
    <x v="5"/>
    <s v="Series 9b"/>
    <n v="2948127.941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4672279502686143E-2"/>
    <x v="1"/>
    <n v="0"/>
    <x v="172"/>
  </r>
  <r>
    <d v="2016-10-31T00:00:00"/>
    <x v="5"/>
    <s v="Series 9b"/>
    <n v="3033036.9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8800991568364021E-2"/>
    <x v="1"/>
    <n v="0"/>
    <x v="173"/>
  </r>
  <r>
    <d v="2016-11-30T00:00:00"/>
    <x v="5"/>
    <s v="Series 9b"/>
    <n v="3064835.8851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1.0484189848066316E-2"/>
    <x v="1"/>
    <n v="0"/>
    <x v="174"/>
  </r>
  <r>
    <d v="2016-12-30T00:00:00"/>
    <x v="5"/>
    <s v="Series 9b"/>
    <n v="5247065.8528000005"/>
    <e v="#DIV/0!"/>
    <n v="5"/>
    <n v="2195000"/>
    <n v="0"/>
    <n v="0"/>
    <m/>
    <m/>
    <n v="2195000"/>
    <e v="#DIV/0!"/>
    <n v="2195000"/>
    <n v="2195000"/>
    <s v="Private Equity Fund"/>
    <n v="0"/>
    <n v="0"/>
    <n v="0"/>
    <n v="0"/>
    <m/>
    <m/>
    <m/>
    <m/>
    <m/>
    <m/>
    <m/>
    <m/>
    <m/>
    <m/>
    <m/>
    <d v="2016-12-30T00:00:00"/>
    <n v="-4.1666284520047725E-3"/>
    <x v="1"/>
    <n v="0"/>
    <x v="175"/>
  </r>
  <r>
    <d v="2017-01-27T00:00:00"/>
    <x v="5"/>
    <s v="Series 9b"/>
    <n v="5314284.1991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2810654237192187E-2"/>
    <x v="1"/>
    <n v="0"/>
    <x v="176"/>
  </r>
  <r>
    <d v="2017-02-28T00:00:00"/>
    <x v="5"/>
    <s v="Series 9b"/>
    <n v="5417914.7747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1.9500382688528495E-2"/>
    <x v="1"/>
    <n v="0"/>
    <x v="177"/>
  </r>
  <r>
    <d v="2017-03-31T00:00:00"/>
    <x v="5"/>
    <s v="Series 9b"/>
    <n v="5390211.2104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5.1133259845383972E-3"/>
    <x v="1"/>
    <n v="0"/>
    <x v="178"/>
  </r>
  <r>
    <d v="2017-04-28T00:00:00"/>
    <x v="5"/>
    <s v="Series 9b"/>
    <n v="5416544.573000000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4.8854045921600253E-3"/>
    <x v="1"/>
    <n v="0"/>
    <x v="179"/>
  </r>
  <r>
    <d v="2017-05-31T00:00:00"/>
    <x v="5"/>
    <s v="Series 9b"/>
    <n v="5499965.1496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1.5401068979627341E-2"/>
    <x v="1"/>
    <n v="0"/>
    <x v="180"/>
  </r>
  <r>
    <d v="2017-06-30T00:00:00"/>
    <x v="5"/>
    <s v="Series 9b"/>
    <n v="5553299.0767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9.6971391180322719E-3"/>
    <x v="1"/>
    <n v="0"/>
    <x v="181"/>
  </r>
  <r>
    <d v="2017-07-31T00:00:00"/>
    <x v="5"/>
    <s v="Series 9b"/>
    <n v="5597225.884000000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7.9100380859213892E-3"/>
    <x v="1"/>
    <n v="0"/>
    <x v="182"/>
  </r>
  <r>
    <d v="2017-08-31T00:00:00"/>
    <x v="5"/>
    <s v="Series 9b"/>
    <n v="56011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6.921493040104032E-4"/>
    <x v="1"/>
    <n v="0"/>
    <x v="183"/>
  </r>
  <r>
    <d v="2017-09-29T00:00:00"/>
    <x v="5"/>
    <s v="Series 9b"/>
    <n v="5634829.879532085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6.0220098787890919E-3"/>
    <x v="1"/>
    <n v="0"/>
    <x v="184"/>
  </r>
  <r>
    <d v="2017-10-31T00:00:00"/>
    <x v="5"/>
    <s v="Series 9b"/>
    <n v="5688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9.524709993972591E-3"/>
    <x v="1"/>
    <n v="0"/>
    <x v="185"/>
  </r>
  <r>
    <d v="2017-11-30T00:00:00"/>
    <x v="5"/>
    <s v="Series 9b"/>
    <n v="5697458.63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1.5748685945327079E-3"/>
    <x v="1"/>
    <n v="0"/>
    <x v="186"/>
  </r>
  <r>
    <d v="2017-12-29T00:00:00"/>
    <x v="5"/>
    <s v="Series 9b"/>
    <n v="61894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8.6343998453317417E-2"/>
    <x v="1"/>
    <n v="0"/>
    <x v="187"/>
  </r>
  <r>
    <d v="2018-01-31T00:00:00"/>
    <x v="5"/>
    <s v="Series 9b"/>
    <n v="63601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2.7579409958962131E-2"/>
    <x v="1"/>
    <n v="0"/>
    <x v="188"/>
  </r>
  <r>
    <d v="2018-02-28T00:00:00"/>
    <x v="5"/>
    <s v="Series 9b"/>
    <n v="6389632.09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4.6433389412114945E-3"/>
    <x v="1"/>
    <n v="0"/>
    <x v="189"/>
  </r>
  <r>
    <d v="2018-03-29T00:00:00"/>
    <x v="5"/>
    <s v="Series 9b"/>
    <n v="6460847.2631999999"/>
    <e v="#DIV/0!"/>
    <n v="5"/>
    <n v="0"/>
    <n v="0"/>
    <n v="0"/>
    <m/>
    <m/>
    <n v="0"/>
    <e v="#DIV/0!"/>
    <n v="0"/>
    <n v="0"/>
    <s v="Private Equity Fund"/>
    <n v="1.6284234321241903E-2"/>
    <n v="0.12703019679999999"/>
    <n v="0"/>
    <n v="0"/>
    <m/>
    <m/>
    <m/>
    <m/>
    <m/>
    <m/>
    <m/>
    <m/>
    <m/>
    <m/>
    <m/>
    <d v="2018-03-29T00:00:00"/>
    <n v="1.1145424663808079E-2"/>
    <x v="1"/>
    <n v="0"/>
    <x v="190"/>
  </r>
  <r>
    <d v="2018-04-30T00:00:00"/>
    <x v="5"/>
    <s v="Series 9b"/>
    <n v="6492093.5820000004"/>
    <e v="#DIV/0!"/>
    <n v="5"/>
    <n v="0"/>
    <n v="0"/>
    <n v="0"/>
    <m/>
    <m/>
    <n v="0"/>
    <e v="#DIV/0!"/>
    <n v="0"/>
    <n v="0"/>
    <s v="Private Equity Fund"/>
    <n v="0"/>
    <n v="0.12974727"/>
    <n v="0"/>
    <n v="0"/>
    <m/>
    <m/>
    <m/>
    <m/>
    <m/>
    <m/>
    <m/>
    <m/>
    <m/>
    <m/>
    <m/>
    <d v="2018-04-30T00:00:00"/>
    <n v="4.8362571543789645E-3"/>
    <x v="1"/>
    <n v="0"/>
    <x v="191"/>
  </r>
  <r>
    <d v="2018-05-31T00:00:00"/>
    <x v="5"/>
    <s v="Series 9b"/>
    <n v="6539124.7916000001"/>
    <e v="#DIV/0!"/>
    <n v="5"/>
    <n v="0"/>
    <n v="0"/>
    <n v="0"/>
    <m/>
    <m/>
    <n v="0"/>
    <e v="#DIV/0!"/>
    <n v="0"/>
    <n v="0"/>
    <s v="Private Equity Fund"/>
    <n v="0"/>
    <n v="0.13383693999999999"/>
    <n v="0"/>
    <n v="0"/>
    <m/>
    <m/>
    <m/>
    <m/>
    <m/>
    <m/>
    <m/>
    <m/>
    <m/>
    <m/>
    <m/>
    <d v="2018-05-31T00:00:00"/>
    <n v="7.2443825718098154E-3"/>
    <x v="1"/>
    <n v="0"/>
    <x v="192"/>
  </r>
  <r>
    <d v="2018-06-29T00:00:00"/>
    <x v="5"/>
    <s v="Series 9b"/>
    <n v="6543684.8267999999"/>
    <e v="#DIV/0!"/>
    <n v="5"/>
    <n v="0"/>
    <n v="0"/>
    <n v="0"/>
    <m/>
    <m/>
    <n v="0"/>
    <e v="#DIV/0!"/>
    <n v="0"/>
    <n v="0"/>
    <s v="Private Equity Fund"/>
    <n v="1.6874549999999999E-2"/>
    <n v="0.13423346"/>
    <n v="0"/>
    <n v="0"/>
    <m/>
    <m/>
    <m/>
    <m/>
    <m/>
    <m/>
    <m/>
    <m/>
    <m/>
    <m/>
    <m/>
    <d v="2018-06-29T00:00:00"/>
    <n v="6.9734641031127254E-4"/>
    <x v="1"/>
    <n v="0"/>
    <x v="193"/>
  </r>
  <r>
    <d v="2018-07-31T00:00:00"/>
    <x v="5"/>
    <s v="Series 9b"/>
    <n v="6550824.6339999996"/>
    <s v=""/>
    <n v="5"/>
    <n v="0"/>
    <n v="0"/>
    <n v="0"/>
    <m/>
    <m/>
    <n v="0"/>
    <e v="#DIV/0!"/>
    <n v="0"/>
    <n v="0"/>
    <s v="Private Equity Fund"/>
    <n v="0"/>
    <n v="0.13485431600000003"/>
    <n v="0"/>
    <n v="0"/>
    <m/>
    <m/>
    <m/>
    <m/>
    <m/>
    <m/>
    <m/>
    <m/>
    <m/>
    <m/>
    <m/>
    <d v="2018-07-31T00:00:00"/>
    <n v="1.0910988822014911E-3"/>
    <x v="1"/>
    <n v="0"/>
    <x v="194"/>
  </r>
  <r>
    <d v="2018-08-31T00:00:00"/>
    <x v="5"/>
    <s v="Series 9b"/>
    <n v="6536116.7779999999"/>
    <s v=""/>
    <n v="5"/>
    <n v="0"/>
    <n v="0"/>
    <n v="0"/>
    <m/>
    <m/>
    <n v="0"/>
    <e v="#DIV/0!"/>
    <n v="0"/>
    <n v="0"/>
    <s v="Private Equity Fund"/>
    <n v="0"/>
    <n v="0.13357537200000003"/>
    <n v="0"/>
    <n v="0"/>
    <m/>
    <m/>
    <m/>
    <m/>
    <m/>
    <m/>
    <m/>
    <m/>
    <m/>
    <m/>
    <m/>
    <d v="2018-08-31T00:00:00"/>
    <n v="-2.2451915326298089E-3"/>
    <x v="1"/>
    <n v="0"/>
    <x v="195"/>
  </r>
  <r>
    <d v="2018-09-28T00:00:00"/>
    <x v="5"/>
    <s v="Series 9b"/>
    <n v="6437782.5596000003"/>
    <m/>
    <n v="5"/>
    <n v="0"/>
    <n v="0"/>
    <n v="0"/>
    <m/>
    <n v="0"/>
    <n v="0"/>
    <e v="#DIV/0!"/>
    <n v="0"/>
    <n v="0"/>
    <s v="Private Equity Fund"/>
    <n v="1.6402962140799855E-2"/>
    <n v="0.12502457040000001"/>
    <m/>
    <m/>
    <m/>
    <m/>
    <m/>
    <m/>
    <m/>
    <m/>
    <m/>
    <m/>
    <m/>
    <m/>
    <m/>
    <d v="2018-09-28T00:00:00"/>
    <n v="-1.5044746252237173E-2"/>
    <x v="1"/>
    <n v="0"/>
    <x v="196"/>
  </r>
  <r>
    <d v="2018-10-31T00:00:00"/>
    <x v="5"/>
    <s v="Series 9b"/>
    <n v="6363951.9155999999"/>
    <m/>
    <n v="5"/>
    <n v="0"/>
    <n v="0"/>
    <n v="0"/>
    <n v="0"/>
    <m/>
    <n v="0"/>
    <e v="#DIV/0!"/>
    <n v="-6363951.9155999999"/>
    <n v="-6363951.9155999999"/>
    <s v="Private Equity Fund"/>
    <n v="5.8662451585324814E-3"/>
    <n v="0.11860451439999999"/>
    <m/>
    <m/>
    <m/>
    <m/>
    <m/>
    <m/>
    <m/>
    <m/>
    <m/>
    <m/>
    <m/>
    <m/>
    <m/>
    <d v="2018-10-31T00:00:00"/>
    <n v="-1.1468334526133384E-2"/>
    <x v="1"/>
    <n v="0"/>
    <x v="197"/>
  </r>
  <r>
    <d v="2015-07-22T00:00:00"/>
    <x v="5"/>
    <s v="Series 9c"/>
    <n v="435000"/>
    <e v="#DIV/0!"/>
    <n v="5"/>
    <n v="435000"/>
    <n v="0"/>
    <n v="0"/>
    <m/>
    <m/>
    <n v="435000"/>
    <e v="#DIV/0!"/>
    <n v="435000"/>
    <n v="435000"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9c"/>
    <n v="431267.1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8.5813103448275641E-3"/>
    <x v="1"/>
    <n v="0"/>
    <x v="158"/>
  </r>
  <r>
    <d v="2015-08-31T00:00:00"/>
    <x v="5"/>
    <s v="Series 9c"/>
    <n v="426929.3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005822075983398E-2"/>
    <x v="1"/>
    <n v="0"/>
    <x v="159"/>
  </r>
  <r>
    <d v="2015-09-30T00:00:00"/>
    <x v="5"/>
    <s v="Series 9c"/>
    <n v="425622.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-3.0621459967555831E-3"/>
    <x v="1"/>
    <n v="0"/>
    <x v="160"/>
  </r>
  <r>
    <d v="2015-10-30T00:00:00"/>
    <x v="5"/>
    <s v="Series 9c"/>
    <n v="429045.9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8.0444849154071019E-3"/>
    <x v="1"/>
    <n v="0"/>
    <x v="161"/>
  </r>
  <r>
    <d v="2015-11-30T00:00:00"/>
    <x v="5"/>
    <s v="Series 9c"/>
    <n v="794391.98"/>
    <e v="#DIV/0!"/>
    <n v="5"/>
    <n v="450000"/>
    <n v="0"/>
    <n v="0"/>
    <m/>
    <m/>
    <n v="450000"/>
    <e v="#DIV/0!"/>
    <n v="450000"/>
    <n v="450000"/>
    <s v="Private Equity Fund"/>
    <n v="0"/>
    <n v="0"/>
    <n v="0"/>
    <n v="0"/>
    <m/>
    <m/>
    <m/>
    <m/>
    <m/>
    <m/>
    <m/>
    <m/>
    <m/>
    <m/>
    <m/>
    <d v="2015-11-30T00:00:00"/>
    <n v="-0.19730744917432386"/>
    <x v="1"/>
    <n v="0"/>
    <x v="162"/>
  </r>
  <r>
    <d v="2015-12-31T00:00:00"/>
    <x v="5"/>
    <s v="Series 9c"/>
    <n v="878532.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0.10591839056582608"/>
    <x v="1"/>
    <n v="0"/>
    <x v="163"/>
  </r>
  <r>
    <d v="2016-01-29T00:00:00"/>
    <x v="5"/>
    <s v="Series 9c"/>
    <n v="878596.7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7.2882887569347687E-5"/>
    <x v="1"/>
    <n v="0"/>
    <x v="164"/>
  </r>
  <r>
    <d v="2016-02-29T00:00:00"/>
    <x v="5"/>
    <s v="Series 9c"/>
    <n v="2007363.1189999999"/>
    <e v="#DIV/0!"/>
    <n v="5"/>
    <n v="1120000"/>
    <n v="0"/>
    <n v="0"/>
    <m/>
    <m/>
    <n v="1120000"/>
    <e v="#DIV/0!"/>
    <n v="1120000"/>
    <n v="1120000"/>
    <s v="Private Equity Fund"/>
    <n v="0"/>
    <n v="0"/>
    <n v="0"/>
    <n v="0"/>
    <m/>
    <m/>
    <m/>
    <m/>
    <m/>
    <m/>
    <m/>
    <m/>
    <m/>
    <m/>
    <m/>
    <d v="2016-02-29T00:00:00"/>
    <n v="9.9777163978289618E-3"/>
    <x v="1"/>
    <n v="0"/>
    <x v="165"/>
  </r>
  <r>
    <d v="2016-03-31T00:00:00"/>
    <x v="5"/>
    <s v="Series 9c"/>
    <n v="2007672.67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5420877123339949E-4"/>
    <x v="1"/>
    <n v="0"/>
    <x v="166"/>
  </r>
  <r>
    <d v="2016-04-29T00:00:00"/>
    <x v="5"/>
    <s v="Series 9c"/>
    <n v="2822378.0715000001"/>
    <e v="#DIV/0!"/>
    <n v="5"/>
    <n v="800000"/>
    <n v="0"/>
    <n v="0"/>
    <m/>
    <m/>
    <n v="800000"/>
    <e v="#DIV/0!"/>
    <n v="800000"/>
    <n v="800000"/>
    <s v="Private Equity Fund"/>
    <n v="0"/>
    <n v="0"/>
    <n v="0"/>
    <n v="0"/>
    <m/>
    <m/>
    <m/>
    <m/>
    <m/>
    <m/>
    <m/>
    <m/>
    <m/>
    <m/>
    <m/>
    <d v="2016-04-29T00:00:00"/>
    <n v="7.3246001228630675E-3"/>
    <x v="1"/>
    <n v="0"/>
    <x v="167"/>
  </r>
  <r>
    <d v="2016-05-31T00:00:00"/>
    <x v="5"/>
    <s v="Series 9c"/>
    <n v="2855644.470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1786655847393135E-2"/>
    <x v="1"/>
    <n v="0"/>
    <x v="168"/>
  </r>
  <r>
    <d v="2016-06-30T00:00:00"/>
    <x v="5"/>
    <s v="Series 9c"/>
    <n v="2838109.3615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-6.1405084495442797E-3"/>
    <x v="1"/>
    <n v="0"/>
    <x v="169"/>
  </r>
  <r>
    <d v="2016-07-29T00:00:00"/>
    <x v="5"/>
    <s v="Series 9c"/>
    <n v="2846576.3985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2.9833371169054601E-3"/>
    <x v="1"/>
    <n v="0"/>
    <x v="170"/>
  </r>
  <r>
    <d v="2016-08-31T00:00:00"/>
    <x v="5"/>
    <s v="Series 9c"/>
    <n v="2843434.3905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1.1037848840648179E-3"/>
    <x v="1"/>
    <n v="0"/>
    <x v="171"/>
  </r>
  <r>
    <d v="2016-09-30T00:00:00"/>
    <x v="5"/>
    <s v="Series 9c"/>
    <n v="2927534.5890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2.9576978734231041E-2"/>
    <x v="1"/>
    <n v="0"/>
    <x v="172"/>
  </r>
  <r>
    <d v="2016-10-31T00:00:00"/>
    <x v="5"/>
    <s v="Series 9c"/>
    <n v="3004892.5874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6424281643218528E-2"/>
    <x v="1"/>
    <n v="0"/>
    <x v="173"/>
  </r>
  <r>
    <d v="2016-11-30T00:00:00"/>
    <x v="5"/>
    <s v="Series 9c"/>
    <n v="3034295.183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9.7849076610296848E-3"/>
    <x v="1"/>
    <n v="0"/>
    <x v="174"/>
  </r>
  <r>
    <d v="2016-12-30T00:00:00"/>
    <x v="5"/>
    <s v="Series 9c"/>
    <n v="5213019.2479999997"/>
    <e v="#DIV/0!"/>
    <n v="5"/>
    <n v="2195000"/>
    <n v="0"/>
    <n v="0"/>
    <m/>
    <m/>
    <n v="2195000"/>
    <e v="#DIV/0!"/>
    <n v="2195000"/>
    <n v="2195000"/>
    <s v="Private Equity Fund"/>
    <n v="0"/>
    <n v="0"/>
    <n v="0"/>
    <n v="0"/>
    <m/>
    <m/>
    <m/>
    <m/>
    <m/>
    <m/>
    <m/>
    <m/>
    <m/>
    <m/>
    <m/>
    <d v="2016-12-30T00:00:00"/>
    <n v="-5.3639922990432742E-3"/>
    <x v="1"/>
    <n v="0"/>
    <x v="175"/>
  </r>
  <r>
    <d v="2017-01-27T00:00:00"/>
    <x v="5"/>
    <s v="Series 9c"/>
    <n v="5278936.3995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2644716691826874E-2"/>
    <x v="1"/>
    <n v="0"/>
    <x v="176"/>
  </r>
  <r>
    <d v="2017-02-28T00:00:00"/>
    <x v="5"/>
    <s v="Series 9c"/>
    <n v="5372620.87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1.7746846790742454E-2"/>
    <x v="1"/>
    <n v="0"/>
    <x v="177"/>
  </r>
  <r>
    <d v="2017-03-31T00:00:00"/>
    <x v="5"/>
    <s v="Series 9c"/>
    <n v="5339568.57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6.1519883440500633E-3"/>
    <x v="1"/>
    <n v="0"/>
    <x v="178"/>
  </r>
  <r>
    <d v="2017-04-28T00:00:00"/>
    <x v="5"/>
    <s v="Series 9c"/>
    <n v="5367841.282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5.2949425797559346E-3"/>
    <x v="1"/>
    <n v="0"/>
    <x v="179"/>
  </r>
  <r>
    <d v="2017-05-31T00:00:00"/>
    <x v="5"/>
    <s v="Series 9c"/>
    <n v="5437080.2510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1.2898847851422257E-2"/>
    <x v="1"/>
    <n v="0"/>
    <x v="180"/>
  </r>
  <r>
    <d v="2017-06-30T00:00:00"/>
    <x v="5"/>
    <s v="Series 9c"/>
    <n v="5484375.917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8.6987250172188002E-3"/>
    <x v="1"/>
    <n v="0"/>
    <x v="181"/>
  </r>
  <r>
    <d v="2017-07-31T00:00:00"/>
    <x v="5"/>
    <s v="Series 9c"/>
    <n v="5528817.98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8.1033947476580881E-3"/>
    <x v="1"/>
    <n v="0"/>
    <x v="182"/>
  </r>
  <r>
    <d v="2017-08-31T00:00:00"/>
    <x v="5"/>
    <s v="Series 9c"/>
    <n v="5524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-7.8099514500573619E-4"/>
    <x v="1"/>
    <n v="0"/>
    <x v="183"/>
  </r>
  <r>
    <d v="2017-09-29T00:00:00"/>
    <x v="5"/>
    <s v="Series 9c"/>
    <n v="5553759.437996376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5.2963051853338605E-3"/>
    <x v="1"/>
    <n v="0"/>
    <x v="184"/>
  </r>
  <r>
    <d v="2017-10-31T00:00:00"/>
    <x v="5"/>
    <s v="Series 9c"/>
    <n v="56072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9.6224120976518002E-3"/>
    <x v="1"/>
    <n v="0"/>
    <x v="185"/>
  </r>
  <r>
    <d v="2017-11-30T00:00:00"/>
    <x v="5"/>
    <s v="Series 9c"/>
    <n v="5607542.50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6.1083963475594416E-5"/>
    <x v="1"/>
    <n v="0"/>
    <x v="186"/>
  </r>
  <r>
    <d v="2017-12-29T00:00:00"/>
    <x v="5"/>
    <s v="Series 9c"/>
    <n v="60596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8.0615972004463687E-2"/>
    <x v="1"/>
    <n v="0"/>
    <x v="187"/>
  </r>
  <r>
    <d v="2018-01-31T00:00:00"/>
    <x v="5"/>
    <s v="Series 9c"/>
    <n v="62214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2.6701432437784778E-2"/>
    <x v="1"/>
    <n v="0"/>
    <x v="188"/>
  </r>
  <r>
    <d v="2018-02-28T00:00:00"/>
    <x v="5"/>
    <s v="Series 9c"/>
    <n v="6246730.6699999999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8-02-28T00:00:00"/>
    <n v="4.0715385604528365E-3"/>
    <x v="1"/>
    <n v="0"/>
    <x v="189"/>
  </r>
  <r>
    <d v="2018-03-29T00:00:00"/>
    <x v="5"/>
    <s v="Series 9c"/>
    <n v="6303590.3959999997"/>
    <e v="#DIV/0!"/>
    <n v="5"/>
    <n v="0"/>
    <n v="0"/>
    <n v="0"/>
    <m/>
    <m/>
    <n v="0"/>
    <e v="#DIV/0!"/>
    <n v="0"/>
    <n v="0"/>
    <s v="Private Equity Fund"/>
    <n v="2.4255213193791345E-2"/>
    <n v="0.23004536399999997"/>
    <n v="2.4255213193791346E-3"/>
    <n v="2.300453642135802E-2"/>
    <m/>
    <m/>
    <m/>
    <m/>
    <m/>
    <m/>
    <m/>
    <m/>
    <m/>
    <m/>
    <m/>
    <d v="2018-03-29T00:00:00"/>
    <n v="9.1023175167563863E-3"/>
    <x v="1"/>
    <n v="0"/>
    <x v="190"/>
  </r>
  <r>
    <d v="2018-04-30T00:00:00"/>
    <x v="5"/>
    <s v="Series 9c"/>
    <n v="6343370.1665000003"/>
    <e v="#DIV/0!"/>
    <n v="5"/>
    <n v="0"/>
    <n v="0"/>
    <n v="0"/>
    <m/>
    <m/>
    <n v="0"/>
    <e v="#DIV/0!"/>
    <n v="0"/>
    <n v="0"/>
    <s v="Private Equity Fund"/>
    <n v="0"/>
    <n v="0.23706532"/>
    <n v="0"/>
    <n v="0"/>
    <m/>
    <m/>
    <m/>
    <m/>
    <m/>
    <m/>
    <m/>
    <m/>
    <m/>
    <m/>
    <m/>
    <d v="2018-04-30T00:00:00"/>
    <n v="6.3106528186289701E-3"/>
    <x v="1"/>
    <n v="0"/>
    <x v="191"/>
  </r>
  <r>
    <d v="2018-05-31T00:00:00"/>
    <x v="5"/>
    <s v="Series 9c"/>
    <n v="6384583.8870000001"/>
    <e v="#DIV/0!"/>
    <n v="5"/>
    <n v="0"/>
    <n v="0"/>
    <n v="0"/>
    <m/>
    <m/>
    <n v="0"/>
    <e v="#DIV/0!"/>
    <n v="0"/>
    <n v="0"/>
    <s v="Private Equity Fund"/>
    <n v="0"/>
    <n v="0.24433832999999999"/>
    <n v="0"/>
    <n v="0"/>
    <m/>
    <m/>
    <m/>
    <m/>
    <m/>
    <m/>
    <m/>
    <m/>
    <m/>
    <m/>
    <m/>
    <d v="2018-05-31T00:00:00"/>
    <n v="6.4971331355774264E-3"/>
    <x v="1"/>
    <n v="0"/>
    <x v="192"/>
  </r>
  <r>
    <d v="2018-06-29T00:00:00"/>
    <x v="5"/>
    <s v="Series 9c"/>
    <n v="6373127.7314999998"/>
    <e v="#DIV/0!"/>
    <n v="5"/>
    <n v="0"/>
    <n v="0"/>
    <n v="0"/>
    <m/>
    <m/>
    <n v="0"/>
    <e v="#DIV/0!"/>
    <n v="0"/>
    <n v="0"/>
    <s v="Private Equity Fund"/>
    <n v="2.5106739999999999E-2"/>
    <n v="0.24231665999999999"/>
    <n v="2.5106741274694934E-3"/>
    <n v="2.4231665894614896E-2"/>
    <m/>
    <m/>
    <m/>
    <m/>
    <m/>
    <m/>
    <m/>
    <m/>
    <m/>
    <m/>
    <m/>
    <d v="2018-06-29T00:00:00"/>
    <n v="-1.794346460593399E-3"/>
    <x v="1"/>
    <n v="0"/>
    <x v="193"/>
  </r>
  <r>
    <d v="2018-07-31T00:00:00"/>
    <x v="5"/>
    <s v="Series 9c"/>
    <n v="6397608.7429999998"/>
    <s v=""/>
    <n v="5"/>
    <n v="0"/>
    <n v="0"/>
    <n v="0"/>
    <m/>
    <m/>
    <n v="0"/>
    <e v="#DIV/0!"/>
    <n v="0"/>
    <n v="0"/>
    <s v="Private Equity Fund"/>
    <n v="0"/>
    <n v="0.246636837"/>
    <n v="0"/>
    <n v="0"/>
    <m/>
    <m/>
    <m/>
    <m/>
    <m/>
    <m/>
    <m/>
    <m/>
    <m/>
    <m/>
    <m/>
    <d v="2018-07-31T00:00:00"/>
    <n v="3.8412868110266896E-3"/>
    <x v="1"/>
    <n v="0"/>
    <x v="194"/>
  </r>
  <r>
    <d v="2018-08-31T00:00:00"/>
    <x v="5"/>
    <s v="Series 9c"/>
    <n v="6381653.9115000004"/>
    <s v=""/>
    <n v="5"/>
    <n v="0"/>
    <n v="0"/>
    <n v="0"/>
    <m/>
    <m/>
    <n v="0"/>
    <e v="#DIV/0!"/>
    <n v="0"/>
    <n v="0"/>
    <s v="Private Equity Fund"/>
    <n v="0"/>
    <n v="0.24382127850000004"/>
    <n v="0"/>
    <n v="0"/>
    <m/>
    <m/>
    <m/>
    <m/>
    <m/>
    <m/>
    <m/>
    <m/>
    <m/>
    <m/>
    <m/>
    <d v="2018-08-31T00:00:00"/>
    <n v="-2.4938742178406414E-3"/>
    <x v="1"/>
    <n v="0"/>
    <x v="195"/>
  </r>
  <r>
    <d v="2018-09-28T00:00:00"/>
    <x v="5"/>
    <s v="Series 9c"/>
    <n v="6268510.5815000003"/>
    <m/>
    <n v="5"/>
    <n v="0"/>
    <n v="0"/>
    <n v="0"/>
    <m/>
    <n v="0"/>
    <n v="0"/>
    <e v="#DIV/0!"/>
    <n v="0"/>
    <n v="0"/>
    <s v="Private Equity Fund"/>
    <n v="2.437080795572456E-2"/>
    <n v="0.22385480849999995"/>
    <n v="2.4370807955724559E-3"/>
    <n v="2.2385480779998891E-2"/>
    <m/>
    <m/>
    <m/>
    <m/>
    <m/>
    <m/>
    <m/>
    <m/>
    <m/>
    <m/>
    <m/>
    <d v="2018-09-28T00:00:00"/>
    <n v="-1.7729468186313158E-2"/>
    <x v="1"/>
    <n v="0"/>
    <x v="196"/>
  </r>
  <r>
    <d v="2018-10-31T00:00:00"/>
    <x v="5"/>
    <s v="Series 9c"/>
    <n v="6224956.0800000001"/>
    <m/>
    <n v="5"/>
    <n v="0"/>
    <n v="0"/>
    <n v="0"/>
    <n v="0"/>
    <m/>
    <n v="0"/>
    <e v="#DIV/0!"/>
    <n v="-6224956.0800000001"/>
    <n v="-6224956.0800000001"/>
    <s v="Private Equity Fund"/>
    <n v="8.747086534878306E-3"/>
    <n v="0.21616871999999998"/>
    <m/>
    <m/>
    <m/>
    <m/>
    <m/>
    <m/>
    <m/>
    <m/>
    <m/>
    <m/>
    <m/>
    <m/>
    <m/>
    <d v="2018-10-31T00:00:00"/>
    <n v="-6.9481419762680297E-3"/>
    <x v="1"/>
    <n v="0"/>
    <x v="197"/>
  </r>
  <r>
    <d v="2015-07-22T00:00:00"/>
    <x v="5"/>
    <s v="Series 9e"/>
    <n v="52200"/>
    <e v="#DIV/0!"/>
    <n v="0.6"/>
    <n v="52200"/>
    <n v="0"/>
    <n v="0"/>
    <m/>
    <m/>
    <n v="52200"/>
    <e v="#DIV/0!"/>
    <n v="52200"/>
    <n v="52200"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9e"/>
    <n v="51989.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4.040229885057478E-3"/>
    <x v="1"/>
    <n v="0"/>
    <x v="158"/>
  </r>
  <r>
    <d v="2015-08-31T00:00:00"/>
    <x v="5"/>
    <s v="Series 9e"/>
    <n v="51705.5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5.453450819498662E-3"/>
    <x v="1"/>
    <n v="0"/>
    <x v="159"/>
  </r>
  <r>
    <d v="2015-09-30T00:00:00"/>
    <x v="5"/>
    <s v="Series 9e"/>
    <n v="51778.12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1.4029433573707895E-3"/>
    <x v="1"/>
    <n v="0"/>
    <x v="160"/>
  </r>
  <r>
    <d v="2015-10-30T00:00:00"/>
    <x v="5"/>
    <s v="Series 9e"/>
    <n v="96525.96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0.86422295749633249"/>
    <x v="1"/>
    <n v="0"/>
    <x v="161"/>
  </r>
  <r>
    <d v="2015-11-30T00:00:00"/>
    <x v="5"/>
    <s v="Series 9e"/>
    <n v="96522.23"/>
    <e v="#DIV/0!"/>
    <n v="0.6"/>
    <n v="54000"/>
    <n v="0"/>
    <n v="0"/>
    <m/>
    <m/>
    <n v="54000"/>
    <e v="#DIV/0!"/>
    <n v="54000"/>
    <n v="54000"/>
    <s v="Private Equity Fund"/>
    <n v="0"/>
    <n v="0"/>
    <n v="0"/>
    <n v="0"/>
    <m/>
    <m/>
    <m/>
    <m/>
    <m/>
    <m/>
    <m/>
    <m/>
    <m/>
    <m/>
    <m/>
    <d v="2015-11-30T00:00:00"/>
    <n v="-0.55947363797262417"/>
    <x v="1"/>
    <n v="0"/>
    <x v="162"/>
  </r>
  <r>
    <d v="2015-12-31T00:00:00"/>
    <x v="5"/>
    <s v="Series 9e"/>
    <n v="106687.86599999999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0.10531911664287086"/>
    <x v="1"/>
    <n v="0"/>
    <x v="163"/>
  </r>
  <r>
    <d v="2016-01-29T00:00:00"/>
    <x v="5"/>
    <s v="Series 9e"/>
    <n v="106318.039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3.4664345053072587E-3"/>
    <x v="1"/>
    <n v="0"/>
    <x v="164"/>
  </r>
  <r>
    <d v="2016-02-29T00:00:00"/>
    <x v="5"/>
    <s v="Series 9e"/>
    <n v="241765.027"/>
    <e v="#DIV/0!"/>
    <n v="0.6"/>
    <n v="134400"/>
    <n v="0"/>
    <n v="0"/>
    <m/>
    <m/>
    <n v="134400"/>
    <e v="#DIV/0!"/>
    <n v="134400"/>
    <n v="134400"/>
    <s v="Private Equity Fund"/>
    <n v="0"/>
    <n v="0"/>
    <n v="0"/>
    <n v="0"/>
    <m/>
    <m/>
    <m/>
    <m/>
    <m/>
    <m/>
    <m/>
    <m/>
    <m/>
    <m/>
    <m/>
    <d v="2016-02-29T00:00:00"/>
    <n v="9.8476938149334448E-3"/>
    <x v="1"/>
    <n v="0"/>
    <x v="165"/>
  </r>
  <r>
    <d v="2016-03-31T00:00:00"/>
    <x v="5"/>
    <s v="Series 9e"/>
    <n v="242495.24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3.0203624116402761E-3"/>
    <x v="1"/>
    <n v="0"/>
    <x v="166"/>
  </r>
  <r>
    <d v="2016-04-29T00:00:00"/>
    <x v="5"/>
    <s v="Series 9e"/>
    <n v="339394.52799999999"/>
    <e v="#DIV/0!"/>
    <n v="0.6"/>
    <n v="96000"/>
    <n v="0"/>
    <n v="0"/>
    <m/>
    <m/>
    <n v="96000"/>
    <e v="#DIV/0!"/>
    <n v="96000"/>
    <n v="96000"/>
    <s v="Private Equity Fund"/>
    <n v="0"/>
    <n v="0"/>
    <n v="0"/>
    <n v="0"/>
    <m/>
    <m/>
    <m/>
    <m/>
    <m/>
    <m/>
    <m/>
    <m/>
    <m/>
    <m/>
    <m/>
    <d v="2016-04-29T00:00:00"/>
    <n v="3.7084562214817485E-3"/>
    <x v="1"/>
    <n v="0"/>
    <x v="167"/>
  </r>
  <r>
    <d v="2016-05-31T00:00:00"/>
    <x v="5"/>
    <s v="Series 9e"/>
    <n v="343509.964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2125818657865883E-2"/>
    <x v="1"/>
    <n v="0"/>
    <x v="168"/>
  </r>
  <r>
    <d v="2016-06-30T00:00:00"/>
    <x v="5"/>
    <s v="Series 9e"/>
    <n v="342493.25400000002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-2.9597700360158852E-3"/>
    <x v="1"/>
    <n v="0"/>
    <x v="169"/>
  </r>
  <r>
    <d v="2016-07-29T00:00:00"/>
    <x v="5"/>
    <s v="Series 9e"/>
    <n v="342298.25550000003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-5.6934990024648524E-4"/>
    <x v="1"/>
    <n v="0"/>
    <x v="170"/>
  </r>
  <r>
    <d v="2016-08-31T00:00:00"/>
    <x v="5"/>
    <s v="Series 9e"/>
    <n v="342048.3555000000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7.3006507040185298E-4"/>
    <x v="1"/>
    <n v="0"/>
    <x v="171"/>
  </r>
  <r>
    <d v="2016-09-30T00:00:00"/>
    <x v="5"/>
    <s v="Series 9e"/>
    <n v="353574.8825000000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3698530674561411E-2"/>
    <x v="1"/>
    <n v="0"/>
    <x v="172"/>
  </r>
  <r>
    <d v="2016-10-31T00:00:00"/>
    <x v="5"/>
    <s v="Series 9e"/>
    <n v="362976.4095000000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6589917625158277E-2"/>
    <x v="1"/>
    <n v="0"/>
    <x v="173"/>
  </r>
  <r>
    <d v="2016-11-30T00:00:00"/>
    <x v="5"/>
    <s v="Series 9e"/>
    <n v="366501.1809999999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9.7107454031388762E-3"/>
    <x v="1"/>
    <n v="0"/>
    <x v="174"/>
  </r>
  <r>
    <d v="2016-12-30T00:00:00"/>
    <x v="5"/>
    <s v="Series 9e"/>
    <n v="627958.79500000004"/>
    <e v="#DIV/0!"/>
    <n v="0.6"/>
    <n v="263400"/>
    <n v="0"/>
    <n v="0"/>
    <m/>
    <m/>
    <n v="263400"/>
    <e v="#DIV/0!"/>
    <n v="263400"/>
    <n v="263400"/>
    <s v="Private Equity Fund"/>
    <n v="0"/>
    <n v="0"/>
    <n v="0"/>
    <n v="0"/>
    <m/>
    <m/>
    <m/>
    <m/>
    <m/>
    <m/>
    <m/>
    <m/>
    <m/>
    <m/>
    <m/>
    <d v="2016-12-30T00:00:00"/>
    <n v="-5.2998082972068872E-3"/>
    <x v="1"/>
    <n v="0"/>
    <x v="175"/>
  </r>
  <r>
    <d v="2017-01-27T00:00:00"/>
    <x v="5"/>
    <s v="Series 9e"/>
    <n v="635782.3989999999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2458785611880741E-2"/>
    <x v="1"/>
    <n v="0"/>
    <x v="176"/>
  </r>
  <r>
    <d v="2017-02-28T00:00:00"/>
    <x v="5"/>
    <s v="Series 9e"/>
    <n v="647071.42749999999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1.7756119889062782E-2"/>
    <x v="1"/>
    <n v="0"/>
    <x v="177"/>
  </r>
  <r>
    <d v="2017-03-31T00:00:00"/>
    <x v="5"/>
    <s v="Series 9e"/>
    <n v="643274.1715000000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5.8683722362319335E-3"/>
    <x v="1"/>
    <n v="0"/>
    <x v="178"/>
  </r>
  <r>
    <d v="2017-04-28T00:00:00"/>
    <x v="5"/>
    <s v="Series 9e"/>
    <n v="646577.4250000000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5.1350631602344876E-3"/>
    <x v="1"/>
    <n v="0"/>
    <x v="179"/>
  </r>
  <r>
    <d v="2017-05-31T00:00:00"/>
    <x v="5"/>
    <s v="Series 9e"/>
    <n v="655063.9009999999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1.3125227810110829E-2"/>
    <x v="1"/>
    <n v="0"/>
    <x v="180"/>
  </r>
  <r>
    <d v="2017-06-30T00:00:00"/>
    <x v="5"/>
    <s v="Series 9e"/>
    <n v="660784.4094999999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8.732748807051216E-3"/>
    <x v="1"/>
    <n v="0"/>
    <x v="181"/>
  </r>
  <r>
    <d v="2017-07-31T00:00:00"/>
    <x v="5"/>
    <s v="Series 9e"/>
    <n v="666029.8620000000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7.9382207337022059E-3"/>
    <x v="1"/>
    <n v="0"/>
    <x v="182"/>
  </r>
  <r>
    <d v="2017-08-31T00:00:00"/>
    <x v="5"/>
    <s v="Series 9e"/>
    <n v="6657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-4.9526608162819841E-4"/>
    <x v="1"/>
    <n v="0"/>
    <x v="183"/>
  </r>
  <r>
    <d v="2017-09-29T00:00:00"/>
    <x v="5"/>
    <s v="Series 9e"/>
    <n v="669245.40883801656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5.3258357188170624E-3"/>
    <x v="1"/>
    <n v="0"/>
    <x v="184"/>
  </r>
  <r>
    <d v="2017-10-31T00:00:00"/>
    <x v="5"/>
    <s v="Series 9e"/>
    <n v="6756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9.4951583949103302E-3"/>
    <x v="1"/>
    <n v="0"/>
    <x v="185"/>
  </r>
  <r>
    <d v="2017-11-30T00:00:00"/>
    <x v="5"/>
    <s v="Series 9e"/>
    <n v="675792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2.8419182948491439E-4"/>
    <x v="1"/>
    <n v="0"/>
    <x v="186"/>
  </r>
  <r>
    <d v="2017-12-29T00:00:00"/>
    <x v="5"/>
    <s v="Series 9e"/>
    <n v="7301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8.0362004877240434E-2"/>
    <x v="1"/>
    <n v="0"/>
    <x v="187"/>
  </r>
  <r>
    <d v="2018-01-31T00:00:00"/>
    <x v="5"/>
    <s v="Series 9e"/>
    <n v="7494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2.6434734967812679E-2"/>
    <x v="1"/>
    <n v="0"/>
    <x v="188"/>
  </r>
  <r>
    <d v="2018-02-28T00:00:00"/>
    <x v="5"/>
    <s v="Series 9e"/>
    <n v="752502.5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4.1399919935949381E-3"/>
    <x v="1"/>
    <n v="0"/>
    <x v="189"/>
  </r>
  <r>
    <d v="2018-03-29T00:00:00"/>
    <x v="5"/>
    <s v="Series 9e"/>
    <n v="759529.5895"/>
    <e v="#DIV/0!"/>
    <n v="0.6"/>
    <n v="0"/>
    <n v="0"/>
    <n v="0"/>
    <m/>
    <m/>
    <n v="0"/>
    <e v="#DIV/0!"/>
    <n v="0"/>
    <n v="0"/>
    <s v="Private Equity Fund"/>
    <n v="2.7285400512535355E-3"/>
    <n v="2.8152280499999998E-2"/>
    <n v="5.4570801025070708E-4"/>
    <n v="0"/>
    <m/>
    <m/>
    <m/>
    <m/>
    <m/>
    <m/>
    <m/>
    <m/>
    <m/>
    <m/>
    <m/>
    <d v="2018-03-29T00:00:00"/>
    <n v="9.338280479622485E-3"/>
    <x v="1"/>
    <n v="0"/>
    <x v="190"/>
  </r>
  <r>
    <d v="2018-04-30T00:00:00"/>
    <x v="5"/>
    <s v="Series 9e"/>
    <n v="764054.19050000003"/>
    <e v="#DIV/0!"/>
    <n v="0.6"/>
    <n v="0"/>
    <n v="0"/>
    <n v="0"/>
    <m/>
    <m/>
    <n v="0"/>
    <e v="#DIV/0!"/>
    <n v="0"/>
    <n v="0"/>
    <s v="Private Equity Fund"/>
    <n v="0"/>
    <n v="2.8950739999999999E-2"/>
    <n v="0"/>
    <n v="0"/>
    <m/>
    <m/>
    <m/>
    <m/>
    <m/>
    <m/>
    <m/>
    <m/>
    <m/>
    <m/>
    <m/>
    <d v="2018-04-30T00:00:00"/>
    <n v="5.9571095880261993E-3"/>
    <x v="1"/>
    <n v="0"/>
    <x v="191"/>
  </r>
  <r>
    <d v="2018-05-31T00:00:00"/>
    <x v="5"/>
    <s v="Series 9e"/>
    <n v="769051.08550000004"/>
    <e v="#DIV/0!"/>
    <n v="0.6"/>
    <n v="0"/>
    <n v="0"/>
    <n v="0"/>
    <m/>
    <m/>
    <n v="0"/>
    <e v="#DIV/0!"/>
    <n v="0"/>
    <n v="0"/>
    <s v="Private Equity Fund"/>
    <n v="0"/>
    <n v="2.9832540000000001E-2"/>
    <n v="0"/>
    <n v="0"/>
    <m/>
    <m/>
    <m/>
    <m/>
    <m/>
    <m/>
    <m/>
    <m/>
    <m/>
    <m/>
    <m/>
    <d v="2018-05-31T00:00:00"/>
    <n v="6.539974601448062E-3"/>
    <x v="1"/>
    <n v="0"/>
    <x v="192"/>
  </r>
  <r>
    <d v="2018-06-29T00:00:00"/>
    <x v="5"/>
    <s v="Series 9e"/>
    <n v="768033.86499999999"/>
    <e v="#DIV/0!"/>
    <n v="0.6"/>
    <n v="0"/>
    <n v="0"/>
    <n v="0"/>
    <m/>
    <m/>
    <n v="0"/>
    <e v="#DIV/0!"/>
    <n v="0"/>
    <n v="0"/>
    <s v="Private Equity Fund"/>
    <n v="2.82482E-3"/>
    <n v="2.9653039999999999E-2"/>
    <n v="5.6496388529984442E-4"/>
    <n v="0"/>
    <m/>
    <m/>
    <m/>
    <m/>
    <m/>
    <m/>
    <m/>
    <m/>
    <m/>
    <m/>
    <m/>
    <d v="2018-06-29T00:00:00"/>
    <n v="-1.3226956169480886E-3"/>
    <x v="1"/>
    <n v="0"/>
    <x v="193"/>
  </r>
  <r>
    <d v="2018-07-31T00:00:00"/>
    <x v="5"/>
    <s v="Series 9e"/>
    <n v="770563.3885"/>
    <s v=""/>
    <n v="0.6"/>
    <n v="0"/>
    <n v="0"/>
    <n v="0"/>
    <m/>
    <m/>
    <n v="0"/>
    <e v="#DIV/0!"/>
    <n v="0"/>
    <n v="0"/>
    <s v="Private Equity Fund"/>
    <n v="0"/>
    <n v="3.0099421500000008E-2"/>
    <n v="0"/>
    <n v="0"/>
    <m/>
    <m/>
    <m/>
    <m/>
    <m/>
    <m/>
    <m/>
    <m/>
    <m/>
    <m/>
    <m/>
    <d v="2018-07-31T00:00:00"/>
    <n v="3.2935051633433687E-3"/>
    <x v="1"/>
    <n v="0"/>
    <x v="194"/>
  </r>
  <r>
    <d v="2018-08-31T00:00:00"/>
    <x v="5"/>
    <s v="Series 9e"/>
    <n v="768702.9425"/>
    <s v=""/>
    <n v="0.6"/>
    <n v="0"/>
    <n v="0"/>
    <n v="0"/>
    <m/>
    <m/>
    <n v="0"/>
    <e v="#DIV/0!"/>
    <n v="0"/>
    <n v="0"/>
    <s v="Private Equity Fund"/>
    <n v="0"/>
    <n v="2.9771107500000005E-2"/>
    <n v="0"/>
    <n v="0"/>
    <m/>
    <m/>
    <m/>
    <m/>
    <m/>
    <m/>
    <m/>
    <m/>
    <m/>
    <m/>
    <m/>
    <d v="2018-08-31T00:00:00"/>
    <n v="-2.4143970862949837E-3"/>
    <x v="1"/>
    <n v="0"/>
    <x v="195"/>
  </r>
  <r>
    <d v="2018-09-28T00:00:00"/>
    <x v="5"/>
    <s v="Series 9e"/>
    <n v="755634.15"/>
    <m/>
    <n v="0.6"/>
    <n v="0"/>
    <n v="0"/>
    <n v="0"/>
    <m/>
    <n v="0"/>
    <n v="0"/>
    <e v="#DIV/0!"/>
    <n v="0"/>
    <n v="0"/>
    <s v="Private Equity Fund"/>
    <n v="2.7429112250025073E-3"/>
    <n v="2.7464849999999999E-2"/>
    <n v="5.4858224500050148E-4"/>
    <m/>
    <m/>
    <m/>
    <m/>
    <m/>
    <m/>
    <m/>
    <m/>
    <m/>
    <m/>
    <m/>
    <m/>
    <d v="2018-09-28T00:00:00"/>
    <n v="-1.7001095972778768E-2"/>
    <x v="1"/>
    <n v="0"/>
    <x v="196"/>
  </r>
  <r>
    <d v="2018-10-31T00:00:00"/>
    <x v="5"/>
    <s v="Series 9e"/>
    <n v="749844.95299999998"/>
    <m/>
    <n v="0.6"/>
    <n v="0"/>
    <n v="0"/>
    <n v="0"/>
    <n v="0"/>
    <m/>
    <n v="0"/>
    <e v="#DIV/0!"/>
    <n v="-749844.95299999998"/>
    <n v="-749844.95299999998"/>
    <s v="Private Equity Fund"/>
    <n v="9.8383470928153438E-4"/>
    <n v="2.6443227000000007E-2"/>
    <m/>
    <m/>
    <m/>
    <m/>
    <m/>
    <m/>
    <m/>
    <m/>
    <m/>
    <m/>
    <m/>
    <m/>
    <m/>
    <d v="2018-10-31T00:00:00"/>
    <n v="-7.6613755479421064E-3"/>
    <x v="1"/>
    <n v="0"/>
    <x v="197"/>
  </r>
  <r>
    <d v="2015-07-22T00:00:00"/>
    <x v="5"/>
    <s v="Series 9WF"/>
    <n v="522000"/>
    <e v="#DIV/0!"/>
    <n v="6"/>
    <n v="522000"/>
    <n v="0"/>
    <n v="0"/>
    <m/>
    <m/>
    <n v="522000"/>
    <e v="#DIV/0!"/>
    <n v="522000"/>
    <n v="522000"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9WF"/>
    <n v="519846.8299999999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4.124846743295052E-3"/>
    <x v="1"/>
    <n v="0"/>
    <x v="158"/>
  </r>
  <r>
    <d v="2015-08-31T00:00:00"/>
    <x v="5"/>
    <s v="Series 9WF"/>
    <n v="516967.7700000000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5.5382851906586872E-3"/>
    <x v="1"/>
    <n v="0"/>
    <x v="159"/>
  </r>
  <r>
    <d v="2015-09-30T00:00:00"/>
    <x v="5"/>
    <s v="Series 9WF"/>
    <n v="517650.21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1.3200822944918755E-3"/>
    <x v="1"/>
    <n v="0"/>
    <x v="160"/>
  </r>
  <r>
    <d v="2015-10-30T00:00:00"/>
    <x v="5"/>
    <s v="Series 9WF"/>
    <n v="517106.3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-1.0506129225756888E-3"/>
    <x v="1"/>
    <n v="0"/>
    <x v="161"/>
  </r>
  <r>
    <d v="2015-11-30T00:00:00"/>
    <x v="5"/>
    <s v="Series 9WF"/>
    <n v="964769.83"/>
    <e v="#DIV/0!"/>
    <n v="6"/>
    <n v="540000"/>
    <n v="0"/>
    <n v="0"/>
    <m/>
    <m/>
    <n v="540000"/>
    <e v="#DIV/0!"/>
    <n v="540000"/>
    <n v="540000"/>
    <s v="Private Equity Fund"/>
    <n v="0"/>
    <n v="0"/>
    <n v="0"/>
    <n v="0"/>
    <m/>
    <m/>
    <m/>
    <m/>
    <m/>
    <m/>
    <m/>
    <m/>
    <m/>
    <m/>
    <m/>
    <d v="2015-11-30T00:00:00"/>
    <n v="-0.17856390317844872"/>
    <x v="1"/>
    <n v="0"/>
    <x v="162"/>
  </r>
  <r>
    <d v="2015-12-31T00:00:00"/>
    <x v="5"/>
    <s v="Series 9WF"/>
    <n v="1066538.9745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0.10548541355195584"/>
    <x v="1"/>
    <n v="0"/>
    <x v="163"/>
  </r>
  <r>
    <d v="2016-01-29T00:00:00"/>
    <x v="5"/>
    <s v="Series 9WF"/>
    <n v="1062997.3049999999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3.3207126834351453E-3"/>
    <x v="1"/>
    <n v="0"/>
    <x v="164"/>
  </r>
  <r>
    <d v="2016-02-29T00:00:00"/>
    <x v="5"/>
    <s v="Series 9WF"/>
    <n v="2417200.3650000002"/>
    <e v="#DIV/0!"/>
    <n v="6"/>
    <n v="1344000"/>
    <n v="0"/>
    <n v="0"/>
    <m/>
    <m/>
    <n v="1344000"/>
    <e v="#DIV/0!"/>
    <n v="1344000"/>
    <n v="1344000"/>
    <s v="Private Equity Fund"/>
    <n v="0"/>
    <n v="0"/>
    <n v="0"/>
    <n v="0"/>
    <m/>
    <m/>
    <m/>
    <m/>
    <m/>
    <m/>
    <m/>
    <m/>
    <m/>
    <m/>
    <m/>
    <d v="2016-02-29T00:00:00"/>
    <n v="9.5983874578122741E-3"/>
    <x v="1"/>
    <n v="0"/>
    <x v="165"/>
  </r>
  <r>
    <d v="2016-03-31T00:00:00"/>
    <x v="5"/>
    <s v="Series 9WF"/>
    <n v="2424099.0414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2.8539944805112683E-3"/>
    <x v="1"/>
    <n v="0"/>
    <x v="166"/>
  </r>
  <r>
    <d v="2016-04-29T00:00:00"/>
    <x v="5"/>
    <s v="Series 9WF"/>
    <n v="3393604.3280000002"/>
    <e v="#DIV/0!"/>
    <n v="6"/>
    <n v="960000"/>
    <n v="0"/>
    <n v="0"/>
    <m/>
    <m/>
    <n v="960000"/>
    <e v="#DIV/0!"/>
    <n v="960000"/>
    <n v="960000"/>
    <s v="Private Equity Fund"/>
    <n v="0"/>
    <n v="0"/>
    <n v="0"/>
    <n v="0"/>
    <m/>
    <m/>
    <m/>
    <m/>
    <m/>
    <m/>
    <m/>
    <m/>
    <m/>
    <m/>
    <m/>
    <d v="2016-04-29T00:00:00"/>
    <n v="3.9211625999071575E-3"/>
    <x v="1"/>
    <n v="0"/>
    <x v="167"/>
  </r>
  <r>
    <d v="2016-05-31T00:00:00"/>
    <x v="5"/>
    <s v="Series 9WF"/>
    <n v="3434497.7259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205013727221993E-2"/>
    <x v="1"/>
    <n v="0"/>
    <x v="168"/>
  </r>
  <r>
    <d v="2016-06-30T00:00:00"/>
    <x v="5"/>
    <s v="Series 9WF"/>
    <n v="3423351.2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-3.2454602941262012E-3"/>
    <x v="1"/>
    <n v="0"/>
    <x v="169"/>
  </r>
  <r>
    <d v="2016-07-29T00:00:00"/>
    <x v="5"/>
    <s v="Series 9WF"/>
    <n v="3422639.9114999999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-2.0777549788064675E-4"/>
    <x v="1"/>
    <n v="0"/>
    <x v="170"/>
  </r>
  <r>
    <d v="2016-08-31T00:00:00"/>
    <x v="5"/>
    <s v="Series 9WF"/>
    <n v="3419876.0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8.0752038527731607E-4"/>
    <x v="1"/>
    <n v="0"/>
    <x v="171"/>
  </r>
  <r>
    <d v="2016-09-30T00:00:00"/>
    <x v="5"/>
    <s v="Series 9WF"/>
    <n v="3533408.9534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3197955571524274E-2"/>
    <x v="1"/>
    <n v="0"/>
    <x v="172"/>
  </r>
  <r>
    <d v="2016-10-31T00:00:00"/>
    <x v="5"/>
    <s v="Series 9WF"/>
    <n v="3627163.1970000002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6533651987022955E-2"/>
    <x v="1"/>
    <n v="0"/>
    <x v="173"/>
  </r>
  <r>
    <d v="2016-11-30T00:00:00"/>
    <x v="5"/>
    <s v="Series 9WF"/>
    <n v="3662416.4879999999"/>
    <e v="#DIV/0!"/>
    <n v="6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6-11-30T00:00:00"/>
    <n v="9.719245891433248E-3"/>
    <x v="1"/>
    <n v="0"/>
    <x v="174"/>
  </r>
  <r>
    <d v="2016-12-30T00:00:00"/>
    <x v="5"/>
    <s v="Series 9WF"/>
    <n v="5229928.6804999998"/>
    <e v="#DIV/0!"/>
    <n v="6"/>
    <n v="2195000"/>
    <n v="0"/>
    <n v="0"/>
    <m/>
    <m/>
    <n v="2195000"/>
    <e v="#DIV/0!"/>
    <n v="2195000"/>
    <n v="2195000"/>
    <s v="Private Equity Fund"/>
    <n v="0"/>
    <n v="0"/>
    <n v="0"/>
    <n v="0"/>
    <m/>
    <m/>
    <m/>
    <m/>
    <m/>
    <m/>
    <m/>
    <m/>
    <m/>
    <m/>
    <m/>
    <d v="2016-12-30T00:00:00"/>
    <n v="-0.17133163569899268"/>
    <x v="1"/>
    <n v="0"/>
    <x v="175"/>
  </r>
  <r>
    <d v="2017-01-27T00:00:00"/>
    <x v="5"/>
    <s v="Series 9WF"/>
    <n v="5295889.5985000003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2612202198079459E-2"/>
    <x v="1"/>
    <n v="0"/>
    <x v="176"/>
  </r>
  <r>
    <d v="2017-02-28T00:00:00"/>
    <x v="5"/>
    <s v="Series 9WF"/>
    <n v="5389551.752999999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1.768582081592629E-2"/>
    <x v="1"/>
    <n v="0"/>
    <x v="177"/>
  </r>
  <r>
    <d v="2017-03-31T00:00:00"/>
    <x v="5"/>
    <s v="Series 9WF"/>
    <n v="5356414.7750000004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6.1483736530694166E-3"/>
    <x v="1"/>
    <n v="0"/>
    <x v="178"/>
  </r>
  <r>
    <d v="2017-04-28T00:00:00"/>
    <x v="5"/>
    <s v="Series 9WF"/>
    <n v="5384731.25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5.2864604757945077E-3"/>
    <x v="1"/>
    <n v="0"/>
    <x v="179"/>
  </r>
  <r>
    <d v="2017-05-31T00:00:00"/>
    <x v="5"/>
    <s v="Series 9WF"/>
    <n v="5453884.2154999999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1.2842417251557325E-2"/>
    <x v="1"/>
    <n v="0"/>
    <x v="180"/>
  </r>
  <r>
    <d v="2017-06-30T00:00:00"/>
    <x v="5"/>
    <s v="Series 9WF"/>
    <n v="5501159.1160000004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8.6681159027257593E-3"/>
    <x v="1"/>
    <n v="0"/>
    <x v="181"/>
  </r>
  <r>
    <d v="2017-07-31T00:00:00"/>
    <x v="5"/>
    <s v="Series 9WF"/>
    <n v="5545642.718999999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8.0862236597774029E-3"/>
    <x v="1"/>
    <n v="0"/>
    <x v="182"/>
  </r>
  <r>
    <d v="2017-08-31T00:00:00"/>
    <x v="5"/>
    <s v="Series 9WF"/>
    <n v="55412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-8.0111886486633477E-4"/>
    <x v="1"/>
    <n v="0"/>
    <x v="183"/>
  </r>
  <r>
    <d v="2017-09-29T00:00:00"/>
    <x v="5"/>
    <s v="Series 9WF"/>
    <n v="5570479.8676990084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5.2840301196506179E-3"/>
    <x v="1"/>
    <n v="0"/>
    <x v="184"/>
  </r>
  <r>
    <d v="2017-10-31T00:00:00"/>
    <x v="5"/>
    <s v="Series 9WF"/>
    <n v="56239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9.5898618377123768E-3"/>
    <x v="1"/>
    <n v="0"/>
    <x v="185"/>
  </r>
  <r>
    <d v="2017-11-30T00:00:00"/>
    <x v="5"/>
    <s v="Series 9WF"/>
    <n v="5624220.3300000001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5.6958694144570998E-5"/>
    <x v="1"/>
    <n v="0"/>
    <x v="186"/>
  </r>
  <r>
    <d v="2017-12-29T00:00:00"/>
    <x v="5"/>
    <s v="Series 9WF"/>
    <n v="60762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8.03630802991675E-2"/>
    <x v="1"/>
    <n v="0"/>
    <x v="187"/>
  </r>
  <r>
    <d v="2018-01-31T00:00:00"/>
    <x v="5"/>
    <s v="Series 9WF"/>
    <n v="62381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2.6644942562785934E-2"/>
    <x v="1"/>
    <n v="0"/>
    <x v="188"/>
  </r>
  <r>
    <d v="2018-02-28T00:00:00"/>
    <x v="5"/>
    <s v="Series 9WF"/>
    <n v="6263410.5499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4.0574133149515745E-3"/>
    <x v="1"/>
    <n v="0"/>
    <x v="189"/>
  </r>
  <r>
    <d v="2018-03-29T00:00:00"/>
    <x v="5"/>
    <s v="Series 9WF"/>
    <n v="6320186.6885000002"/>
    <e v="#DIV/0!"/>
    <n v="6"/>
    <n v="0"/>
    <n v="0"/>
    <n v="0"/>
    <m/>
    <m/>
    <n v="0"/>
    <e v="#DIV/0!"/>
    <n v="0"/>
    <n v="0"/>
    <s v="Private Equity Fund"/>
    <n v="2.432769720614671E-2"/>
    <n v="0.23297412149999991"/>
    <n v="0"/>
    <n v="0"/>
    <m/>
    <m/>
    <m/>
    <m/>
    <m/>
    <m/>
    <m/>
    <m/>
    <m/>
    <m/>
    <m/>
    <d v="2018-03-29T00:00:00"/>
    <n v="9.0647320731673808E-3"/>
    <x v="1"/>
    <n v="0"/>
    <x v="190"/>
  </r>
  <r>
    <d v="2018-04-30T00:00:00"/>
    <x v="5"/>
    <s v="Series 9WF"/>
    <n v="6360068.6035000002"/>
    <e v="#DIV/0!"/>
    <n v="6"/>
    <n v="0"/>
    <n v="0"/>
    <n v="0"/>
    <m/>
    <m/>
    <n v="0"/>
    <e v="#DIV/0!"/>
    <n v="0"/>
    <n v="0"/>
    <s v="Private Equity Fund"/>
    <n v="0"/>
    <n v="0.24001211"/>
    <n v="0"/>
    <n v="0"/>
    <m/>
    <m/>
    <m/>
    <m/>
    <m/>
    <m/>
    <m/>
    <m/>
    <m/>
    <m/>
    <m/>
    <d v="2018-04-30T00:00:00"/>
    <n v="6.3102431883170773E-3"/>
    <x v="1"/>
    <n v="0"/>
    <x v="191"/>
  </r>
  <r>
    <d v="2018-05-31T00:00:00"/>
    <x v="5"/>
    <s v="Series 9WF"/>
    <n v="6401262.4000000004"/>
    <e v="#DIV/0!"/>
    <n v="6"/>
    <n v="0"/>
    <n v="0"/>
    <n v="0"/>
    <m/>
    <m/>
    <n v="0"/>
    <e v="#DIV/0!"/>
    <n v="0"/>
    <n v="0"/>
    <s v="Private Equity Fund"/>
    <n v="0"/>
    <n v="0.24728159999999999"/>
    <n v="0"/>
    <n v="0"/>
    <m/>
    <m/>
    <m/>
    <m/>
    <m/>
    <m/>
    <m/>
    <m/>
    <m/>
    <m/>
    <m/>
    <d v="2018-05-31T00:00:00"/>
    <n v="6.4769421633803503E-3"/>
    <x v="1"/>
    <n v="0"/>
    <x v="192"/>
  </r>
  <r>
    <d v="2018-06-29T00:00:00"/>
    <x v="5"/>
    <s v="Series 9WF"/>
    <n v="6389661.2769999998"/>
    <e v="#DIV/0!"/>
    <n v="6"/>
    <n v="0"/>
    <n v="0"/>
    <n v="0"/>
    <m/>
    <m/>
    <n v="0"/>
    <e v="#DIV/0!"/>
    <n v="0"/>
    <n v="0"/>
    <s v="Private Equity Fund"/>
    <n v="2.5180560000000001E-2"/>
    <n v="0.24523434"/>
    <n v="0"/>
    <n v="0"/>
    <m/>
    <m/>
    <m/>
    <m/>
    <m/>
    <m/>
    <m/>
    <m/>
    <m/>
    <m/>
    <m/>
    <d v="2018-06-29T00:00:00"/>
    <n v="-1.8123179890268126E-3"/>
    <x v="1"/>
    <n v="0"/>
    <x v="193"/>
  </r>
  <r>
    <d v="2018-07-31T00:00:00"/>
    <x v="5"/>
    <s v="Series 9WF"/>
    <n v="6414307.1885000002"/>
    <s v=""/>
    <n v="6"/>
    <n v="0"/>
    <n v="0"/>
    <n v="0"/>
    <m/>
    <m/>
    <n v="0"/>
    <e v="#DIV/0!"/>
    <n v="0"/>
    <n v="0"/>
    <s v="Private Equity Fund"/>
    <n v="0"/>
    <n v="0.24958362149999991"/>
    <n v="0"/>
    <n v="0"/>
    <m/>
    <m/>
    <m/>
    <m/>
    <m/>
    <m/>
    <m/>
    <m/>
    <m/>
    <m/>
    <m/>
    <d v="2018-07-31T00:00:00"/>
    <n v="3.8571546176813243E-3"/>
    <x v="1"/>
    <n v="0"/>
    <x v="194"/>
  </r>
  <r>
    <d v="2018-08-31T00:00:00"/>
    <x v="5"/>
    <s v="Series 9WF"/>
    <n v="6398331.0475000003"/>
    <s v=""/>
    <n v="6"/>
    <n v="0"/>
    <n v="0"/>
    <n v="0"/>
    <m/>
    <m/>
    <n v="0"/>
    <e v="#DIV/0!"/>
    <n v="0"/>
    <n v="0"/>
    <s v="Private Equity Fund"/>
    <n v="0"/>
    <n v="0.24676430249999992"/>
    <n v="0"/>
    <n v="0"/>
    <m/>
    <m/>
    <m/>
    <m/>
    <m/>
    <m/>
    <m/>
    <m/>
    <m/>
    <m/>
    <m/>
    <d v="2018-08-31T00:00:00"/>
    <n v="-2.4907040667841995E-3"/>
    <x v="1"/>
    <n v="0"/>
    <x v="195"/>
  </r>
  <r>
    <d v="2018-09-28T00:00:00"/>
    <x v="5"/>
    <s v="Series 9WF"/>
    <n v="6284982.2879999997"/>
    <m/>
    <n v="5"/>
    <n v="0"/>
    <n v="0"/>
    <n v="0"/>
    <m/>
    <n v="0"/>
    <n v="0"/>
    <e v="#DIV/0!"/>
    <n v="0"/>
    <n v="0"/>
    <s v="Private Equity Fund"/>
    <n v="2.4435499999999999E-2"/>
    <n v="0.22676157999999999"/>
    <m/>
    <m/>
    <m/>
    <m/>
    <m/>
    <m/>
    <m/>
    <m/>
    <m/>
    <m/>
    <m/>
    <m/>
    <m/>
    <d v="2018-09-28T00:00:00"/>
    <n v="-1.7715363374999016E-2"/>
    <x v="1"/>
    <n v="0"/>
    <x v="196"/>
  </r>
  <r>
    <d v="2018-10-31T00:00:00"/>
    <x v="5"/>
    <s v="Series 9WF"/>
    <n v="6241653.8399999999"/>
    <m/>
    <n v="5"/>
    <n v="0"/>
    <n v="0"/>
    <n v="0"/>
    <m/>
    <n v="0"/>
    <n v="0"/>
    <e v="#DIV/0!"/>
    <n v="-6241653.8399999999"/>
    <n v="-6241653.8399999999"/>
    <s v="Private Equity Fund"/>
    <n v="8.7737600000000002E-3"/>
    <n v="0.21911538"/>
    <m/>
    <m/>
    <m/>
    <m/>
    <m/>
    <m/>
    <m/>
    <m/>
    <m/>
    <m/>
    <m/>
    <m/>
    <m/>
    <d v="2018-10-31T00:00:00"/>
    <n v="-6.8939650128732044E-3"/>
    <x v="1"/>
    <n v="0"/>
    <x v="197"/>
  </r>
  <r>
    <d v="2013-12-31T00:00:00"/>
    <x v="5"/>
    <s v="Series USf1"/>
    <n v="6860"/>
    <e v="#DIV/0!"/>
    <n v="0.02"/>
    <n v="6860"/>
    <n v="0"/>
    <n v="0"/>
    <m/>
    <m/>
    <n v="6860"/>
    <e v="#DIV/0!"/>
    <n v="6860"/>
    <m/>
    <s v="Private Equity Fund"/>
    <n v="0"/>
    <n v="0"/>
    <n v="0"/>
    <n v="0"/>
    <m/>
    <m/>
    <m/>
    <m/>
    <m/>
    <m/>
    <m/>
    <m/>
    <m/>
    <m/>
    <m/>
    <d v="2013-12-31T00:00:00"/>
    <n v="0"/>
    <x v="1"/>
    <n v="0"/>
    <x v="3"/>
  </r>
  <r>
    <d v="2014-01-30T00:00:00"/>
    <x v="5"/>
    <s v="Series USf1"/>
    <n v="6840.5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1-30T00:00:00"/>
    <n v="-2.8381924198250807E-3"/>
    <x v="1"/>
    <n v="0"/>
    <x v="4"/>
  </r>
  <r>
    <d v="2014-02-28T00:00:00"/>
    <x v="5"/>
    <s v="Series USf1"/>
    <n v="6835.2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2-28T00:00:00"/>
    <n v="-7.7625564101024835E-4"/>
    <x v="1"/>
    <n v="0"/>
    <x v="5"/>
  </r>
  <r>
    <d v="2014-03-31T00:00:00"/>
    <x v="5"/>
    <s v="Series USf1"/>
    <n v="6749.94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3-31T00:00:00"/>
    <n v="-1.2476555253525201E-2"/>
    <x v="1"/>
    <n v="0"/>
    <x v="6"/>
  </r>
  <r>
    <d v="2014-04-30T00:00:00"/>
    <x v="5"/>
    <s v="Series USf1"/>
    <n v="6575.3055722311401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4-30T00:00:00"/>
    <n v="-2.5871997050175177E-2"/>
    <x v="1"/>
    <n v="0"/>
    <x v="7"/>
  </r>
  <r>
    <d v="2014-05-30T00:00:00"/>
    <x v="5"/>
    <s v="Series USf1"/>
    <n v="6501.337989908440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5-30T00:00:00"/>
    <n v="-1.1249299596824858E-2"/>
    <x v="1"/>
    <n v="0"/>
    <x v="8"/>
  </r>
  <r>
    <d v="2014-06-30T00:00:00"/>
    <x v="5"/>
    <s v="Series USf1"/>
    <n v="6495.0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6-30T00:00:00"/>
    <n v="-9.7026026307689417E-4"/>
    <x v="1"/>
    <n v="0"/>
    <x v="9"/>
  </r>
  <r>
    <d v="2014-07-31T00:00:00"/>
    <x v="5"/>
    <s v="Series USf1"/>
    <n v="6603.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7-31T00:00:00"/>
    <n v="1.6700461737667149E-2"/>
    <x v="1"/>
    <n v="0"/>
    <x v="10"/>
  </r>
  <r>
    <d v="2014-08-29T00:00:00"/>
    <x v="5"/>
    <s v="Series USf1"/>
    <n v="11218.91"/>
    <e v="#DIV/0!"/>
    <n v="0.02"/>
    <n v="4460"/>
    <n v="0"/>
    <n v="0"/>
    <m/>
    <m/>
    <n v="4460"/>
    <e v="#DIV/0!"/>
    <n v="4460"/>
    <m/>
    <s v="Private Equity Fund"/>
    <n v="0"/>
    <n v="0"/>
    <n v="0"/>
    <n v="0"/>
    <m/>
    <m/>
    <m/>
    <m/>
    <m/>
    <m/>
    <m/>
    <m/>
    <m/>
    <m/>
    <m/>
    <d v="2014-08-29T00:00:00"/>
    <n v="2.3534489285984783E-2"/>
    <x v="1"/>
    <n v="0"/>
    <x v="11"/>
  </r>
  <r>
    <d v="2014-09-30T00:00:00"/>
    <x v="5"/>
    <s v="Series USf1"/>
    <n v="10873.4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09-30T00:00:00"/>
    <n v="-3.0795326818737312E-2"/>
    <x v="1"/>
    <n v="0"/>
    <x v="12"/>
  </r>
  <r>
    <d v="2014-10-31T00:00:00"/>
    <x v="5"/>
    <s v="Series USf1"/>
    <n v="14128.13"/>
    <e v="#DIV/0!"/>
    <n v="0.02"/>
    <n v="3380"/>
    <n v="0"/>
    <n v="0"/>
    <m/>
    <m/>
    <n v="3380"/>
    <e v="#DIV/0!"/>
    <n v="3380"/>
    <m/>
    <s v="Private Equity Fund"/>
    <n v="0"/>
    <n v="0"/>
    <n v="0"/>
    <n v="0"/>
    <m/>
    <m/>
    <m/>
    <m/>
    <m/>
    <m/>
    <m/>
    <m/>
    <m/>
    <m/>
    <m/>
    <d v="2014-10-31T00:00:00"/>
    <n v="-1.1522593627396049E-2"/>
    <x v="1"/>
    <n v="0"/>
    <x v="149"/>
  </r>
  <r>
    <d v="2014-11-28T00:00:00"/>
    <x v="5"/>
    <s v="Series USf1"/>
    <n v="14253.0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11-28T00:00:00"/>
    <n v="8.8419344952233025E-3"/>
    <x v="1"/>
    <n v="0"/>
    <x v="150"/>
  </r>
  <r>
    <d v="2014-12-31T00:00:00"/>
    <x v="5"/>
    <s v="Series USf1"/>
    <n v="14163.0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4-12-31T00:00:00"/>
    <n v="-6.3130347539649412E-3"/>
    <x v="1"/>
    <n v="0"/>
    <x v="151"/>
  </r>
  <r>
    <d v="2015-01-30T00:00:00"/>
    <x v="5"/>
    <s v="Series USf1"/>
    <n v="16972.490000000002"/>
    <e v="#DIV/0!"/>
    <n v="0.02"/>
    <n v="2320"/>
    <n v="0"/>
    <n v="0"/>
    <m/>
    <m/>
    <n v="2320"/>
    <e v="#DIV/0!"/>
    <n v="2320"/>
    <m/>
    <s v="Private Equity Fund"/>
    <n v="0"/>
    <n v="0"/>
    <n v="0"/>
    <n v="0"/>
    <m/>
    <m/>
    <m/>
    <m/>
    <m/>
    <m/>
    <m/>
    <m/>
    <m/>
    <m/>
    <m/>
    <d v="2015-01-30T00:00:00"/>
    <n v="3.4556067293320059E-2"/>
    <x v="1"/>
    <n v="0"/>
    <x v="152"/>
  </r>
  <r>
    <d v="2015-02-27T00:00:00"/>
    <x v="5"/>
    <s v="Series USf1"/>
    <n v="17384.689999999999"/>
    <e v="#DIV/0!"/>
    <n v="0.02"/>
    <n v="280"/>
    <n v="0"/>
    <n v="0"/>
    <m/>
    <m/>
    <n v="280"/>
    <e v="#DIV/0!"/>
    <n v="280"/>
    <m/>
    <s v="Private Equity Fund"/>
    <n v="0"/>
    <n v="0"/>
    <n v="0"/>
    <n v="0"/>
    <m/>
    <m/>
    <m/>
    <m/>
    <m/>
    <m/>
    <m/>
    <m/>
    <m/>
    <m/>
    <m/>
    <d v="2015-02-27T00:00:00"/>
    <n v="7.7890751445426343E-3"/>
    <x v="1"/>
    <n v="0"/>
    <x v="153"/>
  </r>
  <r>
    <d v="2015-03-31T00:00:00"/>
    <x v="5"/>
    <s v="Series USf1"/>
    <n v="18722.650000000001"/>
    <e v="#DIV/0!"/>
    <n v="0.02"/>
    <n v="1080"/>
    <n v="0"/>
    <n v="0"/>
    <m/>
    <m/>
    <n v="1080"/>
    <e v="#DIV/0!"/>
    <n v="1080"/>
    <m/>
    <s v="Private Equity Fund"/>
    <n v="0"/>
    <n v="0"/>
    <n v="0"/>
    <n v="0"/>
    <m/>
    <m/>
    <m/>
    <m/>
    <m/>
    <m/>
    <m/>
    <m/>
    <m/>
    <m/>
    <m/>
    <d v="2015-03-31T00:00:00"/>
    <n v="1.4838343392951092E-2"/>
    <x v="1"/>
    <n v="0"/>
    <x v="154"/>
  </r>
  <r>
    <d v="2015-04-30T00:00:00"/>
    <x v="5"/>
    <s v="Series USf1"/>
    <n v="20231.2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4-30T00:00:00"/>
    <n v="8.0576200484439919E-2"/>
    <x v="1"/>
    <n v="0"/>
    <x v="155"/>
  </r>
  <r>
    <d v="2015-05-29T00:00:00"/>
    <x v="5"/>
    <s v="Series USf1"/>
    <n v="20501.650000000001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5-29T00:00:00"/>
    <n v="1.3365461847389737E-2"/>
    <x v="1"/>
    <n v="0"/>
    <x v="156"/>
  </r>
  <r>
    <d v="2015-06-30T00:00:00"/>
    <x v="5"/>
    <s v="Series USf1"/>
    <n v="20313.2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6-30T00:00:00"/>
    <n v="-9.1880409625567649E-3"/>
    <x v="1"/>
    <n v="0"/>
    <x v="157"/>
  </r>
  <r>
    <d v="2015-07-31T00:00:00"/>
    <x v="5"/>
    <s v="Series USf1"/>
    <n v="21604.3"/>
    <e v="#DIV/0!"/>
    <n v="0.02"/>
    <n v="1620"/>
    <n v="0"/>
    <n v="0"/>
    <m/>
    <m/>
    <n v="1620"/>
    <e v="#DIV/0!"/>
    <n v="1620"/>
    <m/>
    <s v="Private Equity Fund"/>
    <n v="0"/>
    <n v="0"/>
    <n v="0"/>
    <n v="0"/>
    <m/>
    <m/>
    <m/>
    <m/>
    <m/>
    <m/>
    <m/>
    <m/>
    <m/>
    <m/>
    <m/>
    <d v="2015-07-31T00:00:00"/>
    <n v="-1.6195316561382511E-2"/>
    <x v="1"/>
    <n v="0"/>
    <x v="158"/>
  </r>
  <r>
    <d v="2015-08-31T00:00:00"/>
    <x v="5"/>
    <s v="Series USf1"/>
    <n v="21266.3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8-31T00:00:00"/>
    <n v="-1.564410788593007E-2"/>
    <x v="1"/>
    <n v="0"/>
    <x v="159"/>
  </r>
  <r>
    <d v="2015-09-30T00:00:00"/>
    <x v="5"/>
    <s v="Series USf1"/>
    <n v="21340.6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09-30T00:00:00"/>
    <n v="3.4970789492492216E-3"/>
    <x v="1"/>
    <n v="0"/>
    <x v="160"/>
  </r>
  <r>
    <d v="2015-10-30T00:00:00"/>
    <x v="5"/>
    <s v="Series USf1"/>
    <n v="21913.0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0-30T00:00:00"/>
    <n v="2.6821063423909886E-2"/>
    <x v="1"/>
    <n v="0"/>
    <x v="161"/>
  </r>
  <r>
    <d v="2015-11-30T00:00:00"/>
    <x v="5"/>
    <s v="Series USf1"/>
    <n v="21874.7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1-30T00:00:00"/>
    <n v="-1.7478153449059786E-3"/>
    <x v="1"/>
    <n v="0"/>
    <x v="162"/>
  </r>
  <r>
    <d v="2015-12-31T00:00:00"/>
    <x v="5"/>
    <s v="Series USf1"/>
    <n v="22066.04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2-31T00:00:00"/>
    <n v="8.743863364049087E-3"/>
    <x v="1"/>
    <n v="0"/>
    <x v="163"/>
  </r>
  <r>
    <d v="2016-01-29T00:00:00"/>
    <x v="5"/>
    <s v="Series USf1"/>
    <n v="21818.2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1-29T00:00:00"/>
    <n v="-1.1230379352162978E-2"/>
    <x v="1"/>
    <n v="0"/>
    <x v="164"/>
  </r>
  <r>
    <d v="2016-02-29T00:00:00"/>
    <x v="5"/>
    <s v="Series USf1"/>
    <n v="22217.1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2-29T00:00:00"/>
    <n v="1.8282876291981554E-2"/>
    <x v="1"/>
    <n v="0"/>
    <x v="165"/>
  </r>
  <r>
    <d v="2016-03-31T00:00:00"/>
    <x v="5"/>
    <s v="Series USf1"/>
    <n v="22639.3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3-31T00:00:00"/>
    <n v="1.9002904515569741E-2"/>
    <x v="1"/>
    <n v="0"/>
    <x v="166"/>
  </r>
  <r>
    <d v="2016-04-29T00:00:00"/>
    <x v="5"/>
    <s v="Series USf1"/>
    <n v="22939.9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4-29T00:00:00"/>
    <n v="1.3280875927368818E-2"/>
    <x v="1"/>
    <n v="0"/>
    <x v="167"/>
  </r>
  <r>
    <d v="2016-05-31T00:00:00"/>
    <x v="5"/>
    <s v="Series USf1"/>
    <n v="23588.5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5-31T00:00:00"/>
    <n v="2.8273769953692129E-2"/>
    <x v="1"/>
    <n v="0"/>
    <x v="168"/>
  </r>
  <r>
    <d v="2016-06-30T00:00:00"/>
    <x v="5"/>
    <s v="Series USf1"/>
    <n v="24334.8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6-30T00:00:00"/>
    <n v="3.1638177610446405E-2"/>
    <x v="1"/>
    <n v="0"/>
    <x v="169"/>
  </r>
  <r>
    <d v="2016-07-29T00:00:00"/>
    <x v="5"/>
    <s v="Series USf1"/>
    <n v="24585.5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7-29T00:00:00"/>
    <n v="1.0300436944650215E-2"/>
    <x v="1"/>
    <n v="0"/>
    <x v="170"/>
  </r>
  <r>
    <d v="2016-08-31T00:00:00"/>
    <x v="5"/>
    <s v="Series USf1"/>
    <n v="24540.560000000001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8-31T00:00:00"/>
    <n v="-1.8299366904542813E-3"/>
    <x v="1"/>
    <n v="0"/>
    <x v="171"/>
  </r>
  <r>
    <d v="2016-09-30T00:00:00"/>
    <x v="5"/>
    <s v="Series USf1"/>
    <n v="25683.3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09-30T00:00:00"/>
    <n v="4.6568619461006655E-2"/>
    <x v="1"/>
    <n v="0"/>
    <x v="172"/>
  </r>
  <r>
    <d v="2016-10-31T00:00:00"/>
    <x v="5"/>
    <s v="Series USf1"/>
    <n v="26608.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10-31T00:00:00"/>
    <n v="3.6035755418484694E-2"/>
    <x v="1"/>
    <n v="0"/>
    <x v="173"/>
  </r>
  <r>
    <d v="2016-11-30T00:00:00"/>
    <x v="5"/>
    <s v="Series USf1"/>
    <n v="26748"/>
    <e v="#DIV/0!"/>
    <n v="0.02"/>
    <n v="0"/>
    <n v="-3.637978807091713E-12"/>
    <n v="0"/>
    <m/>
    <m/>
    <n v="-3.637978807091713E-12"/>
    <e v="#DIV/0!"/>
    <n v="-3.637978807091713E-12"/>
    <m/>
    <s v="Private Equity Fund"/>
    <n v="0"/>
    <n v="0"/>
    <n v="0"/>
    <n v="0"/>
    <m/>
    <m/>
    <m/>
    <m/>
    <m/>
    <m/>
    <m/>
    <m/>
    <m/>
    <m/>
    <m/>
    <d v="2016-11-30T00:00:00"/>
    <n v="5.2275742326817198E-3"/>
    <x v="1"/>
    <n v="0"/>
    <x v="174"/>
  </r>
  <r>
    <d v="2016-12-30T00:00:00"/>
    <x v="5"/>
    <s v="Series USf1"/>
    <n v="26518.6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6-12-30T00:00:00"/>
    <n v="-8.5744728577836771E-3"/>
    <x v="1"/>
    <n v="0"/>
    <x v="175"/>
  </r>
  <r>
    <d v="2017-01-27T00:00:00"/>
    <x v="5"/>
    <s v="Series USf1"/>
    <n v="26905.1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1-27T00:00:00"/>
    <n v="1.4575779687125756E-2"/>
    <x v="1"/>
    <n v="0"/>
    <x v="176"/>
  </r>
  <r>
    <d v="2017-02-28T00:00:00"/>
    <x v="5"/>
    <s v="Series USf1"/>
    <n v="28129.7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2-28T00:00:00"/>
    <n v="4.5514283866526783E-2"/>
    <x v="1"/>
    <n v="0"/>
    <x v="177"/>
  </r>
  <r>
    <d v="2017-03-31T00:00:00"/>
    <x v="5"/>
    <s v="Series USf1"/>
    <n v="27842.6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3-31T00:00:00"/>
    <n v="-1.020698726437308E-2"/>
    <x v="1"/>
    <n v="0"/>
    <x v="178"/>
  </r>
  <r>
    <d v="2017-04-28T00:00:00"/>
    <x v="5"/>
    <s v="Series USf1"/>
    <n v="27708.0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4-28T00:00:00"/>
    <n v="-4.8328767792410465E-3"/>
    <x v="1"/>
    <n v="0"/>
    <x v="179"/>
  </r>
  <r>
    <d v="2017-05-31T00:00:00"/>
    <x v="5"/>
    <s v="Series USf1"/>
    <n v="26970.46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5-31T00:00:00"/>
    <n v="-2.662076427553417E-2"/>
    <x v="1"/>
    <n v="0"/>
    <x v="180"/>
  </r>
  <r>
    <d v="2017-06-30T00:00:00"/>
    <x v="5"/>
    <s v="Series USf1"/>
    <n v="27976.9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6-30T00:00:00"/>
    <n v="3.7317123994177193E-2"/>
    <x v="1"/>
    <n v="0"/>
    <x v="181"/>
  </r>
  <r>
    <d v="2017-07-31T00:00:00"/>
    <x v="5"/>
    <s v="Series USf1"/>
    <n v="28691.75999999999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7-31T00:00:00"/>
    <n v="2.5551061374876172E-2"/>
    <x v="1"/>
    <n v="0"/>
    <x v="182"/>
  </r>
  <r>
    <d v="2017-08-31T00:00:00"/>
    <x v="5"/>
    <s v="Series USf1"/>
    <n v="289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8-31T00:00:00"/>
    <n v="7.2578329109125317E-3"/>
    <x v="1"/>
    <n v="0"/>
    <x v="183"/>
  </r>
  <r>
    <d v="2017-09-29T00:00:00"/>
    <x v="5"/>
    <s v="Series USf1"/>
    <n v="28690.67678820491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09-29T00:00:00"/>
    <n v="-7.2430177091724612E-3"/>
    <x v="1"/>
    <n v="0"/>
    <x v="184"/>
  </r>
  <r>
    <d v="2017-10-31T00:00:00"/>
    <x v="5"/>
    <s v="Series USf1"/>
    <n v="289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0-31T00:00:00"/>
    <n v="7.2958617651410762E-3"/>
    <x v="1"/>
    <n v="0"/>
    <x v="185"/>
  </r>
  <r>
    <d v="2017-11-30T00:00:00"/>
    <x v="5"/>
    <s v="Series USf1"/>
    <n v="290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1-30T00:00:00"/>
    <n v="3.4602076124568004E-3"/>
    <x v="1"/>
    <n v="0"/>
    <x v="186"/>
  </r>
  <r>
    <d v="2017-12-29T00:00:00"/>
    <x v="5"/>
    <s v="Series USf1"/>
    <n v="298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7-12-29T00:00:00"/>
    <n v="2.7586206896551779E-2"/>
    <x v="1"/>
    <n v="0"/>
    <x v="187"/>
  </r>
  <r>
    <d v="2018-01-31T00:00:00"/>
    <x v="5"/>
    <s v="Series USf1"/>
    <n v="302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1-31T00:00:00"/>
    <n v="1.3422818791946289E-2"/>
    <x v="1"/>
    <n v="0"/>
    <x v="188"/>
  </r>
  <r>
    <d v="2018-02-28T00:00:00"/>
    <x v="5"/>
    <s v="Series USf1"/>
    <n v="30495.75999999999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2-28T00:00:00"/>
    <n v="9.793377483443555E-3"/>
    <x v="1"/>
    <n v="0"/>
    <x v="189"/>
  </r>
  <r>
    <d v="2018-03-29T00:00:00"/>
    <x v="5"/>
    <s v="Series USf1"/>
    <n v="30758.4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3-29T00:00:00"/>
    <n v="8.6130006269724557E-3"/>
    <x v="1"/>
    <n v="0"/>
    <x v="190"/>
  </r>
  <r>
    <d v="2018-04-30T00:00:00"/>
    <x v="5"/>
    <s v="Series USf1"/>
    <n v="31015.27999999999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4-30T00:00:00"/>
    <n v="8.3508840831225672E-3"/>
    <x v="1"/>
    <n v="0"/>
    <x v="191"/>
  </r>
  <r>
    <d v="2018-05-31T00:00:00"/>
    <x v="5"/>
    <s v="Series USf1"/>
    <n v="31243.2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5-31T00:00:00"/>
    <n v="7.3496031633439873E-3"/>
    <x v="1"/>
    <n v="0"/>
    <x v="192"/>
  </r>
  <r>
    <d v="2018-06-29T00:00:00"/>
    <x v="5"/>
    <s v="Series USf1"/>
    <n v="31578.2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6-29T00:00:00"/>
    <n v="1.0722322884029634E-2"/>
    <x v="1"/>
    <n v="0"/>
    <x v="193"/>
  </r>
  <r>
    <d v="2018-07-31T00:00:00"/>
    <x v="5"/>
    <s v="Series USf1"/>
    <n v="31420.67"/>
    <s v="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7-31T00:00:00"/>
    <n v="-4.9895133451115514E-3"/>
    <x v="1"/>
    <n v="0"/>
    <x v="194"/>
  </r>
  <r>
    <d v="2018-08-31T00:00:00"/>
    <x v="5"/>
    <s v="Series USf1"/>
    <n v="31539.040000000001"/>
    <s v="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8-08-31T00:00:00"/>
    <n v="3.7672653065641271E-3"/>
    <x v="1"/>
    <n v="0"/>
    <x v="195"/>
  </r>
  <r>
    <d v="2018-09-28T00:00:00"/>
    <x v="5"/>
    <s v="Series USf1"/>
    <n v="31434.81"/>
    <m/>
    <n v="0.02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3.3047930437958284E-3"/>
    <x v="1"/>
    <n v="0"/>
    <x v="196"/>
  </r>
  <r>
    <d v="2018-10-31T00:00:00"/>
    <x v="5"/>
    <s v="Series USf1"/>
    <n v="31117.49"/>
    <m/>
    <n v="0.02"/>
    <n v="0"/>
    <n v="0"/>
    <n v="0"/>
    <n v="0"/>
    <m/>
    <n v="0"/>
    <e v="#DIV/0!"/>
    <n v="-31117.49"/>
    <n v="-31117.49"/>
    <s v="Private Equity Fund"/>
    <n v="0"/>
    <n v="0"/>
    <m/>
    <m/>
    <m/>
    <m/>
    <m/>
    <m/>
    <m/>
    <m/>
    <m/>
    <m/>
    <m/>
    <m/>
    <m/>
    <d v="2018-10-31T00:00:00"/>
    <n v="-1.0094541688020375E-2"/>
    <x v="1"/>
    <n v="0"/>
    <x v="197"/>
  </r>
  <r>
    <d v="2013-12-31T00:00:00"/>
    <x v="5"/>
    <s v="Series USf1a"/>
    <n v="860000"/>
    <e v="#DIV/0!"/>
    <n v="2.5"/>
    <n v="860000"/>
    <n v="0"/>
    <n v="0"/>
    <m/>
    <m/>
    <n v="860000"/>
    <e v="#DIV/0!"/>
    <n v="860000"/>
    <n v="860000"/>
    <s v="Private Equity Fund"/>
    <n v="0"/>
    <n v="0"/>
    <n v="0"/>
    <n v="0"/>
    <m/>
    <m/>
    <m/>
    <m/>
    <m/>
    <m/>
    <m/>
    <m/>
    <m/>
    <m/>
    <m/>
    <d v="2013-12-31T00:00:00"/>
    <n v="0"/>
    <x v="1"/>
    <n v="0"/>
    <x v="3"/>
  </r>
  <r>
    <d v="2014-01-30T00:00:00"/>
    <x v="5"/>
    <s v="Series USf1a"/>
    <n v="857037.1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1-30T00:00:00"/>
    <n v="-3.4452093023256136E-3"/>
    <x v="1"/>
    <n v="0"/>
    <x v="4"/>
  </r>
  <r>
    <d v="2014-02-28T00:00:00"/>
    <x v="5"/>
    <s v="Series USf1a"/>
    <n v="855336.2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2-28T00:00:00"/>
    <n v="-1.9846164889567586E-3"/>
    <x v="1"/>
    <n v="0"/>
    <x v="5"/>
  </r>
  <r>
    <d v="2014-03-31T00:00:00"/>
    <x v="5"/>
    <s v="Series USf1a"/>
    <n v="844677.64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3-31T00:00:00"/>
    <n v="-1.2461286715283793E-2"/>
    <x v="1"/>
    <n v="0"/>
    <x v="6"/>
  </r>
  <r>
    <d v="2014-04-30T00:00:00"/>
    <x v="5"/>
    <s v="Series USf1a"/>
    <n v="821330.03320277296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4-30T00:00:00"/>
    <n v="-2.764084864046723E-2"/>
    <x v="1"/>
    <n v="0"/>
    <x v="7"/>
  </r>
  <r>
    <d v="2014-05-30T00:00:00"/>
    <x v="5"/>
    <s v="Series USf1a"/>
    <n v="812089.78496929305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5-30T00:00:00"/>
    <n v="-1.1250347436398522E-2"/>
    <x v="1"/>
    <n v="0"/>
    <x v="8"/>
  </r>
  <r>
    <d v="2014-06-30T00:00:00"/>
    <x v="5"/>
    <s v="Series USf1a"/>
    <n v="811293.34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6-30T00:00:00"/>
    <n v="-9.807351157892219E-4"/>
    <x v="1"/>
    <n v="0"/>
    <x v="9"/>
  </r>
  <r>
    <d v="2014-07-31T00:00:00"/>
    <x v="5"/>
    <s v="Series USf1a"/>
    <n v="824327.46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7-31T00:00:00"/>
    <n v="1.6065853566602728E-2"/>
    <x v="1"/>
    <n v="0"/>
    <x v="10"/>
  </r>
  <r>
    <d v="2014-08-29T00:00:00"/>
    <x v="5"/>
    <s v="Series USf1a"/>
    <n v="1405940.54"/>
    <e v="#DIV/0!"/>
    <n v="2.5"/>
    <n v="562500"/>
    <n v="0"/>
    <n v="0"/>
    <m/>
    <m/>
    <n v="562500"/>
    <e v="#DIV/0!"/>
    <n v="562500"/>
    <n v="562500"/>
    <s v="Private Equity Fund"/>
    <n v="0"/>
    <n v="0"/>
    <n v="0"/>
    <n v="0"/>
    <m/>
    <m/>
    <m/>
    <m/>
    <m/>
    <m/>
    <m/>
    <m/>
    <m/>
    <m/>
    <m/>
    <d v="2014-08-29T00:00:00"/>
    <n v="2.3186271145207327E-2"/>
    <x v="1"/>
    <n v="0"/>
    <x v="11"/>
  </r>
  <r>
    <d v="2014-09-30T00:00:00"/>
    <x v="5"/>
    <s v="Series USf1a"/>
    <n v="1361015.5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3.195372686244613E-2"/>
    <x v="1"/>
    <n v="0"/>
    <x v="12"/>
  </r>
  <r>
    <d v="2014-10-31T00:00:00"/>
    <x v="5"/>
    <s v="Series USf1a"/>
    <n v="1766727.95"/>
    <e v="#DIV/0!"/>
    <n v="2.5"/>
    <n v="422500"/>
    <n v="0"/>
    <n v="0"/>
    <m/>
    <m/>
    <n v="422500"/>
    <e v="#DIV/0!"/>
    <n v="422500"/>
    <n v="422500"/>
    <s v="Private Equity Fund"/>
    <n v="0"/>
    <n v="0"/>
    <n v="0"/>
    <n v="0"/>
    <m/>
    <m/>
    <m/>
    <m/>
    <m/>
    <m/>
    <m/>
    <m/>
    <m/>
    <m/>
    <m/>
    <d v="2014-10-31T00:00:00"/>
    <n v="-1.2334576645159467E-2"/>
    <x v="1"/>
    <n v="0"/>
    <x v="149"/>
  </r>
  <r>
    <d v="2014-11-28T00:00:00"/>
    <x v="5"/>
    <s v="Series USf1a"/>
    <n v="1782442.7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8.894844279788483E-3"/>
    <x v="1"/>
    <n v="0"/>
    <x v="150"/>
  </r>
  <r>
    <d v="2014-12-31T00:00:00"/>
    <x v="5"/>
    <s v="Series USf1a"/>
    <n v="1768829.07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7.6376367370727394E-3"/>
    <x v="1"/>
    <n v="0"/>
    <x v="151"/>
  </r>
  <r>
    <d v="2015-01-30T00:00:00"/>
    <x v="5"/>
    <s v="Series USf1a"/>
    <n v="2122046.6800000002"/>
    <e v="#DIV/0!"/>
    <n v="2.5"/>
    <n v="290000"/>
    <n v="0"/>
    <n v="0"/>
    <m/>
    <m/>
    <n v="290000"/>
    <e v="#DIV/0!"/>
    <n v="290000"/>
    <n v="290000"/>
    <s v="Private Equity Fund"/>
    <n v="0"/>
    <n v="0"/>
    <n v="0"/>
    <n v="0"/>
    <m/>
    <m/>
    <m/>
    <m/>
    <m/>
    <m/>
    <m/>
    <m/>
    <m/>
    <m/>
    <m/>
    <d v="2015-01-30T00:00:00"/>
    <n v="3.5739807238694965E-2"/>
    <x v="1"/>
    <n v="0"/>
    <x v="152"/>
  </r>
  <r>
    <d v="2015-02-27T00:00:00"/>
    <x v="5"/>
    <s v="Series USf1a"/>
    <n v="2172117.4822999998"/>
    <e v="#DIV/0!"/>
    <n v="2.5"/>
    <n v="35000"/>
    <n v="0"/>
    <n v="0"/>
    <m/>
    <m/>
    <n v="35000"/>
    <e v="#DIV/0!"/>
    <n v="35000"/>
    <n v="35000"/>
    <s v="Private Equity Fund"/>
    <n v="0"/>
    <n v="0"/>
    <n v="0"/>
    <n v="0"/>
    <m/>
    <m/>
    <m/>
    <m/>
    <m/>
    <m/>
    <m/>
    <m/>
    <m/>
    <m/>
    <m/>
    <d v="2015-02-27T00:00:00"/>
    <n v="7.1020126192509192E-3"/>
    <x v="1"/>
    <n v="0"/>
    <x v="153"/>
  </r>
  <r>
    <d v="2015-03-31T00:00:00"/>
    <x v="5"/>
    <s v="Series USf1a"/>
    <n v="2339729.5580000002"/>
    <e v="#DIV/0!"/>
    <n v="2.5"/>
    <n v="142500"/>
    <n v="0"/>
    <n v="0"/>
    <m/>
    <m/>
    <n v="142500"/>
    <e v="#DIV/0!"/>
    <n v="142500"/>
    <n v="142500"/>
    <s v="Private Equity Fund"/>
    <n v="0"/>
    <n v="0"/>
    <n v="0"/>
    <n v="0"/>
    <m/>
    <m/>
    <m/>
    <m/>
    <m/>
    <m/>
    <m/>
    <m/>
    <m/>
    <m/>
    <m/>
    <d v="2015-03-31T00:00:00"/>
    <n v="1.1561103809822448E-2"/>
    <x v="1"/>
    <n v="0"/>
    <x v="154"/>
  </r>
  <r>
    <d v="2015-04-30T00:00:00"/>
    <x v="5"/>
    <s v="Series USf1a"/>
    <n v="2519826.8267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4-30T00:00:00"/>
    <n v="7.6973540888181535E-2"/>
    <x v="1"/>
    <n v="0"/>
    <x v="155"/>
  </r>
  <r>
    <d v="2015-05-29T00:00:00"/>
    <x v="5"/>
    <s v="Series USf1a"/>
    <n v="2545631.2373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5-29T00:00:00"/>
    <n v="1.0240549162169987E-2"/>
    <x v="1"/>
    <n v="0"/>
    <x v="156"/>
  </r>
  <r>
    <d v="2015-06-30T00:00:00"/>
    <x v="5"/>
    <s v="Series USf1a"/>
    <n v="2519251.2548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036284522026043E-2"/>
    <x v="1"/>
    <n v="0"/>
    <x v="157"/>
  </r>
  <r>
    <d v="2015-07-31T00:00:00"/>
    <x v="5"/>
    <s v="Series USf1a"/>
    <n v="2667132.7740000002"/>
    <e v="#DIV/0!"/>
    <n v="2.5"/>
    <n v="187500"/>
    <n v="0"/>
    <n v="0"/>
    <m/>
    <m/>
    <n v="187500"/>
    <e v="#DIV/0!"/>
    <n v="187500"/>
    <n v="187500"/>
    <s v="Private Equity Fund"/>
    <n v="0"/>
    <n v="0"/>
    <n v="0"/>
    <n v="0"/>
    <m/>
    <m/>
    <m/>
    <m/>
    <m/>
    <m/>
    <m/>
    <m/>
    <m/>
    <m/>
    <m/>
    <d v="2015-07-31T00:00:00"/>
    <n v="-1.5726291978425677E-2"/>
    <x v="1"/>
    <n v="0"/>
    <x v="158"/>
  </r>
  <r>
    <d v="2015-08-31T00:00:00"/>
    <x v="5"/>
    <s v="Series USf1a"/>
    <n v="2626523.3223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5225883051595002E-2"/>
    <x v="1"/>
    <n v="0"/>
    <x v="159"/>
  </r>
  <r>
    <d v="2015-09-30T00:00:00"/>
    <x v="5"/>
    <s v="Series USf1a"/>
    <n v="2633600.0902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2.6943480531529396E-3"/>
    <x v="1"/>
    <n v="0"/>
    <x v="160"/>
  </r>
  <r>
    <d v="2015-10-30T00:00:00"/>
    <x v="5"/>
    <s v="Series USf1a"/>
    <n v="2702863.2115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629978691719681E-2"/>
    <x v="1"/>
    <n v="0"/>
    <x v="161"/>
  </r>
  <r>
    <d v="2015-11-30T00:00:00"/>
    <x v="5"/>
    <s v="Series USf1a"/>
    <n v="2691209.4232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1-30T00:00:00"/>
    <n v="-4.311645572893319E-3"/>
    <x v="1"/>
    <n v="0"/>
    <x v="162"/>
  </r>
  <r>
    <d v="2015-12-31T00:00:00"/>
    <x v="5"/>
    <s v="Series USf1a"/>
    <n v="2712651.0528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7.9672838963635861E-3"/>
    <x v="1"/>
    <n v="0"/>
    <x v="163"/>
  </r>
  <r>
    <d v="2016-01-29T00:00:00"/>
    <x v="5"/>
    <s v="Series USf1a"/>
    <n v="2687325.5980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9.3360532951184405E-3"/>
    <x v="1"/>
    <n v="0"/>
    <x v="164"/>
  </r>
  <r>
    <d v="2016-02-29T00:00:00"/>
    <x v="5"/>
    <s v="Series USf1a"/>
    <n v="2731798.4139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2-29T00:00:00"/>
    <n v="1.6549098491488223E-2"/>
    <x v="1"/>
    <n v="0"/>
    <x v="165"/>
  </r>
  <r>
    <d v="2016-03-31T00:00:00"/>
    <x v="5"/>
    <s v="Series USf1a"/>
    <n v="2774104.4082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5486499327032721E-2"/>
    <x v="1"/>
    <n v="0"/>
    <x v="166"/>
  </r>
  <r>
    <d v="2016-04-29T00:00:00"/>
    <x v="5"/>
    <s v="Series USf1a"/>
    <n v="2816951.7217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5445458134813794E-2"/>
    <x v="1"/>
    <n v="0"/>
    <x v="167"/>
  </r>
  <r>
    <d v="2016-05-31T00:00:00"/>
    <x v="5"/>
    <s v="Series USf1a"/>
    <n v="2890121.2659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2.5974724250242165E-2"/>
    <x v="1"/>
    <n v="0"/>
    <x v="168"/>
  </r>
  <r>
    <d v="2016-06-30T00:00:00"/>
    <x v="5"/>
    <s v="Series USf1a"/>
    <n v="2965002.458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5909359887738459E-2"/>
    <x v="1"/>
    <n v="0"/>
    <x v="169"/>
  </r>
  <r>
    <d v="2016-07-29T00:00:00"/>
    <x v="5"/>
    <s v="Series USf1a"/>
    <n v="3007110.5022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4201689508346327E-2"/>
    <x v="1"/>
    <n v="0"/>
    <x v="170"/>
  </r>
  <r>
    <d v="2016-08-31T00:00:00"/>
    <x v="5"/>
    <s v="Series USf1a"/>
    <n v="2999997.98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2.365233766620789E-3"/>
    <x v="1"/>
    <n v="0"/>
    <x v="171"/>
  </r>
  <r>
    <d v="2016-09-30T00:00:00"/>
    <x v="5"/>
    <s v="Series USf1a"/>
    <n v="3115391.631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8464575294349546E-2"/>
    <x v="1"/>
    <n v="0"/>
    <x v="172"/>
  </r>
  <r>
    <d v="2016-10-31T00:00:00"/>
    <x v="5"/>
    <s v="Series USf1a"/>
    <n v="3220469.106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3728496168603073E-2"/>
    <x v="1"/>
    <n v="0"/>
    <x v="173"/>
  </r>
  <r>
    <d v="2016-11-30T00:00:00"/>
    <x v="5"/>
    <s v="Series USf1a"/>
    <n v="3236605.509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5.0105753133717901E-3"/>
    <x v="1"/>
    <n v="0"/>
    <x v="174"/>
  </r>
  <r>
    <d v="2016-12-30T00:00:00"/>
    <x v="5"/>
    <s v="Series USf1a"/>
    <n v="3206329.88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9.3541273151185322E-3"/>
    <x v="1"/>
    <n v="0"/>
    <x v="175"/>
  </r>
  <r>
    <d v="2017-01-27T00:00:00"/>
    <x v="5"/>
    <s v="Series USf1a"/>
    <n v="3254896.5792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5147128330936344E-2"/>
    <x v="1"/>
    <n v="0"/>
    <x v="176"/>
  </r>
  <r>
    <d v="2017-02-28T00:00:00"/>
    <x v="5"/>
    <s v="Series USf1a"/>
    <n v="3394294.486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4.2827138621399419E-2"/>
    <x v="1"/>
    <n v="0"/>
    <x v="177"/>
  </r>
  <r>
    <d v="2017-03-31T00:00:00"/>
    <x v="5"/>
    <s v="Series USf1a"/>
    <n v="3353483.9024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2023289070738907E-2"/>
    <x v="1"/>
    <n v="0"/>
    <x v="178"/>
  </r>
  <r>
    <d v="2017-04-28T00:00:00"/>
    <x v="5"/>
    <s v="Series USf1a"/>
    <n v="3342040.265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3.4124623325219039E-3"/>
    <x v="1"/>
    <n v="0"/>
    <x v="179"/>
  </r>
  <r>
    <d v="2017-05-31T00:00:00"/>
    <x v="5"/>
    <s v="Series USf1a"/>
    <n v="3248797.0923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7900074597096425E-2"/>
    <x v="1"/>
    <n v="0"/>
    <x v="180"/>
  </r>
  <r>
    <d v="2017-06-30T00:00:00"/>
    <x v="5"/>
    <s v="Series USf1a"/>
    <n v="3363062.7955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5171695847309836E-2"/>
    <x v="1"/>
    <n v="0"/>
    <x v="181"/>
  </r>
  <r>
    <d v="2017-07-31T00:00:00"/>
    <x v="5"/>
    <s v="Series USf1a"/>
    <n v="3449585.14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5727246192302156E-2"/>
    <x v="1"/>
    <n v="0"/>
    <x v="182"/>
  </r>
  <r>
    <d v="2017-08-31T00:00:00"/>
    <x v="5"/>
    <s v="Series USf1a"/>
    <n v="34690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5.6281724358309138E-3"/>
    <x v="1"/>
    <n v="0"/>
    <x v="183"/>
  </r>
  <r>
    <d v="2017-09-29T00:00:00"/>
    <x v="5"/>
    <s v="Series USf1a"/>
    <n v="3439498.2622398427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8.5043925512128249E-3"/>
    <x v="1"/>
    <n v="0"/>
    <x v="184"/>
  </r>
  <r>
    <d v="2017-10-31T00:00:00"/>
    <x v="5"/>
    <s v="Series USf1a"/>
    <n v="3464600"/>
    <e v="#DIV/0!"/>
    <n v="2.5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7-10-31T00:00:00"/>
    <n v="7.2980812450857968E-3"/>
    <x v="1"/>
    <n v="0"/>
    <x v="185"/>
  </r>
  <r>
    <d v="2017-11-30T00:00:00"/>
    <x v="5"/>
    <s v="Series USf1a"/>
    <n v="34685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1.1256710731397668E-3"/>
    <x v="1"/>
    <n v="0"/>
    <x v="186"/>
  </r>
  <r>
    <d v="2017-12-29T00:00:00"/>
    <x v="5"/>
    <s v="Series USf1a"/>
    <n v="35602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2.6437941473259396E-2"/>
    <x v="1"/>
    <n v="0"/>
    <x v="187"/>
  </r>
  <r>
    <d v="2018-01-31T00:00:00"/>
    <x v="5"/>
    <s v="Series USf1a"/>
    <n v="36068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3089152294814888E-2"/>
    <x v="1"/>
    <n v="0"/>
    <x v="188"/>
  </r>
  <r>
    <d v="2018-02-28T00:00:00"/>
    <x v="5"/>
    <s v="Series USf1a"/>
    <n v="3644015.3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0318115781301929E-2"/>
    <x v="1"/>
    <n v="0"/>
    <x v="189"/>
  </r>
  <r>
    <d v="2018-03-29T00:00:00"/>
    <x v="5"/>
    <s v="Series USf1a"/>
    <n v="3665818.0704999999"/>
    <e v="#DIV/0!"/>
    <n v="2.5"/>
    <n v="0"/>
    <n v="0"/>
    <n v="0"/>
    <m/>
    <m/>
    <n v="0"/>
    <e v="#DIV/0!"/>
    <n v="0"/>
    <n v="0"/>
    <s v="Private Equity Fund"/>
    <n v="6.9669446296834695E-3"/>
    <n v="9.4525789499999985E-2"/>
    <n v="0"/>
    <n v="0"/>
    <m/>
    <m/>
    <m/>
    <m/>
    <m/>
    <m/>
    <m/>
    <m/>
    <m/>
    <m/>
    <m/>
    <d v="2018-03-29T00:00:00"/>
    <n v="5.9831499668367982E-3"/>
    <x v="1"/>
    <n v="0"/>
    <x v="190"/>
  </r>
  <r>
    <d v="2018-04-30T00:00:00"/>
    <x v="5"/>
    <s v="Series USf1a"/>
    <n v="3705965.1609999998"/>
    <e v="#DIV/0!"/>
    <n v="2.5"/>
    <n v="0"/>
    <n v="0"/>
    <n v="0"/>
    <m/>
    <m/>
    <n v="0"/>
    <e v="#DIV/0!"/>
    <n v="0"/>
    <n v="0"/>
    <s v="Private Equity Fund"/>
    <n v="0"/>
    <n v="9.778096E-2"/>
    <n v="0"/>
    <n v="0"/>
    <m/>
    <m/>
    <m/>
    <m/>
    <m/>
    <m/>
    <m/>
    <m/>
    <m/>
    <m/>
    <m/>
    <d v="2018-04-30T00:00:00"/>
    <n v="1.0951741119690661E-2"/>
    <x v="1"/>
    <n v="0"/>
    <x v="191"/>
  </r>
  <r>
    <d v="2018-05-31T00:00:00"/>
    <x v="5"/>
    <s v="Series USf1a"/>
    <n v="3730191.0868000002"/>
    <e v="#DIV/0!"/>
    <n v="2.5"/>
    <n v="0"/>
    <n v="0"/>
    <n v="0"/>
    <m/>
    <m/>
    <n v="0"/>
    <e v="#DIV/0!"/>
    <n v="0"/>
    <n v="0"/>
    <s v="Private Equity Fund"/>
    <n v="0"/>
    <n v="9.9745219999999996E-2"/>
    <n v="0"/>
    <n v="0"/>
    <m/>
    <m/>
    <m/>
    <m/>
    <m/>
    <m/>
    <m/>
    <m/>
    <m/>
    <m/>
    <m/>
    <d v="2018-05-31T00:00:00"/>
    <n v="6.5370085112896881E-3"/>
    <x v="1"/>
    <n v="0"/>
    <x v="192"/>
  </r>
  <r>
    <d v="2018-06-29T00:00:00"/>
    <x v="5"/>
    <s v="Series USf1a"/>
    <n v="3753854.2148000002"/>
    <e v="#DIV/0!"/>
    <n v="2.5"/>
    <n v="0"/>
    <n v="0"/>
    <n v="0"/>
    <m/>
    <m/>
    <n v="0"/>
    <e v="#DIV/0!"/>
    <n v="0"/>
    <n v="0"/>
    <s v="Private Equity Fund"/>
    <n v="7.3023200000000002E-3"/>
    <n v="0.10166385999999999"/>
    <n v="0"/>
    <n v="0"/>
    <m/>
    <m/>
    <m/>
    <m/>
    <m/>
    <m/>
    <m/>
    <m/>
    <m/>
    <m/>
    <m/>
    <d v="2018-06-29T00:00:00"/>
    <n v="6.3436771600620112E-3"/>
    <x v="1"/>
    <n v="0"/>
    <x v="193"/>
  </r>
  <r>
    <d v="2018-07-31T00:00:00"/>
    <x v="5"/>
    <s v="Series USf1a"/>
    <n v="3752807.42"/>
    <s v=""/>
    <n v="2.5"/>
    <n v="0"/>
    <n v="0"/>
    <n v="0"/>
    <m/>
    <m/>
    <n v="0"/>
    <e v="#DIV/0!"/>
    <n v="0"/>
    <n v="0"/>
    <s v="Private Equity Fund"/>
    <n v="0"/>
    <n v="0.10157898"/>
    <n v="0"/>
    <n v="0"/>
    <m/>
    <m/>
    <m/>
    <m/>
    <m/>
    <m/>
    <m/>
    <m/>
    <m/>
    <m/>
    <m/>
    <d v="2018-07-31T00:00:00"/>
    <n v="-2.7885867167487532E-4"/>
    <x v="1"/>
    <n v="0"/>
    <x v="194"/>
  </r>
  <r>
    <d v="2018-08-31T00:00:00"/>
    <x v="5"/>
    <s v="Series USf1a"/>
    <n v="3764204.2803000002"/>
    <s v=""/>
    <n v="2.5"/>
    <n v="0"/>
    <n v="0"/>
    <n v="0"/>
    <m/>
    <m/>
    <n v="0"/>
    <e v="#DIV/0!"/>
    <n v="0"/>
    <n v="0"/>
    <s v="Private Equity Fund"/>
    <n v="0"/>
    <n v="0.10250304975000001"/>
    <n v="0"/>
    <n v="0"/>
    <m/>
    <m/>
    <m/>
    <m/>
    <m/>
    <m/>
    <m/>
    <m/>
    <m/>
    <m/>
    <m/>
    <d v="2018-08-31T00:00:00"/>
    <n v="3.0368891937440079E-3"/>
    <x v="1"/>
    <n v="0"/>
    <x v="195"/>
  </r>
  <r>
    <d v="2018-09-28T00:00:00"/>
    <x v="5"/>
    <s v="Series USf1a"/>
    <n v="3730633.2922999999"/>
    <m/>
    <n v="2.5"/>
    <n v="0"/>
    <n v="0"/>
    <n v="0"/>
    <m/>
    <n v="0"/>
    <n v="0"/>
    <e v="#DIV/0!"/>
    <n v="0"/>
    <n v="0"/>
    <s v="Private Equity Fund"/>
    <n v="7.1757678695087944E-3"/>
    <n v="9.9781077750000016E-2"/>
    <m/>
    <m/>
    <m/>
    <m/>
    <m/>
    <m/>
    <m/>
    <m/>
    <m/>
    <m/>
    <m/>
    <m/>
    <m/>
    <d v="2018-09-28T00:00:00"/>
    <n v="-8.9184819686047856E-3"/>
    <x v="1"/>
    <n v="0"/>
    <x v="196"/>
  </r>
  <r>
    <d v="2018-10-31T00:00:00"/>
    <x v="5"/>
    <s v="Series USf1a"/>
    <n v="3717703.1058"/>
    <m/>
    <n v="2.5"/>
    <n v="0"/>
    <n v="0"/>
    <n v="0"/>
    <n v="0"/>
    <m/>
    <n v="0"/>
    <e v="#DIV/0!"/>
    <n v="-3717703.1058"/>
    <n v="-3717703.1058"/>
    <s v="Private Equity Fund"/>
    <n v="2.5896131190994605E-3"/>
    <n v="9.8732684250000008E-2"/>
    <m/>
    <m/>
    <m/>
    <m/>
    <m/>
    <m/>
    <m/>
    <m/>
    <m/>
    <m/>
    <m/>
    <m/>
    <m/>
    <d v="2018-10-31T00:00:00"/>
    <n v="-3.4659494747681929E-3"/>
    <x v="1"/>
    <n v="0"/>
    <x v="197"/>
  </r>
  <r>
    <d v="2014-08-05T00:00:00"/>
    <x v="5"/>
    <s v="Series USf4"/>
    <n v="28500"/>
    <e v="#DIV/0!"/>
    <n v="0.25"/>
    <n v="28500"/>
    <n v="0"/>
    <n v="0"/>
    <m/>
    <m/>
    <n v="28500"/>
    <e v="#DIV/0!"/>
    <n v="28500"/>
    <n v="28500"/>
    <s v="Private Equity Fund"/>
    <n v="0"/>
    <n v="0"/>
    <n v="0"/>
    <n v="0"/>
    <m/>
    <m/>
    <m/>
    <m/>
    <m/>
    <m/>
    <m/>
    <m/>
    <m/>
    <m/>
    <m/>
    <d v="2014-08-05T00:00:00"/>
    <n v="0"/>
    <x v="1"/>
    <n v="0"/>
    <x v="11"/>
  </r>
  <r>
    <d v="2014-08-19T00:00:00"/>
    <x v="5"/>
    <s v="Series USf4"/>
    <n v="63250"/>
    <e v="#DIV/0!"/>
    <n v="0.25"/>
    <n v="34750"/>
    <n v="0"/>
    <n v="0"/>
    <m/>
    <m/>
    <n v="34750"/>
    <e v="#DIV/0!"/>
    <n v="34750"/>
    <n v="34750"/>
    <s v="Private Equity Fund"/>
    <n v="0"/>
    <n v="0"/>
    <n v="0"/>
    <n v="0"/>
    <m/>
    <m/>
    <m/>
    <m/>
    <m/>
    <m/>
    <m/>
    <m/>
    <m/>
    <m/>
    <m/>
    <d v="2014-08-19T00:00:00"/>
    <n v="0"/>
    <x v="1"/>
    <n v="0"/>
    <x v="11"/>
  </r>
  <r>
    <d v="2014-08-29T00:00:00"/>
    <x v="5"/>
    <s v="Series USf4"/>
    <n v="61810.6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8-29T00:00:00"/>
    <n v="-2.2756996047430755E-2"/>
    <x v="1"/>
    <n v="0"/>
    <x v="11"/>
  </r>
  <r>
    <d v="2014-09-30T00:00:00"/>
    <x v="5"/>
    <s v="Series USf4"/>
    <n v="61386.8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6.8556180151566615E-3"/>
    <x v="1"/>
    <n v="0"/>
    <x v="12"/>
  </r>
  <r>
    <d v="2014-10-31T00:00:00"/>
    <x v="5"/>
    <s v="Series USf4"/>
    <n v="104341.77"/>
    <e v="#DIV/0!"/>
    <n v="0.25"/>
    <n v="42250"/>
    <n v="0"/>
    <n v="0"/>
    <m/>
    <m/>
    <n v="42250"/>
    <e v="#DIV/0!"/>
    <n v="42250"/>
    <n v="42250"/>
    <s v="Private Equity Fund"/>
    <n v="0"/>
    <n v="0"/>
    <n v="0"/>
    <n v="0"/>
    <m/>
    <m/>
    <m/>
    <m/>
    <m/>
    <m/>
    <m/>
    <m/>
    <m/>
    <m/>
    <m/>
    <d v="2014-10-31T00:00:00"/>
    <n v="1.1482911573761578E-2"/>
    <x v="1"/>
    <n v="0"/>
    <x v="149"/>
  </r>
  <r>
    <d v="2014-11-28T00:00:00"/>
    <x v="5"/>
    <s v="Series USf4"/>
    <n v="106492.2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2.0610250334070379E-2"/>
    <x v="1"/>
    <n v="0"/>
    <x v="150"/>
  </r>
  <r>
    <d v="2014-12-31T00:00:00"/>
    <x v="5"/>
    <s v="Series USf4"/>
    <n v="106368.1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1.1653426896297558E-3"/>
    <x v="1"/>
    <n v="0"/>
    <x v="151"/>
  </r>
  <r>
    <d v="2015-01-30T00:00:00"/>
    <x v="5"/>
    <s v="Series USf4"/>
    <n v="140286.5"/>
    <e v="#DIV/0!"/>
    <n v="0.25"/>
    <n v="29000"/>
    <n v="0"/>
    <n v="0"/>
    <m/>
    <m/>
    <n v="29000"/>
    <e v="#DIV/0!"/>
    <n v="29000"/>
    <n v="29000"/>
    <s v="Private Equity Fund"/>
    <n v="0"/>
    <n v="0"/>
    <n v="0"/>
    <n v="0"/>
    <m/>
    <m/>
    <m/>
    <m/>
    <m/>
    <m/>
    <m/>
    <m/>
    <m/>
    <m/>
    <m/>
    <d v="2015-01-30T00:00:00"/>
    <n v="4.6238640164756095E-2"/>
    <x v="1"/>
    <n v="0"/>
    <x v="152"/>
  </r>
  <r>
    <d v="2015-02-27T00:00:00"/>
    <x v="5"/>
    <s v="Series USf4"/>
    <n v="153766.51999999999"/>
    <e v="#DIV/0!"/>
    <n v="0.25"/>
    <n v="11625"/>
    <n v="0"/>
    <n v="0"/>
    <m/>
    <m/>
    <n v="11625"/>
    <e v="#DIV/0!"/>
    <n v="11625"/>
    <n v="11625"/>
    <s v="Private Equity Fund"/>
    <n v="0"/>
    <n v="0"/>
    <n v="0"/>
    <n v="0"/>
    <m/>
    <m/>
    <m/>
    <m/>
    <m/>
    <m/>
    <m/>
    <m/>
    <m/>
    <m/>
    <m/>
    <d v="2015-02-27T00:00:00"/>
    <n v="1.3223082762774618E-2"/>
    <x v="1"/>
    <n v="0"/>
    <x v="153"/>
  </r>
  <r>
    <d v="2015-03-31T00:00:00"/>
    <x v="5"/>
    <s v="Series USf4"/>
    <n v="174059.74"/>
    <e v="#DIV/0!"/>
    <n v="0.25"/>
    <n v="17750"/>
    <n v="0"/>
    <n v="0"/>
    <m/>
    <m/>
    <n v="17750"/>
    <e v="#DIV/0!"/>
    <n v="17750"/>
    <n v="17750"/>
    <s v="Private Equity Fund"/>
    <n v="0"/>
    <n v="0"/>
    <n v="0"/>
    <n v="0"/>
    <m/>
    <m/>
    <m/>
    <m/>
    <m/>
    <m/>
    <m/>
    <m/>
    <m/>
    <m/>
    <m/>
    <d v="2015-03-31T00:00:00"/>
    <n v="1.6539491171420062E-2"/>
    <x v="1"/>
    <n v="0"/>
    <x v="154"/>
  </r>
  <r>
    <d v="2015-04-30T00:00:00"/>
    <x v="5"/>
    <s v="Series USf4"/>
    <n v="192822.85"/>
    <e v="#DIV/0!"/>
    <n v="0.25"/>
    <n v="2500"/>
    <n v="0"/>
    <n v="0"/>
    <m/>
    <m/>
    <n v="2500"/>
    <e v="#DIV/0!"/>
    <n v="2500"/>
    <n v="2500"/>
    <s v="Private Equity Fund"/>
    <n v="0"/>
    <n v="0"/>
    <n v="0"/>
    <n v="0"/>
    <m/>
    <m/>
    <m/>
    <m/>
    <m/>
    <m/>
    <m/>
    <m/>
    <m/>
    <m/>
    <m/>
    <d v="2015-04-30T00:00:00"/>
    <n v="9.3434070394452062E-2"/>
    <x v="1"/>
    <n v="0"/>
    <x v="155"/>
  </r>
  <r>
    <d v="2015-05-29T00:00:00"/>
    <x v="5"/>
    <s v="Series USf4"/>
    <n v="199382.9"/>
    <e v="#DIV/0!"/>
    <n v="0.25"/>
    <n v="7500"/>
    <n v="0"/>
    <n v="0"/>
    <m/>
    <m/>
    <n v="7500"/>
    <e v="#DIV/0!"/>
    <n v="7500"/>
    <n v="7500"/>
    <s v="Private Equity Fund"/>
    <n v="0"/>
    <n v="0"/>
    <n v="0"/>
    <n v="0"/>
    <m/>
    <m/>
    <m/>
    <m/>
    <m/>
    <m/>
    <m/>
    <m/>
    <m/>
    <m/>
    <m/>
    <d v="2015-05-29T00:00:00"/>
    <n v="-4.8746816054218156E-3"/>
    <x v="1"/>
    <n v="0"/>
    <x v="156"/>
  </r>
  <r>
    <d v="2015-06-30T00:00:00"/>
    <x v="5"/>
    <s v="Series USf4"/>
    <n v="196327.05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5326540039291237E-2"/>
    <x v="1"/>
    <n v="0"/>
    <x v="157"/>
  </r>
  <r>
    <d v="2015-07-31T00:00:00"/>
    <x v="5"/>
    <s v="Series USf4"/>
    <n v="199962.78"/>
    <e v="#DIV/0!"/>
    <n v="0.25"/>
    <n v="7250"/>
    <n v="0"/>
    <n v="0"/>
    <m/>
    <m/>
    <n v="7250"/>
    <e v="#DIV/0!"/>
    <n v="7250"/>
    <n v="7250"/>
    <s v="Private Equity Fund"/>
    <n v="0"/>
    <n v="0"/>
    <n v="0"/>
    <n v="0"/>
    <m/>
    <m/>
    <m/>
    <m/>
    <m/>
    <m/>
    <m/>
    <m/>
    <m/>
    <m/>
    <m/>
    <d v="2015-07-31T00:00:00"/>
    <n v="-1.8409434665268898E-2"/>
    <x v="1"/>
    <n v="0"/>
    <x v="158"/>
  </r>
  <r>
    <d v="2015-08-31T00:00:00"/>
    <x v="5"/>
    <s v="Series USf4"/>
    <n v="196588.6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6873990249585469E-2"/>
    <x v="1"/>
    <n v="0"/>
    <x v="159"/>
  </r>
  <r>
    <d v="2015-09-30T00:00:00"/>
    <x v="5"/>
    <s v="Series USf4"/>
    <n v="197567.39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4.9788235442533857E-3"/>
    <x v="1"/>
    <n v="0"/>
    <x v="160"/>
  </r>
  <r>
    <d v="2015-10-30T00:00:00"/>
    <x v="5"/>
    <s v="Series USf4"/>
    <n v="203778.7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3.1438994056660841E-2"/>
    <x v="1"/>
    <n v="0"/>
    <x v="161"/>
  </r>
  <r>
    <d v="2015-11-30T00:00:00"/>
    <x v="5"/>
    <s v="Series USf4"/>
    <n v="214341.23"/>
    <e v="#DIV/0!"/>
    <n v="0.25"/>
    <n v="10750"/>
    <n v="0"/>
    <n v="0"/>
    <m/>
    <m/>
    <n v="10750"/>
    <e v="#DIV/0!"/>
    <n v="10750"/>
    <n v="10750"/>
    <s v="Private Equity Fund"/>
    <n v="0"/>
    <n v="0"/>
    <n v="0"/>
    <n v="0"/>
    <m/>
    <m/>
    <m/>
    <m/>
    <m/>
    <m/>
    <m/>
    <m/>
    <m/>
    <m/>
    <m/>
    <d v="2015-11-30T00:00:00"/>
    <n v="-9.2001760144611033E-4"/>
    <x v="1"/>
    <n v="0"/>
    <x v="162"/>
  </r>
  <r>
    <d v="2015-12-31T00:00:00"/>
    <x v="5"/>
    <s v="Series USf4"/>
    <n v="216432.9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9.7586451286109099E-3"/>
    <x v="1"/>
    <n v="0"/>
    <x v="163"/>
  </r>
  <r>
    <d v="2016-01-29T00:00:00"/>
    <x v="5"/>
    <s v="Series USf4"/>
    <n v="213263.95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4641765894105485E-2"/>
    <x v="1"/>
    <n v="0"/>
    <x v="164"/>
  </r>
  <r>
    <d v="2016-02-29T00:00:00"/>
    <x v="5"/>
    <s v="Series USf4"/>
    <n v="276202.56"/>
    <e v="#DIV/0!"/>
    <n v="0.25"/>
    <n v="58125"/>
    <n v="0"/>
    <n v="0"/>
    <m/>
    <m/>
    <n v="58125"/>
    <e v="#DIV/0!"/>
    <n v="58125"/>
    <n v="58125"/>
    <s v="Private Equity Fund"/>
    <n v="0"/>
    <n v="0"/>
    <n v="0"/>
    <n v="0"/>
    <m/>
    <m/>
    <m/>
    <m/>
    <m/>
    <m/>
    <m/>
    <m/>
    <m/>
    <m/>
    <m/>
    <d v="2016-02-29T00:00:00"/>
    <n v="2.2571137784890505E-2"/>
    <x v="1"/>
    <n v="0"/>
    <x v="165"/>
  </r>
  <r>
    <d v="2016-03-31T00:00:00"/>
    <x v="5"/>
    <s v="Series USf4"/>
    <n v="279736.03000000003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1.279303855836833E-2"/>
    <x v="1"/>
    <n v="0"/>
    <x v="166"/>
  </r>
  <r>
    <d v="2016-04-29T00:00:00"/>
    <x v="5"/>
    <s v="Series USf4"/>
    <n v="283076.76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1942437304196973E-2"/>
    <x v="1"/>
    <n v="0"/>
    <x v="167"/>
  </r>
  <r>
    <d v="2016-05-31T00:00:00"/>
    <x v="5"/>
    <s v="Series USf4"/>
    <n v="287267.2199999999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480326396274978E-2"/>
    <x v="1"/>
    <n v="0"/>
    <x v="168"/>
  </r>
  <r>
    <d v="2016-06-30T00:00:00"/>
    <x v="5"/>
    <s v="Series USf4"/>
    <n v="296689.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3.2800749072588342E-2"/>
    <x v="1"/>
    <n v="0"/>
    <x v="169"/>
  </r>
  <r>
    <d v="2016-07-29T00:00:00"/>
    <x v="5"/>
    <s v="Series USf4"/>
    <n v="299654.9000000000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9.9939397984023515E-3"/>
    <x v="1"/>
    <n v="0"/>
    <x v="170"/>
  </r>
  <r>
    <d v="2016-08-31T00:00:00"/>
    <x v="5"/>
    <s v="Series USf4"/>
    <n v="299119.86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1.7855206105424903E-3"/>
    <x v="1"/>
    <n v="0"/>
    <x v="171"/>
  </r>
  <r>
    <d v="2016-09-30T00:00:00"/>
    <x v="5"/>
    <s v="Series USf4"/>
    <n v="313535.5999999999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4.8193857806699825E-2"/>
    <x v="1"/>
    <n v="0"/>
    <x v="172"/>
  </r>
  <r>
    <d v="2016-10-31T00:00:00"/>
    <x v="5"/>
    <s v="Series USf4"/>
    <n v="325043.5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6703678944273177E-2"/>
    <x v="1"/>
    <n v="0"/>
    <x v="173"/>
  </r>
  <r>
    <d v="2016-11-30T00:00:00"/>
    <x v="5"/>
    <s v="Series USf4"/>
    <n v="326779.74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5.3415310461051302E-3"/>
    <x v="1"/>
    <n v="0"/>
    <x v="174"/>
  </r>
  <r>
    <d v="2016-12-30T00:00:00"/>
    <x v="5"/>
    <s v="Series USf4"/>
    <n v="324924.7199999999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5.6766677150793532E-3"/>
    <x v="1"/>
    <n v="0"/>
    <x v="175"/>
  </r>
  <r>
    <d v="2017-01-27T00:00:00"/>
    <x v="5"/>
    <s v="Series USf4"/>
    <n v="329969.4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5525750087589607E-2"/>
    <x v="1"/>
    <n v="0"/>
    <x v="176"/>
  </r>
  <r>
    <d v="2017-02-28T00:00:00"/>
    <x v="5"/>
    <s v="Series USf4"/>
    <n v="344746.2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4.4782331647581053E-2"/>
    <x v="1"/>
    <n v="0"/>
    <x v="177"/>
  </r>
  <r>
    <d v="2017-03-31T00:00:00"/>
    <x v="5"/>
    <s v="Series USf4"/>
    <n v="340148.43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333673796336321E-2"/>
    <x v="1"/>
    <n v="0"/>
    <x v="178"/>
  </r>
  <r>
    <d v="2017-04-28T00:00:00"/>
    <x v="5"/>
    <s v="Series USf4"/>
    <n v="338298.8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5.4374791616706997E-3"/>
    <x v="1"/>
    <n v="0"/>
    <x v="179"/>
  </r>
  <r>
    <d v="2017-05-31T00:00:00"/>
    <x v="5"/>
    <s v="Series USf4"/>
    <n v="329788.44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5156571609104894E-2"/>
    <x v="1"/>
    <n v="0"/>
    <x v="180"/>
  </r>
  <r>
    <d v="2017-06-30T00:00:00"/>
    <x v="5"/>
    <s v="Series USf4"/>
    <n v="343241.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4.0792090832534988E-2"/>
    <x v="1"/>
    <n v="0"/>
    <x v="181"/>
  </r>
  <r>
    <d v="2017-07-31T00:00:00"/>
    <x v="5"/>
    <s v="Series USf4"/>
    <n v="351239.95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3303583602434674E-2"/>
    <x v="1"/>
    <n v="0"/>
    <x v="182"/>
  </r>
  <r>
    <d v="2017-08-31T00:00:00"/>
    <x v="5"/>
    <s v="Series USf4"/>
    <n v="3535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6.4344901540955846E-3"/>
    <x v="1"/>
    <n v="0"/>
    <x v="183"/>
  </r>
  <r>
    <d v="2017-09-29T00:00:00"/>
    <x v="5"/>
    <s v="Series USf4"/>
    <n v="351409.6799051106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5.9132110180746267E-3"/>
    <x v="1"/>
    <n v="0"/>
    <x v="184"/>
  </r>
  <r>
    <d v="2017-10-31T00:00:00"/>
    <x v="5"/>
    <s v="Series USf4"/>
    <n v="3536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6.2329532171134794E-3"/>
    <x v="1"/>
    <n v="0"/>
    <x v="185"/>
  </r>
  <r>
    <d v="2017-11-30T00:00:00"/>
    <x v="5"/>
    <s v="Series USf4"/>
    <n v="3554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5.090497737556543E-3"/>
    <x v="1"/>
    <n v="0"/>
    <x v="186"/>
  </r>
  <r>
    <d v="2017-12-29T00:00:00"/>
    <x v="5"/>
    <s v="Series USf4"/>
    <n v="3739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5.2054023635340396E-2"/>
    <x v="1"/>
    <n v="0"/>
    <x v="187"/>
  </r>
  <r>
    <d v="2018-01-31T00:00:00"/>
    <x v="5"/>
    <s v="Series USf4"/>
    <n v="3786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2570205937416423E-2"/>
    <x v="1"/>
    <n v="0"/>
    <x v="188"/>
  </r>
  <r>
    <d v="2018-02-28T00:00:00"/>
    <x v="5"/>
    <s v="Series USf4"/>
    <n v="382487.1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1.0267247754886411E-2"/>
    <x v="1"/>
    <n v="0"/>
    <x v="189"/>
  </r>
  <r>
    <d v="2018-03-29T00:00:00"/>
    <x v="5"/>
    <s v="Series USf4"/>
    <n v="386694.8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3-29T00:00:00"/>
    <n v="1.1000708572768358E-2"/>
    <x v="1"/>
    <n v="0"/>
    <x v="190"/>
  </r>
  <r>
    <d v="2018-04-30T00:00:00"/>
    <x v="5"/>
    <s v="Series USf4"/>
    <n v="389937.6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4-30T00:00:00"/>
    <n v="8.3859672179205091E-3"/>
    <x v="1"/>
    <n v="0"/>
    <x v="191"/>
  </r>
  <r>
    <d v="2018-05-31T00:00:00"/>
    <x v="5"/>
    <s v="Series USf4"/>
    <n v="392963.5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5-31T00:00:00"/>
    <n v="7.760087369872215E-3"/>
    <x v="1"/>
    <n v="0"/>
    <x v="192"/>
  </r>
  <r>
    <d v="2018-06-29T00:00:00"/>
    <x v="5"/>
    <s v="Series USf4"/>
    <n v="396833.13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6-29T00:00:00"/>
    <n v="9.8471214519961769E-3"/>
    <x v="1"/>
    <n v="0"/>
    <x v="193"/>
  </r>
  <r>
    <d v="2018-07-31T00:00:00"/>
    <x v="5"/>
    <s v="Series USf4"/>
    <n v="395121.07889534574"/>
    <s v="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7-31T00:00:00"/>
    <n v="-4.3142847086740099E-3"/>
    <x v="1"/>
    <n v="0"/>
    <x v="194"/>
  </r>
  <r>
    <d v="2018-08-31T00:00:00"/>
    <x v="5"/>
    <s v="Series USf4"/>
    <n v="396598.91"/>
    <s v="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8-31T00:00:00"/>
    <n v="3.7401980901294873E-3"/>
    <x v="1"/>
    <n v="0"/>
    <x v="195"/>
  </r>
  <r>
    <d v="2018-09-28T00:00:00"/>
    <x v="5"/>
    <s v="Series USf4"/>
    <n v="394778.75"/>
    <m/>
    <n v="0.2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4.5894225982617831E-3"/>
    <x v="1"/>
    <n v="0"/>
    <x v="196"/>
  </r>
  <r>
    <d v="2018-10-31T00:00:00"/>
    <x v="5"/>
    <s v="Series USf4"/>
    <n v="390710.57"/>
    <m/>
    <n v="0.25"/>
    <n v="0"/>
    <n v="0"/>
    <n v="0"/>
    <n v="0"/>
    <m/>
    <n v="0"/>
    <e v="#DIV/0!"/>
    <n v="-390710.57"/>
    <n v="-390710.57"/>
    <s v="Private Equity Fund"/>
    <n v="0"/>
    <n v="0"/>
    <m/>
    <m/>
    <m/>
    <m/>
    <m/>
    <m/>
    <m/>
    <m/>
    <m/>
    <m/>
    <m/>
    <m/>
    <m/>
    <d v="2018-10-31T00:00:00"/>
    <n v="-1.0304961956538961E-2"/>
    <x v="1"/>
    <n v="0"/>
    <x v="197"/>
  </r>
  <r>
    <d v="2014-08-05T00:00:00"/>
    <x v="5"/>
    <s v="Series USf5c"/>
    <n v="171000"/>
    <e v="#DIV/0!"/>
    <n v="1.5"/>
    <n v="171000"/>
    <n v="0"/>
    <n v="0"/>
    <m/>
    <m/>
    <n v="171000"/>
    <e v="#DIV/0!"/>
    <n v="171000"/>
    <n v="171000"/>
    <s v="Private Equity Fund"/>
    <n v="0"/>
    <n v="0"/>
    <n v="0"/>
    <n v="0"/>
    <m/>
    <m/>
    <m/>
    <m/>
    <m/>
    <m/>
    <m/>
    <m/>
    <m/>
    <m/>
    <m/>
    <d v="2014-08-05T00:00:00"/>
    <n v="0"/>
    <x v="1"/>
    <n v="0"/>
    <x v="11"/>
  </r>
  <r>
    <d v="2014-08-19T00:00:00"/>
    <x v="5"/>
    <s v="Series USf5c"/>
    <n v="379500"/>
    <e v="#DIV/0!"/>
    <n v="1.5"/>
    <n v="208500"/>
    <n v="0"/>
    <n v="0"/>
    <m/>
    <m/>
    <n v="208500"/>
    <e v="#DIV/0!"/>
    <n v="208500"/>
    <n v="208500"/>
    <s v="Private Equity Fund"/>
    <n v="0"/>
    <n v="0"/>
    <n v="0"/>
    <n v="0"/>
    <m/>
    <m/>
    <m/>
    <m/>
    <m/>
    <m/>
    <m/>
    <m/>
    <m/>
    <m/>
    <m/>
    <d v="2014-08-19T00:00:00"/>
    <n v="0"/>
    <x v="1"/>
    <n v="0"/>
    <x v="11"/>
  </r>
  <r>
    <d v="2014-08-29T00:00:00"/>
    <x v="5"/>
    <s v="Series USf5c"/>
    <n v="370421.7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8-29T00:00:00"/>
    <n v="-2.3921607378129095E-2"/>
    <x v="1"/>
    <n v="0"/>
    <x v="11"/>
  </r>
  <r>
    <d v="2014-09-30T00:00:00"/>
    <x v="5"/>
    <s v="Series USf5c"/>
    <n v="365516.5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09-30T00:00:00"/>
    <n v="-1.3242229971647257E-2"/>
    <x v="1"/>
    <n v="0"/>
    <x v="12"/>
  </r>
  <r>
    <d v="2014-10-31T00:00:00"/>
    <x v="5"/>
    <s v="Series USf5c"/>
    <n v="622083.77"/>
    <e v="#DIV/0!"/>
    <n v="1.5"/>
    <n v="253500"/>
    <n v="0"/>
    <n v="0"/>
    <m/>
    <m/>
    <n v="253500"/>
    <e v="#DIV/0!"/>
    <n v="253500"/>
    <n v="253500"/>
    <s v="Private Equity Fund"/>
    <n v="0"/>
    <n v="0"/>
    <n v="0"/>
    <n v="0"/>
    <m/>
    <m/>
    <m/>
    <m/>
    <m/>
    <m/>
    <m/>
    <m/>
    <m/>
    <m/>
    <m/>
    <d v="2014-10-31T00:00:00"/>
    <n v="8.3914944040563988E-3"/>
    <x v="1"/>
    <n v="0"/>
    <x v="149"/>
  </r>
  <r>
    <d v="2014-11-28T00:00:00"/>
    <x v="5"/>
    <s v="Series USf5c"/>
    <n v="634771.78249999997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1-28T00:00:00"/>
    <n v="2.0395987022776563E-2"/>
    <x v="1"/>
    <n v="0"/>
    <x v="150"/>
  </r>
  <r>
    <d v="2014-12-31T00:00:00"/>
    <x v="5"/>
    <s v="Series USf5c"/>
    <n v="631909.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4-12-31T00:00:00"/>
    <n v="-4.5093096116003428E-3"/>
    <x v="1"/>
    <n v="0"/>
    <x v="151"/>
  </r>
  <r>
    <d v="2015-01-30T00:00:00"/>
    <x v="5"/>
    <s v="Series USf5c"/>
    <n v="833005.94550000003"/>
    <e v="#DIV/0!"/>
    <n v="1.5"/>
    <n v="174000"/>
    <n v="0"/>
    <n v="0"/>
    <m/>
    <m/>
    <n v="174000"/>
    <e v="#DIV/0!"/>
    <n v="174000"/>
    <n v="174000"/>
    <s v="Private Equity Fund"/>
    <n v="0"/>
    <n v="0"/>
    <n v="0"/>
    <n v="0"/>
    <m/>
    <m/>
    <m/>
    <m/>
    <m/>
    <m/>
    <m/>
    <m/>
    <m/>
    <m/>
    <m/>
    <d v="2015-01-30T00:00:00"/>
    <n v="4.2880427953754241E-2"/>
    <x v="1"/>
    <n v="0"/>
    <x v="152"/>
  </r>
  <r>
    <d v="2015-02-27T00:00:00"/>
    <x v="5"/>
    <s v="Series USf5c"/>
    <n v="911053.33100000001"/>
    <e v="#DIV/0!"/>
    <n v="1.5"/>
    <n v="69750"/>
    <n v="0"/>
    <n v="0"/>
    <m/>
    <m/>
    <n v="69750"/>
    <e v="#DIV/0!"/>
    <n v="69750"/>
    <n v="69750"/>
    <s v="Private Equity Fund"/>
    <n v="0"/>
    <n v="0"/>
    <n v="0"/>
    <n v="0"/>
    <m/>
    <m/>
    <m/>
    <m/>
    <m/>
    <m/>
    <m/>
    <m/>
    <m/>
    <m/>
    <m/>
    <d v="2015-02-27T00:00:00"/>
    <n v="9.9607758441861982E-3"/>
    <x v="1"/>
    <n v="0"/>
    <x v="153"/>
  </r>
  <r>
    <d v="2015-03-31T00:00:00"/>
    <x v="5"/>
    <s v="Series USf5c"/>
    <n v="1033516.7045"/>
    <e v="#DIV/0!"/>
    <n v="1.5"/>
    <n v="114000"/>
    <n v="0"/>
    <n v="0"/>
    <m/>
    <m/>
    <n v="114000"/>
    <e v="#DIV/0!"/>
    <n v="114000"/>
    <n v="114000"/>
    <s v="Private Equity Fund"/>
    <n v="0"/>
    <n v="0"/>
    <n v="0"/>
    <n v="0"/>
    <m/>
    <m/>
    <m/>
    <m/>
    <m/>
    <m/>
    <m/>
    <m/>
    <m/>
    <m/>
    <m/>
    <d v="2015-03-31T00:00:00"/>
    <n v="9.2896575996384012E-3"/>
    <x v="1"/>
    <n v="0"/>
    <x v="154"/>
  </r>
  <r>
    <d v="2015-04-30T00:00:00"/>
    <x v="5"/>
    <s v="Series USf5c"/>
    <n v="1136860.0689999999"/>
    <e v="#DIV/0!"/>
    <n v="1.5"/>
    <n v="15000"/>
    <n v="0"/>
    <n v="0"/>
    <m/>
    <m/>
    <n v="15000"/>
    <e v="#DIV/0!"/>
    <n v="15000"/>
    <n v="15000"/>
    <s v="Private Equity Fund"/>
    <n v="0"/>
    <n v="0"/>
    <n v="0"/>
    <n v="0"/>
    <m/>
    <m/>
    <m/>
    <m/>
    <m/>
    <m/>
    <m/>
    <m/>
    <m/>
    <m/>
    <m/>
    <d v="2015-04-30T00:00:00"/>
    <n v="8.5478409894438112E-2"/>
    <x v="1"/>
    <n v="0"/>
    <x v="155"/>
  </r>
  <r>
    <d v="2015-05-29T00:00:00"/>
    <x v="5"/>
    <s v="Series USf5c"/>
    <n v="1171814.7520000001"/>
    <e v="#DIV/0!"/>
    <n v="1.5"/>
    <n v="45000"/>
    <n v="0"/>
    <n v="0"/>
    <m/>
    <m/>
    <n v="45000"/>
    <e v="#DIV/0!"/>
    <n v="45000"/>
    <n v="45000"/>
    <s v="Private Equity Fund"/>
    <n v="0"/>
    <n v="0"/>
    <n v="0"/>
    <n v="0"/>
    <m/>
    <m/>
    <m/>
    <m/>
    <m/>
    <m/>
    <m/>
    <m/>
    <m/>
    <m/>
    <m/>
    <d v="2015-05-29T00:00:00"/>
    <n v="-8.8360188504429393E-3"/>
    <x v="1"/>
    <n v="0"/>
    <x v="156"/>
  </r>
  <r>
    <d v="2015-06-30T00:00:00"/>
    <x v="5"/>
    <s v="Series USf5c"/>
    <n v="1151869.960999999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6-30T00:00:00"/>
    <n v="-1.7020430034661471E-2"/>
    <x v="1"/>
    <n v="0"/>
    <x v="157"/>
  </r>
  <r>
    <d v="2015-07-31T00:00:00"/>
    <x v="5"/>
    <s v="Series USf5c"/>
    <n v="1175500.446"/>
    <e v="#DIV/0!"/>
    <n v="1.5"/>
    <n v="43500"/>
    <n v="0"/>
    <n v="0"/>
    <m/>
    <m/>
    <n v="43500"/>
    <e v="#DIV/0!"/>
    <n v="43500"/>
    <n v="43500"/>
    <s v="Private Equity Fund"/>
    <n v="0"/>
    <n v="0"/>
    <n v="0"/>
    <n v="0"/>
    <m/>
    <m/>
    <m/>
    <m/>
    <m/>
    <m/>
    <m/>
    <m/>
    <m/>
    <m/>
    <m/>
    <d v="2015-07-31T00:00:00"/>
    <n v="-1.7249790056813485E-2"/>
    <x v="1"/>
    <n v="0"/>
    <x v="158"/>
  </r>
  <r>
    <d v="2015-08-31T00:00:00"/>
    <x v="5"/>
    <s v="Series USf5c"/>
    <n v="1156899.3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1.5824022069320431E-2"/>
    <x v="1"/>
    <n v="0"/>
    <x v="159"/>
  </r>
  <r>
    <d v="2015-09-30T00:00:00"/>
    <x v="5"/>
    <s v="Series USf5c"/>
    <n v="1160503.0120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3.1149737897544494E-3"/>
    <x v="1"/>
    <n v="0"/>
    <x v="160"/>
  </r>
  <r>
    <d v="2015-10-30T00:00:00"/>
    <x v="5"/>
    <s v="Series USf5c"/>
    <n v="1194984.06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2.971215812751371E-2"/>
    <x v="1"/>
    <n v="0"/>
    <x v="161"/>
  </r>
  <r>
    <d v="2015-11-30T00:00:00"/>
    <x v="5"/>
    <s v="Series USf5c"/>
    <n v="1251678.7405000001"/>
    <e v="#DIV/0!"/>
    <n v="1.5"/>
    <n v="64500"/>
    <n v="0"/>
    <n v="0"/>
    <m/>
    <m/>
    <n v="64500"/>
    <e v="#DIV/0!"/>
    <n v="64500"/>
    <n v="64500"/>
    <s v="Private Equity Fund"/>
    <n v="0"/>
    <n v="0"/>
    <n v="0"/>
    <n v="0"/>
    <m/>
    <m/>
    <m/>
    <m/>
    <m/>
    <m/>
    <m/>
    <m/>
    <m/>
    <m/>
    <m/>
    <d v="2015-11-30T00:00:00"/>
    <n v="-6.5317360747625397E-3"/>
    <x v="1"/>
    <n v="0"/>
    <x v="162"/>
  </r>
  <r>
    <d v="2015-12-31T00:00:00"/>
    <x v="5"/>
    <s v="Series USf5c"/>
    <n v="1261897.95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8.1644100593398772E-3"/>
    <x v="1"/>
    <n v="0"/>
    <x v="163"/>
  </r>
  <r>
    <d v="2016-01-29T00:00:00"/>
    <x v="5"/>
    <s v="Series USf5c"/>
    <n v="1248832.40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1.03538910629144E-2"/>
    <x v="1"/>
    <n v="0"/>
    <x v="164"/>
  </r>
  <r>
    <d v="2016-02-29T00:00:00"/>
    <x v="5"/>
    <s v="Series USf5c"/>
    <n v="1612599.959"/>
    <e v="#DIV/0!"/>
    <n v="1.5"/>
    <n v="341250"/>
    <n v="0"/>
    <n v="0"/>
    <m/>
    <m/>
    <n v="341250"/>
    <e v="#DIV/0!"/>
    <n v="341250"/>
    <n v="341250"/>
    <s v="Private Equity Fund"/>
    <n v="0"/>
    <n v="0"/>
    <n v="0"/>
    <n v="0"/>
    <m/>
    <m/>
    <m/>
    <m/>
    <m/>
    <m/>
    <m/>
    <m/>
    <m/>
    <m/>
    <m/>
    <d v="2016-02-29T00:00:00"/>
    <n v="1.8030885417327003E-2"/>
    <x v="1"/>
    <n v="0"/>
    <x v="165"/>
  </r>
  <r>
    <d v="2016-03-31T00:00:00"/>
    <x v="5"/>
    <s v="Series USf5c"/>
    <n v="1624318.058999999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7.2665883033176115E-3"/>
    <x v="1"/>
    <n v="0"/>
    <x v="166"/>
  </r>
  <r>
    <d v="2016-04-29T00:00:00"/>
    <x v="5"/>
    <s v="Series USf5c"/>
    <n v="1649388.723999999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4-29T00:00:00"/>
    <n v="1.5434578752042238E-2"/>
    <x v="1"/>
    <n v="0"/>
    <x v="167"/>
  </r>
  <r>
    <d v="2016-05-31T00:00:00"/>
    <x v="5"/>
    <s v="Series USf5c"/>
    <n v="1668831.08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1787613021174037E-2"/>
    <x v="1"/>
    <n v="0"/>
    <x v="168"/>
  </r>
  <r>
    <d v="2016-06-30T00:00:00"/>
    <x v="5"/>
    <s v="Series USf5c"/>
    <n v="1705241.603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2.1817980223618472E-2"/>
    <x v="1"/>
    <n v="0"/>
    <x v="169"/>
  </r>
  <r>
    <d v="2016-07-29T00:00:00"/>
    <x v="5"/>
    <s v="Series USf5c"/>
    <n v="1733841.40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1.6771702872659944E-2"/>
    <x v="1"/>
    <n v="0"/>
    <x v="170"/>
  </r>
  <r>
    <d v="2016-08-31T00:00:00"/>
    <x v="5"/>
    <s v="Series USf5c"/>
    <n v="1729066.0665"/>
    <e v="#DIV/0!"/>
    <n v="1.5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6-08-31T00:00:00"/>
    <n v="-2.754197976361672E-3"/>
    <x v="1"/>
    <n v="0"/>
    <x v="171"/>
  </r>
  <r>
    <d v="2016-09-30T00:00:00"/>
    <x v="5"/>
    <s v="Series USf5c"/>
    <n v="1785250.00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2493806100612588E-2"/>
    <x v="1"/>
    <n v="0"/>
    <x v="172"/>
  </r>
  <r>
    <d v="2016-10-31T00:00:00"/>
    <x v="5"/>
    <s v="Series USf5c"/>
    <n v="1841875.1170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3.1718309969543057E-2"/>
    <x v="1"/>
    <n v="0"/>
    <x v="173"/>
  </r>
  <r>
    <d v="2016-11-30T00:00:00"/>
    <x v="5"/>
    <s v="Series USf5c"/>
    <n v="1850785.497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4.8376678297890052E-3"/>
    <x v="1"/>
    <n v="0"/>
    <x v="174"/>
  </r>
  <r>
    <d v="2016-12-30T00:00:00"/>
    <x v="5"/>
    <s v="Series USf5c"/>
    <n v="1837298.9380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2-30T00:00:00"/>
    <n v="-7.2869379092610487E-3"/>
    <x v="1"/>
    <n v="0"/>
    <x v="175"/>
  </r>
  <r>
    <d v="2017-01-27T00:00:00"/>
    <x v="5"/>
    <s v="Series USf5c"/>
    <n v="1867170.683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6258511275534238E-2"/>
    <x v="1"/>
    <n v="0"/>
    <x v="176"/>
  </r>
  <r>
    <d v="2017-02-28T00:00:00"/>
    <x v="5"/>
    <s v="Series USf5c"/>
    <n v="1940184.4765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3.9103973538796133E-2"/>
    <x v="1"/>
    <n v="0"/>
    <x v="177"/>
  </r>
  <r>
    <d v="2017-03-31T00:00:00"/>
    <x v="5"/>
    <s v="Series USf5c"/>
    <n v="1908620.007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1.6268798087149428E-2"/>
    <x v="1"/>
    <n v="0"/>
    <x v="178"/>
  </r>
  <r>
    <d v="2017-04-28T00:00:00"/>
    <x v="5"/>
    <s v="Series USf5c"/>
    <n v="1903525.01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-2.6694643152193054E-3"/>
    <x v="1"/>
    <n v="0"/>
    <x v="179"/>
  </r>
  <r>
    <d v="2017-05-31T00:00:00"/>
    <x v="5"/>
    <s v="Series USf5c"/>
    <n v="1851576.974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-2.7290442267862924E-2"/>
    <x v="1"/>
    <n v="0"/>
    <x v="180"/>
  </r>
  <r>
    <d v="2017-06-30T00:00:00"/>
    <x v="5"/>
    <s v="Series USf5c"/>
    <n v="1917871.4325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6-30T00:00:00"/>
    <n v="3.5804321890480661E-2"/>
    <x v="1"/>
    <n v="0"/>
    <x v="181"/>
  </r>
  <r>
    <d v="2017-07-31T00:00:00"/>
    <x v="5"/>
    <s v="Series USf5c"/>
    <n v="1962810.372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2.3431674688131121E-2"/>
    <x v="1"/>
    <n v="0"/>
    <x v="182"/>
  </r>
  <r>
    <d v="2017-08-31T00:00:00"/>
    <x v="5"/>
    <s v="Series USf5c"/>
    <n v="1965700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8-31T00:00:00"/>
    <n v="1.4721890821556283E-3"/>
    <x v="1"/>
    <n v="0"/>
    <x v="183"/>
  </r>
  <r>
    <d v="2017-09-29T00:00:00"/>
    <x v="5"/>
    <s v="Series USf5c"/>
    <n v="1952857.600124692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-6.5332450909637574E-3"/>
    <x v="1"/>
    <n v="0"/>
    <x v="184"/>
  </r>
  <r>
    <d v="2017-10-31T00:00:00"/>
    <x v="5"/>
    <s v="Series USf5c"/>
    <n v="1968200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0-31T00:00:00"/>
    <n v="7.8563843438086423E-3"/>
    <x v="1"/>
    <n v="0"/>
    <x v="185"/>
  </r>
  <r>
    <d v="2017-11-30T00:00:00"/>
    <x v="5"/>
    <s v="Series USf5c"/>
    <n v="1968900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3.5565491311850828E-4"/>
    <x v="1"/>
    <n v="0"/>
    <x v="186"/>
  </r>
  <r>
    <d v="2017-12-29T00:00:00"/>
    <x v="5"/>
    <s v="Series USf5c"/>
    <n v="2058600.0000000002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4.5558433643151153E-2"/>
    <x v="1"/>
    <n v="0"/>
    <x v="187"/>
  </r>
  <r>
    <d v="2018-01-31T00:00:00"/>
    <x v="5"/>
    <s v="Series USf5c"/>
    <n v="2086800.0000000002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1.3698630136986356E-2"/>
    <x v="1"/>
    <n v="0"/>
    <x v="188"/>
  </r>
  <r>
    <d v="2018-02-28T00:00:00"/>
    <x v="5"/>
    <s v="Series USf5c"/>
    <n v="2104762.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8.6078685068045058E-3"/>
    <x v="1"/>
    <n v="0"/>
    <x v="189"/>
  </r>
  <r>
    <d v="2018-03-29T00:00:00"/>
    <x v="5"/>
    <s v="Series USf5c"/>
    <n v="2116774.7390000001"/>
    <e v="#DIV/0!"/>
    <n v="1.5"/>
    <n v="0"/>
    <n v="0"/>
    <n v="0"/>
    <m/>
    <m/>
    <n v="0"/>
    <e v="#DIV/0!"/>
    <n v="0"/>
    <n v="0"/>
    <s v="Private Equity Fund"/>
    <n v="8.2622945324499174E-3"/>
    <n v="0.10884260099999998"/>
    <n v="8.2622945324499182E-4"/>
    <n v="1.0884260074726808E-2"/>
    <m/>
    <m/>
    <m/>
    <m/>
    <m/>
    <m/>
    <m/>
    <m/>
    <m/>
    <m/>
    <m/>
    <d v="2018-03-29T00:00:00"/>
    <n v="5.7069796317676946E-3"/>
    <x v="1"/>
    <n v="0"/>
    <x v="190"/>
  </r>
  <r>
    <d v="2018-04-30T00:00:00"/>
    <x v="5"/>
    <s v="Series USf5c"/>
    <n v="2144638.2914999998"/>
    <e v="#DIV/0!"/>
    <n v="1.5"/>
    <n v="0"/>
    <n v="0"/>
    <n v="0"/>
    <m/>
    <m/>
    <n v="0"/>
    <e v="#DIV/0!"/>
    <n v="0"/>
    <n v="0"/>
    <s v="Private Equity Fund"/>
    <n v="0"/>
    <n v="0.11375970000000001"/>
    <n v="0"/>
    <n v="0"/>
    <m/>
    <m/>
    <m/>
    <m/>
    <m/>
    <m/>
    <m/>
    <m/>
    <m/>
    <m/>
    <m/>
    <d v="2018-04-30T00:00:00"/>
    <n v="1.3163210986334217E-2"/>
    <x v="1"/>
    <n v="0"/>
    <x v="191"/>
  </r>
  <r>
    <d v="2018-05-31T00:00:00"/>
    <x v="5"/>
    <s v="Series USf5c"/>
    <n v="2157690.0499999998"/>
    <e v="#DIV/0!"/>
    <n v="1.5"/>
    <n v="0"/>
    <n v="0"/>
    <n v="0"/>
    <m/>
    <m/>
    <n v="0"/>
    <e v="#DIV/0!"/>
    <n v="0"/>
    <n v="0"/>
    <s v="Private Equity Fund"/>
    <n v="0"/>
    <n v="0.11606295"/>
    <n v="0"/>
    <n v="0"/>
    <m/>
    <m/>
    <m/>
    <m/>
    <m/>
    <m/>
    <m/>
    <m/>
    <m/>
    <m/>
    <m/>
    <d v="2018-05-31T00:00:00"/>
    <n v="6.0857621314180932E-3"/>
    <x v="1"/>
    <n v="0"/>
    <x v="192"/>
  </r>
  <r>
    <d v="2018-06-29T00:00:00"/>
    <x v="5"/>
    <s v="Series USf5c"/>
    <n v="2161044.4134999998"/>
    <e v="#DIV/0!"/>
    <n v="1.5"/>
    <n v="0"/>
    <n v="0"/>
    <n v="0"/>
    <m/>
    <m/>
    <n v="0"/>
    <e v="#DIV/0!"/>
    <n v="0"/>
    <n v="0"/>
    <s v="Private Equity Fund"/>
    <n v="8.6442600000000008E-3"/>
    <n v="0.11665490000000001"/>
    <n v="8.6442578711791018E-4"/>
    <n v="1.1665489642588534E-2"/>
    <m/>
    <m/>
    <m/>
    <m/>
    <m/>
    <m/>
    <m/>
    <m/>
    <m/>
    <m/>
    <m/>
    <d v="2018-06-29T00:00:00"/>
    <n v="1.5546085963551448E-3"/>
    <x v="1"/>
    <n v="0"/>
    <x v="193"/>
  </r>
  <r>
    <d v="2018-07-31T00:00:00"/>
    <x v="5"/>
    <s v="Series USf5c"/>
    <n v="2170940.3854999999"/>
    <s v=""/>
    <n v="1.5"/>
    <n v="0"/>
    <n v="0"/>
    <n v="0"/>
    <m/>
    <m/>
    <n v="0"/>
    <e v="#DIV/0!"/>
    <n v="0"/>
    <n v="0"/>
    <s v="Private Equity Fund"/>
    <n v="0"/>
    <n v="0.1184012445"/>
    <n v="0"/>
    <n v="0"/>
    <m/>
    <m/>
    <m/>
    <m/>
    <m/>
    <m/>
    <m/>
    <m/>
    <m/>
    <m/>
    <m/>
    <d v="2018-07-31T00:00:00"/>
    <n v="4.579254335626004E-3"/>
    <x v="1"/>
    <n v="0"/>
    <x v="194"/>
  </r>
  <r>
    <d v="2018-08-31T00:00:00"/>
    <x v="5"/>
    <s v="Series USf5c"/>
    <n v="2175925.9925000002"/>
    <s v=""/>
    <n v="1.5"/>
    <n v="0"/>
    <n v="0"/>
    <n v="0"/>
    <m/>
    <m/>
    <n v="0"/>
    <e v="#DIV/0!"/>
    <n v="0"/>
    <n v="0"/>
    <s v="Private Equity Fund"/>
    <n v="0"/>
    <n v="0.11928105749999997"/>
    <n v="0"/>
    <n v="0"/>
    <m/>
    <m/>
    <m/>
    <m/>
    <m/>
    <m/>
    <m/>
    <m/>
    <m/>
    <m/>
    <m/>
    <d v="2018-08-31T00:00:00"/>
    <n v="2.296519532871466E-3"/>
    <x v="1"/>
    <n v="0"/>
    <x v="195"/>
  </r>
  <r>
    <d v="2018-09-28T00:00:00"/>
    <x v="5"/>
    <s v="Series USf5c"/>
    <n v="2143437.8110000002"/>
    <m/>
    <n v="1.5"/>
    <n v="0"/>
    <n v="0"/>
    <n v="0"/>
    <m/>
    <n v="0"/>
    <n v="0"/>
    <e v="#DIV/0!"/>
    <n v="0"/>
    <n v="0"/>
    <s v="Private Equity Fund"/>
    <n v="8.4721916883442258E-3"/>
    <n v="0.11354784900000002"/>
    <n v="8.4721916883442275E-4"/>
    <n v="1.1354784885615966E-2"/>
    <m/>
    <m/>
    <m/>
    <m/>
    <m/>
    <m/>
    <m/>
    <m/>
    <m/>
    <m/>
    <m/>
    <d v="2018-09-28T00:00:00"/>
    <n v="-1.4930738275097832E-2"/>
    <x v="1"/>
    <n v="0"/>
    <x v="196"/>
  </r>
  <r>
    <d v="2018-10-31T00:00:00"/>
    <x v="5"/>
    <s v="Series USf5c"/>
    <n v="2148469.8280000002"/>
    <m/>
    <n v="1.5"/>
    <n v="0"/>
    <n v="0"/>
    <n v="0"/>
    <n v="0"/>
    <m/>
    <n v="0"/>
    <e v="#DIV/0!"/>
    <n v="-2148469.8280000002"/>
    <n v="-2148469.8280000002"/>
    <s v="Private Equity Fund"/>
    <n v="3.0730396340098135E-3"/>
    <n v="0.11443585200000003"/>
    <m/>
    <m/>
    <m/>
    <m/>
    <m/>
    <m/>
    <m/>
    <m/>
    <m/>
    <m/>
    <m/>
    <m/>
    <m/>
    <d v="2018-10-31T00:00:00"/>
    <n v="2.3476384405349826E-3"/>
    <x v="1"/>
    <n v="0"/>
    <x v="197"/>
  </r>
  <r>
    <d v="2015-07-22T00:00:00"/>
    <x v="5"/>
    <s v="Series USf9"/>
    <n v="1831350"/>
    <e v="#DIV/0!"/>
    <n v="21.05"/>
    <n v="1831350"/>
    <n v="0"/>
    <n v="0"/>
    <m/>
    <m/>
    <n v="1831350"/>
    <e v="#DIV/0!"/>
    <n v="1831350"/>
    <n v="1831350"/>
    <s v="Private Equity Fund"/>
    <n v="0"/>
    <n v="0"/>
    <n v="0"/>
    <n v="0"/>
    <m/>
    <m/>
    <m/>
    <m/>
    <m/>
    <m/>
    <m/>
    <m/>
    <m/>
    <m/>
    <m/>
    <d v="2015-07-22T00:00:00"/>
    <n v="0"/>
    <x v="1"/>
    <n v="0"/>
    <x v="158"/>
  </r>
  <r>
    <d v="2015-07-31T00:00:00"/>
    <x v="5"/>
    <s v="Series USf9"/>
    <n v="1820369.53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7-31T00:00:00"/>
    <n v="-5.9958336746116503E-3"/>
    <x v="1"/>
    <n v="0"/>
    <x v="158"/>
  </r>
  <r>
    <d v="2015-08-31T00:00:00"/>
    <x v="5"/>
    <s v="Series USf9"/>
    <n v="1806851.16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8-31T00:00:00"/>
    <n v="-7.4261680264446905E-3"/>
    <x v="1"/>
    <n v="0"/>
    <x v="159"/>
  </r>
  <r>
    <d v="2015-09-30T00:00:00"/>
    <x v="5"/>
    <s v="Series USf9"/>
    <n v="1805815.34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09-30T00:00:00"/>
    <n v="-5.7327356172487409E-4"/>
    <x v="1"/>
    <n v="0"/>
    <x v="160"/>
  </r>
  <r>
    <d v="2015-10-30T00:00:00"/>
    <x v="5"/>
    <s v="Series USf9"/>
    <n v="1800195.7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0-30T00:00:00"/>
    <n v="-3.1119239467752857E-3"/>
    <x v="1"/>
    <n v="0"/>
    <x v="161"/>
  </r>
  <r>
    <d v="2015-11-30T00:00:00"/>
    <x v="5"/>
    <s v="Series USf9"/>
    <n v="3367839.44"/>
    <e v="#DIV/0!"/>
    <n v="21.05"/>
    <n v="1894500"/>
    <n v="0"/>
    <n v="0"/>
    <m/>
    <m/>
    <n v="1894500"/>
    <e v="#DIV/0!"/>
    <n v="1894500"/>
    <n v="1894500"/>
    <s v="Private Equity Fund"/>
    <n v="0"/>
    <n v="0"/>
    <n v="0"/>
    <n v="0"/>
    <m/>
    <m/>
    <m/>
    <m/>
    <m/>
    <m/>
    <m/>
    <m/>
    <m/>
    <m/>
    <m/>
    <d v="2015-11-30T00:00:00"/>
    <n v="-0.18156710710653934"/>
    <x v="1"/>
    <n v="0"/>
    <x v="162"/>
  </r>
  <r>
    <d v="2015-12-31T00:00:00"/>
    <x v="5"/>
    <s v="Series USf9"/>
    <n v="3720124.3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5-12-31T00:00:00"/>
    <n v="0.10460265291031812"/>
    <x v="1"/>
    <n v="0"/>
    <x v="163"/>
  </r>
  <r>
    <d v="2016-01-29T00:00:00"/>
    <x v="5"/>
    <s v="Series USf9"/>
    <n v="3704328.1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1-29T00:00:00"/>
    <n v="-4.2461483505559228E-3"/>
    <x v="1"/>
    <n v="0"/>
    <x v="164"/>
  </r>
  <r>
    <d v="2016-02-29T00:00:00"/>
    <x v="5"/>
    <s v="Series USf9"/>
    <n v="8442957.6040000003"/>
    <e v="#DIV/0!"/>
    <n v="21.05"/>
    <n v="4715200"/>
    <n v="0"/>
    <n v="0"/>
    <m/>
    <m/>
    <n v="4715200"/>
    <e v="#DIV/0!"/>
    <n v="4715200"/>
    <n v="4715200"/>
    <s v="Private Equity Fund"/>
    <n v="0"/>
    <n v="0"/>
    <n v="0"/>
    <n v="0"/>
    <m/>
    <m/>
    <m/>
    <m/>
    <m/>
    <m/>
    <m/>
    <m/>
    <m/>
    <m/>
    <m/>
    <d v="2016-02-29T00:00:00"/>
    <n v="6.3248780511666602E-3"/>
    <x v="1"/>
    <n v="0"/>
    <x v="165"/>
  </r>
  <r>
    <d v="2016-03-31T00:00:00"/>
    <x v="5"/>
    <s v="Series USf9"/>
    <n v="8474713.280999999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3-31T00:00:00"/>
    <n v="3.7612029444462625E-3"/>
    <x v="1"/>
    <n v="0"/>
    <x v="166"/>
  </r>
  <r>
    <d v="2016-04-29T00:00:00"/>
    <x v="5"/>
    <s v="Series USf9"/>
    <n v="11874267.287"/>
    <e v="#DIV/0!"/>
    <n v="21.05"/>
    <n v="3368000"/>
    <n v="0"/>
    <n v="0"/>
    <m/>
    <m/>
    <n v="3368000"/>
    <e v="#DIV/0!"/>
    <n v="3368000"/>
    <n v="3368000"/>
    <s v="Private Equity Fund"/>
    <n v="0"/>
    <n v="0"/>
    <n v="0"/>
    <n v="0"/>
    <m/>
    <m/>
    <m/>
    <m/>
    <m/>
    <m/>
    <m/>
    <m/>
    <m/>
    <m/>
    <m/>
    <d v="2016-04-29T00:00:00"/>
    <n v="3.7233125126183708E-3"/>
    <x v="1"/>
    <n v="0"/>
    <x v="167"/>
  </r>
  <r>
    <d v="2016-05-31T00:00:00"/>
    <x v="5"/>
    <s v="Series USf9"/>
    <n v="12017034.71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5-31T00:00:00"/>
    <n v="1.2023262113722399E-2"/>
    <x v="1"/>
    <n v="0"/>
    <x v="168"/>
  </r>
  <r>
    <d v="2016-06-30T00:00:00"/>
    <x v="5"/>
    <s v="Series USf9"/>
    <n v="11969811.537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6-30T00:00:00"/>
    <n v="-3.9296864093314454E-3"/>
    <x v="1"/>
    <n v="0"/>
    <x v="169"/>
  </r>
  <r>
    <d v="2016-07-29T00:00:00"/>
    <x v="5"/>
    <s v="Series USf9"/>
    <n v="11975009.669500001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7-29T00:00:00"/>
    <n v="4.3427020416597628E-4"/>
    <x v="1"/>
    <n v="0"/>
    <x v="170"/>
  </r>
  <r>
    <d v="2016-08-31T00:00:00"/>
    <x v="5"/>
    <s v="Series USf9"/>
    <n v="11962083.685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8-31T00:00:00"/>
    <n v="-1.0794132411369173E-3"/>
    <x v="1"/>
    <n v="0"/>
    <x v="171"/>
  </r>
  <r>
    <d v="2016-09-30T00:00:00"/>
    <x v="5"/>
    <s v="Series USf9"/>
    <n v="12346544.083000001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09-30T00:00:00"/>
    <n v="3.2139918730549333E-2"/>
    <x v="1"/>
    <n v="0"/>
    <x v="172"/>
  </r>
  <r>
    <d v="2016-10-31T00:00:00"/>
    <x v="5"/>
    <s v="Series USf9"/>
    <n v="12683243.584000001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0-31T00:00:00"/>
    <n v="2.7270748699921965E-2"/>
    <x v="1"/>
    <n v="0"/>
    <x v="173"/>
  </r>
  <r>
    <d v="2016-11-30T00:00:00"/>
    <x v="5"/>
    <s v="Series USf9"/>
    <n v="12803643.772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6-11-30T00:00:00"/>
    <n v="9.4928546631307675E-3"/>
    <x v="1"/>
    <n v="0"/>
    <x v="174"/>
  </r>
  <r>
    <d v="2016-12-30T00:00:00"/>
    <x v="5"/>
    <s v="Series USf9"/>
    <n v="23005376.302000001"/>
    <e v="#DIV/0!"/>
    <n v="21.05"/>
    <n v="9679950"/>
    <n v="0"/>
    <n v="0"/>
    <m/>
    <m/>
    <n v="9679950"/>
    <e v="#DIV/0!"/>
    <n v="9679950"/>
    <n v="9679950"/>
    <s v="Private Equity Fund"/>
    <n v="0"/>
    <n v="0"/>
    <n v="0"/>
    <n v="0"/>
    <m/>
    <m/>
    <m/>
    <m/>
    <m/>
    <m/>
    <m/>
    <m/>
    <m/>
    <m/>
    <m/>
    <d v="2016-12-30T00:00:00"/>
    <n v="4.0752659109516642E-2"/>
    <x v="1"/>
    <n v="0"/>
    <x v="175"/>
  </r>
  <r>
    <d v="2017-01-27T00:00:00"/>
    <x v="5"/>
    <s v="Series USf9"/>
    <n v="23291460.6149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1-27T00:00:00"/>
    <n v="1.2435541555350538E-2"/>
    <x v="1"/>
    <n v="0"/>
    <x v="176"/>
  </r>
  <r>
    <d v="2017-02-28T00:00:00"/>
    <x v="5"/>
    <s v="Series USf9"/>
    <n v="23702772.121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2-28T00:00:00"/>
    <n v="1.7659326450103041E-2"/>
    <x v="1"/>
    <n v="0"/>
    <x v="177"/>
  </r>
  <r>
    <d v="2017-03-31T00:00:00"/>
    <x v="5"/>
    <s v="Series USf9"/>
    <n v="23556426.0064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3-31T00:00:00"/>
    <n v="-6.1742193803253631E-3"/>
    <x v="1"/>
    <n v="0"/>
    <x v="178"/>
  </r>
  <r>
    <d v="2017-04-28T00:00:00"/>
    <x v="5"/>
    <s v="Series USf9"/>
    <n v="23679333.369999997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4-28T00:00:00"/>
    <n v="5.2175726260887956E-3"/>
    <x v="1"/>
    <n v="0"/>
    <x v="179"/>
  </r>
  <r>
    <d v="2017-05-31T00:00:00"/>
    <x v="5"/>
    <s v="Series USf9"/>
    <n v="23992307.519499999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5-31T00:00:00"/>
    <n v="1.3217185830768141E-2"/>
    <x v="1"/>
    <n v="0"/>
    <x v="180"/>
  </r>
  <r>
    <d v="2017-06-30T00:00:00"/>
    <x v="5"/>
    <s v="Series USf9"/>
    <n v="24187274.170000002"/>
    <e v="#DIV/0!"/>
    <n v="21.05"/>
    <n v="0"/>
    <n v="-3.7252902984619141E-9"/>
    <n v="0"/>
    <m/>
    <m/>
    <n v="-3.7252902984619141E-9"/>
    <e v="#DIV/0!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7-06-30T00:00:00"/>
    <n v="8.1262150521181908E-3"/>
    <x v="1"/>
    <n v="0"/>
    <x v="181"/>
  </r>
  <r>
    <d v="2017-07-31T00:00:00"/>
    <x v="5"/>
    <s v="Series USf9"/>
    <n v="24403627.09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7-31T00:00:00"/>
    <n v="8.9449070812759324E-3"/>
    <x v="1"/>
    <n v="0"/>
    <x v="182"/>
  </r>
  <r>
    <d v="2017-08-31T00:00:00"/>
    <x v="5"/>
    <s v="Series USf9"/>
    <n v="24382200"/>
    <e v="#DIV/0!"/>
    <n v="21.05"/>
    <n v="0"/>
    <n v="-3.7252902984619141E-9"/>
    <n v="0"/>
    <m/>
    <m/>
    <n v="-3.7252902984619141E-9"/>
    <e v="#DIV/0!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7-08-31T00:00:00"/>
    <n v="-8.7802890615296114E-4"/>
    <x v="1"/>
    <n v="0"/>
    <x v="183"/>
  </r>
  <r>
    <d v="2017-09-29T00:00:00"/>
    <x v="5"/>
    <s v="Series USf9"/>
    <n v="24484859.07603934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09-29T00:00:00"/>
    <n v="4.2104107110658706E-3"/>
    <x v="1"/>
    <n v="0"/>
    <x v="184"/>
  </r>
  <r>
    <d v="2017-10-31T00:00:00"/>
    <x v="5"/>
    <s v="Series USf9"/>
    <n v="24745400"/>
    <e v="#DIV/0!"/>
    <n v="21.05"/>
    <n v="0"/>
    <n v="-3.7252902984619141E-9"/>
    <n v="0"/>
    <m/>
    <m/>
    <n v="-3.7252902984619141E-9"/>
    <e v="#DIV/0!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7-10-31T00:00:00"/>
    <n v="1.0640899469812393E-2"/>
    <x v="1"/>
    <n v="0"/>
    <x v="185"/>
  </r>
  <r>
    <d v="2017-11-30T00:00:00"/>
    <x v="5"/>
    <s v="Series USf9"/>
    <n v="24745809.3499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1-30T00:00:00"/>
    <n v="1.6542468499025631E-5"/>
    <x v="1"/>
    <n v="0"/>
    <x v="186"/>
  </r>
  <r>
    <d v="2017-12-29T00:00:00"/>
    <x v="5"/>
    <s v="Series USf9"/>
    <n v="26709200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7-12-29T00:00:00"/>
    <n v="7.9342349333989537E-2"/>
    <x v="1"/>
    <n v="0"/>
    <x v="187"/>
  </r>
  <r>
    <d v="2018-01-31T00:00:00"/>
    <x v="5"/>
    <s v="Series USf9"/>
    <n v="27448400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1-31T00:00:00"/>
    <n v="2.767585700807218E-2"/>
    <x v="1"/>
    <n v="0"/>
    <x v="188"/>
  </r>
  <r>
    <d v="2018-02-28T00:00:00"/>
    <x v="5"/>
    <s v="Series USf9"/>
    <n v="27557653.8299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  <m/>
    <m/>
    <m/>
    <d v="2018-02-28T00:00:00"/>
    <n v="3.9803351014995325E-3"/>
    <x v="1"/>
    <n v="0"/>
    <x v="189"/>
  </r>
  <r>
    <d v="2018-03-29T00:00:00"/>
    <x v="5"/>
    <s v="Series USf9"/>
    <n v="27778505.8015"/>
    <e v="#DIV/0!"/>
    <n v="21.05"/>
    <n v="0"/>
    <n v="0"/>
    <n v="0"/>
    <m/>
    <m/>
    <n v="0"/>
    <e v="#DIV/0!"/>
    <n v="0"/>
    <n v="0"/>
    <s v="Private Equity Fund"/>
    <n v="0.10687670862403684"/>
    <n v="1.0109127885"/>
    <n v="1.0202004032539106E-2"/>
    <n v="9.6467640714760633E-2"/>
    <m/>
    <m/>
    <m/>
    <m/>
    <m/>
    <m/>
    <m/>
    <m/>
    <m/>
    <m/>
    <m/>
    <d v="2018-03-29T00:00:00"/>
    <n v="8.0141790321632822E-3"/>
    <x v="1"/>
    <n v="0"/>
    <x v="190"/>
  </r>
  <r>
    <d v="2018-04-30T00:00:00"/>
    <x v="5"/>
    <s v="Series USf9"/>
    <n v="27951739.311999999"/>
    <e v="#DIV/0!"/>
    <n v="21.05"/>
    <n v="0"/>
    <n v="0"/>
    <n v="0"/>
    <m/>
    <m/>
    <n v="0"/>
    <e v="#DIV/0!"/>
    <n v="0"/>
    <n v="0"/>
    <s v="Private Equity Fund"/>
    <n v="0"/>
    <n v="1.0414834100000001"/>
    <n v="0"/>
    <n v="0"/>
    <m/>
    <m/>
    <m/>
    <m/>
    <m/>
    <m/>
    <m/>
    <m/>
    <m/>
    <m/>
    <m/>
    <d v="2018-04-30T00:00:00"/>
    <n v="6.2362429332194491E-3"/>
    <x v="1"/>
    <n v="0"/>
    <x v="191"/>
  </r>
  <r>
    <d v="2018-05-31T00:00:00"/>
    <x v="5"/>
    <s v="Series USf9"/>
    <n v="28131200.101"/>
    <e v="#DIV/0!"/>
    <n v="21.05"/>
    <n v="0"/>
    <n v="0"/>
    <n v="0"/>
    <m/>
    <m/>
    <n v="0"/>
    <e v="#DIV/0!"/>
    <n v="0"/>
    <n v="0"/>
    <s v="Private Equity Fund"/>
    <n v="0"/>
    <n v="1.07315296"/>
    <n v="0"/>
    <n v="0"/>
    <m/>
    <m/>
    <m/>
    <m/>
    <m/>
    <m/>
    <m/>
    <m/>
    <m/>
    <m/>
    <m/>
    <d v="2018-05-31T00:00:00"/>
    <n v="6.420380034202644E-3"/>
    <x v="1"/>
    <n v="0"/>
    <x v="192"/>
  </r>
  <r>
    <d v="2018-06-29T00:00:00"/>
    <x v="5"/>
    <s v="Series USf9"/>
    <n v="28077608.8675"/>
    <e v="#DIV/0!"/>
    <n v="21.05"/>
    <n v="0"/>
    <n v="0"/>
    <n v="0"/>
    <m/>
    <m/>
    <n v="0"/>
    <e v="#DIV/0!"/>
    <n v="0"/>
    <n v="0"/>
    <s v="Private Equity Fund"/>
    <n v="0.11059623"/>
    <n v="1.0636956799999999"/>
    <n v="1.0557069563628523E-2"/>
    <n v="0.10150669942680482"/>
    <m/>
    <m/>
    <m/>
    <m/>
    <m/>
    <m/>
    <m/>
    <m/>
    <m/>
    <m/>
    <m/>
    <d v="2018-06-29T00:00:00"/>
    <n v="-1.9050461163260257E-3"/>
    <x v="1"/>
    <n v="0"/>
    <x v="193"/>
  </r>
  <r>
    <d v="2018-07-31T00:00:00"/>
    <x v="5"/>
    <s v="Series USf9"/>
    <n v="28205901.399"/>
    <s v=""/>
    <n v="21.05"/>
    <n v="0"/>
    <n v="0"/>
    <n v="0"/>
    <m/>
    <m/>
    <n v="0"/>
    <e v="#DIV/0!"/>
    <n v="0"/>
    <n v="0"/>
    <s v="Private Equity Fund"/>
    <n v="0"/>
    <n v="1.0863355410000002"/>
    <n v="0"/>
    <n v="0"/>
    <m/>
    <m/>
    <m/>
    <m/>
    <m/>
    <m/>
    <m/>
    <m/>
    <m/>
    <m/>
    <m/>
    <d v="2018-07-31T00:00:00"/>
    <n v="4.5692114348276913E-3"/>
    <x v="1"/>
    <n v="0"/>
    <x v="194"/>
  </r>
  <r>
    <d v="2018-08-31T00:00:00"/>
    <x v="5"/>
    <s v="Series USf9"/>
    <n v="28133464.467"/>
    <s v=""/>
    <n v="21.05"/>
    <n v="0"/>
    <n v="0"/>
    <n v="0"/>
    <m/>
    <m/>
    <n v="0"/>
    <e v="#DIV/0!"/>
    <n v="0"/>
    <n v="0"/>
    <s v="Private Equity Fund"/>
    <n v="0"/>
    <n v="1.0735525529999999"/>
    <n v="0"/>
    <n v="0"/>
    <m/>
    <m/>
    <m/>
    <m/>
    <m/>
    <m/>
    <m/>
    <m/>
    <m/>
    <m/>
    <m/>
    <d v="2018-08-31T00:00:00"/>
    <n v="-2.5681480969287351E-3"/>
    <x v="1"/>
    <n v="0"/>
    <x v="195"/>
  </r>
  <r>
    <d v="2018-09-28T00:00:00"/>
    <x v="5"/>
    <s v="Series USf9"/>
    <n v="27609142.749000002"/>
    <m/>
    <n v="22.05"/>
    <n v="0"/>
    <n v="0"/>
    <n v="0"/>
    <m/>
    <n v="0"/>
    <n v="0"/>
    <e v="#DIV/0!"/>
    <n v="0"/>
    <n v="0"/>
    <s v="Private Equity Fund"/>
    <n v="0.10732074536836229"/>
    <n v="0.98102519100000007"/>
    <n v="1.02443904961647E-2"/>
    <n v="9.3614718469544084E-2"/>
    <m/>
    <m/>
    <m/>
    <m/>
    <m/>
    <m/>
    <m/>
    <m/>
    <m/>
    <m/>
    <m/>
    <d v="2018-09-28T00:00:00"/>
    <n v="-1.8636941021430764E-2"/>
    <x v="1"/>
    <n v="0"/>
    <x v="196"/>
  </r>
  <r>
    <d v="2018-10-31T00:00:00"/>
    <x v="5"/>
    <s v="Series USf9"/>
    <n v="27441294.6855"/>
    <m/>
    <n v="22.05"/>
    <m/>
    <n v="0"/>
    <n v="0"/>
    <n v="0"/>
    <n v="0"/>
    <n v="0"/>
    <e v="#DIV/0!"/>
    <n v="-27441294.6855"/>
    <n v="-27441294.6855"/>
    <s v="Private Equity Fund"/>
    <n v="3.8557458241334608E-2"/>
    <n v="0.95140494449999979"/>
    <m/>
    <m/>
    <m/>
    <m/>
    <m/>
    <m/>
    <m/>
    <m/>
    <m/>
    <m/>
    <m/>
    <m/>
    <m/>
    <d v="2018-10-31T00:00:00"/>
    <n v="-6.0794377074993022E-3"/>
    <x v="1"/>
    <n v="0"/>
    <x v="197"/>
  </r>
  <r>
    <d v="2016-08-15T00:00:00"/>
    <x v="6"/>
    <s v="Series 1a"/>
    <m/>
    <m/>
    <m/>
    <n v="1035000"/>
    <m/>
    <m/>
    <m/>
    <m/>
    <n v="1035000"/>
    <m/>
    <n v="1035000"/>
    <n v="1035000"/>
    <s v="Private Equity Fund"/>
    <n v="0"/>
    <n v="0"/>
    <m/>
    <m/>
    <m/>
    <m/>
    <m/>
    <m/>
    <m/>
    <m/>
    <m/>
    <m/>
    <m/>
    <m/>
    <m/>
    <d v="2016-08-15T00:00:00"/>
    <n v="-1"/>
    <x v="1"/>
    <n v="0"/>
    <x v="171"/>
  </r>
  <r>
    <d v="2016-08-23T00:00:00"/>
    <x v="6"/>
    <s v="Series 1a"/>
    <m/>
    <m/>
    <m/>
    <n v="1680000"/>
    <m/>
    <m/>
    <m/>
    <m/>
    <n v="1680000"/>
    <m/>
    <n v="1680000"/>
    <n v="1680000"/>
    <s v="Private Equity Fund"/>
    <n v="0"/>
    <n v="0"/>
    <m/>
    <m/>
    <m/>
    <m/>
    <m/>
    <m/>
    <m/>
    <m/>
    <m/>
    <m/>
    <m/>
    <m/>
    <m/>
    <d v="2016-08-23T00:00:00"/>
    <e v="#DIV/0!"/>
    <x v="1"/>
    <n v="0"/>
    <x v="171"/>
  </r>
  <r>
    <d v="2016-09-21T00:00:00"/>
    <x v="6"/>
    <s v="Series 1a"/>
    <m/>
    <m/>
    <m/>
    <n v="3735000"/>
    <m/>
    <m/>
    <m/>
    <m/>
    <n v="3735000"/>
    <m/>
    <n v="3735000"/>
    <n v="3735000"/>
    <s v="Private Equity Fund"/>
    <n v="0"/>
    <n v="0"/>
    <m/>
    <m/>
    <m/>
    <m/>
    <m/>
    <m/>
    <m/>
    <m/>
    <m/>
    <m/>
    <m/>
    <m/>
    <m/>
    <d v="2016-09-21T00:00:00"/>
    <e v="#DIV/0!"/>
    <x v="1"/>
    <n v="0"/>
    <x v="172"/>
  </r>
  <r>
    <d v="2016-09-30T00:00:00"/>
    <x v="6"/>
    <s v="Series 1a"/>
    <n v="6703485.8399999999"/>
    <m/>
    <m/>
    <m/>
    <m/>
    <m/>
    <m/>
    <m/>
    <n v="0"/>
    <m/>
    <n v="0"/>
    <n v="0"/>
    <s v="Private Equity Fund"/>
    <n v="1.3023700000000001E-2"/>
    <n v="4.4732800000000003E-2"/>
    <m/>
    <m/>
    <m/>
    <m/>
    <m/>
    <m/>
    <m/>
    <m/>
    <m/>
    <m/>
    <m/>
    <m/>
    <m/>
    <d v="2016-09-30T00:00:00"/>
    <e v="#DIV/0!"/>
    <x v="1"/>
    <n v="0"/>
    <x v="172"/>
  </r>
  <r>
    <d v="2016-10-12T00:00:00"/>
    <x v="6"/>
    <s v="Series 1a"/>
    <m/>
    <m/>
    <m/>
    <n v="2925000"/>
    <m/>
    <m/>
    <m/>
    <m/>
    <n v="2925000"/>
    <m/>
    <n v="2925000"/>
    <n v="2925000"/>
    <s v="Private Equity Fund"/>
    <n v="0"/>
    <n v="0"/>
    <m/>
    <m/>
    <m/>
    <m/>
    <m/>
    <m/>
    <m/>
    <m/>
    <m/>
    <m/>
    <m/>
    <m/>
    <m/>
    <d v="2016-10-12T00:00:00"/>
    <n v="-1.4363401474716921"/>
    <x v="1"/>
    <n v="0"/>
    <x v="173"/>
  </r>
  <r>
    <d v="2016-10-24T00:00:00"/>
    <x v="6"/>
    <s v="Series 1a"/>
    <m/>
    <m/>
    <m/>
    <n v="2190000"/>
    <m/>
    <m/>
    <m/>
    <m/>
    <n v="2190000"/>
    <m/>
    <n v="2190000"/>
    <n v="2190000"/>
    <s v="Private Equity Fund"/>
    <n v="0"/>
    <n v="0"/>
    <m/>
    <m/>
    <m/>
    <m/>
    <m/>
    <m/>
    <m/>
    <m/>
    <m/>
    <m/>
    <m/>
    <m/>
    <m/>
    <d v="2016-10-24T00:00:00"/>
    <e v="#DIV/0!"/>
    <x v="1"/>
    <n v="0"/>
    <x v="173"/>
  </r>
  <r>
    <d v="2016-10-31T00:00:00"/>
    <x v="6"/>
    <s v="Series 1a"/>
    <n v="12250631.060000001"/>
    <m/>
    <m/>
    <m/>
    <m/>
    <m/>
    <m/>
    <m/>
    <n v="0"/>
    <m/>
    <n v="0"/>
    <n v="0"/>
    <s v="Private Equity Fund"/>
    <n v="1.5738040000000002E-2"/>
    <n v="0.12099372"/>
    <m/>
    <m/>
    <m/>
    <m/>
    <m/>
    <m/>
    <m/>
    <m/>
    <m/>
    <m/>
    <m/>
    <m/>
    <m/>
    <d v="2016-10-31T00:00:00"/>
    <e v="#DIV/0!"/>
    <x v="1"/>
    <n v="0"/>
    <x v="173"/>
  </r>
  <r>
    <d v="2016-11-21T00:00:00"/>
    <x v="6"/>
    <s v="Series 1a"/>
    <m/>
    <m/>
    <m/>
    <m/>
    <m/>
    <n v="-6238035"/>
    <m/>
    <m/>
    <n v="-6238035"/>
    <m/>
    <n v="-6238035"/>
    <n v="-6238035"/>
    <s v="Private Equity Fund"/>
    <n v="0"/>
    <n v="0"/>
    <m/>
    <m/>
    <m/>
    <m/>
    <m/>
    <m/>
    <m/>
    <m/>
    <m/>
    <m/>
    <m/>
    <m/>
    <m/>
    <d v="2016-11-21T00:00:00"/>
    <n v="-0.49079888460864318"/>
    <x v="1"/>
    <n v="0"/>
    <x v="174"/>
  </r>
  <r>
    <d v="2016-11-21T00:00:00"/>
    <x v="6"/>
    <s v="Series 1a"/>
    <m/>
    <m/>
    <m/>
    <n v="1020000"/>
    <m/>
    <m/>
    <m/>
    <m/>
    <n v="1020000"/>
    <m/>
    <n v="1020000"/>
    <n v="1020000"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1a"/>
    <m/>
    <m/>
    <m/>
    <n v="2415000"/>
    <m/>
    <m/>
    <m/>
    <m/>
    <n v="2415000"/>
    <m/>
    <n v="2415000"/>
    <n v="2415000"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1a"/>
    <n v="9492634.9199999999"/>
    <m/>
    <m/>
    <m/>
    <m/>
    <m/>
    <m/>
    <m/>
    <n v="0"/>
    <m/>
    <n v="0"/>
    <n v="0"/>
    <s v="Private Equity Fund"/>
    <n v="2.411423E-2"/>
    <n v="0.12894174999999999"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1a"/>
    <n v="9388408.1400000006"/>
    <m/>
    <m/>
    <m/>
    <m/>
    <m/>
    <m/>
    <m/>
    <n v="0"/>
    <m/>
    <n v="0"/>
    <n v="0"/>
    <s v="Private Equity Fund"/>
    <n v="4.06573E-2"/>
    <n v="0.11054878999999999"/>
    <m/>
    <m/>
    <m/>
    <m/>
    <m/>
    <m/>
    <m/>
    <m/>
    <m/>
    <m/>
    <m/>
    <m/>
    <m/>
    <d v="2016-12-31T00:00:00"/>
    <n v="-1.0979752289894118E-2"/>
    <x v="1"/>
    <n v="0"/>
    <x v="175"/>
  </r>
  <r>
    <d v="2017-01-31T00:00:00"/>
    <x v="6"/>
    <s v="Series 1a"/>
    <n v="9589391.3000000007"/>
    <m/>
    <m/>
    <m/>
    <m/>
    <m/>
    <m/>
    <m/>
    <n v="0"/>
    <m/>
    <n v="0"/>
    <n v="0"/>
    <s v="Private Equity Fund"/>
    <n v="5.239949E-2"/>
    <n v="0.14601641000000001"/>
    <m/>
    <m/>
    <m/>
    <m/>
    <m/>
    <m/>
    <m/>
    <m/>
    <m/>
    <m/>
    <m/>
    <m/>
    <m/>
    <d v="2017-01-31T00:00:00"/>
    <n v="2.140758656877062E-2"/>
    <x v="1"/>
    <n v="0"/>
    <x v="176"/>
  </r>
  <r>
    <d v="2017-02-27T00:00:00"/>
    <x v="6"/>
    <s v="Series 1a"/>
    <m/>
    <m/>
    <m/>
    <n v="1410000"/>
    <m/>
    <m/>
    <m/>
    <m/>
    <n v="1410000"/>
    <m/>
    <n v="1410000"/>
    <n v="1410000"/>
    <s v="Private Equity Fund"/>
    <n v="0"/>
    <n v="0"/>
    <m/>
    <m/>
    <m/>
    <m/>
    <m/>
    <m/>
    <m/>
    <m/>
    <m/>
    <m/>
    <m/>
    <m/>
    <m/>
    <d v="2017-02-27T00:00:00"/>
    <n v="-1.1470374871447784"/>
    <x v="1"/>
    <n v="0"/>
    <x v="177"/>
  </r>
  <r>
    <d v="2017-02-28T00:00:00"/>
    <x v="6"/>
    <s v="Series 1a"/>
    <n v="10259522.17"/>
    <m/>
    <m/>
    <m/>
    <m/>
    <m/>
    <m/>
    <m/>
    <n v="0"/>
    <m/>
    <n v="0"/>
    <n v="0"/>
    <s v="Private Equity Fund"/>
    <n v="4.7526260000000001E-2"/>
    <n v="1.132294E-2"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1a"/>
    <n v="11041112.789999999"/>
    <m/>
    <m/>
    <m/>
    <m/>
    <m/>
    <m/>
    <m/>
    <n v="0"/>
    <m/>
    <n v="0"/>
    <n v="0"/>
    <s v="Private Equity Fund"/>
    <n v="8.1788520000000003E-2"/>
    <n v="0.15337901999999998"/>
    <m/>
    <m/>
    <m/>
    <m/>
    <m/>
    <m/>
    <m/>
    <m/>
    <m/>
    <m/>
    <m/>
    <m/>
    <m/>
    <d v="2017-03-31T00:00:00"/>
    <n v="7.6181970958204781E-2"/>
    <x v="1"/>
    <n v="0"/>
    <x v="178"/>
  </r>
  <r>
    <d v="2017-04-10T00:00:00"/>
    <x v="6"/>
    <s v="Series 1a"/>
    <m/>
    <m/>
    <m/>
    <n v="1620000"/>
    <m/>
    <m/>
    <m/>
    <m/>
    <n v="1620000"/>
    <m/>
    <n v="1620000"/>
    <n v="1620000"/>
    <s v="Private Equity Fund"/>
    <n v="0"/>
    <n v="0"/>
    <m/>
    <m/>
    <m/>
    <m/>
    <m/>
    <m/>
    <m/>
    <m/>
    <m/>
    <m/>
    <m/>
    <m/>
    <m/>
    <d v="2017-04-10T00:00:00"/>
    <n v="-1.1467243411793822"/>
    <x v="1"/>
    <n v="0"/>
    <x v="179"/>
  </r>
  <r>
    <d v="2017-04-30T00:00:00"/>
    <x v="6"/>
    <s v="Series 1a"/>
    <n v="12739274.27"/>
    <m/>
    <m/>
    <m/>
    <m/>
    <m/>
    <m/>
    <m/>
    <n v="0"/>
    <m/>
    <n v="0"/>
    <n v="0"/>
    <s v="Private Equity Fund"/>
    <n v="8.8139999999999996E-2"/>
    <n v="0.16717222000000001"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1a"/>
    <m/>
    <m/>
    <m/>
    <n v="3208035"/>
    <m/>
    <m/>
    <m/>
    <m/>
    <n v="3208035"/>
    <m/>
    <n v="3208035"/>
    <n v="3208035"/>
    <s v="Private Equity Fund"/>
    <n v="0"/>
    <n v="0"/>
    <m/>
    <m/>
    <m/>
    <m/>
    <m/>
    <m/>
    <m/>
    <m/>
    <m/>
    <m/>
    <m/>
    <m/>
    <m/>
    <d v="2017-05-26T00:00:00"/>
    <n v="-1.2518224297560399"/>
    <x v="1"/>
    <n v="0"/>
    <x v="180"/>
  </r>
  <r>
    <d v="2017-05-31T00:00:00"/>
    <x v="6"/>
    <s v="Series 1a"/>
    <n v="15571437.140000001"/>
    <m/>
    <m/>
    <m/>
    <m/>
    <m/>
    <m/>
    <m/>
    <n v="0"/>
    <m/>
    <n v="0"/>
    <n v="0"/>
    <s v="Private Equity Fund"/>
    <n v="0.11948458000000001"/>
    <n v="0.10084185000000001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1a"/>
    <n v="15852888.880000001"/>
    <m/>
    <m/>
    <m/>
    <m/>
    <m/>
    <m/>
    <m/>
    <n v="0"/>
    <m/>
    <n v="0"/>
    <n v="0"/>
    <s v="Private Equity Fund"/>
    <n v="0.14049895000000001"/>
    <n v="0.1505098"/>
    <m/>
    <m/>
    <m/>
    <m/>
    <m/>
    <m/>
    <m/>
    <m/>
    <m/>
    <m/>
    <m/>
    <m/>
    <m/>
    <d v="2017-06-30T00:00:00"/>
    <n v="1.8074872439166612E-2"/>
    <x v="1"/>
    <n v="0"/>
    <x v="181"/>
  </r>
  <r>
    <d v="2017-07-31T00:00:00"/>
    <x v="6"/>
    <s v="Series 1a"/>
    <n v="14354896.08"/>
    <m/>
    <m/>
    <m/>
    <m/>
    <m/>
    <m/>
    <m/>
    <n v="0"/>
    <m/>
    <n v="0"/>
    <n v="0"/>
    <s v="Private Equity Fund"/>
    <n v="0.14525354000000001"/>
    <n v="0.13676843"/>
    <m/>
    <m/>
    <m/>
    <m/>
    <m/>
    <m/>
    <m/>
    <m/>
    <m/>
    <m/>
    <m/>
    <m/>
    <m/>
    <d v="2017-07-31T00:00:00"/>
    <n v="-9.4493364038517158E-2"/>
    <x v="1"/>
    <n v="0"/>
    <x v="182"/>
  </r>
  <r>
    <d v="2017-08-11T00:00:00"/>
    <x v="6"/>
    <s v="Series 1a"/>
    <m/>
    <m/>
    <m/>
    <m/>
    <m/>
    <n v="-1420125"/>
    <m/>
    <m/>
    <n v="-1420125"/>
    <m/>
    <n v="-1420125"/>
    <n v="-1420125"/>
    <s v="Private Equity Fund"/>
    <n v="0"/>
    <n v="0"/>
    <m/>
    <m/>
    <m/>
    <m/>
    <m/>
    <m/>
    <m/>
    <m/>
    <m/>
    <m/>
    <m/>
    <m/>
    <m/>
    <d v="2017-08-11T00:00:00"/>
    <n v="-0.90107033920095092"/>
    <x v="1"/>
    <n v="0"/>
    <x v="183"/>
  </r>
  <r>
    <d v="2017-08-11T00:00:00"/>
    <x v="6"/>
    <s v="Series 1a"/>
    <m/>
    <m/>
    <m/>
    <n v="1420125"/>
    <m/>
    <m/>
    <m/>
    <m/>
    <n v="1420125"/>
    <m/>
    <n v="1420125"/>
    <n v="1420125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1a"/>
    <n v="15747081.99"/>
    <m/>
    <m/>
    <m/>
    <m/>
    <m/>
    <m/>
    <m/>
    <n v="0"/>
    <m/>
    <n v="0"/>
    <n v="0"/>
    <s v="Private Equity Fund"/>
    <n v="0.16706735"/>
    <n v="0.13183800000000001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1a"/>
    <n v="15801478.99"/>
    <m/>
    <m/>
    <m/>
    <m/>
    <m/>
    <m/>
    <m/>
    <n v="0"/>
    <m/>
    <n v="0"/>
    <n v="0"/>
    <s v="Private Equity Fund"/>
    <n v="0.18567357999999998"/>
    <n v="0.14143747000000001"/>
    <m/>
    <m/>
    <m/>
    <m/>
    <m/>
    <m/>
    <m/>
    <m/>
    <m/>
    <m/>
    <m/>
    <m/>
    <m/>
    <d v="2017-09-30T00:00:00"/>
    <n v="3.4544177794046949E-3"/>
    <x v="1"/>
    <n v="0"/>
    <x v="184"/>
  </r>
  <r>
    <d v="2017-10-31T00:00:00"/>
    <x v="6"/>
    <s v="Series 1a"/>
    <n v="15838570.16"/>
    <m/>
    <m/>
    <m/>
    <m/>
    <m/>
    <m/>
    <m/>
    <n v="0"/>
    <m/>
    <n v="0"/>
    <n v="0"/>
    <s v="Private Equity Fund"/>
    <n v="0.18567357999999998"/>
    <n v="0.14798296999999999"/>
    <m/>
    <m/>
    <m/>
    <m/>
    <m/>
    <m/>
    <m/>
    <m/>
    <m/>
    <m/>
    <m/>
    <m/>
    <m/>
    <d v="2017-10-31T00:00:00"/>
    <n v="2.3473226793184754E-3"/>
    <x v="1"/>
    <n v="0"/>
    <x v="185"/>
  </r>
  <r>
    <d v="2017-11-30T00:00:00"/>
    <x v="6"/>
    <s v="Series 1a"/>
    <n v="15767016.34"/>
    <m/>
    <m/>
    <m/>
    <m/>
    <m/>
    <m/>
    <m/>
    <n v="0"/>
    <m/>
    <n v="0"/>
    <n v="0"/>
    <s v="Private Equity Fund"/>
    <n v="0.22529195000000002"/>
    <n v="0.13535582999999998"/>
    <m/>
    <m/>
    <m/>
    <m/>
    <m/>
    <m/>
    <m/>
    <m/>
    <m/>
    <m/>
    <m/>
    <m/>
    <m/>
    <d v="2017-11-30T00:00:00"/>
    <n v="-4.5176944179411427E-3"/>
    <x v="1"/>
    <n v="0"/>
    <x v="186"/>
  </r>
  <r>
    <d v="2017-12-18T00:00:00"/>
    <x v="6"/>
    <s v="Series 1a"/>
    <m/>
    <m/>
    <m/>
    <m/>
    <m/>
    <n v="-1837506.57"/>
    <m/>
    <m/>
    <n v="-1837506.57"/>
    <m/>
    <n v="-1837506.57"/>
    <n v="-1837506.57"/>
    <s v="Private Equity Fund"/>
    <n v="0"/>
    <n v="0"/>
    <m/>
    <m/>
    <m/>
    <m/>
    <m/>
    <m/>
    <m/>
    <m/>
    <m/>
    <m/>
    <m/>
    <m/>
    <m/>
    <d v="2017-12-18T00:00:00"/>
    <n v="-0.88345882756914806"/>
    <x v="1"/>
    <n v="0"/>
    <x v="187"/>
  </r>
  <r>
    <d v="2017-12-18T00:00:00"/>
    <x v="6"/>
    <s v="Series 1a"/>
    <m/>
    <m/>
    <m/>
    <n v="1837506.57"/>
    <m/>
    <m/>
    <m/>
    <m/>
    <n v="1837506.57"/>
    <m/>
    <n v="1837506.57"/>
    <n v="1837506.57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1a"/>
    <n v="17838440.370000001"/>
    <m/>
    <m/>
    <m/>
    <m/>
    <m/>
    <m/>
    <m/>
    <n v="0"/>
    <m/>
    <n v="0"/>
    <n v="0"/>
    <s v="Private Equity Fund"/>
    <n v="0.26887283000000001"/>
    <n v="0.50090124000000003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1a"/>
    <n v="18724846.699999999"/>
    <m/>
    <m/>
    <m/>
    <m/>
    <m/>
    <m/>
    <m/>
    <n v="0"/>
    <m/>
    <n v="0"/>
    <n v="0"/>
    <s v="Private Equity Fund"/>
    <m/>
    <n v="0.65732588999999997"/>
    <m/>
    <m/>
    <m/>
    <m/>
    <m/>
    <m/>
    <m/>
    <m/>
    <m/>
    <m/>
    <m/>
    <m/>
    <m/>
    <d v="2018-01-31T00:00:00"/>
    <n v="4.9690797604185377E-2"/>
    <x v="1"/>
    <n v="0"/>
    <x v="188"/>
  </r>
  <r>
    <d v="2018-02-28T00:00:00"/>
    <x v="6"/>
    <s v="Series 1a"/>
    <n v="18776004.09"/>
    <m/>
    <m/>
    <m/>
    <m/>
    <m/>
    <m/>
    <m/>
    <n v="0"/>
    <m/>
    <n v="0"/>
    <n v="0"/>
    <s v="Private Equity Fund"/>
    <m/>
    <n v="0.66635366000000007"/>
    <m/>
    <m/>
    <m/>
    <m/>
    <m/>
    <m/>
    <m/>
    <m/>
    <m/>
    <m/>
    <m/>
    <m/>
    <m/>
    <d v="2018-02-28T00:00:00"/>
    <n v="2.7320592162711765E-3"/>
    <x v="1"/>
    <n v="0"/>
    <x v="189"/>
  </r>
  <r>
    <d v="2018-03-31T00:00:00"/>
    <x v="6"/>
    <s v="Series 1a"/>
    <n v="18897873.370000001"/>
    <m/>
    <m/>
    <m/>
    <m/>
    <m/>
    <m/>
    <m/>
    <n v="0"/>
    <m/>
    <n v="0"/>
    <n v="0"/>
    <s v="Private Equity Fund"/>
    <n v="7.2709309999999999E-2"/>
    <n v="0.68786000999999997"/>
    <m/>
    <m/>
    <m/>
    <m/>
    <m/>
    <m/>
    <m/>
    <m/>
    <m/>
    <m/>
    <m/>
    <m/>
    <m/>
    <d v="2018-03-31T00:00:00"/>
    <n v="6.4906930897457027E-3"/>
    <x v="1"/>
    <n v="0"/>
    <x v="190"/>
  </r>
  <r>
    <d v="2018-04-30T00:00:00"/>
    <x v="6"/>
    <s v="Series 1a"/>
    <n v="18799244.719999999"/>
    <m/>
    <m/>
    <m/>
    <m/>
    <m/>
    <m/>
    <m/>
    <n v="0"/>
    <m/>
    <n v="0"/>
    <n v="0"/>
    <s v="Private Equity Fund"/>
    <m/>
    <n v="0.67045494999999999"/>
    <m/>
    <m/>
    <m/>
    <m/>
    <m/>
    <m/>
    <m/>
    <m/>
    <m/>
    <m/>
    <m/>
    <m/>
    <m/>
    <d v="2018-04-30T00:00:00"/>
    <n v="-5.2190343362430447E-3"/>
    <x v="1"/>
    <n v="0"/>
    <x v="191"/>
  </r>
  <r>
    <d v="2018-05-31T00:00:00"/>
    <x v="6"/>
    <s v="Series 1a"/>
    <n v="19039649.370000001"/>
    <m/>
    <m/>
    <m/>
    <m/>
    <m/>
    <m/>
    <m/>
    <n v="0"/>
    <m/>
    <n v="0"/>
    <n v="0"/>
    <s v="Private Equity Fund"/>
    <m/>
    <n v="0.71287929999999999"/>
    <m/>
    <m/>
    <m/>
    <m/>
    <m/>
    <m/>
    <m/>
    <m/>
    <m/>
    <m/>
    <m/>
    <m/>
    <m/>
    <d v="2018-05-31T00:00:00"/>
    <n v="1.278799513388118E-2"/>
    <x v="1"/>
    <n v="0"/>
    <x v="192"/>
  </r>
  <r>
    <d v="2018-06-30T00:00:00"/>
    <x v="6"/>
    <s v="Series 1a"/>
    <n v="18868621.899999999"/>
    <m/>
    <m/>
    <m/>
    <m/>
    <m/>
    <m/>
    <m/>
    <n v="0"/>
    <m/>
    <n v="0"/>
    <n v="0"/>
    <s v="Private Equity Fund"/>
    <n v="7.4200600000000005E-2"/>
    <n v="0.68269797999999993"/>
    <m/>
    <m/>
    <m/>
    <m/>
    <m/>
    <m/>
    <m/>
    <m/>
    <m/>
    <m/>
    <m/>
    <m/>
    <m/>
    <d v="2018-06-30T00:00:00"/>
    <n v="-8.9827006094704842E-3"/>
    <x v="1"/>
    <n v="0"/>
    <x v="193"/>
  </r>
  <r>
    <d v="2018-07-31T00:00:00"/>
    <x v="6"/>
    <s v="Series 1a"/>
    <n v="18765436.329999998"/>
    <m/>
    <m/>
    <m/>
    <m/>
    <m/>
    <m/>
    <m/>
    <n v="0"/>
    <m/>
    <n v="0"/>
    <n v="0"/>
    <s v="Private Equity Fund"/>
    <n v="0"/>
    <n v="0.66448876000000001"/>
    <m/>
    <m/>
    <m/>
    <m/>
    <m/>
    <m/>
    <m/>
    <m/>
    <m/>
    <m/>
    <m/>
    <m/>
    <m/>
    <d v="2018-07-31T00:00:00"/>
    <n v="-5.4686330854931686E-3"/>
    <x v="1"/>
    <n v="0"/>
    <x v="194"/>
  </r>
  <r>
    <d v="2018-08-31T00:00:00"/>
    <x v="6"/>
    <s v="Series 1a"/>
    <n v="18635387.879999999"/>
    <m/>
    <m/>
    <m/>
    <m/>
    <m/>
    <m/>
    <m/>
    <n v="0"/>
    <m/>
    <n v="0"/>
    <n v="0"/>
    <s v="Private Equity Fund"/>
    <n v="0"/>
    <n v="0.64153904000000006"/>
    <m/>
    <m/>
    <m/>
    <m/>
    <m/>
    <m/>
    <m/>
    <m/>
    <m/>
    <m/>
    <m/>
    <m/>
    <m/>
    <d v="2018-08-31T00:00:00"/>
    <n v="-6.9302118913213695E-3"/>
    <x v="1"/>
    <n v="0"/>
    <x v="195"/>
  </r>
  <r>
    <d v="2018-09-30T00:00:00"/>
    <x v="6"/>
    <s v="Series 1a"/>
    <n v="17887701.600000001"/>
    <m/>
    <m/>
    <m/>
    <m/>
    <m/>
    <m/>
    <m/>
    <n v="0"/>
    <e v="#DIV/0!"/>
    <n v="0"/>
    <n v="0"/>
    <s v="Private Equity Fund"/>
    <n v="6.9059110000000007E-2"/>
    <n v="0.5095944"/>
    <m/>
    <m/>
    <m/>
    <m/>
    <m/>
    <m/>
    <m/>
    <m/>
    <m/>
    <m/>
    <m/>
    <m/>
    <m/>
    <d v="2018-09-30T00:00:00"/>
    <n v="-4.0121852295998295E-2"/>
    <x v="1"/>
    <n v="0"/>
    <x v="196"/>
  </r>
  <r>
    <d v="2018-10-31T00:00:00"/>
    <x v="6"/>
    <s v="Series 1a"/>
    <n v="17808274.208500002"/>
    <m/>
    <n v="15"/>
    <m/>
    <n v="0"/>
    <n v="0"/>
    <n v="0"/>
    <m/>
    <n v="0"/>
    <e v="#DIV/0!"/>
    <n v="-17808274.208500002"/>
    <n v="-17808274.208500002"/>
    <s v="Private Equity Fund"/>
    <n v="9.3920669695228567E-2"/>
    <n v="0.49557780150000025"/>
    <m/>
    <m/>
    <m/>
    <m/>
    <m/>
    <m/>
    <m/>
    <m/>
    <m/>
    <m/>
    <m/>
    <m/>
    <m/>
    <d v="2018-10-31T00:00:00"/>
    <n v="-4.4403352245098171E-3"/>
    <x v="1"/>
    <n v="0"/>
    <x v="197"/>
  </r>
  <r>
    <d v="2016-08-15T00:00:00"/>
    <x v="6"/>
    <s v="Series 1b"/>
    <m/>
    <m/>
    <m/>
    <n v="95000"/>
    <m/>
    <m/>
    <m/>
    <m/>
    <n v="95000"/>
    <m/>
    <n v="95000"/>
    <n v="95000"/>
    <s v="Private Equity Fund"/>
    <n v="0"/>
    <n v="0"/>
    <m/>
    <m/>
    <m/>
    <m/>
    <m/>
    <m/>
    <m/>
    <m/>
    <m/>
    <m/>
    <m/>
    <m/>
    <m/>
    <d v="2016-08-15T00:00:00"/>
    <n v="-1"/>
    <x v="1"/>
    <n v="0"/>
    <x v="171"/>
  </r>
  <r>
    <d v="2016-08-23T00:00:00"/>
    <x v="6"/>
    <s v="Series 1b"/>
    <m/>
    <m/>
    <m/>
    <n v="112000"/>
    <m/>
    <m/>
    <m/>
    <m/>
    <n v="112000"/>
    <m/>
    <n v="112000"/>
    <n v="112000"/>
    <s v="Private Equity Fund"/>
    <n v="0"/>
    <n v="0"/>
    <m/>
    <m/>
    <m/>
    <m/>
    <m/>
    <m/>
    <m/>
    <m/>
    <m/>
    <m/>
    <m/>
    <m/>
    <m/>
    <d v="2016-08-23T00:00:00"/>
    <e v="#DIV/0!"/>
    <x v="1"/>
    <n v="0"/>
    <x v="171"/>
  </r>
  <r>
    <d v="2016-09-21T00:00:00"/>
    <x v="6"/>
    <s v="Series 1b"/>
    <m/>
    <m/>
    <m/>
    <n v="249000"/>
    <m/>
    <m/>
    <m/>
    <m/>
    <n v="249000"/>
    <m/>
    <n v="249000"/>
    <n v="249000"/>
    <s v="Private Equity Fund"/>
    <n v="0"/>
    <n v="0"/>
    <m/>
    <m/>
    <m/>
    <m/>
    <m/>
    <m/>
    <m/>
    <m/>
    <m/>
    <m/>
    <m/>
    <m/>
    <m/>
    <d v="2016-09-21T00:00:00"/>
    <e v="#DIV/0!"/>
    <x v="1"/>
    <n v="0"/>
    <x v="172"/>
  </r>
  <r>
    <d v="2016-09-30T00:00:00"/>
    <x v="6"/>
    <s v="Series 1b"/>
    <n v="472559.59"/>
    <m/>
    <m/>
    <m/>
    <m/>
    <m/>
    <m/>
    <m/>
    <n v="0"/>
    <m/>
    <n v="0"/>
    <n v="0"/>
    <s v="Private Equity Fund"/>
    <n v="9.1833000000000008E-4"/>
    <n v="2.9222800000000002E-3"/>
    <m/>
    <m/>
    <m/>
    <m/>
    <m/>
    <m/>
    <m/>
    <m/>
    <m/>
    <m/>
    <m/>
    <m/>
    <m/>
    <d v="2016-09-30T00:00:00"/>
    <e v="#DIV/0!"/>
    <x v="1"/>
    <n v="0"/>
    <x v="172"/>
  </r>
  <r>
    <d v="2016-10-12T00:00:00"/>
    <x v="6"/>
    <s v="Series 1b"/>
    <m/>
    <m/>
    <m/>
    <n v="195000"/>
    <m/>
    <m/>
    <m/>
    <m/>
    <n v="195000"/>
    <m/>
    <n v="195000"/>
    <n v="195000"/>
    <s v="Private Equity Fund"/>
    <n v="0"/>
    <n v="0"/>
    <m/>
    <m/>
    <m/>
    <m/>
    <m/>
    <m/>
    <m/>
    <m/>
    <m/>
    <m/>
    <m/>
    <m/>
    <m/>
    <d v="2016-10-12T00:00:00"/>
    <n v="-1.4126463712227277"/>
    <x v="1"/>
    <n v="0"/>
    <x v="173"/>
  </r>
  <r>
    <d v="2016-10-24T00:00:00"/>
    <x v="6"/>
    <s v="Series 1b"/>
    <m/>
    <m/>
    <m/>
    <n v="146000"/>
    <m/>
    <m/>
    <m/>
    <m/>
    <n v="146000"/>
    <m/>
    <n v="146000"/>
    <n v="146000"/>
    <s v="Private Equity Fund"/>
    <n v="0"/>
    <n v="0"/>
    <m/>
    <m/>
    <m/>
    <m/>
    <m/>
    <m/>
    <m/>
    <m/>
    <m/>
    <m/>
    <m/>
    <m/>
    <m/>
    <d v="2016-10-24T00:00:00"/>
    <e v="#DIV/0!"/>
    <x v="1"/>
    <n v="0"/>
    <x v="173"/>
  </r>
  <r>
    <d v="2016-10-31T00:00:00"/>
    <x v="6"/>
    <s v="Series 1b"/>
    <n v="842268.55"/>
    <m/>
    <m/>
    <m/>
    <m/>
    <m/>
    <m/>
    <m/>
    <n v="0"/>
    <m/>
    <n v="0"/>
    <n v="0"/>
    <s v="Private Equity Fund"/>
    <n v="1.0817299999999999E-3"/>
    <n v="7.9885700000000004E-3"/>
    <m/>
    <m/>
    <m/>
    <m/>
    <m/>
    <m/>
    <m/>
    <m/>
    <m/>
    <m/>
    <m/>
    <m/>
    <m/>
    <d v="2016-10-31T00:00:00"/>
    <e v="#DIV/0!"/>
    <x v="1"/>
    <n v="0"/>
    <x v="173"/>
  </r>
  <r>
    <d v="2016-11-21T00:00:00"/>
    <x v="6"/>
    <s v="Series 1b"/>
    <m/>
    <m/>
    <m/>
    <m/>
    <m/>
    <n v="-415869"/>
    <m/>
    <m/>
    <n v="-415869"/>
    <m/>
    <n v="-415869"/>
    <n v="-415869"/>
    <s v="Private Equity Fund"/>
    <n v="0"/>
    <n v="0"/>
    <m/>
    <m/>
    <m/>
    <m/>
    <m/>
    <m/>
    <m/>
    <m/>
    <m/>
    <m/>
    <m/>
    <m/>
    <m/>
    <d v="2016-11-21T00:00:00"/>
    <n v="-0.50625130191552326"/>
    <x v="1"/>
    <n v="0"/>
    <x v="174"/>
  </r>
  <r>
    <d v="2016-11-21T00:00:00"/>
    <x v="6"/>
    <s v="Series 1b"/>
    <m/>
    <m/>
    <m/>
    <n v="68000"/>
    <m/>
    <m/>
    <m/>
    <m/>
    <n v="68000"/>
    <m/>
    <n v="68000"/>
    <n v="68000"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1b"/>
    <m/>
    <m/>
    <m/>
    <n v="161000"/>
    <m/>
    <m/>
    <m/>
    <m/>
    <n v="161000"/>
    <m/>
    <n v="161000"/>
    <n v="161000"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1b"/>
    <n v="658449.07999999996"/>
    <m/>
    <m/>
    <m/>
    <m/>
    <m/>
    <m/>
    <m/>
    <n v="0"/>
    <m/>
    <n v="0"/>
    <n v="0"/>
    <s v="Private Equity Fund"/>
    <n v="1.67162E-3"/>
    <n v="8.5267199999999998E-3"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1b"/>
    <n v="651252.27"/>
    <m/>
    <m/>
    <m/>
    <m/>
    <m/>
    <m/>
    <m/>
    <n v="0"/>
    <m/>
    <n v="0"/>
    <n v="0"/>
    <s v="Private Equity Fund"/>
    <n v="2.7104899999999999E-3"/>
    <n v="7.2566999999999996E-3"/>
    <m/>
    <m/>
    <m/>
    <m/>
    <m/>
    <m/>
    <m/>
    <m/>
    <m/>
    <m/>
    <m/>
    <m/>
    <m/>
    <d v="2016-12-31T00:00:00"/>
    <n v="-1.0929941613708305E-2"/>
    <x v="1"/>
    <n v="0"/>
    <x v="175"/>
  </r>
  <r>
    <d v="2017-01-31T00:00:00"/>
    <x v="6"/>
    <s v="Series 1b"/>
    <n v="664227.72"/>
    <m/>
    <m/>
    <m/>
    <m/>
    <m/>
    <m/>
    <m/>
    <n v="0"/>
    <m/>
    <n v="0"/>
    <n v="0"/>
    <s v="Private Equity Fund"/>
    <n v="3.4933000000000004E-3"/>
    <n v="9.5464799999999995E-3"/>
    <m/>
    <m/>
    <m/>
    <m/>
    <m/>
    <m/>
    <m/>
    <m/>
    <m/>
    <m/>
    <m/>
    <m/>
    <m/>
    <d v="2017-01-31T00:00:00"/>
    <n v="1.9923846100375231E-2"/>
    <x v="1"/>
    <n v="0"/>
    <x v="176"/>
  </r>
  <r>
    <d v="2017-02-27T00:00:00"/>
    <x v="6"/>
    <s v="Series 1b"/>
    <m/>
    <m/>
    <m/>
    <n v="94000"/>
    <m/>
    <m/>
    <m/>
    <m/>
    <n v="94000"/>
    <m/>
    <n v="94000"/>
    <n v="94000"/>
    <s v="Private Equity Fund"/>
    <n v="0"/>
    <n v="0"/>
    <m/>
    <m/>
    <m/>
    <m/>
    <m/>
    <m/>
    <m/>
    <m/>
    <m/>
    <m/>
    <m/>
    <m/>
    <m/>
    <d v="2017-02-27T00:00:00"/>
    <n v="-1.1415177312985372"/>
    <x v="1"/>
    <n v="0"/>
    <x v="177"/>
  </r>
  <r>
    <d v="2017-02-28T00:00:00"/>
    <x v="6"/>
    <s v="Series 1b"/>
    <n v="708820.35"/>
    <m/>
    <m/>
    <m/>
    <m/>
    <m/>
    <m/>
    <m/>
    <n v="0"/>
    <m/>
    <n v="0"/>
    <n v="0"/>
    <s v="Private Equity Fund"/>
    <n v="3.1684199999999999E-3"/>
    <n v="1.9156999999999998E-4"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1b"/>
    <n v="761119.1"/>
    <m/>
    <m/>
    <m/>
    <m/>
    <m/>
    <m/>
    <m/>
    <n v="0"/>
    <m/>
    <n v="0"/>
    <n v="0"/>
    <s v="Private Equity Fund"/>
    <n v="5.4525699999999995E-3"/>
    <n v="1.005672E-2"/>
    <m/>
    <m/>
    <m/>
    <m/>
    <m/>
    <m/>
    <m/>
    <m/>
    <m/>
    <m/>
    <m/>
    <m/>
    <m/>
    <d v="2017-03-31T00:00:00"/>
    <n v="7.378279983073277E-2"/>
    <x v="1"/>
    <n v="0"/>
    <x v="178"/>
  </r>
  <r>
    <d v="2017-04-10T00:00:00"/>
    <x v="6"/>
    <s v="Series 1b"/>
    <m/>
    <m/>
    <m/>
    <n v="108000"/>
    <m/>
    <m/>
    <m/>
    <m/>
    <n v="108000"/>
    <m/>
    <n v="108000"/>
    <n v="108000"/>
    <s v="Private Equity Fund"/>
    <n v="0"/>
    <n v="0"/>
    <m/>
    <m/>
    <m/>
    <m/>
    <m/>
    <m/>
    <m/>
    <m/>
    <m/>
    <m/>
    <m/>
    <m/>
    <m/>
    <d v="2017-04-10T00:00:00"/>
    <n v="-1.1418963208254793"/>
    <x v="1"/>
    <n v="0"/>
    <x v="179"/>
  </r>
  <r>
    <d v="2017-04-30T00:00:00"/>
    <x v="6"/>
    <s v="Series 1b"/>
    <n v="874086.2"/>
    <m/>
    <m/>
    <m/>
    <m/>
    <m/>
    <m/>
    <m/>
    <n v="0"/>
    <m/>
    <n v="0"/>
    <n v="0"/>
    <s v="Private Equity Fund"/>
    <n v="5.8760000000000001E-3"/>
    <n v="1.093327E-2"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1b"/>
    <m/>
    <m/>
    <m/>
    <n v="187869"/>
    <m/>
    <m/>
    <m/>
    <m/>
    <n v="187869"/>
    <m/>
    <n v="187869"/>
    <n v="187869"/>
    <s v="Private Equity Fund"/>
    <n v="0"/>
    <n v="0"/>
    <m/>
    <m/>
    <m/>
    <m/>
    <m/>
    <m/>
    <m/>
    <m/>
    <m/>
    <m/>
    <m/>
    <m/>
    <m/>
    <d v="2017-05-26T00:00:00"/>
    <n v="-1.2149318911567304"/>
    <x v="1"/>
    <n v="0"/>
    <x v="180"/>
  </r>
  <r>
    <d v="2017-05-31T00:00:00"/>
    <x v="6"/>
    <s v="Series 1b"/>
    <n v="1059898.97"/>
    <m/>
    <m/>
    <m/>
    <m/>
    <m/>
    <m/>
    <m/>
    <n v="0"/>
    <m/>
    <n v="0"/>
    <n v="0"/>
    <s v="Private Equity Fund"/>
    <n v="7.9656399999999995E-3"/>
    <n v="1.0570410000000001E-2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1b"/>
    <n v="1055904.17"/>
    <m/>
    <m/>
    <m/>
    <m/>
    <m/>
    <m/>
    <m/>
    <n v="0"/>
    <m/>
    <n v="0"/>
    <n v="0"/>
    <s v="Private Equity Fund"/>
    <n v="9.366600000000001E-3"/>
    <n v="9.8654400000000014E-3"/>
    <m/>
    <m/>
    <m/>
    <m/>
    <m/>
    <m/>
    <m/>
    <m/>
    <m/>
    <m/>
    <m/>
    <m/>
    <m/>
    <d v="2017-06-30T00:00:00"/>
    <n v="-3.7690384773183538E-3"/>
    <x v="1"/>
    <n v="0"/>
    <x v="181"/>
  </r>
  <r>
    <d v="2017-07-31T00:00:00"/>
    <x v="6"/>
    <s v="Series 1b"/>
    <n v="956003.86"/>
    <m/>
    <m/>
    <m/>
    <m/>
    <m/>
    <m/>
    <m/>
    <n v="0"/>
    <m/>
    <n v="0"/>
    <n v="0"/>
    <s v="Private Equity Fund"/>
    <n v="9.683569999999999E-3"/>
    <n v="8.9433299999999993E-3"/>
    <m/>
    <m/>
    <m/>
    <m/>
    <m/>
    <m/>
    <m/>
    <m/>
    <m/>
    <m/>
    <m/>
    <m/>
    <m/>
    <d v="2017-07-31T00:00:00"/>
    <n v="-9.4611152070741333E-2"/>
    <x v="1"/>
    <n v="0"/>
    <x v="182"/>
  </r>
  <r>
    <d v="2017-08-11T00:00:00"/>
    <x v="6"/>
    <s v="Series 1b"/>
    <m/>
    <m/>
    <m/>
    <m/>
    <m/>
    <n v="-94675"/>
    <m/>
    <m/>
    <n v="-94675"/>
    <m/>
    <n v="-94675"/>
    <n v="-94675"/>
    <s v="Private Equity Fund"/>
    <n v="0"/>
    <n v="0"/>
    <m/>
    <m/>
    <m/>
    <m/>
    <m/>
    <m/>
    <m/>
    <m/>
    <m/>
    <m/>
    <m/>
    <m/>
    <m/>
    <d v="2017-08-11T00:00:00"/>
    <n v="-0.90096797307910448"/>
    <x v="1"/>
    <n v="0"/>
    <x v="183"/>
  </r>
  <r>
    <d v="2017-08-11T00:00:00"/>
    <x v="6"/>
    <s v="Series 1b"/>
    <m/>
    <m/>
    <m/>
    <n v="94675"/>
    <m/>
    <m/>
    <m/>
    <m/>
    <n v="94675"/>
    <m/>
    <n v="94675"/>
    <n v="94675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1b"/>
    <n v="1048850.3799999999"/>
    <m/>
    <m/>
    <m/>
    <m/>
    <m/>
    <m/>
    <m/>
    <n v="0"/>
    <m/>
    <n v="0"/>
    <n v="0"/>
    <s v="Private Equity Fund"/>
    <n v="1.113782E-2"/>
    <n v="8.6206499999999988E-3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1b"/>
    <n v="1052476.8400000001"/>
    <m/>
    <m/>
    <m/>
    <m/>
    <m/>
    <m/>
    <m/>
    <n v="0"/>
    <m/>
    <n v="0"/>
    <n v="0"/>
    <s v="Private Equity Fund"/>
    <n v="1.237824E-2"/>
    <n v="9.2606200000000007E-3"/>
    <m/>
    <m/>
    <m/>
    <m/>
    <m/>
    <m/>
    <m/>
    <m/>
    <m/>
    <m/>
    <m/>
    <m/>
    <m/>
    <d v="2017-09-30T00:00:00"/>
    <n v="3.4575570254360422E-3"/>
    <x v="1"/>
    <n v="0"/>
    <x v="184"/>
  </r>
  <r>
    <d v="2017-10-31T00:00:00"/>
    <x v="6"/>
    <s v="Series 1b"/>
    <n v="1054949.6399999999"/>
    <m/>
    <m/>
    <m/>
    <m/>
    <m/>
    <m/>
    <m/>
    <n v="0"/>
    <m/>
    <n v="0"/>
    <n v="0"/>
    <s v="Private Equity Fund"/>
    <n v="1.237824E-2"/>
    <n v="9.6970000000000008E-3"/>
    <m/>
    <m/>
    <m/>
    <m/>
    <m/>
    <m/>
    <m/>
    <m/>
    <m/>
    <m/>
    <m/>
    <m/>
    <m/>
    <d v="2017-10-31T00:00:00"/>
    <n v="2.3495053819899692E-3"/>
    <x v="1"/>
    <n v="0"/>
    <x v="185"/>
  </r>
  <r>
    <d v="2017-11-30T00:00:00"/>
    <x v="6"/>
    <s v="Series 1b"/>
    <n v="1050179.3799999999"/>
    <m/>
    <m/>
    <m/>
    <m/>
    <m/>
    <m/>
    <m/>
    <n v="0"/>
    <m/>
    <n v="0"/>
    <n v="0"/>
    <s v="Private Equity Fund"/>
    <n v="1.5019459999999998E-2"/>
    <n v="8.8551900000000006E-3"/>
    <m/>
    <m/>
    <m/>
    <m/>
    <m/>
    <m/>
    <m/>
    <m/>
    <m/>
    <m/>
    <m/>
    <m/>
    <m/>
    <d v="2017-11-30T00:00:00"/>
    <n v="-4.5217893055066183E-3"/>
    <x v="1"/>
    <n v="0"/>
    <x v="186"/>
  </r>
  <r>
    <d v="2017-12-18T00:00:00"/>
    <x v="6"/>
    <s v="Series 1b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  <m/>
    <m/>
    <m/>
    <d v="2017-12-18T00:00:00"/>
    <n v="-0.88335284206399101"/>
    <x v="1"/>
    <n v="0"/>
    <x v="187"/>
  </r>
  <r>
    <d v="2017-12-18T00:00:00"/>
    <x v="6"/>
    <s v="Series 1b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1b"/>
    <n v="1188274.27"/>
    <m/>
    <m/>
    <m/>
    <m/>
    <m/>
    <m/>
    <m/>
    <n v="0"/>
    <m/>
    <n v="0"/>
    <n v="0"/>
    <s v="Private Equity Fund"/>
    <n v="1.7924860000000001E-2"/>
    <n v="3.3224870000000004E-2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1b"/>
    <n v="1247368.08"/>
    <m/>
    <m/>
    <m/>
    <m/>
    <m/>
    <m/>
    <m/>
    <n v="0"/>
    <m/>
    <n v="0"/>
    <n v="0"/>
    <s v="Private Equity Fund"/>
    <m/>
    <n v="4.3653190000000001E-2"/>
    <m/>
    <m/>
    <m/>
    <m/>
    <m/>
    <m/>
    <m/>
    <m/>
    <m/>
    <m/>
    <m/>
    <m/>
    <m/>
    <d v="2018-01-31T00:00:00"/>
    <n v="4.9730783112891919E-2"/>
    <x v="1"/>
    <n v="0"/>
    <x v="188"/>
  </r>
  <r>
    <d v="2018-02-28T00:00:00"/>
    <x v="6"/>
    <s v="Series 1b"/>
    <n v="1250780.22"/>
    <m/>
    <m/>
    <m/>
    <m/>
    <m/>
    <m/>
    <m/>
    <n v="0"/>
    <m/>
    <n v="0"/>
    <n v="0"/>
    <s v="Private Equity Fund"/>
    <m/>
    <n v="4.4255330000000002E-2"/>
    <m/>
    <m/>
    <m/>
    <m/>
    <m/>
    <m/>
    <m/>
    <m/>
    <m/>
    <m/>
    <m/>
    <m/>
    <m/>
    <d v="2018-02-28T00:00:00"/>
    <n v="2.7354716340022289E-3"/>
    <x v="1"/>
    <n v="0"/>
    <x v="189"/>
  </r>
  <r>
    <d v="2018-03-31T00:00:00"/>
    <x v="6"/>
    <s v="Series 1b"/>
    <n v="1258903.1299999999"/>
    <m/>
    <m/>
    <m/>
    <m/>
    <m/>
    <m/>
    <m/>
    <n v="0"/>
    <m/>
    <n v="0"/>
    <n v="0"/>
    <s v="Private Equity Fund"/>
    <n v="4.8472899999999998E-3"/>
    <n v="4.568879E-2"/>
    <m/>
    <m/>
    <m/>
    <m/>
    <m/>
    <m/>
    <m/>
    <m/>
    <m/>
    <m/>
    <m/>
    <m/>
    <m/>
    <d v="2018-03-31T00:00:00"/>
    <n v="6.4942744297633581E-3"/>
    <x v="1"/>
    <n v="0"/>
    <x v="190"/>
  </r>
  <r>
    <d v="2018-04-30T00:00:00"/>
    <x v="6"/>
    <s v="Series 1b"/>
    <n v="1252327.6499999999"/>
    <m/>
    <m/>
    <m/>
    <m/>
    <m/>
    <m/>
    <m/>
    <n v="0"/>
    <m/>
    <n v="0"/>
    <n v="0"/>
    <s v="Private Equity Fund"/>
    <m/>
    <n v="4.4528410000000004E-2"/>
    <m/>
    <m/>
    <m/>
    <m/>
    <m/>
    <m/>
    <m/>
    <m/>
    <m/>
    <m/>
    <m/>
    <m/>
    <m/>
    <d v="2018-04-30T00:00:00"/>
    <n v="-5.2231818662648033E-3"/>
    <x v="1"/>
    <n v="0"/>
    <x v="191"/>
  </r>
  <r>
    <d v="2018-05-31T00:00:00"/>
    <x v="6"/>
    <s v="Series 1b"/>
    <n v="1268354.6100000001"/>
    <m/>
    <m/>
    <m/>
    <m/>
    <m/>
    <m/>
    <m/>
    <n v="0"/>
    <m/>
    <n v="0"/>
    <n v="0"/>
    <s v="Private Equity Fund"/>
    <m/>
    <n v="4.7356699999999995E-2"/>
    <m/>
    <m/>
    <m/>
    <m/>
    <m/>
    <m/>
    <m/>
    <m/>
    <m/>
    <m/>
    <m/>
    <m/>
    <m/>
    <d v="2018-05-31T00:00:00"/>
    <n v="1.2797737077832716E-2"/>
    <x v="1"/>
    <n v="0"/>
    <x v="192"/>
  </r>
  <r>
    <d v="2018-06-30T00:00:00"/>
    <x v="6"/>
    <s v="Series 1b"/>
    <n v="1256953.04"/>
    <m/>
    <m/>
    <m/>
    <m/>
    <m/>
    <m/>
    <m/>
    <n v="0"/>
    <m/>
    <n v="0"/>
    <n v="0"/>
    <s v="Private Equity Fund"/>
    <n v="4.94671E-3"/>
    <n v="4.534465E-2"/>
    <m/>
    <m/>
    <m/>
    <m/>
    <m/>
    <m/>
    <m/>
    <m/>
    <m/>
    <m/>
    <m/>
    <m/>
    <m/>
    <d v="2018-06-30T00:00:00"/>
    <n v="-8.9892605034171957E-3"/>
    <x v="1"/>
    <n v="0"/>
    <x v="193"/>
  </r>
  <r>
    <d v="2018-07-31T00:00:00"/>
    <x v="6"/>
    <s v="Series 1b"/>
    <n v="1250073.73"/>
    <m/>
    <m/>
    <m/>
    <m/>
    <m/>
    <m/>
    <m/>
    <n v="0"/>
    <m/>
    <n v="0"/>
    <n v="0"/>
    <s v="Private Equity Fund"/>
    <n v="0"/>
    <n v="4.4130660000000002E-2"/>
    <m/>
    <m/>
    <m/>
    <m/>
    <m/>
    <m/>
    <m/>
    <m/>
    <m/>
    <m/>
    <m/>
    <m/>
    <m/>
    <d v="2018-07-31T00:00:00"/>
    <n v="-5.473004783058566E-3"/>
    <x v="1"/>
    <n v="0"/>
    <x v="194"/>
  </r>
  <r>
    <d v="2018-08-31T00:00:00"/>
    <x v="6"/>
    <s v="Series 1b"/>
    <n v="1241403.83"/>
    <m/>
    <m/>
    <m/>
    <m/>
    <m/>
    <m/>
    <m/>
    <n v="0"/>
    <m/>
    <n v="0"/>
    <n v="0"/>
    <s v="Private Equity Fund"/>
    <n v="0"/>
    <n v="4.2600680000000002E-2"/>
    <m/>
    <m/>
    <m/>
    <m/>
    <m/>
    <m/>
    <m/>
    <m/>
    <m/>
    <m/>
    <m/>
    <m/>
    <m/>
    <d v="2018-08-31T00:00:00"/>
    <n v="-6.9355109158241168E-3"/>
    <x v="1"/>
    <n v="0"/>
    <x v="195"/>
  </r>
  <r>
    <d v="2018-09-30T00:00:00"/>
    <x v="6"/>
    <s v="Series 1b"/>
    <n v="1191558.3500000001"/>
    <m/>
    <m/>
    <m/>
    <m/>
    <m/>
    <m/>
    <m/>
    <n v="0"/>
    <e v="#DIV/0!"/>
    <n v="0"/>
    <n v="0"/>
    <s v="Private Equity Fund"/>
    <n v="4.6039399999999999E-3"/>
    <n v="3.3804420000000002E-2"/>
    <m/>
    <m/>
    <m/>
    <m/>
    <m/>
    <m/>
    <m/>
    <m/>
    <m/>
    <m/>
    <m/>
    <m/>
    <m/>
    <d v="2018-09-30T00:00:00"/>
    <n v="-4.0152510243181672E-2"/>
    <x v="1"/>
    <n v="0"/>
    <x v="196"/>
  </r>
  <r>
    <d v="2018-10-31T00:00:00"/>
    <x v="6"/>
    <s v="Series 1b"/>
    <n v="1186262.9140000001"/>
    <m/>
    <n v="1"/>
    <m/>
    <n v="0"/>
    <n v="0"/>
    <n v="0"/>
    <m/>
    <n v="0"/>
    <e v="#DIV/0!"/>
    <n v="-1186262.9140000001"/>
    <n v="-1186262.9140000001"/>
    <s v="Private Equity Fund"/>
    <n v="6.2613775611426569E-3"/>
    <n v="3.2869926000000015E-2"/>
    <m/>
    <m/>
    <m/>
    <m/>
    <m/>
    <m/>
    <m/>
    <m/>
    <m/>
    <m/>
    <m/>
    <m/>
    <m/>
    <d v="2018-10-31T00:00:00"/>
    <n v="-4.4441264668239056E-3"/>
    <x v="1"/>
    <n v="0"/>
    <x v="197"/>
  </r>
  <r>
    <d v="2016-08-15T00:00:00"/>
    <x v="6"/>
    <s v="Series 1GP"/>
    <m/>
    <m/>
    <m/>
    <n v="900000"/>
    <m/>
    <m/>
    <m/>
    <m/>
    <n v="900000"/>
    <m/>
    <n v="900000"/>
    <m/>
    <s v="Private Equity Fund"/>
    <n v="0"/>
    <n v="0"/>
    <m/>
    <m/>
    <m/>
    <m/>
    <m/>
    <m/>
    <m/>
    <m/>
    <m/>
    <m/>
    <m/>
    <m/>
    <m/>
    <d v="2016-08-15T00:00:00"/>
    <n v="-1"/>
    <x v="1"/>
    <n v="0"/>
    <x v="171"/>
  </r>
  <r>
    <d v="2016-08-23T00:00:00"/>
    <x v="6"/>
    <s v="Series 1GP"/>
    <m/>
    <m/>
    <m/>
    <n v="2240000"/>
    <m/>
    <m/>
    <m/>
    <m/>
    <n v="2240000"/>
    <m/>
    <n v="2240000"/>
    <m/>
    <s v="Private Equity Fund"/>
    <n v="0"/>
    <n v="0"/>
    <m/>
    <m/>
    <m/>
    <m/>
    <m/>
    <m/>
    <m/>
    <m/>
    <m/>
    <m/>
    <m/>
    <m/>
    <m/>
    <d v="2016-08-23T00:00:00"/>
    <e v="#DIV/0!"/>
    <x v="1"/>
    <n v="0"/>
    <x v="171"/>
  </r>
  <r>
    <d v="2016-09-21T00:00:00"/>
    <x v="6"/>
    <s v="Series 1GP"/>
    <m/>
    <m/>
    <m/>
    <n v="4980000"/>
    <m/>
    <m/>
    <m/>
    <m/>
    <n v="4980000"/>
    <m/>
    <n v="4980000"/>
    <m/>
    <s v="Private Equity Fund"/>
    <n v="0"/>
    <n v="0"/>
    <m/>
    <m/>
    <m/>
    <m/>
    <m/>
    <m/>
    <m/>
    <m/>
    <m/>
    <m/>
    <m/>
    <m/>
    <m/>
    <d v="2016-09-21T00:00:00"/>
    <e v="#DIV/0!"/>
    <x v="1"/>
    <n v="0"/>
    <x v="172"/>
  </r>
  <r>
    <d v="2016-09-30T00:00:00"/>
    <x v="6"/>
    <s v="Series 1GP"/>
    <n v="8582644.8699999992"/>
    <m/>
    <m/>
    <m/>
    <m/>
    <m/>
    <m/>
    <m/>
    <n v="0"/>
    <m/>
    <n v="0"/>
    <m/>
    <s v="Private Equity Fund"/>
    <n v="0"/>
    <n v="-4.7655080000000002E-2"/>
    <m/>
    <m/>
    <m/>
    <m/>
    <m/>
    <m/>
    <m/>
    <m/>
    <m/>
    <m/>
    <m/>
    <m/>
    <m/>
    <d v="2016-09-30T00:00:00"/>
    <e v="#DIV/0!"/>
    <x v="1"/>
    <n v="0"/>
    <x v="172"/>
  </r>
  <r>
    <d v="2016-10-12T00:00:00"/>
    <x v="6"/>
    <s v="Series 1GP"/>
    <m/>
    <m/>
    <m/>
    <n v="3900000"/>
    <m/>
    <m/>
    <m/>
    <m/>
    <n v="3900000"/>
    <m/>
    <n v="3900000"/>
    <m/>
    <s v="Private Equity Fund"/>
    <n v="0"/>
    <n v="0"/>
    <m/>
    <m/>
    <m/>
    <m/>
    <m/>
    <m/>
    <m/>
    <m/>
    <m/>
    <m/>
    <m/>
    <m/>
    <m/>
    <d v="2016-10-12T00:00:00"/>
    <n v="-1.4544053795855123"/>
    <x v="1"/>
    <n v="0"/>
    <x v="173"/>
  </r>
  <r>
    <d v="2016-10-24T00:00:00"/>
    <x v="6"/>
    <s v="Series 1GP"/>
    <m/>
    <m/>
    <m/>
    <n v="2920000"/>
    <m/>
    <m/>
    <m/>
    <m/>
    <n v="2920000"/>
    <m/>
    <n v="2920000"/>
    <m/>
    <s v="Private Equity Fund"/>
    <n v="0"/>
    <n v="0"/>
    <m/>
    <m/>
    <m/>
    <m/>
    <m/>
    <m/>
    <m/>
    <m/>
    <m/>
    <m/>
    <m/>
    <m/>
    <m/>
    <d v="2016-10-24T00:00:00"/>
    <e v="#DIV/0!"/>
    <x v="1"/>
    <n v="0"/>
    <x v="173"/>
  </r>
  <r>
    <d v="2016-10-31T00:00:00"/>
    <x v="6"/>
    <s v="Series 1GP"/>
    <n v="16182831"/>
    <m/>
    <m/>
    <m/>
    <m/>
    <m/>
    <m/>
    <m/>
    <n v="0"/>
    <m/>
    <n v="0"/>
    <m/>
    <s v="Private Equity Fund"/>
    <n v="0"/>
    <n v="-0.12898229"/>
    <m/>
    <m/>
    <m/>
    <m/>
    <m/>
    <m/>
    <m/>
    <m/>
    <m/>
    <m/>
    <m/>
    <m/>
    <m/>
    <d v="2016-10-31T00:00:00"/>
    <e v="#DIV/0!"/>
    <x v="1"/>
    <n v="0"/>
    <x v="173"/>
  </r>
  <r>
    <d v="2016-11-21T00:00:00"/>
    <x v="6"/>
    <s v="Series 1GP"/>
    <m/>
    <m/>
    <m/>
    <m/>
    <m/>
    <n v="-8317379"/>
    <m/>
    <m/>
    <n v="-8317379"/>
    <m/>
    <n v="-8317379"/>
    <m/>
    <s v="Private Equity Fund"/>
    <n v="0"/>
    <n v="0"/>
    <m/>
    <m/>
    <m/>
    <m/>
    <m/>
    <m/>
    <m/>
    <m/>
    <m/>
    <m/>
    <m/>
    <m/>
    <m/>
    <d v="2016-11-21T00:00:00"/>
    <n v="-0.48603683743592208"/>
    <x v="1"/>
    <n v="0"/>
    <x v="174"/>
  </r>
  <r>
    <d v="2016-11-21T00:00:00"/>
    <x v="6"/>
    <s v="Series 1GP"/>
    <m/>
    <m/>
    <m/>
    <n v="1360000"/>
    <m/>
    <m/>
    <m/>
    <m/>
    <n v="1360000"/>
    <m/>
    <n v="1360000"/>
    <m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1GP"/>
    <m/>
    <m/>
    <m/>
    <n v="3220000"/>
    <m/>
    <m/>
    <m/>
    <m/>
    <n v="3220000"/>
    <m/>
    <n v="3220000"/>
    <m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1GP"/>
    <n v="12535756.279999999"/>
    <m/>
    <m/>
    <m/>
    <m/>
    <m/>
    <m/>
    <m/>
    <n v="0"/>
    <m/>
    <n v="0"/>
    <m/>
    <s v="Private Equity Fund"/>
    <n v="0"/>
    <n v="-0.13746847000000001"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1GP"/>
    <n v="12357292.130000001"/>
    <m/>
    <m/>
    <m/>
    <m/>
    <m/>
    <m/>
    <m/>
    <n v="0"/>
    <m/>
    <n v="0"/>
    <m/>
    <s v="Private Equity Fund"/>
    <n v="0"/>
    <n v="-0.11780549"/>
    <m/>
    <m/>
    <m/>
    <m/>
    <m/>
    <m/>
    <m/>
    <m/>
    <m/>
    <m/>
    <m/>
    <m/>
    <m/>
    <d v="2016-12-31T00:00:00"/>
    <n v="-1.4236408718692695E-2"/>
    <x v="1"/>
    <n v="0"/>
    <x v="175"/>
  </r>
  <r>
    <d v="2017-01-31T00:00:00"/>
    <x v="6"/>
    <s v="Series 1GP"/>
    <n v="12729217.140000001"/>
    <m/>
    <m/>
    <m/>
    <m/>
    <m/>
    <m/>
    <m/>
    <n v="0"/>
    <m/>
    <n v="0"/>
    <m/>
    <s v="Private Equity Fund"/>
    <n v="0"/>
    <n v="-0.15880621"/>
    <m/>
    <m/>
    <m/>
    <m/>
    <m/>
    <m/>
    <m/>
    <m/>
    <m/>
    <m/>
    <m/>
    <m/>
    <m/>
    <d v="2017-01-31T00:00:00"/>
    <n v="3.0097614112162274E-2"/>
    <x v="1"/>
    <n v="0"/>
    <x v="176"/>
  </r>
  <r>
    <d v="2017-02-27T00:00:00"/>
    <x v="6"/>
    <s v="Series 1GP"/>
    <m/>
    <m/>
    <m/>
    <n v="1880000"/>
    <m/>
    <m/>
    <m/>
    <m/>
    <n v="1880000"/>
    <m/>
    <n v="1880000"/>
    <m/>
    <s v="Private Equity Fund"/>
    <n v="0"/>
    <n v="0"/>
    <m/>
    <m/>
    <m/>
    <m/>
    <m/>
    <m/>
    <m/>
    <m/>
    <m/>
    <m/>
    <m/>
    <m/>
    <m/>
    <d v="2017-02-27T00:00:00"/>
    <n v="-1.1476917220692489"/>
    <x v="1"/>
    <n v="0"/>
    <x v="177"/>
  </r>
  <r>
    <d v="2017-02-28T00:00:00"/>
    <x v="6"/>
    <s v="Series 1GP"/>
    <n v="15202436.27"/>
    <m/>
    <m/>
    <m/>
    <m/>
    <m/>
    <m/>
    <m/>
    <n v="0"/>
    <m/>
    <n v="0"/>
    <m/>
    <s v="Private Equity Fund"/>
    <n v="0"/>
    <n v="-3.393695E-2"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1GP"/>
    <n v="14725352.25"/>
    <m/>
    <m/>
    <m/>
    <m/>
    <m/>
    <m/>
    <m/>
    <n v="0"/>
    <m/>
    <n v="0"/>
    <m/>
    <s v="Private Equity Fund"/>
    <n v="0"/>
    <n v="-0.17031079999999998"/>
    <m/>
    <m/>
    <m/>
    <m/>
    <m/>
    <m/>
    <m/>
    <m/>
    <m/>
    <m/>
    <m/>
    <m/>
    <m/>
    <d v="2017-03-31T00:00:00"/>
    <n v="-3.1382076630800393E-2"/>
    <x v="1"/>
    <n v="0"/>
    <x v="178"/>
  </r>
  <r>
    <d v="2017-04-10T00:00:00"/>
    <x v="6"/>
    <s v="Series 1GP"/>
    <m/>
    <m/>
    <m/>
    <n v="2160000"/>
    <m/>
    <m/>
    <m/>
    <m/>
    <n v="2160000"/>
    <m/>
    <n v="2160000"/>
    <m/>
    <s v="Private Equity Fund"/>
    <n v="0"/>
    <n v="0"/>
    <m/>
    <m/>
    <m/>
    <m/>
    <m/>
    <m/>
    <m/>
    <m/>
    <m/>
    <m/>
    <m/>
    <m/>
    <m/>
    <d v="2017-04-10T00:00:00"/>
    <n v="-1.1466857949017824"/>
    <x v="1"/>
    <n v="0"/>
    <x v="179"/>
  </r>
  <r>
    <d v="2017-04-30T00:00:00"/>
    <x v="6"/>
    <s v="Series 1GP"/>
    <n v="17033301.52"/>
    <m/>
    <m/>
    <m/>
    <m/>
    <m/>
    <m/>
    <m/>
    <n v="0"/>
    <m/>
    <n v="0"/>
    <m/>
    <s v="Private Equity Fund"/>
    <n v="0"/>
    <n v="-0.18718485999999998"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1GP"/>
    <m/>
    <m/>
    <m/>
    <m/>
    <m/>
    <n v="-1189669"/>
    <m/>
    <m/>
    <n v="-1189669"/>
    <m/>
    <n v="-1189669"/>
    <m/>
    <s v="Private Equity Fund"/>
    <n v="0"/>
    <n v="0"/>
    <m/>
    <m/>
    <m/>
    <m/>
    <m/>
    <m/>
    <m/>
    <m/>
    <m/>
    <m/>
    <m/>
    <m/>
    <m/>
    <d v="2017-05-26T00:00:00"/>
    <n v="-0.9301562883388681"/>
    <x v="1"/>
    <n v="0"/>
    <x v="180"/>
  </r>
  <r>
    <d v="2017-05-26T00:00:00"/>
    <x v="6"/>
    <s v="Series 1GP"/>
    <m/>
    <m/>
    <m/>
    <n v="4386072"/>
    <m/>
    <m/>
    <m/>
    <m/>
    <n v="4386072"/>
    <m/>
    <n v="4386072"/>
    <m/>
    <s v="Private Equity Fund"/>
    <n v="0"/>
    <n v="0"/>
    <m/>
    <m/>
    <m/>
    <m/>
    <m/>
    <m/>
    <m/>
    <m/>
    <m/>
    <m/>
    <m/>
    <m/>
    <m/>
    <d v="2017-05-26T00:00:00"/>
    <e v="#DIV/0!"/>
    <x v="1"/>
    <n v="0"/>
    <x v="180"/>
  </r>
  <r>
    <d v="2017-05-31T00:00:00"/>
    <x v="6"/>
    <s v="Series 1GP"/>
    <n v="19093188.699999999"/>
    <m/>
    <m/>
    <m/>
    <m/>
    <m/>
    <m/>
    <m/>
    <n v="0"/>
    <m/>
    <n v="0"/>
    <m/>
    <s v="Private Equity Fund"/>
    <n v="0"/>
    <n v="-0.12330902000000001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1GP"/>
    <n v="20016985.48"/>
    <m/>
    <m/>
    <m/>
    <m/>
    <m/>
    <m/>
    <m/>
    <n v="0"/>
    <m/>
    <n v="0"/>
    <m/>
    <s v="Private Equity Fund"/>
    <n v="0"/>
    <n v="-0.17180442000000001"/>
    <m/>
    <m/>
    <m/>
    <m/>
    <m/>
    <m/>
    <m/>
    <m/>
    <m/>
    <m/>
    <m/>
    <m/>
    <m/>
    <d v="2017-06-30T00:00:00"/>
    <n v="4.8383577751996976E-2"/>
    <x v="1"/>
    <n v="0"/>
    <x v="181"/>
  </r>
  <r>
    <d v="2017-07-31T00:00:00"/>
    <x v="6"/>
    <s v="Series 1GP"/>
    <n v="18149798.98"/>
    <m/>
    <m/>
    <m/>
    <m/>
    <m/>
    <m/>
    <m/>
    <n v="0"/>
    <m/>
    <n v="0"/>
    <m/>
    <s v="Private Equity Fund"/>
    <n v="0"/>
    <n v="-0.15047690999999999"/>
    <m/>
    <m/>
    <m/>
    <m/>
    <m/>
    <m/>
    <m/>
    <m/>
    <m/>
    <m/>
    <m/>
    <m/>
    <m/>
    <d v="2017-07-31T00:00:00"/>
    <n v="-9.3280104632418426E-2"/>
    <x v="1"/>
    <n v="0"/>
    <x v="182"/>
  </r>
  <r>
    <d v="2017-08-11T00:00:00"/>
    <x v="6"/>
    <s v="Series 1GP"/>
    <m/>
    <m/>
    <m/>
    <m/>
    <m/>
    <n v="-1745715"/>
    <m/>
    <m/>
    <n v="-1745715"/>
    <m/>
    <n v="-1745715"/>
    <m/>
    <s v="Private Equity Fund"/>
    <n v="0"/>
    <n v="0"/>
    <m/>
    <m/>
    <m/>
    <m/>
    <m/>
    <m/>
    <m/>
    <m/>
    <m/>
    <m/>
    <m/>
    <m/>
    <m/>
    <d v="2017-08-11T00:00:00"/>
    <n v="-0.903816290090944"/>
    <x v="1"/>
    <n v="0"/>
    <x v="183"/>
  </r>
  <r>
    <d v="2017-08-11T00:00:00"/>
    <x v="6"/>
    <s v="Series 1GP"/>
    <m/>
    <m/>
    <m/>
    <n v="1745715"/>
    <m/>
    <m/>
    <m/>
    <m/>
    <n v="1745715"/>
    <m/>
    <n v="1745715"/>
    <m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1GP"/>
    <n v="19870779.280000001"/>
    <m/>
    <m/>
    <m/>
    <m/>
    <m/>
    <m/>
    <m/>
    <n v="0"/>
    <m/>
    <n v="0"/>
    <m/>
    <s v="Private Equity Fund"/>
    <n v="0"/>
    <n v="-0.14595648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1GP"/>
    <n v="19985895.530000001"/>
    <m/>
    <m/>
    <m/>
    <m/>
    <m/>
    <m/>
    <m/>
    <n v="0"/>
    <m/>
    <n v="0"/>
    <m/>
    <s v="Private Equity Fund"/>
    <n v="0"/>
    <n v="-0.15953210999999998"/>
    <m/>
    <m/>
    <m/>
    <m/>
    <m/>
    <m/>
    <m/>
    <m/>
    <m/>
    <m/>
    <m/>
    <m/>
    <m/>
    <d v="2017-09-30T00:00:00"/>
    <n v="5.793242850614666E-3"/>
    <x v="1"/>
    <n v="0"/>
    <x v="184"/>
  </r>
  <r>
    <d v="2017-10-31T00:00:00"/>
    <x v="6"/>
    <s v="Series 1GP"/>
    <n v="20053153.120000001"/>
    <m/>
    <m/>
    <m/>
    <m/>
    <m/>
    <m/>
    <m/>
    <n v="0"/>
    <m/>
    <n v="0"/>
    <m/>
    <s v="Private Equity Fund"/>
    <n v="0"/>
    <n v="-0.16652484000000001"/>
    <m/>
    <m/>
    <m/>
    <m/>
    <m/>
    <m/>
    <m/>
    <m/>
    <m/>
    <m/>
    <m/>
    <m/>
    <m/>
    <d v="2017-10-31T00:00:00"/>
    <n v="3.3652527553265088E-3"/>
    <x v="1"/>
    <n v="0"/>
    <x v="185"/>
  </r>
  <r>
    <d v="2017-11-30T00:00:00"/>
    <x v="6"/>
    <s v="Series 1GP"/>
    <n v="19981086.07"/>
    <m/>
    <m/>
    <m/>
    <m/>
    <m/>
    <m/>
    <m/>
    <n v="0"/>
    <m/>
    <n v="0"/>
    <m/>
    <s v="Private Equity Fund"/>
    <n v="0"/>
    <n v="-0.14923717"/>
    <m/>
    <m/>
    <m/>
    <m/>
    <m/>
    <m/>
    <m/>
    <m/>
    <m/>
    <m/>
    <m/>
    <m/>
    <m/>
    <d v="2017-11-30T00:00:00"/>
    <n v="-3.5938014121142947E-3"/>
    <x v="1"/>
    <n v="0"/>
    <x v="186"/>
  </r>
  <r>
    <d v="2017-12-18T00:00:00"/>
    <x v="6"/>
    <s v="Series 1GP"/>
    <m/>
    <m/>
    <m/>
    <m/>
    <m/>
    <n v="-2258788.52"/>
    <m/>
    <m/>
    <n v="-2258788.52"/>
    <m/>
    <n v="-2258788.52"/>
    <m/>
    <s v="Private Equity Fund"/>
    <n v="0"/>
    <n v="0"/>
    <m/>
    <m/>
    <m/>
    <m/>
    <m/>
    <m/>
    <m/>
    <m/>
    <m/>
    <m/>
    <m/>
    <m/>
    <m/>
    <d v="2017-12-18T00:00:00"/>
    <n v="-0.88695366647805041"/>
    <x v="1"/>
    <n v="0"/>
    <x v="187"/>
  </r>
  <r>
    <d v="2017-12-18T00:00:00"/>
    <x v="6"/>
    <s v="Series 1GP"/>
    <m/>
    <m/>
    <m/>
    <n v="2258788.52"/>
    <m/>
    <m/>
    <m/>
    <m/>
    <n v="2258788.52"/>
    <m/>
    <n v="2258788.52"/>
    <m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1GP"/>
    <n v="23826921.539999999"/>
    <m/>
    <m/>
    <m/>
    <m/>
    <m/>
    <m/>
    <m/>
    <n v="0"/>
    <m/>
    <n v="0"/>
    <m/>
    <s v="Private Equity Fund"/>
    <n v="0"/>
    <n v="-0.95243478000000004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1GP"/>
    <n v="25511607.32"/>
    <m/>
    <m/>
    <m/>
    <m/>
    <m/>
    <m/>
    <m/>
    <n v="0"/>
    <m/>
    <n v="0"/>
    <m/>
    <s v="Private Equity Fund"/>
    <m/>
    <n v="-1.31612967"/>
    <m/>
    <m/>
    <m/>
    <m/>
    <m/>
    <m/>
    <m/>
    <m/>
    <m/>
    <m/>
    <m/>
    <m/>
    <m/>
    <d v="2018-01-31T00:00:00"/>
    <n v="7.0705138184628424E-2"/>
    <x v="1"/>
    <n v="0"/>
    <x v="188"/>
  </r>
  <r>
    <d v="2018-02-28T00:00:00"/>
    <x v="6"/>
    <s v="Series 1GP"/>
    <n v="25635984.129999999"/>
    <m/>
    <m/>
    <m/>
    <m/>
    <m/>
    <m/>
    <m/>
    <n v="0"/>
    <m/>
    <n v="0"/>
    <m/>
    <s v="Private Equity Fund"/>
    <m/>
    <n v="-1.3397229099999999"/>
    <m/>
    <m/>
    <m/>
    <m/>
    <m/>
    <m/>
    <m/>
    <m/>
    <m/>
    <m/>
    <m/>
    <m/>
    <m/>
    <d v="2018-02-28T00:00:00"/>
    <n v="4.8753027764931733E-3"/>
    <x v="1"/>
    <n v="0"/>
    <x v="189"/>
  </r>
  <r>
    <d v="2018-03-31T00:00:00"/>
    <x v="6"/>
    <s v="Series 1GP"/>
    <n v="25866945.579999998"/>
    <m/>
    <m/>
    <m/>
    <m/>
    <m/>
    <m/>
    <m/>
    <n v="0"/>
    <m/>
    <n v="0"/>
    <m/>
    <s v="Private Equity Fund"/>
    <n v="0"/>
    <m/>
    <m/>
    <m/>
    <m/>
    <m/>
    <m/>
    <m/>
    <m/>
    <m/>
    <m/>
    <m/>
    <m/>
    <m/>
    <m/>
    <d v="2018-03-31T00:00:00"/>
    <n v="9.0092679426230227E-3"/>
    <x v="1"/>
    <n v="0"/>
    <x v="190"/>
  </r>
  <r>
    <d v="2018-04-30T00:00:00"/>
    <x v="6"/>
    <s v="Series 1GP"/>
    <n v="25717878.460000001"/>
    <m/>
    <m/>
    <m/>
    <m/>
    <m/>
    <m/>
    <m/>
    <n v="0"/>
    <m/>
    <n v="0"/>
    <m/>
    <s v="Private Equity Fund"/>
    <m/>
    <n v="-1.3262478899999999"/>
    <m/>
    <m/>
    <m/>
    <m/>
    <m/>
    <m/>
    <m/>
    <m/>
    <m/>
    <m/>
    <m/>
    <m/>
    <m/>
    <d v="2018-04-30T00:00:00"/>
    <n v="-5.7628419845308088E-3"/>
    <x v="1"/>
    <n v="0"/>
    <x v="191"/>
  </r>
  <r>
    <d v="2018-05-31T00:00:00"/>
    <x v="6"/>
    <s v="Series 1GP"/>
    <n v="26179442.640000001"/>
    <m/>
    <m/>
    <m/>
    <m/>
    <m/>
    <m/>
    <m/>
    <n v="0"/>
    <m/>
    <n v="0"/>
    <m/>
    <s v="Private Equity Fund"/>
    <m/>
    <n v="-1.4089706100000001"/>
    <m/>
    <m/>
    <m/>
    <m/>
    <m/>
    <m/>
    <m/>
    <m/>
    <m/>
    <m/>
    <m/>
    <m/>
    <m/>
    <d v="2018-05-31T00:00:00"/>
    <n v="1.794721056473958E-2"/>
    <x v="1"/>
    <n v="0"/>
    <x v="192"/>
  </r>
  <r>
    <d v="2018-06-30T00:00:00"/>
    <x v="6"/>
    <s v="Series 1GP"/>
    <n v="25898977.030000001"/>
    <m/>
    <m/>
    <m/>
    <m/>
    <m/>
    <m/>
    <m/>
    <n v="0"/>
    <m/>
    <n v="0"/>
    <m/>
    <s v="Private Equity Fund"/>
    <n v="0"/>
    <m/>
    <m/>
    <m/>
    <m/>
    <m/>
    <m/>
    <m/>
    <m/>
    <m/>
    <m/>
    <m/>
    <m/>
    <m/>
    <m/>
    <d v="2018-06-30T00:00:00"/>
    <n v="-1.0713200195158867E-2"/>
    <x v="1"/>
    <n v="0"/>
    <x v="193"/>
  </r>
  <r>
    <d v="2018-07-31T00:00:00"/>
    <x v="6"/>
    <s v="Series 1GP"/>
    <n v="25732180.699999999"/>
    <m/>
    <m/>
    <m/>
    <m/>
    <m/>
    <m/>
    <m/>
    <n v="0"/>
    <m/>
    <n v="0"/>
    <m/>
    <s v="Private Equity Fund"/>
    <n v="0"/>
    <m/>
    <m/>
    <m/>
    <m/>
    <m/>
    <m/>
    <m/>
    <m/>
    <m/>
    <m/>
    <m/>
    <m/>
    <m/>
    <m/>
    <d v="2018-07-31T00:00:00"/>
    <n v="-6.4402671119709876E-3"/>
    <x v="1"/>
    <n v="0"/>
    <x v="194"/>
  </r>
  <r>
    <d v="2018-08-31T00:00:00"/>
    <x v="6"/>
    <s v="Series 1GP"/>
    <n v="25428464.949999999"/>
    <m/>
    <m/>
    <m/>
    <m/>
    <m/>
    <m/>
    <m/>
    <n v="0"/>
    <m/>
    <n v="0"/>
    <m/>
    <s v="Private Equity Fund"/>
    <n v="0"/>
    <m/>
    <m/>
    <m/>
    <m/>
    <m/>
    <m/>
    <m/>
    <m/>
    <m/>
    <m/>
    <m/>
    <m/>
    <m/>
    <m/>
    <d v="2018-08-31T00:00:00"/>
    <n v="-1.1802954189576331E-2"/>
    <x v="1"/>
    <n v="0"/>
    <x v="195"/>
  </r>
  <r>
    <d v="2018-09-30T00:00:00"/>
    <x v="6"/>
    <s v="Series 1GP"/>
    <n v="24174212.559999999"/>
    <m/>
    <m/>
    <m/>
    <m/>
    <m/>
    <m/>
    <m/>
    <n v="0"/>
    <e v="#DIV/0!"/>
    <n v="0"/>
    <m/>
    <s v="Private Equity Fund"/>
    <n v="0"/>
    <m/>
    <m/>
    <m/>
    <m/>
    <m/>
    <m/>
    <m/>
    <m/>
    <m/>
    <m/>
    <m/>
    <m/>
    <m/>
    <m/>
    <d v="2018-09-30T00:00:00"/>
    <n v="-4.9324738731427065E-2"/>
    <x v="1"/>
    <n v="0"/>
    <x v="196"/>
  </r>
  <r>
    <d v="2018-10-31T00:00:00"/>
    <x v="6"/>
    <s v="Series 1GP"/>
    <n v="23956623.047699999"/>
    <m/>
    <n v="18.439024"/>
    <m/>
    <n v="0"/>
    <n v="0"/>
    <n v="0"/>
    <n v="0"/>
    <n v="0"/>
    <e v="#DIV/0!"/>
    <n v="-23956623.047699999"/>
    <m/>
    <s v="Private Equity Fund"/>
    <n v="0"/>
    <m/>
    <m/>
    <m/>
    <m/>
    <m/>
    <m/>
    <m/>
    <m/>
    <m/>
    <m/>
    <m/>
    <m/>
    <m/>
    <m/>
    <d v="2018-10-31T00:00:00"/>
    <n v="-9.0008934834979737E-3"/>
    <x v="1"/>
    <n v="0"/>
    <x v="197"/>
  </r>
  <r>
    <d v="2016-11-21T00:00:00"/>
    <x v="6"/>
    <s v="Series 2a"/>
    <m/>
    <m/>
    <m/>
    <n v="19584"/>
    <m/>
    <m/>
    <m/>
    <m/>
    <n v="19584"/>
    <m/>
    <n v="19584"/>
    <n v="19584"/>
    <s v="Private Equity Fund"/>
    <n v="0"/>
    <n v="0"/>
    <m/>
    <m/>
    <m/>
    <m/>
    <m/>
    <m/>
    <m/>
    <m/>
    <m/>
    <m/>
    <m/>
    <m/>
    <m/>
    <d v="2016-11-21T00:00:00"/>
    <n v="-1"/>
    <x v="1"/>
    <n v="0"/>
    <x v="174"/>
  </r>
  <r>
    <d v="2016-11-21T00:00:00"/>
    <x v="6"/>
    <s v="Series 2a"/>
    <m/>
    <m/>
    <m/>
    <n v="111883"/>
    <m/>
    <m/>
    <m/>
    <m/>
    <n v="111883"/>
    <m/>
    <n v="111883"/>
    <n v="111883"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2a"/>
    <m/>
    <m/>
    <m/>
    <n v="46368"/>
    <m/>
    <m/>
    <m/>
    <m/>
    <n v="46368"/>
    <m/>
    <n v="46368"/>
    <n v="46368"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2a"/>
    <n v="177016.75"/>
    <m/>
    <m/>
    <m/>
    <m/>
    <m/>
    <m/>
    <m/>
    <n v="0"/>
    <m/>
    <n v="0"/>
    <n v="0"/>
    <s v="Private Equity Fund"/>
    <n v="7.8700000000000005E-4"/>
    <n v="0"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2a"/>
    <n v="175467.47"/>
    <m/>
    <m/>
    <m/>
    <m/>
    <m/>
    <m/>
    <m/>
    <n v="0"/>
    <m/>
    <n v="0"/>
    <n v="0"/>
    <s v="Private Equity Fund"/>
    <n v="7.8061999999999999E-4"/>
    <n v="0"/>
    <m/>
    <m/>
    <m/>
    <m/>
    <m/>
    <m/>
    <m/>
    <m/>
    <m/>
    <m/>
    <m/>
    <m/>
    <m/>
    <d v="2016-12-31T00:00:00"/>
    <n v="-8.7521661085744329E-3"/>
    <x v="1"/>
    <n v="0"/>
    <x v="175"/>
  </r>
  <r>
    <d v="2017-01-31T00:00:00"/>
    <x v="6"/>
    <s v="Series 2a"/>
    <n v="179056.49"/>
    <m/>
    <m/>
    <m/>
    <m/>
    <m/>
    <m/>
    <m/>
    <n v="0"/>
    <m/>
    <n v="0"/>
    <n v="0"/>
    <s v="Private Equity Fund"/>
    <n v="1.00607E-3"/>
    <n v="2.1556E-4"/>
    <m/>
    <m/>
    <m/>
    <m/>
    <m/>
    <m/>
    <m/>
    <m/>
    <m/>
    <m/>
    <m/>
    <m/>
    <m/>
    <d v="2017-01-31T00:00:00"/>
    <n v="2.0454047693284627E-2"/>
    <x v="1"/>
    <n v="0"/>
    <x v="176"/>
  </r>
  <r>
    <d v="2017-02-27T00:00:00"/>
    <x v="6"/>
    <s v="Series 2a"/>
    <m/>
    <m/>
    <m/>
    <n v="27072"/>
    <m/>
    <m/>
    <m/>
    <m/>
    <n v="27072"/>
    <m/>
    <n v="27072"/>
    <n v="27072"/>
    <s v="Private Equity Fund"/>
    <n v="0"/>
    <n v="0"/>
    <m/>
    <m/>
    <m/>
    <m/>
    <m/>
    <m/>
    <m/>
    <m/>
    <m/>
    <m/>
    <m/>
    <m/>
    <m/>
    <d v="2017-02-27T00:00:00"/>
    <n v="-1.1511925091349662"/>
    <x v="1"/>
    <n v="0"/>
    <x v="177"/>
  </r>
  <r>
    <d v="2017-02-28T00:00:00"/>
    <x v="6"/>
    <s v="Series 2a"/>
    <n v="214912.61"/>
    <m/>
    <m/>
    <m/>
    <m/>
    <m/>
    <m/>
    <m/>
    <n v="0"/>
    <m/>
    <n v="0"/>
    <n v="0"/>
    <s v="Private Equity Fund"/>
    <n v="9.1250000000000001E-4"/>
    <n v="1.68643E-3"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2a"/>
    <n v="207554.53"/>
    <m/>
    <m/>
    <m/>
    <m/>
    <m/>
    <m/>
    <m/>
    <n v="0"/>
    <m/>
    <n v="0"/>
    <n v="0"/>
    <s v="Private Equity Fund"/>
    <n v="1.5703399999999999E-3"/>
    <n v="4.6720999999999997E-4"/>
    <m/>
    <m/>
    <m/>
    <m/>
    <m/>
    <m/>
    <m/>
    <m/>
    <m/>
    <m/>
    <m/>
    <m/>
    <m/>
    <d v="2017-03-31T00:00:00"/>
    <n v="-3.4237544274391296E-2"/>
    <x v="1"/>
    <n v="0"/>
    <x v="178"/>
  </r>
  <r>
    <d v="2017-04-10T00:00:00"/>
    <x v="6"/>
    <s v="Series 2a"/>
    <m/>
    <m/>
    <m/>
    <n v="31104"/>
    <m/>
    <m/>
    <m/>
    <m/>
    <n v="31104"/>
    <m/>
    <n v="31104"/>
    <n v="31104"/>
    <s v="Private Equity Fund"/>
    <n v="0"/>
    <n v="0"/>
    <m/>
    <m/>
    <m/>
    <m/>
    <m/>
    <m/>
    <m/>
    <m/>
    <m/>
    <m/>
    <m/>
    <m/>
    <m/>
    <d v="2017-04-10T00:00:00"/>
    <n v="-1.1498594128492401"/>
    <x v="1"/>
    <n v="0"/>
    <x v="179"/>
  </r>
  <r>
    <d v="2017-04-30T00:00:00"/>
    <x v="6"/>
    <s v="Series 2a"/>
    <n v="239533.91"/>
    <m/>
    <m/>
    <m/>
    <m/>
    <m/>
    <m/>
    <m/>
    <n v="0"/>
    <m/>
    <n v="0"/>
    <n v="0"/>
    <s v="Private Equity Fund"/>
    <n v="1.6922899999999999E-3"/>
    <n v="6.2169000000000005E-4"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2a"/>
    <m/>
    <m/>
    <m/>
    <n v="51989"/>
    <m/>
    <m/>
    <m/>
    <m/>
    <n v="51989"/>
    <m/>
    <n v="51989"/>
    <n v="51989"/>
    <s v="Private Equity Fund"/>
    <n v="0"/>
    <n v="0"/>
    <m/>
    <m/>
    <m/>
    <m/>
    <m/>
    <m/>
    <m/>
    <m/>
    <m/>
    <m/>
    <m/>
    <m/>
    <m/>
    <d v="2017-05-26T00:00:00"/>
    <n v="-1.217042338598322"/>
    <x v="1"/>
    <n v="0"/>
    <x v="180"/>
  </r>
  <r>
    <d v="2017-05-31T00:00:00"/>
    <x v="6"/>
    <s v="Series 2a"/>
    <n v="292470.64"/>
    <m/>
    <m/>
    <m/>
    <m/>
    <m/>
    <m/>
    <m/>
    <n v="0"/>
    <m/>
    <n v="0"/>
    <n v="0"/>
    <s v="Private Equity Fund"/>
    <n v="2.2940999999999999E-3"/>
    <n v="7.8894000000000002E-4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2a"/>
    <n v="290336.17"/>
    <m/>
    <m/>
    <m/>
    <m/>
    <m/>
    <m/>
    <m/>
    <n v="0"/>
    <m/>
    <n v="0"/>
    <n v="0"/>
    <s v="Private Equity Fund"/>
    <n v="2.6975799999999998E-3"/>
    <n v="4.1227000000000001E-4"/>
    <m/>
    <m/>
    <m/>
    <m/>
    <m/>
    <m/>
    <m/>
    <m/>
    <m/>
    <m/>
    <m/>
    <m/>
    <m/>
    <d v="2017-06-30T00:00:00"/>
    <n v="-7.2980658844936652E-3"/>
    <x v="1"/>
    <n v="0"/>
    <x v="181"/>
  </r>
  <r>
    <d v="2017-07-31T00:00:00"/>
    <x v="6"/>
    <s v="Series 2a"/>
    <n v="260948.63"/>
    <m/>
    <m/>
    <m/>
    <m/>
    <m/>
    <m/>
    <m/>
    <n v="0"/>
    <m/>
    <n v="0"/>
    <n v="0"/>
    <s v="Private Equity Fund"/>
    <n v="2.7888699999999997E-3"/>
    <n v="3.7880000000000003E-5"/>
    <m/>
    <m/>
    <m/>
    <m/>
    <m/>
    <m/>
    <m/>
    <m/>
    <m/>
    <m/>
    <m/>
    <m/>
    <m/>
    <d v="2017-07-31T00:00:00"/>
    <n v="-0.10121901105191267"/>
    <x v="1"/>
    <n v="0"/>
    <x v="182"/>
  </r>
  <r>
    <d v="2017-08-11T00:00:00"/>
    <x v="6"/>
    <s v="Series 2a"/>
    <m/>
    <m/>
    <m/>
    <m/>
    <m/>
    <n v="-27266"/>
    <m/>
    <m/>
    <n v="-27266"/>
    <m/>
    <n v="-27266"/>
    <n v="-27266"/>
    <s v="Private Equity Fund"/>
    <n v="0"/>
    <n v="0"/>
    <m/>
    <m/>
    <m/>
    <m/>
    <m/>
    <m/>
    <m/>
    <m/>
    <m/>
    <m/>
    <m/>
    <m/>
    <m/>
    <d v="2017-08-11T00:00:00"/>
    <n v="-0.89551200172999568"/>
    <x v="1"/>
    <n v="0"/>
    <x v="183"/>
  </r>
  <r>
    <d v="2017-08-11T00:00:00"/>
    <x v="6"/>
    <s v="Series 2a"/>
    <m/>
    <m/>
    <m/>
    <n v="27266"/>
    <m/>
    <m/>
    <m/>
    <m/>
    <n v="27266"/>
    <m/>
    <n v="27266"/>
    <n v="27266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2a"/>
    <n v="288304.67"/>
    <m/>
    <m/>
    <m/>
    <m/>
    <m/>
    <m/>
    <m/>
    <n v="0"/>
    <m/>
    <n v="0"/>
    <n v="0"/>
    <s v="Private Equity Fund"/>
    <n v="3.20769E-3"/>
    <n v="5.3770000000000002E-5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2a"/>
    <n v="289349.09000000003"/>
    <m/>
    <m/>
    <m/>
    <m/>
    <m/>
    <m/>
    <m/>
    <n v="0"/>
    <m/>
    <n v="0"/>
    <n v="0"/>
    <s v="Private Equity Fund"/>
    <n v="3.56493E-3"/>
    <n v="2.3808000000000002E-4"/>
    <m/>
    <m/>
    <m/>
    <m/>
    <m/>
    <m/>
    <m/>
    <m/>
    <m/>
    <m/>
    <m/>
    <m/>
    <m/>
    <d v="2017-09-30T00:00:00"/>
    <n v="3.6226260226726037E-3"/>
    <x v="1"/>
    <n v="0"/>
    <x v="184"/>
  </r>
  <r>
    <d v="2017-10-31T00:00:00"/>
    <x v="6"/>
    <s v="Series 2a"/>
    <n v="289435.11"/>
    <m/>
    <m/>
    <m/>
    <m/>
    <m/>
    <m/>
    <m/>
    <n v="0"/>
    <m/>
    <n v="0"/>
    <n v="0"/>
    <s v="Private Equity Fund"/>
    <n v="3.56493E-3"/>
    <n v="2.5326E-4"/>
    <m/>
    <m/>
    <m/>
    <m/>
    <m/>
    <m/>
    <m/>
    <m/>
    <m/>
    <m/>
    <m/>
    <m/>
    <m/>
    <d v="2017-10-31T00:00:00"/>
    <n v="2.9728795760153304E-4"/>
    <x v="1"/>
    <n v="0"/>
    <x v="185"/>
  </r>
  <r>
    <d v="2017-11-30T00:00:00"/>
    <x v="6"/>
    <s v="Series 2a"/>
    <n v="288061.28999999998"/>
    <m/>
    <m/>
    <m/>
    <m/>
    <m/>
    <m/>
    <m/>
    <n v="0"/>
    <m/>
    <n v="0"/>
    <n v="0"/>
    <s v="Private Equity Fund"/>
    <n v="4.3256099999999997E-3"/>
    <n v="1.081E-5"/>
    <m/>
    <m/>
    <m/>
    <m/>
    <m/>
    <m/>
    <m/>
    <m/>
    <m/>
    <m/>
    <m/>
    <m/>
    <m/>
    <d v="2017-11-30T00:00:00"/>
    <n v="-4.7465561451753846E-3"/>
    <x v="1"/>
    <n v="0"/>
    <x v="186"/>
  </r>
  <r>
    <d v="2017-12-18T00:00:00"/>
    <x v="6"/>
    <s v="Series 2a"/>
    <m/>
    <m/>
    <m/>
    <m/>
    <m/>
    <n v="-35280.129999999997"/>
    <m/>
    <m/>
    <n v="-35280.129999999997"/>
    <m/>
    <n v="-35280.129999999997"/>
    <n v="-35280.129999999997"/>
    <s v="Private Equity Fund"/>
    <n v="0"/>
    <n v="0"/>
    <m/>
    <m/>
    <m/>
    <m/>
    <m/>
    <m/>
    <m/>
    <m/>
    <m/>
    <m/>
    <m/>
    <m/>
    <m/>
    <d v="2017-12-18T00:00:00"/>
    <n v="-0.87752561269166018"/>
    <x v="1"/>
    <n v="0"/>
    <x v="187"/>
  </r>
  <r>
    <d v="2017-12-18T00:00:00"/>
    <x v="6"/>
    <s v="Series 2a"/>
    <m/>
    <m/>
    <m/>
    <n v="35280.129999999997"/>
    <m/>
    <m/>
    <m/>
    <m/>
    <n v="35280.129999999997"/>
    <m/>
    <n v="35280.129999999997"/>
    <n v="35280.129999999997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2a"/>
    <n v="328563.52"/>
    <m/>
    <m/>
    <m/>
    <m/>
    <m/>
    <m/>
    <m/>
    <n v="0"/>
    <m/>
    <n v="0"/>
    <n v="0"/>
    <s v="Private Equity Fund"/>
    <n v="5.0391000000000003E-3"/>
    <n v="7.1582700000000004E-3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2a"/>
    <n v="344976.14"/>
    <m/>
    <m/>
    <m/>
    <m/>
    <m/>
    <m/>
    <m/>
    <n v="0"/>
    <m/>
    <n v="0"/>
    <n v="0"/>
    <s v="Private Equity Fund"/>
    <m/>
    <n v="1.005461E-2"/>
    <m/>
    <m/>
    <m/>
    <m/>
    <m/>
    <m/>
    <m/>
    <m/>
    <m/>
    <m/>
    <m/>
    <m/>
    <m/>
    <d v="2018-01-31T00:00:00"/>
    <n v="4.9952654512588568E-2"/>
    <x v="1"/>
    <n v="0"/>
    <x v="188"/>
  </r>
  <r>
    <d v="2018-02-28T00:00:00"/>
    <x v="6"/>
    <s v="Series 2a"/>
    <n v="345974.85"/>
    <m/>
    <m/>
    <m/>
    <m/>
    <m/>
    <m/>
    <m/>
    <n v="0"/>
    <m/>
    <n v="0"/>
    <n v="0"/>
    <s v="Private Equity Fund"/>
    <m/>
    <n v="1.0230860000000001E-2"/>
    <m/>
    <m/>
    <m/>
    <m/>
    <m/>
    <m/>
    <m/>
    <m/>
    <m/>
    <m/>
    <m/>
    <m/>
    <m/>
    <d v="2018-02-28T00:00:00"/>
    <n v="2.8950118115413925E-3"/>
    <x v="1"/>
    <n v="0"/>
    <x v="189"/>
  </r>
  <r>
    <d v="2018-03-31T00:00:00"/>
    <x v="6"/>
    <s v="Series 2a"/>
    <n v="348885.47"/>
    <m/>
    <m/>
    <m/>
    <m/>
    <m/>
    <m/>
    <m/>
    <n v="0"/>
    <m/>
    <n v="0"/>
    <n v="0"/>
    <s v="Private Equity Fund"/>
    <n v="1.33508E-3"/>
    <n v="1.0744490000000001E-2"/>
    <m/>
    <m/>
    <m/>
    <m/>
    <m/>
    <m/>
    <m/>
    <m/>
    <m/>
    <m/>
    <m/>
    <m/>
    <m/>
    <d v="2018-03-31T00:00:00"/>
    <n v="8.412808040815678E-3"/>
    <x v="1"/>
    <n v="0"/>
    <x v="190"/>
  </r>
  <r>
    <d v="2018-04-30T00:00:00"/>
    <x v="6"/>
    <s v="Series 2a"/>
    <n v="346195.28"/>
    <m/>
    <m/>
    <m/>
    <m/>
    <m/>
    <m/>
    <m/>
    <n v="0"/>
    <m/>
    <n v="0"/>
    <n v="0"/>
    <s v="Private Equity Fund"/>
    <m/>
    <n v="1.0269760000000001E-2"/>
    <m/>
    <m/>
    <m/>
    <m/>
    <m/>
    <m/>
    <m/>
    <m/>
    <m/>
    <m/>
    <m/>
    <m/>
    <m/>
    <d v="2018-04-30T00:00:00"/>
    <n v="-7.7108112298283071E-3"/>
    <x v="1"/>
    <n v="0"/>
    <x v="191"/>
  </r>
  <r>
    <d v="2018-05-31T00:00:00"/>
    <x v="6"/>
    <s v="Series 2a"/>
    <n v="349820.43"/>
    <m/>
    <m/>
    <m/>
    <m/>
    <m/>
    <m/>
    <m/>
    <n v="0"/>
    <m/>
    <n v="0"/>
    <n v="0"/>
    <s v="Private Equity Fund"/>
    <m/>
    <n v="1.0909489999999999E-2"/>
    <m/>
    <m/>
    <m/>
    <m/>
    <m/>
    <m/>
    <m/>
    <m/>
    <m/>
    <m/>
    <m/>
    <m/>
    <m/>
    <d v="2018-05-31T00:00:00"/>
    <n v="1.0471402151987608E-2"/>
    <x v="1"/>
    <n v="0"/>
    <x v="192"/>
  </r>
  <r>
    <d v="2018-06-30T00:00:00"/>
    <x v="6"/>
    <s v="Series 2a"/>
    <n v="347965.02"/>
    <m/>
    <m/>
    <m/>
    <m/>
    <m/>
    <m/>
    <m/>
    <n v="0"/>
    <m/>
    <n v="0"/>
    <n v="0"/>
    <s v="Private Equity Fund"/>
    <n v="1.36046E-3"/>
    <n v="1.0505250000000001E-2"/>
    <m/>
    <m/>
    <m/>
    <m/>
    <m/>
    <m/>
    <m/>
    <m/>
    <m/>
    <m/>
    <m/>
    <m/>
    <m/>
    <d v="2018-06-30T00:00:00"/>
    <n v="-5.30389262856934E-3"/>
    <x v="1"/>
    <n v="0"/>
    <x v="193"/>
  </r>
  <r>
    <d v="2018-07-31T00:00:00"/>
    <x v="6"/>
    <s v="Series 2a"/>
    <n v="344354.46"/>
    <m/>
    <m/>
    <m/>
    <m/>
    <m/>
    <m/>
    <m/>
    <n v="0"/>
    <m/>
    <n v="0"/>
    <n v="0"/>
    <s v="Private Equity Fund"/>
    <n v="0"/>
    <n v="9.9448999999999996E-3"/>
    <m/>
    <m/>
    <m/>
    <m/>
    <m/>
    <m/>
    <m/>
    <m/>
    <m/>
    <m/>
    <m/>
    <m/>
    <m/>
    <d v="2018-07-31T00:00:00"/>
    <n v="-1.0376215402341349E-2"/>
    <x v="1"/>
    <n v="0"/>
    <x v="194"/>
  </r>
  <r>
    <d v="2018-08-31T00:00:00"/>
    <x v="6"/>
    <s v="Series 2a"/>
    <n v="341681.16"/>
    <m/>
    <m/>
    <m/>
    <m/>
    <m/>
    <m/>
    <m/>
    <n v="0"/>
    <m/>
    <n v="0"/>
    <n v="0"/>
    <s v="Private Equity Fund"/>
    <n v="0"/>
    <n v="9.4731499999999996E-3"/>
    <m/>
    <m/>
    <m/>
    <m/>
    <m/>
    <m/>
    <m/>
    <m/>
    <m/>
    <m/>
    <m/>
    <m/>
    <m/>
    <d v="2018-08-31T00:00:00"/>
    <n v="-7.7632216524800013E-3"/>
    <x v="1"/>
    <n v="0"/>
    <x v="195"/>
  </r>
  <r>
    <d v="2018-09-30T00:00:00"/>
    <x v="6"/>
    <s v="Series 2a"/>
    <n v="328745.86"/>
    <m/>
    <m/>
    <m/>
    <m/>
    <m/>
    <m/>
    <m/>
    <n v="0"/>
    <e v="#DIV/0!"/>
    <n v="0"/>
    <n v="0"/>
    <s v="Private Equity Fund"/>
    <n v="1.26103E-3"/>
    <n v="7.1904500000000001E-3"/>
    <m/>
    <m/>
    <m/>
    <m/>
    <m/>
    <m/>
    <m/>
    <m/>
    <m/>
    <m/>
    <m/>
    <m/>
    <m/>
    <d v="2018-09-30T00:00:00"/>
    <n v="-3.7857808724367392E-2"/>
    <x v="1"/>
    <n v="0"/>
    <x v="196"/>
  </r>
  <r>
    <d v="2018-10-31T00:00:00"/>
    <x v="6"/>
    <s v="Series 2a"/>
    <n v="325524.93300000002"/>
    <m/>
    <n v="0.28799999999999998"/>
    <m/>
    <n v="0"/>
    <n v="0"/>
    <n v="0"/>
    <m/>
    <n v="0"/>
    <e v="#DIV/0!"/>
    <n v="-325524.93300000002"/>
    <n v="-325524.93300000002"/>
    <s v="Private Equity Fund"/>
    <n v="1.7120876354672491E-3"/>
    <n v="6.6220469999999972E-3"/>
    <m/>
    <m/>
    <m/>
    <m/>
    <m/>
    <m/>
    <m/>
    <m/>
    <m/>
    <m/>
    <m/>
    <m/>
    <m/>
    <d v="2018-10-31T00:00:00"/>
    <n v="-9.7976199609022263E-3"/>
    <x v="1"/>
    <n v="0"/>
    <x v="197"/>
  </r>
  <r>
    <d v="2016-11-21T00:00:00"/>
    <x v="6"/>
    <s v="Series 2b"/>
    <m/>
    <m/>
    <m/>
    <n v="68000"/>
    <m/>
    <m/>
    <m/>
    <m/>
    <n v="68000"/>
    <m/>
    <n v="68000"/>
    <n v="68000"/>
    <s v="Private Equity Fund"/>
    <n v="0"/>
    <n v="0"/>
    <m/>
    <m/>
    <m/>
    <m/>
    <m/>
    <m/>
    <m/>
    <m/>
    <m/>
    <m/>
    <m/>
    <m/>
    <m/>
    <d v="2016-11-21T00:00:00"/>
    <n v="-1"/>
    <x v="1"/>
    <n v="0"/>
    <x v="174"/>
  </r>
  <r>
    <d v="2016-11-21T00:00:00"/>
    <x v="6"/>
    <s v="Series 2b"/>
    <m/>
    <m/>
    <m/>
    <n v="388481"/>
    <m/>
    <m/>
    <m/>
    <m/>
    <n v="388481"/>
    <m/>
    <n v="388481"/>
    <n v="388481"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2b"/>
    <m/>
    <m/>
    <m/>
    <n v="161000"/>
    <m/>
    <m/>
    <m/>
    <m/>
    <n v="161000"/>
    <m/>
    <n v="161000"/>
    <n v="161000"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2b"/>
    <n v="614641.5"/>
    <m/>
    <m/>
    <m/>
    <m/>
    <m/>
    <m/>
    <m/>
    <n v="0"/>
    <m/>
    <n v="0"/>
    <n v="0"/>
    <s v="Private Equity Fund"/>
    <n v="2.7326399999999997E-3"/>
    <n v="0"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2b"/>
    <n v="609263.80000000005"/>
    <m/>
    <m/>
    <m/>
    <m/>
    <m/>
    <m/>
    <m/>
    <n v="0"/>
    <m/>
    <n v="0"/>
    <n v="0"/>
    <s v="Private Equity Fund"/>
    <n v="2.7104899999999999E-3"/>
    <n v="0"/>
    <m/>
    <m/>
    <m/>
    <m/>
    <m/>
    <m/>
    <m/>
    <m/>
    <m/>
    <m/>
    <m/>
    <m/>
    <m/>
    <d v="2016-12-31T00:00:00"/>
    <n v="-8.7493278602240876E-3"/>
    <x v="1"/>
    <n v="0"/>
    <x v="175"/>
  </r>
  <r>
    <d v="2017-01-31T00:00:00"/>
    <x v="6"/>
    <s v="Series 2b"/>
    <n v="621724.47"/>
    <m/>
    <m/>
    <m/>
    <m/>
    <m/>
    <m/>
    <m/>
    <n v="0"/>
    <m/>
    <n v="0"/>
    <n v="0"/>
    <s v="Private Equity Fund"/>
    <n v="3.4933000000000004E-3"/>
    <n v="7.4885000000000001E-4"/>
    <m/>
    <m/>
    <m/>
    <m/>
    <m/>
    <m/>
    <m/>
    <m/>
    <m/>
    <m/>
    <m/>
    <m/>
    <m/>
    <d v="2017-01-31T00:00:00"/>
    <n v="2.0452011099297174E-2"/>
    <x v="1"/>
    <n v="0"/>
    <x v="176"/>
  </r>
  <r>
    <d v="2017-02-27T00:00:00"/>
    <x v="6"/>
    <s v="Series 2b"/>
    <m/>
    <m/>
    <m/>
    <n v="94000"/>
    <m/>
    <m/>
    <m/>
    <m/>
    <n v="94000"/>
    <m/>
    <n v="94000"/>
    <n v="94000"/>
    <s v="Private Equity Fund"/>
    <n v="0"/>
    <n v="0"/>
    <m/>
    <m/>
    <m/>
    <m/>
    <m/>
    <m/>
    <m/>
    <m/>
    <m/>
    <m/>
    <m/>
    <m/>
    <m/>
    <d v="2017-02-27T00:00:00"/>
    <n v="-1.1511923762627518"/>
    <x v="1"/>
    <n v="0"/>
    <x v="177"/>
  </r>
  <r>
    <d v="2017-02-28T00:00:00"/>
    <x v="6"/>
    <s v="Series 2b"/>
    <n v="746224.89"/>
    <m/>
    <m/>
    <m/>
    <m/>
    <m/>
    <m/>
    <m/>
    <n v="0"/>
    <m/>
    <n v="0"/>
    <n v="0"/>
    <s v="Private Equity Fund"/>
    <n v="3.1684199999999999E-3"/>
    <n v="5.8560499999999998E-3"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2b"/>
    <n v="720676.68"/>
    <m/>
    <m/>
    <m/>
    <m/>
    <m/>
    <m/>
    <m/>
    <n v="0"/>
    <m/>
    <n v="0"/>
    <n v="0"/>
    <s v="Private Equity Fund"/>
    <n v="5.4525699999999995E-3"/>
    <n v="1.6227699999999999E-3"/>
    <m/>
    <m/>
    <m/>
    <m/>
    <m/>
    <m/>
    <m/>
    <m/>
    <m/>
    <m/>
    <m/>
    <m/>
    <m/>
    <d v="2017-03-31T00:00:00"/>
    <n v="-3.4236609288119557E-2"/>
    <x v="1"/>
    <n v="0"/>
    <x v="178"/>
  </r>
  <r>
    <d v="2017-04-10T00:00:00"/>
    <x v="6"/>
    <s v="Series 2b"/>
    <m/>
    <m/>
    <m/>
    <n v="108000"/>
    <m/>
    <m/>
    <m/>
    <m/>
    <n v="108000"/>
    <m/>
    <n v="108000"/>
    <n v="108000"/>
    <s v="Private Equity Fund"/>
    <n v="0"/>
    <n v="0"/>
    <m/>
    <m/>
    <m/>
    <m/>
    <m/>
    <m/>
    <m/>
    <m/>
    <m/>
    <m/>
    <m/>
    <m/>
    <m/>
    <d v="2017-04-10T00:00:00"/>
    <n v="-1.1498591573685997"/>
    <x v="1"/>
    <n v="0"/>
    <x v="179"/>
  </r>
  <r>
    <d v="2017-04-30T00:00:00"/>
    <x v="6"/>
    <s v="Series 2b"/>
    <n v="831716.5"/>
    <m/>
    <m/>
    <m/>
    <m/>
    <m/>
    <m/>
    <m/>
    <n v="0"/>
    <m/>
    <n v="0"/>
    <n v="0"/>
    <s v="Private Equity Fund"/>
    <n v="5.8760000000000001E-3"/>
    <n v="2.1592099999999999E-3"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2b"/>
    <m/>
    <m/>
    <m/>
    <n v="180519"/>
    <m/>
    <m/>
    <m/>
    <m/>
    <n v="180519"/>
    <m/>
    <n v="180519"/>
    <n v="180519"/>
    <s v="Private Equity Fund"/>
    <n v="0"/>
    <n v="0"/>
    <m/>
    <m/>
    <m/>
    <m/>
    <m/>
    <m/>
    <m/>
    <m/>
    <m/>
    <m/>
    <m/>
    <m/>
    <m/>
    <d v="2017-05-26T00:00:00"/>
    <n v="-1.2170439085914491"/>
    <x v="1"/>
    <n v="0"/>
    <x v="180"/>
  </r>
  <r>
    <d v="2017-05-31T00:00:00"/>
    <x v="6"/>
    <s v="Series 2b"/>
    <n v="1015524.86"/>
    <m/>
    <m/>
    <m/>
    <m/>
    <m/>
    <m/>
    <m/>
    <n v="0"/>
    <m/>
    <n v="0"/>
    <n v="0"/>
    <s v="Private Equity Fund"/>
    <n v="7.9656399999999995E-3"/>
    <n v="2.73968E-3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2b"/>
    <n v="1008111.71"/>
    <m/>
    <m/>
    <m/>
    <m/>
    <m/>
    <m/>
    <m/>
    <n v="0"/>
    <m/>
    <n v="0"/>
    <n v="0"/>
    <s v="Private Equity Fund"/>
    <n v="9.366600000000001E-3"/>
    <n v="1.4314799999999999E-3"/>
    <m/>
    <m/>
    <m/>
    <m/>
    <m/>
    <m/>
    <m/>
    <m/>
    <m/>
    <m/>
    <m/>
    <m/>
    <m/>
    <d v="2017-06-30T00:00:00"/>
    <n v="-7.2998212963492071E-3"/>
    <x v="1"/>
    <n v="0"/>
    <x v="181"/>
  </r>
  <r>
    <d v="2017-07-31T00:00:00"/>
    <x v="6"/>
    <s v="Series 2b"/>
    <n v="906074.62"/>
    <m/>
    <m/>
    <m/>
    <m/>
    <m/>
    <m/>
    <m/>
    <n v="0"/>
    <m/>
    <n v="0"/>
    <n v="0"/>
    <s v="Private Equity Fund"/>
    <n v="9.683569999999999E-3"/>
    <n v="1.3229E-4"/>
    <m/>
    <m/>
    <m/>
    <m/>
    <m/>
    <m/>
    <m/>
    <m/>
    <m/>
    <m/>
    <m/>
    <m/>
    <m/>
    <d v="2017-07-31T00:00:00"/>
    <n v="-0.10121605471679318"/>
    <x v="1"/>
    <n v="0"/>
    <x v="182"/>
  </r>
  <r>
    <d v="2017-08-11T00:00:00"/>
    <x v="6"/>
    <s v="Series 2b"/>
    <m/>
    <m/>
    <m/>
    <m/>
    <m/>
    <n v="-94675"/>
    <m/>
    <m/>
    <n v="-94675"/>
    <m/>
    <n v="-94675"/>
    <n v="-94675"/>
    <s v="Private Equity Fund"/>
    <n v="0"/>
    <n v="0"/>
    <m/>
    <m/>
    <m/>
    <m/>
    <m/>
    <m/>
    <m/>
    <m/>
    <m/>
    <m/>
    <m/>
    <m/>
    <m/>
    <d v="2017-08-11T00:00:00"/>
    <n v="-0.8955108134471309"/>
    <x v="1"/>
    <n v="0"/>
    <x v="183"/>
  </r>
  <r>
    <d v="2017-08-11T00:00:00"/>
    <x v="6"/>
    <s v="Series 2b"/>
    <m/>
    <m/>
    <m/>
    <n v="94675"/>
    <m/>
    <m/>
    <m/>
    <m/>
    <n v="94675"/>
    <m/>
    <n v="94675"/>
    <n v="94675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2b"/>
    <n v="1001057.91"/>
    <m/>
    <m/>
    <m/>
    <m/>
    <m/>
    <m/>
    <m/>
    <n v="0"/>
    <m/>
    <n v="0"/>
    <n v="0"/>
    <s v="Private Equity Fund"/>
    <n v="1.113782E-2"/>
    <n v="1.8668999999999999E-4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2b"/>
    <n v="1004684.36"/>
    <m/>
    <m/>
    <m/>
    <m/>
    <m/>
    <m/>
    <m/>
    <n v="0"/>
    <m/>
    <n v="0"/>
    <n v="0"/>
    <s v="Private Equity Fund"/>
    <n v="1.237824E-2"/>
    <n v="8.2664999999999995E-4"/>
    <m/>
    <m/>
    <m/>
    <m/>
    <m/>
    <m/>
    <m/>
    <m/>
    <m/>
    <m/>
    <m/>
    <m/>
    <m/>
    <d v="2017-09-30T00:00:00"/>
    <n v="3.622617596618305E-3"/>
    <x v="1"/>
    <n v="0"/>
    <x v="184"/>
  </r>
  <r>
    <d v="2017-10-31T00:00:00"/>
    <x v="6"/>
    <s v="Series 2b"/>
    <n v="1004986.23"/>
    <m/>
    <m/>
    <m/>
    <m/>
    <m/>
    <m/>
    <m/>
    <n v="0"/>
    <m/>
    <n v="0"/>
    <n v="0"/>
    <s v="Private Equity Fund"/>
    <n v="1.237824E-2"/>
    <n v="8.7991999999999996E-4"/>
    <m/>
    <m/>
    <m/>
    <m/>
    <m/>
    <m/>
    <m/>
    <m/>
    <m/>
    <m/>
    <m/>
    <m/>
    <m/>
    <d v="2017-10-31T00:00:00"/>
    <n v="3.0046252536464202E-4"/>
    <x v="1"/>
    <n v="0"/>
    <x v="185"/>
  </r>
  <r>
    <d v="2017-11-30T00:00:00"/>
    <x v="6"/>
    <s v="Series 2b"/>
    <n v="1000215.98"/>
    <m/>
    <m/>
    <m/>
    <m/>
    <m/>
    <m/>
    <m/>
    <n v="0"/>
    <m/>
    <n v="0"/>
    <n v="0"/>
    <s v="Private Equity Fund"/>
    <n v="1.5019459999999998E-2"/>
    <n v="3.8109999999999999E-5"/>
    <m/>
    <m/>
    <m/>
    <m/>
    <m/>
    <m/>
    <m/>
    <m/>
    <m/>
    <m/>
    <m/>
    <m/>
    <m/>
    <d v="2017-11-30T00:00:00"/>
    <n v="-4.7465824481993657E-3"/>
    <x v="1"/>
    <n v="0"/>
    <x v="186"/>
  </r>
  <r>
    <d v="2017-12-18T00:00:00"/>
    <x v="6"/>
    <s v="Series 2b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  <m/>
    <m/>
    <m/>
    <d v="2017-12-18T00:00:00"/>
    <n v="-0.87752601193194291"/>
    <x v="1"/>
    <n v="0"/>
    <x v="187"/>
  </r>
  <r>
    <d v="2017-12-18T00:00:00"/>
    <x v="6"/>
    <s v="Series 2b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2b"/>
    <n v="1140845.55"/>
    <m/>
    <m/>
    <m/>
    <m/>
    <m/>
    <m/>
    <m/>
    <n v="0"/>
    <m/>
    <n v="0"/>
    <n v="0"/>
    <s v="Private Equity Fund"/>
    <n v="1.7496879999999999E-2"/>
    <n v="2.4855099999999998E-2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2b"/>
    <n v="1197837"/>
    <m/>
    <m/>
    <m/>
    <m/>
    <m/>
    <m/>
    <m/>
    <n v="0"/>
    <m/>
    <n v="0"/>
    <n v="0"/>
    <s v="Private Equity Fund"/>
    <m/>
    <n v="3.4912410000000005E-2"/>
    <m/>
    <m/>
    <m/>
    <m/>
    <m/>
    <m/>
    <m/>
    <m/>
    <m/>
    <m/>
    <m/>
    <m/>
    <m/>
    <d v="2018-01-31T00:00:00"/>
    <n v="4.9955447518728491E-2"/>
    <x v="1"/>
    <n v="0"/>
    <x v="188"/>
  </r>
  <r>
    <d v="2018-02-28T00:00:00"/>
    <x v="6"/>
    <s v="Series 2b"/>
    <n v="1201304.75"/>
    <m/>
    <m/>
    <m/>
    <m/>
    <m/>
    <m/>
    <m/>
    <n v="0"/>
    <m/>
    <n v="0"/>
    <n v="0"/>
    <s v="Private Equity Fund"/>
    <m/>
    <n v="3.552437E-2"/>
    <m/>
    <m/>
    <m/>
    <m/>
    <m/>
    <m/>
    <m/>
    <m/>
    <m/>
    <m/>
    <m/>
    <m/>
    <m/>
    <d v="2018-02-28T00:00:00"/>
    <n v="2.8950099220512726E-3"/>
    <x v="1"/>
    <n v="0"/>
    <x v="189"/>
  </r>
  <r>
    <d v="2018-03-31T00:00:00"/>
    <x v="6"/>
    <s v="Series 2b"/>
    <n v="1211407.8700000001"/>
    <m/>
    <m/>
    <m/>
    <m/>
    <m/>
    <m/>
    <m/>
    <n v="0"/>
    <m/>
    <n v="0"/>
    <n v="0"/>
    <s v="Private Equity Fund"/>
    <n v="4.6356800000000005E-3"/>
    <n v="3.7307269999999997E-2"/>
    <m/>
    <m/>
    <m/>
    <m/>
    <m/>
    <m/>
    <m/>
    <m/>
    <m/>
    <m/>
    <m/>
    <m/>
    <m/>
    <d v="2018-03-31T00:00:00"/>
    <n v="8.4101224106540862E-3"/>
    <x v="1"/>
    <n v="0"/>
    <x v="190"/>
  </r>
  <r>
    <d v="2018-04-30T00:00:00"/>
    <x v="6"/>
    <s v="Series 2b"/>
    <n v="1202071.08"/>
    <m/>
    <m/>
    <m/>
    <m/>
    <m/>
    <m/>
    <m/>
    <n v="0"/>
    <m/>
    <n v="0"/>
    <n v="0"/>
    <s v="Private Equity Fund"/>
    <m/>
    <n v="3.56596E-2"/>
    <m/>
    <m/>
    <m/>
    <m/>
    <m/>
    <m/>
    <m/>
    <m/>
    <m/>
    <m/>
    <m/>
    <m/>
    <m/>
    <d v="2018-04-30T00:00:00"/>
    <n v="-7.7073876034832178E-3"/>
    <x v="1"/>
    <n v="0"/>
    <x v="191"/>
  </r>
  <r>
    <d v="2018-05-31T00:00:00"/>
    <x v="6"/>
    <s v="Series 2b"/>
    <n v="1214658.58"/>
    <m/>
    <m/>
    <m/>
    <m/>
    <m/>
    <m/>
    <m/>
    <n v="0"/>
    <m/>
    <n v="0"/>
    <n v="0"/>
    <s v="Private Equity Fund"/>
    <m/>
    <n v="3.788093E-2"/>
    <m/>
    <m/>
    <m/>
    <m/>
    <m/>
    <m/>
    <m/>
    <m/>
    <m/>
    <m/>
    <m/>
    <m/>
    <m/>
    <d v="2018-05-31T00:00:00"/>
    <n v="1.0471510553269336E-2"/>
    <x v="1"/>
    <n v="0"/>
    <x v="192"/>
  </r>
  <r>
    <d v="2018-06-30T00:00:00"/>
    <x v="6"/>
    <s v="Series 2b"/>
    <n v="1207985.23"/>
    <m/>
    <m/>
    <m/>
    <m/>
    <m/>
    <m/>
    <m/>
    <n v="0"/>
    <m/>
    <n v="0"/>
    <n v="0"/>
    <s v="Private Equity Fund"/>
    <n v="4.7238100000000002E-3"/>
    <n v="3.6703279999999998E-2"/>
    <m/>
    <m/>
    <m/>
    <m/>
    <m/>
    <m/>
    <m/>
    <m/>
    <m/>
    <m/>
    <m/>
    <m/>
    <m/>
    <d v="2018-06-30T00:00:00"/>
    <n v="-5.4940129760578937E-3"/>
    <x v="1"/>
    <n v="0"/>
    <x v="193"/>
  </r>
  <r>
    <d v="2018-07-31T00:00:00"/>
    <x v="6"/>
    <s v="Series 2b"/>
    <n v="1195679.56"/>
    <m/>
    <m/>
    <m/>
    <m/>
    <m/>
    <m/>
    <m/>
    <n v="0"/>
    <m/>
    <n v="0"/>
    <n v="0"/>
    <s v="Private Equity Fund"/>
    <n v="0"/>
    <n v="3.4531690000000004E-2"/>
    <m/>
    <m/>
    <m/>
    <m/>
    <m/>
    <m/>
    <m/>
    <m/>
    <m/>
    <m/>
    <m/>
    <m/>
    <m/>
    <d v="2018-07-31T00:00:00"/>
    <n v="-1.0186937467770107E-2"/>
    <x v="1"/>
    <n v="0"/>
    <x v="194"/>
  </r>
  <r>
    <d v="2018-08-31T00:00:00"/>
    <x v="6"/>
    <s v="Series 2b"/>
    <n v="1186397.32"/>
    <m/>
    <m/>
    <m/>
    <m/>
    <m/>
    <m/>
    <m/>
    <n v="0"/>
    <m/>
    <n v="0"/>
    <n v="0"/>
    <s v="Private Equity Fund"/>
    <n v="0"/>
    <n v="3.2893640000000002E-2"/>
    <m/>
    <m/>
    <m/>
    <m/>
    <m/>
    <m/>
    <m/>
    <m/>
    <m/>
    <m/>
    <m/>
    <m/>
    <m/>
    <d v="2018-08-31T00:00:00"/>
    <n v="-7.7631501871622266E-3"/>
    <x v="1"/>
    <n v="0"/>
    <x v="195"/>
  </r>
  <r>
    <d v="2018-09-30T00:00:00"/>
    <x v="6"/>
    <s v="Series 2b"/>
    <n v="1141478.79"/>
    <m/>
    <m/>
    <m/>
    <m/>
    <m/>
    <m/>
    <m/>
    <n v="0"/>
    <e v="#DIV/0!"/>
    <n v="0"/>
    <n v="0"/>
    <s v="Private Equity Fund"/>
    <n v="4.3785600000000001E-3"/>
    <n v="2.4966849999999999E-2"/>
    <m/>
    <m/>
    <m/>
    <m/>
    <m/>
    <m/>
    <m/>
    <m/>
    <m/>
    <m/>
    <m/>
    <m/>
    <m/>
    <d v="2018-09-30T00:00:00"/>
    <n v="-3.7861287481667616E-2"/>
    <x v="1"/>
    <n v="0"/>
    <x v="196"/>
  </r>
  <r>
    <d v="2018-10-31T00:00:00"/>
    <x v="6"/>
    <s v="Series 2b"/>
    <n v="1130299.3389999999"/>
    <m/>
    <n v="1"/>
    <m/>
    <n v="0"/>
    <n v="0"/>
    <n v="0"/>
    <m/>
    <n v="0"/>
    <e v="#DIV/0!"/>
    <n v="-1130299.3389999999"/>
    <n v="-1130299.3389999999"/>
    <s v="Private Equity Fund"/>
    <n v="5.9447563034687187E-3"/>
    <n v="2.299400100000001E-2"/>
    <m/>
    <m/>
    <m/>
    <m/>
    <m/>
    <m/>
    <m/>
    <m/>
    <m/>
    <m/>
    <m/>
    <m/>
    <m/>
    <d v="2018-10-31T00:00:00"/>
    <n v="-9.7938315612505766E-3"/>
    <x v="1"/>
    <n v="0"/>
    <x v="197"/>
  </r>
  <r>
    <d v="2016-11-21T00:00:00"/>
    <x v="6"/>
    <s v="Series 2c"/>
    <m/>
    <m/>
    <m/>
    <n v="340000"/>
    <m/>
    <m/>
    <m/>
    <m/>
    <n v="340000"/>
    <m/>
    <n v="340000"/>
    <n v="340000"/>
    <s v="Private Equity Fund"/>
    <n v="0"/>
    <n v="0"/>
    <m/>
    <m/>
    <m/>
    <m/>
    <m/>
    <m/>
    <m/>
    <m/>
    <m/>
    <m/>
    <m/>
    <m/>
    <m/>
    <d v="2016-11-21T00:00:00"/>
    <n v="-1"/>
    <x v="1"/>
    <n v="0"/>
    <x v="174"/>
  </r>
  <r>
    <d v="2016-11-21T00:00:00"/>
    <x v="6"/>
    <s v="Series 2c"/>
    <m/>
    <m/>
    <m/>
    <n v="1942405"/>
    <m/>
    <m/>
    <m/>
    <m/>
    <n v="1942405"/>
    <m/>
    <n v="1942405"/>
    <n v="1942405"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2c"/>
    <m/>
    <m/>
    <m/>
    <n v="805000"/>
    <m/>
    <m/>
    <m/>
    <m/>
    <n v="805000"/>
    <m/>
    <n v="805000"/>
    <n v="805000"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2c"/>
    <n v="3077761.88"/>
    <m/>
    <m/>
    <m/>
    <m/>
    <m/>
    <m/>
    <m/>
    <n v="0"/>
    <m/>
    <n v="0"/>
    <n v="0"/>
    <s v="Private Equity Fund"/>
    <n v="9.1087999999999985E-3"/>
    <n v="0"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2c"/>
    <n v="3049268.25"/>
    <m/>
    <m/>
    <m/>
    <m/>
    <m/>
    <m/>
    <m/>
    <n v="0"/>
    <m/>
    <n v="0"/>
    <n v="0"/>
    <s v="Private Equity Fund"/>
    <n v="9.0349599999999999E-3"/>
    <n v="0"/>
    <m/>
    <m/>
    <m/>
    <m/>
    <m/>
    <m/>
    <m/>
    <m/>
    <m/>
    <m/>
    <m/>
    <m/>
    <m/>
    <d v="2016-12-31T00:00:00"/>
    <n v="-9.2579059430029087E-3"/>
    <x v="1"/>
    <n v="0"/>
    <x v="175"/>
  </r>
  <r>
    <d v="2017-01-31T00:00:00"/>
    <x v="6"/>
    <s v="Series 2c"/>
    <n v="3113612.56"/>
    <m/>
    <m/>
    <m/>
    <m/>
    <m/>
    <m/>
    <m/>
    <n v="0"/>
    <m/>
    <n v="0"/>
    <n v="0"/>
    <s v="Private Equity Fund"/>
    <n v="1.164433E-2"/>
    <n v="2.2789200000000003E-3"/>
    <m/>
    <m/>
    <m/>
    <m/>
    <m/>
    <m/>
    <m/>
    <m/>
    <m/>
    <m/>
    <m/>
    <m/>
    <m/>
    <d v="2017-01-31T00:00:00"/>
    <n v="2.1101557726185716E-2"/>
    <x v="1"/>
    <n v="0"/>
    <x v="176"/>
  </r>
  <r>
    <d v="2017-02-27T00:00:00"/>
    <x v="6"/>
    <s v="Series 2c"/>
    <m/>
    <m/>
    <m/>
    <n v="470000"/>
    <m/>
    <m/>
    <m/>
    <m/>
    <n v="470000"/>
    <m/>
    <n v="470000"/>
    <n v="470000"/>
    <s v="Private Equity Fund"/>
    <n v="0"/>
    <n v="0"/>
    <m/>
    <m/>
    <m/>
    <m/>
    <m/>
    <m/>
    <m/>
    <m/>
    <m/>
    <m/>
    <m/>
    <m/>
    <m/>
    <d v="2017-02-27T00:00:00"/>
    <n v="-1.150950059117182"/>
    <x v="1"/>
    <n v="0"/>
    <x v="177"/>
  </r>
  <r>
    <d v="2017-02-28T00:00:00"/>
    <x v="6"/>
    <s v="Series 2c"/>
    <n v="3747763.06"/>
    <m/>
    <m/>
    <m/>
    <m/>
    <m/>
    <m/>
    <m/>
    <n v="0"/>
    <m/>
    <n v="0"/>
    <n v="0"/>
    <s v="Private Equity Fund"/>
    <n v="1.0561389999999999E-2"/>
    <n v="1.4879950000000001E-2"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2c"/>
    <n v="3612433.36"/>
    <m/>
    <m/>
    <m/>
    <m/>
    <m/>
    <m/>
    <m/>
    <n v="0"/>
    <m/>
    <n v="0"/>
    <n v="0"/>
    <s v="Private Equity Fund"/>
    <n v="1.8175230000000001E-2"/>
    <n v="4.7850699999999998E-3"/>
    <m/>
    <m/>
    <m/>
    <m/>
    <m/>
    <m/>
    <m/>
    <m/>
    <m/>
    <m/>
    <m/>
    <m/>
    <m/>
    <d v="2017-03-31T00:00:00"/>
    <n v="-3.6109459918738929E-2"/>
    <x v="1"/>
    <n v="0"/>
    <x v="178"/>
  </r>
  <r>
    <d v="2017-04-10T00:00:00"/>
    <x v="6"/>
    <s v="Series 2c"/>
    <m/>
    <m/>
    <m/>
    <n v="540000"/>
    <m/>
    <m/>
    <m/>
    <m/>
    <n v="540000"/>
    <m/>
    <n v="540000"/>
    <n v="540000"/>
    <s v="Private Equity Fund"/>
    <n v="0"/>
    <n v="0"/>
    <m/>
    <m/>
    <m/>
    <m/>
    <m/>
    <m/>
    <m/>
    <m/>
    <m/>
    <m/>
    <m/>
    <m/>
    <m/>
    <d v="2017-04-10T00:00:00"/>
    <n v="-1.1494837263932254"/>
    <x v="1"/>
    <n v="0"/>
    <x v="179"/>
  </r>
  <r>
    <d v="2017-04-30T00:00:00"/>
    <x v="6"/>
    <s v="Series 2c"/>
    <n v="4169837.38"/>
    <m/>
    <m/>
    <m/>
    <m/>
    <m/>
    <m/>
    <m/>
    <n v="0"/>
    <m/>
    <n v="0"/>
    <n v="0"/>
    <s v="Private Equity Fund"/>
    <n v="1.9586669999999997E-2"/>
    <n v="6.2984700000000005E-3"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2c"/>
    <m/>
    <m/>
    <m/>
    <n v="902595"/>
    <m/>
    <m/>
    <m/>
    <m/>
    <n v="902595"/>
    <m/>
    <n v="902595"/>
    <n v="902595"/>
    <s v="Private Equity Fund"/>
    <n v="0"/>
    <n v="0"/>
    <m/>
    <m/>
    <m/>
    <m/>
    <m/>
    <m/>
    <m/>
    <m/>
    <m/>
    <m/>
    <m/>
    <m/>
    <m/>
    <d v="2017-05-26T00:00:00"/>
    <n v="-1.2164580816338693"/>
    <x v="1"/>
    <n v="0"/>
    <x v="180"/>
  </r>
  <r>
    <d v="2017-05-31T00:00:00"/>
    <x v="6"/>
    <s v="Series 2c"/>
    <n v="5096233.63"/>
    <m/>
    <m/>
    <m/>
    <m/>
    <m/>
    <m/>
    <m/>
    <n v="0"/>
    <m/>
    <n v="0"/>
    <n v="0"/>
    <s v="Private Equity Fund"/>
    <n v="2.655213E-2"/>
    <n v="8.3681399999999996E-3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2c"/>
    <n v="5055164.1100000003"/>
    <m/>
    <m/>
    <m/>
    <m/>
    <m/>
    <m/>
    <m/>
    <n v="0"/>
    <m/>
    <n v="0"/>
    <n v="0"/>
    <s v="Private Equity Fund"/>
    <n v="3.1221990000000002E-2"/>
    <n v="4.7968799999999999E-3"/>
    <m/>
    <m/>
    <m/>
    <m/>
    <m/>
    <m/>
    <m/>
    <m/>
    <m/>
    <m/>
    <m/>
    <m/>
    <m/>
    <d v="2017-06-30T00:00:00"/>
    <n v="-8.0587985131285178E-3"/>
    <x v="1"/>
    <n v="0"/>
    <x v="181"/>
  </r>
  <r>
    <d v="2017-07-31T00:00:00"/>
    <x v="6"/>
    <s v="Series 2c"/>
    <n v="4542251.0599999996"/>
    <m/>
    <m/>
    <m/>
    <m/>
    <m/>
    <m/>
    <m/>
    <n v="0"/>
    <m/>
    <n v="0"/>
    <n v="0"/>
    <s v="Private Equity Fund"/>
    <n v="3.2278569999999999E-2"/>
    <n v="1.3587899999999999E-3"/>
    <m/>
    <m/>
    <m/>
    <m/>
    <m/>
    <m/>
    <m/>
    <m/>
    <m/>
    <m/>
    <m/>
    <m/>
    <m/>
    <d v="2017-07-31T00:00:00"/>
    <n v="-0.10146318474317562"/>
    <x v="1"/>
    <n v="0"/>
    <x v="182"/>
  </r>
  <r>
    <d v="2017-08-11T00:00:00"/>
    <x v="6"/>
    <s v="Series 2c"/>
    <m/>
    <m/>
    <m/>
    <m/>
    <m/>
    <n v="-473375"/>
    <m/>
    <m/>
    <n v="-473375"/>
    <m/>
    <n v="-473375"/>
    <n v="-473375"/>
    <s v="Private Equity Fund"/>
    <n v="0"/>
    <n v="0"/>
    <m/>
    <m/>
    <m/>
    <m/>
    <m/>
    <m/>
    <m/>
    <m/>
    <m/>
    <m/>
    <m/>
    <m/>
    <m/>
    <d v="2017-08-11T00:00:00"/>
    <n v="-0.89578405205986122"/>
    <x v="1"/>
    <n v="0"/>
    <x v="183"/>
  </r>
  <r>
    <d v="2017-08-11T00:00:00"/>
    <x v="6"/>
    <s v="Series 2c"/>
    <m/>
    <m/>
    <m/>
    <n v="473375"/>
    <m/>
    <m/>
    <m/>
    <m/>
    <n v="473375"/>
    <m/>
    <n v="473375"/>
    <n v="473375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2c"/>
    <n v="5019706.46"/>
    <m/>
    <m/>
    <m/>
    <m/>
    <m/>
    <m/>
    <m/>
    <n v="0"/>
    <m/>
    <n v="0"/>
    <n v="0"/>
    <s v="Private Equity Fund"/>
    <n v="3.7126079999999999E-2"/>
    <n v="1.71361E-3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2c"/>
    <n v="5041233.95"/>
    <m/>
    <m/>
    <m/>
    <m/>
    <m/>
    <m/>
    <m/>
    <n v="0"/>
    <m/>
    <n v="0"/>
    <n v="0"/>
    <s v="Private Equity Fund"/>
    <n v="4.12608E-2"/>
    <n v="3.5855599999999998E-3"/>
    <m/>
    <m/>
    <m/>
    <m/>
    <m/>
    <m/>
    <m/>
    <m/>
    <m/>
    <m/>
    <m/>
    <m/>
    <m/>
    <d v="2017-09-30T00:00:00"/>
    <n v="4.2885953932851884E-3"/>
    <x v="1"/>
    <n v="0"/>
    <x v="184"/>
  </r>
  <r>
    <d v="2017-10-31T00:00:00"/>
    <x v="6"/>
    <s v="Series 2c"/>
    <n v="5042870.33"/>
    <m/>
    <m/>
    <m/>
    <m/>
    <m/>
    <m/>
    <m/>
    <n v="0"/>
    <m/>
    <n v="0"/>
    <n v="0"/>
    <s v="Private Equity Fund"/>
    <n v="4.12608E-2"/>
    <n v="3.7278599999999999E-3"/>
    <m/>
    <m/>
    <m/>
    <m/>
    <m/>
    <m/>
    <m/>
    <m/>
    <m/>
    <m/>
    <m/>
    <m/>
    <m/>
    <d v="2017-10-31T00:00:00"/>
    <n v="3.2459909939319687E-4"/>
    <x v="1"/>
    <n v="0"/>
    <x v="185"/>
  </r>
  <r>
    <d v="2017-11-30T00:00:00"/>
    <x v="6"/>
    <s v="Series 2c"/>
    <n v="5021104.7300000004"/>
    <m/>
    <m/>
    <m/>
    <m/>
    <m/>
    <m/>
    <m/>
    <n v="0"/>
    <m/>
    <n v="0"/>
    <n v="0"/>
    <s v="Private Equity Fund"/>
    <n v="5.0064879999999999E-2"/>
    <n v="1.83519E-3"/>
    <m/>
    <m/>
    <m/>
    <m/>
    <m/>
    <m/>
    <m/>
    <m/>
    <m/>
    <m/>
    <m/>
    <m/>
    <m/>
    <d v="2017-11-30T00:00:00"/>
    <n v="-4.3161133591946843E-3"/>
    <x v="1"/>
    <n v="0"/>
    <x v="186"/>
  </r>
  <r>
    <d v="2017-12-18T00:00:00"/>
    <x v="6"/>
    <s v="Series 2c"/>
    <m/>
    <m/>
    <m/>
    <m/>
    <m/>
    <n v="-612502.18999999994"/>
    <m/>
    <m/>
    <n v="-612502.18999999994"/>
    <m/>
    <n v="-612502.18999999994"/>
    <n v="-612502.18999999994"/>
    <s v="Private Equity Fund"/>
    <n v="0"/>
    <n v="0"/>
    <m/>
    <m/>
    <m/>
    <m/>
    <m/>
    <m/>
    <m/>
    <m/>
    <m/>
    <m/>
    <m/>
    <m/>
    <m/>
    <d v="2017-12-18T00:00:00"/>
    <n v="-0.87801445639234854"/>
    <x v="1"/>
    <n v="0"/>
    <x v="187"/>
  </r>
  <r>
    <d v="2017-12-18T00:00:00"/>
    <x v="6"/>
    <s v="Series 2c"/>
    <m/>
    <m/>
    <m/>
    <n v="612502.18999999994"/>
    <m/>
    <m/>
    <m/>
    <m/>
    <n v="612502.18999999994"/>
    <m/>
    <n v="612502.18999999994"/>
    <n v="612502.1899999999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2c"/>
    <n v="5785865.9000000004"/>
    <m/>
    <m/>
    <m/>
    <m/>
    <m/>
    <m/>
    <m/>
    <n v="0"/>
    <m/>
    <n v="0"/>
    <n v="0"/>
    <s v="Private Equity Fund"/>
    <n v="5.8419650000000004E-2"/>
    <n v="6.8336160000000007E-2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2c"/>
    <n v="6096843.3799999999"/>
    <m/>
    <m/>
    <m/>
    <m/>
    <m/>
    <m/>
    <m/>
    <n v="0"/>
    <m/>
    <n v="0"/>
    <n v="0"/>
    <s v="Private Equity Fund"/>
    <m/>
    <n v="9.5377690000000001E-2"/>
    <m/>
    <m/>
    <m/>
    <m/>
    <m/>
    <m/>
    <m/>
    <m/>
    <m/>
    <m/>
    <m/>
    <m/>
    <m/>
    <d v="2018-01-31T00:00:00"/>
    <n v="5.3747785616669708E-2"/>
    <x v="1"/>
    <n v="0"/>
    <x v="188"/>
  </r>
  <r>
    <d v="2018-02-28T00:00:00"/>
    <x v="6"/>
    <s v="Series 2c"/>
    <n v="6117675.3200000003"/>
    <m/>
    <m/>
    <m/>
    <m/>
    <m/>
    <m/>
    <m/>
    <n v="0"/>
    <m/>
    <n v="0"/>
    <n v="0"/>
    <s v="Private Equity Fund"/>
    <m/>
    <n v="9.7189159999999997E-2"/>
    <m/>
    <m/>
    <m/>
    <m/>
    <m/>
    <m/>
    <m/>
    <m/>
    <m/>
    <m/>
    <m/>
    <m/>
    <m/>
    <d v="2018-02-28T00:00:00"/>
    <n v="3.4168402731711289E-3"/>
    <x v="1"/>
    <n v="0"/>
    <x v="189"/>
  </r>
  <r>
    <d v="2018-03-31T00:00:00"/>
    <x v="6"/>
    <s v="Series 2c"/>
    <n v="6174774.6799999997"/>
    <m/>
    <m/>
    <m/>
    <m/>
    <m/>
    <m/>
    <m/>
    <n v="0"/>
    <m/>
    <n v="0"/>
    <n v="0"/>
    <s v="Private Equity Fund"/>
    <n v="1.552394E-2"/>
    <n v="0.10215432000000001"/>
    <m/>
    <m/>
    <m/>
    <m/>
    <m/>
    <m/>
    <m/>
    <m/>
    <m/>
    <m/>
    <m/>
    <m/>
    <m/>
    <d v="2018-03-31T00:00:00"/>
    <n v="9.3335061135606523E-3"/>
    <x v="1"/>
    <n v="0"/>
    <x v="190"/>
  </r>
  <r>
    <d v="2018-04-30T00:00:00"/>
    <x v="6"/>
    <s v="Series 2c"/>
    <n v="6126735.2800000003"/>
    <m/>
    <m/>
    <m/>
    <m/>
    <m/>
    <m/>
    <m/>
    <n v="0"/>
    <m/>
    <n v="0"/>
    <n v="0"/>
    <s v="Private Equity Fund"/>
    <m/>
    <n v="9.7976979999999991E-2"/>
    <m/>
    <m/>
    <m/>
    <m/>
    <m/>
    <m/>
    <m/>
    <m/>
    <m/>
    <m/>
    <m/>
    <m/>
    <m/>
    <d v="2018-04-30T00:00:00"/>
    <n v="-7.7799438019331424E-3"/>
    <x v="1"/>
    <n v="0"/>
    <x v="191"/>
  </r>
  <r>
    <d v="2018-05-31T00:00:00"/>
    <x v="6"/>
    <s v="Series 2c"/>
    <n v="6197267.9199999999"/>
    <m/>
    <m/>
    <m/>
    <m/>
    <m/>
    <m/>
    <m/>
    <n v="0"/>
    <m/>
    <n v="0"/>
    <n v="0"/>
    <s v="Private Equity Fund"/>
    <m/>
    <n v="0.10411025"/>
    <m/>
    <m/>
    <m/>
    <m/>
    <m/>
    <m/>
    <m/>
    <m/>
    <m/>
    <m/>
    <m/>
    <m/>
    <m/>
    <d v="2018-05-31T00:00:00"/>
    <n v="1.1512271507836402E-2"/>
    <x v="1"/>
    <n v="0"/>
    <x v="192"/>
  </r>
  <r>
    <d v="2018-06-30T00:00:00"/>
    <x v="6"/>
    <s v="Series 2c"/>
    <n v="6163410.1699999999"/>
    <m/>
    <m/>
    <m/>
    <m/>
    <m/>
    <m/>
    <m/>
    <n v="0"/>
    <m/>
    <n v="0"/>
    <n v="0"/>
    <s v="Private Equity Fund"/>
    <n v="1.583857E-2"/>
    <n v="0.10116610000000001"/>
    <m/>
    <m/>
    <m/>
    <m/>
    <m/>
    <m/>
    <m/>
    <m/>
    <m/>
    <m/>
    <m/>
    <m/>
    <m/>
    <d v="2018-06-30T00:00:00"/>
    <n v="-5.4633348819297378E-3"/>
    <x v="1"/>
    <n v="0"/>
    <x v="193"/>
  </r>
  <r>
    <d v="2018-07-31T00:00:00"/>
    <x v="6"/>
    <s v="Series 2c"/>
    <n v="6099283.4000000004"/>
    <m/>
    <m/>
    <m/>
    <m/>
    <m/>
    <m/>
    <m/>
    <n v="0"/>
    <m/>
    <n v="0"/>
    <n v="0"/>
    <s v="Private Equity Fund"/>
    <n v="0"/>
    <n v="9.5589859999999999E-2"/>
    <m/>
    <m/>
    <m/>
    <m/>
    <m/>
    <m/>
    <m/>
    <m/>
    <m/>
    <m/>
    <m/>
    <m/>
    <m/>
    <d v="2018-07-31T00:00:00"/>
    <n v="-1.0404430052721847E-2"/>
    <x v="1"/>
    <n v="0"/>
    <x v="194"/>
  </r>
  <r>
    <d v="2018-08-31T00:00:00"/>
    <x v="6"/>
    <s v="Series 2c"/>
    <n v="6044214.1799999997"/>
    <m/>
    <m/>
    <m/>
    <m/>
    <m/>
    <m/>
    <m/>
    <n v="0"/>
    <m/>
    <n v="0"/>
    <n v="0"/>
    <s v="Private Equity Fund"/>
    <n v="0"/>
    <n v="9.0801229999999997E-2"/>
    <m/>
    <m/>
    <m/>
    <m/>
    <m/>
    <m/>
    <m/>
    <m/>
    <m/>
    <m/>
    <m/>
    <m/>
    <m/>
    <d v="2018-08-31T00:00:00"/>
    <n v="-9.0288016457803488E-3"/>
    <x v="1"/>
    <n v="0"/>
    <x v="195"/>
  </r>
  <r>
    <d v="2018-09-30T00:00:00"/>
    <x v="6"/>
    <s v="Series 2c"/>
    <n v="5810104.7400000002"/>
    <m/>
    <m/>
    <m/>
    <m/>
    <m/>
    <m/>
    <m/>
    <n v="0"/>
    <e v="#DIV/0!"/>
    <n v="0"/>
    <n v="0"/>
    <s v="Private Equity Fund"/>
    <n v="1.4706149999999999E-2"/>
    <n v="7.0443889999999995E-2"/>
    <m/>
    <m/>
    <m/>
    <m/>
    <m/>
    <m/>
    <m/>
    <m/>
    <m/>
    <m/>
    <m/>
    <m/>
    <m/>
    <d v="2018-09-30T00:00:00"/>
    <n v="-3.8732816711667173E-2"/>
    <x v="1"/>
    <n v="0"/>
    <x v="196"/>
  </r>
  <r>
    <d v="2018-10-31T00:00:00"/>
    <x v="6"/>
    <s v="Series 2c"/>
    <n v="5744821.9167999998"/>
    <m/>
    <n v="5"/>
    <m/>
    <n v="0"/>
    <n v="0"/>
    <n v="0"/>
    <m/>
    <n v="0"/>
    <e v="#DIV/0!"/>
    <n v="-5744821.9167999998"/>
    <n v="-5744821.9167999998"/>
    <s v="Private Equity Fund"/>
    <n v="1.9960001762763684E-2"/>
    <n v="6.4767123199999999E-2"/>
    <m/>
    <m/>
    <m/>
    <m/>
    <m/>
    <m/>
    <m/>
    <m/>
    <m/>
    <m/>
    <m/>
    <m/>
    <m/>
    <d v="2018-10-31T00:00:00"/>
    <n v="-1.1236083706126165E-2"/>
    <x v="1"/>
    <n v="0"/>
    <x v="197"/>
  </r>
  <r>
    <d v="2016-11-21T00:00:00"/>
    <x v="6"/>
    <s v="Series 2d"/>
    <m/>
    <m/>
    <m/>
    <n v="68000"/>
    <m/>
    <m/>
    <m/>
    <m/>
    <n v="68000"/>
    <m/>
    <n v="68000"/>
    <n v="68000"/>
    <s v="Private Equity Fund"/>
    <n v="0"/>
    <n v="0"/>
    <m/>
    <m/>
    <m/>
    <m/>
    <m/>
    <m/>
    <m/>
    <m/>
    <m/>
    <m/>
    <m/>
    <m/>
    <m/>
    <d v="2016-11-21T00:00:00"/>
    <n v="-1"/>
    <x v="1"/>
    <n v="0"/>
    <x v="174"/>
  </r>
  <r>
    <d v="2016-11-21T00:00:00"/>
    <x v="6"/>
    <s v="Series 2d"/>
    <m/>
    <m/>
    <m/>
    <n v="388481"/>
    <m/>
    <m/>
    <m/>
    <m/>
    <n v="388481"/>
    <m/>
    <n v="388481"/>
    <n v="388481"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2d"/>
    <m/>
    <m/>
    <m/>
    <n v="161000"/>
    <m/>
    <m/>
    <m/>
    <m/>
    <n v="161000"/>
    <m/>
    <n v="161000"/>
    <n v="161000"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2d"/>
    <n v="617374.14"/>
    <m/>
    <m/>
    <m/>
    <m/>
    <m/>
    <m/>
    <m/>
    <n v="0"/>
    <m/>
    <n v="0"/>
    <n v="0"/>
    <s v="Private Equity Fund"/>
    <m/>
    <m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2d"/>
    <n v="611974.28"/>
    <m/>
    <m/>
    <m/>
    <m/>
    <m/>
    <m/>
    <m/>
    <n v="0"/>
    <m/>
    <n v="0"/>
    <n v="0"/>
    <s v="Private Equity Fund"/>
    <m/>
    <m/>
    <m/>
    <m/>
    <m/>
    <m/>
    <m/>
    <m/>
    <m/>
    <m/>
    <m/>
    <m/>
    <m/>
    <m/>
    <m/>
    <d v="2016-12-31T00:00:00"/>
    <n v="-8.7464952775637705E-3"/>
    <x v="1"/>
    <n v="0"/>
    <x v="175"/>
  </r>
  <r>
    <d v="2017-01-31T00:00:00"/>
    <x v="6"/>
    <s v="Series 2d"/>
    <n v="625966.62"/>
    <m/>
    <m/>
    <m/>
    <m/>
    <m/>
    <m/>
    <m/>
    <n v="0"/>
    <m/>
    <n v="0"/>
    <n v="0"/>
    <s v="Private Equity Fund"/>
    <m/>
    <m/>
    <m/>
    <m/>
    <m/>
    <m/>
    <m/>
    <m/>
    <m/>
    <m/>
    <m/>
    <m/>
    <m/>
    <m/>
    <m/>
    <d v="2017-01-31T00:00:00"/>
    <n v="2.2864261550338272E-2"/>
    <x v="1"/>
    <n v="0"/>
    <x v="176"/>
  </r>
  <r>
    <d v="2017-02-27T00:00:00"/>
    <x v="6"/>
    <s v="Series 2d"/>
    <m/>
    <m/>
    <m/>
    <n v="94000"/>
    <m/>
    <m/>
    <m/>
    <m/>
    <n v="94000"/>
    <m/>
    <n v="94000"/>
    <n v="94000"/>
    <s v="Private Equity Fund"/>
    <n v="0"/>
    <n v="0"/>
    <m/>
    <m/>
    <m/>
    <m/>
    <m/>
    <m/>
    <m/>
    <m/>
    <m/>
    <m/>
    <m/>
    <m/>
    <m/>
    <d v="2017-02-27T00:00:00"/>
    <n v="-1.1501677517564755"/>
    <x v="1"/>
    <n v="0"/>
    <x v="177"/>
  </r>
  <r>
    <d v="2017-02-28T00:00:00"/>
    <x v="6"/>
    <s v="Series 2d"/>
    <n v="755531.46"/>
    <m/>
    <m/>
    <m/>
    <m/>
    <m/>
    <m/>
    <m/>
    <n v="0"/>
    <m/>
    <n v="0"/>
    <n v="0"/>
    <s v="Private Equity Fund"/>
    <m/>
    <m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2d"/>
    <n v="727752.02"/>
    <m/>
    <m/>
    <m/>
    <m/>
    <m/>
    <m/>
    <m/>
    <n v="0"/>
    <m/>
    <n v="0"/>
    <n v="0"/>
    <s v="Private Equity Fund"/>
    <m/>
    <m/>
    <m/>
    <m/>
    <m/>
    <m/>
    <m/>
    <m/>
    <m/>
    <m/>
    <m/>
    <m/>
    <m/>
    <m/>
    <m/>
    <d v="2017-03-31T00:00:00"/>
    <n v="-3.6768078459631481E-2"/>
    <x v="1"/>
    <n v="0"/>
    <x v="178"/>
  </r>
  <r>
    <d v="2017-04-10T00:00:00"/>
    <x v="6"/>
    <s v="Series 2d"/>
    <m/>
    <m/>
    <m/>
    <n v="108000"/>
    <m/>
    <m/>
    <m/>
    <m/>
    <n v="108000"/>
    <m/>
    <n v="108000"/>
    <n v="108000"/>
    <s v="Private Equity Fund"/>
    <n v="0"/>
    <n v="0"/>
    <m/>
    <m/>
    <m/>
    <m/>
    <m/>
    <m/>
    <m/>
    <m/>
    <m/>
    <m/>
    <m/>
    <m/>
    <m/>
    <d v="2017-04-10T00:00:00"/>
    <n v="-1.1484021988698843"/>
    <x v="1"/>
    <n v="0"/>
    <x v="179"/>
  </r>
  <r>
    <d v="2017-04-30T00:00:00"/>
    <x v="6"/>
    <s v="Series 2d"/>
    <n v="839751.71"/>
    <m/>
    <m/>
    <m/>
    <m/>
    <m/>
    <m/>
    <m/>
    <n v="0"/>
    <m/>
    <n v="0"/>
    <n v="0"/>
    <s v="Private Equity Fund"/>
    <m/>
    <m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2d"/>
    <m/>
    <m/>
    <m/>
    <n v="484868"/>
    <m/>
    <m/>
    <m/>
    <m/>
    <n v="484868"/>
    <m/>
    <n v="484868"/>
    <n v="484868"/>
    <s v="Private Equity Fund"/>
    <n v="0"/>
    <n v="0"/>
    <m/>
    <m/>
    <m/>
    <m/>
    <m/>
    <m/>
    <m/>
    <m/>
    <m/>
    <m/>
    <m/>
    <m/>
    <m/>
    <d v="2017-05-26T00:00:00"/>
    <n v="-1.5773944777081788"/>
    <x v="1"/>
    <n v="0"/>
    <x v="180"/>
  </r>
  <r>
    <d v="2017-05-26T00:00:00"/>
    <x v="6"/>
    <s v="Series 2d"/>
    <m/>
    <m/>
    <m/>
    <n v="1195651"/>
    <m/>
    <m/>
    <m/>
    <m/>
    <n v="1195651"/>
    <m/>
    <n v="1195651"/>
    <n v="1195651"/>
    <s v="Private Equity Fund"/>
    <n v="0"/>
    <n v="0"/>
    <m/>
    <m/>
    <m/>
    <m/>
    <m/>
    <m/>
    <m/>
    <m/>
    <m/>
    <m/>
    <m/>
    <m/>
    <m/>
    <d v="2017-05-26T00:00:00"/>
    <e v="#DIV/0!"/>
    <x v="1"/>
    <n v="0"/>
    <x v="180"/>
  </r>
  <r>
    <d v="2017-05-31T00:00:00"/>
    <x v="6"/>
    <s v="Series 2d"/>
    <n v="2569309.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2d"/>
    <n v="2580845.240000000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6-30T00:00:00"/>
    <n v="4.4898601935603466E-3"/>
    <x v="1"/>
    <n v="0"/>
    <x v="181"/>
  </r>
  <r>
    <d v="2017-07-31T00:00:00"/>
    <x v="6"/>
    <s v="Series 2d"/>
    <n v="2320764.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7-31T00:00:00"/>
    <n v="-0.10077351247919086"/>
    <x v="1"/>
    <n v="0"/>
    <x v="182"/>
  </r>
  <r>
    <d v="2017-08-11T00:00:00"/>
    <x v="6"/>
    <s v="Series 2d"/>
    <m/>
    <m/>
    <m/>
    <m/>
    <m/>
    <n v="-236688"/>
    <m/>
    <m/>
    <n v="-236688"/>
    <m/>
    <n v="-236688"/>
    <n v="-236688"/>
    <s v="Private Equity Fund"/>
    <n v="0"/>
    <n v="0"/>
    <m/>
    <m/>
    <m/>
    <m/>
    <m/>
    <m/>
    <m/>
    <m/>
    <m/>
    <m/>
    <m/>
    <m/>
    <m/>
    <d v="2017-08-11T00:00:00"/>
    <n v="-0.89801291333148681"/>
    <x v="1"/>
    <n v="0"/>
    <x v="183"/>
  </r>
  <r>
    <d v="2017-08-11T00:00:00"/>
    <x v="6"/>
    <s v="Series 2d"/>
    <m/>
    <m/>
    <m/>
    <n v="236688"/>
    <m/>
    <m/>
    <m/>
    <m/>
    <n v="236688"/>
    <m/>
    <n v="236688"/>
    <n v="236688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2d"/>
    <n v="2564526.819999999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2d"/>
    <n v="2578293.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9-30T00:00:00"/>
    <n v="5.3682729666286733E-3"/>
    <x v="1"/>
    <n v="0"/>
    <x v="184"/>
  </r>
  <r>
    <d v="2017-10-31T00:00:00"/>
    <x v="6"/>
    <s v="Series 2d"/>
    <n v="2576649.180000000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0-31T00:00:00"/>
    <n v="-6.3791020876236004E-4"/>
    <x v="1"/>
    <n v="0"/>
    <x v="185"/>
  </r>
  <r>
    <d v="2017-11-30T00:00:00"/>
    <x v="6"/>
    <s v="Series 2d"/>
    <n v="2569222.0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1-30T00:00:00"/>
    <n v="-2.8824645813831928E-3"/>
    <x v="1"/>
    <n v="0"/>
    <x v="186"/>
  </r>
  <r>
    <d v="2017-12-18T00:00:00"/>
    <x v="6"/>
    <s v="Series 2d"/>
    <m/>
    <m/>
    <m/>
    <m/>
    <m/>
    <n v="-306251.09999999998"/>
    <m/>
    <m/>
    <n v="-306251.09999999998"/>
    <m/>
    <n v="-306251.09999999998"/>
    <n v="-306251.09999999998"/>
    <s v="Private Equity Fund"/>
    <n v="0"/>
    <n v="0"/>
    <m/>
    <m/>
    <m/>
    <m/>
    <m/>
    <m/>
    <m/>
    <m/>
    <m/>
    <m/>
    <m/>
    <m/>
    <m/>
    <d v="2017-12-18T00:00:00"/>
    <n v="-0.88080006692142399"/>
    <x v="1"/>
    <n v="0"/>
    <x v="187"/>
  </r>
  <r>
    <d v="2017-12-18T00:00:00"/>
    <x v="6"/>
    <s v="Series 2d"/>
    <m/>
    <m/>
    <m/>
    <n v="306251.09999999998"/>
    <m/>
    <m/>
    <m/>
    <m/>
    <n v="306251.09999999998"/>
    <m/>
    <n v="306251.09999999998"/>
    <n v="306251.09999999998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2d"/>
    <n v="2991564.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2d"/>
    <n v="3160851.65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1-31T00:00:00"/>
    <n v="5.6588131173901379E-2"/>
    <x v="1"/>
    <n v="0"/>
    <x v="188"/>
  </r>
  <r>
    <d v="2018-02-28T00:00:00"/>
    <x v="6"/>
    <s v="Series 2d"/>
    <n v="3174516.09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2-28T00:00:00"/>
    <n v="4.323024777198814E-3"/>
    <x v="1"/>
    <n v="0"/>
    <x v="189"/>
  </r>
  <r>
    <d v="2018-03-31T00:00:00"/>
    <x v="6"/>
    <s v="Series 2d"/>
    <n v="3210859.7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3-31T00:00:00"/>
    <n v="1.1448557502822476E-2"/>
    <x v="1"/>
    <n v="0"/>
    <x v="190"/>
  </r>
  <r>
    <d v="2018-04-30T00:00:00"/>
    <x v="6"/>
    <s v="Series 2d"/>
    <n v="3185409.77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4-30T00:00:00"/>
    <n v="-7.9262104916872911E-3"/>
    <x v="1"/>
    <n v="0"/>
    <x v="191"/>
  </r>
  <r>
    <d v="2018-05-31T00:00:00"/>
    <x v="6"/>
    <s v="Series 2d"/>
    <n v="3228860.44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5-31T00:00:00"/>
    <n v="1.3640527636103794E-2"/>
    <x v="1"/>
    <n v="0"/>
    <x v="192"/>
  </r>
  <r>
    <d v="2018-06-30T00:00:00"/>
    <x v="6"/>
    <s v="Series 2d"/>
    <n v="3213747.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n v="-4.6806730364598037E-3"/>
    <x v="1"/>
    <n v="0"/>
    <x v="193"/>
  </r>
  <r>
    <d v="2018-07-31T00:00:00"/>
    <x v="6"/>
    <s v="Series 2d"/>
    <n v="3181380.8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-1.0071224643929733E-2"/>
    <x v="1"/>
    <n v="0"/>
    <x v="194"/>
  </r>
  <r>
    <d v="2018-08-31T00:00:00"/>
    <x v="6"/>
    <s v="Series 2d"/>
    <n v="3146453.9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n v="-1.0978531608238806E-2"/>
    <x v="1"/>
    <n v="0"/>
    <x v="195"/>
  </r>
  <r>
    <d v="2018-09-30T00:00:00"/>
    <x v="6"/>
    <s v="Series 2d"/>
    <n v="3029983.99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  <m/>
    <m/>
    <m/>
    <d v="2018-09-30T00:00:00"/>
    <n v="-3.7016257736796732E-2"/>
    <x v="1"/>
    <n v="0"/>
    <x v="196"/>
  </r>
  <r>
    <d v="2018-10-31T00:00:00"/>
    <x v="6"/>
    <s v="Series 2d"/>
    <n v="2989158.37"/>
    <m/>
    <n v="2.5"/>
    <m/>
    <n v="0"/>
    <n v="0"/>
    <n v="0"/>
    <m/>
    <n v="0"/>
    <e v="#DIV/0!"/>
    <n v="-2989158.37"/>
    <n v="-2989158.37"/>
    <s v="Private Equity Fund"/>
    <n v="0"/>
    <n v="0"/>
    <m/>
    <m/>
    <m/>
    <m/>
    <m/>
    <m/>
    <m/>
    <m/>
    <m/>
    <m/>
    <m/>
    <m/>
    <m/>
    <d v="2018-10-31T00:00:00"/>
    <n v="-1.347387317383153E-2"/>
    <x v="1"/>
    <n v="0"/>
    <x v="197"/>
  </r>
  <r>
    <d v="2017-05-26T00:00:00"/>
    <x v="6"/>
    <s v="Series 2e"/>
    <m/>
    <m/>
    <m/>
    <n v="304349"/>
    <m/>
    <m/>
    <m/>
    <m/>
    <n v="304349"/>
    <m/>
    <n v="304349"/>
    <n v="304349"/>
    <s v="Private Equity Fund"/>
    <n v="0"/>
    <n v="0"/>
    <m/>
    <m/>
    <m/>
    <m/>
    <m/>
    <m/>
    <m/>
    <m/>
    <m/>
    <m/>
    <m/>
    <m/>
    <m/>
    <d v="2017-05-26T00:00:00"/>
    <n v="-1"/>
    <x v="1"/>
    <n v="0"/>
    <x v="180"/>
  </r>
  <r>
    <d v="2017-05-26T00:00:00"/>
    <x v="6"/>
    <s v="Series 2e"/>
    <m/>
    <m/>
    <m/>
    <n v="1195651"/>
    <m/>
    <m/>
    <m/>
    <m/>
    <n v="1195651"/>
    <m/>
    <n v="1195651"/>
    <n v="1195651"/>
    <s v="Private Equity Fund"/>
    <n v="0"/>
    <n v="0"/>
    <m/>
    <m/>
    <m/>
    <m/>
    <m/>
    <m/>
    <m/>
    <m/>
    <m/>
    <m/>
    <m/>
    <m/>
    <m/>
    <d v="2017-05-26T00:00:00"/>
    <e v="#DIV/0!"/>
    <x v="1"/>
    <n v="0"/>
    <x v="180"/>
  </r>
  <r>
    <d v="2017-05-31T00:00:00"/>
    <x v="6"/>
    <s v="Series 2e"/>
    <n v="1543079.2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2e"/>
    <n v="1561935.4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6-30T00:00:00"/>
    <n v="1.2219871640809288E-2"/>
    <x v="1"/>
    <n v="0"/>
    <x v="181"/>
  </r>
  <r>
    <d v="2017-07-31T00:00:00"/>
    <x v="6"/>
    <s v="Series 2e"/>
    <n v="1404873.9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7-31T00:00:00"/>
    <n v="-0.10055570478280651"/>
    <x v="1"/>
    <n v="0"/>
    <x v="182"/>
  </r>
  <r>
    <d v="2017-08-11T00:00:00"/>
    <x v="6"/>
    <s v="Series 2e"/>
    <m/>
    <m/>
    <m/>
    <m/>
    <m/>
    <n v="-142013"/>
    <m/>
    <m/>
    <n v="-142013"/>
    <m/>
    <n v="-142013"/>
    <n v="-142013"/>
    <s v="Private Equity Fund"/>
    <n v="0"/>
    <n v="0"/>
    <m/>
    <m/>
    <m/>
    <m/>
    <m/>
    <m/>
    <m/>
    <m/>
    <m/>
    <m/>
    <m/>
    <m/>
    <m/>
    <d v="2017-08-11T00:00:00"/>
    <n v="-0.89891406127808204"/>
    <x v="1"/>
    <n v="0"/>
    <x v="183"/>
  </r>
  <r>
    <d v="2017-08-11T00:00:00"/>
    <x v="6"/>
    <s v="Series 2e"/>
    <m/>
    <m/>
    <m/>
    <n v="142013"/>
    <m/>
    <m/>
    <m/>
    <m/>
    <n v="142013"/>
    <m/>
    <n v="142013"/>
    <n v="142013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2e"/>
    <n v="1552144.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2e"/>
    <n v="1560404.6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9-30T00:00:00"/>
    <n v="5.3218308811988635E-3"/>
    <x v="1"/>
    <n v="0"/>
    <x v="184"/>
  </r>
  <r>
    <d v="2017-10-31T00:00:00"/>
    <x v="6"/>
    <s v="Series 2e"/>
    <n v="1558404.7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0-31T00:00:00"/>
    <n v="-1.2816290953758802E-3"/>
    <x v="1"/>
    <n v="0"/>
    <x v="185"/>
  </r>
  <r>
    <d v="2017-11-30T00:00:00"/>
    <x v="6"/>
    <s v="Series 2e"/>
    <n v="1553948.5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1-30T00:00:00"/>
    <n v="-2.8595009644445391E-3"/>
    <x v="1"/>
    <n v="0"/>
    <x v="186"/>
  </r>
  <r>
    <d v="2017-12-18T00:00:00"/>
    <x v="6"/>
    <s v="Series 2e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  <m/>
    <m/>
    <m/>
    <d v="2017-12-18T00:00:00"/>
    <n v="-0.9211682770471169"/>
    <x v="1"/>
    <n v="0"/>
    <x v="187"/>
  </r>
  <r>
    <d v="2017-12-18T00:00:00"/>
    <x v="6"/>
    <s v="Series 2e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2e"/>
    <n v="1808367.0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2e"/>
    <n v="1905142.7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1-31T00:00:00"/>
    <n v="5.3515479022740564E-2"/>
    <x v="1"/>
    <n v="0"/>
    <x v="188"/>
  </r>
  <r>
    <d v="2018-02-28T00:00:00"/>
    <x v="6"/>
    <s v="Series 2e"/>
    <n v="1891129.69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2-28T00:00:00"/>
    <n v="-7.3553597848602381E-3"/>
    <x v="1"/>
    <n v="0"/>
    <x v="189"/>
  </r>
  <r>
    <d v="2018-03-31T00:00:00"/>
    <x v="6"/>
    <s v="Series 2e"/>
    <n v="1940012.0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3-31T00:00:00"/>
    <n v="2.584821668153281E-2"/>
    <x v="1"/>
    <n v="0"/>
    <x v="190"/>
  </r>
  <r>
    <d v="2018-04-30T00:00:00"/>
    <x v="6"/>
    <s v="Series 2e"/>
    <n v="1880164.78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4-30T00:00:00"/>
    <n v="-3.084890164752685E-2"/>
    <x v="1"/>
    <n v="0"/>
    <x v="191"/>
  </r>
  <r>
    <d v="2018-05-31T00:00:00"/>
    <x v="6"/>
    <s v="Series 2e"/>
    <n v="1901711.31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5-31T00:00:00"/>
    <n v="1.1459915763340822E-2"/>
    <x v="1"/>
    <n v="0"/>
    <x v="192"/>
  </r>
  <r>
    <d v="2018-06-30T00:00:00"/>
    <x v="6"/>
    <s v="Series 2e"/>
    <n v="1942202.3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n v="2.1291885780497344E-2"/>
    <x v="1"/>
    <n v="0"/>
    <x v="193"/>
  </r>
  <r>
    <d v="2018-07-31T00:00:00"/>
    <x v="6"/>
    <s v="Series 2e"/>
    <n v="1873765.4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-3.5236745905870781E-2"/>
    <x v="1"/>
    <n v="0"/>
    <x v="194"/>
  </r>
  <r>
    <d v="2018-08-31T00:00:00"/>
    <x v="6"/>
    <s v="Series 2e"/>
    <n v="1852716.3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n v="-1.1233588554178886E-2"/>
    <x v="1"/>
    <n v="0"/>
    <x v="195"/>
  </r>
  <r>
    <d v="2018-09-30T00:00:00"/>
    <x v="6"/>
    <s v="Series 2e"/>
    <n v="1832303.42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  <m/>
    <m/>
    <m/>
    <d v="2018-09-30T00:00:00"/>
    <n v="-1.1017828077329095E-2"/>
    <x v="1"/>
    <n v="0"/>
    <x v="196"/>
  </r>
  <r>
    <d v="2018-10-31T00:00:00"/>
    <x v="6"/>
    <s v="Series 2e"/>
    <n v="1758103.59"/>
    <m/>
    <n v="1.5"/>
    <m/>
    <n v="0"/>
    <n v="0"/>
    <n v="0"/>
    <m/>
    <n v="0"/>
    <e v="#DIV/0!"/>
    <n v="-1758103.59"/>
    <n v="-1758103.59"/>
    <s v="Private Equity Fund"/>
    <n v="0"/>
    <n v="0"/>
    <m/>
    <m/>
    <m/>
    <m/>
    <m/>
    <m/>
    <m/>
    <m/>
    <m/>
    <m/>
    <m/>
    <m/>
    <m/>
    <d v="2018-10-31T00:00:00"/>
    <n v="-4.0495383673954999E-2"/>
    <x v="1"/>
    <n v="0"/>
    <x v="197"/>
  </r>
  <r>
    <d v="2017-05-26T00:00:00"/>
    <x v="6"/>
    <s v="Series 2f"/>
    <m/>
    <m/>
    <m/>
    <n v="202900"/>
    <m/>
    <m/>
    <m/>
    <m/>
    <n v="202900"/>
    <m/>
    <n v="202900"/>
    <n v="202900"/>
    <s v="Private Equity Fund"/>
    <n v="0"/>
    <n v="0"/>
    <m/>
    <m/>
    <m/>
    <m/>
    <m/>
    <m/>
    <m/>
    <m/>
    <m/>
    <m/>
    <m/>
    <m/>
    <m/>
    <d v="2017-05-26T00:00:00"/>
    <n v="-1"/>
    <x v="1"/>
    <n v="0"/>
    <x v="180"/>
  </r>
  <r>
    <d v="2017-05-26T00:00:00"/>
    <x v="6"/>
    <s v="Series 2f"/>
    <m/>
    <m/>
    <m/>
    <n v="797100"/>
    <m/>
    <m/>
    <m/>
    <m/>
    <n v="797100"/>
    <m/>
    <n v="797100"/>
    <n v="797100"/>
    <s v="Private Equity Fund"/>
    <n v="0"/>
    <n v="0"/>
    <m/>
    <m/>
    <m/>
    <m/>
    <m/>
    <m/>
    <m/>
    <m/>
    <m/>
    <m/>
    <m/>
    <m/>
    <m/>
    <d v="2017-05-26T00:00:00"/>
    <e v="#DIV/0!"/>
    <x v="1"/>
    <n v="0"/>
    <x v="180"/>
  </r>
  <r>
    <d v="2017-05-31T00:00:00"/>
    <x v="6"/>
    <s v="Series 2f"/>
    <n v="1028719.4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2f"/>
    <n v="1027135.15"/>
    <m/>
    <m/>
    <m/>
    <m/>
    <m/>
    <m/>
    <m/>
    <n v="0"/>
    <m/>
    <n v="0"/>
    <n v="0"/>
    <s v="Private Equity Fund"/>
    <n v="9.366600000000001E-3"/>
    <n v="4.7885499999999999E-3"/>
    <m/>
    <m/>
    <m/>
    <m/>
    <m/>
    <m/>
    <m/>
    <m/>
    <m/>
    <m/>
    <m/>
    <m/>
    <m/>
    <d v="2017-06-30T00:00:00"/>
    <n v="-1.5400991531724362E-3"/>
    <x v="1"/>
    <n v="0"/>
    <x v="181"/>
  </r>
  <r>
    <d v="2017-07-31T00:00:00"/>
    <x v="6"/>
    <s v="Series 2f"/>
    <n v="923663.5"/>
    <m/>
    <m/>
    <m/>
    <m/>
    <m/>
    <m/>
    <m/>
    <n v="0"/>
    <m/>
    <n v="0"/>
    <n v="0"/>
    <s v="Private Equity Fund"/>
    <m/>
    <m/>
    <m/>
    <m/>
    <m/>
    <m/>
    <m/>
    <m/>
    <m/>
    <m/>
    <m/>
    <m/>
    <m/>
    <m/>
    <m/>
    <d v="2017-07-31T00:00:00"/>
    <n v="-0.10073810637285663"/>
    <x v="1"/>
    <n v="0"/>
    <x v="182"/>
  </r>
  <r>
    <d v="2017-08-11T00:00:00"/>
    <x v="6"/>
    <s v="Series 2f"/>
    <m/>
    <m/>
    <m/>
    <m/>
    <m/>
    <n v="-94675"/>
    <m/>
    <m/>
    <n v="-94675"/>
    <m/>
    <n v="-94675"/>
    <n v="-94675"/>
    <s v="Private Equity Fund"/>
    <n v="0"/>
    <n v="0"/>
    <m/>
    <m/>
    <m/>
    <m/>
    <m/>
    <m/>
    <m/>
    <m/>
    <m/>
    <m/>
    <m/>
    <m/>
    <m/>
    <d v="2017-08-11T00:00:00"/>
    <n v="-0.89750055079582558"/>
    <x v="1"/>
    <n v="0"/>
    <x v="183"/>
  </r>
  <r>
    <d v="2017-08-11T00:00:00"/>
    <x v="6"/>
    <s v="Series 2f"/>
    <m/>
    <m/>
    <m/>
    <n v="94675"/>
    <m/>
    <m/>
    <m/>
    <m/>
    <n v="94675"/>
    <m/>
    <n v="94675"/>
    <n v="94675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2f"/>
    <n v="1020081.34"/>
    <m/>
    <m/>
    <m/>
    <m/>
    <m/>
    <m/>
    <m/>
    <n v="0"/>
    <m/>
    <n v="0"/>
    <n v="0"/>
    <s v="Private Equity Fund"/>
    <n v="1.113782E-2"/>
    <n v="3.5437699999999999E-3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2f"/>
    <n v="1023707.8"/>
    <m/>
    <m/>
    <m/>
    <m/>
    <m/>
    <m/>
    <m/>
    <n v="0"/>
    <m/>
    <n v="0"/>
    <n v="0"/>
    <s v="Private Equity Fund"/>
    <n v="1.237824E-2"/>
    <n v="4.1837299999999992E-3"/>
    <m/>
    <m/>
    <m/>
    <m/>
    <m/>
    <m/>
    <m/>
    <m/>
    <m/>
    <m/>
    <m/>
    <m/>
    <m/>
    <d v="2017-09-30T00:00:00"/>
    <n v="3.5550694418153839E-3"/>
    <x v="1"/>
    <n v="0"/>
    <x v="184"/>
  </r>
  <r>
    <d v="2017-10-31T00:00:00"/>
    <x v="6"/>
    <s v="Series 2f"/>
    <n v="1022575.12"/>
    <m/>
    <m/>
    <m/>
    <m/>
    <m/>
    <m/>
    <m/>
    <n v="0"/>
    <m/>
    <n v="0"/>
    <n v="0"/>
    <s v="Private Equity Fund"/>
    <n v="1.237824E-2"/>
    <n v="3.9838399999999998E-3"/>
    <m/>
    <m/>
    <m/>
    <m/>
    <m/>
    <m/>
    <m/>
    <m/>
    <m/>
    <m/>
    <m/>
    <m/>
    <m/>
    <d v="2017-10-31T00:00:00"/>
    <n v="-1.1064485393195156E-3"/>
    <x v="1"/>
    <n v="0"/>
    <x v="185"/>
  </r>
  <r>
    <d v="2017-11-30T00:00:00"/>
    <x v="6"/>
    <s v="Series 2f"/>
    <n v="1017804.86"/>
    <m/>
    <m/>
    <m/>
    <m/>
    <m/>
    <m/>
    <m/>
    <n v="0"/>
    <m/>
    <n v="0"/>
    <n v="0"/>
    <s v="Private Equity Fund"/>
    <n v="1.5019459999999998E-2"/>
    <n v="3.1420300000000001E-3"/>
    <m/>
    <m/>
    <m/>
    <m/>
    <m/>
    <m/>
    <m/>
    <m/>
    <m/>
    <m/>
    <m/>
    <m/>
    <m/>
    <d v="2017-11-30T00:00:00"/>
    <n v="-4.6649482338275705E-3"/>
    <x v="1"/>
    <n v="0"/>
    <x v="186"/>
  </r>
  <r>
    <d v="2017-12-18T00:00:00"/>
    <x v="6"/>
    <s v="Series 2f"/>
    <m/>
    <m/>
    <m/>
    <m/>
    <m/>
    <n v="-183750.66"/>
    <m/>
    <m/>
    <n v="-183750.66"/>
    <m/>
    <n v="-183750.66"/>
    <n v="-183750.66"/>
    <s v="Private Equity Fund"/>
    <n v="0"/>
    <n v="0"/>
    <m/>
    <m/>
    <m/>
    <m/>
    <m/>
    <m/>
    <m/>
    <m/>
    <m/>
    <m/>
    <m/>
    <m/>
    <m/>
    <d v="2017-12-18T00:00:00"/>
    <n v="-0.81946376243477559"/>
    <x v="1"/>
    <n v="0"/>
    <x v="187"/>
  </r>
  <r>
    <d v="2017-12-18T00:00:00"/>
    <x v="6"/>
    <s v="Series 2f"/>
    <m/>
    <m/>
    <m/>
    <n v="183750.66"/>
    <m/>
    <m/>
    <m/>
    <m/>
    <n v="183750.66"/>
    <m/>
    <n v="183750.66"/>
    <n v="183750.66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2f"/>
    <n v="1159727.03"/>
    <m/>
    <m/>
    <m/>
    <m/>
    <m/>
    <m/>
    <m/>
    <n v="0"/>
    <m/>
    <n v="0"/>
    <n v="0"/>
    <s v="Private Equity Fund"/>
    <n v="1.76639E-2"/>
    <n v="2.818712E-2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2f"/>
    <n v="1218471.94"/>
    <m/>
    <m/>
    <m/>
    <m/>
    <m/>
    <m/>
    <m/>
    <n v="0"/>
    <m/>
    <n v="0"/>
    <n v="0"/>
    <s v="Private Equity Fund"/>
    <m/>
    <n v="3.8553870000000004E-2"/>
    <m/>
    <m/>
    <m/>
    <m/>
    <m/>
    <m/>
    <m/>
    <m/>
    <m/>
    <m/>
    <m/>
    <m/>
    <m/>
    <d v="2018-01-31T00:00:00"/>
    <n v="5.0654083659669391E-2"/>
    <x v="1"/>
    <n v="0"/>
    <x v="188"/>
  </r>
  <r>
    <d v="2018-02-28T00:00:00"/>
    <x v="6"/>
    <s v="Series 2f"/>
    <n v="1239449.96"/>
    <m/>
    <m/>
    <m/>
    <m/>
    <m/>
    <m/>
    <m/>
    <n v="0"/>
    <m/>
    <n v="0"/>
    <n v="0"/>
    <s v="Private Equity Fund"/>
    <m/>
    <n v="4.2255870000000001E-2"/>
    <m/>
    <m/>
    <m/>
    <m/>
    <m/>
    <m/>
    <m/>
    <m/>
    <m/>
    <m/>
    <m/>
    <m/>
    <m/>
    <d v="2018-02-28T00:00:00"/>
    <n v="1.7216662371396074E-2"/>
    <x v="1"/>
    <n v="0"/>
    <x v="189"/>
  </r>
  <r>
    <d v="2018-03-31T00:00:00"/>
    <x v="6"/>
    <s v="Series 2f"/>
    <n v="1230315.31"/>
    <m/>
    <m/>
    <m/>
    <m/>
    <m/>
    <m/>
    <m/>
    <n v="0"/>
    <m/>
    <n v="0"/>
    <n v="0"/>
    <s v="Private Equity Fund"/>
    <n v="4.7182600000000002E-3"/>
    <n v="4.064388E-2"/>
    <m/>
    <m/>
    <m/>
    <m/>
    <m/>
    <m/>
    <m/>
    <m/>
    <m/>
    <m/>
    <m/>
    <m/>
    <m/>
    <d v="2018-03-31T00:00:00"/>
    <n v="-7.3699223807308645E-3"/>
    <x v="1"/>
    <n v="0"/>
    <x v="190"/>
  </r>
  <r>
    <d v="2018-04-30T00:00:00"/>
    <x v="6"/>
    <s v="Series 2f"/>
    <n v="1256911.81"/>
    <m/>
    <m/>
    <m/>
    <m/>
    <m/>
    <m/>
    <m/>
    <n v="0"/>
    <m/>
    <n v="0"/>
    <n v="0"/>
    <s v="Private Equity Fund"/>
    <m/>
    <n v="4.5337379999999997E-2"/>
    <m/>
    <m/>
    <m/>
    <m/>
    <m/>
    <m/>
    <m/>
    <m/>
    <m/>
    <m/>
    <m/>
    <m/>
    <m/>
    <d v="2018-04-30T00:00:00"/>
    <n v="2.161762906128506E-2"/>
    <x v="1"/>
    <n v="0"/>
    <x v="191"/>
  </r>
  <r>
    <d v="2018-05-31T00:00:00"/>
    <x v="6"/>
    <s v="Series 2f"/>
    <n v="1275452.8799999999"/>
    <m/>
    <m/>
    <m/>
    <m/>
    <m/>
    <m/>
    <m/>
    <n v="0"/>
    <m/>
    <n v="0"/>
    <n v="0"/>
    <s v="Private Equity Fund"/>
    <m/>
    <n v="4.8609329999999999E-2"/>
    <m/>
    <m/>
    <m/>
    <m/>
    <m/>
    <m/>
    <m/>
    <m/>
    <m/>
    <m/>
    <m/>
    <m/>
    <m/>
    <d v="2018-05-31T00:00:00"/>
    <n v="1.4751289511711896E-2"/>
    <x v="1"/>
    <n v="0"/>
    <x v="192"/>
  </r>
  <r>
    <d v="2018-06-30T00:00:00"/>
    <x v="6"/>
    <s v="Series 2f"/>
    <n v="1227467.3400000001"/>
    <m/>
    <m/>
    <m/>
    <m/>
    <m/>
    <m/>
    <m/>
    <n v="0"/>
    <m/>
    <n v="0"/>
    <n v="0"/>
    <s v="Private Equity Fund"/>
    <n v="4.8107899999999997E-3"/>
    <n v="4.0141290000000003E-2"/>
    <m/>
    <m/>
    <m/>
    <m/>
    <m/>
    <m/>
    <m/>
    <m/>
    <m/>
    <m/>
    <m/>
    <m/>
    <m/>
    <d v="2018-06-30T00:00:00"/>
    <n v="-3.7622354186851559E-2"/>
    <x v="1"/>
    <n v="0"/>
    <x v="193"/>
  </r>
  <r>
    <d v="2018-07-31T00:00:00"/>
    <x v="6"/>
    <s v="Series 2f"/>
    <n v="1256528.31"/>
    <m/>
    <m/>
    <m/>
    <m/>
    <m/>
    <m/>
    <m/>
    <n v="0"/>
    <m/>
    <n v="0"/>
    <n v="0"/>
    <s v="Private Equity Fund"/>
    <n v="0"/>
    <n v="4.5269699999999996E-2"/>
    <m/>
    <m/>
    <m/>
    <m/>
    <m/>
    <m/>
    <m/>
    <m/>
    <m/>
    <m/>
    <m/>
    <m/>
    <m/>
    <d v="2018-07-31T00:00:00"/>
    <n v="2.3675554577281099E-2"/>
    <x v="1"/>
    <n v="0"/>
    <x v="194"/>
  </r>
  <r>
    <d v="2018-08-31T00:00:00"/>
    <x v="6"/>
    <s v="Series 2f"/>
    <n v="1247720.1200000001"/>
    <m/>
    <m/>
    <m/>
    <m/>
    <m/>
    <m/>
    <m/>
    <n v="0"/>
    <m/>
    <n v="0"/>
    <n v="0"/>
    <s v="Private Equity Fund"/>
    <n v="0"/>
    <n v="4.3715320000000002E-2"/>
    <m/>
    <m/>
    <m/>
    <m/>
    <m/>
    <m/>
    <m/>
    <m/>
    <m/>
    <m/>
    <m/>
    <m/>
    <m/>
    <d v="2018-08-31T00:00:00"/>
    <n v="-7.0099415428211964E-3"/>
    <x v="1"/>
    <n v="0"/>
    <x v="195"/>
  </r>
  <r>
    <d v="2018-09-30T00:00:00"/>
    <x v="6"/>
    <s v="Series 2f"/>
    <n v="1161394.76"/>
    <m/>
    <m/>
    <m/>
    <m/>
    <m/>
    <m/>
    <m/>
    <n v="0"/>
    <e v="#DIV/0!"/>
    <n v="0"/>
    <n v="0"/>
    <s v="Private Equity Fund"/>
    <n v="4.4665099999999999E-3"/>
    <n v="2.8481430000000002E-2"/>
    <m/>
    <m/>
    <m/>
    <m/>
    <m/>
    <m/>
    <m/>
    <m/>
    <m/>
    <m/>
    <m/>
    <m/>
    <m/>
    <d v="2018-09-30T00:00:00"/>
    <n v="-6.9186477493045517E-2"/>
    <x v="1"/>
    <n v="0"/>
    <x v="196"/>
  </r>
  <r>
    <d v="2018-10-31T00:00:00"/>
    <x v="6"/>
    <s v="Series 2f"/>
    <n v="1192406.1614999999"/>
    <m/>
    <n v="1"/>
    <m/>
    <n v="0"/>
    <n v="0"/>
    <n v="0"/>
    <m/>
    <n v="0"/>
    <e v="#DIV/0!"/>
    <n v="-1192406.1614999999"/>
    <n v="-1192406.1614999999"/>
    <s v="Private Equity Fund"/>
    <n v="6.1320537129210973E-3"/>
    <n v="3.395402849999999E-2"/>
    <m/>
    <m/>
    <m/>
    <m/>
    <m/>
    <m/>
    <m/>
    <m/>
    <m/>
    <m/>
    <m/>
    <m/>
    <m/>
    <d v="2018-10-31T00:00:00"/>
    <n v="2.6701861045076436E-2"/>
    <x v="1"/>
    <n v="0"/>
    <x v="197"/>
  </r>
  <r>
    <d v="2016-11-21T00:00:00"/>
    <x v="6"/>
    <s v="Series 2GP"/>
    <m/>
    <m/>
    <m/>
    <n v="2125000"/>
    <m/>
    <m/>
    <m/>
    <m/>
    <n v="2125000"/>
    <m/>
    <n v="2125000"/>
    <m/>
    <s v="Private Equity Fund"/>
    <n v="0"/>
    <n v="0"/>
    <m/>
    <m/>
    <m/>
    <m/>
    <m/>
    <m/>
    <m/>
    <m/>
    <m/>
    <m/>
    <m/>
    <m/>
    <m/>
    <d v="2016-11-21T00:00:00"/>
    <n v="-1"/>
    <x v="1"/>
    <n v="0"/>
    <x v="174"/>
  </r>
  <r>
    <d v="2016-11-21T00:00:00"/>
    <x v="6"/>
    <s v="Series 2GP"/>
    <m/>
    <m/>
    <m/>
    <n v="12140033"/>
    <m/>
    <m/>
    <m/>
    <m/>
    <n v="12140033"/>
    <m/>
    <n v="12140033"/>
    <m/>
    <s v="Private Equity Fund"/>
    <n v="0"/>
    <n v="0"/>
    <m/>
    <m/>
    <m/>
    <m/>
    <m/>
    <m/>
    <m/>
    <m/>
    <m/>
    <m/>
    <m/>
    <m/>
    <m/>
    <d v="2016-11-21T00:00:00"/>
    <e v="#DIV/0!"/>
    <x v="1"/>
    <n v="0"/>
    <x v="174"/>
  </r>
  <r>
    <d v="2016-11-29T00:00:00"/>
    <x v="6"/>
    <s v="Series 2GP"/>
    <m/>
    <m/>
    <m/>
    <n v="5031250"/>
    <m/>
    <m/>
    <m/>
    <m/>
    <n v="5031250"/>
    <m/>
    <n v="5031250"/>
    <m/>
    <s v="Private Equity Fund"/>
    <n v="0"/>
    <n v="0"/>
    <m/>
    <m/>
    <m/>
    <m/>
    <m/>
    <m/>
    <m/>
    <m/>
    <m/>
    <m/>
    <m/>
    <m/>
    <m/>
    <d v="2016-11-29T00:00:00"/>
    <e v="#DIV/0!"/>
    <x v="1"/>
    <n v="0"/>
    <x v="174"/>
  </r>
  <r>
    <d v="2016-11-30T00:00:00"/>
    <x v="6"/>
    <s v="Series 2GP"/>
    <n v="19292941.77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6-11-30T00:00:00"/>
    <e v="#DIV/0!"/>
    <x v="1"/>
    <n v="0"/>
    <x v="174"/>
  </r>
  <r>
    <d v="2016-12-31T00:00:00"/>
    <x v="6"/>
    <s v="Series 2GP"/>
    <n v="19124196.30999999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6-12-31T00:00:00"/>
    <n v="-8.7464867728153095E-3"/>
    <x v="1"/>
    <n v="0"/>
    <x v="175"/>
  </r>
  <r>
    <d v="2017-01-31T00:00:00"/>
    <x v="6"/>
    <s v="Series 2GP"/>
    <n v="19561469.89000000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1-31T00:00:00"/>
    <n v="2.2864938892692255E-2"/>
    <x v="1"/>
    <n v="0"/>
    <x v="176"/>
  </r>
  <r>
    <d v="2017-02-27T00:00:00"/>
    <x v="6"/>
    <s v="Series 2GP"/>
    <m/>
    <m/>
    <m/>
    <n v="2937500"/>
    <m/>
    <m/>
    <m/>
    <m/>
    <n v="2937500"/>
    <m/>
    <n v="2937500"/>
    <m/>
    <s v="Private Equity Fund"/>
    <n v="0"/>
    <n v="0"/>
    <m/>
    <m/>
    <m/>
    <m/>
    <m/>
    <m/>
    <m/>
    <m/>
    <m/>
    <m/>
    <m/>
    <m/>
    <m/>
    <d v="2017-02-27T00:00:00"/>
    <n v="-1.1501676518440813"/>
    <x v="1"/>
    <n v="0"/>
    <x v="177"/>
  </r>
  <r>
    <d v="2017-02-28T00:00:00"/>
    <x v="6"/>
    <s v="Series 2GP"/>
    <n v="23610370.989999998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2-28T00:00:00"/>
    <e v="#DIV/0!"/>
    <x v="1"/>
    <n v="0"/>
    <x v="177"/>
  </r>
  <r>
    <d v="2017-03-31T00:00:00"/>
    <x v="6"/>
    <s v="Series 2GP"/>
    <n v="22742250.69999999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3-31T00:00:00"/>
    <n v="-3.6768600136257268E-2"/>
    <x v="1"/>
    <n v="0"/>
    <x v="178"/>
  </r>
  <r>
    <d v="2017-04-10T00:00:00"/>
    <x v="6"/>
    <s v="Series 2GP"/>
    <m/>
    <m/>
    <m/>
    <n v="3375000"/>
    <m/>
    <m/>
    <m/>
    <m/>
    <n v="3375000"/>
    <m/>
    <n v="3375000"/>
    <m/>
    <s v="Private Equity Fund"/>
    <n v="0"/>
    <n v="0"/>
    <m/>
    <m/>
    <m/>
    <m/>
    <m/>
    <m/>
    <m/>
    <m/>
    <m/>
    <m/>
    <m/>
    <m/>
    <m/>
    <d v="2017-04-10T00:00:00"/>
    <n v="-1.1484021983804795"/>
    <x v="1"/>
    <n v="0"/>
    <x v="179"/>
  </r>
  <r>
    <d v="2017-04-30T00:00:00"/>
    <x v="6"/>
    <s v="Series 2GP"/>
    <n v="26242258.85000000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4-30T00:00:00"/>
    <e v="#DIV/0!"/>
    <x v="1"/>
    <n v="0"/>
    <x v="179"/>
  </r>
  <r>
    <d v="2017-05-26T00:00:00"/>
    <x v="6"/>
    <s v="Series 2GP"/>
    <m/>
    <m/>
    <m/>
    <m/>
    <m/>
    <n v="-1998733"/>
    <m/>
    <m/>
    <n v="-1998733"/>
    <m/>
    <n v="-1998733"/>
    <m/>
    <s v="Private Equity Fund"/>
    <n v="0"/>
    <n v="0"/>
    <m/>
    <m/>
    <m/>
    <m/>
    <m/>
    <m/>
    <m/>
    <m/>
    <m/>
    <m/>
    <m/>
    <m/>
    <m/>
    <d v="2017-05-26T00:00:00"/>
    <n v="-0.92383532944230518"/>
    <x v="1"/>
    <n v="0"/>
    <x v="180"/>
  </r>
  <r>
    <d v="2017-05-26T00:00:00"/>
    <x v="6"/>
    <s v="Series 2GP"/>
    <m/>
    <m/>
    <m/>
    <n v="5200926"/>
    <m/>
    <m/>
    <m/>
    <m/>
    <n v="5200926"/>
    <m/>
    <n v="5200926"/>
    <m/>
    <s v="Private Equity Fund"/>
    <n v="0"/>
    <n v="0"/>
    <m/>
    <m/>
    <m/>
    <m/>
    <m/>
    <m/>
    <m/>
    <m/>
    <m/>
    <m/>
    <m/>
    <m/>
    <m/>
    <d v="2017-05-26T00:00:00"/>
    <e v="#DIV/0!"/>
    <x v="1"/>
    <n v="0"/>
    <x v="180"/>
  </r>
  <r>
    <d v="2017-05-31T00:00:00"/>
    <x v="6"/>
    <s v="Series 2GP"/>
    <n v="29560639.5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5-31T00:00:00"/>
    <e v="#DIV/0!"/>
    <x v="1"/>
    <n v="0"/>
    <x v="180"/>
  </r>
  <r>
    <d v="2017-06-30T00:00:00"/>
    <x v="6"/>
    <s v="Series 2GP"/>
    <n v="29355785.37000000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6-30T00:00:00"/>
    <n v="-6.9299657531529668E-3"/>
    <x v="1"/>
    <n v="0"/>
    <x v="181"/>
  </r>
  <r>
    <d v="2017-07-31T00:00:00"/>
    <x v="6"/>
    <s v="Series 2GP"/>
    <n v="26391831.53999999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7-31T00:00:00"/>
    <n v="-0.1009665996886937"/>
    <x v="1"/>
    <n v="0"/>
    <x v="182"/>
  </r>
  <r>
    <d v="2017-08-11T00:00:00"/>
    <x v="6"/>
    <s v="Series 2GP"/>
    <m/>
    <m/>
    <m/>
    <m/>
    <m/>
    <n v="-2727680"/>
    <m/>
    <m/>
    <n v="-2727680"/>
    <m/>
    <n v="-2727680"/>
    <m/>
    <s v="Private Equity Fund"/>
    <n v="0"/>
    <n v="0"/>
    <m/>
    <m/>
    <m/>
    <m/>
    <m/>
    <m/>
    <m/>
    <m/>
    <m/>
    <m/>
    <m/>
    <m/>
    <m/>
    <d v="2017-08-11T00:00:00"/>
    <n v="-0.89664680922709472"/>
    <x v="1"/>
    <n v="0"/>
    <x v="183"/>
  </r>
  <r>
    <d v="2017-08-11T00:00:00"/>
    <x v="6"/>
    <s v="Series 2GP"/>
    <m/>
    <m/>
    <m/>
    <n v="2727680"/>
    <m/>
    <m/>
    <m/>
    <m/>
    <n v="2727680"/>
    <m/>
    <n v="2727680"/>
    <m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2GP"/>
    <n v="29167725.57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2GP"/>
    <n v="29326382.80000000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9-30T00:00:00"/>
    <n v="5.4394789754599326E-3"/>
    <x v="1"/>
    <n v="0"/>
    <x v="184"/>
  </r>
  <r>
    <d v="2017-10-31T00:00:00"/>
    <x v="6"/>
    <s v="Series 2GP"/>
    <n v="29340747.60000000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10-31T00:00:00"/>
    <n v="4.8982515497963952E-4"/>
    <x v="1"/>
    <n v="0"/>
    <x v="185"/>
  </r>
  <r>
    <d v="2017-11-30T00:00:00"/>
    <x v="6"/>
    <s v="Series 2GP"/>
    <n v="29255154.80999999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11-30T00:00:00"/>
    <n v="-2.9171986742424494E-3"/>
    <x v="1"/>
    <n v="0"/>
    <x v="186"/>
  </r>
  <r>
    <d v="2017-12-18T00:00:00"/>
    <x v="6"/>
    <s v="Series 2GP"/>
    <m/>
    <m/>
    <m/>
    <m/>
    <m/>
    <n v="-3529357.19"/>
    <m/>
    <m/>
    <n v="-3529357.19"/>
    <m/>
    <n v="-3529357.19"/>
    <m/>
    <s v="Private Equity Fund"/>
    <n v="0"/>
    <n v="0"/>
    <m/>
    <m/>
    <m/>
    <m/>
    <m/>
    <m/>
    <m/>
    <m/>
    <m/>
    <m/>
    <m/>
    <m/>
    <m/>
    <d v="2017-12-18T00:00:00"/>
    <n v="-0.87935947654621216"/>
    <x v="1"/>
    <n v="0"/>
    <x v="187"/>
  </r>
  <r>
    <d v="2017-12-18T00:00:00"/>
    <x v="6"/>
    <s v="Series 2GP"/>
    <m/>
    <m/>
    <m/>
    <n v="3529357.19"/>
    <m/>
    <m/>
    <m/>
    <m/>
    <n v="3529357.19"/>
    <m/>
    <n v="3529357.19"/>
    <m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2GP"/>
    <n v="34089075.68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2GP"/>
    <n v="36073324.969999999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1-31T00:00:00"/>
    <n v="5.8207776257311439E-2"/>
    <x v="1"/>
    <n v="0"/>
    <x v="188"/>
  </r>
  <r>
    <d v="2018-02-28T00:00:00"/>
    <x v="6"/>
    <s v="Series 2GP"/>
    <n v="36230799.289999999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2-28T00:00:00"/>
    <n v="4.3653952090905168E-3"/>
    <x v="1"/>
    <n v="0"/>
    <x v="189"/>
  </r>
  <r>
    <d v="2018-03-31T00:00:00"/>
    <x v="6"/>
    <s v="Series 2GP"/>
    <n v="36614362.71999999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3-31T00:00:00"/>
    <n v="1.058666762855176E-2"/>
    <x v="1"/>
    <n v="0"/>
    <x v="190"/>
  </r>
  <r>
    <d v="2018-04-30T00:00:00"/>
    <x v="6"/>
    <s v="Series 2GP"/>
    <n v="36349157.57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4-30T00:00:00"/>
    <n v="-7.2431999439153127E-3"/>
    <x v="1"/>
    <n v="0"/>
    <x v="191"/>
  </r>
  <r>
    <d v="2018-05-31T00:00:00"/>
    <x v="6"/>
    <s v="Series 2GP"/>
    <n v="36822017.270000003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5-31T00:00:00"/>
    <n v="1.3008821431126361E-2"/>
    <x v="1"/>
    <n v="0"/>
    <x v="192"/>
  </r>
  <r>
    <d v="2018-06-30T00:00:00"/>
    <x v="6"/>
    <s v="Series 2GP"/>
    <n v="36634448.64000000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6-30T00:00:00"/>
    <n v="-5.0939259689288807E-3"/>
    <x v="1"/>
    <n v="0"/>
    <x v="193"/>
  </r>
  <r>
    <d v="2018-07-31T00:00:00"/>
    <x v="6"/>
    <s v="Series 2GP"/>
    <n v="36268340.85999999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7-31T00:00:00"/>
    <n v="-9.9935386935307013E-3"/>
    <x v="1"/>
    <n v="0"/>
    <x v="194"/>
  </r>
  <r>
    <d v="2018-08-31T00:00:00"/>
    <x v="6"/>
    <s v="Series 2GP"/>
    <n v="35862022.659999996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8-31T00:00:00"/>
    <n v="-1.1203109664388533E-2"/>
    <x v="1"/>
    <n v="0"/>
    <x v="195"/>
  </r>
  <r>
    <d v="2018-09-30T00:00:00"/>
    <x v="6"/>
    <s v="Series 2GP"/>
    <n v="34506346.009999998"/>
    <m/>
    <m/>
    <m/>
    <m/>
    <m/>
    <m/>
    <m/>
    <n v="0"/>
    <e v="#DIV/0!"/>
    <n v="0"/>
    <m/>
    <s v="Private Equity Fund"/>
    <n v="0"/>
    <n v="0"/>
    <m/>
    <m/>
    <m/>
    <m/>
    <m/>
    <m/>
    <m/>
    <m/>
    <m/>
    <m/>
    <m/>
    <m/>
    <m/>
    <d v="2018-09-30T00:00:00"/>
    <n v="-3.780257078226934E-2"/>
    <x v="1"/>
    <n v="0"/>
    <x v="196"/>
  </r>
  <r>
    <d v="2018-10-31T00:00:00"/>
    <x v="6"/>
    <s v="Series 2GP"/>
    <n v="34040586.549999997"/>
    <m/>
    <n v="28.810976"/>
    <m/>
    <n v="0"/>
    <n v="0"/>
    <n v="0"/>
    <m/>
    <n v="0"/>
    <e v="#DIV/0!"/>
    <n v="-34040586.549999997"/>
    <m/>
    <s v="Private Equity Fund"/>
    <n v="0"/>
    <n v="0"/>
    <m/>
    <m/>
    <m/>
    <m/>
    <m/>
    <m/>
    <m/>
    <m/>
    <m/>
    <m/>
    <m/>
    <m/>
    <m/>
    <d v="2018-10-31T00:00:00"/>
    <n v="-1.3497791387851454E-2"/>
    <x v="1"/>
    <n v="0"/>
    <x v="197"/>
  </r>
  <r>
    <d v="2017-07-31T00:00:00"/>
    <x v="6"/>
    <s v="Series 3a"/>
    <n v="454047.14"/>
    <m/>
    <m/>
    <m/>
    <m/>
    <m/>
    <m/>
    <m/>
    <n v="0"/>
    <m/>
    <n v="0"/>
    <n v="0"/>
    <s v="Private Equity Fund"/>
    <n v="5.7762000000000004E-4"/>
    <n v="0"/>
    <m/>
    <m/>
    <m/>
    <m/>
    <m/>
    <m/>
    <m/>
    <m/>
    <m/>
    <m/>
    <m/>
    <m/>
    <m/>
    <d v="2017-07-31T00:00:00"/>
    <e v="#DIV/0!"/>
    <x v="1"/>
    <n v="0"/>
    <x v="182"/>
  </r>
  <r>
    <d v="2017-08-11T00:00:00"/>
    <x v="6"/>
    <s v="Series 3a"/>
    <m/>
    <m/>
    <m/>
    <n v="35731"/>
    <m/>
    <m/>
    <m/>
    <m/>
    <n v="35731"/>
    <m/>
    <n v="35731"/>
    <n v="35731"/>
    <s v="Private Equity Fund"/>
    <n v="0"/>
    <n v="0"/>
    <m/>
    <m/>
    <m/>
    <m/>
    <m/>
    <m/>
    <m/>
    <m/>
    <m/>
    <m/>
    <m/>
    <m/>
    <m/>
    <d v="2017-08-11T00:00:00"/>
    <n v="-1.0786944721202296"/>
    <x v="1"/>
    <n v="0"/>
    <x v="183"/>
  </r>
  <r>
    <d v="2017-08-11T00:00:00"/>
    <x v="6"/>
    <s v="Series 3a"/>
    <m/>
    <m/>
    <m/>
    <n v="464269"/>
    <m/>
    <m/>
    <m/>
    <m/>
    <n v="464269"/>
    <m/>
    <n v="464269"/>
    <n v="464269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3a"/>
    <n v="488643.56"/>
    <m/>
    <m/>
    <m/>
    <m/>
    <m/>
    <m/>
    <m/>
    <n v="0"/>
    <m/>
    <n v="0"/>
    <n v="0"/>
    <s v="Private Equity Fund"/>
    <n v="5.5689099999999998E-3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3a"/>
    <n v="490776.77"/>
    <m/>
    <m/>
    <m/>
    <m/>
    <m/>
    <m/>
    <m/>
    <n v="0"/>
    <m/>
    <n v="0"/>
    <n v="0"/>
    <s v="Private Equity Fund"/>
    <n v="6.1891200000000002E-3"/>
    <n v="0"/>
    <m/>
    <m/>
    <m/>
    <m/>
    <m/>
    <m/>
    <m/>
    <m/>
    <m/>
    <m/>
    <m/>
    <m/>
    <m/>
    <d v="2017-09-30T00:00:00"/>
    <n v="4.3655747760187325E-3"/>
    <x v="1"/>
    <n v="0"/>
    <x v="184"/>
  </r>
  <r>
    <d v="2017-10-31T00:00:00"/>
    <x v="6"/>
    <s v="Series 3a"/>
    <n v="499627.77"/>
    <m/>
    <m/>
    <m/>
    <m/>
    <m/>
    <m/>
    <m/>
    <n v="0"/>
    <m/>
    <n v="0"/>
    <n v="0"/>
    <s v="Private Equity Fund"/>
    <n v="6.1891200000000002E-3"/>
    <n v="0"/>
    <m/>
    <m/>
    <m/>
    <m/>
    <m/>
    <m/>
    <m/>
    <m/>
    <m/>
    <m/>
    <m/>
    <m/>
    <m/>
    <d v="2017-10-31T00:00:00"/>
    <n v="1.8034675928121136E-2"/>
    <x v="1"/>
    <n v="0"/>
    <x v="185"/>
  </r>
  <r>
    <d v="2017-11-30T00:00:00"/>
    <x v="6"/>
    <s v="Series 3a"/>
    <n v="496821.74"/>
    <m/>
    <m/>
    <m/>
    <m/>
    <m/>
    <m/>
    <m/>
    <n v="0"/>
    <m/>
    <n v="0"/>
    <n v="0"/>
    <s v="Private Equity Fund"/>
    <n v="7.5097299999999992E-3"/>
    <n v="0"/>
    <m/>
    <m/>
    <m/>
    <m/>
    <m/>
    <m/>
    <m/>
    <m/>
    <m/>
    <m/>
    <m/>
    <m/>
    <m/>
    <d v="2017-11-30T00:00:00"/>
    <n v="-5.6162410668246787E-3"/>
    <x v="1"/>
    <n v="0"/>
    <x v="186"/>
  </r>
  <r>
    <d v="2017-12-18T00:00:00"/>
    <x v="6"/>
    <s v="Series 3a"/>
    <m/>
    <m/>
    <m/>
    <m/>
    <m/>
    <n v="-61250.22"/>
    <m/>
    <m/>
    <n v="-61250.22"/>
    <m/>
    <n v="-61250.22"/>
    <n v="-61250.22"/>
    <s v="Private Equity Fund"/>
    <n v="0"/>
    <n v="0"/>
    <m/>
    <m/>
    <m/>
    <m/>
    <m/>
    <m/>
    <m/>
    <m/>
    <m/>
    <m/>
    <m/>
    <m/>
    <m/>
    <d v="2017-12-18T00:00:00"/>
    <n v="-0.87671590216643902"/>
    <x v="1"/>
    <n v="0"/>
    <x v="187"/>
  </r>
  <r>
    <d v="2017-12-18T00:00:00"/>
    <x v="6"/>
    <s v="Series 3a"/>
    <m/>
    <m/>
    <m/>
    <n v="61250.22"/>
    <m/>
    <m/>
    <m/>
    <m/>
    <n v="61250.22"/>
    <m/>
    <n v="61250.22"/>
    <n v="61250.22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3a"/>
    <n v="564267.93000000005"/>
    <m/>
    <m/>
    <m/>
    <m/>
    <m/>
    <m/>
    <m/>
    <n v="0"/>
    <m/>
    <n v="0"/>
    <n v="0"/>
    <s v="Private Equity Fund"/>
    <n v="4.0106999999999999E-3"/>
    <n v="1.13414E-2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3a"/>
    <n v="601907.43999999994"/>
    <m/>
    <m/>
    <m/>
    <m/>
    <m/>
    <m/>
    <m/>
    <n v="0"/>
    <m/>
    <n v="0"/>
    <n v="0"/>
    <s v="Private Equity Fund"/>
    <m/>
    <n v="1.7983669999999997E-2"/>
    <m/>
    <m/>
    <m/>
    <m/>
    <m/>
    <m/>
    <m/>
    <m/>
    <m/>
    <m/>
    <m/>
    <m/>
    <m/>
    <d v="2018-01-31T00:00:00"/>
    <n v="6.670503142009121E-2"/>
    <x v="1"/>
    <n v="0"/>
    <x v="188"/>
  </r>
  <r>
    <d v="2018-02-28T00:00:00"/>
    <x v="6"/>
    <s v="Series 3a"/>
    <n v="603627.78"/>
    <m/>
    <m/>
    <m/>
    <m/>
    <m/>
    <m/>
    <m/>
    <n v="0"/>
    <m/>
    <n v="0"/>
    <n v="0"/>
    <s v="Private Equity Fund"/>
    <m/>
    <n v="1.828726E-2"/>
    <m/>
    <m/>
    <m/>
    <m/>
    <m/>
    <m/>
    <m/>
    <m/>
    <m/>
    <m/>
    <m/>
    <m/>
    <m/>
    <d v="2018-02-28T00:00:00"/>
    <n v="2.8581470931812181E-3"/>
    <x v="1"/>
    <n v="0"/>
    <x v="189"/>
  </r>
  <r>
    <d v="2018-03-31T00:00:00"/>
    <x v="6"/>
    <s v="Series 3a"/>
    <n v="599520.57999999996"/>
    <m/>
    <m/>
    <m/>
    <m/>
    <m/>
    <m/>
    <m/>
    <n v="0"/>
    <m/>
    <n v="0"/>
    <n v="0"/>
    <s v="Private Equity Fund"/>
    <n v="2.2908299999999998E-3"/>
    <n v="1.756245E-2"/>
    <m/>
    <m/>
    <m/>
    <m/>
    <m/>
    <m/>
    <m/>
    <m/>
    <m/>
    <m/>
    <m/>
    <m/>
    <m/>
    <d v="2018-03-31T00:00:00"/>
    <n v="-6.8041931403489686E-3"/>
    <x v="1"/>
    <n v="0"/>
    <x v="190"/>
  </r>
  <r>
    <d v="2018-04-30T00:00:00"/>
    <x v="6"/>
    <s v="Series 3a"/>
    <n v="594006.32999999996"/>
    <m/>
    <m/>
    <m/>
    <m/>
    <m/>
    <m/>
    <m/>
    <n v="0"/>
    <m/>
    <n v="0"/>
    <n v="0"/>
    <s v="Private Equity Fund"/>
    <m/>
    <n v="1.6589349999999999E-2"/>
    <m/>
    <m/>
    <m/>
    <m/>
    <m/>
    <m/>
    <m/>
    <m/>
    <m/>
    <m/>
    <m/>
    <m/>
    <m/>
    <d v="2018-04-30T00:00:00"/>
    <n v="-9.1977659882834795E-3"/>
    <x v="1"/>
    <n v="0"/>
    <x v="191"/>
  </r>
  <r>
    <d v="2018-05-31T00:00:00"/>
    <x v="6"/>
    <s v="Series 3a"/>
    <n v="599577.04"/>
    <m/>
    <m/>
    <m/>
    <m/>
    <m/>
    <m/>
    <m/>
    <n v="0"/>
    <m/>
    <n v="0"/>
    <n v="0"/>
    <s v="Private Equity Fund"/>
    <m/>
    <n v="1.7572419999999998E-2"/>
    <m/>
    <m/>
    <m/>
    <m/>
    <m/>
    <m/>
    <m/>
    <m/>
    <m/>
    <m/>
    <m/>
    <m/>
    <m/>
    <d v="2018-05-31T00:00:00"/>
    <n v="9.3781997238986392E-3"/>
    <x v="1"/>
    <n v="0"/>
    <x v="192"/>
  </r>
  <r>
    <d v="2018-06-30T00:00:00"/>
    <x v="6"/>
    <s v="Series 3a"/>
    <n v="597486.80000000005"/>
    <m/>
    <m/>
    <m/>
    <m/>
    <m/>
    <m/>
    <m/>
    <n v="0"/>
    <m/>
    <n v="0"/>
    <n v="0"/>
    <s v="Private Equity Fund"/>
    <n v="2.33285E-3"/>
    <n v="1.7203549999999998E-2"/>
    <m/>
    <m/>
    <m/>
    <m/>
    <m/>
    <m/>
    <m/>
    <m/>
    <m/>
    <m/>
    <m/>
    <m/>
    <m/>
    <d v="2018-06-30T00:00:00"/>
    <n v="-3.4861908654807428E-3"/>
    <x v="1"/>
    <n v="0"/>
    <x v="193"/>
  </r>
  <r>
    <d v="2018-07-31T00:00:00"/>
    <x v="6"/>
    <s v="Series 3a"/>
    <n v="589931.46"/>
    <m/>
    <m/>
    <m/>
    <m/>
    <m/>
    <m/>
    <m/>
    <n v="0"/>
    <m/>
    <n v="0"/>
    <n v="0"/>
    <s v="Private Equity Fund"/>
    <n v="0"/>
    <n v="1.5870260000000001E-2"/>
    <m/>
    <m/>
    <m/>
    <m/>
    <m/>
    <m/>
    <m/>
    <m/>
    <m/>
    <m/>
    <m/>
    <m/>
    <m/>
    <d v="2018-07-31T00:00:00"/>
    <n v="-1.2645199860482403E-2"/>
    <x v="1"/>
    <n v="0"/>
    <x v="194"/>
  </r>
  <r>
    <d v="2018-08-31T00:00:00"/>
    <x v="6"/>
    <s v="Series 3a"/>
    <n v="585172.68000000005"/>
    <m/>
    <m/>
    <m/>
    <m/>
    <m/>
    <m/>
    <m/>
    <n v="0"/>
    <m/>
    <n v="0"/>
    <n v="0"/>
    <s v="Private Equity Fund"/>
    <n v="0"/>
    <n v="1.5030469999999999E-2"/>
    <m/>
    <m/>
    <m/>
    <m/>
    <m/>
    <m/>
    <m/>
    <m/>
    <m/>
    <m/>
    <m/>
    <m/>
    <m/>
    <d v="2018-08-31T00:00:00"/>
    <n v="-8.0666659140367081E-3"/>
    <x v="1"/>
    <n v="0"/>
    <x v="195"/>
  </r>
  <r>
    <d v="2018-09-30T00:00:00"/>
    <x v="6"/>
    <s v="Series 3a"/>
    <n v="563986.69999999995"/>
    <m/>
    <m/>
    <m/>
    <m/>
    <m/>
    <m/>
    <m/>
    <n v="0"/>
    <e v="#DIV/0!"/>
    <n v="0"/>
    <n v="0"/>
    <s v="Private Equity Fund"/>
    <n v="2.1594600000000002E-3"/>
    <n v="1.129177E-2"/>
    <m/>
    <m/>
    <m/>
    <m/>
    <m/>
    <m/>
    <m/>
    <m/>
    <m/>
    <m/>
    <m/>
    <m/>
    <m/>
    <d v="2018-09-30T00:00:00"/>
    <n v="-3.6204663553329408E-2"/>
    <x v="1"/>
    <n v="0"/>
    <x v="196"/>
  </r>
  <r>
    <d v="2018-10-31T00:00:00"/>
    <x v="6"/>
    <s v="Series 3a"/>
    <n v="556913.6115"/>
    <m/>
    <n v="0.5"/>
    <m/>
    <n v="0"/>
    <n v="0"/>
    <n v="0"/>
    <m/>
    <n v="0"/>
    <e v="#DIV/0!"/>
    <n v="-556913.6115"/>
    <n v="-556913.6115"/>
    <s v="Private Equity Fund"/>
    <n v="2.9293580503472966E-3"/>
    <n v="1.004357849999999E-2"/>
    <m/>
    <m/>
    <m/>
    <m/>
    <m/>
    <m/>
    <m/>
    <m/>
    <m/>
    <m/>
    <m/>
    <m/>
    <m/>
    <d v="2018-10-31T00:00:00"/>
    <n v="-1.2541232798574775E-2"/>
    <x v="1"/>
    <n v="0"/>
    <x v="197"/>
  </r>
  <r>
    <d v="2017-07-31T00:00:00"/>
    <x v="6"/>
    <s v="Series 3b"/>
    <n v="90809.43"/>
    <m/>
    <m/>
    <m/>
    <m/>
    <m/>
    <m/>
    <m/>
    <n v="0"/>
    <m/>
    <n v="0"/>
    <n v="0"/>
    <s v="Private Equity Fund"/>
    <n v="1.1551999999999999E-4"/>
    <n v="0"/>
    <m/>
    <m/>
    <m/>
    <m/>
    <m/>
    <m/>
    <m/>
    <m/>
    <m/>
    <m/>
    <m/>
    <m/>
    <m/>
    <d v="2017-07-31T00:00:00"/>
    <e v="#DIV/0!"/>
    <x v="1"/>
    <n v="0"/>
    <x v="182"/>
  </r>
  <r>
    <d v="2017-08-11T00:00:00"/>
    <x v="6"/>
    <s v="Series 3b"/>
    <m/>
    <m/>
    <m/>
    <n v="7146"/>
    <m/>
    <m/>
    <m/>
    <m/>
    <n v="7146"/>
    <m/>
    <n v="7146"/>
    <n v="7146"/>
    <s v="Private Equity Fund"/>
    <n v="0"/>
    <n v="0"/>
    <m/>
    <m/>
    <m/>
    <m/>
    <m/>
    <m/>
    <m/>
    <m/>
    <m/>
    <m/>
    <m/>
    <m/>
    <m/>
    <d v="2017-08-11T00:00:00"/>
    <n v="-1.0786922679726103"/>
    <x v="1"/>
    <n v="0"/>
    <x v="183"/>
  </r>
  <r>
    <d v="2017-08-11T00:00:00"/>
    <x v="6"/>
    <s v="Series 3b"/>
    <m/>
    <m/>
    <m/>
    <n v="92854"/>
    <m/>
    <m/>
    <m/>
    <m/>
    <n v="92854"/>
    <m/>
    <n v="92854"/>
    <n v="92854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3b"/>
    <n v="97728.71"/>
    <m/>
    <m/>
    <m/>
    <m/>
    <m/>
    <m/>
    <m/>
    <n v="0"/>
    <m/>
    <n v="0"/>
    <n v="0"/>
    <s v="Private Equity Fund"/>
    <n v="1.11378E-3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3b"/>
    <n v="98155.35"/>
    <m/>
    <m/>
    <m/>
    <m/>
    <m/>
    <m/>
    <m/>
    <n v="0"/>
    <m/>
    <n v="0"/>
    <n v="0"/>
    <s v="Private Equity Fund"/>
    <n v="1.2378199999999999E-3"/>
    <n v="0"/>
    <m/>
    <m/>
    <m/>
    <m/>
    <m/>
    <m/>
    <m/>
    <m/>
    <m/>
    <m/>
    <m/>
    <m/>
    <m/>
    <d v="2017-09-30T00:00:00"/>
    <n v="4.3655544005440916E-3"/>
    <x v="1"/>
    <n v="0"/>
    <x v="184"/>
  </r>
  <r>
    <d v="2017-10-31T00:00:00"/>
    <x v="6"/>
    <s v="Series 3b"/>
    <n v="99925.55"/>
    <m/>
    <m/>
    <m/>
    <m/>
    <m/>
    <m/>
    <m/>
    <n v="0"/>
    <m/>
    <n v="0"/>
    <n v="0"/>
    <s v="Private Equity Fund"/>
    <n v="1.2378199999999999E-3"/>
    <n v="0"/>
    <m/>
    <m/>
    <m/>
    <m/>
    <m/>
    <m/>
    <m/>
    <m/>
    <m/>
    <m/>
    <m/>
    <m/>
    <m/>
    <d v="2017-10-31T00:00:00"/>
    <n v="1.8034676663065241E-2"/>
    <x v="1"/>
    <n v="0"/>
    <x v="185"/>
  </r>
  <r>
    <d v="2017-11-30T00:00:00"/>
    <x v="6"/>
    <s v="Series 3b"/>
    <n v="99364.35"/>
    <m/>
    <m/>
    <m/>
    <m/>
    <m/>
    <m/>
    <m/>
    <n v="0"/>
    <m/>
    <n v="0"/>
    <n v="0"/>
    <s v="Private Equity Fund"/>
    <n v="1.5019499999999999E-3"/>
    <n v="0"/>
    <m/>
    <m/>
    <m/>
    <m/>
    <m/>
    <m/>
    <m/>
    <m/>
    <m/>
    <m/>
    <m/>
    <m/>
    <m/>
    <d v="2017-11-30T00:00:00"/>
    <n v="-5.616181246938301E-3"/>
    <x v="1"/>
    <n v="0"/>
    <x v="186"/>
  </r>
  <r>
    <d v="2017-12-18T00:00:00"/>
    <x v="6"/>
    <s v="Series 3b"/>
    <m/>
    <m/>
    <m/>
    <m/>
    <m/>
    <n v="-12250.04"/>
    <m/>
    <m/>
    <n v="-12250.04"/>
    <m/>
    <n v="-12250.04"/>
    <n v="-12250.04"/>
    <s v="Private Equity Fund"/>
    <n v="0"/>
    <n v="0"/>
    <m/>
    <m/>
    <m/>
    <m/>
    <m/>
    <m/>
    <m/>
    <m/>
    <m/>
    <m/>
    <m/>
    <m/>
    <m/>
    <d v="2017-12-18T00:00:00"/>
    <n v="-0.87671594490378091"/>
    <x v="1"/>
    <n v="0"/>
    <x v="187"/>
  </r>
  <r>
    <d v="2017-12-18T00:00:00"/>
    <x v="6"/>
    <s v="Series 3b"/>
    <m/>
    <m/>
    <m/>
    <n v="12250.04"/>
    <m/>
    <m/>
    <m/>
    <m/>
    <n v="12250.04"/>
    <m/>
    <n v="12250.04"/>
    <n v="12250.0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3b"/>
    <n v="112853.59"/>
    <m/>
    <m/>
    <m/>
    <m/>
    <m/>
    <m/>
    <m/>
    <n v="0"/>
    <m/>
    <n v="0"/>
    <n v="0"/>
    <s v="Private Equity Fund"/>
    <n v="8.0214000000000001E-4"/>
    <n v="2.2682800000000001E-3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3b"/>
    <n v="120381.49"/>
    <m/>
    <m/>
    <m/>
    <m/>
    <m/>
    <m/>
    <m/>
    <n v="0"/>
    <m/>
    <n v="0"/>
    <n v="0"/>
    <s v="Private Equity Fund"/>
    <m/>
    <n v="3.5967299999999998E-3"/>
    <m/>
    <m/>
    <m/>
    <m/>
    <m/>
    <m/>
    <m/>
    <m/>
    <m/>
    <m/>
    <m/>
    <m/>
    <m/>
    <d v="2018-01-31T00:00:00"/>
    <n v="6.6705011333711317E-2"/>
    <x v="1"/>
    <n v="0"/>
    <x v="188"/>
  </r>
  <r>
    <d v="2018-02-28T00:00:00"/>
    <x v="6"/>
    <s v="Series 3b"/>
    <n v="120725.56"/>
    <m/>
    <m/>
    <m/>
    <m/>
    <m/>
    <m/>
    <m/>
    <n v="0"/>
    <m/>
    <n v="0"/>
    <n v="0"/>
    <s v="Private Equity Fund"/>
    <m/>
    <n v="3.65745E-3"/>
    <m/>
    <m/>
    <m/>
    <m/>
    <m/>
    <m/>
    <m/>
    <m/>
    <m/>
    <m/>
    <m/>
    <m/>
    <m/>
    <d v="2018-02-28T00:00:00"/>
    <n v="2.8581636595459425E-3"/>
    <x v="1"/>
    <n v="0"/>
    <x v="189"/>
  </r>
  <r>
    <d v="2018-03-31T00:00:00"/>
    <x v="6"/>
    <s v="Series 3b"/>
    <n v="119904.12"/>
    <m/>
    <m/>
    <m/>
    <m/>
    <m/>
    <m/>
    <m/>
    <n v="0"/>
    <m/>
    <n v="0"/>
    <n v="0"/>
    <s v="Private Equity Fund"/>
    <n v="4.5817000000000004E-4"/>
    <n v="3.5124899999999996E-3"/>
    <m/>
    <m/>
    <m/>
    <m/>
    <m/>
    <m/>
    <m/>
    <m/>
    <m/>
    <m/>
    <m/>
    <m/>
    <m/>
    <d v="2018-03-31T00:00:00"/>
    <n v="-6.8041929149055269E-3"/>
    <x v="1"/>
    <n v="0"/>
    <x v="190"/>
  </r>
  <r>
    <d v="2018-04-30T00:00:00"/>
    <x v="6"/>
    <s v="Series 3b"/>
    <n v="118801.43"/>
    <m/>
    <m/>
    <m/>
    <m/>
    <m/>
    <m/>
    <m/>
    <n v="0"/>
    <m/>
    <n v="0"/>
    <n v="0"/>
    <s v="Private Equity Fund"/>
    <m/>
    <n v="3.3178999999999999E-3"/>
    <m/>
    <m/>
    <m/>
    <m/>
    <m/>
    <m/>
    <m/>
    <m/>
    <m/>
    <m/>
    <m/>
    <m/>
    <m/>
    <d v="2018-04-30T00:00:00"/>
    <n v="-9.1964312819275973E-3"/>
    <x v="1"/>
    <n v="0"/>
    <x v="191"/>
  </r>
  <r>
    <d v="2018-05-31T00:00:00"/>
    <x v="6"/>
    <s v="Series 3b"/>
    <n v="119915.59"/>
    <m/>
    <m/>
    <m/>
    <m/>
    <m/>
    <m/>
    <m/>
    <n v="0"/>
    <m/>
    <n v="0"/>
    <n v="0"/>
    <s v="Private Equity Fund"/>
    <m/>
    <n v="3.5145200000000001E-3"/>
    <m/>
    <m/>
    <m/>
    <m/>
    <m/>
    <m/>
    <m/>
    <m/>
    <m/>
    <m/>
    <m/>
    <m/>
    <m/>
    <d v="2018-05-31T00:00:00"/>
    <n v="9.3783382910459512E-3"/>
    <x v="1"/>
    <n v="0"/>
    <x v="192"/>
  </r>
  <r>
    <d v="2018-06-30T00:00:00"/>
    <x v="6"/>
    <s v="Series 3b"/>
    <n v="119497.35"/>
    <m/>
    <m/>
    <m/>
    <m/>
    <m/>
    <m/>
    <m/>
    <n v="0"/>
    <m/>
    <n v="0"/>
    <n v="0"/>
    <s v="Private Equity Fund"/>
    <n v="4.6656999999999997E-4"/>
    <n v="3.44071E-3"/>
    <m/>
    <m/>
    <m/>
    <m/>
    <m/>
    <m/>
    <m/>
    <m/>
    <m/>
    <m/>
    <m/>
    <m/>
    <m/>
    <d v="2018-06-30T00:00:00"/>
    <n v="-3.4877867006282148E-3"/>
    <x v="1"/>
    <n v="0"/>
    <x v="193"/>
  </r>
  <r>
    <d v="2018-07-31T00:00:00"/>
    <x v="6"/>
    <s v="Series 3b"/>
    <n v="117986.48"/>
    <m/>
    <m/>
    <m/>
    <m/>
    <m/>
    <m/>
    <m/>
    <n v="0"/>
    <m/>
    <n v="0"/>
    <n v="0"/>
    <s v="Private Equity Fund"/>
    <n v="0"/>
    <n v="3.1740800000000001E-3"/>
    <m/>
    <m/>
    <m/>
    <m/>
    <m/>
    <m/>
    <m/>
    <m/>
    <m/>
    <m/>
    <m/>
    <m/>
    <m/>
    <d v="2018-07-31T00:00:00"/>
    <n v="-1.2643543978172023E-2"/>
    <x v="1"/>
    <n v="0"/>
    <x v="194"/>
  </r>
  <r>
    <d v="2018-08-31T00:00:00"/>
    <x v="6"/>
    <s v="Series 3b"/>
    <n v="117034.71"/>
    <m/>
    <m/>
    <m/>
    <m/>
    <m/>
    <m/>
    <m/>
    <n v="0"/>
    <m/>
    <n v="0"/>
    <n v="0"/>
    <s v="Private Equity Fund"/>
    <n v="0"/>
    <n v="3.0061300000000001E-3"/>
    <m/>
    <m/>
    <m/>
    <m/>
    <m/>
    <m/>
    <m/>
    <m/>
    <m/>
    <m/>
    <m/>
    <m/>
    <m/>
    <d v="2018-08-31T00:00:00"/>
    <n v="-8.0667717182509868E-3"/>
    <x v="1"/>
    <n v="0"/>
    <x v="195"/>
  </r>
  <r>
    <d v="2018-09-30T00:00:00"/>
    <x v="6"/>
    <s v="Series 3b"/>
    <n v="112797.33"/>
    <m/>
    <m/>
    <m/>
    <m/>
    <m/>
    <m/>
    <m/>
    <n v="0"/>
    <e v="#DIV/0!"/>
    <n v="0"/>
    <n v="0"/>
    <s v="Private Equity Fund"/>
    <n v="4.3188999999999999E-4"/>
    <n v="2.2583500000000001E-3"/>
    <m/>
    <m/>
    <m/>
    <m/>
    <m/>
    <m/>
    <m/>
    <m/>
    <m/>
    <m/>
    <m/>
    <m/>
    <m/>
    <d v="2018-09-30T00:00:00"/>
    <n v="-3.6206181909623214E-2"/>
    <x v="1"/>
    <n v="0"/>
    <x v="196"/>
  </r>
  <r>
    <d v="2018-10-31T00:00:00"/>
    <x v="6"/>
    <s v="Series 3b"/>
    <n v="111382.91099999999"/>
    <m/>
    <n v="0.1"/>
    <m/>
    <n v="0"/>
    <n v="0"/>
    <n v="0"/>
    <m/>
    <n v="0"/>
    <e v="#DIV/0!"/>
    <n v="-111382.91099999999"/>
    <n v="-111382.91099999999"/>
    <s v="Private Equity Fund"/>
    <n v="5.8587185678645078E-4"/>
    <n v="2.0087490000000006E-3"/>
    <m/>
    <m/>
    <m/>
    <m/>
    <m/>
    <m/>
    <m/>
    <m/>
    <m/>
    <m/>
    <m/>
    <m/>
    <m/>
    <d v="2018-10-31T00:00:00"/>
    <n v="-1.2539472343893299E-2"/>
    <x v="1"/>
    <n v="0"/>
    <x v="197"/>
  </r>
  <r>
    <d v="2017-07-31T00:00:00"/>
    <x v="6"/>
    <s v="Series 3c"/>
    <n v="4540471.43"/>
    <m/>
    <m/>
    <m/>
    <m/>
    <m/>
    <m/>
    <m/>
    <n v="0"/>
    <m/>
    <n v="0"/>
    <n v="0"/>
    <s v="Private Equity Fund"/>
    <n v="5.7761599999999998E-3"/>
    <n v="0"/>
    <m/>
    <m/>
    <m/>
    <m/>
    <m/>
    <m/>
    <m/>
    <m/>
    <m/>
    <m/>
    <m/>
    <m/>
    <m/>
    <d v="2017-07-31T00:00:00"/>
    <e v="#DIV/0!"/>
    <x v="1"/>
    <n v="0"/>
    <x v="182"/>
  </r>
  <r>
    <d v="2017-08-11T00:00:00"/>
    <x v="6"/>
    <s v="Series 3c"/>
    <m/>
    <m/>
    <m/>
    <n v="357312"/>
    <m/>
    <m/>
    <m/>
    <m/>
    <n v="357312"/>
    <m/>
    <n v="357312"/>
    <n v="357312"/>
    <s v="Private Equity Fund"/>
    <n v="0"/>
    <n v="0"/>
    <m/>
    <m/>
    <m/>
    <m/>
    <m/>
    <m/>
    <m/>
    <m/>
    <m/>
    <m/>
    <m/>
    <m/>
    <m/>
    <d v="2017-08-11T00:00:00"/>
    <n v="-1.078694912083171"/>
    <x v="1"/>
    <n v="0"/>
    <x v="183"/>
  </r>
  <r>
    <d v="2017-08-11T00:00:00"/>
    <x v="6"/>
    <s v="Series 3c"/>
    <m/>
    <m/>
    <m/>
    <n v="4642688"/>
    <m/>
    <m/>
    <m/>
    <m/>
    <n v="4642688"/>
    <m/>
    <n v="4642688"/>
    <n v="4642688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3c"/>
    <n v="4886435.62"/>
    <m/>
    <m/>
    <m/>
    <m/>
    <m/>
    <m/>
    <m/>
    <n v="0"/>
    <m/>
    <n v="0"/>
    <n v="0"/>
    <s v="Private Equity Fund"/>
    <n v="5.5689120000000002E-2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3c"/>
    <n v="4907767.71"/>
    <m/>
    <m/>
    <m/>
    <m/>
    <m/>
    <m/>
    <m/>
    <n v="0"/>
    <m/>
    <n v="0"/>
    <n v="0"/>
    <s v="Private Equity Fund"/>
    <n v="6.1891190000000006E-2"/>
    <n v="0"/>
    <m/>
    <m/>
    <m/>
    <m/>
    <m/>
    <m/>
    <m/>
    <m/>
    <m/>
    <m/>
    <m/>
    <m/>
    <m/>
    <d v="2017-09-30T00:00:00"/>
    <n v="4.3655727116691523E-3"/>
    <x v="1"/>
    <n v="0"/>
    <x v="184"/>
  </r>
  <r>
    <d v="2017-10-31T00:00:00"/>
    <x v="6"/>
    <s v="Series 3c"/>
    <n v="4996277.68"/>
    <m/>
    <m/>
    <m/>
    <m/>
    <m/>
    <m/>
    <m/>
    <n v="0"/>
    <m/>
    <n v="0"/>
    <n v="0"/>
    <s v="Private Equity Fund"/>
    <n v="6.1891190000000006E-2"/>
    <n v="0"/>
    <m/>
    <m/>
    <m/>
    <m/>
    <m/>
    <m/>
    <m/>
    <m/>
    <m/>
    <m/>
    <m/>
    <m/>
    <m/>
    <d v="2017-10-31T00:00:00"/>
    <n v="1.803466977861512E-2"/>
    <x v="1"/>
    <n v="0"/>
    <x v="185"/>
  </r>
  <r>
    <d v="2017-11-30T00:00:00"/>
    <x v="6"/>
    <s v="Series 3c"/>
    <n v="4968217.3600000003"/>
    <m/>
    <m/>
    <m/>
    <m/>
    <m/>
    <m/>
    <m/>
    <n v="0"/>
    <m/>
    <n v="0"/>
    <n v="0"/>
    <s v="Private Equity Fund"/>
    <n v="7.5097320000000009E-2"/>
    <n v="0"/>
    <m/>
    <m/>
    <m/>
    <m/>
    <m/>
    <m/>
    <m/>
    <m/>
    <m/>
    <m/>
    <m/>
    <m/>
    <m/>
    <d v="2017-11-30T00:00:00"/>
    <n v="-5.6162450922863094E-3"/>
    <x v="1"/>
    <n v="0"/>
    <x v="186"/>
  </r>
  <r>
    <d v="2017-12-18T00:00:00"/>
    <x v="6"/>
    <s v="Series 3c"/>
    <m/>
    <m/>
    <m/>
    <m/>
    <m/>
    <n v="-612502.18999999994"/>
    <m/>
    <m/>
    <n v="-612502.18999999994"/>
    <m/>
    <n v="-612502.18999999994"/>
    <n v="-612502.18999999994"/>
    <s v="Private Equity Fund"/>
    <n v="0"/>
    <n v="0"/>
    <m/>
    <m/>
    <m/>
    <m/>
    <m/>
    <m/>
    <m/>
    <m/>
    <m/>
    <m/>
    <m/>
    <m/>
    <m/>
    <d v="2017-12-18T00:00:00"/>
    <n v="-0.87671590318665127"/>
    <x v="1"/>
    <n v="0"/>
    <x v="187"/>
  </r>
  <r>
    <d v="2017-12-18T00:00:00"/>
    <x v="6"/>
    <s v="Series 3c"/>
    <m/>
    <m/>
    <m/>
    <n v="612502.18999999994"/>
    <m/>
    <m/>
    <m/>
    <m/>
    <n v="612502.18999999994"/>
    <m/>
    <n v="612502.18999999994"/>
    <n v="612502.1899999999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3c"/>
    <n v="5642679.2999999998"/>
    <m/>
    <m/>
    <m/>
    <m/>
    <m/>
    <m/>
    <m/>
    <n v="0"/>
    <m/>
    <n v="0"/>
    <n v="0"/>
    <s v="Private Equity Fund"/>
    <n v="4.010702E-2"/>
    <n v="0.11341399000000001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3c"/>
    <n v="6019074.4400000004"/>
    <m/>
    <m/>
    <m/>
    <m/>
    <m/>
    <m/>
    <m/>
    <n v="0"/>
    <m/>
    <n v="0"/>
    <n v="0"/>
    <s v="Private Equity Fund"/>
    <m/>
    <n v="0.17983667"/>
    <m/>
    <m/>
    <m/>
    <m/>
    <m/>
    <m/>
    <m/>
    <m/>
    <m/>
    <m/>
    <m/>
    <m/>
    <m/>
    <d v="2018-01-31T00:00:00"/>
    <n v="6.6705038508922732E-2"/>
    <x v="1"/>
    <n v="0"/>
    <x v="188"/>
  </r>
  <r>
    <d v="2018-02-28T00:00:00"/>
    <x v="6"/>
    <s v="Series 3c"/>
    <n v="6036277.8099999996"/>
    <m/>
    <m/>
    <m/>
    <m/>
    <m/>
    <m/>
    <m/>
    <n v="0"/>
    <m/>
    <n v="0"/>
    <n v="0"/>
    <s v="Private Equity Fund"/>
    <m/>
    <n v="0.18287255999999999"/>
    <m/>
    <m/>
    <m/>
    <m/>
    <m/>
    <m/>
    <m/>
    <m/>
    <m/>
    <m/>
    <m/>
    <m/>
    <m/>
    <d v="2018-02-28T00:00:00"/>
    <n v="2.8581420900319898E-3"/>
    <x v="1"/>
    <n v="0"/>
    <x v="189"/>
  </r>
  <r>
    <d v="2018-03-31T00:00:00"/>
    <x v="6"/>
    <s v="Series 3c"/>
    <n v="5995205.7699999996"/>
    <m/>
    <m/>
    <m/>
    <m/>
    <m/>
    <m/>
    <m/>
    <n v="0"/>
    <m/>
    <n v="0"/>
    <n v="0"/>
    <s v="Private Equity Fund"/>
    <n v="2.2908349999999997E-2"/>
    <n v="0.17562454999999999"/>
    <m/>
    <m/>
    <m/>
    <m/>
    <m/>
    <m/>
    <m/>
    <m/>
    <m/>
    <m/>
    <m/>
    <m/>
    <m/>
    <d v="2018-03-31T00:00:00"/>
    <n v="-6.8041997556769207E-3"/>
    <x v="1"/>
    <n v="0"/>
    <x v="190"/>
  </r>
  <r>
    <d v="2018-04-30T00:00:00"/>
    <x v="6"/>
    <s v="Series 3c"/>
    <n v="5940066.8099999996"/>
    <m/>
    <m/>
    <m/>
    <m/>
    <m/>
    <m/>
    <m/>
    <n v="0"/>
    <m/>
    <n v="0"/>
    <n v="0"/>
    <s v="Private Equity Fund"/>
    <m/>
    <n v="0.16589414000000002"/>
    <m/>
    <m/>
    <m/>
    <m/>
    <m/>
    <m/>
    <m/>
    <m/>
    <m/>
    <m/>
    <m/>
    <m/>
    <m/>
    <d v="2018-04-30T00:00:00"/>
    <n v="-9.1971755624995488E-3"/>
    <x v="1"/>
    <n v="0"/>
    <x v="191"/>
  </r>
  <r>
    <d v="2018-05-31T00:00:00"/>
    <x v="6"/>
    <s v="Series 3c"/>
    <n v="5995774.1900000004"/>
    <m/>
    <m/>
    <m/>
    <m/>
    <m/>
    <m/>
    <m/>
    <n v="0"/>
    <m/>
    <n v="0"/>
    <n v="0"/>
    <s v="Private Equity Fund"/>
    <m/>
    <n v="0.17572485999999998"/>
    <m/>
    <m/>
    <m/>
    <m/>
    <m/>
    <m/>
    <m/>
    <m/>
    <m/>
    <m/>
    <m/>
    <m/>
    <m/>
    <d v="2018-05-31T00:00:00"/>
    <n v="9.3782413198144621E-3"/>
    <x v="1"/>
    <n v="0"/>
    <x v="192"/>
  </r>
  <r>
    <d v="2018-06-30T00:00:00"/>
    <x v="6"/>
    <s v="Series 3c"/>
    <n v="5974868.0199999996"/>
    <m/>
    <m/>
    <m/>
    <m/>
    <m/>
    <m/>
    <m/>
    <n v="0"/>
    <m/>
    <n v="0"/>
    <n v="0"/>
    <s v="Private Equity Fund"/>
    <n v="2.332855E-2"/>
    <n v="0.17203552999999999"/>
    <m/>
    <m/>
    <m/>
    <m/>
    <m/>
    <m/>
    <m/>
    <m/>
    <m/>
    <m/>
    <m/>
    <m/>
    <m/>
    <d v="2018-06-30T00:00:00"/>
    <n v="-3.486817437999723E-3"/>
    <x v="1"/>
    <n v="0"/>
    <x v="193"/>
  </r>
  <r>
    <d v="2018-07-31T00:00:00"/>
    <x v="6"/>
    <s v="Series 3c"/>
    <n v="5899318.4500000002"/>
    <m/>
    <m/>
    <m/>
    <m/>
    <m/>
    <m/>
    <m/>
    <n v="0"/>
    <m/>
    <n v="0"/>
    <n v="0"/>
    <s v="Private Equity Fund"/>
    <n v="0"/>
    <n v="0.15870326000000001"/>
    <m/>
    <m/>
    <m/>
    <m/>
    <m/>
    <m/>
    <m/>
    <m/>
    <m/>
    <m/>
    <m/>
    <m/>
    <m/>
    <d v="2018-07-31T00:00:00"/>
    <n v="-1.2644558799810857E-2"/>
    <x v="1"/>
    <n v="0"/>
    <x v="194"/>
  </r>
  <r>
    <d v="2018-08-31T00:00:00"/>
    <x v="6"/>
    <s v="Series 3c"/>
    <n v="5851730.6200000001"/>
    <m/>
    <m/>
    <m/>
    <m/>
    <m/>
    <m/>
    <m/>
    <n v="0"/>
    <m/>
    <n v="0"/>
    <n v="0"/>
    <s v="Private Equity Fund"/>
    <n v="0"/>
    <n v="0.15030540000000001"/>
    <m/>
    <m/>
    <m/>
    <m/>
    <m/>
    <m/>
    <m/>
    <m/>
    <m/>
    <m/>
    <m/>
    <m/>
    <m/>
    <d v="2018-08-31T00:00:00"/>
    <n v="-8.0666657349206528E-3"/>
    <x v="1"/>
    <n v="0"/>
    <x v="195"/>
  </r>
  <r>
    <d v="2018-09-30T00:00:00"/>
    <x v="6"/>
    <s v="Series 3c"/>
    <n v="5639867.1100000003"/>
    <m/>
    <m/>
    <m/>
    <m/>
    <m/>
    <m/>
    <m/>
    <n v="0"/>
    <e v="#DIV/0!"/>
    <n v="0"/>
    <n v="0"/>
    <s v="Private Equity Fund"/>
    <n v="2.1594599999999999E-2"/>
    <n v="0.11291772"/>
    <m/>
    <m/>
    <m/>
    <m/>
    <m/>
    <m/>
    <m/>
    <m/>
    <m/>
    <m/>
    <m/>
    <m/>
    <m/>
    <d v="2018-09-30T00:00:00"/>
    <n v="-3.6205273919461378E-2"/>
    <x v="1"/>
    <n v="0"/>
    <x v="196"/>
  </r>
  <r>
    <d v="2018-10-31T00:00:00"/>
    <x v="6"/>
    <s v="Series 3c"/>
    <n v="5569140.0164999999"/>
    <m/>
    <n v="5"/>
    <m/>
    <n v="0"/>
    <n v="0"/>
    <n v="0"/>
    <m/>
    <n v="0"/>
    <e v="#DIV/0!"/>
    <n v="-5569140.0164999999"/>
    <n v="-5569140.0164999999"/>
    <s v="Private Equity Fund"/>
    <n v="2.9293587287426214E-2"/>
    <n v="0.10043647350000004"/>
    <m/>
    <m/>
    <m/>
    <m/>
    <m/>
    <m/>
    <m/>
    <m/>
    <m/>
    <m/>
    <m/>
    <m/>
    <m/>
    <d v="2018-10-31T00:00:00"/>
    <n v="-1.2540560286357638E-2"/>
    <x v="1"/>
    <n v="0"/>
    <x v="197"/>
  </r>
  <r>
    <d v="2017-07-31T00:00:00"/>
    <x v="6"/>
    <s v="Series 3d"/>
    <n v="908094.29"/>
    <m/>
    <m/>
    <m/>
    <m/>
    <m/>
    <m/>
    <m/>
    <n v="0"/>
    <m/>
    <n v="0"/>
    <n v="0"/>
    <s v="Private Equity Fund"/>
    <n v="1.1552299999999999E-3"/>
    <n v="0"/>
    <m/>
    <m/>
    <m/>
    <m/>
    <m/>
    <m/>
    <m/>
    <m/>
    <m/>
    <m/>
    <m/>
    <m/>
    <m/>
    <d v="2017-07-31T00:00:00"/>
    <e v="#DIV/0!"/>
    <x v="1"/>
    <n v="0"/>
    <x v="182"/>
  </r>
  <r>
    <d v="2017-08-11T00:00:00"/>
    <x v="6"/>
    <s v="Series 3d"/>
    <m/>
    <m/>
    <m/>
    <n v="71462"/>
    <m/>
    <m/>
    <m/>
    <m/>
    <n v="71462"/>
    <m/>
    <n v="71462"/>
    <n v="71462"/>
    <s v="Private Equity Fund"/>
    <n v="0"/>
    <n v="0"/>
    <m/>
    <m/>
    <m/>
    <m/>
    <m/>
    <m/>
    <m/>
    <m/>
    <m/>
    <m/>
    <m/>
    <m/>
    <m/>
    <d v="2017-08-11T00:00:00"/>
    <n v="-1.0786944712536404"/>
    <x v="1"/>
    <n v="0"/>
    <x v="183"/>
  </r>
  <r>
    <d v="2017-08-11T00:00:00"/>
    <x v="6"/>
    <s v="Series 3d"/>
    <m/>
    <m/>
    <m/>
    <n v="928538"/>
    <m/>
    <m/>
    <m/>
    <m/>
    <n v="928538"/>
    <m/>
    <n v="928538"/>
    <n v="928538"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3d"/>
    <n v="977287.12"/>
    <m/>
    <m/>
    <m/>
    <m/>
    <m/>
    <m/>
    <m/>
    <n v="0"/>
    <m/>
    <n v="0"/>
    <n v="0"/>
    <s v="Private Equity Fund"/>
    <n v="1.113782E-2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3d"/>
    <n v="981553.54"/>
    <m/>
    <m/>
    <m/>
    <m/>
    <m/>
    <m/>
    <m/>
    <n v="0"/>
    <m/>
    <n v="0"/>
    <n v="0"/>
    <s v="Private Equity Fund"/>
    <n v="1.237824E-2"/>
    <n v="0"/>
    <m/>
    <m/>
    <m/>
    <m/>
    <m/>
    <m/>
    <m/>
    <m/>
    <m/>
    <m/>
    <m/>
    <m/>
    <m/>
    <d v="2017-09-30T00:00:00"/>
    <n v="4.3655747760187325E-3"/>
    <x v="1"/>
    <n v="0"/>
    <x v="184"/>
  </r>
  <r>
    <d v="2017-10-31T00:00:00"/>
    <x v="6"/>
    <s v="Series 3d"/>
    <n v="999255.54"/>
    <m/>
    <m/>
    <m/>
    <m/>
    <m/>
    <m/>
    <m/>
    <n v="0"/>
    <m/>
    <n v="0"/>
    <n v="0"/>
    <s v="Private Equity Fund"/>
    <n v="1.237824E-2"/>
    <n v="0"/>
    <m/>
    <m/>
    <m/>
    <m/>
    <m/>
    <m/>
    <m/>
    <m/>
    <m/>
    <m/>
    <m/>
    <m/>
    <m/>
    <d v="2017-10-31T00:00:00"/>
    <n v="1.8034675928121136E-2"/>
    <x v="1"/>
    <n v="0"/>
    <x v="185"/>
  </r>
  <r>
    <d v="2017-11-30T00:00:00"/>
    <x v="6"/>
    <s v="Series 3d"/>
    <n v="993643.47"/>
    <m/>
    <m/>
    <m/>
    <m/>
    <m/>
    <m/>
    <m/>
    <n v="0"/>
    <m/>
    <n v="0"/>
    <n v="0"/>
    <s v="Private Equity Fund"/>
    <n v="1.5019459999999998E-2"/>
    <n v="0"/>
    <m/>
    <m/>
    <m/>
    <m/>
    <m/>
    <m/>
    <m/>
    <m/>
    <m/>
    <m/>
    <m/>
    <m/>
    <m/>
    <d v="2017-11-30T00:00:00"/>
    <n v="-5.6162510742747696E-3"/>
    <x v="1"/>
    <n v="0"/>
    <x v="186"/>
  </r>
  <r>
    <d v="2017-12-18T00:00:00"/>
    <x v="6"/>
    <s v="Series 3d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  <m/>
    <m/>
    <m/>
    <d v="2017-12-18T00:00:00"/>
    <n v="-0.87671590092571128"/>
    <x v="1"/>
    <n v="0"/>
    <x v="187"/>
  </r>
  <r>
    <d v="2017-12-18T00:00:00"/>
    <x v="6"/>
    <s v="Series 3d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3d"/>
    <n v="1128535.8600000001"/>
    <m/>
    <m/>
    <m/>
    <m/>
    <m/>
    <m/>
    <m/>
    <n v="0"/>
    <m/>
    <n v="0"/>
    <n v="0"/>
    <s v="Private Equity Fund"/>
    <n v="8.0213999999999997E-3"/>
    <n v="2.2682799999999999E-2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3d"/>
    <n v="1203814.8899999999"/>
    <m/>
    <m/>
    <m/>
    <m/>
    <m/>
    <m/>
    <m/>
    <n v="0"/>
    <m/>
    <n v="0"/>
    <n v="0"/>
    <s v="Private Equity Fund"/>
    <m/>
    <n v="3.5967329999999999E-2"/>
    <m/>
    <m/>
    <m/>
    <m/>
    <m/>
    <m/>
    <m/>
    <m/>
    <m/>
    <m/>
    <m/>
    <m/>
    <m/>
    <d v="2018-01-31T00:00:00"/>
    <n v="6.6705040281130001E-2"/>
    <x v="1"/>
    <n v="0"/>
    <x v="188"/>
  </r>
  <r>
    <d v="2018-02-28T00:00:00"/>
    <x v="6"/>
    <s v="Series 3d"/>
    <n v="1207255.56"/>
    <m/>
    <m/>
    <m/>
    <m/>
    <m/>
    <m/>
    <m/>
    <n v="0"/>
    <m/>
    <n v="0"/>
    <n v="0"/>
    <s v="Private Equity Fund"/>
    <m/>
    <n v="3.6574510000000005E-2"/>
    <m/>
    <m/>
    <m/>
    <m/>
    <m/>
    <m/>
    <m/>
    <m/>
    <m/>
    <m/>
    <m/>
    <m/>
    <m/>
    <d v="2018-02-28T00:00:00"/>
    <n v="2.8581387625137289E-3"/>
    <x v="1"/>
    <n v="0"/>
    <x v="189"/>
  </r>
  <r>
    <d v="2018-03-31T00:00:00"/>
    <x v="6"/>
    <s v="Series 3d"/>
    <n v="1199041.1499999999"/>
    <m/>
    <m/>
    <m/>
    <m/>
    <m/>
    <m/>
    <m/>
    <n v="0"/>
    <m/>
    <n v="0"/>
    <n v="0"/>
    <s v="Private Equity Fund"/>
    <n v="4.5816700000000004E-3"/>
    <n v="3.5124910000000002E-2"/>
    <m/>
    <m/>
    <m/>
    <m/>
    <m/>
    <m/>
    <m/>
    <m/>
    <m/>
    <m/>
    <m/>
    <m/>
    <m/>
    <d v="2018-03-31T00:00:00"/>
    <n v="-6.8042014235992765E-3"/>
    <x v="1"/>
    <n v="0"/>
    <x v="190"/>
  </r>
  <r>
    <d v="2018-04-30T00:00:00"/>
    <x v="6"/>
    <s v="Series 3d"/>
    <n v="1188012.6599999999"/>
    <m/>
    <m/>
    <m/>
    <m/>
    <m/>
    <m/>
    <m/>
    <n v="0"/>
    <m/>
    <n v="0"/>
    <n v="0"/>
    <s v="Private Equity Fund"/>
    <m/>
    <n v="3.317871E-2"/>
    <m/>
    <m/>
    <m/>
    <m/>
    <m/>
    <m/>
    <m/>
    <m/>
    <m/>
    <m/>
    <m/>
    <m/>
    <m/>
    <d v="2018-04-30T00:00:00"/>
    <n v="-9.1977577249955367E-3"/>
    <x v="1"/>
    <n v="0"/>
    <x v="191"/>
  </r>
  <r>
    <d v="2018-05-31T00:00:00"/>
    <x v="6"/>
    <s v="Series 3d"/>
    <n v="1199154.0900000001"/>
    <m/>
    <m/>
    <m/>
    <m/>
    <m/>
    <m/>
    <m/>
    <n v="0"/>
    <m/>
    <n v="0"/>
    <n v="0"/>
    <s v="Private Equity Fund"/>
    <m/>
    <n v="3.5144839999999997E-2"/>
    <m/>
    <m/>
    <m/>
    <m/>
    <m/>
    <m/>
    <m/>
    <m/>
    <m/>
    <m/>
    <m/>
    <m/>
    <m/>
    <d v="2018-05-31T00:00:00"/>
    <n v="9.3782081413174012E-3"/>
    <x v="1"/>
    <n v="0"/>
    <x v="192"/>
  </r>
  <r>
    <d v="2018-06-30T00:00:00"/>
    <x v="6"/>
    <s v="Series 3d"/>
    <n v="1194973.5900000001"/>
    <m/>
    <m/>
    <m/>
    <m/>
    <m/>
    <m/>
    <m/>
    <n v="0"/>
    <m/>
    <n v="0"/>
    <n v="0"/>
    <s v="Private Equity Fund"/>
    <n v="4.66571E-3"/>
    <n v="3.4407099999999996E-2"/>
    <m/>
    <m/>
    <m/>
    <m/>
    <m/>
    <m/>
    <m/>
    <m/>
    <m/>
    <m/>
    <m/>
    <m/>
    <m/>
    <d v="2018-06-30T00:00:00"/>
    <n v="-3.4862075148324179E-3"/>
    <x v="1"/>
    <n v="0"/>
    <x v="193"/>
  </r>
  <r>
    <d v="2018-07-31T00:00:00"/>
    <x v="6"/>
    <s v="Series 3d"/>
    <n v="1179862.93"/>
    <m/>
    <m/>
    <m/>
    <m/>
    <m/>
    <m/>
    <m/>
    <n v="0"/>
    <m/>
    <n v="0"/>
    <n v="0"/>
    <s v="Private Equity Fund"/>
    <n v="0"/>
    <n v="3.1740520000000001E-2"/>
    <m/>
    <m/>
    <m/>
    <m/>
    <m/>
    <m/>
    <m/>
    <m/>
    <m/>
    <m/>
    <m/>
    <m/>
    <m/>
    <d v="2018-07-31T00:00:00"/>
    <n v="-1.2645183229530788E-2"/>
    <x v="1"/>
    <n v="0"/>
    <x v="194"/>
  </r>
  <r>
    <d v="2018-08-31T00:00:00"/>
    <x v="6"/>
    <s v="Series 3d"/>
    <n v="1170345.3600000001"/>
    <m/>
    <m/>
    <m/>
    <m/>
    <m/>
    <m/>
    <m/>
    <n v="0"/>
    <m/>
    <n v="0"/>
    <n v="0"/>
    <s v="Private Equity Fund"/>
    <n v="0"/>
    <n v="3.0060949999999999E-2"/>
    <m/>
    <m/>
    <m/>
    <m/>
    <m/>
    <m/>
    <m/>
    <m/>
    <m/>
    <m/>
    <m/>
    <m/>
    <m/>
    <d v="2018-08-31T00:00:00"/>
    <n v="-8.0666743212279846E-3"/>
    <x v="1"/>
    <n v="0"/>
    <x v="195"/>
  </r>
  <r>
    <d v="2018-09-30T00:00:00"/>
    <x v="6"/>
    <s v="Series 3d"/>
    <n v="1127973.3999999999"/>
    <m/>
    <m/>
    <m/>
    <m/>
    <m/>
    <m/>
    <m/>
    <n v="0"/>
    <e v="#DIV/0!"/>
    <n v="0"/>
    <n v="0"/>
    <s v="Private Equity Fund"/>
    <n v="4.3189200000000004E-3"/>
    <n v="2.2583539999999999E-2"/>
    <m/>
    <m/>
    <m/>
    <m/>
    <m/>
    <m/>
    <m/>
    <m/>
    <m/>
    <m/>
    <m/>
    <m/>
    <m/>
    <d v="2018-09-30T00:00:00"/>
    <n v="-3.6204663553329408E-2"/>
    <x v="1"/>
    <n v="0"/>
    <x v="196"/>
  </r>
  <r>
    <d v="2018-10-31T00:00:00"/>
    <x v="6"/>
    <s v="Series 3d"/>
    <n v="1113827.223"/>
    <m/>
    <n v="1"/>
    <m/>
    <n v="0"/>
    <n v="0"/>
    <n v="0"/>
    <m/>
    <n v="0"/>
    <e v="#DIV/0!"/>
    <n v="-1113827.223"/>
    <n v="-1113827.223"/>
    <s v="Private Equity Fund"/>
    <n v="5.8587161156123981E-3"/>
    <n v="2.0087156999999981E-2"/>
    <m/>
    <m/>
    <m/>
    <m/>
    <m/>
    <m/>
    <m/>
    <m/>
    <m/>
    <m/>
    <m/>
    <m/>
    <m/>
    <d v="2018-10-31T00:00:00"/>
    <n v="-1.2541232798574775E-2"/>
    <x v="1"/>
    <n v="0"/>
    <x v="197"/>
  </r>
  <r>
    <d v="2017-07-31T00:00:00"/>
    <x v="6"/>
    <s v="Series 3GP"/>
    <n v="909279.87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7-31T00:00:00"/>
    <e v="#DIV/0!"/>
    <x v="1"/>
    <n v="0"/>
    <x v="182"/>
  </r>
  <r>
    <d v="2017-08-11T00:00:00"/>
    <x v="6"/>
    <s v="Series 3GP"/>
    <m/>
    <m/>
    <m/>
    <n v="71462"/>
    <m/>
    <m/>
    <m/>
    <m/>
    <n v="71462"/>
    <m/>
    <n v="71462"/>
    <m/>
    <s v="Private Equity Fund"/>
    <n v="0"/>
    <n v="0"/>
    <m/>
    <m/>
    <m/>
    <m/>
    <m/>
    <m/>
    <m/>
    <m/>
    <m/>
    <m/>
    <m/>
    <m/>
    <m/>
    <d v="2017-08-11T00:00:00"/>
    <n v="-1.0785918641308974"/>
    <x v="1"/>
    <n v="0"/>
    <x v="183"/>
  </r>
  <r>
    <d v="2017-08-11T00:00:00"/>
    <x v="6"/>
    <s v="Series 3GP"/>
    <m/>
    <m/>
    <m/>
    <n v="928538"/>
    <m/>
    <m/>
    <m/>
    <m/>
    <n v="928538"/>
    <m/>
    <n v="928538"/>
    <m/>
    <s v="Private Equity Fund"/>
    <n v="0"/>
    <n v="0"/>
    <m/>
    <m/>
    <m/>
    <m/>
    <m/>
    <m/>
    <m/>
    <m/>
    <m/>
    <m/>
    <m/>
    <m/>
    <m/>
    <d v="2017-08-11T00:00:00"/>
    <e v="#DIV/0!"/>
    <x v="1"/>
    <n v="0"/>
    <x v="183"/>
  </r>
  <r>
    <d v="2017-08-31T00:00:00"/>
    <x v="6"/>
    <s v="Series 3GP"/>
    <n v="988424.95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8-31T00:00:00"/>
    <e v="#DIV/0!"/>
    <x v="1"/>
    <n v="0"/>
    <x v="183"/>
  </r>
  <r>
    <d v="2017-09-30T00:00:00"/>
    <x v="6"/>
    <s v="Series 3GP"/>
    <n v="993931.78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09-30T00:00:00"/>
    <n v="5.5713182877465961E-3"/>
    <x v="1"/>
    <n v="0"/>
    <x v="184"/>
  </r>
  <r>
    <d v="2017-10-31T00:00:00"/>
    <x v="6"/>
    <s v="Series 3GP"/>
    <n v="1011633.78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10-31T00:00:00"/>
    <n v="1.7810075456084151E-2"/>
    <x v="1"/>
    <n v="0"/>
    <x v="185"/>
  </r>
  <r>
    <d v="2017-11-30T00:00:00"/>
    <x v="6"/>
    <s v="Series 3GP"/>
    <n v="1008662.94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11-30T00:00:00"/>
    <n v="-2.936675364873742E-3"/>
    <x v="1"/>
    <n v="0"/>
    <x v="186"/>
  </r>
  <r>
    <d v="2017-12-18T00:00:00"/>
    <x v="6"/>
    <s v="Series 3GP"/>
    <m/>
    <m/>
    <m/>
    <m/>
    <m/>
    <n v="-122500.44"/>
    <m/>
    <m/>
    <n v="-122500.44"/>
    <m/>
    <n v="-122500.44"/>
    <m/>
    <s v="Private Equity Fund"/>
    <n v="0"/>
    <n v="0"/>
    <m/>
    <m/>
    <m/>
    <m/>
    <m/>
    <m/>
    <m/>
    <m/>
    <m/>
    <m/>
    <m/>
    <m/>
    <m/>
    <d v="2017-12-18T00:00:00"/>
    <n v="-0.87855165968524629"/>
    <x v="1"/>
    <n v="0"/>
    <x v="187"/>
  </r>
  <r>
    <d v="2017-12-18T00:00:00"/>
    <x v="6"/>
    <s v="Series 3GP"/>
    <m/>
    <m/>
    <m/>
    <n v="122500.44"/>
    <m/>
    <m/>
    <m/>
    <m/>
    <n v="122500.44"/>
    <m/>
    <n v="122500.44"/>
    <m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3GP"/>
    <n v="1159240.06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3GP"/>
    <n v="1249492.26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1-31T00:00:00"/>
    <n v="7.7854624865189681E-2"/>
    <x v="1"/>
    <n v="0"/>
    <x v="188"/>
  </r>
  <r>
    <d v="2018-02-28T00:00:00"/>
    <x v="6"/>
    <s v="Series 3GP"/>
    <n v="1254958.03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2-28T00:00:00"/>
    <n v="4.3743928433779278E-3"/>
    <x v="1"/>
    <n v="0"/>
    <x v="189"/>
  </r>
  <r>
    <d v="2018-03-31T00:00:00"/>
    <x v="6"/>
    <s v="Series 3GP"/>
    <n v="1246769.1399999999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3-31T00:00:00"/>
    <n v="-6.5252301704464832E-3"/>
    <x v="1"/>
    <n v="0"/>
    <x v="190"/>
  </r>
  <r>
    <d v="2018-04-30T00:00:00"/>
    <x v="6"/>
    <s v="Series 3GP"/>
    <n v="1235408.22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4-30T00:00:00"/>
    <n v="-9.112288422538195E-3"/>
    <x v="1"/>
    <n v="0"/>
    <x v="191"/>
  </r>
  <r>
    <d v="2018-05-31T00:00:00"/>
    <x v="6"/>
    <s v="Series 3GP"/>
    <n v="1250094.06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5-31T00:00:00"/>
    <n v="1.1887439117088006E-2"/>
    <x v="1"/>
    <n v="0"/>
    <x v="192"/>
  </r>
  <r>
    <d v="2018-06-30T00:00:00"/>
    <x v="6"/>
    <s v="Series 3GP"/>
    <n v="1246649.48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6-30T00:00:00"/>
    <n v="-2.7554566573975148E-3"/>
    <x v="1"/>
    <n v="0"/>
    <x v="193"/>
  </r>
  <r>
    <d v="2018-07-31T00:00:00"/>
    <x v="6"/>
    <s v="Series 3GP"/>
    <n v="1230473.82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7-31T00:00:00"/>
    <n v="-1.2975307221080201E-2"/>
    <x v="1"/>
    <n v="0"/>
    <x v="194"/>
  </r>
  <r>
    <d v="2018-08-31T00:00:00"/>
    <x v="6"/>
    <s v="Series 3GP"/>
    <n v="1216135.17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8-31T00:00:00"/>
    <n v="-1.1652950080644708E-2"/>
    <x v="1"/>
    <n v="0"/>
    <x v="195"/>
  </r>
  <r>
    <d v="2018-09-30T00:00:00"/>
    <x v="6"/>
    <s v="Series 3GP"/>
    <n v="1172144.6399999999"/>
    <m/>
    <m/>
    <m/>
    <m/>
    <m/>
    <m/>
    <m/>
    <n v="0"/>
    <e v="#DIV/0!"/>
    <n v="0"/>
    <m/>
    <s v="Private Equity Fund"/>
    <n v="0"/>
    <n v="0"/>
    <m/>
    <m/>
    <m/>
    <m/>
    <m/>
    <m/>
    <m/>
    <m/>
    <m/>
    <m/>
    <m/>
    <m/>
    <m/>
    <d v="2018-09-30T00:00:00"/>
    <n v="-3.6172401789843822E-2"/>
    <x v="1"/>
    <n v="0"/>
    <x v="196"/>
  </r>
  <r>
    <d v="2018-10-31T00:00:00"/>
    <x v="6"/>
    <s v="Series 3GP"/>
    <n v="1152376.17"/>
    <m/>
    <n v="1"/>
    <m/>
    <n v="0"/>
    <n v="0"/>
    <n v="0"/>
    <m/>
    <n v="0"/>
    <e v="#DIV/0!"/>
    <n v="-1152376.17"/>
    <m/>
    <s v="Private Equity Fund"/>
    <n v="0"/>
    <n v="0"/>
    <m/>
    <m/>
    <m/>
    <m/>
    <m/>
    <m/>
    <m/>
    <m/>
    <m/>
    <m/>
    <m/>
    <m/>
    <m/>
    <d v="2018-10-31T00:00:00"/>
    <n v="-1.6865213835725923E-2"/>
    <x v="1"/>
    <n v="0"/>
    <x v="197"/>
  </r>
  <r>
    <d v="2017-12-18T00:00:00"/>
    <x v="6"/>
    <s v="Series 4a"/>
    <m/>
    <m/>
    <m/>
    <n v="16316"/>
    <m/>
    <m/>
    <m/>
    <m/>
    <n v="16316"/>
    <m/>
    <n v="16316"/>
    <n v="16316"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a"/>
    <m/>
    <m/>
    <m/>
    <n v="133684"/>
    <m/>
    <m/>
    <m/>
    <m/>
    <n v="133684"/>
    <m/>
    <n v="133684"/>
    <n v="133684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a"/>
    <n v="169842.62"/>
    <m/>
    <m/>
    <m/>
    <m/>
    <m/>
    <m/>
    <m/>
    <n v="0"/>
    <m/>
    <n v="0"/>
    <n v="0"/>
    <s v="Private Equity Fund"/>
    <n v="6.506900000000001E-4"/>
    <n v="3.5016399999999999E-3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a"/>
    <n v="178172.91"/>
    <m/>
    <m/>
    <m/>
    <m/>
    <m/>
    <m/>
    <m/>
    <n v="0"/>
    <m/>
    <n v="0"/>
    <n v="0"/>
    <s v="Private Equity Fund"/>
    <m/>
    <n v="4.97169E-3"/>
    <m/>
    <m/>
    <m/>
    <m/>
    <m/>
    <m/>
    <m/>
    <m/>
    <m/>
    <m/>
    <m/>
    <m/>
    <m/>
    <d v="2018-01-31T00:00:00"/>
    <n v="4.9047111967537971E-2"/>
    <x v="1"/>
    <n v="0"/>
    <x v="188"/>
  </r>
  <r>
    <d v="2018-02-28T00:00:00"/>
    <x v="6"/>
    <s v="Series 4a"/>
    <n v="178690.6"/>
    <m/>
    <m/>
    <m/>
    <m/>
    <m/>
    <m/>
    <m/>
    <n v="0"/>
    <m/>
    <n v="0"/>
    <n v="0"/>
    <s v="Private Equity Fund"/>
    <m/>
    <n v="5.0630500000000004E-3"/>
    <m/>
    <m/>
    <m/>
    <m/>
    <m/>
    <m/>
    <m/>
    <m/>
    <m/>
    <m/>
    <m/>
    <m/>
    <m/>
    <d v="2018-02-28T00:00:00"/>
    <n v="2.9055483238165092E-3"/>
    <x v="1"/>
    <n v="0"/>
    <x v="189"/>
  </r>
  <r>
    <d v="2018-03-31T00:00:00"/>
    <x v="6"/>
    <s v="Series 4a"/>
    <n v="180416.8"/>
    <m/>
    <m/>
    <m/>
    <m/>
    <m/>
    <m/>
    <m/>
    <n v="0"/>
    <m/>
    <n v="0"/>
    <n v="0"/>
    <s v="Private Equity Fund"/>
    <n v="6.8970000000000001E-4"/>
    <n v="5.3676699999999997E-3"/>
    <m/>
    <m/>
    <m/>
    <m/>
    <m/>
    <m/>
    <m/>
    <m/>
    <m/>
    <m/>
    <m/>
    <m/>
    <m/>
    <d v="2018-03-31T00:00:00"/>
    <n v="9.6602731201305136E-3"/>
    <x v="1"/>
    <n v="0"/>
    <x v="190"/>
  </r>
  <r>
    <d v="2018-04-30T00:00:00"/>
    <x v="6"/>
    <s v="Series 4a"/>
    <n v="178764.21"/>
    <m/>
    <m/>
    <m/>
    <m/>
    <m/>
    <m/>
    <m/>
    <n v="0"/>
    <m/>
    <n v="0"/>
    <n v="0"/>
    <s v="Private Equity Fund"/>
    <m/>
    <n v="5.0760399999999995E-3"/>
    <m/>
    <m/>
    <m/>
    <m/>
    <m/>
    <m/>
    <m/>
    <m/>
    <m/>
    <m/>
    <m/>
    <m/>
    <m/>
    <d v="2018-04-30T00:00:00"/>
    <n v="-9.1598454245945815E-3"/>
    <x v="1"/>
    <n v="0"/>
    <x v="191"/>
  </r>
  <r>
    <d v="2018-05-31T00:00:00"/>
    <x v="6"/>
    <s v="Series 4a"/>
    <n v="180496.42"/>
    <m/>
    <m/>
    <m/>
    <m/>
    <m/>
    <m/>
    <m/>
    <n v="0"/>
    <m/>
    <n v="0"/>
    <n v="0"/>
    <s v="Private Equity Fund"/>
    <m/>
    <n v="5.3817200000000004E-3"/>
    <m/>
    <m/>
    <m/>
    <m/>
    <m/>
    <m/>
    <m/>
    <m/>
    <m/>
    <m/>
    <m/>
    <m/>
    <m/>
    <d v="2018-05-31T00:00:00"/>
    <n v="9.6899150003237899E-3"/>
    <x v="1"/>
    <n v="0"/>
    <x v="192"/>
  </r>
  <r>
    <d v="2018-06-30T00:00:00"/>
    <x v="6"/>
    <s v="Series 4a"/>
    <n v="179807.7"/>
    <m/>
    <m/>
    <m/>
    <m/>
    <m/>
    <m/>
    <m/>
    <n v="0"/>
    <m/>
    <n v="0"/>
    <n v="0"/>
    <s v="Private Equity Fund"/>
    <n v="7.0235999999999996E-4"/>
    <n v="5.2601800000000006E-3"/>
    <m/>
    <m/>
    <m/>
    <m/>
    <m/>
    <m/>
    <m/>
    <m/>
    <m/>
    <m/>
    <m/>
    <m/>
    <m/>
    <d v="2018-06-30T00:00:00"/>
    <n v="-3.815698948488877E-3"/>
    <x v="1"/>
    <n v="0"/>
    <x v="193"/>
  </r>
  <r>
    <d v="2018-07-31T00:00:00"/>
    <x v="6"/>
    <s v="Series 4a"/>
    <n v="177602.97"/>
    <m/>
    <m/>
    <m/>
    <m/>
    <m/>
    <m/>
    <m/>
    <n v="0"/>
    <m/>
    <n v="0"/>
    <n v="0"/>
    <s v="Private Equity Fund"/>
    <n v="0"/>
    <n v="4.8711099999999997E-3"/>
    <m/>
    <m/>
    <m/>
    <m/>
    <m/>
    <m/>
    <m/>
    <m/>
    <m/>
    <m/>
    <m/>
    <m/>
    <m/>
    <d v="2018-07-31T00:00:00"/>
    <n v="-1.22615994754397E-2"/>
    <x v="1"/>
    <n v="0"/>
    <x v="194"/>
  </r>
  <r>
    <d v="2018-08-31T00:00:00"/>
    <x v="6"/>
    <s v="Series 4a"/>
    <n v="176177.76"/>
    <m/>
    <m/>
    <m/>
    <m/>
    <m/>
    <m/>
    <m/>
    <n v="0"/>
    <m/>
    <n v="0"/>
    <n v="0"/>
    <s v="Private Equity Fund"/>
    <n v="0"/>
    <n v="4.6196099999999997E-3"/>
    <m/>
    <m/>
    <m/>
    <m/>
    <m/>
    <m/>
    <m/>
    <m/>
    <m/>
    <m/>
    <m/>
    <m/>
    <m/>
    <d v="2018-08-31T00:00:00"/>
    <n v="-8.0246968842919708E-3"/>
    <x v="1"/>
    <n v="0"/>
    <x v="195"/>
  </r>
  <r>
    <d v="2018-09-30T00:00:00"/>
    <x v="6"/>
    <s v="Series 4a"/>
    <n v="169758.04"/>
    <m/>
    <m/>
    <m/>
    <m/>
    <m/>
    <m/>
    <m/>
    <n v="0"/>
    <e v="#DIV/0!"/>
    <n v="0"/>
    <n v="0"/>
    <s v="Private Equity Fund"/>
    <n v="6.5032000000000002E-4"/>
    <n v="3.4867100000000001E-3"/>
    <m/>
    <m/>
    <m/>
    <m/>
    <m/>
    <m/>
    <m/>
    <m/>
    <m/>
    <m/>
    <m/>
    <m/>
    <m/>
    <d v="2018-09-30T00:00:00"/>
    <n v="-3.6438878550845488E-2"/>
    <x v="1"/>
    <n v="0"/>
    <x v="196"/>
  </r>
  <r>
    <d v="2018-10-31T00:00:00"/>
    <x v="6"/>
    <s v="Series 4a"/>
    <n v="167700.63800000001"/>
    <m/>
    <n v="0.15"/>
    <m/>
    <n v="0"/>
    <n v="0"/>
    <n v="0"/>
    <m/>
    <n v="0"/>
    <e v="#DIV/0!"/>
    <n v="-167700.63800000001"/>
    <n v="-167700.63800000001"/>
    <s v="Private Equity Fund"/>
    <n v="8.8229382378804139E-4"/>
    <n v="3.1236419999999998E-3"/>
    <m/>
    <m/>
    <m/>
    <m/>
    <m/>
    <m/>
    <m/>
    <m/>
    <m/>
    <m/>
    <m/>
    <m/>
    <m/>
    <d v="2018-10-31T00:00:00"/>
    <n v="-1.211961448188259E-2"/>
    <x v="1"/>
    <n v="0"/>
    <x v="197"/>
  </r>
  <r>
    <d v="2017-12-18T00:00:00"/>
    <x v="6"/>
    <s v="Series 4b"/>
    <m/>
    <m/>
    <m/>
    <n v="10877"/>
    <m/>
    <m/>
    <m/>
    <m/>
    <n v="10877"/>
    <m/>
    <n v="10877"/>
    <n v="10877"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b"/>
    <m/>
    <m/>
    <m/>
    <n v="89123"/>
    <m/>
    <m/>
    <m/>
    <m/>
    <n v="89123"/>
    <m/>
    <n v="89123"/>
    <n v="89123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b"/>
    <n v="113228.41"/>
    <m/>
    <m/>
    <m/>
    <m/>
    <m/>
    <m/>
    <m/>
    <n v="0"/>
    <m/>
    <n v="0"/>
    <n v="0"/>
    <s v="Private Equity Fund"/>
    <n v="4.3380000000000003E-4"/>
    <n v="2.3344299999999998E-3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b"/>
    <n v="118781.94"/>
    <m/>
    <m/>
    <m/>
    <m/>
    <m/>
    <m/>
    <m/>
    <n v="0"/>
    <m/>
    <n v="0"/>
    <n v="0"/>
    <s v="Private Equity Fund"/>
    <m/>
    <n v="3.31446E-3"/>
    <m/>
    <m/>
    <m/>
    <m/>
    <m/>
    <m/>
    <m/>
    <m/>
    <m/>
    <m/>
    <m/>
    <m/>
    <m/>
    <d v="2018-01-31T00:00:00"/>
    <n v="4.9047142850455971E-2"/>
    <x v="1"/>
    <n v="0"/>
    <x v="188"/>
  </r>
  <r>
    <d v="2018-02-28T00:00:00"/>
    <x v="6"/>
    <s v="Series 4b"/>
    <n v="119127.07"/>
    <m/>
    <m/>
    <m/>
    <m/>
    <m/>
    <m/>
    <m/>
    <n v="0"/>
    <m/>
    <n v="0"/>
    <n v="0"/>
    <s v="Private Equity Fund"/>
    <m/>
    <n v="3.37536E-3"/>
    <m/>
    <m/>
    <m/>
    <m/>
    <m/>
    <m/>
    <m/>
    <m/>
    <m/>
    <m/>
    <m/>
    <m/>
    <m/>
    <d v="2018-02-28T00:00:00"/>
    <n v="2.9055763864440642E-3"/>
    <x v="1"/>
    <n v="0"/>
    <x v="189"/>
  </r>
  <r>
    <d v="2018-03-31T00:00:00"/>
    <x v="6"/>
    <s v="Series 4b"/>
    <n v="120277.87"/>
    <m/>
    <m/>
    <m/>
    <m/>
    <m/>
    <m/>
    <m/>
    <n v="0"/>
    <m/>
    <n v="0"/>
    <n v="0"/>
    <s v="Private Equity Fund"/>
    <n v="4.5980000000000001E-4"/>
    <n v="3.5784499999999999E-3"/>
    <m/>
    <m/>
    <m/>
    <m/>
    <m/>
    <m/>
    <m/>
    <m/>
    <m/>
    <m/>
    <m/>
    <m/>
    <m/>
    <d v="2018-03-31T00:00:00"/>
    <n v="9.6602728498231816E-3"/>
    <x v="1"/>
    <n v="0"/>
    <x v="190"/>
  </r>
  <r>
    <d v="2018-04-30T00:00:00"/>
    <x v="6"/>
    <s v="Series 4b"/>
    <n v="119175.85"/>
    <m/>
    <m/>
    <m/>
    <m/>
    <m/>
    <m/>
    <m/>
    <n v="0"/>
    <m/>
    <n v="0"/>
    <n v="0"/>
    <s v="Private Equity Fund"/>
    <m/>
    <n v="3.3839699999999996E-3"/>
    <m/>
    <m/>
    <m/>
    <m/>
    <m/>
    <m/>
    <m/>
    <m/>
    <m/>
    <m/>
    <m/>
    <m/>
    <m/>
    <d v="2018-04-30T00:00:00"/>
    <n v="-9.1622839679484924E-3"/>
    <x v="1"/>
    <n v="0"/>
    <x v="191"/>
  </r>
  <r>
    <d v="2018-05-31T00:00:00"/>
    <x v="6"/>
    <s v="Series 4b"/>
    <n v="120330.63"/>
    <m/>
    <m/>
    <m/>
    <m/>
    <m/>
    <m/>
    <m/>
    <n v="0"/>
    <m/>
    <n v="0"/>
    <n v="0"/>
    <s v="Private Equity Fund"/>
    <m/>
    <n v="3.5877600000000002E-3"/>
    <m/>
    <m/>
    <m/>
    <m/>
    <m/>
    <m/>
    <m/>
    <m/>
    <m/>
    <m/>
    <m/>
    <m/>
    <m/>
    <d v="2018-05-31T00:00:00"/>
    <n v="9.6897148205781214E-3"/>
    <x v="1"/>
    <n v="0"/>
    <x v="192"/>
  </r>
  <r>
    <d v="2018-06-30T00:00:00"/>
    <x v="6"/>
    <s v="Series 4b"/>
    <n v="119871.81"/>
    <m/>
    <m/>
    <m/>
    <m/>
    <m/>
    <m/>
    <m/>
    <n v="0"/>
    <m/>
    <n v="0"/>
    <n v="0"/>
    <s v="Private Equity Fund"/>
    <n v="4.6824000000000003E-4"/>
    <n v="3.5067900000000001E-3"/>
    <m/>
    <m/>
    <m/>
    <m/>
    <m/>
    <m/>
    <m/>
    <m/>
    <m/>
    <m/>
    <m/>
    <m/>
    <m/>
    <d v="2018-06-30T00:00:00"/>
    <n v="-3.8129942475993994E-3"/>
    <x v="1"/>
    <n v="0"/>
    <x v="193"/>
  </r>
  <r>
    <d v="2018-07-31T00:00:00"/>
    <x v="6"/>
    <s v="Series 4b"/>
    <n v="118401.67"/>
    <m/>
    <m/>
    <m/>
    <m/>
    <m/>
    <m/>
    <m/>
    <n v="0"/>
    <m/>
    <n v="0"/>
    <n v="0"/>
    <s v="Private Equity Fund"/>
    <n v="0"/>
    <n v="3.24735E-3"/>
    <m/>
    <m/>
    <m/>
    <m/>
    <m/>
    <m/>
    <m/>
    <m/>
    <m/>
    <m/>
    <m/>
    <m/>
    <m/>
    <d v="2018-07-31T00:00:00"/>
    <n v="-1.2264267970926612E-2"/>
    <x v="1"/>
    <n v="0"/>
    <x v="194"/>
  </r>
  <r>
    <d v="2018-08-31T00:00:00"/>
    <x v="6"/>
    <s v="Series 4b"/>
    <n v="117451.52"/>
    <m/>
    <m/>
    <m/>
    <m/>
    <m/>
    <m/>
    <m/>
    <n v="0"/>
    <m/>
    <n v="0"/>
    <n v="0"/>
    <s v="Private Equity Fund"/>
    <n v="0"/>
    <n v="3.07968E-3"/>
    <m/>
    <m/>
    <m/>
    <m/>
    <m/>
    <m/>
    <m/>
    <m/>
    <m/>
    <m/>
    <m/>
    <m/>
    <m/>
    <d v="2018-08-31T00:00:00"/>
    <n v="-8.0248023528721735E-3"/>
    <x v="1"/>
    <n v="0"/>
    <x v="195"/>
  </r>
  <r>
    <d v="2018-09-30T00:00:00"/>
    <x v="6"/>
    <s v="Series 4b"/>
    <n v="113172.04"/>
    <m/>
    <m/>
    <m/>
    <m/>
    <m/>
    <m/>
    <m/>
    <n v="0"/>
    <e v="#DIV/0!"/>
    <n v="0"/>
    <n v="0"/>
    <s v="Private Equity Fund"/>
    <n v="4.3354999999999999E-4"/>
    <n v="2.3244799999999999E-3"/>
    <m/>
    <m/>
    <m/>
    <m/>
    <m/>
    <m/>
    <m/>
    <m/>
    <m/>
    <m/>
    <m/>
    <m/>
    <m/>
    <d v="2018-09-30T00:00:00"/>
    <n v="-3.6436139779204346E-2"/>
    <x v="1"/>
    <n v="0"/>
    <x v="196"/>
  </r>
  <r>
    <d v="2018-10-31T00:00:00"/>
    <x v="6"/>
    <s v="Series 4b"/>
    <n v="111800.0995"/>
    <m/>
    <n v="0.1"/>
    <m/>
    <n v="0"/>
    <n v="0"/>
    <n v="0"/>
    <m/>
    <n v="0"/>
    <e v="#DIV/0!"/>
    <n v="-111800.0995"/>
    <n v="-111800.0995"/>
    <s v="Private Equity Fund"/>
    <n v="5.8819544390917322E-4"/>
    <n v="2.0823704999999998E-3"/>
    <m/>
    <m/>
    <m/>
    <m/>
    <m/>
    <m/>
    <m/>
    <m/>
    <m/>
    <m/>
    <m/>
    <m/>
    <m/>
    <d v="2018-10-31T00:00:00"/>
    <n v="-1.2122609966207176E-2"/>
    <x v="1"/>
    <n v="0"/>
    <x v="197"/>
  </r>
  <r>
    <d v="2017-12-18T00:00:00"/>
    <x v="6"/>
    <s v="Series 4c"/>
    <m/>
    <m/>
    <m/>
    <n v="27194"/>
    <m/>
    <m/>
    <m/>
    <m/>
    <n v="27194"/>
    <m/>
    <n v="27194"/>
    <n v="27194"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c"/>
    <m/>
    <m/>
    <m/>
    <n v="222806"/>
    <m/>
    <m/>
    <m/>
    <m/>
    <n v="222806"/>
    <m/>
    <n v="222806"/>
    <n v="222806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c"/>
    <n v="283071.03000000003"/>
    <m/>
    <m/>
    <m/>
    <m/>
    <m/>
    <m/>
    <m/>
    <n v="0"/>
    <m/>
    <n v="0"/>
    <n v="0"/>
    <s v="Private Equity Fund"/>
    <n v="1.08449E-3"/>
    <n v="5.8360600000000006E-3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c"/>
    <n v="296954.84999999998"/>
    <m/>
    <m/>
    <m/>
    <m/>
    <m/>
    <m/>
    <m/>
    <n v="0"/>
    <m/>
    <n v="0"/>
    <n v="0"/>
    <s v="Private Equity Fund"/>
    <m/>
    <n v="8.2861499999999991E-3"/>
    <m/>
    <m/>
    <m/>
    <m/>
    <m/>
    <m/>
    <m/>
    <m/>
    <m/>
    <m/>
    <m/>
    <m/>
    <m/>
    <d v="2018-01-31T00:00:00"/>
    <n v="4.9047124320704683E-2"/>
    <x v="1"/>
    <n v="0"/>
    <x v="188"/>
  </r>
  <r>
    <d v="2018-02-28T00:00:00"/>
    <x v="6"/>
    <s v="Series 4c"/>
    <n v="297817.67"/>
    <m/>
    <m/>
    <m/>
    <m/>
    <m/>
    <m/>
    <m/>
    <n v="0"/>
    <m/>
    <n v="0"/>
    <n v="0"/>
    <s v="Private Equity Fund"/>
    <m/>
    <n v="8.4384100000000004E-3"/>
    <m/>
    <m/>
    <m/>
    <m/>
    <m/>
    <m/>
    <m/>
    <m/>
    <m/>
    <m/>
    <m/>
    <m/>
    <m/>
    <d v="2018-02-28T00:00:00"/>
    <n v="2.905559548867398E-3"/>
    <x v="1"/>
    <n v="0"/>
    <x v="189"/>
  </r>
  <r>
    <d v="2018-03-31T00:00:00"/>
    <x v="6"/>
    <s v="Series 4c"/>
    <n v="300694.65999999997"/>
    <m/>
    <m/>
    <m/>
    <m/>
    <m/>
    <m/>
    <m/>
    <n v="0"/>
    <m/>
    <n v="0"/>
    <n v="0"/>
    <s v="Private Equity Fund"/>
    <n v="1.1494999999999999E-3"/>
    <n v="8.9461200000000001E-3"/>
    <m/>
    <m/>
    <m/>
    <m/>
    <m/>
    <m/>
    <m/>
    <m/>
    <m/>
    <m/>
    <m/>
    <m/>
    <m/>
    <d v="2018-03-31T00:00:00"/>
    <n v="9.6602394344162956E-3"/>
    <x v="1"/>
    <n v="0"/>
    <x v="190"/>
  </r>
  <r>
    <d v="2018-04-30T00:00:00"/>
    <x v="6"/>
    <s v="Series 4c"/>
    <n v="297940.06"/>
    <m/>
    <m/>
    <m/>
    <m/>
    <m/>
    <m/>
    <m/>
    <n v="0"/>
    <m/>
    <n v="0"/>
    <n v="0"/>
    <s v="Private Equity Fund"/>
    <m/>
    <n v="8.4600100000000004E-3"/>
    <m/>
    <m/>
    <m/>
    <m/>
    <m/>
    <m/>
    <m/>
    <m/>
    <m/>
    <m/>
    <m/>
    <m/>
    <m/>
    <d v="2018-04-30T00:00:00"/>
    <n v="-9.1607878902804085E-3"/>
    <x v="1"/>
    <n v="0"/>
    <x v="191"/>
  </r>
  <r>
    <d v="2018-05-31T00:00:00"/>
    <x v="6"/>
    <s v="Series 4c"/>
    <n v="300827.05"/>
    <m/>
    <m/>
    <m/>
    <m/>
    <m/>
    <m/>
    <m/>
    <n v="0"/>
    <m/>
    <n v="0"/>
    <n v="0"/>
    <s v="Private Equity Fund"/>
    <m/>
    <n v="8.9694800000000002E-3"/>
    <m/>
    <m/>
    <m/>
    <m/>
    <m/>
    <m/>
    <m/>
    <m/>
    <m/>
    <m/>
    <m/>
    <m/>
    <m/>
    <d v="2018-05-31T00:00:00"/>
    <n v="9.6898349285423624E-3"/>
    <x v="1"/>
    <n v="0"/>
    <x v="192"/>
  </r>
  <r>
    <d v="2018-06-30T00:00:00"/>
    <x v="6"/>
    <s v="Series 4c"/>
    <n v="299679.46999999997"/>
    <m/>
    <m/>
    <m/>
    <m/>
    <m/>
    <m/>
    <m/>
    <n v="0"/>
    <m/>
    <n v="0"/>
    <n v="0"/>
    <s v="Private Equity Fund"/>
    <n v="1.1706099999999999E-3"/>
    <n v="8.7669699999999989E-3"/>
    <m/>
    <m/>
    <m/>
    <m/>
    <m/>
    <m/>
    <m/>
    <m/>
    <m/>
    <m/>
    <m/>
    <m/>
    <m/>
    <d v="2018-06-30T00:00:00"/>
    <n v="-3.8147500366074727E-3"/>
    <x v="1"/>
    <n v="0"/>
    <x v="193"/>
  </r>
  <r>
    <d v="2018-07-31T00:00:00"/>
    <x v="6"/>
    <s v="Series 4c"/>
    <n v="296004.64"/>
    <m/>
    <m/>
    <m/>
    <m/>
    <m/>
    <m/>
    <m/>
    <n v="0"/>
    <m/>
    <n v="0"/>
    <n v="0"/>
    <s v="Private Equity Fund"/>
    <n v="0"/>
    <n v="8.1184700000000009E-3"/>
    <m/>
    <m/>
    <m/>
    <m/>
    <m/>
    <m/>
    <m/>
    <m/>
    <m/>
    <m/>
    <m/>
    <m/>
    <m/>
    <d v="2018-07-31T00:00:00"/>
    <n v="-1.2262535034515243E-2"/>
    <x v="1"/>
    <n v="0"/>
    <x v="194"/>
  </r>
  <r>
    <d v="2018-08-31T00:00:00"/>
    <x v="6"/>
    <s v="Series 4c"/>
    <n v="293629.28000000003"/>
    <m/>
    <m/>
    <m/>
    <m/>
    <m/>
    <m/>
    <m/>
    <n v="0"/>
    <m/>
    <n v="0"/>
    <n v="0"/>
    <s v="Private Equity Fund"/>
    <n v="0"/>
    <n v="7.6992900000000001E-3"/>
    <m/>
    <m/>
    <m/>
    <m/>
    <m/>
    <m/>
    <m/>
    <m/>
    <m/>
    <m/>
    <m/>
    <m/>
    <m/>
    <d v="2018-08-31T00:00:00"/>
    <n v="-8.0247390716577938E-3"/>
    <x v="1"/>
    <n v="0"/>
    <x v="195"/>
  </r>
  <r>
    <d v="2018-09-30T00:00:00"/>
    <x v="6"/>
    <s v="Series 4c"/>
    <n v="282930.03000000003"/>
    <m/>
    <m/>
    <m/>
    <m/>
    <m/>
    <m/>
    <m/>
    <n v="0"/>
    <e v="#DIV/0!"/>
    <n v="0"/>
    <n v="0"/>
    <s v="Private Equity Fund"/>
    <n v="1.0838699999999998E-3"/>
    <n v="5.81118E-3"/>
    <m/>
    <m/>
    <m/>
    <m/>
    <m/>
    <m/>
    <m/>
    <m/>
    <m/>
    <m/>
    <m/>
    <m/>
    <m/>
    <d v="2018-09-30T00:00:00"/>
    <n v="-3.6437953326725503E-2"/>
    <x v="1"/>
    <n v="0"/>
    <x v="196"/>
  </r>
  <r>
    <d v="2018-10-31T00:00:00"/>
    <x v="6"/>
    <s v="Series 4c"/>
    <n v="279500.73749999999"/>
    <m/>
    <n v="0.25"/>
    <m/>
    <n v="0"/>
    <n v="0"/>
    <n v="0"/>
    <m/>
    <n v="0"/>
    <e v="#DIV/0!"/>
    <n v="-279500.73749999999"/>
    <n v="-279500.73749999999"/>
    <s v="Private Equity Fund"/>
    <n v="1.4704890219556445E-3"/>
    <n v="5.2060125E-3"/>
    <m/>
    <m/>
    <m/>
    <m/>
    <m/>
    <m/>
    <m/>
    <m/>
    <m/>
    <m/>
    <m/>
    <m/>
    <m/>
    <d v="2018-10-31T00:00:00"/>
    <n v="-1.212063809557451E-2"/>
    <x v="1"/>
    <n v="0"/>
    <x v="197"/>
  </r>
  <r>
    <d v="2017-12-18T00:00:00"/>
    <x v="6"/>
    <s v="Series 4d"/>
    <m/>
    <m/>
    <m/>
    <n v="21755"/>
    <m/>
    <m/>
    <m/>
    <m/>
    <n v="21755"/>
    <m/>
    <n v="21755"/>
    <n v="21755"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d"/>
    <m/>
    <m/>
    <m/>
    <n v="178245"/>
    <m/>
    <m/>
    <m/>
    <m/>
    <n v="178245"/>
    <m/>
    <n v="178245"/>
    <n v="178245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d"/>
    <n v="231993.2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d"/>
    <n v="245393.01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1-31T00:00:00"/>
    <n v="5.7759175514013883E-2"/>
    <x v="1"/>
    <n v="0"/>
    <x v="188"/>
  </r>
  <r>
    <d v="2018-02-28T00:00:00"/>
    <x v="6"/>
    <s v="Series 4d"/>
    <n v="246486.16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2-28T00:00:00"/>
    <n v="4.4546908650739958E-3"/>
    <x v="1"/>
    <n v="0"/>
    <x v="189"/>
  </r>
  <r>
    <d v="2018-03-31T00:00:00"/>
    <x v="6"/>
    <s v="Series 4d"/>
    <n v="249499.8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3-31T00:00:00"/>
    <n v="1.2226487685961684E-2"/>
    <x v="1"/>
    <n v="0"/>
    <x v="190"/>
  </r>
  <r>
    <d v="2018-04-30T00:00:00"/>
    <x v="6"/>
    <s v="Series 4d"/>
    <n v="247231.78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4-30T00:00:00"/>
    <n v="-9.0903472395290619E-3"/>
    <x v="1"/>
    <n v="0"/>
    <x v="191"/>
  </r>
  <r>
    <d v="2018-05-31T00:00:00"/>
    <x v="6"/>
    <s v="Series 4d"/>
    <n v="250266.01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5-31T00:00:00"/>
    <n v="1.2272815412322835E-2"/>
    <x v="1"/>
    <n v="0"/>
    <x v="192"/>
  </r>
  <r>
    <d v="2018-06-30T00:00:00"/>
    <x v="6"/>
    <s v="Series 4d"/>
    <n v="249480.8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n v="-3.1373817003755855E-3"/>
    <x v="1"/>
    <n v="0"/>
    <x v="193"/>
  </r>
  <r>
    <d v="2018-07-31T00:00:00"/>
    <x v="6"/>
    <s v="Series 4d"/>
    <n v="246344.4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-1.2571707413351119E-2"/>
    <x v="1"/>
    <n v="0"/>
    <x v="194"/>
  </r>
  <r>
    <d v="2018-08-31T00:00:00"/>
    <x v="6"/>
    <s v="Series 4d"/>
    <n v="243478.1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n v="-1.1635253940996293E-2"/>
    <x v="1"/>
    <n v="0"/>
    <x v="195"/>
  </r>
  <r>
    <d v="2018-09-30T00:00:00"/>
    <x v="6"/>
    <s v="Series 4d"/>
    <n v="234583.75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  <m/>
    <m/>
    <m/>
    <d v="2018-09-30T00:00:00"/>
    <n v="-3.6530588063035663E-2"/>
    <x v="1"/>
    <n v="0"/>
    <x v="196"/>
  </r>
  <r>
    <d v="2018-10-31T00:00:00"/>
    <x v="6"/>
    <s v="Series 4d"/>
    <n v="230729.67"/>
    <m/>
    <n v="0.2"/>
    <m/>
    <n v="0"/>
    <n v="0"/>
    <n v="0"/>
    <m/>
    <n v="0"/>
    <e v="#DIV/0!"/>
    <n v="-230729.67"/>
    <n v="-230729.67"/>
    <s v="Private Equity Fund"/>
    <n v="0"/>
    <n v="0"/>
    <m/>
    <m/>
    <m/>
    <m/>
    <m/>
    <m/>
    <m/>
    <m/>
    <m/>
    <m/>
    <m/>
    <m/>
    <m/>
    <d v="2018-10-31T00:00:00"/>
    <n v="-1.6429441510760978E-2"/>
    <x v="1"/>
    <n v="0"/>
    <x v="197"/>
  </r>
  <r>
    <d v="2017-12-18T00:00:00"/>
    <x v="6"/>
    <s v="Series 4e"/>
    <m/>
    <m/>
    <m/>
    <n v="36983"/>
    <m/>
    <m/>
    <m/>
    <m/>
    <n v="36983"/>
    <m/>
    <n v="36983"/>
    <n v="36983"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e"/>
    <m/>
    <m/>
    <m/>
    <n v="303017"/>
    <m/>
    <m/>
    <m/>
    <m/>
    <n v="303017"/>
    <m/>
    <n v="303017"/>
    <n v="303017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e"/>
    <n v="394388.5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e"/>
    <n v="417168.12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1-31T00:00:00"/>
    <n v="5.7759207258932799E-2"/>
    <x v="1"/>
    <n v="0"/>
    <x v="188"/>
  </r>
  <r>
    <d v="2018-02-28T00:00:00"/>
    <x v="6"/>
    <s v="Series 4e"/>
    <n v="419026.48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2-28T00:00:00"/>
    <n v="4.4547028186141535E-3"/>
    <x v="1"/>
    <n v="0"/>
    <x v="189"/>
  </r>
  <r>
    <d v="2018-03-31T00:00:00"/>
    <x v="6"/>
    <s v="Series 4e"/>
    <n v="424149.6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3-31T00:00:00"/>
    <n v="1.2226458814726948E-2"/>
    <x v="1"/>
    <n v="0"/>
    <x v="190"/>
  </r>
  <r>
    <d v="2018-04-30T00:00:00"/>
    <x v="6"/>
    <s v="Series 4e"/>
    <n v="420293.51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4-30T00:00:00"/>
    <n v="-9.0915544462616404E-3"/>
    <x v="1"/>
    <n v="0"/>
    <x v="191"/>
  </r>
  <r>
    <d v="2018-05-31T00:00:00"/>
    <x v="6"/>
    <s v="Series 4e"/>
    <n v="425451.65"/>
    <m/>
    <m/>
    <m/>
    <m/>
    <m/>
    <m/>
    <m/>
    <n v="0"/>
    <m/>
    <n v="0"/>
    <n v="0"/>
    <s v="Private Equity Fund"/>
    <m/>
    <n v="0"/>
    <m/>
    <m/>
    <m/>
    <m/>
    <m/>
    <m/>
    <m/>
    <m/>
    <m/>
    <m/>
    <m/>
    <m/>
    <m/>
    <d v="2018-05-31T00:00:00"/>
    <n v="1.2272709136051274E-2"/>
    <x v="1"/>
    <n v="0"/>
    <x v="192"/>
  </r>
  <r>
    <d v="2018-06-30T00:00:00"/>
    <x v="6"/>
    <s v="Series 4e"/>
    <n v="424117.4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n v="-3.1360555306344517E-3"/>
    <x v="1"/>
    <n v="0"/>
    <x v="193"/>
  </r>
  <r>
    <d v="2018-07-31T00:00:00"/>
    <x v="6"/>
    <s v="Series 4e"/>
    <n v="418784.9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-1.257305141045717E-2"/>
    <x v="1"/>
    <n v="0"/>
    <x v="194"/>
  </r>
  <r>
    <d v="2018-08-31T00:00:00"/>
    <x v="6"/>
    <s v="Series 4e"/>
    <n v="413912.2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n v="-1.1635279356737138E-2"/>
    <x v="1"/>
    <n v="0"/>
    <x v="195"/>
  </r>
  <r>
    <d v="2018-09-30T00:00:00"/>
    <x v="6"/>
    <s v="Series 4e"/>
    <n v="398792.36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  <m/>
    <m/>
    <m/>
    <d v="2018-09-30T00:00:00"/>
    <n v="-3.6529285867044181E-2"/>
    <x v="1"/>
    <n v="0"/>
    <x v="196"/>
  </r>
  <r>
    <d v="2018-10-31T00:00:00"/>
    <x v="6"/>
    <s v="Series 4e"/>
    <n v="392239.85"/>
    <m/>
    <n v="0.34"/>
    <m/>
    <n v="0"/>
    <n v="0"/>
    <n v="0"/>
    <m/>
    <n v="0"/>
    <e v="#DIV/0!"/>
    <n v="-392239.85"/>
    <n v="-392239.85"/>
    <s v="Private Equity Fund"/>
    <n v="0"/>
    <n v="0"/>
    <m/>
    <m/>
    <m/>
    <m/>
    <m/>
    <m/>
    <m/>
    <m/>
    <m/>
    <m/>
    <m/>
    <m/>
    <m/>
    <d v="2018-10-31T00:00:00"/>
    <n v="-1.6430881474258974E-2"/>
    <x v="1"/>
    <n v="0"/>
    <x v="197"/>
  </r>
  <r>
    <d v="2017-12-18T00:00:00"/>
    <x v="6"/>
    <s v="Series 4f"/>
    <m/>
    <m/>
    <m/>
    <n v="54387"/>
    <m/>
    <m/>
    <m/>
    <m/>
    <n v="54387"/>
    <m/>
    <n v="54387"/>
    <n v="54387"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f"/>
    <m/>
    <m/>
    <m/>
    <n v="445613"/>
    <m/>
    <m/>
    <m/>
    <m/>
    <n v="445613"/>
    <m/>
    <n v="445613"/>
    <n v="445613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f"/>
    <n v="566142.06000000006"/>
    <m/>
    <m/>
    <m/>
    <m/>
    <m/>
    <m/>
    <m/>
    <n v="0"/>
    <m/>
    <n v="0"/>
    <n v="0"/>
    <s v="Private Equity Fund"/>
    <n v="2.16898E-3"/>
    <n v="1.1672129999999999E-2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f"/>
    <n v="593909.71"/>
    <m/>
    <m/>
    <m/>
    <m/>
    <m/>
    <m/>
    <m/>
    <n v="0"/>
    <m/>
    <n v="0"/>
    <n v="0"/>
    <s v="Private Equity Fund"/>
    <m/>
    <n v="1.6572299999999998E-2"/>
    <m/>
    <m/>
    <m/>
    <m/>
    <m/>
    <m/>
    <m/>
    <m/>
    <m/>
    <m/>
    <m/>
    <m/>
    <m/>
    <d v="2018-01-31T00:00:00"/>
    <n v="4.9047141984116083E-2"/>
    <x v="1"/>
    <n v="0"/>
    <x v="188"/>
  </r>
  <r>
    <d v="2018-02-28T00:00:00"/>
    <x v="6"/>
    <s v="Series 4f"/>
    <n v="595635.34"/>
    <m/>
    <m/>
    <m/>
    <m/>
    <m/>
    <m/>
    <m/>
    <n v="0"/>
    <m/>
    <n v="0"/>
    <n v="0"/>
    <s v="Private Equity Fund"/>
    <m/>
    <n v="1.6876820000000001E-2"/>
    <m/>
    <m/>
    <m/>
    <m/>
    <m/>
    <m/>
    <m/>
    <m/>
    <m/>
    <m/>
    <m/>
    <m/>
    <m/>
    <d v="2018-02-28T00:00:00"/>
    <n v="2.9055426623687541E-3"/>
    <x v="1"/>
    <n v="0"/>
    <x v="189"/>
  </r>
  <r>
    <d v="2018-03-31T00:00:00"/>
    <x v="6"/>
    <s v="Series 4f"/>
    <n v="601389.32999999996"/>
    <m/>
    <m/>
    <m/>
    <m/>
    <m/>
    <m/>
    <m/>
    <n v="0"/>
    <m/>
    <n v="0"/>
    <n v="0"/>
    <s v="Private Equity Fund"/>
    <n v="2.2989999999999998E-3"/>
    <n v="1.789224E-2"/>
    <m/>
    <m/>
    <m/>
    <m/>
    <m/>
    <m/>
    <m/>
    <m/>
    <m/>
    <m/>
    <m/>
    <m/>
    <m/>
    <d v="2018-03-31T00:00:00"/>
    <n v="9.6602562232119826E-3"/>
    <x v="1"/>
    <n v="0"/>
    <x v="190"/>
  </r>
  <r>
    <d v="2018-04-30T00:00:00"/>
    <x v="6"/>
    <s v="Series 4f"/>
    <n v="595880.13"/>
    <m/>
    <m/>
    <m/>
    <m/>
    <m/>
    <m/>
    <m/>
    <n v="0"/>
    <m/>
    <n v="0"/>
    <n v="0"/>
    <s v="Private Equity Fund"/>
    <m/>
    <n v="1.6920020000000001E-2"/>
    <m/>
    <m/>
    <m/>
    <m/>
    <m/>
    <m/>
    <m/>
    <m/>
    <m/>
    <m/>
    <m/>
    <m/>
    <m/>
    <d v="2018-04-30T00:00:00"/>
    <n v="-9.1607877379532576E-3"/>
    <x v="1"/>
    <n v="0"/>
    <x v="191"/>
  </r>
  <r>
    <d v="2018-05-31T00:00:00"/>
    <x v="6"/>
    <s v="Series 4f"/>
    <n v="601654.1"/>
    <m/>
    <m/>
    <m/>
    <m/>
    <m/>
    <m/>
    <m/>
    <n v="0"/>
    <m/>
    <n v="0"/>
    <n v="0"/>
    <s v="Private Equity Fund"/>
    <m/>
    <n v="1.793896E-2"/>
    <m/>
    <m/>
    <m/>
    <m/>
    <m/>
    <m/>
    <m/>
    <m/>
    <m/>
    <m/>
    <m/>
    <m/>
    <m/>
    <d v="2018-05-31T00:00:00"/>
    <n v="9.6898179840296805E-3"/>
    <x v="1"/>
    <n v="0"/>
    <x v="192"/>
  </r>
  <r>
    <d v="2018-06-30T00:00:00"/>
    <x v="6"/>
    <s v="Series 4f"/>
    <n v="599358.97"/>
    <m/>
    <m/>
    <m/>
    <m/>
    <m/>
    <m/>
    <m/>
    <n v="0"/>
    <m/>
    <n v="0"/>
    <n v="0"/>
    <s v="Private Equity Fund"/>
    <n v="2.3412100000000003E-3"/>
    <n v="1.7533939999999998E-2"/>
    <m/>
    <m/>
    <m/>
    <m/>
    <m/>
    <m/>
    <m/>
    <m/>
    <m/>
    <m/>
    <m/>
    <m/>
    <m/>
    <d v="2018-06-30T00:00:00"/>
    <n v="-3.8147001740701514E-3"/>
    <x v="1"/>
    <n v="0"/>
    <x v="193"/>
  </r>
  <r>
    <d v="2018-07-31T00:00:00"/>
    <x v="6"/>
    <s v="Series 4f"/>
    <n v="592009.28"/>
    <m/>
    <m/>
    <m/>
    <m/>
    <m/>
    <m/>
    <m/>
    <n v="0"/>
    <m/>
    <n v="0"/>
    <n v="0"/>
    <s v="Private Equity Fund"/>
    <n v="0"/>
    <n v="1.623693E-2"/>
    <m/>
    <m/>
    <m/>
    <m/>
    <m/>
    <m/>
    <m/>
    <m/>
    <m/>
    <m/>
    <m/>
    <m/>
    <m/>
    <d v="2018-07-31T00:00:00"/>
    <n v="-1.2262584474209026E-2"/>
    <x v="1"/>
    <n v="0"/>
    <x v="194"/>
  </r>
  <r>
    <d v="2018-08-31T00:00:00"/>
    <x v="6"/>
    <s v="Series 4f"/>
    <n v="587258.59"/>
    <m/>
    <m/>
    <m/>
    <m/>
    <m/>
    <m/>
    <m/>
    <n v="0"/>
    <m/>
    <n v="0"/>
    <n v="0"/>
    <s v="Private Equity Fund"/>
    <n v="0"/>
    <n v="1.539857E-2"/>
    <m/>
    <m/>
    <m/>
    <m/>
    <m/>
    <m/>
    <m/>
    <m/>
    <m/>
    <m/>
    <m/>
    <m/>
    <m/>
    <d v="2018-08-31T00:00:00"/>
    <n v="-8.0246883967766136E-3"/>
    <x v="1"/>
    <n v="0"/>
    <x v="195"/>
  </r>
  <r>
    <d v="2018-09-30T00:00:00"/>
    <x v="6"/>
    <s v="Series 4f"/>
    <n v="565860.11"/>
    <m/>
    <m/>
    <m/>
    <m/>
    <m/>
    <m/>
    <m/>
    <n v="0"/>
    <e v="#DIV/0!"/>
    <n v="0"/>
    <n v="0"/>
    <s v="Private Equity Fund"/>
    <n v="2.1677300000000001E-3"/>
    <n v="1.1622370000000002E-2"/>
    <m/>
    <m/>
    <m/>
    <m/>
    <m/>
    <m/>
    <m/>
    <m/>
    <m/>
    <m/>
    <m/>
    <m/>
    <m/>
    <d v="2018-09-30T00:00:00"/>
    <n v="-3.6437917408751685E-2"/>
    <x v="1"/>
    <n v="0"/>
    <x v="196"/>
  </r>
  <r>
    <d v="2018-10-31T00:00:00"/>
    <x v="6"/>
    <s v="Series 4f"/>
    <n v="559001.47499999998"/>
    <m/>
    <n v="0.5"/>
    <m/>
    <n v="0"/>
    <n v="0"/>
    <n v="0"/>
    <m/>
    <n v="0"/>
    <e v="#DIV/0!"/>
    <n v="-559001.47499999998"/>
    <n v="-559001.47499999998"/>
    <s v="Private Equity Fund"/>
    <n v="2.9409783032145025E-3"/>
    <n v="1.0412025E-2"/>
    <m/>
    <m/>
    <m/>
    <m/>
    <m/>
    <m/>
    <m/>
    <m/>
    <m/>
    <m/>
    <m/>
    <m/>
    <m/>
    <d v="2018-10-31T00:00:00"/>
    <n v="-1.212072538564346E-2"/>
    <x v="1"/>
    <n v="0"/>
    <x v="197"/>
  </r>
  <r>
    <d v="2017-12-18T00:00:00"/>
    <x v="6"/>
    <s v="Series 4g"/>
    <m/>
    <m/>
    <m/>
    <n v="543870"/>
    <m/>
    <m/>
    <m/>
    <m/>
    <n v="543870"/>
    <m/>
    <n v="543870"/>
    <n v="543870"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g"/>
    <m/>
    <m/>
    <m/>
    <n v="4456130"/>
    <m/>
    <m/>
    <m/>
    <m/>
    <n v="4456130"/>
    <m/>
    <n v="4456130"/>
    <n v="4456130"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g"/>
    <n v="5661420.6100000003"/>
    <m/>
    <m/>
    <m/>
    <m/>
    <m/>
    <m/>
    <m/>
    <n v="0"/>
    <m/>
    <n v="0"/>
    <n v="0"/>
    <s v="Private Equity Fund"/>
    <n v="2.1689779999999999E-2"/>
    <n v="0.11672128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g"/>
    <n v="5939097.0599999996"/>
    <m/>
    <m/>
    <m/>
    <m/>
    <m/>
    <m/>
    <m/>
    <n v="0"/>
    <m/>
    <n v="0"/>
    <n v="0"/>
    <s v="Private Equity Fund"/>
    <m/>
    <n v="0.16572301"/>
    <m/>
    <m/>
    <m/>
    <m/>
    <m/>
    <m/>
    <m/>
    <m/>
    <m/>
    <m/>
    <m/>
    <m/>
    <m/>
    <d v="2018-01-31T00:00:00"/>
    <n v="4.904713306577646E-2"/>
    <x v="1"/>
    <n v="0"/>
    <x v="188"/>
  </r>
  <r>
    <d v="2018-02-28T00:00:00"/>
    <x v="6"/>
    <s v="Series 4g"/>
    <n v="5956353.3399999999"/>
    <m/>
    <m/>
    <m/>
    <m/>
    <m/>
    <m/>
    <m/>
    <n v="0"/>
    <m/>
    <n v="0"/>
    <n v="0"/>
    <s v="Private Equity Fund"/>
    <m/>
    <n v="0.16876823999999999"/>
    <m/>
    <m/>
    <m/>
    <m/>
    <m/>
    <m/>
    <m/>
    <m/>
    <m/>
    <m/>
    <m/>
    <m/>
    <m/>
    <d v="2018-02-28T00:00:00"/>
    <n v="2.9055393144223896E-3"/>
    <x v="1"/>
    <n v="0"/>
    <x v="189"/>
  </r>
  <r>
    <d v="2018-03-31T00:00:00"/>
    <x v="6"/>
    <s v="Series 4g"/>
    <n v="6013893.3099999996"/>
    <m/>
    <m/>
    <m/>
    <m/>
    <m/>
    <m/>
    <m/>
    <n v="0"/>
    <m/>
    <n v="0"/>
    <n v="0"/>
    <s v="Private Equity Fund"/>
    <n v="2.2989970000000002E-2"/>
    <n v="0.17892235000000001"/>
    <m/>
    <m/>
    <m/>
    <m/>
    <m/>
    <m/>
    <m/>
    <m/>
    <m/>
    <m/>
    <m/>
    <m/>
    <m/>
    <d v="2018-03-31T00:00:00"/>
    <n v="9.6602680726793899E-3"/>
    <x v="1"/>
    <n v="0"/>
    <x v="190"/>
  </r>
  <r>
    <d v="2018-04-30T00:00:00"/>
    <x v="6"/>
    <s v="Series 4g"/>
    <n v="5958803.8099999996"/>
    <m/>
    <m/>
    <m/>
    <m/>
    <m/>
    <m/>
    <m/>
    <n v="0"/>
    <m/>
    <n v="0"/>
    <n v="0"/>
    <s v="Private Equity Fund"/>
    <m/>
    <n v="0.16920067000000003"/>
    <m/>
    <m/>
    <m/>
    <m/>
    <m/>
    <m/>
    <m/>
    <m/>
    <m/>
    <m/>
    <m/>
    <m/>
    <m/>
    <d v="2018-04-30T00:00:00"/>
    <n v="-9.1603720186382853E-3"/>
    <x v="1"/>
    <n v="0"/>
    <x v="191"/>
  </r>
  <r>
    <d v="2018-05-31T00:00:00"/>
    <x v="6"/>
    <s v="Series 4g"/>
    <n v="6016543.7000000002"/>
    <m/>
    <m/>
    <m/>
    <m/>
    <m/>
    <m/>
    <m/>
    <n v="0"/>
    <m/>
    <n v="0"/>
    <n v="0"/>
    <s v="Private Equity Fund"/>
    <m/>
    <n v="0.17939005999999999"/>
    <m/>
    <m/>
    <m/>
    <m/>
    <m/>
    <m/>
    <m/>
    <m/>
    <m/>
    <m/>
    <m/>
    <m/>
    <m/>
    <d v="2018-05-31T00:00:00"/>
    <n v="9.689845788025897E-3"/>
    <x v="1"/>
    <n v="0"/>
    <x v="192"/>
  </r>
  <r>
    <d v="2018-06-30T00:00:00"/>
    <x v="6"/>
    <s v="Series 4g"/>
    <n v="5993589.7199999997"/>
    <m/>
    <m/>
    <m/>
    <m/>
    <m/>
    <m/>
    <m/>
    <n v="0"/>
    <m/>
    <n v="0"/>
    <n v="0"/>
    <s v="Private Equity Fund"/>
    <n v="2.3412139999999998E-2"/>
    <n v="0.17533936"/>
    <m/>
    <m/>
    <m/>
    <m/>
    <m/>
    <m/>
    <m/>
    <m/>
    <m/>
    <m/>
    <m/>
    <m/>
    <m/>
    <d v="2018-06-30T00:00:00"/>
    <n v="-3.8151439006418597E-3"/>
    <x v="1"/>
    <n v="0"/>
    <x v="193"/>
  </r>
  <r>
    <d v="2018-07-31T00:00:00"/>
    <x v="6"/>
    <s v="Series 4g"/>
    <n v="5920095.4699999997"/>
    <m/>
    <m/>
    <m/>
    <m/>
    <m/>
    <m/>
    <m/>
    <n v="0"/>
    <m/>
    <n v="0"/>
    <n v="0"/>
    <s v="Private Equity Fund"/>
    <n v="0"/>
    <n v="0.16236979000000001"/>
    <m/>
    <m/>
    <m/>
    <m/>
    <m/>
    <m/>
    <m/>
    <m/>
    <m/>
    <m/>
    <m/>
    <m/>
    <m/>
    <d v="2018-07-31T00:00:00"/>
    <n v="-1.2262142294251044E-2"/>
    <x v="1"/>
    <n v="0"/>
    <x v="194"/>
  </r>
  <r>
    <d v="2018-08-31T00:00:00"/>
    <x v="6"/>
    <s v="Series 4g"/>
    <n v="5872588.5899999999"/>
    <m/>
    <m/>
    <m/>
    <m/>
    <m/>
    <m/>
    <m/>
    <n v="0"/>
    <m/>
    <n v="0"/>
    <n v="0"/>
    <s v="Private Equity Fund"/>
    <n v="0"/>
    <n v="0.15398622000000001"/>
    <m/>
    <m/>
    <m/>
    <m/>
    <m/>
    <m/>
    <m/>
    <m/>
    <m/>
    <m/>
    <m/>
    <m/>
    <m/>
    <d v="2018-08-31T00:00:00"/>
    <n v="-8.024681399268041E-3"/>
    <x v="1"/>
    <n v="0"/>
    <x v="195"/>
  </r>
  <r>
    <d v="2018-09-30T00:00:00"/>
    <x v="6"/>
    <s v="Series 4g"/>
    <n v="5658601"/>
    <m/>
    <m/>
    <m/>
    <m/>
    <m/>
    <m/>
    <m/>
    <n v="0"/>
    <e v="#DIV/0!"/>
    <n v="0"/>
    <n v="0"/>
    <s v="Private Equity Fund"/>
    <n v="2.1677330000000002E-2"/>
    <n v="0.11622371000000001"/>
    <m/>
    <m/>
    <m/>
    <m/>
    <m/>
    <m/>
    <m/>
    <m/>
    <m/>
    <m/>
    <m/>
    <m/>
    <m/>
    <d v="2018-09-30T00:00:00"/>
    <n v="-3.6438375806604917E-2"/>
    <x v="1"/>
    <n v="0"/>
    <x v="196"/>
  </r>
  <r>
    <d v="2018-10-31T00:00:00"/>
    <x v="6"/>
    <s v="Series 4g"/>
    <n v="5590017.5975000001"/>
    <m/>
    <n v="5"/>
    <m/>
    <n v="0"/>
    <n v="0"/>
    <n v="0"/>
    <m/>
    <n v="0"/>
    <e v="#DIV/0!"/>
    <n v="-5590017.5975000001"/>
    <n v="-5590017.5975000001"/>
    <s v="Private Equity Fund"/>
    <n v="2.9409787266424143E-2"/>
    <n v="0.10412075249999994"/>
    <m/>
    <m/>
    <m/>
    <m/>
    <m/>
    <m/>
    <m/>
    <m/>
    <m/>
    <m/>
    <m/>
    <m/>
    <m/>
    <d v="2018-10-31T00:00:00"/>
    <n v="-1.2120204711376537E-2"/>
    <x v="1"/>
    <n v="0"/>
    <x v="197"/>
  </r>
  <r>
    <d v="2017-12-18T00:00:00"/>
    <x v="6"/>
    <s v="Series 4GP"/>
    <m/>
    <m/>
    <m/>
    <n v="516677"/>
    <m/>
    <m/>
    <m/>
    <m/>
    <n v="516677"/>
    <m/>
    <n v="516677"/>
    <m/>
    <s v="Private Equity Fund"/>
    <n v="0"/>
    <n v="0"/>
    <m/>
    <m/>
    <m/>
    <m/>
    <m/>
    <m/>
    <m/>
    <m/>
    <m/>
    <m/>
    <m/>
    <m/>
    <m/>
    <d v="2017-12-18T00:00:00"/>
    <n v="-1"/>
    <x v="1"/>
    <n v="0"/>
    <x v="187"/>
  </r>
  <r>
    <d v="2017-12-18T00:00:00"/>
    <x v="6"/>
    <s v="Series 4GP"/>
    <m/>
    <m/>
    <m/>
    <n v="4233323"/>
    <m/>
    <m/>
    <m/>
    <m/>
    <n v="4233323"/>
    <m/>
    <n v="4233323"/>
    <m/>
    <s v="Private Equity Fund"/>
    <n v="0"/>
    <n v="0"/>
    <m/>
    <m/>
    <m/>
    <m/>
    <m/>
    <m/>
    <m/>
    <m/>
    <m/>
    <m/>
    <m/>
    <m/>
    <m/>
    <d v="2017-12-18T00:00:00"/>
    <e v="#DIV/0!"/>
    <x v="1"/>
    <n v="0"/>
    <x v="187"/>
  </r>
  <r>
    <d v="2017-12-31T00:00:00"/>
    <x v="6"/>
    <s v="Series 4GP"/>
    <n v="5509840.080000000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7-12-31T00:00:00"/>
    <e v="#DIV/0!"/>
    <x v="1"/>
    <n v="0"/>
    <x v="187"/>
  </r>
  <r>
    <d v="2018-01-31T00:00:00"/>
    <x v="6"/>
    <s v="Series 4GP"/>
    <n v="5828083.9800000004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1-31T00:00:00"/>
    <n v="5.775918999086449E-2"/>
    <x v="1"/>
    <n v="0"/>
    <x v="188"/>
  </r>
  <r>
    <d v="2018-02-28T00:00:00"/>
    <x v="6"/>
    <s v="Series 4GP"/>
    <n v="5854046.4100000001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2-28T00:00:00"/>
    <n v="4.4547110318062799E-3"/>
    <x v="1"/>
    <n v="0"/>
    <x v="189"/>
  </r>
  <r>
    <d v="2018-03-31T00:00:00"/>
    <x v="6"/>
    <s v="Series 4GP"/>
    <n v="5925620.6399999997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3-31T00:00:00"/>
    <n v="1.2226454145928045E-2"/>
    <x v="1"/>
    <n v="0"/>
    <x v="190"/>
  </r>
  <r>
    <d v="2018-04-30T00:00:00"/>
    <x v="6"/>
    <s v="Series 4GP"/>
    <n v="5871742.2699999996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4-30T00:00:00"/>
    <n v="-9.092443352904267E-3"/>
    <x v="1"/>
    <n v="0"/>
    <x v="191"/>
  </r>
  <r>
    <d v="2018-05-31T00:00:00"/>
    <x v="6"/>
    <s v="Series 4GP"/>
    <n v="5943804.2400000002"/>
    <m/>
    <m/>
    <m/>
    <m/>
    <m/>
    <m/>
    <m/>
    <n v="0"/>
    <m/>
    <n v="0"/>
    <m/>
    <s v="Private Equity Fund"/>
    <m/>
    <n v="0"/>
    <m/>
    <m/>
    <m/>
    <m/>
    <m/>
    <m/>
    <m/>
    <m/>
    <m/>
    <m/>
    <m/>
    <m/>
    <m/>
    <d v="2018-05-31T00:00:00"/>
    <n v="1.2272672519735961E-2"/>
    <x v="1"/>
    <n v="0"/>
    <x v="192"/>
  </r>
  <r>
    <d v="2018-06-30T00:00:00"/>
    <x v="6"/>
    <s v="Series 4GP"/>
    <n v="5925169.9400000004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6-30T00:00:00"/>
    <n v="-3.1350796977122064E-3"/>
    <x v="1"/>
    <n v="0"/>
    <x v="193"/>
  </r>
  <r>
    <d v="2018-07-31T00:00:00"/>
    <x v="6"/>
    <s v="Series 4GP"/>
    <n v="5850666.5700000003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7-31T00:00:00"/>
    <n v="-1.2574047791783727E-2"/>
    <x v="1"/>
    <n v="0"/>
    <x v="194"/>
  </r>
  <r>
    <d v="2018-08-31T00:00:00"/>
    <x v="6"/>
    <s v="Series 4GP"/>
    <n v="5782592.3099999996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8-31T00:00:00"/>
    <n v="-1.1635299873190452E-2"/>
    <x v="1"/>
    <n v="0"/>
    <x v="195"/>
  </r>
  <r>
    <d v="2018-09-30T00:00:00"/>
    <x v="6"/>
    <s v="Series 4GP"/>
    <n v="5571364.2599999998"/>
    <m/>
    <m/>
    <m/>
    <m/>
    <m/>
    <m/>
    <m/>
    <n v="0"/>
    <e v="#DIV/0!"/>
    <n v="0"/>
    <m/>
    <s v="Private Equity Fund"/>
    <n v="0"/>
    <n v="0"/>
    <m/>
    <m/>
    <m/>
    <m/>
    <m/>
    <m/>
    <m/>
    <m/>
    <m/>
    <m/>
    <m/>
    <m/>
    <m/>
    <d v="2018-09-30T00:00:00"/>
    <n v="-3.6528262529370692E-2"/>
    <x v="1"/>
    <n v="0"/>
    <x v="196"/>
  </r>
  <r>
    <d v="2018-10-31T00:00:00"/>
    <x v="6"/>
    <s v="Series 4GP"/>
    <n v="5479815.54"/>
    <m/>
    <n v="4.75"/>
    <m/>
    <n v="0"/>
    <n v="0"/>
    <n v="0"/>
    <m/>
    <n v="0"/>
    <e v="#DIV/0!"/>
    <n v="-5479815.54"/>
    <m/>
    <s v="Private Equity Fund"/>
    <n v="0"/>
    <n v="0"/>
    <m/>
    <m/>
    <m/>
    <m/>
    <m/>
    <m/>
    <m/>
    <m/>
    <m/>
    <m/>
    <m/>
    <m/>
    <m/>
    <d v="2018-10-31T00:00:00"/>
    <n v="-1.6432011214430942E-2"/>
    <x v="1"/>
    <n v="0"/>
    <x v="197"/>
  </r>
  <r>
    <d v="2018-06-01T00:00:00"/>
    <x v="7"/>
    <s v="Series 1a"/>
    <m/>
    <m/>
    <m/>
    <n v="3079187.66"/>
    <m/>
    <m/>
    <m/>
    <m/>
    <n v="3079187.66"/>
    <m/>
    <n v="3079187.66"/>
    <n v="3079187.66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a"/>
    <n v="3087670.9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a"/>
    <n v="3097256.1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301223252495E-3"/>
    <x v="1"/>
    <n v="0"/>
    <x v="194"/>
  </r>
  <r>
    <d v="2018-08-17T00:00:00"/>
    <x v="7"/>
    <s v="Series 1a"/>
    <m/>
    <m/>
    <m/>
    <n v="-970645.93366353028"/>
    <m/>
    <m/>
    <m/>
    <m/>
    <n v="-970645.93366353028"/>
    <m/>
    <n v="-970645.93366353028"/>
    <n v="-970645.93366353028"/>
    <s v="Private Equity Fund"/>
    <n v="0"/>
    <n v="0"/>
    <m/>
    <m/>
    <m/>
    <m/>
    <m/>
    <m/>
    <m/>
    <m/>
    <m/>
    <m/>
    <m/>
    <m/>
    <m/>
    <d v="2018-08-17T00:00:00"/>
    <n v="-0.68661102083365"/>
    <x v="1"/>
    <n v="0"/>
    <x v="195"/>
  </r>
  <r>
    <d v="2018-08-31T00:00:00"/>
    <x v="7"/>
    <s v="Series 1a"/>
    <n v="2112090.2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a"/>
    <m/>
    <m/>
    <m/>
    <n v="424497.08"/>
    <m/>
    <m/>
    <m/>
    <m/>
    <n v="424497.08"/>
    <m/>
    <n v="424497.08"/>
    <n v="424497.08"/>
    <s v="Private Equity Fund"/>
    <n v="0"/>
    <n v="0"/>
    <m/>
    <m/>
    <m/>
    <m/>
    <m/>
    <m/>
    <m/>
    <m/>
    <m/>
    <m/>
    <m/>
    <m/>
    <m/>
    <d v="2018-09-26T00:00:00"/>
    <n v="-1.2009843490445955"/>
    <x v="1"/>
    <n v="0"/>
    <x v="196"/>
  </r>
  <r>
    <d v="2018-09-28T00:00:00"/>
    <x v="7"/>
    <s v="Series 1a"/>
    <n v="2558906.7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a"/>
    <n v="2943699.86"/>
    <m/>
    <n v="3.0791876600000001"/>
    <n v="278250.09999999992"/>
    <n v="0"/>
    <n v="0"/>
    <n v="0"/>
    <m/>
    <n v="278250.09999999992"/>
    <m/>
    <n v="-2665449.7599999998"/>
    <n v="-2665449.7599999998"/>
    <s v="Private Equity Fund"/>
    <n v="0"/>
    <n v="0"/>
    <m/>
    <m/>
    <m/>
    <m/>
    <m/>
    <m/>
    <m/>
    <m/>
    <m/>
    <m/>
    <m/>
    <m/>
    <m/>
    <d v="2018-10-31T00:00:00"/>
    <n v="4.163616031160422E-2"/>
    <x v="1"/>
    <n v="0"/>
    <x v="197"/>
  </r>
  <r>
    <d v="2018-06-01T00:00:00"/>
    <x v="7"/>
    <s v="Series 1b"/>
    <m/>
    <m/>
    <m/>
    <n v="371469.01"/>
    <m/>
    <m/>
    <m/>
    <m/>
    <n v="371469.01"/>
    <m/>
    <n v="371469.01"/>
    <n v="371469.01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b"/>
    <n v="372492.4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b"/>
    <n v="373648.7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046968766141E-3"/>
    <x v="1"/>
    <n v="0"/>
    <x v="194"/>
  </r>
  <r>
    <d v="2018-08-17T00:00:00"/>
    <x v="7"/>
    <s v="Series 1b"/>
    <m/>
    <m/>
    <m/>
    <n v="-117097.40236256353"/>
    <m/>
    <m/>
    <m/>
    <m/>
    <n v="-117097.40236256353"/>
    <m/>
    <n v="-117097.40236256353"/>
    <n v="-117097.40236256353"/>
    <s v="Private Equity Fund"/>
    <n v="0"/>
    <n v="0"/>
    <m/>
    <m/>
    <m/>
    <m/>
    <m/>
    <m/>
    <m/>
    <m/>
    <m/>
    <m/>
    <m/>
    <m/>
    <m/>
    <d v="2018-08-17T00:00:00"/>
    <n v="-0.68661102377922112"/>
    <x v="1"/>
    <n v="0"/>
    <x v="195"/>
  </r>
  <r>
    <d v="2018-08-31T00:00:00"/>
    <x v="7"/>
    <s v="Series 1b"/>
    <n v="254799.6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b"/>
    <m/>
    <m/>
    <m/>
    <n v="51210.75"/>
    <m/>
    <m/>
    <m/>
    <m/>
    <n v="51210.75"/>
    <m/>
    <n v="51210.75"/>
    <n v="51210.75"/>
    <s v="Private Equity Fund"/>
    <n v="0"/>
    <n v="0"/>
    <m/>
    <m/>
    <m/>
    <m/>
    <m/>
    <m/>
    <m/>
    <m/>
    <m/>
    <m/>
    <m/>
    <m/>
    <m/>
    <d v="2018-09-26T00:00:00"/>
    <n v="-1.200984349706234"/>
    <x v="1"/>
    <n v="0"/>
    <x v="196"/>
  </r>
  <r>
    <d v="2018-09-28T00:00:00"/>
    <x v="7"/>
    <s v="Series 1b"/>
    <n v="308703.0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b"/>
    <n v="355123.96"/>
    <m/>
    <n v="0.37146900999999999"/>
    <n v="33567.719999999987"/>
    <n v="0"/>
    <n v="0"/>
    <n v="0"/>
    <m/>
    <n v="33567.719999999987"/>
    <m/>
    <n v="-321556.24000000005"/>
    <n v="-321556.24000000005"/>
    <s v="Private Equity Fund"/>
    <n v="0"/>
    <n v="0"/>
    <m/>
    <m/>
    <m/>
    <m/>
    <m/>
    <m/>
    <m/>
    <m/>
    <m/>
    <m/>
    <m/>
    <m/>
    <m/>
    <d v="2018-10-31T00:00:00"/>
    <n v="4.1636197792946916E-2"/>
    <x v="1"/>
    <n v="0"/>
    <x v="197"/>
  </r>
  <r>
    <d v="2018-06-01T00:00:00"/>
    <x v="7"/>
    <s v="Series 1c"/>
    <m/>
    <m/>
    <m/>
    <n v="762359.54"/>
    <m/>
    <m/>
    <m/>
    <m/>
    <n v="762359.54"/>
    <m/>
    <n v="762359.54"/>
    <n v="762359.54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c"/>
    <n v="764459.8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c"/>
    <n v="766833.0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224923719137E-3"/>
    <x v="1"/>
    <n v="0"/>
    <x v="194"/>
  </r>
  <r>
    <d v="2018-08-17T00:00:00"/>
    <x v="7"/>
    <s v="Series 1c"/>
    <m/>
    <m/>
    <m/>
    <n v="-240317.00982324383"/>
    <m/>
    <m/>
    <m/>
    <m/>
    <n v="-240317.00982324383"/>
    <m/>
    <n v="-240317.00982324383"/>
    <n v="-240317.00982324383"/>
    <s v="Private Equity Fund"/>
    <n v="0"/>
    <n v="0"/>
    <m/>
    <m/>
    <m/>
    <m/>
    <m/>
    <m/>
    <m/>
    <m/>
    <m/>
    <m/>
    <m/>
    <m/>
    <m/>
    <d v="2018-08-17T00:00:00"/>
    <n v="-0.68661102653465078"/>
    <x v="1"/>
    <n v="0"/>
    <x v="195"/>
  </r>
  <r>
    <d v="2018-08-31T00:00:00"/>
    <x v="7"/>
    <s v="Series 1c"/>
    <n v="522921.0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c"/>
    <m/>
    <m/>
    <m/>
    <n v="105098.95"/>
    <m/>
    <m/>
    <m/>
    <m/>
    <n v="105098.95"/>
    <m/>
    <n v="105098.95"/>
    <n v="105098.95"/>
    <s v="Private Equity Fund"/>
    <n v="0"/>
    <n v="0"/>
    <m/>
    <m/>
    <m/>
    <m/>
    <m/>
    <m/>
    <m/>
    <m/>
    <m/>
    <m/>
    <m/>
    <m/>
    <m/>
    <d v="2018-09-26T00:00:00"/>
    <n v="-1.2009843435648071"/>
    <x v="1"/>
    <n v="0"/>
    <x v="196"/>
  </r>
  <r>
    <d v="2018-09-28T00:00:00"/>
    <x v="7"/>
    <s v="Series 1c"/>
    <n v="633545.9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c"/>
    <n v="728814.84"/>
    <m/>
    <n v="0.76235954000000006"/>
    <n v="68890.440000000031"/>
    <n v="0"/>
    <n v="0"/>
    <n v="0"/>
    <m/>
    <n v="68890.440000000031"/>
    <m/>
    <n v="-659924.39999999991"/>
    <n v="-659924.39999999991"/>
    <s v="Private Equity Fund"/>
    <n v="0"/>
    <n v="0"/>
    <m/>
    <m/>
    <m/>
    <m/>
    <m/>
    <m/>
    <m/>
    <m/>
    <m/>
    <m/>
    <m/>
    <m/>
    <m/>
    <d v="2018-10-31T00:00:00"/>
    <n v="4.1636173614994165E-2"/>
    <x v="1"/>
    <n v="0"/>
    <x v="197"/>
  </r>
  <r>
    <d v="2018-06-01T00:00:00"/>
    <x v="7"/>
    <s v="Series 1d"/>
    <m/>
    <m/>
    <m/>
    <n v="699505.07"/>
    <m/>
    <m/>
    <m/>
    <m/>
    <n v="699505.07"/>
    <m/>
    <n v="699505.07"/>
    <n v="699505.07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d"/>
    <n v="701432.2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d"/>
    <n v="703609.7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340693892585E-3"/>
    <x v="1"/>
    <n v="0"/>
    <x v="194"/>
  </r>
  <r>
    <d v="2018-08-17T00:00:00"/>
    <x v="7"/>
    <s v="Series 1d"/>
    <m/>
    <m/>
    <m/>
    <n v="-220503.52689173142"/>
    <m/>
    <m/>
    <m/>
    <m/>
    <n v="-220503.52689173142"/>
    <m/>
    <n v="-220503.52689173142"/>
    <n v="-220503.52689173142"/>
    <s v="Private Equity Fund"/>
    <n v="0"/>
    <n v="0"/>
    <m/>
    <m/>
    <m/>
    <m/>
    <m/>
    <m/>
    <m/>
    <m/>
    <m/>
    <m/>
    <m/>
    <m/>
    <m/>
    <d v="2018-08-17T00:00:00"/>
    <n v="-0.68661102792648832"/>
    <x v="1"/>
    <n v="0"/>
    <x v="195"/>
  </r>
  <r>
    <d v="2018-08-31T00:00:00"/>
    <x v="7"/>
    <s v="Series 1d"/>
    <n v="479807.6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d"/>
    <m/>
    <m/>
    <m/>
    <n v="96433.83"/>
    <m/>
    <m/>
    <m/>
    <m/>
    <n v="96433.83"/>
    <m/>
    <n v="96433.83"/>
    <n v="96433.83"/>
    <s v="Private Equity Fund"/>
    <n v="0"/>
    <n v="0"/>
    <m/>
    <m/>
    <m/>
    <m/>
    <m/>
    <m/>
    <m/>
    <m/>
    <m/>
    <m/>
    <m/>
    <m/>
    <m/>
    <d v="2018-09-26T00:00:00"/>
    <n v="-1.2009843486033549"/>
    <x v="1"/>
    <n v="0"/>
    <x v="196"/>
  </r>
  <r>
    <d v="2018-09-28T00:00:00"/>
    <x v="7"/>
    <s v="Series 1d"/>
    <n v="581311.8299999999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d"/>
    <n v="668726.04"/>
    <m/>
    <n v="0.69950506999999995"/>
    <n v="63210.62000000001"/>
    <n v="0"/>
    <n v="0"/>
    <n v="0"/>
    <m/>
    <n v="63210.62000000001"/>
    <m/>
    <n v="-605515.42000000004"/>
    <n v="-605515.42000000004"/>
    <s v="Private Equity Fund"/>
    <n v="0"/>
    <n v="0"/>
    <m/>
    <m/>
    <m/>
    <m/>
    <m/>
    <m/>
    <m/>
    <m/>
    <m/>
    <m/>
    <m/>
    <m/>
    <m/>
    <d v="2018-10-31T00:00:00"/>
    <n v="4.1636155933726826E-2"/>
    <x v="1"/>
    <n v="0"/>
    <x v="197"/>
  </r>
  <r>
    <d v="2018-06-01T00:00:00"/>
    <x v="7"/>
    <s v="Series 1e"/>
    <m/>
    <m/>
    <m/>
    <n v="200000"/>
    <m/>
    <m/>
    <m/>
    <m/>
    <n v="200000"/>
    <m/>
    <n v="200000"/>
    <n v="2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e"/>
    <n v="200551.0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e"/>
    <n v="201173.5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473677843103E-3"/>
    <x v="1"/>
    <n v="0"/>
    <x v="194"/>
  </r>
  <r>
    <d v="2018-08-17T00:00:00"/>
    <x v="7"/>
    <s v="Series 1e"/>
    <m/>
    <m/>
    <m/>
    <n v="-63045.582558900962"/>
    <m/>
    <m/>
    <m/>
    <m/>
    <n v="-63045.582558900962"/>
    <m/>
    <n v="-63045.582558900962"/>
    <n v="-63045.582558900962"/>
    <s v="Private Equity Fund"/>
    <n v="0"/>
    <n v="0"/>
    <m/>
    <m/>
    <m/>
    <m/>
    <m/>
    <m/>
    <m/>
    <m/>
    <m/>
    <m/>
    <m/>
    <m/>
    <m/>
    <d v="2018-08-17T00:00:00"/>
    <n v="-0.6866110379652669"/>
    <x v="1"/>
    <n v="0"/>
    <x v="195"/>
  </r>
  <r>
    <d v="2018-08-31T00:00:00"/>
    <x v="7"/>
    <s v="Series 1e"/>
    <n v="137184.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e"/>
    <m/>
    <m/>
    <m/>
    <n v="27572.02"/>
    <m/>
    <m/>
    <m/>
    <m/>
    <n v="27572.02"/>
    <m/>
    <n v="27572.02"/>
    <n v="27572.02"/>
    <s v="Private Equity Fund"/>
    <n v="0"/>
    <n v="0"/>
    <m/>
    <m/>
    <m/>
    <m/>
    <m/>
    <m/>
    <m/>
    <m/>
    <m/>
    <m/>
    <m/>
    <m/>
    <m/>
    <d v="2018-09-26T00:00:00"/>
    <n v="-1.2009843648973029"/>
    <x v="1"/>
    <n v="0"/>
    <x v="196"/>
  </r>
  <r>
    <d v="2018-09-28T00:00:00"/>
    <x v="7"/>
    <s v="Series 1e"/>
    <n v="166206.6099999999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e"/>
    <n v="208600.38"/>
    <m/>
    <n v="0.2"/>
    <n v="18072.959999999992"/>
    <n v="0"/>
    <n v="0"/>
    <n v="0"/>
    <m/>
    <n v="18072.959999999992"/>
    <m/>
    <n v="-190527.42"/>
    <n v="-190527.42"/>
    <s v="Private Equity Fund"/>
    <n v="0"/>
    <n v="0"/>
    <m/>
    <m/>
    <m/>
    <m/>
    <m/>
    <m/>
    <m/>
    <m/>
    <m/>
    <m/>
    <m/>
    <m/>
    <m/>
    <d v="2018-10-31T00:00:00"/>
    <n v="0.14632877717679227"/>
    <x v="1"/>
    <n v="0"/>
    <x v="197"/>
  </r>
  <r>
    <d v="2018-06-01T00:00:00"/>
    <x v="7"/>
    <s v="Series 1f"/>
    <m/>
    <m/>
    <m/>
    <n v="250000"/>
    <m/>
    <m/>
    <m/>
    <m/>
    <n v="250000"/>
    <m/>
    <n v="250000"/>
    <n v="25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f"/>
    <n v="250688.7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f"/>
    <n v="251466.9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274536919352E-3"/>
    <x v="1"/>
    <n v="0"/>
    <x v="194"/>
  </r>
  <r>
    <d v="2018-08-17T00:00:00"/>
    <x v="7"/>
    <s v="Series 1f"/>
    <m/>
    <m/>
    <m/>
    <n v="-78806.980698626197"/>
    <m/>
    <m/>
    <m/>
    <m/>
    <n v="-78806.980698626197"/>
    <m/>
    <n v="-78806.980698626197"/>
    <n v="-78806.980698626197"/>
    <s v="Private Equity Fund"/>
    <n v="0"/>
    <n v="0"/>
    <m/>
    <m/>
    <m/>
    <m/>
    <m/>
    <m/>
    <m/>
    <m/>
    <m/>
    <m/>
    <m/>
    <m/>
    <m/>
    <d v="2018-08-17T00:00:00"/>
    <n v="-0.68661101867678132"/>
    <x v="1"/>
    <n v="0"/>
    <x v="195"/>
  </r>
  <r>
    <d v="2018-08-31T00:00:00"/>
    <x v="7"/>
    <s v="Series 1f"/>
    <n v="171481.1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f"/>
    <m/>
    <m/>
    <m/>
    <n v="34465.019999999997"/>
    <m/>
    <m/>
    <m/>
    <m/>
    <n v="34465.019999999997"/>
    <m/>
    <n v="34465.019999999997"/>
    <n v="34465.019999999997"/>
    <s v="Private Equity Fund"/>
    <n v="0"/>
    <n v="0"/>
    <m/>
    <m/>
    <m/>
    <m/>
    <m/>
    <m/>
    <m/>
    <m/>
    <m/>
    <m/>
    <m/>
    <m/>
    <m/>
    <d v="2018-09-26T00:00:00"/>
    <n v="-1.2009843415998216"/>
    <x v="1"/>
    <n v="0"/>
    <x v="196"/>
  </r>
  <r>
    <d v="2018-09-28T00:00:00"/>
    <x v="7"/>
    <s v="Series 1f"/>
    <n v="207758.2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f"/>
    <n v="238999.71"/>
    <m/>
    <n v="0.25"/>
    <n v="22591.189999999995"/>
    <n v="0"/>
    <n v="0"/>
    <n v="0"/>
    <m/>
    <n v="22591.189999999995"/>
    <m/>
    <n v="-216408.52"/>
    <n v="-216408.52"/>
    <s v="Private Equity Fund"/>
    <n v="0"/>
    <n v="0"/>
    <m/>
    <m/>
    <m/>
    <m/>
    <m/>
    <m/>
    <m/>
    <m/>
    <m/>
    <m/>
    <m/>
    <m/>
    <m/>
    <d v="2018-10-31T00:00:00"/>
    <n v="4.163617850861856E-2"/>
    <x v="1"/>
    <n v="0"/>
    <x v="197"/>
  </r>
  <r>
    <d v="2018-06-01T00:00:00"/>
    <x v="7"/>
    <s v="Series 1g"/>
    <m/>
    <m/>
    <m/>
    <n v="200000"/>
    <m/>
    <m/>
    <m/>
    <m/>
    <n v="200000"/>
    <m/>
    <n v="200000"/>
    <n v="2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g"/>
    <n v="200551.0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g"/>
    <n v="201173.5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473677843103E-3"/>
    <x v="1"/>
    <n v="0"/>
    <x v="194"/>
  </r>
  <r>
    <d v="2018-08-17T00:00:00"/>
    <x v="7"/>
    <s v="Series 1g"/>
    <m/>
    <m/>
    <m/>
    <n v="-63045.582558900962"/>
    <m/>
    <m/>
    <m/>
    <m/>
    <n v="-63045.582558900962"/>
    <m/>
    <n v="-63045.582558900962"/>
    <n v="-63045.582558900962"/>
    <s v="Private Equity Fund"/>
    <n v="0"/>
    <n v="0"/>
    <m/>
    <m/>
    <m/>
    <m/>
    <m/>
    <m/>
    <m/>
    <m/>
    <m/>
    <m/>
    <m/>
    <m/>
    <m/>
    <d v="2018-08-17T00:00:00"/>
    <n v="-0.6866110379652669"/>
    <x v="1"/>
    <n v="0"/>
    <x v="195"/>
  </r>
  <r>
    <d v="2018-08-31T00:00:00"/>
    <x v="7"/>
    <s v="Series 1g"/>
    <n v="137184.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g"/>
    <m/>
    <m/>
    <m/>
    <n v="27572.02"/>
    <m/>
    <m/>
    <m/>
    <m/>
    <n v="27572.02"/>
    <m/>
    <n v="27572.02"/>
    <n v="27572.02"/>
    <s v="Private Equity Fund"/>
    <n v="0"/>
    <n v="0"/>
    <m/>
    <m/>
    <m/>
    <m/>
    <m/>
    <m/>
    <m/>
    <m/>
    <m/>
    <m/>
    <m/>
    <m/>
    <m/>
    <d v="2018-09-26T00:00:00"/>
    <n v="-1.2009843648973029"/>
    <x v="1"/>
    <n v="0"/>
    <x v="196"/>
  </r>
  <r>
    <d v="2018-09-28T00:00:00"/>
    <x v="7"/>
    <s v="Series 1g"/>
    <n v="166206.6099999999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g"/>
    <n v="191199.78"/>
    <m/>
    <n v="0.2"/>
    <n v="18072.959999999992"/>
    <n v="0"/>
    <n v="0"/>
    <n v="0"/>
    <m/>
    <n v="18072.959999999992"/>
    <m/>
    <n v="-173126.82"/>
    <n v="-173126.82"/>
    <s v="Private Equity Fund"/>
    <n v="0"/>
    <n v="0"/>
    <m/>
    <m/>
    <m/>
    <m/>
    <m/>
    <m/>
    <m/>
    <m/>
    <m/>
    <m/>
    <m/>
    <m/>
    <m/>
    <d v="2018-10-31T00:00:00"/>
    <n v="4.1636190040817311E-2"/>
    <x v="1"/>
    <n v="0"/>
    <x v="197"/>
  </r>
  <r>
    <d v="2018-06-01T00:00:00"/>
    <x v="7"/>
    <s v="Series 1GP"/>
    <m/>
    <m/>
    <m/>
    <n v="1000"/>
    <m/>
    <m/>
    <m/>
    <m/>
    <n v="1000"/>
    <m/>
    <n v="1000"/>
    <m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GP"/>
    <n v="4084.34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GP"/>
    <n v="7603.91"/>
    <m/>
    <m/>
    <m/>
    <m/>
    <m/>
    <m/>
    <m/>
    <n v="0"/>
    <m/>
    <n v="0"/>
    <m/>
    <s v="Private Equity Fund"/>
    <n v="0"/>
    <n v="-6.5980400000000003E-3"/>
    <m/>
    <m/>
    <m/>
    <m/>
    <m/>
    <m/>
    <m/>
    <m/>
    <m/>
    <m/>
    <m/>
    <m/>
    <m/>
    <d v="2018-07-31T00:00:00"/>
    <n v="0.86172306908827356"/>
    <x v="1"/>
    <n v="0"/>
    <x v="194"/>
  </r>
  <r>
    <d v="2018-08-17T00:00:00"/>
    <x v="7"/>
    <s v="Series 1GP"/>
    <m/>
    <m/>
    <m/>
    <n v="-315.22516279450474"/>
    <m/>
    <m/>
    <m/>
    <m/>
    <n v="-315.22516279450474"/>
    <m/>
    <n v="-315.22516279450474"/>
    <m/>
    <s v="Private Equity Fund"/>
    <n v="0"/>
    <n v="0"/>
    <m/>
    <m/>
    <m/>
    <m/>
    <m/>
    <m/>
    <m/>
    <m/>
    <m/>
    <m/>
    <m/>
    <m/>
    <m/>
    <d v="2018-08-17T00:00:00"/>
    <n v="-0.9585443327453238"/>
    <x v="1"/>
    <n v="0"/>
    <x v="195"/>
  </r>
  <r>
    <d v="2018-08-31T00:00:00"/>
    <x v="7"/>
    <s v="Series 1GP"/>
    <n v="3537.73"/>
    <m/>
    <m/>
    <m/>
    <m/>
    <m/>
    <m/>
    <m/>
    <n v="0"/>
    <m/>
    <n v="0"/>
    <m/>
    <s v="Private Equity Fund"/>
    <n v="0"/>
    <n v="-2.8518099999999998E-3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GP"/>
    <m/>
    <m/>
    <m/>
    <n v="137.87"/>
    <m/>
    <m/>
    <m/>
    <m/>
    <n v="137.87"/>
    <m/>
    <n v="137.87"/>
    <m/>
    <s v="Private Equity Fund"/>
    <n v="0"/>
    <n v="0"/>
    <m/>
    <m/>
    <m/>
    <m/>
    <m/>
    <m/>
    <m/>
    <m/>
    <m/>
    <m/>
    <m/>
    <m/>
    <m/>
    <d v="2018-09-26T00:00:00"/>
    <n v="-1.0389713177659121"/>
    <x v="1"/>
    <n v="0"/>
    <x v="196"/>
  </r>
  <r>
    <d v="2018-09-28T00:00:00"/>
    <x v="7"/>
    <s v="Series 1GP"/>
    <n v="34333.839999999997"/>
    <m/>
    <m/>
    <m/>
    <m/>
    <m/>
    <m/>
    <m/>
    <n v="0"/>
    <m/>
    <n v="0"/>
    <m/>
    <s v="Private Equity Fund"/>
    <n v="0"/>
    <m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GP"/>
    <n v="130215.36229999999"/>
    <m/>
    <n v="1E-3"/>
    <n v="90.360000000000042"/>
    <n v="0"/>
    <n v="0"/>
    <n v="0"/>
    <m/>
    <n v="90.360000000000042"/>
    <m/>
    <n v="-130125.00229999999"/>
    <m/>
    <s v="Private Equity Fund"/>
    <n v="0"/>
    <n v="0"/>
    <m/>
    <m/>
    <m/>
    <m/>
    <m/>
    <m/>
    <m/>
    <m/>
    <m/>
    <m/>
    <m/>
    <m/>
    <m/>
    <d v="2018-10-31T00:00:00"/>
    <n v="2.7899926806905375"/>
    <x v="1"/>
    <n v="0"/>
    <x v="197"/>
  </r>
  <r>
    <d v="2018-06-01T00:00:00"/>
    <x v="7"/>
    <s v="Series 1h"/>
    <m/>
    <m/>
    <m/>
    <n v="3006618.01"/>
    <m/>
    <m/>
    <m/>
    <m/>
    <n v="3006618.01"/>
    <m/>
    <n v="3006618.01"/>
    <n v="3006618.01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h"/>
    <n v="3010606.09"/>
    <m/>
    <m/>
    <m/>
    <m/>
    <m/>
    <m/>
    <m/>
    <n v="0"/>
    <m/>
    <n v="0"/>
    <n v="0"/>
    <s v="Private Equity Fund"/>
    <n v="3.59152E-3"/>
    <n v="7.0377999999999999E-4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h"/>
    <n v="3015156.11"/>
    <m/>
    <m/>
    <m/>
    <m/>
    <m/>
    <m/>
    <m/>
    <n v="0"/>
    <m/>
    <n v="0"/>
    <n v="0"/>
    <s v="Private Equity Fund"/>
    <n v="0"/>
    <n v="1.50672E-3"/>
    <m/>
    <m/>
    <m/>
    <m/>
    <m/>
    <m/>
    <m/>
    <m/>
    <m/>
    <m/>
    <m/>
    <m/>
    <m/>
    <d v="2018-07-31T00:00:00"/>
    <n v="1.511330231847019E-3"/>
    <x v="1"/>
    <n v="0"/>
    <x v="194"/>
  </r>
  <r>
    <d v="2018-08-17T00:00:00"/>
    <x v="7"/>
    <s v="Series 1h"/>
    <m/>
    <m/>
    <m/>
    <n v="-947769.95465533994"/>
    <m/>
    <m/>
    <m/>
    <m/>
    <n v="-947769.95465533994"/>
    <m/>
    <n v="-947769.95465533994"/>
    <n v="-947769.95465533994"/>
    <s v="Private Equity Fund"/>
    <n v="0"/>
    <n v="0"/>
    <m/>
    <m/>
    <m/>
    <m/>
    <m/>
    <m/>
    <m/>
    <m/>
    <m/>
    <m/>
    <m/>
    <m/>
    <m/>
    <d v="2018-08-17T00:00:00"/>
    <n v="-0.68566471516616101"/>
    <x v="1"/>
    <n v="0"/>
    <x v="195"/>
  </r>
  <r>
    <d v="2018-08-31T00:00:00"/>
    <x v="7"/>
    <s v="Series 1h"/>
    <n v="2052335.59"/>
    <m/>
    <m/>
    <m/>
    <m/>
    <m/>
    <m/>
    <m/>
    <n v="0"/>
    <m/>
    <n v="0"/>
    <n v="0"/>
    <s v="Private Equity Fund"/>
    <n v="0"/>
    <n v="6.3962000000000003E-4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h"/>
    <m/>
    <m/>
    <m/>
    <n v="414492.62"/>
    <m/>
    <m/>
    <m/>
    <m/>
    <n v="414492.62"/>
    <m/>
    <n v="414492.62"/>
    <n v="414492.62"/>
    <s v="Private Equity Fund"/>
    <n v="0"/>
    <n v="0"/>
    <m/>
    <m/>
    <m/>
    <m/>
    <m/>
    <m/>
    <m/>
    <m/>
    <m/>
    <m/>
    <m/>
    <m/>
    <m/>
    <d v="2018-09-26T00:00:00"/>
    <n v="-1.2019614248369586"/>
    <x v="1"/>
    <n v="0"/>
    <x v="196"/>
  </r>
  <r>
    <d v="2018-09-28T00:00:00"/>
    <x v="7"/>
    <s v="Series 1h"/>
    <n v="2481729.34"/>
    <m/>
    <m/>
    <m/>
    <m/>
    <m/>
    <m/>
    <m/>
    <n v="0"/>
    <m/>
    <n v="0"/>
    <n v="0"/>
    <s v="Private Equity Fund"/>
    <n v="1.3600370000000001E-2"/>
    <n v="3.2692300000000001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h"/>
    <n v="2841193.8892999999"/>
    <m/>
    <n v="3.00661801"/>
    <n v="271692.37000000011"/>
    <n v="0"/>
    <n v="0"/>
    <n v="0"/>
    <m/>
    <n v="271692.37000000011"/>
    <m/>
    <n v="-2569501.5192999998"/>
    <n v="-2569501.5192999998"/>
    <s v="Private Equity Fund"/>
    <n v="1.6159917736953477E-2"/>
    <n v="1.696956069830095E-2"/>
    <m/>
    <m/>
    <m/>
    <m/>
    <m/>
    <m/>
    <m/>
    <m/>
    <m/>
    <m/>
    <m/>
    <m/>
    <m/>
    <d v="2018-10-31T00:00:00"/>
    <n v="3.5367345618761092E-2"/>
    <x v="1"/>
    <n v="0"/>
    <x v="197"/>
  </r>
  <r>
    <d v="2018-06-01T00:00:00"/>
    <x v="7"/>
    <s v="Series 1i"/>
    <m/>
    <m/>
    <m/>
    <n v="53146.8"/>
    <m/>
    <m/>
    <m/>
    <m/>
    <n v="53146.8"/>
    <m/>
    <n v="53146.8"/>
    <n v="53146.8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i"/>
    <n v="53215.93"/>
    <m/>
    <m/>
    <m/>
    <m/>
    <m/>
    <m/>
    <m/>
    <n v="0"/>
    <m/>
    <n v="0"/>
    <n v="0"/>
    <s v="Private Equity Fund"/>
    <n v="6.5090000000000002E-5"/>
    <n v="1.22E-5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i"/>
    <n v="53296.36"/>
    <m/>
    <m/>
    <m/>
    <m/>
    <m/>
    <m/>
    <m/>
    <n v="0"/>
    <m/>
    <n v="0"/>
    <n v="0"/>
    <s v="Private Equity Fund"/>
    <n v="0"/>
    <n v="2.639E-5"/>
    <m/>
    <m/>
    <m/>
    <m/>
    <m/>
    <m/>
    <m/>
    <m/>
    <m/>
    <m/>
    <m/>
    <m/>
    <m/>
    <d v="2018-07-31T00:00:00"/>
    <n v="1.5113895406881905E-3"/>
    <x v="1"/>
    <n v="0"/>
    <x v="194"/>
  </r>
  <r>
    <d v="2018-08-17T00:00:00"/>
    <x v="7"/>
    <s v="Series 1i"/>
    <m/>
    <m/>
    <m/>
    <n v="-16753.351378006992"/>
    <m/>
    <m/>
    <m/>
    <m/>
    <n v="-16753.351378006992"/>
    <m/>
    <n v="-16753.351378006992"/>
    <n v="-16753.351378006992"/>
    <s v="Private Equity Fund"/>
    <n v="0"/>
    <n v="0"/>
    <m/>
    <m/>
    <m/>
    <m/>
    <m/>
    <m/>
    <m/>
    <m/>
    <m/>
    <m/>
    <m/>
    <m/>
    <m/>
    <d v="2018-08-17T00:00:00"/>
    <n v="-0.68565674319959202"/>
    <x v="1"/>
    <n v="0"/>
    <x v="195"/>
  </r>
  <r>
    <d v="2018-08-31T00:00:00"/>
    <x v="7"/>
    <s v="Series 1i"/>
    <n v="36276.959999999999"/>
    <m/>
    <m/>
    <m/>
    <m/>
    <m/>
    <m/>
    <m/>
    <n v="0"/>
    <m/>
    <n v="0"/>
    <n v="0"/>
    <s v="Private Equity Fund"/>
    <n v="0"/>
    <n v="1.1060000000000001E-5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i"/>
    <m/>
    <m/>
    <m/>
    <n v="7326.82"/>
    <m/>
    <m/>
    <m/>
    <m/>
    <n v="7326.82"/>
    <m/>
    <n v="7326.82"/>
    <n v="7326.82"/>
    <s v="Private Equity Fund"/>
    <n v="0"/>
    <n v="0"/>
    <m/>
    <m/>
    <m/>
    <m/>
    <m/>
    <m/>
    <m/>
    <m/>
    <m/>
    <m/>
    <m/>
    <m/>
    <m/>
    <d v="2018-09-26T00:00:00"/>
    <n v="-1.2019689632207329"/>
    <x v="1"/>
    <n v="0"/>
    <x v="196"/>
  </r>
  <r>
    <d v="2018-09-28T00:00:00"/>
    <x v="7"/>
    <s v="Series 1i"/>
    <n v="43867.18"/>
    <m/>
    <m/>
    <m/>
    <m/>
    <m/>
    <m/>
    <m/>
    <n v="0"/>
    <m/>
    <n v="0"/>
    <n v="0"/>
    <s v="Private Equity Fund"/>
    <n v="2.4202000000000002E-4"/>
    <n v="5.7549999999999996E-5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i"/>
    <n v="50221.2958"/>
    <m/>
    <n v="5.3146800000000001E-2"/>
    <n v="4802.59"/>
    <n v="0"/>
    <n v="0"/>
    <n v="0"/>
    <m/>
    <n v="4802.59"/>
    <m/>
    <n v="-45418.705799999996"/>
    <n v="-45418.705799999996"/>
    <s v="Private Equity Fund"/>
    <n v="2.8726154165544633E-4"/>
    <n v="2.997242067010473E-4"/>
    <m/>
    <m/>
    <m/>
    <m/>
    <m/>
    <m/>
    <m/>
    <m/>
    <m/>
    <m/>
    <m/>
    <m/>
    <m/>
    <d v="2018-10-31T00:00:00"/>
    <n v="3.5368715290109654E-2"/>
    <x v="1"/>
    <n v="0"/>
    <x v="197"/>
  </r>
  <r>
    <d v="2018-06-01T00:00:00"/>
    <x v="7"/>
    <s v="Series 1j"/>
    <m/>
    <m/>
    <m/>
    <n v="116675.97"/>
    <m/>
    <m/>
    <m/>
    <m/>
    <n v="116675.97"/>
    <m/>
    <n v="116675.97"/>
    <n v="116675.97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j"/>
    <n v="116830.68"/>
    <m/>
    <m/>
    <m/>
    <m/>
    <m/>
    <m/>
    <m/>
    <n v="0"/>
    <m/>
    <n v="0"/>
    <n v="0"/>
    <s v="Private Equity Fund"/>
    <n v="1.3944000000000001E-4"/>
    <n v="2.73E-5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j"/>
    <n v="117007.25"/>
    <m/>
    <m/>
    <m/>
    <m/>
    <m/>
    <m/>
    <m/>
    <n v="0"/>
    <m/>
    <n v="0"/>
    <n v="0"/>
    <s v="Private Equity Fund"/>
    <n v="0"/>
    <n v="5.8459999999999999E-5"/>
    <m/>
    <m/>
    <m/>
    <m/>
    <m/>
    <m/>
    <m/>
    <m/>
    <m/>
    <m/>
    <m/>
    <m/>
    <m/>
    <d v="2018-07-31T00:00:00"/>
    <n v="1.5113324684921103E-3"/>
    <x v="1"/>
    <n v="0"/>
    <x v="194"/>
  </r>
  <r>
    <d v="2018-08-17T00:00:00"/>
    <x v="7"/>
    <s v="Series 1j"/>
    <m/>
    <m/>
    <m/>
    <n v="-36779.51926085676"/>
    <m/>
    <m/>
    <m/>
    <m/>
    <n v="-36779.51926085676"/>
    <m/>
    <n v="-36779.51926085676"/>
    <n v="-36779.51926085676"/>
    <s v="Private Equity Fund"/>
    <n v="0"/>
    <n v="0"/>
    <m/>
    <m/>
    <m/>
    <m/>
    <m/>
    <m/>
    <m/>
    <m/>
    <m/>
    <m/>
    <m/>
    <m/>
    <m/>
    <d v="2018-08-17T00:00:00"/>
    <n v="-0.68566461257010347"/>
    <x v="1"/>
    <n v="0"/>
    <x v="195"/>
  </r>
  <r>
    <d v="2018-08-31T00:00:00"/>
    <x v="7"/>
    <s v="Series 1j"/>
    <n v="79643.67"/>
    <m/>
    <m/>
    <m/>
    <m/>
    <m/>
    <m/>
    <m/>
    <n v="0"/>
    <m/>
    <n v="0"/>
    <n v="0"/>
    <s v="Private Equity Fund"/>
    <n v="0"/>
    <n v="2.4809999999999998E-5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j"/>
    <m/>
    <m/>
    <m/>
    <n v="16084.96"/>
    <m/>
    <m/>
    <m/>
    <m/>
    <n v="16084.96"/>
    <m/>
    <n v="16084.96"/>
    <n v="16084.96"/>
    <s v="Private Equity Fund"/>
    <n v="0"/>
    <n v="0"/>
    <m/>
    <m/>
    <m/>
    <m/>
    <m/>
    <m/>
    <m/>
    <m/>
    <m/>
    <m/>
    <m/>
    <m/>
    <m/>
    <d v="2018-09-26T00:00:00"/>
    <n v="-1.2019615620425328"/>
    <x v="1"/>
    <n v="0"/>
    <x v="196"/>
  </r>
  <r>
    <d v="2018-09-28T00:00:00"/>
    <x v="7"/>
    <s v="Series 1j"/>
    <n v="96306.89"/>
    <m/>
    <m/>
    <m/>
    <m/>
    <m/>
    <m/>
    <m/>
    <n v="0"/>
    <m/>
    <n v="0"/>
    <n v="0"/>
    <s v="Private Equity Fund"/>
    <n v="5.2784000000000001E-4"/>
    <n v="1.2685999999999999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j"/>
    <n v="110256.4136"/>
    <m/>
    <n v="0.11667597"/>
    <n v="10543.409999999996"/>
    <n v="0"/>
    <n v="0"/>
    <n v="0"/>
    <m/>
    <n v="10543.409999999996"/>
    <m/>
    <n v="-99713.003599999996"/>
    <n v="-99713.003599999996"/>
    <s v="Private Equity Fund"/>
    <n v="6.2716932950993194E-4"/>
    <n v="6.5851638912851559E-4"/>
    <m/>
    <m/>
    <m/>
    <m/>
    <m/>
    <m/>
    <m/>
    <m/>
    <m/>
    <m/>
    <m/>
    <m/>
    <m/>
    <d v="2018-10-31T00:00:00"/>
    <n v="3.5367288882446557E-2"/>
    <x v="1"/>
    <n v="0"/>
    <x v="197"/>
  </r>
  <r>
    <d v="2018-06-01T00:00:00"/>
    <x v="7"/>
    <s v="Series 1k"/>
    <m/>
    <m/>
    <m/>
    <n v="71107.710000000006"/>
    <m/>
    <m/>
    <m/>
    <m/>
    <n v="71107.710000000006"/>
    <m/>
    <n v="71107.710000000006"/>
    <n v="71107.710000000006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k"/>
    <n v="71202"/>
    <m/>
    <m/>
    <m/>
    <m/>
    <m/>
    <m/>
    <m/>
    <n v="0"/>
    <m/>
    <n v="0"/>
    <n v="0"/>
    <s v="Private Equity Fund"/>
    <n v="8.4980000000000003E-5"/>
    <n v="1.664E-5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k"/>
    <n v="71309.61"/>
    <m/>
    <m/>
    <m/>
    <m/>
    <m/>
    <m/>
    <m/>
    <n v="0"/>
    <m/>
    <n v="0"/>
    <n v="0"/>
    <s v="Private Equity Fund"/>
    <n v="0"/>
    <n v="3.5630000000000003E-5"/>
    <m/>
    <m/>
    <m/>
    <m/>
    <m/>
    <m/>
    <m/>
    <m/>
    <m/>
    <m/>
    <m/>
    <m/>
    <m/>
    <d v="2018-07-31T00:00:00"/>
    <n v="1.5113339512935475E-3"/>
    <x v="1"/>
    <n v="0"/>
    <x v="194"/>
  </r>
  <r>
    <d v="2018-08-17T00:00:00"/>
    <x v="7"/>
    <s v="Series 1k"/>
    <m/>
    <m/>
    <m/>
    <n v="-22415.139286894439"/>
    <m/>
    <m/>
    <m/>
    <m/>
    <n v="-22415.139286894439"/>
    <m/>
    <n v="-22415.139286894439"/>
    <n v="-22415.139286894439"/>
    <s v="Private Equity Fund"/>
    <n v="0"/>
    <n v="0"/>
    <m/>
    <m/>
    <m/>
    <m/>
    <m/>
    <m/>
    <m/>
    <m/>
    <m/>
    <m/>
    <m/>
    <m/>
    <m/>
    <d v="2018-08-17T00:00:00"/>
    <n v="-0.68566453684300843"/>
    <x v="1"/>
    <n v="0"/>
    <x v="195"/>
  </r>
  <r>
    <d v="2018-08-31T00:00:00"/>
    <x v="7"/>
    <s v="Series 1k"/>
    <n v="48538.52"/>
    <m/>
    <m/>
    <m/>
    <m/>
    <m/>
    <m/>
    <m/>
    <n v="0"/>
    <m/>
    <n v="0"/>
    <n v="0"/>
    <s v="Private Equity Fund"/>
    <n v="0"/>
    <n v="1.5119999999999999E-5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k"/>
    <m/>
    <m/>
    <m/>
    <n v="9802.92"/>
    <m/>
    <m/>
    <m/>
    <m/>
    <n v="9802.92"/>
    <m/>
    <n v="9802.92"/>
    <n v="9802.92"/>
    <s v="Private Equity Fund"/>
    <n v="0"/>
    <n v="0"/>
    <m/>
    <m/>
    <m/>
    <m/>
    <m/>
    <m/>
    <m/>
    <m/>
    <m/>
    <m/>
    <m/>
    <m/>
    <m/>
    <d v="2018-09-26T00:00:00"/>
    <n v="-1.2019616584930897"/>
    <x v="1"/>
    <n v="0"/>
    <x v="196"/>
  </r>
  <r>
    <d v="2018-09-28T00:00:00"/>
    <x v="7"/>
    <s v="Series 1k"/>
    <n v="58693.86"/>
    <m/>
    <m/>
    <m/>
    <m/>
    <m/>
    <m/>
    <m/>
    <n v="0"/>
    <m/>
    <n v="0"/>
    <n v="0"/>
    <s v="Private Equity Fund"/>
    <n v="3.2169000000000002E-4"/>
    <n v="7.7310000000000004E-5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k"/>
    <n v="67195.339099999997"/>
    <m/>
    <n v="7.1107710000000005E-2"/>
    <n v="6425.6400000000031"/>
    <n v="0"/>
    <n v="0"/>
    <n v="0"/>
    <m/>
    <n v="6425.6400000000031"/>
    <m/>
    <n v="-60769.699099999998"/>
    <n v="-60769.699099999998"/>
    <s v="Private Equity Fund"/>
    <n v="3.8222588939373599E-4"/>
    <n v="4.0133089303416488E-4"/>
    <m/>
    <m/>
    <m/>
    <m/>
    <m/>
    <m/>
    <m/>
    <m/>
    <m/>
    <m/>
    <m/>
    <m/>
    <m/>
    <d v="2018-10-31T00:00:00"/>
    <n v="3.5367227508976251E-2"/>
    <x v="1"/>
    <n v="0"/>
    <x v="197"/>
  </r>
  <r>
    <d v="2018-06-01T00:00:00"/>
    <x v="7"/>
    <s v="Series 1l"/>
    <m/>
    <m/>
    <m/>
    <n v="111075.41"/>
    <m/>
    <m/>
    <m/>
    <m/>
    <n v="111075.41"/>
    <m/>
    <n v="111075.41"/>
    <n v="111075.41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l"/>
    <n v="111381.4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l"/>
    <n v="111727.1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2876716522727E-3"/>
    <x v="1"/>
    <n v="0"/>
    <x v="194"/>
  </r>
  <r>
    <d v="2018-08-17T00:00:00"/>
    <x v="7"/>
    <s v="Series 1l"/>
    <m/>
    <m/>
    <m/>
    <n v="-35014.070019916362"/>
    <m/>
    <m/>
    <m/>
    <m/>
    <n v="-35014.070019916362"/>
    <m/>
    <n v="-35014.070019916362"/>
    <n v="-35014.070019916362"/>
    <s v="Private Equity Fund"/>
    <n v="0"/>
    <n v="0"/>
    <m/>
    <m/>
    <m/>
    <m/>
    <m/>
    <m/>
    <m/>
    <m/>
    <m/>
    <m/>
    <m/>
    <m/>
    <m/>
    <d v="2018-08-17T00:00:00"/>
    <n v="-0.68661102082746051"/>
    <x v="1"/>
    <n v="0"/>
    <x v="195"/>
  </r>
  <r>
    <d v="2018-08-31T00:00:00"/>
    <x v="7"/>
    <s v="Series 1l"/>
    <n v="76189.3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l"/>
    <m/>
    <m/>
    <m/>
    <n v="15312.87"/>
    <m/>
    <m/>
    <m/>
    <m/>
    <n v="15312.87"/>
    <m/>
    <n v="15312.87"/>
    <n v="15312.87"/>
    <s v="Private Equity Fund"/>
    <n v="0"/>
    <n v="0"/>
    <m/>
    <m/>
    <m/>
    <m/>
    <m/>
    <m/>
    <m/>
    <m/>
    <m/>
    <m/>
    <m/>
    <m/>
    <m/>
    <d v="2018-09-26T00:00:00"/>
    <n v="-1.2009844159301026"/>
    <x v="1"/>
    <n v="0"/>
    <x v="196"/>
  </r>
  <r>
    <d v="2018-09-28T00:00:00"/>
    <x v="7"/>
    <s v="Series 1l"/>
    <n v="92307.3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l"/>
    <n v="106187.97"/>
    <m/>
    <n v="0.11107541"/>
    <n v="10037.299999999999"/>
    <n v="0"/>
    <n v="0"/>
    <n v="0"/>
    <m/>
    <n v="10037.299999999999"/>
    <m/>
    <n v="-96150.67"/>
    <n v="-96150.67"/>
    <s v="Private Equity Fund"/>
    <n v="0"/>
    <n v="0"/>
    <m/>
    <m/>
    <m/>
    <m/>
    <m/>
    <m/>
    <m/>
    <m/>
    <m/>
    <m/>
    <m/>
    <m/>
    <m/>
    <d v="2018-10-31T00:00:00"/>
    <n v="4.1636233911626075E-2"/>
    <x v="1"/>
    <n v="0"/>
    <x v="197"/>
  </r>
  <r>
    <d v="2018-06-01T00:00:00"/>
    <x v="7"/>
    <s v="Series 1m"/>
    <m/>
    <m/>
    <m/>
    <n v="1500000"/>
    <m/>
    <m/>
    <m/>
    <m/>
    <n v="1500000"/>
    <m/>
    <n v="1500000"/>
    <n v="15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m"/>
    <n v="1504132.5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m"/>
    <n v="1508801.8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274330531112E-3"/>
    <x v="1"/>
    <n v="0"/>
    <x v="194"/>
  </r>
  <r>
    <d v="2018-08-17T00:00:00"/>
    <x v="7"/>
    <s v="Series 1m"/>
    <m/>
    <m/>
    <m/>
    <n v="-472841.88419175713"/>
    <m/>
    <m/>
    <m/>
    <m/>
    <n v="-472841.88419175713"/>
    <m/>
    <n v="-472841.88419175713"/>
    <n v="-472841.88419175713"/>
    <s v="Private Equity Fund"/>
    <n v="0"/>
    <n v="0"/>
    <m/>
    <m/>
    <m/>
    <m/>
    <m/>
    <m/>
    <m/>
    <m/>
    <m/>
    <m/>
    <m/>
    <m/>
    <m/>
    <d v="2018-08-17T00:00:00"/>
    <n v="-0.68661102075385316"/>
    <x v="1"/>
    <n v="0"/>
    <x v="195"/>
  </r>
  <r>
    <d v="2018-08-31T00:00:00"/>
    <x v="7"/>
    <s v="Series 1m"/>
    <n v="1028886.7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m"/>
    <m/>
    <m/>
    <m/>
    <n v="206790.13"/>
    <m/>
    <m/>
    <m/>
    <m/>
    <n v="206790.13"/>
    <m/>
    <n v="206790.13"/>
    <n v="206790.13"/>
    <s v="Private Equity Fund"/>
    <n v="0"/>
    <n v="0"/>
    <m/>
    <m/>
    <m/>
    <m/>
    <m/>
    <m/>
    <m/>
    <m/>
    <m/>
    <m/>
    <m/>
    <m/>
    <m/>
    <d v="2018-09-26T00:00:00"/>
    <n v="-1.2009843474122333"/>
    <x v="1"/>
    <n v="0"/>
    <x v="196"/>
  </r>
  <r>
    <d v="2018-09-28T00:00:00"/>
    <x v="7"/>
    <s v="Series 1m"/>
    <n v="1246549.5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m"/>
    <n v="1564502.87"/>
    <m/>
    <n v="1.5"/>
    <n v="135547.15000000005"/>
    <n v="0"/>
    <n v="0"/>
    <n v="0"/>
    <m/>
    <n v="135547.15000000005"/>
    <m/>
    <n v="-1428955.72"/>
    <n v="-1428955.72"/>
    <s v="Private Equity Fund"/>
    <n v="0"/>
    <n v="0"/>
    <m/>
    <m/>
    <m/>
    <m/>
    <m/>
    <m/>
    <m/>
    <m/>
    <m/>
    <m/>
    <m/>
    <m/>
    <m/>
    <d v="2018-10-31T00:00:00"/>
    <n v="0.14632883792980644"/>
    <x v="1"/>
    <n v="0"/>
    <x v="197"/>
  </r>
  <r>
    <d v="2018-06-01T00:00:00"/>
    <x v="7"/>
    <s v="Series 1n"/>
    <m/>
    <m/>
    <m/>
    <n v="7500000"/>
    <m/>
    <m/>
    <m/>
    <m/>
    <n v="7500000"/>
    <m/>
    <n v="7500000"/>
    <n v="75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n"/>
    <n v="7509944.9100000001"/>
    <m/>
    <m/>
    <m/>
    <m/>
    <m/>
    <m/>
    <m/>
    <n v="0"/>
    <m/>
    <n v="0"/>
    <n v="0"/>
    <s v="Private Equity Fund"/>
    <n v="8.9629799999999989E-3"/>
    <n v="1.75498E-3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n"/>
    <n v="7521294.9100000001"/>
    <m/>
    <m/>
    <m/>
    <m/>
    <m/>
    <m/>
    <m/>
    <n v="0"/>
    <m/>
    <n v="0"/>
    <n v="0"/>
    <s v="Private Equity Fund"/>
    <n v="0"/>
    <n v="3.7579200000000001E-3"/>
    <m/>
    <m/>
    <m/>
    <m/>
    <m/>
    <m/>
    <m/>
    <m/>
    <m/>
    <m/>
    <m/>
    <m/>
    <m/>
    <d v="2018-07-31T00:00:00"/>
    <n v="1.5113293287793983E-3"/>
    <x v="1"/>
    <n v="0"/>
    <x v="194"/>
  </r>
  <r>
    <d v="2018-08-17T00:00:00"/>
    <x v="7"/>
    <s v="Series 1n"/>
    <m/>
    <m/>
    <m/>
    <n v="-2364209.4209587858"/>
    <m/>
    <m/>
    <m/>
    <m/>
    <n v="-2364209.4209587858"/>
    <m/>
    <n v="-2364209.4209587858"/>
    <n v="-2364209.4209587858"/>
    <s v="Private Equity Fund"/>
    <n v="0"/>
    <n v="0"/>
    <m/>
    <m/>
    <m/>
    <m/>
    <m/>
    <m/>
    <m/>
    <m/>
    <m/>
    <m/>
    <m/>
    <m/>
    <m/>
    <d v="2018-08-17T00:00:00"/>
    <n v="-0.68566457647931989"/>
    <x v="1"/>
    <n v="0"/>
    <x v="195"/>
  </r>
  <r>
    <d v="2018-08-31T00:00:00"/>
    <x v="7"/>
    <s v="Series 1n"/>
    <n v="5119541.9000000004"/>
    <m/>
    <m/>
    <m/>
    <m/>
    <m/>
    <m/>
    <m/>
    <n v="0"/>
    <m/>
    <n v="0"/>
    <n v="0"/>
    <s v="Private Equity Fund"/>
    <n v="0"/>
    <n v="1.59493E-3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n"/>
    <m/>
    <m/>
    <m/>
    <n v="1033950.65"/>
    <m/>
    <m/>
    <m/>
    <m/>
    <n v="1033950.65"/>
    <m/>
    <n v="1033950.65"/>
    <n v="1033950.65"/>
    <s v="Private Equity Fund"/>
    <n v="0"/>
    <n v="0"/>
    <m/>
    <m/>
    <m/>
    <m/>
    <m/>
    <m/>
    <m/>
    <m/>
    <m/>
    <m/>
    <m/>
    <m/>
    <m/>
    <d v="2018-09-26T00:00:00"/>
    <n v="-1.2019615563650334"/>
    <x v="1"/>
    <n v="0"/>
    <x v="196"/>
  </r>
  <r>
    <d v="2018-09-28T00:00:00"/>
    <x v="7"/>
    <s v="Series 1n"/>
    <n v="6190663.3600000003"/>
    <m/>
    <m/>
    <m/>
    <m/>
    <m/>
    <m/>
    <m/>
    <n v="0"/>
    <m/>
    <n v="0"/>
    <n v="0"/>
    <s v="Private Equity Fund"/>
    <n v="3.3930019999999998E-2"/>
    <n v="8.1544900000000003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n"/>
    <n v="7087346.6249000002"/>
    <m/>
    <n v="7.5"/>
    <n v="677735.81999999983"/>
    <n v="0"/>
    <n v="0"/>
    <n v="0"/>
    <m/>
    <n v="677735.81999999983"/>
    <m/>
    <n v="-6409610.8048999999"/>
    <n v="-6409610.8048999999"/>
    <s v="Private Equity Fund"/>
    <n v="4.0314812415066896E-2"/>
    <n v="4.2329925143817948E-2"/>
    <m/>
    <m/>
    <m/>
    <m/>
    <m/>
    <m/>
    <m/>
    <m/>
    <m/>
    <m/>
    <m/>
    <m/>
    <m/>
    <d v="2018-10-31T00:00:00"/>
    <n v="3.5367364071949625E-2"/>
    <x v="1"/>
    <n v="0"/>
    <x v="197"/>
  </r>
  <r>
    <d v="2018-06-01T00:00:00"/>
    <x v="7"/>
    <s v="Series 1o"/>
    <m/>
    <m/>
    <m/>
    <n v="2000000"/>
    <m/>
    <m/>
    <m/>
    <m/>
    <n v="2000000"/>
    <m/>
    <n v="2000000"/>
    <n v="20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o"/>
    <n v="2005510.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o"/>
    <n v="2011735.8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7-31T00:00:00"/>
    <n v="3.1043274227340323E-3"/>
    <x v="1"/>
    <n v="0"/>
    <x v="194"/>
  </r>
  <r>
    <d v="2018-08-17T00:00:00"/>
    <x v="7"/>
    <s v="Series 1o"/>
    <m/>
    <m/>
    <m/>
    <n v="-630455.84558900958"/>
    <m/>
    <m/>
    <m/>
    <m/>
    <n v="-630455.84558900958"/>
    <m/>
    <n v="-630455.84558900958"/>
    <n v="-630455.84558900958"/>
    <s v="Private Equity Fund"/>
    <n v="0"/>
    <n v="0"/>
    <m/>
    <m/>
    <m/>
    <m/>
    <m/>
    <m/>
    <m/>
    <m/>
    <m/>
    <m/>
    <m/>
    <m/>
    <m/>
    <d v="2018-08-17T00:00:00"/>
    <n v="-0.68661102179238909"/>
    <x v="1"/>
    <n v="0"/>
    <x v="195"/>
  </r>
  <r>
    <d v="2018-08-31T00:00:00"/>
    <x v="7"/>
    <s v="Series 1o"/>
    <n v="1371848.9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o"/>
    <m/>
    <m/>
    <m/>
    <n v="275720.17"/>
    <m/>
    <m/>
    <m/>
    <m/>
    <n v="275720.17"/>
    <m/>
    <n v="275720.17"/>
    <n v="275720.17"/>
    <s v="Private Equity Fund"/>
    <n v="0"/>
    <n v="0"/>
    <m/>
    <m/>
    <m/>
    <m/>
    <m/>
    <m/>
    <m/>
    <m/>
    <m/>
    <m/>
    <m/>
    <m/>
    <m/>
    <d v="2018-09-26T00:00:00"/>
    <n v="-1.2009843459591303"/>
    <x v="1"/>
    <n v="0"/>
    <x v="196"/>
  </r>
  <r>
    <d v="2018-09-28T00:00:00"/>
    <x v="7"/>
    <s v="Series 1o"/>
    <n v="1662066.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o"/>
    <n v="1911997.69"/>
    <m/>
    <n v="2"/>
    <n v="180729.56"/>
    <n v="0"/>
    <n v="0"/>
    <n v="0"/>
    <m/>
    <n v="180729.56"/>
    <m/>
    <n v="-1731268.13"/>
    <n v="-1731268.13"/>
    <s v="Private Equity Fund"/>
    <n v="0"/>
    <n v="0"/>
    <m/>
    <m/>
    <m/>
    <m/>
    <m/>
    <m/>
    <m/>
    <m/>
    <m/>
    <m/>
    <m/>
    <m/>
    <m/>
    <d v="2018-10-31T00:00:00"/>
    <n v="4.1636147924561939E-2"/>
    <x v="1"/>
    <n v="0"/>
    <x v="197"/>
  </r>
  <r>
    <d v="2018-06-01T00:00:00"/>
    <x v="7"/>
    <s v="Series 1p"/>
    <m/>
    <m/>
    <m/>
    <n v="300000"/>
    <m/>
    <m/>
    <m/>
    <m/>
    <n v="300000"/>
    <m/>
    <n v="300000"/>
    <n v="3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p"/>
    <n v="300397.8"/>
    <m/>
    <m/>
    <m/>
    <m/>
    <m/>
    <m/>
    <m/>
    <n v="0"/>
    <m/>
    <n v="0"/>
    <n v="0"/>
    <s v="Private Equity Fund"/>
    <n v="3.5851999999999998E-4"/>
    <n v="7.0199999999999999E-5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p"/>
    <n v="300851.78999999998"/>
    <m/>
    <m/>
    <m/>
    <m/>
    <m/>
    <m/>
    <m/>
    <n v="0"/>
    <m/>
    <n v="0"/>
    <n v="0"/>
    <s v="Private Equity Fund"/>
    <n v="0"/>
    <n v="1.5031999999999998E-4"/>
    <m/>
    <m/>
    <m/>
    <m/>
    <m/>
    <m/>
    <m/>
    <m/>
    <m/>
    <m/>
    <m/>
    <m/>
    <m/>
    <d v="2018-07-31T00:00:00"/>
    <n v="1.5112960214755944E-3"/>
    <x v="1"/>
    <n v="0"/>
    <x v="194"/>
  </r>
  <r>
    <d v="2018-08-17T00:00:00"/>
    <x v="7"/>
    <s v="Series 1p"/>
    <m/>
    <m/>
    <m/>
    <n v="-94568.378838351433"/>
    <m/>
    <m/>
    <m/>
    <m/>
    <n v="-94568.378838351433"/>
    <m/>
    <n v="-94568.378838351433"/>
    <n v="-94568.378838351433"/>
    <s v="Private Equity Fund"/>
    <n v="0"/>
    <n v="0"/>
    <m/>
    <m/>
    <m/>
    <m/>
    <m/>
    <m/>
    <m/>
    <m/>
    <m/>
    <m/>
    <m/>
    <m/>
    <m/>
    <d v="2018-08-17T00:00:00"/>
    <n v="-0.68566456314469182"/>
    <x v="1"/>
    <n v="0"/>
    <x v="195"/>
  </r>
  <r>
    <d v="2018-08-31T00:00:00"/>
    <x v="7"/>
    <s v="Series 1p"/>
    <n v="204781.67"/>
    <m/>
    <m/>
    <m/>
    <m/>
    <m/>
    <m/>
    <m/>
    <n v="0"/>
    <m/>
    <n v="0"/>
    <n v="0"/>
    <s v="Private Equity Fund"/>
    <n v="0"/>
    <n v="6.3799999999999992E-5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p"/>
    <m/>
    <m/>
    <m/>
    <n v="41358.03"/>
    <m/>
    <m/>
    <m/>
    <m/>
    <n v="41358.03"/>
    <m/>
    <n v="41358.03"/>
    <n v="41358.03"/>
    <s v="Private Equity Fund"/>
    <n v="0"/>
    <n v="0"/>
    <m/>
    <m/>
    <m/>
    <m/>
    <m/>
    <m/>
    <m/>
    <m/>
    <m/>
    <m/>
    <m/>
    <m/>
    <m/>
    <d v="2018-09-26T00:00:00"/>
    <n v="-1.2019615818154037"/>
    <x v="1"/>
    <n v="0"/>
    <x v="196"/>
  </r>
  <r>
    <d v="2018-09-28T00:00:00"/>
    <x v="7"/>
    <s v="Series 1p"/>
    <n v="247626.54"/>
    <m/>
    <m/>
    <m/>
    <m/>
    <m/>
    <m/>
    <m/>
    <n v="0"/>
    <m/>
    <n v="0"/>
    <n v="0"/>
    <s v="Private Equity Fund"/>
    <n v="1.3572E-3"/>
    <n v="3.2618000000000002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p"/>
    <n v="297647.56170000002"/>
    <m/>
    <n v="0.3"/>
    <n v="-26100.910000000003"/>
    <n v="0"/>
    <n v="0"/>
    <n v="0"/>
    <m/>
    <n v="-26100.910000000003"/>
    <m/>
    <n v="-323748.47169999999"/>
    <n v="-323748.47169999999"/>
    <s v="Private Equity Fund"/>
    <n v="1.6720436452766479E-3"/>
    <n v="1.3580968325752715E-2"/>
    <m/>
    <m/>
    <m/>
    <m/>
    <m/>
    <m/>
    <m/>
    <m/>
    <m/>
    <m/>
    <m/>
    <m/>
    <m/>
    <d v="2018-10-31T00:00:00"/>
    <n v="0.30740619200187491"/>
    <x v="1"/>
    <n v="0"/>
    <x v="197"/>
  </r>
  <r>
    <d v="2018-06-01T00:00:00"/>
    <x v="7"/>
    <s v="Series 1q"/>
    <m/>
    <m/>
    <m/>
    <n v="1000000"/>
    <m/>
    <m/>
    <m/>
    <m/>
    <n v="1000000"/>
    <m/>
    <n v="1000000"/>
    <n v="10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q"/>
    <n v="1001325.98"/>
    <m/>
    <m/>
    <m/>
    <m/>
    <m/>
    <m/>
    <m/>
    <n v="0"/>
    <m/>
    <n v="0"/>
    <n v="0"/>
    <s v="Private Equity Fund"/>
    <n v="1.19506E-3"/>
    <n v="2.34E-4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q"/>
    <n v="1002839.32"/>
    <m/>
    <m/>
    <m/>
    <m/>
    <m/>
    <m/>
    <m/>
    <n v="0"/>
    <m/>
    <n v="0"/>
    <n v="0"/>
    <s v="Private Equity Fund"/>
    <n v="0"/>
    <n v="5.0106E-4"/>
    <m/>
    <m/>
    <m/>
    <m/>
    <m/>
    <m/>
    <m/>
    <m/>
    <m/>
    <m/>
    <m/>
    <m/>
    <m/>
    <d v="2018-07-31T00:00:00"/>
    <n v="1.5113359986924646E-3"/>
    <x v="1"/>
    <n v="0"/>
    <x v="194"/>
  </r>
  <r>
    <d v="2018-08-17T00:00:00"/>
    <x v="7"/>
    <s v="Series 1q"/>
    <m/>
    <m/>
    <m/>
    <n v="-315227.92279450479"/>
    <m/>
    <m/>
    <m/>
    <m/>
    <n v="-315227.92279450479"/>
    <m/>
    <n v="-315227.92279450479"/>
    <n v="-315227.92279450479"/>
    <s v="Private Equity Fund"/>
    <n v="0"/>
    <n v="0"/>
    <m/>
    <m/>
    <m/>
    <m/>
    <m/>
    <m/>
    <m/>
    <m/>
    <m/>
    <m/>
    <m/>
    <m/>
    <m/>
    <d v="2018-08-17T00:00:00"/>
    <n v="-0.68566457606139264"/>
    <x v="1"/>
    <n v="0"/>
    <x v="195"/>
  </r>
  <r>
    <d v="2018-08-31T00:00:00"/>
    <x v="7"/>
    <s v="Series 1q"/>
    <n v="682605.58"/>
    <m/>
    <m/>
    <m/>
    <m/>
    <m/>
    <m/>
    <m/>
    <n v="0"/>
    <m/>
    <n v="0"/>
    <n v="0"/>
    <s v="Private Equity Fund"/>
    <n v="0"/>
    <n v="2.1265999999999999E-4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q"/>
    <m/>
    <m/>
    <m/>
    <n v="137860.09"/>
    <m/>
    <m/>
    <m/>
    <m/>
    <n v="137860.09"/>
    <m/>
    <n v="137860.09"/>
    <n v="137860.09"/>
    <s v="Private Equity Fund"/>
    <n v="0"/>
    <n v="0"/>
    <m/>
    <m/>
    <m/>
    <m/>
    <m/>
    <m/>
    <m/>
    <m/>
    <m/>
    <m/>
    <m/>
    <m/>
    <m/>
    <d v="2018-09-26T00:00:00"/>
    <n v="-1.2019615632207401"/>
    <x v="1"/>
    <n v="0"/>
    <x v="196"/>
  </r>
  <r>
    <d v="2018-09-28T00:00:00"/>
    <x v="7"/>
    <s v="Series 1q"/>
    <n v="825421.79"/>
    <m/>
    <m/>
    <m/>
    <m/>
    <m/>
    <m/>
    <m/>
    <n v="0"/>
    <m/>
    <n v="0"/>
    <n v="0"/>
    <s v="Private Equity Fund"/>
    <n v="4.5240000000000002E-3"/>
    <n v="1.08726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q"/>
    <n v="944979.55810000002"/>
    <m/>
    <n v="1"/>
    <n v="90364.76999999999"/>
    <n v="0"/>
    <n v="0"/>
    <n v="0"/>
    <m/>
    <n v="90364.76999999999"/>
    <m/>
    <n v="-854614.78810000001"/>
    <n v="-854614.78810000001"/>
    <s v="Private Equity Fund"/>
    <n v="5.375308345625357E-3"/>
    <n v="5.6439919191757443E-3"/>
    <m/>
    <m/>
    <m/>
    <m/>
    <m/>
    <m/>
    <m/>
    <m/>
    <m/>
    <m/>
    <m/>
    <m/>
    <m/>
    <d v="2018-10-31T00:00:00"/>
    <n v="3.53673702992503E-2"/>
    <x v="1"/>
    <n v="0"/>
    <x v="197"/>
  </r>
  <r>
    <d v="2018-06-01T00:00:00"/>
    <x v="7"/>
    <s v="Series 1r"/>
    <m/>
    <m/>
    <m/>
    <n v="40000"/>
    <m/>
    <m/>
    <m/>
    <m/>
    <n v="40000"/>
    <m/>
    <n v="40000"/>
    <n v="4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r"/>
    <n v="40093.67"/>
    <m/>
    <m/>
    <m/>
    <m/>
    <m/>
    <m/>
    <m/>
    <n v="0"/>
    <m/>
    <n v="0"/>
    <n v="0"/>
    <s v="Private Equity Fund"/>
    <n v="0"/>
    <n v="1.6530000000000003E-5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r"/>
    <n v="40199.51"/>
    <m/>
    <m/>
    <m/>
    <m/>
    <m/>
    <m/>
    <m/>
    <n v="0"/>
    <m/>
    <n v="0"/>
    <n v="0"/>
    <s v="Private Equity Fund"/>
    <n v="0"/>
    <n v="3.5210000000000003E-5"/>
    <m/>
    <m/>
    <m/>
    <m/>
    <m/>
    <m/>
    <m/>
    <m/>
    <m/>
    <m/>
    <m/>
    <m/>
    <m/>
    <d v="2018-07-31T00:00:00"/>
    <n v="2.6398182057167929E-3"/>
    <x v="1"/>
    <n v="0"/>
    <x v="194"/>
  </r>
  <r>
    <d v="2018-08-17T00:00:00"/>
    <x v="7"/>
    <s v="Series 1r"/>
    <m/>
    <m/>
    <m/>
    <n v="-12609.116511780192"/>
    <m/>
    <m/>
    <m/>
    <m/>
    <n v="-12609.116511780192"/>
    <m/>
    <n v="-12609.116511780192"/>
    <n v="-12609.116511780192"/>
    <s v="Private Equity Fund"/>
    <n v="0"/>
    <n v="0"/>
    <m/>
    <m/>
    <m/>
    <m/>
    <m/>
    <m/>
    <m/>
    <m/>
    <m/>
    <m/>
    <m/>
    <m/>
    <m/>
    <d v="2018-08-17T00:00:00"/>
    <n v="-0.68633656201828852"/>
    <x v="1"/>
    <n v="0"/>
    <x v="195"/>
  </r>
  <r>
    <d v="2018-08-31T00:00:00"/>
    <x v="7"/>
    <s v="Series 1r"/>
    <n v="27409.84"/>
    <m/>
    <m/>
    <m/>
    <m/>
    <m/>
    <m/>
    <m/>
    <n v="0"/>
    <m/>
    <n v="0"/>
    <n v="0"/>
    <s v="Private Equity Fund"/>
    <n v="0"/>
    <n v="2.7140000000000001E-5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r"/>
    <m/>
    <m/>
    <m/>
    <n v="5514.4"/>
    <m/>
    <m/>
    <m/>
    <m/>
    <n v="5514.4"/>
    <m/>
    <n v="5514.4"/>
    <n v="5514.4"/>
    <s v="Private Equity Fund"/>
    <n v="0"/>
    <n v="0"/>
    <m/>
    <m/>
    <m/>
    <m/>
    <m/>
    <m/>
    <m/>
    <m/>
    <m/>
    <m/>
    <m/>
    <m/>
    <m/>
    <d v="2018-09-26T00:00:00"/>
    <n v="-1.2011832247105418"/>
    <x v="1"/>
    <n v="0"/>
    <x v="196"/>
  </r>
  <r>
    <d v="2018-09-28T00:00:00"/>
    <x v="7"/>
    <s v="Series 1r"/>
    <n v="33170.69"/>
    <m/>
    <m/>
    <m/>
    <m/>
    <m/>
    <m/>
    <m/>
    <n v="0"/>
    <m/>
    <n v="0"/>
    <n v="0"/>
    <s v="Private Equity Fund"/>
    <n v="0"/>
    <n v="7.0629999999999993E-5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r"/>
    <n v="37981.94"/>
    <m/>
    <n v="0.04"/>
    <n v="3614.6000000000017"/>
    <n v="0"/>
    <n v="0"/>
    <n v="0"/>
    <m/>
    <n v="3614.6000000000017"/>
    <m/>
    <n v="-34367.340000000004"/>
    <n v="-34367.340000000004"/>
    <s v="Private Equity Fund"/>
    <n v="0"/>
    <n v="2.580099767670286E-4"/>
    <m/>
    <m/>
    <m/>
    <m/>
    <m/>
    <m/>
    <m/>
    <m/>
    <m/>
    <m/>
    <m/>
    <m/>
    <m/>
    <d v="2018-10-31T00:00:00"/>
    <n v="3.607552330084185E-2"/>
    <x v="1"/>
    <n v="0"/>
    <x v="197"/>
  </r>
  <r>
    <d v="2018-06-01T00:00:00"/>
    <x v="7"/>
    <s v="Series 1s"/>
    <m/>
    <m/>
    <m/>
    <n v="1000000"/>
    <m/>
    <m/>
    <m/>
    <m/>
    <n v="1000000"/>
    <m/>
    <n v="1000000"/>
    <n v="1000000"/>
    <s v="Private Equity Fund"/>
    <n v="0"/>
    <n v="0"/>
    <m/>
    <m/>
    <m/>
    <m/>
    <m/>
    <m/>
    <m/>
    <m/>
    <m/>
    <m/>
    <m/>
    <m/>
    <m/>
    <d v="2018-06-01T00:00:00"/>
    <n v="-1"/>
    <x v="1"/>
    <n v="0"/>
    <x v="193"/>
  </r>
  <r>
    <d v="2018-06-30T00:00:00"/>
    <x v="7"/>
    <s v="Series 1s"/>
    <n v="1001393.71"/>
    <m/>
    <m/>
    <m/>
    <m/>
    <m/>
    <m/>
    <m/>
    <n v="0"/>
    <m/>
    <n v="0"/>
    <n v="0"/>
    <s v="Private Equity Fund"/>
    <n v="1.1153900000000002E-3"/>
    <n v="2.4594999999999999E-4"/>
    <m/>
    <m/>
    <m/>
    <m/>
    <m/>
    <m/>
    <m/>
    <m/>
    <m/>
    <m/>
    <m/>
    <m/>
    <m/>
    <d v="2018-06-30T00:00:00"/>
    <e v="#DIV/0!"/>
    <x v="1"/>
    <n v="0"/>
    <x v="193"/>
  </r>
  <r>
    <d v="2018-07-31T00:00:00"/>
    <x v="7"/>
    <s v="Series 1s"/>
    <n v="1002982.55"/>
    <m/>
    <m/>
    <m/>
    <m/>
    <m/>
    <m/>
    <m/>
    <n v="0"/>
    <m/>
    <n v="0"/>
    <n v="0"/>
    <s v="Private Equity Fund"/>
    <n v="0"/>
    <n v="5.2633000000000009E-4"/>
    <m/>
    <m/>
    <m/>
    <m/>
    <m/>
    <m/>
    <m/>
    <m/>
    <m/>
    <m/>
    <m/>
    <m/>
    <m/>
    <d v="2018-07-31T00:00:00"/>
    <n v="1.5866286997150425E-3"/>
    <x v="1"/>
    <n v="0"/>
    <x v="194"/>
  </r>
  <r>
    <d v="2018-08-17T00:00:00"/>
    <x v="7"/>
    <s v="Series 1s"/>
    <m/>
    <m/>
    <m/>
    <n v="-315227.92279450479"/>
    <m/>
    <m/>
    <m/>
    <m/>
    <n v="-315227.92279450479"/>
    <m/>
    <n v="-315227.92279450479"/>
    <n v="-315227.92279450479"/>
    <s v="Private Equity Fund"/>
    <n v="0"/>
    <n v="0"/>
    <m/>
    <m/>
    <m/>
    <m/>
    <m/>
    <m/>
    <m/>
    <m/>
    <m/>
    <m/>
    <m/>
    <m/>
    <m/>
    <d v="2018-08-17T00:00:00"/>
    <n v="-0.68570946444232272"/>
    <x v="1"/>
    <n v="0"/>
    <x v="195"/>
  </r>
  <r>
    <d v="2018-08-31T00:00:00"/>
    <x v="7"/>
    <s v="Series 1s"/>
    <n v="682888.94"/>
    <m/>
    <m/>
    <m/>
    <m/>
    <m/>
    <m/>
    <m/>
    <n v="0"/>
    <m/>
    <n v="0"/>
    <n v="0"/>
    <s v="Private Equity Fund"/>
    <n v="0"/>
    <n v="2.6266000000000001E-4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1s"/>
    <m/>
    <m/>
    <m/>
    <n v="137860.09"/>
    <m/>
    <m/>
    <m/>
    <m/>
    <n v="137860.09"/>
    <m/>
    <n v="137860.09"/>
    <n v="137860.09"/>
    <s v="Private Equity Fund"/>
    <n v="0"/>
    <n v="0"/>
    <m/>
    <m/>
    <m/>
    <m/>
    <m/>
    <m/>
    <m/>
    <m/>
    <m/>
    <m/>
    <m/>
    <m/>
    <m/>
    <d v="2018-09-26T00:00:00"/>
    <n v="-1.2018777606795037"/>
    <x v="1"/>
    <n v="0"/>
    <x v="196"/>
  </r>
  <r>
    <d v="2018-09-28T00:00:00"/>
    <x v="7"/>
    <s v="Series 1s"/>
    <n v="825853.55"/>
    <m/>
    <m/>
    <m/>
    <m/>
    <m/>
    <m/>
    <m/>
    <n v="0"/>
    <m/>
    <n v="0"/>
    <n v="0"/>
    <s v="Private Equity Fund"/>
    <n v="4.0160400000000002E-3"/>
    <n v="1.1634600000000001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1s"/>
    <n v="945490.76509999996"/>
    <m/>
    <n v="1"/>
    <n v="90364.76999999999"/>
    <n v="0"/>
    <n v="0"/>
    <n v="0"/>
    <m/>
    <n v="90364.76999999999"/>
    <m/>
    <n v="-855125.99509999994"/>
    <n v="-855125.99509999994"/>
    <s v="Private Equity Fund"/>
    <n v="4.7738841084913729E-3"/>
    <n v="5.7342049191757335E-3"/>
    <m/>
    <m/>
    <m/>
    <m/>
    <m/>
    <m/>
    <m/>
    <m/>
    <m/>
    <m/>
    <m/>
    <m/>
    <m/>
    <d v="2018-10-31T00:00:00"/>
    <n v="3.5445079941837099E-2"/>
    <x v="1"/>
    <n v="0"/>
    <x v="197"/>
  </r>
  <r>
    <d v="2018-08-17T00:00:00"/>
    <x v="7"/>
    <s v="Series 2a"/>
    <m/>
    <m/>
    <m/>
    <n v="615354.2389688543"/>
    <m/>
    <m/>
    <m/>
    <m/>
    <n v="615354.2389688543"/>
    <m/>
    <n v="615354.2389688543"/>
    <n v="615354.2389688543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a"/>
    <n v="742427.4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a"/>
    <m/>
    <m/>
    <m/>
    <n v="123884.71"/>
    <m/>
    <m/>
    <m/>
    <m/>
    <n v="123884.71"/>
    <m/>
    <n v="123884.71"/>
    <n v="123884.71"/>
    <s v="Private Equity Fund"/>
    <n v="0"/>
    <n v="0"/>
    <m/>
    <m/>
    <m/>
    <m/>
    <m/>
    <m/>
    <m/>
    <m/>
    <m/>
    <m/>
    <m/>
    <m/>
    <m/>
    <d v="2018-09-26T00:00:00"/>
    <n v="-1.1668644009170781"/>
    <x v="1"/>
    <n v="0"/>
    <x v="196"/>
  </r>
  <r>
    <d v="2018-09-28T00:00:00"/>
    <x v="7"/>
    <s v="Series 2a"/>
    <n v="746788.7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a"/>
    <n v="862115.54"/>
    <m/>
    <n v="0.89862635999999985"/>
    <n v="81204.710000000036"/>
    <n v="0"/>
    <n v="0"/>
    <n v="0"/>
    <m/>
    <n v="81204.710000000036"/>
    <m/>
    <n v="-780910.83"/>
    <n v="-780910.83"/>
    <s v="Private Equity Fund"/>
    <n v="0"/>
    <n v="0"/>
    <m/>
    <m/>
    <m/>
    <m/>
    <m/>
    <m/>
    <m/>
    <m/>
    <m/>
    <m/>
    <m/>
    <m/>
    <m/>
    <d v="2018-10-31T00:00:00"/>
    <n v="4.5691757484184858E-2"/>
    <x v="1"/>
    <n v="0"/>
    <x v="197"/>
  </r>
  <r>
    <d v="2018-08-17T00:00:00"/>
    <x v="7"/>
    <s v="Series 2b"/>
    <m/>
    <m/>
    <m/>
    <n v="1315789.9988014151"/>
    <m/>
    <m/>
    <m/>
    <m/>
    <n v="1315789.9988014151"/>
    <m/>
    <n v="1315789.9988014151"/>
    <n v="1315789.9988014151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b"/>
    <n v="1587506.9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b"/>
    <m/>
    <m/>
    <m/>
    <n v="264898.39"/>
    <m/>
    <m/>
    <m/>
    <m/>
    <n v="264898.39"/>
    <m/>
    <n v="264898.39"/>
    <n v="264898.39"/>
    <s v="Private Equity Fund"/>
    <n v="0"/>
    <n v="0"/>
    <m/>
    <m/>
    <m/>
    <m/>
    <m/>
    <m/>
    <m/>
    <m/>
    <m/>
    <m/>
    <m/>
    <m/>
    <m/>
    <d v="2018-09-26T00:00:00"/>
    <n v="-1.1668643970346082"/>
    <x v="1"/>
    <n v="0"/>
    <x v="196"/>
  </r>
  <r>
    <d v="2018-09-28T00:00:00"/>
    <x v="7"/>
    <s v="Series 2b"/>
    <n v="1596831.8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b"/>
    <n v="1843431.14"/>
    <m/>
    <n v="1.9215016999999999"/>
    <n v="173637.21999999997"/>
    <n v="0"/>
    <n v="0"/>
    <n v="0"/>
    <m/>
    <n v="173637.21999999997"/>
    <m/>
    <n v="-1669793.92"/>
    <n v="-1669793.92"/>
    <s v="Private Equity Fund"/>
    <n v="0"/>
    <n v="0"/>
    <m/>
    <m/>
    <m/>
    <m/>
    <m/>
    <m/>
    <m/>
    <m/>
    <m/>
    <m/>
    <m/>
    <m/>
    <m/>
    <d v="2018-10-31T00:00:00"/>
    <n v="4.569176773371586E-2"/>
    <x v="1"/>
    <n v="0"/>
    <x v="197"/>
  </r>
  <r>
    <d v="2018-08-17T00:00:00"/>
    <x v="7"/>
    <s v="Series 2c"/>
    <m/>
    <m/>
    <m/>
    <n v="1657267.2892863816"/>
    <m/>
    <m/>
    <m/>
    <m/>
    <n v="1657267.2892863816"/>
    <m/>
    <n v="1657267.2892863816"/>
    <n v="1657267.2892863816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c"/>
    <n v="1999501.7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c"/>
    <m/>
    <m/>
    <m/>
    <n v="333645.65000000002"/>
    <m/>
    <m/>
    <m/>
    <m/>
    <n v="333645.65000000002"/>
    <m/>
    <n v="333645.65000000002"/>
    <n v="333645.65000000002"/>
    <s v="Private Equity Fund"/>
    <n v="0"/>
    <n v="0"/>
    <m/>
    <m/>
    <m/>
    <m/>
    <m/>
    <m/>
    <m/>
    <m/>
    <m/>
    <m/>
    <m/>
    <m/>
    <m/>
    <d v="2018-09-26T00:00:00"/>
    <n v="-1.1668643975960171"/>
    <x v="1"/>
    <n v="0"/>
    <x v="196"/>
  </r>
  <r>
    <d v="2018-09-28T00:00:00"/>
    <x v="7"/>
    <s v="Series 2c"/>
    <n v="201124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c"/>
    <n v="2253292.46"/>
    <m/>
    <n v="2.4201758399999997"/>
    <n v="218700.09"/>
    <n v="0"/>
    <n v="0"/>
    <n v="0"/>
    <m/>
    <n v="218700.09"/>
    <m/>
    <n v="-2034592.3699999999"/>
    <n v="-2034592.3699999999"/>
    <s v="Private Equity Fund"/>
    <n v="0"/>
    <n v="0"/>
    <m/>
    <m/>
    <m/>
    <m/>
    <m/>
    <m/>
    <m/>
    <m/>
    <m/>
    <m/>
    <m/>
    <m/>
    <m/>
    <d v="2018-10-31T00:00:00"/>
    <n v="1.1607913701257688E-2"/>
    <x v="1"/>
    <n v="0"/>
    <x v="197"/>
  </r>
  <r>
    <d v="2018-08-17T00:00:00"/>
    <x v="7"/>
    <s v="Series 2d"/>
    <m/>
    <m/>
    <m/>
    <n v="1806182.6545612537"/>
    <m/>
    <m/>
    <m/>
    <m/>
    <n v="1806182.6545612537"/>
    <m/>
    <n v="1806182.6545612537"/>
    <n v="1806182.6545612537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d"/>
    <n v="2179168.200000000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d"/>
    <m/>
    <m/>
    <m/>
    <n v="363625.59"/>
    <m/>
    <m/>
    <m/>
    <m/>
    <n v="363625.59"/>
    <m/>
    <n v="363625.59"/>
    <n v="363625.59"/>
    <s v="Private Equity Fund"/>
    <n v="0"/>
    <n v="0"/>
    <m/>
    <m/>
    <m/>
    <m/>
    <m/>
    <m/>
    <m/>
    <m/>
    <m/>
    <m/>
    <m/>
    <m/>
    <m/>
    <d v="2018-09-26T00:00:00"/>
    <n v="-1.1668643980762936"/>
    <x v="1"/>
    <n v="0"/>
    <x v="196"/>
  </r>
  <r>
    <d v="2018-09-28T00:00:00"/>
    <x v="7"/>
    <s v="Series 2d"/>
    <n v="2191968.3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d"/>
    <n v="2599025.85"/>
    <m/>
    <n v="2.6376422499999999"/>
    <n v="238351.54000000004"/>
    <n v="0"/>
    <n v="0"/>
    <n v="0"/>
    <m/>
    <n v="238351.54000000004"/>
    <m/>
    <n v="-2360674.31"/>
    <n v="-2360674.31"/>
    <s v="Private Equity Fund"/>
    <n v="0"/>
    <n v="0"/>
    <m/>
    <m/>
    <m/>
    <m/>
    <m/>
    <m/>
    <m/>
    <m/>
    <m/>
    <m/>
    <m/>
    <m/>
    <m/>
    <d v="2018-10-31T00:00:00"/>
    <n v="7.69655091050927E-2"/>
    <x v="1"/>
    <n v="0"/>
    <x v="197"/>
  </r>
  <r>
    <d v="2018-08-17T00:00:00"/>
    <x v="7"/>
    <s v="Series 2e"/>
    <m/>
    <m/>
    <m/>
    <n v="1697747.7300869208"/>
    <m/>
    <m/>
    <m/>
    <m/>
    <n v="1697747.7300869208"/>
    <m/>
    <n v="1697747.7300869208"/>
    <n v="1697747.7300869208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e"/>
    <n v="2048341.5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e"/>
    <m/>
    <m/>
    <m/>
    <n v="341795.28"/>
    <m/>
    <m/>
    <m/>
    <m/>
    <n v="341795.28"/>
    <m/>
    <n v="341795.28"/>
    <n v="341795.28"/>
    <s v="Private Equity Fund"/>
    <n v="0"/>
    <n v="0"/>
    <m/>
    <m/>
    <m/>
    <m/>
    <m/>
    <m/>
    <m/>
    <m/>
    <m/>
    <m/>
    <m/>
    <m/>
    <m/>
    <d v="2018-09-26T00:00:00"/>
    <n v="-1.1668643981761733"/>
    <x v="1"/>
    <n v="0"/>
    <x v="196"/>
  </r>
  <r>
    <d v="2018-09-28T00:00:00"/>
    <x v="7"/>
    <s v="Series 2e"/>
    <n v="2060372.7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e"/>
    <n v="2378556.89"/>
    <m/>
    <n v="2.4792910499999996"/>
    <n v="224042.05000000002"/>
    <n v="0"/>
    <n v="0"/>
    <n v="0"/>
    <m/>
    <n v="224042.05000000002"/>
    <m/>
    <n v="-2154514.8400000003"/>
    <n v="-2154514.8400000003"/>
    <s v="Private Equity Fund"/>
    <n v="0"/>
    <n v="0"/>
    <m/>
    <m/>
    <m/>
    <m/>
    <m/>
    <m/>
    <m/>
    <m/>
    <m/>
    <m/>
    <m/>
    <m/>
    <m/>
    <d v="2018-10-31T00:00:00"/>
    <n v="4.5691786068242202E-2"/>
    <x v="1"/>
    <n v="0"/>
    <x v="197"/>
  </r>
  <r>
    <d v="2018-08-17T00:00:00"/>
    <x v="7"/>
    <s v="Series 2f"/>
    <m/>
    <m/>
    <m/>
    <n v="81006.866316168715"/>
    <m/>
    <m/>
    <m/>
    <m/>
    <n v="81006.866316168715"/>
    <m/>
    <n v="81006.866316168715"/>
    <n v="81006.866316168715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f"/>
    <n v="-20562.3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f"/>
    <m/>
    <m/>
    <m/>
    <n v="16308.44"/>
    <m/>
    <m/>
    <m/>
    <m/>
    <n v="16308.44"/>
    <m/>
    <n v="16308.44"/>
    <n v="16308.44"/>
    <s v="Private Equity Fund"/>
    <n v="0"/>
    <n v="0"/>
    <m/>
    <m/>
    <m/>
    <m/>
    <m/>
    <m/>
    <m/>
    <m/>
    <m/>
    <m/>
    <m/>
    <m/>
    <m/>
    <d v="2018-09-26T00:00:00"/>
    <n v="-0.20687897692677304"/>
    <x v="1"/>
    <n v="0"/>
    <x v="196"/>
  </r>
  <r>
    <d v="2018-09-28T00:00:00"/>
    <x v="7"/>
    <s v="Series 2f"/>
    <n v="98309.18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f"/>
    <n v="103199.24"/>
    <m/>
    <n v="0.11829707"/>
    <n v="10689.960000000003"/>
    <n v="0"/>
    <n v="0"/>
    <n v="0"/>
    <m/>
    <n v="10689.960000000003"/>
    <m/>
    <n v="-92509.28"/>
    <n v="-92509.28"/>
    <s v="Private Equity Fund"/>
    <n v="0"/>
    <n v="0"/>
    <m/>
    <m/>
    <m/>
    <m/>
    <m/>
    <m/>
    <m/>
    <m/>
    <m/>
    <m/>
    <m/>
    <m/>
    <m/>
    <d v="2018-10-31T00:00:00"/>
    <n v="-5.8996525044761827E-2"/>
    <x v="1"/>
    <n v="0"/>
    <x v="197"/>
  </r>
  <r>
    <d v="2018-08-17T00:00:00"/>
    <x v="7"/>
    <s v="Series 2g"/>
    <m/>
    <m/>
    <m/>
    <n v="276428.7702094643"/>
    <m/>
    <m/>
    <m/>
    <m/>
    <n v="276428.7702094643"/>
    <m/>
    <n v="276428.7702094643"/>
    <n v="276428.7702094643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g"/>
    <n v="332595.14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g"/>
    <m/>
    <m/>
    <m/>
    <n v="55651.39"/>
    <m/>
    <m/>
    <m/>
    <m/>
    <n v="55651.39"/>
    <m/>
    <n v="55651.39"/>
    <n v="55651.39"/>
    <s v="Private Equity Fund"/>
    <n v="0"/>
    <n v="0"/>
    <m/>
    <m/>
    <m/>
    <m/>
    <m/>
    <m/>
    <m/>
    <m/>
    <m/>
    <m/>
    <m/>
    <m/>
    <m/>
    <d v="2018-09-26T00:00:00"/>
    <n v="-1.1673247239872477"/>
    <x v="1"/>
    <n v="0"/>
    <x v="196"/>
  </r>
  <r>
    <d v="2018-09-28T00:00:00"/>
    <x v="7"/>
    <s v="Series 2g"/>
    <n v="333820.7"/>
    <m/>
    <m/>
    <m/>
    <m/>
    <m/>
    <m/>
    <m/>
    <n v="0"/>
    <m/>
    <n v="0"/>
    <n v="0"/>
    <s v="Private Equity Fund"/>
    <n v="1.3438299999999999E-3"/>
    <n v="3.0714999999999996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g"/>
    <n v="383034.77799999999"/>
    <m/>
    <n v="0.40368021000000004"/>
    <n v="36478.710000000014"/>
    <n v="0"/>
    <n v="0"/>
    <n v="0"/>
    <m/>
    <n v="36478.710000000014"/>
    <m/>
    <n v="-346556.06799999997"/>
    <n v="-346556.06799999997"/>
    <s v="Private Equity Fund"/>
    <n v="1.6893278226068128E-3"/>
    <n v="2.5545719685803455E-3"/>
    <m/>
    <m/>
    <m/>
    <m/>
    <m/>
    <m/>
    <m/>
    <m/>
    <m/>
    <m/>
    <m/>
    <m/>
    <m/>
    <d v="2018-10-31T00:00:00"/>
    <n v="3.8150324410679115E-2"/>
    <x v="1"/>
    <n v="0"/>
    <x v="197"/>
  </r>
  <r>
    <d v="2018-08-17T00:00:00"/>
    <x v="7"/>
    <s v="Series 2h"/>
    <m/>
    <m/>
    <m/>
    <n v="258614.24866045982"/>
    <m/>
    <m/>
    <m/>
    <m/>
    <n v="258614.24866045982"/>
    <m/>
    <n v="258614.24866045982"/>
    <n v="258614.24866045982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h"/>
    <n v="311161.0900000000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h"/>
    <m/>
    <m/>
    <m/>
    <n v="52064.94"/>
    <m/>
    <m/>
    <m/>
    <m/>
    <n v="52064.94"/>
    <m/>
    <n v="52064.94"/>
    <n v="52064.94"/>
    <s v="Private Equity Fund"/>
    <n v="0"/>
    <n v="0"/>
    <m/>
    <m/>
    <m/>
    <m/>
    <m/>
    <m/>
    <m/>
    <m/>
    <m/>
    <m/>
    <m/>
    <m/>
    <m/>
    <d v="2018-09-26T00:00:00"/>
    <n v="-1.1673247127396296"/>
    <x v="1"/>
    <n v="0"/>
    <x v="196"/>
  </r>
  <r>
    <d v="2018-09-28T00:00:00"/>
    <x v="7"/>
    <s v="Series 2h"/>
    <n v="312307.55"/>
    <m/>
    <m/>
    <m/>
    <m/>
    <m/>
    <m/>
    <m/>
    <n v="0"/>
    <m/>
    <n v="0"/>
    <n v="0"/>
    <s v="Private Equity Fund"/>
    <n v="1.2572200000000001E-3"/>
    <n v="2.8736000000000001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h"/>
    <n v="358350.04580000002"/>
    <m/>
    <n v="0.37766508999999998"/>
    <n v="34127.839999999997"/>
    <n v="0"/>
    <n v="0"/>
    <n v="0"/>
    <m/>
    <n v="34127.839999999997"/>
    <m/>
    <n v="-324222.2058"/>
    <n v="-324222.2058"/>
    <s v="Private Equity Fund"/>
    <n v="1.5804589391823695E-3"/>
    <n v="2.3899442009310211E-3"/>
    <m/>
    <m/>
    <m/>
    <m/>
    <m/>
    <m/>
    <m/>
    <m/>
    <m/>
    <m/>
    <m/>
    <m/>
    <m/>
    <d v="2018-10-31T00:00:00"/>
    <n v="3.8150393098085544E-2"/>
    <x v="1"/>
    <n v="0"/>
    <x v="197"/>
  </r>
  <r>
    <d v="2018-08-17T00:00:00"/>
    <x v="7"/>
    <s v="Series 2i"/>
    <m/>
    <m/>
    <m/>
    <n v="2676009.9033536147"/>
    <m/>
    <m/>
    <m/>
    <m/>
    <n v="2676009.9033536147"/>
    <m/>
    <n v="2676009.9033536147"/>
    <n v="2676009.9033536147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i"/>
    <n v="3219736.85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i"/>
    <m/>
    <m/>
    <m/>
    <n v="538741.56000000006"/>
    <m/>
    <m/>
    <m/>
    <m/>
    <n v="538741.56000000006"/>
    <m/>
    <n v="538741.56000000006"/>
    <n v="538741.56000000006"/>
    <s v="Private Equity Fund"/>
    <n v="0"/>
    <n v="0"/>
    <m/>
    <m/>
    <m/>
    <m/>
    <m/>
    <m/>
    <m/>
    <m/>
    <m/>
    <m/>
    <m/>
    <m/>
    <m/>
    <d v="2018-09-26T00:00:00"/>
    <n v="-1.1673247178569888"/>
    <x v="1"/>
    <n v="0"/>
    <x v="196"/>
  </r>
  <r>
    <d v="2018-09-28T00:00:00"/>
    <x v="7"/>
    <s v="Series 2i"/>
    <n v="3231600.94"/>
    <m/>
    <m/>
    <m/>
    <m/>
    <m/>
    <m/>
    <m/>
    <n v="0"/>
    <m/>
    <n v="0"/>
    <n v="0"/>
    <s v="Private Equity Fund"/>
    <n v="1.3009120000000001E-2"/>
    <n v="2.9734399999999999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i"/>
    <n v="3708025.2570000002"/>
    <m/>
    <n v="3.9078864599999998"/>
    <n v="353137.61999999994"/>
    <n v="0"/>
    <n v="0"/>
    <n v="0"/>
    <m/>
    <n v="353137.61999999994"/>
    <m/>
    <n v="-3354887.6370000001"/>
    <n v="-3354887.6370000001"/>
    <s v="Private Equity Fund"/>
    <n v="1.6353789707124488E-2"/>
    <n v="2.4729912996957752E-2"/>
    <m/>
    <m/>
    <m/>
    <m/>
    <m/>
    <m/>
    <m/>
    <m/>
    <m/>
    <m/>
    <m/>
    <m/>
    <m/>
    <d v="2018-10-31T00:00:00"/>
    <n v="3.8150346929902934E-2"/>
    <x v="1"/>
    <n v="0"/>
    <x v="197"/>
  </r>
  <r>
    <d v="2018-08-17T00:00:00"/>
    <x v="7"/>
    <s v="Series 2j"/>
    <m/>
    <m/>
    <m/>
    <n v="187965.91718211613"/>
    <m/>
    <m/>
    <m/>
    <m/>
    <n v="187965.91718211613"/>
    <m/>
    <n v="187965.91718211613"/>
    <n v="187965.91718211613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j"/>
    <n v="226157.8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j"/>
    <m/>
    <m/>
    <m/>
    <n v="37841.800000000003"/>
    <m/>
    <m/>
    <m/>
    <m/>
    <n v="37841.800000000003"/>
    <m/>
    <n v="37841.800000000003"/>
    <n v="37841.800000000003"/>
    <s v="Private Equity Fund"/>
    <n v="0"/>
    <n v="0"/>
    <m/>
    <m/>
    <m/>
    <m/>
    <m/>
    <m/>
    <m/>
    <m/>
    <m/>
    <m/>
    <m/>
    <m/>
    <m/>
    <d v="2018-09-26T00:00:00"/>
    <n v="-1.1673247173456629"/>
    <x v="1"/>
    <n v="0"/>
    <x v="196"/>
  </r>
  <r>
    <d v="2018-09-28T00:00:00"/>
    <x v="7"/>
    <s v="Series 2j"/>
    <n v="226991.24"/>
    <m/>
    <m/>
    <m/>
    <m/>
    <m/>
    <m/>
    <m/>
    <n v="0"/>
    <m/>
    <n v="0"/>
    <n v="0"/>
    <s v="Private Equity Fund"/>
    <n v="9.1376999999999995E-4"/>
    <n v="2.0886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j"/>
    <n v="260455.8126"/>
    <m/>
    <n v="0.27449425"/>
    <n v="24804.769999999997"/>
    <n v="0"/>
    <n v="0"/>
    <n v="0"/>
    <m/>
    <n v="24804.769999999997"/>
    <m/>
    <n v="-235651.04260000002"/>
    <n v="-235651.04260000002"/>
    <s v="Private Equity Fund"/>
    <n v="1.148708324366896E-3"/>
    <n v="1.7370574226825877E-3"/>
    <m/>
    <m/>
    <m/>
    <m/>
    <m/>
    <m/>
    <m/>
    <m/>
    <m/>
    <m/>
    <m/>
    <m/>
    <m/>
    <d v="2018-10-31T00:00:00"/>
    <n v="3.8150382367178715E-2"/>
    <x v="1"/>
    <n v="0"/>
    <x v="197"/>
  </r>
  <r>
    <d v="2018-08-17T00:00:00"/>
    <x v="7"/>
    <s v="Series 2k"/>
    <m/>
    <m/>
    <m/>
    <n v="136270.74163617956"/>
    <m/>
    <m/>
    <m/>
    <m/>
    <n v="136270.74163617956"/>
    <m/>
    <n v="136270.74163617956"/>
    <n v="136270.74163617956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k"/>
    <n v="163958.82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k"/>
    <m/>
    <m/>
    <m/>
    <n v="27434.36"/>
    <m/>
    <m/>
    <m/>
    <m/>
    <n v="27434.36"/>
    <m/>
    <n v="27434.36"/>
    <n v="27434.36"/>
    <s v="Private Equity Fund"/>
    <n v="0"/>
    <n v="0"/>
    <m/>
    <m/>
    <m/>
    <m/>
    <m/>
    <m/>
    <m/>
    <m/>
    <m/>
    <m/>
    <m/>
    <m/>
    <m/>
    <d v="2018-09-26T00:00:00"/>
    <n v="-1.1673246977503253"/>
    <x v="1"/>
    <n v="0"/>
    <x v="196"/>
  </r>
  <r>
    <d v="2018-09-28T00:00:00"/>
    <x v="7"/>
    <s v="Series 2k"/>
    <n v="164563.12"/>
    <m/>
    <m/>
    <m/>
    <m/>
    <m/>
    <m/>
    <m/>
    <n v="0"/>
    <m/>
    <n v="0"/>
    <n v="0"/>
    <s v="Private Equity Fund"/>
    <n v="6.6246000000000002E-4"/>
    <n v="1.5141999999999998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k"/>
    <n v="188824.10819999999"/>
    <m/>
    <n v="0.1990015"/>
    <n v="17982.849999999995"/>
    <n v="0"/>
    <n v="0"/>
    <n v="0"/>
    <m/>
    <n v="17982.849999999995"/>
    <m/>
    <n v="-170841.25819999998"/>
    <n v="-170841.25819999998"/>
    <s v="Private Equity Fund"/>
    <n v="8.3278536552482368E-4"/>
    <n v="1.2593217545730701E-3"/>
    <m/>
    <m/>
    <m/>
    <m/>
    <m/>
    <m/>
    <m/>
    <m/>
    <m/>
    <m/>
    <m/>
    <m/>
    <m/>
    <d v="2018-10-31T00:00:00"/>
    <n v="3.8150335263453794E-2"/>
    <x v="1"/>
    <n v="0"/>
    <x v="197"/>
  </r>
  <r>
    <d v="2018-08-17T00:00:00"/>
    <x v="7"/>
    <s v="Series 2l"/>
    <m/>
    <m/>
    <m/>
    <n v="21623.539122453571"/>
    <m/>
    <m/>
    <m/>
    <m/>
    <n v="21623.539122453571"/>
    <m/>
    <n v="21623.539122453571"/>
    <n v="21623.539122453571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l"/>
    <n v="26089.1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l"/>
    <m/>
    <m/>
    <m/>
    <n v="4353.3500000000004"/>
    <m/>
    <m/>
    <m/>
    <m/>
    <n v="4353.3500000000004"/>
    <m/>
    <n v="4353.3500000000004"/>
    <n v="4353.3500000000004"/>
    <s v="Private Equity Fund"/>
    <n v="0"/>
    <n v="0"/>
    <m/>
    <m/>
    <m/>
    <m/>
    <m/>
    <m/>
    <m/>
    <m/>
    <m/>
    <m/>
    <m/>
    <m/>
    <m/>
    <d v="2018-09-26T00:00:00"/>
    <n v="-1.1668643221935855"/>
    <x v="1"/>
    <n v="0"/>
    <x v="196"/>
  </r>
  <r>
    <d v="2018-09-28T00:00:00"/>
    <x v="7"/>
    <s v="Series 2l"/>
    <n v="26242.1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l"/>
    <n v="30294.82"/>
    <m/>
    <n v="3.1578040000000002E-2"/>
    <n v="2853.5600000000009"/>
    <n v="0"/>
    <n v="0"/>
    <n v="0"/>
    <m/>
    <n v="2853.5600000000009"/>
    <m/>
    <n v="-27441.26"/>
    <n v="-27441.26"/>
    <s v="Private Equity Fund"/>
    <n v="0"/>
    <n v="0"/>
    <m/>
    <m/>
    <m/>
    <m/>
    <m/>
    <m/>
    <m/>
    <m/>
    <m/>
    <m/>
    <m/>
    <m/>
    <m/>
    <d v="2018-10-31T00:00:00"/>
    <n v="4.5692451735163786E-2"/>
    <x v="1"/>
    <n v="0"/>
    <x v="197"/>
  </r>
  <r>
    <d v="2018-08-17T00:00:00"/>
    <x v="7"/>
    <s v="Series 2m"/>
    <m/>
    <m/>
    <m/>
    <n v="68477.568777712513"/>
    <m/>
    <m/>
    <m/>
    <m/>
    <n v="68477.568777712513"/>
    <m/>
    <n v="68477.568777712513"/>
    <n v="68477.568777712513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m"/>
    <n v="51095.6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m"/>
    <m/>
    <m/>
    <m/>
    <n v="13786.01"/>
    <m/>
    <m/>
    <m/>
    <m/>
    <n v="13786.01"/>
    <m/>
    <n v="13786.01"/>
    <n v="13786.01"/>
    <s v="Private Equity Fund"/>
    <n v="0"/>
    <n v="0"/>
    <m/>
    <m/>
    <m/>
    <m/>
    <m/>
    <m/>
    <m/>
    <m/>
    <m/>
    <m/>
    <m/>
    <m/>
    <m/>
    <d v="2018-09-26T00:00:00"/>
    <n v="-1.269808110716361"/>
    <x v="1"/>
    <n v="0"/>
    <x v="196"/>
  </r>
  <r>
    <d v="2018-09-28T00:00:00"/>
    <x v="7"/>
    <s v="Series 2m"/>
    <n v="83103.7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m"/>
    <n v="87237.52"/>
    <m/>
    <n v="0.1"/>
    <n v="9036.5399999999954"/>
    <n v="0"/>
    <n v="0"/>
    <n v="0"/>
    <m/>
    <n v="9036.5399999999954"/>
    <m/>
    <n v="-78200.98000000001"/>
    <n v="-78200.98000000001"/>
    <s v="Private Equity Fund"/>
    <n v="0"/>
    <n v="0"/>
    <m/>
    <m/>
    <m/>
    <m/>
    <m/>
    <m/>
    <m/>
    <m/>
    <m/>
    <m/>
    <m/>
    <m/>
    <m/>
    <d v="2018-10-31T00:00:00"/>
    <n v="-5.8995546890614703E-2"/>
    <x v="1"/>
    <n v="0"/>
    <x v="197"/>
  </r>
  <r>
    <d v="2018-08-17T00:00:00"/>
    <x v="7"/>
    <s v="Series 2n"/>
    <m/>
    <m/>
    <m/>
    <n v="821725.8253325501"/>
    <m/>
    <m/>
    <m/>
    <m/>
    <n v="821725.8253325501"/>
    <m/>
    <n v="821725.8253325501"/>
    <n v="821725.8253325501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n"/>
    <n v="611394.16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n"/>
    <m/>
    <m/>
    <m/>
    <n v="165432.1"/>
    <m/>
    <m/>
    <m/>
    <m/>
    <n v="165432.1"/>
    <m/>
    <n v="165432.1"/>
    <n v="165432.1"/>
    <s v="Private Equity Fund"/>
    <n v="0"/>
    <n v="0"/>
    <m/>
    <m/>
    <m/>
    <m/>
    <m/>
    <m/>
    <m/>
    <m/>
    <m/>
    <m/>
    <m/>
    <m/>
    <m/>
    <d v="2018-09-26T00:00:00"/>
    <n v="-1.2705817471334695"/>
    <x v="1"/>
    <n v="0"/>
    <x v="196"/>
  </r>
  <r>
    <d v="2018-09-28T00:00:00"/>
    <x v="7"/>
    <s v="Series 2n"/>
    <n v="992331.92"/>
    <m/>
    <m/>
    <m/>
    <m/>
    <m/>
    <m/>
    <m/>
    <n v="0"/>
    <m/>
    <n v="0"/>
    <n v="0"/>
    <s v="Private Equity Fund"/>
    <n v="3.9947300000000002E-3"/>
    <n v="9.1305999999999994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n"/>
    <n v="969430.77"/>
    <m/>
    <n v="1.2"/>
    <n v="161648.78999999998"/>
    <n v="0"/>
    <n v="0"/>
    <n v="0"/>
    <m/>
    <n v="161648.78999999998"/>
    <m/>
    <n v="-807781.98"/>
    <n v="-807781.98"/>
    <s v="Private Equity Fund"/>
    <n v="5.1202839400407716E-3"/>
    <n v="0"/>
    <m/>
    <m/>
    <m/>
    <m/>
    <m/>
    <m/>
    <m/>
    <m/>
    <m/>
    <m/>
    <m/>
    <m/>
    <m/>
    <d v="2018-10-31T00:00:00"/>
    <n v="-0.18597601899171001"/>
    <x v="1"/>
    <n v="0"/>
    <x v="197"/>
  </r>
  <r>
    <d v="2018-08-17T00:00:00"/>
    <x v="7"/>
    <s v="Series 2o"/>
    <m/>
    <m/>
    <m/>
    <n v="109563.31004434002"/>
    <m/>
    <m/>
    <m/>
    <m/>
    <n v="109563.31004434002"/>
    <m/>
    <n v="109563.31004434002"/>
    <n v="109563.31004434002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o"/>
    <n v="132188.8599999999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o"/>
    <m/>
    <m/>
    <m/>
    <n v="22057.61"/>
    <m/>
    <m/>
    <m/>
    <m/>
    <n v="22057.61"/>
    <m/>
    <n v="22057.61"/>
    <n v="22057.61"/>
    <s v="Private Equity Fund"/>
    <n v="0"/>
    <n v="0"/>
    <m/>
    <m/>
    <m/>
    <m/>
    <m/>
    <m/>
    <m/>
    <m/>
    <m/>
    <m/>
    <m/>
    <m/>
    <m/>
    <d v="2018-09-26T00:00:00"/>
    <n v="-1.1668643636082496"/>
    <x v="1"/>
    <n v="0"/>
    <x v="196"/>
  </r>
  <r>
    <d v="2018-09-28T00:00:00"/>
    <x v="7"/>
    <s v="Series 2o"/>
    <n v="132763.51999999999"/>
    <m/>
    <m/>
    <m/>
    <m/>
    <m/>
    <m/>
    <m/>
    <n v="0"/>
    <m/>
    <n v="0"/>
    <n v="0"/>
    <s v="Private Equity Fund"/>
    <n v="0"/>
    <n v="2.0163999999999997E-4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o"/>
    <n v="152386.09099999999"/>
    <m/>
    <n v="0.16"/>
    <n v="14458.460000000003"/>
    <n v="0"/>
    <n v="0"/>
    <n v="0"/>
    <m/>
    <n v="14458.460000000003"/>
    <m/>
    <n v="-137927.63099999999"/>
    <n v="-137927.63099999999"/>
    <s v="Private Equity Fund"/>
    <n v="0"/>
    <n v="1.1129489933489997E-3"/>
    <m/>
    <m/>
    <m/>
    <m/>
    <m/>
    <m/>
    <m/>
    <m/>
    <m/>
    <m/>
    <m/>
    <m/>
    <m/>
    <d v="2018-10-31T00:00:00"/>
    <n v="3.8897062988387132E-2"/>
    <x v="1"/>
    <n v="0"/>
    <x v="197"/>
  </r>
  <r>
    <d v="2018-08-17T00:00:00"/>
    <x v="7"/>
    <s v="Series 2p"/>
    <m/>
    <m/>
    <m/>
    <n v="6847715.8777712509"/>
    <m/>
    <m/>
    <m/>
    <m/>
    <n v="6847715.8777712509"/>
    <m/>
    <n v="6847715.8777712509"/>
    <n v="6847715.8777712509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p"/>
    <n v="5094951.99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p"/>
    <m/>
    <m/>
    <m/>
    <n v="1378600.86"/>
    <m/>
    <m/>
    <m/>
    <m/>
    <n v="1378600.86"/>
    <m/>
    <n v="1378600.86"/>
    <n v="1378600.86"/>
    <s v="Private Equity Fund"/>
    <n v="0"/>
    <n v="0"/>
    <m/>
    <m/>
    <m/>
    <m/>
    <m/>
    <m/>
    <m/>
    <m/>
    <m/>
    <m/>
    <m/>
    <m/>
    <m/>
    <d v="2018-09-26T00:00:00"/>
    <n v="-1.270581717493279"/>
    <x v="1"/>
    <n v="0"/>
    <x v="196"/>
  </r>
  <r>
    <d v="2018-09-28T00:00:00"/>
    <x v="7"/>
    <s v="Series 2p"/>
    <n v="8269433.3499999996"/>
    <m/>
    <m/>
    <m/>
    <m/>
    <m/>
    <m/>
    <m/>
    <n v="0"/>
    <m/>
    <n v="0"/>
    <n v="0"/>
    <s v="Private Equity Fund"/>
    <n v="3.3289390000000002E-2"/>
    <n v="7.6088100000000006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p"/>
    <n v="8680595.9000000004"/>
    <m/>
    <n v="10"/>
    <n v="903653.73"/>
    <n v="0"/>
    <n v="0"/>
    <n v="0"/>
    <m/>
    <n v="903653.73"/>
    <m/>
    <n v="-7776942.1699999999"/>
    <n v="-7776942.1699999999"/>
    <s v="Private Equity Fund"/>
    <n v="4.3073670606504154E-2"/>
    <n v="0"/>
    <m/>
    <m/>
    <m/>
    <m/>
    <m/>
    <m/>
    <m/>
    <m/>
    <m/>
    <m/>
    <m/>
    <m/>
    <m/>
    <d v="2018-10-31T00:00:00"/>
    <n v="-5.9555613928492401E-2"/>
    <x v="1"/>
    <n v="0"/>
    <x v="197"/>
  </r>
  <r>
    <d v="2018-08-17T00:00:00"/>
    <x v="7"/>
    <s v="Series 2q"/>
    <m/>
    <m/>
    <m/>
    <n v="1032370.2269021661"/>
    <m/>
    <m/>
    <m/>
    <m/>
    <n v="1032370.2269021661"/>
    <m/>
    <n v="1032370.2269021661"/>
    <n v="1032370.2269021661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q"/>
    <n v="1242335.3500000001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q"/>
    <m/>
    <m/>
    <m/>
    <n v="207839.64"/>
    <m/>
    <m/>
    <m/>
    <m/>
    <n v="207839.64"/>
    <m/>
    <n v="207839.64"/>
    <n v="207839.64"/>
    <s v="Private Equity Fund"/>
    <n v="0"/>
    <n v="0"/>
    <m/>
    <m/>
    <m/>
    <m/>
    <m/>
    <m/>
    <m/>
    <m/>
    <m/>
    <m/>
    <m/>
    <m/>
    <m/>
    <d v="2018-09-26T00:00:00"/>
    <n v="-1.1672975336329277"/>
    <x v="1"/>
    <n v="0"/>
    <x v="196"/>
  </r>
  <r>
    <d v="2018-09-28T00:00:00"/>
    <x v="7"/>
    <s v="Series 2q"/>
    <n v="1246993.52"/>
    <m/>
    <m/>
    <m/>
    <m/>
    <m/>
    <m/>
    <m/>
    <n v="0"/>
    <m/>
    <n v="0"/>
    <n v="0"/>
    <s v="Private Equity Fund"/>
    <n v="4.6854100000000001E-3"/>
    <n v="1.1971199999999999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q"/>
    <n v="1430842.3674999999"/>
    <m/>
    <n v="1.5076128999999998"/>
    <n v="136236.00000000006"/>
    <n v="0"/>
    <n v="0"/>
    <n v="0"/>
    <m/>
    <n v="136236.00000000006"/>
    <m/>
    <n v="-1294606.3674999999"/>
    <n v="-1294606.3674999999"/>
    <s v="Private Equity Fund"/>
    <n v="5.9164501527957016E-3"/>
    <n v="9.5993824646750919E-3"/>
    <m/>
    <m/>
    <m/>
    <m/>
    <m/>
    <m/>
    <m/>
    <m/>
    <m/>
    <m/>
    <m/>
    <m/>
    <m/>
    <d v="2018-10-31T00:00:00"/>
    <n v="3.8182113007291241E-2"/>
    <x v="1"/>
    <n v="0"/>
    <x v="197"/>
  </r>
  <r>
    <d v="2018-08-17T00:00:00"/>
    <x v="7"/>
    <s v="Series 2r"/>
    <m/>
    <m/>
    <m/>
    <n v="1369543.3755542503"/>
    <m/>
    <m/>
    <m/>
    <m/>
    <n v="1369543.3755542503"/>
    <m/>
    <n v="1369543.3755542503"/>
    <n v="1369543.3755542503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2r"/>
    <n v="1018980.6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2r"/>
    <m/>
    <m/>
    <m/>
    <n v="275720.17"/>
    <m/>
    <m/>
    <m/>
    <m/>
    <n v="275720.17"/>
    <m/>
    <n v="275720.17"/>
    <n v="275720.17"/>
    <s v="Private Equity Fund"/>
    <n v="0"/>
    <n v="0"/>
    <m/>
    <m/>
    <m/>
    <m/>
    <m/>
    <m/>
    <m/>
    <m/>
    <m/>
    <m/>
    <m/>
    <m/>
    <m/>
    <d v="2018-09-26T00:00:00"/>
    <n v="-1.2705843093406006"/>
    <x v="1"/>
    <n v="0"/>
    <x v="196"/>
  </r>
  <r>
    <d v="2018-09-28T00:00:00"/>
    <x v="7"/>
    <s v="Series 2r"/>
    <n v="1653886.87"/>
    <m/>
    <m/>
    <m/>
    <m/>
    <m/>
    <m/>
    <m/>
    <n v="0"/>
    <m/>
    <n v="0"/>
    <n v="0"/>
    <s v="Private Equity Fund"/>
    <n v="6.6578799999999997E-3"/>
    <n v="1.52176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2r"/>
    <n v="1736119.57"/>
    <m/>
    <n v="2"/>
    <n v="180730.74"/>
    <n v="0"/>
    <n v="0"/>
    <n v="0"/>
    <m/>
    <n v="180730.74"/>
    <m/>
    <n v="-1555388.83"/>
    <n v="-1555388.83"/>
    <s v="Private Equity Fund"/>
    <n v="8.6147347858213773E-3"/>
    <n v="0"/>
    <m/>
    <m/>
    <m/>
    <m/>
    <m/>
    <m/>
    <m/>
    <m/>
    <m/>
    <m/>
    <m/>
    <m/>
    <m/>
    <d v="2018-10-31T00:00:00"/>
    <n v="-5.9555488217885144E-2"/>
    <x v="1"/>
    <n v="0"/>
    <x v="197"/>
  </r>
  <r>
    <d v="2018-10-31T00:00:00"/>
    <x v="7"/>
    <s v="Series 3a"/>
    <n v="6899.32"/>
    <m/>
    <n v="0.05"/>
    <n v="45649.850000000006"/>
    <m/>
    <m/>
    <m/>
    <m/>
    <n v="45649.850000000006"/>
    <m/>
    <n v="38750.530000000006"/>
    <n v="38750.530000000006"/>
    <s v="Private Equity Fund"/>
    <n v="0"/>
    <n v="0"/>
    <m/>
    <m/>
    <m/>
    <m/>
    <m/>
    <m/>
    <m/>
    <m/>
    <m/>
    <m/>
    <m/>
    <m/>
    <m/>
    <d v="2018-10-31T00:00:00"/>
    <n v="-0.84886434457068316"/>
    <x v="1"/>
    <n v="0"/>
    <x v="197"/>
  </r>
  <r>
    <d v="2018-10-31T00:00:00"/>
    <x v="7"/>
    <s v="Series 3b"/>
    <n v="603106.94999999995"/>
    <m/>
    <n v="1"/>
    <n v="912997.02"/>
    <m/>
    <m/>
    <m/>
    <m/>
    <n v="912997.02"/>
    <m/>
    <n v="309890.07000000007"/>
    <n v="309890.07000000007"/>
    <s v="Private Equity Fund"/>
    <n v="0"/>
    <n v="0"/>
    <m/>
    <m/>
    <m/>
    <m/>
    <m/>
    <m/>
    <m/>
    <m/>
    <m/>
    <m/>
    <m/>
    <m/>
    <m/>
    <d v="2018-10-31T00:00:00"/>
    <n v="-0.3394206806940071"/>
    <x v="1"/>
    <n v="0"/>
    <x v="197"/>
  </r>
  <r>
    <d v="2018-10-31T00:00:00"/>
    <x v="7"/>
    <s v="Series 3c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  <m/>
    <m/>
    <m/>
    <d v="2018-10-31T00:00:00"/>
    <n v="-3.5884743947004361E-2"/>
    <x v="1"/>
    <n v="0"/>
    <x v="197"/>
  </r>
  <r>
    <d v="2018-10-31T00:00:00"/>
    <x v="7"/>
    <s v="Series 3d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  <m/>
    <m/>
    <m/>
    <d v="2018-10-31T00:00:00"/>
    <n v="-3.5884743947004361E-2"/>
    <x v="1"/>
    <n v="0"/>
    <x v="197"/>
  </r>
  <r>
    <d v="2018-10-31T00:00:00"/>
    <x v="7"/>
    <s v="Series 3e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  <m/>
    <m/>
    <m/>
    <d v="2018-10-31T00:00:00"/>
    <n v="-3.5884743947004361E-2"/>
    <x v="1"/>
    <n v="0"/>
    <x v="197"/>
  </r>
  <r>
    <d v="2018-10-31T00:00:00"/>
    <x v="7"/>
    <s v="Series 3f"/>
    <n v="8802343.5"/>
    <m/>
    <n v="10"/>
    <n v="9129970.129999999"/>
    <m/>
    <m/>
    <m/>
    <m/>
    <n v="9129970.129999999"/>
    <m/>
    <n v="327626.62999999896"/>
    <n v="327626.62999999896"/>
    <s v="Private Equity Fund"/>
    <n v="1.9452247070770791E-2"/>
    <n v="0"/>
    <m/>
    <m/>
    <m/>
    <m/>
    <m/>
    <m/>
    <m/>
    <m/>
    <m/>
    <m/>
    <m/>
    <m/>
    <m/>
    <d v="2018-10-31T00:00:00"/>
    <n v="-3.5884742812406056E-2"/>
    <x v="1"/>
    <n v="0"/>
    <x v="197"/>
  </r>
  <r>
    <d v="2018-10-31T00:00:00"/>
    <x v="7"/>
    <s v="Series 3g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  <m/>
    <m/>
    <m/>
    <d v="2018-10-31T00:00:00"/>
    <n v="-3.5884743947004361E-2"/>
    <x v="1"/>
    <n v="0"/>
    <x v="197"/>
  </r>
  <r>
    <d v="2018-10-31T00:00:00"/>
    <x v="7"/>
    <s v="Series 3h"/>
    <n v="880234.36"/>
    <m/>
    <n v="1"/>
    <n v="912997.02"/>
    <m/>
    <m/>
    <m/>
    <m/>
    <n v="912997.02"/>
    <m/>
    <n v="32762.660000000033"/>
    <n v="32762.660000000033"/>
    <s v="Private Equity Fund"/>
    <n v="1.9452247228989965E-3"/>
    <n v="0"/>
    <m/>
    <m/>
    <m/>
    <m/>
    <m/>
    <m/>
    <m/>
    <m/>
    <m/>
    <m/>
    <m/>
    <m/>
    <m/>
    <d v="2018-10-31T00:00:00"/>
    <n v="-3.5884739251394349E-2"/>
    <x v="1"/>
    <n v="0"/>
    <x v="197"/>
  </r>
  <r>
    <d v="2018-08-17T00:00:00"/>
    <x v="7"/>
    <s v="Series US1a"/>
    <m/>
    <m/>
    <m/>
    <n v="88507.399967734367"/>
    <m/>
    <m/>
    <m/>
    <m/>
    <n v="88507.399967734367"/>
    <m/>
    <n v="88507.399967734367"/>
    <n v="88507.399967734367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US1a"/>
    <n v="60066.73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US1a"/>
    <m/>
    <m/>
    <m/>
    <n v="17818.57"/>
    <m/>
    <m/>
    <m/>
    <m/>
    <n v="17818.57"/>
    <m/>
    <n v="17818.57"/>
    <n v="17818.57"/>
    <s v="Private Equity Fund"/>
    <n v="0"/>
    <n v="0"/>
    <m/>
    <m/>
    <m/>
    <m/>
    <m/>
    <m/>
    <m/>
    <m/>
    <m/>
    <m/>
    <m/>
    <m/>
    <m/>
    <d v="2018-09-26T00:00:00"/>
    <n v="-1.2966462465994071"/>
    <x v="1"/>
    <n v="0"/>
    <x v="196"/>
  </r>
  <r>
    <d v="2018-09-28T00:00:00"/>
    <x v="7"/>
    <s v="Series US1a"/>
    <n v="107410.9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US1a"/>
    <n v="112754.2"/>
    <m/>
    <n v="0.12925114999999998"/>
    <n v="11679.829999999998"/>
    <n v="0"/>
    <n v="0"/>
    <n v="0"/>
    <m/>
    <n v="11679.829999999998"/>
    <m/>
    <n v="-101074.37"/>
    <n v="-101074.37"/>
    <s v="Private Equity Fund"/>
    <n v="0"/>
    <n v="0"/>
    <m/>
    <m/>
    <m/>
    <m/>
    <m/>
    <m/>
    <m/>
    <m/>
    <m/>
    <m/>
    <m/>
    <m/>
    <m/>
    <d v="2018-10-31T00:00:00"/>
    <n v="-5.8993974265384663E-2"/>
    <x v="1"/>
    <n v="0"/>
    <x v="197"/>
  </r>
  <r>
    <d v="2018-08-17T00:00:00"/>
    <x v="7"/>
    <s v="Series US1b"/>
    <m/>
    <m/>
    <m/>
    <n v="3423857.4388856255"/>
    <m/>
    <m/>
    <m/>
    <m/>
    <n v="3423857.4388856255"/>
    <m/>
    <n v="3423857.4388856255"/>
    <n v="3423857.4388856255"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US1b"/>
    <n v="3445971.37"/>
    <m/>
    <m/>
    <m/>
    <m/>
    <m/>
    <m/>
    <m/>
    <n v="0"/>
    <m/>
    <n v="0"/>
    <n v="0"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US1b"/>
    <m/>
    <m/>
    <m/>
    <n v="689300.43"/>
    <m/>
    <m/>
    <m/>
    <m/>
    <n v="689300.43"/>
    <m/>
    <n v="689300.43"/>
    <n v="689300.43"/>
    <s v="Private Equity Fund"/>
    <n v="0"/>
    <n v="0"/>
    <m/>
    <m/>
    <m/>
    <m/>
    <m/>
    <m/>
    <m/>
    <m/>
    <m/>
    <m/>
    <m/>
    <m/>
    <m/>
    <d v="2018-09-26T00:00:00"/>
    <n v="-1.2000308058276179"/>
    <x v="1"/>
    <n v="0"/>
    <x v="196"/>
  </r>
  <r>
    <d v="2018-09-28T00:00:00"/>
    <x v="7"/>
    <s v="Series US1b"/>
    <n v="4134686.7"/>
    <m/>
    <m/>
    <m/>
    <m/>
    <m/>
    <m/>
    <m/>
    <n v="0"/>
    <m/>
    <n v="0"/>
    <n v="0"/>
    <s v="Private Equity Fund"/>
    <n v="1.6644570000000001E-2"/>
    <n v="3.7992E-3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US1b"/>
    <n v="4340297.07"/>
    <m/>
    <n v="5"/>
    <n v="451826.85999999987"/>
    <n v="0"/>
    <n v="0"/>
    <n v="0"/>
    <m/>
    <n v="451826.85999999987"/>
    <m/>
    <n v="-3888470.2100000004"/>
    <n v="-3888470.2100000004"/>
    <s v="Private Equity Fund"/>
    <n v="2.1536703398838494E-2"/>
    <n v="0"/>
    <m/>
    <m/>
    <m/>
    <m/>
    <m/>
    <m/>
    <m/>
    <m/>
    <m/>
    <m/>
    <m/>
    <m/>
    <m/>
    <d v="2018-10-31T00:00:00"/>
    <n v="-5.9549007667255571E-2"/>
    <x v="1"/>
    <n v="0"/>
    <x v="197"/>
  </r>
  <r>
    <d v="2018-08-17T00:00:00"/>
    <x v="7"/>
    <s v="Series US1GP"/>
    <m/>
    <m/>
    <m/>
    <n v="684.84568777712514"/>
    <m/>
    <m/>
    <m/>
    <m/>
    <n v="684.84568777712514"/>
    <m/>
    <n v="684.84568777712514"/>
    <m/>
    <s v="Private Equity Fund"/>
    <n v="0"/>
    <n v="0"/>
    <m/>
    <m/>
    <m/>
    <m/>
    <m/>
    <m/>
    <m/>
    <m/>
    <m/>
    <m/>
    <m/>
    <m/>
    <m/>
    <d v="2018-08-17T00:00:00"/>
    <n v="-1"/>
    <x v="1"/>
    <n v="0"/>
    <x v="195"/>
  </r>
  <r>
    <d v="2018-08-31T00:00:00"/>
    <x v="7"/>
    <s v="Series US1GP"/>
    <n v="1006.35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8-31T00:00:00"/>
    <e v="#DIV/0!"/>
    <x v="1"/>
    <n v="0"/>
    <x v="195"/>
  </r>
  <r>
    <d v="2018-09-26T00:00:00"/>
    <x v="7"/>
    <s v="Series US1GP"/>
    <m/>
    <m/>
    <m/>
    <n v="137.86000000000001"/>
    <m/>
    <m/>
    <m/>
    <m/>
    <n v="137.86000000000001"/>
    <m/>
    <n v="137.86000000000001"/>
    <m/>
    <s v="Private Equity Fund"/>
    <n v="0"/>
    <n v="0"/>
    <m/>
    <m/>
    <m/>
    <m/>
    <m/>
    <m/>
    <m/>
    <m/>
    <m/>
    <m/>
    <m/>
    <m/>
    <m/>
    <d v="2018-09-26T00:00:00"/>
    <n v="-1.1369901127838227"/>
    <x v="1"/>
    <n v="0"/>
    <x v="196"/>
  </r>
  <r>
    <d v="2018-09-28T00:00:00"/>
    <x v="7"/>
    <s v="Series US1GP"/>
    <n v="831.1"/>
    <m/>
    <m/>
    <m/>
    <m/>
    <m/>
    <m/>
    <m/>
    <n v="0"/>
    <m/>
    <n v="0"/>
    <m/>
    <s v="Private Equity Fund"/>
    <n v="0"/>
    <n v="0"/>
    <m/>
    <m/>
    <m/>
    <m/>
    <m/>
    <m/>
    <m/>
    <m/>
    <m/>
    <m/>
    <m/>
    <m/>
    <m/>
    <d v="2018-09-28T00:00:00"/>
    <e v="#DIV/0!"/>
    <x v="1"/>
    <n v="0"/>
    <x v="196"/>
  </r>
  <r>
    <d v="2018-10-31T00:00:00"/>
    <x v="7"/>
    <s v="Series US1GP"/>
    <n v="959.43"/>
    <m/>
    <n v="1E-3"/>
    <n v="90.350000000000037"/>
    <n v="0"/>
    <n v="0"/>
    <n v="0"/>
    <m/>
    <n v="90.350000000000037"/>
    <m/>
    <n v="-869.07999999999993"/>
    <m/>
    <s v="Private Equity Fund"/>
    <n v="0"/>
    <n v="0"/>
    <m/>
    <m/>
    <m/>
    <m/>
    <m/>
    <m/>
    <m/>
    <m/>
    <m/>
    <m/>
    <m/>
    <m/>
    <m/>
    <d v="2018-10-31T00:00:00"/>
    <n v="4.5698471904704441E-2"/>
    <x v="1"/>
    <n v="0"/>
    <x v="197"/>
  </r>
  <r>
    <d v="2018-10-31T00:00:00"/>
    <x v="7"/>
    <s v="Series US3a"/>
    <n v="440117.18"/>
    <m/>
    <n v="0.5"/>
    <n v="456498.51"/>
    <m/>
    <m/>
    <m/>
    <m/>
    <n v="456498.51"/>
    <m/>
    <n v="16381.330000000016"/>
    <n v="16381.330000000016"/>
    <s v="Private Equity Fund"/>
    <n v="9.7261236144949824E-4"/>
    <n v="0"/>
    <m/>
    <m/>
    <m/>
    <m/>
    <m/>
    <m/>
    <m/>
    <m/>
    <m/>
    <m/>
    <m/>
    <m/>
    <m/>
    <d v="2018-10-31T00:00:00"/>
    <n v="-3.5884739251394349E-2"/>
    <x v="1"/>
    <n v="0"/>
    <x v="197"/>
  </r>
  <r>
    <d v="2018-10-31T00:00:00"/>
    <x v="7"/>
    <s v="Series US3b"/>
    <n v="440117.18"/>
    <m/>
    <n v="0.5"/>
    <n v="456498.51"/>
    <m/>
    <m/>
    <m/>
    <m/>
    <n v="456498.51"/>
    <m/>
    <n v="16381.330000000016"/>
    <n v="16381.330000000016"/>
    <s v="Private Equity Fund"/>
    <n v="9.7261236144949824E-4"/>
    <n v="0"/>
    <m/>
    <m/>
    <m/>
    <m/>
    <m/>
    <m/>
    <m/>
    <m/>
    <m/>
    <m/>
    <m/>
    <m/>
    <m/>
    <d v="2018-10-31T00:00:00"/>
    <n v="-3.5884739251394349E-2"/>
    <x v="1"/>
    <n v="0"/>
    <x v="197"/>
  </r>
  <r>
    <d v="2013-09-25T00:00:00"/>
    <x v="8"/>
    <s v="NA"/>
    <n v="10000000"/>
    <n v="10000000"/>
    <m/>
    <n v="10000000"/>
    <m/>
    <m/>
    <m/>
    <n v="1"/>
    <n v="10000000"/>
    <n v="10000000"/>
    <n v="10000000"/>
    <m/>
    <s v="Private Equity Fund"/>
    <n v="0"/>
    <n v="0"/>
    <n v="0"/>
    <n v="0"/>
    <m/>
    <m/>
    <m/>
    <m/>
    <m/>
    <m/>
    <m/>
    <m/>
    <m/>
    <m/>
    <m/>
    <d v="2013-09-25T00:00:00"/>
    <n v="0"/>
    <x v="2"/>
    <n v="0"/>
    <x v="0"/>
  </r>
  <r>
    <d v="2013-09-30T00:00:00"/>
    <x v="8"/>
    <s v="NA"/>
    <n v="10000000"/>
    <n v="10000000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09-30T00:00:00"/>
    <n v="0"/>
    <x v="2"/>
    <n v="0"/>
    <x v="0"/>
  </r>
  <r>
    <d v="2013-10-31T00:00:00"/>
    <x v="8"/>
    <s v="NA"/>
    <n v="10000000"/>
    <n v="10000000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0-31T00:00:00"/>
    <n v="0"/>
    <x v="2"/>
    <n v="0"/>
    <x v="1"/>
  </r>
  <r>
    <d v="2013-11-29T00:00:00"/>
    <x v="8"/>
    <s v="NA"/>
    <n v="10164368.672502527"/>
    <n v="10164368.672502527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1.6436867250252618E-2"/>
    <x v="2"/>
    <n v="0"/>
    <x v="2"/>
  </r>
  <r>
    <d v="2013-12-31T00:00:00"/>
    <x v="8"/>
    <s v="NA"/>
    <n v="10257937.023066772"/>
    <n v="10257937.023066772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3-12-31T00:00:00"/>
    <n v="9.2055250629952123E-3"/>
    <x v="2"/>
    <n v="0"/>
    <x v="3"/>
  </r>
  <r>
    <d v="2014-01-30T00:00:00"/>
    <x v="8"/>
    <s v="NA"/>
    <n v="10346527.986370357"/>
    <n v="10346527.986370357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8.6363333196892711E-3"/>
    <x v="2"/>
    <n v="0"/>
    <x v="4"/>
  </r>
  <r>
    <d v="2014-02-28T00:00:00"/>
    <x v="8"/>
    <s v="NA"/>
    <n v="10432846.72352398"/>
    <n v="10432846.72352398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8.3427732730565474E-3"/>
    <x v="2"/>
    <n v="0"/>
    <x v="5"/>
  </r>
  <r>
    <d v="2014-03-31T00:00:00"/>
    <x v="8"/>
    <s v="NA"/>
    <n v="10525942.206504317"/>
    <n v="10525942.206504317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3-31T00:00:00"/>
    <n v="8.9233059247793012E-3"/>
    <x v="2"/>
    <n v="0"/>
    <x v="6"/>
  </r>
  <r>
    <d v="2014-04-30T00:00:00"/>
    <x v="8"/>
    <s v="NA"/>
    <n v="10616825.116279578"/>
    <n v="10616825.116279578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8.6341828590985603E-3"/>
    <x v="2"/>
    <n v="0"/>
    <x v="7"/>
  </r>
  <r>
    <d v="2014-05-30T00:00:00"/>
    <x v="8"/>
    <s v="NA"/>
    <n v="10708493.105861999"/>
    <n v="10708493.105861999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5-30T00:00:00"/>
    <n v="8.6342186650376629E-3"/>
    <x v="2"/>
    <n v="0"/>
    <x v="8"/>
  </r>
  <r>
    <d v="2014-06-30T00:00:00"/>
    <x v="8"/>
    <s v="NA"/>
    <n v="10804043.874846555"/>
    <n v="10804043.874846555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8.9228958771285782E-3"/>
    <x v="2"/>
    <n v="0"/>
    <x v="9"/>
  </r>
  <r>
    <d v="2014-07-31T00:00:00"/>
    <x v="8"/>
    <s v="NA"/>
    <n v="10900453.286927642"/>
    <n v="10900453.286927642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4-07-31T00:00:00"/>
    <n v="8.9234561797313372E-3"/>
    <x v="2"/>
    <n v="0"/>
    <x v="10"/>
  </r>
  <r>
    <d v="2014-08-29T00:00:00"/>
    <x v="8"/>
    <s v="NA"/>
    <n v="0"/>
    <n v="0"/>
    <m/>
    <m/>
    <m/>
    <n v="-10913284.529999999"/>
    <m/>
    <n v="1"/>
    <n v="-10913284.529999999"/>
    <n v="-10913284.529999999"/>
    <n v="-10913284.529999999"/>
    <m/>
    <s v="Private Equity Fund"/>
    <n v="0"/>
    <n v="0"/>
    <n v="0"/>
    <n v="0"/>
    <m/>
    <m/>
    <m/>
    <m/>
    <m/>
    <m/>
    <m/>
    <m/>
    <m/>
    <m/>
    <m/>
    <d v="2014-08-29T00:00:00"/>
    <n v="1.177129311470404E-3"/>
    <x v="2"/>
    <n v="0"/>
    <x v="11"/>
  </r>
  <r>
    <d v="2016-05-02T00:00:00"/>
    <x v="9"/>
    <s v="NA"/>
    <n v="10377013.1771596"/>
    <n v="10374027.213771095"/>
    <m/>
    <n v="10380000"/>
    <n v="0"/>
    <n v="0"/>
    <m/>
    <n v="1.0002878306878298"/>
    <n v="10380000"/>
    <n v="0"/>
    <n v="10380000"/>
    <m/>
    <s v="Private Equity Fund"/>
    <n v="0"/>
    <n v="0"/>
    <n v="0"/>
    <n v="0"/>
    <m/>
    <m/>
    <m/>
    <m/>
    <m/>
    <m/>
    <m/>
    <m/>
    <m/>
    <m/>
    <m/>
    <d v="2016-05-02T00:00:00"/>
    <e v="#DIV/0!"/>
    <x v="2"/>
    <n v="0"/>
    <x v="168"/>
  </r>
  <r>
    <d v="2016-05-31T00:00:00"/>
    <x v="9"/>
    <s v="NA"/>
    <n v="10486724.781968523"/>
    <n v="10483707.249299951"/>
    <m/>
    <m/>
    <n v="0"/>
    <n v="0"/>
    <m/>
    <n v="1.0002878306878298"/>
    <n v="0"/>
    <n v="0"/>
    <n v="0"/>
    <m/>
    <s v="Private Equity Fund"/>
    <n v="2.0833333333333332E-2"/>
    <n v="0"/>
    <n v="0"/>
    <n v="0"/>
    <m/>
    <m/>
    <m/>
    <m/>
    <m/>
    <m/>
    <m/>
    <m/>
    <m/>
    <m/>
    <m/>
    <d v="2016-05-31T00:00:00"/>
    <n v="1.0572560999575931E-2"/>
    <x v="2"/>
    <n v="0"/>
    <x v="168"/>
  </r>
  <r>
    <d v="2016-06-30T00:00:00"/>
    <x v="9"/>
    <s v="NA"/>
    <n v="12941662.31513188"/>
    <n v="12937938.379429029"/>
    <m/>
    <m/>
    <n v="0"/>
    <n v="0"/>
    <m/>
    <n v="1.0002878306878298"/>
    <n v="0"/>
    <n v="0"/>
    <n v="0"/>
    <m/>
    <s v="Private Equity Fund"/>
    <n v="2.0833333333333332E-2"/>
    <n v="0"/>
    <n v="0"/>
    <n v="0"/>
    <m/>
    <m/>
    <m/>
    <m/>
    <m/>
    <m/>
    <m/>
    <m/>
    <m/>
    <m/>
    <m/>
    <d v="2016-06-30T00:00:00"/>
    <n v="0.23409954816250345"/>
    <x v="2"/>
    <n v="0"/>
    <x v="169"/>
  </r>
  <r>
    <d v="2016-07-29T00:00:00"/>
    <x v="9"/>
    <s v="NA"/>
    <n v="12939780.3823858"/>
    <n v="12936056.988205079"/>
    <m/>
    <m/>
    <n v="0"/>
    <n v="0"/>
    <m/>
    <n v="1.0002878306878298"/>
    <n v="0"/>
    <n v="0"/>
    <n v="0"/>
    <m/>
    <s v="Private Equity Fund"/>
    <n v="2.0833333333333332E-2"/>
    <n v="0"/>
    <n v="0"/>
    <n v="0"/>
    <m/>
    <m/>
    <m/>
    <m/>
    <m/>
    <m/>
    <m/>
    <m/>
    <m/>
    <m/>
    <m/>
    <d v="2016-07-29T00:00:00"/>
    <n v="-1.454166165253401E-4"/>
    <x v="2"/>
    <n v="0"/>
    <x v="170"/>
  </r>
  <r>
    <d v="2011-03-31T00:00:00"/>
    <x v="10"/>
    <s v="Series 1"/>
    <n v="5439919.8303298615"/>
    <n v="5531500.9606722854"/>
    <n v="20"/>
    <n v="5440000"/>
    <n v="0"/>
    <n v="0"/>
    <m/>
    <n v="0.98344371066848857"/>
    <n v="5440000"/>
    <n v="5531500.9606722854"/>
    <n v="5440000"/>
    <n v="5440000"/>
    <s v="Private Equity Fund"/>
    <n v="0"/>
    <n v="0"/>
    <n v="3.0904820000000003E-3"/>
    <n v="0"/>
    <s v="ARF"/>
    <n v="4.0799398727473957"/>
    <s v="HRF"/>
    <n v="1.3599799575824654"/>
    <m/>
    <m/>
    <m/>
    <m/>
    <m/>
    <m/>
    <m/>
    <d v="2011-03-31T00:00:00"/>
    <n v="-1.4737071716619532E-5"/>
    <x v="1"/>
    <n v="0"/>
    <x v="119"/>
  </r>
  <r>
    <d v="2011-04-29T00:00:00"/>
    <x v="10"/>
    <s v="Series 1"/>
    <n v="6963222.8666041326"/>
    <n v="5617962.1755314358"/>
    <n v="20"/>
    <n v="1440000"/>
    <n v="0"/>
    <n v="0"/>
    <m/>
    <n v="1.2394570573885078"/>
    <n v="1440000"/>
    <n v="0"/>
    <n v="1440000"/>
    <n v="1440000"/>
    <s v="Private Equity Fund"/>
    <n v="0"/>
    <n v="0"/>
    <n v="6.479285231481482E-3"/>
    <n v="6.3397155578703715E-3"/>
    <s v="ARF"/>
    <n v="5.2224171499530989"/>
    <s v="HRF"/>
    <n v="1.7408057166510333"/>
    <m/>
    <m/>
    <m/>
    <m/>
    <m/>
    <m/>
    <m/>
    <d v="2011-04-29T00:00:00"/>
    <n v="1.5313283811614564E-2"/>
    <x v="1"/>
    <n v="0"/>
    <x v="120"/>
  </r>
  <r>
    <d v="2011-05-31T00:00:00"/>
    <x v="10"/>
    <s v="Series 1"/>
    <n v="9241618.556954734"/>
    <n v="5684692.6349293655"/>
    <n v="20"/>
    <n v="2240000"/>
    <n v="0"/>
    <n v="0"/>
    <m/>
    <n v="1.6257024170788021"/>
    <n v="2240000"/>
    <n v="0"/>
    <n v="2240000"/>
    <n v="2240000"/>
    <s v="Private Equity Fund"/>
    <n v="0"/>
    <n v="0"/>
    <n v="8.3648381944444444E-3"/>
    <n v="7.7633204236111121E-3"/>
    <s v="ARF"/>
    <n v="6.9312139177160494"/>
    <s v="HRF"/>
    <n v="2.3104046392386843"/>
    <m/>
    <m/>
    <m/>
    <m/>
    <m/>
    <m/>
    <m/>
    <d v="2011-05-31T00:00:00"/>
    <n v="5.5140688566424068E-3"/>
    <x v="1"/>
    <n v="0"/>
    <x v="121"/>
  </r>
  <r>
    <d v="2011-06-30T00:00:00"/>
    <x v="10"/>
    <s v="Series 1"/>
    <n v="9117203.4608489964"/>
    <n v="5608162.5794907464"/>
    <n v="20"/>
    <n v="0"/>
    <n v="0"/>
    <n v="0"/>
    <m/>
    <n v="1.6257024170788021"/>
    <n v="0"/>
    <n v="0"/>
    <n v="0"/>
    <n v="0"/>
    <s v="Private Equity Fund"/>
    <n v="0"/>
    <n v="0"/>
    <n v="8.0008648055555562E-3"/>
    <n v="2.7102760416666669E-4"/>
    <s v="ARF"/>
    <n v="6.8379025956367459"/>
    <s v="HRF"/>
    <n v="2.2793008652122499"/>
    <m/>
    <m/>
    <m/>
    <m/>
    <m/>
    <m/>
    <m/>
    <d v="2011-06-30T00:00:00"/>
    <n v="-1.3462479038599762E-2"/>
    <x v="1"/>
    <n v="0"/>
    <x v="122"/>
  </r>
  <r>
    <d v="2011-07-29T00:00:00"/>
    <x v="10"/>
    <s v="Series 1"/>
    <n v="11074140.605355401"/>
    <n v="5726804.1646914193"/>
    <n v="20"/>
    <n v="1756624"/>
    <n v="0"/>
    <n v="0"/>
    <m/>
    <n v="1.9337383096898888"/>
    <n v="1756624"/>
    <n v="0"/>
    <n v="1756624"/>
    <n v="1756624"/>
    <s v="Private Equity Fund"/>
    <n v="0"/>
    <n v="0"/>
    <n v="9.151950226713489E-3"/>
    <n v="1.3893436705231903E-2"/>
    <s v="ARF"/>
    <n v="8.3056054540165487"/>
    <s v="HRF"/>
    <n v="2.7685351513388516"/>
    <m/>
    <m/>
    <m/>
    <m/>
    <m/>
    <m/>
    <m/>
    <d v="2011-07-29T00:00:00"/>
    <n v="2.1970897695393843E-2"/>
    <x v="1"/>
    <n v="0"/>
    <x v="123"/>
  </r>
  <r>
    <d v="2011-08-31T00:00:00"/>
    <x v="10"/>
    <s v="Series 1"/>
    <n v="11412371.688635422"/>
    <n v="5618404.3421111973"/>
    <n v="20"/>
    <n v="580000"/>
    <n v="0"/>
    <n v="0"/>
    <m/>
    <n v="2.0312478407965662"/>
    <n v="580000"/>
    <n v="0"/>
    <n v="580000"/>
    <n v="580000"/>
    <s v="Private Equity Fund"/>
    <n v="0"/>
    <n v="0"/>
    <n v="1.0648906212962965E-2"/>
    <n v="3.4242899305555563E-4"/>
    <s v="ARF"/>
    <n v="8.5592787664765666"/>
    <s v="HRF"/>
    <n v="2.8530929221588566"/>
    <m/>
    <m/>
    <m/>
    <m/>
    <m/>
    <m/>
    <m/>
    <d v="2011-08-31T00:00:00"/>
    <n v="-2.1831844595061489E-2"/>
    <x v="1"/>
    <n v="0"/>
    <x v="124"/>
  </r>
  <r>
    <d v="2011-09-30T00:00:00"/>
    <x v="10"/>
    <s v="Series 1"/>
    <n v="12201220.449999999"/>
    <n v="5547816.2166290497"/>
    <n v="20"/>
    <n v="960000"/>
    <n v="0"/>
    <n v="0"/>
    <m/>
    <n v="2.1992834610180498"/>
    <n v="960000"/>
    <n v="0"/>
    <n v="960000"/>
    <n v="960000"/>
    <s v="Private Equity Fund"/>
    <n v="0"/>
    <n v="0"/>
    <n v="1.0229916028370039E-2"/>
    <n v="3.2261447041383509E-4"/>
    <s v="ARF"/>
    <n v="9.1509153399999992"/>
    <s v="HRF"/>
    <n v="3.05030511"/>
    <m/>
    <m/>
    <m/>
    <m/>
    <m/>
    <m/>
    <m/>
    <d v="2011-09-30T00:00:00"/>
    <n v="-1.4996991274465521E-2"/>
    <x v="1"/>
    <n v="0"/>
    <x v="125"/>
  </r>
  <r>
    <d v="2011-10-31T00:00:00"/>
    <x v="10"/>
    <s v="Series 1"/>
    <n v="12066360.928115284"/>
    <n v="5486496.4621385168"/>
    <n v="20"/>
    <n v="0"/>
    <n v="0"/>
    <n v="0"/>
    <m/>
    <n v="2.1992834610180498"/>
    <n v="0"/>
    <n v="0"/>
    <n v="0"/>
    <n v="0"/>
    <s v="Private Equity Fund"/>
    <n v="0"/>
    <n v="0"/>
    <n v="1.0448280539001325E-2"/>
    <n v="3.2951684054385942E-4"/>
    <s v="ARF"/>
    <n v="9.0497706960864601"/>
    <s v="HRF"/>
    <n v="3.0165902320288227"/>
    <m/>
    <m/>
    <m/>
    <m/>
    <m/>
    <m/>
    <m/>
    <d v="2011-10-31T00:00:00"/>
    <n v="-1.1052953467840632E-2"/>
    <x v="1"/>
    <n v="0"/>
    <x v="126"/>
  </r>
  <r>
    <d v="2011-11-30T00:00:00"/>
    <x v="10"/>
    <s v="Series 1"/>
    <n v="13278731.665019356"/>
    <n v="5599629.342714793"/>
    <n v="20"/>
    <n v="960000"/>
    <n v="0"/>
    <n v="0"/>
    <m/>
    <n v="2.3713590404506322"/>
    <n v="960000"/>
    <n v="0"/>
    <n v="960000"/>
    <n v="960000"/>
    <s v="Private Equity Fund"/>
    <n v="0"/>
    <n v="0"/>
    <n v="1.105366821451479E-2"/>
    <n v="3.4082557197318404E-4"/>
    <s v="ARF"/>
    <n v="9.9590487487645163"/>
    <s v="HRF"/>
    <n v="3.3196829162548402"/>
    <m/>
    <m/>
    <m/>
    <m/>
    <m/>
    <m/>
    <m/>
    <d v="2011-11-30T00:00:00"/>
    <n v="2.0915231891997621E-2"/>
    <x v="1"/>
    <n v="0"/>
    <x v="127"/>
  </r>
  <r>
    <d v="2011-12-30T00:00:00"/>
    <x v="10"/>
    <s v="Series 1"/>
    <n v="18738539.340648819"/>
    <n v="5704961.8956675557"/>
    <n v="20"/>
    <n v="5200000"/>
    <n v="0"/>
    <n v="0"/>
    <m/>
    <n v="3.2846037683230067"/>
    <n v="5200000"/>
    <n v="0"/>
    <n v="5200000"/>
    <n v="5200000"/>
    <s v="Private Equity Fund"/>
    <n v="0"/>
    <n v="0"/>
    <n v="1.4977314171483845E-2"/>
    <n v="7.1214351973376173E-3"/>
    <s v="ARF"/>
    <n v="14.05390450548661"/>
    <s v="HRF"/>
    <n v="4.684634835162206"/>
    <m/>
    <m/>
    <m/>
    <m/>
    <m/>
    <m/>
    <m/>
    <d v="2011-12-30T00:00:00"/>
    <n v="1.9565699660448965E-2"/>
    <x v="1"/>
    <n v="0"/>
    <x v="128"/>
  </r>
  <r>
    <d v="2012-01-31T00:00:00"/>
    <x v="10"/>
    <s v="Series 1"/>
    <n v="18688107.043579143"/>
    <n v="5689607.7462398382"/>
    <n v="20"/>
    <n v="0"/>
    <n v="0"/>
    <n v="0"/>
    <m/>
    <n v="3.2846037683230067"/>
    <n v="0"/>
    <n v="0"/>
    <n v="0"/>
    <n v="0"/>
    <s v="Private Equity Fund"/>
    <n v="0"/>
    <n v="0"/>
    <n v="1.5916557592592594E-2"/>
    <n v="1.5806055000000001E-3"/>
    <s v="ARF"/>
    <n v="14.016080282684351"/>
    <s v="HRF"/>
    <n v="4.6720267608947887"/>
    <m/>
    <m/>
    <m/>
    <m/>
    <m/>
    <m/>
    <m/>
    <d v="2012-01-31T00:00:00"/>
    <n v="-2.6913675688838845E-3"/>
    <x v="1"/>
    <n v="0"/>
    <x v="129"/>
  </r>
  <r>
    <d v="2012-02-29T00:00:00"/>
    <x v="10"/>
    <s v="Series 1"/>
    <n v="19871660.301793132"/>
    <n v="5629013.3591202339"/>
    <n v="20"/>
    <n v="1423376"/>
    <n v="0"/>
    <n v="-506667"/>
    <m/>
    <n v="3.5302208458249069"/>
    <n v="916709"/>
    <n v="-143522.7488952202"/>
    <n v="916709"/>
    <n v="916709"/>
    <s v="Private Equity Fund"/>
    <n v="0"/>
    <n v="0"/>
    <n v="1.5626680064814817E-2"/>
    <n v="2.1790995784722229E-2"/>
    <s v="ARF"/>
    <n v="14.903745476344849"/>
    <s v="HRF"/>
    <n v="4.9679148254482861"/>
    <m/>
    <m/>
    <m/>
    <m/>
    <m/>
    <m/>
    <m/>
    <d v="2012-02-29T00:00:00"/>
    <n v="1.4278827576903907E-2"/>
    <x v="1"/>
    <n v="0"/>
    <x v="130"/>
  </r>
  <r>
    <d v="2012-03-30T00:00:00"/>
    <x v="10"/>
    <s v="Series 1"/>
    <n v="20386278.47693345"/>
    <n v="5774788.4246515986"/>
    <n v="20"/>
    <n v="0"/>
    <n v="0"/>
    <n v="0"/>
    <m/>
    <n v="3.5302208458249069"/>
    <n v="0"/>
    <n v="0"/>
    <n v="0"/>
    <n v="0"/>
    <s v="Private Equity Fund"/>
    <n v="0"/>
    <n v="0"/>
    <n v="1.6565295537037037E-2"/>
    <n v="6.3902603203703709E-2"/>
    <s v="ARF"/>
    <n v="15.2897091077001"/>
    <s v="HRF"/>
    <n v="5.0965693692333502"/>
    <m/>
    <m/>
    <m/>
    <m/>
    <m/>
    <m/>
    <m/>
    <d v="2012-03-30T00:00:00"/>
    <n v="2.589708999272089E-2"/>
    <x v="1"/>
    <n v="0"/>
    <x v="131"/>
  </r>
  <r>
    <d v="2012-04-30T00:00:00"/>
    <x v="10"/>
    <s v="Series 1"/>
    <n v="20996803.877107341"/>
    <n v="5947730.9760775082"/>
    <n v="20"/>
    <n v="0"/>
    <n v="0"/>
    <n v="0"/>
    <m/>
    <n v="3.5302208458249069"/>
    <n v="0"/>
    <n v="0"/>
    <n v="0"/>
    <n v="0"/>
    <s v="Private Equity Fund"/>
    <n v="0"/>
    <n v="0"/>
    <n v="1.7606188407407408E-2"/>
    <n v="0.11674443673148151"/>
    <s v="ARF"/>
    <n v="15.7476031578305"/>
    <s v="HRF"/>
    <n v="5.24920071927684"/>
    <m/>
    <m/>
    <m/>
    <m/>
    <m/>
    <m/>
    <m/>
    <d v="2012-04-30T00:00:00"/>
    <n v="2.9947859334144011E-2"/>
    <x v="1"/>
    <n v="0"/>
    <x v="132"/>
  </r>
  <r>
    <d v="2012-05-31T00:00:00"/>
    <x v="10"/>
    <s v="Series 1"/>
    <n v="21105407.251500808"/>
    <n v="5978494.8798491117"/>
    <n v="20"/>
    <n v="0"/>
    <n v="0"/>
    <n v="0"/>
    <m/>
    <n v="3.5302208458249069"/>
    <n v="0"/>
    <n v="0"/>
    <n v="0"/>
    <n v="0"/>
    <s v="Private Equity Fund"/>
    <n v="0"/>
    <n v="0"/>
    <n v="1.7684097453703702E-2"/>
    <n v="0.12172395858796296"/>
    <s v="ARF"/>
    <n v="15.8290556886256"/>
    <s v="HRF"/>
    <n v="5.2763515628752096"/>
    <m/>
    <m/>
    <m/>
    <m/>
    <m/>
    <m/>
    <m/>
    <d v="2012-05-31T00:00:00"/>
    <n v="5.1723764735391864E-3"/>
    <x v="1"/>
    <n v="0"/>
    <x v="133"/>
  </r>
  <r>
    <d v="2012-06-29T00:00:00"/>
    <x v="10"/>
    <s v="Series 1"/>
    <n v="15856006.646431472"/>
    <n v="4491505.5853188122"/>
    <n v="20"/>
    <n v="0"/>
    <n v="0"/>
    <n v="-5084657.16"/>
    <m/>
    <n v="3.5302208458249069"/>
    <n v="-5084657.16"/>
    <n v="-1440322.6829317156"/>
    <n v="-5084657.16"/>
    <n v="-5084657.16"/>
    <s v="Private Equity Fund"/>
    <n v="0"/>
    <n v="0"/>
    <n v="1.2481193490740741E-2"/>
    <n v="0.10674695115046298"/>
    <s v="ARF"/>
    <n v="11.8920052348236"/>
    <s v="HRF"/>
    <n v="3.9640014116078701"/>
    <m/>
    <m/>
    <m/>
    <m/>
    <m/>
    <m/>
    <m/>
    <d v="2012-06-29T00:00:00"/>
    <n v="-7.8057458501598065E-3"/>
    <x v="1"/>
    <n v="0"/>
    <x v="134"/>
  </r>
  <r>
    <d v="2012-07-31T00:00:00"/>
    <x v="10"/>
    <s v="Series 1"/>
    <n v="16124571.248880671"/>
    <n v="4567581.4497415219"/>
    <n v="20"/>
    <n v="0"/>
    <n v="0"/>
    <n v="0"/>
    <m/>
    <n v="3.5302208458249069"/>
    <n v="0"/>
    <n v="0"/>
    <n v="0"/>
    <n v="0"/>
    <s v="Private Equity Fund"/>
    <n v="0"/>
    <n v="0"/>
    <n v="7.4035567143032775E-3"/>
    <n v="0.1290542929212963"/>
    <s v="ARF"/>
    <n v="12.0934286866605"/>
    <s v="HRF"/>
    <n v="4.03114256222017"/>
    <m/>
    <m/>
    <m/>
    <m/>
    <m/>
    <m/>
    <m/>
    <d v="2012-07-31T00:00:00"/>
    <n v="1.6937720097994546E-2"/>
    <x v="1"/>
    <n v="0"/>
    <x v="135"/>
  </r>
  <r>
    <d v="2012-08-31T00:00:00"/>
    <x v="10"/>
    <s v="Series 1"/>
    <n v="16163682.000000002"/>
    <n v="4578660.2895159759"/>
    <n v="20"/>
    <n v="0"/>
    <n v="0"/>
    <n v="0"/>
    <m/>
    <n v="3.5302208458249069"/>
    <n v="0"/>
    <n v="0"/>
    <n v="0"/>
    <n v="0"/>
    <s v="Private Equity Fund"/>
    <n v="0"/>
    <n v="0"/>
    <n v="7.1829621689814827E-3"/>
    <n v="0.13123646349074075"/>
    <s v="ARF"/>
    <n v="12.122762"/>
    <s v="HRF"/>
    <n v="4.0409199999999998"/>
    <m/>
    <m/>
    <m/>
    <m/>
    <m/>
    <m/>
    <m/>
    <d v="2012-08-31T00:00:00"/>
    <n v="2.4255374307733391E-3"/>
    <x v="1"/>
    <n v="0"/>
    <x v="136"/>
  </r>
  <r>
    <d v="2012-09-28T00:00:00"/>
    <x v="10"/>
    <s v="Series 1"/>
    <n v="15927797.57"/>
    <n v="4511841.6851561451"/>
    <n v="20"/>
    <n v="0"/>
    <n v="0"/>
    <n v="0"/>
    <m/>
    <n v="3.5302208458249069"/>
    <n v="0"/>
    <n v="0"/>
    <n v="0"/>
    <n v="0"/>
    <s v="Private Equity Fund"/>
    <n v="0.104944617408108"/>
    <n v="1.957410407"/>
    <n v="7.3099015324074069E-3"/>
    <n v="0.12434016400231483"/>
    <s v="ARF"/>
    <n v="11.94584843"/>
    <s v="HRF"/>
    <n v="3.9819491400000002"/>
    <m/>
    <m/>
    <m/>
    <m/>
    <m/>
    <m/>
    <m/>
    <d v="2012-09-28T00:00:00"/>
    <n v="-1.4593483712436406E-2"/>
    <x v="1"/>
    <n v="0"/>
    <x v="137"/>
  </r>
  <r>
    <d v="2012-10-31T00:00:00"/>
    <x v="10"/>
    <s v="Series 1"/>
    <n v="13944781.049999999"/>
    <n v="3950115.7743408885"/>
    <n v="20"/>
    <n v="0"/>
    <n v="0"/>
    <n v="-2196798.5"/>
    <m/>
    <n v="3.5302208458249069"/>
    <n v="-2196798.5"/>
    <n v="-622283.58959414449"/>
    <n v="-2196798.5"/>
    <n v="-2196798.5"/>
    <s v="Private Equity Fund"/>
    <n v="0.10863791968284101"/>
    <n v="2.2564713019999982"/>
    <n v="7.56858989451651E-3"/>
    <n v="0.1435737533812903"/>
    <s v="ARF"/>
    <n v="10.458586029999999"/>
    <s v="HRF"/>
    <n v="3.4861950199999998"/>
    <m/>
    <m/>
    <m/>
    <m/>
    <m/>
    <m/>
    <m/>
    <d v="2012-10-31T00:00:00"/>
    <n v="1.3421942303100121E-2"/>
    <x v="1"/>
    <n v="0"/>
    <x v="138"/>
  </r>
  <r>
    <d v="2012-11-30T00:00:00"/>
    <x v="10"/>
    <s v="Series 1"/>
    <n v="14009041.93"/>
    <n v="3968318.8508073371"/>
    <n v="20"/>
    <n v="0"/>
    <n v="0"/>
    <n v="0"/>
    <m/>
    <n v="3.5302208458249069"/>
    <n v="0"/>
    <n v="0"/>
    <n v="0"/>
    <n v="0"/>
    <s v="Private Equity Fund"/>
    <n v="9.9115082501967905E-2"/>
    <n v="2.3348894489999985"/>
    <n v="6.9040251409171515E-3"/>
    <n v="0.14847931216471025"/>
    <s v="ARF"/>
    <n v="10.506781689999999"/>
    <s v="HRF"/>
    <n v="3.50226024"/>
    <m/>
    <m/>
    <m/>
    <m/>
    <m/>
    <m/>
    <m/>
    <d v="2012-11-30T00:00:00"/>
    <n v="4.6082387216830334E-3"/>
    <x v="1"/>
    <n v="0"/>
    <x v="139"/>
  </r>
  <r>
    <d v="2012-12-31T00:00:00"/>
    <x v="10"/>
    <s v="Series 1"/>
    <n v="14352573.709999997"/>
    <n v="4065630.5474413545"/>
    <n v="20"/>
    <n v="0"/>
    <n v="0"/>
    <n v="0"/>
    <m/>
    <n v="3.5302208458249069"/>
    <n v="0"/>
    <n v="0"/>
    <n v="0"/>
    <n v="0"/>
    <s v="Private Equity Fund"/>
    <n v="0.10471876507952201"/>
    <n v="2.8162089054999999"/>
    <n v="7.2913272034737363E-3"/>
    <n v="0.17916337831405355"/>
    <s v="ARF"/>
    <n v="10.764430529999998"/>
    <s v="HRF"/>
    <n v="3.5881431800000003"/>
    <m/>
    <m/>
    <m/>
    <m/>
    <m/>
    <m/>
    <m/>
    <d v="2012-12-31T00:00:00"/>
    <n v="2.4522146604782025E-2"/>
    <x v="1"/>
    <n v="0"/>
    <x v="140"/>
  </r>
  <r>
    <d v="2013-01-31T00:00:00"/>
    <x v="10"/>
    <s v="Series 1"/>
    <n v="11058816.67"/>
    <n v="3132613.2706623585"/>
    <n v="20"/>
    <n v="0"/>
    <n v="0"/>
    <n v="-3991693.48"/>
    <m/>
    <n v="3.5302208458249069"/>
    <n v="-3991693.48"/>
    <n v="-1130720.6133352432"/>
    <n v="-3991693.48"/>
    <n v="-3991693.48"/>
    <s v="Private Equity Fund"/>
    <n v="8.1055150250014696E-2"/>
    <n v="3.838333784"/>
    <n v="5.6382960997359427E-3"/>
    <n v="0.24541471035740742"/>
    <s v="ARF"/>
    <n v="8.29411275"/>
    <s v="HRF"/>
    <n v="2.7647039200000001"/>
    <m/>
    <m/>
    <m/>
    <m/>
    <m/>
    <m/>
    <m/>
    <d v="2013-01-31T00:00:00"/>
    <n v="4.8627964161837012E-2"/>
    <x v="1"/>
    <n v="0"/>
    <x v="141"/>
  </r>
  <r>
    <d v="2013-02-28T00:00:00"/>
    <x v="10"/>
    <s v="Series 1"/>
    <n v="10904940.99"/>
    <n v="3089025.1534537757"/>
    <n v="20"/>
    <n v="0"/>
    <n v="0"/>
    <n v="0"/>
    <m/>
    <n v="3.5302208458249069"/>
    <n v="0"/>
    <n v="0"/>
    <n v="0"/>
    <n v="0"/>
    <s v="Private Equity Fund"/>
    <n v="7.2156556018884599E-2"/>
    <n v="3.5979169065000001"/>
    <n v="5.0183419248778756E-3"/>
    <n v="0.22967172115000001"/>
    <s v="ARF"/>
    <n v="8.178705990000001"/>
    <s v="HRF"/>
    <n v="2.726235"/>
    <m/>
    <m/>
    <m/>
    <m/>
    <m/>
    <m/>
    <m/>
    <d v="2013-02-28T00:00:00"/>
    <n v="-1.391429884333184E-2"/>
    <x v="1"/>
    <n v="0"/>
    <x v="142"/>
  </r>
  <r>
    <d v="2013-03-28T00:00:00"/>
    <x v="10"/>
    <s v="Series 1"/>
    <n v="8925270.2399999984"/>
    <n v="2528246.9935430996"/>
    <n v="20"/>
    <n v="0"/>
    <n v="0"/>
    <n v="-1504579.72"/>
    <m/>
    <n v="3.5302208458249069"/>
    <n v="-1504579.72"/>
    <n v="-426199.8854206031"/>
    <n v="-1504579.72"/>
    <n v="-1504579.72"/>
    <s v="Private Equity Fund"/>
    <n v="5.9551701254124997E-2"/>
    <n v="2.8452230080000001"/>
    <n v="4.140385843651017E-3"/>
    <n v="0.18064918532987265"/>
    <s v="ARF"/>
    <n v="6.69395293"/>
    <s v="HRF"/>
    <n v="2.2313173100000001"/>
    <m/>
    <m/>
    <m/>
    <m/>
    <m/>
    <m/>
    <m/>
    <d v="2013-03-28T00:00:00"/>
    <n v="-4.3566584214959736E-2"/>
    <x v="1"/>
    <n v="0"/>
    <x v="143"/>
  </r>
  <r>
    <d v="2013-04-30T00:00:00"/>
    <x v="10"/>
    <s v="Series 1"/>
    <n v="8622221.2100000009"/>
    <n v="2442402.7806071281"/>
    <n v="20"/>
    <n v="0"/>
    <n v="0"/>
    <n v="0"/>
    <m/>
    <n v="3.5302208458249069"/>
    <n v="0"/>
    <n v="0"/>
    <n v="0"/>
    <n v="0"/>
    <s v="Private Equity Fund"/>
    <n v="6.7816715134049507E-2"/>
    <n v="2.3834679765"/>
    <n v="4.713690814814815E-3"/>
    <n v="0.15051172352546299"/>
    <s v="ARF"/>
    <n v="6.4666661599999999"/>
    <s v="HRF"/>
    <n v="2.1555550499999998"/>
    <m/>
    <m/>
    <m/>
    <m/>
    <m/>
    <m/>
    <m/>
    <d v="2013-04-30T00:00:00"/>
    <n v="-3.3954045295103263E-2"/>
    <x v="1"/>
    <n v="0"/>
    <x v="144"/>
  </r>
  <r>
    <d v="2013-05-31T00:00:00"/>
    <x v="10"/>
    <s v="Series 1"/>
    <n v="7838255.0600000005"/>
    <n v="2220329.9460060932"/>
    <n v="20"/>
    <n v="0"/>
    <n v="0"/>
    <n v="-909125.73"/>
    <m/>
    <n v="3.5302208458249069"/>
    <n v="-909125.73"/>
    <n v="-257526.58819495598"/>
    <n v="-909125.73"/>
    <n v="-909125.73"/>
    <s v="Private Equity Fund"/>
    <n v="5.79812700814442E-2"/>
    <n v="2.5597769757499993"/>
    <n v="4.0263451473945026E-3"/>
    <n v="0.16187399877533024"/>
    <s v="ARF"/>
    <n v="5.8786915400000002"/>
    <s v="HRF"/>
    <n v="1.9595635200000001"/>
    <m/>
    <m/>
    <m/>
    <m/>
    <m/>
    <m/>
    <m/>
    <d v="2013-05-31T00:00:00"/>
    <n v="1.4515932374228768E-2"/>
    <x v="1"/>
    <n v="0"/>
    <x v="145"/>
  </r>
  <r>
    <d v="2013-06-28T00:00:00"/>
    <x v="10"/>
    <s v="Series 1"/>
    <n v="7836269.3599999985"/>
    <n v="2219767.4599501994"/>
    <n v="20"/>
    <n v="0"/>
    <n v="0"/>
    <n v="0"/>
    <m/>
    <n v="3.5302208458249069"/>
    <n v="0"/>
    <n v="0"/>
    <n v="0"/>
    <n v="0"/>
    <s v="Private Equity Fund"/>
    <n v="5.2321232716537901E-2"/>
    <n v="2.5494838932500001"/>
    <n v="3.6330117453703711E-3"/>
    <n v="0.1611658903310185"/>
    <s v="ARF"/>
    <n v="5.8772022699999997"/>
    <s v="HRF"/>
    <n v="1.95906709"/>
    <m/>
    <m/>
    <m/>
    <m/>
    <m/>
    <m/>
    <m/>
    <d v="2013-06-28T00:00:00"/>
    <n v="-2.5333444558794938E-4"/>
    <x v="1"/>
    <n v="0"/>
    <x v="146"/>
  </r>
  <r>
    <d v="2013-07-31T00:00:00"/>
    <x v="10"/>
    <s v="Series 1"/>
    <n v="7496333"/>
    <n v="2123474.2321760696"/>
    <n v="20"/>
    <n v="0"/>
    <n v="0"/>
    <n v="0"/>
    <m/>
    <n v="3.5302208458249069"/>
    <n v="0"/>
    <n v="0"/>
    <n v="0"/>
    <n v="0"/>
    <s v="Private Equity Fund"/>
    <n v="5.9023222832782399E-2"/>
    <n v="2.0348636142499985"/>
    <n v="4.0969315486111112E-3"/>
    <n v="0.1276252983287037"/>
    <s v="ARF"/>
    <n v="5.6222500000000002"/>
    <s v="HRF"/>
    <n v="1.8740829999999999"/>
    <m/>
    <m/>
    <m/>
    <m/>
    <m/>
    <m/>
    <m/>
    <d v="2013-07-31T00:00:00"/>
    <n v="-4.3379871771023315E-2"/>
    <x v="1"/>
    <n v="0"/>
    <x v="147"/>
  </r>
  <r>
    <d v="2013-08-30T00:00:00"/>
    <x v="10"/>
    <s v="Series 1"/>
    <n v="7284499.3499999996"/>
    <n v="2063468.4537130792"/>
    <n v="20"/>
    <n v="0"/>
    <n v="0"/>
    <n v="0"/>
    <m/>
    <n v="3.5302208458249069"/>
    <n v="0"/>
    <n v="0"/>
    <n v="0"/>
    <n v="0"/>
    <s v="Private Equity Fund"/>
    <n v="5.2142626258420199E-2"/>
    <n v="1.7120206462499992"/>
    <n v="3.618305086160796E-3"/>
    <n v="0.10657310903101842"/>
    <s v="ARF"/>
    <n v="5.4633747599999998"/>
    <s v="HRF"/>
    <n v="1.8211245900000002"/>
    <m/>
    <m/>
    <m/>
    <m/>
    <m/>
    <m/>
    <m/>
    <d v="2013-08-30T00:00:00"/>
    <n v="-2.8258303092992265E-2"/>
    <x v="1"/>
    <n v="0"/>
    <x v="148"/>
  </r>
  <r>
    <d v="2013-09-30T00:00:00"/>
    <x v="10"/>
    <s v="Series 1"/>
    <n v="5829674.0599999996"/>
    <n v="1651362.4259214806"/>
    <n v="20"/>
    <n v="0"/>
    <n v="-9.3132257461547852E-10"/>
    <n v="-1568165.29"/>
    <m/>
    <n v="3.5302208458249069"/>
    <n v="-1568165.290000001"/>
    <n v="-444211.66790588328"/>
    <n v="-1568165.290000001"/>
    <n v="-1568165.290000001"/>
    <s v="Private Equity Fund"/>
    <n v="4.3401248612449997E-2"/>
    <n v="1.8735221427499982"/>
    <n v="3.0070137289551725E-3"/>
    <n v="0.11701061268472213"/>
    <s v="ARF"/>
    <n v="4.3722557899999996"/>
    <s v="HRF"/>
    <n v="1.45741827"/>
    <m/>
    <m/>
    <m/>
    <m/>
    <m/>
    <m/>
    <m/>
    <d v="2013-09-30T00:00:00"/>
    <n v="1.555906515387373E-2"/>
    <x v="1"/>
    <n v="0"/>
    <x v="0"/>
  </r>
  <r>
    <d v="2013-10-31T00:00:00"/>
    <x v="10"/>
    <s v="Series 1"/>
    <n v="5909208.8499999996"/>
    <n v="1673892.1183893227"/>
    <n v="20"/>
    <n v="0"/>
    <n v="0"/>
    <n v="0"/>
    <m/>
    <n v="3.5302208458249069"/>
    <n v="0"/>
    <n v="0"/>
    <n v="0"/>
    <n v="0"/>
    <s v="Private Equity Fund"/>
    <n v="4.3932156520843202E-2"/>
    <n v="1.983905606249998"/>
    <n v="3.0435436550925931E-3"/>
    <n v="0.12409550781018522"/>
    <s v="ARF"/>
    <n v="4.4319068799999997"/>
    <s v="HRF"/>
    <n v="1.4773019700000001"/>
    <m/>
    <m/>
    <m/>
    <m/>
    <m/>
    <m/>
    <m/>
    <d v="2013-10-31T00:00:00"/>
    <n v="1.3643093795882022E-2"/>
    <x v="1"/>
    <n v="0"/>
    <x v="1"/>
  </r>
  <r>
    <d v="2013-11-29T00:00:00"/>
    <x v="10"/>
    <s v="Series 1"/>
    <n v="5764841.1500000004"/>
    <n v="1632997.3114339053"/>
    <n v="20"/>
    <n v="0"/>
    <n v="-9.3132257461547852E-10"/>
    <n v="0"/>
    <m/>
    <n v="3.5302208458249069"/>
    <n v="-9.3132257461547852E-10"/>
    <n v="0"/>
    <n v="-9.3132257461547852E-10"/>
    <n v="-9.3132257461547852E-10"/>
    <s v="Private Equity Fund"/>
    <n v="4.0097409422905197E-2"/>
    <n v="1.7632087252499986"/>
    <n v="2.7770582384259298E-3"/>
    <n v="0.109700636564815"/>
    <s v="ARF"/>
    <n v="4.32363111"/>
    <s v="HRF"/>
    <n v="1.4412100400000001"/>
    <m/>
    <m/>
    <m/>
    <m/>
    <m/>
    <m/>
    <m/>
    <d v="2013-11-29T00:00:00"/>
    <n v="-2.4430969299722438E-2"/>
    <x v="1"/>
    <n v="0"/>
    <x v="2"/>
  </r>
  <r>
    <d v="2013-12-31T00:00:00"/>
    <x v="10"/>
    <s v="Series 1"/>
    <n v="5832803.9000000004"/>
    <n v="1652249.0106811004"/>
    <n v="20"/>
    <n v="0"/>
    <n v="0"/>
    <n v="0"/>
    <m/>
    <n v="3.5302208458249069"/>
    <n v="0"/>
    <n v="0"/>
    <n v="0"/>
    <n v="0"/>
    <s v="Private Equity Fund"/>
    <n v="4.4677805599249103E-2"/>
    <n v="1.8513061007499985"/>
    <n v="3.09298075632756E-3"/>
    <n v="0.115156371476741"/>
    <s v="ARF"/>
    <n v="4.3746031700000003"/>
    <s v="HRF"/>
    <n v="1.4582007299999999"/>
    <m/>
    <m/>
    <m/>
    <m/>
    <m/>
    <m/>
    <m/>
    <d v="2013-12-31T00:00:00"/>
    <n v="1.1789180001950283E-2"/>
    <x v="1"/>
    <n v="0"/>
    <x v="3"/>
  </r>
  <r>
    <d v="2014-01-30T00:00:00"/>
    <x v="10"/>
    <s v="Series 1"/>
    <n v="5692070.6500000004"/>
    <n v="1612383.7285511054"/>
    <n v="20"/>
    <n v="0"/>
    <n v="-9.3132257461547852E-10"/>
    <n v="0"/>
    <m/>
    <n v="3.5302208458249069"/>
    <n v="-9.3132257461547852E-10"/>
    <n v="0"/>
    <n v="-9.3132257461547852E-10"/>
    <n v="-9.3132257461547852E-10"/>
    <s v="Private Equity Fund"/>
    <n v="4.0872684024873297E-2"/>
    <n v="1.635478109749998"/>
    <n v="2.8285824063261399E-3"/>
    <n v="0.10106249947037001"/>
    <s v="ARF"/>
    <n v="4.2690532300000008"/>
    <s v="HRF"/>
    <n v="1.4230174199999999"/>
    <m/>
    <m/>
    <m/>
    <m/>
    <m/>
    <m/>
    <m/>
    <d v="2014-01-30T00:00:00"/>
    <n v="-2.4127889847282424E-2"/>
    <x v="1"/>
    <n v="0"/>
    <x v="4"/>
  </r>
  <r>
    <d v="2014-02-28T00:00:00"/>
    <x v="10"/>
    <s v="Series 1"/>
    <n v="5493697.709999999"/>
    <n v="1556190.943832095"/>
    <n v="20"/>
    <n v="0"/>
    <n v="0"/>
    <n v="0"/>
    <m/>
    <n v="3.5302208458249069"/>
    <n v="0"/>
    <n v="0"/>
    <n v="0"/>
    <n v="0"/>
    <s v="Private Equity Fund"/>
    <n v="3.8144602395356601E-2"/>
    <n v="1.3339887022499977"/>
    <n v="2.6385385538816699E-3"/>
    <n v="8.1388038315277605E-2"/>
    <s v="ARF"/>
    <n v="4.1202735299999995"/>
    <s v="HRF"/>
    <n v="1.37342418"/>
    <m/>
    <m/>
    <m/>
    <m/>
    <m/>
    <m/>
    <m/>
    <d v="2014-02-28T00:00:00"/>
    <n v="-3.4850751545046466E-2"/>
    <x v="1"/>
    <n v="0"/>
    <x v="5"/>
  </r>
  <r>
    <d v="2014-03-31T00:00:00"/>
    <x v="10"/>
    <s v="Series 1"/>
    <n v="4430006.74"/>
    <n v="1254880.9078727311"/>
    <n v="20"/>
    <n v="0"/>
    <n v="0"/>
    <n v="-1000000"/>
    <m/>
    <n v="3.5302208458249069"/>
    <n v="-1000000"/>
    <n v="-283268.39698504185"/>
    <n v="-1000000"/>
    <n v="-1000000"/>
    <s v="Private Equity Fund"/>
    <n v="3.3114230127117596E-2"/>
    <n v="1.2342163692499983"/>
    <n v="2.2854881381637803E-3"/>
    <n v="7.4862563797455497E-2"/>
    <s v="ARF"/>
    <n v="3.3225053"/>
    <s v="HRF"/>
    <n v="1.1075014399999998"/>
    <m/>
    <m/>
    <m/>
    <m/>
    <m/>
    <m/>
    <m/>
    <d v="2014-03-31T00:00:00"/>
    <n v="-1.1593460973301162E-2"/>
    <x v="1"/>
    <n v="0"/>
    <x v="6"/>
  </r>
  <r>
    <d v="2014-04-30T00:00:00"/>
    <x v="10"/>
    <s v="Series 1"/>
    <n v="4400796.42"/>
    <n v="1246606.547350911"/>
    <n v="20"/>
    <n v="0"/>
    <n v="0"/>
    <n v="0"/>
    <m/>
    <n v="3.5302208458249069"/>
    <n v="0"/>
    <n v="0"/>
    <n v="0"/>
    <n v="0"/>
    <s v="Private Equity Fund"/>
    <n v="3.1817964225521002E-2"/>
    <n v="1.1857847352499979"/>
    <n v="2.1955922715684801E-3"/>
    <n v="7.1672653460934099E-2"/>
    <s v="ARF"/>
    <n v="3.3005975599999999"/>
    <s v="HRF"/>
    <n v="1.1001988600000001"/>
    <m/>
    <m/>
    <m/>
    <m/>
    <m/>
    <m/>
    <m/>
    <d v="2014-04-30T00:00:00"/>
    <n v="-6.5937416609890276E-3"/>
    <x v="1"/>
    <n v="0"/>
    <x v="7"/>
  </r>
  <r>
    <d v="2014-05-30T00:00:00"/>
    <x v="10"/>
    <s v="Series 1"/>
    <n v="3941963.4700000007"/>
    <n v="1116633.6731204933"/>
    <n v="20"/>
    <n v="0"/>
    <n v="0"/>
    <n v="-400000"/>
    <m/>
    <n v="3.5302208458249069"/>
    <n v="-400000"/>
    <n v="-113307.35879401675"/>
    <n v="-400000"/>
    <n v="-400000"/>
    <s v="Private Equity Fund"/>
    <n v="2.7901842960602798E-2"/>
    <n v="1.0934456962500001"/>
    <n v="1.92220315246566E-3"/>
    <n v="6.5615522355127298E-2"/>
    <s v="ARF"/>
    <n v="2.9564728499999999"/>
    <s v="HRF"/>
    <n v="0.98549061999999998"/>
    <m/>
    <m/>
    <m/>
    <m/>
    <m/>
    <m/>
    <m/>
    <d v="2014-05-30T00:00:00"/>
    <n v="-1.3368705203591125E-2"/>
    <x v="1"/>
    <n v="0"/>
    <x v="8"/>
  </r>
  <r>
    <d v="2014-06-30T00:00:00"/>
    <x v="10"/>
    <s v="Series 1"/>
    <n v="3919778.1400000006"/>
    <n v="1110349.2702548092"/>
    <n v="20"/>
    <n v="0"/>
    <n v="0"/>
    <n v="0"/>
    <m/>
    <n v="3.5302208458249069"/>
    <n v="0"/>
    <n v="0"/>
    <n v="0"/>
    <n v="0"/>
    <s v="Private Equity Fund"/>
    <n v="2.86503846586291E-2"/>
    <n v="1.0558859817499981"/>
    <n v="1.9733761553552198E-3"/>
    <n v="6.3134390084918293E-2"/>
    <s v="ARF"/>
    <n v="2.9398338500000003"/>
    <s v="HRF"/>
    <n v="0.97994429000000005"/>
    <m/>
    <m/>
    <m/>
    <m/>
    <m/>
    <m/>
    <m/>
    <d v="2014-06-30T00:00:00"/>
    <n v="-5.6279897489766029E-3"/>
    <x v="1"/>
    <n v="0"/>
    <x v="9"/>
  </r>
  <r>
    <d v="2014-07-31T00:00:00"/>
    <x v="10"/>
    <s v="Series 1"/>
    <n v="3893611.78"/>
    <n v="1102937.1674026754"/>
    <n v="20"/>
    <n v="0"/>
    <n v="0"/>
    <n v="0"/>
    <m/>
    <n v="3.5302208458249069"/>
    <n v="0"/>
    <n v="0"/>
    <n v="0"/>
    <n v="0"/>
    <s v="Private Equity Fund"/>
    <n v="2.8440105424305299E-2"/>
    <n v="1.0125069707499983"/>
    <n v="1.95847513853098E-3"/>
    <n v="6.0277596522825799E-2"/>
    <s v="ARF"/>
    <n v="2.9202090800000002"/>
    <s v="HRF"/>
    <n v="0.97340269999999995"/>
    <m/>
    <m/>
    <m/>
    <m/>
    <m/>
    <m/>
    <m/>
    <d v="2014-07-31T00:00:00"/>
    <n v="-6.6754696478819042E-3"/>
    <x v="1"/>
    <n v="0"/>
    <x v="10"/>
  </r>
  <r>
    <d v="2014-08-29T00:00:00"/>
    <x v="10"/>
    <s v="Series 1"/>
    <n v="4124128.3900000006"/>
    <n v="1168235.2379958017"/>
    <n v="20"/>
    <n v="0"/>
    <n v="0"/>
    <n v="0"/>
    <m/>
    <n v="3.5302208458249069"/>
    <n v="0"/>
    <n v="0"/>
    <n v="0"/>
    <n v="0"/>
    <s v="Private Equity Fund"/>
    <n v="2.8132242892573499E-2"/>
    <n v="1.3507338047499999"/>
    <n v="1.93851976440103E-3"/>
    <n v="8.2232507949932199E-2"/>
    <s v="ARF"/>
    <n v="3.0930965399999999"/>
    <s v="HRF"/>
    <n v="1.03103185"/>
    <m/>
    <m/>
    <m/>
    <m/>
    <m/>
    <m/>
    <m/>
    <d v="2014-08-29T00:00:00"/>
    <n v="5.920379920362806E-2"/>
    <x v="1"/>
    <n v="0"/>
    <x v="11"/>
  </r>
  <r>
    <d v="2014-09-30T00:00:00"/>
    <x v="10"/>
    <s v="Series 1"/>
    <n v="4134442.0999999996"/>
    <n v="1171156.7860944699"/>
    <n v="20"/>
    <n v="0"/>
    <n v="0"/>
    <n v="0"/>
    <m/>
    <n v="3.5302208458249069"/>
    <n v="0"/>
    <n v="0"/>
    <n v="0"/>
    <n v="0"/>
    <s v="Private Equity Fund"/>
    <n v="1.20081194341881E-2"/>
    <n v="1.3643971487499984"/>
    <n v="9.63953680759971E-4"/>
    <n v="8.3094904822526905E-2"/>
    <s v="ARF"/>
    <n v="3.1008318199999998"/>
    <s v="HRF"/>
    <n v="1.03361028"/>
    <m/>
    <m/>
    <m/>
    <m/>
    <m/>
    <m/>
    <m/>
    <d v="2014-09-30T00:00:00"/>
    <n v="2.5008217554542966E-3"/>
    <x v="1"/>
    <n v="0"/>
    <x v="12"/>
  </r>
  <r>
    <d v="2014-10-31T00:00:00"/>
    <x v="10"/>
    <s v="Series 1"/>
    <n v="3925700.7"/>
    <n v="1112026.9443320567"/>
    <n v="20"/>
    <n v="0"/>
    <n v="0"/>
    <n v="0"/>
    <m/>
    <n v="3.5302208458249069"/>
    <n v="0"/>
    <n v="0"/>
    <n v="0"/>
    <n v="0"/>
    <s v="Private Equity Fund"/>
    <n v="1.1684628901495E-3"/>
    <n v="1.0538599402499988"/>
    <n v="1.18165294674845E-4"/>
    <n v="6.2895340843927394E-2"/>
    <s v="ARF"/>
    <n v="2.94427577"/>
    <s v="HRF"/>
    <n v="0.98142493000000008"/>
    <m/>
    <m/>
    <m/>
    <m/>
    <m/>
    <m/>
    <m/>
    <d v="2014-10-31T00:00:00"/>
    <n v="-5.0488408097430937E-2"/>
    <x v="1"/>
    <n v="0"/>
    <x v="149"/>
  </r>
  <r>
    <d v="2014-11-28T00:00:00"/>
    <x v="10"/>
    <s v="Series 1"/>
    <n v="3654688.2800000003"/>
    <n v="1035257.6905556199"/>
    <n v="20"/>
    <n v="0"/>
    <n v="0"/>
    <n v="0"/>
    <m/>
    <n v="3.5302208458249069"/>
    <n v="0"/>
    <n v="0"/>
    <n v="0"/>
    <n v="0"/>
    <s v="Private Equity Fund"/>
    <n v="0"/>
    <n v="0.6335103882499985"/>
    <n v="0"/>
    <n v="3.5571195905535799E-2"/>
    <s v="ARF"/>
    <n v="2.7410162100000002"/>
    <s v="HRF"/>
    <n v="0.91367206999999995"/>
    <m/>
    <m/>
    <m/>
    <m/>
    <m/>
    <m/>
    <m/>
    <d v="2014-11-28T00:00:00"/>
    <n v="-6.9035425955931817E-2"/>
    <x v="1"/>
    <n v="0"/>
    <x v="150"/>
  </r>
  <r>
    <d v="2014-12-31T00:00:00"/>
    <x v="10"/>
    <s v="Series 1"/>
    <n v="3172090.71"/>
    <n v="898553.0505128433"/>
    <n v="20"/>
    <n v="0"/>
    <n v="0"/>
    <n v="-480000"/>
    <m/>
    <n v="3.5302208458249069"/>
    <n v="-480000"/>
    <n v="-135968.83055282009"/>
    <n v="-480000"/>
    <n v="-480000"/>
    <s v="Private Equity Fund"/>
    <n v="0"/>
    <n v="0.64779731874999813"/>
    <n v="0"/>
    <n v="3.6517395253857103E-2"/>
    <s v="ARF"/>
    <n v="2.3790682799999998"/>
    <s v="HRF"/>
    <n v="0.79302243000000006"/>
    <m/>
    <m/>
    <m/>
    <m/>
    <m/>
    <m/>
    <m/>
    <d v="2014-12-31T00:00:00"/>
    <n v="-7.1075008345178325E-4"/>
    <x v="1"/>
    <n v="0"/>
    <x v="151"/>
  </r>
  <r>
    <d v="2015-01-30T00:00:00"/>
    <x v="10"/>
    <s v="Series 1"/>
    <n v="3127789.4099999997"/>
    <n v="886003.89227748977"/>
    <n v="20"/>
    <n v="0"/>
    <n v="0"/>
    <n v="0"/>
    <m/>
    <n v="3.5302208458249069"/>
    <n v="0"/>
    <n v="0"/>
    <n v="0"/>
    <n v="0"/>
    <s v="Private Equity Fund"/>
    <n v="0"/>
    <n v="0.51101888932079265"/>
    <n v="0"/>
    <n v="2.8806971290840179E-2"/>
    <s v="ARF"/>
    <n v="2.3458422999999997"/>
    <s v="HRF"/>
    <n v="0.78194710999999995"/>
    <m/>
    <m/>
    <m/>
    <m/>
    <m/>
    <m/>
    <m/>
    <d v="2015-01-30T00:00:00"/>
    <n v="-1.3965962530749998E-2"/>
    <x v="1"/>
    <n v="0"/>
    <x v="152"/>
  </r>
  <r>
    <d v="2015-02-27T00:00:00"/>
    <x v="10"/>
    <s v="Series 1"/>
    <n v="3287632"/>
    <n v="931282.24651672714"/>
    <n v="20"/>
    <n v="0"/>
    <n v="-4.6566128730773926E-10"/>
    <n v="0"/>
    <m/>
    <n v="3.5302208458249069"/>
    <n v="-4.6566128730773926E-10"/>
    <n v="0"/>
    <n v="-4.6566128730773926E-10"/>
    <n v="-4.6566128730773926E-10"/>
    <s v="Private Equity Fund"/>
    <n v="0"/>
    <n v="0.73575103079021731"/>
    <n v="0"/>
    <n v="4.1475489975234217E-2"/>
    <s v="ARF"/>
    <n v="2.4657239999999998"/>
    <s v="HRF"/>
    <n v="0.82190799999999997"/>
    <m/>
    <m/>
    <m/>
    <m/>
    <m/>
    <m/>
    <m/>
    <d v="2015-02-27T00:00:00"/>
    <n v="5.1104012785822661E-2"/>
    <x v="1"/>
    <n v="0"/>
    <x v="153"/>
  </r>
  <r>
    <d v="2015-03-31T00:00:00"/>
    <x v="10"/>
    <s v="Series 1"/>
    <n v="2791812.28"/>
    <n v="790832.1892387548"/>
    <n v="20"/>
    <n v="0"/>
    <n v="0"/>
    <n v="-477919.5"/>
    <m/>
    <n v="3.5302208458249069"/>
    <n v="-477919.5"/>
    <n v="-135379.49065289271"/>
    <n v="-477919.5"/>
    <n v="-477919.5"/>
    <s v="Private Equity Fund"/>
    <n v="0"/>
    <n v="0.6849820711681901"/>
    <n v="0"/>
    <n v="3.8994749280827704E-2"/>
    <s v="ARF"/>
    <n v="2.0938592099999997"/>
    <s v="HRF"/>
    <n v="0.69795306999999995"/>
    <m/>
    <m/>
    <m/>
    <m/>
    <m/>
    <m/>
    <m/>
    <d v="2015-03-31T00:00:00"/>
    <n v="-5.4447152236016816E-3"/>
    <x v="1"/>
    <n v="0"/>
    <x v="154"/>
  </r>
  <r>
    <d v="2015-04-30T00:00:00"/>
    <x v="10"/>
    <s v="Series 1"/>
    <n v="2847103.5900000003"/>
    <n v="806494.46998965798"/>
    <n v="20"/>
    <n v="0"/>
    <n v="0"/>
    <n v="0"/>
    <m/>
    <n v="3.5302208458249069"/>
    <n v="0"/>
    <n v="0"/>
    <n v="0"/>
    <n v="0"/>
    <s v="Private Equity Fund"/>
    <n v="0"/>
    <n v="0.75530032283503956"/>
    <n v="0"/>
    <n v="4.3548371694007798E-2"/>
    <s v="ARF"/>
    <n v="2.13532769"/>
    <s v="HRF"/>
    <n v="0.71177590000000002"/>
    <m/>
    <m/>
    <m/>
    <m/>
    <m/>
    <m/>
    <m/>
    <d v="2015-04-30T00:00:00"/>
    <n v="1.9804809369203147E-2"/>
    <x v="1"/>
    <n v="0"/>
    <x v="155"/>
  </r>
  <r>
    <d v="2015-05-29T00:00:00"/>
    <x v="10"/>
    <s v="Series 1"/>
    <n v="2866857.4099999997"/>
    <n v="812090.10291538888"/>
    <n v="20"/>
    <n v="0"/>
    <n v="0"/>
    <n v="0"/>
    <m/>
    <n v="3.5302208458249069"/>
    <n v="0"/>
    <n v="0"/>
    <n v="0"/>
    <n v="0"/>
    <s v="Private Equity Fund"/>
    <n v="0"/>
    <n v="0.77367366789632686"/>
    <n v="0"/>
    <n v="4.4607724160570898E-2"/>
    <s v="ARF"/>
    <n v="2.15014306"/>
    <s v="HRF"/>
    <n v="0.71671434999999994"/>
    <m/>
    <m/>
    <m/>
    <m/>
    <m/>
    <m/>
    <m/>
    <d v="2015-05-29T00:00:00"/>
    <n v="6.9382161117641505E-3"/>
    <x v="1"/>
    <n v="0"/>
    <x v="156"/>
  </r>
  <r>
    <d v="2015-06-30T00:00:00"/>
    <x v="10"/>
    <s v="Series 1"/>
    <n v="2823590.6500000004"/>
    <n v="799833.99716745247"/>
    <n v="20"/>
    <n v="0"/>
    <n v="0"/>
    <n v="0"/>
    <m/>
    <n v="3.5302208458249069"/>
    <n v="0"/>
    <n v="0"/>
    <n v="0"/>
    <n v="0"/>
    <s v="Private Equity Fund"/>
    <n v="0"/>
    <n v="0.69727742627429989"/>
    <n v="0"/>
    <n v="3.9776955197009405E-2"/>
    <s v="ARF"/>
    <n v="2.1176932400000004"/>
    <s v="HRF"/>
    <n v="0.70589741000000006"/>
    <m/>
    <m/>
    <m/>
    <m/>
    <m/>
    <m/>
    <m/>
    <d v="2015-06-30T00:00:00"/>
    <n v="-1.509205161340732E-2"/>
    <x v="1"/>
    <n v="0"/>
    <x v="157"/>
  </r>
  <r>
    <d v="2015-07-31T00:00:00"/>
    <x v="10"/>
    <s v="Series 1"/>
    <n v="2440121.92"/>
    <n v="691209.42472646257"/>
    <n v="20"/>
    <n v="0"/>
    <n v="0"/>
    <n v="-250000"/>
    <m/>
    <n v="3.5302208458249069"/>
    <n v="-250000"/>
    <n v="-70817.099246260463"/>
    <n v="-250000"/>
    <n v="-250000"/>
    <s v="Private Equity Fund"/>
    <n v="0"/>
    <n v="0.48860344823849133"/>
    <n v="0"/>
    <n v="2.62166549268124E-2"/>
    <s v="ARF"/>
    <n v="1.83009194"/>
    <s v="HRF"/>
    <n v="0.61002997999999997"/>
    <m/>
    <m/>
    <m/>
    <m/>
    <m/>
    <m/>
    <m/>
    <d v="2015-07-31T00:00:00"/>
    <n v="-4.7269150009403904E-2"/>
    <x v="1"/>
    <n v="0"/>
    <x v="158"/>
  </r>
  <r>
    <d v="2015-08-31T00:00:00"/>
    <x v="10"/>
    <s v="Series 1"/>
    <n v="2526770.6"/>
    <n v="715754.25741093245"/>
    <n v="20"/>
    <n v="0"/>
    <n v="0"/>
    <n v="0"/>
    <m/>
    <n v="3.5302208458249069"/>
    <n v="0"/>
    <n v="0"/>
    <n v="0"/>
    <n v="0"/>
    <s v="Private Equity Fund"/>
    <n v="0"/>
    <n v="0.60740928220268309"/>
    <n v="0"/>
    <n v="3.3958686182676397E-2"/>
    <s v="ARF"/>
    <n v="1.89507845"/>
    <s v="HRF"/>
    <n v="0.63169215000000001"/>
    <m/>
    <m/>
    <m/>
    <m/>
    <m/>
    <m/>
    <m/>
    <d v="2015-08-31T00:00:00"/>
    <n v="3.5509979763634236E-2"/>
    <x v="1"/>
    <n v="0"/>
    <x v="159"/>
  </r>
  <r>
    <d v="2015-09-30T00:00:00"/>
    <x v="10"/>
    <s v="Series 1"/>
    <n v="2502109.4300000002"/>
    <n v="708768.5273172569"/>
    <n v="20"/>
    <n v="0"/>
    <n v="0"/>
    <n v="0"/>
    <m/>
    <n v="3.5302208458249069"/>
    <n v="0"/>
    <n v="0"/>
    <n v="0"/>
    <n v="0"/>
    <s v="Private Equity Fund"/>
    <n v="0"/>
    <n v="0.56068751868623867"/>
    <n v="0"/>
    <n v="3.09237142489205E-2"/>
    <s v="ARF"/>
    <n v="1.8765825700000001"/>
    <s v="HRF"/>
    <n v="0.62552686000000002"/>
    <m/>
    <m/>
    <m/>
    <m/>
    <m/>
    <m/>
    <m/>
    <d v="2015-09-30T00:00:00"/>
    <n v="-9.7599560482458658E-3"/>
    <x v="1"/>
    <n v="0"/>
    <x v="160"/>
  </r>
  <r>
    <d v="2015-10-30T00:00:00"/>
    <x v="10"/>
    <s v="Series 1"/>
    <n v="2474407.83"/>
    <n v="700921.53949133598"/>
    <n v="20"/>
    <n v="0"/>
    <n v="0"/>
    <n v="0"/>
    <m/>
    <n v="3.5302208458249069"/>
    <n v="0"/>
    <n v="0"/>
    <n v="0"/>
    <n v="0"/>
    <s v="Private Equity Fund"/>
    <n v="0"/>
    <n v="0.5086671532624093"/>
    <n v="0"/>
    <n v="2.7516079730722797E-2"/>
    <s v="ARF"/>
    <n v="1.85580637"/>
    <s v="HRF"/>
    <n v="0.61860145999999994"/>
    <m/>
    <m/>
    <m/>
    <m/>
    <m/>
    <m/>
    <m/>
    <d v="2015-10-30T00:00:00"/>
    <n v="-1.1071298348449998E-2"/>
    <x v="1"/>
    <n v="0"/>
    <x v="161"/>
  </r>
  <r>
    <d v="2015-11-30T00:00:00"/>
    <x v="10"/>
    <s v="Series 1"/>
    <n v="2183321.84"/>
    <n v="618466.07771923207"/>
    <n v="20"/>
    <n v="0"/>
    <n v="0"/>
    <n v="-290000"/>
    <m/>
    <n v="3.5302208458249069"/>
    <n v="-290000"/>
    <n v="-82147.835125662139"/>
    <n v="-290000"/>
    <n v="-290000"/>
    <s v="Private Equity Fund"/>
    <n v="0"/>
    <n v="0.49766621252999582"/>
    <n v="0"/>
    <n v="2.67873671592797E-2"/>
    <s v="ARF"/>
    <n v="1.6374918799999998"/>
    <s v="HRF"/>
    <n v="0.54582995999999995"/>
    <m/>
    <m/>
    <m/>
    <m/>
    <m/>
    <m/>
    <m/>
    <d v="2015-11-30T00:00:00"/>
    <n v="-4.3888884719545107E-4"/>
    <x v="1"/>
    <n v="0"/>
    <x v="162"/>
  </r>
  <r>
    <d v="2015-12-31T00:00:00"/>
    <x v="10"/>
    <s v="Series 1"/>
    <n v="1678825.21"/>
    <n v="475558.12605477625"/>
    <n v="20"/>
    <n v="0"/>
    <n v="0"/>
    <n v="-406740"/>
    <m/>
    <n v="3.5302208458249069"/>
    <n v="-406740"/>
    <n v="-115216.58778969593"/>
    <n v="-406740"/>
    <n v="-406740"/>
    <s v="Private Equity Fund"/>
    <n v="0"/>
    <n v="0.34076894901534155"/>
    <n v="0"/>
    <n v="1.703844742078995E-2"/>
    <s v="ARF"/>
    <n v="1.2591194099999998"/>
    <s v="HRF"/>
    <n v="0.41970579999999996"/>
    <m/>
    <m/>
    <m/>
    <m/>
    <m/>
    <m/>
    <m/>
    <d v="2015-12-31T00:00:00"/>
    <n v="-4.477426470483159E-2"/>
    <x v="1"/>
    <n v="0"/>
    <x v="163"/>
  </r>
  <r>
    <d v="2016-01-29T00:00:00"/>
    <x v="10"/>
    <s v="Series 1"/>
    <n v="1611811.35"/>
    <n v="456575.21735679626"/>
    <n v="20"/>
    <n v="0"/>
    <n v="0"/>
    <n v="0"/>
    <m/>
    <n v="3.5302208458249069"/>
    <n v="0"/>
    <n v="0"/>
    <n v="0"/>
    <n v="0"/>
    <s v="Private Equity Fund"/>
    <n v="0"/>
    <n v="0.25181277728214502"/>
    <n v="0"/>
    <n v="1.2590638831192649E-2"/>
    <s v="ARF"/>
    <n v="1.2088590100000001"/>
    <s v="HRF"/>
    <n v="0.40295234000000002"/>
    <m/>
    <m/>
    <m/>
    <m/>
    <m/>
    <m/>
    <m/>
    <d v="2016-01-29T00:00:00"/>
    <n v="-3.9917115612053466E-2"/>
    <x v="1"/>
    <n v="0"/>
    <x v="164"/>
  </r>
  <r>
    <d v="2016-02-29T00:00:00"/>
    <x v="10"/>
    <s v="Series 1"/>
    <n v="1665543.12"/>
    <n v="471795.72971186525"/>
    <n v="20"/>
    <n v="0"/>
    <n v="0"/>
    <n v="0"/>
    <m/>
    <n v="3.5302208458249069"/>
    <n v="0"/>
    <n v="0"/>
    <n v="0"/>
    <n v="0"/>
    <s v="Private Equity Fund"/>
    <n v="0"/>
    <n v="0.31280395636206065"/>
    <n v="0"/>
    <n v="1.5640197818103035E-2"/>
    <s v="ARF"/>
    <n v="1.2491578400000001"/>
    <s v="HRF"/>
    <n v="0.41638528000000002"/>
    <m/>
    <m/>
    <m/>
    <m/>
    <m/>
    <m/>
    <m/>
    <d v="2016-02-29T00:00:00"/>
    <n v="3.3336264817839911E-2"/>
    <x v="1"/>
    <n v="0"/>
    <x v="165"/>
  </r>
  <r>
    <d v="2016-03-31T00:00:00"/>
    <x v="10"/>
    <s v="Series 1"/>
    <n v="1658931.3199999998"/>
    <n v="469922.81572467944"/>
    <n v="20"/>
    <n v="0"/>
    <n v="-2.3283064365386963E-10"/>
    <n v="0"/>
    <m/>
    <n v="3.5302208458249069"/>
    <n v="-2.3283064365386963E-10"/>
    <n v="0"/>
    <n v="-2.3283064365386963E-10"/>
    <n v="-2.3283064365386963E-10"/>
    <s v="Private Equity Fund"/>
    <n v="0"/>
    <n v="0.29866738140427601"/>
    <n v="0"/>
    <n v="1.4933369039950193E-2"/>
    <s v="ARF"/>
    <n v="1.2441989899999999"/>
    <s v="HRF"/>
    <n v="0.41473233000000004"/>
    <m/>
    <m/>
    <m/>
    <m/>
    <m/>
    <m/>
    <m/>
    <d v="2016-03-31T00:00:00"/>
    <n v="-3.969756123756274E-3"/>
    <x v="1"/>
    <n v="0"/>
    <x v="166"/>
  </r>
  <r>
    <d v="2016-04-29T00:00:00"/>
    <x v="10"/>
    <s v="Series 1"/>
    <n v="1748740.6400000001"/>
    <n v="495362.95783539623"/>
    <n v="20"/>
    <n v="0"/>
    <n v="0"/>
    <n v="0"/>
    <m/>
    <n v="3.5302208458249069"/>
    <n v="0"/>
    <n v="0"/>
    <n v="0"/>
    <n v="0"/>
    <s v="Private Equity Fund"/>
    <n v="0"/>
    <n v="0.41165192122027849"/>
    <n v="0"/>
    <n v="2.0651412670511234E-2"/>
    <s v="ARF"/>
    <n v="1.3115559800000001"/>
    <s v="HRF"/>
    <n v="0.43718465999999995"/>
    <m/>
    <m/>
    <m/>
    <m/>
    <m/>
    <m/>
    <m/>
    <d v="2016-04-29T00:00:00"/>
    <n v="5.4136852392418611E-2"/>
    <x v="1"/>
    <n v="0"/>
    <x v="167"/>
  </r>
  <r>
    <d v="2016-05-31T00:00:00"/>
    <x v="10"/>
    <s v="Series 1"/>
    <n v="1782495.5299999998"/>
    <n v="504924.65141610254"/>
    <n v="20"/>
    <n v="0"/>
    <n v="0"/>
    <n v="0"/>
    <m/>
    <n v="3.5302208458249069"/>
    <n v="0"/>
    <n v="0"/>
    <n v="0"/>
    <n v="0"/>
    <s v="Private Equity Fund"/>
    <n v="0"/>
    <n v="0.45469143897699976"/>
    <n v="0"/>
    <n v="2.2872779999999999E-2"/>
    <s v="ARF"/>
    <n v="1.3368721499999998"/>
    <s v="HRF"/>
    <n v="0.44562338000000001"/>
    <m/>
    <m/>
    <m/>
    <m/>
    <m/>
    <m/>
    <m/>
    <d v="2016-05-31T00:00:00"/>
    <n v="1.9302399239717882E-2"/>
    <x v="1"/>
    <n v="0"/>
    <x v="168"/>
  </r>
  <r>
    <d v="2016-06-30T00:00:00"/>
    <x v="10"/>
    <s v="Series 1"/>
    <n v="1853730.5599999996"/>
    <n v="525103.28417338384"/>
    <n v="20"/>
    <n v="0"/>
    <n v="0"/>
    <n v="0"/>
    <m/>
    <n v="3.5302208458249069"/>
    <n v="0"/>
    <n v="0"/>
    <n v="0"/>
    <n v="0"/>
    <s v="Private Equity Fund"/>
    <n v="0"/>
    <n v="0.56215035367385102"/>
    <n v="0"/>
    <n v="2.8537895169314001E-2"/>
    <s v="ARF"/>
    <n v="1.3902984199999999"/>
    <s v="HRF"/>
    <n v="0.46343213999999999"/>
    <m/>
    <m/>
    <m/>
    <m/>
    <m/>
    <m/>
    <m/>
    <d v="2016-06-30T00:00:00"/>
    <n v="3.9963651409549383E-2"/>
    <x v="1"/>
    <n v="0"/>
    <x v="169"/>
  </r>
  <r>
    <d v="2016-07-29T00:00:00"/>
    <x v="10"/>
    <s v="Series 1"/>
    <n v="2083713.4000000004"/>
    <n v="590250.15459425142"/>
    <n v="20"/>
    <n v="0"/>
    <n v="0"/>
    <n v="0"/>
    <m/>
    <n v="3.5302208458249069"/>
    <n v="0"/>
    <n v="0"/>
    <n v="0"/>
    <n v="0"/>
    <s v="Private Equity Fund"/>
    <n v="0"/>
    <n v="0.89706792961365101"/>
    <n v="0"/>
    <n v="4.5798945352988674E-2"/>
    <s v="ARF"/>
    <n v="1.5627855500000001"/>
    <s v="HRF"/>
    <n v="0.52092784999999997"/>
    <m/>
    <m/>
    <m/>
    <m/>
    <m/>
    <m/>
    <m/>
    <d v="2016-07-29T00:00:00"/>
    <n v="0.1240648694921449"/>
    <x v="1"/>
    <n v="0"/>
    <x v="170"/>
  </r>
  <r>
    <d v="2016-08-31T00:00:00"/>
    <x v="10"/>
    <s v="Series 1"/>
    <n v="2197932.12"/>
    <n v="622604.70831433474"/>
    <n v="20"/>
    <n v="0"/>
    <n v="0"/>
    <n v="0"/>
    <m/>
    <n v="3.5302208458249069"/>
    <n v="0"/>
    <n v="0"/>
    <n v="0"/>
    <n v="0"/>
    <s v="Private Equity Fund"/>
    <n v="0"/>
    <n v="1.05908303874119"/>
    <n v="0"/>
    <n v="5.4147814834702004E-2"/>
    <s v="ARF"/>
    <n v="1.64844959"/>
    <s v="HRF"/>
    <n v="0.54948253000000002"/>
    <m/>
    <m/>
    <m/>
    <m/>
    <m/>
    <m/>
    <m/>
    <d v="2016-08-31T00:00:00"/>
    <n v="5.481498559254816E-2"/>
    <x v="1"/>
    <n v="0"/>
    <x v="171"/>
  </r>
  <r>
    <d v="2016-09-30T00:00:00"/>
    <x v="10"/>
    <s v="Series 1"/>
    <n v="2383926.04"/>
    <n v="675290.9078816988"/>
    <n v="20"/>
    <n v="0"/>
    <n v="-4.6566128730773926E-10"/>
    <n v="0"/>
    <m/>
    <n v="3.5302208458249069"/>
    <n v="-4.6566128730773926E-10"/>
    <n v="0"/>
    <n v="-4.6566128730773926E-10"/>
    <n v="-4.6566128730773926E-10"/>
    <s v="Private Equity Fund"/>
    <n v="0"/>
    <n v="1.3326301500250002"/>
    <n v="0"/>
    <n v="6.8308259020552611E-2"/>
    <s v="ARF"/>
    <n v="1.7879450299999999"/>
    <s v="HRF"/>
    <n v="0.59598101000000003"/>
    <m/>
    <m/>
    <m/>
    <m/>
    <m/>
    <m/>
    <m/>
    <d v="2016-09-30T00:00:00"/>
    <n v="8.4622231190652153E-2"/>
    <x v="1"/>
    <n v="0"/>
    <x v="172"/>
  </r>
  <r>
    <d v="2016-10-31T00:00:00"/>
    <x v="10"/>
    <s v="Series 1"/>
    <n v="2383926.0399999996"/>
    <n v="675290.90788169869"/>
    <n v="20"/>
    <n v="0"/>
    <n v="0"/>
    <n v="0"/>
    <m/>
    <n v="3.5302208458249069"/>
    <n v="0"/>
    <n v="0"/>
    <n v="0"/>
    <n v="0"/>
    <s v="Private Equity Fund"/>
    <n v="0"/>
    <n v="1.6656619404088"/>
    <n v="0"/>
    <n v="8.5478303569214195E-2"/>
    <s v="ARF"/>
    <n v="1.7879450299999999"/>
    <s v="HRF"/>
    <n v="0.59598101000000003"/>
    <m/>
    <m/>
    <m/>
    <m/>
    <m/>
    <m/>
    <m/>
    <d v="2016-10-31T00:00:00"/>
    <n v="-2.2204460492503131E-16"/>
    <x v="1"/>
    <n v="0"/>
    <x v="173"/>
  </r>
  <r>
    <d v="2016-11-30T00:00:00"/>
    <x v="10"/>
    <s v="Series 1"/>
    <n v="2105286.3899999997"/>
    <n v="596361.10088972561"/>
    <n v="20"/>
    <n v="0"/>
    <n v="0"/>
    <n v="-305055"/>
    <m/>
    <n v="3.5302208458249069"/>
    <n v="-305055"/>
    <n v="-86412.440842271943"/>
    <n v="-305055"/>
    <n v="-305055"/>
    <s v="Private Equity Fund"/>
    <n v="0"/>
    <n v="1.3519572440862599"/>
    <n v="0"/>
    <n v="6.9305301119385196E-2"/>
    <s v="ARF"/>
    <n v="1.57896529"/>
    <s v="HRF"/>
    <n v="0.52632109999999999"/>
    <m/>
    <m/>
    <m/>
    <m/>
    <m/>
    <m/>
    <m/>
    <d v="2016-11-30T00:00:00"/>
    <n v="1.1080608020876292E-2"/>
    <x v="1"/>
    <n v="0"/>
    <x v="174"/>
  </r>
  <r>
    <d v="2016-12-30T00:00:00"/>
    <x v="10"/>
    <s v="Series 1"/>
    <n v="1648367.29"/>
    <n v="466930.35988087766"/>
    <n v="20"/>
    <n v="0"/>
    <n v="0"/>
    <n v="-488088"/>
    <m/>
    <n v="3.5302208458249069"/>
    <n v="-488088"/>
    <n v="-138259.90534763513"/>
    <n v="-488088"/>
    <n v="-488088"/>
    <s v="Private Equity Fund"/>
    <n v="0"/>
    <n v="1.3827958810792"/>
    <n v="0"/>
    <n v="7.0888859975050691E-2"/>
    <s v="ARF"/>
    <n v="1.2362759699999999"/>
    <s v="HRF"/>
    <n v="0.41209131999999998"/>
    <m/>
    <m/>
    <m/>
    <m/>
    <m/>
    <m/>
    <m/>
    <d v="2016-12-30T00:00:00"/>
    <n v="1.4805064122416223E-2"/>
    <x v="1"/>
    <n v="0"/>
    <x v="175"/>
  </r>
  <r>
    <d v="2017-01-27T00:00:00"/>
    <x v="10"/>
    <s v="Series 1"/>
    <n v="1678796.2699999998"/>
    <n v="475549.92826736748"/>
    <n v="20"/>
    <n v="0"/>
    <n v="0"/>
    <n v="0"/>
    <m/>
    <n v="3.5302208458249069"/>
    <n v="0"/>
    <n v="0"/>
    <n v="0"/>
    <n v="0"/>
    <s v="Private Equity Fund"/>
    <n v="0"/>
    <n v="1.72535399653829"/>
    <n v="0"/>
    <n v="8.8149245626351999E-2"/>
    <s v="ARF"/>
    <n v="1.2590976999999999"/>
    <s v="HRF"/>
    <n v="0.41969856999999999"/>
    <m/>
    <m/>
    <m/>
    <m/>
    <m/>
    <m/>
    <m/>
    <d v="2017-01-27T00:00:00"/>
    <n v="1.8460072694113983E-2"/>
    <x v="1"/>
    <n v="0"/>
    <x v="176"/>
  </r>
  <r>
    <d v="2017-02-28T00:00:00"/>
    <x v="10"/>
    <s v="Series 1"/>
    <n v="1703709.04"/>
    <n v="482606.92868972459"/>
    <n v="20"/>
    <n v="0"/>
    <n v="0"/>
    <n v="0"/>
    <m/>
    <n v="3.5302208458249069"/>
    <n v="0"/>
    <n v="0"/>
    <n v="0"/>
    <n v="0"/>
    <s v="Private Equity Fund"/>
    <n v="0"/>
    <n v="1.45837852068304"/>
    <n v="0"/>
    <n v="7.4776943126538098E-2"/>
    <s v="ARF"/>
    <n v="1.27778228"/>
    <s v="HRF"/>
    <n v="0.42592676000000002"/>
    <m/>
    <m/>
    <m/>
    <m/>
    <m/>
    <m/>
    <m/>
    <d v="2017-02-28T00:00:00"/>
    <n v="1.4839662468394854E-2"/>
    <x v="1"/>
    <n v="0"/>
    <x v="177"/>
  </r>
  <r>
    <d v="2017-03-31T00:00:00"/>
    <x v="10"/>
    <s v="Series 1"/>
    <n v="1393086.49"/>
    <n v="394617.37688381854"/>
    <n v="20"/>
    <n v="0"/>
    <n v="0"/>
    <n v="-305055"/>
    <m/>
    <n v="3.5302208458249069"/>
    <n v="-305055"/>
    <n v="-86412.440842271943"/>
    <n v="-305055"/>
    <n v="-305055"/>
    <s v="Private Equity Fund"/>
    <n v="0"/>
    <n v="1.7565484600000001"/>
    <n v="0"/>
    <n v="8.9745179999999994E-2"/>
    <s v="ARF"/>
    <n v="1.04481537"/>
    <s v="HRF"/>
    <n v="0.34827111999999999"/>
    <m/>
    <m/>
    <m/>
    <m/>
    <m/>
    <m/>
    <m/>
    <d v="2017-03-31T00:00:00"/>
    <n v="-3.2678995469790362E-3"/>
    <x v="1"/>
    <n v="0"/>
    <x v="178"/>
  </r>
  <r>
    <d v="2017-04-28T00:00:00"/>
    <x v="10"/>
    <s v="Series 1"/>
    <n v="1392567.23"/>
    <n v="394470.28693600011"/>
    <n v="20"/>
    <n v="0"/>
    <n v="0"/>
    <n v="0"/>
    <m/>
    <n v="3.5302208458249069"/>
    <n v="0"/>
    <n v="0"/>
    <n v="0"/>
    <n v="0"/>
    <s v="Private Equity Fund"/>
    <n v="0"/>
    <n v="1.76596832"/>
    <n v="0"/>
    <n v="9.0226890000000004E-2"/>
    <s v="ARF"/>
    <n v="1.0444259199999999"/>
    <s v="HRF"/>
    <n v="0.34814130999999998"/>
    <m/>
    <m/>
    <m/>
    <m/>
    <m/>
    <m/>
    <m/>
    <d v="2017-04-28T00:00:00"/>
    <n v="-3.7274067599346594E-4"/>
    <x v="1"/>
    <n v="0"/>
    <x v="179"/>
  </r>
  <r>
    <d v="2017-05-31T00:00:00"/>
    <x v="10"/>
    <s v="Series 1"/>
    <n v="1365095.72"/>
    <n v="386688.47633554152"/>
    <n v="20"/>
    <n v="0"/>
    <n v="0"/>
    <n v="0"/>
    <m/>
    <n v="3.5302208458249069"/>
    <n v="0"/>
    <n v="0"/>
    <n v="0"/>
    <n v="0"/>
    <s v="Private Equity Fund"/>
    <n v="0"/>
    <n v="1.3956006386070401"/>
    <n v="0"/>
    <n v="5.49031E-3"/>
    <s v="ARF"/>
    <n v="1.02382229"/>
    <s v="HRF"/>
    <n v="0.34127342999999999"/>
    <m/>
    <m/>
    <m/>
    <m/>
    <m/>
    <m/>
    <m/>
    <d v="2017-05-31T00:00:00"/>
    <n v="-1.9727241463236234E-2"/>
    <x v="1"/>
    <n v="0"/>
    <x v="180"/>
  </r>
  <r>
    <d v="2017-06-30T00:00:00"/>
    <x v="10"/>
    <s v="Series 1"/>
    <n v="1365614"/>
    <n v="386835.28868033097"/>
    <n v="20"/>
    <n v="0"/>
    <n v="0"/>
    <n v="0"/>
    <m/>
    <n v="3.5302208458249069"/>
    <n v="0"/>
    <n v="0"/>
    <n v="0"/>
    <n v="0"/>
    <s v="Private Equity Fund"/>
    <n v="0"/>
    <n v="1.3954717000000001"/>
    <n v="0"/>
    <n v="5.0959000000000004E-3"/>
    <s v="ARF"/>
    <n v="1.024211"/>
    <s v="HRF"/>
    <n v="0.34140300000000001"/>
    <m/>
    <m/>
    <m/>
    <m/>
    <m/>
    <m/>
    <m/>
    <d v="2017-06-30T00:00:00"/>
    <n v="3.7966568380998211E-4"/>
    <x v="1"/>
    <n v="0"/>
    <x v="181"/>
  </r>
  <r>
    <d v="2017-07-31T00:00:00"/>
    <x v="10"/>
    <s v="Series 1"/>
    <n v="910334.81"/>
    <n v="257869.08234838268"/>
    <n v="20"/>
    <n v="0"/>
    <n v="0"/>
    <n v="-427077"/>
    <m/>
    <n v="3.5302208458249069"/>
    <n v="-427077"/>
    <n v="-120977.41717918073"/>
    <n v="-427077"/>
    <n v="-427077"/>
    <s v="Private Equity Fund"/>
    <n v="0"/>
    <n v="1.3437761100000001"/>
    <n v="0"/>
    <n v="8.2108128773E-2"/>
    <s v="ARF"/>
    <n v="0.68275160999999995"/>
    <s v="HRF"/>
    <n v="0.22758320000000001"/>
    <m/>
    <m/>
    <m/>
    <m/>
    <m/>
    <m/>
    <m/>
    <d v="2017-07-31T00:00:00"/>
    <n v="-2.0651655592282991E-2"/>
    <x v="1"/>
    <n v="0"/>
    <x v="182"/>
  </r>
  <r>
    <d v="2017-08-31T00:00:00"/>
    <x v="10"/>
    <s v="Series 1"/>
    <n v="925100.00000000023"/>
    <n v="262051.5940508623"/>
    <n v="20"/>
    <n v="0"/>
    <n v="0"/>
    <n v="0"/>
    <m/>
    <n v="3.5302208458249069"/>
    <n v="0"/>
    <n v="0"/>
    <n v="0"/>
    <n v="0"/>
    <s v="Private Equity Fund"/>
    <n v="0"/>
    <n v="1.3648461000000001"/>
    <n v="0"/>
    <n v="8.3496683994000009E-2"/>
    <s v="ARF"/>
    <n v="0.69379999999999997"/>
    <s v="HRF"/>
    <n v="0.23130000000000001"/>
    <m/>
    <m/>
    <m/>
    <m/>
    <m/>
    <m/>
    <m/>
    <d v="2017-08-31T00:00:00"/>
    <n v="1.6219515982257349E-2"/>
    <x v="1"/>
    <n v="0"/>
    <x v="183"/>
  </r>
  <r>
    <d v="2017-09-29T00:00:00"/>
    <x v="10"/>
    <s v="Series 1"/>
    <n v="903200"/>
    <n v="255848.01615688982"/>
    <n v="20"/>
    <n v="0"/>
    <n v="0"/>
    <n v="0"/>
    <m/>
    <n v="3.5302208458249069"/>
    <n v="0"/>
    <n v="0"/>
    <n v="0"/>
    <n v="0"/>
    <s v="Private Equity Fund"/>
    <n v="0"/>
    <n v="1.3419098"/>
    <n v="0"/>
    <n v="8.1365769404999996E-2"/>
    <s v="ARF"/>
    <n v="0.6774"/>
    <s v="HRF"/>
    <n v="0.2258"/>
    <m/>
    <m/>
    <m/>
    <m/>
    <m/>
    <m/>
    <m/>
    <d v="2017-09-29T00:00:00"/>
    <n v="-2.3673116419846707E-2"/>
    <x v="1"/>
    <n v="0"/>
    <x v="184"/>
  </r>
  <r>
    <d v="2017-10-31T00:00:00"/>
    <x v="10"/>
    <s v="Series 1"/>
    <n v="1466692.23"/>
    <n v="415467.55686251633"/>
    <n v="20"/>
    <n v="0"/>
    <n v="0"/>
    <n v="0"/>
    <m/>
    <n v="3.5302208458249069"/>
    <n v="0"/>
    <n v="0"/>
    <n v="0"/>
    <n v="0"/>
    <s v="Private Equity Fund"/>
    <n v="0"/>
    <n v="2.0572032"/>
    <n v="0"/>
    <n v="0.12424333954399999"/>
    <s v="ARF"/>
    <n v="1.10001967"/>
    <s v="HRF"/>
    <n v="0.36667255999999998"/>
    <m/>
    <m/>
    <m/>
    <m/>
    <m/>
    <m/>
    <m/>
    <d v="2017-10-31T00:00:00"/>
    <n v="0.62388422276350752"/>
    <x v="1"/>
    <n v="0"/>
    <x v="185"/>
  </r>
  <r>
    <d v="2017-11-30T00:00:00"/>
    <x v="10"/>
    <s v="Series 1"/>
    <n v="1460900"/>
    <n v="413826.80115544767"/>
    <n v="20"/>
    <n v="0"/>
    <n v="0"/>
    <n v="0"/>
    <m/>
    <n v="3.5302208458249069"/>
    <n v="0"/>
    <n v="0"/>
    <n v="0"/>
    <n v="0"/>
    <s v="Private Equity Fund"/>
    <n v="0"/>
    <n v="2.04853489"/>
    <n v="0"/>
    <n v="0.12386975786"/>
    <s v="ARF"/>
    <n v="1.0956999999999999"/>
    <s v="HRF"/>
    <n v="0.36520000000000002"/>
    <m/>
    <m/>
    <m/>
    <m/>
    <m/>
    <m/>
    <m/>
    <d v="2017-11-30T00:00:00"/>
    <n v="-3.949178894879668E-3"/>
    <x v="1"/>
    <n v="0"/>
    <x v="186"/>
  </r>
  <r>
    <d v="2017-12-29T00:00:00"/>
    <x v="10"/>
    <s v="Series 1"/>
    <n v="863200.99"/>
    <n v="244517.56071320115"/>
    <n v="20"/>
    <n v="0"/>
    <n v="0"/>
    <n v="-586065.87"/>
    <m/>
    <n v="3.5302208458249069"/>
    <n v="-586065.87"/>
    <n v="-166013.93952254392"/>
    <n v="-586065.87"/>
    <n v="-586065.87"/>
    <s v="Private Equity Fund"/>
    <n v="0"/>
    <n v="1.4125804399999999"/>
    <n v="0"/>
    <n v="7.1735880000000002E-2"/>
    <s v="ARF"/>
    <n v="1.0956999999999999"/>
    <s v="HRF"/>
    <n v="0.36520000000000002"/>
    <m/>
    <m/>
    <m/>
    <m/>
    <m/>
    <m/>
    <m/>
    <d v="2017-12-29T00:00:00"/>
    <n v="-7.9629954137860892E-3"/>
    <x v="1"/>
    <n v="0"/>
    <x v="187"/>
  </r>
  <r>
    <d v="2018-01-31T00:00:00"/>
    <x v="10"/>
    <s v="Series 1"/>
    <n v="851999.99999999977"/>
    <n v="241344.6742312556"/>
    <n v="20"/>
    <n v="0"/>
    <n v="0"/>
    <n v="0"/>
    <m/>
    <n v="3.5302208458249069"/>
    <n v="0"/>
    <n v="0"/>
    <n v="0"/>
    <n v="0"/>
    <s v="Private Equity Fund"/>
    <n v="0"/>
    <n v="0"/>
    <n v="0"/>
    <n v="7.0867179999999988E-2"/>
    <s v="ARF"/>
    <n v="0.63900000000000001"/>
    <s v="HRF"/>
    <n v="0.21299999999999999"/>
    <m/>
    <m/>
    <m/>
    <m/>
    <m/>
    <m/>
    <m/>
    <d v="2018-01-31T00:00:00"/>
    <n v="-1.2976108843434253E-2"/>
    <x v="1"/>
    <n v="0"/>
    <x v="188"/>
  </r>
  <r>
    <d v="2018-02-28T00:00:00"/>
    <x v="10"/>
    <s v="Series 1"/>
    <n v="868899.99999999977"/>
    <n v="246131.91014030282"/>
    <n v="20"/>
    <n v="0"/>
    <n v="0"/>
    <n v="0"/>
    <m/>
    <n v="3.5302208458249069"/>
    <n v="0"/>
    <n v="0"/>
    <n v="0"/>
    <n v="0"/>
    <s v="Private Equity Fund"/>
    <n v="0"/>
    <n v="0"/>
    <n v="0"/>
    <n v="7.2165899999999991E-2"/>
    <s v="ARF"/>
    <n v="0.65169999999999995"/>
    <s v="HRF"/>
    <n v="0.2172"/>
    <m/>
    <m/>
    <m/>
    <m/>
    <m/>
    <m/>
    <m/>
    <d v="2018-02-28T00:00:00"/>
    <n v="1.9835680751173701E-2"/>
    <x v="1"/>
    <n v="0"/>
    <x v="189"/>
  </r>
  <r>
    <d v="2018-03-29T00:00:00"/>
    <x v="10"/>
    <s v="Series 1"/>
    <n v="425895"/>
    <n v="120642.5939339444"/>
    <n v="20"/>
    <n v="0"/>
    <n v="0"/>
    <n v="-441006.77"/>
    <m/>
    <n v="3.5302208458249069"/>
    <n v="-441006.77"/>
    <n v="-124923.28079745105"/>
    <n v="-441006.77"/>
    <n v="-441006.77"/>
    <s v="Private Equity Fund"/>
    <n v="0"/>
    <n v="0"/>
    <n v="0"/>
    <n v="0"/>
    <s v="ARF"/>
    <n v="0.31942199999999998"/>
    <s v="HRF"/>
    <n v="0.106473"/>
    <m/>
    <m/>
    <m/>
    <m/>
    <m/>
    <m/>
    <m/>
    <d v="2018-03-29T00:00:00"/>
    <n v="-2.2997237886980271E-3"/>
    <x v="1"/>
    <n v="0"/>
    <x v="190"/>
  </r>
  <r>
    <d v="2018-04-30T00:00:00"/>
    <x v="10"/>
    <s v="Series 1"/>
    <n v="430584.17"/>
    <n v="121970.88760303475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32293861999999995"/>
    <s v="HRF"/>
    <n v="0.10764554999999999"/>
    <m/>
    <m/>
    <m/>
    <m/>
    <m/>
    <m/>
    <m/>
    <d v="2018-04-30T00:00:00"/>
    <n v="1.1010155085173556E-2"/>
    <x v="1"/>
    <n v="0"/>
    <x v="191"/>
  </r>
  <r>
    <d v="2018-05-31T00:00:00"/>
    <x v="10"/>
    <s v="Series 1"/>
    <n v="309840.7"/>
    <n v="87768.078409723268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238101999999997"/>
    <s v="HRF"/>
    <n v="7.7459679999999989E-2"/>
    <m/>
    <m/>
    <m/>
    <m/>
    <m/>
    <m/>
    <m/>
    <d v="2018-05-31T00:00:00"/>
    <n v="-0.28041781006487065"/>
    <x v="1"/>
    <n v="0"/>
    <x v="192"/>
  </r>
  <r>
    <d v="2018-06-29T00:00:00"/>
    <x v="10"/>
    <s v="Series 1"/>
    <n v="308929.28000000003"/>
    <n v="87509.901927343162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169745"/>
    <s v="HRF"/>
    <n v="7.7231830000000001E-2"/>
    <m/>
    <m/>
    <m/>
    <m/>
    <m/>
    <m/>
    <m/>
    <d v="2018-06-29T00:00:00"/>
    <n v="-2.9415761066896584E-3"/>
    <x v="1"/>
    <n v="0"/>
    <x v="193"/>
  </r>
  <r>
    <d v="2018-07-31T00:00:00"/>
    <x v="10"/>
    <s v="Series 1"/>
    <n v="310849.42700000003"/>
    <n v="88053.818890008799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313756299999999"/>
    <s v="HRF"/>
    <n v="7.7711863999999992E-2"/>
    <m/>
    <m/>
    <m/>
    <m/>
    <m/>
    <m/>
    <m/>
    <d v="2018-07-31T00:00:00"/>
    <n v="6.2154904837767866E-3"/>
    <x v="1"/>
    <n v="0"/>
    <x v="194"/>
  </r>
  <r>
    <d v="2018-08-31T00:00:00"/>
    <x v="10"/>
    <s v="Series 1"/>
    <n v="309211.40000000002"/>
    <n v="87589.817607500576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190904000000001"/>
    <s v="HRF"/>
    <n v="7.7302360000000001E-2"/>
    <m/>
    <m/>
    <m/>
    <m/>
    <m/>
    <m/>
    <m/>
    <d v="2018-08-31T00:00:00"/>
    <n v="-5.2695191231605376E-3"/>
    <x v="1"/>
    <n v="0"/>
    <x v="195"/>
  </r>
  <r>
    <d v="2018-09-28T00:00:00"/>
    <x v="10"/>
    <s v="Series 1"/>
    <n v="310437.28049999999"/>
    <m/>
    <n v="20"/>
    <m/>
    <n v="0"/>
    <n v="0"/>
    <m/>
    <n v="0"/>
    <n v="0"/>
    <e v="#DIV/0!"/>
    <n v="0"/>
    <n v="0"/>
    <s v="Private Equity Fund"/>
    <n v="0"/>
    <m/>
    <n v="0"/>
    <n v="0"/>
    <s v="ARF"/>
    <n v="0.23282845000000002"/>
    <s v="HRF"/>
    <n v="7.7608830000000004E-2"/>
    <m/>
    <m/>
    <m/>
    <m/>
    <m/>
    <m/>
    <m/>
    <d v="2018-09-28T00:00:00"/>
    <n v="3.9645385001974009E-3"/>
    <x v="1"/>
    <n v="0"/>
    <x v="196"/>
  </r>
  <r>
    <d v="2018-10-31T00:00:00"/>
    <x v="10"/>
    <s v="Series 1"/>
    <n v="180458.46"/>
    <m/>
    <n v="20"/>
    <m/>
    <n v="0"/>
    <n v="129935.11"/>
    <n v="0"/>
    <m/>
    <n v="129935.11"/>
    <e v="#DIV/0!"/>
    <n v="-50523.349999999991"/>
    <n v="-50523.349999999991"/>
    <s v="Private Equity Fund"/>
    <n v="0"/>
    <m/>
    <m/>
    <m/>
    <s v="ARF"/>
    <n v="0.13534434000000001"/>
    <s v="HRF"/>
    <n v="4.5114120000000001E-2"/>
    <m/>
    <m/>
    <m/>
    <m/>
    <m/>
    <m/>
    <m/>
    <d v="2018-10-31T00:00:00"/>
    <n v="-0.83725102243317717"/>
    <x v="1"/>
    <n v="0"/>
    <x v="197"/>
  </r>
  <r>
    <d v="2011-03-31T00:00:00"/>
    <x v="10"/>
    <s v="Series 1GP"/>
    <n v="91662.649670138489"/>
    <n v="91661.299360169098"/>
    <n v="0.33700000000000002"/>
    <n v="91664"/>
    <n v="0"/>
    <n v="0"/>
    <m/>
    <n v="1.0000147315167778"/>
    <n v="91664"/>
    <n v="91661.299360169098"/>
    <n v="91664"/>
    <m/>
    <s v="Private Equity Fund"/>
    <n v="0"/>
    <n v="0"/>
    <n v="0"/>
    <n v="0"/>
    <m/>
    <m/>
    <m/>
    <m/>
    <m/>
    <m/>
    <m/>
    <m/>
    <m/>
    <m/>
    <m/>
    <d v="2011-03-31T00:00:00"/>
    <n v="-1.4731299763370842E-5"/>
    <x v="1"/>
    <n v="0"/>
    <x v="119"/>
  </r>
  <r>
    <d v="2011-04-29T00:00:00"/>
    <x v="10"/>
    <s v="Series 1GP"/>
    <n v="224912.18510616751"/>
    <n v="177834.37360975149"/>
    <n v="0.33700000000000002"/>
    <n v="24264"/>
    <n v="0"/>
    <n v="0"/>
    <m/>
    <n v="1.264728412965459"/>
    <n v="24264"/>
    <n v="0"/>
    <n v="24264"/>
    <m/>
    <s v="Private Equity Fund"/>
    <n v="0"/>
    <n v="0"/>
    <n v="0"/>
    <n v="0"/>
    <m/>
    <m/>
    <m/>
    <m/>
    <m/>
    <m/>
    <m/>
    <m/>
    <m/>
    <m/>
    <m/>
    <d v="2011-04-29T00:00:00"/>
    <n v="1.1889852172965703"/>
    <x v="1"/>
    <n v="0"/>
    <x v="120"/>
  </r>
  <r>
    <d v="2011-05-31T00:00:00"/>
    <x v="10"/>
    <s v="Series 1GP"/>
    <n v="397802.57780292595"/>
    <n v="269336.78418931179"/>
    <n v="0.33700000000000002"/>
    <n v="37744"/>
    <n v="0"/>
    <n v="0"/>
    <m/>
    <n v="1.4769708452571333"/>
    <n v="37744"/>
    <n v="0"/>
    <n v="37744"/>
    <m/>
    <s v="Private Equity Fund"/>
    <n v="0"/>
    <n v="0"/>
    <n v="0"/>
    <n v="0"/>
    <m/>
    <m/>
    <m/>
    <m/>
    <m/>
    <m/>
    <m/>
    <m/>
    <m/>
    <m/>
    <m/>
    <d v="2011-05-31T00:00:00"/>
    <n v="0.60088515272289023"/>
    <x v="1"/>
    <n v="0"/>
    <x v="121"/>
  </r>
  <r>
    <d v="2011-06-30T00:00:00"/>
    <x v="10"/>
    <s v="Series 1GP"/>
    <n v="153624.87831530557"/>
    <n v="104013.48056979435"/>
    <n v="0.33700000000000002"/>
    <n v="0"/>
    <n v="0"/>
    <n v="0"/>
    <m/>
    <n v="1.4769708452571333"/>
    <n v="0"/>
    <n v="0"/>
    <n v="0"/>
    <m/>
    <s v="Private Equity Fund"/>
    <n v="0"/>
    <n v="0"/>
    <n v="0"/>
    <n v="0"/>
    <m/>
    <m/>
    <m/>
    <m/>
    <m/>
    <m/>
    <m/>
    <m/>
    <m/>
    <m/>
    <m/>
    <d v="2011-06-30T00:00:00"/>
    <n v="-0.6138162825294402"/>
    <x v="1"/>
    <n v="0"/>
    <x v="122"/>
  </r>
  <r>
    <d v="2011-07-29T00:00:00"/>
    <x v="10"/>
    <s v="Series 1GP"/>
    <n v="427998.79467020038"/>
    <n v="242968.5733248968"/>
    <n v="0.33700000000000002"/>
    <n v="29599"/>
    <n v="0"/>
    <n v="0"/>
    <m/>
    <n v="1.7615397284235677"/>
    <n v="29599"/>
    <n v="0"/>
    <n v="29599"/>
    <m/>
    <s v="Private Equity Fund"/>
    <n v="0"/>
    <n v="0"/>
    <n v="0"/>
    <n v="0"/>
    <m/>
    <m/>
    <m/>
    <m/>
    <m/>
    <m/>
    <m/>
    <m/>
    <m/>
    <m/>
    <m/>
    <d v="2011-07-29T00:00:00"/>
    <n v="1.5933286264514361"/>
    <x v="1"/>
    <n v="0"/>
    <x v="123"/>
  </r>
  <r>
    <d v="2011-08-31T00:00:00"/>
    <x v="10"/>
    <s v="Series 1GP"/>
    <n v="192298.34855347683"/>
    <n v="106727.87961584142"/>
    <n v="0.33700000000000002"/>
    <n v="9773"/>
    <n v="0"/>
    <n v="0"/>
    <m/>
    <n v="1.8017630374147744"/>
    <n v="9773"/>
    <n v="0"/>
    <n v="9773"/>
    <m/>
    <s v="Private Equity Fund"/>
    <n v="0"/>
    <n v="0"/>
    <n v="0"/>
    <n v="0"/>
    <m/>
    <m/>
    <m/>
    <m/>
    <m/>
    <m/>
    <m/>
    <m/>
    <m/>
    <m/>
    <m/>
    <d v="2011-08-31T00:00:00"/>
    <n v="-0.5735377042495553"/>
    <x v="1"/>
    <n v="0"/>
    <x v="124"/>
  </r>
  <r>
    <d v="2011-09-30T00:00:00"/>
    <x v="10"/>
    <s v="Series 1GP"/>
    <n v="205590.45550874621"/>
    <n v="105251.47836149708"/>
    <n v="0.33700000000000002"/>
    <n v="16176"/>
    <n v="0"/>
    <n v="0"/>
    <m/>
    <n v="1.9533260597311948"/>
    <n v="16176"/>
    <n v="0"/>
    <n v="16176"/>
    <m/>
    <s v="Private Equity Fund"/>
    <n v="0"/>
    <n v="0"/>
    <n v="0"/>
    <n v="0"/>
    <m/>
    <m/>
    <m/>
    <m/>
    <m/>
    <m/>
    <m/>
    <m/>
    <m/>
    <m/>
    <m/>
    <d v="2011-09-30T00:00:00"/>
    <n v="-1.4996972498329209E-2"/>
    <x v="1"/>
    <n v="0"/>
    <x v="125"/>
  </r>
  <r>
    <d v="2011-10-31T00:00:00"/>
    <x v="10"/>
    <s v="Series 1GP"/>
    <n v="203318.06723874202"/>
    <n v="104088.13532479132"/>
    <n v="0.33700000000000002"/>
    <n v="0"/>
    <n v="0"/>
    <n v="0"/>
    <m/>
    <n v="1.9533260597311948"/>
    <n v="0"/>
    <n v="0"/>
    <n v="0"/>
    <m/>
    <s v="Private Equity Fund"/>
    <n v="0"/>
    <n v="0"/>
    <n v="0"/>
    <n v="0"/>
    <m/>
    <m/>
    <m/>
    <m/>
    <m/>
    <m/>
    <m/>
    <m/>
    <m/>
    <m/>
    <m/>
    <d v="2011-10-31T00:00:00"/>
    <n v="-1.1052985238935498E-2"/>
    <x v="1"/>
    <n v="0"/>
    <x v="126"/>
  </r>
  <r>
    <d v="2011-11-30T00:00:00"/>
    <x v="10"/>
    <s v="Series 1GP"/>
    <n v="223746.514155577"/>
    <n v="106104.7240905349"/>
    <n v="0.33700000000000002"/>
    <n v="16176"/>
    <n v="0"/>
    <n v="0"/>
    <m/>
    <n v="2.1087328210256038"/>
    <n v="16176"/>
    <n v="0"/>
    <n v="16176"/>
    <m/>
    <s v="Private Equity Fund"/>
    <n v="0"/>
    <n v="0"/>
    <n v="0"/>
    <n v="0"/>
    <m/>
    <m/>
    <m/>
    <m/>
    <m/>
    <m/>
    <m/>
    <m/>
    <m/>
    <m/>
    <m/>
    <d v="2011-11-30T00:00:00"/>
    <n v="2.0915243660277527E-2"/>
    <x v="1"/>
    <n v="0"/>
    <x v="127"/>
  </r>
  <r>
    <d v="2011-12-30T00:00:00"/>
    <x v="10"/>
    <s v="Series 1GP"/>
    <n v="436697.39385868312"/>
    <n v="148813.87169102972"/>
    <n v="0.33700000000000002"/>
    <n v="87620"/>
    <n v="0"/>
    <n v="0"/>
    <m/>
    <n v="2.9345207465965459"/>
    <n v="87620"/>
    <n v="0"/>
    <n v="87620"/>
    <m/>
    <s v="Private Equity Fund"/>
    <n v="0"/>
    <n v="0"/>
    <n v="0"/>
    <n v="0"/>
    <m/>
    <m/>
    <m/>
    <m/>
    <m/>
    <m/>
    <m/>
    <m/>
    <m/>
    <m/>
    <m/>
    <d v="2011-12-30T00:00:00"/>
    <n v="0.56014673648037339"/>
    <x v="1"/>
    <n v="0"/>
    <x v="128"/>
  </r>
  <r>
    <d v="2012-01-31T00:00:00"/>
    <x v="10"/>
    <s v="Series 1GP"/>
    <n v="346506.59522356617"/>
    <n v="118079.44981320856"/>
    <n v="0.33700000000000002"/>
    <n v="0"/>
    <n v="0"/>
    <n v="0"/>
    <m/>
    <n v="2.9345207465965459"/>
    <n v="0"/>
    <n v="0"/>
    <n v="0"/>
    <m/>
    <s v="Private Equity Fund"/>
    <n v="0"/>
    <n v="0"/>
    <n v="0"/>
    <n v="0"/>
    <m/>
    <m/>
    <m/>
    <m/>
    <m/>
    <m/>
    <m/>
    <m/>
    <m/>
    <m/>
    <m/>
    <d v="2012-01-31T00:00:00"/>
    <n v="-0.20652928069523357"/>
    <x v="1"/>
    <n v="0"/>
    <x v="129"/>
  </r>
  <r>
    <d v="2012-02-29T00:00:00"/>
    <x v="10"/>
    <s v="Series 1GP"/>
    <n v="730024.2263319667"/>
    <n v="232666.79399398909"/>
    <n v="0.33700000000000002"/>
    <n v="23984"/>
    <n v="0"/>
    <n v="-8537"/>
    <m/>
    <n v="3.1376382241757574"/>
    <n v="15447"/>
    <n v="-2720.8363074562649"/>
    <n v="15447"/>
    <m/>
    <s v="Private Equity Fund"/>
    <n v="0"/>
    <n v="0"/>
    <n v="0"/>
    <n v="0"/>
    <m/>
    <m/>
    <m/>
    <m/>
    <m/>
    <m/>
    <m/>
    <m/>
    <m/>
    <m/>
    <m/>
    <d v="2012-02-29T00:00:00"/>
    <n v="1.0622326852708857"/>
    <x v="1"/>
    <n v="0"/>
    <x v="130"/>
  </r>
  <r>
    <d v="2012-03-30T00:00:00"/>
    <x v="10"/>
    <s v="Series 1GP"/>
    <n v="1482653.4895216525"/>
    <n v="472538.0632150918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3-30T00:00:00"/>
    <n v="1.0309647762942045"/>
    <x v="1"/>
    <n v="0"/>
    <x v="131"/>
  </r>
  <r>
    <d v="2012-04-30T00:00:00"/>
    <x v="10"/>
    <s v="Series 1GP"/>
    <n v="2375518.9952369593"/>
    <n v="757104.1737487108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4-30T00:00:00"/>
    <n v="0.60220780649386363"/>
    <x v="1"/>
    <n v="0"/>
    <x v="132"/>
  </r>
  <r>
    <d v="2012-05-31T00:00:00"/>
    <x v="10"/>
    <s v="Series 1GP"/>
    <n v="2517481.5755533935"/>
    <n v="802349.2180060765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5-31T00:00:00"/>
    <n v="5.9760658871209404E-2"/>
    <x v="1"/>
    <n v="0"/>
    <x v="133"/>
  </r>
  <r>
    <d v="2012-06-29T00:00:00"/>
    <x v="10"/>
    <s v="Series 1GP"/>
    <n v="2166176.8995844284"/>
    <n v="690384.53282913857"/>
    <n v="0.33700000000000002"/>
    <n v="0"/>
    <n v="0"/>
    <n v="-85676.47"/>
    <m/>
    <n v="3.1376382241757574"/>
    <n v="-85676.47"/>
    <n v="-27306.038452698544"/>
    <n v="-85676.47"/>
    <m/>
    <s v="Private Equity Fund"/>
    <n v="0"/>
    <n v="0"/>
    <n v="0"/>
    <n v="0"/>
    <m/>
    <m/>
    <m/>
    <m/>
    <m/>
    <m/>
    <m/>
    <m/>
    <m/>
    <m/>
    <m/>
    <d v="2012-06-29T00:00:00"/>
    <n v="-0.10551346573830411"/>
    <x v="1"/>
    <n v="0"/>
    <x v="134"/>
  </r>
  <r>
    <d v="2012-07-31T00:00:00"/>
    <x v="10"/>
    <s v="Series 1GP"/>
    <n v="2559239.6231593285"/>
    <n v="815657.9695645531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7-31T00:00:00"/>
    <n v="0.18145458187201036"/>
    <x v="1"/>
    <n v="0"/>
    <x v="135"/>
  </r>
  <r>
    <d v="2012-08-31T00:00:00"/>
    <x v="10"/>
    <s v="Series 1GP"/>
    <n v="2599512.81"/>
    <n v="828493.4795766263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8-31T00:00:00"/>
    <n v="1.5736387666175355E-2"/>
    <x v="1"/>
    <n v="0"/>
    <x v="136"/>
  </r>
  <r>
    <d v="2012-09-28T00:00:00"/>
    <x v="10"/>
    <s v="Series 1GP"/>
    <n v="2225794.1400000015"/>
    <n v="709385.2066341099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09-28T00:00:00"/>
    <n v="-0.14376488877544658"/>
    <x v="1"/>
    <n v="0"/>
    <x v="137"/>
  </r>
  <r>
    <d v="2012-10-31T00:00:00"/>
    <x v="10"/>
    <s v="Series 1GP"/>
    <n v="2491441.2019999973"/>
    <n v="794049.86298396043"/>
    <n v="0.33700000000000002"/>
    <n v="0"/>
    <n v="0"/>
    <n v="-37016.06"/>
    <m/>
    <n v="3.1376382241757574"/>
    <n v="-37016.06"/>
    <n v="-11797.427668616556"/>
    <n v="-37016.06"/>
    <m/>
    <s v="Private Equity Fund"/>
    <n v="0"/>
    <n v="0"/>
    <n v="0"/>
    <n v="0"/>
    <m/>
    <m/>
    <m/>
    <m/>
    <m/>
    <m/>
    <m/>
    <m/>
    <m/>
    <m/>
    <m/>
    <d v="2012-10-31T00:00:00"/>
    <n v="0.13597983594295715"/>
    <x v="1"/>
    <n v="0"/>
    <x v="138"/>
  </r>
  <r>
    <d v="2012-11-30T00:00:00"/>
    <x v="10"/>
    <s v="Series 1GP"/>
    <n v="2570942.1390000032"/>
    <n v="819387.6907766755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11-30T00:00:00"/>
    <n v="3.1909617989855255E-2"/>
    <x v="1"/>
    <n v="0"/>
    <x v="139"/>
  </r>
  <r>
    <d v="2012-12-31T00:00:00"/>
    <x v="10"/>
    <s v="Series 1GP"/>
    <n v="3058050.1055000015"/>
    <n v="974634.3864431141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2-12-31T00:00:00"/>
    <n v="0.18946671693259676"/>
    <x v="1"/>
    <n v="0"/>
    <x v="140"/>
  </r>
  <r>
    <d v="2013-01-31T00:00:00"/>
    <x v="10"/>
    <s v="Series 1GP"/>
    <n v="4024675.1740000006"/>
    <n v="1282708.4853153406"/>
    <n v="0.33700000000000002"/>
    <n v="0"/>
    <n v="-4.6566128730773926E-10"/>
    <n v="-67260.039999999994"/>
    <m/>
    <n v="3.1376382241757574"/>
    <n v="-67260.040000000459"/>
    <n v="-21436.518551360041"/>
    <n v="-67260.040000000459"/>
    <m/>
    <s v="Private Equity Fund"/>
    <n v="0"/>
    <n v="0"/>
    <n v="0"/>
    <n v="0"/>
    <m/>
    <m/>
    <m/>
    <m/>
    <m/>
    <m/>
    <m/>
    <m/>
    <m/>
    <m/>
    <m/>
    <d v="2013-01-31T00:00:00"/>
    <n v="0.33808638604074015"/>
    <x v="1"/>
    <n v="0"/>
    <x v="141"/>
  </r>
  <r>
    <d v="2013-02-28T00:00:00"/>
    <x v="10"/>
    <s v="Series 1GP"/>
    <n v="3781665.4965000004"/>
    <n v="1205258.6137439176"/>
    <n v="0.33700000000000002"/>
    <n v="0"/>
    <n v="-4.6566128730773926E-10"/>
    <n v="0"/>
    <m/>
    <n v="3.1376382241757574"/>
    <n v="-4.6566128730773926E-10"/>
    <n v="0"/>
    <n v="-4.6566128730773926E-10"/>
    <m/>
    <s v="Private Equity Fund"/>
    <n v="0"/>
    <n v="0"/>
    <n v="0"/>
    <n v="0"/>
    <m/>
    <m/>
    <m/>
    <m/>
    <m/>
    <m/>
    <m/>
    <m/>
    <m/>
    <m/>
    <m/>
    <d v="2013-02-28T00:00:00"/>
    <n v="-6.0379947944589007E-2"/>
    <x v="1"/>
    <n v="0"/>
    <x v="142"/>
  </r>
  <r>
    <d v="2013-03-28T00:00:00"/>
    <x v="10"/>
    <s v="Series 1GP"/>
    <n v="2995614.1480000014"/>
    <n v="954735.35633220908"/>
    <n v="0.33700000000000002"/>
    <n v="0"/>
    <n v="0"/>
    <n v="-24932.06"/>
    <m/>
    <n v="3.1376382241757574"/>
    <n v="-24932.06"/>
    <n v="-7946.1232362279543"/>
    <n v="-24932.06"/>
    <m/>
    <s v="Private Equity Fund"/>
    <n v="0"/>
    <n v="0"/>
    <n v="0"/>
    <n v="0"/>
    <m/>
    <m/>
    <m/>
    <m/>
    <m/>
    <m/>
    <m/>
    <m/>
    <m/>
    <m/>
    <m/>
    <d v="2013-03-28T00:00:00"/>
    <n v="-0.20126562997293873"/>
    <x v="1"/>
    <n v="0"/>
    <x v="143"/>
  </r>
  <r>
    <d v="2013-04-30T00:00:00"/>
    <x v="10"/>
    <s v="Series 1GP"/>
    <n v="2528752.7364999996"/>
    <n v="805941.4616432685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4-30T00:00:00"/>
    <n v="-0.15584831304515578"/>
    <x v="1"/>
    <n v="0"/>
    <x v="144"/>
  </r>
  <r>
    <d v="2013-05-31T00:00:00"/>
    <x v="10"/>
    <s v="Series 1GP"/>
    <n v="2691851.9058000003"/>
    <n v="857922.97055124538"/>
    <n v="0.33700000000000002"/>
    <n v="0"/>
    <n v="0"/>
    <n v="-15318.77"/>
    <m/>
    <n v="3.1376382241757574"/>
    <n v="-15318.77"/>
    <n v="-4882.261403487385"/>
    <n v="-15318.77"/>
    <m/>
    <s v="Private Equity Fund"/>
    <n v="0"/>
    <n v="0"/>
    <n v="0"/>
    <n v="0"/>
    <m/>
    <m/>
    <m/>
    <m/>
    <m/>
    <m/>
    <m/>
    <m/>
    <m/>
    <m/>
    <m/>
    <d v="2013-05-31T00:00:00"/>
    <n v="7.0555707849453642E-2"/>
    <x v="1"/>
    <n v="0"/>
    <x v="145"/>
  </r>
  <r>
    <d v="2013-06-28T00:00:00"/>
    <x v="10"/>
    <s v="Series 1GP"/>
    <n v="2681525.3633000022"/>
    <n v="854631.7872591656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6-28T00:00:00"/>
    <n v="-3.8362223708324761E-3"/>
    <x v="1"/>
    <n v="0"/>
    <x v="146"/>
  </r>
  <r>
    <d v="2013-07-31T00:00:00"/>
    <x v="10"/>
    <s v="Series 1GP"/>
    <n v="2161177.1543000005"/>
    <n v="688791.05871669808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7-31T00:00:00"/>
    <n v="-0.1940493333091724"/>
    <x v="1"/>
    <n v="0"/>
    <x v="147"/>
  </r>
  <r>
    <d v="2013-08-30T00:00:00"/>
    <x v="10"/>
    <s v="Series 1GP"/>
    <n v="1834764.7962999991"/>
    <n v="584759.83055120485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08-30T00:00:00"/>
    <n v="-0.15103452178853216"/>
    <x v="1"/>
    <n v="0"/>
    <x v="148"/>
  </r>
  <r>
    <d v="2013-09-30T00:00:00"/>
    <x v="10"/>
    <s v="Series 1GP"/>
    <n v="1971752.4828000003"/>
    <n v="628419.32113380288"/>
    <n v="0.33700000000000002"/>
    <n v="0"/>
    <n v="0"/>
    <n v="-26423.59"/>
    <m/>
    <n v="3.1376382241757574"/>
    <n v="-26423.59"/>
    <n v="-8421.4903414944692"/>
    <n v="-26423.59"/>
    <m/>
    <s v="Private Equity Fund"/>
    <n v="0"/>
    <n v="0"/>
    <n v="0"/>
    <n v="0"/>
    <m/>
    <m/>
    <m/>
    <m/>
    <m/>
    <m/>
    <m/>
    <m/>
    <m/>
    <m/>
    <m/>
    <d v="2013-09-30T00:00:00"/>
    <n v="8.9063882645632697E-2"/>
    <x v="1"/>
    <n v="0"/>
    <x v="0"/>
  </r>
  <r>
    <d v="2013-10-31T00:00:00"/>
    <x v="10"/>
    <s v="Series 1GP"/>
    <n v="2083476.1063000001"/>
    <n v="664026.8754525769"/>
    <n v="0.33700000000000002"/>
    <n v="0"/>
    <n v="-2.3283064365386963E-10"/>
    <n v="0"/>
    <m/>
    <n v="3.1376382241757574"/>
    <n v="-2.3283064365386963E-10"/>
    <n v="0"/>
    <n v="-2.3283064365386963E-10"/>
    <m/>
    <s v="Private Equity Fund"/>
    <n v="0"/>
    <n v="0"/>
    <n v="0"/>
    <n v="0"/>
    <m/>
    <m/>
    <m/>
    <m/>
    <m/>
    <m/>
    <m/>
    <m/>
    <m/>
    <m/>
    <m/>
    <d v="2013-10-31T00:00:00"/>
    <n v="5.666209348008322E-2"/>
    <x v="1"/>
    <n v="0"/>
    <x v="1"/>
  </r>
  <r>
    <d v="2013-11-29T00:00:00"/>
    <x v="10"/>
    <s v="Series 1GP"/>
    <n v="1860346.6252999993"/>
    <n v="592913.04235328257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-0.10709481156289891"/>
    <x v="1"/>
    <n v="0"/>
    <x v="2"/>
  </r>
  <r>
    <d v="2013-12-31T00:00:00"/>
    <x v="10"/>
    <s v="Series 1GP"/>
    <n v="1949589.1707999995"/>
    <n v="621355.6285037122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3-12-31T00:00:00"/>
    <n v="4.7970923421654765E-2"/>
    <x v="1"/>
    <n v="0"/>
    <x v="3"/>
  </r>
  <r>
    <d v="2014-01-30T00:00:00"/>
    <x v="10"/>
    <s v="Series 1GP"/>
    <n v="1731389.8297999995"/>
    <n v="551813.0855429731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-0.11192067758073543"/>
    <x v="1"/>
    <n v="0"/>
    <x v="4"/>
  </r>
  <r>
    <d v="2014-02-28T00:00:00"/>
    <x v="10"/>
    <s v="Series 1GP"/>
    <n v="1426557.8423000004"/>
    <n v="454659.76010499115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-0.17606201806973276"/>
    <x v="1"/>
    <n v="0"/>
    <x v="5"/>
  </r>
  <r>
    <d v="2014-03-31T00:00:00"/>
    <x v="10"/>
    <s v="Series 1GP"/>
    <n v="1308862.3093000003"/>
    <n v="417148.89218747715"/>
    <n v="0.33700000000000002"/>
    <n v="0"/>
    <n v="0"/>
    <n v="-16850"/>
    <m/>
    <n v="3.1376382241757574"/>
    <n v="-16850"/>
    <n v="-5370.2813377811954"/>
    <n v="-16850"/>
    <m/>
    <s v="Private Equity Fund"/>
    <n v="0"/>
    <n v="0"/>
    <n v="0"/>
    <n v="0"/>
    <m/>
    <m/>
    <m/>
    <m/>
    <m/>
    <m/>
    <m/>
    <m/>
    <m/>
    <m/>
    <m/>
    <d v="2014-03-31T00:00:00"/>
    <n v="-7.0691513522795235E-2"/>
    <x v="1"/>
    <n v="0"/>
    <x v="6"/>
  </r>
  <r>
    <d v="2014-04-30T00:00:00"/>
    <x v="10"/>
    <s v="Series 1GP"/>
    <n v="1259938.4853000003"/>
    <n v="401556.3284485993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-3.7378892838747291E-2"/>
    <x v="1"/>
    <n v="0"/>
    <x v="7"/>
  </r>
  <r>
    <d v="2014-05-30T00:00:00"/>
    <x v="10"/>
    <s v="Series 1GP"/>
    <n v="1159868.1062999994"/>
    <n v="369662.79202080134"/>
    <n v="0.33700000000000002"/>
    <n v="0"/>
    <n v="0"/>
    <n v="-6740"/>
    <m/>
    <n v="3.1376382241757574"/>
    <n v="-6740"/>
    <n v="-2148.1125351124779"/>
    <n v="-6740"/>
    <m/>
    <s v="Private Equity Fund"/>
    <n v="0"/>
    <n v="0"/>
    <n v="0"/>
    <n v="0"/>
    <m/>
    <m/>
    <m/>
    <m/>
    <m/>
    <m/>
    <m/>
    <m/>
    <m/>
    <m/>
    <m/>
    <d v="2014-05-30T00:00:00"/>
    <n v="-7.4075345811647542E-2"/>
    <x v="1"/>
    <n v="0"/>
    <x v="8"/>
  </r>
  <r>
    <d v="2014-06-30T00:00:00"/>
    <x v="10"/>
    <s v="Series 1GP"/>
    <n v="1121934.5717999993"/>
    <n v="357572.9550830310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-3.2705041455970973E-2"/>
    <x v="1"/>
    <n v="0"/>
    <x v="9"/>
  </r>
  <r>
    <d v="2014-07-31T00:00:00"/>
    <x v="10"/>
    <s v="Series 1GP"/>
    <n v="1078114.6608000002"/>
    <n v="343607.06485949818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7-31T00:00:00"/>
    <n v="-3.9057456737156881E-2"/>
    <x v="1"/>
    <n v="0"/>
    <x v="10"/>
  </r>
  <r>
    <d v="2014-08-29T00:00:00"/>
    <x v="10"/>
    <s v="Series 1GP"/>
    <n v="1420225.6947999999"/>
    <n v="452641.6346719152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8-29T00:00:00"/>
    <n v="0.3173234224884216"/>
    <x v="1"/>
    <n v="0"/>
    <x v="11"/>
  </r>
  <r>
    <d v="2014-09-30T00:00:00"/>
    <x v="10"/>
    <s v="Series 1GP"/>
    <n v="1434062.8288"/>
    <n v="457051.68229735008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09-30T00:00:00"/>
    <n v="9.7429120249430401E-3"/>
    <x v="1"/>
    <n v="0"/>
    <x v="12"/>
  </r>
  <r>
    <d v="2014-10-31T00:00:00"/>
    <x v="10"/>
    <s v="Series 1GP"/>
    <n v="1120008.3302999993"/>
    <n v="356959.0406154043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10-31T00:00:00"/>
    <n v="-0.21899633139699759"/>
    <x v="1"/>
    <n v="0"/>
    <x v="149"/>
  </r>
  <r>
    <d v="2014-11-28T00:00:00"/>
    <x v="10"/>
    <s v="Series 1GP"/>
    <n v="683005.10819999967"/>
    <n v="217681.2810786756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4-11-28T00:00:00"/>
    <n v="-0.39017854624612158"/>
    <x v="1"/>
    <n v="0"/>
    <x v="150"/>
  </r>
  <r>
    <d v="2014-12-31T00:00:00"/>
    <x v="10"/>
    <s v="Series 1GP"/>
    <n v="701247.37870000023"/>
    <n v="223495.29442140021"/>
    <n v="0.33700000000000002"/>
    <n v="0"/>
    <n v="0"/>
    <n v="-8088"/>
    <m/>
    <n v="3.1376382241757574"/>
    <n v="-8088"/>
    <n v="-2577.7350421349738"/>
    <n v="-8088"/>
    <m/>
    <s v="Private Equity Fund"/>
    <n v="0"/>
    <n v="0"/>
    <n v="0"/>
    <n v="0"/>
    <m/>
    <m/>
    <m/>
    <m/>
    <m/>
    <m/>
    <m/>
    <m/>
    <m/>
    <m/>
    <m/>
    <d v="2014-12-31T00:00:00"/>
    <n v="3.8550620169432781E-2"/>
    <x v="1"/>
    <n v="0"/>
    <x v="151"/>
  </r>
  <r>
    <d v="2015-01-30T00:00:00"/>
    <x v="10"/>
    <s v="Series 1GP"/>
    <n v="563722.46930000046"/>
    <n v="179664.5849596275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1-30T00:00:00"/>
    <n v="-0.19611468588296022"/>
    <x v="1"/>
    <n v="0"/>
    <x v="152"/>
  </r>
  <r>
    <d v="2015-02-27T00:00:00"/>
    <x v="10"/>
    <s v="Series 1GP"/>
    <n v="791148.03080000007"/>
    <n v="252147.6264230019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2-27T00:00:00"/>
    <n v="0.40343533189727943"/>
    <x v="1"/>
    <n v="0"/>
    <x v="153"/>
  </r>
  <r>
    <d v="2015-03-31T00:00:00"/>
    <x v="10"/>
    <s v="Series 1GP"/>
    <n v="732024.51120000007"/>
    <n v="233304.30690182562"/>
    <n v="0.33700000000000002"/>
    <n v="0"/>
    <n v="0"/>
    <n v="-7919.4999999999991"/>
    <m/>
    <n v="3.1376382241757574"/>
    <n v="-7919.4999999999991"/>
    <n v="-2524.0322287571612"/>
    <n v="-7919.4999999999991"/>
    <m/>
    <s v="Private Equity Fund"/>
    <n v="0"/>
    <n v="0"/>
    <n v="0"/>
    <n v="0"/>
    <m/>
    <m/>
    <m/>
    <m/>
    <m/>
    <m/>
    <m/>
    <m/>
    <m/>
    <m/>
    <m/>
    <d v="2015-03-31T00:00:00"/>
    <n v="-6.4721161662025573E-2"/>
    <x v="1"/>
    <n v="0"/>
    <x v="154"/>
  </r>
  <r>
    <d v="2015-04-30T00:00:00"/>
    <x v="10"/>
    <s v="Series 1GP"/>
    <n v="803273.9828"/>
    <n v="256012.3014217218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4-30T00:00:00"/>
    <n v="9.7332084527062435E-2"/>
    <x v="1"/>
    <n v="0"/>
    <x v="155"/>
  </r>
  <r>
    <d v="2015-05-29T00:00:00"/>
    <x v="10"/>
    <s v="Series 1GP"/>
    <n v="821980.5079000002"/>
    <n v="261974.2778394824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5-29T00:00:00"/>
    <n v="2.3287851344063526E-2"/>
    <x v="1"/>
    <n v="0"/>
    <x v="156"/>
  </r>
  <r>
    <d v="2015-06-30T00:00:00"/>
    <x v="10"/>
    <s v="Series 1GP"/>
    <n v="744855.38629999931"/>
    <n v="237393.6486879934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6-30T00:00:00"/>
    <n v="-9.3828406949746923E-2"/>
    <x v="1"/>
    <n v="0"/>
    <x v="157"/>
  </r>
  <r>
    <d v="2015-07-31T00:00:00"/>
    <x v="10"/>
    <s v="Series 1GP"/>
    <n v="529720.00819999992"/>
    <n v="168827.62458669205"/>
    <n v="0.33700000000000002"/>
    <n v="0"/>
    <n v="0"/>
    <n v="-4212.5"/>
    <m/>
    <n v="3.1376382241757574"/>
    <n v="-4212.5"/>
    <n v="-1342.5703344452988"/>
    <n v="-4212.5"/>
    <m/>
    <s v="Private Equity Fund"/>
    <n v="0"/>
    <n v="0"/>
    <n v="0"/>
    <n v="0"/>
    <m/>
    <m/>
    <m/>
    <m/>
    <m/>
    <m/>
    <m/>
    <m/>
    <m/>
    <m/>
    <m/>
    <d v="2015-07-31T00:00:00"/>
    <n v="-0.28317292454276177"/>
    <x v="1"/>
    <n v="0"/>
    <x v="158"/>
  </r>
  <r>
    <d v="2015-08-31T00:00:00"/>
    <x v="10"/>
    <s v="Series 1GP"/>
    <n v="649985.87220000022"/>
    <n v="207157.6854182251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8-31T00:00:00"/>
    <n v="0.2270366649141049"/>
    <x v="1"/>
    <n v="0"/>
    <x v="159"/>
  </r>
  <r>
    <d v="2015-09-30T00:00:00"/>
    <x v="10"/>
    <s v="Series 1GP"/>
    <n v="602848.56919999979"/>
    <n v="192134.50567850767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09-30T00:00:00"/>
    <n v="-7.2520503931039704E-2"/>
    <x v="1"/>
    <n v="0"/>
    <x v="160"/>
  </r>
  <r>
    <d v="2015-10-30T00:00:00"/>
    <x v="10"/>
    <s v="Series 1GP"/>
    <n v="550361.43330000003"/>
    <n v="175406.2750317804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5-10-30T00:00:00"/>
    <n v="-8.7065207718170279E-2"/>
    <x v="1"/>
    <n v="0"/>
    <x v="161"/>
  </r>
  <r>
    <d v="2015-11-30T00:00:00"/>
    <x v="10"/>
    <s v="Series 1GP"/>
    <n v="534455.69260000042"/>
    <n v="170336.93957511606"/>
    <n v="0.33700000000000002"/>
    <n v="0"/>
    <n v="0"/>
    <n v="-4886.5"/>
    <m/>
    <n v="3.1376382241757574"/>
    <n v="-4886.5"/>
    <n v="-1557.3815879565466"/>
    <n v="-4886.5"/>
    <m/>
    <s v="Private Equity Fund"/>
    <n v="0"/>
    <n v="0"/>
    <n v="0"/>
    <n v="0"/>
    <m/>
    <m/>
    <m/>
    <m/>
    <m/>
    <m/>
    <m/>
    <m/>
    <m/>
    <m/>
    <m/>
    <d v="2015-11-30T00:00:00"/>
    <n v="-2.0021825719014452E-2"/>
    <x v="1"/>
    <n v="0"/>
    <x v="162"/>
  </r>
  <r>
    <d v="2015-12-31T00:00:00"/>
    <x v="10"/>
    <s v="Series 1GP"/>
    <n v="369057.6590000001"/>
    <n v="117622.75719245797"/>
    <n v="0.33700000000000002"/>
    <n v="0"/>
    <n v="0"/>
    <n v="-6740"/>
    <m/>
    <n v="3.1376382241757574"/>
    <n v="-6740"/>
    <n v="-2148.1125351124779"/>
    <n v="-6740"/>
    <m/>
    <s v="Private Equity Fund"/>
    <n v="0"/>
    <n v="0"/>
    <n v="0"/>
    <n v="0"/>
    <m/>
    <m/>
    <m/>
    <m/>
    <m/>
    <m/>
    <m/>
    <m/>
    <m/>
    <m/>
    <m/>
    <d v="2015-12-31T00:00:00"/>
    <n v="-0.29685909570570113"/>
    <x v="1"/>
    <n v="0"/>
    <x v="163"/>
  </r>
  <r>
    <d v="2016-01-29T00:00:00"/>
    <x v="10"/>
    <s v="Series 1GP"/>
    <n v="278972.3073000001"/>
    <n v="88911.55938581313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1-29T00:00:00"/>
    <n v="-0.24409560268738384"/>
    <x v="1"/>
    <n v="0"/>
    <x v="164"/>
  </r>
  <r>
    <d v="2016-02-29T00:00:00"/>
    <x v="10"/>
    <s v="Series 1GP"/>
    <n v="340868.86679999973"/>
    <n v="108638.6773891194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2-29T00:00:00"/>
    <n v="0.22187349023656866"/>
    <x v="1"/>
    <n v="0"/>
    <x v="165"/>
  </r>
  <r>
    <d v="2016-03-31T00:00:00"/>
    <x v="10"/>
    <s v="Series 1GP"/>
    <n v="326620.88140000001"/>
    <n v="104097.6868790543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3-31T00:00:00"/>
    <n v="-4.1799022403414487E-2"/>
    <x v="1"/>
    <n v="0"/>
    <x v="166"/>
  </r>
  <r>
    <d v="2016-04-29T00:00:00"/>
    <x v="10"/>
    <s v="Series 1GP"/>
    <n v="441118.7111999999"/>
    <n v="140589.4114245372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0.35055269372008957"/>
    <x v="1"/>
    <n v="0"/>
    <x v="167"/>
  </r>
  <r>
    <d v="2016-05-31T00:00:00"/>
    <x v="10"/>
    <s v="Series 1GP"/>
    <n v="484726.99900000024"/>
    <n v="154487.8549939694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5-31T00:00:00"/>
    <n v="9.8858395014281397E-2"/>
    <x v="1"/>
    <n v="0"/>
    <x v="168"/>
  </r>
  <r>
    <d v="2016-06-30T00:00:00"/>
    <x v="10"/>
    <s v="Series 1GP"/>
    <n v="593386.22410000011"/>
    <n v="189118.7516546398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6-30T00:00:00"/>
    <n v="0.22416581977931016"/>
    <x v="1"/>
    <n v="0"/>
    <x v="169"/>
  </r>
  <r>
    <d v="2016-07-29T00:00:00"/>
    <x v="10"/>
    <s v="Series 1GP"/>
    <n v="932179.00909999991"/>
    <n v="297095.75881549536"/>
    <n v="0.33700000000000002"/>
    <n v="0"/>
    <n v="-1.1641532182693481E-10"/>
    <n v="0"/>
    <m/>
    <n v="3.1376382241757574"/>
    <n v="-1.1641532182693481E-10"/>
    <n v="0"/>
    <n v="-1.1641532182693481E-10"/>
    <m/>
    <s v="Private Equity Fund"/>
    <n v="0"/>
    <n v="0"/>
    <n v="0"/>
    <n v="0"/>
    <m/>
    <m/>
    <m/>
    <m/>
    <m/>
    <m/>
    <m/>
    <m/>
    <m/>
    <m/>
    <m/>
    <d v="2016-07-29T00:00:00"/>
    <n v="0.57094818052753626"/>
    <x v="1"/>
    <n v="0"/>
    <x v="170"/>
  </r>
  <r>
    <d v="2016-08-31T00:00:00"/>
    <x v="10"/>
    <s v="Series 1GP"/>
    <n v="1096118.6204000004"/>
    <n v="349345.12588300247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8-31T00:00:00"/>
    <n v="0.17586709172767234"/>
    <x v="1"/>
    <n v="0"/>
    <x v="171"/>
  </r>
  <r>
    <d v="2016-09-30T00:00:00"/>
    <x v="10"/>
    <s v="Series 1GP"/>
    <n v="1372799.7185"/>
    <n v="437526.4515591589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6-09-30T00:00:00"/>
    <n v="0.25241893801515025"/>
    <x v="1"/>
    <n v="0"/>
    <x v="172"/>
  </r>
  <r>
    <d v="2016-10-31T00:00:00"/>
    <x v="10"/>
    <s v="Series 1GP"/>
    <n v="1938426.5207000007"/>
    <n v="617797.96847331442"/>
    <n v="0.33700000000000002"/>
    <n v="0"/>
    <n v="-2.3283064365386963E-10"/>
    <n v="0"/>
    <m/>
    <n v="3.1376382241757574"/>
    <n v="-2.3283064365386963E-10"/>
    <n v="0"/>
    <n v="-2.3283064365386963E-10"/>
    <m/>
    <s v="Private Equity Fund"/>
    <n v="0"/>
    <n v="0"/>
    <n v="0"/>
    <n v="0"/>
    <m/>
    <m/>
    <m/>
    <m/>
    <m/>
    <m/>
    <m/>
    <m/>
    <m/>
    <m/>
    <m/>
    <d v="2016-10-31T00:00:00"/>
    <n v="0.41202427023953447"/>
    <x v="1"/>
    <n v="0"/>
    <x v="173"/>
  </r>
  <r>
    <d v="2016-11-30T00:00:00"/>
    <x v="10"/>
    <s v="Series 1GP"/>
    <n v="1387431.7341000002"/>
    <n v="442189.83674080909"/>
    <n v="0.33700000000000002"/>
    <n v="0"/>
    <n v="0"/>
    <n v="-5055"/>
    <m/>
    <n v="3.1376382241757574"/>
    <n v="-5055"/>
    <n v="-1611.0844013343585"/>
    <n v="-5055"/>
    <m/>
    <s v="Private Equity Fund"/>
    <n v="0"/>
    <n v="0"/>
    <n v="0"/>
    <n v="0"/>
    <m/>
    <m/>
    <m/>
    <m/>
    <m/>
    <m/>
    <m/>
    <m/>
    <m/>
    <m/>
    <m/>
    <d v="2016-11-30T00:00:00"/>
    <n v="-0.28164069195816188"/>
    <x v="1"/>
    <n v="0"/>
    <x v="174"/>
  </r>
  <r>
    <d v="2016-12-30T00:00:00"/>
    <x v="10"/>
    <s v="Series 1GP"/>
    <n v="1410571.2895"/>
    <n v="449564.66893838608"/>
    <n v="0.33700000000000002"/>
    <n v="0"/>
    <n v="0"/>
    <n v="-8088"/>
    <m/>
    <n v="3.1376382241757574"/>
    <n v="-8088"/>
    <n v="-2577.7350421349738"/>
    <n v="-8088"/>
    <m/>
    <s v="Private Equity Fund"/>
    <n v="0"/>
    <n v="0"/>
    <n v="0"/>
    <n v="0"/>
    <m/>
    <m/>
    <m/>
    <m/>
    <m/>
    <m/>
    <m/>
    <m/>
    <m/>
    <m/>
    <m/>
    <d v="2016-12-30T00:00:00"/>
    <n v="2.2507453615551398E-2"/>
    <x v="1"/>
    <n v="0"/>
    <x v="175"/>
  </r>
  <r>
    <d v="2017-01-27T00:00:00"/>
    <x v="10"/>
    <s v="Series 1GP"/>
    <n v="1453456.0765000002"/>
    <n v="463232.5248019364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3.0402424407206974E-2"/>
    <x v="1"/>
    <n v="0"/>
    <x v="176"/>
  </r>
  <r>
    <d v="2017-02-28T00:00:00"/>
    <x v="10"/>
    <s v="Series 1GP"/>
    <n v="1487086.4406999997"/>
    <n v="473950.893777962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2-28T00:00:00"/>
    <n v="2.3138204685884345E-2"/>
    <x v="1"/>
    <n v="0"/>
    <x v="177"/>
  </r>
  <r>
    <d v="2017-03-31T00:00:00"/>
    <x v="10"/>
    <s v="Series 1GP"/>
    <n v="1463682.2866"/>
    <n v="466491.73104859859"/>
    <n v="0.33700000000000002"/>
    <n v="0"/>
    <n v="0"/>
    <n v="-5055"/>
    <m/>
    <n v="3.1376382241757574"/>
    <n v="-5055"/>
    <n v="-1611.0844013343585"/>
    <n v="-5055"/>
    <m/>
    <s v="Private Equity Fund"/>
    <n v="0"/>
    <n v="0"/>
    <n v="0"/>
    <n v="0"/>
    <m/>
    <m/>
    <m/>
    <m/>
    <m/>
    <m/>
    <m/>
    <m/>
    <m/>
    <m/>
    <m/>
    <d v="2017-03-31T00:00:00"/>
    <n v="-1.2338996307008521E-2"/>
    <x v="1"/>
    <n v="0"/>
    <x v="178"/>
  </r>
  <r>
    <d v="2017-04-28T00:00:00"/>
    <x v="10"/>
    <s v="Series 1GP"/>
    <n v="1461109.1350000002"/>
    <n v="465671.6391781677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-1.7579987293396826E-3"/>
    <x v="1"/>
    <n v="0"/>
    <x v="179"/>
  </r>
  <r>
    <d v="2017-05-31T00:00:00"/>
    <x v="10"/>
    <s v="Series 1GP"/>
    <n v="1418602.9186000002"/>
    <n v="452124.4379513066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-2.9091746387582496E-2"/>
    <x v="1"/>
    <n v="0"/>
    <x v="180"/>
  </r>
  <r>
    <d v="2017-06-30T00:00:00"/>
    <x v="10"/>
    <s v="Series 1GP"/>
    <n v="1418482.7183000003"/>
    <n v="452086.1287864469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-8.4731462500098331E-5"/>
    <x v="1"/>
    <n v="0"/>
    <x v="181"/>
  </r>
  <r>
    <d v="2017-07-31T00:00:00"/>
    <x v="10"/>
    <s v="Series 1GP"/>
    <n v="1359115.6680000001"/>
    <n v="433165.19333806663"/>
    <n v="0.33700000000000002"/>
    <n v="0"/>
    <n v="0"/>
    <n v="-7077"/>
    <m/>
    <n v="3.1376382241757574"/>
    <n v="-7077"/>
    <n v="-2255.5181618681017"/>
    <n v="-7077"/>
    <m/>
    <s v="Private Equity Fund"/>
    <n v="0"/>
    <n v="0"/>
    <n v="0"/>
    <n v="0"/>
    <m/>
    <m/>
    <m/>
    <m/>
    <m/>
    <m/>
    <m/>
    <m/>
    <m/>
    <m/>
    <m/>
    <d v="2017-07-31T00:00:00"/>
    <n v="-3.6863367896838306E-2"/>
    <x v="1"/>
    <n v="0"/>
    <x v="182"/>
  </r>
  <r>
    <d v="2017-08-31T00:00:00"/>
    <x v="10"/>
    <s v="Series 1GP"/>
    <n v="1380399.9999999998"/>
    <n v="439948.745321849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1.566042721832539E-2"/>
    <x v="1"/>
    <n v="0"/>
    <x v="183"/>
  </r>
  <r>
    <d v="2017-09-29T00:00:00"/>
    <x v="10"/>
    <s v="Series 1GP"/>
    <n v="1357100"/>
    <n v="432522.777655956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-1.6879165459287027E-2"/>
    <x v="1"/>
    <n v="0"/>
    <x v="184"/>
  </r>
  <r>
    <d v="2017-10-31T00:00:00"/>
    <x v="10"/>
    <s v="Series 1GP"/>
    <n v="2081907.77"/>
    <n v="663527.02933012845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0.53408574902365347"/>
    <x v="1"/>
    <n v="0"/>
    <x v="185"/>
  </r>
  <r>
    <d v="2017-11-30T00:00:00"/>
    <x v="10"/>
    <s v="Series 1GP"/>
    <n v="2073200"/>
    <n v="660751.7667351913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-4.1825916236433169E-3"/>
    <x v="1"/>
    <n v="0"/>
    <x v="186"/>
  </r>
  <r>
    <d v="2017-12-29T00:00:00"/>
    <x v="10"/>
    <s v="Series 1GP"/>
    <n v="1417399.01"/>
    <n v="451740.7389669164"/>
    <n v="0.33700000000000002"/>
    <n v="0"/>
    <n v="0"/>
    <n v="-639091.62"/>
    <m/>
    <n v="3.1376382241757574"/>
    <n v="-639091.62"/>
    <n v="-203685.56676666773"/>
    <n v="-639091.62"/>
    <m/>
    <s v="Private Equity Fund"/>
    <n v="0"/>
    <n v="0"/>
    <n v="0"/>
    <n v="0"/>
    <m/>
    <m/>
    <m/>
    <m/>
    <m/>
    <m/>
    <m/>
    <m/>
    <m/>
    <m/>
    <m/>
    <d v="2017-12-29T00:00:00"/>
    <n v="-8.0596999807062142E-3"/>
    <x v="1"/>
    <n v="0"/>
    <x v="187"/>
  </r>
  <r>
    <d v="2018-01-31T00:00:00"/>
    <x v="10"/>
    <s v="Series 1GP"/>
    <n v="1400400.0000000002"/>
    <n v="446322.9664942900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-1.1993101363884651E-2"/>
    <x v="1"/>
    <n v="0"/>
    <x v="188"/>
  </r>
  <r>
    <d v="2018-02-28T00:00:00"/>
    <x v="10"/>
    <s v="Series 1GP"/>
    <n v="1426000.0000000002"/>
    <n v="454481.96959501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1.8280491288203304E-2"/>
    <x v="1"/>
    <n v="0"/>
    <x v="189"/>
  </r>
  <r>
    <d v="2018-03-29T00:00:00"/>
    <x v="10"/>
    <s v="Series 1GP"/>
    <n v="817929.08100000001"/>
    <n v="260683.04328325362"/>
    <n v="0.33700000000000002"/>
    <n v="0"/>
    <n v="0"/>
    <n v="-604998.24"/>
    <m/>
    <n v="3.1376382241757574"/>
    <n v="-604998.24"/>
    <n v="-192819.62953486459"/>
    <n v="-604998.24"/>
    <m/>
    <s v="Private Equity Fund"/>
    <n v="0"/>
    <n v="0"/>
    <n v="0"/>
    <n v="0"/>
    <m/>
    <m/>
    <m/>
    <m/>
    <m/>
    <m/>
    <m/>
    <m/>
    <m/>
    <m/>
    <m/>
    <d v="2018-03-29T00:00:00"/>
    <n v="-2.1547538569426372E-3"/>
    <x v="1"/>
    <n v="0"/>
    <x v="190"/>
  </r>
  <r>
    <d v="2018-04-30T00:00:00"/>
    <x v="10"/>
    <s v="Series 1GP"/>
    <n v="824993.58349999995"/>
    <n v="262934.57835366658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8.6370599408971405E-3"/>
    <x v="1"/>
    <n v="0"/>
    <x v="191"/>
  </r>
  <r>
    <d v="2018-05-31T00:00:00"/>
    <x v="10"/>
    <s v="Series 1GP"/>
    <n v="670093.52049999998"/>
    <n v="213566.21529431755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0.18775911243193322"/>
    <x v="1"/>
    <n v="0"/>
    <x v="192"/>
  </r>
  <r>
    <d v="2018-06-29T00:00:00"/>
    <x v="10"/>
    <s v="Series 1GP"/>
    <n v="668698.59250000003"/>
    <n v="213121.63631473604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6-29T00:00:00"/>
    <n v="-2.0816915211463449E-3"/>
    <x v="1"/>
    <n v="0"/>
    <x v="193"/>
  </r>
  <r>
    <d v="2018-07-31T00:00:00"/>
    <x v="10"/>
    <s v="Series 1GP"/>
    <n v="671560.21440000006"/>
    <n v="214033.66685986103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4.2793897461359531E-3"/>
    <x v="1"/>
    <n v="0"/>
    <x v="194"/>
  </r>
  <r>
    <d v="2018-08-31T00:00:00"/>
    <x v="10"/>
    <s v="Series 1GP"/>
    <n v="669177.91859999998"/>
    <n v="213274.40284349219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  <m/>
    <m/>
    <m/>
    <d v="2018-08-31T00:00:00"/>
    <n v="-3.5474046093223466E-3"/>
    <x v="1"/>
    <n v="0"/>
    <x v="195"/>
  </r>
  <r>
    <d v="2018-09-28T00:00:00"/>
    <x v="10"/>
    <s v="Series 1GP"/>
    <n v="671043.35"/>
    <m/>
    <n v="0.33700000000000002"/>
    <m/>
    <n v="0"/>
    <n v="0"/>
    <m/>
    <n v="0"/>
    <n v="0"/>
    <e v="#DIV/0!"/>
    <n v="0"/>
    <m/>
    <s v="Private Equity Fund"/>
    <n v="0"/>
    <m/>
    <m/>
    <m/>
    <m/>
    <m/>
    <m/>
    <m/>
    <m/>
    <m/>
    <m/>
    <m/>
    <m/>
    <m/>
    <m/>
    <d v="2018-09-28T00:00:00"/>
    <n v="2.7876463764715531E-3"/>
    <x v="1"/>
    <n v="0"/>
    <x v="196"/>
  </r>
  <r>
    <d v="2018-10-31T00:00:00"/>
    <x v="10"/>
    <s v="Series 1GP"/>
    <n v="479302.12"/>
    <m/>
    <n v="0.33700000000000002"/>
    <m/>
    <n v="0"/>
    <n v="191841.44"/>
    <m/>
    <n v="0"/>
    <n v="191841.44"/>
    <e v="#DIV/0!"/>
    <n v="-287460.68"/>
    <m/>
    <s v="Private Equity Fund"/>
    <n v="0"/>
    <m/>
    <m/>
    <m/>
    <m/>
    <m/>
    <m/>
    <m/>
    <m/>
    <m/>
    <m/>
    <m/>
    <m/>
    <m/>
    <m/>
    <d v="2018-10-31T00:00:00"/>
    <n v="-0.57162129689534957"/>
    <x v="1"/>
    <n v="0"/>
    <x v="197"/>
  </r>
  <r>
    <d v="2011-03-31T00:00:00"/>
    <x v="10"/>
    <s v="Series 2"/>
    <n v="45455421.530000001"/>
    <n v="45426861.016401105"/>
    <n v="166"/>
    <n v="45484000"/>
    <n v="0"/>
    <n v="0"/>
    <m/>
    <n v="1.0006287142223758"/>
    <n v="45484000"/>
    <n v="45426861.016401105"/>
    <n v="45484000"/>
    <n v="45484000"/>
    <s v="Private Equity Fund"/>
    <n v="0"/>
    <n v="0"/>
    <n v="1.5841000000000001E-2"/>
    <n v="0.129771"/>
    <m/>
    <m/>
    <m/>
    <m/>
    <m/>
    <m/>
    <m/>
    <m/>
    <m/>
    <m/>
    <m/>
    <d v="2011-03-31T00:00:00"/>
    <n v="-6.2831918916539387E-4"/>
    <x v="1"/>
    <n v="0"/>
    <x v="119"/>
  </r>
  <r>
    <d v="2011-04-29T00:00:00"/>
    <x v="10"/>
    <s v="Series 2"/>
    <n v="57966939.544166863"/>
    <n v="45869611.21120733"/>
    <n v="166"/>
    <n v="11952000"/>
    <n v="0"/>
    <n v="0"/>
    <m/>
    <n v="1.2637329598730889"/>
    <n v="11952000"/>
    <n v="0"/>
    <n v="11952000"/>
    <n v="11952000"/>
    <s v="Private Equity Fund"/>
    <n v="0"/>
    <n v="0"/>
    <n v="0"/>
    <n v="0"/>
    <m/>
    <m/>
    <m/>
    <m/>
    <m/>
    <m/>
    <m/>
    <m/>
    <m/>
    <m/>
    <m/>
    <d v="2011-04-29T00:00:00"/>
    <n v="1.230915906912422E-2"/>
    <x v="1"/>
    <n v="0"/>
    <x v="120"/>
  </r>
  <r>
    <d v="2011-05-31T00:00:00"/>
    <x v="10"/>
    <s v="Series 2"/>
    <n v="76705780.747440457"/>
    <n v="45957589.818853274"/>
    <n v="166"/>
    <n v="18592000"/>
    <n v="0"/>
    <n v="0"/>
    <m/>
    <n v="1.6690557762011551"/>
    <n v="18592000"/>
    <n v="0"/>
    <n v="18592000"/>
    <n v="18592000"/>
    <s v="Private Equity Fund"/>
    <n v="0"/>
    <n v="0"/>
    <n v="0"/>
    <n v="0"/>
    <m/>
    <m/>
    <m/>
    <m/>
    <m/>
    <m/>
    <m/>
    <m/>
    <m/>
    <m/>
    <m/>
    <d v="2011-05-31T00:00:00"/>
    <n v="2.5331888215645026E-3"/>
    <x v="1"/>
    <n v="0"/>
    <x v="121"/>
  </r>
  <r>
    <d v="2011-06-30T00:00:00"/>
    <x v="10"/>
    <s v="Series 2"/>
    <n v="75836477.478575513"/>
    <n v="45436754.457171403"/>
    <n v="166"/>
    <n v="0"/>
    <n v="0"/>
    <n v="0"/>
    <m/>
    <n v="1.6690557762011551"/>
    <n v="0"/>
    <n v="0"/>
    <n v="0"/>
    <n v="0"/>
    <s v="Private Equity Fund"/>
    <n v="0"/>
    <n v="0"/>
    <n v="0"/>
    <n v="0"/>
    <m/>
    <m/>
    <m/>
    <m/>
    <m/>
    <m/>
    <m/>
    <m/>
    <m/>
    <m/>
    <m/>
    <d v="2011-06-30T00:00:00"/>
    <n v="-1.1332956400342153E-2"/>
    <x v="1"/>
    <n v="0"/>
    <x v="122"/>
  </r>
  <r>
    <d v="2011-07-29T00:00:00"/>
    <x v="10"/>
    <s v="Series 2"/>
    <n v="91808650.171970159"/>
    <n v="46136368.011183135"/>
    <n v="166"/>
    <n v="14579983"/>
    <n v="0"/>
    <n v="0"/>
    <m/>
    <n v="1.9899409972999258"/>
    <n v="14579983"/>
    <n v="0"/>
    <n v="14579983"/>
    <n v="14579983"/>
    <s v="Private Equity Fund"/>
    <n v="0"/>
    <n v="0"/>
    <n v="0"/>
    <n v="0"/>
    <m/>
    <m/>
    <m/>
    <m/>
    <m/>
    <m/>
    <m/>
    <m/>
    <m/>
    <m/>
    <m/>
    <d v="2011-07-29T00:00:00"/>
    <n v="1.8357784270609745E-2"/>
    <x v="1"/>
    <n v="0"/>
    <x v="123"/>
  </r>
  <r>
    <d v="2011-08-31T00:00:00"/>
    <x v="10"/>
    <s v="Series 2"/>
    <n v="94759262.790074378"/>
    <n v="45246618.808014639"/>
    <n v="166"/>
    <n v="4814000"/>
    <n v="0"/>
    <n v="0"/>
    <m/>
    <n v="2.0942838445486109"/>
    <n v="4814000"/>
    <n v="0"/>
    <n v="4814000"/>
    <n v="4814000"/>
    <s v="Private Equity Fund"/>
    <n v="0"/>
    <n v="0"/>
    <n v="0"/>
    <n v="0"/>
    <m/>
    <m/>
    <m/>
    <m/>
    <m/>
    <m/>
    <m/>
    <m/>
    <m/>
    <m/>
    <m/>
    <d v="2011-08-31T00:00:00"/>
    <n v="-2.0296424992693018E-2"/>
    <x v="1"/>
    <n v="0"/>
    <x v="124"/>
  </r>
  <r>
    <d v="2011-09-30T00:00:00"/>
    <x v="10"/>
    <s v="Series 2"/>
    <n v="101240094.92325184"/>
    <n v="44591589.989509508"/>
    <n v="166"/>
    <n v="7968000"/>
    <n v="0"/>
    <n v="0"/>
    <m/>
    <n v="2.2703854010827893"/>
    <n v="7968000"/>
    <n v="0"/>
    <n v="7968000"/>
    <n v="7968000"/>
    <s v="Private Equity Fund"/>
    <n v="0"/>
    <n v="0"/>
    <n v="0"/>
    <n v="0"/>
    <m/>
    <m/>
    <m/>
    <m/>
    <m/>
    <m/>
    <m/>
    <m/>
    <m/>
    <m/>
    <m/>
    <d v="2011-09-30T00:00:00"/>
    <n v="-1.5694168812996678E-2"/>
    <x v="1"/>
    <n v="0"/>
    <x v="125"/>
  </r>
  <r>
    <d v="2011-10-31T00:00:00"/>
    <x v="10"/>
    <s v="Series 2"/>
    <n v="100052733.59144756"/>
    <n v="44068612.114811227"/>
    <n v="166"/>
    <n v="0"/>
    <n v="0"/>
    <n v="0"/>
    <m/>
    <n v="2.2703854010827893"/>
    <n v="0"/>
    <n v="0"/>
    <n v="0"/>
    <n v="0"/>
    <s v="Private Equity Fund"/>
    <n v="0"/>
    <n v="0"/>
    <n v="0"/>
    <n v="0"/>
    <m/>
    <m/>
    <m/>
    <m/>
    <m/>
    <m/>
    <m/>
    <m/>
    <m/>
    <m/>
    <m/>
    <d v="2011-10-31T00:00:00"/>
    <n v="-1.172817284203842E-2"/>
    <x v="1"/>
    <n v="0"/>
    <x v="126"/>
  </r>
  <r>
    <d v="2011-11-30T00:00:00"/>
    <x v="10"/>
    <s v="Series 2"/>
    <n v="110706569.4513956"/>
    <n v="44888409.866782501"/>
    <n v="166"/>
    <n v="8632000"/>
    <n v="0"/>
    <n v="0"/>
    <m/>
    <n v="2.4662617762568293"/>
    <n v="8632000"/>
    <n v="0"/>
    <n v="8632000"/>
    <n v="8632000"/>
    <s v="Private Equity Fund"/>
    <n v="0"/>
    <n v="0"/>
    <n v="0"/>
    <n v="0"/>
    <m/>
    <m/>
    <m/>
    <m/>
    <m/>
    <m/>
    <m/>
    <m/>
    <m/>
    <m/>
    <m/>
    <d v="2011-11-30T00:00:00"/>
    <n v="2.0207702352281087E-2"/>
    <x v="1"/>
    <n v="0"/>
    <x v="127"/>
  </r>
  <r>
    <d v="2011-12-30T00:00:00"/>
    <x v="10"/>
    <s v="Series 2"/>
    <n v="155809622.75436318"/>
    <n v="45455268.368714377"/>
    <n v="166"/>
    <n v="43160000"/>
    <n v="0"/>
    <n v="0"/>
    <m/>
    <n v="3.4277571851627808"/>
    <n v="43160000"/>
    <n v="0"/>
    <n v="43160000"/>
    <n v="43160000"/>
    <s v="Private Equity Fund"/>
    <n v="0"/>
    <n v="0"/>
    <n v="0"/>
    <n v="0"/>
    <m/>
    <m/>
    <m/>
    <m/>
    <m/>
    <m/>
    <m/>
    <m/>
    <m/>
    <m/>
    <m/>
    <d v="2011-12-30T00:00:00"/>
    <n v="1.7551382113964342E-2"/>
    <x v="1"/>
    <n v="0"/>
    <x v="128"/>
  </r>
  <r>
    <d v="2012-01-31T00:00:00"/>
    <x v="10"/>
    <s v="Series 2"/>
    <n v="155361118.26698914"/>
    <n v="45324423.48585178"/>
    <n v="166"/>
    <n v="0"/>
    <n v="0"/>
    <n v="0"/>
    <m/>
    <n v="3.4277571851627808"/>
    <n v="0"/>
    <n v="0"/>
    <n v="0"/>
    <n v="0"/>
    <s v="Private Equity Fund"/>
    <n v="0"/>
    <n v="0"/>
    <n v="0"/>
    <n v="0"/>
    <m/>
    <m/>
    <m/>
    <m/>
    <m/>
    <m/>
    <m/>
    <m/>
    <m/>
    <m/>
    <m/>
    <d v="2012-01-31T00:00:00"/>
    <n v="-2.8785416423291466E-3"/>
    <x v="1"/>
    <n v="0"/>
    <x v="129"/>
  </r>
  <r>
    <d v="2012-02-29T00:00:00"/>
    <x v="10"/>
    <s v="Series 2"/>
    <n v="167970974.18795109"/>
    <n v="45813137.462739617"/>
    <n v="166"/>
    <n v="10818017"/>
    <n v="0"/>
    <n v="0"/>
    <m/>
    <n v="3.6664368233798426"/>
    <n v="10818017"/>
    <n v="0"/>
    <n v="10818017"/>
    <n v="10818017"/>
    <s v="Private Equity Fund"/>
    <n v="0"/>
    <n v="0"/>
    <n v="0"/>
    <n v="0"/>
    <m/>
    <m/>
    <m/>
    <m/>
    <m/>
    <m/>
    <m/>
    <m/>
    <m/>
    <m/>
    <m/>
    <d v="2012-02-29T00:00:00"/>
    <n v="1.1533380687197781E-2"/>
    <x v="1"/>
    <n v="0"/>
    <x v="130"/>
  </r>
  <r>
    <d v="2012-03-30T00:00:00"/>
    <x v="10"/>
    <s v="Series 2"/>
    <n v="171505407.63952401"/>
    <n v="46777134.28631361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3-30T00:00:00"/>
    <n v="2.1041929825435624E-2"/>
    <x v="1"/>
    <n v="0"/>
    <x v="131"/>
  </r>
  <r>
    <d v="2012-04-30T00:00:00"/>
    <x v="10"/>
    <s v="Series 2"/>
    <n v="175710406.576123"/>
    <n v="47924024.07036358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4-30T00:00:00"/>
    <n v="2.4518171143834699E-2"/>
    <x v="1"/>
    <n v="0"/>
    <x v="132"/>
  </r>
  <r>
    <d v="2012-05-31T00:00:00"/>
    <x v="10"/>
    <s v="Series 2"/>
    <n v="176373895.738648"/>
    <n v="48104987.0037200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5-31T00:00:00"/>
    <n v="3.7760379447848713E-3"/>
    <x v="1"/>
    <n v="0"/>
    <x v="133"/>
  </r>
  <r>
    <d v="2012-06-29T00:00:00"/>
    <x v="10"/>
    <s v="Series 2"/>
    <n v="132936435.45803101"/>
    <n v="36257664.28329885"/>
    <n v="166"/>
    <n v="0"/>
    <n v="0"/>
    <n v="-42202654.469999999"/>
    <m/>
    <n v="3.6664368233798426"/>
    <n v="-42202654.469999999"/>
    <n v="-11510536.388049964"/>
    <n v="-42202654.469999999"/>
    <n v="-42202654.469999999"/>
    <s v="Private Equity Fund"/>
    <n v="0"/>
    <n v="0"/>
    <n v="0"/>
    <n v="0"/>
    <m/>
    <m/>
    <m/>
    <m/>
    <m/>
    <m/>
    <m/>
    <m/>
    <m/>
    <m/>
    <m/>
    <d v="2012-06-29T00:00:00"/>
    <n v="-7.0010689815839244E-3"/>
    <x v="1"/>
    <n v="0"/>
    <x v="134"/>
  </r>
  <r>
    <d v="2012-07-31T00:00:00"/>
    <x v="10"/>
    <s v="Series 2"/>
    <n v="134749839.169386"/>
    <n v="36752259.93534757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7-31T00:00:00"/>
    <n v="1.3641133863014465E-2"/>
    <x v="1"/>
    <n v="0"/>
    <x v="135"/>
  </r>
  <r>
    <d v="2012-08-31T00:00:00"/>
    <x v="10"/>
    <s v="Series 2"/>
    <n v="134946857.1805"/>
    <n v="36805995.48858489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1.462102013096489E-3"/>
    <x v="1"/>
    <n v="0"/>
    <x v="136"/>
  </r>
  <r>
    <d v="2012-09-28T00:00:00"/>
    <x v="10"/>
    <s v="Series 2"/>
    <n v="133212483.83499999"/>
    <n v="36332954.92384901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09-28T00:00:00"/>
    <n v="-1.2852269269081007E-2"/>
    <x v="1"/>
    <n v="0"/>
    <x v="137"/>
  </r>
  <r>
    <d v="2012-10-31T00:00:00"/>
    <x v="10"/>
    <s v="Series 2"/>
    <n v="116414686.05599999"/>
    <n v="31751450.158272494"/>
    <n v="166"/>
    <n v="0"/>
    <n v="0"/>
    <n v="-18233427.600000001"/>
    <m/>
    <n v="3.6664368233798426"/>
    <n v="-18233427.600000001"/>
    <n v="-4973064.7160563441"/>
    <n v="-18233427.600000001"/>
    <n v="-18233427.600000001"/>
    <s v="Private Equity Fund"/>
    <n v="0"/>
    <n v="0"/>
    <n v="0"/>
    <n v="0"/>
    <m/>
    <m/>
    <m/>
    <m/>
    <m/>
    <m/>
    <m/>
    <m/>
    <m/>
    <m/>
    <m/>
    <d v="2012-10-31T00:00:00"/>
    <n v="1.0776991612724496E-2"/>
    <x v="1"/>
    <n v="0"/>
    <x v="138"/>
  </r>
  <r>
    <d v="2012-11-30T00:00:00"/>
    <x v="10"/>
    <s v="Series 2"/>
    <n v="116801795.11300001"/>
    <n v="31857031.97398291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11-30T00:00:00"/>
    <n v="3.3252596396111667E-3"/>
    <x v="1"/>
    <n v="0"/>
    <x v="139"/>
  </r>
  <r>
    <d v="2012-12-31T00:00:00"/>
    <x v="10"/>
    <s v="Series 2"/>
    <n v="119155354.69850001"/>
    <n v="32498952.09940060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2-12-31T00:00:00"/>
    <n v="2.0150029228772182E-2"/>
    <x v="1"/>
    <n v="0"/>
    <x v="140"/>
  </r>
  <r>
    <d v="2013-01-31T00:00:00"/>
    <x v="10"/>
    <s v="Series 2"/>
    <n v="90893976.321999997"/>
    <n v="24790820.270622019"/>
    <n v="166"/>
    <n v="0"/>
    <n v="0"/>
    <n v="-33131055.840000004"/>
    <m/>
    <n v="3.6664368233798426"/>
    <n v="-33131055.840000004"/>
    <n v="-9036308.938621968"/>
    <n v="-33131055.840000004"/>
    <n v="-33131055.840000004"/>
    <s v="Private Equity Fund"/>
    <n v="0"/>
    <n v="0"/>
    <n v="0"/>
    <n v="0"/>
    <m/>
    <m/>
    <m/>
    <m/>
    <m/>
    <m/>
    <m/>
    <m/>
    <m/>
    <m/>
    <m/>
    <d v="2013-01-31T00:00:00"/>
    <n v="4.0868305715859643E-2"/>
    <x v="1"/>
    <n v="0"/>
    <x v="141"/>
  </r>
  <r>
    <d v="2013-02-28T00:00:00"/>
    <x v="10"/>
    <s v="Series 2"/>
    <n v="89760068.119499996"/>
    <n v="24481553.19276883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2-28T00:00:00"/>
    <n v="-1.2475064337410302E-2"/>
    <x v="1"/>
    <n v="0"/>
    <x v="142"/>
  </r>
  <r>
    <d v="2013-03-28T00:00:00"/>
    <x v="10"/>
    <s v="Series 2"/>
    <n v="73911483.362000003"/>
    <n v="20158940.934339065"/>
    <n v="166"/>
    <n v="0"/>
    <n v="0"/>
    <n v="-12281075.470000001"/>
    <m/>
    <n v="3.6664368233798426"/>
    <n v="-12281075.470000001"/>
    <n v="-3349594.1868374809"/>
    <n v="-12281075.470000001"/>
    <n v="-12281075.470000001"/>
    <s v="Private Equity Fund"/>
    <n v="0"/>
    <n v="0"/>
    <n v="0"/>
    <n v="0"/>
    <m/>
    <m/>
    <m/>
    <m/>
    <m/>
    <m/>
    <m/>
    <m/>
    <m/>
    <m/>
    <m/>
    <d v="2013-03-28T00:00:00"/>
    <n v="-3.9744948530458735E-2"/>
    <x v="1"/>
    <n v="0"/>
    <x v="143"/>
  </r>
  <r>
    <d v="2013-04-30T00:00:00"/>
    <x v="10"/>
    <s v="Series 2"/>
    <n v="71728085.667500004"/>
    <n v="19563431.50660882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4-30T00:00:00"/>
    <n v="-2.9540709984215319E-2"/>
    <x v="1"/>
    <n v="0"/>
    <x v="144"/>
  </r>
  <r>
    <d v="2013-05-31T00:00:00"/>
    <x v="10"/>
    <s v="Series 2"/>
    <n v="65026495.470299989"/>
    <n v="17735610.513085678"/>
    <n v="166"/>
    <n v="0"/>
    <n v="-7.4505805969238281E-9"/>
    <n v="-7545743.6550000003"/>
    <m/>
    <n v="3.6664368233798426"/>
    <n v="-7545743.6550000077"/>
    <n v="-2058059.0962001316"/>
    <n v="-7545743.6550000077"/>
    <n v="-7545743.6550000077"/>
    <s v="Private Equity Fund"/>
    <n v="0"/>
    <n v="0"/>
    <n v="0"/>
    <n v="0"/>
    <m/>
    <m/>
    <m/>
    <m/>
    <m/>
    <m/>
    <m/>
    <m/>
    <m/>
    <m/>
    <m/>
    <d v="2013-05-31T00:00:00"/>
    <n v="1.1768799486899795E-2"/>
    <x v="1"/>
    <n v="0"/>
    <x v="145"/>
  </r>
  <r>
    <d v="2013-06-28T00:00:00"/>
    <x v="10"/>
    <s v="Series 2"/>
    <n v="64977431.030800007"/>
    <n v="17722228.46346542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7.545299672868655E-4"/>
    <x v="1"/>
    <n v="0"/>
    <x v="146"/>
  </r>
  <r>
    <d v="2013-07-31T00:00:00"/>
    <x v="10"/>
    <s v="Series 2"/>
    <n v="62539624.587800004"/>
    <n v="17057330.48200975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3.7517741226864687E-2"/>
    <x v="1"/>
    <n v="0"/>
    <x v="147"/>
  </r>
  <r>
    <d v="2013-08-30T00:00:00"/>
    <x v="10"/>
    <s v="Series 2"/>
    <n v="61010187.491800003"/>
    <n v="16640185.12544798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2.4455488917315304E-2"/>
    <x v="1"/>
    <n v="0"/>
    <x v="148"/>
  </r>
  <r>
    <d v="2013-09-30T00:00:00"/>
    <x v="10"/>
    <s v="Series 2"/>
    <n v="48764910.963299997"/>
    <n v="13300354.89834157"/>
    <n v="166"/>
    <n v="0"/>
    <n v="0"/>
    <n v="-13015771.939999999"/>
    <m/>
    <n v="3.6664368233798426"/>
    <n v="-13015771.939999999"/>
    <n v="-3549978.5123807564"/>
    <n v="-13015771.939999999"/>
    <n v="-13015771.939999999"/>
    <s v="Private Equity Fund"/>
    <n v="0"/>
    <n v="0"/>
    <n v="0"/>
    <n v="0"/>
    <m/>
    <m/>
    <m/>
    <m/>
    <m/>
    <m/>
    <m/>
    <m/>
    <m/>
    <m/>
    <m/>
    <d v="2013-09-30T00:00:00"/>
    <n v="1.2628963181002373E-2"/>
    <x v="1"/>
    <n v="0"/>
    <x v="0"/>
  </r>
  <r>
    <d v="2013-10-31T00:00:00"/>
    <x v="10"/>
    <s v="Series 2"/>
    <n v="49296549.149800003"/>
    <n v="13445356.22036351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10-31T00:00:00"/>
    <n v="1.090206412762873E-2"/>
    <x v="1"/>
    <n v="0"/>
    <x v="1"/>
  </r>
  <r>
    <d v="2013-11-29T00:00:00"/>
    <x v="10"/>
    <s v="Series 2"/>
    <n v="48251123.456799999"/>
    <n v="13160222.24878281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1206873727067865E-2"/>
    <x v="1"/>
    <n v="0"/>
    <x v="2"/>
  </r>
  <r>
    <d v="2013-12-31T00:00:00"/>
    <x v="10"/>
    <s v="Series 2"/>
    <n v="48700587.553300001"/>
    <n v="13282811.05043184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9.3151011686269936E-3"/>
    <x v="1"/>
    <n v="0"/>
    <x v="3"/>
  </r>
  <r>
    <d v="2014-01-30T00:00:00"/>
    <x v="10"/>
    <s v="Series 2"/>
    <n v="47680249.746299997"/>
    <n v="13004519.65850232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2.0951242238777978E-2"/>
    <x v="1"/>
    <n v="0"/>
    <x v="4"/>
  </r>
  <r>
    <d v="2014-02-28T00:00:00"/>
    <x v="10"/>
    <s v="Series 2"/>
    <n v="46255086.561800003"/>
    <n v="12615814.42419633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2.9890010897239194E-2"/>
    <x v="1"/>
    <n v="0"/>
    <x v="5"/>
  </r>
  <r>
    <d v="2014-03-31T00:00:00"/>
    <x v="10"/>
    <s v="Series 2"/>
    <n v="37483452.4168"/>
    <n v="10223400.599126242"/>
    <n v="166"/>
    <n v="0"/>
    <n v="0"/>
    <n v="-8300000.0000000009"/>
    <m/>
    <n v="3.6664368233798426"/>
    <n v="-8300000.0000000009"/>
    <n v="-2263778.2675193585"/>
    <n v="-8300000.0000000009"/>
    <n v="-8300000.0000000009"/>
    <s v="Private Equity Fund"/>
    <n v="0"/>
    <n v="0"/>
    <n v="0"/>
    <n v="0"/>
    <m/>
    <m/>
    <m/>
    <m/>
    <m/>
    <m/>
    <m/>
    <m/>
    <m/>
    <m/>
    <m/>
    <d v="2014-03-31T00:00:00"/>
    <n v="-1.0196373632765043E-2"/>
    <x v="1"/>
    <n v="0"/>
    <x v="6"/>
  </r>
  <r>
    <d v="2014-04-30T00:00:00"/>
    <x v="10"/>
    <s v="Series 2"/>
    <n v="37255948.658799998"/>
    <n v="10161350.23007330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6.0694451372903524E-3"/>
    <x v="1"/>
    <n v="0"/>
    <x v="7"/>
  </r>
  <r>
    <d v="2014-05-30T00:00:00"/>
    <x v="10"/>
    <s v="Series 2"/>
    <n v="32837970.873799995"/>
    <n v="8956371.6642821822"/>
    <n v="166"/>
    <n v="0"/>
    <n v="-3.7252902984619141E-9"/>
    <n v="-3984000"/>
    <m/>
    <n v="3.6664368233798426"/>
    <n v="-3984000.0000000037"/>
    <n v="-1086613.568409292"/>
    <n v="-3984000.0000000037"/>
    <n v="-3984000.0000000037"/>
    <s v="Private Equity Fund"/>
    <n v="0"/>
    <n v="0"/>
    <n v="0"/>
    <n v="0"/>
    <m/>
    <m/>
    <m/>
    <m/>
    <m/>
    <m/>
    <m/>
    <m/>
    <m/>
    <m/>
    <m/>
    <d v="2014-05-30T00:00:00"/>
    <n v="-1.1648550114090162E-2"/>
    <x v="1"/>
    <n v="0"/>
    <x v="8"/>
  </r>
  <r>
    <d v="2014-06-30T00:00:00"/>
    <x v="10"/>
    <s v="Series 2"/>
    <n v="32662030.8783"/>
    <n v="8908385.021125514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5.357821778213756E-3"/>
    <x v="1"/>
    <n v="0"/>
    <x v="9"/>
  </r>
  <r>
    <d v="2014-07-31T00:00:00"/>
    <x v="10"/>
    <s v="Series 2"/>
    <n v="32458143.367300004"/>
    <n v="8852775.850472452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-6.242340280666836E-3"/>
    <x v="1"/>
    <n v="0"/>
    <x v="10"/>
  </r>
  <r>
    <d v="2014-08-29T00:00:00"/>
    <x v="10"/>
    <s v="Series 2"/>
    <n v="34065376.883299999"/>
    <n v="9291139.742562755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4.9517111863496277E-2"/>
    <x v="1"/>
    <n v="0"/>
    <x v="11"/>
  </r>
  <r>
    <d v="2014-09-30T00:00:00"/>
    <x v="10"/>
    <s v="Series 2"/>
    <n v="34132872.3913"/>
    <n v="9309548.762341741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1.981352157976346E-3"/>
    <x v="1"/>
    <n v="0"/>
    <x v="12"/>
  </r>
  <r>
    <d v="2014-10-31T00:00:00"/>
    <x v="10"/>
    <s v="Series 2"/>
    <n v="32660201.873799998"/>
    <n v="8907886.170446200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10-31T00:00:00"/>
    <n v="-4.3145226707476447E-2"/>
    <x v="1"/>
    <n v="0"/>
    <x v="149"/>
  </r>
  <r>
    <d v="2014-11-28T00:00:00"/>
    <x v="10"/>
    <s v="Series 2"/>
    <n v="30664346.4538"/>
    <n v="8363527.842144186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6.1109708620664449E-2"/>
    <x v="1"/>
    <n v="0"/>
    <x v="150"/>
  </r>
  <r>
    <d v="2014-12-31T00:00:00"/>
    <x v="10"/>
    <s v="Series 2"/>
    <n v="26745883.417300001"/>
    <n v="7294789.1115289321"/>
    <n v="166"/>
    <n v="0"/>
    <n v="0"/>
    <n v="-3984000"/>
    <m/>
    <n v="3.6664368233798426"/>
    <n v="-3984000"/>
    <n v="-1086613.568409292"/>
    <n v="-3984000"/>
    <n v="-3984000"/>
    <s v="Private Equity Fund"/>
    <n v="0"/>
    <n v="0"/>
    <n v="0"/>
    <n v="0"/>
    <m/>
    <m/>
    <m/>
    <m/>
    <m/>
    <m/>
    <m/>
    <m/>
    <m/>
    <m/>
    <m/>
    <d v="2014-12-31T00:00:00"/>
    <n v="2.1372365981691122E-3"/>
    <x v="1"/>
    <n v="0"/>
    <x v="151"/>
  </r>
  <r>
    <d v="2015-01-30T00:00:00"/>
    <x v="10"/>
    <s v="Series 2"/>
    <n v="26494746.789799999"/>
    <n v="7226293.0103828348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9.3897301346029804E-3"/>
    <x v="1"/>
    <n v="0"/>
    <x v="152"/>
  </r>
  <r>
    <d v="2015-02-27T00:00:00"/>
    <x v="10"/>
    <s v="Series 2"/>
    <n v="27633170.992699999"/>
    <n v="7536791.801918144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4.2967921600906678E-2"/>
    <x v="1"/>
    <n v="0"/>
    <x v="153"/>
  </r>
  <r>
    <d v="2015-03-31T00:00:00"/>
    <x v="10"/>
    <s v="Series 2"/>
    <n v="23560229.002300002"/>
    <n v="6425919.8064079564"/>
    <n v="166"/>
    <n v="0"/>
    <n v="0"/>
    <n v="-3901000"/>
    <m/>
    <n v="3.6664368233798426"/>
    <n v="-3901000"/>
    <n v="-1063975.7857340984"/>
    <n v="-3901000"/>
    <n v="-3901000"/>
    <s v="Private Equity Fund"/>
    <n v="0"/>
    <n v="0"/>
    <n v="0"/>
    <n v="0"/>
    <m/>
    <m/>
    <m/>
    <m/>
    <m/>
    <m/>
    <m/>
    <m/>
    <m/>
    <m/>
    <m/>
    <d v="2015-03-31T00:00:00"/>
    <n v="-6.2223039999795837E-3"/>
    <x v="1"/>
    <n v="0"/>
    <x v="154"/>
  </r>
  <r>
    <d v="2015-04-30T00:00:00"/>
    <x v="10"/>
    <s v="Series 2"/>
    <n v="23959889.320900001"/>
    <n v="6534924.908050913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1.6963346093154863E-2"/>
    <x v="1"/>
    <n v="0"/>
    <x v="155"/>
  </r>
  <r>
    <d v="2015-05-29T00:00:00"/>
    <x v="10"/>
    <s v="Series 2"/>
    <n v="24108507.849199999"/>
    <n v="6575459.774860099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6.2028052930260813E-3"/>
    <x v="1"/>
    <n v="0"/>
    <x v="156"/>
  </r>
  <r>
    <d v="2015-06-30T00:00:00"/>
    <x v="10"/>
    <s v="Series 2"/>
    <n v="23813479.602899998"/>
    <n v="6494992.481814522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2237515824099043E-2"/>
    <x v="1"/>
    <n v="0"/>
    <x v="157"/>
  </r>
  <r>
    <d v="2015-07-31T00:00:00"/>
    <x v="10"/>
    <s v="Series 2"/>
    <n v="20805701.559"/>
    <n v="5674637.9553925106"/>
    <n v="166"/>
    <n v="0"/>
    <n v="0"/>
    <n v="-2075000.0000000002"/>
    <m/>
    <n v="3.6664368233798426"/>
    <n v="-2075000.0000000002"/>
    <n v="-565944.56687983964"/>
    <n v="-2075000.0000000002"/>
    <n v="-2075000.0000000002"/>
    <s v="Private Equity Fund"/>
    <n v="0"/>
    <n v="0"/>
    <n v="0"/>
    <n v="0"/>
    <m/>
    <m/>
    <m/>
    <m/>
    <m/>
    <m/>
    <m/>
    <m/>
    <m/>
    <m/>
    <m/>
    <d v="2015-07-31T00:00:00"/>
    <n v="-3.9170169981643688E-2"/>
    <x v="1"/>
    <n v="0"/>
    <x v="158"/>
  </r>
  <r>
    <d v="2015-08-31T00:00:00"/>
    <x v="10"/>
    <s v="Series 2"/>
    <n v="21425847.437100001"/>
    <n v="5843779.251962930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2.9806535306748261E-2"/>
    <x v="1"/>
    <n v="0"/>
    <x v="159"/>
  </r>
  <r>
    <d v="2015-09-30T00:00:00"/>
    <x v="10"/>
    <s v="Series 2"/>
    <n v="21260417.132599998"/>
    <n v="5798659.067852543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7.7210623750428864E-3"/>
    <x v="1"/>
    <n v="0"/>
    <x v="160"/>
  </r>
  <r>
    <d v="2015-10-30T00:00:00"/>
    <x v="10"/>
    <s v="Series 2"/>
    <n v="21073536.754999999"/>
    <n v="5747688.497077038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8.7900616640980145E-3"/>
    <x v="1"/>
    <n v="0"/>
    <x v="161"/>
  </r>
  <r>
    <d v="2015-11-30T00:00:00"/>
    <x v="10"/>
    <s v="Series 2"/>
    <n v="18666487.9903"/>
    <n v="5091179.4991990654"/>
    <n v="166"/>
    <n v="0"/>
    <n v="0"/>
    <n v="-2407000"/>
    <m/>
    <n v="3.6664368233798426"/>
    <n v="-2407000"/>
    <n v="-656495.69758061389"/>
    <n v="-2407000"/>
    <n v="-2407000"/>
    <s v="Private Equity Fund"/>
    <n v="0"/>
    <n v="0"/>
    <n v="0"/>
    <n v="0"/>
    <m/>
    <m/>
    <m/>
    <m/>
    <m/>
    <m/>
    <m/>
    <m/>
    <m/>
    <m/>
    <m/>
    <d v="2015-11-30T00:00:00"/>
    <n v="-2.314025432270661E-6"/>
    <x v="1"/>
    <n v="0"/>
    <x v="162"/>
  </r>
  <r>
    <d v="2015-12-31T00:00:00"/>
    <x v="10"/>
    <s v="Series 2"/>
    <n v="14615185.301000001"/>
    <n v="3986209.5012255632"/>
    <n v="166"/>
    <n v="0"/>
    <n v="0"/>
    <n v="-3320000"/>
    <m/>
    <n v="3.6664368233798426"/>
    <n v="-3320000"/>
    <n v="-905511.30700774339"/>
    <n v="-3320000"/>
    <n v="-3320000"/>
    <s v="Private Equity Fund"/>
    <n v="0"/>
    <n v="0"/>
    <n v="0"/>
    <n v="0"/>
    <m/>
    <m/>
    <m/>
    <m/>
    <m/>
    <m/>
    <m/>
    <m/>
    <m/>
    <m/>
    <m/>
    <d v="2015-12-31T00:00:00"/>
    <n v="-3.9177304787061162E-2"/>
    <x v="1"/>
    <n v="0"/>
    <x v="163"/>
  </r>
  <r>
    <d v="2016-01-29T00:00:00"/>
    <x v="10"/>
    <s v="Series 2"/>
    <n v="14147926.432700001"/>
    <n v="3858767.275760113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1970779615639211E-2"/>
    <x v="1"/>
    <n v="0"/>
    <x v="164"/>
  </r>
  <r>
    <d v="2016-02-29T00:00:00"/>
    <x v="10"/>
    <s v="Series 2"/>
    <n v="14532908.953199999"/>
    <n v="3963769.090613454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2.7211232849655653E-2"/>
    <x v="1"/>
    <n v="0"/>
    <x v="165"/>
  </r>
  <r>
    <d v="2016-03-31T00:00:00"/>
    <x v="10"/>
    <s v="Series 2"/>
    <n v="14492167.5286"/>
    <n v="3952657.096445109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-2.8033908924357531E-3"/>
    <x v="1"/>
    <n v="0"/>
    <x v="166"/>
  </r>
  <r>
    <d v="2016-04-29T00:00:00"/>
    <x v="10"/>
    <s v="Series 2"/>
    <n v="15131296.208799999"/>
    <n v="4126975.845407168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4.4101662428252419E-2"/>
    <x v="1"/>
    <n v="0"/>
    <x v="167"/>
  </r>
  <r>
    <d v="2016-05-31T00:00:00"/>
    <x v="10"/>
    <s v="Series 2"/>
    <n v="15375532.3751"/>
    <n v="4193589.884613455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6141126505603509E-2"/>
    <x v="1"/>
    <n v="0"/>
    <x v="168"/>
  </r>
  <r>
    <d v="2016-06-30T00:00:00"/>
    <x v="10"/>
    <s v="Series 2"/>
    <n v="15883809.908199999"/>
    <n v="4332219.719950821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3057556688127043E-2"/>
    <x v="1"/>
    <n v="0"/>
    <x v="169"/>
  </r>
  <r>
    <d v="2016-07-29T00:00:00"/>
    <x v="10"/>
    <s v="Series 2"/>
    <n v="17511862.707400002"/>
    <n v="4776261.954312630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0.10249762548212837"/>
    <x v="1"/>
    <n v="0"/>
    <x v="170"/>
  </r>
  <r>
    <d v="2016-08-31T00:00:00"/>
    <x v="10"/>
    <s v="Series 2"/>
    <n v="18323958.088100001"/>
    <n v="4997756.396961007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4.6374014818928E-2"/>
    <x v="1"/>
    <n v="0"/>
    <x v="171"/>
  </r>
  <r>
    <d v="2016-09-30T00:00:00"/>
    <x v="10"/>
    <s v="Series 2"/>
    <n v="19641859.5502"/>
    <n v="5357206.600410882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7.1922313714299246E-2"/>
    <x v="1"/>
    <n v="0"/>
    <x v="172"/>
  </r>
  <r>
    <d v="2016-10-31T00:00:00"/>
    <x v="10"/>
    <s v="Series 2"/>
    <n v="21261530.336100001"/>
    <n v="5798962.687839366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8.246015514775995E-2"/>
    <x v="1"/>
    <n v="0"/>
    <x v="173"/>
  </r>
  <r>
    <d v="2016-11-30T00:00:00"/>
    <x v="10"/>
    <s v="Series 2"/>
    <n v="17312951.462000001"/>
    <n v="4722010.0320835067"/>
    <n v="166"/>
    <n v="0"/>
    <n v="0"/>
    <n v="-2490000"/>
    <m/>
    <n v="3.6664368233798426"/>
    <n v="-2490000"/>
    <n v="-679133.48025580752"/>
    <n v="-2490000"/>
    <n v="-2490000"/>
    <s v="Private Equity Fund"/>
    <n v="0"/>
    <n v="0"/>
    <n v="0"/>
    <n v="0"/>
    <m/>
    <m/>
    <m/>
    <m/>
    <m/>
    <m/>
    <m/>
    <m/>
    <m/>
    <m/>
    <m/>
    <d v="2016-11-30T00:00:00"/>
    <n v="-6.8601782235001019E-2"/>
    <x v="1"/>
    <n v="0"/>
    <x v="174"/>
  </r>
  <r>
    <d v="2016-12-30T00:00:00"/>
    <x v="10"/>
    <s v="Series 2"/>
    <n v="13494317.740700001"/>
    <n v="3680499.1851081434"/>
    <n v="166"/>
    <n v="0"/>
    <n v="0"/>
    <n v="-3984000"/>
    <m/>
    <n v="3.6664368233798426"/>
    <n v="-3984000"/>
    <n v="-1086613.568409292"/>
    <n v="-3984000"/>
    <n v="-3984000"/>
    <s v="Private Equity Fund"/>
    <n v="0"/>
    <n v="0"/>
    <n v="0"/>
    <n v="0"/>
    <m/>
    <m/>
    <m/>
    <m/>
    <m/>
    <m/>
    <m/>
    <m/>
    <m/>
    <m/>
    <m/>
    <d v="2016-12-30T00:00:00"/>
    <n v="9.551593733914121E-3"/>
    <x v="1"/>
    <n v="0"/>
    <x v="175"/>
  </r>
  <r>
    <d v="2017-01-27T00:00:00"/>
    <x v="10"/>
    <s v="Series 2"/>
    <n v="13711362.126399999"/>
    <n v="3739696.819256908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6084131845019112E-2"/>
    <x v="1"/>
    <n v="0"/>
    <x v="176"/>
  </r>
  <r>
    <d v="2017-02-28T00:00:00"/>
    <x v="10"/>
    <s v="Series 2"/>
    <n v="13889828.339500001"/>
    <n v="3788372.474040313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3015936086786084E-2"/>
    <x v="1"/>
    <n v="0"/>
    <x v="177"/>
  </r>
  <r>
    <d v="2017-03-31T00:00:00"/>
    <x v="10"/>
    <s v="Series 2"/>
    <n v="11326239.392999999"/>
    <n v="3089168.0229632589"/>
    <n v="166"/>
    <n v="0"/>
    <n v="0"/>
    <n v="-2490000"/>
    <m/>
    <n v="3.6664368233798426"/>
    <n v="-2490000"/>
    <n v="-679133.48025580752"/>
    <n v="-2490000"/>
    <n v="-2490000"/>
    <s v="Private Equity Fund"/>
    <n v="0"/>
    <n v="0"/>
    <n v="0"/>
    <n v="0"/>
    <m/>
    <m/>
    <m/>
    <m/>
    <m/>
    <m/>
    <m/>
    <m/>
    <m/>
    <m/>
    <m/>
    <d v="2017-03-31T00:00:00"/>
    <n v="-5.2980457858308183E-3"/>
    <x v="1"/>
    <n v="0"/>
    <x v="178"/>
  </r>
  <r>
    <d v="2017-04-28T00:00:00"/>
    <x v="10"/>
    <s v="Series 2"/>
    <n v="11323798.039999999"/>
    <n v="3088502.157678349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2.1554841949644743E-4"/>
    <x v="1"/>
    <n v="0"/>
    <x v="179"/>
  </r>
  <r>
    <d v="2017-05-31T00:00:00"/>
    <x v="10"/>
    <s v="Series 2"/>
    <n v="11131427.014699999"/>
    <n v="3036034.043657319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1.6988207015037893E-2"/>
    <x v="1"/>
    <n v="0"/>
    <x v="180"/>
  </r>
  <r>
    <d v="2017-06-30T00:00:00"/>
    <x v="10"/>
    <s v="Series 2"/>
    <n v="11136392.9254"/>
    <n v="3037388.467840584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4.4611627003821042E-4"/>
    <x v="1"/>
    <n v="0"/>
    <x v="181"/>
  </r>
  <r>
    <d v="2017-07-31T00:00:00"/>
    <x v="10"/>
    <s v="Series 2"/>
    <n v="7401068.1880000001"/>
    <n v="2018599.6771594312"/>
    <n v="166"/>
    <n v="0"/>
    <n v="0"/>
    <n v="-3486000"/>
    <m/>
    <n v="3.6664368233798426"/>
    <n v="-3486000"/>
    <n v="-950786.87235813052"/>
    <n v="-3486000"/>
    <n v="-3486000"/>
    <s v="Private Equity Fund"/>
    <n v="0"/>
    <n v="0"/>
    <n v="0"/>
    <n v="0"/>
    <m/>
    <m/>
    <m/>
    <m/>
    <m/>
    <m/>
    <m/>
    <m/>
    <m/>
    <m/>
    <m/>
    <d v="2017-07-31T00:00:00"/>
    <n v="-2.2388284884537146E-2"/>
    <x v="1"/>
    <n v="0"/>
    <x v="182"/>
  </r>
  <r>
    <d v="2017-08-31T00:00:00"/>
    <x v="10"/>
    <s v="Series 2"/>
    <n v="7505600"/>
    <n v="2047110.140324493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4123881762025503E-2"/>
    <x v="1"/>
    <n v="0"/>
    <x v="183"/>
  </r>
  <r>
    <d v="2017-09-29T00:00:00"/>
    <x v="10"/>
    <s v="Series 2"/>
    <n v="7342700"/>
    <n v="2002680.082519806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1703794500106621E-2"/>
    <x v="1"/>
    <n v="0"/>
    <x v="184"/>
  </r>
  <r>
    <d v="2017-10-31T00:00:00"/>
    <x v="10"/>
    <s v="Series 2"/>
    <n v="11324900"/>
    <n v="3088802.711063853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0.54233456358015442"/>
    <x v="1"/>
    <n v="0"/>
    <x v="185"/>
  </r>
  <r>
    <d v="2017-11-30T00:00:00"/>
    <x v="10"/>
    <s v="Series 2"/>
    <n v="11286200"/>
    <n v="3078247.503961082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-3.4172487174279897E-3"/>
    <x v="1"/>
    <n v="0"/>
    <x v="186"/>
  </r>
  <r>
    <d v="2017-12-29T00:00:00"/>
    <x v="10"/>
    <s v="Series 2"/>
    <n v="6958600"/>
    <n v="1897918.9701638804"/>
    <n v="166"/>
    <n v="0"/>
    <n v="0"/>
    <n v="-4245335.18"/>
    <m/>
    <n v="3.6664368233798426"/>
    <n v="-4245335.18"/>
    <n v="-1157891.2673276365"/>
    <n v="-4245335.18"/>
    <n v="-4245335.18"/>
    <s v="Private Equity Fund"/>
    <n v="0"/>
    <n v="0"/>
    <n v="0"/>
    <n v="0"/>
    <m/>
    <m/>
    <m/>
    <m/>
    <m/>
    <m/>
    <m/>
    <m/>
    <m/>
    <m/>
    <m/>
    <d v="2017-12-29T00:00:00"/>
    <n v="-7.2889741454165158E-3"/>
    <x v="1"/>
    <n v="0"/>
    <x v="187"/>
  </r>
  <r>
    <d v="2018-01-31T00:00:00"/>
    <x v="10"/>
    <s v="Series 2"/>
    <n v="6879600"/>
    <n v="1876372.1649670093"/>
    <n v="166"/>
    <n v="0"/>
    <n v="0"/>
    <n v="0"/>
    <m/>
    <n v="3.6664368233798426"/>
    <n v="0"/>
    <n v="0"/>
    <n v="0"/>
    <n v="0"/>
    <s v="Private Equity Fund"/>
    <n v="0"/>
    <n v="1.214"/>
    <m/>
    <n v="0.06"/>
    <m/>
    <m/>
    <m/>
    <m/>
    <m/>
    <m/>
    <m/>
    <m/>
    <m/>
    <m/>
    <m/>
    <d v="2018-01-31T00:00:00"/>
    <n v="-1.1352858333572802E-2"/>
    <x v="1"/>
    <n v="0"/>
    <x v="188"/>
  </r>
  <r>
    <d v="2018-02-28T00:00:00"/>
    <x v="10"/>
    <s v="Series 2"/>
    <n v="6999000"/>
    <n v="1908937.8426949384"/>
    <n v="166"/>
    <n v="0"/>
    <n v="0"/>
    <n v="0"/>
    <m/>
    <n v="3.6664368233798426"/>
    <n v="0"/>
    <n v="0"/>
    <n v="0"/>
    <n v="0"/>
    <s v="Private Equity Fund"/>
    <n v="0"/>
    <n v="1.2351000000000001"/>
    <m/>
    <n v="0.06"/>
    <m/>
    <m/>
    <m/>
    <m/>
    <m/>
    <m/>
    <m/>
    <m/>
    <m/>
    <m/>
    <m/>
    <d v="2018-02-28T00:00:00"/>
    <n v="1.7355660212803103E-2"/>
    <x v="1"/>
    <n v="0"/>
    <x v="189"/>
  </r>
  <r>
    <d v="2018-03-29T00:00:00"/>
    <x v="10"/>
    <s v="Series 2"/>
    <n v="3873139.8689999999"/>
    <n v="1056377.0918680693"/>
    <n v="166"/>
    <n v="0"/>
    <n v="0"/>
    <n v="-3111302.82"/>
    <m/>
    <n v="3.6664368233798426"/>
    <n v="-3111302.82"/>
    <n v="-848590.32621538476"/>
    <n v="-3111302.82"/>
    <n v="-3111302.82"/>
    <s v="Private Equity Fund"/>
    <n v="0"/>
    <n v="0.6835"/>
    <m/>
    <n v="0.03"/>
    <m/>
    <m/>
    <m/>
    <m/>
    <m/>
    <m/>
    <m/>
    <m/>
    <m/>
    <m/>
    <m/>
    <d v="2018-03-29T00:00:00"/>
    <n v="-2.0799129875697098E-3"/>
    <x v="1"/>
    <n v="0"/>
    <x v="190"/>
  </r>
  <r>
    <d v="2018-04-30T00:00:00"/>
    <x v="10"/>
    <s v="Series 2"/>
    <n v="3906216.8964999998"/>
    <n v="1065398.6648811584"/>
    <n v="166"/>
    <n v="0"/>
    <n v="0"/>
    <m/>
    <m/>
    <n v="3.6664368233798426"/>
    <n v="0"/>
    <n v="0"/>
    <n v="0"/>
    <n v="0"/>
    <s v="Private Equity Fund"/>
    <n v="0"/>
    <n v="0.68930000000000002"/>
    <m/>
    <n v="0.03"/>
    <m/>
    <m/>
    <m/>
    <m/>
    <m/>
    <m/>
    <m/>
    <m/>
    <m/>
    <m/>
    <m/>
    <d v="2018-04-30T00:00:00"/>
    <n v="8.5401066366703748E-3"/>
    <x v="1"/>
    <n v="0"/>
    <x v="191"/>
  </r>
  <r>
    <d v="2018-05-31T00:00:00"/>
    <x v="10"/>
    <s v="Series 2"/>
    <n v="3054371.7335000001"/>
    <n v="833062.69291840121"/>
    <n v="166"/>
    <n v="0"/>
    <n v="0"/>
    <m/>
    <m/>
    <n v="3.6664368233798426"/>
    <n v="0"/>
    <n v="0"/>
    <n v="0"/>
    <n v="0"/>
    <s v="Private Equity Fund"/>
    <n v="0"/>
    <n v="0.53900000000000003"/>
    <m/>
    <n v="0.03"/>
    <m/>
    <m/>
    <m/>
    <m/>
    <m/>
    <m/>
    <m/>
    <m/>
    <m/>
    <m/>
    <m/>
    <d v="2018-05-31T00:00:00"/>
    <n v="-0.21807420979701853"/>
    <x v="1"/>
    <n v="0"/>
    <x v="192"/>
  </r>
  <r>
    <d v="2018-06-29T00:00:00"/>
    <x v="10"/>
    <s v="Series 2"/>
    <n v="3047941.5855"/>
    <n v="831308.90625583089"/>
    <n v="166"/>
    <n v="0"/>
    <n v="0"/>
    <m/>
    <m/>
    <n v="3.6664368233798426"/>
    <n v="0"/>
    <n v="0"/>
    <n v="0"/>
    <n v="0"/>
    <s v="Private Equity Fund"/>
    <n v="0"/>
    <n v="0.53790000000000004"/>
    <m/>
    <n v="0.03"/>
    <m/>
    <m/>
    <m/>
    <m/>
    <m/>
    <m/>
    <m/>
    <m/>
    <m/>
    <m/>
    <m/>
    <d v="2018-06-29T00:00:00"/>
    <n v="-2.1052277067243885E-3"/>
    <x v="1"/>
    <n v="0"/>
    <x v="193"/>
  </r>
  <r>
    <d v="2018-07-31T00:00:00"/>
    <x v="10"/>
    <s v="Series 2"/>
    <n v="3061488.2625000002"/>
    <n v="835003.68613410858"/>
    <n v="166"/>
    <n v="0"/>
    <n v="0"/>
    <m/>
    <m/>
    <n v="3.6664368233798426"/>
    <n v="0"/>
    <n v="0"/>
    <n v="0"/>
    <n v="0"/>
    <s v="Private Equity Fund"/>
    <n v="0"/>
    <n v="0.5403"/>
    <m/>
    <n v="0.03"/>
    <m/>
    <m/>
    <m/>
    <m/>
    <m/>
    <m/>
    <m/>
    <m/>
    <m/>
    <m/>
    <m/>
    <d v="2018-07-31T00:00:00"/>
    <n v="4.4445330135085559E-3"/>
    <x v="1"/>
    <n v="0"/>
    <x v="194"/>
  </r>
  <r>
    <d v="2018-08-31T00:00:00"/>
    <x v="10"/>
    <s v="Series 2"/>
    <n v="3049931.92"/>
    <n v="831851.75878428796"/>
    <n v="166"/>
    <n v="0"/>
    <n v="0"/>
    <m/>
    <m/>
    <n v="3.6664368233798426"/>
    <n v="0"/>
    <n v="0"/>
    <n v="0"/>
    <n v="0"/>
    <s v="Private Equity Fund"/>
    <n v="0"/>
    <n v="0.53820000000000001"/>
    <m/>
    <n v="0.03"/>
    <m/>
    <m/>
    <m/>
    <m/>
    <m/>
    <m/>
    <m/>
    <m/>
    <m/>
    <m/>
    <m/>
    <d v="2018-08-31T00:00:00"/>
    <n v="-3.7747466294589804E-3"/>
    <x v="1"/>
    <n v="0"/>
    <x v="195"/>
  </r>
  <r>
    <d v="2018-09-28T00:00:00"/>
    <x v="10"/>
    <s v="Series 2"/>
    <n v="3058580.4915"/>
    <m/>
    <n v="166"/>
    <m/>
    <n v="0"/>
    <n v="0"/>
    <m/>
    <n v="0"/>
    <n v="0"/>
    <e v="#DIV/0!"/>
    <n v="0"/>
    <n v="0"/>
    <s v="Private Equity Fund"/>
    <n v="0"/>
    <n v="0.53969999999999996"/>
    <m/>
    <n v="0.03"/>
    <m/>
    <m/>
    <m/>
    <m/>
    <m/>
    <m/>
    <m/>
    <m/>
    <m/>
    <m/>
    <m/>
    <d v="2018-09-28T00:00:00"/>
    <n v="2.835660508776261E-3"/>
    <x v="1"/>
    <n v="0"/>
    <x v="196"/>
  </r>
  <r>
    <d v="2018-10-31T00:00:00"/>
    <x v="10"/>
    <s v="Series 2"/>
    <n v="2141580.0065000001"/>
    <m/>
    <n v="166"/>
    <m/>
    <n v="0"/>
    <n v="916692.1399999999"/>
    <n v="0"/>
    <m/>
    <n v="916692.1399999999"/>
    <e v="#DIV/0!"/>
    <n v="-1224887.8665000002"/>
    <n v="-1224887.8665000002"/>
    <s v="Private Equity Fund"/>
    <n v="0"/>
    <n v="0.37790000000000001"/>
    <m/>
    <n v="0.02"/>
    <m/>
    <m/>
    <m/>
    <m/>
    <m/>
    <m/>
    <m/>
    <m/>
    <m/>
    <m/>
    <m/>
    <d v="2018-10-31T00:00:00"/>
    <n v="-0.59952407010243947"/>
    <x v="1"/>
    <n v="0"/>
    <x v="197"/>
  </r>
  <r>
    <d v="2011-03-31T00:00:00"/>
    <x v="10"/>
    <s v="Series 3"/>
    <n v="698494.09991152771"/>
    <n v="696991.43944459327"/>
    <n v="2.5"/>
    <n v="700000"/>
    <n v="0"/>
    <n v="0"/>
    <m/>
    <n v="1.0021559238491249"/>
    <n v="700000"/>
    <n v="696991.43944459327"/>
    <n v="700000"/>
    <n v="700000"/>
    <s v="Private Equity Fund"/>
    <n v="0"/>
    <n v="0"/>
    <n v="0"/>
    <n v="0"/>
    <m/>
    <m/>
    <m/>
    <m/>
    <m/>
    <m/>
    <m/>
    <m/>
    <m/>
    <m/>
    <m/>
    <d v="2011-03-31T00:00:00"/>
    <n v="-2.1512858406746993E-3"/>
    <x v="1"/>
    <n v="0"/>
    <x v="119"/>
  </r>
  <r>
    <d v="2011-04-29T00:00:00"/>
    <x v="10"/>
    <s v="Series 3"/>
    <n v="885716.25064541516"/>
    <n v="702721.44632387103"/>
    <n v="2.5"/>
    <n v="180000"/>
    <n v="0"/>
    <n v="0"/>
    <m/>
    <n v="1.2604087370306403"/>
    <n v="180000"/>
    <n v="0"/>
    <n v="180000"/>
    <n v="180000"/>
    <s v="Private Equity Fund"/>
    <n v="0"/>
    <n v="0"/>
    <n v="0"/>
    <n v="0"/>
    <m/>
    <m/>
    <m/>
    <m/>
    <m/>
    <m/>
    <m/>
    <m/>
    <m/>
    <m/>
    <m/>
    <d v="2011-04-29T00:00:00"/>
    <n v="1.0339601629852258E-2"/>
    <x v="1"/>
    <n v="0"/>
    <x v="120"/>
  </r>
  <r>
    <d v="2011-05-31T00:00:00"/>
    <x v="10"/>
    <s v="Series 3"/>
    <n v="1166764.3727162105"/>
    <n v="703353.27920524799"/>
    <n v="2.5"/>
    <n v="280000"/>
    <n v="0"/>
    <n v="0"/>
    <m/>
    <n v="1.6588596473661039"/>
    <n v="280000"/>
    <n v="0"/>
    <n v="280000"/>
    <n v="280000"/>
    <s v="Private Equity Fund"/>
    <n v="0"/>
    <n v="0"/>
    <n v="0"/>
    <n v="0"/>
    <m/>
    <m/>
    <m/>
    <m/>
    <m/>
    <m/>
    <m/>
    <m/>
    <m/>
    <m/>
    <m/>
    <d v="2011-05-31T00:00:00"/>
    <n v="1.1833610030658193E-3"/>
    <x v="1"/>
    <n v="0"/>
    <x v="121"/>
  </r>
  <r>
    <d v="2011-06-30T00:00:00"/>
    <x v="10"/>
    <s v="Series 3"/>
    <n v="885716.25064541516"/>
    <n v="533930.79520122963"/>
    <n v="2.5"/>
    <n v="0"/>
    <n v="-1.1641532182693481E-10"/>
    <n v="0"/>
    <m/>
    <n v="1.6588596473661039"/>
    <n v="-1.1641532182693481E-10"/>
    <n v="0"/>
    <n v="-1.1641532182693481E-10"/>
    <n v="-1.1641532182693481E-10"/>
    <s v="Private Equity Fund"/>
    <n v="0"/>
    <n v="0"/>
    <n v="0"/>
    <n v="0"/>
    <m/>
    <m/>
    <m/>
    <m/>
    <m/>
    <m/>
    <m/>
    <m/>
    <m/>
    <m/>
    <m/>
    <d v="2011-06-30T00:00:00"/>
    <n v="-0.24087821726722702"/>
    <x v="1"/>
    <n v="0"/>
    <x v="122"/>
  </r>
  <r>
    <d v="2011-07-29T00:00:00"/>
    <x v="10"/>
    <s v="Series 3"/>
    <n v="1391806.9162973689"/>
    <n v="672335.5098891448"/>
    <n v="2.5"/>
    <n v="219578"/>
    <n v="0"/>
    <n v="0"/>
    <m/>
    <n v="2.0701077004349377"/>
    <n v="219578"/>
    <n v="0"/>
    <n v="219578"/>
    <n v="219578"/>
    <s v="Private Equity Fund"/>
    <n v="0"/>
    <n v="0"/>
    <n v="0"/>
    <n v="0"/>
    <m/>
    <m/>
    <m/>
    <m/>
    <m/>
    <m/>
    <m/>
    <m/>
    <m/>
    <m/>
    <m/>
    <d v="2011-07-29T00:00:00"/>
    <n v="0.32348132423129194"/>
    <x v="1"/>
    <n v="0"/>
    <x v="123"/>
  </r>
  <r>
    <d v="2011-08-31T00:00:00"/>
    <x v="10"/>
    <s v="Series 3"/>
    <n v="1434720.3104248999"/>
    <n v="658750.84022477246"/>
    <n v="2.5"/>
    <n v="72500"/>
    <n v="0"/>
    <n v="0"/>
    <m/>
    <n v="2.1779407673094715"/>
    <n v="72500"/>
    <n v="0"/>
    <n v="72500"/>
    <n v="72500"/>
    <s v="Private Equity Fund"/>
    <n v="0"/>
    <n v="0"/>
    <n v="0"/>
    <n v="0"/>
    <m/>
    <m/>
    <m/>
    <m/>
    <m/>
    <m/>
    <m/>
    <m/>
    <m/>
    <m/>
    <m/>
    <d v="2011-08-31T00:00:00"/>
    <n v="-2.1257694243378533E-2"/>
    <x v="1"/>
    <n v="0"/>
    <x v="124"/>
  </r>
  <r>
    <d v="2011-09-30T00:00:00"/>
    <x v="10"/>
    <s v="Series 3"/>
    <n v="1531054.6660233366"/>
    <n v="648723.46550698159"/>
    <n v="2.5"/>
    <n v="120000"/>
    <n v="0"/>
    <n v="0"/>
    <m/>
    <n v="2.3601037228194102"/>
    <n v="120000"/>
    <n v="0"/>
    <n v="120000"/>
    <n v="120000"/>
    <s v="Private Equity Fund"/>
    <n v="0"/>
    <n v="0"/>
    <n v="0"/>
    <n v="0"/>
    <m/>
    <m/>
    <m/>
    <m/>
    <m/>
    <m/>
    <m/>
    <m/>
    <m/>
    <m/>
    <m/>
    <d v="2011-09-30T00:00:00"/>
    <n v="-1.6494953218132546E-2"/>
    <x v="1"/>
    <n v="0"/>
    <x v="125"/>
  </r>
  <r>
    <d v="2011-10-31T00:00:00"/>
    <x v="10"/>
    <s v="Series 3"/>
    <n v="1511874.1302845422"/>
    <n v="640596.47703891504"/>
    <n v="2.5"/>
    <n v="0"/>
    <n v="0"/>
    <n v="0"/>
    <m/>
    <n v="2.3601037228194102"/>
    <n v="0"/>
    <n v="0"/>
    <n v="0"/>
    <n v="0"/>
    <s v="Private Equity Fund"/>
    <n v="0"/>
    <n v="0"/>
    <n v="0"/>
    <n v="0"/>
    <m/>
    <m/>
    <m/>
    <m/>
    <m/>
    <m/>
    <m/>
    <m/>
    <m/>
    <m/>
    <m/>
    <d v="2011-10-31T00:00:00"/>
    <n v="-1.2527662247758031E-2"/>
    <x v="1"/>
    <n v="0"/>
    <x v="126"/>
  </r>
  <r>
    <d v="2011-11-30T00:00:00"/>
    <x v="10"/>
    <s v="Series 3"/>
    <n v="1678523.2737329511"/>
    <n v="651917.64320667309"/>
    <n v="2.5"/>
    <n v="137500"/>
    <n v="0"/>
    <n v="0"/>
    <m/>
    <n v="2.5747474258812475"/>
    <n v="137500"/>
    <n v="0"/>
    <n v="137500"/>
    <n v="137500"/>
    <s v="Private Equity Fund"/>
    <n v="0"/>
    <n v="0"/>
    <n v="0"/>
    <n v="0"/>
    <m/>
    <m/>
    <m/>
    <m/>
    <m/>
    <m/>
    <m/>
    <m/>
    <m/>
    <m/>
    <m/>
    <d v="2011-11-30T00:00:00"/>
    <n v="1.9280139043666988E-2"/>
    <x v="1"/>
    <n v="0"/>
    <x v="127"/>
  </r>
  <r>
    <d v="2011-12-30T00:00:00"/>
    <x v="10"/>
    <s v="Series 3"/>
    <n v="2358030.7045429787"/>
    <n v="660178.85105791281"/>
    <n v="2.5"/>
    <n v="650000"/>
    <n v="0"/>
    <n v="0"/>
    <m/>
    <n v="3.5718058837606192"/>
    <n v="650000"/>
    <n v="0"/>
    <n v="650000"/>
    <n v="650000"/>
    <s v="Private Equity Fund"/>
    <n v="0"/>
    <n v="0"/>
    <n v="0"/>
    <n v="0"/>
    <m/>
    <m/>
    <m/>
    <m/>
    <m/>
    <m/>
    <m/>
    <m/>
    <m/>
    <m/>
    <m/>
    <d v="2011-12-30T00:00:00"/>
    <n v="1.757939926826535E-2"/>
    <x v="1"/>
    <n v="0"/>
    <x v="128"/>
  </r>
  <r>
    <d v="2012-01-31T00:00:00"/>
    <x v="10"/>
    <s v="Series 3"/>
    <n v="2348572.4309151429"/>
    <n v="657530.81420046824"/>
    <n v="2.5"/>
    <n v="0"/>
    <n v="0"/>
    <n v="0"/>
    <m/>
    <n v="3.5718058837606192"/>
    <n v="0"/>
    <n v="0"/>
    <n v="0"/>
    <n v="0"/>
    <s v="Private Equity Fund"/>
    <n v="0"/>
    <n v="0"/>
    <n v="0"/>
    <n v="0"/>
    <m/>
    <m/>
    <m/>
    <m/>
    <m/>
    <m/>
    <m/>
    <m/>
    <m/>
    <m/>
    <m/>
    <d v="2012-01-31T00:00:00"/>
    <n v="-4.0110901056603643E-3"/>
    <x v="1"/>
    <n v="0"/>
    <x v="129"/>
  </r>
  <r>
    <d v="2012-02-29T00:00:00"/>
    <x v="10"/>
    <s v="Series 3"/>
    <n v="2515481.670588511"/>
    <n v="664528.08830121788"/>
    <n v="2.5"/>
    <n v="140422"/>
    <n v="0"/>
    <n v="0"/>
    <m/>
    <n v="3.7853654568898993"/>
    <n v="140422"/>
    <n v="0"/>
    <n v="140422"/>
    <n v="140422"/>
    <s v="Private Equity Fund"/>
    <n v="0"/>
    <n v="0"/>
    <n v="0"/>
    <n v="0"/>
    <m/>
    <m/>
    <m/>
    <m/>
    <m/>
    <m/>
    <m/>
    <m/>
    <m/>
    <m/>
    <m/>
    <d v="2012-02-29T00:00:00"/>
    <n v="1.1278016945403424E-2"/>
    <x v="1"/>
    <n v="0"/>
    <x v="130"/>
  </r>
  <r>
    <d v="2012-03-30T00:00:00"/>
    <x v="10"/>
    <s v="Series 3"/>
    <n v="2564402.1641417602"/>
    <n v="677451.67364862654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3-30T00:00:00"/>
    <n v="1.9447763871721646E-2"/>
    <x v="1"/>
    <n v="0"/>
    <x v="131"/>
  </r>
  <r>
    <d v="2012-04-30T00:00:00"/>
    <x v="10"/>
    <s v="Series 3"/>
    <n v="2622754.3313792697"/>
    <n v="692866.8740835806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4-30T00:00:00"/>
    <n v="2.2754686473694496E-2"/>
    <x v="1"/>
    <n v="0"/>
    <x v="132"/>
  </r>
  <r>
    <d v="2012-05-31T00:00:00"/>
    <x v="10"/>
    <s v="Series 3"/>
    <n v="2630903.9288705401"/>
    <n v="695019.7963269104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5-31T00:00:00"/>
    <n v="3.1072668125133873E-3"/>
    <x v="1"/>
    <n v="0"/>
    <x v="133"/>
  </r>
  <r>
    <d v="2012-06-29T00:00:00"/>
    <x v="10"/>
    <s v="Series 3"/>
    <n v="1976938.7068198901"/>
    <n v="522258.3471356993"/>
    <n v="2.5"/>
    <n v="0"/>
    <n v="0"/>
    <n v="-635582.14999999991"/>
    <m/>
    <n v="3.7853654568898993"/>
    <n v="-635582.14999999991"/>
    <n v="-167905.0958852997"/>
    <n v="-635582.14999999991"/>
    <n v="-635582.14999999991"/>
    <s v="Private Equity Fund"/>
    <n v="0"/>
    <n v="0"/>
    <n v="0"/>
    <n v="0"/>
    <m/>
    <m/>
    <m/>
    <m/>
    <m/>
    <m/>
    <m/>
    <m/>
    <m/>
    <m/>
    <m/>
    <d v="2012-06-29T00:00:00"/>
    <n v="-6.9873596861220744E-3"/>
    <x v="1"/>
    <n v="0"/>
    <x v="134"/>
  </r>
  <r>
    <d v="2012-07-31T00:00:00"/>
    <x v="10"/>
    <s v="Series 3"/>
    <n v="2001656.2666096399"/>
    <n v="528788.1155480888"/>
    <n v="2.5"/>
    <n v="0"/>
    <n v="-2.3283064365386963E-10"/>
    <n v="0"/>
    <m/>
    <n v="3.7853654568898993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  <m/>
    <m/>
    <m/>
    <d v="2012-07-31T00:00:00"/>
    <n v="1.2502946957577032E-2"/>
    <x v="1"/>
    <n v="0"/>
    <x v="135"/>
  </r>
  <r>
    <d v="2012-08-31T00:00:00"/>
    <x v="10"/>
    <s v="Series 3"/>
    <n v="2003493.0580000002"/>
    <n v="529273.3504378976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9.1763577043701972E-4"/>
    <x v="1"/>
    <n v="0"/>
    <x v="136"/>
  </r>
  <r>
    <d v="2012-09-28T00:00:00"/>
    <x v="10"/>
    <s v="Series 3"/>
    <n v="1978060.466"/>
    <n v="522554.6881872794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09-28T00:00:00"/>
    <n v="-1.2694125341960683E-2"/>
    <x v="1"/>
    <n v="0"/>
    <x v="137"/>
  </r>
  <r>
    <d v="2012-10-31T00:00:00"/>
    <x v="10"/>
    <s v="Series 3"/>
    <n v="1722936.112"/>
    <n v="455157.13915125764"/>
    <n v="2.5"/>
    <n v="0"/>
    <n v="0"/>
    <n v="-274599.81"/>
    <m/>
    <n v="3.7853654568898993"/>
    <n v="-274599.81"/>
    <n v="-72542.48318354298"/>
    <n v="-274599.81"/>
    <n v="-274599.81"/>
    <s v="Private Equity Fund"/>
    <n v="0"/>
    <n v="0"/>
    <n v="0"/>
    <n v="0"/>
    <m/>
    <m/>
    <m/>
    <m/>
    <m/>
    <m/>
    <m/>
    <m/>
    <m/>
    <m/>
    <m/>
    <d v="2012-10-31T00:00:00"/>
    <n v="9.8457334013570819E-3"/>
    <x v="1"/>
    <n v="0"/>
    <x v="138"/>
  </r>
  <r>
    <d v="2012-11-30T00:00:00"/>
    <x v="10"/>
    <s v="Series 3"/>
    <n v="1727626.872"/>
    <n v="456396.3220131031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11-30T00:00:00"/>
    <n v="2.7225385592242191E-3"/>
    <x v="1"/>
    <n v="0"/>
    <x v="139"/>
  </r>
  <r>
    <d v="2012-12-31T00:00:00"/>
    <x v="10"/>
    <s v="Series 3"/>
    <n v="1760145.44"/>
    <n v="464986.9239960138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2-12-31T00:00:00"/>
    <n v="1.8822680132518865E-2"/>
    <x v="1"/>
    <n v="0"/>
    <x v="140"/>
  </r>
  <r>
    <d v="2013-01-31T00:00:00"/>
    <x v="10"/>
    <s v="Series 3"/>
    <n v="1329563.5919999999"/>
    <n v="351237.84140313498"/>
    <n v="2.5"/>
    <n v="0"/>
    <n v="0"/>
    <n v="-498961.68"/>
    <m/>
    <n v="3.7853654568898993"/>
    <n v="-498961.68"/>
    <n v="-131813.34422857885"/>
    <n v="-498961.68"/>
    <n v="-498961.68"/>
    <s v="Private Equity Fund"/>
    <n v="0"/>
    <n v="0"/>
    <n v="0"/>
    <n v="0"/>
    <m/>
    <m/>
    <m/>
    <m/>
    <m/>
    <m/>
    <m/>
    <m/>
    <m/>
    <m/>
    <m/>
    <d v="2013-01-31T00:00:00"/>
    <n v="3.8848966935368656E-2"/>
    <x v="1"/>
    <n v="0"/>
    <x v="141"/>
  </r>
  <r>
    <d v="2013-02-28T00:00:00"/>
    <x v="10"/>
    <s v="Series 3"/>
    <n v="1312918.304"/>
    <n v="346840.5676948056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2-28T00:00:00"/>
    <n v="-1.2519362067489492E-2"/>
    <x v="1"/>
    <n v="0"/>
    <x v="142"/>
  </r>
  <r>
    <d v="2013-03-28T00:00:00"/>
    <x v="10"/>
    <s v="Series 3"/>
    <n v="1076928.1359999999"/>
    <n v="284497.79770664911"/>
    <n v="2.5"/>
    <n v="0"/>
    <n v="0"/>
    <n v="-184955.96"/>
    <m/>
    <n v="3.7853654568898993"/>
    <n v="-184955.96"/>
    <n v="-48860.793523477114"/>
    <n v="-184955.96"/>
    <n v="-184955.96"/>
    <s v="Private Equity Fund"/>
    <n v="0"/>
    <n v="0"/>
    <n v="0"/>
    <n v="0"/>
    <m/>
    <m/>
    <m/>
    <m/>
    <m/>
    <m/>
    <m/>
    <m/>
    <m/>
    <m/>
    <m/>
    <d v="2013-03-28T00:00:00"/>
    <n v="-3.8870817662086665E-2"/>
    <x v="1"/>
    <n v="0"/>
    <x v="143"/>
  </r>
  <r>
    <d v="2013-04-30T00:00:00"/>
    <x v="10"/>
    <s v="Series 3"/>
    <n v="1045449.552"/>
    <n v="276181.9337937725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4-30T00:00:00"/>
    <n v="-2.9229976400207969E-2"/>
    <x v="1"/>
    <n v="0"/>
    <x v="144"/>
  </r>
  <r>
    <d v="2013-05-31T00:00:00"/>
    <x v="10"/>
    <s v="Series 3"/>
    <n v="943323.60800000001"/>
    <n v="249202.78338859408"/>
    <n v="2.5"/>
    <n v="0"/>
    <n v="0"/>
    <n v="-113640.72"/>
    <m/>
    <n v="3.7853654568898993"/>
    <n v="-113640.72"/>
    <n v="-30021.069641547518"/>
    <n v="-113640.72"/>
    <n v="-113640.72"/>
    <s v="Private Equity Fund"/>
    <n v="0"/>
    <n v="0"/>
    <n v="0"/>
    <n v="0"/>
    <m/>
    <m/>
    <m/>
    <m/>
    <m/>
    <m/>
    <m/>
    <m/>
    <m/>
    <m/>
    <m/>
    <d v="2013-05-31T00:00:00"/>
    <n v="1.1014186172801477E-2"/>
    <x v="1"/>
    <n v="0"/>
    <x v="145"/>
  </r>
  <r>
    <d v="2013-06-28T00:00:00"/>
    <x v="10"/>
    <s v="Series 3"/>
    <n v="942222.12800000003"/>
    <n v="248911.7995952075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1.1676586811341094E-3"/>
    <x v="1"/>
    <n v="0"/>
    <x v="146"/>
  </r>
  <r>
    <d v="2013-07-31T00:00:00"/>
    <x v="10"/>
    <s v="Series 3"/>
    <n v="907211.67200000002"/>
    <n v="239662.9023886575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3.7157327300638365E-2"/>
    <x v="1"/>
    <n v="0"/>
    <x v="147"/>
  </r>
  <r>
    <d v="2013-08-30T00:00:00"/>
    <x v="10"/>
    <s v="Series 3"/>
    <n v="885131.28799999994"/>
    <n v="233829.8106432328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2.4338734477834301E-2"/>
    <x v="1"/>
    <n v="0"/>
    <x v="148"/>
  </r>
  <r>
    <d v="2013-09-30T00:00:00"/>
    <x v="10"/>
    <s v="Series 3"/>
    <n v="699704.20400000003"/>
    <n v="184844.5578025867"/>
    <n v="2.5"/>
    <n v="0"/>
    <n v="0"/>
    <n v="-196020.66"/>
    <m/>
    <n v="3.7853654568898993"/>
    <n v="-196020.66"/>
    <n v="-51783.813804084552"/>
    <n v="-196020.66"/>
    <n v="-196020.66"/>
    <s v="Private Equity Fund"/>
    <n v="0"/>
    <n v="0"/>
    <n v="0"/>
    <n v="0"/>
    <m/>
    <m/>
    <m/>
    <m/>
    <m/>
    <m/>
    <m/>
    <m/>
    <m/>
    <m/>
    <m/>
    <d v="2013-09-30T00:00:00"/>
    <n v="1.1968366889319793E-2"/>
    <x v="1"/>
    <n v="0"/>
    <x v="0"/>
  </r>
  <r>
    <d v="2013-10-31T00:00:00"/>
    <x v="10"/>
    <s v="Series 3"/>
    <n v="706908.06"/>
    <n v="186747.6385175248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10-31T00:00:00"/>
    <n v="1.0295573413476422E-2"/>
    <x v="1"/>
    <n v="0"/>
    <x v="1"/>
  </r>
  <r>
    <d v="2013-11-29T00:00:00"/>
    <x v="10"/>
    <s v="Series 3"/>
    <n v="691788.14"/>
    <n v="182753.3293359688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1388806912174707E-2"/>
    <x v="1"/>
    <n v="0"/>
    <x v="2"/>
  </r>
  <r>
    <d v="2013-12-31T00:00:00"/>
    <x v="10"/>
    <s v="Series 3"/>
    <n v="697822.54799999995"/>
    <n v="184347.470791720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8.72291334743025E-3"/>
    <x v="1"/>
    <n v="0"/>
    <x v="3"/>
  </r>
  <r>
    <d v="2014-01-30T00:00:00"/>
    <x v="10"/>
    <s v="Series 3"/>
    <n v="683053.26"/>
    <n v="180445.7899188430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2.1164819111004096E-2"/>
    <x v="1"/>
    <n v="0"/>
    <x v="4"/>
  </r>
  <r>
    <d v="2014-02-28T00:00:00"/>
    <x v="10"/>
    <s v="Series 3"/>
    <n v="662567.67599999998"/>
    <n v="175034.0049186091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2.9991195708516272E-2"/>
    <x v="1"/>
    <n v="0"/>
    <x v="5"/>
  </r>
  <r>
    <d v="2014-03-31T00:00:00"/>
    <x v="10"/>
    <s v="Series 3"/>
    <n v="530641.91599999997"/>
    <n v="140182.47961611126"/>
    <n v="2.5"/>
    <n v="0"/>
    <n v="0"/>
    <n v="-125000"/>
    <m/>
    <n v="3.7853654568898993"/>
    <n v="-125000"/>
    <n v="-33021.91067773453"/>
    <n v="-125000"/>
    <n v="-125000"/>
    <s v="Private Equity Fund"/>
    <n v="0"/>
    <n v="0"/>
    <n v="0"/>
    <n v="0"/>
    <m/>
    <m/>
    <m/>
    <m/>
    <m/>
    <m/>
    <m/>
    <m/>
    <m/>
    <m/>
    <m/>
    <d v="2014-03-31T00:00:00"/>
    <n v="-1.0452909568138935E-2"/>
    <x v="1"/>
    <n v="0"/>
    <x v="6"/>
  </r>
  <r>
    <d v="2014-04-30T00:00:00"/>
    <x v="10"/>
    <s v="Series 3"/>
    <n v="527186.46"/>
    <n v="139269.633541048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6.5118414053065843E-3"/>
    <x v="1"/>
    <n v="0"/>
    <x v="7"/>
  </r>
  <r>
    <d v="2014-05-30T00:00:00"/>
    <x v="10"/>
    <s v="Series 3"/>
    <n v="470825.98"/>
    <n v="124380.58765053458"/>
    <n v="2.5"/>
    <n v="0"/>
    <n v="0"/>
    <n v="-50000"/>
    <m/>
    <n v="3.7853654568898993"/>
    <n v="-50000"/>
    <n v="-13208.764271093811"/>
    <n v="-50000"/>
    <n v="-50000"/>
    <s v="Private Equity Fund"/>
    <n v="0"/>
    <n v="0"/>
    <n v="0"/>
    <n v="0"/>
    <m/>
    <m/>
    <m/>
    <m/>
    <m/>
    <m/>
    <m/>
    <m/>
    <m/>
    <m/>
    <m/>
    <d v="2014-05-30T00:00:00"/>
    <n v="-1.2064953261508249E-2"/>
    <x v="1"/>
    <n v="0"/>
    <x v="8"/>
  </r>
  <r>
    <d v="2014-06-30T00:00:00"/>
    <x v="10"/>
    <s v="Series 3"/>
    <n v="468117.78"/>
    <n v="123665.1481425550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5.7520190368423041E-3"/>
    <x v="1"/>
    <n v="0"/>
    <x v="9"/>
  </r>
  <r>
    <d v="2014-07-31T00:00:00"/>
    <x v="10"/>
    <s v="Series 3"/>
    <n v="465015.43599999999"/>
    <n v="122845.585530878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-6.6272723074095596E-3"/>
    <x v="1"/>
    <n v="0"/>
    <x v="10"/>
  </r>
  <r>
    <d v="2014-08-29T00:00:00"/>
    <x v="10"/>
    <s v="Series 3"/>
    <n v="487585.83600000001"/>
    <n v="128808.1273929641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8-29T00:00:00"/>
    <n v="4.8536883407887643E-2"/>
    <x v="1"/>
    <n v="0"/>
    <x v="11"/>
  </r>
  <r>
    <d v="2014-09-30T00:00:00"/>
    <x v="10"/>
    <s v="Series 3"/>
    <n v="488484.26"/>
    <n v="129045.4688095939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1.8425965925721322E-3"/>
    <x v="1"/>
    <n v="0"/>
    <x v="12"/>
  </r>
  <r>
    <d v="2014-10-31T00:00:00"/>
    <x v="10"/>
    <s v="Series 3"/>
    <n v="467610.12400000001"/>
    <n v="123531.0379738589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10-31T00:00:00"/>
    <n v="-4.2732463887372729E-2"/>
    <x v="1"/>
    <n v="0"/>
    <x v="149"/>
  </r>
  <r>
    <d v="2014-11-28T00:00:00"/>
    <x v="10"/>
    <s v="Series 3"/>
    <n v="439319.804"/>
    <n v="116057.4346131827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6.049980218135742E-2"/>
    <x v="1"/>
    <n v="0"/>
    <x v="150"/>
  </r>
  <r>
    <d v="2014-12-31T00:00:00"/>
    <x v="10"/>
    <s v="Series 3"/>
    <n v="380249.12400000001"/>
    <n v="100452.42086411841"/>
    <n v="2.5"/>
    <n v="0"/>
    <n v="0"/>
    <n v="-60000"/>
    <m/>
    <n v="3.7853654568898993"/>
    <n v="-60000"/>
    <n v="-15850.517125312572"/>
    <n v="-60000"/>
    <n v="-60000"/>
    <s v="Private Equity Fund"/>
    <n v="0"/>
    <n v="0"/>
    <n v="0"/>
    <n v="0"/>
    <m/>
    <m/>
    <m/>
    <m/>
    <m/>
    <m/>
    <m/>
    <m/>
    <m/>
    <m/>
    <m/>
    <d v="2014-12-31T00:00:00"/>
    <n v="2.115361045731623E-3"/>
    <x v="1"/>
    <n v="0"/>
    <x v="151"/>
  </r>
  <r>
    <d v="2015-01-30T00:00:00"/>
    <x v="10"/>
    <s v="Series 3"/>
    <n v="377084.1115"/>
    <n v="99616.30278356709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8.3235234488009402E-3"/>
    <x v="1"/>
    <n v="0"/>
    <x v="152"/>
  </r>
  <r>
    <d v="2015-02-27T00:00:00"/>
    <x v="10"/>
    <s v="Series 3"/>
    <n v="393289.81140000001"/>
    <n v="103897.4481801108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4.2976353035760306E-2"/>
    <x v="1"/>
    <n v="0"/>
    <x v="153"/>
  </r>
  <r>
    <d v="2015-03-31T00:00:00"/>
    <x v="10"/>
    <s v="Series 3"/>
    <n v="332170.0001"/>
    <n v="87751.104585002147"/>
    <n v="2.5"/>
    <n v="0"/>
    <n v="0"/>
    <n v="-58750"/>
    <m/>
    <n v="3.7853654568898993"/>
    <n v="-58750"/>
    <n v="-15520.298018535228"/>
    <n v="-58750"/>
    <n v="-58750"/>
    <s v="Private Equity Fund"/>
    <n v="0"/>
    <n v="0"/>
    <n v="0"/>
    <n v="0"/>
    <m/>
    <m/>
    <m/>
    <m/>
    <m/>
    <m/>
    <m/>
    <m/>
    <m/>
    <m/>
    <m/>
    <d v="2015-03-31T00:00:00"/>
    <n v="-6.0256107107482526E-3"/>
    <x v="1"/>
    <n v="0"/>
    <x v="154"/>
  </r>
  <r>
    <d v="2015-04-30T00:00:00"/>
    <x v="10"/>
    <s v="Series 3"/>
    <n v="337898.42499999999"/>
    <n v="89264.41286797742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1.7245461354955083E-2"/>
    <x v="1"/>
    <n v="0"/>
    <x v="155"/>
  </r>
  <r>
    <d v="2015-05-29T00:00:00"/>
    <x v="10"/>
    <s v="Series 3"/>
    <n v="340065.67599999998"/>
    <n v="89836.94701948326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6.4139127017237563E-3"/>
    <x v="1"/>
    <n v="0"/>
    <x v="156"/>
  </r>
  <r>
    <d v="2015-06-30T00:00:00"/>
    <x v="10"/>
    <s v="Series 3"/>
    <n v="335951.05670000002"/>
    <n v="88749.96629150342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209948427726637E-2"/>
    <x v="1"/>
    <n v="0"/>
    <x v="157"/>
  </r>
  <r>
    <d v="2015-07-31T00:00:00"/>
    <x v="10"/>
    <s v="Series 3"/>
    <n v="291538.7746"/>
    <n v="77017.33899149904"/>
    <n v="2.5"/>
    <n v="0"/>
    <n v="0"/>
    <n v="-31250"/>
    <m/>
    <n v="3.7853654568898993"/>
    <n v="-31250"/>
    <n v="-8255.4776694336324"/>
    <n v="-31250"/>
    <n v="-31250"/>
    <s v="Private Equity Fund"/>
    <n v="0"/>
    <n v="0"/>
    <n v="0"/>
    <n v="0"/>
    <m/>
    <m/>
    <m/>
    <m/>
    <m/>
    <m/>
    <m/>
    <m/>
    <m/>
    <m/>
    <m/>
    <d v="2015-07-31T00:00:00"/>
    <n v="-3.9179165647791891E-2"/>
    <x v="1"/>
    <n v="0"/>
    <x v="158"/>
  </r>
  <r>
    <d v="2015-08-31T00:00:00"/>
    <x v="10"/>
    <s v="Series 3"/>
    <n v="300387.94050000003"/>
    <n v="79355.06991887708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3.0353306904514987E-2"/>
    <x v="1"/>
    <n v="0"/>
    <x v="159"/>
  </r>
  <r>
    <d v="2015-09-30T00:00:00"/>
    <x v="10"/>
    <s v="Series 3"/>
    <n v="298100.16950000002"/>
    <n v="78750.69736197218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7.6160547463789419E-3"/>
    <x v="1"/>
    <n v="0"/>
    <x v="160"/>
  </r>
  <r>
    <d v="2015-10-30T00:00:00"/>
    <x v="10"/>
    <s v="Series 3"/>
    <n v="295508.35840000003"/>
    <n v="78066.00492487009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8.6944301452334116E-3"/>
    <x v="1"/>
    <n v="0"/>
    <x v="161"/>
  </r>
  <r>
    <d v="2015-11-30T00:00:00"/>
    <x v="10"/>
    <s v="Series 3"/>
    <n v="259309.42220000003"/>
    <n v="68503.140622266816"/>
    <n v="2.5"/>
    <n v="0"/>
    <n v="-2.9103830456733704E-11"/>
    <n v="-36250"/>
    <m/>
    <n v="3.7853654568898993"/>
    <n v="-36250.000000000029"/>
    <n v="-9576.3540965430129"/>
    <n v="-36250.000000000029"/>
    <n v="-36250.000000000029"/>
    <s v="Private Equity Fund"/>
    <n v="0"/>
    <n v="0"/>
    <n v="0"/>
    <n v="0"/>
    <m/>
    <m/>
    <m/>
    <m/>
    <m/>
    <m/>
    <m/>
    <m/>
    <m/>
    <m/>
    <m/>
    <d v="2015-11-30T00:00:00"/>
    <n v="1.7279984998208597E-4"/>
    <x v="1"/>
    <n v="0"/>
    <x v="162"/>
  </r>
  <r>
    <d v="2015-12-31T00:00:00"/>
    <x v="10"/>
    <s v="Series 3"/>
    <n v="198343.4"/>
    <n v="52397.424306545363"/>
    <n v="2.5"/>
    <n v="0"/>
    <n v="0"/>
    <n v="-50000"/>
    <m/>
    <n v="3.7853654568898993"/>
    <n v="-50000"/>
    <n v="-13208.764271093811"/>
    <n v="-50000"/>
    <n v="-50000"/>
    <s v="Private Equity Fund"/>
    <n v="0"/>
    <n v="0"/>
    <n v="0"/>
    <n v="0"/>
    <m/>
    <m/>
    <m/>
    <m/>
    <m/>
    <m/>
    <m/>
    <m/>
    <m/>
    <m/>
    <m/>
    <d v="2015-12-31T00:00:00"/>
    <n v="-4.2289331822050635E-2"/>
    <x v="1"/>
    <n v="0"/>
    <x v="163"/>
  </r>
  <r>
    <d v="2016-01-29T00:00:00"/>
    <x v="10"/>
    <s v="Series 3"/>
    <n v="189966.67"/>
    <n v="50184.4992678933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4.2233469830606829E-2"/>
    <x v="1"/>
    <n v="0"/>
    <x v="164"/>
  </r>
  <r>
    <d v="2016-02-29T00:00:00"/>
    <x v="10"/>
    <s v="Series 3"/>
    <n v="196683.14"/>
    <n v="51958.82464717084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3.5356044299771128E-2"/>
    <x v="1"/>
    <n v="0"/>
    <x v="165"/>
  </r>
  <r>
    <d v="2016-03-31T00:00:00"/>
    <x v="10"/>
    <s v="Series 3"/>
    <n v="195856.66"/>
    <n v="51740.48905727536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-4.2020886996211315E-3"/>
    <x v="1"/>
    <n v="0"/>
    <x v="166"/>
  </r>
  <r>
    <d v="2016-04-29T00:00:00"/>
    <x v="10"/>
    <s v="Series 3"/>
    <n v="206462.21040000001"/>
    <n v="54542.21336125145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5.4149552024424397E-2"/>
    <x v="1"/>
    <n v="0"/>
    <x v="167"/>
  </r>
  <r>
    <d v="2016-05-31T00:00:00"/>
    <x v="10"/>
    <s v="Series 3"/>
    <n v="209967.08970000001"/>
    <n v="55468.11585069818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6975887709473003E-2"/>
    <x v="1"/>
    <n v="0"/>
    <x v="168"/>
  </r>
  <r>
    <d v="2016-06-30T00:00:00"/>
    <x v="10"/>
    <s v="Series 3"/>
    <n v="217211.89790000001"/>
    <n v="57382.01512475993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3.4504494063099855E-2"/>
    <x v="1"/>
    <n v="0"/>
    <x v="169"/>
  </r>
  <r>
    <d v="2016-07-29T00:00:00"/>
    <x v="10"/>
    <s v="Series 3"/>
    <n v="240327.4387"/>
    <n v="63488.56971328095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0.10641931230968726"/>
    <x v="1"/>
    <n v="0"/>
    <x v="170"/>
  </r>
  <r>
    <d v="2016-08-31T00:00:00"/>
    <x v="10"/>
    <s v="Series 3"/>
    <n v="251882.35339999999"/>
    <n v="66541.09260217889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4.8079881192525598E-2"/>
    <x v="1"/>
    <n v="0"/>
    <x v="171"/>
  </r>
  <r>
    <d v="2016-09-30T00:00:00"/>
    <x v="10"/>
    <s v="Series 3"/>
    <n v="270603.0417"/>
    <n v="71486.63577712536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7.4323143512442735E-2"/>
    <x v="1"/>
    <n v="0"/>
    <x v="172"/>
  </r>
  <r>
    <d v="2016-10-31T00:00:00"/>
    <x v="10"/>
    <s v="Series 3"/>
    <n v="293602.46950000001"/>
    <n v="77562.51618073020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8.4993234575308163E-2"/>
    <x v="1"/>
    <n v="0"/>
    <x v="173"/>
  </r>
  <r>
    <d v="2016-11-30T00:00:00"/>
    <x v="10"/>
    <s v="Series 3"/>
    <n v="235461.14360000001"/>
    <n v="62203.014816291383"/>
    <n v="2.5"/>
    <n v="0"/>
    <n v="0"/>
    <n v="-37500"/>
    <m/>
    <n v="3.7853654568898993"/>
    <n v="-37500"/>
    <n v="-9906.5732033203585"/>
    <n v="-37500"/>
    <n v="-37500"/>
    <s v="Private Equity Fund"/>
    <n v="0"/>
    <n v="0"/>
    <n v="0"/>
    <n v="0"/>
    <m/>
    <m/>
    <m/>
    <m/>
    <m/>
    <m/>
    <m/>
    <m/>
    <m/>
    <m/>
    <m/>
    <d v="2016-11-30T00:00:00"/>
    <n v="-7.0303652197312272E-2"/>
    <x v="1"/>
    <n v="0"/>
    <x v="174"/>
  </r>
  <r>
    <d v="2016-12-30T00:00:00"/>
    <x v="10"/>
    <s v="Series 3"/>
    <n v="177826.60140000001"/>
    <n v="46977.393180447216"/>
    <n v="2.5"/>
    <n v="0"/>
    <n v="0"/>
    <n v="-60000"/>
    <m/>
    <n v="3.7853654568898993"/>
    <n v="-60000"/>
    <n v="-15850.517125312572"/>
    <n v="-60000"/>
    <n v="-60000"/>
    <s v="Private Equity Fund"/>
    <n v="0"/>
    <n v="0"/>
    <n v="0"/>
    <n v="0"/>
    <m/>
    <m/>
    <m/>
    <m/>
    <m/>
    <m/>
    <m/>
    <m/>
    <m/>
    <m/>
    <m/>
    <d v="2016-12-30T00:00:00"/>
    <n v="1.004606434774824E-2"/>
    <x v="1"/>
    <n v="0"/>
    <x v="175"/>
  </r>
  <r>
    <d v="2017-01-27T00:00:00"/>
    <x v="10"/>
    <s v="Series 3"/>
    <n v="180923.18410000001"/>
    <n v="47795.4337990521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7413495369202892E-2"/>
    <x v="1"/>
    <n v="0"/>
    <x v="176"/>
  </r>
  <r>
    <d v="2017-02-28T00:00:00"/>
    <x v="10"/>
    <s v="Series 3"/>
    <n v="183475.82620000001"/>
    <n v="48469.77875439955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4108982840966844E-2"/>
    <x v="1"/>
    <n v="0"/>
    <x v="177"/>
  </r>
  <r>
    <d v="2017-03-31T00:00:00"/>
    <x v="10"/>
    <s v="Series 3"/>
    <n v="144947.53539999999"/>
    <n v="38291.556535492506"/>
    <n v="2.5"/>
    <n v="0"/>
    <n v="0"/>
    <n v="-37500"/>
    <m/>
    <n v="3.7853654568898993"/>
    <n v="-37500"/>
    <n v="-9906.5732033203585"/>
    <n v="-37500"/>
    <n v="-37500"/>
    <s v="Private Equity Fund"/>
    <n v="0"/>
    <n v="0"/>
    <n v="0"/>
    <n v="0"/>
    <m/>
    <m/>
    <m/>
    <m/>
    <m/>
    <m/>
    <m/>
    <m/>
    <m/>
    <m/>
    <m/>
    <d v="2017-03-31T00:00:00"/>
    <n v="-5.6045028999031077E-3"/>
    <x v="1"/>
    <n v="0"/>
    <x v="178"/>
  </r>
  <r>
    <d v="2017-04-28T00:00:00"/>
    <x v="10"/>
    <s v="Series 3"/>
    <n v="144926.28599999999"/>
    <n v="38285.94296918246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4660062995452972E-4"/>
    <x v="1"/>
    <n v="0"/>
    <x v="179"/>
  </r>
  <r>
    <d v="2017-05-31T00:00:00"/>
    <x v="10"/>
    <s v="Series 3"/>
    <n v="142215.29800000001"/>
    <n v="37569.76694050718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1.8705978568994586E-2"/>
    <x v="1"/>
    <n v="0"/>
    <x v="180"/>
  </r>
  <r>
    <d v="2017-06-30T00:00:00"/>
    <x v="10"/>
    <s v="Series 3"/>
    <n v="142299.9915"/>
    <n v="37592.14087004306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5.9553016581936902E-4"/>
    <x v="1"/>
    <n v="0"/>
    <x v="181"/>
  </r>
  <r>
    <d v="2017-07-31T00:00:00"/>
    <x v="10"/>
    <s v="Series 3"/>
    <n v="86270.338000000003"/>
    <n v="22790.491164591735"/>
    <n v="2.5"/>
    <n v="0"/>
    <n v="0"/>
    <n v="-52500"/>
    <m/>
    <n v="3.7853654568898993"/>
    <n v="-52500"/>
    <n v="-13869.2024846485"/>
    <n v="-52500"/>
    <n v="-52500"/>
    <s v="Private Equity Fund"/>
    <n v="0"/>
    <n v="0"/>
    <n v="0"/>
    <n v="0"/>
    <m/>
    <m/>
    <m/>
    <m/>
    <m/>
    <m/>
    <m/>
    <m/>
    <m/>
    <m/>
    <m/>
    <d v="2017-07-31T00:00:00"/>
    <n v="-2.4804312795760231E-2"/>
    <x v="1"/>
    <n v="0"/>
    <x v="182"/>
  </r>
  <r>
    <d v="2017-08-31T00:00:00"/>
    <x v="10"/>
    <s v="Series 3"/>
    <n v="87700"/>
    <n v="23168.17253149854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6571883606159021E-2"/>
    <x v="1"/>
    <n v="0"/>
    <x v="183"/>
  </r>
  <r>
    <d v="2017-09-29T00:00:00"/>
    <x v="10"/>
    <s v="Series 3"/>
    <n v="85400"/>
    <n v="22560.5693750282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6225769669327215E-2"/>
    <x v="1"/>
    <n v="0"/>
    <x v="184"/>
  </r>
  <r>
    <d v="2017-10-31T00:00:00"/>
    <x v="10"/>
    <s v="Series 3"/>
    <n v="141900"/>
    <n v="37486.47300136423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0.66159250585480089"/>
    <x v="1"/>
    <n v="0"/>
    <x v="185"/>
  </r>
  <r>
    <d v="2017-11-30T00:00:00"/>
    <x v="10"/>
    <s v="Series 3"/>
    <n v="141300"/>
    <n v="37327.96783011110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-4.2283298097252064E-3"/>
    <x v="1"/>
    <n v="0"/>
    <x v="186"/>
  </r>
  <r>
    <d v="2017-12-29T00:00:00"/>
    <x v="10"/>
    <s v="Series 3"/>
    <n v="77100"/>
    <n v="20367.914506026656"/>
    <n v="2.5"/>
    <n v="0"/>
    <n v="0"/>
    <n v="-63053.37999999999"/>
    <m/>
    <n v="3.7853654568898993"/>
    <n v="-63053.37999999999"/>
    <n v="-16657.144658314017"/>
    <n v="-63053.37999999999"/>
    <n v="-63053.37999999999"/>
    <s v="Private Equity Fund"/>
    <n v="0"/>
    <n v="0"/>
    <n v="0"/>
    <n v="0"/>
    <m/>
    <m/>
    <m/>
    <m/>
    <m/>
    <m/>
    <m/>
    <m/>
    <m/>
    <m/>
    <m/>
    <d v="2017-12-29T00:00:00"/>
    <n v="-8.1147912243453302E-3"/>
    <x v="1"/>
    <n v="0"/>
    <x v="187"/>
  </r>
  <r>
    <d v="2018-01-31T00:00:00"/>
    <x v="10"/>
    <s v="Series 3"/>
    <n v="76000"/>
    <n v="20077.321692062593"/>
    <n v="2.5"/>
    <n v="0"/>
    <n v="0"/>
    <n v="0"/>
    <m/>
    <n v="3.7853654568898993"/>
    <n v="0"/>
    <n v="0"/>
    <n v="0"/>
    <n v="0"/>
    <s v="Private Equity Fund"/>
    <n v="0"/>
    <n v="1.9E-2"/>
    <m/>
    <n v="0.01"/>
    <m/>
    <m/>
    <m/>
    <m/>
    <m/>
    <m/>
    <m/>
    <m/>
    <m/>
    <m/>
    <m/>
    <d v="2018-01-31T00:00:00"/>
    <n v="-1.4267185473411104E-2"/>
    <x v="1"/>
    <n v="0"/>
    <x v="188"/>
  </r>
  <r>
    <d v="2018-02-28T00:00:00"/>
    <x v="10"/>
    <s v="Series 3"/>
    <n v="77700"/>
    <n v="20526.41967727978"/>
    <n v="2.5"/>
    <n v="0"/>
    <n v="0"/>
    <n v="0"/>
    <m/>
    <n v="3.7853654568898993"/>
    <n v="0"/>
    <n v="0"/>
    <n v="0"/>
    <n v="0"/>
    <s v="Private Equity Fund"/>
    <n v="0"/>
    <n v="1.9400000000000001E-2"/>
    <m/>
    <n v="0.01"/>
    <m/>
    <m/>
    <m/>
    <m/>
    <m/>
    <m/>
    <m/>
    <m/>
    <m/>
    <m/>
    <m/>
    <d v="2018-02-28T00:00:00"/>
    <n v="2.2368421052631593E-2"/>
    <x v="1"/>
    <n v="0"/>
    <x v="189"/>
  </r>
  <r>
    <d v="2018-03-29T00:00:00"/>
    <x v="10"/>
    <s v="Series 3"/>
    <n v="33381.375999999997"/>
    <n v="8818.5345325749677"/>
    <n v="2.5"/>
    <n v="0"/>
    <n v="0"/>
    <n v="-44100.67"/>
    <m/>
    <n v="3.7853654568898993"/>
    <n v="-44100.67"/>
    <n v="-11650.307084545973"/>
    <n v="-44100.67"/>
    <n v="-44100.67"/>
    <s v="Private Equity Fund"/>
    <n v="0"/>
    <n v="8.3000000000000001E-3"/>
    <m/>
    <n v="0"/>
    <m/>
    <m/>
    <m/>
    <m/>
    <m/>
    <m/>
    <m/>
    <m/>
    <m/>
    <m/>
    <m/>
    <d v="2018-03-29T00:00:00"/>
    <n v="-2.8050707850707512E-3"/>
    <x v="1"/>
    <n v="0"/>
    <x v="190"/>
  </r>
  <r>
    <d v="2018-04-30T00:00:00"/>
    <x v="10"/>
    <s v="Series 3"/>
    <n v="33850.224000000002"/>
    <n v="8942.3925867944454"/>
    <n v="2.5"/>
    <n v="0"/>
    <n v="0"/>
    <m/>
    <m/>
    <n v="3.7853654568898993"/>
    <n v="0"/>
    <n v="0"/>
    <n v="0"/>
    <n v="0"/>
    <s v="Private Equity Fund"/>
    <n v="0"/>
    <n v="8.5000000000000006E-3"/>
    <m/>
    <n v="0"/>
    <m/>
    <m/>
    <m/>
    <m/>
    <m/>
    <m/>
    <m/>
    <m/>
    <m/>
    <m/>
    <m/>
    <d v="2018-04-30T00:00:00"/>
    <n v="1.4045196938556659E-2"/>
    <x v="1"/>
    <n v="0"/>
    <x v="191"/>
  </r>
  <r>
    <d v="2018-05-31T00:00:00"/>
    <x v="10"/>
    <s v="Series 3"/>
    <n v="21775.88"/>
    <n v="5752.6493143125263"/>
    <n v="2.5"/>
    <n v="0"/>
    <n v="0"/>
    <m/>
    <m/>
    <n v="3.7853654568898993"/>
    <n v="0"/>
    <n v="0"/>
    <n v="0"/>
    <n v="0"/>
    <s v="Private Equity Fund"/>
    <n v="0"/>
    <n v="5.4000000000000003E-3"/>
    <m/>
    <n v="0"/>
    <m/>
    <m/>
    <m/>
    <m/>
    <m/>
    <m/>
    <m/>
    <m/>
    <m/>
    <m/>
    <m/>
    <d v="2018-05-31T00:00:00"/>
    <n v="-0.35669908713159482"/>
    <x v="1"/>
    <n v="0"/>
    <x v="192"/>
  </r>
  <r>
    <d v="2018-06-29T00:00:00"/>
    <x v="10"/>
    <s v="Series 3"/>
    <n v="21684.736000000001"/>
    <n v="5728.5713220980342"/>
    <n v="2.5"/>
    <n v="0"/>
    <n v="0"/>
    <m/>
    <m/>
    <n v="3.7853654568898993"/>
    <n v="0"/>
    <n v="0"/>
    <n v="0"/>
    <n v="0"/>
    <s v="Private Equity Fund"/>
    <n v="0"/>
    <n v="5.4000000000000003E-3"/>
    <m/>
    <n v="0"/>
    <m/>
    <m/>
    <m/>
    <m/>
    <m/>
    <m/>
    <m/>
    <m/>
    <m/>
    <m/>
    <m/>
    <d v="2018-06-29T00:00:00"/>
    <n v="-4.1855484141168908E-3"/>
    <x v="1"/>
    <n v="0"/>
    <x v="193"/>
  </r>
  <r>
    <d v="2018-07-31T00:00:00"/>
    <x v="10"/>
    <s v="Series 3"/>
    <n v="21876.749599999999"/>
    <n v="5779.296569682916"/>
    <n v="2.5"/>
    <n v="0"/>
    <n v="0"/>
    <m/>
    <m/>
    <n v="3.7853654568898993"/>
    <n v="0"/>
    <n v="0"/>
    <n v="0"/>
    <n v="0"/>
    <s v="Private Equity Fund"/>
    <n v="0"/>
    <n v="5.4999999999999997E-3"/>
    <m/>
    <n v="0"/>
    <m/>
    <m/>
    <m/>
    <m/>
    <m/>
    <m/>
    <m/>
    <m/>
    <m/>
    <m/>
    <m/>
    <d v="2018-07-31T00:00:00"/>
    <n v="8.8547815384978357E-3"/>
    <x v="1"/>
    <n v="0"/>
    <x v="194"/>
  </r>
  <r>
    <d v="2018-08-31T00:00:00"/>
    <x v="10"/>
    <s v="Series 3"/>
    <n v="21712.946400000001"/>
    <n v="5736.0238125698997"/>
    <n v="2.5"/>
    <n v="0"/>
    <n v="0"/>
    <m/>
    <m/>
    <n v="3.7853654568898993"/>
    <n v="0"/>
    <n v="0"/>
    <n v="0"/>
    <n v="0"/>
    <s v="Private Equity Fund"/>
    <n v="0"/>
    <n v="5.4000000000000003E-3"/>
    <m/>
    <n v="0"/>
    <m/>
    <m/>
    <m/>
    <m/>
    <m/>
    <m/>
    <m/>
    <m/>
    <m/>
    <m/>
    <m/>
    <d v="2018-08-31T00:00:00"/>
    <n v="-7.4875474188358382E-3"/>
    <x v="1"/>
    <n v="0"/>
    <x v="195"/>
  </r>
  <r>
    <d v="2018-09-28T00:00:00"/>
    <x v="10"/>
    <s v="Series 3"/>
    <n v="21835.534"/>
    <m/>
    <n v="2.5"/>
    <m/>
    <n v="0"/>
    <n v="0"/>
    <m/>
    <n v="0"/>
    <n v="0"/>
    <e v="#DIV/0!"/>
    <n v="0"/>
    <n v="0"/>
    <s v="Private Equity Fund"/>
    <n v="0"/>
    <n v="5.4999999999999997E-3"/>
    <m/>
    <n v="0"/>
    <m/>
    <m/>
    <m/>
    <m/>
    <m/>
    <m/>
    <m/>
    <m/>
    <m/>
    <m/>
    <m/>
    <d v="2018-09-28T00:00:00"/>
    <n v="5.6458298077868285E-3"/>
    <x v="1"/>
    <n v="0"/>
    <x v="196"/>
  </r>
  <r>
    <d v="2018-10-31T00:00:00"/>
    <x v="10"/>
    <s v="Series 3"/>
    <n v="8837.6479999999992"/>
    <m/>
    <n v="2.5"/>
    <m/>
    <n v="0"/>
    <n v="12993.509999999998"/>
    <n v="0"/>
    <m/>
    <n v="12993.509999999998"/>
    <e v="#DIV/0!"/>
    <n v="4155.8619999999992"/>
    <n v="4155.8619999999992"/>
    <s v="Private Equity Fund"/>
    <n v="0"/>
    <n v="2.2000000000000001E-3"/>
    <m/>
    <n v="0"/>
    <m/>
    <m/>
    <m/>
    <m/>
    <m/>
    <m/>
    <m/>
    <m/>
    <m/>
    <m/>
    <m/>
    <d v="2018-10-31T00:00:00"/>
    <n v="-1.1903256407651857"/>
    <x v="1"/>
    <n v="0"/>
    <x v="197"/>
  </r>
  <r>
    <d v="2011-04-29T00:00:00"/>
    <x v="10"/>
    <s v="Series 4"/>
    <n v="5881830.4138641013"/>
    <n v="5932086.5942141199"/>
    <n v="21.6"/>
    <n v="5832000"/>
    <n v="0"/>
    <n v="0"/>
    <m/>
    <n v="0.99152807708521384"/>
    <n v="5832000"/>
    <n v="5932086.5942141199"/>
    <n v="5832000"/>
    <n v="5832000"/>
    <s v="Private Equity Fund"/>
    <n v="0"/>
    <n v="0"/>
    <n v="0"/>
    <n v="0"/>
    <m/>
    <m/>
    <m/>
    <m/>
    <m/>
    <m/>
    <m/>
    <m/>
    <m/>
    <m/>
    <m/>
    <d v="2011-04-29T00:00:00"/>
    <n v="8.5443096474795421E-3"/>
    <x v="1"/>
    <n v="0"/>
    <x v="120"/>
  </r>
  <r>
    <d v="2011-05-31T00:00:00"/>
    <x v="10"/>
    <s v="Series 4"/>
    <n v="8303999.8597596977"/>
    <n v="5934208.6211567139"/>
    <n v="21.6"/>
    <n v="2419200"/>
    <n v="0"/>
    <n v="0"/>
    <m/>
    <n v="1.3993441063319167"/>
    <n v="2419200"/>
    <n v="0"/>
    <n v="2419200"/>
    <n v="2419200"/>
    <s v="Private Equity Fund"/>
    <n v="0"/>
    <n v="0"/>
    <n v="0"/>
    <n v="0"/>
    <m/>
    <m/>
    <m/>
    <m/>
    <m/>
    <m/>
    <m/>
    <m/>
    <m/>
    <m/>
    <m/>
    <d v="2011-05-31T00:00:00"/>
    <n v="5.0485064795435797E-4"/>
    <x v="1"/>
    <n v="0"/>
    <x v="121"/>
  </r>
  <r>
    <d v="2011-06-30T00:00:00"/>
    <x v="10"/>
    <s v="Series 4"/>
    <n v="8197024.5573718296"/>
    <n v="5857761.8759252774"/>
    <n v="21.6"/>
    <n v="0"/>
    <n v="0"/>
    <n v="0"/>
    <m/>
    <n v="1.3993441063319167"/>
    <n v="0"/>
    <n v="0"/>
    <n v="0"/>
    <n v="0"/>
    <s v="Private Equity Fund"/>
    <n v="0"/>
    <n v="0"/>
    <n v="0"/>
    <n v="0"/>
    <m/>
    <m/>
    <m/>
    <m/>
    <m/>
    <m/>
    <m/>
    <m/>
    <m/>
    <m/>
    <m/>
    <d v="2011-06-30T00:00:00"/>
    <n v="-1.2882382489703414E-2"/>
    <x v="1"/>
    <n v="0"/>
    <x v="122"/>
  </r>
  <r>
    <d v="2011-07-29T00:00:00"/>
    <x v="10"/>
    <s v="Series 4"/>
    <n v="10689839.874732964"/>
    <n v="5946778.7081141779"/>
    <n v="21.6"/>
    <n v="2332800"/>
    <n v="0"/>
    <n v="0"/>
    <m/>
    <n v="1.7975849446267504"/>
    <n v="2332800"/>
    <n v="0"/>
    <n v="2332800"/>
    <n v="2332800"/>
    <s v="Private Equity Fund"/>
    <n v="0"/>
    <n v="0"/>
    <n v="0"/>
    <n v="0"/>
    <m/>
    <m/>
    <m/>
    <m/>
    <m/>
    <m/>
    <m/>
    <m/>
    <m/>
    <m/>
    <m/>
    <d v="2011-07-29T00:00:00"/>
    <n v="1.9521146513734378E-2"/>
    <x v="1"/>
    <n v="0"/>
    <x v="123"/>
  </r>
  <r>
    <d v="2011-08-31T00:00:00"/>
    <x v="10"/>
    <s v="Series 4"/>
    <n v="11060972.135927849"/>
    <n v="5812633.3762019267"/>
    <n v="21.6"/>
    <n v="626400"/>
    <n v="0"/>
    <n v="0"/>
    <m/>
    <n v="1.9029192828871095"/>
    <n v="626400"/>
    <n v="0"/>
    <n v="626400"/>
    <n v="626400"/>
    <s v="Private Equity Fund"/>
    <n v="0"/>
    <n v="0"/>
    <n v="0"/>
    <n v="0"/>
    <m/>
    <m/>
    <m/>
    <m/>
    <m/>
    <m/>
    <m/>
    <m/>
    <m/>
    <m/>
    <m/>
    <d v="2011-08-31T00:00:00"/>
    <n v="-2.3879472639106503E-2"/>
    <x v="1"/>
    <n v="0"/>
    <x v="124"/>
  </r>
  <r>
    <d v="2011-09-30T00:00:00"/>
    <x v="10"/>
    <s v="Series 4"/>
    <n v="11936365.475471746"/>
    <n v="5735082.093935485"/>
    <n v="21.6"/>
    <n v="1036800"/>
    <n v="0"/>
    <n v="0"/>
    <m/>
    <n v="2.0812893834760895"/>
    <n v="1036800"/>
    <n v="0"/>
    <n v="1036800"/>
    <n v="1036800"/>
    <s v="Private Equity Fund"/>
    <n v="0"/>
    <n v="0"/>
    <n v="0"/>
    <n v="0"/>
    <m/>
    <m/>
    <m/>
    <m/>
    <m/>
    <m/>
    <m/>
    <m/>
    <m/>
    <m/>
    <m/>
    <d v="2011-09-30T00:00:00"/>
    <n v="-1.4592447975872447E-2"/>
    <x v="1"/>
    <n v="0"/>
    <x v="125"/>
  </r>
  <r>
    <d v="2011-10-31T00:00:00"/>
    <x v="10"/>
    <s v="Series 4"/>
    <n v="11761832.851621341"/>
    <n v="5651224.1618112614"/>
    <n v="21.6"/>
    <n v="0"/>
    <n v="0"/>
    <n v="0"/>
    <m/>
    <n v="2.0812893834760895"/>
    <n v="0"/>
    <n v="0"/>
    <n v="0"/>
    <n v="0"/>
    <s v="Private Equity Fund"/>
    <n v="0"/>
    <n v="0"/>
    <n v="0"/>
    <n v="0"/>
    <m/>
    <m/>
    <m/>
    <m/>
    <m/>
    <m/>
    <m/>
    <m/>
    <m/>
    <m/>
    <m/>
    <d v="2011-10-31T00:00:00"/>
    <n v="-1.4621923583779006E-2"/>
    <x v="1"/>
    <n v="0"/>
    <x v="126"/>
  </r>
  <r>
    <d v="2011-11-30T00:00:00"/>
    <x v="10"/>
    <s v="Series 4"/>
    <n v="13174938.9966515"/>
    <n v="5759065.0201608147"/>
    <n v="21.6"/>
    <n v="1166400"/>
    <n v="0"/>
    <n v="0"/>
    <m/>
    <n v="2.2876871420152165"/>
    <n v="1166400"/>
    <n v="0"/>
    <n v="1166400"/>
    <n v="1166400"/>
    <s v="Private Equity Fund"/>
    <n v="0"/>
    <n v="0"/>
    <n v="0"/>
    <n v="0"/>
    <m/>
    <m/>
    <m/>
    <m/>
    <m/>
    <m/>
    <m/>
    <m/>
    <m/>
    <m/>
    <m/>
    <d v="2011-11-30T00:00:00"/>
    <n v="2.0975144617545904E-2"/>
    <x v="1"/>
    <n v="0"/>
    <x v="127"/>
  </r>
  <r>
    <d v="2011-12-30T00:00:00"/>
    <x v="10"/>
    <s v="Series 4"/>
    <n v="19070372.654865604"/>
    <n v="5844706.1159444368"/>
    <n v="21.6"/>
    <n v="5616000"/>
    <n v="0"/>
    <n v="0"/>
    <m/>
    <n v="3.2628454325259182"/>
    <n v="5616000"/>
    <n v="0"/>
    <n v="5616000"/>
    <n v="5616000"/>
    <s v="Private Equity Fund"/>
    <n v="0"/>
    <n v="0"/>
    <n v="0"/>
    <n v="0"/>
    <m/>
    <m/>
    <m/>
    <m/>
    <m/>
    <m/>
    <m/>
    <m/>
    <m/>
    <m/>
    <m/>
    <d v="2011-12-30T00:00:00"/>
    <n v="2.1209484027601366E-2"/>
    <x v="1"/>
    <n v="0"/>
    <x v="128"/>
  </r>
  <r>
    <d v="2012-01-31T00:00:00"/>
    <x v="10"/>
    <s v="Series 4"/>
    <n v="18987162.529326625"/>
    <n v="5819203.7968000807"/>
    <n v="21.6"/>
    <n v="0"/>
    <n v="0"/>
    <n v="0"/>
    <m/>
    <n v="3.2628454325259182"/>
    <n v="0"/>
    <n v="0"/>
    <n v="0"/>
    <n v="0"/>
    <s v="Private Equity Fund"/>
    <n v="0"/>
    <n v="0"/>
    <n v="0"/>
    <n v="0"/>
    <m/>
    <m/>
    <m/>
    <m/>
    <m/>
    <m/>
    <m/>
    <m/>
    <m/>
    <m/>
    <m/>
    <d v="2012-01-31T00:00:00"/>
    <n v="-4.3633193249502655E-3"/>
    <x v="1"/>
    <n v="0"/>
    <x v="129"/>
  </r>
  <r>
    <d v="2012-02-29T00:00:00"/>
    <x v="10"/>
    <s v="Series 4"/>
    <n v="21773988.077221259"/>
    <n v="5877625.2611154309"/>
    <n v="21.6"/>
    <n v="2570400"/>
    <n v="0"/>
    <n v="0"/>
    <m/>
    <n v="3.7045553450423756"/>
    <n v="2570400"/>
    <n v="0"/>
    <n v="2570400"/>
    <n v="2570400"/>
    <s v="Private Equity Fund"/>
    <n v="0"/>
    <n v="0"/>
    <n v="0"/>
    <n v="0"/>
    <m/>
    <m/>
    <m/>
    <m/>
    <m/>
    <m/>
    <m/>
    <m/>
    <m/>
    <m/>
    <m/>
    <d v="2012-02-29T00:00:00"/>
    <n v="1.1398519792536366E-2"/>
    <x v="1"/>
    <n v="0"/>
    <x v="130"/>
  </r>
  <r>
    <d v="2012-03-30T00:00:00"/>
    <x v="10"/>
    <s v="Series 4"/>
    <n v="22206005.1703123"/>
    <n v="5994243.060784475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3-30T00:00:00"/>
    <n v="1.9840972244445698E-2"/>
    <x v="1"/>
    <n v="0"/>
    <x v="131"/>
  </r>
  <r>
    <d v="2012-04-30T00:00:00"/>
    <x v="10"/>
    <s v="Series 4"/>
    <n v="22709731.070482198"/>
    <n v="6130217.787371841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4-30T00:00:00"/>
    <n v="2.2684219710231268E-2"/>
    <x v="1"/>
    <n v="0"/>
    <x v="132"/>
  </r>
  <r>
    <d v="2012-05-31T00:00:00"/>
    <x v="10"/>
    <s v="Series 4"/>
    <n v="22793766.635628801"/>
    <n v="6152902.173841883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5-31T00:00:00"/>
    <n v="3.7004209730968629E-3"/>
    <x v="1"/>
    <n v="0"/>
    <x v="133"/>
  </r>
  <r>
    <d v="2012-06-29T00:00:00"/>
    <x v="10"/>
    <s v="Series 4"/>
    <n v="17140938.4730247"/>
    <n v="4626989.4431361584"/>
    <n v="21.6"/>
    <n v="0"/>
    <n v="0"/>
    <n v="-5491429.75"/>
    <m/>
    <n v="3.7045553450423756"/>
    <n v="-5491429.75"/>
    <n v="-1482345.1773635696"/>
    <n v="-5491429.75"/>
    <n v="-5491429.75"/>
    <s v="Private Equity Fund"/>
    <n v="0"/>
    <n v="0"/>
    <n v="0"/>
    <n v="0"/>
    <m/>
    <m/>
    <m/>
    <m/>
    <m/>
    <m/>
    <m/>
    <m/>
    <m/>
    <m/>
    <m/>
    <d v="2012-06-29T00:00:00"/>
    <n v="-7.0808135918974946E-3"/>
    <x v="1"/>
    <n v="0"/>
    <x v="134"/>
  </r>
  <r>
    <d v="2012-07-31T00:00:00"/>
    <x v="10"/>
    <s v="Series 4"/>
    <n v="17390320.8747258"/>
    <n v="4694307.212334784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7-31T00:00:00"/>
    <n v="1.4548935117733697E-2"/>
    <x v="1"/>
    <n v="0"/>
    <x v="135"/>
  </r>
  <r>
    <d v="2012-08-31T00:00:00"/>
    <x v="10"/>
    <s v="Series 4"/>
    <n v="17407868.377999999"/>
    <n v="4699043.949038605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1.0090384990941725E-3"/>
    <x v="1"/>
    <n v="0"/>
    <x v="136"/>
  </r>
  <r>
    <d v="2012-09-28T00:00:00"/>
    <x v="10"/>
    <s v="Series 4"/>
    <n v="17178589.282000002"/>
    <n v="4637152.824559434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09-28T00:00:00"/>
    <n v="-1.3171003538248183E-2"/>
    <x v="1"/>
    <n v="0"/>
    <x v="137"/>
  </r>
  <r>
    <d v="2012-10-31T00:00:00"/>
    <x v="10"/>
    <s v="Series 4"/>
    <n v="15083813.619999999"/>
    <n v="4071693.4193427358"/>
    <n v="21.6"/>
    <n v="0"/>
    <n v="0"/>
    <n v="-2258158.0299999998"/>
    <m/>
    <n v="3.7045553450423756"/>
    <n v="-2258158.0299999998"/>
    <n v="-609562.50337087875"/>
    <n v="-2258158.0299999998"/>
    <n v="-2258158.0299999998"/>
    <s v="Private Equity Fund"/>
    <n v="0"/>
    <n v="0"/>
    <n v="0"/>
    <n v="0"/>
    <m/>
    <m/>
    <m/>
    <m/>
    <m/>
    <m/>
    <m/>
    <m/>
    <m/>
    <m/>
    <m/>
    <d v="2012-10-31T00:00:00"/>
    <n v="9.5108140323949542E-3"/>
    <x v="1"/>
    <n v="0"/>
    <x v="138"/>
  </r>
  <r>
    <d v="2012-11-30T00:00:00"/>
    <x v="10"/>
    <s v="Series 4"/>
    <n v="15119541.995999999"/>
    <n v="4081337.863188827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11-30T00:00:00"/>
    <n v="2.3686566872336279E-3"/>
    <x v="1"/>
    <n v="0"/>
    <x v="139"/>
  </r>
  <r>
    <d v="2012-12-31T00:00:00"/>
    <x v="10"/>
    <s v="Series 4"/>
    <n v="15350965.075999999"/>
    <n v="4143807.7302700961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2-12-31T00:00:00"/>
    <n v="1.5306222904187594E-2"/>
    <x v="1"/>
    <n v="0"/>
    <x v="140"/>
  </r>
  <r>
    <d v="2013-01-31T00:00:00"/>
    <x v="10"/>
    <s v="Series 4"/>
    <n v="11622636.412"/>
    <n v="3137390.4097705013"/>
    <n v="21.6"/>
    <n v="0"/>
    <n v="0"/>
    <n v="-4311028.96"/>
    <m/>
    <n v="3.7045553450423756"/>
    <n v="-4311028.96"/>
    <n v="-1163710.2319902545"/>
    <n v="-4311028.96"/>
    <n v="-4311028.96"/>
    <s v="Private Equity Fund"/>
    <n v="0"/>
    <n v="0"/>
    <n v="0"/>
    <n v="0"/>
    <m/>
    <m/>
    <m/>
    <m/>
    <m/>
    <m/>
    <m/>
    <m/>
    <m/>
    <m/>
    <m/>
    <d v="2013-01-31T00:00:00"/>
    <n v="3.795854482862504E-2"/>
    <x v="1"/>
    <n v="0"/>
    <x v="141"/>
  </r>
  <r>
    <d v="2013-02-28T00:00:00"/>
    <x v="10"/>
    <s v="Series 4"/>
    <n v="11478019.98"/>
    <n v="3098352.949527524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2-28T00:00:00"/>
    <n v="-1.2442653015514504E-2"/>
    <x v="1"/>
    <n v="0"/>
    <x v="142"/>
  </r>
  <r>
    <d v="2013-03-28T00:00:00"/>
    <x v="10"/>
    <s v="Series 4"/>
    <n v="9507131.5940000005"/>
    <n v="2566335.4191004131"/>
    <n v="21.6"/>
    <n v="0"/>
    <n v="0"/>
    <n v="-1529388.85"/>
    <m/>
    <n v="3.7045553450423756"/>
    <n v="-1529388.85"/>
    <n v="-412840.05975149112"/>
    <n v="-1529388.85"/>
    <n v="-1529388.85"/>
    <s v="Private Equity Fund"/>
    <n v="0"/>
    <n v="0"/>
    <n v="0"/>
    <n v="0"/>
    <m/>
    <m/>
    <m/>
    <m/>
    <m/>
    <m/>
    <m/>
    <m/>
    <m/>
    <m/>
    <m/>
    <d v="2013-03-28T00:00:00"/>
    <n v="-3.8464781971916384E-2"/>
    <x v="1"/>
    <n v="0"/>
    <x v="143"/>
  </r>
  <r>
    <d v="2013-04-30T00:00:00"/>
    <x v="10"/>
    <s v="Series 4"/>
    <n v="9232811.9539999999"/>
    <n v="2492286.14342496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4-30T00:00:00"/>
    <n v="-2.8854090982933789E-2"/>
    <x v="1"/>
    <n v="0"/>
    <x v="144"/>
  </r>
  <r>
    <d v="2013-05-31T00:00:00"/>
    <x v="10"/>
    <s v="Series 4"/>
    <n v="8314489.0260000005"/>
    <n v="2244395.9535189215"/>
    <n v="21.6"/>
    <n v="0"/>
    <n v="0"/>
    <n v="-1016171.1200000001"/>
    <m/>
    <n v="3.7045553450423756"/>
    <n v="-1016171.1200000001"/>
    <n v="-274303.12827149202"/>
    <n v="-1016171.1200000001"/>
    <n v="-1016171.1200000001"/>
    <s v="Private Equity Fund"/>
    <n v="0"/>
    <n v="0"/>
    <n v="0"/>
    <n v="0"/>
    <m/>
    <m/>
    <m/>
    <m/>
    <m/>
    <m/>
    <m/>
    <m/>
    <m/>
    <m/>
    <m/>
    <d v="2013-05-31T00:00:00"/>
    <n v="1.0597875542955215E-2"/>
    <x v="1"/>
    <n v="0"/>
    <x v="145"/>
  </r>
  <r>
    <d v="2013-06-28T00:00:00"/>
    <x v="10"/>
    <s v="Series 4"/>
    <n v="8309051.898"/>
    <n v="2242928.266443527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6.5393411224645703E-4"/>
    <x v="1"/>
    <n v="0"/>
    <x v="146"/>
  </r>
  <r>
    <d v="2013-07-31T00:00:00"/>
    <x v="10"/>
    <s v="Series 4"/>
    <n v="8006385.7860000012"/>
    <n v="2161227.2028043945"/>
    <n v="21.6"/>
    <n v="0"/>
    <n v="-9.3132257461547852E-10"/>
    <n v="0"/>
    <m/>
    <n v="3.7045553450423756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3-07-31T00:00:00"/>
    <n v="-3.6426070713657444E-2"/>
    <x v="1"/>
    <n v="0"/>
    <x v="147"/>
  </r>
  <r>
    <d v="2013-08-30T00:00:00"/>
    <x v="10"/>
    <s v="Series 4"/>
    <n v="7816696.9539999999"/>
    <n v="2110022.992222454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2.3692192341229878E-2"/>
    <x v="1"/>
    <n v="0"/>
    <x v="148"/>
  </r>
  <r>
    <d v="2013-09-30T00:00:00"/>
    <x v="10"/>
    <s v="Series 4"/>
    <n v="6214611.7300000004"/>
    <n v="1677559.4237825896"/>
    <n v="21.6"/>
    <n v="0"/>
    <n v="0"/>
    <n v="-1693618.52"/>
    <m/>
    <n v="3.7045553450423756"/>
    <n v="-1693618.52"/>
    <n v="-457171.87685331423"/>
    <n v="-1693618.52"/>
    <n v="-1693618.52"/>
    <s v="Private Equity Fund"/>
    <n v="0"/>
    <n v="0"/>
    <n v="0"/>
    <n v="0"/>
    <m/>
    <m/>
    <m/>
    <m/>
    <m/>
    <m/>
    <m/>
    <m/>
    <m/>
    <m/>
    <m/>
    <d v="2013-09-30T00:00:00"/>
    <n v="1.1709971173074596E-2"/>
    <x v="1"/>
    <n v="0"/>
    <x v="0"/>
  </r>
  <r>
    <d v="2013-10-31T00:00:00"/>
    <x v="10"/>
    <s v="Series 4"/>
    <n v="6273667.7139999997"/>
    <n v="1693500.873835166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10-31T00:00:00"/>
    <n v="9.5027632562973974E-3"/>
    <x v="1"/>
    <n v="0"/>
    <x v="1"/>
  </r>
  <r>
    <d v="2013-11-29T00:00:00"/>
    <x v="10"/>
    <s v="Series 4"/>
    <n v="6143947.6579999998"/>
    <n v="1658484.510488456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2.0676908933274118E-2"/>
    <x v="1"/>
    <n v="0"/>
    <x v="2"/>
  </r>
  <r>
    <d v="2013-12-31T00:00:00"/>
    <x v="10"/>
    <s v="Series 4"/>
    <n v="6173033.9780000001"/>
    <n v="1666336.011489494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4.7341418936288626E-3"/>
    <x v="1"/>
    <n v="0"/>
    <x v="3"/>
  </r>
  <r>
    <d v="2014-01-30T00:00:00"/>
    <x v="10"/>
    <s v="Series 4"/>
    <n v="6044729.7539999997"/>
    <n v="1631701.834901552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-2.078462947997084E-2"/>
    <x v="1"/>
    <n v="0"/>
    <x v="4"/>
  </r>
  <r>
    <d v="2014-02-28T00:00:00"/>
    <x v="10"/>
    <s v="Series 4"/>
    <n v="5865255.25"/>
    <n v="1583254.858872383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-2.969107161180129E-2"/>
    <x v="1"/>
    <n v="0"/>
    <x v="5"/>
  </r>
  <r>
    <d v="2014-03-31T00:00:00"/>
    <x v="10"/>
    <s v="Series 4"/>
    <n v="4726009.898"/>
    <n v="1275729.3272253543"/>
    <n v="21.6"/>
    <n v="0"/>
    <n v="0"/>
    <n v="-1080000"/>
    <m/>
    <n v="3.7045553450423756"/>
    <n v="-1080000"/>
    <n v="-291532.96398859605"/>
    <n v="-1080000"/>
    <n v="-1080000"/>
    <s v="Private Equity Fund"/>
    <n v="0"/>
    <n v="0"/>
    <n v="0"/>
    <n v="0"/>
    <m/>
    <m/>
    <m/>
    <m/>
    <m/>
    <m/>
    <m/>
    <m/>
    <m/>
    <m/>
    <m/>
    <d v="2014-03-31T00:00:00"/>
    <n v="-1.0101069684904207E-2"/>
    <x v="1"/>
    <n v="0"/>
    <x v="6"/>
  </r>
  <r>
    <d v="2014-04-30T00:00:00"/>
    <x v="10"/>
    <s v="Series 4"/>
    <n v="4696329.7060000002"/>
    <n v="1267717.517646177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6.2801798220016858E-3"/>
    <x v="1"/>
    <n v="0"/>
    <x v="7"/>
  </r>
  <r>
    <d v="2014-05-30T00:00:00"/>
    <x v="10"/>
    <s v="Series 4"/>
    <n v="3991671.29"/>
    <n v="1077503.4837424841"/>
    <n v="21.6"/>
    <n v="0"/>
    <n v="0"/>
    <n v="-648000"/>
    <m/>
    <n v="3.7045553450423756"/>
    <n v="-648000"/>
    <n v="-174919.77839315764"/>
    <n v="-648000"/>
    <n v="-648000"/>
    <s v="Private Equity Fund"/>
    <n v="0"/>
    <n v="0"/>
    <n v="0"/>
    <n v="0"/>
    <m/>
    <m/>
    <m/>
    <m/>
    <m/>
    <m/>
    <m/>
    <m/>
    <m/>
    <m/>
    <m/>
    <d v="2014-05-30T00:00:00"/>
    <n v="-1.2064403384543843E-2"/>
    <x v="1"/>
    <n v="0"/>
    <x v="8"/>
  </r>
  <r>
    <d v="2014-06-30T00:00:00"/>
    <x v="10"/>
    <s v="Series 4"/>
    <n v="3968333.57"/>
    <n v="1071203.747923654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-5.8466036666060539E-3"/>
    <x v="1"/>
    <n v="0"/>
    <x v="9"/>
  </r>
  <r>
    <d v="2014-07-31T00:00:00"/>
    <x v="10"/>
    <s v="Series 4"/>
    <n v="3941840.466"/>
    <n v="1064052.254280711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7-31T00:00:00"/>
    <n v="-6.6761282872699335E-3"/>
    <x v="1"/>
    <n v="0"/>
    <x v="10"/>
  </r>
  <r>
    <d v="2014-08-29T00:00:00"/>
    <x v="10"/>
    <s v="Series 4"/>
    <n v="4137659.6260000006"/>
    <n v="1116911.2729108576"/>
    <n v="21.6"/>
    <n v="0"/>
    <n v="-4.6566128730773926E-10"/>
    <n v="0"/>
    <m/>
    <n v="3.7045553450423756"/>
    <n v="-4.6566128730773926E-10"/>
    <n v="0"/>
    <n v="-4.6566128730773926E-10"/>
    <n v="-4.6566128730773926E-10"/>
    <s v="Private Equity Fund"/>
    <n v="0"/>
    <n v="0"/>
    <n v="0"/>
    <n v="0"/>
    <m/>
    <m/>
    <m/>
    <m/>
    <m/>
    <m/>
    <m/>
    <m/>
    <m/>
    <m/>
    <m/>
    <d v="2014-08-29T00:00:00"/>
    <n v="4.9677089087958315E-2"/>
    <x v="1"/>
    <n v="0"/>
    <x v="11"/>
  </r>
  <r>
    <d v="2014-09-30T00:00:00"/>
    <x v="10"/>
    <s v="Series 4"/>
    <n v="4143770.6900000004"/>
    <n v="1118560.88087478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1.4769373395528973E-3"/>
    <x v="1"/>
    <n v="0"/>
    <x v="12"/>
  </r>
  <r>
    <d v="2014-10-31T00:00:00"/>
    <x v="10"/>
    <s v="Series 4"/>
    <n v="3962028.122"/>
    <n v="1069501.668345213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10-31T00:00:00"/>
    <n v="-4.3859224266099672E-2"/>
    <x v="1"/>
    <n v="0"/>
    <x v="149"/>
  </r>
  <r>
    <d v="2014-11-28T00:00:00"/>
    <x v="10"/>
    <s v="Series 4"/>
    <n v="3717759.3539999998"/>
    <n v="1003564.262840692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6.1652456892884233E-2"/>
    <x v="1"/>
    <n v="0"/>
    <x v="150"/>
  </r>
  <r>
    <d v="2014-12-31T00:00:00"/>
    <x v="10"/>
    <s v="Series 4"/>
    <n v="3209316.37"/>
    <n v="866316.21641039068"/>
    <n v="21.6"/>
    <n v="0"/>
    <n v="0"/>
    <n v="-518400"/>
    <m/>
    <n v="3.7045553450423756"/>
    <n v="-518400"/>
    <n v="-139935.82271452612"/>
    <n v="-518400"/>
    <n v="-518400"/>
    <s v="Private Equity Fund"/>
    <n v="0"/>
    <n v="0"/>
    <n v="0"/>
    <n v="0"/>
    <m/>
    <m/>
    <m/>
    <m/>
    <m/>
    <m/>
    <m/>
    <m/>
    <m/>
    <m/>
    <m/>
    <d v="2014-12-31T00:00:00"/>
    <n v="2.6782303672472363E-3"/>
    <x v="1"/>
    <n v="0"/>
    <x v="151"/>
  </r>
  <r>
    <d v="2015-01-30T00:00:00"/>
    <x v="10"/>
    <s v="Series 4"/>
    <n v="3179390.8892999999"/>
    <n v="858238.194107377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-9.3245654992873961E-3"/>
    <x v="1"/>
    <n v="0"/>
    <x v="152"/>
  </r>
  <r>
    <d v="2015-02-27T00:00:00"/>
    <x v="10"/>
    <s v="Series 4"/>
    <n v="3319515.1650999999"/>
    <n v="896063.0510062007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4.4072679541096171E-2"/>
    <x v="1"/>
    <n v="0"/>
    <x v="153"/>
  </r>
  <r>
    <d v="2015-03-31T00:00:00"/>
    <x v="10"/>
    <s v="Series 4"/>
    <n v="2790645.7563999998"/>
    <n v="753301.13778286078"/>
    <n v="21.6"/>
    <n v="0"/>
    <n v="0"/>
    <n v="-507600.00000000006"/>
    <m/>
    <n v="3.7045553450423756"/>
    <n v="-507600.00000000006"/>
    <n v="-137020.49307464017"/>
    <n v="-507600.00000000006"/>
    <n v="-507600.00000000006"/>
    <s v="Private Equity Fund"/>
    <n v="0"/>
    <n v="0"/>
    <n v="0"/>
    <n v="0"/>
    <m/>
    <m/>
    <m/>
    <m/>
    <m/>
    <m/>
    <m/>
    <m/>
    <m/>
    <m/>
    <m/>
    <d v="2015-03-31T00:00:00"/>
    <n v="-6.4073841034431034E-3"/>
    <x v="1"/>
    <n v="0"/>
    <x v="154"/>
  </r>
  <r>
    <d v="2015-04-30T00:00:00"/>
    <x v="10"/>
    <s v="Series 4"/>
    <n v="2838513.8612000002"/>
    <n v="766222.5548873614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4-30T00:00:00"/>
    <n v="1.7153056668056443E-2"/>
    <x v="1"/>
    <n v="0"/>
    <x v="155"/>
  </r>
  <r>
    <d v="2015-05-29T00:00:00"/>
    <x v="10"/>
    <s v="Series 4"/>
    <n v="2857554.9268"/>
    <n v="771362.4607131663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6.7081108393636235E-3"/>
    <x v="1"/>
    <n v="0"/>
    <x v="156"/>
  </r>
  <r>
    <d v="2015-06-30T00:00:00"/>
    <x v="10"/>
    <s v="Series 4"/>
    <n v="2822405.6140999999"/>
    <n v="761874.3280153950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-1.2300485415117302E-2"/>
    <x v="1"/>
    <n v="0"/>
    <x v="157"/>
  </r>
  <r>
    <d v="2015-07-31T00:00:00"/>
    <x v="10"/>
    <s v="Series 4"/>
    <n v="2439555.3780999999"/>
    <n v="658528.5279553826"/>
    <n v="21.6"/>
    <n v="0"/>
    <n v="0"/>
    <n v="-270000"/>
    <m/>
    <n v="3.7045553450423756"/>
    <n v="-270000"/>
    <n v="-72883.240997149012"/>
    <n v="-270000"/>
    <n v="-270000"/>
    <s v="Private Equity Fund"/>
    <n v="0"/>
    <n v="0"/>
    <n v="0"/>
    <n v="0"/>
    <m/>
    <m/>
    <m/>
    <m/>
    <m/>
    <m/>
    <m/>
    <m/>
    <m/>
    <m/>
    <m/>
    <d v="2015-07-31T00:00:00"/>
    <n v="-3.998370589834066E-2"/>
    <x v="1"/>
    <n v="0"/>
    <x v="158"/>
  </r>
  <r>
    <d v="2015-08-31T00:00:00"/>
    <x v="10"/>
    <s v="Series 4"/>
    <n v="2518431.3502000002"/>
    <n v="679820.1445607482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3.2332109698379297E-2"/>
    <x v="1"/>
    <n v="0"/>
    <x v="159"/>
  </r>
  <r>
    <d v="2015-09-30T00:00:00"/>
    <x v="10"/>
    <s v="Series 4"/>
    <n v="2499237.2086999998"/>
    <n v="674638.9177434226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09-30T00:00:00"/>
    <n v="-7.6214670288614617E-3"/>
    <x v="1"/>
    <n v="0"/>
    <x v="160"/>
  </r>
  <r>
    <d v="2015-10-30T00:00:00"/>
    <x v="10"/>
    <s v="Series 4"/>
    <n v="2474293.9232999999"/>
    <n v="667905.77892464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9.9803593325078488E-3"/>
    <x v="1"/>
    <n v="0"/>
    <x v="161"/>
  </r>
  <r>
    <d v="2015-11-30T00:00:00"/>
    <x v="10"/>
    <s v="Series 4"/>
    <n v="2160366.0350000001"/>
    <n v="583164.73470726027"/>
    <n v="21.6"/>
    <n v="0"/>
    <n v="0"/>
    <n v="-313200"/>
    <m/>
    <n v="3.7045553450423756"/>
    <n v="-313200"/>
    <n v="-84544.559556692868"/>
    <n v="-313200"/>
    <n v="-313200"/>
    <s v="Private Equity Fund"/>
    <n v="0"/>
    <n v="0"/>
    <n v="0"/>
    <n v="0"/>
    <m/>
    <m/>
    <m/>
    <m/>
    <m/>
    <m/>
    <m/>
    <m/>
    <m/>
    <m/>
    <m/>
    <d v="2015-11-30T00:00:00"/>
    <n v="-2.9418020759186536E-4"/>
    <x v="1"/>
    <n v="0"/>
    <x v="162"/>
  </r>
  <r>
    <d v="2015-12-31T00:00:00"/>
    <x v="10"/>
    <s v="Series 4"/>
    <n v="1634391.7"/>
    <n v="441184.31168459286"/>
    <n v="21.6"/>
    <n v="0"/>
    <n v="0"/>
    <n v="-432000"/>
    <m/>
    <n v="3.7045553450423756"/>
    <n v="-432000"/>
    <n v="-116613.18559543844"/>
    <n v="-432000"/>
    <n v="-432000"/>
    <s v="Private Equity Fund"/>
    <n v="0"/>
    <n v="0"/>
    <n v="0"/>
    <n v="0"/>
    <m/>
    <m/>
    <m/>
    <m/>
    <m/>
    <m/>
    <m/>
    <m/>
    <m/>
    <m/>
    <m/>
    <d v="2015-12-31T00:00:00"/>
    <n v="-4.3499265160406142E-2"/>
    <x v="1"/>
    <n v="0"/>
    <x v="163"/>
  </r>
  <r>
    <d v="2016-01-29T00:00:00"/>
    <x v="10"/>
    <s v="Series 4"/>
    <n v="1566116.28"/>
    <n v="422754.186165920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4.1774208716307104E-2"/>
    <x v="1"/>
    <n v="0"/>
    <x v="164"/>
  </r>
  <r>
    <d v="2016-02-29T00:00:00"/>
    <x v="10"/>
    <s v="Series 4"/>
    <n v="1622956.34"/>
    <n v="438097.4742817441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3.6293639703432579E-2"/>
    <x v="1"/>
    <n v="0"/>
    <x v="165"/>
  </r>
  <r>
    <d v="2016-03-31T00:00:00"/>
    <x v="10"/>
    <s v="Series 4"/>
    <n v="1612981.51"/>
    <n v="435404.8893232419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-6.1460864683520189E-3"/>
    <x v="1"/>
    <n v="0"/>
    <x v="166"/>
  </r>
  <r>
    <d v="2016-04-29T00:00:00"/>
    <x v="10"/>
    <s v="Series 4"/>
    <n v="1702819.5495"/>
    <n v="459655.5837069082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5.5696881175035795E-2"/>
    <x v="1"/>
    <n v="0"/>
    <x v="167"/>
  </r>
  <r>
    <d v="2016-05-31T00:00:00"/>
    <x v="10"/>
    <s v="Series 4"/>
    <n v="1733756.0562"/>
    <n v="468006.5202751527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1.8167812736871625E-2"/>
    <x v="1"/>
    <n v="0"/>
    <x v="168"/>
  </r>
  <r>
    <d v="2016-06-30T00:00:00"/>
    <x v="10"/>
    <s v="Series 4"/>
    <n v="1830080.2498000001"/>
    <n v="494008.0736677632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5.5558100723305248E-2"/>
    <x v="1"/>
    <n v="0"/>
    <x v="169"/>
  </r>
  <r>
    <d v="2016-07-29T00:00:00"/>
    <x v="10"/>
    <s v="Series 4"/>
    <n v="2028854.8348000001"/>
    <n v="547664.8736035531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0.10861522877028107"/>
    <x v="1"/>
    <n v="0"/>
    <x v="170"/>
  </r>
  <r>
    <d v="2016-08-31T00:00:00"/>
    <x v="10"/>
    <s v="Series 4"/>
    <n v="2127885.7980999998"/>
    <n v="574397.0868049372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4.8811261210692791E-2"/>
    <x v="1"/>
    <n v="0"/>
    <x v="171"/>
  </r>
  <r>
    <d v="2016-09-30T00:00:00"/>
    <x v="10"/>
    <s v="Series 4"/>
    <n v="2305587.6395999999"/>
    <n v="622365.5539889434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8.3510986190457714E-2"/>
    <x v="1"/>
    <n v="0"/>
    <x v="172"/>
  </r>
  <r>
    <d v="2016-10-31T00:00:00"/>
    <x v="10"/>
    <s v="Series 4"/>
    <n v="2505019.7538000001"/>
    <n v="676199.8459956456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8.6499472314398806E-2"/>
    <x v="1"/>
    <n v="0"/>
    <x v="173"/>
  </r>
  <r>
    <d v="2016-11-30T00:00:00"/>
    <x v="10"/>
    <s v="Series 4"/>
    <n v="2001996.8402999998"/>
    <n v="540414.88217450271"/>
    <n v="21.6"/>
    <n v="0"/>
    <n v="0"/>
    <n v="-324000"/>
    <m/>
    <n v="3.7045553450423756"/>
    <n v="-324000"/>
    <n v="-87459.889196578821"/>
    <n v="-324000"/>
    <n v="-324000"/>
    <s v="Private Equity Fund"/>
    <n v="0"/>
    <n v="0"/>
    <n v="0"/>
    <n v="0"/>
    <m/>
    <m/>
    <m/>
    <m/>
    <m/>
    <m/>
    <m/>
    <m/>
    <m/>
    <m/>
    <m/>
    <d v="2016-11-30T00:00:00"/>
    <n v="-7.1465669373836582E-2"/>
    <x v="1"/>
    <n v="0"/>
    <x v="174"/>
  </r>
  <r>
    <d v="2016-12-30T00:00:00"/>
    <x v="10"/>
    <s v="Series 4"/>
    <n v="1502309.4084000001"/>
    <n v="405530.29135074659"/>
    <n v="21.6"/>
    <n v="0"/>
    <n v="0"/>
    <n v="-518400"/>
    <m/>
    <n v="3.7045553450423756"/>
    <n v="-518400"/>
    <n v="-139935.82271452612"/>
    <n v="-518400"/>
    <n v="-518400"/>
    <s v="Private Equity Fund"/>
    <n v="0"/>
    <n v="0"/>
    <n v="0"/>
    <n v="0"/>
    <m/>
    <m/>
    <m/>
    <m/>
    <m/>
    <m/>
    <m/>
    <m/>
    <m/>
    <m/>
    <m/>
    <d v="2016-12-30T00:00:00"/>
    <n v="9.3469518649171857E-3"/>
    <x v="1"/>
    <n v="0"/>
    <x v="175"/>
  </r>
  <r>
    <d v="2017-01-27T00:00:00"/>
    <x v="10"/>
    <s v="Series 4"/>
    <n v="1529018.003"/>
    <n v="412739.9540801056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1.7778358073684331E-2"/>
    <x v="1"/>
    <n v="0"/>
    <x v="176"/>
  </r>
  <r>
    <d v="2017-02-28T00:00:00"/>
    <x v="10"/>
    <s v="Series 4"/>
    <n v="1548789.9136000001"/>
    <n v="418077.1426920830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2931116939896459E-2"/>
    <x v="1"/>
    <n v="0"/>
    <x v="177"/>
  </r>
  <r>
    <d v="2017-03-31T00:00:00"/>
    <x v="10"/>
    <s v="Series 4"/>
    <n v="1212858.6850999999"/>
    <n v="327396.56237640209"/>
    <n v="21.6"/>
    <n v="0"/>
    <n v="0"/>
    <n v="-324000"/>
    <m/>
    <n v="3.7045553450423756"/>
    <n v="-324000"/>
    <n v="-87459.889196578821"/>
    <n v="-324000"/>
    <n v="-324000"/>
    <s v="Private Equity Fund"/>
    <n v="0"/>
    <n v="0"/>
    <n v="0"/>
    <n v="0"/>
    <m/>
    <m/>
    <m/>
    <m/>
    <m/>
    <m/>
    <m/>
    <m/>
    <m/>
    <m/>
    <m/>
    <d v="2017-03-31T00:00:00"/>
    <n v="-7.7035809668125621E-3"/>
    <x v="1"/>
    <n v="0"/>
    <x v="178"/>
  </r>
  <r>
    <d v="2017-04-28T00:00:00"/>
    <x v="10"/>
    <s v="Series 4"/>
    <n v="1211369.1230000001"/>
    <n v="326994.4730670891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4-28T00:00:00"/>
    <n v="-1.2281415125265926E-3"/>
    <x v="1"/>
    <n v="0"/>
    <x v="179"/>
  </r>
  <r>
    <d v="2017-05-31T00:00:00"/>
    <x v="10"/>
    <s v="Series 4"/>
    <n v="1189975.8287"/>
    <n v="321219.6114960156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1.7660425624040132E-2"/>
    <x v="1"/>
    <n v="0"/>
    <x v="180"/>
  </r>
  <r>
    <d v="2017-06-30T00:00:00"/>
    <x v="10"/>
    <s v="Series 4"/>
    <n v="1193395.1847999999"/>
    <n v="322142.6254022799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2.8734668533019203E-3"/>
    <x v="1"/>
    <n v="0"/>
    <x v="181"/>
  </r>
  <r>
    <d v="2017-07-31T00:00:00"/>
    <x v="10"/>
    <s v="Series 4"/>
    <n v="710196.65600000008"/>
    <n v="191709.0149430272"/>
    <n v="21.6"/>
    <n v="0"/>
    <n v="0"/>
    <n v="-453600"/>
    <m/>
    <n v="3.7045553450423756"/>
    <n v="-453600"/>
    <n v="-122443.84487521036"/>
    <n v="-453600"/>
    <n v="-453600"/>
    <s v="Private Equity Fund"/>
    <n v="0"/>
    <n v="0"/>
    <n v="0"/>
    <n v="0"/>
    <m/>
    <m/>
    <m/>
    <m/>
    <m/>
    <m/>
    <m/>
    <m/>
    <m/>
    <m/>
    <m/>
    <d v="2017-07-31T00:00:00"/>
    <n v="-2.4801950918681093E-2"/>
    <x v="1"/>
    <n v="0"/>
    <x v="182"/>
  </r>
  <r>
    <d v="2017-08-31T00:00:00"/>
    <x v="10"/>
    <s v="Series 4"/>
    <n v="721500"/>
    <n v="194760.2162201593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1.5915794455669596E-2"/>
    <x v="1"/>
    <n v="0"/>
    <x v="183"/>
  </r>
  <r>
    <d v="2017-09-29T00:00:00"/>
    <x v="10"/>
    <s v="Series 4"/>
    <n v="700700"/>
    <n v="189145.5072840826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2.8828828828828867E-2"/>
    <x v="1"/>
    <n v="0"/>
    <x v="184"/>
  </r>
  <r>
    <d v="2017-10-31T00:00:00"/>
    <x v="10"/>
    <s v="Series 4"/>
    <n v="731700"/>
    <n v="197513.5831022738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4.4241472812901472E-2"/>
    <x v="1"/>
    <n v="0"/>
    <x v="185"/>
  </r>
  <r>
    <d v="2017-11-30T00:00:00"/>
    <x v="10"/>
    <s v="Series 4"/>
    <n v="734100"/>
    <n v="198161.43413335961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  <m/>
    <m/>
    <m/>
    <d v="2017-11-30T00:00:00"/>
    <n v="3.2800328003279589E-3"/>
    <x v="1"/>
    <n v="0"/>
    <x v="186"/>
  </r>
  <r>
    <d v="2017-12-29T00:00:00"/>
    <x v="10"/>
    <s v="Series 4"/>
    <n v="671000"/>
    <n v="181128.35077439627"/>
    <n v="21.6"/>
    <n v="0"/>
    <n v="0"/>
    <n v="-56453.95"/>
    <m/>
    <n v="3.7045553450423756"/>
    <n v="-56453.95"/>
    <n v="-15239.062381818521"/>
    <n v="-56453.95"/>
    <n v="-56453.95"/>
    <s v="Private Equity Fund"/>
    <n v="0"/>
    <n v="0"/>
    <n v="0"/>
    <n v="0"/>
    <m/>
    <m/>
    <m/>
    <m/>
    <m/>
    <m/>
    <m/>
    <m/>
    <m/>
    <m/>
    <m/>
    <d v="2017-12-29T00:00:00"/>
    <n v="-9.0533306089088939E-3"/>
    <x v="1"/>
    <n v="0"/>
    <x v="187"/>
  </r>
  <r>
    <d v="2018-01-31T00:00:00"/>
    <x v="10"/>
    <s v="Series 4"/>
    <n v="660700"/>
    <n v="178347.99009931984"/>
    <n v="21.6"/>
    <n v="0"/>
    <n v="0"/>
    <n v="0"/>
    <m/>
    <n v="3.7045553450423756"/>
    <n v="0"/>
    <n v="0"/>
    <n v="0"/>
    <n v="0"/>
    <s v="Private Equity Fund"/>
    <n v="0"/>
    <n v="0.153"/>
    <m/>
    <n v="0.01"/>
    <m/>
    <m/>
    <m/>
    <m/>
    <m/>
    <m/>
    <m/>
    <m/>
    <m/>
    <m/>
    <m/>
    <d v="2018-01-31T00:00:00"/>
    <n v="-1.5350223546944819E-2"/>
    <x v="1"/>
    <n v="0"/>
    <x v="188"/>
  </r>
  <r>
    <d v="2018-02-28T00:00:00"/>
    <x v="10"/>
    <s v="Series 4"/>
    <n v="675400"/>
    <n v="182316.07766472019"/>
    <n v="21.6"/>
    <n v="0"/>
    <n v="0"/>
    <n v="0"/>
    <m/>
    <n v="3.7045553450423756"/>
    <n v="0"/>
    <n v="0"/>
    <n v="0"/>
    <n v="0"/>
    <s v="Private Equity Fund"/>
    <n v="0"/>
    <n v="0.15670000000000001"/>
    <m/>
    <n v="0.01"/>
    <m/>
    <m/>
    <m/>
    <m/>
    <m/>
    <m/>
    <m/>
    <m/>
    <m/>
    <m/>
    <m/>
    <d v="2018-02-28T00:00:00"/>
    <n v="2.2249129710912641E-2"/>
    <x v="1"/>
    <n v="0"/>
    <x v="189"/>
  </r>
  <r>
    <d v="2018-03-29T00:00:00"/>
    <x v="10"/>
    <s v="Series 4"/>
    <n v="475645.864"/>
    <n v="128394.85976003396"/>
    <n v="21.6"/>
    <n v="0"/>
    <n v="0"/>
    <n v="-198591.5"/>
    <m/>
    <n v="3.7045553450423756"/>
    <n v="-198591.5"/>
    <n v="-53607.378349945626"/>
    <n v="-198591.5"/>
    <n v="-198591.5"/>
    <s v="Private Equity Fund"/>
    <n v="0"/>
    <n v="0.11890000000000001"/>
    <m/>
    <n v="0.01"/>
    <m/>
    <m/>
    <m/>
    <m/>
    <m/>
    <m/>
    <m/>
    <m/>
    <m/>
    <m/>
    <m/>
    <d v="2018-03-29T00:00:00"/>
    <n v="-1.7214036126739218E-3"/>
    <x v="1"/>
    <n v="0"/>
    <x v="190"/>
  </r>
  <r>
    <d v="2018-04-30T00:00:00"/>
    <x v="10"/>
    <s v="Series 4"/>
    <n v="479771.576"/>
    <n v="129508.54591551851"/>
    <n v="21.6"/>
    <n v="0"/>
    <n v="0"/>
    <m/>
    <m/>
    <n v="3.7045553450423756"/>
    <n v="0"/>
    <n v="0"/>
    <n v="0"/>
    <n v="0"/>
    <s v="Private Equity Fund"/>
    <n v="0"/>
    <n v="0.11990000000000001"/>
    <m/>
    <n v="0.01"/>
    <m/>
    <m/>
    <m/>
    <m/>
    <m/>
    <m/>
    <m/>
    <m/>
    <m/>
    <m/>
    <m/>
    <d v="2018-04-30T00:00:00"/>
    <n v="8.6739154321753276E-3"/>
    <x v="1"/>
    <n v="0"/>
    <x v="191"/>
  </r>
  <r>
    <d v="2018-05-31T00:00:00"/>
    <x v="10"/>
    <s v="Series 4"/>
    <n v="481686.25599999999"/>
    <n v="130025.39067060154"/>
    <n v="21.6"/>
    <n v="0"/>
    <n v="0"/>
    <m/>
    <m/>
    <n v="3.7045553450423756"/>
    <n v="0"/>
    <n v="0"/>
    <n v="0"/>
    <n v="0"/>
    <s v="Private Equity Fund"/>
    <n v="0"/>
    <n v="0.12039999999999999"/>
    <m/>
    <n v="0.01"/>
    <m/>
    <m/>
    <m/>
    <m/>
    <m/>
    <m/>
    <m/>
    <m/>
    <m/>
    <m/>
    <m/>
    <d v="2018-05-31T00:00:00"/>
    <n v="3.9908158294061913E-3"/>
    <x v="1"/>
    <n v="0"/>
    <x v="192"/>
  </r>
  <r>
    <d v="2018-06-29T00:00:00"/>
    <x v="10"/>
    <s v="Series 4"/>
    <n v="480798.05599999998"/>
    <n v="129785.63180151388"/>
    <n v="21.6"/>
    <n v="0"/>
    <n v="0"/>
    <m/>
    <m/>
    <n v="3.7045553450423756"/>
    <n v="0"/>
    <n v="0"/>
    <n v="0"/>
    <n v="0"/>
    <s v="Private Equity Fund"/>
    <n v="0"/>
    <n v="0.1202"/>
    <m/>
    <n v="0.01"/>
    <m/>
    <m/>
    <m/>
    <m/>
    <m/>
    <m/>
    <m/>
    <m/>
    <m/>
    <m/>
    <m/>
    <d v="2018-06-29T00:00:00"/>
    <n v="-1.8439388480289143E-3"/>
    <x v="1"/>
    <n v="0"/>
    <x v="193"/>
  </r>
  <r>
    <d v="2018-07-31T00:00:00"/>
    <x v="10"/>
    <s v="Series 4"/>
    <n v="482360.74560000002"/>
    <n v="130207.46099677515"/>
    <n v="21.6"/>
    <n v="0"/>
    <n v="0"/>
    <m/>
    <m/>
    <n v="3.7045553450423756"/>
    <n v="0"/>
    <n v="0"/>
    <n v="0"/>
    <n v="0"/>
    <s v="Private Equity Fund"/>
    <n v="0"/>
    <n v="0.1206"/>
    <m/>
    <n v="0.01"/>
    <m/>
    <m/>
    <m/>
    <m/>
    <m/>
    <m/>
    <m/>
    <m/>
    <m/>
    <m/>
    <m/>
    <d v="2018-07-31T00:00:00"/>
    <n v="3.2501994974789561E-3"/>
    <x v="1"/>
    <n v="0"/>
    <x v="194"/>
  </r>
  <r>
    <d v="2018-08-31T00:00:00"/>
    <x v="10"/>
    <s v="Series 4"/>
    <n v="481263.20799999998"/>
    <n v="129911.19396935205"/>
    <n v="21.6"/>
    <n v="0"/>
    <n v="0"/>
    <m/>
    <m/>
    <n v="3.7045553450423756"/>
    <n v="0"/>
    <n v="0"/>
    <n v="0"/>
    <n v="0"/>
    <s v="Private Equity Fund"/>
    <n v="0"/>
    <n v="0.1203"/>
    <m/>
    <n v="0.01"/>
    <m/>
    <m/>
    <m/>
    <m/>
    <m/>
    <m/>
    <m/>
    <m/>
    <m/>
    <m/>
    <m/>
    <d v="2018-08-31T00:00:00"/>
    <n v="-2.2753460143918325E-3"/>
    <x v="1"/>
    <n v="0"/>
    <x v="195"/>
  </r>
  <r>
    <d v="2018-09-28T00:00:00"/>
    <x v="10"/>
    <s v="Series 4"/>
    <n v="482414.83199999999"/>
    <m/>
    <n v="21.6"/>
    <m/>
    <n v="0"/>
    <n v="0"/>
    <m/>
    <n v="0"/>
    <n v="0"/>
    <e v="#DIV/0!"/>
    <n v="0"/>
    <n v="0"/>
    <s v="Private Equity Fund"/>
    <n v="0"/>
    <n v="0.1206"/>
    <m/>
    <n v="0.01"/>
    <m/>
    <m/>
    <m/>
    <m/>
    <m/>
    <m/>
    <m/>
    <m/>
    <m/>
    <m/>
    <m/>
    <d v="2018-09-28T00:00:00"/>
    <n v="2.3929192609297711E-3"/>
    <x v="1"/>
    <n v="0"/>
    <x v="196"/>
  </r>
  <r>
    <d v="2018-10-31T00:00:00"/>
    <x v="10"/>
    <s v="Series 4"/>
    <n v="384502.76"/>
    <m/>
    <n v="21.6"/>
    <m/>
    <n v="0"/>
    <n v="98537.800000000017"/>
    <n v="0"/>
    <m/>
    <n v="98537.800000000017"/>
    <e v="#DIV/0!"/>
    <n v="-285964.95999999996"/>
    <n v="-285964.95999999996"/>
    <s v="Private Equity Fund"/>
    <n v="0"/>
    <n v="9.6100000000000005E-2"/>
    <m/>
    <n v="0.01"/>
    <m/>
    <m/>
    <m/>
    <m/>
    <m/>
    <m/>
    <m/>
    <m/>
    <m/>
    <m/>
    <m/>
    <d v="2018-10-31T00:00:00"/>
    <n v="-0.40722187414005551"/>
    <x v="1"/>
    <n v="0"/>
    <x v="197"/>
  </r>
  <r>
    <d v="2012-06-29T00:00:00"/>
    <x v="11"/>
    <s v="Series 1"/>
    <n v="4029878.06"/>
    <n v="4138951.2565498538"/>
    <n v="20"/>
    <n v="4000000"/>
    <n v="0"/>
    <n v="0"/>
    <m/>
    <n v="0.97364714156098209"/>
    <n v="4000000"/>
    <n v="4138951.2565498538"/>
    <n v="4000000"/>
    <n v="4000000"/>
    <s v="Private Equity Fund"/>
    <n v="0"/>
    <n v="0"/>
    <n v="6.8459550000000014E-4"/>
    <n v="1.0984095000000002E-3"/>
    <s v="ARF"/>
    <n v="2.0149390299999999"/>
    <s v="HRF"/>
    <n v="2.0149390299999999"/>
    <m/>
    <m/>
    <m/>
    <m/>
    <m/>
    <m/>
    <m/>
    <d v="2012-06-29T00:00:00"/>
    <n v="7.4695149999999266E-3"/>
    <x v="1"/>
    <n v="0"/>
    <x v="134"/>
  </r>
  <r>
    <d v="2012-07-31T00:00:00"/>
    <x v="11"/>
    <s v="Series 1"/>
    <n v="4010930.6934421007"/>
    <n v="4119491.058138012"/>
    <n v="20"/>
    <n v="0"/>
    <n v="0"/>
    <n v="0"/>
    <m/>
    <n v="0.97364714156098209"/>
    <n v="0"/>
    <n v="0"/>
    <n v="0"/>
    <n v="0"/>
    <s v="Private Equity Fund"/>
    <n v="0"/>
    <n v="0"/>
    <n v="7.5138400000000012E-4"/>
    <n v="2.2401649999999999E-4"/>
    <s v="ARF"/>
    <n v="2.0054653467210501"/>
    <s v="HRF"/>
    <n v="2.0054653467210501"/>
    <m/>
    <m/>
    <m/>
    <m/>
    <m/>
    <m/>
    <m/>
    <d v="2012-07-31T00:00:00"/>
    <n v="-4.7017220560513495E-3"/>
    <x v="1"/>
    <n v="0"/>
    <x v="135"/>
  </r>
  <r>
    <d v="2012-08-31T00:00:00"/>
    <x v="11"/>
    <s v="Series 1"/>
    <n v="6354230"/>
    <n v="4170388.8988385224"/>
    <n v="20"/>
    <n v="2300000"/>
    <n v="0"/>
    <n v="0"/>
    <m/>
    <n v="1.5236540653965605"/>
    <n v="2300000"/>
    <n v="0"/>
    <n v="2300000"/>
    <n v="2300000"/>
    <s v="Private Equity Fund"/>
    <n v="0"/>
    <n v="0"/>
    <n v="2.810686122916667E-3"/>
    <n v="1.8767730000000004E-3"/>
    <s v="ARF"/>
    <n v="3.1771150000000001"/>
    <s v="HRF"/>
    <n v="3.1771150000000001"/>
    <m/>
    <m/>
    <m/>
    <m/>
    <m/>
    <m/>
    <m/>
    <d v="2012-08-31T00:00:00"/>
    <n v="1.079532653822568E-2"/>
    <x v="1"/>
    <n v="0"/>
    <x v="136"/>
  </r>
  <r>
    <d v="2012-09-28T00:00:00"/>
    <x v="11"/>
    <s v="Series 1"/>
    <n v="7483423.5"/>
    <n v="4133646.6856795652"/>
    <n v="20"/>
    <n v="1220000"/>
    <n v="0"/>
    <n v="0"/>
    <m/>
    <n v="1.8103684395488524"/>
    <n v="1220000"/>
    <n v="0"/>
    <n v="1220000"/>
    <n v="1220000"/>
    <s v="Private Equity Fund"/>
    <n v="4.44350107782438E-2"/>
    <n v="0"/>
    <n v="2.9385898500000002E-3"/>
    <n v="0"/>
    <s v="ARF"/>
    <n v="3.7417117499999999"/>
    <s v="HRF"/>
    <n v="3.7417117499999999"/>
    <m/>
    <m/>
    <m/>
    <m/>
    <m/>
    <m/>
    <m/>
    <d v="2012-09-28T00:00:00"/>
    <n v="-1.4290716577775697E-2"/>
    <x v="1"/>
    <n v="0"/>
    <x v="137"/>
  </r>
  <r>
    <d v="2012-10-31T00:00:00"/>
    <x v="11"/>
    <s v="Series 1"/>
    <n v="7518596.9400000004"/>
    <n v="4153075.5705582509"/>
    <n v="20"/>
    <n v="0"/>
    <n v="-9.3132257461547852E-10"/>
    <n v="0"/>
    <m/>
    <n v="1.8103684395488524"/>
    <n v="-9.3132257461547852E-10"/>
    <n v="0"/>
    <n v="-9.3132257461547852E-10"/>
    <n v="-9.3132257461547852E-10"/>
    <s v="Private Equity Fund"/>
    <n v="5.2980052493631101E-2"/>
    <n v="7.4905757500000114E-2"/>
    <n v="3.4935929770833329E-3"/>
    <n v="2.6837677770833335E-3"/>
    <s v="ARF"/>
    <n v="3.7592984700000001"/>
    <s v="HRF"/>
    <n v="3.7592984700000001"/>
    <m/>
    <m/>
    <m/>
    <m/>
    <m/>
    <m/>
    <m/>
    <d v="2012-10-31T00:00:00"/>
    <n v="4.7001803385844365E-3"/>
    <x v="1"/>
    <n v="0"/>
    <x v="138"/>
  </r>
  <r>
    <d v="2012-11-30T00:00:00"/>
    <x v="11"/>
    <s v="Series 1"/>
    <n v="12245659.699999999"/>
    <n v="4179855.2652301537"/>
    <n v="20"/>
    <n v="4760000"/>
    <n v="0"/>
    <n v="0"/>
    <m/>
    <n v="2.9296851022246391"/>
    <n v="4760000"/>
    <n v="0"/>
    <n v="4760000"/>
    <n v="4760000"/>
    <s v="Private Equity Fund"/>
    <n v="8.6749536822355797E-2"/>
    <n v="0.10311649599999971"/>
    <n v="4.9409078374999995E-3"/>
    <n v="3.7053753874999999E-3"/>
    <s v="ARF"/>
    <n v="6.1228298499999996"/>
    <s v="HRF"/>
    <n v="6.1228298499999996"/>
    <m/>
    <m/>
    <m/>
    <m/>
    <m/>
    <m/>
    <m/>
    <d v="2012-11-30T00:00:00"/>
    <n v="-4.3807694790460872E-3"/>
    <x v="1"/>
    <n v="0"/>
    <x v="139"/>
  </r>
  <r>
    <d v="2012-12-31T00:00:00"/>
    <x v="11"/>
    <s v="Series 1"/>
    <n v="13875515.779999997"/>
    <n v="4205467.1665304592"/>
    <n v="20"/>
    <n v="1580000"/>
    <n v="0"/>
    <n v="0"/>
    <m/>
    <n v="3.2993993843132055"/>
    <n v="1580000"/>
    <n v="0"/>
    <n v="1580000"/>
    <n v="1580000"/>
    <s v="Private Equity Fund"/>
    <n v="0.103769811635849"/>
    <n v="0.25944480800000036"/>
    <n v="5.7562168500000007E-3"/>
    <n v="1.0330484822916668E-2"/>
    <s v="ARF"/>
    <n v="6.9377578899999994"/>
    <s v="HRF"/>
    <n v="6.9377578899999994"/>
    <m/>
    <m/>
    <m/>
    <m/>
    <m/>
    <m/>
    <m/>
    <d v="2012-12-31T00:00:00"/>
    <n v="4.071326594188962E-3"/>
    <x v="1"/>
    <n v="0"/>
    <x v="140"/>
  </r>
  <r>
    <d v="2013-01-31T00:00:00"/>
    <x v="11"/>
    <s v="Series 1"/>
    <n v="13703525.24"/>
    <n v="4153339.3335625208"/>
    <n v="20"/>
    <n v="0"/>
    <n v="-1.862645149230957E-9"/>
    <n v="0"/>
    <m/>
    <n v="3.2993993843132055"/>
    <n v="-1.862645149230957E-9"/>
    <n v="0"/>
    <n v="-1.862645149230957E-9"/>
    <n v="-1.862645149230957E-9"/>
    <s v="Private Equity Fund"/>
    <n v="0.10308979524162801"/>
    <n v="0.255766039"/>
    <n v="5.7208678151277797E-3"/>
    <n v="9.9390453983333356E-3"/>
    <s v="ARF"/>
    <n v="6.8517626199999997"/>
    <s v="HRF"/>
    <n v="6.8517626199999997"/>
    <m/>
    <m/>
    <m/>
    <m/>
    <m/>
    <m/>
    <m/>
    <d v="2013-01-31T00:00:00"/>
    <n v="-1.2395253821692154E-2"/>
    <x v="1"/>
    <n v="0"/>
    <x v="141"/>
  </r>
  <r>
    <d v="2013-02-28T00:00:00"/>
    <x v="11"/>
    <s v="Series 1"/>
    <n v="15562001.039999999"/>
    <n v="4221422.2649204005"/>
    <n v="20"/>
    <n v="1660000"/>
    <n v="0"/>
    <n v="0"/>
    <m/>
    <n v="3.6864355336633059"/>
    <n v="1660000"/>
    <n v="0"/>
    <n v="1660000"/>
    <n v="1660000"/>
    <s v="Private Equity Fund"/>
    <n v="0.107276674580859"/>
    <n v="0.338444199"/>
    <n v="5.8240889251275256E-3"/>
    <n v="1.334926036124998E-2"/>
    <s v="ARF"/>
    <n v="7.7810005199999992"/>
    <s v="HRF"/>
    <n v="7.7810005199999992"/>
    <m/>
    <m/>
    <m/>
    <m/>
    <m/>
    <m/>
    <m/>
    <d v="2013-02-28T00:00:00"/>
    <n v="1.448355780895394E-2"/>
    <x v="1"/>
    <n v="0"/>
    <x v="142"/>
  </r>
  <r>
    <d v="2013-03-28T00:00:00"/>
    <x v="11"/>
    <s v="Series 1"/>
    <n v="16739315.179999996"/>
    <n v="4231037.5286431285"/>
    <n v="20"/>
    <n v="1180000"/>
    <n v="0"/>
    <n v="0"/>
    <m/>
    <n v="3.9563145130901747"/>
    <n v="1180000"/>
    <n v="0"/>
    <n v="1180000"/>
    <n v="1180000"/>
    <s v="Private Equity Fund"/>
    <n v="0.11615643422216899"/>
    <n v="0.2622608974999992"/>
    <n v="6.2295760000000006E-3"/>
    <n v="9.7893083583333353E-3"/>
    <s v="ARF"/>
    <n v="8.3696575899999992"/>
    <s v="HRF"/>
    <n v="8.3696575899999992"/>
    <m/>
    <m/>
    <m/>
    <m/>
    <m/>
    <m/>
    <m/>
    <d v="2013-03-28T00:00:00"/>
    <n v="-1.7259091508214919E-4"/>
    <x v="1"/>
    <n v="0"/>
    <x v="143"/>
  </r>
  <r>
    <d v="2013-04-30T00:00:00"/>
    <x v="11"/>
    <s v="Series 1"/>
    <n v="17189065.48"/>
    <n v="4187066.9176211073"/>
    <n v="20"/>
    <n v="648960"/>
    <n v="0"/>
    <n v="0"/>
    <m/>
    <n v="4.1052760364685099"/>
    <n v="648960"/>
    <n v="0"/>
    <n v="648960"/>
    <n v="648960"/>
    <s v="Private Equity Fund"/>
    <n v="0.14087869872832201"/>
    <n v="7.0979914500001101E-2"/>
    <n v="7.513362983333334E-3"/>
    <n v="1.4195982000000003E-3"/>
    <s v="ARF"/>
    <n v="8.59453274"/>
    <s v="HRF"/>
    <n v="8.59453274"/>
    <m/>
    <m/>
    <m/>
    <m/>
    <m/>
    <m/>
    <m/>
    <d v="2013-04-30T00:00:00"/>
    <n v="-1.1900707875911798E-2"/>
    <x v="1"/>
    <n v="0"/>
    <x v="144"/>
  </r>
  <r>
    <d v="2013-05-31T00:00:00"/>
    <x v="11"/>
    <s v="Series 1"/>
    <n v="17284523.859999999"/>
    <n v="4210319.5269833067"/>
    <n v="20"/>
    <n v="0"/>
    <n v="0"/>
    <n v="0"/>
    <m/>
    <n v="4.1052760364685099"/>
    <n v="0"/>
    <n v="0"/>
    <n v="0"/>
    <n v="0"/>
    <s v="Private Equity Fund"/>
    <n v="0.13342731951925699"/>
    <n v="0.23611917049999909"/>
    <n v="7.1123933583333325E-3"/>
    <n v="8.1409090333333326E-3"/>
    <s v="ARF"/>
    <n v="8.6422619300000001"/>
    <s v="HRF"/>
    <n v="8.6422619300000001"/>
    <m/>
    <m/>
    <m/>
    <m/>
    <m/>
    <m/>
    <m/>
    <d v="2013-05-31T00:00:00"/>
    <n v="5.5534362883815636E-3"/>
    <x v="1"/>
    <n v="0"/>
    <x v="145"/>
  </r>
  <r>
    <d v="2013-06-28T00:00:00"/>
    <x v="11"/>
    <s v="Series 1"/>
    <n v="17464276.260000002"/>
    <n v="4254105.2306493213"/>
    <n v="20"/>
    <n v="0"/>
    <n v="0"/>
    <n v="0"/>
    <m/>
    <n v="4.1052760364685099"/>
    <n v="0"/>
    <n v="0"/>
    <n v="0"/>
    <n v="0"/>
    <s v="Private Equity Fund"/>
    <n v="0.121003450645939"/>
    <n v="0.24113119200000002"/>
    <n v="6.4470436291666671E-3"/>
    <n v="8.254087508333334E-3"/>
    <s v="ARF"/>
    <n v="8.7321381300000009"/>
    <s v="HRF"/>
    <n v="8.7321381300000009"/>
    <m/>
    <m/>
    <m/>
    <m/>
    <m/>
    <m/>
    <m/>
    <d v="2013-06-28T00:00:00"/>
    <n v="1.0399615370139781E-2"/>
    <x v="1"/>
    <n v="0"/>
    <x v="146"/>
  </r>
  <r>
    <d v="2013-07-31T00:00:00"/>
    <x v="11"/>
    <s v="Series 1"/>
    <n v="16949422.66"/>
    <n v="4128692.567669685"/>
    <n v="20"/>
    <n v="0"/>
    <n v="0"/>
    <n v="0"/>
    <m/>
    <n v="4.1052760364685099"/>
    <n v="0"/>
    <n v="0"/>
    <n v="0"/>
    <n v="0"/>
    <s v="Private Equity Fund"/>
    <n v="0.13853193730990199"/>
    <n v="0"/>
    <n v="7.3886962000000002E-3"/>
    <n v="0"/>
    <s v="ARF"/>
    <n v="8.4747113299999999"/>
    <s v="HRF"/>
    <n v="8.4747113299999999"/>
    <m/>
    <m/>
    <m/>
    <m/>
    <m/>
    <m/>
    <m/>
    <d v="2013-07-31T00:00:00"/>
    <n v="-2.9480385693349209E-2"/>
    <x v="1"/>
    <n v="0"/>
    <x v="147"/>
  </r>
  <r>
    <d v="2013-08-30T00:00:00"/>
    <x v="11"/>
    <s v="Series 1"/>
    <n v="16655431.660000002"/>
    <n v="4057079.6000182093"/>
    <n v="20"/>
    <n v="0"/>
    <n v="0"/>
    <n v="0"/>
    <m/>
    <n v="4.1052760364685099"/>
    <n v="0"/>
    <n v="0"/>
    <n v="0"/>
    <n v="0"/>
    <s v="Private Equity Fund"/>
    <n v="0.12398072844547101"/>
    <n v="0"/>
    <n v="6.6158181325960295E-3"/>
    <n v="0"/>
    <s v="ARF"/>
    <n v="8.3277158300000007"/>
    <s v="HRF"/>
    <n v="8.3277158300000007"/>
    <m/>
    <m/>
    <m/>
    <m/>
    <m/>
    <m/>
    <m/>
    <d v="2013-08-30T00:00:00"/>
    <n v="-1.7345192570706547E-2"/>
    <x v="1"/>
    <n v="0"/>
    <x v="148"/>
  </r>
  <r>
    <d v="2013-09-30T00:00:00"/>
    <x v="11"/>
    <s v="Series 1"/>
    <n v="19326548.100000001"/>
    <n v="4067147.6995531274"/>
    <n v="20"/>
    <n v="2660000"/>
    <n v="0"/>
    <n v="0"/>
    <m/>
    <n v="4.7518677775393998"/>
    <n v="2660000"/>
    <n v="0"/>
    <n v="2660000"/>
    <n v="2660000"/>
    <s v="Private Equity Fund"/>
    <n v="0.169472467734434"/>
    <n v="0"/>
    <n v="8.6614820471078904E-3"/>
    <n v="0"/>
    <s v="ARF"/>
    <n v="9.6632740500000001"/>
    <s v="HRF"/>
    <n v="9.6632740500000001"/>
    <m/>
    <m/>
    <m/>
    <m/>
    <m/>
    <m/>
    <m/>
    <d v="2013-09-30T00:00:00"/>
    <n v="6.6743631908972034E-4"/>
    <x v="1"/>
    <n v="0"/>
    <x v="0"/>
  </r>
  <r>
    <d v="2013-10-31T00:00:00"/>
    <x v="11"/>
    <s v="Series 1"/>
    <n v="16417722.399999999"/>
    <n v="3455004.0465354407"/>
    <n v="20"/>
    <n v="0"/>
    <n v="0"/>
    <n v="-3224867.42"/>
    <m/>
    <n v="4.7518677775393998"/>
    <n v="-3224867.42"/>
    <n v="-678652.59956157545"/>
    <n v="-3224867.42"/>
    <n v="-3224867.42"/>
    <s v="Private Equity Fund"/>
    <n v="0.14767777177191402"/>
    <n v="0.22893597500000112"/>
    <n v="7.5469736604166669E-3"/>
    <n v="6.605525027083334E-3"/>
    <s v="ARF"/>
    <n v="8.2088611999999994"/>
    <s v="HRF"/>
    <n v="8.2088611999999994"/>
    <m/>
    <m/>
    <m/>
    <m/>
    <m/>
    <m/>
    <m/>
    <d v="2013-10-31T00:00:00"/>
    <n v="1.6352724675132269E-2"/>
    <x v="1"/>
    <n v="0"/>
    <x v="1"/>
  </r>
  <r>
    <d v="2013-11-29T00:00:00"/>
    <x v="11"/>
    <s v="Series 1"/>
    <n v="16367553.960000001"/>
    <n v="3444446.4211239913"/>
    <n v="20"/>
    <n v="0"/>
    <n v="0"/>
    <n v="0"/>
    <m/>
    <n v="4.7518677775393998"/>
    <n v="0"/>
    <n v="0"/>
    <n v="0"/>
    <n v="0"/>
    <s v="Private Equity Fund"/>
    <n v="0.13805853620390901"/>
    <n v="0.25754727300000002"/>
    <n v="7.0542959854166679E-3"/>
    <n v="7.6213894083333343E-3"/>
    <s v="ARF"/>
    <n v="8.1837769800000011"/>
    <s v="HRF"/>
    <n v="8.1837769800000011"/>
    <m/>
    <m/>
    <m/>
    <m/>
    <m/>
    <m/>
    <m/>
    <d v="2013-11-29T00:00:00"/>
    <n v="-3.0557490727214365E-3"/>
    <x v="1"/>
    <n v="0"/>
    <x v="2"/>
  </r>
  <r>
    <d v="2013-12-31T00:00:00"/>
    <x v="11"/>
    <s v="Series 1"/>
    <n v="16639720.48"/>
    <n v="3501722.1141233728"/>
    <n v="20"/>
    <n v="0"/>
    <n v="0"/>
    <n v="0"/>
    <m/>
    <n v="4.7518677775393998"/>
    <n v="0"/>
    <n v="0"/>
    <n v="0"/>
    <n v="0"/>
    <s v="Private Equity Fund"/>
    <n v="0.15521295352099571"/>
    <n v="0.64462153002730549"/>
    <n v="7.9298758840632803E-3"/>
    <n v="2.4295049900000299E-2"/>
    <s v="ARF"/>
    <n v="8.3198602400000006"/>
    <s v="HRF"/>
    <n v="8.3198602400000006"/>
    <m/>
    <m/>
    <m/>
    <m/>
    <m/>
    <m/>
    <m/>
    <d v="2013-12-31T00:00:00"/>
    <n v="1.6628417457192235E-2"/>
    <x v="1"/>
    <n v="0"/>
    <x v="3"/>
  </r>
  <r>
    <d v="2014-01-30T00:00:00"/>
    <x v="11"/>
    <s v="Series 1"/>
    <n v="16905601.559999999"/>
    <n v="3557675.0767156268"/>
    <n v="20"/>
    <n v="0"/>
    <n v="0"/>
    <n v="0"/>
    <m/>
    <n v="4.7518677775393998"/>
    <n v="0"/>
    <n v="0"/>
    <n v="0"/>
    <n v="0"/>
    <s v="Private Equity Fund"/>
    <n v="0.14777942514555001"/>
    <n v="0.94586041050000047"/>
    <n v="7.5488678017476994E-3"/>
    <n v="3.7246241853750001E-2"/>
    <s v="ARF"/>
    <n v="8.4528007799999987"/>
    <s v="HRF"/>
    <n v="8.4528007799999987"/>
    <m/>
    <m/>
    <m/>
    <m/>
    <m/>
    <m/>
    <m/>
    <d v="2014-01-30T00:00:00"/>
    <n v="1.5978698699871341E-2"/>
    <x v="1"/>
    <n v="0"/>
    <x v="4"/>
  </r>
  <r>
    <d v="2014-02-28T00:00:00"/>
    <x v="11"/>
    <s v="Series 1"/>
    <n v="17002095.659999996"/>
    <n v="3577981.6392121874"/>
    <n v="20"/>
    <n v="0"/>
    <n v="0"/>
    <n v="0"/>
    <m/>
    <n v="4.7518677775393998"/>
    <n v="0"/>
    <n v="0"/>
    <n v="0"/>
    <n v="0"/>
    <s v="Private Equity Fund"/>
    <n v="0.14378600872052799"/>
    <n v="1.0921174825"/>
    <n v="7.3437693641430699E-3"/>
    <n v="4.3415455349583305E-2"/>
    <s v="ARF"/>
    <n v="8.5010478299999992"/>
    <s v="HRF"/>
    <n v="8.5010478299999992"/>
    <m/>
    <m/>
    <m/>
    <m/>
    <m/>
    <m/>
    <m/>
    <d v="2014-02-28T00:00:00"/>
    <n v="5.707818184258473E-3"/>
    <x v="1"/>
    <n v="0"/>
    <x v="5"/>
  </r>
  <r>
    <d v="2014-03-31T00:00:00"/>
    <x v="11"/>
    <s v="Series 1"/>
    <n v="16321037.359999999"/>
    <n v="3434657.3019443983"/>
    <n v="20"/>
    <n v="0"/>
    <n v="0"/>
    <n v="-875800"/>
    <m/>
    <n v="4.7518677775393998"/>
    <n v="-875800"/>
    <n v="-184306.4750537955"/>
    <n v="-875800"/>
    <n v="-875800"/>
    <s v="Private Equity Fund"/>
    <n v="0.147148692856092"/>
    <n v="1.2494029125000008"/>
    <n v="7.5156186244553598E-3"/>
    <n v="5.08554830398006E-2"/>
    <s v="ARF"/>
    <n v="8.1605186799999991"/>
    <s v="HRF"/>
    <n v="8.1605186799999991"/>
    <m/>
    <m/>
    <m/>
    <m/>
    <m/>
    <m/>
    <m/>
    <d v="2014-03-31T00:00:00"/>
    <n v="1.1453982138105667E-2"/>
    <x v="1"/>
    <n v="0"/>
    <x v="6"/>
  </r>
  <r>
    <d v="2014-04-30T00:00:00"/>
    <x v="11"/>
    <s v="Series 1"/>
    <n v="16135483.119999999"/>
    <n v="3395608.6060027611"/>
    <n v="20"/>
    <n v="0"/>
    <n v="0"/>
    <n v="0"/>
    <m/>
    <n v="4.7518677775393998"/>
    <n v="0"/>
    <n v="0"/>
    <n v="0"/>
    <n v="0"/>
    <s v="Private Equity Fund"/>
    <n v="0.14032298364026"/>
    <n v="0.81754584250000006"/>
    <n v="7.1648134461411404E-3"/>
    <n v="3.08508617921157E-2"/>
    <s v="ARF"/>
    <n v="8.06774156"/>
    <s v="HRF"/>
    <n v="8.06774156"/>
    <m/>
    <m/>
    <m/>
    <m/>
    <m/>
    <m/>
    <m/>
    <d v="2014-04-30T00:00:00"/>
    <n v="-1.1369022440617771E-2"/>
    <x v="1"/>
    <n v="0"/>
    <x v="7"/>
  </r>
  <r>
    <d v="2014-05-30T00:00:00"/>
    <x v="11"/>
    <s v="Series 1"/>
    <n v="16210826.539999997"/>
    <n v="3411464.1439779806"/>
    <n v="20"/>
    <n v="0"/>
    <n v="0"/>
    <n v="0"/>
    <m/>
    <n v="4.7518677775393998"/>
    <n v="0"/>
    <n v="0"/>
    <n v="0"/>
    <n v="0"/>
    <s v="Private Equity Fund"/>
    <n v="0.14114654423049899"/>
    <n v="0.97272864950000293"/>
    <n v="7.2057648970529397E-3"/>
    <n v="3.7552869527191501E-2"/>
    <s v="ARF"/>
    <n v="8.1054132699999997"/>
    <s v="HRF"/>
    <n v="8.1054132699999997"/>
    <m/>
    <m/>
    <m/>
    <m/>
    <m/>
    <m/>
    <m/>
    <d v="2014-05-30T00:00:00"/>
    <n v="4.6694244876133162E-3"/>
    <x v="1"/>
    <n v="0"/>
    <x v="8"/>
  </r>
  <r>
    <d v="2014-06-30T00:00:00"/>
    <x v="11"/>
    <s v="Series 1"/>
    <n v="16242340.66"/>
    <n v="3418096.0877683698"/>
    <n v="20"/>
    <n v="0"/>
    <n v="0"/>
    <n v="0"/>
    <m/>
    <n v="4.7518677775393998"/>
    <n v="0"/>
    <n v="0"/>
    <n v="0"/>
    <n v="0"/>
    <s v="Private Equity Fund"/>
    <n v="0.14621847501648799"/>
    <n v="1.0505556085000012"/>
    <n v="7.4634923585856607E-3"/>
    <n v="4.0822879810959001E-2"/>
    <s v="ARF"/>
    <n v="8.12117033"/>
    <s v="HRF"/>
    <n v="8.12117033"/>
    <m/>
    <m/>
    <m/>
    <m/>
    <m/>
    <m/>
    <m/>
    <d v="2014-06-30T00:00:00"/>
    <n v="1.9440168533197966E-3"/>
    <x v="1"/>
    <n v="0"/>
    <x v="9"/>
  </r>
  <r>
    <d v="2014-07-31T00:00:00"/>
    <x v="11"/>
    <s v="Series 1"/>
    <n v="14945471.82"/>
    <n v="3145178.3845170513"/>
    <n v="20"/>
    <n v="0"/>
    <n v="0"/>
    <n v="-1313200"/>
    <m/>
    <n v="4.7518677775393998"/>
    <n v="-1313200"/>
    <n v="-276354.4907977212"/>
    <n v="-1313200"/>
    <n v="-1313200"/>
    <s v="Private Equity Fund"/>
    <n v="0.13546904561441001"/>
    <n v="1.2167070935000006"/>
    <n v="6.9125370253875201E-3"/>
    <n v="4.7887210469560605E-2"/>
    <s v="ARF"/>
    <n v="7.4727359099999999"/>
    <s v="HRF"/>
    <n v="7.4727359099999999"/>
    <m/>
    <m/>
    <m/>
    <m/>
    <m/>
    <m/>
    <m/>
    <d v="2014-07-31T00:00:00"/>
    <n v="1.0054683830280631E-3"/>
    <x v="1"/>
    <n v="0"/>
    <x v="10"/>
  </r>
  <r>
    <d v="2014-08-29T00:00:00"/>
    <x v="11"/>
    <s v="Series 1"/>
    <n v="11552124.52"/>
    <n v="2431070.2782184505"/>
    <n v="20"/>
    <n v="0"/>
    <n v="0"/>
    <n v="-3764982"/>
    <m/>
    <n v="4.7518677775393998"/>
    <n v="-3764982"/>
    <n v="-792316.23779514618"/>
    <n v="-3764982"/>
    <n v="-3764982"/>
    <s v="Private Equity Fund"/>
    <n v="9.4121948225675503E-2"/>
    <n v="1.6051740220000006"/>
    <n v="4.8033587656965198E-3"/>
    <n v="6.6305085238277994E-2"/>
    <s v="ARF"/>
    <n v="5.7760622599999998"/>
    <s v="HRF"/>
    <n v="5.7760622599999998"/>
    <m/>
    <m/>
    <m/>
    <m/>
    <m/>
    <m/>
    <m/>
    <d v="2014-08-29T00:00:00"/>
    <n v="2.4866039993644007E-2"/>
    <x v="1"/>
    <n v="0"/>
    <x v="11"/>
  </r>
  <r>
    <d v="2014-09-30T00:00:00"/>
    <x v="11"/>
    <s v="Series 1"/>
    <n v="11923276.52"/>
    <n v="2509176.8286057152"/>
    <n v="20"/>
    <n v="0"/>
    <n v="0"/>
    <n v="0"/>
    <m/>
    <n v="4.7518677775393998"/>
    <n v="0"/>
    <n v="0"/>
    <n v="0"/>
    <n v="0"/>
    <s v="Private Equity Fund"/>
    <n v="0.105620045962263"/>
    <n v="1.976654841"/>
    <n v="5.3881984562632393E-3"/>
    <n v="8.42219228821732E-2"/>
    <s v="ARF"/>
    <n v="5.96163826"/>
    <s v="HRF"/>
    <n v="5.96163826"/>
    <m/>
    <m/>
    <m/>
    <m/>
    <m/>
    <m/>
    <m/>
    <d v="2014-09-30T00:00:00"/>
    <n v="3.2128462548809189E-2"/>
    <x v="1"/>
    <n v="0"/>
    <x v="12"/>
  </r>
  <r>
    <d v="2014-10-31T00:00:00"/>
    <x v="11"/>
    <s v="Series 1"/>
    <n v="9620670.4800000004"/>
    <n v="2024608.2025838168"/>
    <n v="20"/>
    <n v="0"/>
    <n v="0"/>
    <n v="-1865000"/>
    <m/>
    <n v="4.7518677775393998"/>
    <n v="-1865000"/>
    <n v="-392477.25048564578"/>
    <n v="-1865000"/>
    <n v="-1865000"/>
    <s v="Private Equity Fund"/>
    <n v="8.1228541406217006E-2"/>
    <n v="1.3497602735000012"/>
    <n v="4.14401592994291E-3"/>
    <n v="5.4445728805858198E-2"/>
    <s v="ARF"/>
    <n v="4.8103352400000006"/>
    <s v="HRF"/>
    <n v="4.8103352400000006"/>
    <m/>
    <m/>
    <m/>
    <m/>
    <m/>
    <m/>
    <m/>
    <d v="2014-10-31T00:00:00"/>
    <n v="-3.6701827661713815E-2"/>
    <x v="1"/>
    <n v="0"/>
    <x v="149"/>
  </r>
  <r>
    <d v="2014-11-28T00:00:00"/>
    <x v="11"/>
    <s v="Series 1"/>
    <n v="9242642.5599999987"/>
    <n v="1945054.6590726059"/>
    <n v="20"/>
    <n v="0"/>
    <n v="0"/>
    <n v="0"/>
    <m/>
    <n v="4.7518677775393998"/>
    <n v="0"/>
    <n v="0"/>
    <n v="0"/>
    <n v="0"/>
    <s v="Private Equity Fund"/>
    <n v="7.0647337428247095E-2"/>
    <n v="0.78179146950000034"/>
    <n v="3.6032118983682498E-3"/>
    <n v="2.8006063743124702E-2"/>
    <s v="ARF"/>
    <n v="4.6213212800000001"/>
    <s v="HRF"/>
    <n v="4.6213212800000001"/>
    <m/>
    <m/>
    <m/>
    <m/>
    <m/>
    <m/>
    <m/>
    <d v="2014-11-28T00:00:00"/>
    <n v="-3.9293302975698774E-2"/>
    <x v="1"/>
    <n v="0"/>
    <x v="150"/>
  </r>
  <r>
    <d v="2014-12-31T00:00:00"/>
    <x v="11"/>
    <s v="Series 1"/>
    <n v="8103036.0800000001"/>
    <n v="1705231.8076484641"/>
    <n v="20"/>
    <n v="0"/>
    <n v="0"/>
    <n v="-1150000"/>
    <m/>
    <n v="4.7518677775393998"/>
    <n v="-1150000"/>
    <n v="-242010.10083565291"/>
    <n v="-1150000"/>
    <n v="-1150000"/>
    <s v="Private Equity Fund"/>
    <n v="7.1964093250969696E-2"/>
    <n v="0.637980934"/>
    <n v="3.6668947213499099E-3"/>
    <n v="2.1601157457595801E-2"/>
    <s v="ARF"/>
    <n v="4.0515180400000004"/>
    <s v="HRF"/>
    <n v="4.0515180400000004"/>
    <m/>
    <m/>
    <m/>
    <m/>
    <m/>
    <m/>
    <m/>
    <d v="2014-12-31T00:00:00"/>
    <n v="1.1245182243639906E-3"/>
    <x v="1"/>
    <n v="0"/>
    <x v="151"/>
  </r>
  <r>
    <d v="2015-01-30T00:00:00"/>
    <x v="11"/>
    <s v="Series 1"/>
    <n v="8294624.1799999988"/>
    <n v="1745550.2906049083"/>
    <n v="20"/>
    <n v="0"/>
    <n v="0"/>
    <n v="0"/>
    <m/>
    <n v="4.7518677775393998"/>
    <n v="0"/>
    <n v="0"/>
    <n v="0"/>
    <n v="0"/>
    <s v="Private Equity Fund"/>
    <n v="6.6656517904930906E-2"/>
    <n v="0.83939367900000073"/>
    <n v="3.3964498489093844E-3"/>
    <n v="2.8420716141635733E-2"/>
    <s v="ARF"/>
    <n v="4.1473120899999998"/>
    <s v="HRF"/>
    <n v="4.1473120899999998"/>
    <m/>
    <m/>
    <m/>
    <m/>
    <m/>
    <m/>
    <m/>
    <d v="2015-01-30T00:00:00"/>
    <n v="2.3643989500784501E-2"/>
    <x v="1"/>
    <n v="0"/>
    <x v="152"/>
  </r>
  <r>
    <d v="2015-02-27T00:00:00"/>
    <x v="11"/>
    <s v="Series 1"/>
    <n v="8502524.2799999993"/>
    <n v="1789301.5290090321"/>
    <n v="20"/>
    <n v="0"/>
    <n v="0"/>
    <n v="0"/>
    <m/>
    <n v="4.7518677775393998"/>
    <n v="0"/>
    <n v="0"/>
    <n v="0"/>
    <n v="0"/>
    <s v="Private Equity Fund"/>
    <n v="6.3682696399051303E-2"/>
    <n v="1.1906586805000003"/>
    <n v="3.2449202472771173E-3"/>
    <n v="4.0314066244076435E-2"/>
    <s v="ARF"/>
    <n v="4.2512621399999997"/>
    <s v="HRF"/>
    <n v="4.2512621399999997"/>
    <m/>
    <m/>
    <m/>
    <m/>
    <m/>
    <m/>
    <m/>
    <d v="2015-02-27T00:00:00"/>
    <n v="2.5064438784494936E-2"/>
    <x v="1"/>
    <n v="0"/>
    <x v="153"/>
  </r>
  <r>
    <d v="2015-03-31T00:00:00"/>
    <x v="11"/>
    <s v="Series 1"/>
    <n v="8525943.6600000001"/>
    <n v="1794229.9868484309"/>
    <n v="20"/>
    <n v="0"/>
    <n v="0"/>
    <n v="0"/>
    <m/>
    <n v="4.7518677775393998"/>
    <n v="0"/>
    <n v="0"/>
    <n v="0"/>
    <n v="0"/>
    <s v="Private Equity Fund"/>
    <n v="7.25169592266727E-2"/>
    <n v="1.1362937885000004"/>
    <n v="3.6930120238448799E-3"/>
    <n v="4.4687830897109503E-2"/>
    <s v="ARF"/>
    <n v="4.2629718299999997"/>
    <s v="HRF"/>
    <n v="4.2629718299999997"/>
    <m/>
    <m/>
    <m/>
    <m/>
    <m/>
    <m/>
    <m/>
    <d v="2015-03-31T00:00:00"/>
    <n v="2.7544031900137433E-3"/>
    <x v="1"/>
    <n v="0"/>
    <x v="154"/>
  </r>
  <r>
    <d v="2015-04-30T00:00:00"/>
    <x v="11"/>
    <s v="Series 1"/>
    <n v="8036124.9600000009"/>
    <n v="1691150.7929543543"/>
    <n v="20"/>
    <n v="0"/>
    <n v="0"/>
    <n v="-643000"/>
    <m/>
    <n v="4.7518677775393998"/>
    <n v="-643000"/>
    <n v="-135315.21290202157"/>
    <n v="-643000"/>
    <n v="-643000"/>
    <s v="Private Equity Fund"/>
    <n v="6.3952573684911806E-2"/>
    <n v="1.5239453505000014"/>
    <n v="3.2563482381166302E-3"/>
    <n v="6.2321826256616704E-2"/>
    <s v="ARF"/>
    <n v="4.0180624800000002"/>
    <s v="HRF"/>
    <n v="4.0180624800000002"/>
    <m/>
    <m/>
    <m/>
    <m/>
    <m/>
    <m/>
    <m/>
    <d v="2015-04-30T00:00:00"/>
    <n v="1.7966492168915105E-2"/>
    <x v="1"/>
    <n v="0"/>
    <x v="155"/>
  </r>
  <r>
    <d v="2015-05-29T00:00:00"/>
    <x v="11"/>
    <s v="Series 1"/>
    <n v="8083008.6200000001"/>
    <n v="1701017.1575492623"/>
    <n v="20"/>
    <n v="0"/>
    <n v="0"/>
    <n v="0"/>
    <m/>
    <n v="4.7518677775393998"/>
    <n v="0"/>
    <n v="0"/>
    <n v="0"/>
    <n v="0"/>
    <s v="Private Equity Fund"/>
    <n v="6.2049934270313203E-2"/>
    <n v="1.5775730350000001"/>
    <n v="3.159469314431325E-3"/>
    <n v="6.4514933269841965E-2"/>
    <s v="ARF"/>
    <n v="4.0415043099999997"/>
    <s v="HRF"/>
    <n v="4.0415043099999997"/>
    <m/>
    <m/>
    <m/>
    <m/>
    <m/>
    <m/>
    <m/>
    <d v="2015-05-29T00:00:00"/>
    <n v="5.8341128632721784E-3"/>
    <x v="1"/>
    <n v="0"/>
    <x v="156"/>
  </r>
  <r>
    <d v="2015-06-30T00:00:00"/>
    <x v="11"/>
    <s v="Series 1"/>
    <n v="8309419.8800000008"/>
    <n v="1748663.950473547"/>
    <n v="20"/>
    <n v="0"/>
    <n v="0"/>
    <n v="0"/>
    <m/>
    <n v="4.7518677775393998"/>
    <n v="0"/>
    <n v="0"/>
    <n v="0"/>
    <n v="0"/>
    <s v="Private Equity Fund"/>
    <n v="6.2049934270313203E-2"/>
    <n v="1.5775730350000001"/>
    <n v="3.159469314431325E-3"/>
    <n v="6.4514933269841965E-2"/>
    <s v="ARF"/>
    <n v="4.15470994"/>
    <s v="HRF"/>
    <n v="4.15470994"/>
    <m/>
    <m/>
    <m/>
    <m/>
    <m/>
    <m/>
    <m/>
    <d v="2015-06-30T00:00:00"/>
    <n v="2.8010765625040346E-2"/>
    <x v="1"/>
    <n v="0"/>
    <x v="157"/>
  </r>
  <r>
    <d v="2015-07-31T00:00:00"/>
    <x v="11"/>
    <s v="Series 1"/>
    <n v="7106513.879999999"/>
    <n v="1495520.122338058"/>
    <n v="20"/>
    <n v="0"/>
    <n v="0"/>
    <n v="-906600"/>
    <m/>
    <n v="4.7518677775393998"/>
    <n v="-906600"/>
    <n v="-190788.1368848721"/>
    <n v="-906600"/>
    <n v="-906600"/>
    <s v="Private Equity Fund"/>
    <n v="5.8155294263264601E-2"/>
    <n v="1.3647535125000005"/>
    <n v="2.9576832493149498E-3"/>
    <n v="5.4875959512572597E-2"/>
    <s v="ARF"/>
    <n v="3.5532569399999998"/>
    <s v="HRF"/>
    <n v="3.5532569399999998"/>
    <m/>
    <m/>
    <m/>
    <m/>
    <m/>
    <m/>
    <m/>
    <d v="2015-07-31T00:00:00"/>
    <n v="-3.5659047716818715E-2"/>
    <x v="1"/>
    <n v="0"/>
    <x v="158"/>
  </r>
  <r>
    <d v="2015-08-31T00:00:00"/>
    <x v="11"/>
    <s v="Series 1"/>
    <n v="7156824.0999999996"/>
    <n v="1506107.5844382877"/>
    <n v="20"/>
    <n v="0"/>
    <n v="0"/>
    <n v="0"/>
    <m/>
    <n v="4.7518677775393998"/>
    <n v="0"/>
    <n v="0"/>
    <n v="0"/>
    <n v="0"/>
    <s v="Private Equity Fund"/>
    <n v="5.7309681474404801E-2"/>
    <n v="1.1882007185000005"/>
    <n v="2.9128083672966799E-3"/>
    <n v="4.7278616678979597E-2"/>
    <s v="ARF"/>
    <n v="3.5784120499999998"/>
    <s v="HRF"/>
    <n v="3.5784120499999998"/>
    <m/>
    <m/>
    <m/>
    <m/>
    <m/>
    <m/>
    <m/>
    <d v="2015-08-31T00:00:00"/>
    <n v="7.0794514510961193E-3"/>
    <x v="1"/>
    <n v="0"/>
    <x v="159"/>
  </r>
  <r>
    <d v="2015-09-30T00:00:00"/>
    <x v="11"/>
    <s v="Series 1"/>
    <n v="6574095.5800000001"/>
    <n v="1383476.1167121914"/>
    <n v="20"/>
    <n v="0"/>
    <n v="0"/>
    <n v="-569178.48"/>
    <m/>
    <n v="4.7518677775393998"/>
    <n v="-569178.48"/>
    <n v="-119779.94898981186"/>
    <n v="-569178.48"/>
    <n v="-569178.48"/>
    <s v="Private Equity Fund"/>
    <n v="5.1776235041536098E-2"/>
    <n v="1.0430580290000013"/>
    <n v="2.6308200000000003E-3"/>
    <n v="4.0707752595644402E-2"/>
    <s v="ARF"/>
    <n v="3.2870477899999999"/>
    <s v="HRF"/>
    <n v="3.2870477899999999"/>
    <m/>
    <m/>
    <m/>
    <m/>
    <m/>
    <m/>
    <m/>
    <d v="2015-09-30T00:00:00"/>
    <n v="-1.8933034835939555E-3"/>
    <x v="1"/>
    <n v="0"/>
    <x v="160"/>
  </r>
  <r>
    <d v="2015-10-30T00:00:00"/>
    <x v="11"/>
    <s v="Series 1"/>
    <n v="6539175.9199999999"/>
    <n v="1376127.4989402376"/>
    <n v="20"/>
    <n v="0"/>
    <n v="0"/>
    <n v="0"/>
    <m/>
    <n v="4.7518677775393998"/>
    <n v="0"/>
    <n v="0"/>
    <n v="0"/>
    <n v="0"/>
    <s v="Private Equity Fund"/>
    <n v="5.2137021220164295E-2"/>
    <n v="1.1204263632040079"/>
    <n v="2.6494600000000002E-3"/>
    <n v="4.38330789809998E-2"/>
    <s v="ARF"/>
    <n v="3.26958796"/>
    <s v="HRF"/>
    <n v="3.26958796"/>
    <m/>
    <m/>
    <m/>
    <m/>
    <m/>
    <m/>
    <m/>
    <d v="2015-10-30T00:00:00"/>
    <n v="-5.3117055532678759E-3"/>
    <x v="1"/>
    <n v="0"/>
    <x v="161"/>
  </r>
  <r>
    <d v="2015-11-30T00:00:00"/>
    <x v="11"/>
    <s v="Series 1"/>
    <n v="6521329.5"/>
    <n v="1372371.8346761025"/>
    <n v="20"/>
    <n v="0"/>
    <n v="-9.3132257461547852E-10"/>
    <n v="0"/>
    <m/>
    <n v="4.7518677775393998"/>
    <n v="-9.3132257461547852E-10"/>
    <n v="0"/>
    <n v="-9.3132257461547852E-10"/>
    <n v="-9.3132257461547852E-10"/>
    <s v="Private Equity Fund"/>
    <n v="5.3311669123790949E-2"/>
    <n v="1.0007359425328697"/>
    <n v="2.7081700000000002E-3"/>
    <n v="3.8400695408189002E-2"/>
    <s v="ARF"/>
    <n v="3.2606647500000001"/>
    <s v="HRF"/>
    <n v="3.2606647500000001"/>
    <m/>
    <m/>
    <m/>
    <m/>
    <m/>
    <m/>
    <m/>
    <d v="2015-11-30T00:00:00"/>
    <n v="-2.72915428768572E-3"/>
    <x v="1"/>
    <n v="0"/>
    <x v="162"/>
  </r>
  <r>
    <d v="2015-12-31T00:00:00"/>
    <x v="11"/>
    <s v="Series 1"/>
    <n v="4694623.7800000012"/>
    <n v="987953.36902891682"/>
    <n v="20"/>
    <n v="0"/>
    <n v="0"/>
    <n v="-1277640"/>
    <m/>
    <n v="4.7518677775393998"/>
    <n v="-1277640"/>
    <n v="-268871.11759275093"/>
    <n v="-1277640"/>
    <n v="-1277640"/>
    <s v="Private Equity Fund"/>
    <n v="2.5074186134815601E-2"/>
    <n v="0.14746175550000015"/>
    <n v="1.2789000000000001E-3"/>
    <n v="2.9492351689660011E-3"/>
    <s v="ARF"/>
    <n v="2.3473118900000003"/>
    <s v="HRF"/>
    <n v="2.3473118900000003"/>
    <m/>
    <m/>
    <m/>
    <m/>
    <m/>
    <m/>
    <m/>
    <d v="2015-12-31T00:00:00"/>
    <n v="-8.4195365377565889E-2"/>
    <x v="1"/>
    <n v="0"/>
    <x v="163"/>
  </r>
  <r>
    <d v="2016-01-29T00:00:00"/>
    <x v="11"/>
    <s v="Series 1"/>
    <n v="4577805.9000000004"/>
    <n v="963369.79779569292"/>
    <n v="20"/>
    <n v="0"/>
    <n v="0"/>
    <n v="0"/>
    <m/>
    <n v="4.7518677775393998"/>
    <n v="0"/>
    <n v="0"/>
    <n v="0"/>
    <n v="0"/>
    <s v="Private Equity Fund"/>
    <n v="1.9757121539852599E-2"/>
    <n v="1.8735705716780154E-2"/>
    <n v="1.0097288277658601E-3"/>
    <n v="3.7471411433560316E-4"/>
    <s v="ARF"/>
    <n v="2.2889029500000002"/>
    <s v="HRF"/>
    <n v="2.2889029500000002"/>
    <m/>
    <m/>
    <m/>
    <m/>
    <m/>
    <m/>
    <m/>
    <d v="2016-01-29T00:00:00"/>
    <n v="-2.4883331545685783E-2"/>
    <x v="1"/>
    <n v="0"/>
    <x v="164"/>
  </r>
  <r>
    <d v="2016-02-29T00:00:00"/>
    <x v="11"/>
    <s v="Series 1"/>
    <n v="4623394.4999999991"/>
    <n v="972963.62534608936"/>
    <n v="20"/>
    <n v="0"/>
    <n v="0"/>
    <n v="0"/>
    <m/>
    <n v="4.7518677775393998"/>
    <n v="0"/>
    <n v="0"/>
    <n v="0"/>
    <n v="0"/>
    <s v="Private Equity Fund"/>
    <n v="2.3619030146024402E-3"/>
    <n v="7.7928940575246505E-2"/>
    <n v="1.4168339043671199E-4"/>
    <n v="1.5585788498134019E-3"/>
    <s v="ARF"/>
    <n v="2.3116972499999999"/>
    <s v="HRF"/>
    <n v="2.3116972499999999"/>
    <m/>
    <m/>
    <m/>
    <m/>
    <m/>
    <m/>
    <m/>
    <d v="2016-02-29T00:00:00"/>
    <n v="9.9586135794875741E-3"/>
    <x v="1"/>
    <n v="0"/>
    <x v="165"/>
  </r>
  <r>
    <d v="2016-03-31T00:00:00"/>
    <x v="11"/>
    <s v="Series 1"/>
    <n v="4623394.5"/>
    <n v="972963.6253460896"/>
    <n v="20"/>
    <n v="0"/>
    <n v="0"/>
    <n v="0"/>
    <m/>
    <n v="4.7518677775393998"/>
    <n v="0"/>
    <n v="0"/>
    <n v="0"/>
    <n v="0"/>
    <s v="Private Equity Fund"/>
    <n v="0"/>
    <n v="0.20326950866163968"/>
    <n v="0"/>
    <n v="4.0653902352410379E-3"/>
    <s v="ARF"/>
    <n v="2.3116972499999999"/>
    <s v="HRF"/>
    <n v="2.3116972499999999"/>
    <m/>
    <m/>
    <m/>
    <m/>
    <m/>
    <m/>
    <m/>
    <d v="2016-03-31T00:00:00"/>
    <n v="2.2204460492503131E-16"/>
    <x v="1"/>
    <n v="0"/>
    <x v="166"/>
  </r>
  <r>
    <d v="2016-04-29T00:00:00"/>
    <x v="11"/>
    <s v="Series 1"/>
    <n v="4841242.1399999997"/>
    <n v="1018808.2595401843"/>
    <n v="20"/>
    <n v="0"/>
    <n v="0"/>
    <n v="0"/>
    <m/>
    <n v="4.7518677775393998"/>
    <n v="0"/>
    <n v="0"/>
    <n v="0"/>
    <n v="0"/>
    <s v="Private Equity Fund"/>
    <n v="0"/>
    <n v="0.27563152974245902"/>
    <n v="0"/>
    <n v="5.5126306423399383E-3"/>
    <s v="ARF"/>
    <n v="2.4206210699999997"/>
    <s v="HRF"/>
    <n v="2.4206210699999997"/>
    <m/>
    <m/>
    <m/>
    <m/>
    <m/>
    <m/>
    <m/>
    <d v="2016-04-29T00:00:00"/>
    <n v="4.7118548936284643E-2"/>
    <x v="1"/>
    <n v="0"/>
    <x v="167"/>
  </r>
  <r>
    <d v="2016-05-31T00:00:00"/>
    <x v="11"/>
    <s v="Series 1"/>
    <n v="4810791.78"/>
    <n v="1012400.1771975046"/>
    <n v="20"/>
    <n v="0"/>
    <n v="-9.3132257461547852E-10"/>
    <n v="0"/>
    <m/>
    <n v="4.7518677775393998"/>
    <n v="-9.3132257461547852E-10"/>
    <n v="0"/>
    <n v="-9.3132257461547852E-10"/>
    <n v="-9.3132257461547852E-10"/>
    <s v="Private Equity Fund"/>
    <n v="0"/>
    <n v="0.22840141583163867"/>
    <n v="0"/>
    <n v="4.5680299999999998E-3"/>
    <s v="ARF"/>
    <n v="2.4053958900000003"/>
    <s v="HRF"/>
    <n v="2.4053958900000003"/>
    <m/>
    <m/>
    <m/>
    <m/>
    <m/>
    <m/>
    <m/>
    <d v="2016-05-31T00:00:00"/>
    <n v="-6.2897824813196168E-3"/>
    <x v="1"/>
    <n v="0"/>
    <x v="168"/>
  </r>
  <r>
    <d v="2016-06-30T00:00:00"/>
    <x v="11"/>
    <s v="Series 1"/>
    <n v="4871895.0999999996"/>
    <n v="1025258.9777493245"/>
    <n v="20"/>
    <n v="0"/>
    <n v="0"/>
    <n v="0"/>
    <m/>
    <n v="4.7518677775393998"/>
    <n v="0"/>
    <n v="0"/>
    <n v="0"/>
    <n v="0"/>
    <s v="Private Equity Fund"/>
    <n v="0"/>
    <n v="0.235709396971858"/>
    <n v="0"/>
    <n v="4.7141879394371495E-3"/>
    <s v="ARF"/>
    <n v="2.4359475499999999"/>
    <s v="HRF"/>
    <n v="2.4359475499999999"/>
    <m/>
    <m/>
    <m/>
    <m/>
    <m/>
    <m/>
    <m/>
    <d v="2016-06-30T00:00:00"/>
    <n v="1.2701302154465521E-2"/>
    <x v="1"/>
    <n v="0"/>
    <x v="169"/>
  </r>
  <r>
    <d v="2016-07-29T00:00:00"/>
    <x v="11"/>
    <s v="Series 1"/>
    <n v="4940436.7"/>
    <n v="1039683.116468835"/>
    <n v="20"/>
    <n v="0"/>
    <n v="0"/>
    <n v="0"/>
    <m/>
    <n v="4.7518677775393998"/>
    <n v="0"/>
    <n v="0"/>
    <n v="0"/>
    <n v="0"/>
    <s v="Private Equity Fund"/>
    <n v="0"/>
    <n v="0.32778970647002798"/>
    <n v="0"/>
    <n v="6.57198491655369E-3"/>
    <s v="ARF"/>
    <n v="2.4702183500000001"/>
    <s v="HRF"/>
    <n v="2.4702183500000001"/>
    <m/>
    <m/>
    <m/>
    <m/>
    <m/>
    <m/>
    <m/>
    <d v="2016-07-29T00:00:00"/>
    <n v="1.406877582401167E-2"/>
    <x v="1"/>
    <n v="0"/>
    <x v="170"/>
  </r>
  <r>
    <d v="2016-08-31T00:00:00"/>
    <x v="11"/>
    <s v="Series 1"/>
    <n v="4972437.1999999993"/>
    <n v="1046417.4158008273"/>
    <n v="20"/>
    <n v="0"/>
    <n v="0"/>
    <n v="0"/>
    <m/>
    <n v="4.7518677775393998"/>
    <n v="0"/>
    <n v="0"/>
    <n v="0"/>
    <n v="0"/>
    <s v="Private Equity Fund"/>
    <n v="0"/>
    <n v="0.34303404273277799"/>
    <n v="0"/>
    <n v="6.8972350759166304E-3"/>
    <s v="ARF"/>
    <n v="2.4862185999999999"/>
    <s v="HRF"/>
    <n v="2.4862185999999999"/>
    <m/>
    <m/>
    <m/>
    <m/>
    <m/>
    <m/>
    <m/>
    <d v="2016-08-31T00:00:00"/>
    <n v="6.4772614129433581E-3"/>
    <x v="1"/>
    <n v="0"/>
    <x v="171"/>
  </r>
  <r>
    <d v="2016-09-30T00:00:00"/>
    <x v="11"/>
    <s v="Series 1"/>
    <n v="4912843.74"/>
    <n v="1033876.3555714836"/>
    <n v="20"/>
    <n v="0"/>
    <n v="0"/>
    <n v="0"/>
    <m/>
    <n v="4.7518677775393998"/>
    <n v="0"/>
    <n v="0"/>
    <n v="0"/>
    <n v="0"/>
    <s v="Private Equity Fund"/>
    <n v="0"/>
    <n v="0.328460409579725"/>
    <n v="0"/>
    <n v="6.5848066656387302E-3"/>
    <s v="ARF"/>
    <n v="2.4564218700000002"/>
    <s v="HRF"/>
    <n v="2.4564218700000002"/>
    <m/>
    <m/>
    <m/>
    <m/>
    <m/>
    <m/>
    <m/>
    <d v="2016-09-30T00:00:00"/>
    <n v="-1.1984758701426901E-2"/>
    <x v="1"/>
    <n v="0"/>
    <x v="172"/>
  </r>
  <r>
    <d v="2016-10-31T00:00:00"/>
    <x v="11"/>
    <s v="Series 1"/>
    <n v="4912843.74"/>
    <n v="1033876.3555714836"/>
    <n v="20"/>
    <n v="0"/>
    <n v="0"/>
    <n v="0"/>
    <m/>
    <n v="4.7518677775393998"/>
    <n v="0"/>
    <n v="0"/>
    <n v="0"/>
    <n v="0"/>
    <s v="Private Equity Fund"/>
    <n v="0"/>
    <n v="0.38204331660802399"/>
    <n v="0"/>
    <n v="7.7303357210628705E-3"/>
    <s v="ARF"/>
    <n v="2.4564218700000002"/>
    <s v="HRF"/>
    <n v="2.4564218700000002"/>
    <m/>
    <m/>
    <m/>
    <m/>
    <m/>
    <m/>
    <m/>
    <d v="2016-10-31T00:00:00"/>
    <n v="0"/>
    <x v="1"/>
    <n v="0"/>
    <x v="173"/>
  </r>
  <r>
    <d v="2016-11-30T00:00:00"/>
    <x v="11"/>
    <s v="Series 1"/>
    <n v="4125000.2600000002"/>
    <n v="868079.764234517"/>
    <n v="20"/>
    <n v="0"/>
    <n v="0"/>
    <n v="-305055"/>
    <m/>
    <n v="4.7518677775393998"/>
    <n v="-305055"/>
    <n v="-64196.862009060955"/>
    <n v="-305055"/>
    <n v="-305055"/>
    <s v="Private Equity Fund"/>
    <n v="0"/>
    <n v="0.38419360006556502"/>
    <n v="0"/>
    <n v="7.7756936371825508E-3"/>
    <s v="ARF"/>
    <n v="2.0625001300000001"/>
    <s v="HRF"/>
    <n v="2.0625001300000001"/>
    <m/>
    <m/>
    <m/>
    <m/>
    <m/>
    <m/>
    <m/>
    <d v="2016-11-30T00:00:00"/>
    <n v="-9.8270676933844503E-2"/>
    <x v="1"/>
    <n v="0"/>
    <x v="174"/>
  </r>
  <r>
    <d v="2016-12-30T00:00:00"/>
    <x v="11"/>
    <s v="Series 1"/>
    <n v="3810004.94"/>
    <n v="801791.02583803097"/>
    <n v="20"/>
    <n v="0"/>
    <n v="0"/>
    <n v="-154128"/>
    <m/>
    <n v="4.7518677775393998"/>
    <n v="-154128"/>
    <n v="-32435.245931823923"/>
    <n v="-154128"/>
    <n v="-154128"/>
    <s v="Private Equity Fund"/>
    <n v="0"/>
    <n v="0.48146872826252096"/>
    <n v="0"/>
    <n v="2.9923272456474801E-3"/>
    <s v="ARF"/>
    <n v="1.9050024699999999"/>
    <s v="HRF"/>
    <n v="1.9050024699999999"/>
    <m/>
    <m/>
    <m/>
    <m/>
    <m/>
    <m/>
    <m/>
    <d v="2016-12-30T00:00:00"/>
    <n v="-3.8998135723753991E-2"/>
    <x v="1"/>
    <n v="0"/>
    <x v="175"/>
  </r>
  <r>
    <d v="2017-01-27T00:00:00"/>
    <x v="11"/>
    <s v="Series 1"/>
    <n v="3579466.7500999998"/>
    <n v="753275.74706918932"/>
    <n v="20"/>
    <n v="0"/>
    <n v="0"/>
    <n v="0"/>
    <m/>
    <n v="4.7518677775393998"/>
    <n v="0"/>
    <n v="0"/>
    <n v="0"/>
    <n v="0"/>
    <s v="Private Equity Fund"/>
    <n v="0"/>
    <n v="0.15701027424990099"/>
    <n v="0"/>
    <n v="3.1402054849980201E-3"/>
    <s v="ARF"/>
    <n v="1.8912115900000002"/>
    <s v="HRF"/>
    <n v="1.8912115900000002"/>
    <m/>
    <m/>
    <m/>
    <m/>
    <m/>
    <m/>
    <m/>
    <d v="2017-01-27T00:00:00"/>
    <n v="-6.0508632805079787E-2"/>
    <x v="1"/>
    <n v="0"/>
    <x v="176"/>
  </r>
  <r>
    <d v="2017-02-28T00:00:00"/>
    <x v="11"/>
    <s v="Series 1"/>
    <n v="3639399.0500999996"/>
    <n v="765888.11399641761"/>
    <n v="20"/>
    <n v="0"/>
    <n v="0"/>
    <n v="0"/>
    <m/>
    <n v="4.7518677775393998"/>
    <n v="0"/>
    <n v="0"/>
    <n v="0"/>
    <n v="0"/>
    <s v="Private Equity Fund"/>
    <n v="0"/>
    <n v="0.20652973699842933"/>
    <n v="0"/>
    <n v="4.1305947941001004E-3"/>
    <s v="ARF"/>
    <n v="1.9211777400000001"/>
    <s v="HRF"/>
    <n v="1.9211777400000001"/>
    <m/>
    <m/>
    <m/>
    <m/>
    <m/>
    <m/>
    <m/>
    <d v="2017-02-28T00:00:00"/>
    <n v="1.6743359886867371E-2"/>
    <x v="1"/>
    <n v="0"/>
    <x v="177"/>
  </r>
  <r>
    <d v="2017-03-31T00:00:00"/>
    <x v="11"/>
    <s v="Series 1"/>
    <n v="3753024.1199999996"/>
    <n v="789799.77888681518"/>
    <n v="20"/>
    <n v="0"/>
    <n v="0"/>
    <n v="-243360"/>
    <m/>
    <n v="4.7518677775393998"/>
    <n v="-243360"/>
    <n v="-51213.546208143038"/>
    <n v="-243360"/>
    <n v="-243360"/>
    <s v="Private Equity Fund"/>
    <n v="0"/>
    <n v="0.40978891000000001"/>
    <n v="0"/>
    <n v="8.3263768999999998E-3"/>
    <s v="ARF"/>
    <n v="1.87651206"/>
    <s v="HRF"/>
    <n v="1.87651206"/>
    <m/>
    <m/>
    <m/>
    <m/>
    <m/>
    <m/>
    <m/>
    <d v="2017-03-31T00:00:00"/>
    <n v="9.8089015517600631E-2"/>
    <x v="1"/>
    <n v="0"/>
    <x v="178"/>
  </r>
  <r>
    <d v="2017-04-28T00:00:00"/>
    <x v="11"/>
    <s v="Series 1"/>
    <n v="3578185.12"/>
    <n v="753006.03626072418"/>
    <n v="20"/>
    <n v="0"/>
    <n v="0"/>
    <n v="-233220"/>
    <m/>
    <n v="4.7518677775393998"/>
    <n v="-233220"/>
    <n v="-49079.648449470405"/>
    <n v="-233220"/>
    <n v="-233220"/>
    <s v="Private Equity Fund"/>
    <n v="0"/>
    <n v="0.46452662"/>
    <n v="0"/>
    <n v="9.4909299999999999E-3"/>
    <s v="ARF"/>
    <n v="1.7890925600000001"/>
    <s v="HRF"/>
    <n v="1.7890925600000001"/>
    <m/>
    <m/>
    <m/>
    <m/>
    <m/>
    <m/>
    <m/>
    <d v="2017-04-28T00:00:00"/>
    <n v="1.5555722034634956E-2"/>
    <x v="1"/>
    <n v="0"/>
    <x v="179"/>
  </r>
  <r>
    <d v="2017-05-31T00:00:00"/>
    <x v="11"/>
    <s v="Series 1"/>
    <n v="3361422.84"/>
    <n v="707389.80909536232"/>
    <n v="20"/>
    <n v="0"/>
    <n v="0"/>
    <n v="0"/>
    <m/>
    <n v="4.7518677775393998"/>
    <n v="0"/>
    <n v="0"/>
    <n v="0"/>
    <n v="0"/>
    <s v="Private Equity Fund"/>
    <n v="0"/>
    <n v="0.25281222614730697"/>
    <n v="0"/>
    <n v="5.05624E-3"/>
    <s v="ARF"/>
    <n v="1.68071142"/>
    <s v="HRF"/>
    <n v="1.68071142"/>
    <m/>
    <m/>
    <m/>
    <m/>
    <m/>
    <m/>
    <m/>
    <d v="2017-05-31T00:00:00"/>
    <n v="-6.0578833327662007E-2"/>
    <x v="1"/>
    <n v="0"/>
    <x v="180"/>
  </r>
  <r>
    <d v="2017-06-30T00:00:00"/>
    <x v="11"/>
    <s v="Series 1"/>
    <n v="3238242.12"/>
    <n v="681467.21912300738"/>
    <n v="20"/>
    <n v="0"/>
    <n v="0"/>
    <n v="0"/>
    <m/>
    <n v="4.7518677775393998"/>
    <n v="0"/>
    <n v="0"/>
    <n v="0"/>
    <n v="0"/>
    <s v="Private Equity Fund"/>
    <n v="0"/>
    <n v="0.15160545"/>
    <n v="0"/>
    <n v="3.0321100000000002E-3"/>
    <s v="ARF"/>
    <n v="1.6191210600000001"/>
    <s v="HRF"/>
    <n v="1.6191210600000001"/>
    <m/>
    <m/>
    <m/>
    <m/>
    <m/>
    <m/>
    <m/>
    <d v="2017-06-30T00:00:00"/>
    <n v="-3.6645410548825752E-2"/>
    <x v="1"/>
    <n v="0"/>
    <x v="181"/>
  </r>
  <r>
    <d v="2017-07-31T00:00:00"/>
    <x v="11"/>
    <s v="Series 1"/>
    <n v="3391980.0000000005"/>
    <n v="713820.36681088526"/>
    <n v="20"/>
    <n v="0"/>
    <n v="0"/>
    <n v="0"/>
    <m/>
    <n v="4.7518677775393998"/>
    <n v="0"/>
    <n v="0"/>
    <n v="0"/>
    <n v="0"/>
    <s v="Private Equity Fund"/>
    <n v="0"/>
    <n v="0.30406337"/>
    <n v="0"/>
    <n v="6.0812674279999996E-3"/>
    <s v="ARF"/>
    <n v="1.6959900000000001"/>
    <s v="HRF"/>
    <n v="1.6959900000000001"/>
    <m/>
    <m/>
    <m/>
    <m/>
    <m/>
    <m/>
    <m/>
    <d v="2017-07-31T00:00:00"/>
    <n v="4.7475721179242925E-2"/>
    <x v="1"/>
    <n v="0"/>
    <x v="182"/>
  </r>
  <r>
    <d v="2017-08-31T00:00:00"/>
    <x v="11"/>
    <s v="Series 1"/>
    <n v="3767000"/>
    <n v="792740.91291122127"/>
    <n v="20"/>
    <n v="0"/>
    <n v="0"/>
    <n v="0"/>
    <m/>
    <n v="4.7518677775393998"/>
    <n v="0"/>
    <n v="0"/>
    <n v="0"/>
    <n v="0"/>
    <s v="Private Equity Fund"/>
    <n v="0"/>
    <n v="0.69355655689999995"/>
    <n v="0"/>
    <n v="2.2694526154999999E-2"/>
    <s v="ARF"/>
    <n v="1.8835"/>
    <s v="HRF"/>
    <n v="1.8835"/>
    <m/>
    <m/>
    <m/>
    <m/>
    <m/>
    <m/>
    <m/>
    <d v="2017-08-31T00:00:00"/>
    <n v="0.1105607934009043"/>
    <x v="1"/>
    <n v="0"/>
    <x v="183"/>
  </r>
  <r>
    <d v="2017-09-29T00:00:00"/>
    <x v="11"/>
    <s v="Series 1"/>
    <n v="3702500"/>
    <n v="779167.30290783034"/>
    <n v="20"/>
    <n v="0"/>
    <n v="0"/>
    <n v="0"/>
    <m/>
    <n v="4.7518677775393998"/>
    <n v="0"/>
    <n v="0"/>
    <n v="0"/>
    <n v="0"/>
    <s v="Private Equity Fund"/>
    <n v="0"/>
    <n v="0.67648516000000003"/>
    <n v="0"/>
    <n v="2.193272877E-2"/>
    <s v="ARF"/>
    <n v="1.8512999999999999"/>
    <s v="HRF"/>
    <n v="1.8512999999999999"/>
    <m/>
    <m/>
    <m/>
    <m/>
    <m/>
    <m/>
    <m/>
    <d v="2017-09-29T00:00:00"/>
    <n v="-1.7122378550570749E-2"/>
    <x v="1"/>
    <n v="0"/>
    <x v="184"/>
  </r>
  <r>
    <d v="2017-10-31T00:00:00"/>
    <x v="11"/>
    <s v="Series 1"/>
    <n v="3694786.12"/>
    <n v="777543.96649336594"/>
    <n v="20"/>
    <n v="0"/>
    <n v="0"/>
    <n v="0"/>
    <m/>
    <n v="4.7518677775393998"/>
    <n v="0"/>
    <n v="0"/>
    <n v="0"/>
    <n v="0"/>
    <s v="Private Equity Fund"/>
    <n v="0"/>
    <n v="0.64568718000000003"/>
    <n v="0"/>
    <n v="2.0568019699999999E-2"/>
    <s v="ARF"/>
    <n v="1.84738264"/>
    <s v="HRF"/>
    <n v="1.84738264"/>
    <m/>
    <m/>
    <m/>
    <m/>
    <m/>
    <m/>
    <m/>
    <d v="2017-10-31T00:00:00"/>
    <n v="-2.0834247130316896E-3"/>
    <x v="1"/>
    <n v="0"/>
    <x v="185"/>
  </r>
  <r>
    <d v="2017-11-30T00:00:00"/>
    <x v="11"/>
    <s v="Series 1"/>
    <n v="2714442.85"/>
    <n v="571237.03290531924"/>
    <n v="20"/>
    <n v="0"/>
    <n v="0"/>
    <n v="-877134.23"/>
    <m/>
    <n v="4.7518677775393998"/>
    <n v="-877134.23"/>
    <n v="-184587.25517278502"/>
    <n v="-877134.23"/>
    <n v="-877134.23"/>
    <s v="Private Equity Fund"/>
    <n v="0"/>
    <n v="0.51595460999999998"/>
    <n v="0"/>
    <n v="1.4867321559999999E-2"/>
    <s v="ARF"/>
    <n v="1.3572"/>
    <s v="HRF"/>
    <n v="1.3572"/>
    <m/>
    <m/>
    <m/>
    <m/>
    <m/>
    <m/>
    <m/>
    <d v="2017-11-30T00:00:00"/>
    <n v="-2.7933698094546267E-2"/>
    <x v="1"/>
    <n v="0"/>
    <x v="186"/>
  </r>
  <r>
    <d v="2017-12-29T00:00:00"/>
    <x v="11"/>
    <s v="Series 1"/>
    <n v="2742757.56"/>
    <n v="577195.68144639069"/>
    <n v="20"/>
    <n v="0"/>
    <n v="0"/>
    <n v="0"/>
    <m/>
    <n v="4.7518677775393998"/>
    <n v="0"/>
    <n v="0"/>
    <n v="0"/>
    <n v="0"/>
    <s v="Private Equity Fund"/>
    <n v="0"/>
    <n v="0.53864325000000002"/>
    <n v="0"/>
    <n v="1.106977051E-2"/>
    <s v="ARF"/>
    <n v="1.3572"/>
    <s v="HRF"/>
    <n v="1.3572"/>
    <m/>
    <m/>
    <m/>
    <m/>
    <m/>
    <m/>
    <m/>
    <d v="2017-12-29T00:00:00"/>
    <n v="1.043113138300189E-2"/>
    <x v="1"/>
    <n v="0"/>
    <x v="187"/>
  </r>
  <r>
    <d v="2018-01-31T00:00:00"/>
    <x v="11"/>
    <s v="Series 1"/>
    <n v="2800656.2"/>
    <n v="589380.07771130127"/>
    <n v="20"/>
    <n v="0"/>
    <n v="0"/>
    <n v="0"/>
    <m/>
    <n v="4.7518677775393998"/>
    <n v="0"/>
    <n v="0"/>
    <n v="0"/>
    <n v="0"/>
    <s v="Private Equity Fund"/>
    <n v="0"/>
    <m/>
    <n v="0"/>
    <m/>
    <s v="ARF"/>
    <n v="1.4003000000000001"/>
    <s v="HRF"/>
    <n v="1.4003000000000001"/>
    <m/>
    <m/>
    <m/>
    <m/>
    <m/>
    <m/>
    <m/>
    <d v="2018-01-31T00:00:00"/>
    <n v="2.1109645578736513E-2"/>
    <x v="1"/>
    <n v="0"/>
    <x v="188"/>
  </r>
  <r>
    <d v="2018-02-28T00:00:00"/>
    <x v="11"/>
    <s v="Series 1"/>
    <n v="2712600"/>
    <n v="570849.21697981923"/>
    <n v="20"/>
    <n v="0"/>
    <n v="0"/>
    <n v="0"/>
    <m/>
    <n v="4.7518677775393998"/>
    <n v="0"/>
    <n v="0"/>
    <n v="0"/>
    <n v="0"/>
    <s v="Private Equity Fund"/>
    <n v="0"/>
    <m/>
    <n v="0"/>
    <m/>
    <s v="ARF"/>
    <n v="1.3563000000000001"/>
    <s v="HRF"/>
    <n v="1.3563000000000001"/>
    <m/>
    <m/>
    <m/>
    <m/>
    <m/>
    <m/>
    <m/>
    <d v="2018-02-28T00:00:00"/>
    <n v="-3.1441274369913841E-2"/>
    <x v="1"/>
    <n v="0"/>
    <x v="189"/>
  </r>
  <r>
    <d v="2018-03-29T00:00:00"/>
    <x v="11"/>
    <s v="Series 1"/>
    <n v="2727708.7"/>
    <n v="574028.74568459799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1.36385435"/>
    <s v="HRF"/>
    <n v="1.36385435"/>
    <m/>
    <m/>
    <m/>
    <m/>
    <m/>
    <m/>
    <m/>
    <d v="2018-03-29T00:00:00"/>
    <n v="5.569822310698358E-3"/>
    <x v="1"/>
    <n v="0"/>
    <x v="190"/>
  </r>
  <r>
    <d v="2018-04-30T00:00:00"/>
    <x v="11"/>
    <s v="Series 1"/>
    <n v="1615122.42"/>
    <n v="339892.12150097714"/>
    <n v="20"/>
    <n v="0"/>
    <n v="0"/>
    <n v="-1138714.3400000001"/>
    <m/>
    <n v="4.7518677775393998"/>
    <n v="-1138714.3400000001"/>
    <n v="-239635.10630122083"/>
    <n v="-1138714.3400000001"/>
    <n v="-1138714.3400000001"/>
    <s v="Private Equity Fund"/>
    <n v="0"/>
    <n v="0"/>
    <n v="0"/>
    <n v="0"/>
    <s v="ARF"/>
    <n v="0.80759999999999998"/>
    <s v="HRF"/>
    <n v="0.80759999999999998"/>
    <m/>
    <m/>
    <m/>
    <m/>
    <m/>
    <m/>
    <m/>
    <d v="2018-04-30T00:00:00"/>
    <n v="9.5787574384316176E-3"/>
    <x v="1"/>
    <n v="0"/>
    <x v="191"/>
  </r>
  <r>
    <d v="2018-05-31T00:00:00"/>
    <x v="11"/>
    <s v="Series 1"/>
    <n v="1546340.62"/>
    <n v="325417.43423692702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732"/>
    <s v="HRF"/>
    <n v="0.7732"/>
    <m/>
    <m/>
    <m/>
    <m/>
    <m/>
    <m/>
    <m/>
    <d v="2018-05-31T00:00:00"/>
    <n v="-4.2586121738066085E-2"/>
    <x v="1"/>
    <n v="0"/>
    <x v="192"/>
  </r>
  <r>
    <d v="2018-06-29T00:00:00"/>
    <x v="11"/>
    <s v="Series 1"/>
    <n v="1491615.34"/>
    <n v="313900.85116644064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4580767000000003"/>
    <s v="HRF"/>
    <n v="0.74580767000000003"/>
    <m/>
    <m/>
    <m/>
    <m/>
    <m/>
    <m/>
    <m/>
    <d v="2018-06-29T00:00:00"/>
    <n v="-3.5390184602406727E-2"/>
    <x v="1"/>
    <n v="0"/>
    <x v="193"/>
  </r>
  <r>
    <d v="2018-07-31T00:00:00"/>
    <x v="11"/>
    <s v="Series 1"/>
    <n v="1484989.844"/>
    <n v="312506.55816205259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42494922"/>
    <s v="HRF"/>
    <n v="0.742494922"/>
    <m/>
    <m/>
    <m/>
    <m/>
    <m/>
    <m/>
    <m/>
    <d v="2018-07-31T00:00:00"/>
    <n v="-4.4418261346119703E-3"/>
    <x v="1"/>
    <n v="0"/>
    <x v="194"/>
  </r>
  <r>
    <d v="2018-08-31T00:00:00"/>
    <x v="11"/>
    <s v="Series 1"/>
    <n v="1479671.04"/>
    <n v="311387.25008173514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3983551999999997"/>
    <s v="HRF"/>
    <n v="0.73983551999999997"/>
    <m/>
    <m/>
    <m/>
    <m/>
    <m/>
    <m/>
    <m/>
    <d v="2018-08-31T00:00:00"/>
    <n v="-3.5817106908105911E-3"/>
    <x v="1"/>
    <n v="0"/>
    <x v="195"/>
  </r>
  <r>
    <d v="2018-09-28T00:00:00"/>
    <x v="11"/>
    <s v="Series 1"/>
    <n v="1417212.8045000001"/>
    <m/>
    <n v="20"/>
    <m/>
    <n v="0"/>
    <n v="0"/>
    <m/>
    <n v="0"/>
    <n v="0"/>
    <e v="#DIV/0!"/>
    <n v="0"/>
    <n v="0"/>
    <s v="Private Equity Fund"/>
    <n v="0"/>
    <m/>
    <m/>
    <m/>
    <s v="ARF"/>
    <n v="0.70860639999999997"/>
    <s v="HRF"/>
    <n v="0.70860639999999997"/>
    <m/>
    <m/>
    <m/>
    <m/>
    <m/>
    <m/>
    <m/>
    <d v="2018-09-28T00:00:00"/>
    <n v="-4.2210892699501623E-2"/>
    <x v="1"/>
    <n v="0"/>
    <x v="196"/>
  </r>
  <r>
    <d v="2018-10-31T00:00:00"/>
    <x v="11"/>
    <s v="Series 1"/>
    <n v="1326919.82"/>
    <m/>
    <n v="20"/>
    <m/>
    <n v="0"/>
    <n v="80416.759999999995"/>
    <n v="0"/>
    <m/>
    <n v="80416.759999999995"/>
    <e v="#DIV/0!"/>
    <n v="-1246503.06"/>
    <n v="-1246503.06"/>
    <s v="Private Equity Fund"/>
    <n v="0"/>
    <m/>
    <m/>
    <m/>
    <s v="ARF"/>
    <n v="0.66345991000000004"/>
    <s v="HRF"/>
    <n v="0.66345991000000004"/>
    <m/>
    <m/>
    <m/>
    <m/>
    <m/>
    <m/>
    <m/>
    <d v="2018-10-31T00:00:00"/>
    <n v="-0.12045455979367004"/>
    <x v="1"/>
    <n v="0"/>
    <x v="197"/>
  </r>
  <r>
    <d v="2012-06-29T00:00:00"/>
    <x v="11"/>
    <s v="Series 1GP"/>
    <n v="78386.453144950079"/>
    <n v="109722.07208295455"/>
    <n v="0.28000000000000003"/>
    <n v="56000"/>
    <n v="0"/>
    <n v="0"/>
    <m/>
    <n v="0.71440915812897332"/>
    <n v="56000"/>
    <n v="109722.07208295455"/>
    <n v="56000"/>
    <m/>
    <s v="Private Equity Fund"/>
    <n v="0"/>
    <n v="0"/>
    <n v="0"/>
    <n v="0"/>
    <s v="ARF"/>
    <n v="2.0149390299999999"/>
    <s v="HRF"/>
    <n v="2.0149390299999999"/>
    <m/>
    <m/>
    <m/>
    <m/>
    <m/>
    <m/>
    <m/>
    <d v="2012-06-29T00:00:00"/>
    <n v="0.3997580918741086"/>
    <x v="1"/>
    <n v="0"/>
    <x v="134"/>
  </r>
  <r>
    <d v="2012-07-31T00:00:00"/>
    <x v="11"/>
    <s v="Series 1GP"/>
    <n v="60633.369739969465"/>
    <n v="84872.04993111697"/>
    <n v="0.28000000000000003"/>
    <n v="0"/>
    <n v="0"/>
    <n v="0"/>
    <m/>
    <n v="0.71440915812897332"/>
    <n v="0"/>
    <n v="0"/>
    <n v="0"/>
    <m/>
    <s v="Private Equity Fund"/>
    <n v="0"/>
    <n v="0"/>
    <n v="0"/>
    <n v="0"/>
    <s v="ARF"/>
    <n v="2.0054653467210501"/>
    <s v="HRF"/>
    <n v="2.0054653467210501"/>
    <m/>
    <m/>
    <m/>
    <m/>
    <m/>
    <m/>
    <m/>
    <d v="2012-07-31T00:00:00"/>
    <n v="-0.22648152445617231"/>
    <x v="1"/>
    <n v="0"/>
    <x v="135"/>
  </r>
  <r>
    <d v="2012-08-31T00:00:00"/>
    <x v="11"/>
    <s v="Series 1GP"/>
    <n v="129079.27000000008"/>
    <n v="118009.52910788672"/>
    <n v="0.28000000000000003"/>
    <n v="32200"/>
    <n v="0"/>
    <n v="0"/>
    <m/>
    <n v="1.0938037883533387"/>
    <n v="32200"/>
    <n v="0"/>
    <n v="32200"/>
    <m/>
    <s v="Private Equity Fund"/>
    <n v="0"/>
    <n v="0"/>
    <n v="0"/>
    <n v="0"/>
    <s v="ARF"/>
    <n v="3.1771150000000001"/>
    <s v="HRF"/>
    <n v="3.1771150000000001"/>
    <m/>
    <m/>
    <m/>
    <m/>
    <m/>
    <m/>
    <m/>
    <d v="2012-08-31T00:00:00"/>
    <n v="0.5977879905978134"/>
    <x v="1"/>
    <n v="0"/>
    <x v="136"/>
  </r>
  <r>
    <d v="2012-09-28T00:00:00"/>
    <x v="11"/>
    <s v="Series 1GP"/>
    <n v="104767.9300000004"/>
    <n v="84590.009822217078"/>
    <n v="0.28000000000000003"/>
    <n v="17080"/>
    <n v="0"/>
    <n v="0"/>
    <m/>
    <n v="1.2385378630430623"/>
    <n v="17080"/>
    <n v="0"/>
    <n v="17080"/>
    <m/>
    <s v="Private Equity Fund"/>
    <n v="0"/>
    <n v="0"/>
    <n v="0"/>
    <n v="0"/>
    <s v="ARF"/>
    <n v="3.7417117499999999"/>
    <s v="HRF"/>
    <n v="3.7417117499999999"/>
    <m/>
    <m/>
    <m/>
    <m/>
    <m/>
    <m/>
    <m/>
    <d v="2012-09-28T00:00:00"/>
    <n v="-0.32066605272868098"/>
    <x v="1"/>
    <n v="0"/>
    <x v="137"/>
  </r>
  <r>
    <d v="2012-10-31T00:00:00"/>
    <x v="11"/>
    <s v="Series 1GP"/>
    <n v="180166.11750000066"/>
    <n v="145466.78214369336"/>
    <n v="0.28000000000000003"/>
    <n v="0"/>
    <n v="0"/>
    <n v="0"/>
    <m/>
    <n v="1.2385378630430623"/>
    <n v="0"/>
    <n v="0"/>
    <n v="0"/>
    <m/>
    <s v="Private Equity Fund"/>
    <n v="0"/>
    <n v="0"/>
    <n v="0"/>
    <n v="0"/>
    <s v="ARF"/>
    <n v="3.7592984700000001"/>
    <s v="HRF"/>
    <n v="3.7592984700000001"/>
    <m/>
    <m/>
    <m/>
    <m/>
    <m/>
    <m/>
    <m/>
    <d v="2012-10-31T00:00:00"/>
    <n v="0.71966858083384833"/>
    <x v="1"/>
    <n v="0"/>
    <x v="138"/>
  </r>
  <r>
    <d v="2012-11-30T00:00:00"/>
    <x v="11"/>
    <s v="Series 1GP"/>
    <n v="274555.73599999992"/>
    <n v="161822.32369103763"/>
    <n v="0.28000000000000003"/>
    <n v="66640"/>
    <n v="0"/>
    <n v="0"/>
    <m/>
    <n v="1.6966493233912567"/>
    <n v="66640"/>
    <n v="0"/>
    <n v="66640"/>
    <m/>
    <s v="Private Equity Fund"/>
    <n v="0"/>
    <n v="0"/>
    <n v="0"/>
    <n v="0"/>
    <s v="ARF"/>
    <n v="6.1228298499999996"/>
    <s v="HRF"/>
    <n v="6.1228298499999996"/>
    <m/>
    <m/>
    <m/>
    <m/>
    <m/>
    <m/>
    <m/>
    <d v="2012-11-30T00:00:00"/>
    <n v="0.15402240379631404"/>
    <x v="1"/>
    <n v="0"/>
    <x v="139"/>
  </r>
  <r>
    <d v="2012-12-31T00:00:00"/>
    <x v="11"/>
    <s v="Series 1GP"/>
    <n v="453702.02800000214"/>
    <n v="247472.60232396147"/>
    <n v="0.28000000000000003"/>
    <n v="22120"/>
    <n v="0"/>
    <n v="0"/>
    <m/>
    <n v="1.833342453828767"/>
    <n v="22120"/>
    <n v="0"/>
    <n v="22120"/>
    <m/>
    <s v="Private Equity Fund"/>
    <n v="0"/>
    <n v="0"/>
    <n v="0"/>
    <n v="0"/>
    <s v="ARF"/>
    <n v="6.9377578899999994"/>
    <s v="HRF"/>
    <n v="6.9377578899999994"/>
    <m/>
    <m/>
    <m/>
    <m/>
    <m/>
    <m/>
    <m/>
    <d v="2012-12-31T00:00:00"/>
    <n v="0.57192865203880605"/>
    <x v="1"/>
    <n v="0"/>
    <x v="140"/>
  </r>
  <r>
    <d v="2013-01-31T00:00:00"/>
    <x v="11"/>
    <s v="Series 1GP"/>
    <n v="447615.38900000096"/>
    <n v="244152.63393110075"/>
    <n v="0.28000000000000003"/>
    <n v="0"/>
    <n v="0"/>
    <n v="0"/>
    <m/>
    <n v="1.833342453828767"/>
    <n v="0"/>
    <n v="0"/>
    <n v="0"/>
    <m/>
    <s v="Private Equity Fund"/>
    <n v="0"/>
    <n v="0"/>
    <n v="0"/>
    <n v="0"/>
    <s v="ARF"/>
    <n v="6.8517626199999997"/>
    <s v="HRF"/>
    <n v="6.8517626199999997"/>
    <m/>
    <m/>
    <m/>
    <m/>
    <m/>
    <m/>
    <m/>
    <d v="2013-01-31T00:00:00"/>
    <n v="-1.3415498773131196E-2"/>
    <x v="1"/>
    <n v="0"/>
    <x v="141"/>
  </r>
  <r>
    <d v="2013-02-28T00:00:00"/>
    <x v="11"/>
    <s v="Series 1GP"/>
    <n v="556312.20900000143"/>
    <n v="288464.55682251754"/>
    <n v="0.28000000000000003"/>
    <n v="23240"/>
    <n v="0"/>
    <n v="0"/>
    <m/>
    <n v="1.9285288117468153"/>
    <n v="23240"/>
    <n v="0"/>
    <n v="23240"/>
    <m/>
    <s v="Private Equity Fund"/>
    <n v="0"/>
    <n v="0"/>
    <n v="0"/>
    <n v="0"/>
    <s v="ARF"/>
    <n v="7.7810005199999992"/>
    <s v="HRF"/>
    <n v="7.7810005199999992"/>
    <m/>
    <m/>
    <m/>
    <m/>
    <m/>
    <m/>
    <m/>
    <d v="2013-02-28T00:00:00"/>
    <n v="0.19091573279219909"/>
    <x v="1"/>
    <n v="0"/>
    <x v="142"/>
  </r>
  <r>
    <d v="2013-03-28T00:00:00"/>
    <x v="11"/>
    <s v="Series 1GP"/>
    <n v="496611.30750000384"/>
    <n v="250081.53955085864"/>
    <n v="0.28000000000000003"/>
    <n v="16520"/>
    <n v="0"/>
    <n v="0"/>
    <m/>
    <n v="1.9857975458400794"/>
    <n v="16520"/>
    <n v="0"/>
    <n v="16520"/>
    <m/>
    <s v="Private Equity Fund"/>
    <n v="0"/>
    <n v="0"/>
    <n v="0"/>
    <n v="0"/>
    <s v="ARF"/>
    <n v="8.3696575899999992"/>
    <s v="HRF"/>
    <n v="8.3696575899999992"/>
    <m/>
    <m/>
    <m/>
    <m/>
    <m/>
    <m/>
    <m/>
    <d v="2013-03-28T00:00:00"/>
    <n v="-0.13701101695576379"/>
    <x v="1"/>
    <n v="0"/>
    <x v="143"/>
  </r>
  <r>
    <d v="2013-04-30T00:00:00"/>
    <x v="11"/>
    <s v="Series 1GP"/>
    <n v="311626.83450000017"/>
    <n v="154146.64040664549"/>
    <n v="0.28000000000000003"/>
    <n v="8960"/>
    <n v="0"/>
    <n v="0"/>
    <m/>
    <n v="2.0216258601414547"/>
    <n v="8960"/>
    <n v="0"/>
    <n v="8960"/>
    <m/>
    <s v="Private Equity Fund"/>
    <n v="0"/>
    <n v="0"/>
    <n v="0"/>
    <n v="0"/>
    <s v="ARF"/>
    <n v="8.59453274"/>
    <s v="HRF"/>
    <n v="8.59453274"/>
    <m/>
    <m/>
    <m/>
    <m/>
    <m/>
    <m/>
    <m/>
    <d v="2013-04-30T00:00:00"/>
    <n v="-0.39053575718269795"/>
    <x v="1"/>
    <n v="0"/>
    <x v="144"/>
  </r>
  <r>
    <d v="2013-05-31T00:00:00"/>
    <x v="11"/>
    <s v="Series 1GP"/>
    <n v="478102.50050000037"/>
    <n v="236494.05655433552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6422619300000001"/>
    <s v="HRF"/>
    <n v="8.6422619300000001"/>
    <m/>
    <m/>
    <m/>
    <m/>
    <m/>
    <m/>
    <m/>
    <d v="2013-05-31T00:00:00"/>
    <n v="0.53421479657587101"/>
    <x v="1"/>
    <n v="0"/>
    <x v="145"/>
  </r>
  <r>
    <d v="2013-06-28T00:00:00"/>
    <x v="11"/>
    <s v="Series 1GP"/>
    <n v="485631.06199999951"/>
    <n v="240218.06980942533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7321381300000009"/>
    <s v="HRF"/>
    <n v="8.7321381300000009"/>
    <m/>
    <m/>
    <m/>
    <m/>
    <m/>
    <m/>
    <m/>
    <d v="2013-06-28T00:00:00"/>
    <n v="1.5746751987546048E-2"/>
    <x v="1"/>
    <n v="0"/>
    <x v="146"/>
  </r>
  <r>
    <d v="2013-07-31T00:00:00"/>
    <x v="11"/>
    <s v="Series 1GP"/>
    <n v="237291.91999999699"/>
    <n v="117376.77315989294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4747113299999999"/>
    <s v="HRF"/>
    <n v="8.4747113299999999"/>
    <m/>
    <m/>
    <m/>
    <m/>
    <m/>
    <m/>
    <m/>
    <d v="2013-07-31T00:00:00"/>
    <n v="-0.51137408916401395"/>
    <x v="1"/>
    <n v="0"/>
    <x v="147"/>
  </r>
  <r>
    <d v="2013-08-30T00:00:00"/>
    <x v="11"/>
    <s v="Series 1GP"/>
    <n v="233176.03999999649"/>
    <n v="115340.84748187826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3277158300000007"/>
    <s v="HRF"/>
    <n v="8.3277158300000007"/>
    <m/>
    <m/>
    <m/>
    <m/>
    <m/>
    <m/>
    <m/>
    <d v="2013-08-30T00:00:00"/>
    <n v="-1.7345217654273881E-2"/>
    <x v="1"/>
    <n v="0"/>
    <x v="148"/>
  </r>
  <r>
    <d v="2013-09-30T00:00:00"/>
    <x v="11"/>
    <s v="Series 1GP"/>
    <n v="270571.66999999894"/>
    <n v="115407.22851494822"/>
    <n v="0.28000000000000003"/>
    <n v="37240"/>
    <n v="0"/>
    <n v="0"/>
    <m/>
    <n v="2.3444949981183623"/>
    <n v="37240"/>
    <n v="0"/>
    <n v="37240"/>
    <m/>
    <s v="Private Equity Fund"/>
    <n v="0"/>
    <n v="0"/>
    <n v="0"/>
    <n v="0"/>
    <s v="ARF"/>
    <n v="9.6632740500000001"/>
    <s v="HRF"/>
    <n v="9.6632740500000001"/>
    <m/>
    <m/>
    <m/>
    <m/>
    <m/>
    <m/>
    <m/>
    <d v="2013-09-30T00:00:00"/>
    <n v="6.6743564219740037E-4"/>
    <x v="1"/>
    <n v="0"/>
    <x v="0"/>
  </r>
  <r>
    <d v="2013-10-31T00:00:00"/>
    <x v="11"/>
    <s v="Series 1GP"/>
    <n v="458784.08500000136"/>
    <n v="195685.67447071156"/>
    <n v="0.28000000000000003"/>
    <n v="0"/>
    <n v="0"/>
    <n v="-44524.800000000003"/>
    <m/>
    <n v="2.3444949981183623"/>
    <n v="-44524.800000000003"/>
    <n v="-18991.211342201448"/>
    <n v="-44524.800000000003"/>
    <m/>
    <s v="Private Equity Fund"/>
    <n v="0"/>
    <n v="0"/>
    <n v="0"/>
    <n v="0"/>
    <s v="ARF"/>
    <n v="8.2088611999999994"/>
    <s v="HRF"/>
    <n v="8.2088611999999994"/>
    <m/>
    <m/>
    <m/>
    <m/>
    <m/>
    <m/>
    <m/>
    <d v="2013-10-31T00:00:00"/>
    <n v="0.8601684537039791"/>
    <x v="1"/>
    <n v="0"/>
    <x v="1"/>
  </r>
  <r>
    <d v="2013-11-29T00:00:00"/>
    <x v="11"/>
    <s v="Series 1GP"/>
    <n v="486693.02299999731"/>
    <n v="207589.7041327048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1837769800000011"/>
    <s v="HRF"/>
    <n v="8.1837769800000011"/>
    <m/>
    <m/>
    <m/>
    <m/>
    <m/>
    <m/>
    <m/>
    <d v="2013-11-29T00:00:00"/>
    <n v="6.0832402239924921E-2"/>
    <x v="1"/>
    <n v="0"/>
    <x v="2"/>
  </r>
  <r>
    <d v="2013-12-31T00:00:00"/>
    <x v="11"/>
    <s v="Series 1GP"/>
    <n v="877577.61050000123"/>
    <n v="374314.1321283793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3198602400000006"/>
    <s v="HRF"/>
    <n v="8.3198602400000006"/>
    <m/>
    <m/>
    <m/>
    <m/>
    <m/>
    <m/>
    <m/>
    <d v="2013-12-31T00:00:00"/>
    <n v="0.80314401281237613"/>
    <x v="1"/>
    <n v="0"/>
    <x v="3"/>
  </r>
  <r>
    <d v="2014-01-30T00:00:00"/>
    <x v="11"/>
    <s v="Series 1GP"/>
    <n v="1182538.8305000039"/>
    <n v="504389.57278607221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4528007799999987"/>
    <s v="HRF"/>
    <n v="8.4528007799999987"/>
    <m/>
    <m/>
    <m/>
    <m/>
    <m/>
    <m/>
    <m/>
    <d v="2014-01-30T00:00:00"/>
    <n v="0.34750341890132153"/>
    <x v="1"/>
    <n v="0"/>
    <x v="4"/>
  </r>
  <r>
    <d v="2014-02-28T00:00:00"/>
    <x v="11"/>
    <s v="Series 1GP"/>
    <n v="1330146.8225000051"/>
    <n v="567348.9700628708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5010478299999992"/>
    <s v="HRF"/>
    <n v="8.5010478299999992"/>
    <m/>
    <m/>
    <m/>
    <m/>
    <m/>
    <m/>
    <m/>
    <d v="2014-02-28T00:00:00"/>
    <n v="0.12482295565515544"/>
    <x v="1"/>
    <n v="0"/>
    <x v="5"/>
  </r>
  <r>
    <d v="2014-03-31T00:00:00"/>
    <x v="11"/>
    <s v="Series 1GP"/>
    <n v="1477897.4325000008"/>
    <n v="630369.19835023209"/>
    <n v="0.28000000000000003"/>
    <n v="0"/>
    <n v="0"/>
    <n v="-12261.2"/>
    <m/>
    <n v="2.3444949981183623"/>
    <n v="-12261.2"/>
    <n v="-5229.7829638538606"/>
    <n v="-12261.2"/>
    <m/>
    <s v="Private Equity Fund"/>
    <n v="0"/>
    <n v="0"/>
    <n v="0"/>
    <n v="0"/>
    <s v="ARF"/>
    <n v="8.1605186799999991"/>
    <s v="HRF"/>
    <n v="8.1605186799999991"/>
    <m/>
    <m/>
    <m/>
    <m/>
    <m/>
    <m/>
    <m/>
    <d v="2014-03-31T00:00:00"/>
    <n v="0.12029635172097319"/>
    <x v="1"/>
    <n v="0"/>
    <x v="6"/>
  </r>
  <r>
    <d v="2014-04-30T00:00:00"/>
    <x v="11"/>
    <s v="Series 1GP"/>
    <n v="1043442.6025000007"/>
    <n v="445060.7074604312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06774156"/>
    <s v="HRF"/>
    <n v="8.06774156"/>
    <m/>
    <m/>
    <m/>
    <m/>
    <m/>
    <m/>
    <m/>
    <d v="2014-04-30T00:00:00"/>
    <n v="-0.29396818780927125"/>
    <x v="1"/>
    <n v="0"/>
    <x v="7"/>
  </r>
  <r>
    <d v="2014-05-30T00:00:00"/>
    <x v="11"/>
    <s v="Series 1GP"/>
    <n v="1199680.2195000029"/>
    <n v="511700.908068833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1054132699999997"/>
    <s v="HRF"/>
    <n v="8.1054132699999997"/>
    <m/>
    <m/>
    <m/>
    <m/>
    <m/>
    <m/>
    <m/>
    <d v="2014-05-30T00:00:00"/>
    <n v="0.1497328330525034"/>
    <x v="1"/>
    <n v="0"/>
    <x v="8"/>
  </r>
  <r>
    <d v="2014-06-30T00:00:00"/>
    <x v="11"/>
    <s v="Series 1GP"/>
    <n v="1277948.3784999996"/>
    <n v="545084.711004140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12117033"/>
    <s v="HRF"/>
    <n v="8.12117033"/>
    <m/>
    <m/>
    <m/>
    <m/>
    <m/>
    <m/>
    <m/>
    <d v="2014-06-30T00:00:00"/>
    <n v="6.5240851460080629E-2"/>
    <x v="1"/>
    <n v="0"/>
    <x v="9"/>
  </r>
  <r>
    <d v="2014-07-31T00:00:00"/>
    <x v="11"/>
    <s v="Series 1GP"/>
    <n v="1425943.6935000008"/>
    <n v="608209.31358114665"/>
    <n v="0.28000000000000003"/>
    <n v="0"/>
    <n v="0"/>
    <n v="-18384.8"/>
    <m/>
    <n v="2.3444949981183623"/>
    <n v="-18384.8"/>
    <n v="-7841.6887281718309"/>
    <n v="-18384.8"/>
    <m/>
    <s v="Private Equity Fund"/>
    <n v="0"/>
    <n v="0"/>
    <n v="0"/>
    <n v="0"/>
    <s v="ARF"/>
    <n v="7.4727359099999999"/>
    <s v="HRF"/>
    <n v="7.4727359099999999"/>
    <m/>
    <m/>
    <m/>
    <m/>
    <m/>
    <m/>
    <m/>
    <d v="2014-07-31T00:00:00"/>
    <n v="0.13019314222636358"/>
    <x v="1"/>
    <n v="0"/>
    <x v="10"/>
  </r>
  <r>
    <d v="2014-08-29T00:00:00"/>
    <x v="11"/>
    <s v="Series 1GP"/>
    <n v="1766903.7620000001"/>
    <n v="753639.3822200842"/>
    <n v="0.28000000000000003"/>
    <n v="0"/>
    <n v="0"/>
    <n v="-51982"/>
    <m/>
    <n v="2.3444949981183623"/>
    <n v="-51982"/>
    <n v="-22171.938964134944"/>
    <n v="-51982"/>
    <m/>
    <s v="Private Equity Fund"/>
    <n v="0"/>
    <n v="0"/>
    <n v="0"/>
    <n v="0"/>
    <s v="ARF"/>
    <n v="5.7760622599999998"/>
    <s v="HRF"/>
    <n v="5.7760622599999998"/>
    <m/>
    <m/>
    <m/>
    <m/>
    <m/>
    <m/>
    <m/>
    <d v="2014-08-29T00:00:00"/>
    <n v="0.27556632866443476"/>
    <x v="1"/>
    <n v="0"/>
    <x v="11"/>
  </r>
  <r>
    <d v="2014-09-30T00:00:00"/>
    <x v="11"/>
    <s v="Series 1GP"/>
    <n v="2143580.7110000001"/>
    <n v="914303.8107227308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5.96163826"/>
    <s v="HRF"/>
    <n v="5.96163826"/>
    <m/>
    <m/>
    <m/>
    <m/>
    <m/>
    <m/>
    <m/>
    <d v="2014-09-30T00:00:00"/>
    <n v="0.21318475691830008"/>
    <x v="1"/>
    <n v="0"/>
    <x v="12"/>
  </r>
  <r>
    <d v="2014-10-31T00:00:00"/>
    <x v="11"/>
    <s v="Series 1GP"/>
    <n v="1484449.6634999996"/>
    <n v="633163.92856089887"/>
    <n v="0.28000000000000003"/>
    <n v="0"/>
    <n v="0"/>
    <n v="-26110"/>
    <m/>
    <n v="2.3444949981183623"/>
    <n v="-26110"/>
    <n v="-11136.726681419788"/>
    <n v="-26110"/>
    <m/>
    <s v="Private Equity Fund"/>
    <n v="0"/>
    <n v="0"/>
    <n v="0"/>
    <n v="0"/>
    <s v="ARF"/>
    <n v="4.8103352400000006"/>
    <s v="HRF"/>
    <n v="4.8103352400000006"/>
    <m/>
    <m/>
    <m/>
    <m/>
    <m/>
    <m/>
    <m/>
    <d v="2014-10-31T00:00:00"/>
    <n v="-0.29531010624026865"/>
    <x v="1"/>
    <n v="0"/>
    <x v="149"/>
  </r>
  <r>
    <d v="2014-11-28T00:00:00"/>
    <x v="11"/>
    <s v="Series 1GP"/>
    <n v="911188.46950000082"/>
    <n v="388650.20835245959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6213212800000001"/>
    <s v="HRF"/>
    <n v="4.6213212800000001"/>
    <m/>
    <m/>
    <m/>
    <m/>
    <m/>
    <m/>
    <m/>
    <d v="2014-11-28T00:00:00"/>
    <n v="-0.38617759031881038"/>
    <x v="1"/>
    <n v="0"/>
    <x v="150"/>
  </r>
  <r>
    <d v="2014-12-31T00:00:00"/>
    <x v="11"/>
    <s v="Series 1GP"/>
    <n v="751423.44400000025"/>
    <n v="320505.45836228074"/>
    <n v="0.28000000000000003"/>
    <n v="0"/>
    <n v="0"/>
    <n v="-16100"/>
    <m/>
    <n v="2.3444949981183623"/>
    <n v="-16100"/>
    <n v="-6867.1505006073758"/>
    <n v="-16100"/>
    <m/>
    <s v="Private Equity Fund"/>
    <n v="0"/>
    <n v="0"/>
    <n v="0"/>
    <n v="0"/>
    <s v="ARF"/>
    <n v="4.0515180400000004"/>
    <s v="HRF"/>
    <n v="4.0515180400000004"/>
    <m/>
    <m/>
    <m/>
    <m/>
    <m/>
    <m/>
    <m/>
    <d v="2014-12-31T00:00:00"/>
    <n v="-0.15766773868290307"/>
    <x v="1"/>
    <n v="0"/>
    <x v="151"/>
  </r>
  <r>
    <d v="2015-01-30T00:00:00"/>
    <x v="11"/>
    <s v="Series 1GP"/>
    <n v="955518.41900000058"/>
    <n v="407558.3098990945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1473120899999998"/>
    <s v="HRF"/>
    <n v="4.1473120899999998"/>
    <m/>
    <m/>
    <m/>
    <m/>
    <m/>
    <m/>
    <m/>
    <d v="2015-01-30T00:00:00"/>
    <n v="0.27161113567811479"/>
    <x v="1"/>
    <n v="0"/>
    <x v="152"/>
  </r>
  <r>
    <d v="2015-02-27T00:00:00"/>
    <x v="11"/>
    <s v="Series 1GP"/>
    <n v="1309694.0205000003"/>
    <n v="558625.21419373073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2512621399999997"/>
    <s v="HRF"/>
    <n v="4.2512621399999997"/>
    <m/>
    <m/>
    <m/>
    <m/>
    <m/>
    <m/>
    <m/>
    <d v="2015-02-27T00:00:00"/>
    <n v="0.37066329068848591"/>
    <x v="1"/>
    <n v="0"/>
    <x v="153"/>
  </r>
  <r>
    <d v="2015-03-31T00:00:00"/>
    <x v="11"/>
    <s v="Series 1GP"/>
    <n v="1255656.9985000009"/>
    <n v="535576.74446213886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2629718299999997"/>
    <s v="HRF"/>
    <n v="4.2629718299999997"/>
    <m/>
    <m/>
    <m/>
    <m/>
    <m/>
    <m/>
    <m/>
    <d v="2015-03-31T00:00:00"/>
    <n v="-4.1259272130882763E-2"/>
    <x v="1"/>
    <n v="0"/>
    <x v="154"/>
  </r>
  <r>
    <d v="2015-04-30T00:00:00"/>
    <x v="11"/>
    <s v="Series 1GP"/>
    <n v="1636451.1004999985"/>
    <n v="697997.26670919603"/>
    <n v="0.28000000000000003"/>
    <n v="0"/>
    <n v="0"/>
    <n v="-9002"/>
    <m/>
    <n v="2.3444949981183623"/>
    <n v="-9002"/>
    <n v="-3839.6328451222112"/>
    <n v="-9002"/>
    <m/>
    <s v="Private Equity Fund"/>
    <n v="0"/>
    <n v="0"/>
    <n v="0"/>
    <n v="0"/>
    <s v="ARF"/>
    <n v="4.0180624800000002"/>
    <s v="HRF"/>
    <n v="4.0180624800000002"/>
    <m/>
    <m/>
    <m/>
    <m/>
    <m/>
    <m/>
    <m/>
    <d v="2015-04-30T00:00:00"/>
    <n v="0.31043199095425367"/>
    <x v="1"/>
    <n v="0"/>
    <x v="155"/>
  </r>
  <r>
    <d v="2015-05-29T00:00:00"/>
    <x v="11"/>
    <s v="Series 1GP"/>
    <n v="1690735.1550000005"/>
    <n v="721151.10348153685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0415043099999997"/>
    <s v="HRF"/>
    <n v="4.0415043099999997"/>
    <m/>
    <m/>
    <m/>
    <m/>
    <m/>
    <m/>
    <m/>
    <d v="2015-05-29T00:00:00"/>
    <n v="3.3171815817421013E-2"/>
    <x v="1"/>
    <n v="0"/>
    <x v="156"/>
  </r>
  <r>
    <d v="2015-06-30T00:00:00"/>
    <x v="11"/>
    <s v="Series 1GP"/>
    <n v="1974023.0004999989"/>
    <n v="841982.1761549094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15470994"/>
    <s v="HRF"/>
    <n v="4.15470994"/>
    <m/>
    <m/>
    <m/>
    <m/>
    <m/>
    <m/>
    <m/>
    <d v="2015-06-30T00:00:00"/>
    <n v="0.16755305800688713"/>
    <x v="1"/>
    <n v="0"/>
    <x v="157"/>
  </r>
  <r>
    <d v="2015-07-31T00:00:00"/>
    <x v="11"/>
    <s v="Series 1GP"/>
    <n v="1464244.7025000004"/>
    <n v="624545.88458289288"/>
    <n v="0.28000000000000003"/>
    <n v="0"/>
    <n v="0"/>
    <n v="-12692.4"/>
    <m/>
    <n v="2.3444949981183623"/>
    <n v="-12692.4"/>
    <n v="-5413.7031685657794"/>
    <n v="-12692.4"/>
    <m/>
    <s v="Private Equity Fund"/>
    <n v="0"/>
    <n v="0"/>
    <n v="0"/>
    <n v="0"/>
    <s v="ARF"/>
    <n v="3.5532569399999998"/>
    <s v="HRF"/>
    <n v="3.5532569399999998"/>
    <m/>
    <m/>
    <m/>
    <m/>
    <m/>
    <m/>
    <m/>
    <d v="2015-07-31T00:00:00"/>
    <n v="-0.25181363027385806"/>
    <x v="1"/>
    <n v="0"/>
    <x v="158"/>
  </r>
  <r>
    <d v="2015-08-31T00:00:00"/>
    <x v="11"/>
    <s v="Series 1GP"/>
    <n v="1288396.2585000007"/>
    <n v="549541.0566173261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3.5784120499999998"/>
    <s v="HRF"/>
    <n v="3.5784120499999998"/>
    <m/>
    <m/>
    <m/>
    <m/>
    <m/>
    <m/>
    <m/>
    <d v="2015-08-31T00:00:00"/>
    <n v="-0.12009498391885054"/>
    <x v="1"/>
    <n v="0"/>
    <x v="159"/>
  </r>
  <r>
    <d v="2015-09-30T00:00:00"/>
    <x v="11"/>
    <s v="Series 1GP"/>
    <n v="1135095.3690000002"/>
    <n v="484153.46158170589"/>
    <n v="0.28000000000000003"/>
    <n v="0"/>
    <n v="0"/>
    <n v="-7858.48"/>
    <m/>
    <n v="2.3444949981183623"/>
    <n v="-7858.48"/>
    <n v="-3351.8860165225497"/>
    <n v="-7858.48"/>
    <m/>
    <s v="Private Equity Fund"/>
    <n v="0"/>
    <n v="0"/>
    <n v="0"/>
    <n v="0"/>
    <s v="ARF"/>
    <n v="3.2870477899999999"/>
    <s v="HRF"/>
    <n v="3.2870477899999999"/>
    <m/>
    <m/>
    <m/>
    <m/>
    <m/>
    <m/>
    <m/>
    <d v="2015-09-30T00:00:00"/>
    <n v="-0.11288639542412993"/>
    <x v="1"/>
    <n v="0"/>
    <x v="160"/>
  </r>
  <r>
    <d v="2015-10-30T00:00:00"/>
    <x v="11"/>
    <s v="Series 1GP"/>
    <n v="1211974.8235000004"/>
    <n v="516944.9388771157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3.26958796"/>
    <s v="HRF"/>
    <n v="3.26958796"/>
    <m/>
    <m/>
    <m/>
    <m/>
    <m/>
    <m/>
    <m/>
    <d v="2015-10-30T00:00:00"/>
    <n v="6.7729511193169278E-2"/>
    <x v="1"/>
    <n v="0"/>
    <x v="161"/>
  </r>
  <r>
    <d v="2015-11-30T00:00:00"/>
    <x v="11"/>
    <s v="Series 1GP"/>
    <n v="1092034.5519999994"/>
    <n v="465786.68449983525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3.2606647500000001"/>
    <s v="HRF"/>
    <n v="3.2606647500000001"/>
    <m/>
    <m/>
    <m/>
    <m/>
    <m/>
    <m/>
    <m/>
    <d v="2015-11-30T00:00:00"/>
    <n v="-9.8962675770468245E-2"/>
    <x v="1"/>
    <n v="0"/>
    <x v="162"/>
  </r>
  <r>
    <d v="2015-12-31T00:00:00"/>
    <x v="11"/>
    <s v="Series 1GP"/>
    <n v="213186.48549999963"/>
    <n v="90930.663392798102"/>
    <n v="0.28000000000000003"/>
    <n v="0"/>
    <n v="0"/>
    <n v="-17640"/>
    <m/>
    <n v="2.3444949981183623"/>
    <n v="-17640"/>
    <n v="-7524.0083745785159"/>
    <n v="-17640"/>
    <m/>
    <s v="Private Equity Fund"/>
    <n v="0"/>
    <n v="0"/>
    <n v="0"/>
    <n v="0"/>
    <s v="ARF"/>
    <n v="2.3473118900000003"/>
    <s v="HRF"/>
    <n v="2.3473118900000003"/>
    <m/>
    <m/>
    <m/>
    <m/>
    <m/>
    <m/>
    <m/>
    <d v="2015-12-31T00:00:00"/>
    <n v="-0.78862712257844403"/>
    <x v="1"/>
    <n v="0"/>
    <x v="163"/>
  </r>
  <r>
    <d v="2016-01-29T00:00:00"/>
    <x v="11"/>
    <s v="Series 1GP"/>
    <n v="82824.983499999231"/>
    <n v="35327.430242535236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2889029500000002"/>
    <s v="HRF"/>
    <n v="2.2889029500000002"/>
    <m/>
    <m/>
    <m/>
    <m/>
    <m/>
    <m/>
    <m/>
    <d v="2016-01-29T00:00:00"/>
    <n v="-0.61149045960514514"/>
    <x v="1"/>
    <n v="0"/>
    <x v="164"/>
  </r>
  <r>
    <d v="2016-02-29T00:00:00"/>
    <x v="11"/>
    <s v="Series 1GP"/>
    <n v="142656.46060000049"/>
    <n v="60847.4152064701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3116972499999999"/>
    <s v="HRF"/>
    <n v="2.3116972499999999"/>
    <m/>
    <m/>
    <m/>
    <m/>
    <m/>
    <m/>
    <m/>
    <d v="2016-02-29T00:00:00"/>
    <n v="0.7223844131523649"/>
    <x v="1"/>
    <n v="0"/>
    <x v="165"/>
  </r>
  <r>
    <d v="2016-03-31T00:00:00"/>
    <x v="11"/>
    <s v="Series 1GP"/>
    <n v="86203.86000000035"/>
    <n v="36768.626108900033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3116972499999999"/>
    <s v="HRF"/>
    <n v="2.3116972499999999"/>
    <m/>
    <m/>
    <m/>
    <m/>
    <m/>
    <m/>
    <m/>
    <d v="2016-03-31T00:00:00"/>
    <n v="-0.39572410785018408"/>
    <x v="1"/>
    <n v="0"/>
    <x v="166"/>
  </r>
  <r>
    <d v="2016-04-29T00:00:00"/>
    <x v="11"/>
    <s v="Series 1GP"/>
    <n v="343408.91970000078"/>
    <n v="146474.57980316141"/>
    <n v="0.28000000000000003"/>
    <n v="0"/>
    <n v="-5.8207660913467407E-11"/>
    <n v="0"/>
    <m/>
    <n v="2.3444949981183623"/>
    <n v="-5.8207660913467407E-11"/>
    <n v="0"/>
    <n v="-5.8207660913467407E-11"/>
    <m/>
    <s v="Private Equity Fund"/>
    <n v="0"/>
    <n v="0"/>
    <n v="0"/>
    <n v="0"/>
    <s v="ARF"/>
    <n v="2.4206210699999997"/>
    <s v="HRF"/>
    <n v="2.4206210699999997"/>
    <m/>
    <m/>
    <m/>
    <m/>
    <m/>
    <m/>
    <m/>
    <d v="2016-04-29T00:00:00"/>
    <n v="2.9836837897978055"/>
    <x v="1"/>
    <n v="0"/>
    <x v="167"/>
  </r>
  <r>
    <d v="2016-05-31T00:00:00"/>
    <x v="11"/>
    <s v="Series 1GP"/>
    <n v="295752.50579999946"/>
    <n v="126147.63778014609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053958900000003"/>
    <s v="HRF"/>
    <n v="2.4053958900000003"/>
    <m/>
    <m/>
    <m/>
    <m/>
    <m/>
    <m/>
    <m/>
    <d v="2016-05-31T00:00:00"/>
    <n v="-0.13877453719499655"/>
    <x v="1"/>
    <n v="0"/>
    <x v="168"/>
  </r>
  <r>
    <d v="2016-06-30T00:00:00"/>
    <x v="11"/>
    <s v="Series 1GP"/>
    <n v="303915.9249000001"/>
    <n v="129629.5898024589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359475499999999"/>
    <s v="HRF"/>
    <n v="2.4359475499999999"/>
    <m/>
    <m/>
    <m/>
    <m/>
    <m/>
    <m/>
    <m/>
    <d v="2016-06-30T00:00:00"/>
    <n v="2.7602197580436139E-2"/>
    <x v="1"/>
    <n v="0"/>
    <x v="169"/>
  </r>
  <r>
    <d v="2016-07-29T00:00:00"/>
    <x v="11"/>
    <s v="Series 1GP"/>
    <n v="396955.81309999997"/>
    <n v="169313.99445022811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702183500000001"/>
    <s v="HRF"/>
    <n v="2.4702183500000001"/>
    <m/>
    <m/>
    <m/>
    <m/>
    <m/>
    <m/>
    <m/>
    <d v="2016-07-29T00:00:00"/>
    <n v="0.30613692991117047"/>
    <x v="1"/>
    <n v="0"/>
    <x v="170"/>
  </r>
  <r>
    <d v="2016-08-31T00:00:00"/>
    <x v="11"/>
    <s v="Series 1GP"/>
    <n v="412648.15890000062"/>
    <n v="176007.26776179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862185999999999"/>
    <s v="HRF"/>
    <n v="2.4862185999999999"/>
    <m/>
    <m/>
    <m/>
    <m/>
    <m/>
    <m/>
    <m/>
    <d v="2016-08-31T00:00:00"/>
    <n v="3.9531719355492712E-2"/>
    <x v="1"/>
    <n v="0"/>
    <x v="171"/>
  </r>
  <r>
    <d v="2016-09-30T00:00:00"/>
    <x v="11"/>
    <s v="Series 1GP"/>
    <n v="397240.21729999938"/>
    <n v="169435.30168279959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564218700000002"/>
    <s v="HRF"/>
    <n v="2.4564218700000002"/>
    <m/>
    <m/>
    <m/>
    <m/>
    <m/>
    <m/>
    <m/>
    <d v="2016-09-30T00:00:00"/>
    <n v="-3.7339174470266134E-2"/>
    <x v="1"/>
    <n v="0"/>
    <x v="172"/>
  </r>
  <r>
    <d v="2016-10-31T00:00:00"/>
    <x v="11"/>
    <s v="Series 1GP"/>
    <n v="482780.89309999929"/>
    <n v="205921.05911399605"/>
    <n v="0.28000000000000003"/>
    <n v="0"/>
    <n v="-5.8207660913467407E-11"/>
    <n v="0"/>
    <m/>
    <n v="2.3444949981183623"/>
    <n v="-5.8207660913467407E-11"/>
    <n v="0"/>
    <n v="-5.8207660913467407E-11"/>
    <m/>
    <s v="Private Equity Fund"/>
    <n v="0"/>
    <n v="0"/>
    <n v="0"/>
    <n v="0"/>
    <s v="ARF"/>
    <n v="2.4564218700000002"/>
    <s v="HRF"/>
    <n v="2.4564218700000002"/>
    <m/>
    <m/>
    <m/>
    <m/>
    <m/>
    <m/>
    <m/>
    <d v="2016-10-31T00:00:00"/>
    <n v="0.21533740058197304"/>
    <x v="1"/>
    <n v="0"/>
    <x v="173"/>
  </r>
  <r>
    <d v="2016-11-30T00:00:00"/>
    <x v="11"/>
    <s v="Series 1GP"/>
    <n v="441943.6001000001"/>
    <n v="188502.68414080382"/>
    <n v="0.28000000000000003"/>
    <n v="0"/>
    <n v="0"/>
    <n v="-10470.879999999999"/>
    <m/>
    <n v="2.3444949981183623"/>
    <n v="-10470.879999999999"/>
    <n v="-4466.1558281863199"/>
    <n v="-10470.879999999999"/>
    <m/>
    <s v="Private Equity Fund"/>
    <n v="0"/>
    <n v="0"/>
    <n v="0"/>
    <n v="0"/>
    <s v="ARF"/>
    <n v="2.0625001300000001"/>
    <s v="HRF"/>
    <n v="2.0625001300000001"/>
    <m/>
    <m/>
    <m/>
    <m/>
    <m/>
    <m/>
    <m/>
    <d v="2016-11-30T00:00:00"/>
    <n v="-6.2898953612294917E-2"/>
    <x v="1"/>
    <n v="0"/>
    <x v="174"/>
  </r>
  <r>
    <d v="2016-12-30T00:00:00"/>
    <x v="11"/>
    <s v="Series 1GP"/>
    <n v="202956.4299000004"/>
    <n v="86567.226657718857"/>
    <n v="0.28000000000000003"/>
    <n v="0"/>
    <n v="0"/>
    <n v="-2128"/>
    <m/>
    <n v="2.3444949981183623"/>
    <n v="-2128"/>
    <n v="-907.65815312375753"/>
    <n v="-2128"/>
    <m/>
    <s v="Private Equity Fund"/>
    <n v="0"/>
    <n v="0"/>
    <n v="0"/>
    <n v="0"/>
    <s v="ARF"/>
    <n v="1.9050024699999999"/>
    <s v="HRF"/>
    <n v="1.9050024699999999"/>
    <m/>
    <m/>
    <m/>
    <m/>
    <m/>
    <m/>
    <m/>
    <d v="2016-12-30T00:00:00"/>
    <n v="-0.53594886348937909"/>
    <x v="1"/>
    <n v="0"/>
    <x v="175"/>
  </r>
  <r>
    <d v="2017-01-27T00:00:00"/>
    <x v="11"/>
    <s v="Series 1GP"/>
    <n v="202956.4299000004"/>
    <n v="86567.22665771885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912115900000002"/>
    <s v="HRF"/>
    <n v="1.8912115900000002"/>
    <m/>
    <m/>
    <m/>
    <m/>
    <m/>
    <m/>
    <m/>
    <d v="2017-01-27T00:00:00"/>
    <n v="0"/>
    <x v="1"/>
    <n v="0"/>
    <x v="176"/>
  </r>
  <r>
    <d v="2017-02-28T00:00:00"/>
    <x v="11"/>
    <s v="Series 1GP"/>
    <n v="202956.4299000004"/>
    <n v="86567.22665771885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9211777400000001"/>
    <s v="HRF"/>
    <n v="1.9211777400000001"/>
    <m/>
    <m/>
    <m/>
    <m/>
    <m/>
    <m/>
    <m/>
    <d v="2017-02-28T00:00:00"/>
    <n v="0"/>
    <x v="1"/>
    <n v="0"/>
    <x v="177"/>
  </r>
  <r>
    <d v="2017-03-31T00:00:00"/>
    <x v="11"/>
    <s v="Series 1GP"/>
    <n v="462331.24970000004"/>
    <n v="197198.65048594962"/>
    <n v="0.28000000000000003"/>
    <n v="0"/>
    <n v="0"/>
    <n v="-3360"/>
    <m/>
    <n v="2.3444949981183623"/>
    <n v="-3360"/>
    <n v="-1433.1444523006696"/>
    <n v="-3360"/>
    <m/>
    <s v="Private Equity Fund"/>
    <n v="0"/>
    <n v="0"/>
    <n v="0"/>
    <n v="0"/>
    <s v="ARF"/>
    <n v="1.87651206"/>
    <s v="HRF"/>
    <n v="1.87651206"/>
    <m/>
    <m/>
    <m/>
    <m/>
    <m/>
    <m/>
    <m/>
    <d v="2017-03-31T00:00:00"/>
    <n v="1.2945380440986911"/>
    <x v="1"/>
    <n v="0"/>
    <x v="178"/>
  </r>
  <r>
    <d v="2017-04-28T00:00:00"/>
    <x v="11"/>
    <s v="Series 1GP"/>
    <n v="514621.20499999961"/>
    <n v="219501.94195893902"/>
    <n v="0.28000000000000003"/>
    <n v="0"/>
    <n v="0"/>
    <n v="-3220"/>
    <m/>
    <n v="2.3444949981183623"/>
    <n v="-3220"/>
    <n v="-1373.4301001214751"/>
    <n v="-3220"/>
    <m/>
    <s v="Private Equity Fund"/>
    <n v="0"/>
    <n v="0"/>
    <n v="0"/>
    <n v="0"/>
    <s v="ARF"/>
    <n v="1.7890925600000001"/>
    <s v="HRF"/>
    <n v="1.7890925600000001"/>
    <m/>
    <m/>
    <m/>
    <m/>
    <m/>
    <m/>
    <m/>
    <d v="2017-04-28T00:00:00"/>
    <n v="0.12006533267223274"/>
    <x v="1"/>
    <n v="0"/>
    <x v="179"/>
  </r>
  <r>
    <d v="2017-05-31T00:00:00"/>
    <x v="11"/>
    <s v="Series 1GP"/>
    <n v="299872.14609999978"/>
    <n v="127904.79243533054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68071142"/>
    <s v="HRF"/>
    <n v="1.68071142"/>
    <m/>
    <m/>
    <m/>
    <m/>
    <m/>
    <m/>
    <m/>
    <d v="2017-05-31T00:00:00"/>
    <n v="-0.41729539477488109"/>
    <x v="1"/>
    <n v="0"/>
    <x v="180"/>
  </r>
  <r>
    <d v="2017-06-30T00:00:00"/>
    <x v="11"/>
    <s v="Series 1GP"/>
    <n v="196940.84079999995"/>
    <n v="84001.390899984923"/>
    <n v="0.28000000000000003"/>
    <n v="0"/>
    <n v="-2.9103830456733704E-11"/>
    <n v="0"/>
    <m/>
    <n v="2.3444949981183623"/>
    <n v="-2.9103830456733704E-11"/>
    <n v="0"/>
    <n v="-2.9103830456733704E-11"/>
    <m/>
    <s v="Private Equity Fund"/>
    <n v="0"/>
    <n v="0"/>
    <n v="0"/>
    <n v="0"/>
    <s v="ARF"/>
    <n v="1.6191210600000001"/>
    <s v="HRF"/>
    <n v="1.6191210600000001"/>
    <m/>
    <m/>
    <m/>
    <m/>
    <m/>
    <m/>
    <m/>
    <d v="2017-06-30T00:00:00"/>
    <n v="-0.34325063744224782"/>
    <x v="1"/>
    <n v="0"/>
    <x v="181"/>
  </r>
  <r>
    <d v="2017-07-31T00:00:00"/>
    <x v="11"/>
    <s v="Series 1GP"/>
    <n v="351551.09100000013"/>
    <n v="149947.4689782434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6959900000000001"/>
    <s v="HRF"/>
    <n v="1.6959900000000001"/>
    <m/>
    <m/>
    <m/>
    <m/>
    <m/>
    <m/>
    <m/>
    <d v="2017-07-31T00:00:00"/>
    <n v="0.78505935880009825"/>
    <x v="1"/>
    <n v="0"/>
    <x v="182"/>
  </r>
  <r>
    <d v="2017-08-31T00:00:00"/>
    <x v="11"/>
    <s v="Series 1GP"/>
    <n v="746300.00000000023"/>
    <n v="318320.1502238066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835"/>
    <s v="HRF"/>
    <n v="1.8835"/>
    <m/>
    <m/>
    <m/>
    <m/>
    <m/>
    <m/>
    <m/>
    <d v="2017-08-31T00:00:00"/>
    <n v="1.1228777810847412"/>
    <x v="1"/>
    <n v="0"/>
    <x v="183"/>
  </r>
  <r>
    <d v="2017-09-29T00:00:00"/>
    <x v="11"/>
    <s v="Series 1GP"/>
    <n v="728300"/>
    <n v="310642.59065791004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512999999999999"/>
    <s v="HRF"/>
    <n v="1.8512999999999999"/>
    <m/>
    <m/>
    <m/>
    <m/>
    <m/>
    <m/>
    <m/>
    <d v="2017-09-29T00:00:00"/>
    <n v="-2.4118987002546222E-2"/>
    <x v="1"/>
    <n v="0"/>
    <x v="184"/>
  </r>
  <r>
    <d v="2017-10-31T00:00:00"/>
    <x v="11"/>
    <s v="Series 1GP"/>
    <n v="697413.88"/>
    <n v="297468.7003212752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4738264"/>
    <s v="HRF"/>
    <n v="1.84738264"/>
    <m/>
    <m/>
    <m/>
    <m/>
    <m/>
    <m/>
    <m/>
    <d v="2017-10-31T00:00:00"/>
    <n v="-4.2408512975422252E-2"/>
    <x v="1"/>
    <n v="0"/>
    <x v="185"/>
  </r>
  <r>
    <d v="2017-11-30T00:00:00"/>
    <x v="11"/>
    <s v="Series 1GP"/>
    <n v="553957.15"/>
    <n v="236279.94533773512"/>
    <n v="0.28000000000000003"/>
    <n v="0"/>
    <n v="0"/>
    <n v="-12110.33"/>
    <m/>
    <n v="2.3444949981183623"/>
    <n v="-12110.33"/>
    <n v="-5165.4322187590387"/>
    <n v="-12110.33"/>
    <m/>
    <s v="Private Equity Fund"/>
    <n v="0"/>
    <n v="0"/>
    <n v="0"/>
    <n v="0"/>
    <s v="ARF"/>
    <n v="1.3572"/>
    <s v="HRF"/>
    <n v="1.3572"/>
    <m/>
    <m/>
    <m/>
    <m/>
    <m/>
    <m/>
    <m/>
    <d v="2017-11-30T00:00:00"/>
    <n v="-0.18833350434608498"/>
    <x v="1"/>
    <n v="0"/>
    <x v="186"/>
  </r>
  <r>
    <d v="2017-12-29T00:00:00"/>
    <x v="11"/>
    <s v="Series 1GP"/>
    <n v="577042.43999999994"/>
    <n v="246126.5391750125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3572"/>
    <s v="HRF"/>
    <n v="1.3572"/>
    <m/>
    <m/>
    <m/>
    <m/>
    <m/>
    <m/>
    <m/>
    <d v="2017-12-29T00:00:00"/>
    <n v="4.1673421852213455E-2"/>
    <x v="1"/>
    <n v="0"/>
    <x v="187"/>
  </r>
  <r>
    <d v="2018-01-31T00:00:00"/>
    <x v="11"/>
    <s v="Series 1GP"/>
    <n v="631743.80000000005"/>
    <n v="269458.3697158761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4003000000000001"/>
    <s v="HRF"/>
    <n v="1.4003000000000001"/>
    <m/>
    <m/>
    <m/>
    <m/>
    <m/>
    <m/>
    <m/>
    <d v="2018-01-31T00:00:00"/>
    <n v="9.4796077737367312E-2"/>
    <x v="1"/>
    <n v="0"/>
    <x v="188"/>
  </r>
  <r>
    <d v="2018-02-28T00:00:00"/>
    <x v="11"/>
    <s v="Series 1GP"/>
    <n v="530800"/>
    <n v="226402.7009765462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3563000000000001"/>
    <s v="HRF"/>
    <n v="1.3563000000000001"/>
    <m/>
    <m/>
    <m/>
    <m/>
    <m/>
    <m/>
    <m/>
    <d v="2018-02-28T00:00:00"/>
    <n v="-0.15978597653035931"/>
    <x v="1"/>
    <n v="0"/>
    <x v="189"/>
  </r>
  <r>
    <d v="2018-03-29T00:00:00"/>
    <x v="11"/>
    <s v="Series 1GP"/>
    <n v="540117.25379999995"/>
    <n v="230376.79936766153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1.7553228711378877E-2"/>
    <x v="1"/>
    <n v="0"/>
    <x v="190"/>
  </r>
  <r>
    <d v="2018-04-30T00:00:00"/>
    <x v="11"/>
    <s v="Series 1GP"/>
    <n v="549072.00800000003"/>
    <n v="234196.28041035388"/>
    <n v="0.28000000000000003"/>
    <n v="0"/>
    <n v="0"/>
    <n v="-15941.98"/>
    <m/>
    <n v="2.3444949981183623"/>
    <n v="-15941.98"/>
    <n v="-6799.7500582405446"/>
    <n v="-15941.98"/>
    <m/>
    <s v="Private Equity Fund"/>
    <n v="0"/>
    <n v="0"/>
    <n v="0"/>
    <n v="0"/>
    <m/>
    <m/>
    <m/>
    <m/>
    <m/>
    <m/>
    <m/>
    <m/>
    <m/>
    <m/>
    <m/>
    <d v="2018-04-30T00:00:00"/>
    <n v="4.6095054406869673E-2"/>
    <x v="1"/>
    <n v="0"/>
    <x v="191"/>
  </r>
  <r>
    <d v="2018-05-31T00:00:00"/>
    <x v="11"/>
    <s v="Series 1GP"/>
    <n v="472435.87329999998"/>
    <n v="201508.5865737253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0.13957392397246382"/>
    <x v="1"/>
    <n v="0"/>
    <x v="192"/>
  </r>
  <r>
    <d v="2018-06-29T00:00:00"/>
    <x v="11"/>
    <s v="Series 1GP"/>
    <n v="410937.93"/>
    <n v="175277.80197006575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6-29T00:00:00"/>
    <n v="-0.13017204402881655"/>
    <x v="1"/>
    <n v="0"/>
    <x v="193"/>
  </r>
  <r>
    <d v="2018-07-31T00:00:00"/>
    <x v="11"/>
    <s v="Series 1GP"/>
    <n v="400774.04690000002"/>
    <n v="170942.58986334031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-2.4733377860739147E-2"/>
    <x v="1"/>
    <n v="0"/>
    <x v="194"/>
  </r>
  <r>
    <d v="2018-08-31T00:00:00"/>
    <x v="11"/>
    <s v="Series 1GP"/>
    <n v="392029.68790000002"/>
    <n v="167212.84891400239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  <m/>
    <m/>
    <m/>
    <d v="2018-08-31T00:00:00"/>
    <n v="-2.1818675804079368E-2"/>
    <x v="1"/>
    <n v="0"/>
    <x v="195"/>
  </r>
  <r>
    <d v="2018-09-28T00:00:00"/>
    <x v="11"/>
    <s v="Series 1GP"/>
    <n v="325627.59999999998"/>
    <m/>
    <n v="0.28000000000000003"/>
    <m/>
    <n v="0"/>
    <n v="0"/>
    <m/>
    <n v="0"/>
    <n v="0"/>
    <e v="#DIV/0!"/>
    <n v="0"/>
    <m/>
    <s v="Private Equity Fund"/>
    <n v="0"/>
    <m/>
    <m/>
    <m/>
    <m/>
    <m/>
    <m/>
    <m/>
    <m/>
    <m/>
    <m/>
    <m/>
    <m/>
    <m/>
    <m/>
    <d v="2018-09-28T00:00:00"/>
    <n v="-0.16938025345911578"/>
    <x v="1"/>
    <n v="0"/>
    <x v="196"/>
  </r>
  <r>
    <d v="2018-10-31T00:00:00"/>
    <x v="11"/>
    <s v="Series 1GP"/>
    <n v="312582.31"/>
    <m/>
    <n v="0.28000000000000003"/>
    <m/>
    <n v="0"/>
    <n v="1125.83"/>
    <m/>
    <n v="0"/>
    <n v="1125.83"/>
    <e v="#DIV/0!"/>
    <n v="-311456.48"/>
    <m/>
    <s v="Private Equity Fund"/>
    <n v="0"/>
    <m/>
    <m/>
    <m/>
    <m/>
    <m/>
    <m/>
    <m/>
    <m/>
    <m/>
    <m/>
    <m/>
    <m/>
    <m/>
    <m/>
    <d v="2018-10-31T00:00:00"/>
    <n v="-4.3519406831607599E-2"/>
    <x v="1"/>
    <n v="0"/>
    <x v="197"/>
  </r>
  <r>
    <d v="2012-06-29T00:00:00"/>
    <x v="11"/>
    <s v="Series 2"/>
    <n v="21564486.290804401"/>
    <n v="21689695.381823272"/>
    <n v="107.2"/>
    <n v="21440000"/>
    <n v="0"/>
    <n v="0"/>
    <m/>
    <n v="0.99422725451811556"/>
    <n v="21440000"/>
    <n v="21689695.381823272"/>
    <n v="21440000"/>
    <n v="21440000"/>
    <s v="Private Equity Fund"/>
    <n v="0"/>
    <n v="0"/>
    <n v="0"/>
    <n v="0"/>
    <m/>
    <m/>
    <m/>
    <m/>
    <m/>
    <m/>
    <m/>
    <m/>
    <m/>
    <m/>
    <m/>
    <d v="2012-06-29T00:00:00"/>
    <n v="5.8062635636380033E-3"/>
    <x v="1"/>
    <n v="0"/>
    <x v="134"/>
  </r>
  <r>
    <d v="2012-07-31T00:00:00"/>
    <x v="11"/>
    <s v="Series 2"/>
    <n v="21465388.593513399"/>
    <n v="21590022.297183249"/>
    <n v="107.2"/>
    <n v="0"/>
    <n v="0"/>
    <n v="0"/>
    <m/>
    <n v="0.99422725451811556"/>
    <n v="0"/>
    <n v="0"/>
    <n v="0"/>
    <n v="0"/>
    <s v="Private Equity Fund"/>
    <n v="0"/>
    <n v="0"/>
    <n v="0"/>
    <n v="0"/>
    <m/>
    <m/>
    <m/>
    <m/>
    <m/>
    <m/>
    <m/>
    <m/>
    <m/>
    <m/>
    <m/>
    <d v="2012-07-31T00:00:00"/>
    <n v="-4.5954119172900709E-3"/>
    <x v="1"/>
    <n v="0"/>
    <x v="135"/>
  </r>
  <r>
    <d v="2012-08-31T00:00:00"/>
    <x v="11"/>
    <s v="Series 2"/>
    <n v="34185331.941"/>
    <n v="21702736.619092535"/>
    <n v="107.2"/>
    <n v="12542400"/>
    <n v="0"/>
    <n v="0"/>
    <m/>
    <n v="1.5751622728963204"/>
    <n v="12542400"/>
    <n v="0"/>
    <n v="12542400"/>
    <n v="12542400"/>
    <s v="Private Equity Fund"/>
    <n v="0"/>
    <n v="0"/>
    <n v="0"/>
    <n v="0"/>
    <m/>
    <m/>
    <m/>
    <m/>
    <m/>
    <m/>
    <m/>
    <m/>
    <m/>
    <m/>
    <m/>
    <d v="2012-08-31T00:00:00"/>
    <n v="8.2711452771113692E-3"/>
    <x v="1"/>
    <n v="0"/>
    <x v="136"/>
  </r>
  <r>
    <d v="2012-09-28T00:00:00"/>
    <x v="11"/>
    <s v="Series 2"/>
    <n v="40248978.190000005"/>
    <n v="21449306.627039418"/>
    <n v="107.2"/>
    <n v="6539200"/>
    <n v="0"/>
    <n v="0"/>
    <m/>
    <n v="1.8764698966660931"/>
    <n v="6539200"/>
    <n v="0"/>
    <n v="6539200"/>
    <n v="6539200"/>
    <s v="Private Equity Fund"/>
    <n v="0"/>
    <n v="0"/>
    <n v="0"/>
    <n v="0"/>
    <m/>
    <m/>
    <m/>
    <m/>
    <m/>
    <m/>
    <m/>
    <m/>
    <m/>
    <m/>
    <m/>
    <d v="2012-09-28T00:00:00"/>
    <n v="-1.3911046755981427E-2"/>
    <x v="1"/>
    <n v="0"/>
    <x v="137"/>
  </r>
  <r>
    <d v="2012-10-31T00:00:00"/>
    <x v="11"/>
    <s v="Series 2"/>
    <n v="40408338.159999996"/>
    <n v="21534232.03420056"/>
    <n v="107.2"/>
    <n v="0"/>
    <n v="0"/>
    <n v="0"/>
    <m/>
    <n v="1.8764698966660931"/>
    <n v="0"/>
    <n v="0"/>
    <n v="0"/>
    <n v="0"/>
    <s v="Private Equity Fund"/>
    <n v="0"/>
    <n v="0"/>
    <n v="0"/>
    <n v="0"/>
    <m/>
    <m/>
    <m/>
    <m/>
    <m/>
    <m/>
    <m/>
    <m/>
    <m/>
    <m/>
    <m/>
    <d v="2012-10-31T00:00:00"/>
    <n v="3.9593544275264847E-3"/>
    <x v="1"/>
    <n v="0"/>
    <x v="138"/>
  </r>
  <r>
    <d v="2012-11-30T00:00:00"/>
    <x v="11"/>
    <s v="Series 2"/>
    <n v="65702283.609999992"/>
    <n v="21462479.106736753"/>
    <n v="107.2"/>
    <n v="25513600"/>
    <n v="0"/>
    <n v="0"/>
    <m/>
    <n v="3.061262554211504"/>
    <n v="25513600"/>
    <n v="0"/>
    <n v="25513600"/>
    <n v="25513600"/>
    <s v="Private Equity Fund"/>
    <n v="0"/>
    <n v="0"/>
    <n v="0"/>
    <n v="0"/>
    <m/>
    <m/>
    <m/>
    <m/>
    <m/>
    <m/>
    <m/>
    <m/>
    <m/>
    <m/>
    <m/>
    <d v="2012-11-30T00:00:00"/>
    <n v="-5.4358719017413293E-3"/>
    <x v="1"/>
    <n v="0"/>
    <x v="139"/>
  </r>
  <r>
    <d v="2012-12-31T00:00:00"/>
    <x v="11"/>
    <s v="Series 2"/>
    <n v="74387873.519999996"/>
    <n v="21525210.412354339"/>
    <n v="107.2"/>
    <n v="8468800"/>
    <n v="0"/>
    <n v="0"/>
    <m/>
    <n v="3.4558488439818116"/>
    <n v="8468800"/>
    <n v="0"/>
    <n v="8468800"/>
    <n v="8468800"/>
    <s v="Private Equity Fund"/>
    <n v="0"/>
    <n v="0"/>
    <n v="0"/>
    <n v="0"/>
    <m/>
    <m/>
    <m/>
    <m/>
    <m/>
    <m/>
    <m/>
    <m/>
    <m/>
    <m/>
    <m/>
    <d v="2012-12-31T00:00:00"/>
    <n v="3.2995795288766061E-3"/>
    <x v="1"/>
    <n v="0"/>
    <x v="140"/>
  </r>
  <r>
    <d v="2013-01-31T00:00:00"/>
    <x v="11"/>
    <s v="Series 2"/>
    <n v="73416224.450000003"/>
    <n v="21244049.657394797"/>
    <n v="107.2"/>
    <n v="0"/>
    <n v="0"/>
    <n v="0"/>
    <m/>
    <n v="3.4558488439818116"/>
    <n v="0"/>
    <n v="0"/>
    <n v="0"/>
    <n v="0"/>
    <s v="Private Equity Fund"/>
    <n v="0"/>
    <n v="0"/>
    <n v="0"/>
    <n v="0"/>
    <m/>
    <m/>
    <m/>
    <m/>
    <m/>
    <m/>
    <m/>
    <m/>
    <m/>
    <m/>
    <m/>
    <d v="2013-01-31T00:00:00"/>
    <n v="-1.306192829586339E-2"/>
    <x v="1"/>
    <n v="0"/>
    <x v="141"/>
  </r>
  <r>
    <d v="2013-02-28T00:00:00"/>
    <x v="11"/>
    <s v="Series 2"/>
    <n v="83755163.390000001"/>
    <n v="21504017.571929634"/>
    <n v="107.2"/>
    <n v="9326400"/>
    <n v="0"/>
    <n v="0"/>
    <m/>
    <n v="3.8948611862803806"/>
    <n v="9326400"/>
    <n v="0"/>
    <n v="9326400"/>
    <n v="9326400"/>
    <s v="Private Equity Fund"/>
    <n v="0"/>
    <n v="0"/>
    <n v="0"/>
    <n v="0"/>
    <m/>
    <m/>
    <m/>
    <m/>
    <m/>
    <m/>
    <m/>
    <m/>
    <m/>
    <m/>
    <m/>
    <d v="2013-02-28T00:00:00"/>
    <n v="1.379175989483894E-2"/>
    <x v="1"/>
    <n v="0"/>
    <x v="142"/>
  </r>
  <r>
    <d v="2013-03-28T00:00:00"/>
    <x v="11"/>
    <s v="Series 2"/>
    <n v="90010294"/>
    <n v="21487385.995601173"/>
    <n v="107.2"/>
    <n v="6324800"/>
    <n v="0"/>
    <n v="0"/>
    <m/>
    <n v="4.1889829697491638"/>
    <n v="6324800"/>
    <n v="0"/>
    <n v="6324800"/>
    <n v="6324800"/>
    <s v="Private Equity Fund"/>
    <n v="0"/>
    <n v="0"/>
    <n v="0"/>
    <n v="0"/>
    <m/>
    <m/>
    <m/>
    <m/>
    <m/>
    <m/>
    <m/>
    <m/>
    <m/>
    <m/>
    <m/>
    <d v="2013-03-28T00:00:00"/>
    <n v="-8.3182202959342089E-4"/>
    <x v="1"/>
    <n v="0"/>
    <x v="143"/>
  </r>
  <r>
    <d v="2013-04-30T00:00:00"/>
    <x v="11"/>
    <s v="Series 2"/>
    <n v="92354108.739999995"/>
    <n v="21237517.593524121"/>
    <n v="107.2"/>
    <n v="3430400"/>
    <n v="0"/>
    <n v="0"/>
    <m/>
    <n v="4.3486301227673234"/>
    <n v="3430400"/>
    <n v="0"/>
    <n v="3430400"/>
    <n v="3430400"/>
    <s v="Private Equity Fund"/>
    <n v="0"/>
    <n v="0"/>
    <n v="0"/>
    <n v="0"/>
    <m/>
    <m/>
    <m/>
    <m/>
    <m/>
    <m/>
    <m/>
    <m/>
    <m/>
    <m/>
    <m/>
    <d v="2013-04-30T00:00:00"/>
    <n v="-1.2071788811177542E-2"/>
    <x v="1"/>
    <n v="0"/>
    <x v="144"/>
  </r>
  <r>
    <d v="2013-05-31T00:00:00"/>
    <x v="11"/>
    <s v="Series 2"/>
    <n v="92802667.760000005"/>
    <n v="21340667.092869118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5-31T00:00:00"/>
    <n v="4.8569470933104153E-3"/>
    <x v="1"/>
    <n v="0"/>
    <x v="145"/>
  </r>
  <r>
    <d v="2013-06-28T00:00:00"/>
    <x v="11"/>
    <s v="Series 2"/>
    <n v="93690147.041999996"/>
    <n v="21544749.587113358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9.5630794180951995E-3"/>
    <x v="1"/>
    <n v="0"/>
    <x v="146"/>
  </r>
  <r>
    <d v="2013-07-31T00:00:00"/>
    <x v="11"/>
    <s v="Series 2"/>
    <n v="90883198.959999993"/>
    <n v="20899270.895489488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2.995990689118766E-2"/>
    <x v="1"/>
    <n v="0"/>
    <x v="147"/>
  </r>
  <r>
    <d v="2013-08-30T00:00:00"/>
    <x v="11"/>
    <s v="Series 2"/>
    <n v="89248684.510000005"/>
    <n v="20523402.08074655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1.7984781221437651E-2"/>
    <x v="1"/>
    <n v="0"/>
    <x v="148"/>
  </r>
  <r>
    <d v="2013-09-30T00:00:00"/>
    <x v="11"/>
    <s v="Series 2"/>
    <n v="102852261.5"/>
    <n v="20521242.657013416"/>
    <n v="107.2"/>
    <n v="13614400"/>
    <n v="0"/>
    <n v="0"/>
    <m/>
    <n v="5.0119899276591235"/>
    <n v="13614400"/>
    <n v="0"/>
    <n v="13614400"/>
    <n v="13614400"/>
    <s v="Private Equity Fund"/>
    <n v="0"/>
    <n v="0"/>
    <n v="0"/>
    <n v="0"/>
    <m/>
    <m/>
    <m/>
    <m/>
    <m/>
    <m/>
    <m/>
    <m/>
    <m/>
    <m/>
    <m/>
    <d v="2013-09-30T00:00:00"/>
    <n v="-1.2126800590317455E-4"/>
    <x v="1"/>
    <n v="0"/>
    <x v="0"/>
  </r>
  <r>
    <d v="2013-10-31T00:00:00"/>
    <x v="11"/>
    <s v="Series 2"/>
    <n v="87194844.069999993"/>
    <n v="17397250.459105533"/>
    <n v="107.2"/>
    <n v="0"/>
    <n v="0"/>
    <n v="-17046636.449999999"/>
    <m/>
    <n v="5.0119899276591235"/>
    <n v="-17046636.449999999"/>
    <n v="-3401171.330358543"/>
    <n v="-17046636.449999999"/>
    <n v="-17046636.449999999"/>
    <s v="Private Equity Fund"/>
    <n v="0"/>
    <n v="0"/>
    <n v="0"/>
    <n v="0"/>
    <m/>
    <m/>
    <m/>
    <m/>
    <m/>
    <m/>
    <m/>
    <m/>
    <m/>
    <m/>
    <m/>
    <d v="2013-10-31T00:00:00"/>
    <n v="1.3506937035117961E-2"/>
    <x v="1"/>
    <n v="0"/>
    <x v="1"/>
  </r>
  <r>
    <d v="2013-11-29T00:00:00"/>
    <x v="11"/>
    <s v="Series 2"/>
    <n v="86864580.400000006"/>
    <n v="17331355.7396893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-3.7876513631339703E-3"/>
    <x v="1"/>
    <n v="0"/>
    <x v="2"/>
  </r>
  <r>
    <d v="2013-12-31T00:00:00"/>
    <x v="11"/>
    <s v="Series 2"/>
    <n v="88246023.480000004"/>
    <n v="17606983.40453684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1.5903410499868098E-2"/>
    <x v="1"/>
    <n v="0"/>
    <x v="3"/>
  </r>
  <r>
    <d v="2014-01-30T00:00:00"/>
    <x v="11"/>
    <s v="Series 2"/>
    <n v="89604709.474648759"/>
    <n v="17878070.54043684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1.5396569058510501E-2"/>
    <x v="1"/>
    <n v="0"/>
    <x v="4"/>
  </r>
  <r>
    <d v="2014-02-28T00:00:00"/>
    <x v="11"/>
    <s v="Series 2"/>
    <n v="90059351.859999999"/>
    <n v="17968781.49395298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5.0738670770409389E-3"/>
    <x v="1"/>
    <n v="0"/>
    <x v="5"/>
  </r>
  <r>
    <d v="2014-03-31T00:00:00"/>
    <x v="11"/>
    <s v="Series 2"/>
    <n v="86346832.568000004"/>
    <n v="17228053.889631167"/>
    <n v="107.2"/>
    <n v="0"/>
    <n v="0"/>
    <n v="-4554928"/>
    <m/>
    <n v="5.0119899276591235"/>
    <n v="-4554928"/>
    <n v="-908806.29565179581"/>
    <n v="-4554928"/>
    <n v="-4554928"/>
    <s v="Private Equity Fund"/>
    <n v="0"/>
    <n v="0"/>
    <n v="0"/>
    <n v="0"/>
    <m/>
    <m/>
    <m/>
    <m/>
    <m/>
    <m/>
    <m/>
    <m/>
    <m/>
    <m/>
    <m/>
    <d v="2014-03-31T00:00:00"/>
    <n v="9.3539281662780027E-3"/>
    <x v="1"/>
    <n v="0"/>
    <x v="6"/>
  </r>
  <r>
    <d v="2014-04-30T00:00:00"/>
    <x v="11"/>
    <s v="Series 2"/>
    <n v="85418509.659999996"/>
    <n v="17042833.4639321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1.0751093935830625E-2"/>
    <x v="1"/>
    <n v="0"/>
    <x v="7"/>
  </r>
  <r>
    <d v="2014-05-30T00:00:00"/>
    <x v="11"/>
    <s v="Series 2"/>
    <n v="85733877.635499999"/>
    <n v="17105756.17129032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3.6920332227206032E-3"/>
    <x v="1"/>
    <n v="0"/>
    <x v="8"/>
  </r>
  <r>
    <d v="2014-06-30T00:00:00"/>
    <x v="11"/>
    <s v="Series 2"/>
    <n v="85824662.684499994"/>
    <n v="17123869.745002631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1.0589168658154957E-3"/>
    <x v="1"/>
    <n v="0"/>
    <x v="9"/>
  </r>
  <r>
    <d v="2014-07-31T00:00:00"/>
    <x v="11"/>
    <s v="Series 2"/>
    <n v="78828553.246000007"/>
    <n v="15727995.144399123"/>
    <n v="107.2"/>
    <n v="0"/>
    <n v="0"/>
    <n v="-7017312"/>
    <m/>
    <n v="5.0119899276591235"/>
    <n v="-7017312"/>
    <n v="-1400104.9685423994"/>
    <n v="-7017312"/>
    <n v="-7017312"/>
    <s v="Private Equity Fund"/>
    <n v="0"/>
    <n v="0"/>
    <n v="0"/>
    <n v="0"/>
    <m/>
    <m/>
    <m/>
    <m/>
    <m/>
    <m/>
    <m/>
    <m/>
    <m/>
    <m/>
    <m/>
    <d v="2014-07-31T00:00:00"/>
    <n v="2.4704508980066819E-4"/>
    <x v="1"/>
    <n v="0"/>
    <x v="10"/>
  </r>
  <r>
    <d v="2014-08-29T00:00:00"/>
    <x v="11"/>
    <s v="Series 2"/>
    <n v="60936373.511"/>
    <n v="12158119.707048304"/>
    <n v="107.2"/>
    <n v="0"/>
    <n v="0"/>
    <n v="-19312080"/>
    <m/>
    <n v="5.0119899276591235"/>
    <n v="-19312080"/>
    <n v="-3853176.1393662277"/>
    <n v="-19312080"/>
    <n v="-19312080"/>
    <s v="Private Equity Fund"/>
    <n v="0"/>
    <n v="0"/>
    <n v="0"/>
    <n v="0"/>
    <m/>
    <m/>
    <m/>
    <m/>
    <m/>
    <m/>
    <m/>
    <m/>
    <m/>
    <m/>
    <m/>
    <d v="2014-08-29T00:00:00"/>
    <n v="1.8012512047112184E-2"/>
    <x v="1"/>
    <n v="0"/>
    <x v="11"/>
  </r>
  <r>
    <d v="2014-09-30T00:00:00"/>
    <x v="11"/>
    <s v="Series 2"/>
    <n v="62588137.243500002"/>
    <n v="12487682.16753622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2.7106367467073289E-2"/>
    <x v="1"/>
    <n v="0"/>
    <x v="12"/>
  </r>
  <r>
    <d v="2014-10-31T00:00:00"/>
    <x v="11"/>
    <s v="Series 2"/>
    <n v="50842057.759000003"/>
    <n v="10144086.179907002"/>
    <n v="107.2"/>
    <n v="0"/>
    <n v="-7.4505805969238281E-9"/>
    <n v="-9728400"/>
    <m/>
    <n v="5.0119899276591235"/>
    <n v="-9728400.0000000075"/>
    <n v="-1941025.4490562596"/>
    <n v="-9728400.0000000075"/>
    <n v="-9728400.0000000075"/>
    <s v="Private Equity Fund"/>
    <n v="0"/>
    <n v="0"/>
    <n v="0"/>
    <n v="0"/>
    <m/>
    <m/>
    <m/>
    <m/>
    <m/>
    <m/>
    <m/>
    <m/>
    <m/>
    <m/>
    <m/>
    <d v="2014-10-31T00:00:00"/>
    <n v="-3.2237410687750323E-2"/>
    <x v="1"/>
    <n v="0"/>
    <x v="149"/>
  </r>
  <r>
    <d v="2014-11-28T00:00:00"/>
    <x v="11"/>
    <s v="Series 2"/>
    <n v="49011244.07"/>
    <n v="9778799.394533293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3.6009826700531544E-2"/>
    <x v="1"/>
    <n v="0"/>
    <x v="150"/>
  </r>
  <r>
    <d v="2014-12-31T00:00:00"/>
    <x v="11"/>
    <s v="Series 2"/>
    <n v="42873837.030000001"/>
    <n v="8554254.4276469555"/>
    <n v="107.2"/>
    <n v="0"/>
    <n v="0"/>
    <n v="-6164000"/>
    <m/>
    <n v="5.0119899276591235"/>
    <n v="-6164000"/>
    <n v="-1229850.8354901921"/>
    <n v="-6164000"/>
    <n v="-6164000"/>
    <s v="Private Equity Fund"/>
    <n v="0"/>
    <n v="0"/>
    <n v="0"/>
    <n v="0"/>
    <m/>
    <m/>
    <m/>
    <m/>
    <m/>
    <m/>
    <m/>
    <m/>
    <m/>
    <m/>
    <m/>
    <d v="2014-12-31T00:00:00"/>
    <n v="5.4258896105596754E-4"/>
    <x v="1"/>
    <n v="0"/>
    <x v="151"/>
  </r>
  <r>
    <d v="2015-01-30T00:00:00"/>
    <x v="11"/>
    <s v="Series 2"/>
    <n v="43795100.853500001"/>
    <n v="8738066.41386343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2.1487785729449982E-2"/>
    <x v="1"/>
    <n v="0"/>
    <x v="152"/>
  </r>
  <r>
    <d v="2015-02-27T00:00:00"/>
    <x v="11"/>
    <s v="Series 2"/>
    <n v="44718811.365999997"/>
    <n v="8922366.567262068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2.1091640263369182E-2"/>
    <x v="1"/>
    <n v="0"/>
    <x v="153"/>
  </r>
  <r>
    <d v="2015-03-31T00:00:00"/>
    <x v="11"/>
    <s v="Series 2"/>
    <n v="44798269.722999997"/>
    <n v="8938220.221827793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3-31T00:00:00"/>
    <n v="1.776844119349974E-3"/>
    <x v="1"/>
    <n v="0"/>
    <x v="154"/>
  </r>
  <r>
    <d v="2015-04-30T00:00:00"/>
    <x v="11"/>
    <s v="Series 2"/>
    <n v="42078711.987000003"/>
    <n v="8395609.846457351"/>
    <n v="107.2"/>
    <n v="0"/>
    <n v="0"/>
    <n v="-3392880"/>
    <m/>
    <n v="5.0119899276591235"/>
    <n v="-3392880"/>
    <n v="-676952.67727416649"/>
    <n v="-3392880"/>
    <n v="-3392880"/>
    <s v="Private Equity Fund"/>
    <n v="0"/>
    <n v="0"/>
    <n v="0"/>
    <n v="0"/>
    <m/>
    <m/>
    <m/>
    <m/>
    <m/>
    <m/>
    <m/>
    <m/>
    <m/>
    <m/>
    <m/>
    <d v="2015-04-30T00:00:00"/>
    <n v="1.5030095317594583E-2"/>
    <x v="1"/>
    <n v="0"/>
    <x v="155"/>
  </r>
  <r>
    <d v="2015-05-29T00:00:00"/>
    <x v="11"/>
    <s v="Series 2"/>
    <n v="42268326.825000003"/>
    <n v="8433442.092877797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4.506193964743499E-3"/>
    <x v="1"/>
    <n v="0"/>
    <x v="156"/>
  </r>
  <r>
    <d v="2015-06-30T00:00:00"/>
    <x v="11"/>
    <s v="Series 2"/>
    <n v="43273072.597499996"/>
    <n v="8633910.5269732475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2.3770654009084735E-2"/>
    <x v="1"/>
    <n v="0"/>
    <x v="157"/>
  </r>
  <r>
    <d v="2015-07-31T00:00:00"/>
    <x v="11"/>
    <s v="Series 2"/>
    <n v="37054163.838"/>
    <n v="7393104.2106675468"/>
    <n v="107.2"/>
    <n v="0"/>
    <n v="0"/>
    <n v="-4848656"/>
    <m/>
    <n v="5.0119899276591235"/>
    <n v="-4848656"/>
    <n v="-967411.36155167629"/>
    <n v="-4848656"/>
    <n v="-4848656"/>
    <s v="Private Equity Fund"/>
    <n v="0"/>
    <n v="0"/>
    <n v="0"/>
    <n v="0"/>
    <m/>
    <m/>
    <m/>
    <m/>
    <m/>
    <m/>
    <m/>
    <m/>
    <m/>
    <m/>
    <m/>
    <d v="2015-07-31T00:00:00"/>
    <n v="-3.1665252251562137E-2"/>
    <x v="1"/>
    <n v="0"/>
    <x v="158"/>
  </r>
  <r>
    <d v="2015-08-31T00:00:00"/>
    <x v="11"/>
    <s v="Series 2"/>
    <n v="37261751.645499997"/>
    <n v="7434522.451824498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5.6022801757871221E-3"/>
    <x v="1"/>
    <n v="0"/>
    <x v="159"/>
  </r>
  <r>
    <d v="2015-09-30T00:00:00"/>
    <x v="11"/>
    <s v="Series 2"/>
    <n v="34137395.222000003"/>
    <n v="6811146.0148013616"/>
    <n v="107.2"/>
    <n v="0"/>
    <n v="0"/>
    <n v="-3006531.2"/>
    <m/>
    <n v="5.0119899276591235"/>
    <n v="-3006531.2"/>
    <n v="-599867.76577665959"/>
    <n v="-3006531.2"/>
    <n v="-3006531.2"/>
    <s v="Private Equity Fund"/>
    <n v="0"/>
    <n v="0"/>
    <n v="0"/>
    <n v="0"/>
    <m/>
    <m/>
    <m/>
    <m/>
    <m/>
    <m/>
    <m/>
    <m/>
    <m/>
    <m/>
    <m/>
    <d v="2015-09-30T00:00:00"/>
    <n v="-3.1620956690644464E-3"/>
    <x v="1"/>
    <n v="0"/>
    <x v="160"/>
  </r>
  <r>
    <d v="2015-10-30T00:00:00"/>
    <x v="11"/>
    <s v="Series 2"/>
    <n v="33959257.593999997"/>
    <n v="6775603.719112190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-5.2182548446227939E-3"/>
    <x v="1"/>
    <n v="0"/>
    <x v="161"/>
  </r>
  <r>
    <d v="2015-11-30T00:00:00"/>
    <x v="11"/>
    <s v="Series 2"/>
    <n v="33858582.710000001"/>
    <n v="6755516.910189368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2.964578472345103E-3"/>
    <x v="1"/>
    <n v="0"/>
    <x v="162"/>
  </r>
  <r>
    <d v="2015-12-31T00:00:00"/>
    <x v="11"/>
    <s v="Series 2"/>
    <n v="24371097.879999999"/>
    <n v="4862559.2293204488"/>
    <n v="107.2"/>
    <n v="0"/>
    <n v="0"/>
    <n v="-6753600"/>
    <m/>
    <n v="5.0119899276591235"/>
    <n v="-6753600"/>
    <n v="-1347488.7414936016"/>
    <n v="-6753600"/>
    <n v="-6753600"/>
    <s v="Private Equity Fund"/>
    <n v="0"/>
    <n v="0"/>
    <n v="0"/>
    <n v="0"/>
    <m/>
    <m/>
    <m/>
    <m/>
    <m/>
    <m/>
    <m/>
    <m/>
    <m/>
    <m/>
    <m/>
    <d v="2015-12-31T00:00:00"/>
    <n v="-8.0744219373144577E-2"/>
    <x v="1"/>
    <n v="0"/>
    <x v="163"/>
  </r>
  <r>
    <d v="2016-01-29T00:00:00"/>
    <x v="11"/>
    <s v="Series 2"/>
    <n v="23745565.359999999"/>
    <n v="4737752.01122371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2.5666981564804181E-2"/>
    <x v="1"/>
    <n v="0"/>
    <x v="164"/>
  </r>
  <r>
    <d v="2016-02-29T00:00:00"/>
    <x v="11"/>
    <s v="Series 2"/>
    <n v="23989685.510000002"/>
    <n v="4786459.24198904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0280662780564054E-2"/>
    <x v="1"/>
    <n v="0"/>
    <x v="165"/>
  </r>
  <r>
    <d v="2016-03-31T00:00:00"/>
    <x v="11"/>
    <s v="Series 2"/>
    <n v="24451655.23"/>
    <n v="4878632.156673203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1.9257014428447849E-2"/>
    <x v="1"/>
    <n v="0"/>
    <x v="166"/>
  </r>
  <r>
    <d v="2016-04-29T00:00:00"/>
    <x v="11"/>
    <s v="Series 2"/>
    <n v="25156356.460000001"/>
    <n v="5019235.238517210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2.8820185111043006E-2"/>
    <x v="1"/>
    <n v="0"/>
    <x v="167"/>
  </r>
  <r>
    <d v="2016-05-31T00:00:00"/>
    <x v="11"/>
    <s v="Series 2"/>
    <n v="24994116.350000001"/>
    <n v="4986864.84026388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-6.4492690051506374E-3"/>
    <x v="1"/>
    <n v="0"/>
    <x v="168"/>
  </r>
  <r>
    <d v="2016-06-30T00:00:00"/>
    <x v="11"/>
    <s v="Series 2"/>
    <n v="25321518.949999999"/>
    <n v="5052188.714558440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1.309918684122624E-2"/>
    <x v="1"/>
    <n v="0"/>
    <x v="169"/>
  </r>
  <r>
    <d v="2016-07-29T00:00:00"/>
    <x v="11"/>
    <s v="Series 2"/>
    <n v="25689342.75"/>
    <n v="5125577.4893383207"/>
    <n v="107.2"/>
    <n v="0"/>
    <n v="-3.7252902984619141E-9"/>
    <n v="0"/>
    <m/>
    <n v="5.0119899276591235"/>
    <n v="-3.7252902984619141E-9"/>
    <n v="0"/>
    <n v="-3.7252902984619141E-9"/>
    <n v="-3.7252902984619141E-9"/>
    <s v="Private Equity Fund"/>
    <n v="0"/>
    <n v="0"/>
    <n v="0"/>
    <n v="0"/>
    <m/>
    <m/>
    <m/>
    <m/>
    <m/>
    <m/>
    <m/>
    <m/>
    <m/>
    <m/>
    <m/>
    <d v="2016-07-29T00:00:00"/>
    <n v="1.4526134894447429E-2"/>
    <x v="1"/>
    <n v="0"/>
    <x v="170"/>
  </r>
  <r>
    <d v="2016-08-31T00:00:00"/>
    <x v="11"/>
    <s v="Series 2"/>
    <n v="25860682.059999999"/>
    <n v="5159763.3740813136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6.6696649917210582E-3"/>
    <x v="1"/>
    <n v="0"/>
    <x v="171"/>
  </r>
  <r>
    <d v="2016-09-30T00:00:00"/>
    <x v="11"/>
    <s v="Series 2"/>
    <n v="25541955.66"/>
    <n v="5096170.588660680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-1.232474840611375E-2"/>
    <x v="1"/>
    <n v="0"/>
    <x v="172"/>
  </r>
  <r>
    <d v="2016-10-31T00:00:00"/>
    <x v="11"/>
    <s v="Series 2"/>
    <n v="25710613.469999999"/>
    <n v="5129821.4563667886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6.6031674412514452E-3"/>
    <x v="1"/>
    <n v="0"/>
    <x v="173"/>
  </r>
  <r>
    <d v="2016-11-30T00:00:00"/>
    <x v="11"/>
    <s v="Series 2"/>
    <n v="21332360.329999998"/>
    <n v="4256265.6026652055"/>
    <n v="107.2"/>
    <n v="0"/>
    <n v="0"/>
    <n v="-3995987.2"/>
    <m/>
    <n v="5.0119899276591235"/>
    <n v="-3995987.2"/>
    <n v="-797285.56076056347"/>
    <n v="-3995987.2"/>
    <n v="-3995987.2"/>
    <s v="Private Equity Fund"/>
    <n v="0"/>
    <n v="0"/>
    <n v="0"/>
    <n v="0"/>
    <m/>
    <m/>
    <m/>
    <m/>
    <m/>
    <m/>
    <m/>
    <m/>
    <m/>
    <m/>
    <m/>
    <d v="2016-11-30T00:00:00"/>
    <n v="-1.4868020961306239E-2"/>
    <x v="1"/>
    <n v="0"/>
    <x v="174"/>
  </r>
  <r>
    <d v="2016-12-30T00:00:00"/>
    <x v="11"/>
    <s v="Series 2"/>
    <n v="19647440.100000001"/>
    <n v="3920087.7063965774"/>
    <n v="107.2"/>
    <n v="0"/>
    <n v="0"/>
    <n v="-814720"/>
    <m/>
    <n v="5.0119899276591235"/>
    <n v="-814720"/>
    <n v="-162554.19738652973"/>
    <n v="-814720"/>
    <n v="-814720"/>
    <s v="Private Equity Fund"/>
    <n v="0"/>
    <n v="0"/>
    <n v="0"/>
    <n v="0"/>
    <m/>
    <m/>
    <m/>
    <m/>
    <m/>
    <m/>
    <m/>
    <m/>
    <m/>
    <m/>
    <m/>
    <d v="2016-12-30T00:00:00"/>
    <n v="-4.0792496307884951E-2"/>
    <x v="1"/>
    <n v="0"/>
    <x v="175"/>
  </r>
  <r>
    <d v="2017-01-27T00:00:00"/>
    <x v="11"/>
    <s v="Series 2"/>
    <n v="19500015.859999999"/>
    <n v="3890673.393493347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-7.5034833672811274E-3"/>
    <x v="1"/>
    <n v="0"/>
    <x v="176"/>
  </r>
  <r>
    <d v="2017-02-28T00:00:00"/>
    <x v="11"/>
    <s v="Series 2"/>
    <n v="19820782.879999999"/>
    <n v="3954673.326579768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644957739024111E-2"/>
    <x v="1"/>
    <n v="0"/>
    <x v="177"/>
  </r>
  <r>
    <d v="2017-03-31T00:00:00"/>
    <x v="11"/>
    <s v="Series 2"/>
    <n v="19340988.010000002"/>
    <n v="3858943.910334894"/>
    <n v="107.2"/>
    <n v="0"/>
    <n v="0"/>
    <n v="-1286400"/>
    <m/>
    <n v="5.0119899276591235"/>
    <n v="-1286400"/>
    <n v="-256664.52218925746"/>
    <n v="-1286400"/>
    <n v="-1286400"/>
    <s v="Private Equity Fund"/>
    <n v="0"/>
    <n v="0"/>
    <n v="0"/>
    <n v="0"/>
    <m/>
    <m/>
    <m/>
    <m/>
    <m/>
    <m/>
    <m/>
    <m/>
    <m/>
    <m/>
    <m/>
    <d v="2017-03-31T00:00:00"/>
    <n v="4.0694917798322683E-2"/>
    <x v="1"/>
    <n v="0"/>
    <x v="178"/>
  </r>
  <r>
    <d v="2017-04-28T00:00:00"/>
    <x v="11"/>
    <s v="Series 2"/>
    <n v="18403540.27"/>
    <n v="3671902.8840098786"/>
    <n v="107.2"/>
    <n v="0"/>
    <n v="0"/>
    <n v="-1232800"/>
    <m/>
    <n v="5.0119899276591235"/>
    <n v="-1232800"/>
    <n v="-245970.16709803839"/>
    <n v="-1232800"/>
    <n v="-1232800"/>
    <s v="Private Equity Fund"/>
    <n v="0"/>
    <n v="0"/>
    <n v="0"/>
    <n v="0"/>
    <m/>
    <m/>
    <m/>
    <m/>
    <m/>
    <m/>
    <m/>
    <m/>
    <m/>
    <m/>
    <m/>
    <d v="2017-04-28T00:00:00"/>
    <n v="1.5270794844983504E-2"/>
    <x v="1"/>
    <n v="0"/>
    <x v="179"/>
  </r>
  <r>
    <d v="2017-05-31T00:00:00"/>
    <x v="11"/>
    <s v="Series 2"/>
    <n v="17242492.890000001"/>
    <n v="3440248.910885820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6.3088262528087968E-2"/>
    <x v="1"/>
    <n v="0"/>
    <x v="180"/>
  </r>
  <r>
    <d v="2017-06-30T00:00:00"/>
    <x v="11"/>
    <s v="Series 2"/>
    <n v="16583133.810000001"/>
    <n v="3308692.565099635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-3.8240356786367169E-2"/>
    <x v="1"/>
    <n v="0"/>
    <x v="181"/>
  </r>
  <r>
    <d v="2017-07-31T00:00:00"/>
    <x v="11"/>
    <s v="Series 2"/>
    <n v="17403153.66"/>
    <n v="3472304.19677404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4.9449028114668447E-2"/>
    <x v="1"/>
    <n v="0"/>
    <x v="182"/>
  </r>
  <r>
    <d v="2017-08-31T00:00:00"/>
    <x v="11"/>
    <s v="Series 2"/>
    <n v="19412700"/>
    <n v="3873251.997748288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0.11547024058167166"/>
    <x v="1"/>
    <n v="0"/>
    <x v="183"/>
  </r>
  <r>
    <d v="2017-09-29T00:00:00"/>
    <x v="11"/>
    <s v="Series 2"/>
    <n v="19067100"/>
    <n v="3804297.349995950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7802778593395074E-2"/>
    <x v="1"/>
    <n v="0"/>
    <x v="184"/>
  </r>
  <r>
    <d v="2017-10-31T00:00:00"/>
    <x v="11"/>
    <s v="Series 2"/>
    <n v="19025700"/>
    <n v="3796037.157817285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-2.1712793240713513E-3"/>
    <x v="1"/>
    <n v="0"/>
    <x v="185"/>
  </r>
  <r>
    <d v="2017-11-30T00:00:00"/>
    <x v="11"/>
    <s v="Series 2"/>
    <n v="13776900"/>
    <n v="2748788.4450786547"/>
    <n v="107.2"/>
    <n v="0"/>
    <n v="-1.862645149230957E-9"/>
    <n v="-4631546.51"/>
    <m/>
    <n v="5.0119899276591235"/>
    <n v="-4631546.5100000016"/>
    <n v="-924093.33954172337"/>
    <n v="-4631546.5100000016"/>
    <n v="-4631546.5100000016"/>
    <s v="Private Equity Fund"/>
    <n v="0"/>
    <n v="0"/>
    <n v="0"/>
    <n v="0"/>
    <m/>
    <m/>
    <m/>
    <m/>
    <m/>
    <m/>
    <m/>
    <m/>
    <m/>
    <m/>
    <m/>
    <d v="2017-11-30T00:00:00"/>
    <n v="-3.2443142170853201E-2"/>
    <x v="1"/>
    <n v="0"/>
    <x v="186"/>
  </r>
  <r>
    <d v="2017-12-29T00:00:00"/>
    <x v="11"/>
    <s v="Series 2"/>
    <n v="13929100"/>
    <n v="2779155.625020511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1.1047478024809543E-2"/>
    <x v="1"/>
    <n v="0"/>
    <x v="187"/>
  </r>
  <r>
    <d v="2018-01-31T00:00:00"/>
    <x v="11"/>
    <s v="Series 2"/>
    <n v="14239200"/>
    <n v="2841027.257740418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1-31T00:00:00"/>
    <n v="2.2262744900962694E-2"/>
    <x v="1"/>
    <n v="0"/>
    <x v="188"/>
  </r>
  <r>
    <d v="2018-02-28T00:00:00"/>
    <x v="11"/>
    <s v="Series 2"/>
    <n v="13767500"/>
    <n v="2746912.942506686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2-28T00:00:00"/>
    <n v="-3.3126861059610047E-2"/>
    <x v="1"/>
    <n v="0"/>
    <x v="189"/>
  </r>
  <r>
    <d v="2018-03-29T00:00:00"/>
    <x v="11"/>
    <s v="Series 2"/>
    <n v="13848225.35"/>
    <n v="2763019.389479876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3-29T00:00:00"/>
    <n v="5.863471944797416E-3"/>
    <x v="1"/>
    <n v="0"/>
    <x v="190"/>
  </r>
  <r>
    <d v="2018-04-30T00:00:00"/>
    <x v="11"/>
    <s v="Series 2"/>
    <n v="7897241.4299999997"/>
    <n v="1575669.8524907946"/>
    <n v="107.2"/>
    <n v="0"/>
    <n v="0"/>
    <n v="-6091054.9299999997"/>
    <m/>
    <n v="5.0119899276591235"/>
    <n v="-6091054.9299999997"/>
    <n v="-1215296.7220436651"/>
    <n v="-6091054.9299999997"/>
    <n v="-6091054.9299999997"/>
    <s v="Private Equity Fund"/>
    <n v="0"/>
    <n v="0"/>
    <n v="0"/>
    <n v="0"/>
    <m/>
    <m/>
    <m/>
    <m/>
    <m/>
    <m/>
    <m/>
    <m/>
    <m/>
    <m/>
    <m/>
    <d v="2018-04-30T00:00:00"/>
    <n v="1.0114726360948456E-2"/>
    <x v="1"/>
    <n v="0"/>
    <x v="191"/>
  </r>
  <r>
    <d v="2018-05-31T00:00:00"/>
    <x v="11"/>
    <s v="Series 2"/>
    <n v="7528562.5099999998"/>
    <n v="1502110.4628429001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5-31T00:00:00"/>
    <n v="-4.6684519305622896E-2"/>
    <x v="1"/>
    <n v="0"/>
    <x v="192"/>
  </r>
  <r>
    <d v="2018-06-29T00:00:00"/>
    <x v="11"/>
    <s v="Series 2"/>
    <n v="7235291.2800000003"/>
    <n v="1443596.532401508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6-29T00:00:00"/>
    <n v="-3.8954478973968087E-2"/>
    <x v="1"/>
    <n v="0"/>
    <x v="193"/>
  </r>
  <r>
    <d v="2018-07-31T00:00:00"/>
    <x v="11"/>
    <s v="Series 2"/>
    <n v="7199775.2790000001"/>
    <n v="1436510.3248247535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7-31T00:00:00"/>
    <n v="-4.9087175105408942E-3"/>
    <x v="1"/>
    <n v="0"/>
    <x v="194"/>
  </r>
  <r>
    <d v="2018-08-31T00:00:00"/>
    <x v="11"/>
    <s v="Series 2"/>
    <n v="7171311.2300000004"/>
    <n v="1430831.133643039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  <m/>
    <m/>
    <m/>
    <d v="2018-08-31T00:00:00"/>
    <n v="-3.953463531427448E-3"/>
    <x v="1"/>
    <n v="0"/>
    <x v="195"/>
  </r>
  <r>
    <d v="2018-09-28T00:00:00"/>
    <x v="11"/>
    <s v="Series 2"/>
    <n v="6836543.4900000002"/>
    <m/>
    <n v="107.2"/>
    <m/>
    <n v="0"/>
    <n v="0"/>
    <m/>
    <n v="0"/>
    <n v="0"/>
    <e v="#DIV/0!"/>
    <n v="0"/>
    <n v="0"/>
    <s v="Private Equity Fund"/>
    <n v="0"/>
    <n v="0"/>
    <m/>
    <m/>
    <m/>
    <m/>
    <m/>
    <m/>
    <m/>
    <m/>
    <m/>
    <m/>
    <m/>
    <m/>
    <m/>
    <d v="2018-09-28T00:00:00"/>
    <n v="-4.6681524377237271E-2"/>
    <x v="1"/>
    <n v="0"/>
    <x v="196"/>
  </r>
  <r>
    <d v="2018-10-31T00:00:00"/>
    <x v="11"/>
    <s v="Series 2"/>
    <n v="6358835.0099999998"/>
    <m/>
    <n v="107.2"/>
    <m/>
    <n v="0"/>
    <n v="424807.02999999997"/>
    <n v="0"/>
    <m/>
    <n v="424807.02999999997"/>
    <e v="#DIV/0!"/>
    <n v="-5934027.9799999995"/>
    <n v="-5934027.9799999995"/>
    <s v="Private Equity Fund"/>
    <n v="0"/>
    <n v="0"/>
    <m/>
    <m/>
    <m/>
    <m/>
    <m/>
    <m/>
    <m/>
    <m/>
    <m/>
    <m/>
    <m/>
    <m/>
    <m/>
    <d v="2018-10-31T00:00:00"/>
    <n v="-0.13201342335057697"/>
    <x v="1"/>
    <n v="0"/>
    <x v="197"/>
  </r>
  <r>
    <d v="2012-07-31T00:00:00"/>
    <x v="11"/>
    <s v="Series 3"/>
    <n v="14625000"/>
    <n v="14625000"/>
    <n v="125"/>
    <n v="14625000"/>
    <n v="0"/>
    <n v="0"/>
    <m/>
    <n v="1"/>
    <n v="14625000"/>
    <n v="14625000"/>
    <n v="14625000"/>
    <n v="14625000"/>
    <s v="Private Equity Fund"/>
    <n v="0"/>
    <n v="0"/>
    <n v="0"/>
    <n v="0"/>
    <m/>
    <m/>
    <m/>
    <m/>
    <m/>
    <m/>
    <m/>
    <m/>
    <m/>
    <m/>
    <m/>
    <d v="2012-07-31T00:00:00"/>
    <n v="0"/>
    <x v="1"/>
    <n v="0"/>
    <x v="135"/>
  </r>
  <r>
    <d v="2012-08-31T00:00:00"/>
    <x v="11"/>
    <s v="Series 3"/>
    <n v="14649420.602"/>
    <n v="14649420.602"/>
    <n v="125"/>
    <n v="0"/>
    <n v="0"/>
    <n v="0"/>
    <m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1.6697847521367493E-3"/>
    <x v="1"/>
    <n v="0"/>
    <x v="136"/>
  </r>
  <r>
    <d v="2012-09-28T00:00:00"/>
    <x v="11"/>
    <s v="Series 3"/>
    <n v="22130551.629999999"/>
    <n v="14554800.98786664"/>
    <n v="125"/>
    <n v="7625000"/>
    <n v="0"/>
    <n v="0"/>
    <m/>
    <n v="1.5204984010738967"/>
    <n v="7625000"/>
    <n v="0"/>
    <n v="7625000"/>
    <n v="7625000"/>
    <s v="Private Equity Fund"/>
    <n v="0"/>
    <n v="0"/>
    <n v="0"/>
    <n v="0"/>
    <m/>
    <m/>
    <m/>
    <m/>
    <m/>
    <m/>
    <m/>
    <m/>
    <m/>
    <m/>
    <m/>
    <d v="2012-09-28T00:00:00"/>
    <n v="-9.8207960511667025E-3"/>
    <x v="1"/>
    <n v="0"/>
    <x v="137"/>
  </r>
  <r>
    <d v="2012-10-31T00:00:00"/>
    <x v="11"/>
    <s v="Series 3"/>
    <n v="22642503.828499999"/>
    <n v="14891501.242295332"/>
    <n v="125"/>
    <n v="0"/>
    <n v="0"/>
    <n v="0"/>
    <m/>
    <n v="1.5204984010738967"/>
    <n v="0"/>
    <n v="0"/>
    <n v="0"/>
    <n v="0"/>
    <s v="Private Equity Fund"/>
    <n v="0"/>
    <n v="0"/>
    <n v="0"/>
    <n v="0"/>
    <m/>
    <m/>
    <m/>
    <m/>
    <m/>
    <m/>
    <m/>
    <m/>
    <m/>
    <m/>
    <m/>
    <d v="2012-10-31T00:00:00"/>
    <n v="2.3133277789876727E-2"/>
    <x v="1"/>
    <n v="0"/>
    <x v="138"/>
  </r>
  <r>
    <d v="2012-11-30T00:00:00"/>
    <x v="11"/>
    <s v="Series 3"/>
    <n v="52540034.818000004"/>
    <n v="14933433.918782942"/>
    <n v="125"/>
    <n v="29750000"/>
    <n v="0"/>
    <n v="0"/>
    <m/>
    <n v="3.5182822051340992"/>
    <n v="29750000"/>
    <n v="0"/>
    <n v="29750000"/>
    <n v="29750000"/>
    <s v="Private Equity Fund"/>
    <n v="0"/>
    <n v="0"/>
    <n v="0"/>
    <n v="0"/>
    <m/>
    <m/>
    <m/>
    <m/>
    <m/>
    <m/>
    <m/>
    <m/>
    <m/>
    <m/>
    <m/>
    <d v="2012-11-30T00:00:00"/>
    <n v="6.5156658741207796E-3"/>
    <x v="1"/>
    <n v="0"/>
    <x v="139"/>
  </r>
  <r>
    <d v="2012-12-31T00:00:00"/>
    <x v="11"/>
    <s v="Series 3"/>
    <n v="63206583.82"/>
    <n v="15122820.093913885"/>
    <n v="125"/>
    <n v="9875000"/>
    <n v="0"/>
    <n v="0"/>
    <m/>
    <n v="4.1795500725051422"/>
    <n v="9875000"/>
    <n v="0"/>
    <n v="9875000"/>
    <n v="9875000"/>
    <s v="Private Equity Fund"/>
    <n v="0"/>
    <n v="0"/>
    <n v="0"/>
    <n v="0"/>
    <m/>
    <m/>
    <m/>
    <m/>
    <m/>
    <m/>
    <m/>
    <m/>
    <m/>
    <m/>
    <m/>
    <d v="2012-12-31T00:00:00"/>
    <n v="1.5065635276831024E-2"/>
    <x v="1"/>
    <n v="0"/>
    <x v="140"/>
  </r>
  <r>
    <d v="2013-01-31T00:00:00"/>
    <x v="11"/>
    <s v="Series 3"/>
    <n v="63194305.892999999"/>
    <n v="15119882.47460391"/>
    <n v="125"/>
    <n v="0"/>
    <n v="0"/>
    <n v="0"/>
    <m/>
    <n v="4.1795500725051422"/>
    <n v="0"/>
    <n v="0"/>
    <n v="0"/>
    <n v="0"/>
    <s v="Private Equity Fund"/>
    <n v="0"/>
    <n v="0"/>
    <n v="0"/>
    <n v="0"/>
    <m/>
    <m/>
    <m/>
    <m/>
    <m/>
    <m/>
    <m/>
    <m/>
    <m/>
    <m/>
    <m/>
    <d v="2013-01-31T00:00:00"/>
    <n v="-1.9425076088541715E-4"/>
    <x v="1"/>
    <n v="0"/>
    <x v="141"/>
  </r>
  <r>
    <d v="2013-02-28T00:00:00"/>
    <x v="11"/>
    <s v="Series 3"/>
    <n v="74490460.731000006"/>
    <n v="15205853.465926142"/>
    <n v="125"/>
    <n v="10875000"/>
    <n v="0"/>
    <n v="0"/>
    <m/>
    <n v="4.8988016948815849"/>
    <n v="10875000"/>
    <n v="0"/>
    <n v="10875000"/>
    <n v="10875000"/>
    <s v="Private Equity Fund"/>
    <n v="0"/>
    <n v="0"/>
    <n v="0"/>
    <n v="0"/>
    <m/>
    <m/>
    <m/>
    <m/>
    <m/>
    <m/>
    <m/>
    <m/>
    <m/>
    <m/>
    <m/>
    <d v="2013-02-28T00:00:00"/>
    <n v="6.6644428172548675E-3"/>
    <x v="1"/>
    <n v="0"/>
    <x v="142"/>
  </r>
  <r>
    <d v="2013-03-28T00:00:00"/>
    <x v="11"/>
    <s v="Series 3"/>
    <n v="81488648.310499996"/>
    <n v="15135863.577649677"/>
    <n v="125"/>
    <n v="7375000"/>
    <n v="0"/>
    <n v="0"/>
    <m/>
    <n v="5.3838122874488601"/>
    <n v="7375000"/>
    <n v="0"/>
    <n v="7375000"/>
    <n v="7375000"/>
    <s v="Private Equity Fund"/>
    <n v="0"/>
    <n v="0"/>
    <n v="0"/>
    <n v="0"/>
    <m/>
    <m/>
    <m/>
    <m/>
    <m/>
    <m/>
    <m/>
    <m/>
    <m/>
    <m/>
    <m/>
    <d v="2013-03-28T00:00:00"/>
    <n v="-5.0585325530574377E-3"/>
    <x v="1"/>
    <n v="0"/>
    <x v="143"/>
  </r>
  <r>
    <d v="2013-04-30T00:00:00"/>
    <x v="11"/>
    <s v="Series 3"/>
    <n v="84527219.515499994"/>
    <n v="14965641.502925906"/>
    <n v="125"/>
    <n v="4000000"/>
    <n v="0"/>
    <n v="0"/>
    <m/>
    <n v="5.6480852824768135"/>
    <n v="4000000"/>
    <n v="0"/>
    <n v="4000000"/>
    <n v="4000000"/>
    <s v="Private Equity Fund"/>
    <n v="0"/>
    <n v="0"/>
    <n v="0"/>
    <n v="0"/>
    <m/>
    <m/>
    <m/>
    <m/>
    <m/>
    <m/>
    <m/>
    <m/>
    <m/>
    <m/>
    <m/>
    <d v="2013-04-30T00:00:00"/>
    <n v="-1.1798315654183211E-2"/>
    <x v="1"/>
    <n v="0"/>
    <x v="144"/>
  </r>
  <r>
    <d v="2013-05-31T00:00:00"/>
    <x v="11"/>
    <s v="Series 3"/>
    <n v="85370854.103499994"/>
    <n v="15115007.977723548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5-31T00:00:00"/>
    <n v="9.980626274419313E-3"/>
    <x v="1"/>
    <n v="0"/>
    <x v="145"/>
  </r>
  <r>
    <d v="2013-06-28T00:00:00"/>
    <x v="11"/>
    <s v="Series 3"/>
    <n v="85309280.282000005"/>
    <n v="15104106.261757782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7.2125108910514601E-4"/>
    <x v="1"/>
    <n v="0"/>
    <x v="146"/>
  </r>
  <r>
    <d v="2013-07-31T00:00:00"/>
    <x v="11"/>
    <s v="Series 3"/>
    <n v="83127841.189999998"/>
    <n v="14717879.959763383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2.5570947085580831E-2"/>
    <x v="1"/>
    <n v="0"/>
    <x v="147"/>
  </r>
  <r>
    <d v="2013-08-30T00:00:00"/>
    <x v="11"/>
    <s v="Series 3"/>
    <n v="82013250.579999998"/>
    <n v="14520540.409410272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1.3408150555148546E-2"/>
    <x v="1"/>
    <n v="0"/>
    <x v="148"/>
  </r>
  <r>
    <d v="2013-09-30T00:00:00"/>
    <x v="11"/>
    <s v="Series 3"/>
    <n v="124195018.06"/>
    <n v="14674948.743075097"/>
    <n v="125"/>
    <n v="40875000"/>
    <n v="0"/>
    <n v="0"/>
    <m/>
    <n v="8.4630631584731013"/>
    <n v="40875000"/>
    <n v="0"/>
    <n v="40875000"/>
    <n v="40875000"/>
    <s v="Private Equity Fund"/>
    <n v="0"/>
    <n v="0"/>
    <n v="0"/>
    <n v="0"/>
    <m/>
    <m/>
    <m/>
    <m/>
    <m/>
    <m/>
    <m/>
    <m/>
    <m/>
    <m/>
    <m/>
    <d v="2013-09-30T00:00:00"/>
    <n v="1.593361402893434E-2"/>
    <x v="1"/>
    <n v="0"/>
    <x v="0"/>
  </r>
  <r>
    <d v="2013-10-31T00:00:00"/>
    <x v="11"/>
    <s v="Series 3"/>
    <n v="110091599.789"/>
    <n v="13008481.412404187"/>
    <n v="125"/>
    <n v="0"/>
    <n v="0"/>
    <n v="-16151066.669999998"/>
    <m/>
    <n v="8.4630631584731013"/>
    <n v="-16151066.669999998"/>
    <n v="-1908418.543920445"/>
    <n v="-16151066.669999998"/>
    <n v="-16151066.669999998"/>
    <s v="Private Equity Fund"/>
    <n v="0"/>
    <n v="0"/>
    <n v="0"/>
    <n v="0"/>
    <m/>
    <m/>
    <m/>
    <m/>
    <m/>
    <m/>
    <m/>
    <m/>
    <m/>
    <m/>
    <m/>
    <d v="2013-10-31T00:00:00"/>
    <n v="1.6487363430397473E-2"/>
    <x v="1"/>
    <n v="0"/>
    <x v="1"/>
  </r>
  <r>
    <d v="2013-11-29T00:00:00"/>
    <x v="11"/>
    <s v="Series 3"/>
    <n v="110241771.193"/>
    <n v="13026225.74459077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3-11-29T00:00:00"/>
    <n v="1.3640586955572243E-3"/>
    <x v="1"/>
    <n v="0"/>
    <x v="2"/>
  </r>
  <r>
    <d v="2013-12-31T00:00:00"/>
    <x v="11"/>
    <s v="Series 3"/>
    <n v="112194403.88349999"/>
    <n v="13256949.85168254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1.7712276112486602E-2"/>
    <x v="1"/>
    <n v="0"/>
    <x v="3"/>
  </r>
  <r>
    <d v="2014-01-30T00:00:00"/>
    <x v="11"/>
    <s v="Series 3"/>
    <n v="113714706.19949999"/>
    <n v="13436589.57403034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1.3550607368783218E-2"/>
    <x v="1"/>
    <n v="0"/>
    <x v="4"/>
  </r>
  <r>
    <d v="2014-02-28T00:00:00"/>
    <x v="11"/>
    <s v="Series 3"/>
    <n v="114456044.5795"/>
    <n v="13524186.50744774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6.519283255231878E-3"/>
    <x v="1"/>
    <n v="0"/>
    <x v="5"/>
  </r>
  <r>
    <d v="2014-03-31T00:00:00"/>
    <x v="11"/>
    <s v="Series 3"/>
    <n v="109278725.9515"/>
    <n v="12912431.811653404"/>
    <n v="125"/>
    <n v="0"/>
    <n v="0"/>
    <n v="-5311250"/>
    <m/>
    <n v="8.4630631584731013"/>
    <n v="-5311250"/>
    <n v="-627580.09724675759"/>
    <n v="-5311250"/>
    <n v="-5311250"/>
    <s v="Private Equity Fund"/>
    <n v="0"/>
    <n v="0"/>
    <n v="0"/>
    <n v="0"/>
    <m/>
    <m/>
    <m/>
    <m/>
    <m/>
    <m/>
    <m/>
    <m/>
    <m/>
    <m/>
    <m/>
    <d v="2014-03-31T00:00:00"/>
    <n v="1.1701555168366351E-3"/>
    <x v="1"/>
    <n v="0"/>
    <x v="6"/>
  </r>
  <r>
    <d v="2014-04-30T00:00:00"/>
    <x v="11"/>
    <s v="Series 3"/>
    <n v="107779562.5235"/>
    <n v="12735289.87144478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1.3718712539395495E-2"/>
    <x v="1"/>
    <n v="0"/>
    <x v="7"/>
  </r>
  <r>
    <d v="2014-05-30T00:00:00"/>
    <x v="11"/>
    <s v="Series 3"/>
    <n v="108445817.233"/>
    <n v="12814014.87881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6.1816423624352357E-3"/>
    <x v="1"/>
    <n v="0"/>
    <x v="8"/>
  </r>
  <r>
    <d v="2014-06-30T00:00:00"/>
    <x v="11"/>
    <s v="Series 3"/>
    <n v="108762817.355"/>
    <n v="12851471.78018022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2.9231198591912477E-3"/>
    <x v="1"/>
    <n v="0"/>
    <x v="9"/>
  </r>
  <r>
    <d v="2014-07-31T00:00:00"/>
    <x v="11"/>
    <s v="Series 3"/>
    <n v="101152810.1225"/>
    <n v="11952269.317667471"/>
    <n v="125"/>
    <n v="0"/>
    <n v="0"/>
    <n v="-8432500"/>
    <m/>
    <n v="8.4630631584731013"/>
    <n v="-8432500"/>
    <n v="-996388.64109828812"/>
    <n v="-8432500"/>
    <n v="-8432500"/>
    <s v="Private Equity Fund"/>
    <n v="0"/>
    <n v="0"/>
    <n v="0"/>
    <n v="0"/>
    <m/>
    <m/>
    <m/>
    <m/>
    <m/>
    <m/>
    <m/>
    <m/>
    <m/>
    <m/>
    <m/>
    <d v="2014-07-31T00:00:00"/>
    <n v="7.5622605914611452E-3"/>
    <x v="1"/>
    <n v="0"/>
    <x v="10"/>
  </r>
  <r>
    <d v="2014-08-29T00:00:00"/>
    <x v="11"/>
    <s v="Series 3"/>
    <n v="72456057.649000004"/>
    <n v="8561445.9318382852"/>
    <n v="125"/>
    <n v="0"/>
    <n v="0"/>
    <n v="-29393750"/>
    <m/>
    <n v="8.4630631584731013"/>
    <n v="-29393750"/>
    <n v="-3473180.9806442703"/>
    <n v="-29393750"/>
    <n v="-29393750"/>
    <s v="Private Equity Fund"/>
    <n v="0"/>
    <n v="0"/>
    <n v="0"/>
    <n v="0"/>
    <m/>
    <m/>
    <m/>
    <m/>
    <m/>
    <m/>
    <m/>
    <m/>
    <m/>
    <m/>
    <m/>
    <d v="2014-08-29T00:00:00"/>
    <n v="6.8905404175712004E-3"/>
    <x v="1"/>
    <n v="0"/>
    <x v="11"/>
  </r>
  <r>
    <d v="2014-09-30T00:00:00"/>
    <x v="11"/>
    <s v="Series 3"/>
    <n v="72862376.221499994"/>
    <n v="8609456.7483584471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5.6077929945943517E-3"/>
    <x v="1"/>
    <n v="0"/>
    <x v="12"/>
  </r>
  <r>
    <d v="2014-10-31T00:00:00"/>
    <x v="11"/>
    <s v="Series 3"/>
    <n v="57035648.439499997"/>
    <n v="6739362.2582618557"/>
    <n v="125"/>
    <n v="0"/>
    <n v="0"/>
    <n v="-14468750"/>
    <m/>
    <n v="8.4630631584731013"/>
    <n v="-14468750"/>
    <n v="-1709635.1201767989"/>
    <n v="-14468750"/>
    <n v="-14468750"/>
    <s v="Private Equity Fund"/>
    <n v="0"/>
    <n v="0"/>
    <n v="0"/>
    <n v="0"/>
    <m/>
    <m/>
    <m/>
    <m/>
    <m/>
    <m/>
    <m/>
    <m/>
    <m/>
    <m/>
    <m/>
    <d v="2014-10-31T00:00:00"/>
    <n v="-1.8637571987383028E-2"/>
    <x v="1"/>
    <n v="0"/>
    <x v="149"/>
  </r>
  <r>
    <d v="2014-11-28T00:00:00"/>
    <x v="11"/>
    <s v="Series 3"/>
    <n v="55339365.846500002"/>
    <n v="6538928.61370117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2.9740743542160497E-2"/>
    <x v="1"/>
    <n v="0"/>
    <x v="150"/>
  </r>
  <r>
    <d v="2014-12-31T00:00:00"/>
    <x v="11"/>
    <s v="Series 3"/>
    <n v="47432063.873999998"/>
    <n v="5604597.6481354358"/>
    <n v="125"/>
    <n v="0"/>
    <n v="0"/>
    <n v="-7187500"/>
    <m/>
    <n v="8.4630631584731013"/>
    <n v="-7187500"/>
    <n v="-849278.78540100157"/>
    <n v="-7187500"/>
    <n v="-7187500"/>
    <s v="Private Equity Fund"/>
    <n v="0"/>
    <n v="0"/>
    <n v="0"/>
    <n v="0"/>
    <m/>
    <m/>
    <m/>
    <m/>
    <m/>
    <m/>
    <m/>
    <m/>
    <m/>
    <m/>
    <m/>
    <d v="2014-12-31T00:00:00"/>
    <n v="-1.3007051336594411E-2"/>
    <x v="1"/>
    <n v="0"/>
    <x v="151"/>
  </r>
  <r>
    <d v="2015-01-30T00:00:00"/>
    <x v="11"/>
    <s v="Series 3"/>
    <n v="48075837.681500003"/>
    <n v="5680666.300282438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1.3572544707524115E-2"/>
    <x v="1"/>
    <n v="0"/>
    <x v="152"/>
  </r>
  <r>
    <d v="2015-02-27T00:00:00"/>
    <x v="11"/>
    <s v="Series 3"/>
    <n v="49024080.205499999"/>
    <n v="5792711.136323940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1.9723889790169702E-2"/>
    <x v="1"/>
    <n v="0"/>
    <x v="153"/>
  </r>
  <r>
    <d v="2015-03-31T00:00:00"/>
    <x v="11"/>
    <s v="Series 3"/>
    <n v="48683406.614500001"/>
    <n v="5752456.96539069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3-31T00:00:00"/>
    <n v="-6.949107246315589E-3"/>
    <x v="1"/>
    <n v="0"/>
    <x v="154"/>
  </r>
  <r>
    <d v="2015-04-30T00:00:00"/>
    <x v="11"/>
    <s v="Series 3"/>
    <n v="45455255.158500001"/>
    <n v="5371016.8891970078"/>
    <n v="125"/>
    <n v="0"/>
    <n v="0"/>
    <n v="-4581250"/>
    <m/>
    <n v="8.4630631584731013"/>
    <n v="-4581250"/>
    <n v="-541322.91278168187"/>
    <n v="-4581250"/>
    <n v="-4581250"/>
    <s v="Private Equity Fund"/>
    <n v="0"/>
    <n v="0"/>
    <n v="0"/>
    <n v="0"/>
    <m/>
    <m/>
    <m/>
    <m/>
    <m/>
    <m/>
    <m/>
    <m/>
    <m/>
    <m/>
    <m/>
    <d v="2015-04-30T00:00:00"/>
    <n v="2.7793834451942168E-2"/>
    <x v="1"/>
    <n v="0"/>
    <x v="155"/>
  </r>
  <r>
    <d v="2015-05-29T00:00:00"/>
    <x v="11"/>
    <s v="Series 3"/>
    <n v="45559086.968000002"/>
    <n v="5383285.710492054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2.2842641436715549E-3"/>
    <x v="1"/>
    <n v="0"/>
    <x v="156"/>
  </r>
  <r>
    <d v="2015-06-30T00:00:00"/>
    <x v="11"/>
    <s v="Series 3"/>
    <n v="46078338.946000002"/>
    <n v="5444640.797684111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1.1397330643713621E-2"/>
    <x v="1"/>
    <n v="0"/>
    <x v="157"/>
  </r>
  <r>
    <d v="2015-07-31T00:00:00"/>
    <x v="11"/>
    <s v="Series 3"/>
    <n v="39977600.859499998"/>
    <n v="4723774.3723411756"/>
    <n v="125"/>
    <n v="0"/>
    <n v="0"/>
    <n v="-4841250"/>
    <m/>
    <n v="8.4630631584731013"/>
    <n v="-4841250"/>
    <n v="-572044.64971444861"/>
    <n v="-4841250"/>
    <n v="-4841250"/>
    <s v="Private Equity Fund"/>
    <n v="0"/>
    <n v="0"/>
    <n v="0"/>
    <n v="0"/>
    <m/>
    <m/>
    <m/>
    <m/>
    <m/>
    <m/>
    <m/>
    <m/>
    <m/>
    <m/>
    <m/>
    <d v="2015-07-31T00:00:00"/>
    <n v="-2.7333626066165739E-2"/>
    <x v="1"/>
    <n v="0"/>
    <x v="158"/>
  </r>
  <r>
    <d v="2015-08-31T00:00:00"/>
    <x v="11"/>
    <s v="Series 3"/>
    <n v="38908789.685999997"/>
    <n v="4597483.081175526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2.6735250503308161E-2"/>
    <x v="1"/>
    <n v="0"/>
    <x v="159"/>
  </r>
  <r>
    <d v="2015-09-30T00:00:00"/>
    <x v="11"/>
    <s v="Series 3"/>
    <n v="36942954.142999999"/>
    <n v="4365198.9180788789"/>
    <n v="125"/>
    <n v="0"/>
    <n v="0"/>
    <n v="-1343250"/>
    <m/>
    <n v="8.4630631584731013"/>
    <n v="-1343250"/>
    <n v="-158719.12744207241"/>
    <n v="-1343250"/>
    <n v="-1343250"/>
    <s v="Private Equity Fund"/>
    <n v="0"/>
    <n v="0"/>
    <n v="0"/>
    <n v="0"/>
    <m/>
    <m/>
    <m/>
    <m/>
    <m/>
    <m/>
    <m/>
    <m/>
    <m/>
    <m/>
    <m/>
    <d v="2015-09-30T00:00:00"/>
    <n v="-1.6001154187122224E-2"/>
    <x v="1"/>
    <n v="0"/>
    <x v="160"/>
  </r>
  <r>
    <d v="2015-10-30T00:00:00"/>
    <x v="11"/>
    <s v="Series 3"/>
    <n v="37491551.648500003"/>
    <n v="4430021.488255582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1.4849854816062491E-2"/>
    <x v="1"/>
    <n v="0"/>
    <x v="161"/>
  </r>
  <r>
    <d v="2015-11-30T00:00:00"/>
    <x v="11"/>
    <s v="Series 3"/>
    <n v="36981524.983999997"/>
    <n v="4369756.468965330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1.3603775839467369E-2"/>
    <x v="1"/>
    <n v="0"/>
    <x v="162"/>
  </r>
  <r>
    <d v="2015-12-31T00:00:00"/>
    <x v="11"/>
    <s v="Series 3"/>
    <n v="27250049.944499999"/>
    <n v="3219880.2530756998"/>
    <n v="125"/>
    <n v="0"/>
    <n v="0"/>
    <n v="-6875000"/>
    <m/>
    <n v="8.4630631584731013"/>
    <n v="-6875000"/>
    <n v="-812353.62081834942"/>
    <n v="-6875000"/>
    <n v="-6875000"/>
    <s v="Private Equity Fund"/>
    <n v="0"/>
    <n v="0"/>
    <n v="0"/>
    <n v="0"/>
    <m/>
    <m/>
    <m/>
    <m/>
    <m/>
    <m/>
    <m/>
    <m/>
    <m/>
    <m/>
    <m/>
    <d v="2015-12-31T00:00:00"/>
    <n v="-7.724059623652213E-2"/>
    <x v="1"/>
    <n v="0"/>
    <x v="163"/>
  </r>
  <r>
    <d v="2016-01-29T00:00:00"/>
    <x v="11"/>
    <s v="Series 3"/>
    <n v="26520602.316500001"/>
    <n v="3133688.337177058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2.6768671231269692E-2"/>
    <x v="1"/>
    <n v="0"/>
    <x v="164"/>
  </r>
  <r>
    <d v="2016-02-29T00:00:00"/>
    <x v="11"/>
    <s v="Series 3"/>
    <n v="26933974.889400002"/>
    <n v="3182532.658099577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5586847084646305E-2"/>
    <x v="1"/>
    <n v="0"/>
    <x v="165"/>
  </r>
  <r>
    <d v="2016-03-31T00:00:00"/>
    <x v="11"/>
    <s v="Series 3"/>
    <n v="27733729.631299999"/>
    <n v="3277032.099604901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2.9693156883974892E-2"/>
    <x v="1"/>
    <n v="0"/>
    <x v="166"/>
  </r>
  <r>
    <d v="2016-04-29T00:00:00"/>
    <x v="11"/>
    <s v="Series 3"/>
    <n v="28227498.960299999"/>
    <n v="3335376.143570312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1.7803928125221802E-2"/>
    <x v="1"/>
    <n v="0"/>
    <x v="167"/>
  </r>
  <r>
    <d v="2016-05-31T00:00:00"/>
    <x v="11"/>
    <s v="Series 3"/>
    <n v="28052239.994199999"/>
    <n v="3314667.451833262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-6.2088024995232693E-3"/>
    <x v="1"/>
    <n v="0"/>
    <x v="168"/>
  </r>
  <r>
    <d v="2016-06-30T00:00:00"/>
    <x v="11"/>
    <s v="Series 3"/>
    <n v="28180256.575100001"/>
    <n v="3329793.95845419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4.5635065480142956E-3"/>
    <x v="1"/>
    <n v="0"/>
    <x v="169"/>
  </r>
  <r>
    <d v="2016-07-29T00:00:00"/>
    <x v="11"/>
    <s v="Series 3"/>
    <n v="28778298.642499998"/>
    <n v="3400458.924105696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2.1222023504513743E-2"/>
    <x v="1"/>
    <n v="0"/>
    <x v="170"/>
  </r>
  <r>
    <d v="2016-08-31T00:00:00"/>
    <x v="11"/>
    <s v="Series 3"/>
    <n v="28950560.492899999"/>
    <n v="3420813.475073159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5.9858246847714902E-3"/>
    <x v="1"/>
    <n v="0"/>
    <x v="171"/>
  </r>
  <r>
    <d v="2016-09-30T00:00:00"/>
    <x v="11"/>
    <s v="Series 3"/>
    <n v="28964242.230799999"/>
    <n v="3422430.1164291091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4.7258974151320743E-4"/>
    <x v="1"/>
    <n v="0"/>
    <x v="172"/>
  </r>
  <r>
    <d v="2016-10-31T00:00:00"/>
    <x v="11"/>
    <s v="Series 3"/>
    <n v="29323314.481199998"/>
    <n v="3464858.282646975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1.2397087675857454E-2"/>
    <x v="1"/>
    <n v="0"/>
    <x v="173"/>
  </r>
  <r>
    <d v="2016-11-30T00:00:00"/>
    <x v="11"/>
    <s v="Series 3"/>
    <n v="24595750.854699999"/>
    <n v="2906246.8746998627"/>
    <n v="125"/>
    <n v="0"/>
    <n v="0"/>
    <n v="-4809500"/>
    <m/>
    <n v="8.4630631584731013"/>
    <n v="-4809500"/>
    <n v="-568293.05299285112"/>
    <n v="-4809500"/>
    <n v="-4809500"/>
    <s v="Private Equity Fund"/>
    <n v="0"/>
    <n v="0"/>
    <n v="0"/>
    <n v="0"/>
    <m/>
    <m/>
    <m/>
    <m/>
    <m/>
    <m/>
    <m/>
    <m/>
    <m/>
    <m/>
    <m/>
    <d v="2016-11-30T00:00:00"/>
    <n v="2.7942398378100197E-3"/>
    <x v="1"/>
    <n v="0"/>
    <x v="174"/>
  </r>
  <r>
    <d v="2016-12-30T00:00:00"/>
    <x v="11"/>
    <s v="Series 3"/>
    <n v="22426532.2502"/>
    <n v="2649930.861941739"/>
    <n v="125"/>
    <n v="0"/>
    <n v="0"/>
    <n v="-950000"/>
    <m/>
    <n v="8.4630631584731013"/>
    <n v="-950000"/>
    <n v="-112252.50033126283"/>
    <n v="-950000"/>
    <n v="-950000"/>
    <s v="Private Equity Fund"/>
    <n v="0"/>
    <n v="0"/>
    <n v="0"/>
    <n v="0"/>
    <m/>
    <m/>
    <m/>
    <m/>
    <m/>
    <m/>
    <m/>
    <m/>
    <m/>
    <m/>
    <m/>
    <d v="2016-12-30T00:00:00"/>
    <n v="-4.9570294141559779E-2"/>
    <x v="1"/>
    <n v="0"/>
    <x v="175"/>
  </r>
  <r>
    <d v="2017-01-27T00:00:00"/>
    <x v="11"/>
    <s v="Series 3"/>
    <n v="22531804.418699998"/>
    <n v="2662369.876814811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4.6940903446657245E-3"/>
    <x v="1"/>
    <n v="0"/>
    <x v="176"/>
  </r>
  <r>
    <d v="2017-02-28T00:00:00"/>
    <x v="11"/>
    <s v="Series 3"/>
    <n v="22884848.463"/>
    <n v="2704085.7470250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5668698242693679E-2"/>
    <x v="1"/>
    <n v="0"/>
    <x v="177"/>
  </r>
  <r>
    <d v="2017-03-31T00:00:00"/>
    <x v="11"/>
    <s v="Series 3"/>
    <n v="22544162.391100001"/>
    <n v="2663830.1013421007"/>
    <n v="125"/>
    <n v="0"/>
    <n v="0"/>
    <n v="-1500000"/>
    <m/>
    <n v="8.4630631584731013"/>
    <n v="-1500000"/>
    <n v="-177240.78999673077"/>
    <n v="-1500000"/>
    <n v="-1500000"/>
    <s v="Private Equity Fund"/>
    <n v="0"/>
    <n v="0"/>
    <n v="0"/>
    <n v="0"/>
    <m/>
    <m/>
    <m/>
    <m/>
    <m/>
    <m/>
    <m/>
    <m/>
    <m/>
    <m/>
    <m/>
    <d v="2017-03-31T00:00:00"/>
    <n v="5.0658580063327463E-2"/>
    <x v="1"/>
    <n v="0"/>
    <x v="178"/>
  </r>
  <r>
    <d v="2017-04-28T00:00:00"/>
    <x v="11"/>
    <s v="Series 3"/>
    <n v="21436383.200000003"/>
    <n v="2532934.3286937652"/>
    <n v="125"/>
    <n v="0"/>
    <n v="0"/>
    <n v="-1437500"/>
    <m/>
    <n v="8.4630631584731013"/>
    <n v="-1437500"/>
    <n v="-169855.75708020033"/>
    <n v="-1437500"/>
    <n v="-1437500"/>
    <s v="Private Equity Fund"/>
    <n v="0"/>
    <n v="0"/>
    <n v="0"/>
    <n v="0"/>
    <m/>
    <m/>
    <m/>
    <m/>
    <m/>
    <m/>
    <m/>
    <m/>
    <m/>
    <m/>
    <m/>
    <d v="2017-04-28T00:00:00"/>
    <n v="1.4625551536577408E-2"/>
    <x v="1"/>
    <n v="0"/>
    <x v="179"/>
  </r>
  <r>
    <d v="2017-05-31T00:00:00"/>
    <x v="11"/>
    <s v="Series 3"/>
    <n v="20393130.023899999"/>
    <n v="2409662.983961389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4.8667406547388325E-2"/>
    <x v="1"/>
    <n v="0"/>
    <x v="180"/>
  </r>
  <r>
    <d v="2017-06-30T00:00:00"/>
    <x v="11"/>
    <s v="Series 3"/>
    <n v="19877874.0592"/>
    <n v="2348780.067805419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-2.5266154047766887E-2"/>
    <x v="1"/>
    <n v="0"/>
    <x v="181"/>
  </r>
  <r>
    <d v="2017-07-31T00:00:00"/>
    <x v="11"/>
    <s v="Series 3"/>
    <n v="20801993.010000002"/>
    <n v="2457974.449732581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4.6489828240575681E-2"/>
    <x v="1"/>
    <n v="0"/>
    <x v="182"/>
  </r>
  <r>
    <d v="2017-08-31T00:00:00"/>
    <x v="11"/>
    <s v="Series 3"/>
    <n v="22831500"/>
    <n v="2697782.0645402391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9.7563103161527165E-2"/>
    <x v="1"/>
    <n v="0"/>
    <x v="183"/>
  </r>
  <r>
    <d v="2017-09-29T00:00:00"/>
    <x v="11"/>
    <s v="Series 3"/>
    <n v="22802400"/>
    <n v="2694343.593214302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2745548912685978E-3"/>
    <x v="1"/>
    <n v="0"/>
    <x v="184"/>
  </r>
  <r>
    <d v="2017-10-31T00:00:00"/>
    <x v="11"/>
    <s v="Series 3"/>
    <n v="22710200"/>
    <n v="2683449.192655836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-4.0434340244887013E-3"/>
    <x v="1"/>
    <n v="0"/>
    <x v="185"/>
  </r>
  <r>
    <d v="2017-11-30T00:00:00"/>
    <x v="11"/>
    <s v="Series 3"/>
    <n v="16640400"/>
    <n v="1966238.4279077325"/>
    <n v="125"/>
    <n v="0"/>
    <n v="0"/>
    <n v="-5458677.6900000004"/>
    <m/>
    <n v="8.4630631584731013"/>
    <n v="-5458677.6900000004"/>
    <n v="-645000.23074208631"/>
    <n v="-5458677.6900000004"/>
    <n v="-5458677.6900000004"/>
    <s v="Private Equity Fund"/>
    <n v="0"/>
    <n v="0"/>
    <n v="0"/>
    <n v="0"/>
    <m/>
    <m/>
    <m/>
    <m/>
    <m/>
    <m/>
    <m/>
    <m/>
    <m/>
    <m/>
    <m/>
    <d v="2017-11-30T00:00:00"/>
    <n v="-2.6909596128611768E-2"/>
    <x v="1"/>
    <n v="0"/>
    <x v="186"/>
  </r>
  <r>
    <d v="2017-12-29T00:00:00"/>
    <x v="11"/>
    <s v="Series 3"/>
    <n v="16793600"/>
    <n v="1984340.62059273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9.2065094589073304E-3"/>
    <x v="1"/>
    <n v="0"/>
    <x v="187"/>
  </r>
  <r>
    <d v="2018-01-31T00:00:00"/>
    <x v="11"/>
    <s v="Series 3"/>
    <n v="17109100"/>
    <n v="2021620.2667553776"/>
    <n v="125"/>
    <n v="0"/>
    <n v="0"/>
    <n v="0"/>
    <m/>
    <n v="8.4630631584731013"/>
    <n v="0"/>
    <n v="0"/>
    <n v="0"/>
    <n v="0"/>
    <s v="Private Equity Fund"/>
    <n v="0"/>
    <n v="0.56233608145731195"/>
    <n v="0"/>
    <n v="1.1246721629146243E-2"/>
    <m/>
    <m/>
    <m/>
    <m/>
    <m/>
    <m/>
    <m/>
    <m/>
    <m/>
    <m/>
    <m/>
    <d v="2018-01-31T00:00:00"/>
    <n v="1.8786918826219523E-2"/>
    <x v="1"/>
    <n v="0"/>
    <x v="188"/>
  </r>
  <r>
    <d v="2018-02-28T00:00:00"/>
    <x v="11"/>
    <s v="Series 3"/>
    <n v="16645900.000000002"/>
    <n v="1966888.3108043873"/>
    <n v="125"/>
    <n v="0"/>
    <n v="0"/>
    <n v="0"/>
    <m/>
    <n v="8.4630631584731013"/>
    <n v="0"/>
    <n v="0"/>
    <n v="0"/>
    <n v="0"/>
    <s v="Private Equity Fund"/>
    <n v="0"/>
    <n v="0.47396744793871398"/>
    <n v="0"/>
    <n v="9.4793489587742825E-3"/>
    <m/>
    <m/>
    <m/>
    <m/>
    <m/>
    <m/>
    <m/>
    <m/>
    <m/>
    <m/>
    <m/>
    <d v="2018-02-28T00:00:00"/>
    <n v="-2.7073311863277327E-2"/>
    <x v="1"/>
    <n v="0"/>
    <x v="189"/>
  </r>
  <r>
    <d v="2018-03-29T00:00:00"/>
    <x v="11"/>
    <s v="Series 3"/>
    <n v="16731182.0178"/>
    <n v="1976965.2789426453"/>
    <n v="125"/>
    <n v="0"/>
    <n v="0"/>
    <n v="0"/>
    <m/>
    <n v="8.4630631584731013"/>
    <n v="0"/>
    <n v="0"/>
    <n v="0"/>
    <n v="0"/>
    <s v="Private Equity Fund"/>
    <n v="0"/>
    <n v="0.48213380385148896"/>
    <n v="0"/>
    <n v="9.6426760770297812E-3"/>
    <m/>
    <m/>
    <m/>
    <m/>
    <m/>
    <m/>
    <m/>
    <m/>
    <m/>
    <m/>
    <m/>
    <d v="2018-03-29T00:00:00"/>
    <n v="5.1233047056631342E-3"/>
    <x v="1"/>
    <n v="0"/>
    <x v="190"/>
  </r>
  <r>
    <d v="2018-04-30T00:00:00"/>
    <x v="11"/>
    <s v="Series 3"/>
    <n v="9624722.6890999991"/>
    <n v="1137262.3019436952"/>
    <n v="125"/>
    <n v="0"/>
    <n v="0"/>
    <n v="-7247660.5"/>
    <m/>
    <n v="8.4630631584731013"/>
    <n v="-7247660.5"/>
    <n v="-856387.38176540053"/>
    <n v="-7247660.5"/>
    <n v="-7247660.5"/>
    <s v="Private Equity Fund"/>
    <n v="0"/>
    <n v="0.50395051347254383"/>
    <n v="0"/>
    <n v="1.0079010269450879E-2"/>
    <m/>
    <m/>
    <m/>
    <m/>
    <m/>
    <m/>
    <m/>
    <m/>
    <m/>
    <m/>
    <m/>
    <d v="2018-04-30T00:00:00"/>
    <n v="8.4394020189235697E-3"/>
    <x v="1"/>
    <n v="0"/>
    <x v="191"/>
  </r>
  <r>
    <d v="2018-05-31T00:00:00"/>
    <x v="11"/>
    <s v="Series 3"/>
    <n v="9261976.1404999997"/>
    <n v="1094399.9787153944"/>
    <n v="125"/>
    <n v="0"/>
    <n v="0"/>
    <n v="0"/>
    <m/>
    <n v="8.4630631584731013"/>
    <n v="0"/>
    <n v="0"/>
    <n v="0"/>
    <n v="0"/>
    <s v="Private Equity Fund"/>
    <n v="0"/>
    <n v="0.43693218251381599"/>
    <n v="0"/>
    <n v="8.7386436502763214E-3"/>
    <m/>
    <m/>
    <m/>
    <m/>
    <m/>
    <m/>
    <m/>
    <m/>
    <m/>
    <m/>
    <m/>
    <d v="2018-05-31T00:00:00"/>
    <n v="-3.7689038979877298E-2"/>
    <x v="1"/>
    <n v="0"/>
    <x v="192"/>
  </r>
  <r>
    <d v="2018-06-29T00:00:00"/>
    <x v="11"/>
    <s v="Series 3"/>
    <n v="8973160.1423000004"/>
    <n v="1060273.3282589528"/>
    <n v="125"/>
    <n v="0"/>
    <n v="0"/>
    <n v="0"/>
    <m/>
    <n v="8.4630631584731013"/>
    <n v="0"/>
    <n v="0"/>
    <n v="0"/>
    <n v="0"/>
    <s v="Private Equity Fund"/>
    <n v="0"/>
    <n v="0.38315423954179501"/>
    <n v="0"/>
    <n v="7.6630847908359008E-3"/>
    <m/>
    <m/>
    <m/>
    <m/>
    <m/>
    <m/>
    <m/>
    <m/>
    <m/>
    <m/>
    <m/>
    <d v="2018-06-29T00:00:00"/>
    <n v="-3.1182977997221251E-2"/>
    <x v="1"/>
    <n v="0"/>
    <x v="193"/>
  </r>
  <r>
    <d v="2018-07-31T00:00:00"/>
    <x v="11"/>
    <s v="Series 3"/>
    <n v="8940535.7721999995"/>
    <n v="1056418.4155058395"/>
    <n v="125"/>
    <n v="0"/>
    <n v="0"/>
    <n v="0"/>
    <m/>
    <n v="8.4630631584731013"/>
    <n v="0"/>
    <n v="0"/>
    <n v="0"/>
    <n v="0"/>
    <s v="Private Equity Fund"/>
    <n v="0"/>
    <n v="0.374295853226844"/>
    <n v="0"/>
    <n v="7.485917064536881E-3"/>
    <m/>
    <m/>
    <m/>
    <m/>
    <m/>
    <m/>
    <m/>
    <m/>
    <m/>
    <m/>
    <m/>
    <d v="2018-07-31T00:00:00"/>
    <n v="-3.6357726355743525E-3"/>
    <x v="1"/>
    <n v="0"/>
    <x v="194"/>
  </r>
  <r>
    <d v="2018-08-31T00:00:00"/>
    <x v="11"/>
    <s v="Series 3"/>
    <n v="8914384.2567999996"/>
    <n v="1053328.338673101"/>
    <n v="125"/>
    <n v="0"/>
    <n v="0"/>
    <n v="0"/>
    <m/>
    <n v="8.4630631584731013"/>
    <n v="0"/>
    <n v="0"/>
    <n v="0"/>
    <n v="0"/>
    <s v="Private Equity Fund"/>
    <n v="0"/>
    <n v="0.36667664624437701"/>
    <n v="0"/>
    <n v="7.3335329248875418E-3"/>
    <m/>
    <m/>
    <m/>
    <m/>
    <m/>
    <m/>
    <m/>
    <m/>
    <m/>
    <m/>
    <m/>
    <d v="2018-08-31T00:00:00"/>
    <n v="-2.9250501386411942E-3"/>
    <x v="1"/>
    <n v="0"/>
    <x v="195"/>
  </r>
  <r>
    <d v="2018-09-28T00:00:00"/>
    <x v="11"/>
    <s v="Series 3"/>
    <n v="8584717.2054999992"/>
    <m/>
    <n v="125"/>
    <m/>
    <n v="0"/>
    <n v="0"/>
    <m/>
    <n v="0"/>
    <n v="0"/>
    <e v="#DIV/0!"/>
    <n v="0"/>
    <n v="0"/>
    <s v="Private Equity Fund"/>
    <n v="0"/>
    <n v="0.30578660667896385"/>
    <m/>
    <n v="6.1157321335792783E-3"/>
    <m/>
    <m/>
    <m/>
    <m/>
    <m/>
    <m/>
    <m/>
    <m/>
    <m/>
    <m/>
    <m/>
    <d v="2018-09-28T00:00:00"/>
    <n v="-3.6981471945022659E-2"/>
    <x v="1"/>
    <n v="0"/>
    <x v="196"/>
  </r>
  <r>
    <d v="2018-10-31T00:00:00"/>
    <x v="11"/>
    <s v="Series 3"/>
    <n v="8084163.6621000003"/>
    <m/>
    <n v="125"/>
    <m/>
    <n v="0"/>
    <n v="450287.31999999995"/>
    <n v="0"/>
    <m/>
    <n v="450287.31999999995"/>
    <e v="#DIV/0!"/>
    <n v="-7633876.3421"/>
    <n v="-7633876.3421"/>
    <s v="Private Equity Fund"/>
    <n v="0"/>
    <n v="0.29400541025999199"/>
    <m/>
    <n v="5.8801082051998408E-3"/>
    <m/>
    <m/>
    <m/>
    <m/>
    <m/>
    <m/>
    <m/>
    <m/>
    <m/>
    <m/>
    <m/>
    <d v="2018-10-31T00:00:00"/>
    <n v="-0.11075971876986479"/>
    <x v="1"/>
    <n v="0"/>
    <x v="197"/>
  </r>
  <r>
    <d v="2012-07-31T00:00:00"/>
    <x v="11"/>
    <s v="Series 4"/>
    <n v="1440000"/>
    <n v="1440000"/>
    <n v="12"/>
    <n v="1440000"/>
    <n v="0"/>
    <n v="0"/>
    <m/>
    <n v="1"/>
    <n v="1440000"/>
    <n v="1440000"/>
    <n v="1440000"/>
    <n v="1440000"/>
    <s v="Private Equity Fund"/>
    <n v="0"/>
    <n v="0"/>
    <n v="0"/>
    <n v="0"/>
    <m/>
    <m/>
    <m/>
    <m/>
    <m/>
    <m/>
    <m/>
    <m/>
    <m/>
    <m/>
    <m/>
    <d v="2012-07-31T00:00:00"/>
    <n v="0"/>
    <x v="1"/>
    <n v="0"/>
    <x v="135"/>
  </r>
  <r>
    <d v="2012-08-31T00:00:00"/>
    <x v="11"/>
    <s v="Series 4"/>
    <n v="1437405.52"/>
    <n v="1437405.52"/>
    <n v="12"/>
    <n v="0"/>
    <n v="0"/>
    <n v="0"/>
    <m/>
    <n v="1"/>
    <n v="0"/>
    <n v="0"/>
    <n v="0"/>
    <n v="0"/>
    <s v="Private Equity Fund"/>
    <n v="0"/>
    <n v="0"/>
    <n v="0"/>
    <n v="0"/>
    <m/>
    <m/>
    <m/>
    <m/>
    <m/>
    <m/>
    <m/>
    <m/>
    <m/>
    <m/>
    <m/>
    <d v="2012-08-31T00:00:00"/>
    <n v="-1.8017222222221907E-3"/>
    <x v="1"/>
    <n v="0"/>
    <x v="136"/>
  </r>
  <r>
    <d v="2012-09-28T00:00:00"/>
    <x v="11"/>
    <s v="Series 4"/>
    <n v="2150247.52"/>
    <n v="1424711.8052019663"/>
    <n v="12"/>
    <n v="732000"/>
    <n v="0"/>
    <n v="0"/>
    <m/>
    <n v="1.5092508619279548"/>
    <n v="732000"/>
    <n v="0"/>
    <n v="732000"/>
    <n v="732000"/>
    <s v="Private Equity Fund"/>
    <n v="0"/>
    <n v="0"/>
    <n v="0"/>
    <n v="0"/>
    <m/>
    <m/>
    <m/>
    <m/>
    <m/>
    <m/>
    <m/>
    <m/>
    <m/>
    <m/>
    <m/>
    <d v="2012-09-28T00:00:00"/>
    <n v="-1.332818034537675E-2"/>
    <x v="1"/>
    <n v="0"/>
    <x v="137"/>
  </r>
  <r>
    <d v="2012-10-31T00:00:00"/>
    <x v="11"/>
    <s v="Series 4"/>
    <n v="2194561.5040000002"/>
    <n v="1454073.3812777901"/>
    <n v="12"/>
    <n v="0"/>
    <n v="0"/>
    <n v="0"/>
    <m/>
    <n v="1.5092508619279548"/>
    <n v="0"/>
    <n v="0"/>
    <n v="0"/>
    <n v="0"/>
    <s v="Private Equity Fund"/>
    <n v="0"/>
    <n v="0"/>
    <n v="0"/>
    <n v="0"/>
    <m/>
    <m/>
    <m/>
    <m/>
    <m/>
    <m/>
    <m/>
    <m/>
    <m/>
    <m/>
    <m/>
    <d v="2012-10-31T00:00:00"/>
    <n v="2.0608782750741295E-2"/>
    <x v="1"/>
    <n v="0"/>
    <x v="138"/>
  </r>
  <r>
    <d v="2012-11-30T00:00:00"/>
    <x v="11"/>
    <s v="Series 4"/>
    <n v="5059264.9359999998"/>
    <n v="1456579.1281708707"/>
    <n v="12"/>
    <n v="2856000"/>
    <n v="0"/>
    <n v="0"/>
    <m/>
    <n v="3.4733883234708136"/>
    <n v="2856000"/>
    <n v="0"/>
    <n v="2856000"/>
    <n v="2856000"/>
    <s v="Private Equity Fund"/>
    <n v="0"/>
    <n v="0"/>
    <n v="0"/>
    <n v="0"/>
    <m/>
    <m/>
    <m/>
    <m/>
    <m/>
    <m/>
    <m/>
    <m/>
    <m/>
    <m/>
    <m/>
    <d v="2012-11-30T00:00:00"/>
    <n v="3.965909355529984E-3"/>
    <x v="1"/>
    <n v="0"/>
    <x v="139"/>
  </r>
  <r>
    <d v="2012-12-31T00:00:00"/>
    <x v="11"/>
    <s v="Series 4"/>
    <n v="6073837.7120000003"/>
    <n v="1472721.0025611424"/>
    <n v="12"/>
    <n v="948000"/>
    <n v="0"/>
    <n v="0"/>
    <m/>
    <n v="4.1242283510843292"/>
    <n v="948000"/>
    <n v="0"/>
    <n v="948000"/>
    <n v="948000"/>
    <s v="Private Equity Fund"/>
    <n v="0"/>
    <n v="0"/>
    <n v="0"/>
    <n v="0"/>
    <m/>
    <m/>
    <m/>
    <m/>
    <m/>
    <m/>
    <m/>
    <m/>
    <m/>
    <m/>
    <m/>
    <d v="2012-12-31T00:00:00"/>
    <n v="1.3158586640974468E-2"/>
    <x v="1"/>
    <n v="0"/>
    <x v="140"/>
  </r>
  <r>
    <d v="2013-01-31T00:00:00"/>
    <x v="11"/>
    <s v="Series 4"/>
    <n v="6067789.4079999998"/>
    <n v="1471254.4727075249"/>
    <n v="12"/>
    <n v="0"/>
    <n v="0"/>
    <n v="0"/>
    <m/>
    <n v="4.1242283510843292"/>
    <n v="0"/>
    <n v="0"/>
    <n v="0"/>
    <n v="0"/>
    <s v="Private Equity Fund"/>
    <n v="0"/>
    <n v="0"/>
    <n v="0"/>
    <n v="0"/>
    <m/>
    <m/>
    <m/>
    <m/>
    <m/>
    <m/>
    <m/>
    <m/>
    <m/>
    <m/>
    <m/>
    <d v="2013-01-31T00:00:00"/>
    <n v="-9.9579611553513026E-4"/>
    <x v="1"/>
    <n v="0"/>
    <x v="141"/>
  </r>
  <r>
    <d v="2013-02-28T00:00:00"/>
    <x v="11"/>
    <s v="Series 4"/>
    <n v="7181216.2800000003"/>
    <n v="1478134.8425857392"/>
    <n v="12"/>
    <n v="1080000"/>
    <n v="0"/>
    <n v="0"/>
    <m/>
    <n v="4.8582957881147797"/>
    <n v="1080000"/>
    <n v="0"/>
    <n v="1080000"/>
    <n v="1080000"/>
    <s v="Private Equity Fund"/>
    <n v="0"/>
    <n v="0"/>
    <n v="0"/>
    <n v="0"/>
    <m/>
    <m/>
    <m/>
    <m/>
    <m/>
    <m/>
    <m/>
    <m/>
    <m/>
    <m/>
    <m/>
    <d v="2013-02-28T00:00:00"/>
    <n v="5.5089044382339303E-3"/>
    <x v="1"/>
    <n v="0"/>
    <x v="142"/>
  </r>
  <r>
    <d v="2013-03-28T00:00:00"/>
    <x v="11"/>
    <s v="Series 4"/>
    <n v="7850468.3119999999"/>
    <n v="1470874.9678976291"/>
    <n v="12"/>
    <n v="708000"/>
    <n v="0"/>
    <n v="0"/>
    <m/>
    <n v="5.3372777994998017"/>
    <n v="708000"/>
    <n v="0"/>
    <n v="708000"/>
    <n v="708000"/>
    <s v="Private Equity Fund"/>
    <n v="0"/>
    <n v="0"/>
    <n v="0"/>
    <n v="0"/>
    <m/>
    <m/>
    <m/>
    <m/>
    <m/>
    <m/>
    <m/>
    <m/>
    <m/>
    <m/>
    <m/>
    <d v="2013-03-28T00:00:00"/>
    <n v="-5.3957388956401564E-3"/>
    <x v="1"/>
    <n v="0"/>
    <x v="143"/>
  </r>
  <r>
    <d v="2013-04-30T00:00:00"/>
    <x v="11"/>
    <s v="Series 4"/>
    <n v="8140580.2400000002"/>
    <n v="1454104.2901007733"/>
    <n v="12"/>
    <n v="384000"/>
    <n v="0"/>
    <n v="0"/>
    <m/>
    <n v="5.5983468967248804"/>
    <n v="384000"/>
    <n v="0"/>
    <n v="384000"/>
    <n v="384000"/>
    <s v="Private Equity Fund"/>
    <n v="0"/>
    <n v="0"/>
    <n v="0"/>
    <n v="0"/>
    <m/>
    <m/>
    <m/>
    <m/>
    <m/>
    <m/>
    <m/>
    <m/>
    <m/>
    <m/>
    <m/>
    <d v="2013-04-30T00:00:00"/>
    <n v="-1.1959550471210112E-2"/>
    <x v="1"/>
    <n v="0"/>
    <x v="144"/>
  </r>
  <r>
    <d v="2013-05-31T00:00:00"/>
    <x v="11"/>
    <s v="Series 4"/>
    <n v="8213050.256000001"/>
    <n v="1467049.1856810022"/>
    <n v="12"/>
    <n v="0"/>
    <n v="-9.3132257461547852E-10"/>
    <n v="0"/>
    <m/>
    <n v="5.5983468967248804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  <m/>
    <m/>
    <m/>
    <d v="2013-05-31T00:00:00"/>
    <n v="8.9023157887331283E-3"/>
    <x v="1"/>
    <n v="0"/>
    <x v="145"/>
  </r>
  <r>
    <d v="2013-06-28T00:00:00"/>
    <x v="11"/>
    <s v="Series 4"/>
    <n v="8202764.3039999986"/>
    <n v="1465211.8661669113"/>
    <n v="12"/>
    <n v="0"/>
    <n v="0"/>
    <n v="0"/>
    <m/>
    <n v="5.5983468967248804"/>
    <n v="0"/>
    <n v="0"/>
    <n v="0"/>
    <n v="0"/>
    <s v="Private Equity Fund"/>
    <n v="0"/>
    <n v="0"/>
    <n v="0"/>
    <n v="0"/>
    <m/>
    <m/>
    <m/>
    <m/>
    <m/>
    <m/>
    <m/>
    <m/>
    <m/>
    <m/>
    <m/>
    <d v="2013-06-28T00:00:00"/>
    <n v="-1.2523912163435735E-3"/>
    <x v="1"/>
    <n v="0"/>
    <x v="146"/>
  </r>
  <r>
    <d v="2013-07-31T00:00:00"/>
    <x v="11"/>
    <s v="Series 4"/>
    <n v="7980169.54"/>
    <n v="1425451.0638968304"/>
    <n v="12"/>
    <n v="0"/>
    <n v="0"/>
    <n v="0"/>
    <m/>
    <n v="5.5983468967248804"/>
    <n v="0"/>
    <n v="0"/>
    <n v="0"/>
    <n v="0"/>
    <s v="Private Equity Fund"/>
    <n v="0"/>
    <n v="0"/>
    <n v="0"/>
    <n v="0"/>
    <m/>
    <m/>
    <m/>
    <m/>
    <m/>
    <m/>
    <m/>
    <m/>
    <m/>
    <m/>
    <m/>
    <d v="2013-07-31T00:00:00"/>
    <n v="-2.7136554916182609E-2"/>
    <x v="1"/>
    <n v="0"/>
    <x v="147"/>
  </r>
  <r>
    <d v="2013-08-30T00:00:00"/>
    <x v="11"/>
    <s v="Series 4"/>
    <n v="7867053.1500000004"/>
    <n v="1405245.7439895959"/>
    <n v="12"/>
    <n v="0"/>
    <n v="0"/>
    <n v="0"/>
    <m/>
    <n v="5.5983468967248804"/>
    <n v="0"/>
    <n v="0"/>
    <n v="0"/>
    <n v="0"/>
    <s v="Private Equity Fund"/>
    <n v="0"/>
    <n v="0"/>
    <n v="0"/>
    <n v="0"/>
    <m/>
    <m/>
    <m/>
    <m/>
    <m/>
    <m/>
    <m/>
    <m/>
    <m/>
    <m/>
    <m/>
    <d v="2013-08-30T00:00:00"/>
    <n v="-1.4174685065650783E-2"/>
    <x v="1"/>
    <n v="0"/>
    <x v="148"/>
  </r>
  <r>
    <d v="2013-09-30T00:00:00"/>
    <x v="11"/>
    <s v="Series 4"/>
    <n v="11837461.41"/>
    <n v="1419444.220717062"/>
    <n v="12"/>
    <n v="3852000"/>
    <n v="0"/>
    <n v="0"/>
    <m/>
    <n v="8.3395044604289268"/>
    <n v="3852000"/>
    <n v="0"/>
    <n v="3852000"/>
    <n v="3852000"/>
    <s v="Private Equity Fund"/>
    <n v="0"/>
    <n v="0"/>
    <n v="0"/>
    <n v="0"/>
    <m/>
    <m/>
    <m/>
    <m/>
    <m/>
    <m/>
    <m/>
    <m/>
    <m/>
    <m/>
    <m/>
    <d v="2013-09-30T00:00:00"/>
    <n v="1.5051158005713994E-2"/>
    <x v="1"/>
    <n v="0"/>
    <x v="0"/>
  </r>
  <r>
    <d v="2013-10-31T00:00:00"/>
    <x v="11"/>
    <s v="Series 4"/>
    <n v="10488065.176000001"/>
    <n v="1257636.4969604642"/>
    <n v="12"/>
    <n v="0"/>
    <n v="0"/>
    <n v="-1550502.4"/>
    <m/>
    <n v="8.3395044604289268"/>
    <n v="-1550502.4"/>
    <n v="-185922.605756392"/>
    <n v="-1550502.4"/>
    <n v="-1550502.4"/>
    <s v="Private Equity Fund"/>
    <n v="0"/>
    <n v="0"/>
    <n v="0"/>
    <n v="0"/>
    <m/>
    <m/>
    <m/>
    <m/>
    <m/>
    <m/>
    <m/>
    <m/>
    <m/>
    <m/>
    <m/>
    <d v="2013-10-31T00:00:00"/>
    <n v="1.698896064236477E-2"/>
    <x v="1"/>
    <n v="0"/>
    <x v="1"/>
  </r>
  <r>
    <d v="2013-11-29T00:00:00"/>
    <x v="11"/>
    <s v="Series 4"/>
    <n v="10496507.024"/>
    <n v="1258648.7690972628"/>
    <n v="12"/>
    <n v="0"/>
    <n v="-1.862645149230957E-9"/>
    <n v="0"/>
    <m/>
    <n v="8.3395044604289268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  <m/>
    <m/>
    <m/>
    <d v="2013-11-29T00:00:00"/>
    <n v="8.0490041378822319E-4"/>
    <x v="1"/>
    <n v="0"/>
    <x v="2"/>
  </r>
  <r>
    <d v="2013-12-31T00:00:00"/>
    <x v="11"/>
    <s v="Series 4"/>
    <n v="10666475.096000001"/>
    <n v="1279029.84483221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3-12-31T00:00:00"/>
    <n v="1.6192822203745738E-2"/>
    <x v="1"/>
    <n v="0"/>
    <x v="3"/>
  </r>
  <r>
    <d v="2014-01-30T00:00:00"/>
    <x v="11"/>
    <s v="Series 4"/>
    <n v="10798276.039999999"/>
    <n v="1294834.254389811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1-30T00:00:00"/>
    <n v="1.2356560420735851E-2"/>
    <x v="1"/>
    <n v="0"/>
    <x v="4"/>
  </r>
  <r>
    <d v="2014-02-28T00:00:00"/>
    <x v="11"/>
    <s v="Series 4"/>
    <n v="10860006.648"/>
    <n v="1302236.445766159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2-28T00:00:00"/>
    <n v="5.7167095720958017E-3"/>
    <x v="1"/>
    <n v="0"/>
    <x v="5"/>
  </r>
  <r>
    <d v="2014-03-31T00:00:00"/>
    <x v="11"/>
    <s v="Series 4"/>
    <n v="10370488.328"/>
    <n v="1243537.7158448829"/>
    <n v="12"/>
    <n v="0"/>
    <n v="0"/>
    <n v="-495840"/>
    <m/>
    <n v="8.3395044604289268"/>
    <n v="-495840"/>
    <n v="-59456.770165753638"/>
    <n v="-495840"/>
    <n v="-495840"/>
    <s v="Private Equity Fund"/>
    <n v="0"/>
    <n v="0"/>
    <n v="0"/>
    <n v="0"/>
    <m/>
    <m/>
    <m/>
    <m/>
    <m/>
    <m/>
    <m/>
    <m/>
    <m/>
    <m/>
    <m/>
    <d v="2014-03-31T00:00:00"/>
    <n v="5.8210645765699454E-4"/>
    <x v="1"/>
    <n v="0"/>
    <x v="6"/>
  </r>
  <r>
    <d v="2014-04-30T00:00:00"/>
    <x v="11"/>
    <s v="Series 4"/>
    <n v="10229573.304"/>
    <n v="1226640.426003664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4-30T00:00:00"/>
    <n v="-1.3588079899722216E-2"/>
    <x v="1"/>
    <n v="0"/>
    <x v="7"/>
  </r>
  <r>
    <d v="2014-05-30T00:00:00"/>
    <x v="11"/>
    <s v="Series 4"/>
    <n v="10284400.912"/>
    <n v="1233214.8703558631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5-30T00:00:00"/>
    <n v="5.3597160282885525E-3"/>
    <x v="1"/>
    <n v="0"/>
    <x v="8"/>
  </r>
  <r>
    <d v="2014-06-30T00:00:00"/>
    <x v="11"/>
    <s v="Series 4"/>
    <n v="10307860.392000001"/>
    <n v="1236027.924789890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6-30T00:00:00"/>
    <n v="2.2810740460952328E-3"/>
    <x v="1"/>
    <n v="0"/>
    <x v="9"/>
  </r>
  <r>
    <d v="2014-07-31T00:00:00"/>
    <x v="11"/>
    <s v="Series 4"/>
    <n v="9569556.6879999992"/>
    <n v="1147497.0405505134"/>
    <n v="12"/>
    <n v="0"/>
    <n v="0"/>
    <n v="-807360"/>
    <m/>
    <n v="8.3395044604289268"/>
    <n v="-807360"/>
    <n v="-96811.507665825382"/>
    <n v="-807360"/>
    <n v="-807360"/>
    <s v="Private Equity Fund"/>
    <n v="0"/>
    <n v="0"/>
    <n v="0"/>
    <n v="0"/>
    <m/>
    <m/>
    <m/>
    <m/>
    <m/>
    <m/>
    <m/>
    <m/>
    <m/>
    <m/>
    <m/>
    <d v="2014-07-31T00:00:00"/>
    <n v="6.6993821582599367E-3"/>
    <x v="1"/>
    <n v="0"/>
    <x v="10"/>
  </r>
  <r>
    <d v="2014-08-29T00:00:00"/>
    <x v="11"/>
    <s v="Series 4"/>
    <n v="6866743.608"/>
    <n v="823399.47662151884"/>
    <n v="12"/>
    <n v="0"/>
    <n v="0"/>
    <n v="-2762400"/>
    <m/>
    <n v="8.3395044604289268"/>
    <n v="-2762400"/>
    <n v="-331242.70310156071"/>
    <n v="-2762400"/>
    <n v="-2762400"/>
    <s v="Private Equity Fund"/>
    <n v="0"/>
    <n v="0"/>
    <n v="0"/>
    <n v="0"/>
    <m/>
    <m/>
    <m/>
    <m/>
    <m/>
    <m/>
    <m/>
    <m/>
    <m/>
    <m/>
    <m/>
    <d v="2014-08-29T00:00:00"/>
    <n v="6.2267168629368541E-3"/>
    <x v="1"/>
    <n v="0"/>
    <x v="11"/>
  </r>
  <r>
    <d v="2014-09-30T00:00:00"/>
    <x v="11"/>
    <s v="Series 4"/>
    <n v="6899902.9040000001"/>
    <n v="827375.6476467087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09-30T00:00:00"/>
    <n v="4.8289695804817345E-3"/>
    <x v="1"/>
    <n v="0"/>
    <x v="12"/>
  </r>
  <r>
    <d v="2014-10-31T00:00:00"/>
    <x v="11"/>
    <s v="Series 4"/>
    <n v="5413141.5279999999"/>
    <n v="649096.30466479599"/>
    <n v="12"/>
    <n v="0"/>
    <n v="0"/>
    <n v="-1362000"/>
    <m/>
    <n v="8.3395044604289268"/>
    <n v="-1362000"/>
    <n v="-163319.05648143849"/>
    <n v="-1362000"/>
    <n v="-1362000"/>
    <s v="Private Equity Fund"/>
    <n v="0"/>
    <n v="0"/>
    <n v="0"/>
    <n v="0"/>
    <m/>
    <m/>
    <m/>
    <m/>
    <m/>
    <m/>
    <m/>
    <m/>
    <m/>
    <m/>
    <m/>
    <d v="2014-10-31T00:00:00"/>
    <n v="-1.8081613282945441E-2"/>
    <x v="1"/>
    <n v="0"/>
    <x v="149"/>
  </r>
  <r>
    <d v="2014-11-28T00:00:00"/>
    <x v="11"/>
    <s v="Series 4"/>
    <n v="5257287.5839999998"/>
    <n v="630407.670976843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4-11-28T00:00:00"/>
    <n v="-2.8791773352651262E-2"/>
    <x v="1"/>
    <n v="0"/>
    <x v="150"/>
  </r>
  <r>
    <d v="2014-12-31T00:00:00"/>
    <x v="11"/>
    <s v="Series 4"/>
    <n v="4500140.9519999996"/>
    <n v="539617.30860067718"/>
    <n v="12"/>
    <n v="0"/>
    <n v="0"/>
    <n v="-690000"/>
    <m/>
    <n v="8.3395044604289268"/>
    <n v="-690000"/>
    <n v="-82738.729054473239"/>
    <n v="-690000"/>
    <n v="-690000"/>
    <s v="Private Equity Fund"/>
    <n v="0"/>
    <n v="0"/>
    <n v="0"/>
    <n v="0"/>
    <m/>
    <m/>
    <m/>
    <m/>
    <m/>
    <m/>
    <m/>
    <m/>
    <m/>
    <m/>
    <m/>
    <d v="2014-12-31T00:00:00"/>
    <n v="-1.2772105563400027E-2"/>
    <x v="1"/>
    <n v="0"/>
    <x v="151"/>
  </r>
  <r>
    <d v="2015-01-30T00:00:00"/>
    <x v="11"/>
    <s v="Series 4"/>
    <n v="4555981.7359999996"/>
    <n v="546313.2441043950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1-30T00:00:00"/>
    <n v="1.2408674438337819E-2"/>
    <x v="1"/>
    <n v="0"/>
    <x v="152"/>
  </r>
  <r>
    <d v="2015-02-27T00:00:00"/>
    <x v="11"/>
    <s v="Series 4"/>
    <n v="4639663.1279999996"/>
    <n v="556347.58036466921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2-27T00:00:00"/>
    <n v="1.8367367748376662E-2"/>
    <x v="1"/>
    <n v="0"/>
    <x v="153"/>
  </r>
  <r>
    <d v="2015-03-31T00:00:00"/>
    <x v="11"/>
    <s v="Series 4"/>
    <n v="4606590.784"/>
    <n v="552381.835858274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3-31T00:00:00"/>
    <n v="-7.128177862830265E-3"/>
    <x v="1"/>
    <n v="0"/>
    <x v="154"/>
  </r>
  <r>
    <d v="2015-04-30T00:00:00"/>
    <x v="11"/>
    <s v="Series 4"/>
    <n v="4292382.3439999996"/>
    <n v="514704.72428756621"/>
    <n v="12"/>
    <n v="0"/>
    <n v="0"/>
    <n v="-434400"/>
    <m/>
    <n v="8.3395044604289268"/>
    <n v="-434400"/>
    <n v="-52089.425943859671"/>
    <n v="-434400"/>
    <n v="-434400"/>
    <s v="Private Equity Fund"/>
    <n v="0"/>
    <n v="0"/>
    <n v="0"/>
    <n v="0"/>
    <m/>
    <m/>
    <m/>
    <m/>
    <m/>
    <m/>
    <m/>
    <m/>
    <m/>
    <m/>
    <m/>
    <d v="2015-04-30T00:00:00"/>
    <n v="2.6091217048724857E-2"/>
    <x v="1"/>
    <n v="0"/>
    <x v="155"/>
  </r>
  <r>
    <d v="2015-05-29T00:00:00"/>
    <x v="11"/>
    <s v="Series 4"/>
    <n v="4299754.2719999999"/>
    <n v="515588.7010316257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5-29T00:00:00"/>
    <n v="1.7174443954892649E-3"/>
    <x v="1"/>
    <n v="0"/>
    <x v="156"/>
  </r>
  <r>
    <d v="2015-06-30T00:00:00"/>
    <x v="11"/>
    <s v="Series 4"/>
    <n v="4344463.4960000003"/>
    <n v="520949.8378008602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6-30T00:00:00"/>
    <n v="1.0398088163118269E-2"/>
    <x v="1"/>
    <n v="0"/>
    <x v="157"/>
  </r>
  <r>
    <d v="2015-07-31T00:00:00"/>
    <x v="11"/>
    <s v="Series 4"/>
    <n v="3765320.72"/>
    <n v="451504.13167431031"/>
    <n v="12"/>
    <n v="0"/>
    <n v="0"/>
    <n v="-463680"/>
    <m/>
    <n v="8.3395044604289268"/>
    <n v="-463680"/>
    <n v="-55600.425924606017"/>
    <n v="-463680"/>
    <n v="-463680"/>
    <s v="Private Equity Fund"/>
    <n v="0"/>
    <n v="0"/>
    <n v="0"/>
    <n v="0"/>
    <m/>
    <m/>
    <m/>
    <m/>
    <m/>
    <m/>
    <m/>
    <m/>
    <m/>
    <m/>
    <m/>
    <d v="2015-07-31T00:00:00"/>
    <n v="-2.65769930179659E-2"/>
    <x v="1"/>
    <n v="0"/>
    <x v="158"/>
  </r>
  <r>
    <d v="2015-08-31T00:00:00"/>
    <x v="11"/>
    <s v="Series 4"/>
    <n v="3667031.92"/>
    <n v="439718.2035695431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08-31T00:00:00"/>
    <n v="-2.6103699341712416E-2"/>
    <x v="1"/>
    <n v="0"/>
    <x v="159"/>
  </r>
  <r>
    <d v="2015-09-30T00:00:00"/>
    <x v="11"/>
    <s v="Series 4"/>
    <n v="3480368.0559999999"/>
    <n v="417335.11535540252"/>
    <n v="12"/>
    <n v="0"/>
    <n v="0"/>
    <n v="-128735.99999999999"/>
    <m/>
    <n v="8.3395044604289268"/>
    <n v="-128735.99999999999"/>
    <n v="-15436.888439937196"/>
    <n v="-128735.99999999999"/>
    <n v="-128735.99999999999"/>
    <s v="Private Equity Fund"/>
    <n v="0"/>
    <n v="0"/>
    <n v="0"/>
    <n v="0"/>
    <m/>
    <m/>
    <m/>
    <m/>
    <m/>
    <m/>
    <m/>
    <m/>
    <m/>
    <m/>
    <m/>
    <d v="2015-09-30T00:00:00"/>
    <n v="-1.5796934759160774E-2"/>
    <x v="1"/>
    <n v="0"/>
    <x v="160"/>
  </r>
  <r>
    <d v="2015-10-30T00:00:00"/>
    <x v="11"/>
    <s v="Series 4"/>
    <n v="3528340.304"/>
    <n v="423087.5252530923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10-30T00:00:00"/>
    <n v="1.3783670930233471E-2"/>
    <x v="1"/>
    <n v="0"/>
    <x v="161"/>
  </r>
  <r>
    <d v="2015-11-30T00:00:00"/>
    <x v="11"/>
    <s v="Series 4"/>
    <n v="3480662.0639999998"/>
    <n v="417370.3702079413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5-11-30T00:00:00"/>
    <n v="-1.3512936931267205E-2"/>
    <x v="1"/>
    <n v="0"/>
    <x v="162"/>
  </r>
  <r>
    <d v="2015-12-31T00:00:00"/>
    <x v="11"/>
    <s v="Series 4"/>
    <n v="2540648.9300000002"/>
    <n v="304652.26585769182"/>
    <n v="12"/>
    <n v="0"/>
    <n v="0"/>
    <n v="-660000"/>
    <m/>
    <n v="8.3395044604289268"/>
    <n v="-660000"/>
    <n v="-79141.393008626575"/>
    <n v="-660000"/>
    <n v="-660000"/>
    <s v="Private Equity Fund"/>
    <n v="0"/>
    <n v="0"/>
    <n v="0"/>
    <n v="0"/>
    <m/>
    <m/>
    <m/>
    <m/>
    <m/>
    <m/>
    <m/>
    <m/>
    <m/>
    <m/>
    <m/>
    <d v="2015-12-31T00:00:00"/>
    <n v="-8.0448239114085829E-2"/>
    <x v="1"/>
    <n v="0"/>
    <x v="163"/>
  </r>
  <r>
    <d v="2016-01-29T00:00:00"/>
    <x v="11"/>
    <s v="Series 4"/>
    <n v="2457018.16"/>
    <n v="294623.99974226143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1-29T00:00:00"/>
    <n v="-3.2917090201832755E-2"/>
    <x v="1"/>
    <n v="0"/>
    <x v="164"/>
  </r>
  <r>
    <d v="2016-02-29T00:00:00"/>
    <x v="11"/>
    <s v="Series 4"/>
    <n v="2502177.31"/>
    <n v="300039.0876787546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2-29T00:00:00"/>
    <n v="1.8379656583409121E-2"/>
    <x v="1"/>
    <n v="0"/>
    <x v="165"/>
  </r>
  <r>
    <d v="2016-03-31T00:00:00"/>
    <x v="11"/>
    <s v="Series 4"/>
    <n v="2590978.1"/>
    <n v="310687.2971043099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3-31T00:00:00"/>
    <n v="3.5489407423329178E-2"/>
    <x v="1"/>
    <n v="0"/>
    <x v="166"/>
  </r>
  <r>
    <d v="2016-04-29T00:00:00"/>
    <x v="11"/>
    <s v="Series 4"/>
    <n v="2645235.09"/>
    <n v="317193.31796651467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4-29T00:00:00"/>
    <n v="2.0940736627607759E-2"/>
    <x v="1"/>
    <n v="0"/>
    <x v="167"/>
  </r>
  <r>
    <d v="2016-05-31T00:00:00"/>
    <x v="11"/>
    <s v="Series 4"/>
    <n v="2623974.2400000002"/>
    <n v="314643.9038975033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5-31T00:00:00"/>
    <n v="-8.0374141717587388E-3"/>
    <x v="1"/>
    <n v="0"/>
    <x v="168"/>
  </r>
  <r>
    <d v="2016-06-30T00:00:00"/>
    <x v="11"/>
    <s v="Series 4"/>
    <n v="2636954.2000000002"/>
    <n v="316200.3464968916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6-30T00:00:00"/>
    <n v="4.9466796594770379E-3"/>
    <x v="1"/>
    <n v="0"/>
    <x v="169"/>
  </r>
  <r>
    <d v="2016-07-29T00:00:00"/>
    <x v="11"/>
    <s v="Series 4"/>
    <n v="2701806.6943999999"/>
    <n v="323976.8870224979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7-29T00:00:00"/>
    <n v="2.4593712852502225E-2"/>
    <x v="1"/>
    <n v="0"/>
    <x v="170"/>
  </r>
  <r>
    <d v="2016-08-31T00:00:00"/>
    <x v="11"/>
    <s v="Series 4"/>
    <n v="2717973.0781999999"/>
    <n v="325915.41752832232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8-31T00:00:00"/>
    <n v="5.9835456894483663E-3"/>
    <x v="1"/>
    <n v="0"/>
    <x v="171"/>
  </r>
  <r>
    <d v="2016-09-30T00:00:00"/>
    <x v="11"/>
    <s v="Series 4"/>
    <n v="2719825.9819"/>
    <n v="326137.6014373053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09-30T00:00:00"/>
    <n v="6.8172260971288701E-4"/>
    <x v="1"/>
    <n v="0"/>
    <x v="172"/>
  </r>
  <r>
    <d v="2016-10-31T00:00:00"/>
    <x v="11"/>
    <s v="Series 4"/>
    <n v="2752826.8056000001"/>
    <n v="330094.76985859347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6-10-31T00:00:00"/>
    <n v="1.2133432035584368E-2"/>
    <x v="1"/>
    <n v="0"/>
    <x v="173"/>
  </r>
  <r>
    <d v="2016-11-30T00:00:00"/>
    <x v="11"/>
    <s v="Series 4"/>
    <n v="2300339.1252000001"/>
    <n v="275836.42842511128"/>
    <n v="12"/>
    <n v="0"/>
    <n v="0"/>
    <n v="-460416"/>
    <m/>
    <n v="8.3395044604289268"/>
    <n v="-460416"/>
    <n v="-55209.035762817897"/>
    <n v="-460416"/>
    <n v="-460416"/>
    <s v="Private Equity Fund"/>
    <n v="0"/>
    <n v="0"/>
    <n v="0"/>
    <n v="0"/>
    <m/>
    <m/>
    <m/>
    <m/>
    <m/>
    <m/>
    <m/>
    <m/>
    <m/>
    <m/>
    <m/>
    <d v="2016-11-30T00:00:00"/>
    <n v="2.8800648060647305E-3"/>
    <x v="1"/>
    <n v="0"/>
    <x v="174"/>
  </r>
  <r>
    <d v="2016-12-30T00:00:00"/>
    <x v="11"/>
    <s v="Series 4"/>
    <n v="2078110.1500000001"/>
    <n v="249188.68499449384"/>
    <n v="12"/>
    <n v="0"/>
    <n v="0"/>
    <n v="-91200"/>
    <m/>
    <n v="8.3395044604289268"/>
    <n v="-91200"/>
    <n v="-10935.901579373854"/>
    <n v="-91200"/>
    <n v="-91200"/>
    <s v="Private Equity Fund"/>
    <n v="0"/>
    <n v="0"/>
    <n v="0"/>
    <n v="0"/>
    <m/>
    <m/>
    <m/>
    <m/>
    <m/>
    <m/>
    <m/>
    <m/>
    <m/>
    <m/>
    <m/>
    <d v="2016-12-30T00:00:00"/>
    <n v="-5.6960721036559137E-2"/>
    <x v="1"/>
    <n v="0"/>
    <x v="175"/>
  </r>
  <r>
    <d v="2017-01-27T00:00:00"/>
    <x v="11"/>
    <s v="Series 4"/>
    <n v="2088967.8100000003"/>
    <n v="250490.6400508787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1-27T00:00:00"/>
    <n v="5.224775982158647E-3"/>
    <x v="1"/>
    <n v="0"/>
    <x v="176"/>
  </r>
  <r>
    <d v="2017-02-28T00:00:00"/>
    <x v="11"/>
    <s v="Series 4"/>
    <n v="2127566.54"/>
    <n v="255119.0601426421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2-28T00:00:00"/>
    <n v="1.8477417323151446E-2"/>
    <x v="1"/>
    <n v="0"/>
    <x v="177"/>
  </r>
  <r>
    <d v="2017-03-31T00:00:00"/>
    <x v="11"/>
    <s v="Series 4"/>
    <n v="2103141.7192000002"/>
    <n v="252190.25053340266"/>
    <n v="12"/>
    <n v="0"/>
    <n v="0"/>
    <n v="-144000"/>
    <m/>
    <n v="8.3395044604289268"/>
    <n v="-144000"/>
    <n v="-17267.21302006398"/>
    <n v="-144000"/>
    <n v="-144000"/>
    <s v="Private Equity Fund"/>
    <n v="0"/>
    <n v="0"/>
    <n v="0"/>
    <n v="0"/>
    <m/>
    <m/>
    <m/>
    <m/>
    <m/>
    <m/>
    <m/>
    <m/>
    <m/>
    <m/>
    <m/>
    <d v="2017-03-31T00:00:00"/>
    <n v="5.620279175851306E-2"/>
    <x v="1"/>
    <n v="0"/>
    <x v="178"/>
  </r>
  <r>
    <d v="2017-04-28T00:00:00"/>
    <x v="11"/>
    <s v="Series 4"/>
    <n v="1995282.7890000001"/>
    <n v="239256.75661757204"/>
    <n v="12"/>
    <n v="0"/>
    <n v="0"/>
    <n v="-138000"/>
    <m/>
    <n v="8.3395044604289268"/>
    <n v="-138000"/>
    <n v="-16547.745810894648"/>
    <n v="-138000"/>
    <n v="-138000"/>
    <s v="Private Equity Fund"/>
    <n v="0"/>
    <n v="0"/>
    <n v="0"/>
    <n v="0"/>
    <m/>
    <m/>
    <m/>
    <m/>
    <m/>
    <m/>
    <m/>
    <m/>
    <m/>
    <m/>
    <m/>
    <d v="2017-04-28T00:00:00"/>
    <n v="1.4331449718692602E-2"/>
    <x v="1"/>
    <n v="0"/>
    <x v="179"/>
  </r>
  <r>
    <d v="2017-05-31T00:00:00"/>
    <x v="11"/>
    <s v="Series 4"/>
    <n v="1892755.22"/>
    <n v="226962.55262901433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5-31T00:00:00"/>
    <n v="-5.1384981399746898E-2"/>
    <x v="1"/>
    <n v="0"/>
    <x v="180"/>
  </r>
  <r>
    <d v="2017-06-30T00:00:00"/>
    <x v="11"/>
    <s v="Series 4"/>
    <n v="1833664.41"/>
    <n v="219876.9026026384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6-30T00:00:00"/>
    <n v="-3.1219467459717265E-2"/>
    <x v="1"/>
    <n v="0"/>
    <x v="181"/>
  </r>
  <r>
    <d v="2017-07-31T00:00:00"/>
    <x v="11"/>
    <s v="Series 4"/>
    <n v="1936611.27"/>
    <n v="232221.38427879612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7-31T00:00:00"/>
    <n v="5.6142694071266819E-2"/>
    <x v="1"/>
    <n v="0"/>
    <x v="182"/>
  </r>
  <r>
    <d v="2017-08-31T00:00:00"/>
    <x v="11"/>
    <s v="Series 4"/>
    <n v="2122800"/>
    <n v="254547.49860410983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8-31T00:00:00"/>
    <n v="9.6141509080446497E-2"/>
    <x v="1"/>
    <n v="0"/>
    <x v="183"/>
  </r>
  <r>
    <d v="2017-09-29T00:00:00"/>
    <x v="11"/>
    <s v="Series 4"/>
    <n v="2120500"/>
    <n v="254271.70284059492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09-29T00:00:00"/>
    <n v="-1.0834746561145803E-3"/>
    <x v="1"/>
    <n v="0"/>
    <x v="184"/>
  </r>
  <r>
    <d v="2017-10-31T00:00:00"/>
    <x v="11"/>
    <s v="Series 4"/>
    <n v="2112600"/>
    <n v="253324.4043485219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10-31T00:00:00"/>
    <n v="-3.7255364300872174E-3"/>
    <x v="1"/>
    <n v="0"/>
    <x v="185"/>
  </r>
  <r>
    <d v="2017-11-30T00:00:00"/>
    <x v="11"/>
    <s v="Series 4"/>
    <n v="1534200"/>
    <n v="183967.76538459831"/>
    <n v="12"/>
    <n v="0"/>
    <n v="0"/>
    <n v="-523531.19000000006"/>
    <m/>
    <n v="8.3395044604289268"/>
    <n v="-523531.19000000006"/>
    <n v="-62777.254030399934"/>
    <n v="-523531.19000000006"/>
    <n v="-523531.19000000006"/>
    <s v="Private Equity Fund"/>
    <n v="0"/>
    <n v="0"/>
    <n v="0"/>
    <n v="0"/>
    <m/>
    <m/>
    <m/>
    <m/>
    <m/>
    <m/>
    <m/>
    <m/>
    <m/>
    <m/>
    <m/>
    <d v="2017-11-30T00:00:00"/>
    <n v="-2.597217173151567E-2"/>
    <x v="1"/>
    <n v="0"/>
    <x v="186"/>
  </r>
  <r>
    <d v="2017-12-29T00:00:00"/>
    <x v="11"/>
    <s v="Series 4"/>
    <n v="1548400"/>
    <n v="185670.5044462990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  <m/>
    <m/>
    <m/>
    <d v="2017-12-29T00:00:00"/>
    <n v="9.2556381175856739E-3"/>
    <x v="1"/>
    <n v="0"/>
    <x v="187"/>
  </r>
  <r>
    <d v="2018-01-31T00:00:00"/>
    <x v="11"/>
    <s v="Series 4"/>
    <n v="1577200"/>
    <n v="189123.94705031186"/>
    <n v="12"/>
    <n v="0"/>
    <n v="0"/>
    <n v="0"/>
    <m/>
    <n v="8.3395044604289268"/>
    <n v="0"/>
    <n v="0"/>
    <n v="0"/>
    <n v="0"/>
    <s v="Private Equity Fund"/>
    <n v="0"/>
    <n v="3.0198217987922198E-2"/>
    <n v="0"/>
    <n v="4.1207984962685499E-3"/>
    <m/>
    <m/>
    <m/>
    <m/>
    <m/>
    <m/>
    <m/>
    <m/>
    <m/>
    <m/>
    <m/>
    <d v="2018-01-31T00:00:00"/>
    <n v="1.8599845001291637E-2"/>
    <x v="1"/>
    <n v="0"/>
    <x v="188"/>
  </r>
  <r>
    <d v="2018-02-28T00:00:00"/>
    <x v="11"/>
    <s v="Series 4"/>
    <n v="1535700"/>
    <n v="184147.63218689064"/>
    <n v="12"/>
    <n v="0"/>
    <n v="0"/>
    <n v="0"/>
    <m/>
    <n v="8.3395044604289268"/>
    <n v="0"/>
    <n v="0"/>
    <n v="0"/>
    <n v="0"/>
    <s v="Private Equity Fund"/>
    <n v="0"/>
    <n v="1.8820181377224399E-2"/>
    <n v="0"/>
    <n v="2.5681705837670792E-3"/>
    <m/>
    <m/>
    <m/>
    <m/>
    <m/>
    <m/>
    <m/>
    <m/>
    <m/>
    <m/>
    <m/>
    <d v="2018-02-28T00:00:00"/>
    <n v="-2.6312452447375123E-2"/>
    <x v="1"/>
    <n v="0"/>
    <x v="189"/>
  </r>
  <r>
    <d v="2018-03-29T00:00:00"/>
    <x v="11"/>
    <s v="Series 4"/>
    <n v="1543673.3884000001"/>
    <n v="185103.73077018585"/>
    <n v="12"/>
    <n v="0"/>
    <n v="0"/>
    <n v="0"/>
    <m/>
    <n v="8.3395044604289268"/>
    <n v="0"/>
    <n v="0"/>
    <n v="0"/>
    <n v="0"/>
    <s v="Private Equity Fund"/>
    <n v="0"/>
    <n v="1.9795531925155301E-2"/>
    <n v="0"/>
    <n v="2.701265293953484E-3"/>
    <m/>
    <m/>
    <m/>
    <m/>
    <m/>
    <m/>
    <m/>
    <m/>
    <m/>
    <m/>
    <m/>
    <d v="2018-03-29T00:00:00"/>
    <n v="5.1920221397407929E-3"/>
    <x v="1"/>
    <n v="0"/>
    <x v="190"/>
  </r>
  <r>
    <d v="2018-04-30T00:00:00"/>
    <x v="11"/>
    <s v="Series 4"/>
    <n v="862090.60279999999"/>
    <n v="103374.32000793726"/>
    <n v="12"/>
    <n v="0"/>
    <n v="0"/>
    <n v="-694520.74"/>
    <m/>
    <n v="8.3395044604289268"/>
    <n v="-694520.74"/>
    <n v="-83280.816419669936"/>
    <n v="-694520.74"/>
    <n v="-694520.74"/>
    <s v="Private Equity Fund"/>
    <n v="0"/>
    <n v="2.2509767419219125E-2"/>
    <n v="0"/>
    <n v="3.0716453457476098E-3"/>
    <m/>
    <m/>
    <m/>
    <m/>
    <m/>
    <m/>
    <m/>
    <m/>
    <m/>
    <m/>
    <m/>
    <d v="2018-04-30T00:00:00"/>
    <n v="8.381277086994432E-3"/>
    <x v="1"/>
    <n v="0"/>
    <x v="191"/>
  </r>
  <r>
    <d v="2018-05-31T00:00:00"/>
    <x v="11"/>
    <s v="Series 4"/>
    <n v="829487.16619999998"/>
    <n v="99464.802751282041"/>
    <n v="12"/>
    <n v="0"/>
    <n v="0"/>
    <n v="0"/>
    <m/>
    <n v="8.3395044604289268"/>
    <n v="0"/>
    <n v="0"/>
    <n v="0"/>
    <n v="0"/>
    <s v="Private Equity Fund"/>
    <n v="0"/>
    <n v="1.3854915124137763E-2"/>
    <n v="0"/>
    <n v="1.8906186263146323E-3"/>
    <m/>
    <m/>
    <m/>
    <m/>
    <m/>
    <m/>
    <m/>
    <m/>
    <m/>
    <m/>
    <m/>
    <d v="2018-05-31T00:00:00"/>
    <n v="-3.7819037226605512E-2"/>
    <x v="1"/>
    <n v="0"/>
    <x v="192"/>
  </r>
  <r>
    <d v="2018-06-29T00:00:00"/>
    <x v="11"/>
    <s v="Series 4"/>
    <n v="803557.67760000005"/>
    <n v="96355.566618243713"/>
    <n v="12"/>
    <n v="0"/>
    <n v="0"/>
    <n v="0"/>
    <m/>
    <n v="8.3395044604289268"/>
    <n v="0"/>
    <n v="0"/>
    <n v="0"/>
    <n v="0"/>
    <s v="Private Equity Fund"/>
    <n v="0"/>
    <n v="6.9010626961802397E-3"/>
    <n v="0"/>
    <n v="9.4170751374959524E-4"/>
    <m/>
    <m/>
    <m/>
    <m/>
    <m/>
    <m/>
    <m/>
    <m/>
    <m/>
    <m/>
    <m/>
    <d v="2018-06-29T00:00:00"/>
    <n v="-3.1259662182341663E-2"/>
    <x v="1"/>
    <n v="0"/>
    <x v="193"/>
  </r>
  <r>
    <d v="2018-07-31T00:00:00"/>
    <x v="11"/>
    <s v="Series 4"/>
    <n v="800787.73289999994"/>
    <n v="96023.419221099975"/>
    <n v="12"/>
    <n v="0"/>
    <n v="0"/>
    <n v="0"/>
    <m/>
    <n v="8.3395044604289268"/>
    <n v="0"/>
    <n v="0"/>
    <n v="0"/>
    <n v="0"/>
    <s v="Private Equity Fund"/>
    <n v="0"/>
    <n v="5.6883235348115105E-3"/>
    <n v="0"/>
    <n v="7.7621914902115412E-4"/>
    <m/>
    <m/>
    <m/>
    <m/>
    <m/>
    <m/>
    <m/>
    <m/>
    <m/>
    <m/>
    <m/>
    <d v="2018-07-31T00:00:00"/>
    <n v="-3.447101281233711E-3"/>
    <x v="1"/>
    <n v="0"/>
    <x v="194"/>
  </r>
  <r>
    <d v="2018-08-31T00:00:00"/>
    <x v="11"/>
    <s v="Series 4"/>
    <n v="798600.94819999998"/>
    <n v="95761.199240239439"/>
    <n v="12"/>
    <n v="0"/>
    <n v="0"/>
    <n v="0"/>
    <m/>
    <n v="8.3395044604289268"/>
    <n v="0"/>
    <n v="0"/>
    <n v="0"/>
    <n v="0"/>
    <s v="Private Equity Fund"/>
    <n v="0"/>
    <n v="4.6376313565586989E-3"/>
    <n v="0"/>
    <n v="6.3284344553040577E-4"/>
    <m/>
    <m/>
    <m/>
    <m/>
    <m/>
    <m/>
    <m/>
    <m/>
    <m/>
    <m/>
    <m/>
    <d v="2018-08-31T00:00:00"/>
    <n v="-2.7307919566658123E-3"/>
    <x v="1"/>
    <n v="0"/>
    <x v="195"/>
  </r>
  <r>
    <d v="2018-09-28T00:00:00"/>
    <x v="11"/>
    <s v="Series 4"/>
    <n v="765745.94"/>
    <m/>
    <n v="12"/>
    <m/>
    <n v="0"/>
    <n v="0"/>
    <m/>
    <n v="0"/>
    <n v="0"/>
    <e v="#DIV/0!"/>
    <n v="0"/>
    <n v="0"/>
    <s v="Private Equity Fund"/>
    <n v="0"/>
    <n v="0"/>
    <m/>
    <n v="0"/>
    <m/>
    <m/>
    <m/>
    <m/>
    <m/>
    <m/>
    <m/>
    <m/>
    <m/>
    <m/>
    <m/>
    <d v="2018-09-28T00:00:00"/>
    <n v="-4.1140707726497583E-2"/>
    <x v="1"/>
    <n v="0"/>
    <x v="196"/>
  </r>
  <r>
    <d v="2018-10-31T00:00:00"/>
    <x v="11"/>
    <s v="Series 4"/>
    <n v="717192.68"/>
    <m/>
    <n v="12"/>
    <m/>
    <n v="0"/>
    <n v="42600.24"/>
    <n v="0"/>
    <m/>
    <n v="42600.24"/>
    <e v="#DIV/0!"/>
    <n v="-674592.44000000006"/>
    <n v="-674592.44000000006"/>
    <s v="Private Equity Fund"/>
    <n v="0"/>
    <n v="0"/>
    <m/>
    <n v="0"/>
    <m/>
    <m/>
    <m/>
    <m/>
    <m/>
    <m/>
    <m/>
    <m/>
    <m/>
    <m/>
    <m/>
    <d v="2018-10-31T00:00:00"/>
    <n v="-0.11903882898811047"/>
    <x v="1"/>
    <n v="0"/>
    <x v="197"/>
  </r>
  <r>
    <d v="2012-07-31T00:00:00"/>
    <x v="11"/>
    <s v="Series 5GP"/>
    <n v="23966"/>
    <n v="23966"/>
    <n v="0.2084"/>
    <n v="23966"/>
    <n v="0"/>
    <n v="0"/>
    <m/>
    <n v="1"/>
    <n v="23966"/>
    <n v="23966"/>
    <n v="23966"/>
    <m/>
    <s v="Private Equity Fund"/>
    <n v="0"/>
    <n v="0"/>
    <n v="0"/>
    <n v="0"/>
    <m/>
    <m/>
    <m/>
    <m/>
    <m/>
    <m/>
    <m/>
    <m/>
    <m/>
    <m/>
    <m/>
    <d v="2012-07-31T00:00:00"/>
    <n v="0"/>
    <x v="1"/>
    <n v="0"/>
    <x v="135"/>
  </r>
  <r>
    <d v="2012-08-31T00:00:00"/>
    <x v="11"/>
    <s v="Series 5GP"/>
    <n v="24030.47"/>
    <n v="24030.47"/>
    <n v="0.2084"/>
    <n v="0"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8-31T00:00:00"/>
    <n v="2.6900609196363057E-3"/>
    <x v="1"/>
    <n v="0"/>
    <x v="136"/>
  </r>
  <r>
    <d v="2012-09-28T00:00:00"/>
    <x v="11"/>
    <s v="Series 5GP"/>
    <n v="36518.019999999997"/>
    <n v="23883.6742350038"/>
    <n v="0.2084"/>
    <n v="12712"/>
    <n v="0"/>
    <n v="0"/>
    <m/>
    <n v="1.5289950633508207"/>
    <n v="12712"/>
    <n v="0"/>
    <n v="12712"/>
    <m/>
    <s v="Private Equity Fund"/>
    <n v="0"/>
    <n v="0"/>
    <n v="0"/>
    <n v="0"/>
    <m/>
    <m/>
    <m/>
    <m/>
    <m/>
    <m/>
    <m/>
    <m/>
    <m/>
    <m/>
    <m/>
    <d v="2012-09-28T00:00:00"/>
    <n v="-9.3402251391672131E-3"/>
    <x v="1"/>
    <n v="0"/>
    <x v="137"/>
  </r>
  <r>
    <d v="2012-10-31T00:00:00"/>
    <x v="11"/>
    <s v="Series 5GP"/>
    <n v="37514.35"/>
    <n v="24535.298314035503"/>
    <n v="0.2084"/>
    <n v="0"/>
    <n v="0"/>
    <n v="0"/>
    <m/>
    <n v="1.5289950633508207"/>
    <n v="0"/>
    <n v="0"/>
    <n v="0"/>
    <m/>
    <s v="Private Equity Fund"/>
    <n v="0"/>
    <n v="0"/>
    <n v="0"/>
    <n v="0"/>
    <m/>
    <m/>
    <m/>
    <m/>
    <m/>
    <m/>
    <m/>
    <m/>
    <m/>
    <m/>
    <m/>
    <d v="2012-10-31T00:00:00"/>
    <n v="2.7283242629255522E-2"/>
    <x v="1"/>
    <n v="0"/>
    <x v="138"/>
  </r>
  <r>
    <d v="2012-11-30T00:00:00"/>
    <x v="11"/>
    <s v="Series 5GP"/>
    <n v="87460.31"/>
    <n v="24633.018894211076"/>
    <n v="0.2084"/>
    <n v="49599"/>
    <n v="0"/>
    <n v="0"/>
    <m/>
    <n v="3.5505315193239979"/>
    <n v="49599"/>
    <n v="0"/>
    <n v="49599"/>
    <m/>
    <s v="Private Equity Fund"/>
    <n v="0"/>
    <n v="0"/>
    <n v="0"/>
    <n v="0"/>
    <m/>
    <m/>
    <m/>
    <m/>
    <m/>
    <m/>
    <m/>
    <m/>
    <m/>
    <m/>
    <m/>
    <d v="2012-11-30T00:00:00"/>
    <n v="9.2487274869483826E-3"/>
    <x v="1"/>
    <n v="0"/>
    <x v="139"/>
  </r>
  <r>
    <d v="2012-12-31T00:00:00"/>
    <x v="11"/>
    <s v="Series 5GP"/>
    <n v="105548.58"/>
    <n v="25018.065253550394"/>
    <n v="0.2084"/>
    <n v="16463.8"/>
    <n v="0"/>
    <n v="0"/>
    <m/>
    <n v="4.2188945839855165"/>
    <n v="16463.8"/>
    <n v="0"/>
    <n v="16463.8"/>
    <m/>
    <s v="Private Equity Fund"/>
    <n v="0"/>
    <n v="0"/>
    <n v="0"/>
    <n v="0"/>
    <m/>
    <m/>
    <m/>
    <m/>
    <m/>
    <m/>
    <m/>
    <m/>
    <m/>
    <m/>
    <m/>
    <d v="2012-12-31T00:00:00"/>
    <n v="1.8573796502665108E-2"/>
    <x v="1"/>
    <n v="0"/>
    <x v="140"/>
  </r>
  <r>
    <d v="2013-01-31T00:00:00"/>
    <x v="11"/>
    <s v="Series 5GP"/>
    <n v="105596.19"/>
    <n v="25029.350200128752"/>
    <n v="0.2084"/>
    <n v="0"/>
    <n v="0"/>
    <n v="0"/>
    <m/>
    <n v="4.2188945839855165"/>
    <n v="0"/>
    <n v="0"/>
    <n v="0"/>
    <m/>
    <s v="Private Equity Fund"/>
    <n v="0"/>
    <n v="0"/>
    <n v="0"/>
    <n v="0"/>
    <m/>
    <m/>
    <m/>
    <m/>
    <m/>
    <m/>
    <m/>
    <m/>
    <m/>
    <m/>
    <m/>
    <d v="2013-01-31T00:00:00"/>
    <n v="4.5107191399451629E-4"/>
    <x v="1"/>
    <n v="0"/>
    <x v="141"/>
  </r>
  <r>
    <d v="2013-02-28T00:00:00"/>
    <x v="11"/>
    <s v="Series 5GP"/>
    <n v="123795.62"/>
    <n v="25213.145872623725"/>
    <n v="0.2084"/>
    <n v="17297"/>
    <n v="0"/>
    <n v="0"/>
    <m/>
    <n v="4.9099632638232782"/>
    <n v="17297"/>
    <n v="0"/>
    <n v="17297"/>
    <m/>
    <s v="Private Equity Fund"/>
    <n v="0"/>
    <n v="0"/>
    <n v="0"/>
    <n v="0"/>
    <m/>
    <m/>
    <m/>
    <m/>
    <m/>
    <m/>
    <m/>
    <m/>
    <m/>
    <m/>
    <m/>
    <d v="2013-02-28T00:00:00"/>
    <n v="8.5460469738538603E-3"/>
    <x v="1"/>
    <n v="0"/>
    <x v="142"/>
  </r>
  <r>
    <d v="2013-03-28T00:00:00"/>
    <x v="11"/>
    <s v="Series 5GP"/>
    <n v="135436.21"/>
    <n v="25091.720703782496"/>
    <n v="0.2084"/>
    <n v="12296"/>
    <n v="0"/>
    <n v="0"/>
    <m/>
    <n v="5.3976453667278159"/>
    <n v="12296"/>
    <n v="0"/>
    <n v="12296"/>
    <m/>
    <s v="Private Equity Fund"/>
    <n v="0"/>
    <n v="0"/>
    <n v="0"/>
    <n v="0"/>
    <m/>
    <m/>
    <m/>
    <m/>
    <m/>
    <m/>
    <m/>
    <m/>
    <m/>
    <m/>
    <m/>
    <d v="2013-03-28T00:00:00"/>
    <n v="-5.2942907026920505E-3"/>
    <x v="1"/>
    <n v="0"/>
    <x v="143"/>
  </r>
  <r>
    <d v="2013-04-30T00:00:00"/>
    <x v="11"/>
    <s v="Series 5GP"/>
    <n v="140321.54"/>
    <n v="24776.775534159824"/>
    <n v="0.2084"/>
    <n v="6669"/>
    <n v="0"/>
    <n v="0"/>
    <m/>
    <n v="5.6634302476744089"/>
    <n v="6669"/>
    <n v="0"/>
    <n v="6669"/>
    <m/>
    <s v="Private Equity Fund"/>
    <n v="0"/>
    <n v="0"/>
    <n v="0"/>
    <n v="0"/>
    <m/>
    <m/>
    <m/>
    <m/>
    <m/>
    <m/>
    <m/>
    <m/>
    <m/>
    <m/>
    <m/>
    <d v="2013-04-30T00:00:00"/>
    <n v="-1.3169816255194866E-2"/>
    <x v="1"/>
    <n v="0"/>
    <x v="144"/>
  </r>
  <r>
    <d v="2013-05-31T00:00:00"/>
    <x v="11"/>
    <s v="Series 5GP"/>
    <n v="142073.28"/>
    <n v="25086.082777895954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5-31T00:00:00"/>
    <n v="1.2483756948505453E-2"/>
    <x v="1"/>
    <n v="0"/>
    <x v="145"/>
  </r>
  <r>
    <d v="2013-06-28T00:00:00"/>
    <x v="11"/>
    <s v="Series 5GP"/>
    <n v="142040.06"/>
    <n v="25080.217074859593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6-28T00:00:00"/>
    <n v="-2.338229961327265E-4"/>
    <x v="1"/>
    <n v="0"/>
    <x v="146"/>
  </r>
  <r>
    <d v="2013-07-31T00:00:00"/>
    <x v="11"/>
    <s v="Series 5GP"/>
    <n v="138155.04999999999"/>
    <n v="24394.235288186166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7-31T00:00:00"/>
    <n v="-2.7351509144673769E-2"/>
    <x v="1"/>
    <n v="0"/>
    <x v="147"/>
  </r>
  <r>
    <d v="2013-08-30T00:00:00"/>
    <x v="11"/>
    <s v="Series 5GP"/>
    <n v="136386.76999999999"/>
    <n v="24082.007552932235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  <m/>
    <m/>
    <m/>
    <d v="2013-08-30T00:00:00"/>
    <n v="-1.2799242590118887E-2"/>
    <x v="1"/>
    <n v="0"/>
    <x v="148"/>
  </r>
  <r>
    <d v="2013-09-30T00:00:00"/>
    <x v="11"/>
    <s v="Series 5GP"/>
    <n v="208104.12"/>
    <n v="24353.548336860171"/>
    <n v="0.2084"/>
    <n v="69397"/>
    <n v="0"/>
    <n v="0"/>
    <m/>
    <n v="8.5451252163129432"/>
    <n v="69397"/>
    <n v="0"/>
    <n v="69397"/>
    <m/>
    <s v="Private Equity Fund"/>
    <n v="0"/>
    <n v="0"/>
    <n v="0"/>
    <n v="0"/>
    <m/>
    <m/>
    <m/>
    <m/>
    <m/>
    <m/>
    <m/>
    <m/>
    <m/>
    <m/>
    <m/>
    <d v="2013-09-30T00:00:00"/>
    <n v="1.7013013798919063E-2"/>
    <x v="1"/>
    <n v="0"/>
    <x v="0"/>
  </r>
  <r>
    <d v="2013-10-31T00:00:00"/>
    <x v="11"/>
    <s v="Series 5GP"/>
    <n v="185094.82"/>
    <n v="21660.866905337738"/>
    <n v="0.2084"/>
    <n v="0"/>
    <n v="0"/>
    <n v="-26927.06"/>
    <m/>
    <n v="8.5451252163129432"/>
    <n v="-26927.06"/>
    <n v="-3151.1603772166263"/>
    <n v="-26927.06"/>
    <m/>
    <s v="Private Equity Fund"/>
    <n v="0"/>
    <n v="0"/>
    <n v="0"/>
    <n v="0"/>
    <m/>
    <m/>
    <m/>
    <m/>
    <m/>
    <m/>
    <m/>
    <m/>
    <m/>
    <m/>
    <m/>
    <d v="2013-10-31T00:00:00"/>
    <n v="1.8825960773866557E-2"/>
    <x v="1"/>
    <n v="0"/>
    <x v="1"/>
  </r>
  <r>
    <d v="2013-11-29T00:00:00"/>
    <x v="11"/>
    <s v="Series 5GP"/>
    <n v="185518.41"/>
    <n v="21710.43785828191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3-11-29T00:00:00"/>
    <n v="2.2885027252517176E-3"/>
    <x v="1"/>
    <n v="0"/>
    <x v="2"/>
  </r>
  <r>
    <d v="2013-12-31T00:00:00"/>
    <x v="11"/>
    <s v="Series 5GP"/>
    <n v="189510.3"/>
    <n v="22177.591925536468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3-12-31T00:00:00"/>
    <n v="2.1517487132409086E-2"/>
    <x v="1"/>
    <n v="0"/>
    <x v="3"/>
  </r>
  <r>
    <d v="2014-01-30T00:00:00"/>
    <x v="11"/>
    <s v="Series 5GP"/>
    <n v="192632.46"/>
    <n v="22542.96515541491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1-30T00:00:00"/>
    <n v="1.6474882895547216E-2"/>
    <x v="1"/>
    <n v="0"/>
    <x v="4"/>
  </r>
  <r>
    <d v="2014-02-28T00:00:00"/>
    <x v="11"/>
    <s v="Series 5GP"/>
    <n v="194219.23"/>
    <n v="22728.65816281178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2-28T00:00:00"/>
    <n v="8.2372929256055993E-3"/>
    <x v="1"/>
    <n v="0"/>
    <x v="5"/>
  </r>
  <r>
    <d v="2014-03-31T00:00:00"/>
    <x v="11"/>
    <s v="Series 5GP"/>
    <n v="185501.59"/>
    <n v="21708.469484551377"/>
    <n v="0.2084"/>
    <n v="0"/>
    <n v="0"/>
    <n v="-9125.8340000000007"/>
    <m/>
    <n v="8.5451252163129432"/>
    <n v="-9125.8340000000007"/>
    <n v="-1067.9579021941615"/>
    <n v="-9125.8340000000007"/>
    <m/>
    <s v="Private Equity Fund"/>
    <n v="0"/>
    <n v="0"/>
    <n v="0"/>
    <n v="0"/>
    <m/>
    <m/>
    <m/>
    <m/>
    <m/>
    <m/>
    <m/>
    <m/>
    <m/>
    <m/>
    <m/>
    <d v="2014-03-31T00:00:00"/>
    <n v="2.1017177341295934E-3"/>
    <x v="1"/>
    <n v="0"/>
    <x v="6"/>
  </r>
  <r>
    <d v="2014-04-30T00:00:00"/>
    <x v="11"/>
    <s v="Series 5GP"/>
    <n v="182698.87"/>
    <n v="21380.47897194314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4-30T00:00:00"/>
    <n v="-1.5108873190790462E-2"/>
    <x v="1"/>
    <n v="0"/>
    <x v="7"/>
  </r>
  <r>
    <d v="2014-05-30T00:00:00"/>
    <x v="11"/>
    <s v="Series 5GP"/>
    <n v="184141.42"/>
    <n v="21549.2945203971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5-30T00:00:00"/>
    <n v="7.8957795414937859E-3"/>
    <x v="1"/>
    <n v="0"/>
    <x v="8"/>
  </r>
  <r>
    <d v="2014-06-30T00:00:00"/>
    <x v="11"/>
    <s v="Series 5GP"/>
    <n v="184894.77"/>
    <n v="21637.45589672921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6-30T00:00:00"/>
    <n v="4.0911490744448553E-3"/>
    <x v="1"/>
    <n v="0"/>
    <x v="9"/>
  </r>
  <r>
    <d v="2014-07-31T00:00:00"/>
    <x v="11"/>
    <s v="Series 5GP"/>
    <n v="172540.97"/>
    <n v="20191.742734280037"/>
    <n v="0.2084"/>
    <n v="0"/>
    <n v="0"/>
    <n v="-14100.34"/>
    <m/>
    <n v="8.5451252163129432"/>
    <n v="-14100.34"/>
    <n v="-1650.1033797704868"/>
    <n v="-14100.34"/>
    <m/>
    <s v="Private Equity Fund"/>
    <n v="0"/>
    <n v="0"/>
    <n v="0"/>
    <n v="0"/>
    <m/>
    <m/>
    <m/>
    <m/>
    <m/>
    <m/>
    <m/>
    <m/>
    <m/>
    <m/>
    <m/>
    <d v="2014-07-31T00:00:00"/>
    <n v="9.4461298175172459E-3"/>
    <x v="1"/>
    <n v="0"/>
    <x v="10"/>
  </r>
  <r>
    <d v="2014-08-29T00:00:00"/>
    <x v="11"/>
    <s v="Series 5GP"/>
    <n v="123842.33"/>
    <n v="14492.746082126527"/>
    <n v="0.2084"/>
    <n v="0"/>
    <n v="0"/>
    <n v="-50151.46"/>
    <m/>
    <n v="8.5451252163129432"/>
    <n v="-50151.46"/>
    <n v="-5869.0140554358532"/>
    <n v="-50151.46"/>
    <m/>
    <s v="Private Equity Fund"/>
    <n v="0"/>
    <n v="0"/>
    <n v="0"/>
    <n v="0"/>
    <m/>
    <m/>
    <m/>
    <m/>
    <m/>
    <m/>
    <m/>
    <m/>
    <m/>
    <m/>
    <m/>
    <d v="2014-08-29T00:00:00"/>
    <n v="8.4201450820637902E-3"/>
    <x v="1"/>
    <n v="0"/>
    <x v="11"/>
  </r>
  <r>
    <d v="2014-09-30T00:00:00"/>
    <x v="11"/>
    <s v="Series 5GP"/>
    <n v="124729.49"/>
    <n v="14596.56667896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09-30T00:00:00"/>
    <n v="7.1636249091890924E-3"/>
    <x v="1"/>
    <n v="0"/>
    <x v="12"/>
  </r>
  <r>
    <d v="2014-10-31T00:00:00"/>
    <x v="11"/>
    <s v="Series 5GP"/>
    <n v="97475.71"/>
    <n v="11407.171636749741"/>
    <n v="0.2084"/>
    <n v="0"/>
    <n v="0"/>
    <n v="-24643.3"/>
    <m/>
    <n v="8.5451252163129432"/>
    <n v="-24643.3"/>
    <n v="-2883.9015668202355"/>
    <n v="-24643.3"/>
    <m/>
    <s v="Private Equity Fund"/>
    <n v="0"/>
    <n v="0"/>
    <n v="0"/>
    <n v="0"/>
    <m/>
    <m/>
    <m/>
    <m/>
    <m/>
    <m/>
    <m/>
    <m/>
    <m/>
    <m/>
    <m/>
    <d v="2014-10-31T00:00:00"/>
    <n v="-2.0929132316663823E-2"/>
    <x v="1"/>
    <n v="0"/>
    <x v="149"/>
  </r>
  <r>
    <d v="2014-11-28T00:00:00"/>
    <x v="11"/>
    <s v="Series 5GP"/>
    <n v="94214.06"/>
    <n v="11025.47447989902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4-11-28T00:00:00"/>
    <n v="-3.3461156630713473E-2"/>
    <x v="1"/>
    <n v="0"/>
    <x v="150"/>
  </r>
  <r>
    <d v="2014-12-31T00:00:00"/>
    <x v="11"/>
    <s v="Series 5GP"/>
    <n v="80873.47"/>
    <n v="9464.2814414948207"/>
    <n v="0.2084"/>
    <n v="0"/>
    <n v="0"/>
    <n v="-11983"/>
    <m/>
    <n v="8.5451252163129432"/>
    <n v="-11983"/>
    <n v="-1402.3200007793957"/>
    <n v="-11983"/>
    <m/>
    <s v="Private Equity Fund"/>
    <n v="0"/>
    <n v="0"/>
    <n v="0"/>
    <n v="0"/>
    <m/>
    <m/>
    <m/>
    <m/>
    <m/>
    <m/>
    <m/>
    <m/>
    <m/>
    <m/>
    <m/>
    <d v="2014-12-31T00:00:00"/>
    <n v="-1.4409632702380049E-2"/>
    <x v="1"/>
    <n v="0"/>
    <x v="151"/>
  </r>
  <r>
    <d v="2015-01-30T00:00:00"/>
    <x v="11"/>
    <s v="Series 5GP"/>
    <n v="82195.399999999994"/>
    <n v="9618.981339569618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1-30T00:00:00"/>
    <n v="1.6345656987390322E-2"/>
    <x v="1"/>
    <n v="0"/>
    <x v="152"/>
  </r>
  <r>
    <d v="2015-02-27T00:00:00"/>
    <x v="11"/>
    <s v="Series 5GP"/>
    <n v="84106.42"/>
    <n v="9842.619958270230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2-27T00:00:00"/>
    <n v="2.324971957068156E-2"/>
    <x v="1"/>
    <n v="0"/>
    <x v="153"/>
  </r>
  <r>
    <d v="2015-03-31T00:00:00"/>
    <x v="11"/>
    <s v="Series 5GP"/>
    <n v="83496.98"/>
    <n v="9771.29976288718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3-31T00:00:00"/>
    <n v="-7.24605802981515E-3"/>
    <x v="1"/>
    <n v="0"/>
    <x v="154"/>
  </r>
  <r>
    <d v="2015-04-30T00:00:00"/>
    <x v="11"/>
    <s v="Series 5GP"/>
    <n v="78461.820000000007"/>
    <n v="9182.0562032506732"/>
    <n v="0.2084"/>
    <n v="0"/>
    <n v="0"/>
    <n v="-7742.06"/>
    <m/>
    <n v="8.5451252163129432"/>
    <n v="-7742.06"/>
    <n v="-906.02066137312261"/>
    <n v="-7742.06"/>
    <m/>
    <s v="Private Equity Fund"/>
    <n v="0"/>
    <n v="0"/>
    <n v="0"/>
    <n v="0"/>
    <m/>
    <m/>
    <m/>
    <m/>
    <m/>
    <m/>
    <m/>
    <m/>
    <m/>
    <m/>
    <m/>
    <d v="2015-04-30T00:00:00"/>
    <n v="3.2419136596317788E-2"/>
    <x v="1"/>
    <n v="0"/>
    <x v="155"/>
  </r>
  <r>
    <d v="2015-05-29T00:00:00"/>
    <x v="11"/>
    <s v="Series 5GP"/>
    <n v="78717.03"/>
    <n v="9211.922354247826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5-29T00:00:00"/>
    <n v="3.252664799261451E-3"/>
    <x v="1"/>
    <n v="0"/>
    <x v="156"/>
  </r>
  <r>
    <d v="2015-06-30T00:00:00"/>
    <x v="11"/>
    <s v="Series 5GP"/>
    <n v="79792.2"/>
    <n v="9337.744969222205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6-30T00:00:00"/>
    <n v="1.3658670811131923E-2"/>
    <x v="1"/>
    <n v="0"/>
    <x v="157"/>
  </r>
  <r>
    <d v="2015-07-31T00:00:00"/>
    <x v="11"/>
    <s v="Series 5GP"/>
    <n v="69273"/>
    <n v="8106.727314861977"/>
    <n v="0.2084"/>
    <n v="0"/>
    <n v="0"/>
    <n v="-8092.1699999999992"/>
    <m/>
    <n v="8.5451252163129432"/>
    <n v="-8092.1699999999992"/>
    <n v="-946.9925595182342"/>
    <n v="-8092.1699999999992"/>
    <m/>
    <s v="Private Equity Fund"/>
    <n v="0"/>
    <n v="0"/>
    <n v="0"/>
    <n v="0"/>
    <m/>
    <m/>
    <m/>
    <m/>
    <m/>
    <m/>
    <m/>
    <m/>
    <m/>
    <m/>
    <m/>
    <d v="2015-07-31T00:00:00"/>
    <n v="-3.0416882853211202E-2"/>
    <x v="1"/>
    <n v="0"/>
    <x v="158"/>
  </r>
  <r>
    <d v="2015-08-31T00:00:00"/>
    <x v="11"/>
    <s v="Series 5GP"/>
    <n v="67221.3"/>
    <n v="7866.625508503045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08-31T00:00:00"/>
    <n v="-2.9617599930708893E-2"/>
    <x v="1"/>
    <n v="0"/>
    <x v="159"/>
  </r>
  <r>
    <d v="2015-09-30T00:00:00"/>
    <x v="11"/>
    <s v="Series 5GP"/>
    <n v="63800.04"/>
    <n v="7466.2498658537488"/>
    <n v="0.2084"/>
    <n v="0"/>
    <n v="0"/>
    <n v="-2243.63"/>
    <m/>
    <n v="8.5451252163129432"/>
    <n v="-2243.63"/>
    <n v="-262.56256558029503"/>
    <n v="-2243.63"/>
    <m/>
    <s v="Private Equity Fund"/>
    <n v="0"/>
    <n v="0"/>
    <n v="0"/>
    <n v="0"/>
    <m/>
    <m/>
    <m/>
    <m/>
    <m/>
    <m/>
    <m/>
    <m/>
    <m/>
    <m/>
    <m/>
    <d v="2015-09-30T00:00:00"/>
    <n v="-1.7518703149150716E-2"/>
    <x v="1"/>
    <n v="0"/>
    <x v="160"/>
  </r>
  <r>
    <d v="2015-10-30T00:00:00"/>
    <x v="11"/>
    <s v="Series 5GP"/>
    <n v="64917.710000000006"/>
    <n v="7597.046076758457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10-30T00:00:00"/>
    <n v="1.7518327574716386E-2"/>
    <x v="1"/>
    <n v="0"/>
    <x v="161"/>
  </r>
  <r>
    <d v="2015-11-30T00:00:00"/>
    <x v="11"/>
    <s v="Series 5GP"/>
    <n v="63959.130000000005"/>
    <n v="7484.867498243301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5-11-30T00:00:00"/>
    <n v="-1.4766078470728639E-2"/>
    <x v="1"/>
    <n v="0"/>
    <x v="162"/>
  </r>
  <r>
    <d v="2015-12-31T00:00:00"/>
    <x v="11"/>
    <s v="Series 5GP"/>
    <n v="46922.41"/>
    <n v="5491.1319392281675"/>
    <n v="0.2084"/>
    <n v="0"/>
    <n v="0"/>
    <n v="-11462"/>
    <m/>
    <n v="8.5451252163129432"/>
    <n v="-11462"/>
    <n v="-1341.3495659629002"/>
    <n v="-11462"/>
    <m/>
    <s v="Private Equity Fund"/>
    <n v="0"/>
    <n v="0"/>
    <n v="0"/>
    <n v="0"/>
    <m/>
    <m/>
    <m/>
    <m/>
    <m/>
    <m/>
    <m/>
    <m/>
    <m/>
    <m/>
    <m/>
    <d v="2015-12-31T00:00:00"/>
    <n v="-8.7160660252883382E-2"/>
    <x v="1"/>
    <n v="0"/>
    <x v="163"/>
  </r>
  <r>
    <d v="2016-01-29T00:00:00"/>
    <x v="11"/>
    <s v="Series 5GP"/>
    <n v="45518.54"/>
    <n v="5326.842948199695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1-29T00:00:00"/>
    <n v="-2.9918966225306876E-2"/>
    <x v="1"/>
    <n v="0"/>
    <x v="164"/>
  </r>
  <r>
    <d v="2016-02-29T00:00:00"/>
    <x v="11"/>
    <s v="Series 5GP"/>
    <n v="46310.8"/>
    <n v="5419.55779788821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2-29T00:00:00"/>
    <n v="1.7405215545138297E-2"/>
    <x v="1"/>
    <n v="0"/>
    <x v="165"/>
  </r>
  <r>
    <d v="2016-03-31T00:00:00"/>
    <x v="11"/>
    <s v="Series 5GP"/>
    <n v="47853.279999999999"/>
    <n v="5600.0677331967481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3-31T00:00:00"/>
    <n v="3.330713354120407E-2"/>
    <x v="1"/>
    <n v="0"/>
    <x v="166"/>
  </r>
  <r>
    <d v="2016-04-29T00:00:00"/>
    <x v="11"/>
    <s v="Series 5GP"/>
    <n v="48798.9"/>
    <n v="5710.729657517620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1.9760818903113986E-2"/>
    <x v="1"/>
    <n v="0"/>
    <x v="167"/>
  </r>
  <r>
    <d v="2016-05-31T00:00:00"/>
    <x v="11"/>
    <s v="Series 5GP"/>
    <n v="48426.07"/>
    <n v="5667.09893350104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5-31T00:00:00"/>
    <n v="-7.6401312324663184E-3"/>
    <x v="1"/>
    <n v="0"/>
    <x v="168"/>
  </r>
  <r>
    <d v="2016-06-30T00:00:00"/>
    <x v="11"/>
    <s v="Series 5GP"/>
    <n v="48651.9"/>
    <n v="5693.526866888014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6-30T00:00:00"/>
    <n v="4.6633972155907255E-3"/>
    <x v="1"/>
    <n v="0"/>
    <x v="169"/>
  </r>
  <r>
    <d v="2016-07-29T00:00:00"/>
    <x v="11"/>
    <s v="Series 5GP"/>
    <n v="49799.42"/>
    <n v="5827.816297522611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7-29T00:00:00"/>
    <n v="2.3586334757738081E-2"/>
    <x v="1"/>
    <n v="0"/>
    <x v="170"/>
  </r>
  <r>
    <d v="2016-08-31T00:00:00"/>
    <x v="11"/>
    <s v="Series 5GP"/>
    <n v="50109.63"/>
    <n v="5864.118866782543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8-31T00:00:00"/>
    <n v="6.229189014651082E-3"/>
    <x v="1"/>
    <n v="0"/>
    <x v="171"/>
  </r>
  <r>
    <d v="2016-09-30T00:00:00"/>
    <x v="11"/>
    <s v="Series 5GP"/>
    <n v="50109.63"/>
    <n v="5864.118866782543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09-30T00:00:00"/>
    <n v="0"/>
    <x v="1"/>
    <n v="0"/>
    <x v="172"/>
  </r>
  <r>
    <d v="2016-10-31T00:00:00"/>
    <x v="11"/>
    <s v="Series 5GP"/>
    <n v="50788.12"/>
    <n v="5943.519692730037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6-10-31T00:00:00"/>
    <n v="1.3540111950537392E-2"/>
    <x v="1"/>
    <n v="0"/>
    <x v="173"/>
  </r>
  <r>
    <d v="2016-11-30T00:00:00"/>
    <x v="11"/>
    <s v="Series 5GP"/>
    <n v="42883.31"/>
    <n v="5018.4530845884219"/>
    <n v="0.2084"/>
    <n v="0"/>
    <n v="0"/>
    <n v="-8043.4099999999989"/>
    <m/>
    <n v="8.5451252163129432"/>
    <n v="-8043.4099999999989"/>
    <n v="-941.28638216381523"/>
    <n v="-8043.4099999999989"/>
    <m/>
    <s v="Private Equity Fund"/>
    <n v="0"/>
    <n v="0"/>
    <n v="0"/>
    <n v="0"/>
    <m/>
    <m/>
    <m/>
    <m/>
    <m/>
    <m/>
    <m/>
    <m/>
    <m/>
    <m/>
    <m/>
    <d v="2016-11-30T00:00:00"/>
    <n v="2.7289846523161909E-3"/>
    <x v="1"/>
    <n v="0"/>
    <x v="174"/>
  </r>
  <r>
    <d v="2016-12-30T00:00:00"/>
    <x v="11"/>
    <s v="Series 5GP"/>
    <n v="38881.440000000002"/>
    <n v="4550.131099983646"/>
    <n v="0.2084"/>
    <n v="0"/>
    <n v="0"/>
    <n v="-1583.84"/>
    <m/>
    <n v="8.5451252163129432"/>
    <n v="-1583.84"/>
    <n v="-185.35012184214619"/>
    <n v="-1583.84"/>
    <m/>
    <s v="Private Equity Fund"/>
    <n v="0"/>
    <n v="0"/>
    <n v="0"/>
    <n v="0"/>
    <m/>
    <m/>
    <m/>
    <m/>
    <m/>
    <m/>
    <m/>
    <m/>
    <m/>
    <m/>
    <m/>
    <d v="2016-12-30T00:00:00"/>
    <n v="-5.6386272421601769E-2"/>
    <x v="1"/>
    <n v="0"/>
    <x v="175"/>
  </r>
  <r>
    <d v="2017-01-27T00:00:00"/>
    <x v="11"/>
    <s v="Series 5GP"/>
    <n v="39068.47"/>
    <n v="4572.018432850688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4.8102642288967434E-3"/>
    <x v="1"/>
    <n v="0"/>
    <x v="176"/>
  </r>
  <r>
    <d v="2017-02-28T00:00:00"/>
    <x v="11"/>
    <s v="Series 5GP"/>
    <n v="39740.54"/>
    <n v="4650.6679532482358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2-28T00:00:00"/>
    <n v="1.7202362928468995E-2"/>
    <x v="1"/>
    <n v="0"/>
    <x v="177"/>
  </r>
  <r>
    <d v="2017-03-31T00:00:00"/>
    <x v="11"/>
    <s v="Series 5GP"/>
    <n v="39496.39"/>
    <n v="4622.0961074508314"/>
    <n v="0.2084"/>
    <n v="0"/>
    <n v="0"/>
    <n v="-2500.8000000000002"/>
    <m/>
    <n v="8.5451252163129432"/>
    <n v="-2500.8000000000002"/>
    <n v="-292.65808711917822"/>
    <n v="-2500.8000000000002"/>
    <m/>
    <s v="Private Equity Fund"/>
    <n v="0"/>
    <n v="0"/>
    <n v="0"/>
    <n v="0"/>
    <m/>
    <m/>
    <m/>
    <m/>
    <m/>
    <m/>
    <m/>
    <m/>
    <m/>
    <m/>
    <m/>
    <d v="2017-03-31T00:00:00"/>
    <n v="5.6784583198919769E-2"/>
    <x v="1"/>
    <n v="0"/>
    <x v="178"/>
  </r>
  <r>
    <d v="2017-04-28T00:00:00"/>
    <x v="11"/>
    <s v="Series 5GP"/>
    <n v="37731.120000000003"/>
    <n v="4415.5139971465806"/>
    <n v="0.2084"/>
    <n v="0"/>
    <n v="0"/>
    <n v="-2396.6"/>
    <m/>
    <n v="8.5451252163129432"/>
    <n v="-2396.6"/>
    <n v="-280.46400015587915"/>
    <n v="-2396.6"/>
    <m/>
    <s v="Private Equity Fund"/>
    <n v="0"/>
    <n v="0"/>
    <n v="0"/>
    <n v="0"/>
    <m/>
    <m/>
    <m/>
    <m/>
    <m/>
    <m/>
    <m/>
    <m/>
    <m/>
    <m/>
    <m/>
    <d v="2017-04-28T00:00:00"/>
    <n v="1.5984498836475902E-2"/>
    <x v="1"/>
    <n v="0"/>
    <x v="179"/>
  </r>
  <r>
    <d v="2017-05-31T00:00:00"/>
    <x v="11"/>
    <s v="Series 5GP"/>
    <n v="35664.46"/>
    <n v="4173.661485020172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-5.4773354196748003E-2"/>
    <x v="1"/>
    <n v="0"/>
    <x v="180"/>
  </r>
  <r>
    <d v="2017-06-30T00:00:00"/>
    <x v="11"/>
    <s v="Series 5GP"/>
    <n v="34634.97"/>
    <n v="4053.184607977496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-2.8865991522092238E-2"/>
    <x v="1"/>
    <n v="0"/>
    <x v="181"/>
  </r>
  <r>
    <d v="2017-07-31T00:00:00"/>
    <x v="11"/>
    <s v="Series 5GP"/>
    <n v="36437.64"/>
    <n v="4264.1434827004368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7-31T00:00:00"/>
    <n v="5.2047684753299794E-2"/>
    <x v="1"/>
    <n v="0"/>
    <x v="182"/>
  </r>
  <r>
    <d v="2017-08-31T00:00:00"/>
    <x v="11"/>
    <s v="Series 5GP"/>
    <n v="40400"/>
    <n v="4727.8417784768071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0.10874359590796767"/>
    <x v="1"/>
    <n v="0"/>
    <x v="183"/>
  </r>
  <r>
    <d v="2017-09-29T00:00:00"/>
    <x v="11"/>
    <s v="Series 5GP"/>
    <n v="40300"/>
    <n v="4716.139199817211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-2.4752475247524774E-3"/>
    <x v="1"/>
    <n v="0"/>
    <x v="184"/>
  </r>
  <r>
    <d v="2017-10-31T00:00:00"/>
    <x v="11"/>
    <s v="Series 5GP"/>
    <n v="40100"/>
    <n v="4692.734042498019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-4.9627791563275903E-3"/>
    <x v="1"/>
    <n v="0"/>
    <x v="185"/>
  </r>
  <r>
    <d v="2017-11-30T00:00:00"/>
    <x v="11"/>
    <s v="Series 5GP"/>
    <n v="29800"/>
    <n v="3487.3684405596255"/>
    <n v="0.2084"/>
    <n v="0"/>
    <n v="0"/>
    <n v="-9110.3917249999995"/>
    <m/>
    <n v="8.5451252163129432"/>
    <n v="-9110.3917249999995"/>
    <n v="-1066.1507578154551"/>
    <n v="-9110.3917249999995"/>
    <m/>
    <s v="Private Equity Fund"/>
    <n v="0"/>
    <n v="0"/>
    <n v="0"/>
    <n v="0"/>
    <m/>
    <m/>
    <m/>
    <m/>
    <m/>
    <m/>
    <m/>
    <m/>
    <m/>
    <m/>
    <m/>
    <d v="2017-11-30T00:00:00"/>
    <n v="-2.9666041770573526E-2"/>
    <x v="1"/>
    <n v="0"/>
    <x v="186"/>
  </r>
  <r>
    <d v="2017-12-29T00:00:00"/>
    <x v="11"/>
    <s v="Series 5GP"/>
    <n v="30100"/>
    <n v="3522.476176538413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1.0067114093959662E-2"/>
    <x v="1"/>
    <n v="0"/>
    <x v="187"/>
  </r>
  <r>
    <d v="2018-01-31T00:00:00"/>
    <x v="11"/>
    <s v="Series 5GP"/>
    <n v="30700"/>
    <n v="3592.691648495989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1.9933554817275656E-2"/>
    <x v="1"/>
    <n v="0"/>
    <x v="188"/>
  </r>
  <r>
    <d v="2018-02-28T00:00:00"/>
    <x v="11"/>
    <s v="Series 5GP"/>
    <n v="29800"/>
    <n v="3487.368440559625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-2.931596091205213E-2"/>
    <x v="1"/>
    <n v="0"/>
    <x v="189"/>
  </r>
  <r>
    <d v="2018-03-29T00:00:00"/>
    <x v="11"/>
    <s v="Series 5GP"/>
    <n v="29936.85"/>
    <n v="3503.383419455282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4.5922818791945819E-3"/>
    <x v="1"/>
    <n v="0"/>
    <x v="190"/>
  </r>
  <r>
    <d v="2018-04-30T00:00:00"/>
    <x v="11"/>
    <s v="Series 5GP"/>
    <n v="18101.07"/>
    <n v="2118.2919549785443"/>
    <n v="0.2084"/>
    <n v="0"/>
    <n v="0"/>
    <n v="-12107.51"/>
    <m/>
    <n v="8.5451252163129432"/>
    <n v="-12107.51"/>
    <n v="-1416.8908814684587"/>
    <n v="-12107.51"/>
    <m/>
    <s v="Private Equity Fund"/>
    <n v="0"/>
    <n v="0"/>
    <n v="0"/>
    <n v="0"/>
    <m/>
    <m/>
    <m/>
    <m/>
    <m/>
    <m/>
    <m/>
    <m/>
    <m/>
    <m/>
    <m/>
    <d v="2018-04-30T00:00:00"/>
    <n v="9.0767732744094776E-3"/>
    <x v="1"/>
    <n v="0"/>
    <x v="191"/>
  </r>
  <r>
    <d v="2018-05-31T00:00:00"/>
    <x v="11"/>
    <s v="Series 5GP"/>
    <n v="17384.580000000002"/>
    <n v="2034.444149140404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3.9582742898624068E-2"/>
    <x v="1"/>
    <n v="0"/>
    <x v="192"/>
  </r>
  <r>
    <d v="2018-06-29T00:00:00"/>
    <x v="11"/>
    <s v="Series 5GP"/>
    <n v="16813.3"/>
    <n v="1967.58965777386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6-29T00:00:00"/>
    <n v="-3.2861305823896902E-2"/>
    <x v="1"/>
    <n v="0"/>
    <x v="193"/>
  </r>
  <r>
    <d v="2018-07-31T00:00:00"/>
    <x v="11"/>
    <s v="Series 5GP"/>
    <n v="16744.148000000001"/>
    <n v="1959.497090579180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-4.1129344031212156E-3"/>
    <x v="1"/>
    <n v="0"/>
    <x v="194"/>
  </r>
  <r>
    <d v="2018-08-31T00:00:00"/>
    <x v="11"/>
    <s v="Series 5GP"/>
    <n v="16687.759999999998"/>
    <n v="1952.89824052460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  <m/>
    <m/>
    <m/>
    <d v="2018-08-31T00:00:00"/>
    <n v="-3.3676243186576693E-3"/>
    <x v="1"/>
    <n v="0"/>
    <x v="195"/>
  </r>
  <r>
    <d v="2018-09-28T00:00:00"/>
    <x v="11"/>
    <s v="Series 5GP"/>
    <n v="16036.61"/>
    <m/>
    <n v="0.2084"/>
    <m/>
    <n v="0"/>
    <n v="0"/>
    <m/>
    <n v="0"/>
    <n v="0"/>
    <e v="#DIV/0!"/>
    <n v="0"/>
    <m/>
    <s v="Private Equity Fund"/>
    <n v="0"/>
    <n v="0"/>
    <m/>
    <m/>
    <m/>
    <m/>
    <m/>
    <m/>
    <m/>
    <m/>
    <m/>
    <m/>
    <m/>
    <m/>
    <m/>
    <d v="2018-09-28T00:00:00"/>
    <n v="-3.9019616773011911E-2"/>
    <x v="1"/>
    <n v="0"/>
    <x v="196"/>
  </r>
  <r>
    <d v="2018-10-31T00:00:00"/>
    <x v="11"/>
    <s v="Series 5GP"/>
    <n v="15170.27"/>
    <m/>
    <n v="0.2084"/>
    <m/>
    <n v="0"/>
    <n v="762.81999999999994"/>
    <n v="0"/>
    <m/>
    <n v="762.81999999999994"/>
    <e v="#DIV/0!"/>
    <n v="-14407.45"/>
    <m/>
    <s v="Private Equity Fund"/>
    <n v="0"/>
    <n v="0"/>
    <m/>
    <m/>
    <m/>
    <m/>
    <m/>
    <m/>
    <m/>
    <m/>
    <m/>
    <m/>
    <m/>
    <m/>
    <m/>
    <d v="2018-10-31T00:00:00"/>
    <n v="-0.10159004926851745"/>
    <x v="1"/>
    <n v="0"/>
    <x v="197"/>
  </r>
  <r>
    <d v="2009-02-02T00:00:00"/>
    <x v="12"/>
    <s v="NA"/>
    <n v="19979521.940000001"/>
    <n v="1000"/>
    <m/>
    <n v="19979521.940000001"/>
    <n v="0"/>
    <n v="0"/>
    <m/>
    <n v="19979.521940000002"/>
    <n v="19979521.940000001"/>
    <n v="1000"/>
    <n v="1000"/>
    <m/>
    <s v="Hedge Fund"/>
    <n v="0"/>
    <n v="0"/>
    <n v="0"/>
    <n v="0"/>
    <s v="ARF"/>
    <n v="4.9948800000000002"/>
    <s v="HRF"/>
    <n v="4.9948800000000002"/>
    <m/>
    <m/>
    <m/>
    <m/>
    <m/>
    <m/>
    <m/>
    <d v="2009-02-02T00:00:00"/>
    <n v="0"/>
    <x v="1"/>
    <n v="0"/>
    <x v="94"/>
  </r>
  <r>
    <d v="2009-03-31T00:00:00"/>
    <x v="12"/>
    <s v="NA"/>
    <n v="39674246.759999998"/>
    <n v="991.34800000000007"/>
    <m/>
    <n v="19715183.850466557"/>
    <n v="0"/>
    <n v="0"/>
    <m/>
    <n v="40020.504162009704"/>
    <n v="19715183.850466557"/>
    <n v="0"/>
    <n v="0"/>
    <m/>
    <s v="Hedge Fund"/>
    <n v="0"/>
    <n v="0"/>
    <n v="0"/>
    <n v="0"/>
    <s v="ARF"/>
    <n v="14.880381710000002"/>
    <s v="HRF"/>
    <n v="14.880381710000002"/>
    <m/>
    <m/>
    <m/>
    <m/>
    <m/>
    <m/>
    <m/>
    <d v="2009-03-31T00:00:00"/>
    <n v="-1.0240000000000249E-3"/>
    <x v="1"/>
    <n v="0"/>
    <x v="95"/>
  </r>
  <r>
    <d v="2009-04-30T00:00:00"/>
    <x v="12"/>
    <s v="NA"/>
    <n v="39876208.07"/>
    <n v="996.39450000000011"/>
    <m/>
    <n v="0"/>
    <n v="-2.1642535850405693"/>
    <n v="0"/>
    <m/>
    <n v="40020.501989924669"/>
    <n v="-2.1642535850405693"/>
    <n v="0"/>
    <n v="0"/>
    <m/>
    <s v="Hedge Fund"/>
    <n v="0"/>
    <n v="0"/>
    <n v="0"/>
    <n v="0"/>
    <s v="ARF"/>
    <n v="14.95613094"/>
    <s v="HRF"/>
    <n v="14.95613094"/>
    <m/>
    <m/>
    <m/>
    <m/>
    <m/>
    <m/>
    <m/>
    <d v="2009-04-30T00:00:00"/>
    <n v="5.0905433813355216E-3"/>
    <x v="1"/>
    <n v="0"/>
    <x v="96"/>
  </r>
  <r>
    <d v="2009-05-29T00:00:00"/>
    <x v="12"/>
    <s v="NA"/>
    <n v="40149829.530000001"/>
    <n v="1003.2314999999999"/>
    <m/>
    <n v="1.2878948971629143"/>
    <n v="0"/>
    <n v="0"/>
    <m/>
    <n v="40020.503273671136"/>
    <n v="1.2878948971629143"/>
    <n v="0"/>
    <n v="0"/>
    <m/>
    <s v="Hedge Fund"/>
    <n v="0"/>
    <n v="0"/>
    <n v="0"/>
    <n v="0"/>
    <s v="ARF"/>
    <n v="15.058756019999999"/>
    <s v="HRF"/>
    <n v="15.058756019999999"/>
    <m/>
    <m/>
    <m/>
    <m/>
    <m/>
    <m/>
    <m/>
    <d v="2009-05-29T00:00:00"/>
    <n v="6.8617400035826392E-3"/>
    <x v="1"/>
    <n v="0"/>
    <x v="97"/>
  </r>
  <r>
    <d v="2009-06-30T00:00:00"/>
    <x v="12"/>
    <s v="NA"/>
    <n v="20132711.030000001"/>
    <n v="1002.3792999999999"/>
    <m/>
    <n v="0"/>
    <n v="-19983013.027110182"/>
    <n v="-348445.29468541307"/>
    <m/>
    <n v="20084.922972770888"/>
    <n v="-20331458.321795594"/>
    <n v="-17.348600000000001"/>
    <n v="-17.348600000000001"/>
    <m/>
    <s v="Hedge Fund"/>
    <n v="0"/>
    <n v="0"/>
    <n v="0"/>
    <n v="0"/>
    <s v="ARF"/>
    <n v="5.0544588299999997"/>
    <s v="HRF"/>
    <n v="5.0544588299999997"/>
    <m/>
    <m/>
    <m/>
    <m/>
    <m/>
    <m/>
    <m/>
    <d v="2009-06-30T00:00:00"/>
    <n v="7.8291695251340165E-3"/>
    <x v="1"/>
    <n v="0"/>
    <x v="98"/>
  </r>
  <r>
    <d v="2009-07-31T00:00:00"/>
    <x v="12"/>
    <s v="NA"/>
    <n v="26460241.32"/>
    <n v="1055.3257999999998"/>
    <m/>
    <n v="5264103.9158221893"/>
    <n v="0"/>
    <n v="0"/>
    <m/>
    <n v="25073.054520224941"/>
    <n v="5264103.9158221893"/>
    <n v="0"/>
    <n v="0"/>
    <m/>
    <s v="Hedge Fund"/>
    <n v="0"/>
    <n v="0"/>
    <n v="0"/>
    <n v="0"/>
    <s v="ARF"/>
    <n v="7.9534914900000002"/>
    <s v="HRF"/>
    <n v="7.9534914900000002"/>
    <m/>
    <m/>
    <m/>
    <m/>
    <m/>
    <m/>
    <m/>
    <d v="2009-07-31T00:00:00"/>
    <n v="5.2820823414848839E-2"/>
    <x v="1"/>
    <n v="0"/>
    <x v="99"/>
  </r>
  <r>
    <d v="2009-08-31T00:00:00"/>
    <x v="12"/>
    <s v="NA"/>
    <n v="41833139.82"/>
    <n v="1067.1639"/>
    <m/>
    <n v="15076081.173284121"/>
    <n v="0"/>
    <n v="0"/>
    <m/>
    <n v="39200.295118678587"/>
    <n v="15076081.173284121"/>
    <n v="0"/>
    <n v="0"/>
    <m/>
    <s v="Hedge Fund"/>
    <n v="0"/>
    <n v="0"/>
    <n v="0"/>
    <n v="0"/>
    <s v="ARF"/>
    <n v="15.592481599999999"/>
    <s v="HRF"/>
    <n v="15.592481599999999"/>
    <m/>
    <m/>
    <m/>
    <m/>
    <m/>
    <m/>
    <m/>
    <d v="2009-08-31T00:00:00"/>
    <n v="1.1217483738197309E-2"/>
    <x v="1"/>
    <n v="0"/>
    <x v="100"/>
  </r>
  <r>
    <d v="2009-09-30T00:00:00"/>
    <x v="12"/>
    <s v="NA"/>
    <n v="42577963.890000001"/>
    <n v="1083.7762"/>
    <m/>
    <n v="93617.007399968803"/>
    <n v="0"/>
    <n v="-350523.57619530486"/>
    <m/>
    <n v="39286.675505514882"/>
    <n v="-256906.56879533606"/>
    <n v="-8.9222000000000001"/>
    <n v="-8.9222000000000001"/>
    <m/>
    <s v="Hedge Fund"/>
    <n v="0"/>
    <n v="0"/>
    <n v="0"/>
    <n v="0"/>
    <s v="ARF"/>
    <n v="15.87010025"/>
    <s v="HRF"/>
    <n v="15.87010025"/>
    <m/>
    <m/>
    <m/>
    <m/>
    <m/>
    <m/>
    <m/>
    <d v="2009-09-30T00:00:00"/>
    <n v="2.3945863090975017E-2"/>
    <x v="1"/>
    <n v="0"/>
    <x v="101"/>
  </r>
  <r>
    <d v="2009-10-30T00:00:00"/>
    <x v="12"/>
    <s v="NA"/>
    <n v="42967687.509999998"/>
    <n v="1093.6962000000001"/>
    <m/>
    <n v="0"/>
    <n v="-0.20101471245288849"/>
    <n v="0"/>
    <m/>
    <n v="39286.675321720963"/>
    <n v="-0.20101471245288849"/>
    <n v="0"/>
    <n v="0"/>
    <m/>
    <s v="Hedge Fund"/>
    <n v="0"/>
    <n v="0"/>
    <n v="0"/>
    <n v="0"/>
    <s v="ARF"/>
    <n v="16.015362140000001"/>
    <s v="HRF"/>
    <n v="16.015362140000001"/>
    <m/>
    <m/>
    <m/>
    <m/>
    <m/>
    <m/>
    <m/>
    <d v="2009-10-30T00:00:00"/>
    <n v="9.1531812564253912E-3"/>
    <x v="1"/>
    <n v="0"/>
    <x v="102"/>
  </r>
  <r>
    <d v="2009-11-30T00:00:00"/>
    <x v="12"/>
    <s v="NA"/>
    <n v="43049081.469999999"/>
    <n v="1095.768"/>
    <m/>
    <n v="0"/>
    <n v="-0.1739315390586853"/>
    <n v="0"/>
    <m/>
    <n v="39286.675162990701"/>
    <n v="-0.1739315390586853"/>
    <n v="0"/>
    <n v="0"/>
    <m/>
    <s v="Hedge Fund"/>
    <n v="0"/>
    <n v="0"/>
    <n v="0"/>
    <n v="0"/>
    <s v="ARF"/>
    <n v="16.04570021"/>
    <s v="HRF"/>
    <n v="16.04570021"/>
    <m/>
    <m/>
    <m/>
    <m/>
    <m/>
    <m/>
    <m/>
    <d v="2009-11-30T00:00:00"/>
    <n v="1.8943103212756274E-3"/>
    <x v="1"/>
    <n v="0"/>
    <x v="103"/>
  </r>
  <r>
    <d v="2009-12-31T00:00:00"/>
    <x v="12"/>
    <s v="NA"/>
    <n v="42607957.950000003"/>
    <n v="1084.5396999999998"/>
    <m/>
    <n v="0"/>
    <n v="-0.94526737928390503"/>
    <n v="-397011.48705181101"/>
    <m/>
    <n v="39286.674291406765"/>
    <n v="-397012.43231919029"/>
    <n v="-10.105499999999999"/>
    <n v="-10.105499999999999"/>
    <m/>
    <s v="Hedge Fund"/>
    <n v="0"/>
    <n v="0"/>
    <n v="0"/>
    <n v="0"/>
    <s v="ARF"/>
    <n v="15.88128042"/>
    <s v="HRF"/>
    <n v="15.88128042"/>
    <m/>
    <m/>
    <m/>
    <m/>
    <m/>
    <m/>
    <m/>
    <d v="2009-12-31T00:00:00"/>
    <n v="-1.0246696601773353E-3"/>
    <x v="1"/>
    <n v="0"/>
    <x v="104"/>
  </r>
  <r>
    <d v="2010-01-29T00:00:00"/>
    <x v="12"/>
    <s v="NA"/>
    <n v="43082944.210000001"/>
    <n v="1101.2674"/>
    <m/>
    <n v="0"/>
    <n v="-182189.44154436886"/>
    <n v="0"/>
    <m/>
    <n v="39121.23813889343"/>
    <n v="-182189.44154436886"/>
    <n v="0"/>
    <n v="0"/>
    <m/>
    <s v="Hedge Fund"/>
    <n v="0"/>
    <n v="0"/>
    <n v="0"/>
    <n v="0"/>
    <s v="ARF"/>
    <n v="16.126229779999999"/>
    <s v="HRF"/>
    <n v="16.126229779999999"/>
    <m/>
    <m/>
    <m/>
    <m/>
    <m/>
    <m/>
    <m/>
    <d v="2010-01-29T00:00:00"/>
    <n v="1.5423778401104205E-2"/>
    <x v="1"/>
    <n v="0"/>
    <x v="105"/>
  </r>
  <r>
    <d v="2010-02-26T00:00:00"/>
    <x v="12"/>
    <s v="NA"/>
    <n v="42543722.520000003"/>
    <n v="1087.4839999999999"/>
    <m/>
    <n v="1.9837636202573776"/>
    <n v="0"/>
    <n v="0"/>
    <m/>
    <n v="39121.23996307073"/>
    <n v="1.9837636202573776"/>
    <n v="0"/>
    <n v="0"/>
    <m/>
    <s v="Hedge Fund"/>
    <n v="0"/>
    <n v="0"/>
    <n v="0"/>
    <n v="0"/>
    <s v="ARF"/>
    <n v="15.9243948"/>
    <s v="HRF"/>
    <n v="15.9243948"/>
    <m/>
    <m/>
    <m/>
    <m/>
    <m/>
    <m/>
    <m/>
    <d v="2010-02-26T00:00:00"/>
    <n v="-1.2515942994407947E-2"/>
    <x v="1"/>
    <n v="0"/>
    <x v="106"/>
  </r>
  <r>
    <d v="2010-03-31T00:00:00"/>
    <x v="12"/>
    <s v="NA"/>
    <n v="44934865.420000002"/>
    <n v="1148.6053999999999"/>
    <m/>
    <n v="0"/>
    <n v="-2.056278832256794"/>
    <n v="0"/>
    <m/>
    <n v="39121.238172831159"/>
    <n v="-2.056278832256794"/>
    <n v="0"/>
    <n v="0"/>
    <m/>
    <s v="Hedge Fund"/>
    <n v="0"/>
    <n v="0"/>
    <n v="0"/>
    <n v="0"/>
    <s v="ARF"/>
    <n v="16.819416069999999"/>
    <s v="HRF"/>
    <n v="16.819416069999999"/>
    <m/>
    <m/>
    <m/>
    <m/>
    <m/>
    <m/>
    <m/>
    <d v="2010-03-31T00:00:00"/>
    <n v="5.6204413122399988E-2"/>
    <x v="1"/>
    <n v="0"/>
    <x v="107"/>
  </r>
  <r>
    <d v="2010-04-30T00:00:00"/>
    <x v="12"/>
    <s v="NA"/>
    <n v="46216769.770000003"/>
    <n v="1181.3729000000001"/>
    <m/>
    <n v="0"/>
    <n v="-0.82182824611663818"/>
    <n v="0"/>
    <m/>
    <n v="39121.237477175921"/>
    <n v="-0.82182824611663818"/>
    <n v="0"/>
    <n v="0"/>
    <m/>
    <s v="Hedge Fund"/>
    <n v="0"/>
    <n v="0"/>
    <n v="0"/>
    <n v="0"/>
    <s v="ARF"/>
    <n v="17.299241609999999"/>
    <s v="HRF"/>
    <n v="17.299241609999999"/>
    <m/>
    <m/>
    <m/>
    <m/>
    <m/>
    <m/>
    <m/>
    <d v="2010-04-30T00:00:00"/>
    <n v="2.8528074132334824E-2"/>
    <x v="1"/>
    <n v="0"/>
    <x v="108"/>
  </r>
  <r>
    <d v="2010-05-31T00:00:00"/>
    <x v="12"/>
    <s v="NA"/>
    <n v="45710298.93"/>
    <n v="1168.4267"/>
    <m/>
    <n v="0.52462701499462128"/>
    <n v="0"/>
    <n v="0"/>
    <m/>
    <n v="39121.237926178852"/>
    <n v="0.52462701499462128"/>
    <n v="0"/>
    <n v="0"/>
    <m/>
    <s v="Hedge Fund"/>
    <n v="0"/>
    <n v="0"/>
    <n v="0"/>
    <n v="0"/>
    <s v="ARF"/>
    <n v="17.109666050000001"/>
    <s v="HRF"/>
    <n v="17.109666050000001"/>
    <m/>
    <m/>
    <m/>
    <m/>
    <m/>
    <m/>
    <m/>
    <d v="2010-05-31T00:00:00"/>
    <n v="-1.0958605872879001E-2"/>
    <x v="1"/>
    <n v="0"/>
    <x v="109"/>
  </r>
  <r>
    <d v="2010-06-30T00:00:00"/>
    <x v="12"/>
    <s v="NA"/>
    <n v="45569820.68"/>
    <n v="1164.8358000000001"/>
    <m/>
    <n v="2.2032691165804863"/>
    <n v="0"/>
    <n v="-939715.65316416963"/>
    <m/>
    <n v="39121.239817663569"/>
    <n v="-939713.44989505305"/>
    <n v="-24.020600000000002"/>
    <n v="-24.020600000000002"/>
    <m/>
    <s v="Hedge Fund"/>
    <n v="0"/>
    <n v="0"/>
    <n v="0"/>
    <n v="0"/>
    <s v="ARF"/>
    <n v="17.057083280000001"/>
    <s v="HRF"/>
    <n v="17.057083280000001"/>
    <m/>
    <m/>
    <m/>
    <m/>
    <m/>
    <m/>
    <m/>
    <d v="2010-06-30T00:00:00"/>
    <n v="1.7484794862509867E-2"/>
    <x v="1"/>
    <n v="0"/>
    <x v="110"/>
  </r>
  <r>
    <d v="2010-07-30T00:00:00"/>
    <x v="12"/>
    <s v="NA"/>
    <n v="46933792.829999998"/>
    <n v="1188.8563999999997"/>
    <m/>
    <n v="424256.49683584273"/>
    <n v="0"/>
    <n v="0"/>
    <m/>
    <n v="39478.100828661904"/>
    <n v="424256.49683584273"/>
    <n v="0"/>
    <n v="0"/>
    <m/>
    <s v="Hedge Fund"/>
    <n v="0"/>
    <n v="0"/>
    <n v="0"/>
    <n v="0"/>
    <s v="ARF"/>
    <n v="17.56762762"/>
    <s v="HRF"/>
    <n v="17.56762762"/>
    <m/>
    <m/>
    <m/>
    <m/>
    <m/>
    <m/>
    <m/>
    <d v="2010-07-30T00:00:00"/>
    <n v="2.0621447246040647E-2"/>
    <x v="1"/>
    <n v="0"/>
    <x v="111"/>
  </r>
  <r>
    <d v="2010-08-31T00:00:00"/>
    <x v="12"/>
    <s v="NA"/>
    <n v="50006313.68"/>
    <n v="1213.5954999999997"/>
    <m/>
    <n v="2095868.1657896563"/>
    <n v="0"/>
    <n v="0"/>
    <m/>
    <n v="41205.091548213561"/>
    <n v="2095868.1657896563"/>
    <n v="0"/>
    <n v="0"/>
    <m/>
    <s v="Hedge Fund"/>
    <n v="0"/>
    <n v="0"/>
    <n v="0"/>
    <n v="0"/>
    <s v="ARF"/>
    <n v="17.77108801"/>
    <s v="HRF"/>
    <n v="17.77108801"/>
    <m/>
    <m/>
    <m/>
    <m/>
    <m/>
    <m/>
    <m/>
    <d v="2010-08-31T00:00:00"/>
    <n v="2.0809157439031223E-2"/>
    <x v="1"/>
    <n v="0"/>
    <x v="112"/>
  </r>
  <r>
    <d v="2010-09-30T00:00:00"/>
    <x v="12"/>
    <s v="NA"/>
    <n v="57583797.530000001"/>
    <n v="1214.5748000000001"/>
    <m/>
    <n v="7537131.7038468197"/>
    <n v="0"/>
    <n v="-1383343.6079445968"/>
    <m/>
    <n v="47410.663822433991"/>
    <n v="6153788.0959022231"/>
    <n v="-29.177900000000001"/>
    <n v="-29.177900000000001"/>
    <m/>
    <s v="Hedge Fund"/>
    <n v="0"/>
    <n v="0"/>
    <n v="0"/>
    <n v="0"/>
    <s v="ARF"/>
    <n v="21.553994769999999"/>
    <s v="HRF"/>
    <n v="21.553994769999999"/>
    <m/>
    <m/>
    <m/>
    <m/>
    <m/>
    <m/>
    <m/>
    <d v="2010-09-30T00:00:00"/>
    <n v="2.8470320032152108E-2"/>
    <x v="1"/>
    <n v="0"/>
    <x v="113"/>
  </r>
  <r>
    <d v="2010-10-29T00:00:00"/>
    <x v="12"/>
    <s v="NA"/>
    <n v="65773613.276856452"/>
    <n v="1242.0356999999999"/>
    <m/>
    <n v="6887876.2486949787"/>
    <n v="0"/>
    <n v="0"/>
    <m/>
    <n v="52956.298500000004"/>
    <n v="6887876.2486949787"/>
    <n v="0"/>
    <n v="0"/>
    <m/>
    <s v="Hedge Fund"/>
    <n v="0"/>
    <n v="0"/>
    <n v="0"/>
    <n v="0"/>
    <s v="ARF"/>
    <n v="22.57082097"/>
    <s v="HRF"/>
    <n v="22.57082097"/>
    <m/>
    <m/>
    <m/>
    <m/>
    <m/>
    <m/>
    <m/>
    <d v="2010-10-29T00:00:00"/>
    <n v="2.2609476172237297E-2"/>
    <x v="1"/>
    <n v="0"/>
    <x v="114"/>
  </r>
  <r>
    <d v="2010-11-30T00:00:00"/>
    <x v="12"/>
    <s v="NA"/>
    <n v="66222910.400219984"/>
    <n v="1250.52"/>
    <m/>
    <n v="0"/>
    <n v="-2.2351741790771484E-8"/>
    <n v="0"/>
    <m/>
    <n v="52956.29849999999"/>
    <n v="-2.2351741790771484E-8"/>
    <n v="0"/>
    <n v="0"/>
    <m/>
    <s v="Hedge Fund"/>
    <n v="0"/>
    <n v="0"/>
    <n v="0"/>
    <n v="0"/>
    <s v="ARF"/>
    <n v="22.725001410000001"/>
    <s v="HRF"/>
    <n v="22.725001410000001"/>
    <m/>
    <m/>
    <m/>
    <m/>
    <m/>
    <m/>
    <m/>
    <d v="2010-11-30T00:00:00"/>
    <n v="6.830963071351448E-3"/>
    <x v="1"/>
    <n v="0"/>
    <x v="115"/>
  </r>
  <r>
    <d v="2010-12-31T00:00:00"/>
    <x v="12"/>
    <s v="NA"/>
    <n v="67377468.915746853"/>
    <n v="1272.3221000000003"/>
    <m/>
    <n v="0"/>
    <n v="0"/>
    <n v="0"/>
    <m/>
    <n v="52956.29849999999"/>
    <n v="0"/>
    <n v="0"/>
    <n v="0"/>
    <m/>
    <s v="Hedge Fund"/>
    <n v="0"/>
    <n v="0"/>
    <n v="0"/>
    <n v="0"/>
    <s v="ARF"/>
    <n v="23.121198809999999"/>
    <s v="HRF"/>
    <n v="23.121198809999999"/>
    <m/>
    <m/>
    <m/>
    <m/>
    <m/>
    <m/>
    <m/>
    <d v="2010-12-31T00:00:00"/>
    <n v="1.7434427278252507E-2"/>
    <x v="1"/>
    <n v="0"/>
    <x v="116"/>
  </r>
  <r>
    <d v="2011-01-31T00:00:00"/>
    <x v="12"/>
    <s v="NA"/>
    <n v="67885756.356959596"/>
    <n v="1284.8171"/>
    <m/>
    <n v="0"/>
    <n v="-153401.50854474306"/>
    <n v="0"/>
    <m/>
    <n v="52836.902900000001"/>
    <n v="-153401.50854474306"/>
    <n v="0"/>
    <n v="0"/>
    <m/>
    <s v="Hedge Fund"/>
    <n v="0"/>
    <n v="0"/>
    <n v="0"/>
    <n v="0"/>
    <s v="ARF"/>
    <n v="23.348263450000001"/>
    <s v="HRF"/>
    <n v="23.348263450000001"/>
    <m/>
    <m/>
    <m/>
    <m/>
    <m/>
    <m/>
    <m/>
    <d v="2011-01-31T00:00:00"/>
    <n v="9.8206263964131235E-3"/>
    <x v="1"/>
    <n v="0"/>
    <x v="117"/>
  </r>
  <r>
    <d v="2011-02-28T00:00:00"/>
    <x v="12"/>
    <s v="NA"/>
    <n v="68114799.04734081"/>
    <n v="1289.1520000000003"/>
    <m/>
    <n v="0"/>
    <n v="0"/>
    <n v="0"/>
    <m/>
    <n v="52836.902900000001"/>
    <n v="0"/>
    <n v="0"/>
    <n v="0"/>
    <m/>
    <s v="Hedge Fund"/>
    <n v="0"/>
    <n v="0"/>
    <n v="0"/>
    <n v="0"/>
    <s v="ARF"/>
    <n v="23.427039180000001"/>
    <s v="HRF"/>
    <n v="23.427039180000001"/>
    <m/>
    <m/>
    <m/>
    <m/>
    <m/>
    <m/>
    <m/>
    <d v="2011-02-28T00:00:00"/>
    <n v="3.3739432639867672E-3"/>
    <x v="1"/>
    <n v="0"/>
    <x v="118"/>
  </r>
  <r>
    <d v="2011-03-31T00:00:00"/>
    <x v="12"/>
    <s v="NA"/>
    <n v="60182122.25"/>
    <n v="1139.0168000000001"/>
    <m/>
    <n v="2.186931274831295"/>
    <n v="0"/>
    <n v="-8799986.4977737814"/>
    <m/>
    <n v="52836.904820016694"/>
    <n v="-8799984.3108425066"/>
    <n v="-166.55"/>
    <n v="-166.55"/>
    <m/>
    <s v="Hedge Fund"/>
    <n v="0"/>
    <n v="0"/>
    <n v="0"/>
    <n v="0"/>
    <s v="ARF"/>
    <n v="20.698716050000002"/>
    <s v="HRF"/>
    <n v="20.698716050000002"/>
    <m/>
    <m/>
    <m/>
    <m/>
    <m/>
    <m/>
    <m/>
    <d v="2011-03-31T00:00:00"/>
    <n v="1.2733026091714894E-2"/>
    <x v="1"/>
    <n v="0"/>
    <x v="119"/>
  </r>
  <r>
    <d v="2011-04-29T00:00:00"/>
    <x v="12"/>
    <s v="NA"/>
    <n v="66433785.296136305"/>
    <n v="1140.3630000000001"/>
    <m/>
    <n v="6180534.0048676059"/>
    <n v="0"/>
    <n v="0"/>
    <m/>
    <n v="58256.700100000002"/>
    <n v="6180534.0048676059"/>
    <n v="0"/>
    <n v="0"/>
    <m/>
    <s v="Hedge Fund"/>
    <n v="0"/>
    <n v="0"/>
    <n v="0"/>
    <n v="0"/>
    <s v="ARF"/>
    <n v="23.753377"/>
    <s v="HRF"/>
    <n v="23.753377"/>
    <m/>
    <m/>
    <m/>
    <m/>
    <m/>
    <m/>
    <m/>
    <d v="2011-04-29T00:00:00"/>
    <n v="1.1818965268992621E-3"/>
    <x v="1"/>
    <n v="0"/>
    <x v="120"/>
  </r>
  <r>
    <d v="2011-05-31T00:00:00"/>
    <x v="12"/>
    <s v="NA"/>
    <n v="67489973.196942776"/>
    <n v="1146.9009000000001"/>
    <m/>
    <n v="675311.42122267932"/>
    <n v="0"/>
    <n v="0"/>
    <m/>
    <n v="58845.514199999991"/>
    <n v="675311.42122267932"/>
    <n v="0"/>
    <n v="0"/>
    <m/>
    <s v="Hedge Fund"/>
    <n v="0"/>
    <n v="0"/>
    <n v="0"/>
    <n v="0"/>
    <s v="ARF"/>
    <n v="23.889559239999997"/>
    <s v="HRF"/>
    <n v="23.889559239999997"/>
    <m/>
    <m/>
    <m/>
    <m/>
    <m/>
    <m/>
    <m/>
    <d v="2011-05-31T00:00:00"/>
    <n v="5.7331744365609616E-3"/>
    <x v="1"/>
    <n v="0"/>
    <x v="121"/>
  </r>
  <r>
    <d v="2011-06-30T00:00:00"/>
    <x v="12"/>
    <s v="NA"/>
    <n v="49220600.577635519"/>
    <n v="827.85119999999995"/>
    <m/>
    <n v="505271.03254848719"/>
    <n v="0"/>
    <n v="-20000949.487440001"/>
    <m/>
    <n v="59455.854600000006"/>
    <n v="-19495678.454891514"/>
    <n v="-336.4"/>
    <n v="-336.4"/>
    <m/>
    <s v="Hedge Fund"/>
    <n v="0"/>
    <n v="0"/>
    <n v="0"/>
    <n v="0"/>
    <s v="ARF"/>
    <n v="17.243861519999999"/>
    <s v="HRF"/>
    <n v="17.243861519999999"/>
    <m/>
    <m/>
    <m/>
    <m/>
    <m/>
    <m/>
    <m/>
    <d v="2011-06-30T00:00:00"/>
    <n v="1.8170192956007858E-2"/>
    <x v="1"/>
    <n v="0"/>
    <x v="122"/>
  </r>
  <r>
    <d v="2011-07-29T00:00:00"/>
    <x v="12"/>
    <s v="NA"/>
    <n v="60018032.444239162"/>
    <n v="835.81129999999996"/>
    <m/>
    <n v="10324157.318402179"/>
    <n v="0"/>
    <n v="0"/>
    <m/>
    <n v="71808.113200000007"/>
    <n v="10324157.318402179"/>
    <n v="0"/>
    <n v="0"/>
    <m/>
    <s v="Hedge Fund"/>
    <n v="0"/>
    <n v="0"/>
    <n v="0"/>
    <n v="0"/>
    <s v="ARF"/>
    <n v="24.484142219999999"/>
    <s v="HRF"/>
    <n v="17.409667710000001"/>
    <m/>
    <m/>
    <m/>
    <m/>
    <m/>
    <m/>
    <m/>
    <d v="2011-07-29T00:00:00"/>
    <n v="9.6153753234882178E-3"/>
    <x v="1"/>
    <n v="0"/>
    <x v="123"/>
  </r>
  <r>
    <d v="2011-08-31T00:00:00"/>
    <x v="12"/>
    <s v="NA"/>
    <n v="59049183.019322127"/>
    <n v="822.31910000000005"/>
    <m/>
    <n v="0"/>
    <n v="0"/>
    <n v="0"/>
    <m/>
    <n v="71808.113200000007"/>
    <n v="0"/>
    <n v="0"/>
    <n v="0"/>
    <m/>
    <s v="Hedge Fund"/>
    <n v="0"/>
    <n v="0"/>
    <n v="0"/>
    <n v="0"/>
    <s v="ARF"/>
    <n v="24.088903550000001"/>
    <s v="HRF"/>
    <n v="17.12862973"/>
    <m/>
    <m/>
    <m/>
    <m/>
    <m/>
    <m/>
    <m/>
    <d v="2011-08-31T00:00:00"/>
    <n v="-1.6142638894688255E-2"/>
    <x v="1"/>
    <n v="0"/>
    <x v="124"/>
  </r>
  <r>
    <d v="2011-09-30T00:00:00"/>
    <x v="12"/>
    <s v="NA"/>
    <n v="59709573.513177246"/>
    <n v="831.51570000000004"/>
    <m/>
    <n v="0"/>
    <n v="0"/>
    <n v="0"/>
    <m/>
    <n v="71808.113200000007"/>
    <n v="0"/>
    <n v="0"/>
    <n v="0"/>
    <m/>
    <s v="Hedge Fund"/>
    <n v="0"/>
    <n v="0"/>
    <n v="0"/>
    <n v="0"/>
    <s v="ARF"/>
    <n v="24.358307499999999"/>
    <s v="HRF"/>
    <n v="17.320191809999997"/>
    <m/>
    <m/>
    <m/>
    <m/>
    <m/>
    <m/>
    <m/>
    <d v="2011-09-30T00:00:00"/>
    <n v="1.1183736337876615E-2"/>
    <x v="1"/>
    <n v="0"/>
    <x v="125"/>
  </r>
  <r>
    <d v="2011-10-31T00:00:00"/>
    <x v="12"/>
    <s v="NA"/>
    <n v="48835268.805867329"/>
    <n v="680.08010000000002"/>
    <m/>
    <n v="0"/>
    <n v="0"/>
    <n v="-11008183.753560001"/>
    <m/>
    <n v="71808.113200000007"/>
    <n v="-11008183.753560001"/>
    <n v="-153.30000000000001"/>
    <n v="-153.30000000000001"/>
    <m/>
    <s v="Hedge Fund"/>
    <n v="0"/>
    <n v="0"/>
    <n v="0"/>
    <n v="0"/>
    <s v="ARF"/>
    <n v="19.922173699999998"/>
    <s v="HRF"/>
    <n v="14.165839310000001"/>
    <m/>
    <m/>
    <m/>
    <m/>
    <m/>
    <m/>
    <m/>
    <d v="2011-10-31T00:00:00"/>
    <n v="2.2421705326791663E-3"/>
    <x v="1"/>
    <n v="0"/>
    <x v="126"/>
  </r>
  <r>
    <d v="2011-11-30T00:00:00"/>
    <x v="12"/>
    <s v="NA"/>
    <n v="54901663.88568835"/>
    <n v="680.76589999999999"/>
    <m/>
    <n v="6017149.0757884681"/>
    <n v="0"/>
    <n v="0"/>
    <m/>
    <n v="80646.906499999997"/>
    <n v="6017149.0757884681"/>
    <n v="0"/>
    <n v="0"/>
    <m/>
    <s v="Hedge Fund"/>
    <n v="0"/>
    <n v="0"/>
    <n v="0"/>
    <n v="0"/>
    <s v="ARF"/>
    <n v="24.437541199999998"/>
    <s v="HRF"/>
    <n v="14.180124279999999"/>
    <m/>
    <m/>
    <m/>
    <m/>
    <m/>
    <m/>
    <m/>
    <d v="2011-11-30T00:00:00"/>
    <n v="1.0084106269245829E-3"/>
    <x v="1"/>
    <n v="0"/>
    <x v="127"/>
  </r>
  <r>
    <d v="2011-12-30T00:00:00"/>
    <x v="12"/>
    <s v="NA"/>
    <n v="54503703.66087345"/>
    <n v="675.83130000000006"/>
    <m/>
    <n v="0"/>
    <n v="0"/>
    <n v="0"/>
    <m/>
    <n v="80646.906499999997"/>
    <n v="0"/>
    <n v="0"/>
    <n v="0"/>
    <m/>
    <s v="Hedge Fund"/>
    <n v="0"/>
    <n v="0"/>
    <n v="0"/>
    <n v="0"/>
    <s v="ARF"/>
    <n v="24.26040321"/>
    <s v="HRF"/>
    <n v="14.077338220000001"/>
    <m/>
    <m/>
    <m/>
    <m/>
    <m/>
    <m/>
    <m/>
    <d v="2011-12-30T00:00:00"/>
    <n v="-7.2486004366552059E-3"/>
    <x v="1"/>
    <n v="0"/>
    <x v="128"/>
  </r>
  <r>
    <d v="2012-01-31T00:00:00"/>
    <x v="12"/>
    <s v="NA"/>
    <n v="60818698.849999994"/>
    <n v="693.82360000000006"/>
    <m/>
    <n v="4863971.8533065915"/>
    <n v="0"/>
    <n v="0"/>
    <m/>
    <n v="87657.293366786587"/>
    <n v="4863971.8533065915"/>
    <n v="0"/>
    <n v="0"/>
    <m/>
    <s v="Hedge Fund"/>
    <n v="0"/>
    <n v="0"/>
    <n v="0"/>
    <n v="0"/>
    <s v="ARF"/>
    <n v="24.906275129999997"/>
    <s v="HRF"/>
    <n v="14.45211177"/>
    <m/>
    <m/>
    <m/>
    <m/>
    <m/>
    <m/>
    <m/>
    <d v="2012-01-31T00:00:00"/>
    <n v="2.6622472205711789E-2"/>
    <x v="1"/>
    <n v="0"/>
    <x v="129"/>
  </r>
  <r>
    <d v="2012-02-29T00:00:00"/>
    <x v="12"/>
    <s v="NA"/>
    <n v="53866852.88209974"/>
    <n v="669.56229999999994"/>
    <m/>
    <n v="0"/>
    <n v="-4825166.0763406232"/>
    <n v="0"/>
    <m/>
    <n v="80450.84510000002"/>
    <n v="-4825166.0763406232"/>
    <n v="0"/>
    <n v="0"/>
    <m/>
    <s v="Hedge Fund"/>
    <n v="0"/>
    <n v="0"/>
    <n v="0"/>
    <n v="0"/>
    <s v="ARF"/>
    <n v="24.035364120000001"/>
    <s v="HRF"/>
    <n v="9.1215947100000001"/>
    <m/>
    <m/>
    <m/>
    <m/>
    <m/>
    <m/>
    <m/>
    <d v="2012-02-29T00:00:00"/>
    <n v="-3.4967533534460471E-2"/>
    <x v="1"/>
    <n v="0"/>
    <x v="130"/>
  </r>
  <r>
    <d v="2012-03-30T00:00:00"/>
    <x v="12"/>
    <s v="NA"/>
    <n v="52272194.220000006"/>
    <n v="649.74069999999995"/>
    <m/>
    <n v="5.8091344237327576"/>
    <n v="0"/>
    <n v="0"/>
    <m/>
    <n v="80450.854040696562"/>
    <n v="5.8091344237327576"/>
    <n v="0"/>
    <n v="0"/>
    <m/>
    <s v="Hedge Fund"/>
    <n v="0"/>
    <n v="0"/>
    <n v="0"/>
    <n v="0"/>
    <s v="ARF"/>
    <n v="23.323825589999998"/>
    <s v="HRF"/>
    <n v="8.8515606899999995"/>
    <m/>
    <m/>
    <m/>
    <m/>
    <m/>
    <m/>
    <m/>
    <d v="2012-03-30T00:00:00"/>
    <n v="-2.9603817299749369E-2"/>
    <x v="1"/>
    <n v="0"/>
    <x v="131"/>
  </r>
  <r>
    <d v="2012-04-30T00:00:00"/>
    <x v="12"/>
    <s v="NA"/>
    <n v="52853941.723234795"/>
    <n v="656.97180000000003"/>
    <m/>
    <n v="0"/>
    <n v="-0.66741890460252762"/>
    <n v="0"/>
    <m/>
    <n v="80450.853024794662"/>
    <n v="-0.66741890460252762"/>
    <n v="0"/>
    <n v="0"/>
    <m/>
    <s v="Hedge Fund"/>
    <n v="0"/>
    <n v="0"/>
    <n v="2.485422E-2"/>
    <n v="0.45476652000000001"/>
    <s v="ARF"/>
    <n v="23.58340132"/>
    <s v="HRF"/>
    <n v="8.9500715599999996"/>
    <m/>
    <m/>
    <m/>
    <m/>
    <m/>
    <m/>
    <m/>
    <d v="2012-04-30T00:00:00"/>
    <n v="1.1129208929039125E-2"/>
    <x v="1"/>
    <n v="0"/>
    <x v="132"/>
  </r>
  <r>
    <d v="2012-05-31T00:00:00"/>
    <x v="12"/>
    <s v="NA"/>
    <n v="52741750.949999996"/>
    <n v="655.57730000000004"/>
    <m/>
    <n v="0"/>
    <n v="-2.0586917251348495"/>
    <n v="0"/>
    <m/>
    <n v="80450.849884521609"/>
    <n v="-2.0586917251348495"/>
    <n v="0"/>
    <n v="0"/>
    <m/>
    <s v="Hedge Fund"/>
    <n v="0"/>
    <n v="0"/>
    <n v="2.485422E-2"/>
    <n v="0.44952885500000006"/>
    <s v="ARF"/>
    <n v="23.533342780000002"/>
    <s v="HRF"/>
    <n v="8.9310739800000007"/>
    <m/>
    <m/>
    <m/>
    <m/>
    <m/>
    <m/>
    <m/>
    <d v="2012-05-31T00:00:00"/>
    <n v="-2.1226177440187843E-3"/>
    <x v="1"/>
    <n v="0"/>
    <x v="133"/>
  </r>
  <r>
    <d v="2012-06-29T00:00:00"/>
    <x v="12"/>
    <s v="NA"/>
    <n v="52275733.001161598"/>
    <n v="649.78470000000004"/>
    <m/>
    <n v="1.6442026868462563"/>
    <n v="0"/>
    <n v="0"/>
    <m/>
    <n v="80450.852414902343"/>
    <n v="1.6442026868462563"/>
    <n v="0"/>
    <n v="0"/>
    <m/>
    <s v="Hedge Fund"/>
    <n v="0"/>
    <n v="0"/>
    <n v="2.3250699999999999E-2"/>
    <n v="0.43511365000000002"/>
    <s v="ARF"/>
    <n v="23.325405069999999"/>
    <s v="HRF"/>
    <n v="8.8521601099999998"/>
    <m/>
    <m/>
    <m/>
    <m/>
    <m/>
    <m/>
    <m/>
    <d v="2012-06-29T00:00:00"/>
    <n v="-8.8358764099978337E-3"/>
    <x v="1"/>
    <n v="0"/>
    <x v="134"/>
  </r>
  <r>
    <d v="2012-07-31T00:00:00"/>
    <x v="12"/>
    <s v="NA"/>
    <n v="52353735.550000004"/>
    <n v="650.75429999999994"/>
    <m/>
    <n v="0"/>
    <n v="-2.5976630747318268"/>
    <n v="0"/>
    <m/>
    <n v="80450.848423129908"/>
    <n v="-2.5976630747318268"/>
    <n v="0"/>
    <n v="0"/>
    <m/>
    <s v="Hedge Fund"/>
    <n v="0"/>
    <n v="0"/>
    <n v="2.5655959999999998E-2"/>
    <n v="0.43469770000000002"/>
    <s v="ARF"/>
    <n v="23.360210924253799"/>
    <s v="HRF"/>
    <n v="8.8653691999999999"/>
    <m/>
    <m/>
    <m/>
    <m/>
    <m/>
    <m/>
    <m/>
    <d v="2012-07-31T00:00:00"/>
    <n v="1.4921865657961941E-3"/>
    <x v="1"/>
    <n v="0"/>
    <x v="135"/>
  </r>
  <r>
    <d v="2012-08-31T00:00:00"/>
    <x v="12"/>
    <s v="NA"/>
    <n v="51015870.414686196"/>
    <n v="634.12469999999996"/>
    <m/>
    <n v="0.29362346976995468"/>
    <n v="0"/>
    <n v="0"/>
    <m/>
    <n v="80450.84888616734"/>
    <n v="0.29362346976995468"/>
    <n v="0"/>
    <n v="0"/>
    <m/>
    <s v="Hedge Fund"/>
    <n v="0"/>
    <n v="0"/>
    <n v="2.485422E-2"/>
    <n v="0.39800190000000002"/>
    <s v="ARF"/>
    <n v="22.763256031161401"/>
    <s v="HRF"/>
    <n v="8.6388204857714097"/>
    <m/>
    <m/>
    <m/>
    <m/>
    <m/>
    <m/>
    <m/>
    <d v="2012-08-31T00:00:00"/>
    <n v="-2.5554345165295089E-2"/>
    <x v="1"/>
    <n v="0"/>
    <x v="136"/>
  </r>
  <r>
    <d v="2012-09-28T00:00:00"/>
    <x v="12"/>
    <s v="NA"/>
    <n v="49034086.2249512"/>
    <n v="609.49120000000005"/>
    <m/>
    <n v="1.7963024005293846"/>
    <n v="0"/>
    <n v="0"/>
    <m/>
    <n v="80450.85183338364"/>
    <n v="1.7963024005293846"/>
    <n v="0"/>
    <n v="0"/>
    <m/>
    <s v="Hedge Fund"/>
    <n v="2.2448972543169399E-2"/>
    <n v="0.65236369000000005"/>
    <n v="2.244898E-2"/>
    <n v="0.34497265999999999"/>
    <s v="ARF"/>
    <n v="21.878984108866604"/>
    <s v="HRF"/>
    <n v="8.3032328885113618"/>
    <m/>
    <m/>
    <m/>
    <m/>
    <m/>
    <m/>
    <m/>
    <d v="2012-09-28T00:00:00"/>
    <n v="-3.8846460325547838E-2"/>
    <x v="1"/>
    <n v="0"/>
    <x v="137"/>
  </r>
  <r>
    <d v="2012-10-31T00:00:00"/>
    <x v="12"/>
    <s v="NA"/>
    <n v="48636220.742568232"/>
    <n v="604.54579999999999"/>
    <m/>
    <n v="0"/>
    <n v="-3.8397261425852776"/>
    <n v="0"/>
    <m/>
    <n v="80450.845481960569"/>
    <n v="-3.8397261425852776"/>
    <n v="0"/>
    <n v="0"/>
    <m/>
    <s v="Hedge Fund"/>
    <n v="2.64577176401639E-2"/>
    <n v="0.63267748999999995"/>
    <n v="2.6457729999999999E-2"/>
    <n v="0.33227855000000001"/>
    <s v="ARF"/>
    <n v="21.701458448099078"/>
    <s v="HRF"/>
    <n v="8.2358606148397406"/>
    <m/>
    <m/>
    <m/>
    <m/>
    <m/>
    <m/>
    <m/>
    <d v="2012-10-31T00:00:00"/>
    <n v="-8.1139809729822154E-3"/>
    <x v="1"/>
    <n v="0"/>
    <x v="138"/>
  </r>
  <r>
    <d v="2012-11-30T00:00:00"/>
    <x v="12"/>
    <s v="NA"/>
    <n v="48557147.744355425"/>
    <n v="603.56290000000013"/>
    <m/>
    <n v="2.1378113999962807"/>
    <n v="0"/>
    <n v="0"/>
    <m/>
    <n v="80450.849023946663"/>
    <n v="2.1378113999962807"/>
    <n v="0"/>
    <n v="0"/>
    <m/>
    <s v="Hedge Fund"/>
    <n v="2.40524705819672E-2"/>
    <n v="0.62600867999999998"/>
    <n v="2.40524705819672E-2"/>
    <n v="0.327960635"/>
    <s v="ARF"/>
    <n v="21.666175160201561"/>
    <s v="HRF"/>
    <n v="8.2224703516068711"/>
    <m/>
    <m/>
    <m/>
    <m/>
    <m/>
    <m/>
    <m/>
    <d v="2012-11-30T00:00:00"/>
    <n v="-1.6258486950034845E-3"/>
    <x v="1"/>
    <n v="0"/>
    <x v="139"/>
  </r>
  <r>
    <d v="2012-12-31T00:00:00"/>
    <x v="12"/>
    <s v="NA"/>
    <n v="50045287.809339911"/>
    <n v="622.06039999999996"/>
    <m/>
    <n v="0.48516404628753662"/>
    <n v="0"/>
    <n v="0"/>
    <m/>
    <n v="80450.849803877427"/>
    <n v="0.48516404628753662"/>
    <n v="0"/>
    <n v="0"/>
    <m/>
    <s v="Hedge Fund"/>
    <n v="2.48542196013661E-2"/>
    <n v="0.68203915000000004"/>
    <n v="2.48542196013661E-2"/>
    <n v="0.36387192499999998"/>
    <s v="ARF"/>
    <n v="22.330182300179558"/>
    <s v="HRF"/>
    <n v="8.4744658691061208"/>
    <m/>
    <m/>
    <m/>
    <m/>
    <m/>
    <m/>
    <m/>
    <d v="2012-12-31T00:00:00"/>
    <n v="3.0647178612204007E-2"/>
    <x v="1"/>
    <n v="0"/>
    <x v="140"/>
  </r>
  <r>
    <d v="2013-01-31T00:00:00"/>
    <x v="12"/>
    <s v="NA"/>
    <n v="49458795.79398603"/>
    <n v="628.77359999999999"/>
    <m/>
    <n v="0"/>
    <n v="-1126574.6602572724"/>
    <n v="0"/>
    <m/>
    <n v="78659.148211671156"/>
    <n v="-1126574.6602572724"/>
    <n v="0"/>
    <n v="0"/>
    <m/>
    <s v="Hedge Fund"/>
    <n v="2.4922313353698631E-2"/>
    <n v="1.5319889999999999E-2"/>
    <n v="2.4922313353698631E-2"/>
    <n v="1.4320605E-2"/>
    <s v="ARF"/>
    <n v="22.571166905239721"/>
    <s v="HRF"/>
    <n v="8.5659212716240809"/>
    <m/>
    <m/>
    <m/>
    <m/>
    <m/>
    <m/>
    <m/>
    <d v="2013-01-31T00:00:00"/>
    <n v="1.079187808772275E-2"/>
    <x v="1"/>
    <n v="0"/>
    <x v="141"/>
  </r>
  <r>
    <d v="2013-02-28T00:00:00"/>
    <x v="12"/>
    <s v="NA"/>
    <n v="48881722.736701936"/>
    <n v="621.43720000000008"/>
    <m/>
    <n v="1.9176559969782829"/>
    <n v="0"/>
    <n v="0"/>
    <m/>
    <n v="78659.151297511533"/>
    <n v="1.9176559969782829"/>
    <n v="0"/>
    <n v="0"/>
    <m/>
    <s v="Hedge Fund"/>
    <n v="2.25104765775343E-2"/>
    <n v="0"/>
    <n v="2.25104765775343E-2"/>
    <n v="0"/>
    <s v="ARF"/>
    <n v="22.307811209511399"/>
    <s v="HRF"/>
    <n v="8.4659758782151613"/>
    <m/>
    <m/>
    <m/>
    <m/>
    <m/>
    <m/>
    <m/>
    <d v="2013-02-28T00:00:00"/>
    <n v="-1.1667792668139776E-2"/>
    <x v="1"/>
    <n v="0"/>
    <x v="142"/>
  </r>
  <r>
    <d v="2013-03-28T00:00:00"/>
    <x v="12"/>
    <s v="NA"/>
    <n v="47581388.588106476"/>
    <n v="602.44110000000001"/>
    <m/>
    <n v="193882.95536720008"/>
    <n v="0"/>
    <n v="0"/>
    <m/>
    <n v="78980.980195585056"/>
    <n v="193882.95536720008"/>
    <n v="0"/>
    <n v="0"/>
    <m/>
    <s v="Hedge Fund"/>
    <n v="2.26639012350685E-2"/>
    <n v="0"/>
    <n v="2.26639012350685E-2"/>
    <n v="0"/>
    <s v="ARF"/>
    <n v="21.625905761113721"/>
    <s v="HRF"/>
    <n v="8.2071878230743316"/>
    <m/>
    <m/>
    <m/>
    <m/>
    <m/>
    <m/>
    <m/>
    <d v="2013-03-28T00:00:00"/>
    <n v="-3.0568012343001105E-2"/>
    <x v="1"/>
    <n v="0"/>
    <x v="143"/>
  </r>
  <r>
    <d v="2013-04-30T00:00:00"/>
    <x v="12"/>
    <s v="NA"/>
    <n v="47584161.415014409"/>
    <n v="602.47619999999995"/>
    <m/>
    <n v="0.59450306743383408"/>
    <n v="0"/>
    <n v="0"/>
    <m/>
    <n v="78980.981182351126"/>
    <n v="0.59450306743383408"/>
    <n v="0"/>
    <n v="0"/>
    <m/>
    <s v="Hedge Fund"/>
    <n v="2.6711024126849302E-2"/>
    <n v="0"/>
    <n v="2.6711024126849302E-2"/>
    <n v="0"/>
    <s v="ARF"/>
    <n v="21.627165750334598"/>
    <s v="HRF"/>
    <n v="8.2076659981068616"/>
    <m/>
    <m/>
    <m/>
    <m/>
    <m/>
    <m/>
    <m/>
    <d v="2013-04-30T00:00:00"/>
    <n v="5.8262957158827788E-5"/>
    <x v="1"/>
    <n v="0"/>
    <x v="144"/>
  </r>
  <r>
    <d v="2013-05-31T00:00:00"/>
    <x v="12"/>
    <s v="NA"/>
    <n v="48612375.418983497"/>
    <n v="615.49469999999997"/>
    <m/>
    <n v="0.10044664889574051"/>
    <n v="0"/>
    <n v="0"/>
    <m/>
    <n v="78980.981345547742"/>
    <n v="0.10044664889574051"/>
    <n v="0"/>
    <n v="0"/>
    <m/>
    <s v="Hedge Fund"/>
    <n v="2.50921884221918E-2"/>
    <n v="0"/>
    <n v="2.50921884221918E-2"/>
    <n v="0"/>
    <s v="ARF"/>
    <n v="22.094492521617401"/>
    <s v="HRF"/>
    <n v="8.3850198915824112"/>
    <m/>
    <m/>
    <m/>
    <m/>
    <m/>
    <m/>
    <m/>
    <d v="2013-05-31T00:00:00"/>
    <n v="2.1608322453235518E-2"/>
    <x v="1"/>
    <n v="0"/>
    <x v="145"/>
  </r>
  <r>
    <d v="2013-06-28T00:00:00"/>
    <x v="12"/>
    <s v="NA"/>
    <n v="48304948.170925021"/>
    <n v="611.60230000000001"/>
    <m/>
    <n v="0"/>
    <n v="-1.6762690767645836"/>
    <n v="0"/>
    <m/>
    <n v="78980.978604764925"/>
    <n v="-1.6762690767645836"/>
    <n v="0"/>
    <n v="0"/>
    <m/>
    <s v="Hedge Fund"/>
    <n v="2.2663899865205502E-2"/>
    <n v="0"/>
    <n v="2.2663899865205502E-2"/>
    <n v="0"/>
    <s v="ARF"/>
    <n v="21.954766537476281"/>
    <s v="HRF"/>
    <n v="8.331992868886692"/>
    <m/>
    <m/>
    <m/>
    <m/>
    <m/>
    <m/>
    <m/>
    <d v="2013-06-28T00:00:00"/>
    <n v="-6.3240187121024194E-3"/>
    <x v="1"/>
    <n v="0"/>
    <x v="146"/>
  </r>
  <r>
    <d v="2013-07-31T00:00:00"/>
    <x v="12"/>
    <s v="NA"/>
    <n v="47924215.662898466"/>
    <n v="606.7817"/>
    <m/>
    <n v="3.1974355801939964"/>
    <n v="0"/>
    <n v="0"/>
    <m/>
    <n v="78980.983874263955"/>
    <n v="3.1974355801939964"/>
    <n v="0"/>
    <n v="0"/>
    <m/>
    <s v="Hedge Fund"/>
    <n v="2.6711024126849302E-2"/>
    <n v="0"/>
    <n v="2.6711024126849302E-2"/>
    <n v="0"/>
    <s v="ARF"/>
    <n v="21.781720838383002"/>
    <s v="HRF"/>
    <n v="8.2663207731085109"/>
    <m/>
    <m/>
    <m/>
    <m/>
    <m/>
    <m/>
    <m/>
    <d v="2013-07-31T00:00:00"/>
    <n v="-7.8819193453001368E-3"/>
    <x v="1"/>
    <n v="0"/>
    <x v="147"/>
  </r>
  <r>
    <d v="2013-08-30T00:00:00"/>
    <x v="12"/>
    <s v="NA"/>
    <n v="47867935.315209247"/>
    <n v="606.06910000000016"/>
    <m/>
    <n v="1.5014195665717125"/>
    <n v="0"/>
    <n v="0"/>
    <m/>
    <n v="78980.986351571526"/>
    <n v="1.5014195665717125"/>
    <n v="0"/>
    <n v="0"/>
    <m/>
    <s v="Hedge Fund"/>
    <n v="2.4282755569863E-2"/>
    <n v="0"/>
    <n v="2.4282755569863E-2"/>
    <n v="0"/>
    <s v="ARF"/>
    <n v="21.756140544400122"/>
    <s v="HRF"/>
    <n v="8.2566128663227314"/>
    <m/>
    <m/>
    <m/>
    <m/>
    <m/>
    <m/>
    <m/>
    <d v="2013-08-30T00:00:00"/>
    <n v="-1.1743927016912847E-3"/>
    <x v="1"/>
    <n v="0"/>
    <x v="148"/>
  </r>
  <r>
    <d v="2013-09-30T00:00:00"/>
    <x v="12"/>
    <s v="NA"/>
    <n v="48555486.880895033"/>
    <n v="614.77440000000001"/>
    <m/>
    <n v="0"/>
    <n v="-1.6148005425930023"/>
    <n v="0"/>
    <m/>
    <n v="78980.983724916048"/>
    <n v="-1.6148005425930023"/>
    <n v="0"/>
    <n v="0"/>
    <m/>
    <s v="Hedge Fund"/>
    <n v="2.509219E-2"/>
    <n v="0"/>
    <n v="2.509219E-2"/>
    <n v="0"/>
    <s v="ARF"/>
    <n v="22.068635819742763"/>
    <s v="HRF"/>
    <n v="8.3752070860003212"/>
    <m/>
    <m/>
    <m/>
    <m/>
    <m/>
    <m/>
    <m/>
    <d v="2013-09-30T00:00:00"/>
    <n v="1.4363543694934977E-2"/>
    <x v="1"/>
    <n v="0"/>
    <x v="0"/>
  </r>
  <r>
    <d v="2013-10-31T00:00:00"/>
    <x v="12"/>
    <s v="NA"/>
    <n v="49993123.76923421"/>
    <n v="632.97670000000005"/>
    <m/>
    <n v="1.3282831385731697"/>
    <n v="0"/>
    <n v="-1998218.9413316878"/>
    <m/>
    <n v="78980.985823386873"/>
    <n v="-1998217.6130485493"/>
    <n v="-25.3"/>
    <n v="-25.3"/>
    <m/>
    <s v="Hedge Fund"/>
    <n v="2.5092185479452099E-2"/>
    <n v="7.1199330000000005E-2"/>
    <n v="2.5092185479452099E-2"/>
    <n v="4.6838274999999999E-2"/>
    <s v="ARF"/>
    <n v="22.722046127299002"/>
    <s v="HRF"/>
    <n v="8.6231810288670125"/>
    <m/>
    <m/>
    <m/>
    <m/>
    <m/>
    <m/>
    <m/>
    <d v="2013-10-31T00:00:00"/>
    <n v="7.076140560212596E-2"/>
    <x v="1"/>
    <n v="0"/>
    <x v="1"/>
  </r>
  <r>
    <d v="2013-11-29T00:00:00"/>
    <x v="12"/>
    <s v="NA"/>
    <n v="49504890.888494551"/>
    <n v="626.79510000000005"/>
    <m/>
    <n v="0"/>
    <n v="-4.0187738090753555"/>
    <n v="0"/>
    <m/>
    <n v="78980.979411763983"/>
    <n v="-4.0187738090753555"/>
    <n v="0"/>
    <n v="0"/>
    <m/>
    <s v="Hedge Fund"/>
    <n v="2.34733227175342E-2"/>
    <n v="4.9511660000000006E-2"/>
    <n v="2.3473310000000001E-2"/>
    <n v="3.2552474999999997E-2"/>
    <s v="ARF"/>
    <n v="22.500144435908922"/>
    <s v="HRF"/>
    <n v="8.5389677302605325"/>
    <m/>
    <m/>
    <m/>
    <m/>
    <m/>
    <m/>
    <m/>
    <d v="2013-11-29T00:00:00"/>
    <n v="-9.7659202937485645E-3"/>
    <x v="1"/>
    <n v="0"/>
    <x v="2"/>
  </r>
  <r>
    <d v="2013-12-31T00:00:00"/>
    <x v="12"/>
    <s v="NA"/>
    <n v="49968254.353459559"/>
    <n v="632.66190000000006"/>
    <m/>
    <n v="0"/>
    <n v="-2.1450479328632355"/>
    <n v="0"/>
    <m/>
    <n v="78980.976021251729"/>
    <n v="-2.1450479328632355"/>
    <n v="0"/>
    <n v="0"/>
    <m/>
    <s v="Hedge Fund"/>
    <n v="2.5901601274520548E-2"/>
    <n v="6.3152489999999992E-2"/>
    <n v="2.5901599999999997E-2"/>
    <n v="4.1523875000000002E-2"/>
    <s v="ARF"/>
    <n v="22.710745711152761"/>
    <s v="HRF"/>
    <n v="8.6188924391165713"/>
    <m/>
    <m/>
    <m/>
    <m/>
    <m/>
    <m/>
    <m/>
    <d v="2013-12-31T00:00:00"/>
    <n v="9.3599965921877804E-3"/>
    <x v="1"/>
    <n v="0"/>
    <x v="3"/>
  </r>
  <r>
    <d v="2014-01-30T00:00:00"/>
    <x v="12"/>
    <s v="NA"/>
    <n v="49621002.863176726"/>
    <n v="633.66210000000001"/>
    <m/>
    <n v="0"/>
    <n v="-426248.26249928772"/>
    <n v="0"/>
    <m/>
    <n v="78308.301637697325"/>
    <n v="-426248.26249928772"/>
    <n v="0"/>
    <n v="0"/>
    <m/>
    <s v="Hedge Fund"/>
    <n v="2.4282735569863E-2"/>
    <n v="3.3000000000000002E-7"/>
    <n v="2.4282740000000001E-2"/>
    <n v="3.3000000000000002E-7"/>
    <s v="ARF"/>
    <n v="22.746650019378521"/>
    <s v="HRF"/>
    <n v="8.6325183840606314"/>
    <m/>
    <m/>
    <m/>
    <m/>
    <m/>
    <m/>
    <m/>
    <d v="2014-01-30T00:00:00"/>
    <n v="1.5809392030718961E-3"/>
    <x v="1"/>
    <n v="0"/>
    <x v="4"/>
  </r>
  <r>
    <d v="2014-02-28T00:00:00"/>
    <x v="12"/>
    <s v="NA"/>
    <n v="50549346.715868704"/>
    <n v="645.51710000000003"/>
    <m/>
    <n v="0"/>
    <n v="-1.0632229223847389"/>
    <n v="0"/>
    <m/>
    <n v="78308.299990610161"/>
    <n v="-1.0632229223847389"/>
    <n v="0"/>
    <n v="0"/>
    <m/>
    <s v="Hedge Fund"/>
    <n v="2.3473312717534202E-2"/>
    <n v="2.9430120000000001E-2"/>
    <n v="2.3473310000000001E-2"/>
    <n v="1.9358385000000002E-2"/>
    <s v="ARF"/>
    <n v="23.172210481302525"/>
    <s v="HRF"/>
    <n v="8.7940216607171315"/>
    <m/>
    <m/>
    <m/>
    <m/>
    <m/>
    <m/>
    <m/>
    <d v="2014-02-28T00:00:00"/>
    <n v="1.870870926318613E-2"/>
    <x v="1"/>
    <n v="0"/>
    <x v="5"/>
  </r>
  <r>
    <d v="2014-03-31T00:00:00"/>
    <x v="12"/>
    <s v="NA"/>
    <n v="50602153.999588817"/>
    <n v="646.19140000000016"/>
    <m/>
    <n v="3.9970364347100258"/>
    <n v="0"/>
    <n v="0"/>
    <m/>
    <n v="78308.306176140395"/>
    <n v="3.9970364347100258"/>
    <n v="0"/>
    <n v="0"/>
    <m/>
    <s v="Hedge Fund"/>
    <n v="2.5092178422191799E-2"/>
    <n v="2.7750319999999998E-2"/>
    <n v="2.509219E-2"/>
    <n v="1.7554380000000001E-2"/>
    <s v="ARF"/>
    <n v="23.196415915252366"/>
    <s v="HRF"/>
    <n v="8.8032077981654222"/>
    <m/>
    <m/>
    <m/>
    <m/>
    <m/>
    <m/>
    <m/>
    <d v="2014-03-31T00:00:00"/>
    <n v="1.0445889039967238E-3"/>
    <x v="1"/>
    <n v="0"/>
    <x v="6"/>
  </r>
  <r>
    <d v="2014-04-30T00:00:00"/>
    <x v="12"/>
    <s v="NA"/>
    <n v="50555630.517183371"/>
    <n v="645.59730000000002"/>
    <m/>
    <n v="0"/>
    <n v="-0.51770619302988052"/>
    <n v="0"/>
    <m/>
    <n v="78308.305374237738"/>
    <n v="-0.51770619302988052"/>
    <n v="0"/>
    <n v="0"/>
    <m/>
    <s v="Hedge Fund"/>
    <n v="2.4282755569863E-2"/>
    <n v="2.2498919999999999E-2"/>
    <n v="2.4282755569863E-2"/>
    <n v="1.4778484999999999E-2"/>
    <s v="ARF"/>
    <n v="23.175089431032283"/>
    <s v="HRF"/>
    <n v="8.795114242985191"/>
    <m/>
    <m/>
    <m/>
    <m/>
    <m/>
    <m/>
    <m/>
    <d v="2014-04-30T00:00:00"/>
    <n v="-9.1938704229133084E-4"/>
    <x v="1"/>
    <n v="0"/>
    <x v="7"/>
  </r>
  <r>
    <d v="2014-05-30T00:00:00"/>
    <x v="12"/>
    <s v="NA"/>
    <n v="50860236.393205814"/>
    <n v="648.76409999999987"/>
    <m/>
    <n v="56619.134563311934"/>
    <n v="0"/>
    <n v="0"/>
    <m/>
    <n v="78395.577673311185"/>
    <n v="56619.134563311934"/>
    <n v="0"/>
    <n v="0"/>
    <m/>
    <s v="Hedge Fund"/>
    <n v="2.28652198003035E-2"/>
    <n v="2.8312980000000001E-2"/>
    <n v="2.28652198003035E-2"/>
    <n v="1.8553730000000001E-2"/>
    <s v="ARF"/>
    <n v="23.288768458516124"/>
    <s v="HRF"/>
    <n v="8.8382562570312295"/>
    <m/>
    <m/>
    <m/>
    <m/>
    <m/>
    <m/>
    <m/>
    <d v="2014-05-30T00:00:00"/>
    <n v="4.9052249753831489E-3"/>
    <x v="1"/>
    <n v="0"/>
    <x v="8"/>
  </r>
  <r>
    <d v="2014-06-30T00:00:00"/>
    <x v="12"/>
    <s v="NA"/>
    <n v="47380646.734462"/>
    <n v="604.37910000000011"/>
    <m/>
    <n v="0"/>
    <n v="-1.9437139183282852"/>
    <n v="-4993798.0929274838"/>
    <m/>
    <n v="78395.574457260343"/>
    <n v="-4993800.0366414022"/>
    <n v="-63.7"/>
    <n v="-63.7"/>
    <m/>
    <s v="Hedge Fund"/>
    <n v="2.3767246915342499E-2"/>
    <n v="0.10250115999999999"/>
    <n v="2.3767259999999998E-2"/>
    <n v="6.3905804999999996E-2"/>
    <s v="ARF"/>
    <n v="21.69547439672812"/>
    <s v="HRF"/>
    <n v="8.23358962401573"/>
    <m/>
    <m/>
    <m/>
    <m/>
    <m/>
    <m/>
    <m/>
    <d v="2014-06-30T00:00:00"/>
    <n v="2.9771988596180909E-2"/>
    <x v="1"/>
    <n v="0"/>
    <x v="9"/>
  </r>
  <r>
    <d v="2014-07-31T00:00:00"/>
    <x v="12"/>
    <s v="NA"/>
    <n v="47924162.465852939"/>
    <n v="611.31200000000001"/>
    <m/>
    <n v="7.0532362014055252"/>
    <n v="0"/>
    <n v="0"/>
    <m/>
    <n v="78395.585995126778"/>
    <n v="7.0532362014055252"/>
    <n v="0"/>
    <n v="0"/>
    <m/>
    <s v="Hedge Fund"/>
    <n v="2.3767246915342499E-2"/>
    <n v="0.12653902"/>
    <n v="2.3767259999999998E-2"/>
    <n v="7.8599520000000006E-2"/>
    <s v="ARF"/>
    <n v="21.944345600985642"/>
    <s v="HRF"/>
    <n v="8.3280380480336014"/>
    <m/>
    <m/>
    <m/>
    <m/>
    <m/>
    <m/>
    <m/>
    <d v="2014-07-31T00:00:00"/>
    <n v="1.1471111426586411E-2"/>
    <x v="1"/>
    <n v="0"/>
    <x v="10"/>
  </r>
  <r>
    <d v="2014-08-29T00:00:00"/>
    <x v="12"/>
    <s v="NA"/>
    <n v="48205564.307471372"/>
    <n v="614.90160000000014"/>
    <m/>
    <n v="0"/>
    <n v="-6.9538696855306625"/>
    <n v="0"/>
    <m/>
    <n v="78395.574686212174"/>
    <n v="-6.9538696855306625"/>
    <n v="0"/>
    <n v="0"/>
    <m/>
    <s v="Hedge Fund"/>
    <n v="2.2233860662739701E-2"/>
    <n v="0.13796728"/>
    <n v="2.2233860662739701E-2"/>
    <n v="8.5698166334033571E-2"/>
    <s v="ARF"/>
    <n v="22.073201934526121"/>
    <s v="HRF"/>
    <n v="8.3769399596224812"/>
    <m/>
    <m/>
    <m/>
    <m/>
    <m/>
    <m/>
    <m/>
    <d v="2014-08-29T00:00:00"/>
    <n v="5.8719606354857845E-3"/>
    <x v="1"/>
    <n v="0"/>
    <x v="11"/>
  </r>
  <r>
    <d v="2014-09-30T00:00:00"/>
    <x v="12"/>
    <s v="NA"/>
    <n v="47792846.84105707"/>
    <n v="609.63699999999994"/>
    <m/>
    <n v="3.8760787397623062"/>
    <n v="0"/>
    <n v="0"/>
    <m/>
    <n v="78395.58104422316"/>
    <n v="3.8760787397623062"/>
    <n v="0"/>
    <n v="0"/>
    <m/>
    <s v="Hedge Fund"/>
    <n v="2.4533930178630099E-2"/>
    <n v="0.11115245"/>
    <n v="2.4533929999999999E-2"/>
    <n v="6.9176745000000012E-2"/>
    <s v="ARF"/>
    <n v="21.884217910245638"/>
    <s v="HRF"/>
    <n v="8.3052191540311"/>
    <m/>
    <m/>
    <m/>
    <m/>
    <m/>
    <m/>
    <m/>
    <d v="2014-09-30T00:00:00"/>
    <n v="-8.5616950744641374E-3"/>
    <x v="1"/>
    <n v="0"/>
    <x v="12"/>
  </r>
  <r>
    <d v="2014-10-31T00:00:00"/>
    <x v="12"/>
    <s v="NA"/>
    <n v="25080401.97889575"/>
    <n v="319.92109999999997"/>
    <m/>
    <n v="1.4560887292027473"/>
    <n v="0"/>
    <n v="-22600004.84844305"/>
    <m/>
    <n v="78395.585595622644"/>
    <n v="-22600003.392354321"/>
    <n v="-288.28160000000003"/>
    <n v="-288.28160000000003"/>
    <m/>
    <s v="Hedge Fund"/>
    <n v="2.3767246915342499E-2"/>
    <n v="0.10107120999999999"/>
    <n v="2.3767259999999998E-2"/>
    <n v="6.2619480000000005E-2"/>
    <s v="ARF"/>
    <n v="11.484248932537701"/>
    <s v="HRF"/>
    <n v="4.3583556239183308"/>
    <m/>
    <m/>
    <m/>
    <m/>
    <m/>
    <m/>
    <m/>
    <d v="2014-10-31T00:00:00"/>
    <n v="-2.352684078036682E-3"/>
    <x v="1"/>
    <n v="0"/>
    <x v="149"/>
  </r>
  <r>
    <d v="2014-11-28T00:00:00"/>
    <x v="12"/>
    <s v="NA"/>
    <n v="24722933.687332001"/>
    <n v="315.36130000000003"/>
    <m/>
    <n v="0"/>
    <n v="-0.10036483407020569"/>
    <n v="0"/>
    <m/>
    <n v="78395.585277369159"/>
    <n v="-0.10036483407020569"/>
    <n v="0"/>
    <n v="0"/>
    <m/>
    <s v="Hedge Fund"/>
    <n v="2.1467187536438399E-2"/>
    <n v="7.8635160000000009E-2"/>
    <n v="2.1467179999999999E-2"/>
    <n v="4.8783809999999997E-2"/>
    <s v="ARF"/>
    <n v="11.320565204635463"/>
    <s v="HRF"/>
    <n v="4.2962364639943909"/>
    <m/>
    <m/>
    <m/>
    <m/>
    <m/>
    <m/>
    <m/>
    <d v="2014-11-28T00:00:00"/>
    <n v="-1.4252889228000054E-2"/>
    <x v="1"/>
    <n v="0"/>
    <x v="150"/>
  </r>
  <r>
    <d v="2014-12-31T00:00:00"/>
    <x v="12"/>
    <s v="NA"/>
    <n v="24349114.725628544"/>
    <n v="310.59289999999999"/>
    <m/>
    <n v="2.5471331551671028"/>
    <n v="0"/>
    <n v="0"/>
    <m/>
    <n v="78395.593478242881"/>
    <n v="2.5471331551671028"/>
    <n v="0"/>
    <n v="0"/>
    <m/>
    <s v="Hedge Fund"/>
    <n v="2.5300613167945199E-2"/>
    <n v="5.503065E-2"/>
    <n v="2.5300613167945199E-2"/>
    <n v="3.4217160000000003E-2"/>
    <s v="ARF"/>
    <n v="11.14939333566554"/>
    <s v="HRF"/>
    <n v="4.2312755003158697"/>
    <m/>
    <m/>
    <m/>
    <m/>
    <m/>
    <m/>
    <m/>
    <d v="2014-12-31T00:00:00"/>
    <n v="-1.5120434878978739E-2"/>
    <x v="1"/>
    <n v="0"/>
    <x v="151"/>
  </r>
  <r>
    <d v="2015-01-30T00:00:00"/>
    <x v="12"/>
    <s v="NA"/>
    <n v="38648777.320519373"/>
    <n v="316.32560000000001"/>
    <m/>
    <n v="13850244.176158104"/>
    <n v="0"/>
    <n v="0"/>
    <m/>
    <n v="122180.36516968394"/>
    <n v="13850244.176158104"/>
    <n v="0"/>
    <n v="0"/>
    <m/>
    <s v="Hedge Fund"/>
    <n v="3.4123851460274003E-2"/>
    <n v="6.5778420000000004E-2"/>
    <n v="2.3000549999999998E-2"/>
    <n v="1.090821E-2"/>
    <s v="ARF"/>
    <n v="11.355180805937302"/>
    <s v="HRF"/>
    <n v="4.3093733353296795"/>
    <m/>
    <m/>
    <m/>
    <m/>
    <m/>
    <m/>
    <m/>
    <d v="2015-01-30T00:00:00"/>
    <n v="1.8457279609418009E-2"/>
    <x v="1"/>
    <n v="0"/>
    <x v="152"/>
  </r>
  <r>
    <d v="2015-02-27T00:00:00"/>
    <x v="12"/>
    <s v="NA"/>
    <n v="39200325.015439585"/>
    <n v="320.83980000000008"/>
    <m/>
    <n v="1.0904712155461311"/>
    <n v="0"/>
    <n v="0"/>
    <m/>
    <n v="122180.36856848675"/>
    <n v="1.0904712155461311"/>
    <n v="0"/>
    <n v="0"/>
    <m/>
    <s v="Hedge Fund"/>
    <n v="3.22069135638356E-2"/>
    <n v="0.11770189"/>
    <n v="2.1467179999999999E-2"/>
    <n v="1.9349065000000002E-2"/>
    <s v="ARF"/>
    <n v="11.517227624766262"/>
    <s v="HRF"/>
    <n v="4.3708712764079394"/>
    <m/>
    <m/>
    <m/>
    <m/>
    <m/>
    <m/>
    <m/>
    <d v="2015-02-27T00:00:00"/>
    <n v="1.4270738757786505E-2"/>
    <x v="1"/>
    <n v="0"/>
    <x v="153"/>
  </r>
  <r>
    <d v="2015-03-31T00:00:00"/>
    <x v="12"/>
    <s v="NA"/>
    <n v="39923653.93330612"/>
    <n v="326.76"/>
    <m/>
    <n v="0"/>
    <n v="-3.3001326099038124"/>
    <n v="0"/>
    <m/>
    <n v="122180.35846892558"/>
    <n v="-3.3001326099038124"/>
    <n v="0"/>
    <n v="0"/>
    <m/>
    <s v="Hedge Fund"/>
    <n v="3.6807902644383599E-2"/>
    <n v="0.18698442000000001"/>
    <n v="2.4533929999999999E-2"/>
    <n v="3.0796849999999997E-2"/>
    <s v="ARF"/>
    <n v="11.729745806688021"/>
    <s v="HRF"/>
    <n v="4.4515234652279991"/>
    <m/>
    <m/>
    <m/>
    <m/>
    <m/>
    <m/>
    <m/>
    <d v="2015-03-31T00:00:00"/>
    <n v="1.8452199508913525E-2"/>
    <x v="1"/>
    <n v="0"/>
    <x v="154"/>
  </r>
  <r>
    <d v="2015-04-30T00:00:00"/>
    <x v="12"/>
    <s v="NA"/>
    <n v="44199557.442608364"/>
    <n v="337.36099999999993"/>
    <m/>
    <n v="2980669.529173173"/>
    <n v="0"/>
    <n v="0"/>
    <m/>
    <n v="131015.61070369239"/>
    <n v="2980669.529173173"/>
    <n v="0"/>
    <n v="0"/>
    <m/>
    <s v="Hedge Fund"/>
    <n v="3.68802898164384E-2"/>
    <n v="0.33741692000000001"/>
    <n v="2.5373429999999999E-2"/>
    <n v="7.3012880000000002E-2"/>
    <s v="ARF"/>
    <n v="12.110291269096821"/>
    <s v="HRF"/>
    <n v="4.5959432236282991"/>
    <m/>
    <m/>
    <m/>
    <m/>
    <m/>
    <m/>
    <m/>
    <d v="2015-04-30T00:00:00"/>
    <n v="3.2442771453053965E-2"/>
    <x v="1"/>
    <n v="0"/>
    <x v="155"/>
  </r>
  <r>
    <d v="2015-05-29T00:00:00"/>
    <x v="12"/>
    <s v="NA"/>
    <n v="44280514.292427242"/>
    <n v="337.97899999999998"/>
    <m/>
    <n v="0"/>
    <n v="-10.797596007585526"/>
    <n v="0"/>
    <m/>
    <n v="131015.57875615716"/>
    <n v="-10.797596007585526"/>
    <n v="0"/>
    <n v="0"/>
    <m/>
    <s v="Hedge Fund"/>
    <n v="3.5650939155890397E-2"/>
    <n v="0.33927230000000003"/>
    <n v="2.452764E-2"/>
    <n v="7.2598084999999993E-2"/>
    <s v="ARF"/>
    <n v="12.132475694695222"/>
    <s v="HRF"/>
    <n v="4.6043623737736992"/>
    <m/>
    <m/>
    <m/>
    <m/>
    <m/>
    <m/>
    <m/>
    <d v="2015-05-29T00:00:00"/>
    <n v="1.8318655683378093E-3"/>
    <x v="1"/>
    <n v="0"/>
    <x v="156"/>
  </r>
  <r>
    <d v="2015-06-30T00:00:00"/>
    <x v="12"/>
    <s v="NA"/>
    <n v="43511149.947448865"/>
    <n v="332.10669999999999"/>
    <m/>
    <n v="0"/>
    <n v="-1.5618485957384109"/>
    <n v="0"/>
    <m/>
    <n v="131015.57405330536"/>
    <n v="-1.5618485957384109"/>
    <n v="0"/>
    <n v="0"/>
    <m/>
    <s v="Hedge Fund"/>
    <n v="3.93389711375342E-2"/>
    <n v="0.24338242999999998"/>
    <n v="2.7064999999999999E-2"/>
    <n v="4.4324255000000007E-2"/>
    <s v="ARF"/>
    <n v="11.921676985242982"/>
    <s v="HRF"/>
    <n v="4.5243627372060091"/>
    <m/>
    <m/>
    <m/>
    <m/>
    <m/>
    <m/>
    <m/>
    <d v="2015-06-30T00:00:00"/>
    <n v="-1.7374748135239204E-2"/>
    <x v="1"/>
    <n v="0"/>
    <x v="157"/>
  </r>
  <r>
    <d v="2015-07-31T00:00:00"/>
    <x v="12"/>
    <s v="NA"/>
    <n v="43024591.898314565"/>
    <n v="328.3929"/>
    <m/>
    <n v="7.5897848606109619"/>
    <n v="0"/>
    <n v="0"/>
    <m/>
    <n v="131015.59716520841"/>
    <n v="7.5897848606109619"/>
    <n v="0"/>
    <n v="0"/>
    <m/>
    <s v="Hedge Fund"/>
    <n v="3.8109640476986298E-2"/>
    <n v="0.18159025000000001"/>
    <n v="2.621923E-2"/>
    <n v="2.5589054999999999E-2"/>
    <s v="ARF"/>
    <n v="11.788362228305541"/>
    <s v="HRF"/>
    <n v="4.4737688216558693"/>
    <m/>
    <m/>
    <m/>
    <m/>
    <m/>
    <m/>
    <m/>
    <d v="2015-07-31T00:00:00"/>
    <n v="-1.1182550668203839E-2"/>
    <x v="1"/>
    <n v="0"/>
    <x v="158"/>
  </r>
  <r>
    <d v="2015-08-31T00:00:00"/>
    <x v="12"/>
    <s v="NA"/>
    <n v="37212533.148588687"/>
    <n v="324.02699999999999"/>
    <m/>
    <n v="0"/>
    <n v="-5240057.754062295"/>
    <n v="0"/>
    <m/>
    <n v="114843.92704493357"/>
    <n v="-5240057.754062295"/>
    <n v="0"/>
    <n v="0"/>
    <m/>
    <s v="Hedge Fund"/>
    <n v="3.40251471420841E-2"/>
    <n v="8.5192309999999993E-2"/>
    <n v="2.621923E-2"/>
    <n v="1.255157E-2"/>
    <s v="ARF"/>
    <n v="11.631638953677621"/>
    <s v="HRF"/>
    <n v="4.4142912041480988"/>
    <m/>
    <m/>
    <m/>
    <m/>
    <m/>
    <m/>
    <m/>
    <d v="2015-08-31T00:00:00"/>
    <n v="-1.3294745410147413E-2"/>
    <x v="1"/>
    <n v="0"/>
    <x v="159"/>
  </r>
  <r>
    <d v="2015-09-30T00:00:00"/>
    <x v="12"/>
    <s v="NA"/>
    <n v="36200515.604115196"/>
    <n v="315.2149"/>
    <m/>
    <n v="0"/>
    <n v="-1.3749608397483826"/>
    <n v="0"/>
    <m/>
    <n v="114843.92268295438"/>
    <n v="-1.3749608397483826"/>
    <n v="0"/>
    <n v="0"/>
    <m/>
    <s v="Hedge Fund"/>
    <n v="3.2927549761893202E-2"/>
    <n v="9.3275200000000006E-3"/>
    <n v="2.5373429999999999E-2"/>
    <n v="0"/>
    <s v="ARF"/>
    <n v="11.315309864979142"/>
    <s v="HRF"/>
    <n v="4.2942420245424691"/>
    <m/>
    <m/>
    <m/>
    <m/>
    <m/>
    <m/>
    <m/>
    <d v="2015-09-30T00:00:00"/>
    <n v="-2.7195573208405266E-2"/>
    <x v="1"/>
    <n v="0"/>
    <x v="160"/>
  </r>
  <r>
    <d v="2015-10-30T00:00:00"/>
    <x v="12"/>
    <s v="NA"/>
    <n v="37114369.528997466"/>
    <n v="323.17230000000006"/>
    <m/>
    <n v="0"/>
    <n v="-5.1054750755429268"/>
    <n v="0"/>
    <m/>
    <n v="114843.90688495722"/>
    <n v="-5.1054750755429268"/>
    <n v="0"/>
    <n v="0"/>
    <m/>
    <s v="Hedge Fund"/>
    <n v="3.2927554008468501E-2"/>
    <n v="6.5405389999999994E-2"/>
    <n v="2.5373429999999999E-2"/>
    <n v="5.7687600000000004E-3"/>
    <s v="ARF"/>
    <n v="11.600957677692262"/>
    <s v="HRF"/>
    <n v="4.4026474377576896"/>
    <m/>
    <m/>
    <m/>
    <m/>
    <m/>
    <m/>
    <m/>
    <d v="2015-10-30T00:00:00"/>
    <n v="2.5244365034774896E-2"/>
    <x v="1"/>
    <n v="0"/>
    <x v="161"/>
  </r>
  <r>
    <d v="2015-11-30T00:00:00"/>
    <x v="12"/>
    <s v="NA"/>
    <n v="37012786.193273231"/>
    <n v="322.2878"/>
    <m/>
    <n v="0"/>
    <n v="-3.900084488093853"/>
    <n v="0"/>
    <m/>
    <n v="114843.89478370956"/>
    <n v="-3.900084488093853"/>
    <n v="0"/>
    <n v="0"/>
    <m/>
    <s v="Hedge Fund"/>
    <n v="3.4025157142084102E-2"/>
    <n v="5.4255879999999999E-2"/>
    <n v="2.621923E-2"/>
    <n v="3.7422750000000002E-3"/>
    <s v="ARF"/>
    <n v="11.569206667268661"/>
    <s v="HRF"/>
    <n v="4.3905976994023401"/>
    <m/>
    <m/>
    <m/>
    <m/>
    <m/>
    <m/>
    <m/>
    <d v="2015-11-30T00:00:00"/>
    <n v="-2.7369301143693736E-3"/>
    <x v="1"/>
    <n v="0"/>
    <x v="162"/>
  </r>
  <r>
    <d v="2015-12-31T00:00:00"/>
    <x v="12"/>
    <s v="NA"/>
    <n v="34971483.686761446"/>
    <n v="304.51319999999998"/>
    <m/>
    <n v="1.7857107445597649"/>
    <n v="0"/>
    <n v="0"/>
    <m/>
    <n v="114843.90064785845"/>
    <n v="1.7857107445597649"/>
    <n v="0"/>
    <n v="0"/>
    <m/>
    <s v="Hedge Fund"/>
    <n v="3.4025157142084102E-2"/>
    <n v="0"/>
    <n v="2.621923E-2"/>
    <n v="0"/>
    <s v="ARF"/>
    <n v="10.931149561700179"/>
    <s v="HRF"/>
    <n v="4.1484504078579603"/>
    <m/>
    <m/>
    <m/>
    <m/>
    <m/>
    <m/>
    <m/>
    <d v="2015-12-31T00:00:00"/>
    <n v="-5.5151327478111356E-2"/>
    <x v="1"/>
    <n v="0"/>
    <x v="163"/>
  </r>
  <r>
    <d v="2016-01-29T00:00:00"/>
    <x v="12"/>
    <s v="NA"/>
    <n v="34791574.441258118"/>
    <n v="305.05109999999996"/>
    <m/>
    <n v="0"/>
    <n v="-241683.77966181189"/>
    <n v="0"/>
    <m/>
    <n v="114051.6275511156"/>
    <n v="-241683.77966181189"/>
    <n v="0"/>
    <n v="0"/>
    <m/>
    <s v="Hedge Fund"/>
    <n v="3.1829970874852898E-2"/>
    <n v="0"/>
    <n v="2.4460619999999999E-2"/>
    <n v="0"/>
    <s v="ARF"/>
    <n v="10.950458627281701"/>
    <s v="HRF"/>
    <n v="4.1557783380573312"/>
    <m/>
    <m/>
    <m/>
    <m/>
    <m/>
    <m/>
    <m/>
    <d v="2016-01-29T00:00:00"/>
    <n v="1.766425888926948E-3"/>
    <x v="1"/>
    <n v="0"/>
    <x v="164"/>
  </r>
  <r>
    <d v="2016-02-29T00:00:00"/>
    <x v="12"/>
    <s v="NA"/>
    <n v="35720133.833626002"/>
    <n v="313.1927"/>
    <m/>
    <n v="0"/>
    <n v="-3.3385022804141045"/>
    <n v="0"/>
    <m/>
    <n v="114051.61689153675"/>
    <n v="-3.3385022804141045"/>
    <n v="0"/>
    <n v="0"/>
    <m/>
    <s v="Hedge Fund"/>
    <n v="3.3932166822023796E-2"/>
    <n v="0"/>
    <n v="2.6147569999999998E-2"/>
    <n v="0"/>
    <s v="ARF"/>
    <n v="11.24271869111978"/>
    <s v="HRF"/>
    <n v="4.2666931484518109"/>
    <m/>
    <m/>
    <m/>
    <m/>
    <m/>
    <m/>
    <m/>
    <d v="2016-02-29T00:00:00"/>
    <n v="2.6689298940407058E-2"/>
    <x v="1"/>
    <n v="0"/>
    <x v="165"/>
  </r>
  <r>
    <d v="2016-03-31T00:00:00"/>
    <x v="12"/>
    <s v="NA"/>
    <n v="36103572.701761097"/>
    <n v="316.55470000000003"/>
    <m/>
    <n v="0"/>
    <n v="-2.6678542494773865"/>
    <n v="0"/>
    <m/>
    <n v="114051.60846375395"/>
    <n v="-2.6678542494773865"/>
    <n v="0"/>
    <n v="0"/>
    <m/>
    <s v="Hedge Fund"/>
    <n v="3.3932170210001902E-2"/>
    <n v="3.6494600000000002E-3"/>
    <n v="2.6147569999999998E-2"/>
    <n v="0"/>
    <s v="ARF"/>
    <n v="11.363404838145382"/>
    <s v="HRF"/>
    <n v="4.312494415100411"/>
    <m/>
    <m/>
    <m/>
    <m/>
    <m/>
    <m/>
    <m/>
    <d v="2016-03-31T00:00:00"/>
    <n v="1.0734605244630435E-2"/>
    <x v="1"/>
    <n v="0"/>
    <x v="166"/>
  </r>
  <r>
    <d v="2016-04-29T00:00:00"/>
    <x v="12"/>
    <s v="NA"/>
    <n v="36784900.021408923"/>
    <n v="322.52850000000001"/>
    <m/>
    <n v="5.8210070580244064"/>
    <n v="0"/>
    <n v="0"/>
    <m/>
    <n v="114051.62651179329"/>
    <n v="5.8210070580244064"/>
    <n v="0"/>
    <n v="0"/>
    <m/>
    <s v="Hedge Fund"/>
    <n v="3.1742994123828701E-2"/>
    <n v="3.8861680000000003E-2"/>
    <n v="2.4460620000000002E-2"/>
    <n v="1.1289650000000002E-3"/>
    <s v="ARF"/>
    <n v="11.577847106170822"/>
    <s v="HRF"/>
    <n v="4.3938768085285504"/>
    <m/>
    <m/>
    <m/>
    <m/>
    <m/>
    <m/>
    <m/>
    <d v="2016-04-29T00:00:00"/>
    <n v="1.887130407477744E-2"/>
    <x v="1"/>
    <n v="0"/>
    <x v="167"/>
  </r>
  <r>
    <d v="2016-05-31T00:00:00"/>
    <x v="12"/>
    <s v="NA"/>
    <n v="37012590.620924376"/>
    <n v="324.52489999999995"/>
    <m/>
    <n v="0"/>
    <n v="-2.0676526874303818"/>
    <n v="0"/>
    <m/>
    <n v="114051.62014047113"/>
    <n v="-2.0676526874303818"/>
    <n v="0"/>
    <n v="0"/>
    <m/>
    <s v="Hedge Fund"/>
    <n v="3.5026773171121302E-2"/>
    <n v="5.0401090000000003E-2"/>
    <n v="2.6991049999999999E-2"/>
    <n v="2.1464699999999997E-3"/>
    <s v="ARF"/>
    <n v="11.649512134107141"/>
    <s v="HRF"/>
    <n v="4.4210742055354704"/>
    <m/>
    <m/>
    <m/>
    <m/>
    <m/>
    <m/>
    <m/>
    <d v="2016-05-31T00:00:00"/>
    <n v="6.189840587730977E-3"/>
    <x v="1"/>
    <n v="0"/>
    <x v="168"/>
  </r>
  <r>
    <d v="2016-06-30T00:00:00"/>
    <x v="12"/>
    <s v="NA"/>
    <n v="38510896.825249612"/>
    <n v="337.66199999999998"/>
    <m/>
    <n v="0"/>
    <n v="-1.3346221521496773"/>
    <n v="0"/>
    <m/>
    <n v="114051.61618793235"/>
    <n v="-1.3346221521496773"/>
    <n v="0"/>
    <n v="0"/>
    <m/>
    <s v="Hedge Fund"/>
    <n v="3.2837580000000005E-2"/>
    <n v="0.16328613"/>
    <n v="2.53041E-2"/>
    <n v="2.7337265000000003E-2"/>
    <s v="ARF"/>
    <n v="12.121096304865622"/>
    <s v="HRF"/>
    <n v="4.6000438129386003"/>
    <m/>
    <m/>
    <m/>
    <m/>
    <m/>
    <m/>
    <m/>
    <d v="2016-06-30T00:00:00"/>
    <n v="4.0481023181888398E-2"/>
    <x v="1"/>
    <n v="0"/>
    <x v="169"/>
  </r>
  <r>
    <d v="2016-07-29T00:00:00"/>
    <x v="12"/>
    <s v="NA"/>
    <n v="38525017.988930903"/>
    <n v="339.91899999999993"/>
    <m/>
    <n v="0"/>
    <n v="-243293.33405486494"/>
    <n v="0"/>
    <m/>
    <n v="113335.87704403375"/>
    <n v="-243293.33405486494"/>
    <n v="0"/>
    <n v="0"/>
    <m/>
    <s v="Hedge Fund"/>
    <n v="3.1742994123828701E-2"/>
    <n v="0.18237504999999998"/>
    <n v="2.4460619999999999E-2"/>
    <n v="3.3373980000000004E-2"/>
    <s v="ARF"/>
    <n v="12.202116124567222"/>
    <s v="HRF"/>
    <n v="4.6307914211557009"/>
    <m/>
    <m/>
    <m/>
    <m/>
    <m/>
    <m/>
    <m/>
    <d v="2016-07-29T00:00:00"/>
    <n v="6.6841989918910993E-3"/>
    <x v="1"/>
    <n v="0"/>
    <x v="170"/>
  </r>
  <r>
    <d v="2016-08-31T00:00:00"/>
    <x v="12"/>
    <s v="NA"/>
    <n v="38278706.6967737"/>
    <n v="337.7457"/>
    <m/>
    <n v="1.5694225877523422"/>
    <n v="0"/>
    <n v="0"/>
    <m/>
    <n v="113335.88169079192"/>
    <n v="1.5694225877523422"/>
    <n v="0"/>
    <n v="0"/>
    <m/>
    <s v="Hedge Fund"/>
    <n v="3.6121359520218901E-2"/>
    <n v="0.15119221999999999"/>
    <n v="2.783453E-2"/>
    <n v="2.1504810000000003E-2"/>
    <s v="ARF"/>
    <n v="12.124100894546183"/>
    <s v="HRF"/>
    <n v="4.6011840764777112"/>
    <m/>
    <m/>
    <m/>
    <m/>
    <m/>
    <m/>
    <m/>
    <d v="2016-08-31T00:00:00"/>
    <n v="-6.3935820004175081E-3"/>
    <x v="1"/>
    <n v="0"/>
    <x v="171"/>
  </r>
  <r>
    <d v="2016-09-30T00:00:00"/>
    <x v="12"/>
    <s v="NA"/>
    <n v="40167494.279139601"/>
    <n v="354.41109999999998"/>
    <m/>
    <n v="0"/>
    <n v="-0.22036382555961609"/>
    <n v="0"/>
    <m/>
    <n v="113335.88106901731"/>
    <n v="-0.22036382555961609"/>
    <n v="0"/>
    <n v="0"/>
    <m/>
    <s v="Hedge Fund"/>
    <n v="3.2837580000000005E-2"/>
    <n v="0.33582352000000004"/>
    <n v="2.53041E-2"/>
    <n v="8.7469094999999997E-2"/>
    <s v="ARF"/>
    <n v="12.722340904849704"/>
    <s v="HRF"/>
    <n v="4.8282204920653315"/>
    <m/>
    <m/>
    <m/>
    <m/>
    <m/>
    <m/>
    <m/>
    <d v="2016-09-30T00:00:00"/>
    <n v="4.9343041228948392E-2"/>
    <x v="1"/>
    <n v="0"/>
    <x v="172"/>
  </r>
  <r>
    <d v="2016-10-31T00:00:00"/>
    <x v="12"/>
    <s v="NA"/>
    <n v="40978146.452339955"/>
    <n v="361.56369999999998"/>
    <m/>
    <n v="5.9502661004662514"/>
    <n v="0"/>
    <n v="0"/>
    <m/>
    <n v="113335.89752605131"/>
    <n v="5.9502661004662514"/>
    <n v="0"/>
    <n v="0"/>
    <m/>
    <s v="Hedge Fund"/>
    <n v="3.3931999999999997E-2"/>
    <n v="0.416186"/>
    <n v="2.6147569999999998E-2"/>
    <n v="0.11862433999999999"/>
    <s v="ARF"/>
    <n v="12.979098708304583"/>
    <s v="HRF"/>
    <n v="4.9256619375831123"/>
    <m/>
    <m/>
    <m/>
    <m/>
    <m/>
    <m/>
    <m/>
    <d v="2016-10-31T00:00:00"/>
    <n v="2.0181647809563552E-2"/>
    <x v="1"/>
    <n v="0"/>
    <x v="173"/>
  </r>
  <r>
    <d v="2016-11-30T00:00:00"/>
    <x v="12"/>
    <s v="NA"/>
    <n v="40860433.568360403"/>
    <n v="360.52509999999995"/>
    <m/>
    <n v="0"/>
    <n v="-2.2208089902997017"/>
    <n v="0"/>
    <m/>
    <n v="113335.89136612238"/>
    <n v="-2.2208089902997017"/>
    <n v="0"/>
    <n v="0"/>
    <m/>
    <s v="Hedge Fund"/>
    <n v="5.5823913803974605E-2"/>
    <n v="0.38452260999999999"/>
    <n v="2.53041E-2"/>
    <n v="0.10904601"/>
    <s v="ARF"/>
    <n v="12.941815950332904"/>
    <s v="HRF"/>
    <n v="4.9115128609795331"/>
    <m/>
    <m/>
    <m/>
    <m/>
    <m/>
    <m/>
    <m/>
    <d v="2016-11-30T00:00:00"/>
    <n v="-2.8725228777115586E-3"/>
    <x v="1"/>
    <n v="0"/>
    <x v="174"/>
  </r>
  <r>
    <d v="2016-12-30T00:00:00"/>
    <x v="12"/>
    <s v="NA"/>
    <n v="39606680.615125783"/>
    <n v="360.03649999999999"/>
    <m/>
    <n v="0"/>
    <n v="-1198377.0367131382"/>
    <n v="0"/>
    <m/>
    <n v="110007.40373580396"/>
    <n v="-1198377.0367131382"/>
    <n v="0"/>
    <n v="0"/>
    <m/>
    <s v="Hedge Fund"/>
    <n v="3.2837580472926203E-2"/>
    <n v="0.38246409000000003"/>
    <n v="2.53041E-2"/>
    <n v="0.10286745"/>
    <s v="ARF"/>
    <n v="12.924276613201224"/>
    <s v="HRF"/>
    <n v="0"/>
    <m/>
    <m/>
    <m/>
    <m/>
    <m/>
    <m/>
    <m/>
    <d v="2016-12-30T00:00:00"/>
    <n v="-1.3552454461560615E-3"/>
    <x v="1"/>
    <n v="0"/>
    <x v="175"/>
  </r>
  <r>
    <d v="2017-01-27T00:00:00"/>
    <x v="12"/>
    <s v="NA"/>
    <n v="39296709.031208202"/>
    <n v="357.21870000000001"/>
    <m/>
    <n v="7.2783291637897491"/>
    <n v="0"/>
    <n v="0"/>
    <m/>
    <n v="110007.42411079879"/>
    <n v="7.2783291637897491"/>
    <n v="0"/>
    <n v="0"/>
    <m/>
    <s v="Hedge Fund"/>
    <n v="3.1742989999999999E-2"/>
    <n v="0"/>
    <n v="2.4460619999999999E-2"/>
    <n v="0"/>
    <s v="ARF"/>
    <n v="12.823125683668584"/>
    <s v="HRF"/>
    <n v="0"/>
    <m/>
    <m/>
    <m/>
    <m/>
    <m/>
    <m/>
    <m/>
    <d v="2017-01-27T00:00:00"/>
    <n v="-7.8264287093112728E-3"/>
    <x v="1"/>
    <n v="0"/>
    <x v="176"/>
  </r>
  <r>
    <d v="2017-02-28T00:00:00"/>
    <x v="12"/>
    <s v="NA"/>
    <n v="39990175.47273083"/>
    <n v="369.30579999999992"/>
    <m/>
    <n v="0"/>
    <n v="-636204.29444699734"/>
    <n v="0"/>
    <m/>
    <n v="108284.72088099032"/>
    <n v="-636204.29444699734"/>
    <n v="0"/>
    <n v="0"/>
    <m/>
    <s v="Hedge Fund"/>
    <n v="3.5122730275699697E-2"/>
    <n v="9.6379080000000006E-2"/>
    <n v="2.7064999999999999E-2"/>
    <n v="3.8411020000000004E-2"/>
    <s v="ARF"/>
    <n v="13.257017869187063"/>
    <s v="HRF"/>
    <n v="0"/>
    <m/>
    <m/>
    <m/>
    <m/>
    <m/>
    <m/>
    <m/>
    <d v="2017-02-28T00:00:00"/>
    <n v="3.3836694439568493E-2"/>
    <x v="1"/>
    <n v="0"/>
    <x v="177"/>
  </r>
  <r>
    <d v="2017-03-31T00:00:00"/>
    <x v="12"/>
    <s v="NA"/>
    <n v="39677061.627127267"/>
    <n v="366.41419999999999"/>
    <m/>
    <n v="2.2532959058880806"/>
    <n v="0"/>
    <n v="0"/>
    <m/>
    <n v="108284.72703057705"/>
    <n v="2.2532959058880806"/>
    <n v="0"/>
    <n v="0"/>
    <m/>
    <s v="Hedge Fund"/>
    <n v="3.4025157142084102E-2"/>
    <n v="5.2839410000000003E-2"/>
    <n v="2.621923E-2"/>
    <n v="1.9086499999999999E-2"/>
    <s v="ARF"/>
    <n v="13.153217731548985"/>
    <s v="HRF"/>
    <n v="0"/>
    <m/>
    <m/>
    <m/>
    <m/>
    <m/>
    <m/>
    <m/>
    <d v="2017-03-31T00:00:00"/>
    <n v="-7.8298255808599837E-3"/>
    <x v="1"/>
    <n v="0"/>
    <x v="178"/>
  </r>
  <r>
    <d v="2017-04-28T00:00:00"/>
    <x v="12"/>
    <s v="NA"/>
    <n v="39535342.370000005"/>
    <n v="365.10550000000006"/>
    <m/>
    <n v="0"/>
    <n v="-7.0348623543977737"/>
    <n v="0"/>
    <m/>
    <n v="108284.70776255082"/>
    <n v="-7.0348623543977737"/>
    <n v="0"/>
    <n v="0"/>
    <m/>
    <s v="Hedge Fund"/>
    <n v="3.073238E-2"/>
    <n v="3.0317409999999999E-2"/>
    <n v="2.3681859999999999E-2"/>
    <n v="9.0461199999999995E-3"/>
    <s v="ARF"/>
    <n v="13.106239159088425"/>
    <s v="HRF"/>
    <n v="0"/>
    <m/>
    <m/>
    <m/>
    <m/>
    <m/>
    <m/>
    <m/>
    <d v="2017-04-28T00:00:00"/>
    <n v="-3.5716410553955358E-3"/>
    <x v="1"/>
    <n v="0"/>
    <x v="179"/>
  </r>
  <r>
    <d v="2017-05-31T00:00:00"/>
    <x v="12"/>
    <s v="NA"/>
    <n v="37875996.793296397"/>
    <n v="349.78149999999999"/>
    <m/>
    <n v="9.2850497290492058"/>
    <n v="0"/>
    <n v="0"/>
    <m/>
    <n v="108284.73430783617"/>
    <n v="9.2850497290492058"/>
    <n v="0"/>
    <n v="0"/>
    <m/>
    <s v="Hedge Fund"/>
    <n v="3.6220313409315301E-2"/>
    <n v="2.7910770000000001E-2"/>
    <n v="0"/>
    <n v="0"/>
    <s v="ARF"/>
    <n v="12.556151557357223"/>
    <s v="HRF"/>
    <n v="0"/>
    <m/>
    <m/>
    <m/>
    <m/>
    <m/>
    <m/>
    <m/>
    <d v="2017-05-31T00:00:00"/>
    <n v="-4.1971430175661739E-2"/>
    <x v="1"/>
    <n v="0"/>
    <x v="180"/>
  </r>
  <r>
    <d v="2017-06-30T00:00:00"/>
    <x v="12"/>
    <s v="NA"/>
    <n v="37808882.209424123"/>
    <n v="349.16180000000003"/>
    <m/>
    <n v="0"/>
    <n v="-10.534021712839603"/>
    <n v="0"/>
    <m/>
    <n v="108284.70413837975"/>
    <n v="-10.534021712839603"/>
    <n v="0"/>
    <n v="0"/>
    <m/>
    <s v="Hedge Fund"/>
    <n v="3.2927554008468501E-2"/>
    <n v="2.537E-2"/>
    <n v="0"/>
    <n v="0"/>
    <s v="ARF"/>
    <n v="12.533906106639865"/>
    <s v="HRF"/>
    <n v="0"/>
    <m/>
    <m/>
    <m/>
    <m/>
    <m/>
    <m/>
    <m/>
    <d v="2017-06-30T00:00:00"/>
    <n v="-1.7716774615008646E-3"/>
    <x v="1"/>
    <n v="0"/>
    <x v="181"/>
  </r>
  <r>
    <d v="2017-07-31T00:00:00"/>
    <x v="12"/>
    <s v="NA"/>
    <n v="36962039.780000001"/>
    <n v="341.34120000000001"/>
    <m/>
    <n v="8.9277604892849922"/>
    <n v="0"/>
    <n v="0"/>
    <m/>
    <n v="108284.73029332526"/>
    <n v="8.9277604892849922"/>
    <n v="0"/>
    <n v="0"/>
    <m/>
    <s v="Hedge Fund"/>
    <n v="3.4025146999999999E-2"/>
    <n v="0"/>
    <n v="2.6218999999999999E-2"/>
    <n v="0"/>
    <s v="ARF"/>
    <n v="12.253169021146583"/>
    <s v="HRF"/>
    <n v="0"/>
    <m/>
    <m/>
    <m/>
    <m/>
    <m/>
    <m/>
    <m/>
    <d v="2017-07-31T00:00:00"/>
    <n v="-2.239821194643854E-2"/>
    <x v="1"/>
    <n v="0"/>
    <x v="182"/>
  </r>
  <r>
    <d v="2017-08-31T00:00:00"/>
    <x v="12"/>
    <s v="NA"/>
    <n v="37670000"/>
    <n v="347.87959999999998"/>
    <m/>
    <n v="0"/>
    <n v="-48.660549871623516"/>
    <n v="0"/>
    <m/>
    <n v="108284.59041576454"/>
    <n v="-48.660549871623516"/>
    <n v="0"/>
    <n v="0"/>
    <m/>
    <s v="Hedge Fund"/>
    <n v="3.4025146999999999E-2"/>
    <n v="0"/>
    <n v="2.6218999999999999E-2"/>
    <n v="0"/>
    <s v="ARF"/>
    <n v="12.487878808092503"/>
    <s v="HRF"/>
    <n v="0"/>
    <m/>
    <m/>
    <m/>
    <m/>
    <m/>
    <m/>
    <m/>
    <d v="2017-08-31T00:00:00"/>
    <n v="1.915502728648022E-2"/>
    <x v="1"/>
    <n v="0"/>
    <x v="183"/>
  </r>
  <r>
    <d v="2017-09-29T00:00:00"/>
    <x v="12"/>
    <s v="NA"/>
    <n v="36996300"/>
    <n v="341.65800000000002"/>
    <m/>
    <n v="3.4077307134866714"/>
    <n v="0"/>
    <n v="0"/>
    <m/>
    <n v="108284.60038986354"/>
    <n v="3.4077307134866714"/>
    <n v="0"/>
    <n v="0"/>
    <m/>
    <s v="Hedge Fund"/>
    <n v="3.1800000000000002E-2"/>
    <n v="0"/>
    <n v="2.4527630000000002E-2"/>
    <n v="0"/>
    <s v="ARF"/>
    <n v="12.264541231550423"/>
    <s v="HRF"/>
    <n v="0"/>
    <m/>
    <m/>
    <m/>
    <m/>
    <m/>
    <m/>
    <m/>
    <d v="2017-09-29T00:00:00"/>
    <n v="-1.7884348492984148E-2"/>
    <x v="1"/>
    <n v="0"/>
    <x v="184"/>
  </r>
  <r>
    <d v="2017-10-31T00:00:00"/>
    <x v="12"/>
    <s v="NA"/>
    <n v="36253200"/>
    <n v="334.79489999999998"/>
    <m/>
    <n v="68.040935680270195"/>
    <n v="0"/>
    <n v="0"/>
    <m/>
    <n v="108284.80362156055"/>
    <n v="68.040935680270195"/>
    <n v="0"/>
    <n v="0"/>
    <m/>
    <s v="Hedge Fund"/>
    <n v="3.5099999999999999E-2"/>
    <n v="0"/>
    <n v="2.7064999999999999E-2"/>
    <n v="0"/>
    <s v="ARF"/>
    <n v="12.018175646883142"/>
    <s v="HRF"/>
    <n v="0"/>
    <m/>
    <m/>
    <m/>
    <m/>
    <m/>
    <m/>
    <m/>
    <d v="2017-10-31T00:00:00"/>
    <n v="-2.0087631491140456E-2"/>
    <x v="1"/>
    <n v="0"/>
    <x v="185"/>
  </r>
  <r>
    <d v="2017-11-30T00:00:00"/>
    <x v="12"/>
    <s v="NA"/>
    <n v="36213318.939999998"/>
    <n v="334.42689999999993"/>
    <m/>
    <n v="0"/>
    <n v="-32.252267263829708"/>
    <n v="0"/>
    <m/>
    <n v="108284.70718115081"/>
    <n v="-32.252267263829708"/>
    <n v="0"/>
    <n v="0"/>
    <m/>
    <s v="Hedge Fund"/>
    <n v="3.2927600000000001E-2"/>
    <n v="0"/>
    <n v="2.5373429999999999E-2"/>
    <n v="0"/>
    <s v="ARF"/>
    <n v="12.004965503484742"/>
    <s v="HRF"/>
    <n v="0"/>
    <m/>
    <m/>
    <m/>
    <m/>
    <m/>
    <m/>
    <m/>
    <d v="2017-11-30T00:00:00"/>
    <n v="-1.0991804235968017E-3"/>
    <x v="1"/>
    <n v="0"/>
    <x v="186"/>
  </r>
  <r>
    <d v="2017-12-29T00:00:00"/>
    <x v="12"/>
    <s v="NA"/>
    <n v="35787200"/>
    <n v="330.49180000000007"/>
    <m/>
    <n v="0"/>
    <n v="-7.788771465420723"/>
    <n v="0"/>
    <m/>
    <n v="108284.68361393534"/>
    <n v="-7.788771465420723"/>
    <n v="0"/>
    <n v="0"/>
    <m/>
    <s v="Hedge Fund"/>
    <n v="3.1829999999999997E-2"/>
    <n v="0"/>
    <n v="2.452764E-2"/>
    <n v="0"/>
    <s v="ARF"/>
    <n v="11.863706711943863"/>
    <s v="HRF"/>
    <n v="0"/>
    <m/>
    <m/>
    <m/>
    <m/>
    <m/>
    <m/>
    <m/>
    <d v="2017-12-29T00:00:00"/>
    <n v="-1.1766696997161041E-2"/>
    <x v="1"/>
    <n v="0"/>
    <x v="187"/>
  </r>
  <r>
    <d v="2018-01-31T00:00:00"/>
    <x v="12"/>
    <s v="NA"/>
    <n v="35143700"/>
    <n v="330.08280000000002"/>
    <m/>
    <n v="0"/>
    <n v="-599211.56440189481"/>
    <n v="0"/>
    <m/>
    <n v="106469.34647912584"/>
    <n v="-599211.56440189481"/>
    <n v="0"/>
    <n v="0"/>
    <m/>
    <s v="Hedge Fund"/>
    <n v="3.6220299999999997E-2"/>
    <n v="0"/>
    <n v="2.7910770000000001E-2"/>
    <n v="0"/>
    <s v="ARF"/>
    <n v="11.849024786264662"/>
    <s v="HRF"/>
    <n v="0"/>
    <m/>
    <m/>
    <m/>
    <m/>
    <m/>
    <m/>
    <m/>
    <d v="2018-01-31T00:00:00"/>
    <n v="-1.2375496154520826E-3"/>
    <x v="1"/>
    <n v="0"/>
    <x v="188"/>
  </r>
  <r>
    <d v="2018-02-28T00:00:00"/>
    <x v="12"/>
    <s v="NA"/>
    <n v="38372000"/>
    <n v="360.40450000000004"/>
    <m/>
    <n v="0"/>
    <n v="-31.583136111497879"/>
    <n v="0"/>
    <m/>
    <n v="106469.25884665702"/>
    <n v="-31.583136111497879"/>
    <n v="0"/>
    <n v="0"/>
    <m/>
    <s v="Hedge Fund"/>
    <n v="3.07324E-2"/>
    <n v="0"/>
    <n v="2.3681859999999999E-2"/>
    <n v="0"/>
    <s v="ARF"/>
    <n v="12.937486756599624"/>
    <s v="HRF"/>
    <n v="3.0559654789352"/>
    <m/>
    <m/>
    <m/>
    <m/>
    <m/>
    <m/>
    <m/>
    <d v="2018-02-28T00:00:00"/>
    <n v="9.1860890661373595E-2"/>
    <x v="1"/>
    <n v="0"/>
    <x v="189"/>
  </r>
  <r>
    <d v="2018-03-29T00:00:00"/>
    <x v="12"/>
    <s v="NA"/>
    <n v="39107903.892808802"/>
    <n v="367.31650000000002"/>
    <m/>
    <n v="0"/>
    <n v="0"/>
    <n v="0"/>
    <m/>
    <n v="106469.22719999999"/>
    <n v="0"/>
    <n v="0"/>
    <n v="0"/>
    <m/>
    <s v="Hedge Fund"/>
    <n v="3.1829974438904118E-2"/>
    <n v="1.29385E-2"/>
    <n v="2.4527640000000003E-2"/>
    <n v="2.7769500000000003E-3"/>
    <s v="ARF"/>
    <n v="13.185607710865199"/>
    <s v="HRF"/>
    <n v="3.1145741627624002"/>
    <m/>
    <m/>
    <m/>
    <m/>
    <m/>
    <m/>
    <m/>
    <d v="2018-03-29T00:00:00"/>
    <n v="1.9178147941436574E-2"/>
    <x v="1"/>
    <n v="0"/>
    <x v="190"/>
  </r>
  <r>
    <d v="2018-04-30T00:00:00"/>
    <x v="12"/>
    <s v="NA"/>
    <n v="39272814.07881888"/>
    <n v="368.86540000000002"/>
    <m/>
    <n v="0"/>
    <n v="0"/>
    <n v="0"/>
    <m/>
    <n v="106469.22719999999"/>
    <n v="0"/>
    <n v="0"/>
    <n v="0"/>
    <m/>
    <s v="Hedge Fund"/>
    <n v="3.1829974438904118E-2"/>
    <n v="2.1668300000000001E-2"/>
    <n v="2.7064999999999999E-2"/>
    <n v="4.78576E-3"/>
    <s v="ARF"/>
    <n v="13.241208773663521"/>
    <s v="HRF"/>
    <n v="3.1277076972502407"/>
    <m/>
    <m/>
    <m/>
    <m/>
    <m/>
    <m/>
    <m/>
    <d v="2018-04-30T00:00:00"/>
    <n v="4.2167994086843574E-3"/>
    <x v="1"/>
    <n v="0"/>
    <x v="191"/>
  </r>
  <r>
    <d v="2018-05-31T00:00:00"/>
    <x v="12"/>
    <s v="NA"/>
    <n v="39000157.034882396"/>
    <n v="366.30450000000002"/>
    <m/>
    <n v="0"/>
    <n v="0"/>
    <n v="0"/>
    <m/>
    <n v="106469.22719999999"/>
    <n v="0"/>
    <n v="0"/>
    <n v="0"/>
    <m/>
    <s v="Hedge Fund"/>
    <n v="3.4025199999999999E-2"/>
    <n v="1.8799999999999999E-4"/>
    <n v="2.6219230000000003E-2"/>
    <n v="0"/>
    <s v="ARF"/>
    <n v="13.149279816519599"/>
    <s v="HRF"/>
    <n v="3.1059931459752006"/>
    <m/>
    <m/>
    <m/>
    <m/>
    <m/>
    <m/>
    <m/>
    <d v="2018-05-31T00:00:00"/>
    <n v="-6.9426408657468075E-3"/>
    <x v="1"/>
    <n v="0"/>
    <x v="192"/>
  </r>
  <r>
    <d v="2018-06-29T00:00:00"/>
    <x v="12"/>
    <s v="NA"/>
    <n v="39322567.148689434"/>
    <n v="369.33269999999999"/>
    <m/>
    <n v="0"/>
    <n v="0"/>
    <n v="0"/>
    <m/>
    <n v="106469.22719999999"/>
    <n v="0"/>
    <n v="0"/>
    <n v="0"/>
    <m/>
    <s v="Hedge Fund"/>
    <n v="3.1829959999999997E-2"/>
    <n v="1.9698029999999998E-2"/>
    <n v="2.4527640000000003E-2"/>
    <n v="4.3001899999999997E-3"/>
    <s v="ARF"/>
    <n v="13.25798350195176"/>
    <s v="HRF"/>
    <n v="3.13167005806512"/>
    <m/>
    <m/>
    <m/>
    <m/>
    <m/>
    <m/>
    <m/>
    <d v="2018-06-29T00:00:00"/>
    <n v="8.2668927081157584E-3"/>
    <x v="1"/>
    <n v="0"/>
    <x v="193"/>
  </r>
  <r>
    <d v="2018-07-31T00:00:00"/>
    <x v="12"/>
    <s v="NA"/>
    <n v="38565091.831775039"/>
    <n v="362.21820000000002"/>
    <m/>
    <n v="0"/>
    <n v="0"/>
    <n v="0"/>
    <m/>
    <n v="106469.22719999999"/>
    <n v="0"/>
    <n v="0"/>
    <n v="0"/>
    <m/>
    <s v="Hedge Fund"/>
    <n v="3.5122730275699732E-2"/>
    <n v="0"/>
    <n v="2.7064999999999999E-2"/>
    <n v="0"/>
    <s v="ARF"/>
    <n v="13.002593379104161"/>
    <s v="HRF"/>
    <n v="3.0713443229539203"/>
    <m/>
    <m/>
    <m/>
    <m/>
    <m/>
    <m/>
    <m/>
    <d v="2018-07-31T00:00:00"/>
    <n v="-1.9263119675024587E-2"/>
    <x v="1"/>
    <n v="0"/>
    <x v="194"/>
  </r>
  <r>
    <d v="2018-08-31T00:00:00"/>
    <x v="12"/>
    <s v="NA"/>
    <n v="37760099.298761278"/>
    <n v="354.6574"/>
    <m/>
    <n v="0"/>
    <n v="0"/>
    <n v="0"/>
    <m/>
    <n v="106469.22719999999"/>
    <n v="0"/>
    <n v="0"/>
    <n v="0"/>
    <m/>
    <s v="Hedge Fund"/>
    <n v="3.4025157159070403E-2"/>
    <n v="0"/>
    <n v="2.6219230000000003E-2"/>
    <n v="0"/>
    <s v="ARF"/>
    <n v="12.731182367673119"/>
    <s v="HRF"/>
    <n v="3.0072342916054398"/>
    <m/>
    <m/>
    <m/>
    <m/>
    <m/>
    <m/>
    <m/>
    <d v="2018-08-31T00:00:00"/>
    <n v="-2.0873606019796931E-2"/>
    <x v="1"/>
    <n v="0"/>
    <x v="195"/>
  </r>
  <r>
    <d v="2018-09-28T00:00:00"/>
    <x v="12"/>
    <s v="NA"/>
    <n v="37504777.0763437"/>
    <n v="352.2593"/>
    <n v="0"/>
    <n v="0"/>
    <n v="0"/>
    <n v="0"/>
    <m/>
    <n v="106469.22719999999"/>
    <n v="0"/>
    <n v="0"/>
    <n v="0"/>
    <m/>
    <s v="Hedge Fund"/>
    <n v="3.0732380111100278E-2"/>
    <n v="0"/>
    <n v="2.3681859999999999E-2"/>
    <m/>
    <s v="ARF"/>
    <n v="12.645097463097839"/>
    <s v="HRF"/>
    <n v="2.9869001647700801"/>
    <m/>
    <m/>
    <m/>
    <m/>
    <m/>
    <m/>
    <m/>
    <d v="2018-09-28T00:00:00"/>
    <n v="-6.7616936173140463E-3"/>
    <x v="1"/>
    <n v="0"/>
    <x v="196"/>
  </r>
  <r>
    <d v="2018-10-31T00:00:00"/>
    <x v="12"/>
    <s v="NA"/>
    <n v="43122857.423479624"/>
    <n v="405.02640000000002"/>
    <n v="0"/>
    <n v="0"/>
    <n v="0"/>
    <n v="0"/>
    <m/>
    <n v="106469.22719999999"/>
    <n v="0"/>
    <n v="0"/>
    <n v="-405.02640000000002"/>
    <m/>
    <s v="Hedge Fund"/>
    <n v="3.6220311238082468E-2"/>
    <n v="0.38104188999999999"/>
    <n v="2.7910770000000001E-2"/>
    <n v="0.13629435499999998"/>
    <s v="ARF"/>
    <n v="14.539284848200321"/>
    <s v="HRF"/>
    <n v="3.4343264206118405"/>
    <m/>
    <m/>
    <m/>
    <m/>
    <m/>
    <m/>
    <m/>
    <d v="2018-10-31T00:00:00"/>
    <n v="0.14979639355541052"/>
    <x v="1"/>
    <n v="0"/>
    <x v="197"/>
  </r>
  <r>
    <d v="2014-09-24T00:00:00"/>
    <x v="13"/>
    <s v="NA"/>
    <n v="56000000"/>
    <n v="103.70370370370371"/>
    <m/>
    <n v="56000000"/>
    <n v="0"/>
    <n v="0"/>
    <m/>
    <n v="540000"/>
    <n v="56000000"/>
    <n v="103.70370370370371"/>
    <n v="56000000"/>
    <m/>
    <s v="Private Equity Fund"/>
    <n v="0"/>
    <n v="0"/>
    <n v="0"/>
    <n v="0"/>
    <m/>
    <m/>
    <m/>
    <m/>
    <m/>
    <m/>
    <m/>
    <m/>
    <m/>
    <m/>
    <m/>
    <d v="2014-09-24T00:00:00"/>
    <n v="-1"/>
    <x v="3"/>
    <n v="0"/>
    <x v="12"/>
  </r>
  <r>
    <d v="2014-09-30T00:00:00"/>
    <x v="13"/>
    <s v="NA"/>
    <n v="55978302.18"/>
    <n v="103.66352255555556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7564749499999999"/>
    <s v="HRF"/>
    <n v="0.25092499000000001"/>
    <m/>
    <m/>
    <m/>
    <m/>
    <m/>
    <m/>
    <m/>
    <d v="2014-09-30T00:00:00"/>
    <n v="-3.8746107142861863E-4"/>
    <x v="3"/>
    <n v="0"/>
    <x v="12"/>
  </r>
  <r>
    <d v="2014-10-31T00:00:00"/>
    <x v="13"/>
    <s v="NA"/>
    <n v="55978302.18"/>
    <n v="103.66352255555556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7856961"/>
    <s v="HRF"/>
    <n v="0.25509944000000001"/>
    <m/>
    <m/>
    <m/>
    <m/>
    <m/>
    <m/>
    <m/>
    <d v="2014-10-31T00:00:00"/>
    <n v="0"/>
    <x v="3"/>
    <n v="0"/>
    <x v="149"/>
  </r>
  <r>
    <d v="2014-11-28T00:00:00"/>
    <x v="13"/>
    <s v="NA"/>
    <n v="55978302.18"/>
    <n v="103.66352255555556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8122402"/>
    <s v="HRF"/>
    <n v="0.24541923000000002"/>
    <m/>
    <m/>
    <m/>
    <m/>
    <m/>
    <m/>
    <m/>
    <d v="2014-11-28T00:00:00"/>
    <n v="0"/>
    <x v="3"/>
    <n v="0"/>
    <x v="150"/>
  </r>
  <r>
    <d v="2014-12-31T00:00:00"/>
    <x v="13"/>
    <s v="NA"/>
    <n v="55572933.236718029"/>
    <n v="102.91283932725561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7499584099999999"/>
    <s v="HRF"/>
    <n v="0.24999405999999999"/>
    <m/>
    <m/>
    <m/>
    <m/>
    <m/>
    <m/>
    <m/>
    <d v="2014-12-31T00:00:00"/>
    <n v="-7.2415369436982235E-3"/>
    <x v="3"/>
    <n v="0"/>
    <x v="151"/>
  </r>
  <r>
    <d v="2015-01-30T00:00:00"/>
    <x v="13"/>
    <s v="NA"/>
    <n v="55572933.236717999"/>
    <n v="102.91283932725558"/>
    <m/>
    <n v="0"/>
    <n v="-1.4901161193847656E-8"/>
    <n v="0"/>
    <m/>
    <n v="539999.99999999988"/>
    <n v="-1.4901161193847656E-8"/>
    <n v="0"/>
    <n v="-1.4901161193847656E-8"/>
    <m/>
    <s v="Private Equity Fund"/>
    <n v="4.5000000000000005E-2"/>
    <n v="0"/>
    <n v="3.5833333333333335E-2"/>
    <n v="0"/>
    <s v="CHFC3"/>
    <n v="1.77869593"/>
    <s v="HRF"/>
    <n v="0.25409942000000002"/>
    <m/>
    <m/>
    <m/>
    <m/>
    <m/>
    <m/>
    <m/>
    <d v="2015-01-30T00:00:00"/>
    <n v="-2.2204460492503131E-16"/>
    <x v="3"/>
    <n v="0"/>
    <x v="152"/>
  </r>
  <r>
    <d v="2015-02-27T00:00:00"/>
    <x v="13"/>
    <s v="NA"/>
    <n v="55572933.236717999"/>
    <n v="102.91283932725558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8054948500000001"/>
    <s v="HRF"/>
    <n v="0.25792784000000002"/>
    <m/>
    <m/>
    <m/>
    <m/>
    <m/>
    <m/>
    <m/>
    <d v="2015-02-27T00:00:00"/>
    <n v="0"/>
    <x v="3"/>
    <n v="0"/>
    <x v="153"/>
  </r>
  <r>
    <d v="2015-03-31T00:00:00"/>
    <x v="13"/>
    <s v="NA"/>
    <n v="55376503.040502302"/>
    <n v="102.54907970463391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8366406899999999"/>
    <s v="HRF"/>
    <n v="0.26237724000000001"/>
    <m/>
    <m/>
    <m/>
    <m/>
    <m/>
    <m/>
    <m/>
    <d v="2015-03-31T00:00:00"/>
    <n v="-3.5346379032934472E-3"/>
    <x v="3"/>
    <n v="0"/>
    <x v="154"/>
  </r>
  <r>
    <d v="2015-04-30T00:00:00"/>
    <x v="13"/>
    <s v="NA"/>
    <n v="55376503.040502302"/>
    <n v="102.54907970463391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8649194599999999"/>
    <s v="HRF"/>
    <n v="0.26641707000000003"/>
    <m/>
    <m/>
    <m/>
    <m/>
    <m/>
    <m/>
    <m/>
    <d v="2015-04-30T00:00:00"/>
    <n v="0"/>
    <x v="3"/>
    <n v="0"/>
    <x v="155"/>
  </r>
  <r>
    <d v="2015-05-29T00:00:00"/>
    <x v="13"/>
    <s v="NA"/>
    <n v="55376503.040502302"/>
    <n v="102.54907970463391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7176623999999998"/>
    <s v="HRF"/>
    <n v="0.24538034"/>
    <m/>
    <m/>
    <m/>
    <m/>
    <m/>
    <m/>
    <m/>
    <d v="2015-05-29T00:00:00"/>
    <n v="0"/>
    <x v="3"/>
    <n v="0"/>
    <x v="156"/>
  </r>
  <r>
    <d v="2015-06-30T00:00:00"/>
    <x v="13"/>
    <s v="NA"/>
    <n v="54986154.609450459"/>
    <n v="101.82621223972309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74877598"/>
    <s v="HRF"/>
    <n v="0.24982514"/>
    <m/>
    <m/>
    <m/>
    <m/>
    <m/>
    <m/>
    <m/>
    <d v="2015-06-30T00:00:00"/>
    <n v="-7.048990268785027E-3"/>
    <x v="3"/>
    <n v="0"/>
    <x v="157"/>
  </r>
  <r>
    <d v="2015-07-31T00:00:00"/>
    <x v="13"/>
    <s v="NA"/>
    <n v="54986154.609450459"/>
    <n v="101.82621223972309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7773161899999999"/>
    <s v="HRF"/>
    <n v="0.25390231000000002"/>
    <m/>
    <m/>
    <m/>
    <m/>
    <m/>
    <m/>
    <m/>
    <d v="2015-07-31T00:00:00"/>
    <n v="0"/>
    <x v="3"/>
    <n v="0"/>
    <x v="158"/>
  </r>
  <r>
    <d v="2015-08-31T00:00:00"/>
    <x v="13"/>
    <s v="NA"/>
    <n v="71186154.609450504"/>
    <n v="101.40477864594089"/>
    <m/>
    <n v="16200000"/>
    <n v="0"/>
    <n v="0"/>
    <m/>
    <n v="702000"/>
    <n v="16200000"/>
    <n v="0"/>
    <n v="16200000"/>
    <m/>
    <s v="Private Equity Fund"/>
    <n v="5.8500000000000003E-2"/>
    <n v="0"/>
    <n v="3.5833333333333335E-2"/>
    <n v="0"/>
    <s v="CHFC3"/>
    <n v="1.806983"/>
    <s v="HRF"/>
    <n v="0.25813999999999998"/>
    <m/>
    <m/>
    <m/>
    <m/>
    <m/>
    <m/>
    <m/>
    <d v="2015-08-31T00:00:00"/>
    <n v="8.8817841970012523E-16"/>
    <x v="3"/>
    <n v="0"/>
    <x v="159"/>
  </r>
  <r>
    <d v="2015-09-30T00:00:00"/>
    <x v="13"/>
    <s v="NA"/>
    <n v="70994040.009999931"/>
    <n v="101.13111112535601"/>
    <m/>
    <n v="1.4901161193847656E-8"/>
    <n v="0"/>
    <n v="0"/>
    <m/>
    <n v="702000.00000000012"/>
    <n v="1.4901161193847656E-8"/>
    <n v="0"/>
    <n v="1.4901161193847656E-8"/>
    <m/>
    <s v="Private Equity Fund"/>
    <n v="5.8500000000000003E-2"/>
    <n v="0"/>
    <n v="3.5833333333333335E-2"/>
    <n v="0"/>
    <s v="CHFC3"/>
    <n v="1.8354680000000001"/>
    <s v="HRF"/>
    <n v="0.26221"/>
    <m/>
    <m/>
    <m/>
    <m/>
    <m/>
    <m/>
    <m/>
    <d v="2015-09-30T00:00:00"/>
    <n v="-2.6987635517691233E-3"/>
    <x v="3"/>
    <n v="0"/>
    <x v="160"/>
  </r>
  <r>
    <d v="2015-10-30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63734"/>
    <s v="HRF"/>
    <n v="0.26624799999999998"/>
    <m/>
    <m/>
    <m/>
    <m/>
    <m/>
    <m/>
    <m/>
    <d v="2015-10-30T00:00:00"/>
    <n v="0"/>
    <x v="3"/>
    <n v="0"/>
    <x v="161"/>
  </r>
  <r>
    <d v="2015-11-30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934120000000001"/>
    <s v="HRF"/>
    <n v="0.27048699999999998"/>
    <m/>
    <m/>
    <m/>
    <m/>
    <m/>
    <m/>
    <m/>
    <d v="2015-11-30T00:00:00"/>
    <n v="0"/>
    <x v="3"/>
    <n v="0"/>
    <x v="162"/>
  </r>
  <r>
    <d v="2015-12-31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92361"/>
    <s v="HRF"/>
    <n v="0.27480100000000002"/>
    <m/>
    <m/>
    <m/>
    <m/>
    <m/>
    <m/>
    <m/>
    <d v="2015-12-31T00:00:00"/>
    <n v="0"/>
    <x v="3"/>
    <n v="0"/>
    <x v="163"/>
  </r>
  <r>
    <d v="2016-01-29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950955"/>
    <s v="HRF"/>
    <n v="0.27870800000000001"/>
    <m/>
    <m/>
    <m/>
    <m/>
    <m/>
    <m/>
    <m/>
    <d v="2016-01-29T00:00:00"/>
    <n v="0"/>
    <x v="3"/>
    <n v="0"/>
    <x v="164"/>
  </r>
  <r>
    <d v="2016-02-29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05628"/>
    <s v="HRF"/>
    <n v="0.25794699999999998"/>
    <m/>
    <m/>
    <m/>
    <m/>
    <m/>
    <m/>
    <m/>
    <d v="2016-02-29T00:00:00"/>
    <n v="0"/>
    <x v="3"/>
    <n v="0"/>
    <x v="165"/>
  </r>
  <r>
    <d v="2016-03-31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358209999999999"/>
    <s v="HRF"/>
    <n v="0.26225999999999999"/>
    <m/>
    <m/>
    <m/>
    <m/>
    <m/>
    <m/>
    <m/>
    <d v="2016-03-31T00:00:00"/>
    <n v="0"/>
    <x v="3"/>
    <n v="0"/>
    <x v="166"/>
  </r>
  <r>
    <d v="2016-04-29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631351299999999"/>
    <s v="HRF"/>
    <n v="0.26616215999999998"/>
    <m/>
    <m/>
    <m/>
    <m/>
    <m/>
    <m/>
    <m/>
    <d v="2016-04-29T00:00:00"/>
    <n v="0"/>
    <x v="3"/>
    <n v="0"/>
    <x v="167"/>
  </r>
  <r>
    <d v="2016-05-31T00:00:00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93769"/>
    <s v="HRF"/>
    <n v="0.270538"/>
    <m/>
    <m/>
    <m/>
    <m/>
    <m/>
    <m/>
    <m/>
    <d v="2016-05-31T00:00:00"/>
    <n v="0"/>
    <x v="3"/>
    <n v="0"/>
    <x v="168"/>
  </r>
  <r>
    <d v="2016-06-30T00:00:00"/>
    <x v="13"/>
    <s v="NA"/>
    <n v="279792593.61467302"/>
    <n v="398.5649481690499"/>
    <m/>
    <n v="0"/>
    <n v="-5.9604644775390625E-8"/>
    <n v="0"/>
    <m/>
    <n v="702000"/>
    <n v="-5.9604644775390625E-8"/>
    <n v="0"/>
    <n v="-5.9604644775390625E-8"/>
    <m/>
    <s v="Private Equity Fund"/>
    <n v="5.8500000000000003E-2"/>
    <n v="0"/>
    <n v="3.5833333333333335E-2"/>
    <n v="0"/>
    <s v="CHFC3"/>
    <n v="1.92299"/>
    <s v="HRF"/>
    <n v="0.27471299999999998"/>
    <m/>
    <m/>
    <m/>
    <m/>
    <m/>
    <m/>
    <m/>
    <d v="2016-06-30T00:00:00"/>
    <n v="2.9410715825618974"/>
    <x v="3"/>
    <n v="0"/>
    <x v="169"/>
  </r>
  <r>
    <d v="2016-07-29T00:00:00"/>
    <x v="13"/>
    <s v="NA"/>
    <n v="279792593.61467302"/>
    <n v="398.5649481690499"/>
    <m/>
    <n v="0"/>
    <n v="0"/>
    <n v="0"/>
    <m/>
    <n v="702000"/>
    <n v="0"/>
    <n v="0"/>
    <n v="0"/>
    <m/>
    <s v="Private Equity Fund"/>
    <n v="5.8500000000000003E-2"/>
    <n v="0"/>
    <n v="3.5833333333333335E-2"/>
    <n v="0"/>
    <s v="CHFC3"/>
    <n v="1.950326"/>
    <s v="HRF"/>
    <n v="0.27861799999999998"/>
    <m/>
    <m/>
    <m/>
    <m/>
    <m/>
    <m/>
    <m/>
    <d v="2016-07-29T00:00:00"/>
    <n v="0"/>
    <x v="3"/>
    <n v="0"/>
    <x v="170"/>
  </r>
  <r>
    <d v="2016-08-31T00:00:00"/>
    <x v="13"/>
    <s v="NA"/>
    <n v="279792593.61467302"/>
    <n v="398.5649481690499"/>
    <m/>
    <n v="0"/>
    <n v="0"/>
    <n v="0"/>
    <m/>
    <n v="702000"/>
    <n v="0"/>
    <n v="0"/>
    <n v="0"/>
    <m/>
    <s v="Private Equity Fund"/>
    <n v="5.8500000000000003E-2"/>
    <n v="0"/>
    <n v="3.5833333333333335E-2"/>
    <n v="0"/>
    <s v="CHFC3"/>
    <n v="1.9819199999999999"/>
    <s v="HRF"/>
    <n v="0.28313100000000002"/>
    <m/>
    <m/>
    <m/>
    <m/>
    <m/>
    <m/>
    <m/>
    <d v="2016-08-31T00:00:00"/>
    <n v="0"/>
    <x v="3"/>
    <n v="0"/>
    <x v="171"/>
  </r>
  <r>
    <d v="2016-09-30T00:00:00"/>
    <x v="13"/>
    <s v="NA"/>
    <n v="279298972.78955799"/>
    <n v="397.86178460050991"/>
    <m/>
    <n v="5.9604644775390625E-8"/>
    <n v="0"/>
    <n v="0"/>
    <m/>
    <n v="702000.00000000012"/>
    <n v="5.9604644775390625E-8"/>
    <n v="0"/>
    <n v="5.9604644775390625E-8"/>
    <m/>
    <s v="Private Equity Fund"/>
    <n v="5.8500000000000003E-2"/>
    <n v="0"/>
    <n v="3.5833333333333335E-2"/>
    <n v="0"/>
    <s v="CHFC3"/>
    <n v="2.0111520000000001"/>
    <s v="HRF"/>
    <n v="0.28730699999999998"/>
    <m/>
    <m/>
    <m/>
    <m/>
    <m/>
    <m/>
    <m/>
    <d v="2016-09-30T00:00:00"/>
    <n v="-1.7642383550541263E-3"/>
    <x v="3"/>
    <n v="0"/>
    <x v="172"/>
  </r>
  <r>
    <d v="2016-10-31T00:00:00"/>
    <x v="13"/>
    <s v="NA"/>
    <n v="279298972.78955799"/>
    <n v="397.8617846005099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2.0403980000000002"/>
    <s v="HRF"/>
    <n v="0.29148499999999999"/>
    <m/>
    <m/>
    <m/>
    <m/>
    <m/>
    <m/>
    <m/>
    <d v="2016-10-31T00:00:00"/>
    <n v="0"/>
    <x v="3"/>
    <n v="0"/>
    <x v="173"/>
  </r>
  <r>
    <d v="2016-11-30T00:00:00"/>
    <x v="13"/>
    <s v="NA"/>
    <n v="278335423.63999999"/>
    <n v="388.87999999999994"/>
    <m/>
    <n v="0"/>
    <n v="0"/>
    <n v="0"/>
    <m/>
    <n v="715736.02046903933"/>
    <n v="0"/>
    <n v="0"/>
    <n v="0"/>
    <m/>
    <s v="Private Equity Fund"/>
    <n v="5.8500000000000003E-2"/>
    <n v="0"/>
    <n v="3.5833333333333335E-2"/>
    <n v="0"/>
    <s v="CHFC3"/>
    <n v="2.0689860000000002"/>
    <s v="HRF"/>
    <n v="0.29556900000000003"/>
    <m/>
    <m/>
    <m/>
    <m/>
    <m/>
    <m/>
    <m/>
    <d v="2016-11-30T00:00:00"/>
    <n v="-3.4498843298074178E-3"/>
    <x v="3"/>
    <n v="0"/>
    <x v="174"/>
  </r>
  <r>
    <d v="2016-12-30T00:00:00"/>
    <x v="13"/>
    <s v="NA"/>
    <n v="297515423.63999999"/>
    <n v="388.88"/>
    <m/>
    <n v="19187000"/>
    <n v="0"/>
    <n v="0"/>
    <m/>
    <n v="765057.14780909277"/>
    <n v="19187000"/>
    <n v="0"/>
    <n v="19187000"/>
    <m/>
    <s v="Private Equity Fund"/>
    <n v="5.8500000000000003E-2"/>
    <n v="0"/>
    <n v="3.5833333333333335E-2"/>
    <n v="0"/>
    <s v="CHFC3"/>
    <n v="2.0991960000000001"/>
    <s v="HRF"/>
    <n v="0.29988500000000001"/>
    <m/>
    <m/>
    <m/>
    <m/>
    <m/>
    <m/>
    <m/>
    <d v="2016-12-30T00:00:00"/>
    <n v="-2.5149511723832063E-5"/>
    <x v="3"/>
    <n v="0"/>
    <x v="175"/>
  </r>
  <r>
    <d v="2017-01-27T00:00:00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124657"/>
    <s v="HRF"/>
    <n v="0.30352200000000001"/>
    <m/>
    <m/>
    <m/>
    <m/>
    <m/>
    <m/>
    <m/>
    <d v="2017-01-27T00:00:00"/>
    <n v="0"/>
    <x v="3"/>
    <n v="0"/>
    <x v="176"/>
  </r>
  <r>
    <d v="2017-02-28T00:00:00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1552750000000001"/>
    <s v="HRF"/>
    <n v="0.307896"/>
    <m/>
    <m/>
    <m/>
    <m/>
    <m/>
    <m/>
    <m/>
    <d v="2017-02-28T00:00:00"/>
    <n v="0"/>
    <x v="3"/>
    <n v="0"/>
    <x v="177"/>
  </r>
  <r>
    <d v="2017-03-31T00:00:00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185492"/>
    <s v="HRF"/>
    <n v="0.31221300000000002"/>
    <m/>
    <m/>
    <m/>
    <m/>
    <m/>
    <m/>
    <m/>
    <d v="2017-03-31T00:00:00"/>
    <n v="0"/>
    <x v="3"/>
    <n v="0"/>
    <x v="178"/>
  </r>
  <r>
    <d v="2017-04-28T00:00:00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212866"/>
    <s v="HRF"/>
    <n v="0.31612400000000002"/>
    <m/>
    <m/>
    <m/>
    <m/>
    <m/>
    <m/>
    <m/>
    <d v="2017-04-28T00:00:00"/>
    <n v="0"/>
    <x v="3"/>
    <n v="0"/>
    <x v="179"/>
  </r>
  <r>
    <d v="2017-05-31T00:00:00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2435390000000002"/>
    <s v="HRF"/>
    <n v="0.32050600000000001"/>
    <m/>
    <m/>
    <m/>
    <m/>
    <m/>
    <m/>
    <m/>
    <d v="2017-05-31T00:00:00"/>
    <n v="0"/>
    <x v="3"/>
    <n v="0"/>
    <x v="180"/>
  </r>
  <r>
    <d v="2017-06-30T00:00:00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2468599999999997"/>
    <m/>
    <m/>
    <m/>
    <m/>
    <m/>
    <m/>
    <m/>
    <d v="2017-06-30T00:00:00"/>
    <n v="0.22759992659048156"/>
    <x v="3"/>
    <n v="0"/>
    <x v="181"/>
  </r>
  <r>
    <d v="2017-07-31T00:00:00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2888200000000001"/>
    <m/>
    <m/>
    <m/>
    <m/>
    <m/>
    <m/>
    <m/>
    <d v="2017-07-31T00:00:00"/>
    <n v="0"/>
    <x v="3"/>
    <n v="0"/>
    <x v="182"/>
  </r>
  <r>
    <d v="2017-08-31T00:00:00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3302900000000002"/>
    <m/>
    <m/>
    <m/>
    <m/>
    <m/>
    <m/>
    <m/>
    <d v="2017-08-31T00:00:00"/>
    <n v="0"/>
    <x v="3"/>
    <n v="0"/>
    <x v="183"/>
  </r>
  <r>
    <d v="2017-09-29T00:00:00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3706399999999997"/>
    <m/>
    <m/>
    <m/>
    <m/>
    <m/>
    <m/>
    <m/>
    <d v="2017-09-29T00:00:00"/>
    <n v="0"/>
    <x v="3"/>
    <n v="0"/>
    <x v="184"/>
  </r>
  <r>
    <d v="2017-10-31T00:00:00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41312"/>
    <m/>
    <m/>
    <m/>
    <m/>
    <m/>
    <m/>
    <m/>
    <d v="2017-10-31T00:00:00"/>
    <n v="0"/>
    <x v="3"/>
    <n v="0"/>
    <x v="185"/>
  </r>
  <r>
    <d v="2017-11-30T00:00:00"/>
    <x v="13"/>
    <s v="NA"/>
    <n v="365869890"/>
    <n v="388.8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4544000000000002"/>
    <m/>
    <m/>
    <m/>
    <m/>
    <m/>
    <m/>
    <m/>
    <d v="2017-11-30T00:00:00"/>
    <n v="1.7522600383685916E-3"/>
    <x v="3"/>
    <n v="0"/>
    <x v="186"/>
  </r>
  <r>
    <d v="2017-12-29T00:00:00"/>
    <x v="13"/>
    <s v="NA"/>
    <n v="365869890"/>
    <n v="388.8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4947400000000001"/>
    <m/>
    <m/>
    <m/>
    <m/>
    <m/>
    <m/>
    <m/>
    <d v="2017-12-29T00:00:00"/>
    <n v="0"/>
    <x v="3"/>
    <n v="0"/>
    <x v="187"/>
  </r>
  <r>
    <d v="2018-01-31T00:00:00"/>
    <x v="13"/>
    <s v="NA"/>
    <n v="365869890"/>
    <n v="388.8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5399700000000001"/>
    <m/>
    <m/>
    <m/>
    <m/>
    <m/>
    <m/>
    <m/>
    <d v="2018-01-31T00:00:00"/>
    <n v="0"/>
    <x v="3"/>
    <n v="0"/>
    <x v="188"/>
  </r>
  <r>
    <d v="2018-02-28T00:00:00"/>
    <x v="13"/>
    <s v="NA"/>
    <n v="378493319.47299999"/>
    <n v="402.2973360192614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11.678892614759938"/>
    <s v="HRF"/>
    <n v="1.8387259352400622"/>
    <m/>
    <m/>
    <m/>
    <m/>
    <m/>
    <m/>
    <m/>
    <d v="2018-02-28T00:00:00"/>
    <n v="3.4502509821182636E-2"/>
    <x v="3"/>
    <n v="0"/>
    <x v="189"/>
  </r>
  <r>
    <d v="2018-03-29T00:00:00"/>
    <x v="13"/>
    <s v="NA"/>
    <n v="365869789.18608689"/>
    <n v="472.06850535610829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1.9205309541926601"/>
    <s v="HRF"/>
    <n v="0.27436156488466501"/>
    <m/>
    <m/>
    <m/>
    <m/>
    <m/>
    <m/>
    <m/>
    <d v="2018-03-29T00:00:00"/>
    <n v="-3.3352055736385555E-2"/>
    <x v="3"/>
    <n v="0"/>
    <x v="190"/>
  </r>
  <r>
    <d v="2018-04-30T00:00:00"/>
    <x v="13"/>
    <s v="NA"/>
    <n v="365869789.18608689"/>
    <n v="472.06850535610829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1.9205309541926601"/>
    <s v="HRF"/>
    <n v="0.27436156488466501"/>
    <m/>
    <m/>
    <m/>
    <m/>
    <m/>
    <m/>
    <m/>
    <d v="2018-04-30T00:00:00"/>
    <n v="0"/>
    <x v="3"/>
    <n v="0"/>
    <x v="191"/>
  </r>
  <r>
    <d v="2018-05-31T00:00:00"/>
    <x v="13"/>
    <s v="NA"/>
    <n v="555837653.47535658"/>
    <n v="717.17714348724417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1.9805220452168499"/>
    <s v="HRF"/>
    <n v="0.28293172074526501"/>
    <m/>
    <m/>
    <m/>
    <m/>
    <m/>
    <m/>
    <m/>
    <d v="2018-05-31T00:00:00"/>
    <n v="0.51922260296995759"/>
    <x v="3"/>
    <n v="0"/>
    <x v="192"/>
  </r>
  <r>
    <d v="2018-06-29T00:00:00"/>
    <x v="13"/>
    <s v="NA"/>
    <n v="534131653.47850001"/>
    <n v="689.17067977082036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3.0646686131186698"/>
    <s v="HRF"/>
    <n v="0.43780980187409596"/>
    <m/>
    <m/>
    <m/>
    <m/>
    <m/>
    <m/>
    <m/>
    <d v="2018-06-29T00:00:00"/>
    <n v="-3.9050970838590215E-2"/>
    <x v="3"/>
    <n v="0"/>
    <x v="193"/>
  </r>
  <r>
    <d v="2018-07-31T00:00:00"/>
    <x v="13"/>
    <s v="NA"/>
    <n v="534131653.47847652"/>
    <n v="689.17067977079012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2.88975180464239"/>
    <s v="HRF"/>
    <n v="0.41282168637748401"/>
    <m/>
    <m/>
    <m/>
    <m/>
    <m/>
    <m/>
    <m/>
    <d v="2018-07-31T00:00:00"/>
    <n v="-4.3964831775156199E-14"/>
    <x v="3"/>
    <n v="0"/>
    <x v="194"/>
  </r>
  <r>
    <d v="2018-08-31T00:00:00"/>
    <x v="13"/>
    <s v="NA"/>
    <n v="534131653.47847652"/>
    <n v="689.17067977079012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2.88975180464239"/>
    <s v="HRF"/>
    <n v="0.41282168637748401"/>
    <m/>
    <m/>
    <m/>
    <m/>
    <m/>
    <m/>
    <m/>
    <d v="2018-08-31T00:00:00"/>
    <n v="0"/>
    <x v="3"/>
    <n v="0"/>
    <x v="195"/>
  </r>
  <r>
    <d v="2018-08-31T00:00:00"/>
    <x v="13"/>
    <s v="NA"/>
    <n v="534131653.47847652"/>
    <n v="689.17067977079012"/>
    <m/>
    <n v="0"/>
    <n v="0"/>
    <n v="0"/>
    <m/>
    <n v="775035.37100000004"/>
    <n v="0"/>
    <n v="689.17067977079012"/>
    <n v="0"/>
    <m/>
    <s v="Private Equity Fund"/>
    <n v="7.4489166666666676E-2"/>
    <m/>
    <n v="3.5833333333333335E-2"/>
    <n v="0"/>
    <s v="CHFC3"/>
    <n v="2.88975180464239"/>
    <s v="HRF"/>
    <n v="0.41282168637748401"/>
    <m/>
    <m/>
    <m/>
    <m/>
    <m/>
    <m/>
    <m/>
    <d v="2018-08-31T00:00:00"/>
    <n v="0"/>
    <x v="3"/>
    <n v="0"/>
    <x v="195"/>
  </r>
  <r>
    <d v="2018-09-28T00:00:00"/>
    <x v="13"/>
    <s v="NA"/>
    <n v="531954231.70863187"/>
    <n v="686.36123151678953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2.0959033447373199"/>
    <s v="HRF"/>
    <n v="0.29941476353390301"/>
    <m/>
    <m/>
    <m/>
    <m/>
    <m/>
    <m/>
    <m/>
    <d v="2018-09-28T00:00:00"/>
    <n v="-4.0765638128060777E-3"/>
    <x v="3"/>
    <n v="0"/>
    <x v="196"/>
  </r>
  <r>
    <d v="2018-10-31T00:00:00"/>
    <x v="13"/>
    <s v="NA"/>
    <n v="531954231.70863187"/>
    <n v="686.36123151678953"/>
    <m/>
    <n v="0"/>
    <n v="0"/>
    <n v="0"/>
    <m/>
    <n v="775035.37100000004"/>
    <n v="0"/>
    <n v="0"/>
    <n v="-531954231.70863187"/>
    <m/>
    <s v="Private Equity Fund"/>
    <n v="7.4489166666666676E-2"/>
    <m/>
    <n v="3.5833333333333335E-2"/>
    <n v="0"/>
    <s v="CHFC3"/>
    <n v="2.0959033447373199"/>
    <s v="HRF"/>
    <n v="0.29941476353390301"/>
    <m/>
    <m/>
    <m/>
    <m/>
    <m/>
    <m/>
    <m/>
    <d v="2018-10-31T00:00:00"/>
    <n v="0"/>
    <x v="3"/>
    <n v="0"/>
    <x v="197"/>
  </r>
  <r>
    <d v="2018-01-31T00:00:00"/>
    <x v="14"/>
    <s v="NA"/>
    <n v="10069896.939999999"/>
    <n v="10140282.438222136"/>
    <m/>
    <n v="10000000"/>
    <n v="0"/>
    <n v="0"/>
    <m/>
    <n v="0.99305882270528978"/>
    <n v="10000000"/>
    <n v="10140282.438222136"/>
    <n v="10000000"/>
    <m/>
    <s v="Private Equity Fund"/>
    <n v="0"/>
    <n v="0"/>
    <n v="0"/>
    <n v="0"/>
    <m/>
    <m/>
    <m/>
    <m/>
    <m/>
    <m/>
    <m/>
    <m/>
    <m/>
    <m/>
    <m/>
    <d v="2018-01-31T00:00:00"/>
    <e v="#REF!"/>
    <x v="0"/>
    <n v="0"/>
    <x v="188"/>
  </r>
  <r>
    <d v="2018-02-28T00:00:00"/>
    <x v="14"/>
    <s v="NA"/>
    <n v="9921204.7799999993"/>
    <n v="9990550.9655235372"/>
    <m/>
    <m/>
    <n v="0"/>
    <n v="-404736.48"/>
    <m/>
    <n v="0.99305882270528978"/>
    <n v="-404736.48"/>
    <n v="-407565.46414583712"/>
    <n v="-404736.48"/>
    <m/>
    <s v="Private Equity Fund"/>
    <n v="0"/>
    <n v="0.21321399999999999"/>
    <n v="0"/>
    <n v="0"/>
    <m/>
    <m/>
    <m/>
    <m/>
    <m/>
    <m/>
    <m/>
    <m/>
    <m/>
    <m/>
    <m/>
    <d v="2018-02-28T00:00:00"/>
    <n v="2.542670709795769E-2"/>
    <x v="0"/>
    <n v="0"/>
    <x v="189"/>
  </r>
  <r>
    <d v="2018-03-29T00:00:00"/>
    <x v="14"/>
    <s v="NA"/>
    <n v="9921204.7799999993"/>
    <n v="9990550.9655235372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3-29T00:00:00"/>
    <n v="0"/>
    <x v="0"/>
    <n v="0"/>
    <x v="190"/>
  </r>
  <r>
    <d v="2018-04-30T00:00:00"/>
    <x v="14"/>
    <s v="NA"/>
    <n v="10514171.24"/>
    <n v="10587662.0796312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4-30T00:00:00"/>
    <n v="5.9767586008843576E-2"/>
    <x v="0"/>
    <n v="0"/>
    <x v="191"/>
  </r>
  <r>
    <d v="2018-05-31T00:00:00"/>
    <x v="14"/>
    <s v="NA"/>
    <n v="10844675.633567419"/>
    <n v="10920476.597775312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5-31T00:00:00"/>
    <n v="3.1434184019188516E-2"/>
    <x v="0"/>
    <n v="0"/>
    <x v="192"/>
  </r>
  <r>
    <d v="2018-06-29T00:00:00"/>
    <x v="14"/>
    <s v="NA"/>
    <n v="11158132.2975088"/>
    <n v="11236124.227879904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  <m/>
    <m/>
    <m/>
    <d v="2018-06-29T00:00:00"/>
    <n v="2.8904199123406027E-2"/>
    <x v="0"/>
    <n v="0"/>
    <x v="193"/>
  </r>
  <r>
    <d v="2018-07-31T00:00:00"/>
    <x v="14"/>
    <s v="NA"/>
    <n v="695644.66810481949"/>
    <n v="700507.01146760373"/>
    <m/>
    <m/>
    <n v="0"/>
    <n v="-10745000"/>
    <m/>
    <n v="0.99305882270528978"/>
    <n v="-10745000"/>
    <n v="-10820104.26203"/>
    <n v="-10745000"/>
    <m/>
    <s v="Private Equity Fund"/>
    <n v="0"/>
    <n v="0.21321399999999999"/>
    <n v="0"/>
    <n v="0"/>
    <m/>
    <m/>
    <m/>
    <m/>
    <m/>
    <m/>
    <m/>
    <m/>
    <m/>
    <m/>
    <m/>
    <d v="2018-07-31T00:00:00"/>
    <n v="2.5318965850502861E-2"/>
    <x v="0"/>
    <n v="0"/>
    <x v="194"/>
  </r>
  <r>
    <d v="2018-08-31T00:00:00"/>
    <x v="14"/>
    <s v="NA"/>
    <n v="0"/>
    <n v="0"/>
    <m/>
    <m/>
    <n v="0"/>
    <n v="-424810.54"/>
    <m/>
    <n v="0"/>
    <n v="-424810.54"/>
    <n v="0"/>
    <n v="-424810.54"/>
    <m/>
    <s v="Private Equity Fund"/>
    <n v="0"/>
    <n v="0"/>
    <n v="0"/>
    <n v="0"/>
    <m/>
    <m/>
    <m/>
    <m/>
    <m/>
    <m/>
    <m/>
    <m/>
    <m/>
    <m/>
    <m/>
    <d v="2018-08-31T00:00:00"/>
    <n v="-0.38932825984660646"/>
    <x v="0"/>
    <n v="0"/>
    <x v="195"/>
  </r>
  <r>
    <d v="2006-01-30T00:00:00"/>
    <x v="15"/>
    <s v="NA"/>
    <n v="24929000"/>
    <n v="998.58931883260755"/>
    <m/>
    <n v="24929000"/>
    <n v="0"/>
    <n v="0"/>
    <m/>
    <n v="24964.216550145997"/>
    <n v="24929000"/>
    <n v="998.58931883260755"/>
    <n v="998.58931883260755"/>
    <m/>
    <s v="Hedge Fund"/>
    <n v="0"/>
    <n v="0"/>
    <n v="0"/>
    <n v="0"/>
    <m/>
    <m/>
    <m/>
    <m/>
    <m/>
    <m/>
    <m/>
    <m/>
    <m/>
    <m/>
    <m/>
    <d v="2006-01-30T00:00:00"/>
    <e v="#DIV/0!"/>
    <x v="1"/>
    <n v="0"/>
    <x v="57"/>
  </r>
  <r>
    <d v="2006-02-27T00:00:00"/>
    <x v="15"/>
    <s v="NA"/>
    <n v="40220000"/>
    <n v="998.58931883260755"/>
    <m/>
    <n v="15291000"/>
    <n v="0"/>
    <n v="0"/>
    <m/>
    <n v="40276.817748279995"/>
    <n v="15291000"/>
    <n v="0"/>
    <n v="0"/>
    <m/>
    <s v="Hedge Fund"/>
    <n v="0"/>
    <n v="0"/>
    <n v="0"/>
    <n v="0"/>
    <m/>
    <m/>
    <m/>
    <m/>
    <m/>
    <m/>
    <m/>
    <m/>
    <m/>
    <m/>
    <m/>
    <d v="2006-02-27T00:00:00"/>
    <n v="0"/>
    <x v="1"/>
    <n v="0"/>
    <x v="58"/>
  </r>
  <r>
    <d v="2006-03-31T00:00:00"/>
    <x v="15"/>
    <s v="NA"/>
    <n v="50836000"/>
    <n v="998.58931883260755"/>
    <m/>
    <n v="10616000"/>
    <n v="0"/>
    <n v="0"/>
    <m/>
    <n v="50907.814695463996"/>
    <n v="10616000"/>
    <n v="0"/>
    <n v="0"/>
    <m/>
    <s v="Hedge Fund"/>
    <n v="0"/>
    <n v="0"/>
    <n v="0"/>
    <n v="0"/>
    <m/>
    <m/>
    <m/>
    <m/>
    <m/>
    <m/>
    <m/>
    <m/>
    <m/>
    <m/>
    <m/>
    <d v="2006-03-31T00:00:00"/>
    <n v="0"/>
    <x v="1"/>
    <n v="0"/>
    <x v="59"/>
  </r>
  <r>
    <d v="2006-04-30T00:00:00"/>
    <x v="15"/>
    <s v="NA"/>
    <n v="51139000"/>
    <n v="998.58931883260743"/>
    <m/>
    <n v="303000.00000000745"/>
    <n v="0"/>
    <n v="0"/>
    <m/>
    <n v="51211.242735685999"/>
    <n v="303000.00000000745"/>
    <n v="0"/>
    <n v="0"/>
    <m/>
    <s v="Hedge Fund"/>
    <n v="0"/>
    <n v="0"/>
    <n v="0"/>
    <n v="0"/>
    <m/>
    <m/>
    <m/>
    <m/>
    <m/>
    <m/>
    <m/>
    <m/>
    <m/>
    <m/>
    <m/>
    <d v="2006-04-30T00:00:00"/>
    <n v="-1.1102230246251565E-16"/>
    <x v="1"/>
    <n v="0"/>
    <x v="60"/>
  </r>
  <r>
    <d v="2006-05-31T00:00:00"/>
    <x v="15"/>
    <s v="NA"/>
    <n v="51046000"/>
    <n v="998.58931883260755"/>
    <m/>
    <n v="0"/>
    <n v="-93000"/>
    <n v="0"/>
    <m/>
    <n v="51118.111357003996"/>
    <n v="-93000"/>
    <n v="0"/>
    <n v="0"/>
    <m/>
    <s v="Hedge Fund"/>
    <n v="0"/>
    <n v="0"/>
    <n v="0"/>
    <n v="0"/>
    <m/>
    <m/>
    <m/>
    <m/>
    <m/>
    <m/>
    <m/>
    <m/>
    <m/>
    <m/>
    <m/>
    <d v="2006-05-31T00:00:00"/>
    <n v="0"/>
    <x v="1"/>
    <n v="0"/>
    <x v="61"/>
  </r>
  <r>
    <d v="2006-06-30T00:00:00"/>
    <x v="15"/>
    <s v="NA"/>
    <n v="50620000"/>
    <n v="1010.9585771891899"/>
    <m/>
    <n v="0"/>
    <n v="-1058293.1260753274"/>
    <n v="0"/>
    <m/>
    <n v="50071.289904617937"/>
    <n v="-1058293.1260753274"/>
    <n v="0"/>
    <n v="0"/>
    <m/>
    <s v="Hedge Fund"/>
    <n v="0"/>
    <n v="0"/>
    <n v="0"/>
    <n v="0"/>
    <m/>
    <m/>
    <m/>
    <m/>
    <m/>
    <m/>
    <m/>
    <m/>
    <m/>
    <m/>
    <m/>
    <d v="2006-06-30T00:00:00"/>
    <n v="1.2386732086261842E-2"/>
    <x v="1"/>
    <n v="0"/>
    <x v="62"/>
  </r>
  <r>
    <d v="2006-07-31T00:00:00"/>
    <x v="15"/>
    <s v="NA"/>
    <n v="51400000"/>
    <n v="1024.7994000000001"/>
    <m/>
    <n v="86972.148521475494"/>
    <n v="0"/>
    <n v="0"/>
    <m/>
    <n v="50156.157390412205"/>
    <n v="86972.148521475494"/>
    <n v="0"/>
    <n v="0"/>
    <m/>
    <s v="Hedge Fund"/>
    <n v="0"/>
    <n v="0"/>
    <n v="0"/>
    <n v="0"/>
    <m/>
    <m/>
    <m/>
    <m/>
    <m/>
    <m/>
    <m/>
    <m/>
    <m/>
    <m/>
    <m/>
    <d v="2006-07-31T00:00:00"/>
    <n v="1.3690791218461618E-2"/>
    <x v="1"/>
    <n v="0"/>
    <x v="63"/>
  </r>
  <r>
    <d v="2006-08-31T00:00:00"/>
    <x v="15"/>
    <s v="NA"/>
    <n v="51500000"/>
    <n v="1028.0932"/>
    <m/>
    <n v="0"/>
    <n v="-65204.351212531328"/>
    <n v="0"/>
    <m/>
    <n v="50092.734783188913"/>
    <n v="-65204.351212531328"/>
    <n v="0"/>
    <n v="0"/>
    <m/>
    <s v="Hedge Fund"/>
    <n v="0"/>
    <n v="0"/>
    <n v="0"/>
    <n v="0"/>
    <m/>
    <m/>
    <m/>
    <m/>
    <m/>
    <m/>
    <m/>
    <m/>
    <m/>
    <m/>
    <m/>
    <d v="2006-08-31T00:00:00"/>
    <n v="3.2140924360415379E-3"/>
    <x v="1"/>
    <n v="0"/>
    <x v="64"/>
  </r>
  <r>
    <d v="2006-09-30T00:00:00"/>
    <x v="15"/>
    <s v="NA"/>
    <n v="53100000"/>
    <n v="1049.6315"/>
    <m/>
    <n v="521087.65041925013"/>
    <n v="0"/>
    <n v="0"/>
    <m/>
    <n v="50589.182965640801"/>
    <n v="521087.65041925013"/>
    <n v="0"/>
    <n v="0"/>
    <m/>
    <s v="Hedge Fund"/>
    <n v="0"/>
    <n v="0"/>
    <n v="0"/>
    <n v="0"/>
    <m/>
    <m/>
    <m/>
    <m/>
    <m/>
    <m/>
    <m/>
    <m/>
    <m/>
    <m/>
    <m/>
    <d v="2006-09-30T00:00:00"/>
    <n v="2.0949754360791273E-2"/>
    <x v="1"/>
    <n v="0"/>
    <x v="65"/>
  </r>
  <r>
    <d v="2006-10-31T00:00:00"/>
    <x v="15"/>
    <s v="NA"/>
    <n v="54270000"/>
    <n v="1083.8539000000001"/>
    <m/>
    <n v="0"/>
    <n v="-561283.25512335449"/>
    <n v="0"/>
    <m/>
    <n v="50071.324188619881"/>
    <n v="-561283.25512335449"/>
    <n v="0"/>
    <n v="0"/>
    <m/>
    <s v="Hedge Fund"/>
    <n v="0"/>
    <n v="0"/>
    <n v="0"/>
    <n v="0"/>
    <m/>
    <m/>
    <m/>
    <m/>
    <m/>
    <m/>
    <m/>
    <m/>
    <m/>
    <m/>
    <m/>
    <d v="2006-10-31T00:00:00"/>
    <n v="3.2604204427935102E-2"/>
    <x v="1"/>
    <n v="0"/>
    <x v="66"/>
  </r>
  <r>
    <d v="2006-11-30T00:00:00"/>
    <x v="15"/>
    <s v="NA"/>
    <n v="56200000"/>
    <n v="1122.4797000000001"/>
    <m/>
    <n v="0"/>
    <n v="-4044.9538447931409"/>
    <n v="0"/>
    <m/>
    <n v="50067.720601094166"/>
    <n v="-4044.9538447931409"/>
    <n v="0"/>
    <n v="0"/>
    <m/>
    <s v="Hedge Fund"/>
    <n v="0"/>
    <n v="0"/>
    <n v="0"/>
    <n v="0"/>
    <m/>
    <m/>
    <m/>
    <m/>
    <m/>
    <m/>
    <m/>
    <m/>
    <m/>
    <m/>
    <m/>
    <d v="2006-11-30T00:00:00"/>
    <n v="3.5637459993454801E-2"/>
    <x v="1"/>
    <n v="0"/>
    <x v="67"/>
  </r>
  <r>
    <d v="2006-12-31T00:00:00"/>
    <x v="15"/>
    <s v="NA"/>
    <n v="58560000"/>
    <n v="1169.4659999999999"/>
    <m/>
    <n v="7503.0595208182931"/>
    <n v="0"/>
    <n v="0"/>
    <m/>
    <n v="50074.136400716226"/>
    <n v="7503.0595208182931"/>
    <n v="0"/>
    <n v="0"/>
    <m/>
    <s v="Hedge Fund"/>
    <n v="0"/>
    <n v="0"/>
    <n v="0"/>
    <n v="0"/>
    <m/>
    <m/>
    <m/>
    <m/>
    <m/>
    <m/>
    <m/>
    <m/>
    <m/>
    <m/>
    <m/>
    <d v="2006-12-31T00:00:00"/>
    <n v="4.185937616511004E-2"/>
    <x v="1"/>
    <n v="0"/>
    <x v="68"/>
  </r>
  <r>
    <d v="2007-01-31T00:00:00"/>
    <x v="15"/>
    <s v="NA"/>
    <n v="60720000"/>
    <n v="1212.6121490124165"/>
    <m/>
    <n v="0"/>
    <n v="-506.15081337094307"/>
    <n v="0"/>
    <m/>
    <n v="50073.718995353942"/>
    <n v="-506.15081337094307"/>
    <n v="0"/>
    <n v="0"/>
    <m/>
    <s v="Hedge Fund"/>
    <n v="0"/>
    <n v="0"/>
    <n v="0"/>
    <n v="0"/>
    <m/>
    <m/>
    <m/>
    <m/>
    <m/>
    <m/>
    <m/>
    <m/>
    <m/>
    <m/>
    <m/>
    <d v="2007-01-31T00:00:00"/>
    <n v="3.6893889187386897E-2"/>
    <x v="1"/>
    <n v="0"/>
    <x v="69"/>
  </r>
  <r>
    <d v="2007-02-28T00:00:00"/>
    <x v="15"/>
    <s v="NA"/>
    <n v="67050000"/>
    <n v="1237.8916999999999"/>
    <m/>
    <n v="5064158.867519021"/>
    <n v="0"/>
    <n v="0"/>
    <m/>
    <n v="54164.673694798992"/>
    <n v="5064158.867519021"/>
    <n v="0"/>
    <n v="0"/>
    <m/>
    <s v="Hedge Fund"/>
    <n v="0"/>
    <n v="0"/>
    <n v="0"/>
    <n v="0"/>
    <m/>
    <m/>
    <m/>
    <m/>
    <m/>
    <m/>
    <m/>
    <m/>
    <m/>
    <m/>
    <m/>
    <d v="2007-02-28T00:00:00"/>
    <n v="2.0847185976300642E-2"/>
    <x v="1"/>
    <n v="0"/>
    <x v="70"/>
  </r>
  <r>
    <d v="2007-03-30T00:00:00"/>
    <x v="15"/>
    <s v="NA"/>
    <n v="75020000"/>
    <n v="1289.7640000000001"/>
    <m/>
    <n v="5160353.7967012674"/>
    <n v="0"/>
    <n v="0"/>
    <m/>
    <n v="58165.679922838593"/>
    <n v="5160353.7967012674"/>
    <n v="0"/>
    <n v="0"/>
    <m/>
    <s v="Hedge Fund"/>
    <n v="0"/>
    <n v="0"/>
    <n v="0"/>
    <n v="0"/>
    <m/>
    <m/>
    <m/>
    <m/>
    <m/>
    <m/>
    <m/>
    <m/>
    <m/>
    <m/>
    <m/>
    <d v="2007-03-30T00:00:00"/>
    <n v="4.1903746507065298E-2"/>
    <x v="1"/>
    <n v="0"/>
    <x v="71"/>
  </r>
  <r>
    <d v="2007-04-30T00:00:00"/>
    <x v="15"/>
    <s v="NA"/>
    <n v="83477240.517945811"/>
    <n v="1346.7928092107445"/>
    <m/>
    <n v="5140121.0550130159"/>
    <n v="0"/>
    <n v="0"/>
    <m/>
    <n v="61982.243999999999"/>
    <n v="5140121.0550130159"/>
    <n v="0"/>
    <n v="0"/>
    <m/>
    <s v="Hedge Fund"/>
    <n v="0"/>
    <n v="0"/>
    <n v="0"/>
    <n v="0"/>
    <m/>
    <m/>
    <m/>
    <m/>
    <m/>
    <m/>
    <m/>
    <m/>
    <m/>
    <m/>
    <m/>
    <d v="2007-04-30T00:00:00"/>
    <n v="4.421646844751792E-2"/>
    <x v="1"/>
    <n v="0"/>
    <x v="72"/>
  </r>
  <r>
    <d v="2007-05-31T00:00:00"/>
    <x v="15"/>
    <s v="NA"/>
    <n v="86187214.805608019"/>
    <n v="1390.5146"/>
    <m/>
    <n v="0"/>
    <n v="-0.41715437173843384"/>
    <n v="0"/>
    <m/>
    <n v="61982.243699999999"/>
    <n v="-0.41715437173843384"/>
    <n v="0"/>
    <n v="0"/>
    <m/>
    <s v="Hedge Fund"/>
    <n v="0"/>
    <n v="0"/>
    <n v="0"/>
    <n v="0"/>
    <m/>
    <m/>
    <m/>
    <m/>
    <m/>
    <m/>
    <m/>
    <m/>
    <m/>
    <m/>
    <m/>
    <d v="2007-05-31T00:00:00"/>
    <n v="3.2463635453234607E-2"/>
    <x v="1"/>
    <n v="0"/>
    <x v="73"/>
  </r>
  <r>
    <d v="2007-06-29T00:00:00"/>
    <x v="15"/>
    <s v="NA"/>
    <n v="90814746.693594009"/>
    <n v="1386.9100000000003"/>
    <m/>
    <n v="4850953.0836269855"/>
    <n v="0"/>
    <n v="0"/>
    <m/>
    <n v="65479.91339999999"/>
    <n v="4850953.0836269855"/>
    <n v="0"/>
    <n v="0"/>
    <m/>
    <s v="Hedge Fund"/>
    <n v="0"/>
    <n v="0"/>
    <n v="0"/>
    <n v="0"/>
    <m/>
    <m/>
    <m/>
    <m/>
    <m/>
    <m/>
    <m/>
    <m/>
    <m/>
    <m/>
    <m/>
    <d v="2007-06-29T00:00:00"/>
    <n v="-2.5922777078353221E-3"/>
    <x v="1"/>
    <n v="0"/>
    <x v="74"/>
  </r>
  <r>
    <d v="2007-07-31T00:00:00"/>
    <x v="15"/>
    <s v="NA"/>
    <n v="92672791.620249718"/>
    <n v="1415.2858000000001"/>
    <m/>
    <n v="0"/>
    <n v="0"/>
    <n v="0"/>
    <m/>
    <n v="65479.91339999999"/>
    <n v="0"/>
    <n v="0"/>
    <n v="0"/>
    <m/>
    <s v="Hedge Fund"/>
    <n v="0"/>
    <n v="0"/>
    <n v="0"/>
    <n v="0"/>
    <m/>
    <m/>
    <m/>
    <m/>
    <m/>
    <m/>
    <m/>
    <m/>
    <m/>
    <m/>
    <m/>
    <d v="2007-07-31T00:00:00"/>
    <n v="2.0459727019056739E-2"/>
    <x v="1"/>
    <n v="0"/>
    <x v="75"/>
  </r>
  <r>
    <d v="2007-08-31T00:00:00"/>
    <x v="15"/>
    <s v="NA"/>
    <n v="97000000"/>
    <n v="1344.0094999999999"/>
    <m/>
    <n v="8994374.331222713"/>
    <n v="0"/>
    <n v="0"/>
    <m/>
    <n v="72172.108902504042"/>
    <n v="8994374.331222713"/>
    <n v="0"/>
    <n v="0"/>
    <m/>
    <s v="Hedge Fund"/>
    <n v="0"/>
    <n v="0"/>
    <n v="0"/>
    <n v="0"/>
    <m/>
    <m/>
    <m/>
    <m/>
    <m/>
    <m/>
    <m/>
    <m/>
    <m/>
    <m/>
    <m/>
    <d v="2007-08-31T00:00:00"/>
    <n v="-5.036177145280496E-2"/>
    <x v="1"/>
    <n v="0"/>
    <x v="76"/>
  </r>
  <r>
    <d v="2007-09-30T00:00:00"/>
    <x v="15"/>
    <s v="NA"/>
    <n v="98260000"/>
    <n v="1358.4600999999998"/>
    <m/>
    <n v="217069.72309347987"/>
    <n v="0"/>
    <n v="0"/>
    <m/>
    <n v="72331.899921094489"/>
    <n v="217069.72309347987"/>
    <n v="0"/>
    <n v="0"/>
    <m/>
    <s v="Hedge Fund"/>
    <n v="0"/>
    <n v="0"/>
    <n v="0"/>
    <n v="0"/>
    <m/>
    <m/>
    <m/>
    <m/>
    <m/>
    <m/>
    <m/>
    <m/>
    <m/>
    <m/>
    <m/>
    <d v="2007-09-30T00:00:00"/>
    <n v="1.0751858524809421E-2"/>
    <x v="1"/>
    <n v="0"/>
    <x v="77"/>
  </r>
  <r>
    <d v="2007-10-31T00:00:00"/>
    <x v="15"/>
    <s v="NA"/>
    <n v="99300000"/>
    <n v="1372.7299000000003"/>
    <m/>
    <n v="7838.2545059323311"/>
    <n v="0"/>
    <n v="0"/>
    <m/>
    <n v="72337.609896892303"/>
    <n v="7838.2545059323311"/>
    <n v="0"/>
    <n v="0"/>
    <m/>
    <s v="Hedge Fund"/>
    <n v="0"/>
    <n v="0"/>
    <n v="0"/>
    <n v="0"/>
    <m/>
    <m/>
    <m/>
    <m/>
    <m/>
    <m/>
    <m/>
    <m/>
    <m/>
    <m/>
    <m/>
    <d v="2007-10-31T00:00:00"/>
    <n v="1.0504393908956411E-2"/>
    <x v="1"/>
    <n v="0"/>
    <x v="78"/>
  </r>
  <r>
    <d v="2007-11-30T00:00:00"/>
    <x v="15"/>
    <s v="NA"/>
    <n v="100550000"/>
    <n v="1390.0980999999999"/>
    <m/>
    <n v="0"/>
    <n v="-6374.0762111842632"/>
    <n v="0"/>
    <m/>
    <n v="72333.024554166361"/>
    <n v="-6374.0762111842632"/>
    <n v="0"/>
    <n v="0"/>
    <m/>
    <s v="Hedge Fund"/>
    <n v="0"/>
    <n v="0"/>
    <n v="0"/>
    <n v="0"/>
    <m/>
    <m/>
    <m/>
    <m/>
    <m/>
    <m/>
    <m/>
    <m/>
    <m/>
    <m/>
    <m/>
    <d v="2007-11-30T00:00:00"/>
    <n v="1.2652306910485134E-2"/>
    <x v="1"/>
    <n v="0"/>
    <x v="79"/>
  </r>
  <r>
    <d v="2007-12-31T00:00:00"/>
    <x v="15"/>
    <s v="NA"/>
    <n v="105370000"/>
    <n v="1389.5148999999999"/>
    <m/>
    <n v="4862184.6199199855"/>
    <n v="0"/>
    <n v="0"/>
    <m/>
    <n v="75832.220295010877"/>
    <n v="4862184.6199199855"/>
    <n v="0"/>
    <n v="0"/>
    <m/>
    <s v="Hedge Fund"/>
    <n v="0"/>
    <n v="0"/>
    <n v="0"/>
    <n v="0"/>
    <m/>
    <m/>
    <m/>
    <m/>
    <m/>
    <m/>
    <m/>
    <m/>
    <m/>
    <m/>
    <m/>
    <d v="2007-12-31T00:00:00"/>
    <n v="-4.1953873615097059E-4"/>
    <x v="1"/>
    <n v="0"/>
    <x v="80"/>
  </r>
  <r>
    <d v="2008-01-31T00:00:00"/>
    <x v="15"/>
    <s v="NA"/>
    <n v="104033198.98867595"/>
    <n v="1362.8155000000002"/>
    <m/>
    <n v="687873.77122054994"/>
    <n v="0"/>
    <n v="0"/>
    <m/>
    <n v="76336.964899999992"/>
    <n v="687873.77122054994"/>
    <n v="0"/>
    <n v="0"/>
    <m/>
    <s v="Hedge Fund"/>
    <n v="0"/>
    <n v="0"/>
    <n v="0"/>
    <n v="0"/>
    <m/>
    <m/>
    <m/>
    <m/>
    <m/>
    <m/>
    <m/>
    <m/>
    <m/>
    <m/>
    <m/>
    <d v="2008-01-31T00:00:00"/>
    <n v="-1.921490730326092E-2"/>
    <x v="1"/>
    <n v="0"/>
    <x v="81"/>
  </r>
  <r>
    <d v="2008-02-29T00:00:00"/>
    <x v="15"/>
    <s v="NA"/>
    <n v="105217953.83456975"/>
    <n v="1378.3355674724996"/>
    <m/>
    <n v="0"/>
    <n v="-2.9802322387695313E-8"/>
    <n v="0"/>
    <m/>
    <n v="76336.964899999977"/>
    <n v="-2.9802322387695313E-8"/>
    <n v="0"/>
    <n v="0"/>
    <m/>
    <s v="Hedge Fund"/>
    <n v="0"/>
    <n v="0"/>
    <n v="0"/>
    <n v="0"/>
    <m/>
    <m/>
    <m/>
    <m/>
    <m/>
    <m/>
    <m/>
    <m/>
    <m/>
    <m/>
    <m/>
    <d v="2008-02-29T00:00:00"/>
    <n v="1.1388238152926444E-2"/>
    <x v="1"/>
    <n v="0"/>
    <x v="82"/>
  </r>
  <r>
    <d v="2008-03-31T00:00:00"/>
    <x v="15"/>
    <s v="NA"/>
    <n v="101967651.478034"/>
    <n v="1335.7572129257455"/>
    <m/>
    <n v="0"/>
    <n v="-4.3213367462158203E-7"/>
    <n v="0"/>
    <m/>
    <n v="76336.964899999657"/>
    <n v="-4.3213367462158203E-7"/>
    <n v="0"/>
    <n v="0"/>
    <m/>
    <s v="Hedge Fund"/>
    <n v="0"/>
    <n v="0"/>
    <n v="0"/>
    <n v="0"/>
    <m/>
    <m/>
    <m/>
    <m/>
    <m/>
    <m/>
    <m/>
    <m/>
    <m/>
    <m/>
    <m/>
    <d v="2008-03-31T00:00:00"/>
    <n v="-3.0891138233363091E-2"/>
    <x v="1"/>
    <n v="0"/>
    <x v="83"/>
  </r>
  <r>
    <d v="2008-04-30T00:00:00"/>
    <x v="15"/>
    <s v="NA"/>
    <n v="100177833.03881393"/>
    <n v="1312.3109252515483"/>
    <m/>
    <n v="4.1723251342773438E-7"/>
    <n v="0"/>
    <n v="0"/>
    <m/>
    <n v="76336.964899999977"/>
    <n v="4.1723251342773438E-7"/>
    <n v="0"/>
    <n v="0"/>
    <m/>
    <s v="Hedge Fund"/>
    <n v="0"/>
    <n v="0"/>
    <n v="0"/>
    <n v="0"/>
    <m/>
    <m/>
    <m/>
    <m/>
    <m/>
    <m/>
    <m/>
    <m/>
    <m/>
    <m/>
    <m/>
    <d v="2008-04-30T00:00:00"/>
    <n v="-1.7552806338842153E-2"/>
    <x v="1"/>
    <n v="0"/>
    <x v="84"/>
  </r>
  <r>
    <d v="2008-05-30T00:00:00"/>
    <x v="15"/>
    <s v="NA"/>
    <n v="98649298.7052131"/>
    <n v="1292.28741062003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08-05-30T00:00:00"/>
    <n v="-1.5258209198921291E-2"/>
    <x v="1"/>
    <n v="0"/>
    <x v="85"/>
  </r>
  <r>
    <d v="2008-06-30T00:00:00"/>
    <x v="15"/>
    <s v="NA"/>
    <n v="100340000"/>
    <n v="1314.3789891435765"/>
    <m/>
    <n v="4297.2404493540525"/>
    <n v="0"/>
    <n v="0"/>
    <m/>
    <n v="76340.234307442457"/>
    <n v="4297.2404493540525"/>
    <n v="0"/>
    <n v="0"/>
    <m/>
    <s v="Hedge Fund"/>
    <n v="0"/>
    <n v="0"/>
    <n v="0"/>
    <n v="0"/>
    <m/>
    <m/>
    <m/>
    <m/>
    <m/>
    <m/>
    <m/>
    <m/>
    <m/>
    <m/>
    <m/>
    <d v="2008-06-30T00:00:00"/>
    <n v="1.709494214831575E-2"/>
    <x v="1"/>
    <n v="0"/>
    <x v="86"/>
  </r>
  <r>
    <d v="2008-07-31T00:00:00"/>
    <x v="15"/>
    <s v="NA"/>
    <n v="97200000"/>
    <n v="1273.3309087439413"/>
    <m/>
    <n v="0"/>
    <n v="-6379.9244211167097"/>
    <n v="0"/>
    <m/>
    <n v="76335.223886052932"/>
    <n v="-6379.9244211167097"/>
    <n v="0"/>
    <n v="0"/>
    <m/>
    <s v="Hedge Fund"/>
    <n v="0"/>
    <n v="0"/>
    <n v="0"/>
    <n v="0"/>
    <m/>
    <m/>
    <m/>
    <m/>
    <m/>
    <m/>
    <m/>
    <m/>
    <m/>
    <m/>
    <m/>
    <d v="2008-07-31T00:00:00"/>
    <n v="-3.1230018692235184E-2"/>
    <x v="1"/>
    <n v="0"/>
    <x v="87"/>
  </r>
  <r>
    <d v="2008-08-29T00:00:00"/>
    <x v="15"/>
    <s v="NA"/>
    <n v="91780000"/>
    <n v="1202.2570632626241"/>
    <m/>
    <n v="5437.9072590768337"/>
    <n v="0"/>
    <n v="0"/>
    <m/>
    <n v="76339.746968033694"/>
    <n v="5437.9072590768337"/>
    <n v="0"/>
    <n v="0"/>
    <m/>
    <s v="Hedge Fund"/>
    <n v="0"/>
    <n v="0"/>
    <n v="0"/>
    <n v="0"/>
    <m/>
    <m/>
    <m/>
    <m/>
    <m/>
    <m/>
    <m/>
    <m/>
    <m/>
    <m/>
    <m/>
    <d v="2008-08-29T00:00:00"/>
    <n v="-5.5817262420360891E-2"/>
    <x v="1"/>
    <n v="0"/>
    <x v="88"/>
  </r>
  <r>
    <d v="2008-09-30T00:00:00"/>
    <x v="15"/>
    <s v="NA"/>
    <n v="89580000"/>
    <n v="1173.5172"/>
    <m/>
    <n v="0"/>
    <n v="-6006.1106353849173"/>
    <n v="0"/>
    <m/>
    <n v="76334.628925762649"/>
    <n v="-6006.1106353849173"/>
    <n v="0"/>
    <n v="0"/>
    <m/>
    <s v="Hedge Fund"/>
    <n v="0"/>
    <n v="0"/>
    <n v="0"/>
    <n v="0"/>
    <m/>
    <m/>
    <m/>
    <m/>
    <m/>
    <m/>
    <m/>
    <m/>
    <m/>
    <m/>
    <m/>
    <d v="2008-09-30T00:00:00"/>
    <n v="-2.3904923614781137E-2"/>
    <x v="1"/>
    <n v="0"/>
    <x v="89"/>
  </r>
  <r>
    <d v="2008-10-31T00:00:00"/>
    <x v="15"/>
    <s v="NA"/>
    <n v="84960000"/>
    <n v="1112.9547132416715"/>
    <m/>
    <n v="3014.953518435359"/>
    <n v="0"/>
    <n v="0"/>
    <m/>
    <n v="76337.337889103714"/>
    <n v="3014.953518435359"/>
    <n v="0"/>
    <n v="0"/>
    <m/>
    <s v="Hedge Fund"/>
    <n v="0"/>
    <n v="0"/>
    <n v="0"/>
    <n v="0"/>
    <m/>
    <m/>
    <m/>
    <m/>
    <m/>
    <m/>
    <m/>
    <m/>
    <m/>
    <m/>
    <m/>
    <d v="2008-10-31T00:00:00"/>
    <n v="-5.1607668603688706E-2"/>
    <x v="1"/>
    <n v="0"/>
    <x v="90"/>
  </r>
  <r>
    <d v="2008-11-28T00:00:00"/>
    <x v="15"/>
    <s v="NA"/>
    <n v="82270000"/>
    <n v="1077.7607641598856"/>
    <m/>
    <n v="0"/>
    <n v="-3387.6172918081284"/>
    <n v="0"/>
    <m/>
    <n v="76334.194689421129"/>
    <n v="-3387.6172918081284"/>
    <n v="0"/>
    <n v="0"/>
    <m/>
    <s v="Hedge Fund"/>
    <n v="0"/>
    <n v="0"/>
    <n v="0"/>
    <n v="0"/>
    <m/>
    <m/>
    <m/>
    <m/>
    <m/>
    <m/>
    <m/>
    <m/>
    <m/>
    <m/>
    <m/>
    <d v="2008-11-28T00:00:00"/>
    <n v="-3.1622085483853479E-2"/>
    <x v="1"/>
    <n v="0"/>
    <x v="91"/>
  </r>
  <r>
    <d v="2008-12-31T00:00:00"/>
    <x v="15"/>
    <s v="NA"/>
    <n v="81210000"/>
    <n v="1063.8877000000002"/>
    <m/>
    <n v="0"/>
    <n v="-1010.8194804787636"/>
    <n v="0"/>
    <m/>
    <n v="76333.244570832045"/>
    <n v="-1010.8194804787636"/>
    <n v="0"/>
    <n v="0"/>
    <m/>
    <s v="Hedge Fund"/>
    <n v="0"/>
    <n v="0"/>
    <n v="0"/>
    <n v="0"/>
    <m/>
    <m/>
    <m/>
    <m/>
    <m/>
    <m/>
    <m/>
    <m/>
    <m/>
    <m/>
    <m/>
    <d v="2008-12-31T00:00:00"/>
    <n v="-1.287211839697977E-2"/>
    <x v="1"/>
    <n v="0"/>
    <x v="92"/>
  </r>
  <r>
    <d v="2009-01-30T00:00:00"/>
    <x v="15"/>
    <s v="NA"/>
    <n v="82490000"/>
    <n v="1080.6556"/>
    <m/>
    <n v="51.788360744714737"/>
    <n v="0"/>
    <n v="0"/>
    <m/>
    <n v="76333.292493926827"/>
    <n v="51.788360744714737"/>
    <n v="0"/>
    <n v="0"/>
    <m/>
    <s v="Hedge Fund"/>
    <n v="0"/>
    <n v="0"/>
    <n v="0"/>
    <n v="0"/>
    <m/>
    <m/>
    <m/>
    <m/>
    <m/>
    <m/>
    <m/>
    <m/>
    <m/>
    <m/>
    <m/>
    <d v="2009-01-30T00:00:00"/>
    <n v="1.5760968004423725E-2"/>
    <x v="1"/>
    <n v="0"/>
    <x v="93"/>
  </r>
  <r>
    <d v="2009-02-27T00:00:00"/>
    <x v="15"/>
    <s v="NA"/>
    <n v="81710000"/>
    <n v="1070.3797"/>
    <m/>
    <n v="4393.2803383618593"/>
    <n v="0"/>
    <n v="0"/>
    <m/>
    <n v="76337.396906910697"/>
    <n v="4393.2803383618593"/>
    <n v="0"/>
    <n v="0"/>
    <m/>
    <s v="Hedge Fund"/>
    <n v="0"/>
    <n v="0"/>
    <n v="0"/>
    <n v="0"/>
    <m/>
    <m/>
    <m/>
    <m/>
    <m/>
    <m/>
    <m/>
    <m/>
    <m/>
    <m/>
    <m/>
    <d v="2009-02-27T00:00:00"/>
    <n v="-9.5089499374271247E-3"/>
    <x v="1"/>
    <n v="0"/>
    <x v="94"/>
  </r>
  <r>
    <d v="2009-03-31T00:00:00"/>
    <x v="15"/>
    <s v="NA"/>
    <n v="78530000"/>
    <n v="1028.6811737056728"/>
    <m/>
    <n v="3156.9521633088589"/>
    <n v="0"/>
    <n v="0"/>
    <m/>
    <n v="76340.465838513614"/>
    <n v="3156.9521633088589"/>
    <n v="0"/>
    <n v="0"/>
    <m/>
    <s v="Hedge Fund"/>
    <n v="0"/>
    <n v="0"/>
    <n v="0"/>
    <n v="0"/>
    <m/>
    <m/>
    <m/>
    <m/>
    <m/>
    <m/>
    <m/>
    <m/>
    <m/>
    <m/>
    <m/>
    <d v="2009-03-31T00:00:00"/>
    <n v="-3.89567611328272E-2"/>
    <x v="1"/>
    <n v="0"/>
    <x v="95"/>
  </r>
  <r>
    <d v="2009-04-30T00:00:00"/>
    <x v="15"/>
    <s v="NA"/>
    <n v="77300000"/>
    <n v="1012.6589000000001"/>
    <m/>
    <n v="0"/>
    <n v="-6852.1615167856216"/>
    <n v="0"/>
    <m/>
    <n v="76333.699333507058"/>
    <n v="-6852.1615167856216"/>
    <n v="0"/>
    <n v="0"/>
    <m/>
    <s v="Hedge Fund"/>
    <n v="0"/>
    <n v="0"/>
    <n v="0"/>
    <n v="0"/>
    <m/>
    <m/>
    <m/>
    <m/>
    <m/>
    <m/>
    <m/>
    <m/>
    <m/>
    <m/>
    <m/>
    <d v="2009-04-30T00:00:00"/>
    <n v="-1.5575548688185559E-2"/>
    <x v="1"/>
    <n v="0"/>
    <x v="96"/>
  </r>
  <r>
    <d v="2009-05-29T00:00:00"/>
    <x v="15"/>
    <s v="NA"/>
    <n v="79820000"/>
    <n v="1045.5875000000001"/>
    <m/>
    <n v="6438.1481266766787"/>
    <n v="0"/>
    <n v="0"/>
    <m/>
    <n v="76339.856779083522"/>
    <n v="6438.1481266766787"/>
    <n v="0"/>
    <n v="0"/>
    <m/>
    <s v="Hedge Fund"/>
    <n v="0"/>
    <n v="0"/>
    <n v="0"/>
    <n v="0"/>
    <m/>
    <m/>
    <m/>
    <m/>
    <m/>
    <m/>
    <m/>
    <m/>
    <m/>
    <m/>
    <m/>
    <d v="2009-05-29T00:00:00"/>
    <n v="3.2516970916860677E-2"/>
    <x v="1"/>
    <n v="0"/>
    <x v="97"/>
  </r>
  <r>
    <d v="2009-06-30T00:00:00"/>
    <x v="15"/>
    <s v="NA"/>
    <n v="78841958.320000008"/>
    <n v="1032.8149000000001"/>
    <m/>
    <n v="0"/>
    <n v="-2983.2253034710884"/>
    <n v="0"/>
    <m/>
    <n v="76336.968337695362"/>
    <n v="-2983.2253034710884"/>
    <n v="0"/>
    <n v="0"/>
    <m/>
    <s v="Hedge Fund"/>
    <n v="0"/>
    <n v="0"/>
    <n v="0"/>
    <n v="0"/>
    <m/>
    <m/>
    <m/>
    <m/>
    <m/>
    <m/>
    <m/>
    <m/>
    <m/>
    <m/>
    <m/>
    <d v="2009-06-30T00:00:00"/>
    <n v="-1.2215716044807312E-2"/>
    <x v="1"/>
    <n v="0"/>
    <x v="98"/>
  </r>
  <r>
    <d v="2009-07-31T00:00:00"/>
    <x v="15"/>
    <s v="NA"/>
    <n v="81210000"/>
    <n v="1063.8269000000003"/>
    <m/>
    <n v="679.61791136860847"/>
    <n v="0"/>
    <n v="0"/>
    <m/>
    <n v="76337.60718026587"/>
    <n v="679.61791136860847"/>
    <n v="0"/>
    <n v="0"/>
    <m/>
    <s v="Hedge Fund"/>
    <n v="0"/>
    <n v="0"/>
    <n v="0"/>
    <n v="0"/>
    <m/>
    <m/>
    <m/>
    <m/>
    <m/>
    <m/>
    <m/>
    <m/>
    <m/>
    <m/>
    <m/>
    <d v="2009-07-31T00:00:00"/>
    <n v="3.0026677577947636E-2"/>
    <x v="1"/>
    <n v="0"/>
    <x v="99"/>
  </r>
  <r>
    <d v="2009-08-31T00:00:00"/>
    <x v="15"/>
    <s v="NA"/>
    <n v="80580000"/>
    <n v="1055.6198999999999"/>
    <m/>
    <n v="0"/>
    <n v="-3497.2578715384007"/>
    <n v="0"/>
    <m/>
    <n v="76334.29419055098"/>
    <n v="-3497.2578715384007"/>
    <n v="0"/>
    <n v="0"/>
    <m/>
    <s v="Hedge Fund"/>
    <n v="0"/>
    <n v="0"/>
    <n v="0"/>
    <n v="0"/>
    <m/>
    <m/>
    <m/>
    <m/>
    <m/>
    <m/>
    <m/>
    <m/>
    <m/>
    <m/>
    <m/>
    <d v="2009-08-31T00:00:00"/>
    <n v="-7.7146009374271518E-3"/>
    <x v="1"/>
    <n v="0"/>
    <x v="100"/>
  </r>
  <r>
    <d v="2009-09-30T00:00:00"/>
    <x v="15"/>
    <s v="NA"/>
    <n v="87323228.21447818"/>
    <n v="1143.9180000000001"/>
    <m/>
    <n v="3055.0726114809513"/>
    <n v="0"/>
    <n v="0"/>
    <m/>
    <n v="76336.964899999977"/>
    <n v="3055.0726114809513"/>
    <n v="0"/>
    <n v="0"/>
    <m/>
    <s v="Hedge Fund"/>
    <n v="0"/>
    <n v="0"/>
    <n v="0"/>
    <n v="0"/>
    <m/>
    <m/>
    <m/>
    <m/>
    <m/>
    <m/>
    <m/>
    <m/>
    <m/>
    <m/>
    <m/>
    <d v="2009-09-30T00:00:00"/>
    <n v="8.36457327111777E-2"/>
    <x v="1"/>
    <n v="0"/>
    <x v="101"/>
  </r>
  <r>
    <d v="2009-10-30T00:00:00"/>
    <x v="15"/>
    <s v="NA"/>
    <n v="87635339.529168323"/>
    <n v="1148.00660000000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09-10-30T00:00:00"/>
    <n v="3.5742072421274251E-3"/>
    <x v="1"/>
    <n v="0"/>
    <x v="102"/>
  </r>
  <r>
    <d v="2009-11-30T00:00:00"/>
    <x v="15"/>
    <s v="NA"/>
    <n v="92205431.659999996"/>
    <n v="1207.8739999999998"/>
    <m/>
    <n v="0"/>
    <n v="-3.4816225618124008"/>
    <n v="0"/>
    <m/>
    <n v="76336.96201756144"/>
    <n v="-3.4816225618124008"/>
    <n v="0"/>
    <n v="0"/>
    <m/>
    <s v="Hedge Fund"/>
    <n v="0"/>
    <n v="0"/>
    <n v="0"/>
    <n v="0"/>
    <m/>
    <m/>
    <m/>
    <m/>
    <m/>
    <m/>
    <m/>
    <m/>
    <m/>
    <m/>
    <m/>
    <d v="2009-11-30T00:00:00"/>
    <n v="5.2149003324545085E-2"/>
    <x v="1"/>
    <n v="0"/>
    <x v="103"/>
  </r>
  <r>
    <d v="2009-12-31T00:00:00"/>
    <x v="15"/>
    <s v="NA"/>
    <n v="91418042.249768555"/>
    <n v="1197.5592999999999"/>
    <m/>
    <n v="3.4518910944461823"/>
    <n v="0"/>
    <n v="0"/>
    <m/>
    <n v="76336.964899999992"/>
    <n v="3.4518910944461823"/>
    <n v="0"/>
    <n v="0"/>
    <m/>
    <s v="Hedge Fund"/>
    <n v="0"/>
    <n v="0"/>
    <n v="0"/>
    <n v="0"/>
    <m/>
    <m/>
    <m/>
    <m/>
    <m/>
    <m/>
    <m/>
    <m/>
    <m/>
    <m/>
    <m/>
    <d v="2009-12-31T00:00:00"/>
    <n v="-8.5395496550135785E-3"/>
    <x v="1"/>
    <n v="0"/>
    <x v="104"/>
  </r>
  <r>
    <d v="2010-01-29T00:00:00"/>
    <x v="15"/>
    <s v="NA"/>
    <n v="93353398.053485274"/>
    <n v="1222.9121000000002"/>
    <m/>
    <n v="0"/>
    <n v="-2.9802322387695313E-8"/>
    <n v="0"/>
    <m/>
    <n v="76336.964899999977"/>
    <n v="-2.9802322387695313E-8"/>
    <n v="0"/>
    <n v="0"/>
    <m/>
    <s v="Hedge Fund"/>
    <n v="0"/>
    <n v="0"/>
    <n v="0"/>
    <n v="0"/>
    <m/>
    <m/>
    <m/>
    <m/>
    <m/>
    <m/>
    <m/>
    <m/>
    <m/>
    <m/>
    <m/>
    <d v="2010-01-29T00:00:00"/>
    <n v="2.1170392146760753E-2"/>
    <x v="1"/>
    <n v="0"/>
    <x v="105"/>
  </r>
  <r>
    <d v="2010-02-26T00:00:00"/>
    <x v="15"/>
    <s v="NA"/>
    <n v="94186318.31120567"/>
    <n v="1233.8232000000003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2-26T00:00:00"/>
    <n v="8.9222275255924632E-3"/>
    <x v="1"/>
    <n v="0"/>
    <x v="106"/>
  </r>
  <r>
    <d v="2010-03-31T00:00:00"/>
    <x v="15"/>
    <s v="NA"/>
    <n v="99176603.113255486"/>
    <n v="1299.19500000000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3-31T00:00:00"/>
    <n v="5.2983117840546212E-2"/>
    <x v="1"/>
    <n v="0"/>
    <x v="107"/>
  </r>
  <r>
    <d v="2010-04-30T00:00:00"/>
    <x v="15"/>
    <s v="NA"/>
    <n v="103222882.10626243"/>
    <n v="1352.2005000000001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4-30T00:00:00"/>
    <n v="4.0798725364552535E-2"/>
    <x v="1"/>
    <n v="0"/>
    <x v="108"/>
  </r>
  <r>
    <d v="2010-05-31T00:00:00"/>
    <x v="15"/>
    <s v="NA"/>
    <n v="100230076.12996496"/>
    <n v="1312.9953000000003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5-31T00:00:00"/>
    <n v="-2.8993629273173505E-2"/>
    <x v="1"/>
    <n v="0"/>
    <x v="109"/>
  </r>
  <r>
    <d v="2010-06-30T00:00:00"/>
    <x v="15"/>
    <s v="NA"/>
    <n v="107482446.57919998"/>
    <n v="1408.00000000000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06-30T00:00:00"/>
    <n v="7.2357227782917422E-2"/>
    <x v="1"/>
    <n v="0"/>
    <x v="110"/>
  </r>
  <r>
    <d v="2010-07-30T00:00:00"/>
    <x v="15"/>
    <s v="NA"/>
    <n v="113564342.34562333"/>
    <n v="1485.1492273943418"/>
    <m/>
    <n v="192557.90275937319"/>
    <n v="0"/>
    <n v="0"/>
    <m/>
    <n v="76466.620492318616"/>
    <n v="192557.90275937319"/>
    <n v="0"/>
    <n v="0"/>
    <m/>
    <s v="Hedge Fund"/>
    <n v="0"/>
    <n v="0"/>
    <n v="0"/>
    <n v="0"/>
    <m/>
    <m/>
    <m/>
    <m/>
    <m/>
    <m/>
    <m/>
    <m/>
    <m/>
    <m/>
    <m/>
    <d v="2010-07-30T00:00:00"/>
    <n v="5.4793485365299377E-2"/>
    <x v="1"/>
    <n v="0"/>
    <x v="111"/>
  </r>
  <r>
    <d v="2010-08-31T00:00:00"/>
    <x v="15"/>
    <s v="NA"/>
    <n v="113727634.7472409"/>
    <n v="1489.8108000000002"/>
    <m/>
    <n v="0"/>
    <n v="-193162.3017167002"/>
    <n v="0"/>
    <m/>
    <n v="76336.964899999977"/>
    <n v="-193162.3017167002"/>
    <n v="0"/>
    <n v="0"/>
    <m/>
    <s v="Hedge Fund"/>
    <n v="0"/>
    <n v="0"/>
    <n v="0"/>
    <n v="0"/>
    <m/>
    <m/>
    <m/>
    <m/>
    <m/>
    <m/>
    <m/>
    <m/>
    <m/>
    <m/>
    <m/>
    <d v="2010-08-31T00:00:00"/>
    <n v="3.1387907152178318E-3"/>
    <x v="1"/>
    <n v="0"/>
    <x v="112"/>
  </r>
  <r>
    <d v="2010-09-30T00:00:00"/>
    <x v="15"/>
    <s v="NA"/>
    <n v="117979725.83131476"/>
    <n v="1545.5124000000001"/>
    <m/>
    <n v="2.9802322387695313E-8"/>
    <n v="0"/>
    <n v="0"/>
    <m/>
    <n v="76336.964899999992"/>
    <n v="2.9802322387695313E-8"/>
    <n v="0"/>
    <n v="0"/>
    <m/>
    <s v="Hedge Fund"/>
    <n v="0"/>
    <n v="0"/>
    <n v="0"/>
    <n v="0"/>
    <m/>
    <m/>
    <m/>
    <m/>
    <m/>
    <m/>
    <m/>
    <m/>
    <m/>
    <m/>
    <m/>
    <d v="2010-09-30T00:00:00"/>
    <n v="3.7388371731497561E-2"/>
    <x v="1"/>
    <n v="0"/>
    <x v="113"/>
  </r>
  <r>
    <d v="2010-10-29T00:00:00"/>
    <x v="15"/>
    <s v="NA"/>
    <n v="124157589.73"/>
    <n v="1626.4413"/>
    <m/>
    <n v="0"/>
    <n v="-2.7000103443861008"/>
    <n v="0"/>
    <m/>
    <n v="76336.963239927572"/>
    <n v="-2.7000103443861008"/>
    <n v="0"/>
    <n v="0"/>
    <m/>
    <s v="Hedge Fund"/>
    <n v="0"/>
    <n v="0"/>
    <n v="0"/>
    <n v="0"/>
    <m/>
    <m/>
    <m/>
    <m/>
    <m/>
    <m/>
    <m/>
    <m/>
    <m/>
    <m/>
    <m/>
    <d v="2010-10-29T00:00:00"/>
    <n v="5.2363798569328601E-2"/>
    <x v="1"/>
    <n v="0"/>
    <x v="114"/>
  </r>
  <r>
    <d v="2010-11-30T00:00:00"/>
    <x v="15"/>
    <s v="NA"/>
    <n v="127900569.39407663"/>
    <n v="1675.4736000000005"/>
    <m/>
    <n v="2.7814074754714966"/>
    <n v="0"/>
    <n v="0"/>
    <m/>
    <n v="76336.964899999977"/>
    <n v="2.7814074754714966"/>
    <n v="0"/>
    <n v="0"/>
    <m/>
    <s v="Hedge Fund"/>
    <n v="0"/>
    <n v="0"/>
    <n v="0"/>
    <n v="0"/>
    <m/>
    <m/>
    <m/>
    <m/>
    <m/>
    <m/>
    <m/>
    <m/>
    <m/>
    <m/>
    <m/>
    <d v="2010-11-30T00:00:00"/>
    <n v="3.0146984093431861E-2"/>
    <x v="1"/>
    <n v="0"/>
    <x v="115"/>
  </r>
  <r>
    <d v="2010-12-31T00:00:00"/>
    <x v="15"/>
    <s v="NA"/>
    <n v="130481056.52185972"/>
    <n v="1709.2775000000001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  <m/>
    <m/>
    <m/>
    <d v="2010-12-31T00:00:00"/>
    <n v="2.0175728223948086E-2"/>
    <x v="1"/>
    <n v="0"/>
    <x v="116"/>
  </r>
  <r>
    <d v="2011-01-31T00:00:00"/>
    <x v="15"/>
    <s v="NA"/>
    <n v="132479426.32791139"/>
    <n v="1735.0281999999997"/>
    <m/>
    <n v="32639.524001270533"/>
    <n v="0"/>
    <n v="0"/>
    <m/>
    <n v="76355.777000000002"/>
    <n v="32639.524001270533"/>
    <n v="0"/>
    <n v="0"/>
    <m/>
    <s v="Hedge Fund"/>
    <n v="0"/>
    <n v="0"/>
    <n v="0"/>
    <n v="0"/>
    <m/>
    <m/>
    <m/>
    <m/>
    <m/>
    <m/>
    <m/>
    <m/>
    <m/>
    <m/>
    <m/>
    <d v="2011-01-31T00:00:00"/>
    <n v="1.5065254179031484E-2"/>
    <x v="1"/>
    <n v="0"/>
    <x v="117"/>
  </r>
  <r>
    <d v="2011-02-28T00:00:00"/>
    <x v="15"/>
    <s v="NA"/>
    <n v="132481465.02715729"/>
    <n v="1735.0548999999999"/>
    <m/>
    <n v="0"/>
    <n v="0"/>
    <n v="0"/>
    <m/>
    <n v="76355.777000000002"/>
    <n v="0"/>
    <n v="0"/>
    <n v="0"/>
    <m/>
    <s v="Hedge Fund"/>
    <n v="0"/>
    <n v="0"/>
    <n v="0"/>
    <n v="0"/>
    <m/>
    <m/>
    <m/>
    <m/>
    <m/>
    <m/>
    <m/>
    <m/>
    <m/>
    <m/>
    <m/>
    <d v="2011-02-28T00:00:00"/>
    <n v="1.5388798867865816E-5"/>
    <x v="1"/>
    <n v="0"/>
    <x v="118"/>
  </r>
  <r>
    <d v="2011-03-31T00:00:00"/>
    <x v="15"/>
    <s v="NA"/>
    <n v="136692982.4412578"/>
    <n v="1790.2113999999997"/>
    <m/>
    <n v="2.9802322387695313E-8"/>
    <n v="0"/>
    <n v="0"/>
    <m/>
    <n v="76355.777000000016"/>
    <n v="2.9802322387695313E-8"/>
    <n v="0"/>
    <n v="0"/>
    <m/>
    <s v="Hedge Fund"/>
    <n v="0"/>
    <n v="0"/>
    <n v="0"/>
    <n v="0"/>
    <m/>
    <m/>
    <m/>
    <m/>
    <m/>
    <m/>
    <m/>
    <m/>
    <m/>
    <m/>
    <m/>
    <d v="2011-03-31T00:00:00"/>
    <n v="3.1789484009987046E-2"/>
    <x v="1"/>
    <n v="0"/>
    <x v="119"/>
  </r>
  <r>
    <d v="2011-04-29T00:00:00"/>
    <x v="15"/>
    <s v="NA"/>
    <n v="139412439.252579"/>
    <n v="1825.827"/>
    <m/>
    <n v="0"/>
    <n v="-2.9802322387695313E-8"/>
    <n v="0"/>
    <m/>
    <n v="76355.777000000002"/>
    <n v="-2.9802322387695313E-8"/>
    <n v="0"/>
    <n v="0"/>
    <m/>
    <s v="Hedge Fund"/>
    <n v="0"/>
    <n v="0"/>
    <n v="0"/>
    <n v="0"/>
    <m/>
    <m/>
    <m/>
    <m/>
    <m/>
    <m/>
    <m/>
    <m/>
    <m/>
    <m/>
    <m/>
    <d v="2011-04-29T00:00:00"/>
    <n v="1.9894633672872697E-2"/>
    <x v="1"/>
    <n v="0"/>
    <x v="120"/>
  </r>
  <r>
    <d v="2011-05-31T00:00:00"/>
    <x v="15"/>
    <s v="NA"/>
    <n v="140520071.424896"/>
    <n v="1840.3332"/>
    <m/>
    <n v="0"/>
    <n v="-4.1723251342773438E-7"/>
    <n v="0"/>
    <m/>
    <n v="76355.776999999784"/>
    <n v="-4.1723251342773438E-7"/>
    <n v="0"/>
    <n v="0"/>
    <m/>
    <s v="Hedge Fund"/>
    <n v="0"/>
    <n v="0"/>
    <n v="0"/>
    <n v="0"/>
    <m/>
    <m/>
    <m/>
    <m/>
    <m/>
    <m/>
    <m/>
    <m/>
    <m/>
    <m/>
    <m/>
    <d v="2011-05-31T00:00:00"/>
    <n v="7.9450024564211574E-3"/>
    <x v="1"/>
    <n v="0"/>
    <x v="121"/>
  </r>
  <r>
    <d v="2011-06-30T00:00:00"/>
    <x v="15"/>
    <s v="NA"/>
    <n v="140794211.57105953"/>
    <n v="1843.9234999999999"/>
    <m/>
    <n v="4.4703483581542969E-7"/>
    <n v="0"/>
    <n v="0"/>
    <m/>
    <n v="76355.777000000016"/>
    <n v="4.4703483581542969E-7"/>
    <n v="0"/>
    <n v="0"/>
    <m/>
    <s v="Hedge Fund"/>
    <n v="0"/>
    <n v="0"/>
    <n v="0"/>
    <n v="0"/>
    <m/>
    <m/>
    <m/>
    <m/>
    <m/>
    <m/>
    <m/>
    <m/>
    <m/>
    <m/>
    <m/>
    <d v="2011-06-30T00:00:00"/>
    <n v="1.9508967180505987E-3"/>
    <x v="1"/>
    <n v="0"/>
    <x v="122"/>
  </r>
  <r>
    <d v="2011-07-29T00:00:00"/>
    <x v="15"/>
    <s v="NA"/>
    <n v="134609886.65266526"/>
    <n v="1897.7165000000002"/>
    <m/>
    <n v="0"/>
    <n v="-10291731.230555296"/>
    <n v="0"/>
    <m/>
    <n v="70932.558499999999"/>
    <n v="-10291731.230555296"/>
    <n v="0"/>
    <n v="0"/>
    <m/>
    <s v="Hedge Fund"/>
    <n v="0"/>
    <n v="0"/>
    <n v="0"/>
    <n v="0"/>
    <m/>
    <m/>
    <m/>
    <m/>
    <m/>
    <m/>
    <m/>
    <m/>
    <m/>
    <m/>
    <m/>
    <d v="2011-07-29T00:00:00"/>
    <n v="2.9173119166820305E-2"/>
    <x v="1"/>
    <n v="0"/>
    <x v="123"/>
  </r>
  <r>
    <d v="2011-08-31T00:00:00"/>
    <x v="15"/>
    <s v="NA"/>
    <n v="126560545.03315544"/>
    <n v="1784.2376999999999"/>
    <m/>
    <n v="0"/>
    <n v="0"/>
    <n v="0"/>
    <m/>
    <n v="70932.558499999999"/>
    <n v="0"/>
    <n v="0"/>
    <n v="0"/>
    <m/>
    <s v="Hedge Fund"/>
    <n v="0"/>
    <n v="0"/>
    <n v="0"/>
    <n v="0"/>
    <m/>
    <m/>
    <m/>
    <m/>
    <m/>
    <m/>
    <m/>
    <m/>
    <m/>
    <m/>
    <m/>
    <d v="2011-08-31T00:00:00"/>
    <n v="-5.9797551425621376E-2"/>
    <x v="1"/>
    <n v="0"/>
    <x v="124"/>
  </r>
  <r>
    <d v="2011-09-30T00:00:00"/>
    <x v="15"/>
    <s v="NA"/>
    <n v="117352349.83240774"/>
    <n v="1654.4214999999999"/>
    <m/>
    <n v="0"/>
    <n v="0"/>
    <n v="0"/>
    <m/>
    <n v="70932.558499999999"/>
    <n v="0"/>
    <n v="0"/>
    <n v="0"/>
    <m/>
    <s v="Hedge Fund"/>
    <n v="0"/>
    <n v="0"/>
    <n v="0"/>
    <n v="0"/>
    <m/>
    <m/>
    <m/>
    <m/>
    <m/>
    <m/>
    <m/>
    <m/>
    <m/>
    <m/>
    <m/>
    <d v="2011-09-30T00:00:00"/>
    <n v="-7.27572340837771E-2"/>
    <x v="1"/>
    <n v="0"/>
    <x v="125"/>
  </r>
  <r>
    <d v="2011-10-31T00:00:00"/>
    <x v="15"/>
    <s v="NA"/>
    <n v="109107476.907912"/>
    <n v="1681.47"/>
    <m/>
    <n v="0"/>
    <n v="-10163492.233082995"/>
    <n v="0"/>
    <m/>
    <n v="64888.149599999997"/>
    <n v="-10163492.233082995"/>
    <n v="0"/>
    <n v="0"/>
    <m/>
    <s v="Hedge Fund"/>
    <n v="0"/>
    <n v="0"/>
    <n v="0"/>
    <n v="0"/>
    <m/>
    <m/>
    <m/>
    <m/>
    <m/>
    <m/>
    <m/>
    <m/>
    <m/>
    <m/>
    <m/>
    <d v="2011-10-31T00:00:00"/>
    <n v="1.6349219349482524E-2"/>
    <x v="1"/>
    <n v="0"/>
    <x v="126"/>
  </r>
  <r>
    <d v="2011-11-30T00:00:00"/>
    <x v="15"/>
    <s v="NA"/>
    <n v="105500941.64262432"/>
    <n v="1625.8892000000003"/>
    <m/>
    <n v="0"/>
    <n v="-1.4901161193847656E-8"/>
    <n v="0"/>
    <m/>
    <n v="64888.14959999999"/>
    <n v="-1.4901161193847656E-8"/>
    <n v="0"/>
    <n v="0"/>
    <m/>
    <s v="Hedge Fund"/>
    <n v="0"/>
    <n v="0"/>
    <n v="0"/>
    <n v="0"/>
    <m/>
    <m/>
    <m/>
    <m/>
    <m/>
    <m/>
    <m/>
    <m/>
    <m/>
    <m/>
    <m/>
    <d v="2011-11-30T00:00:00"/>
    <n v="-3.3054886498123603E-2"/>
    <x v="1"/>
    <n v="0"/>
    <x v="127"/>
  </r>
  <r>
    <d v="2011-12-30T00:00:00"/>
    <x v="15"/>
    <s v="NA"/>
    <n v="106979768.52726816"/>
    <n v="1648.6795999999999"/>
    <m/>
    <n v="1.4901161193847656E-8"/>
    <n v="0"/>
    <n v="0"/>
    <m/>
    <n v="64888.149599999997"/>
    <n v="1.4901161193847656E-8"/>
    <n v="0"/>
    <n v="0"/>
    <m/>
    <s v="Hedge Fund"/>
    <n v="0"/>
    <n v="0"/>
    <n v="0"/>
    <n v="0"/>
    <m/>
    <m/>
    <m/>
    <m/>
    <m/>
    <m/>
    <m/>
    <m/>
    <m/>
    <m/>
    <m/>
    <d v="2011-12-30T00:00:00"/>
    <n v="1.401719133136492E-2"/>
    <x v="1"/>
    <n v="0"/>
    <x v="128"/>
  </r>
  <r>
    <d v="2012-01-31T00:00:00"/>
    <x v="15"/>
    <s v="NA"/>
    <n v="89493725.005111426"/>
    <n v="1758.0934"/>
    <m/>
    <n v="0"/>
    <n v="-24585702.544861212"/>
    <n v="0"/>
    <m/>
    <n v="50903.851300000002"/>
    <n v="-24585702.544861212"/>
    <n v="0"/>
    <n v="0"/>
    <m/>
    <s v="Hedge Fund"/>
    <n v="0"/>
    <n v="0"/>
    <n v="0"/>
    <n v="0"/>
    <m/>
    <m/>
    <m/>
    <m/>
    <m/>
    <m/>
    <m/>
    <m/>
    <m/>
    <m/>
    <m/>
    <d v="2012-01-31T00:00:00"/>
    <n v="6.6364501629061268E-2"/>
    <x v="1"/>
    <n v="0"/>
    <x v="129"/>
  </r>
  <r>
    <d v="2012-02-29T00:00:00"/>
    <x v="15"/>
    <s v="NA"/>
    <n v="93715853.324257582"/>
    <n v="1841.0365999999999"/>
    <m/>
    <n v="0"/>
    <n v="0"/>
    <n v="0"/>
    <m/>
    <n v="50903.851300000002"/>
    <n v="0"/>
    <n v="0"/>
    <n v="0"/>
    <m/>
    <s v="Hedge Fund"/>
    <n v="0"/>
    <n v="0"/>
    <n v="0"/>
    <n v="0"/>
    <m/>
    <m/>
    <m/>
    <m/>
    <m/>
    <m/>
    <m/>
    <m/>
    <m/>
    <m/>
    <m/>
    <d v="2012-02-29T00:00:00"/>
    <n v="4.7177925814407828E-2"/>
    <x v="1"/>
    <n v="0"/>
    <x v="130"/>
  </r>
  <r>
    <d v="2012-03-30T00:00:00"/>
    <x v="15"/>
    <s v="NA"/>
    <n v="92777910.430000007"/>
    <n v="1822.6107999999999"/>
    <m/>
    <n v="1.2890259623527527"/>
    <n v="0"/>
    <n v="0"/>
    <m/>
    <n v="50903.852007241483"/>
    <n v="1.2890259623527527"/>
    <n v="0"/>
    <n v="0"/>
    <m/>
    <s v="Hedge Fund"/>
    <n v="0"/>
    <n v="0"/>
    <n v="0"/>
    <n v="0"/>
    <m/>
    <m/>
    <m/>
    <m/>
    <m/>
    <m/>
    <m/>
    <m/>
    <m/>
    <m/>
    <m/>
    <d v="2012-03-30T00:00:00"/>
    <n v="-1.0008383320570524E-2"/>
    <x v="1"/>
    <n v="0"/>
    <x v="131"/>
  </r>
  <r>
    <d v="2012-04-30T00:00:00"/>
    <x v="15"/>
    <s v="NA"/>
    <n v="96447185.289999992"/>
    <n v="1894.6932999999999"/>
    <m/>
    <n v="0"/>
    <n v="-2.0523119866847992"/>
    <n v="0"/>
    <m/>
    <n v="50903.850924051927"/>
    <n v="-2.0523119866847992"/>
    <n v="0"/>
    <n v="0"/>
    <m/>
    <s v="Hedge Fund"/>
    <n v="0"/>
    <n v="0"/>
    <n v="0"/>
    <n v="0"/>
    <m/>
    <m/>
    <m/>
    <m/>
    <m/>
    <m/>
    <m/>
    <m/>
    <m/>
    <m/>
    <m/>
    <d v="2012-04-30T00:00:00"/>
    <n v="3.9549035921437437E-2"/>
    <x v="1"/>
    <n v="0"/>
    <x v="132"/>
  </r>
  <r>
    <d v="2012-05-31T00:00:00"/>
    <x v="15"/>
    <s v="NA"/>
    <n v="94895815.619658604"/>
    <n v="1864.2167999999999"/>
    <m/>
    <n v="1.5423454791307449"/>
    <n v="0"/>
    <n v="0"/>
    <m/>
    <n v="50903.851751394264"/>
    <n v="1.5423454791307449"/>
    <n v="0"/>
    <n v="0"/>
    <m/>
    <s v="Hedge Fund"/>
    <n v="0"/>
    <n v="0"/>
    <n v="0"/>
    <n v="0"/>
    <m/>
    <m/>
    <m/>
    <m/>
    <m/>
    <m/>
    <m/>
    <m/>
    <m/>
    <m/>
    <m/>
    <d v="2012-05-31T00:00:00"/>
    <n v="-1.6085189091025964E-2"/>
    <x v="1"/>
    <n v="0"/>
    <x v="133"/>
  </r>
  <r>
    <d v="2012-06-29T00:00:00"/>
    <x v="15"/>
    <s v="NA"/>
    <n v="105226430.46118"/>
    <n v="1820.3407"/>
    <m/>
    <n v="12564077.331350744"/>
    <n v="0"/>
    <n v="0"/>
    <m/>
    <n v="57805.898896387916"/>
    <n v="12564077.331350744"/>
    <n v="0"/>
    <n v="0"/>
    <m/>
    <s v="Hedge Fund"/>
    <n v="0"/>
    <n v="0"/>
    <n v="0"/>
    <n v="0"/>
    <m/>
    <m/>
    <m/>
    <m/>
    <m/>
    <m/>
    <m/>
    <m/>
    <m/>
    <m/>
    <m/>
    <d v="2012-06-29T00:00:00"/>
    <n v="-2.3535942815234745E-2"/>
    <x v="1"/>
    <n v="0"/>
    <x v="134"/>
  </r>
  <r>
    <d v="2012-07-31T00:00:00"/>
    <x v="15"/>
    <s v="NA"/>
    <n v="106367658.77000001"/>
    <n v="1840.0832"/>
    <m/>
    <n v="0"/>
    <n v="-4.6501419395208359"/>
    <n v="0"/>
    <m/>
    <n v="57805.896369251132"/>
    <n v="-4.6501419395208359"/>
    <n v="0"/>
    <n v="0"/>
    <m/>
    <s v="Hedge Fund"/>
    <n v="0"/>
    <n v="0"/>
    <n v="0"/>
    <n v="0"/>
    <m/>
    <m/>
    <m/>
    <m/>
    <m/>
    <m/>
    <m/>
    <m/>
    <m/>
    <m/>
    <m/>
    <d v="2012-07-31T00:00:00"/>
    <n v="1.0845497219284406E-2"/>
    <x v="1"/>
    <n v="0"/>
    <x v="135"/>
  </r>
  <r>
    <d v="2012-08-31T00:00:00"/>
    <x v="15"/>
    <s v="NA"/>
    <n v="111126878.56317499"/>
    <n v="1922.4141999999999"/>
    <m/>
    <n v="2.53919817507267"/>
    <n v="0"/>
    <n v="0"/>
    <m/>
    <n v="57805.897690089369"/>
    <n v="2.53919817507267"/>
    <n v="0"/>
    <n v="0"/>
    <m/>
    <s v="Hedge Fund"/>
    <n v="0"/>
    <n v="0"/>
    <n v="0"/>
    <n v="0"/>
    <m/>
    <m/>
    <m/>
    <m/>
    <m/>
    <m/>
    <m/>
    <m/>
    <m/>
    <m/>
    <m/>
    <d v="2012-08-31T00:00:00"/>
    <n v="4.4743085530045468E-2"/>
    <x v="1"/>
    <n v="0"/>
    <x v="136"/>
  </r>
  <r>
    <d v="2012-09-28T00:00:00"/>
    <x v="15"/>
    <s v="NA"/>
    <n v="117150698.33232999"/>
    <n v="2026.6219000000001"/>
    <m/>
    <n v="0.12443545460700989"/>
    <n v="0"/>
    <n v="0"/>
    <m/>
    <n v="57805.8977514898"/>
    <n v="0.12443545460700989"/>
    <n v="0"/>
    <n v="0"/>
    <m/>
    <s v="Hedge Fund"/>
    <n v="7.37319465841587E-2"/>
    <n v="3.2372435400000001"/>
    <n v="0"/>
    <n v="0"/>
    <m/>
    <m/>
    <m/>
    <m/>
    <m/>
    <m/>
    <m/>
    <m/>
    <m/>
    <m/>
    <m/>
    <d v="2012-09-28T00:00:00"/>
    <n v="5.4206684490782697E-2"/>
    <x v="1"/>
    <n v="0"/>
    <x v="137"/>
  </r>
  <r>
    <d v="2012-10-31T00:00:00"/>
    <x v="15"/>
    <s v="NA"/>
    <n v="115904530.12483177"/>
    <n v="2005.0642"/>
    <m/>
    <n v="0"/>
    <n v="-6.0055409371852875"/>
    <n v="0"/>
    <m/>
    <n v="57805.894756303445"/>
    <n v="-6.0055409371852875"/>
    <n v="0"/>
    <n v="0"/>
    <m/>
    <s v="Hedge Fund"/>
    <n v="8.5850917644022695E-2"/>
    <n v="3.0173316900000002"/>
    <n v="0"/>
    <n v="0"/>
    <m/>
    <m/>
    <m/>
    <m/>
    <m/>
    <m/>
    <m/>
    <m/>
    <m/>
    <m/>
    <m/>
    <d v="2012-10-31T00:00:00"/>
    <n v="-1.0637257990747995E-2"/>
    <x v="1"/>
    <n v="0"/>
    <x v="138"/>
  </r>
  <r>
    <d v="2012-11-30T00:00:00"/>
    <x v="15"/>
    <s v="NA"/>
    <n v="115716603.81628507"/>
    <n v="2001.8132000000003"/>
    <m/>
    <n v="0.65530604124069214"/>
    <n v="0"/>
    <n v="0"/>
    <m/>
    <n v="57805.895083659685"/>
    <n v="0.65530604124069214"/>
    <n v="0"/>
    <n v="0"/>
    <m/>
    <s v="Hedge Fund"/>
    <n v="7.7895312521760698E-2"/>
    <n v="2.9841681700000002"/>
    <n v="0"/>
    <n v="0"/>
    <m/>
    <m/>
    <m/>
    <m/>
    <m/>
    <m/>
    <m/>
    <m/>
    <m/>
    <m/>
    <m/>
    <d v="2012-11-30T00:00:00"/>
    <n v="-1.621394467069881E-3"/>
    <x v="1"/>
    <n v="0"/>
    <x v="139"/>
  </r>
  <r>
    <d v="2012-12-31T00:00:00"/>
    <x v="15"/>
    <s v="NA"/>
    <n v="120184119.71912195"/>
    <n v="2079.0979000000002"/>
    <m/>
    <n v="4.6430647671222687"/>
    <n v="0"/>
    <n v="0"/>
    <m/>
    <n v="57805.897316870905"/>
    <n v="4.6430647671222687"/>
    <n v="0"/>
    <n v="0"/>
    <m/>
    <s v="Hedge Fund"/>
    <n v="8.4058000297997898E-2"/>
    <n v="3.7725527300000001"/>
    <n v="0"/>
    <n v="0"/>
    <m/>
    <m/>
    <m/>
    <m/>
    <m/>
    <m/>
    <m/>
    <m/>
    <m/>
    <m/>
    <m/>
    <d v="2012-12-31T00:00:00"/>
    <n v="3.8607348577779366E-2"/>
    <x v="1"/>
    <n v="0"/>
    <x v="140"/>
  </r>
  <r>
    <d v="2013-01-31T00:00:00"/>
    <x v="15"/>
    <s v="NA"/>
    <n v="124648786.45471448"/>
    <n v="2152.9526999999998"/>
    <m/>
    <n v="195423.75043451786"/>
    <n v="0"/>
    <n v="0"/>
    <m/>
    <n v="57896.667425491738"/>
    <n v="195423.75043451786"/>
    <n v="0"/>
    <n v="0"/>
    <m/>
    <s v="Hedge Fund"/>
    <n v="8.52722033506981E-2"/>
    <n v="0.75457882999999992"/>
    <n v="0"/>
    <n v="0"/>
    <m/>
    <m/>
    <m/>
    <m/>
    <m/>
    <m/>
    <m/>
    <m/>
    <m/>
    <m/>
    <m/>
    <d v="2013-01-31T00:00:00"/>
    <n v="3.5522521570532817E-2"/>
    <x v="1"/>
    <n v="0"/>
    <x v="141"/>
  </r>
  <r>
    <d v="2013-02-28T00:00:00"/>
    <x v="15"/>
    <s v="NA"/>
    <n v="126164865.61337222"/>
    <n v="2179.1387"/>
    <m/>
    <n v="0"/>
    <n v="-2.9745461940765381"/>
    <n v="0"/>
    <m/>
    <n v="57896.666060481708"/>
    <n v="-2.9745461940765381"/>
    <n v="0"/>
    <n v="0"/>
    <m/>
    <s v="Hedge Fund"/>
    <n v="7.8109606332895154E-2"/>
    <n v="1.0221222299999999"/>
    <n v="0"/>
    <n v="0"/>
    <m/>
    <m/>
    <m/>
    <m/>
    <m/>
    <m/>
    <m/>
    <m/>
    <m/>
    <m/>
    <m/>
    <d v="2013-02-28T00:00:00"/>
    <n v="1.2162831073808666E-2"/>
    <x v="1"/>
    <n v="0"/>
    <x v="142"/>
  </r>
  <r>
    <d v="2013-03-28T00:00:00"/>
    <x v="15"/>
    <s v="NA"/>
    <n v="126276143.44013076"/>
    <n v="2181.0607"/>
    <m/>
    <n v="0.43459028005599976"/>
    <n v="0"/>
    <n v="0"/>
    <m/>
    <n v="57896.6662597381"/>
    <n v="0.43459028005599976"/>
    <n v="0"/>
    <n v="0"/>
    <m/>
    <s v="Hedge Fund"/>
    <n v="7.8190005545692789E-2"/>
    <n v="1.0417595900000001"/>
    <n v="0"/>
    <n v="0"/>
    <m/>
    <m/>
    <m/>
    <m/>
    <m/>
    <m/>
    <m/>
    <m/>
    <m/>
    <m/>
    <m/>
    <d v="2013-03-28T00:00:00"/>
    <n v="8.819998470037671E-4"/>
    <x v="1"/>
    <n v="0"/>
    <x v="143"/>
  </r>
  <r>
    <d v="2013-04-30T00:00:00"/>
    <x v="15"/>
    <s v="NA"/>
    <n v="126443760.47416349"/>
    <n v="2183.9559000000004"/>
    <m/>
    <n v="0"/>
    <n v="-5.3941224962472916"/>
    <n v="0"/>
    <m/>
    <n v="57896.663789851918"/>
    <n v="-5.3941224962472916"/>
    <n v="0"/>
    <n v="0"/>
    <m/>
    <s v="Hedge Fund"/>
    <n v="9.2306879095650968E-2"/>
    <n v="1.0713399099999998"/>
    <n v="0"/>
    <n v="0"/>
    <m/>
    <m/>
    <m/>
    <m/>
    <m/>
    <m/>
    <m/>
    <m/>
    <m/>
    <m/>
    <m/>
    <d v="2013-04-30T00:00:00"/>
    <n v="1.3274275218477793E-3"/>
    <x v="1"/>
    <n v="0"/>
    <x v="144"/>
  </r>
  <r>
    <d v="2013-05-31T00:00:00"/>
    <x v="15"/>
    <s v="NA"/>
    <n v="131705258.52871521"/>
    <n v="2274.8332"/>
    <m/>
    <n v="5.5703222453594208"/>
    <n v="0"/>
    <n v="0"/>
    <m/>
    <n v="57896.66623852474"/>
    <n v="5.5703222453594208"/>
    <n v="0"/>
    <n v="0"/>
    <m/>
    <s v="Hedge Fund"/>
    <n v="9.0917243137490902E-2"/>
    <n v="1.99983884"/>
    <n v="0"/>
    <n v="0"/>
    <m/>
    <m/>
    <m/>
    <m/>
    <m/>
    <m/>
    <m/>
    <m/>
    <m/>
    <m/>
    <m/>
    <d v="2013-05-31T00:00:00"/>
    <n v="4.1611325576674574E-2"/>
    <x v="1"/>
    <n v="0"/>
    <x v="145"/>
  </r>
  <r>
    <d v="2013-06-28T00:00:00"/>
    <x v="15"/>
    <s v="NA"/>
    <n v="126690978.86147915"/>
    <n v="2188.2258000000002"/>
    <m/>
    <n v="6.4350351691246033E-2"/>
    <n v="0"/>
    <n v="0"/>
    <m/>
    <n v="57896.666267932284"/>
    <n v="6.4350351691246033E-2"/>
    <n v="0"/>
    <n v="0"/>
    <m/>
    <s v="Hedge Fund"/>
    <n v="7.8489727967604894E-2"/>
    <n v="1.1149664699999999"/>
    <n v="0"/>
    <n v="0"/>
    <m/>
    <m/>
    <m/>
    <m/>
    <m/>
    <m/>
    <m/>
    <m/>
    <m/>
    <m/>
    <m/>
    <d v="2013-06-28T00:00:00"/>
    <n v="-3.8071978200423739E-2"/>
    <x v="1"/>
    <n v="0"/>
    <x v="146"/>
  </r>
  <r>
    <d v="2013-07-31T00:00:00"/>
    <x v="15"/>
    <s v="NA"/>
    <n v="124642338.01894009"/>
    <n v="2152.8413999999998"/>
    <m/>
    <n v="0"/>
    <n v="-2.0446480065584183"/>
    <n v="0"/>
    <m/>
    <n v="57896.665318188374"/>
    <n v="-2.0446480065584183"/>
    <n v="0"/>
    <n v="0"/>
    <m/>
    <s v="Hedge Fund"/>
    <n v="9.0772724108601502E-2"/>
    <n v="0.75344115"/>
    <n v="0"/>
    <n v="0"/>
    <m/>
    <m/>
    <m/>
    <m/>
    <m/>
    <m/>
    <m/>
    <m/>
    <m/>
    <m/>
    <m/>
    <d v="2013-07-31T00:00:00"/>
    <n v="-1.6170360481080337E-2"/>
    <x v="1"/>
    <n v="0"/>
    <x v="147"/>
  </r>
  <r>
    <d v="2013-08-30T00:00:00"/>
    <x v="15"/>
    <s v="NA"/>
    <n v="121467272.88111438"/>
    <n v="2098.0011"/>
    <m/>
    <n v="5.357223317027092"/>
    <n v="0"/>
    <n v="0"/>
    <m/>
    <n v="57896.667871677659"/>
    <n v="5.357223317027092"/>
    <n v="0"/>
    <n v="0"/>
    <m/>
    <s v="Hedge Fund"/>
    <n v="8.0056420730929292E-2"/>
    <n v="0.19313543"/>
    <n v="0"/>
    <n v="0"/>
    <m/>
    <m/>
    <m/>
    <m/>
    <m/>
    <m/>
    <m/>
    <m/>
    <m/>
    <m/>
    <m/>
    <d v="2013-08-30T00:00:00"/>
    <n v="-2.5473451040099682E-2"/>
    <x v="1"/>
    <n v="0"/>
    <x v="148"/>
  </r>
  <r>
    <d v="2013-09-30T00:00:00"/>
    <x v="15"/>
    <s v="NA"/>
    <n v="120920211.13337706"/>
    <n v="2088.5522000000001"/>
    <m/>
    <n v="0"/>
    <n v="-1.9226846396923065"/>
    <n v="0"/>
    <m/>
    <n v="57896.666951095147"/>
    <n v="-1.9226846396923065"/>
    <n v="0"/>
    <n v="0"/>
    <m/>
    <s v="Hedge Fund"/>
    <n v="8.2289416122947337E-2"/>
    <n v="9.6595089999999995E-2"/>
    <n v="0"/>
    <n v="0"/>
    <m/>
    <m/>
    <m/>
    <m/>
    <m/>
    <m/>
    <m/>
    <m/>
    <m/>
    <m/>
    <m/>
    <d v="2013-09-30T00:00:00"/>
    <n v="-4.5037631295806735E-3"/>
    <x v="1"/>
    <n v="0"/>
    <x v="0"/>
  </r>
  <r>
    <d v="2013-10-31T00:00:00"/>
    <x v="15"/>
    <s v="NA"/>
    <n v="122750712.71748152"/>
    <n v="2120.1690000000008"/>
    <m/>
    <n v="0"/>
    <n v="-5.7555549740791321"/>
    <n v="0"/>
    <m/>
    <n v="57896.664236427139"/>
    <n v="-5.7555549740791321"/>
    <n v="0"/>
    <n v="0"/>
    <m/>
    <s v="Hedge Fund"/>
    <n v="8.3753782066029209E-2"/>
    <n v="0.41962548999999999"/>
    <n v="0"/>
    <n v="0"/>
    <m/>
    <m/>
    <m/>
    <m/>
    <m/>
    <m/>
    <m/>
    <m/>
    <m/>
    <m/>
    <m/>
    <d v="2013-10-31T00:00:00"/>
    <n v="1.5138142106288166E-2"/>
    <x v="1"/>
    <n v="0"/>
    <x v="1"/>
  </r>
  <r>
    <d v="2013-11-29T00:00:00"/>
    <x v="15"/>
    <s v="NA"/>
    <n v="121394588.26288603"/>
    <n v="2096.7456999999999"/>
    <m/>
    <n v="6.4808136522769928"/>
    <n v="0"/>
    <n v="0"/>
    <m/>
    <n v="57896.667327318726"/>
    <n v="6.4808136522769928"/>
    <n v="0"/>
    <n v="0"/>
    <m/>
    <s v="Hedge Fund"/>
    <n v="8.0000151950221685E-2"/>
    <n v="0.18030932"/>
    <n v="0"/>
    <n v="0"/>
    <m/>
    <m/>
    <m/>
    <m/>
    <m/>
    <m/>
    <m/>
    <m/>
    <m/>
    <m/>
    <m/>
    <d v="2013-11-29T00:00:00"/>
    <n v="-1.1047845714186266E-2"/>
    <x v="1"/>
    <n v="0"/>
    <x v="2"/>
  </r>
  <r>
    <d v="2013-12-31T00:00:00"/>
    <x v="15"/>
    <s v="NA"/>
    <n v="122373903.61101939"/>
    <n v="2113.6606000000002"/>
    <m/>
    <n v="0"/>
    <n v="-0.99004150927066803"/>
    <n v="0"/>
    <m/>
    <n v="57896.666858917357"/>
    <n v="-0.99004150927066803"/>
    <n v="0"/>
    <n v="0"/>
    <m/>
    <s v="Hedge Fund"/>
    <n v="8.6146525819238762E-2"/>
    <n v="0.35312915"/>
    <n v="0"/>
    <n v="0"/>
    <m/>
    <m/>
    <m/>
    <m/>
    <m/>
    <m/>
    <m/>
    <m/>
    <m/>
    <m/>
    <m/>
    <d v="2013-12-31T00:00:00"/>
    <n v="8.0672157811030321E-3"/>
    <x v="1"/>
    <n v="0"/>
    <x v="3"/>
  </r>
  <r>
    <d v="2014-01-30T00:00:00"/>
    <x v="15"/>
    <s v="NA"/>
    <n v="123348933.43208557"/>
    <n v="2130.5014999999999"/>
    <m/>
    <n v="0"/>
    <n v="-2.1558381319046021"/>
    <n v="0"/>
    <m/>
    <n v="57896.665847025019"/>
    <n v="-2.1558381319046021"/>
    <n v="0"/>
    <n v="0"/>
    <m/>
    <s v="Hedge Fund"/>
    <n v="8.1280747760225591E-2"/>
    <n v="0.17206426"/>
    <n v="0"/>
    <n v="0"/>
    <m/>
    <m/>
    <m/>
    <m/>
    <m/>
    <m/>
    <m/>
    <m/>
    <m/>
    <m/>
    <m/>
    <d v="2014-01-30T00:00:00"/>
    <n v="7.967646272064588E-3"/>
    <x v="1"/>
    <n v="0"/>
    <x v="4"/>
  </r>
  <r>
    <d v="2014-02-28T00:00:00"/>
    <x v="15"/>
    <s v="NA"/>
    <n v="122559881.30965824"/>
    <n v="2116.8728000000001"/>
    <m/>
    <n v="4.1674020141363144"/>
    <n v="0"/>
    <n v="0"/>
    <m/>
    <n v="57896.667815684646"/>
    <n v="4.1674020141363144"/>
    <n v="0"/>
    <n v="0"/>
    <m/>
    <s v="Hedge Fund"/>
    <n v="7.797893532094341E-2"/>
    <n v="3.2819589999999996E-2"/>
    <n v="0"/>
    <n v="0"/>
    <m/>
    <m/>
    <m/>
    <m/>
    <m/>
    <m/>
    <m/>
    <m/>
    <m/>
    <m/>
    <m/>
    <d v="2014-02-28T00:00:00"/>
    <n v="-6.3969445691541837E-3"/>
    <x v="1"/>
    <n v="0"/>
    <x v="5"/>
  </r>
  <r>
    <d v="2014-03-31T00:00:00"/>
    <x v="15"/>
    <s v="NA"/>
    <n v="122156170.99987981"/>
    <n v="2109.8998999999999"/>
    <m/>
    <n v="0"/>
    <n v="-2.6347664445638657"/>
    <n v="0"/>
    <m/>
    <n v="57896.666566920925"/>
    <n v="-2.6347664445638657"/>
    <n v="0"/>
    <n v="0"/>
    <m/>
    <s v="Hedge Fund"/>
    <n v="8.3064165227103998E-2"/>
    <n v="0"/>
    <n v="0"/>
    <n v="0"/>
    <m/>
    <m/>
    <m/>
    <m/>
    <m/>
    <m/>
    <m/>
    <m/>
    <m/>
    <m/>
    <m/>
    <d v="2014-03-31T00:00:00"/>
    <n v="-3.2939626792880539E-3"/>
    <x v="1"/>
    <n v="0"/>
    <x v="6"/>
  </r>
  <r>
    <d v="2014-04-30T00:00:00"/>
    <x v="15"/>
    <s v="NA"/>
    <n v="125717462.65811197"/>
    <n v="2171.4110000000001"/>
    <m/>
    <n v="4.0113676339387894"/>
    <n v="0"/>
    <n v="0"/>
    <m/>
    <n v="57896.668414276231"/>
    <n v="4.0113676339387894"/>
    <n v="0"/>
    <n v="0"/>
    <m/>
    <s v="Hedge Fund"/>
    <n v="8.3114355706635307E-2"/>
    <n v="0.59003969000000001"/>
    <n v="0"/>
    <n v="0"/>
    <m/>
    <m/>
    <m/>
    <m/>
    <m/>
    <m/>
    <m/>
    <m/>
    <m/>
    <m/>
    <m/>
    <d v="2014-04-30T00:00:00"/>
    <n v="2.9153563161930185E-2"/>
    <x v="1"/>
    <n v="0"/>
    <x v="7"/>
  </r>
  <r>
    <d v="2014-05-30T00:00:00"/>
    <x v="15"/>
    <s v="NA"/>
    <n v="122579795.1965078"/>
    <n v="2117.2168000000001"/>
    <m/>
    <n v="0"/>
    <n v="-3.8342272043228149"/>
    <n v="0"/>
    <m/>
    <n v="57896.66660330099"/>
    <n v="-3.8342272043228149"/>
    <n v="0"/>
    <n v="0"/>
    <m/>
    <s v="Hedge Fund"/>
    <n v="8.0685315958263989E-2"/>
    <n v="3.6334209999999999E-2"/>
    <n v="0"/>
    <n v="0"/>
    <m/>
    <m/>
    <m/>
    <m/>
    <m/>
    <m/>
    <m/>
    <m/>
    <m/>
    <m/>
    <m/>
    <d v="2014-05-30T00:00:00"/>
    <n v="-2.4958057226384223E-2"/>
    <x v="1"/>
    <n v="0"/>
    <x v="8"/>
  </r>
  <r>
    <d v="2014-06-30T00:00:00"/>
    <x v="15"/>
    <s v="NA"/>
    <n v="119781084.55260624"/>
    <n v="2068.8771000000002"/>
    <m/>
    <n v="0"/>
    <n v="-3.1492979675531387"/>
    <n v="0"/>
    <m/>
    <n v="57896.665081075247"/>
    <n v="-3.1492979675531387"/>
    <n v="0"/>
    <n v="0"/>
    <m/>
    <s v="Hedge Fund"/>
    <n v="8.14491459327846E-2"/>
    <n v="0"/>
    <n v="0"/>
    <n v="0"/>
    <m/>
    <m/>
    <m/>
    <m/>
    <m/>
    <m/>
    <m/>
    <m/>
    <m/>
    <m/>
    <m/>
    <d v="2014-06-30T00:00:00"/>
    <n v="-2.2831719453576982E-2"/>
    <x v="1"/>
    <n v="0"/>
    <x v="9"/>
  </r>
  <r>
    <d v="2014-07-31T00:00:00"/>
    <x v="15"/>
    <s v="NA"/>
    <n v="116126136.83612441"/>
    <n v="2005.7483"/>
    <m/>
    <n v="0"/>
    <n v="-0.72591163218021393"/>
    <n v="0"/>
    <m/>
    <n v="57896.664719159628"/>
    <n v="-0.72591163218021393"/>
    <n v="0"/>
    <n v="0"/>
    <m/>
    <s v="Hedge Fund"/>
    <n v="7.8963842574852602E-2"/>
    <n v="0"/>
    <n v="0"/>
    <n v="0"/>
    <m/>
    <m/>
    <m/>
    <m/>
    <m/>
    <m/>
    <m/>
    <m/>
    <m/>
    <m/>
    <m/>
    <d v="2014-07-31T00:00:00"/>
    <n v="-3.0513557330205998E-2"/>
    <x v="1"/>
    <n v="0"/>
    <x v="10"/>
  </r>
  <r>
    <d v="2014-08-29T00:00:00"/>
    <x v="15"/>
    <s v="NA"/>
    <n v="110904050.70862301"/>
    <n v="2001.7398000000001"/>
    <m/>
    <n v="0"/>
    <n v="-4990007.3469746411"/>
    <n v="0"/>
    <m/>
    <n v="55403.829562974672"/>
    <n v="-4990007.3469746411"/>
    <n v="0"/>
    <n v="0"/>
    <m/>
    <s v="Hedge Fund"/>
    <n v="7.0544002477428494E-2"/>
    <n v="0"/>
    <n v="0"/>
    <n v="0"/>
    <m/>
    <m/>
    <m/>
    <m/>
    <m/>
    <m/>
    <m/>
    <m/>
    <m/>
    <m/>
    <m/>
    <d v="2014-08-29T00:00:00"/>
    <n v="-1.9985059939974237E-3"/>
    <x v="1"/>
    <n v="0"/>
    <x v="11"/>
  </r>
  <r>
    <d v="2014-09-30T00:00:00"/>
    <x v="15"/>
    <s v="NA"/>
    <n v="107843228.69521548"/>
    <n v="1946.4940999999999"/>
    <m/>
    <n v="1.3334797024726868"/>
    <n v="0"/>
    <n v="0"/>
    <m/>
    <n v="55403.830248042097"/>
    <n v="1.3334797024726868"/>
    <n v="0"/>
    <n v="0"/>
    <m/>
    <s v="Hedge Fund"/>
    <n v="7.5699048771543903E-2"/>
    <n v="0"/>
    <n v="0"/>
    <n v="0"/>
    <m/>
    <m/>
    <m/>
    <m/>
    <m/>
    <m/>
    <m/>
    <m/>
    <m/>
    <m/>
    <m/>
    <d v="2014-09-30T00:00:00"/>
    <n v="-2.7598841767546456E-2"/>
    <x v="1"/>
    <n v="0"/>
    <x v="12"/>
  </r>
  <r>
    <d v="2014-10-31T00:00:00"/>
    <x v="15"/>
    <s v="NA"/>
    <n v="102714681.64907247"/>
    <n v="1944.0610999999997"/>
    <m/>
    <n v="0"/>
    <n v="-4993749.5271494985"/>
    <n v="0"/>
    <m/>
    <n v="52835.109785938563"/>
    <n v="-4993749.5271494985"/>
    <n v="0"/>
    <n v="0"/>
    <m/>
    <s v="Hedge Fund"/>
    <n v="6.9844275716175894E-2"/>
    <n v="0"/>
    <n v="0"/>
    <n v="0"/>
    <m/>
    <m/>
    <m/>
    <m/>
    <m/>
    <m/>
    <m/>
    <m/>
    <m/>
    <m/>
    <m/>
    <d v="2014-10-31T00:00:00"/>
    <n v="-1.2499395708419625E-3"/>
    <x v="1"/>
    <n v="0"/>
    <x v="149"/>
  </r>
  <r>
    <d v="2014-11-28T00:00:00"/>
    <x v="15"/>
    <s v="NA"/>
    <n v="98615730.848852426"/>
    <n v="1866.481"/>
    <m/>
    <n v="2.3004840314388275"/>
    <n v="0"/>
    <n v="0"/>
    <m/>
    <n v="52835.111018463314"/>
    <n v="2.3004840314388275"/>
    <n v="0"/>
    <n v="0"/>
    <m/>
    <s v="Hedge Fund"/>
    <n v="6.0563082338611997E-2"/>
    <n v="0"/>
    <n v="0"/>
    <n v="0"/>
    <m/>
    <m/>
    <m/>
    <m/>
    <m/>
    <m/>
    <m/>
    <m/>
    <m/>
    <m/>
    <m/>
    <d v="2014-11-28T00:00:00"/>
    <n v="-3.9906204594083783E-2"/>
    <x v="1"/>
    <n v="0"/>
    <x v="150"/>
  </r>
  <r>
    <d v="2014-12-31T00:00:00"/>
    <x v="15"/>
    <s v="NA"/>
    <n v="94474764.687180534"/>
    <n v="1788.1058"/>
    <m/>
    <n v="0"/>
    <n v="-3.7685776352882385"/>
    <n v="0"/>
    <m/>
    <n v="52835.108910882416"/>
    <n v="-3.7685776352882385"/>
    <n v="0"/>
    <n v="0"/>
    <m/>
    <s v="Hedge Fund"/>
    <n v="6.8389318158489296E-2"/>
    <n v="0"/>
    <n v="0"/>
    <n v="0"/>
    <m/>
    <m/>
    <m/>
    <m/>
    <m/>
    <m/>
    <m/>
    <m/>
    <m/>
    <m/>
    <m/>
    <d v="2014-12-31T00:00:00"/>
    <n v="-4.1990890879681997E-2"/>
    <x v="1"/>
    <n v="0"/>
    <x v="151"/>
  </r>
  <r>
    <d v="2015-01-30T00:00:00"/>
    <x v="15"/>
    <s v="NA"/>
    <n v="91526561.361671776"/>
    <n v="1829.1098"/>
    <m/>
    <n v="0"/>
    <n v="-5114654.1312905699"/>
    <n v="0"/>
    <m/>
    <n v="50038.855710942982"/>
    <n v="-5114654.1312905699"/>
    <n v="0"/>
    <n v="0"/>
    <m/>
    <s v="Hedge Fund"/>
    <n v="6.0227390777985598E-2"/>
    <n v="0"/>
    <n v="0"/>
    <n v="0"/>
    <m/>
    <m/>
    <m/>
    <m/>
    <m/>
    <m/>
    <m/>
    <m/>
    <m/>
    <m/>
    <m/>
    <d v="2015-01-30T00:00:00"/>
    <n v="2.2931528995655537E-2"/>
    <x v="1"/>
    <n v="0"/>
    <x v="152"/>
  </r>
  <r>
    <d v="2015-02-27T00:00:00"/>
    <x v="15"/>
    <s v="NA"/>
    <n v="91224092.17975013"/>
    <n v="1823.0652"/>
    <m/>
    <n v="0"/>
    <n v="-4.3146912753582001"/>
    <n v="0"/>
    <m/>
    <n v="50038.853344219468"/>
    <n v="-4.3146912753582001"/>
    <n v="0"/>
    <n v="0"/>
    <m/>
    <s v="Hedge Fund"/>
    <n v="5.6023639570129603E-2"/>
    <n v="0"/>
    <n v="0"/>
    <n v="0"/>
    <m/>
    <m/>
    <m/>
    <m/>
    <m/>
    <m/>
    <m/>
    <m/>
    <m/>
    <m/>
    <m/>
    <d v="2015-02-27T00:00:00"/>
    <n v="-3.304667658551752E-3"/>
    <x v="1"/>
    <n v="0"/>
    <x v="153"/>
  </r>
  <r>
    <d v="2015-03-31T00:00:00"/>
    <x v="15"/>
    <s v="NA"/>
    <n v="85851590.800057724"/>
    <n v="1715.6985999999999"/>
    <m/>
    <n v="0.17177507281303406"/>
    <n v="0"/>
    <n v="0"/>
    <m/>
    <n v="50038.853444339074"/>
    <n v="0.17177507281303406"/>
    <n v="0"/>
    <n v="0"/>
    <m/>
    <s v="Hedge Fund"/>
    <n v="6.0262324899904997E-2"/>
    <n v="0"/>
    <n v="0"/>
    <n v="0"/>
    <m/>
    <m/>
    <m/>
    <m/>
    <m/>
    <m/>
    <m/>
    <m/>
    <m/>
    <m/>
    <m/>
    <d v="2015-03-31T00:00:00"/>
    <n v="-5.8893450437208728E-2"/>
    <x v="1"/>
    <n v="0"/>
    <x v="154"/>
  </r>
  <r>
    <d v="2015-04-30T00:00:00"/>
    <x v="15"/>
    <s v="NA"/>
    <n v="83991517.084733859"/>
    <n v="1678.5260000000001"/>
    <m/>
    <n v="0.56822116672992706"/>
    <n v="0"/>
    <n v="0"/>
    <m/>
    <n v="50038.853782862971"/>
    <n v="0.56822116672992706"/>
    <n v="0"/>
    <n v="0"/>
    <m/>
    <s v="Hedge Fund"/>
    <n v="5.5269091752492602E-2"/>
    <n v="0"/>
    <n v="0"/>
    <n v="0"/>
    <m/>
    <m/>
    <m/>
    <m/>
    <m/>
    <m/>
    <m/>
    <m/>
    <m/>
    <m/>
    <m/>
    <d v="2015-04-30T00:00:00"/>
    <n v="-2.1666159778879535E-2"/>
    <x v="1"/>
    <n v="0"/>
    <x v="155"/>
  </r>
  <r>
    <d v="2015-05-29T00:00:00"/>
    <x v="15"/>
    <s v="NA"/>
    <n v="79740760.0835087"/>
    <n v="1593.5768"/>
    <m/>
    <n v="3.5965460240840912"/>
    <n v="0"/>
    <n v="-5000000"/>
    <m/>
    <n v="50038.856039764571"/>
    <n v="-4999996.4034539759"/>
    <n v="-99.922348265248729"/>
    <n v="-99.922348265248729"/>
    <m/>
    <s v="Hedge Fund"/>
    <n v="5.0721614399605E-2"/>
    <n v="0"/>
    <n v="0"/>
    <n v="0"/>
    <m/>
    <m/>
    <m/>
    <m/>
    <m/>
    <m/>
    <m/>
    <m/>
    <m/>
    <m/>
    <m/>
    <d v="2015-05-29T00:00:00"/>
    <n v="8.9204175401780272E-3"/>
    <x v="1"/>
    <n v="0"/>
    <x v="156"/>
  </r>
  <r>
    <d v="2015-06-30T00:00:00"/>
    <x v="15"/>
    <s v="NA"/>
    <n v="76491035.622110069"/>
    <n v="1528.6327999999999"/>
    <m/>
    <n v="0"/>
    <n v="-0.99475215375423431"/>
    <n v="0"/>
    <m/>
    <n v="50038.855389018259"/>
    <n v="-0.99475215375423431"/>
    <n v="0"/>
    <n v="0"/>
    <m/>
    <s v="Hedge Fund"/>
    <n v="5.3691815718706203E-2"/>
    <n v="0"/>
    <n v="0"/>
    <n v="0"/>
    <m/>
    <m/>
    <m/>
    <m/>
    <m/>
    <m/>
    <m/>
    <m/>
    <m/>
    <m/>
    <m/>
    <d v="2015-06-30T00:00:00"/>
    <n v="-4.0753605348672339E-2"/>
    <x v="1"/>
    <n v="0"/>
    <x v="157"/>
  </r>
  <r>
    <d v="2015-07-31T00:00:00"/>
    <x v="15"/>
    <s v="NA"/>
    <n v="72146129.890763551"/>
    <n v="1441.8022000000001"/>
    <m/>
    <n v="0"/>
    <n v="-1.8946048319339752"/>
    <n v="0"/>
    <m/>
    <n v="50038.854074965027"/>
    <n v="-1.8946048319339752"/>
    <n v="0"/>
    <n v="0"/>
    <m/>
    <s v="Hedge Fund"/>
    <n v="4.9058168978361599E-2"/>
    <n v="0"/>
    <n v="0"/>
    <n v="0"/>
    <m/>
    <m/>
    <m/>
    <m/>
    <m/>
    <m/>
    <m/>
    <m/>
    <m/>
    <m/>
    <m/>
    <d v="2015-07-31T00:00:00"/>
    <n v="-5.6802784815293772E-2"/>
    <x v="1"/>
    <n v="0"/>
    <x v="158"/>
  </r>
  <r>
    <d v="2015-08-31T00:00:00"/>
    <x v="15"/>
    <s v="NA"/>
    <n v="63798897.999580681"/>
    <n v="1274.9872"/>
    <m/>
    <n v="0"/>
    <n v="-0.44866757094860077"/>
    <n v="-4999999.7685099747"/>
    <m/>
    <n v="50038.85372306536"/>
    <n v="-5000000.2171775457"/>
    <n v="-99.922348265248729"/>
    <n v="-99.922348265248729"/>
    <m/>
    <s v="Hedge Fund"/>
    <n v="4.3382191024372997E-2"/>
    <n v="0"/>
    <n v="0"/>
    <n v="0"/>
    <m/>
    <m/>
    <m/>
    <m/>
    <m/>
    <m/>
    <m/>
    <m/>
    <m/>
    <m/>
    <m/>
    <d v="2015-08-31T00:00:00"/>
    <n v="-4.6395166020317014E-2"/>
    <x v="1"/>
    <n v="0"/>
    <x v="159"/>
  </r>
  <r>
    <d v="2015-09-30T00:00:00"/>
    <x v="15"/>
    <s v="NA"/>
    <n v="66392707.737291358"/>
    <n v="1326.8231000000001"/>
    <m/>
    <n v="0.72000723332166672"/>
    <n v="0"/>
    <n v="0"/>
    <m/>
    <n v="50038.854265720394"/>
    <n v="0.72000723332166672"/>
    <n v="0"/>
    <n v="0"/>
    <m/>
    <s v="Hedge Fund"/>
    <n v="4.36885145418177E-2"/>
    <n v="0"/>
    <n v="0"/>
    <n v="0"/>
    <m/>
    <m/>
    <m/>
    <m/>
    <m/>
    <m/>
    <m/>
    <m/>
    <m/>
    <m/>
    <m/>
    <d v="2015-09-30T00:00:00"/>
    <n v="4.0656015997650785E-2"/>
    <x v="1"/>
    <n v="0"/>
    <x v="160"/>
  </r>
  <r>
    <d v="2015-10-30T00:00:00"/>
    <x v="15"/>
    <s v="NA"/>
    <n v="60699761.078674696"/>
    <n v="1213.0526"/>
    <m/>
    <n v="0"/>
    <n v="-1.1893785148859024"/>
    <n v="-8000001.7000598162"/>
    <m/>
    <n v="50038.853285236517"/>
    <n v="-8000002.8894383311"/>
    <n v="-159.8758"/>
    <n v="-159.8758"/>
    <m/>
    <s v="Hedge Fund"/>
    <n v="3.9942375011465997E-2"/>
    <n v="0"/>
    <n v="0"/>
    <n v="0"/>
    <m/>
    <m/>
    <m/>
    <m/>
    <m/>
    <m/>
    <m/>
    <m/>
    <m/>
    <m/>
    <m/>
    <d v="2015-10-30T00:00:00"/>
    <n v="3.4748638961231038E-2"/>
    <x v="1"/>
    <n v="0"/>
    <x v="161"/>
  </r>
  <r>
    <d v="2015-11-30T00:00:00"/>
    <x v="15"/>
    <s v="NA"/>
    <n v="59083182.035678342"/>
    <n v="1180.7461000000001"/>
    <m/>
    <n v="1.170663133263588"/>
    <n v="0"/>
    <n v="0"/>
    <m/>
    <n v="50038.854276697028"/>
    <n v="1.170663133263588"/>
    <n v="0"/>
    <n v="0"/>
    <m/>
    <s v="Hedge Fund"/>
    <n v="4.0175582528069097E-2"/>
    <n v="0"/>
    <n v="0"/>
    <n v="0"/>
    <m/>
    <m/>
    <m/>
    <m/>
    <m/>
    <m/>
    <m/>
    <m/>
    <m/>
    <m/>
    <m/>
    <d v="2015-11-30T00:00:00"/>
    <n v="-2.6632398298309434E-2"/>
    <x v="1"/>
    <n v="0"/>
    <x v="162"/>
  </r>
  <r>
    <d v="2015-12-31T00:00:00"/>
    <x v="15"/>
    <s v="NA"/>
    <n v="58532501.923675448"/>
    <n v="1169.741"/>
    <m/>
    <n v="2.4831975921988487"/>
    <n v="0"/>
    <n v="0"/>
    <m/>
    <n v="50038.856399558063"/>
    <n v="2.4831975921988487"/>
    <n v="0"/>
    <n v="0"/>
    <m/>
    <s v="Hedge Fund"/>
    <n v="3.9801128004324199E-2"/>
    <n v="0"/>
    <n v="0"/>
    <n v="0"/>
    <m/>
    <m/>
    <m/>
    <m/>
    <m/>
    <m/>
    <m/>
    <m/>
    <m/>
    <m/>
    <m/>
    <d v="2015-12-31T00:00:00"/>
    <n v="-9.320462714211053E-3"/>
    <x v="1"/>
    <n v="0"/>
    <x v="163"/>
  </r>
  <r>
    <d v="2016-01-29T00:00:00"/>
    <x v="15"/>
    <s v="NA"/>
    <n v="54823626.126298875"/>
    <n v="1095.6211000000001"/>
    <m/>
    <n v="0"/>
    <n v="-0.7649269700050354"/>
    <n v="0"/>
    <m/>
    <n v="50038.855701390625"/>
    <n v="-0.7649269700050354"/>
    <n v="0"/>
    <n v="0"/>
    <m/>
    <s v="Hedge Fund"/>
    <n v="3.4776939451439899E-2"/>
    <n v="0"/>
    <n v="0"/>
    <n v="0"/>
    <m/>
    <m/>
    <m/>
    <m/>
    <m/>
    <m/>
    <m/>
    <m/>
    <m/>
    <m/>
    <m/>
    <d v="2016-01-29T00:00:00"/>
    <n v="-6.336436869358264E-2"/>
    <x v="1"/>
    <n v="0"/>
    <x v="164"/>
  </r>
  <r>
    <d v="2016-02-29T00:00:00"/>
    <x v="15"/>
    <s v="NA"/>
    <n v="55962519.612347901"/>
    <n v="1118.3813"/>
    <m/>
    <n v="0"/>
    <n v="-0.87748575955629349"/>
    <n v="0"/>
    <m/>
    <n v="50038.854916787241"/>
    <n v="-0.87748575955629349"/>
    <n v="0"/>
    <n v="0"/>
    <m/>
    <s v="Hedge Fund"/>
    <n v="3.7949530733845799E-2"/>
    <n v="0"/>
    <n v="0"/>
    <n v="0"/>
    <m/>
    <m/>
    <m/>
    <m/>
    <m/>
    <m/>
    <m/>
    <m/>
    <m/>
    <m/>
    <m/>
    <d v="2016-02-29T00:00:00"/>
    <n v="2.0773787580396164E-2"/>
    <x v="1"/>
    <n v="0"/>
    <x v="165"/>
  </r>
  <r>
    <d v="2016-03-31T00:00:00"/>
    <x v="15"/>
    <s v="NA"/>
    <n v="59250891.208987646"/>
    <n v="1184.0977"/>
    <m/>
    <n v="0"/>
    <n v="-1.8086138218641281"/>
    <n v="0"/>
    <m/>
    <n v="50038.853389367825"/>
    <n v="-1.8086138218641281"/>
    <n v="0"/>
    <n v="0"/>
    <m/>
    <s v="Hedge Fund"/>
    <n v="4.0179454098737397E-2"/>
    <n v="0"/>
    <n v="0"/>
    <n v="0"/>
    <m/>
    <m/>
    <m/>
    <m/>
    <m/>
    <m/>
    <m/>
    <m/>
    <m/>
    <m/>
    <m/>
    <d v="2016-03-31T00:00:00"/>
    <n v="5.8760281488970056E-2"/>
    <x v="1"/>
    <n v="0"/>
    <x v="166"/>
  </r>
  <r>
    <d v="2016-04-29T00:00:00"/>
    <x v="15"/>
    <s v="NA"/>
    <n v="58879114.100439511"/>
    <n v="1176.6678999999999"/>
    <m/>
    <n v="1.5643641948699951"/>
    <n v="0"/>
    <n v="0"/>
    <m/>
    <n v="50038.854718854411"/>
    <n v="1.5643641948699951"/>
    <n v="0"/>
    <n v="0"/>
    <m/>
    <s v="Hedge Fund"/>
    <n v="3.7349506337685398E-2"/>
    <n v="0"/>
    <n v="0"/>
    <n v="0"/>
    <m/>
    <m/>
    <m/>
    <m/>
    <m/>
    <m/>
    <m/>
    <m/>
    <m/>
    <m/>
    <m/>
    <d v="2016-04-29T00:00:00"/>
    <n v="-6.2746511542079997E-3"/>
    <x v="1"/>
    <n v="0"/>
    <x v="167"/>
  </r>
  <r>
    <d v="2016-05-31T00:00:00"/>
    <x v="15"/>
    <s v="NA"/>
    <n v="59265313.027914785"/>
    <n v="1184.3859"/>
    <m/>
    <n v="0"/>
    <n v="-0.95324484258890152"/>
    <n v="0"/>
    <m/>
    <n v="50038.853914011292"/>
    <n v="-0.95324484258890152"/>
    <n v="0"/>
    <n v="0"/>
    <m/>
    <s v="Hedge Fund"/>
    <n v="4.1486704428770498E-2"/>
    <n v="0"/>
    <n v="0"/>
    <n v="0"/>
    <m/>
    <m/>
    <m/>
    <m/>
    <m/>
    <m/>
    <m/>
    <m/>
    <m/>
    <m/>
    <m/>
    <d v="2016-05-31T00:00:00"/>
    <n v="6.559199923784842E-3"/>
    <x v="1"/>
    <n v="0"/>
    <x v="168"/>
  </r>
  <r>
    <d v="2016-06-30T00:00:00"/>
    <x v="15"/>
    <s v="NA"/>
    <n v="50966114.59724196"/>
    <n v="1018.5308"/>
    <m/>
    <n v="0.68912091106176376"/>
    <n v="0"/>
    <n v="-9000003.3983207159"/>
    <m/>
    <n v="50038.854590594572"/>
    <n v="-9000002.7091998048"/>
    <n v="-179.86029999999997"/>
    <n v="-179.86029999999997"/>
    <m/>
    <s v="Hedge Fund"/>
    <n v="3.3445620000000002E-2"/>
    <n v="0"/>
    <n v="0"/>
    <n v="0"/>
    <m/>
    <m/>
    <m/>
    <m/>
    <m/>
    <m/>
    <m/>
    <m/>
    <m/>
    <m/>
    <m/>
    <d v="2016-06-30T00:00:00"/>
    <n v="1.1824864203398233E-2"/>
    <x v="1"/>
    <n v="0"/>
    <x v="169"/>
  </r>
  <r>
    <d v="2016-07-29T00:00:00"/>
    <x v="15"/>
    <s v="NA"/>
    <n v="51150445.813132003"/>
    <n v="1022.2146"/>
    <m/>
    <n v="0"/>
    <n v="-1.9166507944464684"/>
    <n v="0"/>
    <m/>
    <n v="50038.85271559612"/>
    <n v="-1.9166507944464684"/>
    <n v="0"/>
    <n v="0"/>
    <m/>
    <s v="Hedge Fund"/>
    <n v="3.2446885950322843E-2"/>
    <n v="0"/>
    <n v="0"/>
    <n v="0"/>
    <m/>
    <m/>
    <m/>
    <m/>
    <m/>
    <m/>
    <m/>
    <m/>
    <m/>
    <m/>
    <m/>
    <d v="2016-07-29T00:00:00"/>
    <n v="3.6167782064127074E-3"/>
    <x v="1"/>
    <n v="0"/>
    <x v="170"/>
  </r>
  <r>
    <d v="2016-08-31T00:00:00"/>
    <x v="15"/>
    <s v="NA"/>
    <n v="51397715.603005096"/>
    <n v="1027.1560999999999"/>
    <m/>
    <n v="2.7991789802908897"/>
    <n v="0"/>
    <n v="0"/>
    <m/>
    <n v="50038.855440770007"/>
    <n v="2.7991789802908897"/>
    <n v="0"/>
    <n v="0"/>
    <m/>
    <s v="Hedge Fund"/>
    <n v="3.71045405948578E-2"/>
    <n v="0"/>
    <n v="0"/>
    <n v="0"/>
    <m/>
    <m/>
    <m/>
    <m/>
    <m/>
    <m/>
    <m/>
    <m/>
    <m/>
    <m/>
    <m/>
    <d v="2016-08-31T00:00:00"/>
    <n v="4.8341121326185288E-3"/>
    <x v="1"/>
    <n v="0"/>
    <x v="171"/>
  </r>
  <r>
    <d v="2016-09-30T00:00:00"/>
    <x v="15"/>
    <s v="NA"/>
    <n v="52478673.193884797"/>
    <n v="1048.7584999999999"/>
    <m/>
    <n v="0"/>
    <n v="-1.7798939868807793"/>
    <n v="0"/>
    <m/>
    <n v="50038.853743626205"/>
    <n v="-1.7798939868807793"/>
    <n v="0"/>
    <n v="0"/>
    <m/>
    <s v="Hedge Fund"/>
    <n v="3.4438209999999997E-2"/>
    <n v="0"/>
    <n v="0"/>
    <n v="0"/>
    <m/>
    <m/>
    <m/>
    <m/>
    <m/>
    <m/>
    <m/>
    <m/>
    <m/>
    <m/>
    <m/>
    <d v="2016-09-30T00:00:00"/>
    <n v="2.1031272656609756E-2"/>
    <x v="1"/>
    <n v="0"/>
    <x v="172"/>
  </r>
  <r>
    <d v="2016-10-31T00:00:00"/>
    <x v="15"/>
    <s v="NA"/>
    <n v="53029646.579744205"/>
    <n v="1059.7693999999999"/>
    <m/>
    <n v="0.57117371261119843"/>
    <n v="0"/>
    <n v="0"/>
    <m/>
    <n v="50038.854282586581"/>
    <n v="0.57117371261119843"/>
    <n v="0"/>
    <n v="0"/>
    <m/>
    <s v="Hedge Fund"/>
    <n v="3.5960678517184874E-2"/>
    <n v="0"/>
    <n v="0"/>
    <n v="0"/>
    <m/>
    <m/>
    <m/>
    <m/>
    <m/>
    <m/>
    <m/>
    <m/>
    <m/>
    <m/>
    <m/>
    <d v="2016-10-31T00:00:00"/>
    <n v="1.0498985228725166E-2"/>
    <x v="1"/>
    <n v="0"/>
    <x v="173"/>
  </r>
  <r>
    <d v="2016-11-30T00:00:00"/>
    <x v="15"/>
    <s v="NA"/>
    <n v="48683225.941388197"/>
    <n v="972.90850000000012"/>
    <m/>
    <n v="0"/>
    <n v="-0.72040169686079025"/>
    <n v="-5000002.3391775973"/>
    <m/>
    <n v="50038.853542124663"/>
    <n v="-5000003.0595792942"/>
    <n v="-99.922399999999996"/>
    <n v="-99.922399999999996"/>
    <m/>
    <s v="Hedge Fund"/>
    <n v="3.5960678517184902E-2"/>
    <n v="0"/>
    <n v="0"/>
    <n v="0"/>
    <m/>
    <m/>
    <m/>
    <m/>
    <m/>
    <m/>
    <m/>
    <m/>
    <m/>
    <m/>
    <m/>
    <d v="2016-11-30T00:00:00"/>
    <n v="1.2324849652551428E-2"/>
    <x v="1"/>
    <n v="0"/>
    <x v="174"/>
  </r>
  <r>
    <d v="2016-12-30T00:00:00"/>
    <x v="15"/>
    <s v="NA"/>
    <n v="46799358.9920367"/>
    <n v="935.2604"/>
    <m/>
    <n v="0.81268776953220367"/>
    <n v="0"/>
    <n v="-2501942.7205533721"/>
    <m/>
    <n v="50038.854411067441"/>
    <n v="-2501941.9078656025"/>
    <n v="-50"/>
    <n v="-50"/>
    <m/>
    <s v="Hedge Fund"/>
    <n v="3.0711263570585498E-2"/>
    <n v="0"/>
    <n v="0"/>
    <n v="0"/>
    <m/>
    <m/>
    <m/>
    <m/>
    <m/>
    <m/>
    <m/>
    <m/>
    <m/>
    <m/>
    <m/>
    <d v="2016-12-30T00:00:00"/>
    <n v="1.2695850502146833E-2"/>
    <x v="1"/>
    <n v="0"/>
    <x v="175"/>
  </r>
  <r>
    <d v="2017-01-27T00:00:00"/>
    <x v="15"/>
    <s v="NA"/>
    <n v="47697202.9374841"/>
    <n v="953.20330000000001"/>
    <m/>
    <n v="1.7846350595355034"/>
    <n v="0"/>
    <n v="0"/>
    <m/>
    <n v="50038.856283317633"/>
    <n v="1.7846350595355034"/>
    <n v="0"/>
    <n v="0"/>
    <m/>
    <s v="Hedge Fund"/>
    <n v="2.92923813025204E-2"/>
    <n v="0"/>
    <n v="0"/>
    <n v="0"/>
    <m/>
    <m/>
    <m/>
    <m/>
    <m/>
    <m/>
    <m/>
    <m/>
    <m/>
    <m/>
    <m/>
    <d v="2017-01-27T00:00:00"/>
    <n v="1.9184924326957509E-2"/>
    <x v="1"/>
    <n v="0"/>
    <x v="176"/>
  </r>
  <r>
    <d v="2017-02-28T00:00:00"/>
    <x v="15"/>
    <s v="NA"/>
    <n v="52385174.57618285"/>
    <n v="1046.8900000000001"/>
    <m/>
    <n v="0"/>
    <n v="-3.678259551525116"/>
    <n v="0"/>
    <m/>
    <n v="50038.85276980661"/>
    <n v="-3.678259551525116"/>
    <n v="0"/>
    <n v="0"/>
    <m/>
    <s v="Hedge Fund"/>
    <n v="3.6771041331700997E-2"/>
    <n v="0"/>
    <n v="0"/>
    <n v="0"/>
    <m/>
    <m/>
    <m/>
    <m/>
    <m/>
    <m/>
    <m/>
    <m/>
    <m/>
    <m/>
    <m/>
    <d v="2017-02-28T00:00:00"/>
    <n v="9.8286168333659996E-2"/>
    <x v="1"/>
    <n v="0"/>
    <x v="177"/>
  </r>
  <r>
    <d v="2017-03-31T00:00:00"/>
    <x v="15"/>
    <s v="NA"/>
    <n v="55261929.882489793"/>
    <n v="1104.3804"/>
    <m/>
    <n v="1.6450296640396118"/>
    <n v="0"/>
    <n v="0"/>
    <m/>
    <n v="50038.854259356463"/>
    <n v="1.6450296640396118"/>
    <n v="0"/>
    <n v="0"/>
    <m/>
    <s v="Hedge Fund"/>
    <n v="3.75771934971037E-2"/>
    <n v="0"/>
    <n v="0"/>
    <n v="0"/>
    <m/>
    <m/>
    <m/>
    <m/>
    <m/>
    <m/>
    <m/>
    <m/>
    <m/>
    <m/>
    <m/>
    <d v="2017-03-31T00:00:00"/>
    <n v="5.4915416137320872E-2"/>
    <x v="1"/>
    <n v="0"/>
    <x v="178"/>
  </r>
  <r>
    <d v="2017-04-28T00:00:00"/>
    <x v="15"/>
    <s v="NA"/>
    <n v="54478214.1233273"/>
    <n v="1088.7182"/>
    <m/>
    <n v="2.7840183973312378"/>
    <n v="0"/>
    <n v="0"/>
    <m/>
    <n v="50038.856816508895"/>
    <n v="2.7840183973312378"/>
    <n v="0"/>
    <n v="0"/>
    <m/>
    <s v="Hedge Fund"/>
    <n v="3.3456817999999999E-2"/>
    <n v="0"/>
    <n v="0"/>
    <n v="0"/>
    <m/>
    <m/>
    <m/>
    <m/>
    <m/>
    <m/>
    <m/>
    <m/>
    <m/>
    <m/>
    <m/>
    <d v="2017-04-28T00:00:00"/>
    <n v="-1.4181888776729434E-2"/>
    <x v="1"/>
    <n v="0"/>
    <x v="179"/>
  </r>
  <r>
    <d v="2017-05-31T00:00:00"/>
    <x v="15"/>
    <s v="NA"/>
    <n v="52826456.611245103"/>
    <n v="1055.7086999999999"/>
    <m/>
    <n v="0.13200236111879349"/>
    <n v="0"/>
    <n v="0"/>
    <m/>
    <n v="50038.856941545622"/>
    <n v="0.13200236111879349"/>
    <n v="0"/>
    <n v="0"/>
    <m/>
    <s v="Hedge Fund"/>
    <n v="3.8240534470668497E-2"/>
    <n v="0"/>
    <n v="0"/>
    <n v="0"/>
    <m/>
    <m/>
    <m/>
    <m/>
    <m/>
    <m/>
    <m/>
    <m/>
    <m/>
    <m/>
    <m/>
    <d v="2017-05-31T00:00:00"/>
    <n v="-3.0319599690718957E-2"/>
    <x v="1"/>
    <n v="0"/>
    <x v="180"/>
  </r>
  <r>
    <d v="2017-06-30T00:00:00"/>
    <x v="15"/>
    <s v="NA"/>
    <n v="52909784.242713489"/>
    <n v="1057.374"/>
    <m/>
    <n v="0"/>
    <n v="-2.0769963711500168"/>
    <n v="0"/>
    <m/>
    <n v="50038.854977248819"/>
    <n v="-2.0769963711500168"/>
    <n v="0"/>
    <n v="0"/>
    <m/>
    <s v="Hedge Fund"/>
    <n v="3.4816321981145301E-2"/>
    <n v="0"/>
    <n v="0"/>
    <n v="0"/>
    <m/>
    <m/>
    <m/>
    <m/>
    <m/>
    <m/>
    <m/>
    <m/>
    <m/>
    <m/>
    <m/>
    <d v="2017-06-30T00:00:00"/>
    <n v="1.5774237722963047E-3"/>
    <x v="1"/>
    <n v="0"/>
    <x v="181"/>
  </r>
  <r>
    <d v="2017-07-31T00:00:00"/>
    <x v="15"/>
    <s v="NA"/>
    <n v="53972888.810000002"/>
    <n v="1078.6196"/>
    <m/>
    <n v="0"/>
    <n v="-0.93001812696456909"/>
    <n v="0"/>
    <m/>
    <n v="50038.854115018861"/>
    <n v="-0.93001812696456909"/>
    <n v="0"/>
    <n v="0"/>
    <m/>
    <s v="Hedge Fund"/>
    <n v="3.6700666999999999E-2"/>
    <n v="0"/>
    <n v="0"/>
    <n v="0"/>
    <m/>
    <m/>
    <m/>
    <m/>
    <m/>
    <m/>
    <m/>
    <m/>
    <m/>
    <m/>
    <m/>
    <d v="2017-07-31T00:00:00"/>
    <n v="2.0092795926512252E-2"/>
    <x v="1"/>
    <n v="0"/>
    <x v="182"/>
  </r>
  <r>
    <d v="2017-08-31T00:00:00"/>
    <x v="15"/>
    <s v="NA"/>
    <n v="54809300"/>
    <n v="1095.335"/>
    <m/>
    <n v="0"/>
    <n v="-8.2720741853117943"/>
    <n v="0"/>
    <m/>
    <n v="50038.846562923674"/>
    <n v="-8.2720741853117943"/>
    <n v="0"/>
    <n v="0"/>
    <m/>
    <s v="Hedge Fund"/>
    <n v="3.73E-2"/>
    <n v="0"/>
    <n v="0"/>
    <n v="0"/>
    <m/>
    <m/>
    <m/>
    <m/>
    <m/>
    <m/>
    <m/>
    <m/>
    <m/>
    <m/>
    <m/>
    <d v="2017-08-31T00:00:00"/>
    <n v="1.5497029722063127E-2"/>
    <x v="1"/>
    <n v="0"/>
    <x v="183"/>
  </r>
  <r>
    <d v="2017-09-29T00:00:00"/>
    <x v="15"/>
    <s v="NA"/>
    <n v="53853700"/>
    <n v="1076.2379999999998"/>
    <m/>
    <n v="0"/>
    <n v="-8.1471878439188004"/>
    <n v="0"/>
    <m/>
    <n v="50038.838992862176"/>
    <n v="-8.1471878439188004"/>
    <n v="0"/>
    <n v="0"/>
    <m/>
    <s v="Hedge Fund"/>
    <n v="3.4299999999999997E-2"/>
    <n v="0"/>
    <n v="0"/>
    <n v="0"/>
    <m/>
    <m/>
    <m/>
    <m/>
    <m/>
    <m/>
    <m/>
    <m/>
    <m/>
    <m/>
    <m/>
    <d v="2017-09-29T00:00:00"/>
    <n v="-1.7434848699256489E-2"/>
    <x v="1"/>
    <n v="0"/>
    <x v="184"/>
  </r>
  <r>
    <d v="2017-10-31T00:00:00"/>
    <x v="15"/>
    <s v="NA"/>
    <n v="55842400"/>
    <n v="1115.9811000000002"/>
    <m/>
    <n v="1.4180227667093277"/>
    <n v="0"/>
    <n v="0"/>
    <m/>
    <n v="50038.840263513419"/>
    <n v="1.4180227667093277"/>
    <n v="0"/>
    <n v="0"/>
    <m/>
    <s v="Hedge Fund"/>
    <n v="3.9199999999999999E-2"/>
    <n v="0"/>
    <n v="0"/>
    <n v="0"/>
    <m/>
    <m/>
    <m/>
    <m/>
    <m/>
    <m/>
    <m/>
    <m/>
    <m/>
    <m/>
    <m/>
    <d v="2017-10-31T00:00:00"/>
    <n v="3.6927798498102016E-2"/>
    <x v="1"/>
    <n v="0"/>
    <x v="185"/>
  </r>
  <r>
    <d v="2017-11-30T00:00:00"/>
    <x v="15"/>
    <s v="NA"/>
    <n v="54286200"/>
    <n v="1084.8819000000001"/>
    <m/>
    <n v="0"/>
    <n v="-32.098876945674419"/>
    <n v="0"/>
    <m/>
    <n v="50038.810676074507"/>
    <n v="-32.098876945674419"/>
    <n v="0"/>
    <n v="0"/>
    <m/>
    <s v="Hedge Fund"/>
    <n v="3.5700000000000003E-2"/>
    <n v="0"/>
    <n v="0"/>
    <n v="0"/>
    <m/>
    <m/>
    <m/>
    <m/>
    <m/>
    <m/>
    <m/>
    <m/>
    <m/>
    <m/>
    <m/>
    <d v="2017-11-30T00:00:00"/>
    <n v="-2.7867138610143116E-2"/>
    <x v="1"/>
    <n v="0"/>
    <x v="186"/>
  </r>
  <r>
    <d v="2017-12-29T00:00:00"/>
    <x v="15"/>
    <s v="NA"/>
    <n v="52643700"/>
    <n v="1052.0561"/>
    <m/>
    <n v="63.991490691900253"/>
    <n v="0"/>
    <n v="0"/>
    <m/>
    <n v="50038.871501244088"/>
    <n v="63.991490691900253"/>
    <n v="0"/>
    <n v="0"/>
    <m/>
    <s v="Hedge Fund"/>
    <n v="3.34857E-2"/>
    <n v="0"/>
    <n v="0"/>
    <m/>
    <m/>
    <m/>
    <m/>
    <m/>
    <m/>
    <m/>
    <m/>
    <m/>
    <m/>
    <m/>
    <m/>
    <d v="2017-12-29T00:00:00"/>
    <n v="-3.0257487013102602E-2"/>
    <x v="1"/>
    <n v="0"/>
    <x v="187"/>
  </r>
  <r>
    <d v="2018-01-31T00:00:00"/>
    <x v="15"/>
    <s v="NA"/>
    <n v="37863400"/>
    <n v="1135.0195000000001"/>
    <m/>
    <n v="0"/>
    <n v="-18931694.911906317"/>
    <n v="0"/>
    <m/>
    <n v="33359.250656045995"/>
    <n v="-18931694.911906317"/>
    <n v="0"/>
    <n v="0"/>
    <m/>
    <s v="Hedge Fund"/>
    <n v="2.74089E-2"/>
    <n v="0"/>
    <n v="0"/>
    <m/>
    <m/>
    <m/>
    <m/>
    <m/>
    <m/>
    <m/>
    <m/>
    <m/>
    <m/>
    <m/>
    <m/>
    <d v="2018-01-31T00:00:00"/>
    <n v="7.8858342249999769E-2"/>
    <x v="1"/>
    <n v="0"/>
    <x v="188"/>
  </r>
  <r>
    <d v="2018-02-28T00:00:00"/>
    <x v="15"/>
    <s v="NA"/>
    <n v="37010885.307930604"/>
    <n v="1109.4644000000001"/>
    <m/>
    <n v="0"/>
    <n v="-1.0135596767067909"/>
    <n v="0"/>
    <m/>
    <n v="33359.236499999999"/>
    <n v="-1.0135596767067909"/>
    <n v="0"/>
    <n v="0"/>
    <m/>
    <s v="Hedge Fund"/>
    <n v="2.2729599999999999E-2"/>
    <n v="0"/>
    <n v="0"/>
    <m/>
    <m/>
    <m/>
    <m/>
    <m/>
    <m/>
    <m/>
    <m/>
    <m/>
    <m/>
    <m/>
    <m/>
    <d v="2018-02-28T00:00:00"/>
    <n v="-2.2515507812550406E-2"/>
    <x v="1"/>
    <n v="0"/>
    <x v="189"/>
  </r>
  <r>
    <d v="2018-03-29T00:00:00"/>
    <x v="15"/>
    <s v="NA"/>
    <n v="36398236.2577608"/>
    <n v="1091.0992000000001"/>
    <m/>
    <n v="0"/>
    <n v="0"/>
    <n v="0"/>
    <m/>
    <n v="33359.236499999999"/>
    <n v="0"/>
    <n v="0"/>
    <n v="0"/>
    <m/>
    <s v="Hedge Fund"/>
    <n v="2.3135317292604124E-2"/>
    <n v="0"/>
    <n v="0"/>
    <m/>
    <m/>
    <m/>
    <m/>
    <m/>
    <m/>
    <m/>
    <m/>
    <m/>
    <m/>
    <m/>
    <m/>
    <d v="2018-03-29T00:00:00"/>
    <n v="-1.6553212523087835E-2"/>
    <x v="1"/>
    <n v="0"/>
    <x v="190"/>
  </r>
  <r>
    <d v="2018-04-30T00:00:00"/>
    <x v="15"/>
    <s v="NA"/>
    <n v="35777330.796557248"/>
    <n v="1072.4865"/>
    <m/>
    <n v="0"/>
    <n v="0"/>
    <n v="0"/>
    <m/>
    <n v="33359.236499999999"/>
    <n v="0"/>
    <n v="0"/>
    <n v="0"/>
    <m/>
    <s v="Hedge Fund"/>
    <n v="2.2740659574798032E-2"/>
    <n v="0"/>
    <n v="0"/>
    <m/>
    <m/>
    <m/>
    <m/>
    <m/>
    <m/>
    <m/>
    <m/>
    <m/>
    <m/>
    <m/>
    <m/>
    <d v="2018-04-30T00:00:00"/>
    <n v="-1.7058668909298191E-2"/>
    <x v="1"/>
    <n v="0"/>
    <x v="191"/>
  </r>
  <r>
    <d v="2018-05-31T00:00:00"/>
    <x v="15"/>
    <s v="NA"/>
    <n v="34776520.342320748"/>
    <n v="1042.4855"/>
    <m/>
    <n v="0"/>
    <n v="0"/>
    <n v="0"/>
    <m/>
    <n v="33359.236499999999"/>
    <n v="0"/>
    <n v="0"/>
    <n v="0"/>
    <m/>
    <s v="Hedge Fund"/>
    <n v="2.2104527998406617E-2"/>
    <n v="0"/>
    <n v="0"/>
    <m/>
    <m/>
    <m/>
    <m/>
    <m/>
    <m/>
    <m/>
    <m/>
    <m/>
    <m/>
    <m/>
    <m/>
    <d v="2018-05-31T00:00:00"/>
    <n v="-2.797331248458601E-2"/>
    <x v="1"/>
    <n v="0"/>
    <x v="192"/>
  </r>
  <r>
    <d v="2018-06-29T00:00:00"/>
    <x v="15"/>
    <s v="NA"/>
    <n v="34020593.371383451"/>
    <n v="1019.8253"/>
    <m/>
    <n v="0"/>
    <n v="0"/>
    <n v="0"/>
    <m/>
    <n v="33359.236499999999"/>
    <n v="0"/>
    <n v="0"/>
    <n v="0"/>
    <m/>
    <s v="Hedge Fund"/>
    <n v="2.16399E-2"/>
    <n v="0"/>
    <n v="0"/>
    <m/>
    <m/>
    <m/>
    <m/>
    <m/>
    <m/>
    <m/>
    <m/>
    <m/>
    <m/>
    <m/>
    <m/>
    <d v="2018-06-29T00:00:00"/>
    <n v="-2.173670521076787E-2"/>
    <x v="1"/>
    <n v="0"/>
    <x v="193"/>
  </r>
  <r>
    <d v="2018-07-31T00:00:00"/>
    <x v="15"/>
    <s v="NA"/>
    <n v="33833481.413854949"/>
    <n v="1014.2163"/>
    <m/>
    <n v="0"/>
    <n v="0"/>
    <n v="0"/>
    <m/>
    <n v="33359.236499999999"/>
    <n v="0"/>
    <n v="0"/>
    <n v="0"/>
    <m/>
    <s v="Hedge Fund"/>
    <n v="2.16399E-2"/>
    <n v="0"/>
    <n v="0"/>
    <m/>
    <m/>
    <m/>
    <m/>
    <m/>
    <m/>
    <m/>
    <m/>
    <m/>
    <m/>
    <m/>
    <m/>
    <d v="2018-07-31T00:00:00"/>
    <n v="-5.499961611072024E-3"/>
    <x v="1"/>
    <n v="0"/>
    <x v="194"/>
  </r>
  <r>
    <d v="2018-08-31T00:00:00"/>
    <x v="15"/>
    <s v="NA"/>
    <n v="32791375.5607551"/>
    <n v="982.97739999999999"/>
    <m/>
    <n v="0"/>
    <n v="0"/>
    <n v="0"/>
    <m/>
    <n v="33359.236499999999"/>
    <n v="0"/>
    <n v="0"/>
    <n v="0"/>
    <m/>
    <s v="Hedge Fund"/>
    <n v="2.22975892783518E-2"/>
    <n v="0"/>
    <n v="0"/>
    <m/>
    <m/>
    <m/>
    <m/>
    <m/>
    <m/>
    <m/>
    <m/>
    <m/>
    <m/>
    <m/>
    <m/>
    <d v="2018-08-31T00:00:00"/>
    <n v="-3.0801023410883865E-2"/>
    <x v="1"/>
    <n v="0"/>
    <x v="195"/>
  </r>
  <r>
    <d v="2018-09-28T00:00:00"/>
    <x v="15"/>
    <s v="NA"/>
    <n v="33486021.614241902"/>
    <n v="1003.8006"/>
    <n v="0"/>
    <n v="0"/>
    <n v="0"/>
    <n v="0"/>
    <m/>
    <n v="33359.236499999999"/>
    <n v="0"/>
    <n v="0"/>
    <n v="0"/>
    <m/>
    <s v="Hedge Fund"/>
    <n v="2.0564838776789957E-2"/>
    <n v="0"/>
    <m/>
    <m/>
    <m/>
    <m/>
    <m/>
    <m/>
    <m/>
    <m/>
    <m/>
    <m/>
    <m/>
    <m/>
    <m/>
    <d v="2018-09-28T00:00:00"/>
    <n v="2.1183803411960467E-2"/>
    <x v="1"/>
    <n v="0"/>
    <x v="196"/>
  </r>
  <r>
    <d v="2018-10-31T00:00:00"/>
    <x v="15"/>
    <s v="NA"/>
    <n v="32927014.216364101"/>
    <n v="987.04340000000002"/>
    <n v="0"/>
    <n v="0"/>
    <n v="0"/>
    <n v="0"/>
    <m/>
    <n v="33359.236499999999"/>
    <n v="0"/>
    <n v="0"/>
    <n v="-987.04340000000002"/>
    <m/>
    <s v="Hedge Fund"/>
    <n v="2.3835529686139518E-2"/>
    <n v="0"/>
    <m/>
    <m/>
    <m/>
    <m/>
    <m/>
    <m/>
    <m/>
    <m/>
    <m/>
    <m/>
    <m/>
    <m/>
    <m/>
    <d v="2018-10-31T00:00:00"/>
    <n v="-1.6693753719613236E-2"/>
    <x v="1"/>
    <n v="0"/>
    <x v="197"/>
  </r>
  <r>
    <d v="2015-11-17T00:00:00"/>
    <x v="16"/>
    <s v="NA"/>
    <n v="13000000"/>
    <s v=""/>
    <m/>
    <n v="13000000"/>
    <n v="0"/>
    <n v="0"/>
    <m/>
    <m/>
    <n v="13000000"/>
    <s v=""/>
    <n v="13000000"/>
    <m/>
    <s v="Private Equity Fund"/>
    <n v="0"/>
    <n v="0"/>
    <n v="0"/>
    <n v="0"/>
    <m/>
    <m/>
    <m/>
    <m/>
    <m/>
    <m/>
    <m/>
    <m/>
    <m/>
    <m/>
    <m/>
    <d v="2015-11-17T00:00:00"/>
    <n v="-1"/>
    <x v="1"/>
    <n v="0"/>
    <x v="162"/>
  </r>
  <r>
    <d v="2015-11-30T00:00:00"/>
    <x v="16"/>
    <s v="NA"/>
    <n v="13000000"/>
    <s v=""/>
    <m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1-30T00:00:00"/>
    <n v="0"/>
    <x v="1"/>
    <n v="0"/>
    <x v="162"/>
  </r>
  <r>
    <d v="2015-12-31T00:00:00"/>
    <x v="16"/>
    <s v="NA"/>
    <n v="12997581.6932059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  <m/>
    <m/>
    <m/>
    <d v="2015-12-31T00:00:00"/>
    <n v="-1.8602359954611458E-4"/>
    <x v="1"/>
    <n v="0"/>
    <x v="163"/>
  </r>
  <r>
    <d v="2016-01-29T00:00:00"/>
    <x v="16"/>
    <s v="NA"/>
    <n v="14392118.5008907"/>
    <s v=""/>
    <m/>
    <n v="1180000"/>
    <n v="0"/>
    <n v="0"/>
    <m/>
    <m/>
    <n v="1180000"/>
    <e v="#DIV/0!"/>
    <n v="1180000"/>
    <m/>
    <s v="Private Equity Fund"/>
    <n v="1.2677595628415299E-3"/>
    <n v="1.4704518320512587E-2"/>
    <n v="0"/>
    <n v="0"/>
    <m/>
    <m/>
    <m/>
    <m/>
    <m/>
    <m/>
    <m/>
    <m/>
    <m/>
    <m/>
    <m/>
    <d v="2016-01-29T00:00:00"/>
    <n v="1.6505901847644555E-2"/>
    <x v="1"/>
    <n v="0"/>
    <x v="164"/>
  </r>
  <r>
    <d v="2016-02-29T00:00:00"/>
    <x v="16"/>
    <s v="NA"/>
    <n v="14624251.249622401"/>
    <s v=""/>
    <m/>
    <m/>
    <n v="-1.862645149230957E-9"/>
    <n v="0"/>
    <m/>
    <m/>
    <n v="-1.862645149230957E-9"/>
    <e v="#DIV/0!"/>
    <n v="-1.862645149230957E-9"/>
    <m/>
    <s v="Private Equity Fund"/>
    <n v="1.3551912568306014E-3"/>
    <n v="1.5844797893259675E-2"/>
    <n v="0"/>
    <n v="0"/>
    <m/>
    <m/>
    <m/>
    <m/>
    <m/>
    <m/>
    <m/>
    <m/>
    <m/>
    <m/>
    <m/>
    <d v="2016-02-29T00:00:00"/>
    <n v="1.6129157685669249E-2"/>
    <x v="1"/>
    <n v="0"/>
    <x v="165"/>
  </r>
  <r>
    <d v="2016-03-31T00:00:00"/>
    <x v="16"/>
    <s v="NA"/>
    <n v="14860275.666844301"/>
    <s v=""/>
    <m/>
    <m/>
    <n v="0"/>
    <n v="0"/>
    <m/>
    <m/>
    <n v="0"/>
    <e v="#DIV/0!"/>
    <n v="0"/>
    <m/>
    <s v="Private Equity Fund"/>
    <n v="3.2786885245901635E-3"/>
    <n v="1.624156399874855E-2"/>
    <n v="0"/>
    <n v="0"/>
    <m/>
    <m/>
    <m/>
    <m/>
    <m/>
    <m/>
    <m/>
    <m/>
    <m/>
    <m/>
    <m/>
    <d v="2016-03-31T00:00:00"/>
    <n v="1.6139247965121895E-2"/>
    <x v="1"/>
    <n v="0"/>
    <x v="166"/>
  </r>
  <r>
    <d v="2016-04-29T00:00:00"/>
    <x v="16"/>
    <s v="NA"/>
    <n v="15085445.4692412"/>
    <s v=""/>
    <m/>
    <m/>
    <n v="0"/>
    <n v="0"/>
    <m/>
    <m/>
    <n v="0"/>
    <e v="#DIV/0!"/>
    <n v="0"/>
    <m/>
    <s v="Private Equity Fund"/>
    <n v="1.2677595628415301E-3"/>
    <n v="1.5363881212032028E-2"/>
    <n v="0"/>
    <n v="0"/>
    <m/>
    <m/>
    <m/>
    <m/>
    <m/>
    <m/>
    <m/>
    <m/>
    <m/>
    <m/>
    <m/>
    <d v="2016-04-29T00:00:00"/>
    <n v="1.5152464694803136E-2"/>
    <x v="1"/>
    <n v="0"/>
    <x v="167"/>
  </r>
  <r>
    <d v="2016-05-31T00:00:00"/>
    <x v="16"/>
    <s v="NA"/>
    <n v="15410306.2508354"/>
    <s v=""/>
    <m/>
    <m/>
    <n v="0"/>
    <n v="0"/>
    <m/>
    <m/>
    <n v="0"/>
    <e v="#DIV/0!"/>
    <n v="0"/>
    <m/>
    <s v="Private Equity Fund"/>
    <n v="1.3989071038251399E-3"/>
    <n v="1.6175559641474699E-2"/>
    <n v="0"/>
    <n v="0"/>
    <m/>
    <m/>
    <m/>
    <m/>
    <m/>
    <m/>
    <m/>
    <m/>
    <m/>
    <m/>
    <m/>
    <d v="2016-05-31T00:00:00"/>
    <n v="2.153471584624933E-2"/>
    <x v="1"/>
    <n v="0"/>
    <x v="168"/>
  </r>
  <r>
    <d v="2016-06-30T00:00:00"/>
    <x v="16"/>
    <s v="NA"/>
    <n v="15662677.943044046"/>
    <s v=""/>
    <m/>
    <m/>
    <n v="0"/>
    <n v="0"/>
    <m/>
    <m/>
    <n v="0"/>
    <e v="#DIV/0!"/>
    <n v="0"/>
    <m/>
    <s v="Private Equity Fund"/>
    <n v="1.3114754098360699E-3"/>
    <n v="1.60219373061899E-2"/>
    <n v="0"/>
    <n v="0"/>
    <m/>
    <m/>
    <m/>
    <m/>
    <m/>
    <m/>
    <m/>
    <m/>
    <m/>
    <m/>
    <m/>
    <d v="2016-06-30T00:00:00"/>
    <n v="1.6376812251538864E-2"/>
    <x v="1"/>
    <n v="0"/>
    <x v="169"/>
  </r>
  <r>
    <d v="2016-07-29T00:00:00"/>
    <x v="16"/>
    <s v="NA"/>
    <n v="15845852.657091901"/>
    <s v=""/>
    <m/>
    <m/>
    <n v="0"/>
    <n v="0"/>
    <m/>
    <m/>
    <n v="0"/>
    <e v="#DIV/0!"/>
    <n v="0"/>
    <m/>
    <s v="Private Equity Fund"/>
    <n v="1.2677595628415299E-3"/>
    <n v="1.16289341283504E-2"/>
    <n v="0"/>
    <n v="0"/>
    <m/>
    <m/>
    <m/>
    <m/>
    <m/>
    <m/>
    <m/>
    <m/>
    <m/>
    <m/>
    <m/>
    <d v="2016-07-29T00:00:00"/>
    <n v="1.1694980559132651E-2"/>
    <x v="1"/>
    <n v="0"/>
    <x v="170"/>
  </r>
  <r>
    <d v="2016-08-31T00:00:00"/>
    <x v="16"/>
    <s v="NA"/>
    <n v="16094279.8045302"/>
    <s v=""/>
    <m/>
    <m/>
    <n v="0"/>
    <n v="0"/>
    <m/>
    <m/>
    <n v="0"/>
    <e v="#DIV/0!"/>
    <n v="0"/>
    <m/>
    <s v="Private Equity Fund"/>
    <n v="1.4426229508196699E-3"/>
    <n v="1.5771515999191299E-2"/>
    <n v="0"/>
    <n v="0"/>
    <m/>
    <m/>
    <m/>
    <m/>
    <m/>
    <m/>
    <m/>
    <m/>
    <m/>
    <m/>
    <m/>
    <d v="2016-08-31T00:00:00"/>
    <n v="1.567773933118799E-2"/>
    <x v="1"/>
    <n v="0"/>
    <x v="171"/>
  </r>
  <r>
    <d v="2016-09-30T00:00:00"/>
    <x v="16"/>
    <s v="NA"/>
    <n v="16196350.337797198"/>
    <s v=""/>
    <m/>
    <m/>
    <n v="0"/>
    <n v="0"/>
    <m/>
    <m/>
    <n v="0"/>
    <e v="#DIV/0!"/>
    <n v="0"/>
    <m/>
    <s v="Private Equity Fund"/>
    <n v="1.5571214284043999E-3"/>
    <n v="0.13800385670985901"/>
    <n v="0"/>
    <n v="0"/>
    <m/>
    <m/>
    <m/>
    <m/>
    <m/>
    <m/>
    <m/>
    <m/>
    <m/>
    <m/>
    <m/>
    <d v="2016-09-30T00:00:00"/>
    <n v="6.3420379480583211E-3"/>
    <x v="1"/>
    <n v="0"/>
    <x v="172"/>
  </r>
  <r>
    <d v="2016-10-31T00:00:00"/>
    <x v="16"/>
    <s v="NA"/>
    <n v="16446407.960000003"/>
    <s v=""/>
    <m/>
    <m/>
    <n v="0"/>
    <n v="0"/>
    <m/>
    <m/>
    <n v="0"/>
    <e v="#DIV/0!"/>
    <n v="0"/>
    <m/>
    <s v="Private Equity Fund"/>
    <n v="1.60903E-3"/>
    <n v="0.155064112219397"/>
    <n v="0"/>
    <n v="0"/>
    <m/>
    <m/>
    <m/>
    <m/>
    <m/>
    <m/>
    <m/>
    <m/>
    <m/>
    <m/>
    <m/>
    <d v="2016-10-31T00:00:00"/>
    <n v="1.5439133939900485E-2"/>
    <x v="1"/>
    <n v="0"/>
    <x v="173"/>
  </r>
  <r>
    <d v="2016-11-30T00:00:00"/>
    <x v="16"/>
    <s v="NA"/>
    <n v="16689116.500442998"/>
    <s v=""/>
    <m/>
    <m/>
    <n v="0"/>
    <n v="0"/>
    <m/>
    <m/>
    <n v="0"/>
    <e v="#DIV/0!"/>
    <n v="0"/>
    <m/>
    <s v="Private Equity Fund"/>
    <n v="1.5571214284043999E-3"/>
    <n v="0.171622661920842"/>
    <n v="0"/>
    <n v="0"/>
    <m/>
    <m/>
    <m/>
    <m/>
    <m/>
    <m/>
    <m/>
    <m/>
    <m/>
    <m/>
    <m/>
    <d v="2016-11-30T00:00:00"/>
    <n v="1.4757541040772981E-2"/>
    <x v="1"/>
    <n v="0"/>
    <x v="174"/>
  </r>
  <r>
    <d v="2016-12-30T00:00:00"/>
    <x v="16"/>
    <s v="NA"/>
    <n v="16831161.48"/>
    <s v=""/>
    <m/>
    <m/>
    <n v="0"/>
    <n v="0"/>
    <m/>
    <m/>
    <n v="0"/>
    <e v="#DIV/0!"/>
    <n v="0"/>
    <m/>
    <s v="Private Equity Fund"/>
    <n v="1.5571214284043949E-3"/>
    <n v="0.18135731938164201"/>
    <n v="0"/>
    <n v="0"/>
    <m/>
    <m/>
    <m/>
    <m/>
    <m/>
    <m/>
    <m/>
    <m/>
    <m/>
    <m/>
    <m/>
    <d v="2016-12-30T00:00:00"/>
    <n v="8.5112342258040208E-3"/>
    <x v="1"/>
    <n v="0"/>
    <x v="175"/>
  </r>
  <r>
    <d v="2017-01-27T00:00:00"/>
    <x v="16"/>
    <s v="NA"/>
    <n v="17054304.030000001"/>
    <s v=""/>
    <m/>
    <m/>
    <n v="0"/>
    <n v="0"/>
    <m/>
    <m/>
    <n v="0"/>
    <e v="#DIV/0!"/>
    <n v="0"/>
    <m/>
    <s v="Private Equity Fund"/>
    <n v="1.40140928556396E-3"/>
    <n v="0.19658247065015202"/>
    <n v="0"/>
    <n v="0"/>
    <m/>
    <m/>
    <m/>
    <m/>
    <m/>
    <m/>
    <m/>
    <m/>
    <m/>
    <m/>
    <m/>
    <d v="2017-01-27T00:00:00"/>
    <n v="1.3257703591350811E-2"/>
    <x v="1"/>
    <n v="0"/>
    <x v="176"/>
  </r>
  <r>
    <d v="2017-02-28T00:00:00"/>
    <x v="16"/>
    <s v="NA"/>
    <n v="17312009.5158903"/>
    <s v=""/>
    <m/>
    <m/>
    <n v="0"/>
    <n v="0"/>
    <m/>
    <m/>
    <n v="0"/>
    <e v="#DIV/0!"/>
    <n v="0"/>
    <m/>
    <s v="Private Equity Fund"/>
    <n v="1.6609295236313579E-3"/>
    <n v="0.21416468677643466"/>
    <n v="0"/>
    <n v="0"/>
    <m/>
    <m/>
    <m/>
    <m/>
    <m/>
    <m/>
    <m/>
    <m/>
    <m/>
    <m/>
    <m/>
    <d v="2017-02-28T00:00:00"/>
    <n v="1.5110876728652967E-2"/>
    <x v="1"/>
    <n v="0"/>
    <x v="177"/>
  </r>
  <r>
    <d v="2017-03-31T00:00:00"/>
    <x v="16"/>
    <s v="NA"/>
    <n v="17562064.759999998"/>
    <s v=""/>
    <m/>
    <m/>
    <n v="0"/>
    <n v="0"/>
    <m/>
    <m/>
    <n v="0"/>
    <e v="#DIV/0!"/>
    <n v="0"/>
    <m/>
    <s v="Private Equity Fund"/>
    <n v="1.6090254760178745E-3"/>
    <n v="0.23122478093184501"/>
    <n v="0"/>
    <n v="0"/>
    <m/>
    <m/>
    <m/>
    <m/>
    <m/>
    <m/>
    <m/>
    <m/>
    <m/>
    <m/>
    <m/>
    <d v="2017-03-31T00:00:00"/>
    <n v="1.4444033425477176E-2"/>
    <x v="1"/>
    <n v="0"/>
    <x v="178"/>
  </r>
  <r>
    <d v="2017-04-28T00:00:00"/>
    <x v="16"/>
    <s v="NA"/>
    <n v="18066577.699999999"/>
    <s v=""/>
    <m/>
    <m/>
    <n v="0"/>
    <n v="0"/>
    <m/>
    <m/>
    <n v="0"/>
    <e v="#DIV/0!"/>
    <n v="0"/>
    <m/>
    <s v="Private Equity Fund"/>
    <n v="1.45331E-3"/>
    <n v="0.24696498"/>
    <n v="0"/>
    <n v="0"/>
    <m/>
    <m/>
    <m/>
    <m/>
    <m/>
    <m/>
    <m/>
    <m/>
    <m/>
    <m/>
    <m/>
    <d v="2017-04-28T00:00:00"/>
    <n v="2.8727427377964077E-2"/>
    <x v="1"/>
    <n v="0"/>
    <x v="179"/>
  </r>
  <r>
    <d v="2017-05-31T00:00:00"/>
    <x v="16"/>
    <s v="NA"/>
    <n v="18063548.181330498"/>
    <s v=""/>
    <m/>
    <m/>
    <n v="0"/>
    <n v="0"/>
    <m/>
    <m/>
    <n v="0"/>
    <e v="#DIV/0!"/>
    <n v="0"/>
    <m/>
    <s v="Private Equity Fund"/>
    <n v="1.71283357124484E-3"/>
    <n v="0.26543452159546799"/>
    <n v="0"/>
    <n v="0"/>
    <m/>
    <m/>
    <m/>
    <m/>
    <m/>
    <m/>
    <m/>
    <m/>
    <m/>
    <m/>
    <m/>
    <d v="2017-05-31T00:00:00"/>
    <n v="-1.6768636095931821E-4"/>
    <x v="1"/>
    <n v="0"/>
    <x v="180"/>
  </r>
  <r>
    <d v="2017-06-30T00:00:00"/>
    <x v="16"/>
    <s v="NA"/>
    <n v="20065247.542996299"/>
    <s v=""/>
    <m/>
    <m/>
    <n v="0"/>
    <n v="0"/>
    <m/>
    <m/>
    <n v="0"/>
    <e v="#DIV/0!"/>
    <n v="0"/>
    <m/>
    <s v="Private Equity Fund"/>
    <n v="1.55712314123797E-3"/>
    <n v="0.40123347680743299"/>
    <n v="0"/>
    <n v="0"/>
    <m/>
    <m/>
    <m/>
    <m/>
    <m/>
    <m/>
    <m/>
    <m/>
    <m/>
    <m/>
    <m/>
    <d v="2017-06-30T00:00:00"/>
    <n v="0.11081429526313369"/>
    <x v="1"/>
    <n v="0"/>
    <x v="181"/>
  </r>
  <r>
    <d v="2017-07-31T00:00:00"/>
    <x v="16"/>
    <s v="NA"/>
    <n v="19885442.300000001"/>
    <s v=""/>
    <m/>
    <m/>
    <n v="0"/>
    <n v="0"/>
    <m/>
    <m/>
    <n v="0"/>
    <e v="#DIV/0!"/>
    <n v="0"/>
    <m/>
    <s v="Private Equity Fund"/>
    <n v="1.35519E-3"/>
    <n v="0.42665674999999997"/>
    <n v="0"/>
    <n v="0"/>
    <m/>
    <m/>
    <m/>
    <m/>
    <m/>
    <m/>
    <m/>
    <m/>
    <m/>
    <m/>
    <m/>
    <d v="2017-07-31T00:00:00"/>
    <n v="-8.9610278971643531E-3"/>
    <x v="1"/>
    <n v="0"/>
    <x v="182"/>
  </r>
  <r>
    <d v="2017-08-31T00:00:00"/>
    <x v="16"/>
    <s v="NA"/>
    <n v="19054129.857872475"/>
    <s v=""/>
    <m/>
    <m/>
    <n v="-3.7252902984619141E-9"/>
    <n v="0"/>
    <m/>
    <m/>
    <n v="-3.7252902984619141E-9"/>
    <e v="#DIV/0!"/>
    <n v="-3.7252902984619141E-9"/>
    <m/>
    <s v="Private Equity Fund"/>
    <n v="1.3551912568305997E-3"/>
    <n v="0.45243046903834011"/>
    <n v="0"/>
    <n v="0"/>
    <m/>
    <m/>
    <m/>
    <m/>
    <m/>
    <m/>
    <m/>
    <m/>
    <m/>
    <m/>
    <m/>
    <d v="2017-08-31T00:00:00"/>
    <n v="-4.180507677858003E-2"/>
    <x v="1"/>
    <n v="0"/>
    <x v="183"/>
  </r>
  <r>
    <d v="2017-09-29T00:00:00"/>
    <x v="16"/>
    <s v="NA"/>
    <n v="19380300"/>
    <s v=""/>
    <m/>
    <m/>
    <n v="0"/>
    <n v="0"/>
    <m/>
    <m/>
    <n v="0"/>
    <e v="#DIV/0!"/>
    <n v="0"/>
    <m/>
    <s v="Private Equity Fund"/>
    <n v="1.2677595628415299E-3"/>
    <n v="0.47679190564072399"/>
    <n v="0"/>
    <n v="0"/>
    <m/>
    <m/>
    <m/>
    <m/>
    <m/>
    <m/>
    <m/>
    <m/>
    <m/>
    <m/>
    <m/>
    <d v="2017-09-29T00:00:00"/>
    <n v="1.7118081201318303E-2"/>
    <x v="1"/>
    <n v="0"/>
    <x v="184"/>
  </r>
  <r>
    <d v="2017-10-31T00:00:00"/>
    <x v="16"/>
    <s v="NA"/>
    <n v="19745854.181028899"/>
    <s v=""/>
    <m/>
    <m/>
    <n v="0"/>
    <n v="0"/>
    <m/>
    <m/>
    <n v="0"/>
    <e v="#DIV/0!"/>
    <n v="0"/>
    <m/>
    <s v="Private Equity Fund"/>
    <n v="1.3989071038251399E-3"/>
    <n v="0.50407938563675503"/>
    <n v="0"/>
    <n v="0"/>
    <m/>
    <m/>
    <m/>
    <m/>
    <m/>
    <m/>
    <m/>
    <m/>
    <m/>
    <m/>
    <m/>
    <d v="2017-10-31T00:00:00"/>
    <n v="1.8862152857742176E-2"/>
    <x v="1"/>
    <n v="0"/>
    <x v="185"/>
  </r>
  <r>
    <d v="2017-11-30T00:00:00"/>
    <x v="16"/>
    <s v="NA"/>
    <n v="20088177.7783462"/>
    <s v=""/>
    <m/>
    <m/>
    <n v="0"/>
    <n v="0"/>
    <m/>
    <m/>
    <n v="0"/>
    <e v="#DIV/0!"/>
    <n v="0"/>
    <m/>
    <s v="Private Equity Fund"/>
    <n v="1.3114754098360599E-3"/>
    <n v="0.52963901914538203"/>
    <n v="0"/>
    <n v="0"/>
    <m/>
    <m/>
    <m/>
    <m/>
    <m/>
    <m/>
    <m/>
    <m/>
    <m/>
    <m/>
    <m/>
    <d v="2017-11-30T00:00:00"/>
    <n v="1.7336479555601692E-2"/>
    <x v="1"/>
    <n v="0"/>
    <x v="186"/>
  </r>
  <r>
    <d v="2017-12-29T00:00:00"/>
    <x v="16"/>
    <s v="NA"/>
    <n v="20378685.620000001"/>
    <s v=""/>
    <m/>
    <m/>
    <n v="0"/>
    <n v="0"/>
    <m/>
    <m/>
    <n v="0"/>
    <e v="#DIV/0!"/>
    <n v="0"/>
    <m/>
    <s v="Private Equity Fund"/>
    <n v="1.2677599999999999E-3"/>
    <n v="0.55134995999999992"/>
    <n v="0"/>
    <n v="0"/>
    <m/>
    <m/>
    <m/>
    <m/>
    <m/>
    <m/>
    <m/>
    <m/>
    <m/>
    <m/>
    <m/>
    <d v="2017-12-29T00:00:00"/>
    <n v="1.4461632352086751E-2"/>
    <x v="1"/>
    <n v="0"/>
    <x v="187"/>
  </r>
  <r>
    <d v="2018-01-31T00:00:00"/>
    <x v="16"/>
    <s v="NA"/>
    <n v="20794300"/>
    <s v=""/>
    <m/>
    <m/>
    <n v="0"/>
    <n v="0"/>
    <m/>
    <m/>
    <n v="0"/>
    <e v="#DIV/0!"/>
    <n v="0"/>
    <m/>
    <s v="Private Equity Fund"/>
    <n v="1.4426199999999999E-3"/>
    <n v="0.5801153"/>
    <n v="0"/>
    <n v="0"/>
    <m/>
    <m/>
    <m/>
    <m/>
    <m/>
    <m/>
    <m/>
    <m/>
    <m/>
    <m/>
    <m/>
    <d v="2018-01-31T00:00:00"/>
    <n v="2.039456262047179E-2"/>
    <x v="1"/>
    <n v="0"/>
    <x v="188"/>
  </r>
  <r>
    <d v="2018-02-28T00:00:00"/>
    <x v="16"/>
    <s v="NA"/>
    <n v="23082670.170000002"/>
    <s v=""/>
    <m/>
    <m/>
    <n v="0"/>
    <n v="0"/>
    <m/>
    <m/>
    <n v="0"/>
    <e v="#DIV/0!"/>
    <n v="0"/>
    <m/>
    <s v="Private Equity Fund"/>
    <n v="1.22404E-3"/>
    <n v="0.60486085000000001"/>
    <n v="0"/>
    <n v="0"/>
    <m/>
    <m/>
    <m/>
    <m/>
    <m/>
    <m/>
    <m/>
    <m/>
    <m/>
    <m/>
    <m/>
    <d v="2018-02-28T00:00:00"/>
    <n v="0.11004795400662681"/>
    <x v="1"/>
    <n v="0"/>
    <x v="189"/>
  </r>
  <r>
    <d v="2018-03-29T00:00:00"/>
    <x v="16"/>
    <s v="NA"/>
    <n v="23862699.629999999"/>
    <s v=""/>
    <m/>
    <m/>
    <n v="0"/>
    <n v="0"/>
    <m/>
    <m/>
    <n v="0"/>
    <e v="#DIV/0!"/>
    <n v="0"/>
    <m/>
    <s v="Private Equity Fund"/>
    <n v="1.50522E-3"/>
    <n v="0.65972897120560203"/>
    <n v="0"/>
    <n v="0"/>
    <m/>
    <m/>
    <m/>
    <m/>
    <m/>
    <m/>
    <m/>
    <m/>
    <m/>
    <m/>
    <m/>
    <d v="2018-03-29T00:00:00"/>
    <n v="3.3792860802290603E-2"/>
    <x v="1"/>
    <n v="0"/>
    <x v="190"/>
  </r>
  <r>
    <d v="2018-04-30T00:00:00"/>
    <x v="16"/>
    <s v="NA"/>
    <n v="24568284.989999998"/>
    <s v=""/>
    <m/>
    <m/>
    <n v="0"/>
    <n v="0"/>
    <m/>
    <m/>
    <n v="0"/>
    <e v="#DIV/0!"/>
    <n v="0"/>
    <m/>
    <s v="Private Equity Fund"/>
    <n v="1.6609300000000001E-3"/>
    <n v="0.65972897120560203"/>
    <n v="0"/>
    <n v="0"/>
    <m/>
    <m/>
    <m/>
    <m/>
    <m/>
    <m/>
    <m/>
    <m/>
    <m/>
    <m/>
    <m/>
    <d v="2018-04-30T00:00:00"/>
    <n v="2.9568547186209493E-2"/>
    <x v="1"/>
    <n v="0"/>
    <x v="191"/>
  </r>
  <r>
    <d v="2018-05-31T00:00:00"/>
    <x v="16"/>
    <s v="NA"/>
    <n v="24275756.48"/>
    <s v=""/>
    <m/>
    <m/>
    <n v="0"/>
    <n v="0"/>
    <m/>
    <m/>
    <n v="0"/>
    <e v="#DIV/0!"/>
    <n v="0"/>
    <m/>
    <s v="Private Equity Fund"/>
    <n v="1.6090200000000001E-3"/>
    <n v="0.68783880000000008"/>
    <n v="0"/>
    <n v="0"/>
    <m/>
    <m/>
    <m/>
    <m/>
    <m/>
    <m/>
    <m/>
    <m/>
    <m/>
    <m/>
    <m/>
    <d v="2018-05-31T00:00:00"/>
    <n v="-1.1906753365937606E-2"/>
    <x v="1"/>
    <n v="0"/>
    <x v="192"/>
  </r>
  <r>
    <d v="2018-06-29T00:00:00"/>
    <x v="16"/>
    <s v="NA"/>
    <n v="24632705.91"/>
    <s v=""/>
    <m/>
    <m/>
    <n v="0"/>
    <n v="0"/>
    <m/>
    <m/>
    <n v="0"/>
    <e v="#DIV/0!"/>
    <n v="0"/>
    <m/>
    <s v="Private Equity Fund"/>
    <n v="1.50522E-3"/>
    <n v="0.71213811999999999"/>
    <n v="0"/>
    <n v="0"/>
    <m/>
    <m/>
    <m/>
    <m/>
    <m/>
    <m/>
    <m/>
    <m/>
    <m/>
    <m/>
    <m/>
    <d v="2018-06-29T00:00:00"/>
    <n v="1.4703946725370898E-2"/>
    <x v="1"/>
    <n v="0"/>
    <x v="193"/>
  </r>
  <r>
    <d v="2018-07-31T00:00:00"/>
    <x v="16"/>
    <s v="NA"/>
    <n v="25069335.77"/>
    <s v=""/>
    <m/>
    <m/>
    <n v="0"/>
    <n v="0"/>
    <m/>
    <m/>
    <n v="0"/>
    <e v="#DIV/0!"/>
    <n v="0"/>
    <m/>
    <s v="Private Equity Fund"/>
    <n v="1.6609300000000001E-3"/>
    <n v="0.74184944999999991"/>
    <n v="0"/>
    <n v="0"/>
    <m/>
    <m/>
    <m/>
    <m/>
    <m/>
    <m/>
    <m/>
    <m/>
    <m/>
    <m/>
    <m/>
    <d v="2018-07-31T00:00:00"/>
    <n v="1.7725614944428036E-2"/>
    <x v="1"/>
    <n v="0"/>
    <x v="194"/>
  </r>
  <r>
    <d v="2018-08-31T00:00:00"/>
    <x v="16"/>
    <s v="NA"/>
    <n v="25498318.460000001"/>
    <s v=""/>
    <m/>
    <m/>
    <n v="0"/>
    <n v="0"/>
    <m/>
    <m/>
    <n v="0"/>
    <e v="#DIV/0!"/>
    <n v="0"/>
    <m/>
    <s v="Private Equity Fund"/>
    <n v="1.6090254760178751E-3"/>
    <n v="0.77103887906604207"/>
    <n v="0"/>
    <n v="0"/>
    <m/>
    <m/>
    <m/>
    <m/>
    <m/>
    <m/>
    <m/>
    <m/>
    <m/>
    <m/>
    <m/>
    <d v="2018-08-31T00:00:00"/>
    <n v="1.7111849070742258E-2"/>
    <x v="1"/>
    <n v="0"/>
    <x v="195"/>
  </r>
  <r>
    <d v="2018-09-28T00:00:00"/>
    <x v="16"/>
    <s v="NA"/>
    <n v="25890189.059999999"/>
    <s v=""/>
    <m/>
    <m/>
    <n v="0"/>
    <n v="0"/>
    <m/>
    <m/>
    <n v="0"/>
    <e v="#DIV/0!"/>
    <n v="0"/>
    <m/>
    <s v="Private Equity Fund"/>
    <n v="1.6090254760178751E-3"/>
    <n v="0.77103887906604207"/>
    <n v="0"/>
    <n v="0"/>
    <m/>
    <m/>
    <m/>
    <m/>
    <m/>
    <m/>
    <m/>
    <m/>
    <m/>
    <m/>
    <m/>
    <d v="2018-09-28T00:00:00"/>
    <n v="1.5368487950087273E-2"/>
    <x v="1"/>
    <n v="0"/>
    <x v="196"/>
  </r>
  <r>
    <d v="2018-10-31T00:00:00"/>
    <x v="16"/>
    <s v="NA"/>
    <n v="26358870.579999998"/>
    <s v=""/>
    <m/>
    <m/>
    <n v="0"/>
    <n v="0"/>
    <m/>
    <m/>
    <n v="0"/>
    <e v="#DIV/0!"/>
    <n v="-26358870.579999998"/>
    <m/>
    <s v="Private Equity Fund"/>
    <n v="1.7128299999999998E-3"/>
    <n v="0.82958956000000006"/>
    <n v="0"/>
    <n v="0"/>
    <m/>
    <m/>
    <m/>
    <m/>
    <m/>
    <m/>
    <m/>
    <m/>
    <m/>
    <m/>
    <m/>
    <d v="2018-10-31T00:00:00"/>
    <n v="1.8102668887965301E-2"/>
    <x v="0"/>
    <n v="0"/>
    <x v="198"/>
  </r>
  <r>
    <d v="2018-10-31T00:00:00"/>
    <x v="16"/>
    <s v="NA"/>
    <n v="26358870.576288864"/>
    <m/>
    <m/>
    <m/>
    <m/>
    <m/>
    <m/>
    <m/>
    <n v="0"/>
    <n v="0"/>
    <n v="-26358870.576288864"/>
    <m/>
    <s v="Private Equity Fund"/>
    <m/>
    <m/>
    <m/>
    <m/>
    <m/>
    <m/>
    <m/>
    <m/>
    <m/>
    <m/>
    <m/>
    <m/>
    <m/>
    <m/>
    <m/>
    <d v="2018-10-31T00:00:00"/>
    <n v="-1.4079259980093184E-10"/>
    <x v="1"/>
    <n v="0"/>
    <x v="198"/>
  </r>
  <r>
    <d v="2017-10-31T00:00:00"/>
    <x v="17"/>
    <s v="NA"/>
    <n v="5000000"/>
    <n v="5000000"/>
    <m/>
    <n v="5000000"/>
    <n v="0"/>
    <n v="0"/>
    <m/>
    <n v="1"/>
    <n v="5000000"/>
    <n v="5000000"/>
    <n v="5000000"/>
    <m/>
    <s v="Private Equity Fund"/>
    <n v="0"/>
    <n v="0"/>
    <n v="0"/>
    <n v="0"/>
    <m/>
    <m/>
    <m/>
    <m/>
    <m/>
    <m/>
    <m/>
    <m/>
    <m/>
    <m/>
    <m/>
    <d v="2017-10-31T00:00:00"/>
    <e v="#REF!"/>
    <x v="0"/>
    <n v="0"/>
    <x v="185"/>
  </r>
  <r>
    <d v="2017-11-30T00:00:00"/>
    <x v="17"/>
    <s v="NA"/>
    <n v="4885734"/>
    <n v="488573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-2.2853200000000018E-2"/>
    <x v="0"/>
    <n v="0"/>
    <x v="186"/>
  </r>
  <r>
    <d v="2017-12-29T00:00:00"/>
    <x v="17"/>
    <s v="NA"/>
    <n v="4906550.93"/>
    <n v="4906550.93"/>
    <m/>
    <m/>
    <n v="0"/>
    <n v="0"/>
    <m/>
    <n v="1"/>
    <n v="0"/>
    <n v="0"/>
    <n v="0"/>
    <m/>
    <s v="Private Equity Fund"/>
    <n v="3.6111099999999998E-3"/>
    <n v="9.6480699999999999E-3"/>
    <n v="0"/>
    <n v="0"/>
    <m/>
    <m/>
    <m/>
    <m/>
    <m/>
    <m/>
    <m/>
    <m/>
    <m/>
    <m/>
    <m/>
    <d v="2017-12-29T00:00:00"/>
    <n v="4.2607579536666496E-3"/>
    <x v="0"/>
    <n v="0"/>
    <x v="187"/>
  </r>
  <r>
    <d v="2018-01-31T00:00:00"/>
    <x v="17"/>
    <s v="NA"/>
    <n v="4829312.1500000004"/>
    <n v="4829312.1500000004"/>
    <m/>
    <m/>
    <n v="0"/>
    <n v="-149722.22"/>
    <m/>
    <n v="1"/>
    <n v="-149722.22"/>
    <n v="-149722.22"/>
    <n v="-149722.22"/>
    <m/>
    <s v="Private Equity Fund"/>
    <n v="0"/>
    <n v="1.7195820000000001E-2"/>
    <n v="0"/>
    <n v="0"/>
    <m/>
    <m/>
    <m/>
    <m/>
    <m/>
    <m/>
    <m/>
    <m/>
    <m/>
    <m/>
    <m/>
    <d v="2018-01-31T00:00:00"/>
    <n v="1.4772788672551274E-2"/>
    <x v="0"/>
    <n v="0"/>
    <x v="188"/>
  </r>
  <r>
    <d v="2018-02-28T00:00:00"/>
    <x v="17"/>
    <s v="NA"/>
    <n v="4890910.379999999"/>
    <n v="4890910.379999999"/>
    <m/>
    <m/>
    <n v="0"/>
    <n v="0"/>
    <m/>
    <n v="1"/>
    <n v="0"/>
    <n v="0"/>
    <n v="0"/>
    <m/>
    <s v="Private Equity Fund"/>
    <n v="0"/>
    <n v="2.3631465000000001E-2"/>
    <n v="0"/>
    <n v="0"/>
    <m/>
    <m/>
    <m/>
    <m/>
    <m/>
    <m/>
    <m/>
    <m/>
    <m/>
    <m/>
    <m/>
    <d v="2018-02-28T00:00:00"/>
    <n v="1.2755073204369083E-2"/>
    <x v="0"/>
    <n v="0"/>
    <x v="189"/>
  </r>
  <r>
    <d v="2018-03-29T00:00:00"/>
    <x v="17"/>
    <s v="NA"/>
    <n v="4953556.8371344563"/>
    <n v="4953556.8371344563"/>
    <m/>
    <m/>
    <n v="0"/>
    <n v="0"/>
    <m/>
    <n v="1"/>
    <n v="0"/>
    <n v="0"/>
    <n v="0"/>
    <m/>
    <s v="Private Equity Fund"/>
    <n v="0"/>
    <n v="2.3631465000000001E-2"/>
    <n v="0"/>
    <n v="0"/>
    <m/>
    <m/>
    <m/>
    <m/>
    <m/>
    <m/>
    <m/>
    <m/>
    <m/>
    <m/>
    <m/>
    <d v="2018-03-29T00:00:00"/>
    <n v="1.2808751800203133E-2"/>
    <x v="0"/>
    <n v="0"/>
    <x v="190"/>
  </r>
  <r>
    <d v="2018-04-30T00:00:00"/>
    <x v="17"/>
    <s v="NA"/>
    <n v="4875922.16"/>
    <n v="4875922.16"/>
    <m/>
    <m/>
    <n v="0"/>
    <n v="-142777.78"/>
    <m/>
    <n v="1"/>
    <n v="-142777.78"/>
    <n v="-142777.78"/>
    <n v="-142777.78"/>
    <m/>
    <s v="Private Equity Fund"/>
    <n v="2.2222222222222222E-3"/>
    <n v="3.781019E-2"/>
    <n v="0"/>
    <n v="0"/>
    <m/>
    <m/>
    <m/>
    <m/>
    <m/>
    <m/>
    <m/>
    <m/>
    <m/>
    <m/>
    <m/>
    <d v="2018-04-30T00:00:00"/>
    <n v="1.3150773274104299E-2"/>
    <x v="0"/>
    <n v="0"/>
    <x v="191"/>
  </r>
  <r>
    <d v="2018-05-31T00:00:00"/>
    <x v="17"/>
    <s v="NA"/>
    <n v="4948624.4364909632"/>
    <n v="4948624.4364909632"/>
    <m/>
    <m/>
    <n v="0"/>
    <n v="0"/>
    <m/>
    <n v="1"/>
    <n v="0"/>
    <n v="0"/>
    <n v="0"/>
    <m/>
    <s v="Private Equity Fund"/>
    <n v="2.1527777777777778E-3"/>
    <n v="0"/>
    <n v="0"/>
    <n v="0"/>
    <m/>
    <m/>
    <m/>
    <m/>
    <m/>
    <m/>
    <m/>
    <m/>
    <m/>
    <m/>
    <m/>
    <d v="2018-05-31T00:00:00"/>
    <n v="1.4910467006093997E-2"/>
    <x v="0"/>
    <n v="0"/>
    <x v="192"/>
  </r>
  <r>
    <d v="2018-06-29T00:00:00"/>
    <x v="17"/>
    <s v="NA"/>
    <n v="5012195.6673057461"/>
    <n v="5012195.6673057461"/>
    <m/>
    <m/>
    <n v="0"/>
    <n v="0"/>
    <m/>
    <n v="1"/>
    <n v="0"/>
    <n v="0"/>
    <n v="0"/>
    <m/>
    <s v="Private Equity Fund"/>
    <n v="2.0138888888888888E-3"/>
    <n v="0"/>
    <n v="0"/>
    <n v="0"/>
    <m/>
    <m/>
    <m/>
    <m/>
    <m/>
    <m/>
    <m/>
    <m/>
    <m/>
    <m/>
    <m/>
    <d v="2018-06-29T00:00:00"/>
    <n v="1.2846242755059523E-2"/>
    <x v="0"/>
    <n v="0"/>
    <x v="193"/>
  </r>
  <r>
    <d v="2018-07-31T00:00:00"/>
    <x v="17"/>
    <s v="NA"/>
    <n v="4933516.9081749674"/>
    <n v="4933516.9081749674"/>
    <m/>
    <m/>
    <n v="0"/>
    <n v="-147013.89000000001"/>
    <m/>
    <n v="1"/>
    <n v="-147013.89000000001"/>
    <n v="-147013.89000000001"/>
    <n v="-147013.89000000001"/>
    <m/>
    <s v="Private Equity Fund"/>
    <n v="2.2222222222222222E-3"/>
    <n v="0"/>
    <n v="0"/>
    <n v="0"/>
    <m/>
    <m/>
    <m/>
    <m/>
    <m/>
    <m/>
    <m/>
    <m/>
    <m/>
    <m/>
    <m/>
    <d v="2018-07-31T00:00:00"/>
    <n v="1.3633771585368715E-2"/>
    <x v="0"/>
    <n v="0"/>
    <x v="194"/>
  </r>
  <r>
    <d v="2018-08-31T00:00:00"/>
    <x v="17"/>
    <s v="NA"/>
    <n v="5012637.1890421044"/>
    <n v="5012637.1890421044"/>
    <m/>
    <m/>
    <n v="0"/>
    <n v="0"/>
    <m/>
    <n v="1"/>
    <n v="0"/>
    <n v="0"/>
    <n v="0"/>
    <m/>
    <s v="Private Equity Fund"/>
    <n v="2.1527777777777778E-3"/>
    <n v="0"/>
    <n v="0"/>
    <n v="0"/>
    <m/>
    <m/>
    <m/>
    <m/>
    <m/>
    <m/>
    <m/>
    <m/>
    <m/>
    <m/>
    <m/>
    <d v="2018-08-31T00:00:00"/>
    <n v="1.6037298004600409E-2"/>
    <x v="0"/>
    <n v="0"/>
    <x v="195"/>
  </r>
  <r>
    <d v="2018-09-28T00:00:00"/>
    <x v="17"/>
    <s v="NA"/>
    <n v="5078776.5019233469"/>
    <n v="594347.81508266076"/>
    <m/>
    <m/>
    <n v="0"/>
    <n v="0"/>
    <m/>
    <n v="1"/>
    <n v="0"/>
    <n v="0"/>
    <n v="0"/>
    <m/>
    <s v="Private Equity Fund"/>
    <n v="1.9444444444444444E-3"/>
    <n v="0"/>
    <n v="0"/>
    <n v="0"/>
    <m/>
    <m/>
    <m/>
    <m/>
    <m/>
    <m/>
    <m/>
    <m/>
    <m/>
    <m/>
    <m/>
    <d v="2018-09-28T00:00:00"/>
    <n v="1.3194514262038881E-2"/>
    <x v="0"/>
    <n v="0"/>
    <x v="196"/>
  </r>
  <r>
    <d v="2018-10-31T00:00:00"/>
    <x v="17"/>
    <s v="NA"/>
    <n v="4840988.97"/>
    <m/>
    <m/>
    <m/>
    <m/>
    <n v="-171944.45"/>
    <m/>
    <m/>
    <n v="-171944.45"/>
    <e v="#DIV/0!"/>
    <n v="-5012933.42"/>
    <m/>
    <s v="Private Equity Fund"/>
    <n v="2.2916666666666667E-3"/>
    <m/>
    <m/>
    <m/>
    <m/>
    <m/>
    <m/>
    <m/>
    <m/>
    <m/>
    <m/>
    <m/>
    <m/>
    <m/>
    <m/>
    <d v="2018-10-31T00:00:00"/>
    <n v="-1.2964359014107418E-2"/>
    <x v="0"/>
    <n v="0"/>
    <x v="198"/>
  </r>
  <r>
    <d v="2017-03-31T00:00:00"/>
    <x v="18"/>
    <s v="NA"/>
    <n v="10000000"/>
    <n v="10000000"/>
    <m/>
    <n v="10000000"/>
    <n v="0"/>
    <n v="0"/>
    <m/>
    <n v="1"/>
    <n v="10000000"/>
    <n v="10000000"/>
    <n v="10000000"/>
    <m/>
    <s v="Private Equity Fund"/>
    <n v="0"/>
    <n v="0"/>
    <n v="0"/>
    <n v="0"/>
    <m/>
    <m/>
    <m/>
    <m/>
    <m/>
    <m/>
    <m/>
    <m/>
    <m/>
    <m/>
    <m/>
    <d v="2017-03-31T00:00:00"/>
    <e v="#REF!"/>
    <x v="0"/>
    <n v="0"/>
    <x v="178"/>
  </r>
  <r>
    <d v="2017-04-28T00:00:00"/>
    <x v="18"/>
    <s v="NA"/>
    <n v="10000000"/>
    <n v="10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0"/>
    <x v="0"/>
    <n v="0"/>
    <x v="179"/>
  </r>
  <r>
    <d v="2017-05-31T00:00:00"/>
    <x v="18"/>
    <s v="NA"/>
    <n v="10055696.75"/>
    <n v="10055696.7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5-31T00:00:00"/>
    <n v="5.5696750000000517E-3"/>
    <x v="0"/>
    <n v="0"/>
    <x v="180"/>
  </r>
  <r>
    <d v="2017-06-30T00:00:00"/>
    <x v="18"/>
    <s v="NA"/>
    <n v="10168024.49"/>
    <n v="10168024.4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1.1170557624462951E-2"/>
    <x v="0"/>
    <n v="0"/>
    <x v="181"/>
  </r>
  <r>
    <d v="2017-07-31T00:00:00"/>
    <x v="18"/>
    <s v="NA"/>
    <n v="10283744.219999999"/>
    <n v="10283744.219999999"/>
    <m/>
    <m/>
    <n v="0"/>
    <n v="-183750"/>
    <m/>
    <n v="1"/>
    <n v="-183750"/>
    <n v="-183750"/>
    <n v="-183750"/>
    <m/>
    <s v="Private Equity Fund"/>
    <n v="0"/>
    <n v="0"/>
    <n v="0"/>
    <n v="0"/>
    <m/>
    <m/>
    <m/>
    <m/>
    <m/>
    <m/>
    <m/>
    <m/>
    <m/>
    <m/>
    <m/>
    <d v="2017-07-31T00:00:00"/>
    <n v="2.9452105499403469E-2"/>
    <x v="0"/>
    <n v="0"/>
    <x v="182"/>
  </r>
  <r>
    <d v="2017-08-31T00:00:00"/>
    <x v="18"/>
    <s v="NA"/>
    <n v="10216672.289999999"/>
    <n v="10216672.28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8-31T00:00:00"/>
    <n v="-6.5221312943156695E-3"/>
    <x v="0"/>
    <n v="0"/>
    <x v="183"/>
  </r>
  <r>
    <d v="2017-09-29T00:00:00"/>
    <x v="18"/>
    <s v="NA"/>
    <n v="10327045.119999999"/>
    <n v="10327045.11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1.0803207430665207E-2"/>
    <x v="0"/>
    <n v="0"/>
    <x v="184"/>
  </r>
  <r>
    <d v="2017-10-31T00:00:00"/>
    <x v="18"/>
    <s v="NA"/>
    <n v="10109069.619999999"/>
    <n v="10109069.619999999"/>
    <m/>
    <m/>
    <n v="0"/>
    <n v="-351251.8"/>
    <m/>
    <n v="1"/>
    <n v="-351251.8"/>
    <n v="-351251.8"/>
    <n v="-351251.8"/>
    <m/>
    <s v="Private Equity Fund"/>
    <n v="0"/>
    <n v="0"/>
    <n v="0"/>
    <n v="0"/>
    <m/>
    <m/>
    <m/>
    <m/>
    <m/>
    <m/>
    <m/>
    <m/>
    <m/>
    <m/>
    <m/>
    <d v="2017-10-31T00:00:00"/>
    <n v="1.2905559959439872E-2"/>
    <x v="0"/>
    <n v="0"/>
    <x v="185"/>
  </r>
  <r>
    <d v="2017-11-30T00:00:00"/>
    <x v="18"/>
    <s v="NA"/>
    <n v="10112994.91"/>
    <n v="10112994.9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1-30T00:00:00"/>
    <n v="3.8829389326155983E-4"/>
    <x v="0"/>
    <n v="0"/>
    <x v="186"/>
  </r>
  <r>
    <d v="2017-12-29T00:00:00"/>
    <x v="18"/>
    <s v="NA"/>
    <n v="10110400.57"/>
    <n v="10110400.5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-2.5653528189106822E-4"/>
    <x v="0"/>
    <n v="0"/>
    <x v="187"/>
  </r>
  <r>
    <d v="2018-01-31T00:00:00"/>
    <x v="18"/>
    <s v="NA"/>
    <n v="10117935.5"/>
    <n v="10117935.5"/>
    <m/>
    <m/>
    <n v="0"/>
    <n v="-337500"/>
    <m/>
    <n v="1"/>
    <n v="-337500"/>
    <n v="-337500"/>
    <n v="-337500"/>
    <m/>
    <s v="Private Equity Fund"/>
    <n v="0"/>
    <n v="0"/>
    <n v="0"/>
    <n v="0"/>
    <m/>
    <m/>
    <m/>
    <m/>
    <m/>
    <m/>
    <m/>
    <m/>
    <m/>
    <m/>
    <m/>
    <d v="2018-01-31T00:00:00"/>
    <n v="3.4126731934222443E-2"/>
    <x v="0"/>
    <n v="0"/>
    <x v="188"/>
  </r>
  <r>
    <d v="2018-02-28T00:00:00"/>
    <x v="18"/>
    <s v="NA"/>
    <n v="10203462.119999999"/>
    <n v="10203462.11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8.4529714584560267E-3"/>
    <x v="0"/>
    <n v="0"/>
    <x v="189"/>
  </r>
  <r>
    <d v="2018-03-29T00:00:00"/>
    <x v="18"/>
    <s v="NA"/>
    <n v="10310951.2764144"/>
    <n v="10310951.276414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1.0534576906372717E-2"/>
    <x v="0"/>
    <n v="0"/>
    <x v="190"/>
  </r>
  <r>
    <d v="2018-04-30T00:00:00"/>
    <x v="18"/>
    <s v="NA"/>
    <n v="10095913.02"/>
    <n v="10095913.02"/>
    <m/>
    <m/>
    <n v="0"/>
    <n v="-337500"/>
    <m/>
    <n v="1"/>
    <n v="-337500"/>
    <n v="-337500"/>
    <n v="-337500"/>
    <m/>
    <s v="Private Equity Fund"/>
    <n v="0"/>
    <n v="0"/>
    <n v="0"/>
    <n v="0"/>
    <m/>
    <m/>
    <m/>
    <m/>
    <m/>
    <m/>
    <m/>
    <m/>
    <m/>
    <m/>
    <m/>
    <d v="2018-04-30T00:00:00"/>
    <n v="1.1876861824158036E-2"/>
    <x v="0"/>
    <n v="0"/>
    <x v="191"/>
  </r>
  <r>
    <d v="2018-05-31T00:00:00"/>
    <x v="18"/>
    <s v="NA"/>
    <n v="10212787.85"/>
    <n v="10212787.8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1.1576449774128417E-2"/>
    <x v="0"/>
    <n v="0"/>
    <x v="192"/>
  </r>
  <r>
    <d v="2018-06-29T00:00:00"/>
    <x v="18"/>
    <s v="NA"/>
    <n v="10323346.939999999"/>
    <n v="10323346.93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6-29T00:00:00"/>
    <n v="1.0825554356345579E-2"/>
    <x v="0"/>
    <n v="0"/>
    <x v="193"/>
  </r>
  <r>
    <d v="2018-07-31T00:00:00"/>
    <x v="18"/>
    <s v="NA"/>
    <n v="10105198.85"/>
    <n v="10105198.85"/>
    <m/>
    <m/>
    <n v="0"/>
    <n v="-337500"/>
    <m/>
    <n v="1"/>
    <n v="-337500"/>
    <n v="-337500"/>
    <n v="-337500"/>
    <m/>
    <s v="Private Equity Fund"/>
    <n v="0"/>
    <n v="0"/>
    <n v="0"/>
    <n v="0"/>
    <m/>
    <m/>
    <m/>
    <m/>
    <m/>
    <m/>
    <m/>
    <m/>
    <m/>
    <m/>
    <m/>
    <d v="2018-07-31T00:00:00"/>
    <n v="1.1561358026004775E-2"/>
    <x v="0"/>
    <n v="0"/>
    <x v="194"/>
  </r>
  <r>
    <d v="2018-08-31T00:00:00"/>
    <x v="18"/>
    <s v="NA"/>
    <n v="10222181.18"/>
    <n v="10222181.1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8-31T00:00:00"/>
    <n v="1.1576450076487221E-2"/>
    <x v="0"/>
    <n v="0"/>
    <x v="195"/>
  </r>
  <r>
    <d v="2018-09-28T00:00:00"/>
    <x v="18"/>
    <s v="NA"/>
    <n v="10328880.869999999"/>
    <n v="10328880.86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9-28T00:00:00"/>
    <n v="1.0438055060964846E-2"/>
    <x v="0"/>
    <n v="0"/>
    <x v="196"/>
  </r>
  <r>
    <d v="2018-10-31T00:00:00"/>
    <x v="18"/>
    <s v="NA"/>
    <n v="10114553.65"/>
    <n v="10114553.65"/>
    <m/>
    <m/>
    <n v="0"/>
    <n v="-337500"/>
    <m/>
    <n v="1"/>
    <n v="-337500"/>
    <n v="-337500"/>
    <n v="-10452053.65"/>
    <m/>
    <s v="Private Equity Fund"/>
    <n v="0"/>
    <n v="0"/>
    <n v="0"/>
    <n v="0"/>
    <m/>
    <m/>
    <m/>
    <m/>
    <m/>
    <m/>
    <m/>
    <m/>
    <m/>
    <m/>
    <m/>
    <d v="2018-10-31T00:00:00"/>
    <n v="1.1925084774455419E-2"/>
    <x v="0"/>
    <n v="0"/>
    <x v="198"/>
  </r>
  <r>
    <d v="2018-10-31T00:00:00"/>
    <x v="18"/>
    <s v="NA"/>
    <n v="10314553.649999999"/>
    <m/>
    <m/>
    <m/>
    <m/>
    <n v="344250"/>
    <m/>
    <m/>
    <n v="344250"/>
    <n v="0"/>
    <n v="-9970303.6499999985"/>
    <m/>
    <s v="Private Equity Fund"/>
    <m/>
    <m/>
    <m/>
    <m/>
    <m/>
    <m/>
    <m/>
    <m/>
    <m/>
    <m/>
    <m/>
    <m/>
    <m/>
    <m/>
    <m/>
    <d v="2018-10-31T00:00:00"/>
    <e v="#REF!"/>
    <x v="0"/>
    <n v="0"/>
    <x v="198"/>
  </r>
  <r>
    <d v="2016-11-01T00:00:00"/>
    <x v="19"/>
    <s v="NA"/>
    <n v="4000000"/>
    <n v="4000000"/>
    <m/>
    <n v="4000000"/>
    <n v="0"/>
    <n v="0"/>
    <m/>
    <n v="1"/>
    <n v="4000000"/>
    <n v="4000000"/>
    <n v="4000000"/>
    <m/>
    <s v="Private Equity Fund"/>
    <n v="0"/>
    <n v="0"/>
    <n v="0"/>
    <n v="0"/>
    <m/>
    <m/>
    <m/>
    <m/>
    <m/>
    <m/>
    <m/>
    <m/>
    <m/>
    <m/>
    <m/>
    <d v="2016-11-01T00:00:00"/>
    <n v="-1"/>
    <x v="0"/>
    <n v="0"/>
    <x v="174"/>
  </r>
  <r>
    <d v="2016-11-30T00:00:00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6-11-30T00:00:00"/>
    <n v="3.499999999999992E-2"/>
    <x v="0"/>
    <n v="0"/>
    <x v="174"/>
  </r>
  <r>
    <d v="2016-12-30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6-12-30T00:00:00"/>
    <n v="0"/>
    <x v="0"/>
    <n v="0"/>
    <x v="175"/>
  </r>
  <r>
    <d v="2017-01-27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1-27T00:00:00"/>
    <n v="0"/>
    <x v="0"/>
    <n v="0"/>
    <x v="176"/>
  </r>
  <r>
    <d v="2017-02-28T00:00:00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02-28T00:00:00"/>
    <n v="3.499999999999992E-2"/>
    <x v="0"/>
    <n v="0"/>
    <x v="177"/>
  </r>
  <r>
    <d v="2017-03-31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3-31T00:00:00"/>
    <n v="0"/>
    <x v="0"/>
    <n v="0"/>
    <x v="178"/>
  </r>
  <r>
    <d v="2017-04-28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4-28T00:00:00"/>
    <n v="0"/>
    <x v="0"/>
    <n v="0"/>
    <x v="179"/>
  </r>
  <r>
    <d v="2017-05-31T00:00:00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05-31T00:00:00"/>
    <n v="3.499999999999992E-2"/>
    <x v="0"/>
    <n v="0"/>
    <x v="180"/>
  </r>
  <r>
    <d v="2017-06-30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6-30T00:00:00"/>
    <n v="0"/>
    <x v="0"/>
    <n v="0"/>
    <x v="181"/>
  </r>
  <r>
    <d v="2017-07-31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7-31T00:00:00"/>
    <n v="0"/>
    <x v="0"/>
    <n v="0"/>
    <x v="182"/>
  </r>
  <r>
    <d v="2017-08-31T00:00:00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08-31T00:00:00"/>
    <n v="3.499999999999992E-2"/>
    <x v="0"/>
    <n v="0"/>
    <x v="183"/>
  </r>
  <r>
    <d v="2017-09-29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09-29T00:00:00"/>
    <n v="0"/>
    <x v="0"/>
    <n v="0"/>
    <x v="184"/>
  </r>
  <r>
    <d v="2017-10-31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0-31T00:00:00"/>
    <n v="0"/>
    <x v="0"/>
    <n v="0"/>
    <x v="185"/>
  </r>
  <r>
    <d v="2017-11-30T00:00:00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7-11-30T00:00:00"/>
    <n v="3.499999999999992E-2"/>
    <x v="0"/>
    <n v="0"/>
    <x v="186"/>
  </r>
  <r>
    <d v="2017-12-29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7-12-29T00:00:00"/>
    <n v="0"/>
    <x v="0"/>
    <n v="0"/>
    <x v="187"/>
  </r>
  <r>
    <d v="2018-01-31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0"/>
    <x v="0"/>
    <n v="0"/>
    <x v="188"/>
  </r>
  <r>
    <d v="2018-02-28T00:00:00"/>
    <x v="19"/>
    <s v="NA"/>
    <n v="3932770.77"/>
    <n v="3932770.77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8-02-28T00:00:00"/>
    <n v="1.8192692499999996E-2"/>
    <x v="0"/>
    <n v="0"/>
    <x v="189"/>
  </r>
  <r>
    <d v="2018-03-29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1.7094622069722121E-2"/>
    <x v="0"/>
    <n v="0"/>
    <x v="190"/>
  </r>
  <r>
    <d v="2018-04-30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0"/>
    <x v="0"/>
    <n v="0"/>
    <x v="191"/>
  </r>
  <r>
    <d v="2018-05-31T00:00:00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8-05-31T00:00:00"/>
    <n v="3.499999999999992E-2"/>
    <x v="0"/>
    <n v="0"/>
    <x v="192"/>
  </r>
  <r>
    <d v="2018-06-29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6-29T00:00:00"/>
    <n v="0"/>
    <x v="0"/>
    <n v="0"/>
    <x v="193"/>
  </r>
  <r>
    <d v="2018-07-31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7-31T00:00:00"/>
    <n v="0"/>
    <x v="0"/>
    <n v="0"/>
    <x v="194"/>
  </r>
  <r>
    <d v="2018-08-31T00:00:00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  <m/>
    <m/>
    <m/>
    <d v="2018-08-31T00:00:00"/>
    <n v="3.499999999999992E-2"/>
    <x v="0"/>
    <n v="0"/>
    <x v="195"/>
  </r>
  <r>
    <d v="2018-09-28T00:00:0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8-09-28T00:00:00"/>
    <n v="0"/>
    <x v="0"/>
    <n v="0"/>
    <x v="196"/>
  </r>
  <r>
    <d v="2018-10-31T00:00:00"/>
    <x v="19"/>
    <s v="NA"/>
    <n v="4414875"/>
    <m/>
    <m/>
    <m/>
    <m/>
    <m/>
    <m/>
    <m/>
    <n v="0"/>
    <n v="0"/>
    <n v="-4414875"/>
    <m/>
    <s v="Private Equity Fund"/>
    <m/>
    <m/>
    <m/>
    <m/>
    <m/>
    <m/>
    <m/>
    <m/>
    <m/>
    <m/>
    <m/>
    <m/>
    <m/>
    <m/>
    <m/>
    <d v="2018-10-31T00:00:00"/>
    <n v="0.10371875000000008"/>
    <x v="0"/>
    <n v="0"/>
    <x v="198"/>
  </r>
  <r>
    <d v="2018-10-31T00:00:00"/>
    <x v="19"/>
    <s v="NA"/>
    <n v="4000000"/>
    <n v="4000000"/>
    <m/>
    <m/>
    <n v="0"/>
    <n v="0"/>
    <m/>
    <n v="1"/>
    <n v="0"/>
    <n v="0"/>
    <n v="-4000000"/>
    <m/>
    <s v="Private Equity Fund"/>
    <n v="0"/>
    <n v="0"/>
    <n v="0"/>
    <n v="0"/>
    <m/>
    <m/>
    <m/>
    <m/>
    <m/>
    <m/>
    <m/>
    <m/>
    <m/>
    <m/>
    <m/>
    <d v="2018-10-31T00:00:00"/>
    <n v="-9.3972083014807861E-2"/>
    <x v="0"/>
    <n v="0"/>
    <x v="198"/>
  </r>
  <r>
    <d v="2016-04-27T00:00:00"/>
    <x v="20"/>
    <s v="NA"/>
    <n v="30000000"/>
    <n v="30000000"/>
    <m/>
    <n v="30000000"/>
    <n v="0"/>
    <n v="0"/>
    <m/>
    <n v="1"/>
    <n v="30000000"/>
    <n v="30000000"/>
    <n v="30000000"/>
    <m/>
    <s v="Private Equity Fund"/>
    <n v="0"/>
    <n v="0"/>
    <n v="0"/>
    <n v="0"/>
    <m/>
    <m/>
    <m/>
    <m/>
    <m/>
    <m/>
    <m/>
    <m/>
    <m/>
    <m/>
    <m/>
    <d v="2016-04-27T00:00:00"/>
    <n v="-1"/>
    <x v="0"/>
    <n v="0"/>
    <x v="167"/>
  </r>
  <r>
    <d v="2016-04-29T00:00:00"/>
    <x v="20"/>
    <s v="NA"/>
    <n v="29999989.285714298"/>
    <n v="29999989.2857142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6-04-29T00:00:00"/>
    <n v="-3.5714285673282831E-7"/>
    <x v="0"/>
    <n v="0"/>
    <x v="167"/>
  </r>
  <r>
    <d v="2016-05-31T00:00:00"/>
    <x v="20"/>
    <s v="NA"/>
    <n v="29322203.8983973"/>
    <n v="29322203.8983973"/>
    <m/>
    <m/>
    <n v="0"/>
    <n v="-1049999.9999999998"/>
    <m/>
    <n v="1"/>
    <n v="-1049999.9999999998"/>
    <n v="-1049999.9999999998"/>
    <n v="-1049999.9999999998"/>
    <m/>
    <s v="Private Equity Fund"/>
    <n v="2.3249997892637903E-2"/>
    <n v="2.3249997892637927E-2"/>
    <n v="0"/>
    <n v="0"/>
    <m/>
    <m/>
    <m/>
    <m/>
    <m/>
    <m/>
    <m/>
    <m/>
    <m/>
    <m/>
    <m/>
    <d v="2016-05-31T00:00:00"/>
    <n v="1.240715818722804E-2"/>
    <x v="0"/>
    <n v="0"/>
    <x v="168"/>
  </r>
  <r>
    <d v="2016-06-30T00:00:00"/>
    <x v="20"/>
    <s v="NA"/>
    <n v="29650291.704686102"/>
    <n v="29650291.704686102"/>
    <m/>
    <m/>
    <n v="0"/>
    <n v="0"/>
    <m/>
    <n v="1"/>
    <n v="0"/>
    <n v="0"/>
    <n v="0"/>
    <m/>
    <s v="Private Equity Fund"/>
    <n v="2.74057587912887E-2"/>
    <n v="5.0655756683926662E-2"/>
    <n v="0"/>
    <n v="0"/>
    <m/>
    <m/>
    <m/>
    <m/>
    <m/>
    <m/>
    <m/>
    <m/>
    <m/>
    <m/>
    <m/>
    <d v="2016-06-30T00:00:00"/>
    <n v="1.1189056846669487E-2"/>
    <x v="0"/>
    <n v="0"/>
    <x v="169"/>
  </r>
  <r>
    <d v="2016-07-29T00:00:00"/>
    <x v="20"/>
    <s v="NA"/>
    <n v="30003938.835981801"/>
    <n v="30003938.835981801"/>
    <m/>
    <m/>
    <n v="0"/>
    <n v="0"/>
    <m/>
    <n v="1"/>
    <n v="0"/>
    <n v="0"/>
    <n v="0"/>
    <m/>
    <s v="Private Equity Fund"/>
    <n v="2.55482077909641E-2"/>
    <n v="7.6203964474890765E-2"/>
    <n v="0"/>
    <n v="0"/>
    <m/>
    <m/>
    <m/>
    <m/>
    <m/>
    <m/>
    <m/>
    <m/>
    <m/>
    <m/>
    <m/>
    <d v="2016-07-29T00:00:00"/>
    <n v="1.1927273256465476E-2"/>
    <x v="0"/>
    <n v="0"/>
    <x v="170"/>
  </r>
  <r>
    <d v="2016-08-31T00:00:00"/>
    <x v="20"/>
    <s v="NA"/>
    <n v="29717264.358937398"/>
    <n v="29717264.358937398"/>
    <m/>
    <m/>
    <n v="0"/>
    <n v="-700000"/>
    <m/>
    <n v="1"/>
    <n v="-700000"/>
    <n v="-700000"/>
    <n v="-700000"/>
    <m/>
    <s v="Private Equity Fund"/>
    <n v="2.98506325920645E-2"/>
    <n v="0.10605459706695528"/>
    <n v="0"/>
    <n v="0"/>
    <m/>
    <m/>
    <m/>
    <m/>
    <m/>
    <m/>
    <m/>
    <m/>
    <m/>
    <m/>
    <m/>
    <d v="2016-08-31T00:00:00"/>
    <n v="1.3775708756609051E-2"/>
    <x v="0"/>
    <n v="0"/>
    <x v="171"/>
  </r>
  <r>
    <d v="2016-09-30T00:00:00"/>
    <x v="20"/>
    <s v="NA"/>
    <n v="29604490.160641208"/>
    <n v="29604490.160641208"/>
    <m/>
    <m/>
    <n v="0"/>
    <n v="-350000"/>
    <m/>
    <n v="1"/>
    <n v="-350000"/>
    <n v="-350000"/>
    <n v="-350000"/>
    <m/>
    <s v="Private Equity Fund"/>
    <n v="4.1666666666666701E-3"/>
    <n v="0.12329691623627545"/>
    <n v="0"/>
    <n v="0"/>
    <m/>
    <m/>
    <m/>
    <m/>
    <m/>
    <m/>
    <m/>
    <m/>
    <m/>
    <m/>
    <m/>
    <d v="2016-09-30T00:00:00"/>
    <n v="7.9827604196167634E-3"/>
    <x v="0"/>
    <n v="0"/>
    <x v="172"/>
  </r>
  <r>
    <d v="2016-10-31T00:00:00"/>
    <x v="20"/>
    <s v="NA"/>
    <n v="30011116.047060501"/>
    <n v="30011116.047060501"/>
    <m/>
    <m/>
    <n v="0"/>
    <n v="0"/>
    <m/>
    <n v="1"/>
    <n v="0"/>
    <n v="0"/>
    <n v="0"/>
    <m/>
    <s v="Private Equity Fund"/>
    <n v="4.3055555555555503E-3"/>
    <n v="0.15264916209162502"/>
    <n v="0"/>
    <n v="0"/>
    <m/>
    <m/>
    <m/>
    <m/>
    <m/>
    <m/>
    <m/>
    <m/>
    <m/>
    <m/>
    <m/>
    <d v="2016-10-31T00:00:00"/>
    <n v="1.3735277460035222E-2"/>
    <x v="0"/>
    <n v="0"/>
    <x v="173"/>
  </r>
  <r>
    <d v="2016-11-30T00:00:00"/>
    <x v="20"/>
    <s v="NA"/>
    <n v="29283663"/>
    <n v="29283663"/>
    <m/>
    <m/>
    <n v="0"/>
    <n v="-1050000"/>
    <m/>
    <n v="1"/>
    <n v="-1050000"/>
    <n v="-1050000"/>
    <n v="-1050000"/>
    <m/>
    <s v="Private Equity Fund"/>
    <n v="4.1666666666666701E-3"/>
    <n v="0.17598585617866802"/>
    <n v="0"/>
    <n v="0"/>
    <m/>
    <m/>
    <m/>
    <m/>
    <m/>
    <m/>
    <m/>
    <m/>
    <m/>
    <m/>
    <m/>
    <d v="2016-11-30T00:00:00"/>
    <n v="1.0747582743464434E-2"/>
    <x v="0"/>
    <n v="0"/>
    <x v="174"/>
  </r>
  <r>
    <d v="2016-12-30T00:00:00"/>
    <x v="20"/>
    <s v="NA"/>
    <n v="29571609.140000001"/>
    <n v="29571609.140000001"/>
    <m/>
    <m/>
    <n v="0"/>
    <n v="0"/>
    <m/>
    <n v="1"/>
    <n v="0"/>
    <n v="0"/>
    <n v="0"/>
    <m/>
    <s v="Private Equity Fund"/>
    <n v="4.1666666666666597E-3"/>
    <n v="0.19685104933018499"/>
    <n v="0"/>
    <n v="0"/>
    <m/>
    <m/>
    <m/>
    <m/>
    <m/>
    <m/>
    <m/>
    <m/>
    <m/>
    <m/>
    <m/>
    <d v="2016-12-30T00:00:00"/>
    <n v="9.8329959609220197E-3"/>
    <x v="0"/>
    <n v="0"/>
    <x v="175"/>
  </r>
  <r>
    <d v="2017-01-27T00:00:00"/>
    <x v="20"/>
    <s v="NA"/>
    <n v="29849244.050000001"/>
    <n v="29849244.050000001"/>
    <m/>
    <m/>
    <n v="0"/>
    <n v="0"/>
    <m/>
    <n v="1"/>
    <n v="0"/>
    <n v="0"/>
    <n v="0"/>
    <m/>
    <s v="Private Equity Fund"/>
    <n v="3.8888888888888901E-3"/>
    <n v="0.21695989226283702"/>
    <n v="0"/>
    <n v="0"/>
    <m/>
    <m/>
    <m/>
    <m/>
    <m/>
    <m/>
    <m/>
    <m/>
    <m/>
    <m/>
    <m/>
    <d v="2017-01-27T00:00:00"/>
    <n v="9.3885628166394675E-3"/>
    <x v="0"/>
    <n v="0"/>
    <x v="176"/>
  </r>
  <r>
    <d v="2017-02-28T00:00:00"/>
    <x v="20"/>
    <s v="NA"/>
    <n v="29173209.593673799"/>
    <n v="29173209.593673799"/>
    <m/>
    <m/>
    <n v="0"/>
    <n v="-1050000"/>
    <m/>
    <n v="1"/>
    <n v="-1050000"/>
    <n v="-1050000"/>
    <n v="-1050000"/>
    <m/>
    <s v="Private Equity Fund"/>
    <n v="4.4444444444444496E-3"/>
    <n v="0.243989177325909"/>
    <n v="0"/>
    <n v="0"/>
    <m/>
    <m/>
    <m/>
    <m/>
    <m/>
    <m/>
    <m/>
    <m/>
    <m/>
    <m/>
    <m/>
    <d v="2017-02-28T00:00:00"/>
    <n v="1.2528476200180272E-2"/>
    <x v="0"/>
    <n v="0"/>
    <x v="177"/>
  </r>
  <r>
    <d v="2017-03-31T00:00:00"/>
    <x v="20"/>
    <s v="NA"/>
    <n v="29669203.509999998"/>
    <n v="29669203.509999998"/>
    <m/>
    <m/>
    <n v="0"/>
    <n v="0"/>
    <m/>
    <n v="1"/>
    <n v="0"/>
    <n v="0"/>
    <n v="0"/>
    <m/>
    <s v="Private Equity Fund"/>
    <n v="4.3055555555555547E-3"/>
    <n v="0.27972485000000002"/>
    <n v="0"/>
    <n v="0"/>
    <m/>
    <m/>
    <m/>
    <m/>
    <m/>
    <m/>
    <m/>
    <m/>
    <m/>
    <m/>
    <m/>
    <d v="2017-03-31T00:00:00"/>
    <n v="1.7001691731366897E-2"/>
    <x v="0"/>
    <n v="0"/>
    <x v="178"/>
  </r>
  <r>
    <d v="2017-04-28T00:00:00"/>
    <x v="20"/>
    <s v="NA"/>
    <n v="30034146.32"/>
    <n v="30034146.32"/>
    <m/>
    <m/>
    <n v="0"/>
    <n v="0"/>
    <m/>
    <n v="1"/>
    <n v="0"/>
    <n v="0"/>
    <n v="0"/>
    <m/>
    <s v="Private Equity Fund"/>
    <n v="3.8888899999999999E-3"/>
    <n v="0.30606998000000002"/>
    <n v="0"/>
    <n v="0"/>
    <m/>
    <m/>
    <m/>
    <m/>
    <m/>
    <m/>
    <m/>
    <m/>
    <m/>
    <m/>
    <m/>
    <d v="2017-04-28T00:00:00"/>
    <n v="1.2300391207906936E-2"/>
    <x v="0"/>
    <n v="0"/>
    <x v="179"/>
  </r>
  <r>
    <d v="2017-05-31T00:00:00"/>
    <x v="20"/>
    <s v="NA"/>
    <n v="29388526.884210601"/>
    <n v="29388526.884210601"/>
    <m/>
    <m/>
    <n v="0"/>
    <n v="-1050000"/>
    <m/>
    <n v="1"/>
    <n v="-1050000"/>
    <n v="-1050000"/>
    <n v="-1050000"/>
    <m/>
    <s v="Private Equity Fund"/>
    <n v="1.07429130462531E-2"/>
    <n v="0.33572165218501199"/>
    <n v="0"/>
    <n v="0"/>
    <m/>
    <m/>
    <m/>
    <m/>
    <m/>
    <m/>
    <m/>
    <m/>
    <m/>
    <m/>
    <m/>
    <d v="2017-05-31T00:00:00"/>
    <n v="1.3464027240931431E-2"/>
    <x v="0"/>
    <n v="0"/>
    <x v="180"/>
  </r>
  <r>
    <d v="2017-06-30T00:00:00"/>
    <x v="20"/>
    <s v="NA"/>
    <n v="29725696.643229801"/>
    <n v="29725696.643229801"/>
    <m/>
    <m/>
    <n v="0"/>
    <n v="0"/>
    <m/>
    <n v="1"/>
    <n v="0"/>
    <n v="0"/>
    <n v="0"/>
    <m/>
    <s v="Private Equity Fund"/>
    <n v="5.9582999999999997E-2"/>
    <n v="0.37268499999999999"/>
    <n v="0"/>
    <n v="0"/>
    <m/>
    <m/>
    <m/>
    <m/>
    <m/>
    <m/>
    <m/>
    <m/>
    <m/>
    <m/>
    <m/>
    <d v="2017-06-30T00:00:00"/>
    <n v="1.1472836333295433E-2"/>
    <x v="0"/>
    <n v="0"/>
    <x v="181"/>
  </r>
  <r>
    <d v="2017-07-31T00:00:00"/>
    <x v="20"/>
    <s v="NA"/>
    <n v="30120000"/>
    <n v="30120000"/>
    <m/>
    <m/>
    <n v="0"/>
    <n v="0"/>
    <m/>
    <n v="1"/>
    <n v="0"/>
    <n v="0"/>
    <n v="0"/>
    <m/>
    <s v="Private Equity Fund"/>
    <n v="6.3889000000000001E-2"/>
    <n v="0.4091204"/>
    <n v="0"/>
    <n v="0"/>
    <m/>
    <m/>
    <m/>
    <m/>
    <m/>
    <m/>
    <m/>
    <m/>
    <m/>
    <m/>
    <m/>
    <d v="2017-07-31T00:00:00"/>
    <n v="1.3264730563009586E-2"/>
    <x v="0"/>
    <n v="0"/>
    <x v="182"/>
  </r>
  <r>
    <d v="2017-08-31T00:00:00"/>
    <x v="20"/>
    <s v="NA"/>
    <n v="29449328.25"/>
    <n v="29449328.25"/>
    <m/>
    <m/>
    <n v="0"/>
    <n v="-1050000"/>
    <m/>
    <n v="1"/>
    <n v="-1050000"/>
    <n v="-1050000"/>
    <n v="-1050000"/>
    <m/>
    <s v="Private Equity Fund"/>
    <n v="6.8199999999999997E-2"/>
    <n v="0.48299999999999998"/>
    <n v="0"/>
    <n v="0"/>
    <m/>
    <m/>
    <m/>
    <m/>
    <m/>
    <m/>
    <m/>
    <m/>
    <m/>
    <m/>
    <m/>
    <d v="2017-08-31T00:00:00"/>
    <n v="1.2593899402390418E-2"/>
    <x v="0"/>
    <n v="0"/>
    <x v="183"/>
  </r>
  <r>
    <d v="2017-09-29T00:00:00"/>
    <x v="20"/>
    <s v="NA"/>
    <n v="29702703"/>
    <n v="29702703"/>
    <m/>
    <m/>
    <n v="0"/>
    <n v="0"/>
    <m/>
    <n v="1"/>
    <n v="0"/>
    <n v="0"/>
    <n v="0"/>
    <m/>
    <s v="Private Equity Fund"/>
    <n v="4.0277777777777803E-3"/>
    <n v="0.46650838256895905"/>
    <n v="0"/>
    <n v="0"/>
    <m/>
    <m/>
    <m/>
    <m/>
    <m/>
    <m/>
    <m/>
    <m/>
    <m/>
    <m/>
    <m/>
    <d v="2017-09-29T00:00:00"/>
    <n v="8.6037531263551958E-3"/>
    <x v="0"/>
    <n v="0"/>
    <x v="184"/>
  </r>
  <r>
    <d v="2017-10-31T00:00:00"/>
    <x v="20"/>
    <s v="NA"/>
    <n v="28997985.784473099"/>
    <n v="28997985.784473099"/>
    <m/>
    <m/>
    <n v="0"/>
    <n v="0"/>
    <m/>
    <n v="1"/>
    <n v="0"/>
    <n v="0"/>
    <n v="0"/>
    <m/>
    <s v="Private Equity Fund"/>
    <n v="4.4444444444444696E-3"/>
    <n v="0.49805931373997997"/>
    <n v="0"/>
    <n v="0"/>
    <m/>
    <m/>
    <m/>
    <m/>
    <m/>
    <m/>
    <m/>
    <m/>
    <m/>
    <m/>
    <m/>
    <d v="2017-10-31T00:00:00"/>
    <n v="-2.3725693096917855E-2"/>
    <x v="0"/>
    <n v="0"/>
    <x v="185"/>
  </r>
  <r>
    <d v="2017-11-30T00:00:00"/>
    <x v="20"/>
    <s v="NA"/>
    <n v="29359187.583866201"/>
    <n v="29359187.583866201"/>
    <m/>
    <m/>
    <n v="0"/>
    <n v="-1050000"/>
    <m/>
    <n v="1"/>
    <n v="-1050000"/>
    <n v="-1050000"/>
    <n v="-1050000"/>
    <m/>
    <s v="Private Equity Fund"/>
    <n v="4.1666666666666293E-3"/>
    <n v="0.53104735610904796"/>
    <n v="0"/>
    <n v="0"/>
    <m/>
    <m/>
    <m/>
    <m/>
    <m/>
    <m/>
    <m/>
    <m/>
    <m/>
    <m/>
    <m/>
    <d v="2017-11-30T00:00:00"/>
    <n v="4.8665511111076087E-2"/>
    <x v="0"/>
    <n v="0"/>
    <x v="186"/>
  </r>
  <r>
    <d v="2017-12-29T00:00:00"/>
    <x v="20"/>
    <s v="NA"/>
    <n v="29768504.07"/>
    <n v="29768504.07"/>
    <m/>
    <m/>
    <n v="0"/>
    <n v="0"/>
    <m/>
    <n v="1"/>
    <n v="0"/>
    <n v="0"/>
    <n v="0"/>
    <m/>
    <s v="Private Equity Fund"/>
    <n v="4.0280000000000003E-3"/>
    <n v="0.56840400000000002"/>
    <n v="0"/>
    <n v="0"/>
    <m/>
    <m/>
    <m/>
    <m/>
    <m/>
    <m/>
    <m/>
    <m/>
    <m/>
    <m/>
    <m/>
    <d v="2017-12-29T00:00:00"/>
    <n v="1.3941682989849769E-2"/>
    <x v="0"/>
    <n v="0"/>
    <x v="187"/>
  </r>
  <r>
    <d v="2018-01-31T00:00:00"/>
    <x v="20"/>
    <s v="NA"/>
    <n v="29846675.48"/>
    <n v="29846675.48"/>
    <m/>
    <m/>
    <n v="0"/>
    <n v="0"/>
    <m/>
    <n v="1"/>
    <n v="0"/>
    <n v="0"/>
    <n v="0"/>
    <m/>
    <s v="Private Equity Fund"/>
    <n v="4.5830000000000003E-3"/>
    <n v="0.60749600000000004"/>
    <n v="0"/>
    <n v="0"/>
    <m/>
    <m/>
    <m/>
    <m/>
    <m/>
    <m/>
    <m/>
    <m/>
    <m/>
    <m/>
    <m/>
    <d v="2018-01-31T00:00:00"/>
    <n v="2.6259771003669385E-3"/>
    <x v="0"/>
    <n v="0"/>
    <x v="188"/>
  </r>
  <r>
    <d v="2018-02-28T00:00:00"/>
    <x v="20"/>
    <s v="NA"/>
    <n v="30452765.579999998"/>
    <n v="30452765.579999998"/>
    <m/>
    <m/>
    <n v="0"/>
    <n v="-1050000"/>
    <m/>
    <n v="1"/>
    <n v="-1050000"/>
    <n v="-1050000"/>
    <n v="-1050000"/>
    <m/>
    <s v="Private Equity Fund"/>
    <n v="3.8890000000000001E-3"/>
    <n v="0.63493299999999997"/>
    <n v="0"/>
    <n v="0"/>
    <m/>
    <m/>
    <m/>
    <m/>
    <m/>
    <m/>
    <m/>
    <m/>
    <m/>
    <m/>
    <m/>
    <d v="2018-02-28T00:00:00"/>
    <n v="5.5486585134405741E-2"/>
    <x v="0"/>
    <n v="0"/>
    <x v="189"/>
  </r>
  <r>
    <d v="2018-03-29T00:00:00"/>
    <x v="20"/>
    <s v="NA"/>
    <n v="29849416.3667624"/>
    <n v="29849416.3667624"/>
    <m/>
    <m/>
    <n v="0"/>
    <n v="0"/>
    <m/>
    <n v="1"/>
    <n v="0"/>
    <n v="0"/>
    <n v="0"/>
    <m/>
    <s v="Private Equity Fund"/>
    <n v="3.8890000000000001E-3"/>
    <n v="0.59619800000000001"/>
    <n v="0"/>
    <n v="0"/>
    <m/>
    <m/>
    <m/>
    <m/>
    <m/>
    <m/>
    <m/>
    <m/>
    <m/>
    <m/>
    <m/>
    <d v="2018-03-29T00:00:00"/>
    <n v="-1.9812624625260677E-2"/>
    <x v="0"/>
    <n v="0"/>
    <x v="190"/>
  </r>
  <r>
    <d v="2018-04-30T00:00:00"/>
    <x v="20"/>
    <s v="NA"/>
    <n v="30289645.559999999"/>
    <n v="30289645.559999999"/>
    <m/>
    <m/>
    <n v="0"/>
    <n v="0"/>
    <m/>
    <n v="1"/>
    <n v="0"/>
    <n v="0"/>
    <n v="0"/>
    <m/>
    <s v="Private Equity Fund"/>
    <n v="4.44444E-3"/>
    <n v="3.1762400000000003E-2"/>
    <n v="0"/>
    <n v="0"/>
    <m/>
    <m/>
    <m/>
    <m/>
    <m/>
    <m/>
    <m/>
    <m/>
    <m/>
    <m/>
    <m/>
    <d v="2018-04-30T00:00:00"/>
    <n v="1.4748335037056082E-2"/>
    <x v="0"/>
    <n v="0"/>
    <x v="191"/>
  </r>
  <r>
    <d v="2018-05-31T00:00:00"/>
    <x v="20"/>
    <s v="NA"/>
    <n v="30704653.75"/>
    <n v="30704653.75"/>
    <m/>
    <m/>
    <n v="0"/>
    <n v="0"/>
    <m/>
    <n v="1"/>
    <n v="0"/>
    <n v="0"/>
    <n v="0"/>
    <m/>
    <s v="Private Equity Fund"/>
    <n v="4.3055600000000008E-3"/>
    <n v="0.62796079420812501"/>
    <n v="0"/>
    <n v="0"/>
    <m/>
    <m/>
    <m/>
    <m/>
    <m/>
    <m/>
    <m/>
    <m/>
    <m/>
    <m/>
    <m/>
    <d v="2018-05-31T00:00:00"/>
    <n v="1.3701322096289381E-2"/>
    <x v="0"/>
    <n v="0"/>
    <x v="192"/>
  </r>
  <r>
    <d v="2018-06-29T00:00:00"/>
    <x v="20"/>
    <s v="NA"/>
    <n v="30088729.640000001"/>
    <n v="30088729.640000001"/>
    <m/>
    <m/>
    <n v="0"/>
    <n v="0"/>
    <m/>
    <n v="1"/>
    <n v="0"/>
    <n v="0"/>
    <n v="0"/>
    <m/>
    <s v="Private Equity Fund"/>
    <n v="4.0277799999999999E-3"/>
    <n v="0.68920489514777905"/>
    <n v="0"/>
    <n v="0"/>
    <m/>
    <m/>
    <m/>
    <m/>
    <m/>
    <m/>
    <m/>
    <m/>
    <m/>
    <m/>
    <m/>
    <d v="2018-06-29T00:00:00"/>
    <n v="-2.0059633794111686E-2"/>
    <x v="0"/>
    <n v="0"/>
    <x v="193"/>
  </r>
  <r>
    <d v="2018-07-31T00:00:00"/>
    <x v="20"/>
    <s v="NA"/>
    <n v="29514207.190000001"/>
    <n v="29514207.190000001"/>
    <m/>
    <m/>
    <n v="0"/>
    <n v="-1049949.1200000001"/>
    <m/>
    <n v="1"/>
    <n v="-1049949.1200000001"/>
    <n v="-1049949.1200000001"/>
    <n v="-1049949.1200000001"/>
    <m/>
    <s v="Private Equity Fund"/>
    <n v="4.4444444444444401E-3"/>
    <n v="0.72348503702799494"/>
    <n v="0"/>
    <n v="0"/>
    <m/>
    <m/>
    <m/>
    <m/>
    <m/>
    <m/>
    <m/>
    <m/>
    <m/>
    <m/>
    <m/>
    <d v="2018-07-31T00:00:00"/>
    <n v="1.5800822290880978E-2"/>
    <x v="0"/>
    <n v="0"/>
    <x v="194"/>
  </r>
  <r>
    <d v="2018-08-31T00:00:00"/>
    <x v="20"/>
    <s v="NA"/>
    <n v="29881298.626140095"/>
    <n v="29881298.626140095"/>
    <m/>
    <m/>
    <n v="0"/>
    <n v="0"/>
    <m/>
    <n v="1"/>
    <n v="0"/>
    <n v="0"/>
    <n v="0"/>
    <m/>
    <s v="Private Equity Fund"/>
    <n v="4.3055555555555599E-3"/>
    <n v="0.75001339393064204"/>
    <n v="0"/>
    <n v="0"/>
    <m/>
    <m/>
    <m/>
    <m/>
    <m/>
    <m/>
    <m/>
    <m/>
    <m/>
    <m/>
    <m/>
    <d v="2018-08-31T00:00:00"/>
    <n v="1.2437787462048933E-2"/>
    <x v="0"/>
    <n v="0"/>
    <x v="195"/>
  </r>
  <r>
    <d v="2018-09-28T00:00:00"/>
    <x v="20"/>
    <s v="NA"/>
    <n v="30441498.859999999"/>
    <n v="30441498.859999999"/>
    <m/>
    <m/>
    <n v="0"/>
    <n v="0"/>
    <m/>
    <n v="1"/>
    <n v="0"/>
    <n v="0"/>
    <n v="0"/>
    <m/>
    <s v="Private Equity Fund"/>
    <n v="4.0292080061562298E-2"/>
    <n v="0.122777777777778"/>
    <n v="0"/>
    <n v="0"/>
    <m/>
    <m/>
    <m/>
    <m/>
    <m/>
    <m/>
    <m/>
    <m/>
    <m/>
    <m/>
    <m/>
    <d v="2018-09-28T00:00:00"/>
    <n v="1.8747519673386615E-2"/>
    <x v="0"/>
    <n v="0"/>
    <x v="196"/>
  </r>
  <r>
    <d v="2018-10-31T00:00:00"/>
    <x v="20"/>
    <s v="NA"/>
    <n v="29230085.91"/>
    <n v="29230085.91"/>
    <m/>
    <m/>
    <n v="0"/>
    <n v="0"/>
    <m/>
    <n v="1"/>
    <n v="0"/>
    <n v="0"/>
    <n v="-29230085.91"/>
    <m/>
    <s v="Private Equity Fund"/>
    <n v="-1.1202120000000001E-2"/>
    <n v="0.12736111111111098"/>
    <n v="0"/>
    <n v="0"/>
    <m/>
    <m/>
    <m/>
    <m/>
    <m/>
    <m/>
    <m/>
    <m/>
    <m/>
    <m/>
    <m/>
    <d v="2018-10-31T00:00:00"/>
    <n v="-3.9794786569848917E-2"/>
    <x v="0"/>
    <n v="0"/>
    <x v="198"/>
  </r>
  <r>
    <d v="2018-10-31T00:00:00"/>
    <x v="21"/>
    <s v="NA"/>
    <n v="30234637.591206037"/>
    <m/>
    <m/>
    <m/>
    <m/>
    <n v="1085000"/>
    <m/>
    <m/>
    <n v="1085000"/>
    <n v="0"/>
    <n v="-29149637.591206037"/>
    <m/>
    <s v="Private Equity Fund"/>
    <m/>
    <m/>
    <m/>
    <m/>
    <m/>
    <m/>
    <m/>
    <m/>
    <m/>
    <m/>
    <m/>
    <m/>
    <m/>
    <m/>
    <m/>
    <d v="2018-10-31T00:00:00"/>
    <n v="-2.7522436657102523E-3"/>
    <x v="0"/>
    <n v="0"/>
    <x v="198"/>
  </r>
  <r>
    <d v="2015-04-20T00:00:00"/>
    <x v="22"/>
    <s v="NA"/>
    <n v="64557926.877264522"/>
    <n v="64557926.877264522"/>
    <m/>
    <n v="64557926.877264522"/>
    <n v="0"/>
    <n v="0"/>
    <m/>
    <n v="1"/>
    <n v="64557926.877264522"/>
    <n v="64557926.877264522"/>
    <n v="64557926.877264522"/>
    <m/>
    <s v="Private Equity Fund"/>
    <n v="0"/>
    <n v="0"/>
    <n v="0"/>
    <n v="0"/>
    <m/>
    <m/>
    <m/>
    <m/>
    <m/>
    <m/>
    <m/>
    <m/>
    <m/>
    <m/>
    <m/>
    <d v="2015-04-20T00:00:00"/>
    <e v="#REF!"/>
    <x v="0"/>
    <n v="0"/>
    <x v="155"/>
  </r>
  <r>
    <d v="2006-01-30T00:00:00"/>
    <x v="23"/>
    <s v="NA"/>
    <n v="9005953.0999999996"/>
    <n v="9005953.0999999996"/>
    <m/>
    <n v="9005953.0999999996"/>
    <m/>
    <n v="0"/>
    <m/>
    <n v="1"/>
    <n v="9005953.0999999996"/>
    <n v="9005953.0999999996"/>
    <n v="9005953.0999999996"/>
    <m/>
    <s v="Private Equity Fund"/>
    <n v="0"/>
    <n v="0"/>
    <n v="0"/>
    <n v="0"/>
    <m/>
    <m/>
    <m/>
    <m/>
    <m/>
    <m/>
    <m/>
    <m/>
    <m/>
    <m/>
    <m/>
    <d v="2006-01-30T00:00:00"/>
    <n v="-1"/>
    <x v="0"/>
    <n v="0"/>
    <x v="57"/>
  </r>
  <r>
    <d v="2006-02-27T00:00:00"/>
    <x v="23"/>
    <s v="NA"/>
    <n v="9005953.0999999996"/>
    <n v="9005953.0999999996"/>
    <m/>
    <m/>
    <m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2-27T00:00:00"/>
    <n v="0"/>
    <x v="0"/>
    <n v="0"/>
    <x v="58"/>
  </r>
  <r>
    <d v="2006-03-31T00:00:00"/>
    <x v="23"/>
    <s v="NA"/>
    <n v="8850861.3900000006"/>
    <n v="8850861.390000000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3-31T00:00:00"/>
    <n v="-1.7221021282022742E-2"/>
    <x v="0"/>
    <n v="0"/>
    <x v="59"/>
  </r>
  <r>
    <d v="2006-04-30T00:00:00"/>
    <x v="23"/>
    <s v="NA"/>
    <n v="9501453.4678000007"/>
    <n v="9501453.467800000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4-30T00:00:00"/>
    <n v="7.3506074621737971E-2"/>
    <x v="0"/>
    <n v="0"/>
    <x v="60"/>
  </r>
  <r>
    <d v="2016-04-06T00:00:00"/>
    <x v="24"/>
    <s v="NA"/>
    <n v="5882317.2199999997"/>
    <n v="5882317.2199999997"/>
    <m/>
    <n v="5882317.2199999997"/>
    <m/>
    <n v="0"/>
    <m/>
    <n v="1"/>
    <n v="5882317.2199999997"/>
    <n v="0"/>
    <n v="5882317.2199999997"/>
    <m/>
    <s v="Private Equity Fund"/>
    <n v="0"/>
    <n v="0"/>
    <n v="0"/>
    <n v="0"/>
    <m/>
    <m/>
    <m/>
    <m/>
    <m/>
    <m/>
    <m/>
    <m/>
    <m/>
    <m/>
    <m/>
    <d v="2016-04-06T00:00:00"/>
    <n v="-1"/>
    <x v="2"/>
    <n v="0"/>
    <x v="167"/>
  </r>
  <r>
    <d v="2016-04-29T00:00:00"/>
    <x v="24"/>
    <s v="NA"/>
    <n v="5882317.2199999997"/>
    <n v="5882317.2199999997"/>
    <m/>
    <n v="0"/>
    <m/>
    <n v="0"/>
    <m/>
    <n v="1"/>
    <n v="0"/>
    <n v="0"/>
    <n v="0"/>
    <m/>
    <s v="Private Equity Fund"/>
    <n v="0.01"/>
    <n v="0"/>
    <n v="0"/>
    <n v="0"/>
    <m/>
    <m/>
    <m/>
    <m/>
    <m/>
    <m/>
    <m/>
    <m/>
    <m/>
    <m/>
    <m/>
    <d v="2016-04-29T00:00:00"/>
    <n v="0"/>
    <x v="2"/>
    <n v="0"/>
    <x v="167"/>
  </r>
  <r>
    <d v="2016-05-31T00:00:00"/>
    <x v="24"/>
    <s v="NA"/>
    <n v="5882317.2199999997"/>
    <n v="5882317.2199999997"/>
    <m/>
    <n v="0"/>
    <m/>
    <n v="0"/>
    <m/>
    <n v="1"/>
    <n v="0"/>
    <n v="0"/>
    <n v="0"/>
    <m/>
    <s v="Private Equity Fund"/>
    <n v="0.01"/>
    <n v="0"/>
    <n v="0"/>
    <n v="0"/>
    <m/>
    <m/>
    <m/>
    <m/>
    <m/>
    <m/>
    <m/>
    <m/>
    <m/>
    <m/>
    <m/>
    <d v="2016-05-31T00:00:00"/>
    <n v="0"/>
    <x v="2"/>
    <n v="0"/>
    <x v="168"/>
  </r>
  <r>
    <d v="2016-06-30T00:00:00"/>
    <x v="24"/>
    <s v="NA"/>
    <n v="7165813.2800000003"/>
    <n v="5723736.7302228762"/>
    <m/>
    <n v="1482030.3800000001"/>
    <m/>
    <n v="0"/>
    <m/>
    <n v="1.2519466945714974"/>
    <n v="1482030.3800000001"/>
    <n v="0"/>
    <n v="1482030.3800000001"/>
    <m/>
    <s v="Private Equity Fund"/>
    <n v="0.01"/>
    <n v="0"/>
    <n v="0"/>
    <n v="0"/>
    <m/>
    <m/>
    <m/>
    <m/>
    <m/>
    <m/>
    <m/>
    <m/>
    <m/>
    <m/>
    <m/>
    <d v="2016-06-30T00:00:00"/>
    <n v="-3.3751039356561541E-2"/>
    <x v="2"/>
    <n v="0"/>
    <x v="169"/>
  </r>
  <r>
    <d v="2016-07-29T00:00:00"/>
    <x v="24"/>
    <s v="NA"/>
    <n v="7165813.2800000003"/>
    <n v="4270671.7252963977"/>
    <m/>
    <n v="2438115.8699999996"/>
    <m/>
    <n v="0"/>
    <m/>
    <n v="1.6779124552128089"/>
    <n v="2438115.8699999996"/>
    <n v="0"/>
    <n v="2438115.8699999996"/>
    <m/>
    <s v="Private Equity Fund"/>
    <n v="0.01"/>
    <n v="0"/>
    <n v="0"/>
    <n v="0"/>
    <m/>
    <m/>
    <m/>
    <m/>
    <m/>
    <m/>
    <m/>
    <m/>
    <m/>
    <m/>
    <m/>
    <d v="2016-07-29T00:00:00"/>
    <n v="-0.34024272957332768"/>
    <x v="2"/>
    <n v="0"/>
    <x v="170"/>
  </r>
  <r>
    <d v="2016-08-31T00:00:00"/>
    <x v="24"/>
    <s v="NA"/>
    <n v="7165813.2800000003"/>
    <n v="4270671.7252963977"/>
    <m/>
    <n v="0"/>
    <m/>
    <n v="0"/>
    <m/>
    <n v="1.6779124552128089"/>
    <n v="0"/>
    <n v="0"/>
    <n v="0"/>
    <m/>
    <s v="Private Equity Fund"/>
    <n v="0.01"/>
    <n v="0"/>
    <n v="0"/>
    <n v="0"/>
    <m/>
    <m/>
    <m/>
    <m/>
    <m/>
    <m/>
    <m/>
    <m/>
    <m/>
    <m/>
    <m/>
    <d v="2016-08-31T00:00:00"/>
    <n v="0"/>
    <x v="2"/>
    <n v="0"/>
    <x v="171"/>
  </r>
  <r>
    <d v="2016-09-30T00:00:00"/>
    <x v="24"/>
    <s v="NA"/>
    <n v="9258070.5699999984"/>
    <n v="5517612.4005979812"/>
    <m/>
    <n v="0"/>
    <m/>
    <n v="0"/>
    <m/>
    <n v="1.6779124552128089"/>
    <n v="0"/>
    <n v="0"/>
    <n v="0"/>
    <m/>
    <s v="Private Equity Fund"/>
    <n v="0.01"/>
    <n v="0"/>
    <n v="0"/>
    <n v="0"/>
    <m/>
    <m/>
    <m/>
    <m/>
    <m/>
    <m/>
    <m/>
    <m/>
    <m/>
    <m/>
    <m/>
    <d v="2016-09-30T00:00:00"/>
    <n v="0.29197764555762995"/>
    <x v="2"/>
    <n v="0"/>
    <x v="172"/>
  </r>
  <r>
    <d v="2016-10-31T00:00:00"/>
    <x v="24"/>
    <s v="NA"/>
    <n v="9258070.5699999984"/>
    <n v="5517612.4005979812"/>
    <m/>
    <n v="0"/>
    <m/>
    <n v="0"/>
    <m/>
    <n v="1.6779124552128089"/>
    <n v="0"/>
    <n v="0"/>
    <n v="0"/>
    <m/>
    <s v="Private Equity Fund"/>
    <n v="0.01"/>
    <n v="0"/>
    <n v="0"/>
    <n v="0"/>
    <m/>
    <m/>
    <m/>
    <m/>
    <m/>
    <m/>
    <m/>
    <m/>
    <m/>
    <m/>
    <m/>
    <d v="2016-10-31T00:00:00"/>
    <n v="0"/>
    <x v="2"/>
    <n v="0"/>
    <x v="173"/>
  </r>
  <r>
    <d v="2016-11-30T00:00:00"/>
    <x v="24"/>
    <s v="NA"/>
    <n v="17698070.57"/>
    <n v="5517612.4005979812"/>
    <m/>
    <n v="8440000"/>
    <m/>
    <n v="0"/>
    <m/>
    <n v="3.2075595901013161"/>
    <n v="8440000"/>
    <n v="0"/>
    <n v="8440000"/>
    <m/>
    <s v="Private Equity Fund"/>
    <n v="0.01"/>
    <n v="0"/>
    <n v="0"/>
    <n v="0"/>
    <m/>
    <m/>
    <m/>
    <m/>
    <m/>
    <m/>
    <m/>
    <m/>
    <m/>
    <m/>
    <m/>
    <d v="2016-11-30T00:00:00"/>
    <n v="2.2204460492503131E-16"/>
    <x v="2"/>
    <n v="0"/>
    <x v="174"/>
  </r>
  <r>
    <d v="2016-12-30T00:00:00"/>
    <x v="24"/>
    <s v="NA"/>
    <n v="20366787.039999999"/>
    <n v="6349620.784241355"/>
    <m/>
    <n v="0"/>
    <m/>
    <n v="0"/>
    <m/>
    <n v="3.2075595901013161"/>
    <n v="0"/>
    <n v="0"/>
    <n v="0"/>
    <m/>
    <s v="Private Equity Fund"/>
    <n v="0.01"/>
    <n v="0"/>
    <n v="0"/>
    <n v="0"/>
    <m/>
    <m/>
    <m/>
    <m/>
    <m/>
    <m/>
    <m/>
    <m/>
    <m/>
    <m/>
    <m/>
    <d v="2016-12-30T00:00:00"/>
    <n v="0.15079137917574692"/>
    <x v="2"/>
    <n v="0"/>
    <x v="175"/>
  </r>
  <r>
    <d v="2017-01-27T00:00:00"/>
    <x v="24"/>
    <s v="NA"/>
    <n v="20366787.039999999"/>
    <n v="6349620.784241355"/>
    <m/>
    <n v="0"/>
    <m/>
    <n v="0"/>
    <m/>
    <n v="3.2075595901013161"/>
    <n v="0"/>
    <n v="0"/>
    <n v="0"/>
    <m/>
    <s v="Private Equity Fund"/>
    <n v="0.01"/>
    <n v="0"/>
    <n v="0"/>
    <n v="0"/>
    <m/>
    <m/>
    <m/>
    <m/>
    <m/>
    <m/>
    <m/>
    <m/>
    <m/>
    <m/>
    <m/>
    <d v="2017-01-27T00:00:00"/>
    <n v="0"/>
    <x v="2"/>
    <n v="0"/>
    <x v="176"/>
  </r>
  <r>
    <d v="2017-02-28T00:00:00"/>
    <x v="24"/>
    <s v="NA"/>
    <n v="20366787.039999999"/>
    <n v="6349620.784241355"/>
    <m/>
    <n v="0"/>
    <m/>
    <n v="0"/>
    <m/>
    <n v="3.2075595901013161"/>
    <n v="0"/>
    <n v="0"/>
    <n v="0"/>
    <m/>
    <s v="Private Equity Fund"/>
    <n v="0.01"/>
    <n v="0"/>
    <n v="0"/>
    <n v="0"/>
    <m/>
    <m/>
    <m/>
    <m/>
    <m/>
    <m/>
    <m/>
    <m/>
    <m/>
    <m/>
    <m/>
    <d v="2017-02-28T00:00:00"/>
    <n v="0"/>
    <x v="2"/>
    <n v="0"/>
    <x v="177"/>
  </r>
  <r>
    <d v="2017-03-31T00:00:00"/>
    <x v="24"/>
    <s v="NA"/>
    <n v="20166787.039999999"/>
    <n v="6287268.084507511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3-31T00:00:00"/>
    <n v="-9.8199092280585321E-3"/>
    <x v="2"/>
    <n v="0"/>
    <x v="178"/>
  </r>
  <r>
    <d v="2017-04-28T00:00:00"/>
    <x v="24"/>
    <s v="NA"/>
    <n v="20610000"/>
    <n v="6425445.707572653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4-28T00:00:00"/>
    <n v="2.1977370967467769E-2"/>
    <x v="2"/>
    <n v="0"/>
    <x v="179"/>
  </r>
  <r>
    <d v="2017-05-31T00:00:00"/>
    <x v="24"/>
    <s v="NA"/>
    <n v="20610000"/>
    <n v="6425445.707572653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5-31T00:00:00"/>
    <n v="0"/>
    <x v="2"/>
    <n v="0"/>
    <x v="180"/>
  </r>
  <r>
    <d v="2017-06-30T00:00:00"/>
    <x v="24"/>
    <s v="NA"/>
    <n v="20580000"/>
    <n v="6416092.8026125766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6-30T00:00:00"/>
    <n v="-1.4556040756914523E-3"/>
    <x v="2"/>
    <n v="0"/>
    <x v="181"/>
  </r>
  <r>
    <d v="2017-07-31T00:00:00"/>
    <x v="24"/>
    <s v="NA"/>
    <n v="20513333.333333332"/>
    <n v="6395308.569367961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7-31T00:00:00"/>
    <n v="-3.2393909944931076E-3"/>
    <x v="2"/>
    <n v="0"/>
    <x v="182"/>
  </r>
  <r>
    <d v="2017-08-31T00:00:00"/>
    <x v="24"/>
    <s v="NA"/>
    <n v="22863291.360000003"/>
    <n v="6358398.9127377104"/>
    <m/>
    <n v="2482676.38"/>
    <m/>
    <n v="0"/>
    <m/>
    <n v="3.5957623410821586"/>
    <n v="2482676.38"/>
    <n v="0"/>
    <n v="2482676.38"/>
    <m/>
    <s v="Private Equity Fund"/>
    <n v="6.6666666666666666E-2"/>
    <n v="0"/>
    <n v="0"/>
    <n v="0"/>
    <m/>
    <m/>
    <m/>
    <m/>
    <m/>
    <m/>
    <m/>
    <m/>
    <m/>
    <m/>
    <m/>
    <d v="2017-08-31T00:00:00"/>
    <n v="-6.4698579785502641E-3"/>
    <x v="2"/>
    <n v="0"/>
    <x v="183"/>
  </r>
  <r>
    <d v="2017-09-29T00:00:00"/>
    <x v="24"/>
    <s v="NA"/>
    <n v="26280631.400000002"/>
    <n v="7308778.753183878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09-29T00:00:00"/>
    <n v="0.14946842019337314"/>
    <x v="2"/>
    <n v="0"/>
    <x v="184"/>
  </r>
  <r>
    <d v="2017-10-31T00:00:00"/>
    <x v="24"/>
    <s v="NA"/>
    <n v="29023668.82"/>
    <n v="8071631.5670810472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10-31T00:00:00"/>
    <n v="0.10437486749271918"/>
    <x v="2"/>
    <n v="0"/>
    <x v="185"/>
  </r>
  <r>
    <d v="2017-11-30T00:00:00"/>
    <x v="24"/>
    <s v="NA"/>
    <n v="28970000"/>
    <n v="8056705.992221212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11-30T00:00:00"/>
    <n v="-1.8491397601332338E-3"/>
    <x v="2"/>
    <n v="0"/>
    <x v="186"/>
  </r>
  <r>
    <d v="2017-12-29T00:00:00"/>
    <x v="24"/>
    <s v="NA"/>
    <n v="28920000"/>
    <n v="8042800.7350720549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7-12-29T00:00:00"/>
    <n v="-1.7259233690024578E-3"/>
    <x v="2"/>
    <n v="0"/>
    <x v="187"/>
  </r>
  <r>
    <d v="2018-01-31T00:00:00"/>
    <x v="24"/>
    <s v="NA"/>
    <n v="28920000"/>
    <n v="8042800.7350720549"/>
    <m/>
    <n v="3650000"/>
    <m/>
    <n v="0"/>
    <m/>
    <n v="3.5957623410821586"/>
    <n v="3650000"/>
    <n v="0"/>
    <n v="3650000"/>
    <m/>
    <s v="Private Equity Fund"/>
    <n v="6.6666666666666666E-2"/>
    <n v="0"/>
    <n v="0"/>
    <n v="0"/>
    <m/>
    <m/>
    <m/>
    <m/>
    <m/>
    <m/>
    <m/>
    <m/>
    <m/>
    <m/>
    <m/>
    <d v="2018-01-31T00:00:00"/>
    <n v="-0.12621023513139695"/>
    <x v="2"/>
    <n v="0"/>
    <x v="188"/>
  </r>
  <r>
    <d v="2018-02-28T00:00:00"/>
    <x v="24"/>
    <s v="NA"/>
    <n v="30915762.989999998"/>
    <n v="8597832.68676644"/>
    <m/>
    <n v="1000000"/>
    <m/>
    <n v="0"/>
    <m/>
    <n v="3.5957623410821586"/>
    <n v="1000000"/>
    <n v="0"/>
    <n v="1000000"/>
    <m/>
    <s v="Private Equity Fund"/>
    <n v="6.6666666666666666E-2"/>
    <n v="0"/>
    <n v="0"/>
    <n v="0"/>
    <m/>
    <m/>
    <m/>
    <m/>
    <m/>
    <m/>
    <m/>
    <m/>
    <m/>
    <m/>
    <m/>
    <d v="2018-02-28T00:00:00"/>
    <n v="3.4431638658367847E-2"/>
    <x v="2"/>
    <n v="0"/>
    <x v="189"/>
  </r>
  <r>
    <d v="2018-03-29T00:00:00"/>
    <x v="24"/>
    <s v="NA"/>
    <n v="28961664.705082446"/>
    <n v="1.3974170941520785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3-29T00:00:00"/>
    <n v="-6.3207182871392265E-2"/>
    <x v="2"/>
    <n v="0"/>
    <x v="190"/>
  </r>
  <r>
    <d v="2018-04-30T00:00:00"/>
    <x v="24"/>
    <s v="NA"/>
    <n v="28961664.705082446"/>
    <n v="1.3974170941520785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4-30T00:00:00"/>
    <n v="0"/>
    <x v="2"/>
    <n v="0"/>
    <x v="191"/>
  </r>
  <r>
    <d v="2018-05-31T00:00:00"/>
    <x v="24"/>
    <s v="NA"/>
    <n v="31846892.637449495"/>
    <n v="1.5366310127673031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5-31T00:00:00"/>
    <n v="9.9622309758344851E-2"/>
    <x v="2"/>
    <n v="0"/>
    <x v="192"/>
  </r>
  <r>
    <d v="2018-06-29T00:00:00"/>
    <x v="24"/>
    <s v="NA"/>
    <n v="32262811.969999999"/>
    <n v="1.5566993614279518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6-29T00:00:00"/>
    <n v="1.3059965921492056E-2"/>
    <x v="2"/>
    <n v="0"/>
    <x v="193"/>
  </r>
  <r>
    <d v="2018-07-31T00:00:00"/>
    <x v="24"/>
    <s v="NA"/>
    <n v="32262811.970753297"/>
    <n v="1.5566993614642988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7-31T00:00:00"/>
    <n v="2.3348878386286742E-11"/>
    <x v="2"/>
    <n v="0"/>
    <x v="194"/>
  </r>
  <r>
    <d v="2018-08-31T00:00:00"/>
    <x v="24"/>
    <s v="NA"/>
    <n v="32262423.420308426"/>
    <n v="1.5566806136803184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8-31T00:00:00"/>
    <n v="-1.2043291366614639E-5"/>
    <x v="2"/>
    <n v="0"/>
    <x v="195"/>
  </r>
  <r>
    <d v="2018-09-28T00:00:00"/>
    <x v="24"/>
    <s v="NA"/>
    <n v="32430250.136189248"/>
    <n v="1.5647783499125216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  <m/>
    <m/>
    <m/>
    <d v="2018-09-28T00:00:00"/>
    <n v="5.2019252767967483E-3"/>
    <x v="2"/>
    <n v="0"/>
    <x v="196"/>
  </r>
  <r>
    <d v="2018-10-31T00:00:00"/>
    <x v="24"/>
    <s v="NA"/>
    <n v="32430250.136189248"/>
    <n v="1.5647783499125216"/>
    <m/>
    <n v="0"/>
    <m/>
    <n v="0"/>
    <m/>
    <n v="20725139.850000001"/>
    <n v="0"/>
    <n v="0"/>
    <n v="-32430250.136189248"/>
    <m/>
    <s v="Private Equity Fund"/>
    <n v="6.6666666666666666E-2"/>
    <n v="0"/>
    <n v="0"/>
    <n v="0"/>
    <m/>
    <m/>
    <m/>
    <m/>
    <m/>
    <m/>
    <m/>
    <m/>
    <m/>
    <m/>
    <m/>
    <d v="2018-10-31T00:00:00"/>
    <n v="0"/>
    <x v="2"/>
    <n v="0"/>
    <x v="198"/>
  </r>
  <r>
    <d v="2015-06-01T00:00:00"/>
    <x v="25"/>
    <s v="NA"/>
    <n v="6000000"/>
    <n v="1"/>
    <m/>
    <n v="6000000"/>
    <n v="0"/>
    <n v="0"/>
    <m/>
    <n v="6000000"/>
    <n v="6000000"/>
    <n v="1"/>
    <n v="6000000"/>
    <m/>
    <s v="Private Equity Fund"/>
    <n v="0"/>
    <n v="0"/>
    <n v="0"/>
    <n v="0"/>
    <m/>
    <m/>
    <m/>
    <m/>
    <m/>
    <m/>
    <m/>
    <m/>
    <m/>
    <m/>
    <m/>
    <d v="2015-06-01T00:00:00"/>
    <n v="-1"/>
    <x v="2"/>
    <n v="0"/>
    <x v="157"/>
  </r>
  <r>
    <d v="2015-06-30T00:00:00"/>
    <x v="25"/>
    <s v="NA"/>
    <n v="6029534.29"/>
    <n v="0.93397272517868668"/>
    <m/>
    <n v="0"/>
    <n v="0"/>
    <n v="0"/>
    <m/>
    <n v="6455792.688000001"/>
    <n v="0"/>
    <n v="0"/>
    <n v="0"/>
    <m/>
    <s v="Private Equity Fund"/>
    <n v="4.8571248447222218E-3"/>
    <n v="0"/>
    <n v="0"/>
    <n v="0"/>
    <m/>
    <m/>
    <m/>
    <m/>
    <m/>
    <m/>
    <m/>
    <m/>
    <m/>
    <m/>
    <m/>
    <d v="2015-06-30T00:00:00"/>
    <n v="4.9223816666665865E-3"/>
    <x v="2"/>
    <n v="0"/>
    <x v="157"/>
  </r>
  <r>
    <d v="2015-07-31T00:00:00"/>
    <x v="25"/>
    <s v="NA"/>
    <n v="6065516.9800000004"/>
    <n v="0.93954643111055236"/>
    <m/>
    <n v="0"/>
    <n v="0"/>
    <n v="0"/>
    <m/>
    <n v="6455792.688000001"/>
    <n v="0"/>
    <n v="0"/>
    <n v="0"/>
    <m/>
    <s v="Private Equity Fund"/>
    <n v="5.2230840661111116E-3"/>
    <n v="0"/>
    <n v="0"/>
    <n v="0"/>
    <m/>
    <m/>
    <m/>
    <m/>
    <m/>
    <m/>
    <m/>
    <m/>
    <m/>
    <m/>
    <m/>
    <d v="2015-07-31T00:00:00"/>
    <n v="5.9677395084523077E-3"/>
    <x v="2"/>
    <n v="0"/>
    <x v="158"/>
  </r>
  <r>
    <d v="2015-08-31T00:00:00"/>
    <x v="25"/>
    <s v="NA"/>
    <n v="6110664.9000000004"/>
    <n v="0.94653982792205804"/>
    <m/>
    <n v="0"/>
    <n v="-9.3132257461547852E-10"/>
    <n v="0"/>
    <m/>
    <n v="6455792.6880000001"/>
    <n v="-9.3132257461547852E-10"/>
    <n v="0"/>
    <n v="-9.3132257461547852E-10"/>
    <m/>
    <s v="Private Equity Fund"/>
    <n v="5.2619614416666675E-3"/>
    <n v="0"/>
    <n v="0"/>
    <n v="0"/>
    <m/>
    <m/>
    <m/>
    <m/>
    <m/>
    <m/>
    <m/>
    <m/>
    <m/>
    <m/>
    <m/>
    <d v="2015-08-31T00:00:00"/>
    <n v="7.4433754202434255E-3"/>
    <x v="2"/>
    <n v="0"/>
    <x v="159"/>
  </r>
  <r>
    <d v="2015-09-30T00:00:00"/>
    <x v="25"/>
    <s v="NA"/>
    <n v="43164193.439999998"/>
    <n v="6.6861182702216286"/>
    <m/>
    <n v="37000000"/>
    <n v="0"/>
    <n v="0"/>
    <m/>
    <n v="6455792.6880000001"/>
    <n v="37000000"/>
    <n v="0"/>
    <n v="37000000"/>
    <m/>
    <s v="Private Equity Fund"/>
    <n v="3.5970161200000003E-2"/>
    <n v="0"/>
    <n v="0"/>
    <n v="0"/>
    <m/>
    <m/>
    <m/>
    <m/>
    <m/>
    <m/>
    <m/>
    <m/>
    <m/>
    <m/>
    <m/>
    <d v="2015-09-30T00:00:00"/>
    <n v="8.7598552491394699E-3"/>
    <x v="2"/>
    <n v="0"/>
    <x v="160"/>
  </r>
  <r>
    <d v="2015-10-30T00:00:00"/>
    <x v="25"/>
    <s v="NA"/>
    <n v="43162911.119999997"/>
    <n v="6.6859196393079703"/>
    <m/>
    <n v="7.4505805969238281E-9"/>
    <n v="0"/>
    <n v="0"/>
    <m/>
    <n v="6455792.688000001"/>
    <n v="7.4505805969238281E-9"/>
    <n v="0"/>
    <n v="7.4505805969238281E-9"/>
    <m/>
    <s v="Private Equity Fund"/>
    <n v="3.5969092599999995E-2"/>
    <n v="0"/>
    <n v="0"/>
    <n v="0"/>
    <m/>
    <m/>
    <m/>
    <m/>
    <m/>
    <m/>
    <m/>
    <m/>
    <m/>
    <m/>
    <m/>
    <d v="2015-10-30T00:00:00"/>
    <n v="-2.9707956938684887E-5"/>
    <x v="2"/>
    <n v="0"/>
    <x v="161"/>
  </r>
  <r>
    <d v="2015-11-30T00:00:00"/>
    <x v="25"/>
    <s v="NA"/>
    <n v="43509559.960000001"/>
    <n v="6.7396154218017843"/>
    <m/>
    <n v="0"/>
    <n v="0"/>
    <n v="0"/>
    <m/>
    <n v="6455792.688000001"/>
    <n v="0"/>
    <n v="0"/>
    <n v="0"/>
    <m/>
    <s v="Private Equity Fund"/>
    <n v="3.7466565521111113E-2"/>
    <n v="0"/>
    <n v="0"/>
    <n v="0"/>
    <m/>
    <m/>
    <m/>
    <m/>
    <m/>
    <m/>
    <m/>
    <m/>
    <m/>
    <m/>
    <m/>
    <d v="2015-11-30T00:00:00"/>
    <n v="8.0311737787162052E-3"/>
    <x v="2"/>
    <n v="0"/>
    <x v="162"/>
  </r>
  <r>
    <d v="2015-12-31T00:00:00"/>
    <x v="25"/>
    <s v="NA"/>
    <n v="43776643.130000003"/>
    <n v="6.7809865102037481"/>
    <m/>
    <n v="0"/>
    <n v="0"/>
    <n v="0"/>
    <m/>
    <n v="6455792.688000001"/>
    <n v="0"/>
    <n v="0"/>
    <n v="0"/>
    <m/>
    <s v="Private Equity Fund"/>
    <n v="3.7696553806388887E-2"/>
    <n v="0"/>
    <n v="0"/>
    <n v="0"/>
    <m/>
    <m/>
    <m/>
    <m/>
    <m/>
    <m/>
    <m/>
    <m/>
    <m/>
    <m/>
    <m/>
    <d v="2015-12-31T00:00:00"/>
    <n v="6.1384939366324609E-3"/>
    <x v="2"/>
    <n v="0"/>
    <x v="163"/>
  </r>
  <r>
    <d v="2016-01-29T00:00:00"/>
    <x v="25"/>
    <s v="NA"/>
    <n v="43879503.289999999"/>
    <n v="6.7969195125430577"/>
    <m/>
    <n v="0"/>
    <n v="-7.4505805969238281E-9"/>
    <n v="0"/>
    <m/>
    <n v="6455792.6880000001"/>
    <n v="-7.4505805969238281E-9"/>
    <n v="0"/>
    <n v="-7.4505805969238281E-9"/>
    <m/>
    <s v="Private Equity Fund"/>
    <n v="3.5347377650277782E-2"/>
    <n v="0"/>
    <n v="0"/>
    <n v="0"/>
    <m/>
    <m/>
    <m/>
    <m/>
    <m/>
    <m/>
    <m/>
    <m/>
    <m/>
    <m/>
    <m/>
    <d v="2016-01-29T00:00:00"/>
    <n v="2.3496584627229478E-3"/>
    <x v="2"/>
    <n v="0"/>
    <x v="164"/>
  </r>
  <r>
    <d v="2016-02-29T00:00:00"/>
    <x v="25"/>
    <s v="NA"/>
    <n v="44314968.920000002"/>
    <n v="6.864372984338929"/>
    <m/>
    <n v="7.4505805969238281E-9"/>
    <n v="0"/>
    <n v="0"/>
    <m/>
    <n v="6455792.688000001"/>
    <n v="7.4505805969238281E-9"/>
    <n v="0"/>
    <n v="7.4505805969238281E-9"/>
    <m/>
    <s v="Private Equity Fund"/>
    <n v="3.8160112125555555E-2"/>
    <n v="0"/>
    <n v="0"/>
    <n v="0"/>
    <m/>
    <m/>
    <m/>
    <m/>
    <m/>
    <m/>
    <m/>
    <m/>
    <m/>
    <m/>
    <m/>
    <d v="2016-02-29T00:00:00"/>
    <n v="9.9241239610667886E-3"/>
    <x v="2"/>
    <n v="0"/>
    <x v="165"/>
  </r>
  <r>
    <d v="2016-03-31T00:00:00"/>
    <x v="25"/>
    <s v="NA"/>
    <n v="44597788.93"/>
    <n v="6.9081817036811257"/>
    <m/>
    <n v="0"/>
    <n v="0"/>
    <n v="0"/>
    <m/>
    <n v="6455792.688000001"/>
    <n v="0"/>
    <n v="0"/>
    <n v="0"/>
    <m/>
    <s v="Private Equity Fund"/>
    <n v="3.8403651578611107E-2"/>
    <n v="0"/>
    <n v="0"/>
    <n v="0"/>
    <m/>
    <m/>
    <m/>
    <m/>
    <m/>
    <m/>
    <m/>
    <m/>
    <m/>
    <m/>
    <m/>
    <d v="2016-03-31T00:00:00"/>
    <n v="6.3820423864127118E-3"/>
    <x v="2"/>
    <n v="0"/>
    <x v="166"/>
  </r>
  <r>
    <d v="2016-04-29T00:00:00"/>
    <x v="25"/>
    <s v="NA"/>
    <n v="44872543.729999997"/>
    <n v="6.9507411248519304"/>
    <m/>
    <n v="0"/>
    <n v="0"/>
    <n v="0"/>
    <m/>
    <n v="6455792.688000001"/>
    <n v="0"/>
    <n v="0"/>
    <n v="0"/>
    <m/>
    <s v="Private Equity Fund"/>
    <n v="3.6147326893611109E-2"/>
    <n v="0"/>
    <n v="0"/>
    <n v="0"/>
    <m/>
    <m/>
    <m/>
    <m/>
    <m/>
    <m/>
    <m/>
    <m/>
    <m/>
    <m/>
    <m/>
    <d v="2016-04-29T00:00:00"/>
    <n v="6.160726946155215E-3"/>
    <x v="2"/>
    <n v="0"/>
    <x v="167"/>
  </r>
  <r>
    <d v="2016-05-31T00:00:00"/>
    <x v="25"/>
    <s v="NA"/>
    <n v="45159838.82"/>
    <n v="6.9952430325005501"/>
    <m/>
    <n v="0"/>
    <n v="-7.4505805969238281E-9"/>
    <n v="0"/>
    <m/>
    <n v="6455792.6880000001"/>
    <n v="-7.4505805969238281E-9"/>
    <n v="0"/>
    <n v="-7.4505805969238281E-9"/>
    <m/>
    <s v="Private Equity Fund"/>
    <n v="4.0142078951111111E-2"/>
    <n v="0"/>
    <n v="0"/>
    <n v="0"/>
    <m/>
    <m/>
    <m/>
    <m/>
    <m/>
    <m/>
    <m/>
    <m/>
    <m/>
    <m/>
    <m/>
    <d v="2016-05-31T00:00:00"/>
    <n v="6.4024694416406902E-3"/>
    <x v="2"/>
    <n v="0"/>
    <x v="168"/>
  </r>
  <r>
    <d v="2016-06-30T00:00:00"/>
    <x v="25"/>
    <s v="NA"/>
    <n v="45431340.859999999"/>
    <n v="7.0372986022998498"/>
    <m/>
    <n v="7.4505805969238281E-9"/>
    <n v="0"/>
    <n v="0"/>
    <m/>
    <n v="6455792.688000001"/>
    <n v="7.4505805969238281E-9"/>
    <n v="0"/>
    <n v="7.4505805969238281E-9"/>
    <m/>
    <s v="Private Equity Fund"/>
    <n v="3.7859450716666666E-2"/>
    <n v="0"/>
    <n v="0"/>
    <n v="0"/>
    <m/>
    <m/>
    <m/>
    <m/>
    <m/>
    <m/>
    <m/>
    <m/>
    <m/>
    <m/>
    <m/>
    <d v="2016-06-30T00:00:00"/>
    <n v="6.0120241146597309E-3"/>
    <x v="2"/>
    <n v="0"/>
    <x v="169"/>
  </r>
  <r>
    <d v="2016-07-29T00:00:00"/>
    <x v="25"/>
    <s v="NA"/>
    <n v="45716828.810000002"/>
    <n v="7.0815205846027629"/>
    <m/>
    <n v="0"/>
    <n v="-7.4505805969238281E-9"/>
    <n v="0"/>
    <m/>
    <n v="6455792.6880000001"/>
    <n v="-7.4505805969238281E-9"/>
    <n v="0"/>
    <n v="-7.4505805969238281E-9"/>
    <m/>
    <s v="Private Equity Fund"/>
    <n v="3.6827445430277779E-2"/>
    <n v="0"/>
    <n v="0"/>
    <n v="0"/>
    <m/>
    <m/>
    <m/>
    <m/>
    <m/>
    <m/>
    <m/>
    <m/>
    <m/>
    <m/>
    <m/>
    <d v="2016-07-29T00:00:00"/>
    <n v="6.2839428596166425E-3"/>
    <x v="2"/>
    <n v="0"/>
    <x v="170"/>
  </r>
  <r>
    <d v="2016-08-31T00:00:00"/>
    <x v="25"/>
    <s v="NA"/>
    <n v="46004700.630000003"/>
    <n v="7.1261118275240367"/>
    <m/>
    <n v="7.4505805969238281E-9"/>
    <n v="0"/>
    <n v="0"/>
    <m/>
    <n v="6455792.688000001"/>
    <n v="7.4505805969238281E-9"/>
    <n v="0"/>
    <n v="7.4505805969238281E-9"/>
    <m/>
    <s v="Private Equity Fund"/>
    <n v="4.2170975577500006E-2"/>
    <n v="0"/>
    <n v="0"/>
    <n v="0"/>
    <m/>
    <m/>
    <m/>
    <m/>
    <m/>
    <m/>
    <m/>
    <m/>
    <m/>
    <m/>
    <m/>
    <d v="2016-08-31T00:00:00"/>
    <n v="6.2968457675922629E-3"/>
    <x v="2"/>
    <n v="0"/>
    <x v="171"/>
  </r>
  <r>
    <d v="2016-09-30T00:00:00"/>
    <x v="25"/>
    <s v="NA"/>
    <n v="43164193.439999998"/>
    <n v="6.6861182702216286"/>
    <m/>
    <n v="0"/>
    <n v="-7.4505805969238281E-9"/>
    <n v="0"/>
    <m/>
    <n v="6455792.6880000001"/>
    <n v="-7.4505805969238281E-9"/>
    <n v="0"/>
    <n v="-7.4505805969238281E-9"/>
    <m/>
    <s v="Private Equity Fund"/>
    <n v="3.5970161200000003E-2"/>
    <n v="0"/>
    <n v="0"/>
    <n v="0"/>
    <m/>
    <m/>
    <m/>
    <m/>
    <m/>
    <m/>
    <m/>
    <m/>
    <m/>
    <m/>
    <m/>
    <d v="2016-09-30T00:00:00"/>
    <n v="-6.174384684828671E-2"/>
    <x v="2"/>
    <n v="0"/>
    <x v="172"/>
  </r>
  <r>
    <d v="2016-10-31T00:00:00"/>
    <x v="25"/>
    <s v="NA"/>
    <n v="46568592.829999998"/>
    <n v="7.2134585295097056"/>
    <m/>
    <n v="7.4505805969238281E-9"/>
    <n v="0"/>
    <n v="0"/>
    <m/>
    <n v="6455792.688000001"/>
    <n v="7.4505805969238281E-9"/>
    <n v="0"/>
    <n v="7.4505805969238281E-9"/>
    <m/>
    <s v="Private Equity Fund"/>
    <n v="4.0100732714722219E-2"/>
    <n v="0"/>
    <n v="0"/>
    <n v="0"/>
    <m/>
    <m/>
    <m/>
    <m/>
    <m/>
    <m/>
    <m/>
    <m/>
    <m/>
    <m/>
    <m/>
    <d v="2016-10-31T00:00:00"/>
    <n v="7.8870914030450878E-2"/>
    <x v="2"/>
    <n v="0"/>
    <x v="173"/>
  </r>
  <r>
    <d v="2016-11-30T00:00:00"/>
    <x v="25"/>
    <s v="NA"/>
    <n v="46845538.100000001"/>
    <n v="7.2563572537074004"/>
    <m/>
    <n v="0"/>
    <n v="0"/>
    <n v="0"/>
    <m/>
    <n v="6455792.688000001"/>
    <n v="0"/>
    <n v="0"/>
    <n v="0"/>
    <m/>
    <s v="Private Equity Fund"/>
    <n v="3.9037948416666669E-2"/>
    <n v="0"/>
    <n v="0"/>
    <n v="0"/>
    <m/>
    <m/>
    <m/>
    <m/>
    <m/>
    <m/>
    <m/>
    <m/>
    <m/>
    <m/>
    <m/>
    <d v="2016-11-30T00:00:00"/>
    <n v="5.9470396928462677E-3"/>
    <x v="2"/>
    <n v="0"/>
    <x v="174"/>
  </r>
  <r>
    <d v="2016-12-30T00:00:00"/>
    <x v="25"/>
    <s v="NA"/>
    <n v="47131785.739999995"/>
    <n v="7.3006969117221425"/>
    <m/>
    <n v="0"/>
    <n v="0"/>
    <n v="0"/>
    <m/>
    <n v="6455792.688000001"/>
    <n v="0"/>
    <n v="0"/>
    <n v="0"/>
    <m/>
    <s v="Private Equity Fund"/>
    <n v="3.9276488116666668E-2"/>
    <n v="0"/>
    <n v="0"/>
    <n v="0"/>
    <m/>
    <m/>
    <m/>
    <m/>
    <m/>
    <m/>
    <m/>
    <m/>
    <m/>
    <m/>
    <m/>
    <d v="2016-12-30T00:00:00"/>
    <n v="6.1104568676091375E-3"/>
    <x v="2"/>
    <n v="0"/>
    <x v="175"/>
  </r>
  <r>
    <d v="2017-01-27T00:00:00"/>
    <x v="25"/>
    <s v="NA"/>
    <n v="47423009.82"/>
    <n v="7.3458074185296693"/>
    <m/>
    <n v="0"/>
    <n v="0"/>
    <n v="0"/>
    <m/>
    <n v="6455792.688000001"/>
    <n v="0"/>
    <n v="0"/>
    <n v="0"/>
    <m/>
    <s v="Private Equity Fund"/>
    <n v="3.6884563193333331E-2"/>
    <n v="0"/>
    <n v="0"/>
    <n v="0"/>
    <m/>
    <m/>
    <m/>
    <m/>
    <m/>
    <m/>
    <m/>
    <m/>
    <m/>
    <m/>
    <m/>
    <d v="2017-01-27T00:00:00"/>
    <n v="6.1789315942011314E-3"/>
    <x v="2"/>
    <n v="0"/>
    <x v="176"/>
  </r>
  <r>
    <d v="2017-02-28T00:00:00"/>
    <x v="25"/>
    <s v="NA"/>
    <n v="47683967.149999999"/>
    <n v="7.3862296164860988"/>
    <m/>
    <n v="0"/>
    <n v="-7.4505805969238281E-9"/>
    <n v="0"/>
    <m/>
    <n v="6455792.6880000001"/>
    <n v="-7.4505805969238281E-9"/>
    <n v="0"/>
    <n v="-7.4505805969238281E-9"/>
    <m/>
    <s v="Private Equity Fund"/>
    <n v="4.2385748577777778E-2"/>
    <n v="0"/>
    <n v="0"/>
    <n v="0"/>
    <m/>
    <m/>
    <m/>
    <m/>
    <m/>
    <m/>
    <m/>
    <m/>
    <m/>
    <m/>
    <m/>
    <d v="2017-02-28T00:00:00"/>
    <n v="5.5027576484600882E-3"/>
    <x v="2"/>
    <n v="0"/>
    <x v="177"/>
  </r>
  <r>
    <d v="2017-03-31T00:00:00"/>
    <x v="25"/>
    <s v="NA"/>
    <n v="47979602.689999998"/>
    <n v="7.4320234568845862"/>
    <m/>
    <n v="0"/>
    <n v="0"/>
    <n v="0"/>
    <m/>
    <n v="6455792.6880000001"/>
    <n v="0"/>
    <n v="0"/>
    <n v="0"/>
    <m/>
    <s v="Private Equity Fund"/>
    <n v="4.1315768983055556E-2"/>
    <n v="0"/>
    <n v="0"/>
    <n v="0"/>
    <m/>
    <m/>
    <m/>
    <m/>
    <m/>
    <m/>
    <m/>
    <m/>
    <m/>
    <m/>
    <m/>
    <d v="2017-03-31T00:00:00"/>
    <n v="6.1998939616332294E-3"/>
    <x v="2"/>
    <n v="0"/>
    <x v="178"/>
  </r>
  <r>
    <d v="2017-04-28T00:00:00"/>
    <x v="25"/>
    <s v="NA"/>
    <n v="48266683.539999999"/>
    <n v="7.4764921788331122"/>
    <m/>
    <n v="7.4505805969238281E-9"/>
    <n v="0"/>
    <n v="0"/>
    <m/>
    <n v="6455792.688000001"/>
    <n v="7.4505805969238281E-9"/>
    <n v="0"/>
    <n v="7.4505805969238281E-9"/>
    <m/>
    <s v="Private Equity Fund"/>
    <n v="3.754075386444445E-2"/>
    <n v="0"/>
    <n v="0"/>
    <n v="0"/>
    <m/>
    <m/>
    <m/>
    <m/>
    <m/>
    <m/>
    <m/>
    <m/>
    <m/>
    <m/>
    <m/>
    <d v="2017-04-28T00:00:00"/>
    <n v="5.9833936486479722E-3"/>
    <x v="2"/>
    <n v="0"/>
    <x v="179"/>
  </r>
  <r>
    <d v="2017-05-31T00:00:00"/>
    <x v="25"/>
    <s v="NA"/>
    <n v="48567053.369999997"/>
    <n v="7.523019359075179"/>
    <m/>
    <n v="0"/>
    <n v="0"/>
    <n v="0"/>
    <m/>
    <n v="6455792.688000001"/>
    <n v="0"/>
    <n v="0"/>
    <n v="0"/>
    <m/>
    <s v="Private Equity Fund"/>
    <n v="4.4519798922499992E-2"/>
    <n v="0"/>
    <n v="0"/>
    <n v="0"/>
    <m/>
    <m/>
    <m/>
    <m/>
    <m/>
    <m/>
    <m/>
    <m/>
    <m/>
    <m/>
    <m/>
    <d v="2017-05-31T00:00:00"/>
    <n v="6.2231296614998488E-3"/>
    <x v="2"/>
    <n v="0"/>
    <x v="180"/>
  </r>
  <r>
    <d v="2017-06-30T00:00:00"/>
    <x v="25"/>
    <s v="NA"/>
    <n v="48835531.810000002"/>
    <n v="7.5646065743057811"/>
    <m/>
    <n v="7.4505805969238281E-9"/>
    <n v="0"/>
    <n v="0"/>
    <m/>
    <n v="6455792.6880000019"/>
    <n v="7.4505805969238281E-9"/>
    <n v="0"/>
    <n v="7.4505805969238281E-9"/>
    <m/>
    <s v="Private Equity Fund"/>
    <n v="4.0696276508333337E-2"/>
    <n v="0"/>
    <n v="0"/>
    <n v="0"/>
    <m/>
    <m/>
    <m/>
    <m/>
    <m/>
    <m/>
    <m/>
    <m/>
    <m/>
    <m/>
    <m/>
    <d v="2017-06-30T00:00:00"/>
    <n v="5.5279952430846713E-3"/>
    <x v="2"/>
    <n v="0"/>
    <x v="181"/>
  </r>
  <r>
    <d v="2017-07-31T00:00:00"/>
    <x v="25"/>
    <s v="NA"/>
    <n v="49113008.232000001"/>
    <n v="7.6075875737600827"/>
    <m/>
    <n v="0"/>
    <n v="-1.4901161193847656E-8"/>
    <n v="0"/>
    <m/>
    <n v="6455792.6880000001"/>
    <n v="-1.4901161193847656E-8"/>
    <n v="0"/>
    <n v="-1.4901161193847656E-8"/>
    <m/>
    <s v="Private Equity Fund"/>
    <n v="4.2291757088666664E-2"/>
    <n v="0"/>
    <n v="0"/>
    <n v="0"/>
    <m/>
    <m/>
    <m/>
    <m/>
    <m/>
    <m/>
    <m/>
    <m/>
    <m/>
    <m/>
    <m/>
    <d v="2017-07-31T00:00:00"/>
    <n v="5.681855233594435E-3"/>
    <x v="2"/>
    <n v="0"/>
    <x v="182"/>
  </r>
  <r>
    <d v="2017-08-31T00:00:00"/>
    <x v="25"/>
    <s v="NA"/>
    <n v="37218551.07"/>
    <n v="5.7651403737269442"/>
    <m/>
    <n v="7.4505805969238281E-9"/>
    <n v="0"/>
    <n v="0"/>
    <m/>
    <n v="6455792.688000001"/>
    <n v="7.4505805969238281E-9"/>
    <n v="0"/>
    <n v="7.4505805969238281E-9"/>
    <m/>
    <s v="Private Equity Fund"/>
    <n v="3.2049307865833335E-2"/>
    <n v="0"/>
    <n v="0"/>
    <n v="0"/>
    <m/>
    <m/>
    <m/>
    <m/>
    <m/>
    <m/>
    <m/>
    <m/>
    <m/>
    <m/>
    <m/>
    <d v="2017-08-31T00:00:00"/>
    <n v="-0.2421854736694804"/>
    <x v="2"/>
    <n v="0"/>
    <x v="183"/>
  </r>
  <r>
    <d v="2017-09-29T00:00:00"/>
    <x v="25"/>
    <s v="NA"/>
    <n v="37503984.410000004"/>
    <n v="5.8093538969602063"/>
    <m/>
    <n v="0"/>
    <n v="-7.4505805969238281E-9"/>
    <n v="0"/>
    <m/>
    <n v="6455792.6880000001"/>
    <n v="-7.4505805969238281E-9"/>
    <n v="0"/>
    <n v="-7.4505805969238281E-9"/>
    <m/>
    <s v="Private Equity Fund"/>
    <n v="3.0211542996944448E-2"/>
    <n v="0"/>
    <n v="0"/>
    <n v="0"/>
    <m/>
    <m/>
    <m/>
    <m/>
    <m/>
    <m/>
    <m/>
    <m/>
    <m/>
    <m/>
    <m/>
    <d v="2017-09-29T00:00:00"/>
    <n v="7.6691147772833812E-3"/>
    <x v="2"/>
    <n v="0"/>
    <x v="184"/>
  </r>
  <r>
    <d v="2017-10-31T00:00:00"/>
    <x v="25"/>
    <s v="NA"/>
    <n v="37000828.369999997"/>
    <n v="5.7314152046389246"/>
    <m/>
    <n v="0"/>
    <n v="0"/>
    <n v="0"/>
    <m/>
    <n v="6455792.688000001"/>
    <n v="0"/>
    <n v="0"/>
    <n v="0"/>
    <m/>
    <s v="Private Equity Fund"/>
    <n v="3.2889625217777781E-2"/>
    <n v="0"/>
    <n v="0"/>
    <n v="0"/>
    <m/>
    <m/>
    <m/>
    <m/>
    <m/>
    <m/>
    <m/>
    <m/>
    <m/>
    <m/>
    <m/>
    <d v="2017-10-31T00:00:00"/>
    <n v="-1.3416068930154679E-2"/>
    <x v="2"/>
    <n v="0"/>
    <x v="185"/>
  </r>
  <r>
    <d v="2017-11-30T00:00:00"/>
    <x v="25"/>
    <s v="NA"/>
    <n v="36413162.460000001"/>
    <n v="5.6403859633975895"/>
    <m/>
    <n v="0"/>
    <n v="0"/>
    <n v="0"/>
    <m/>
    <n v="6455792.688000001"/>
    <n v="0"/>
    <n v="0"/>
    <n v="0"/>
    <m/>
    <s v="Private Equity Fund"/>
    <n v="3.0344302050000004E-2"/>
    <n v="0"/>
    <n v="0"/>
    <n v="0"/>
    <m/>
    <m/>
    <m/>
    <m/>
    <m/>
    <m/>
    <m/>
    <m/>
    <m/>
    <m/>
    <m/>
    <d v="2017-11-30T00:00:00"/>
    <n v="-1.588250684885939E-2"/>
    <x v="2"/>
    <n v="0"/>
    <x v="186"/>
  </r>
  <r>
    <d v="2017-12-29T00:00:00"/>
    <x v="25"/>
    <s v="NA"/>
    <n v="36282978.420000002"/>
    <n v="5.620220501727486"/>
    <m/>
    <n v="0"/>
    <n v="0"/>
    <n v="0"/>
    <m/>
    <n v="6455792.688000001"/>
    <n v="0"/>
    <n v="0"/>
    <n v="0"/>
    <m/>
    <s v="Private Equity Fund"/>
    <n v="2.9227954838333334E-2"/>
    <n v="0"/>
    <n v="0"/>
    <n v="0"/>
    <m/>
    <m/>
    <m/>
    <m/>
    <m/>
    <m/>
    <m/>
    <m/>
    <m/>
    <m/>
    <m/>
    <d v="2017-12-29T00:00:00"/>
    <n v="-3.5751918044197861E-3"/>
    <x v="2"/>
    <n v="0"/>
    <x v="187"/>
  </r>
  <r>
    <d v="2018-01-31T00:00:00"/>
    <x v="25"/>
    <s v="NA"/>
    <n v="36114709.079999998"/>
    <n v="5.5941556405814978"/>
    <m/>
    <n v="0"/>
    <n v="0"/>
    <n v="0"/>
    <m/>
    <n v="6455792.688000001"/>
    <n v="0"/>
    <n v="0"/>
    <n v="0"/>
    <m/>
    <s v="Private Equity Fund"/>
    <n v="3.3105149989999992E-2"/>
    <n v="0"/>
    <n v="0"/>
    <n v="0"/>
    <m/>
    <m/>
    <m/>
    <m/>
    <m/>
    <m/>
    <m/>
    <m/>
    <m/>
    <m/>
    <m/>
    <d v="2018-01-31T00:00:00"/>
    <n v="-4.6376936879924946E-3"/>
    <x v="2"/>
    <n v="0"/>
    <x v="188"/>
  </r>
  <r>
    <d v="2018-02-28T00:00:00"/>
    <x v="25"/>
    <s v="NA"/>
    <n v="35559287.539999999"/>
    <n v="5.5081210408285637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2-28T00:00:00"/>
    <n v="-1.5379371844575829E-2"/>
    <x v="2"/>
    <n v="0"/>
    <x v="189"/>
  </r>
  <r>
    <d v="2018-03-29T00:00:00"/>
    <x v="25"/>
    <s v="NA"/>
    <n v="58431109.219999999"/>
    <n v="9.0509581152770728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3-29T00:00:00"/>
    <n v="0.64320247289184018"/>
    <x v="2"/>
    <n v="0"/>
    <x v="190"/>
  </r>
  <r>
    <d v="2018-04-30T00:00:00"/>
    <x v="25"/>
    <s v="NA"/>
    <n v="58574142.509999998"/>
    <n v="9.0731139212195213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4-30T00:00:00"/>
    <n v="2.4478961962104417E-3"/>
    <x v="2"/>
    <n v="0"/>
    <x v="191"/>
  </r>
  <r>
    <d v="2018-05-31T00:00:00"/>
    <x v="25"/>
    <s v="NA"/>
    <n v="58439031.590000004"/>
    <n v="9.0521852875830753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5-31T00:00:00"/>
    <n v="-2.3066649243209669E-3"/>
    <x v="2"/>
    <n v="0"/>
    <x v="192"/>
  </r>
  <r>
    <d v="2018-06-29T00:00:00"/>
    <x v="25"/>
    <s v="NA"/>
    <n v="62354903.359999999"/>
    <n v="9.6587524373118452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6-29T00:00:00"/>
    <n v="6.7007814186128112E-2"/>
    <x v="2"/>
    <n v="0"/>
    <x v="193"/>
  </r>
  <r>
    <d v="2018-07-31T00:00:00"/>
    <x v="25"/>
    <s v="NA"/>
    <n v="62482244.009999998"/>
    <n v="9.6784774588783993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7-31T00:00:00"/>
    <n v="2.0421914418631282E-3"/>
    <x v="2"/>
    <n v="0"/>
    <x v="194"/>
  </r>
  <r>
    <d v="2018-08-31T00:00:00"/>
    <x v="25"/>
    <s v="NA"/>
    <n v="63199695.780000001"/>
    <n v="9.789610483848918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8-31T00:00:00"/>
    <n v="1.1482490447769056E-2"/>
    <x v="2"/>
    <n v="0"/>
    <x v="195"/>
  </r>
  <r>
    <d v="2018-09-28T00:00:00"/>
    <x v="25"/>
    <s v="NA"/>
    <n v="63801975.060000002"/>
    <n v="9.8829033309255472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  <m/>
    <m/>
    <m/>
    <d v="2018-09-28T00:00:00"/>
    <n v="9.5297813156656197E-3"/>
    <x v="2"/>
    <n v="0"/>
    <x v="196"/>
  </r>
  <r>
    <d v="2018-10-31T00:00:00"/>
    <x v="25"/>
    <s v="NA"/>
    <n v="61725396.090000004"/>
    <n v="9.5612419842314473"/>
    <m/>
    <n v="0"/>
    <n v="0"/>
    <n v="0"/>
    <m/>
    <n v="6455792.688000001"/>
    <n v="0"/>
    <n v="0"/>
    <n v="-61725396.090000004"/>
    <m/>
    <s v="Private Equity Fund"/>
    <n v="1.298443E-2"/>
    <n v="0"/>
    <n v="0"/>
    <n v="0"/>
    <m/>
    <m/>
    <m/>
    <m/>
    <m/>
    <m/>
    <m/>
    <m/>
    <m/>
    <m/>
    <m/>
    <d v="2018-10-31T00:00:00"/>
    <n v="-3.2547252150848971E-2"/>
    <x v="2"/>
    <n v="0"/>
    <x v="198"/>
  </r>
  <r>
    <d v="2012-12-18T00:00:00"/>
    <x v="26"/>
    <s v="NA"/>
    <n v="50000000"/>
    <n v="1000"/>
    <m/>
    <n v="50000000"/>
    <n v="0"/>
    <n v="0"/>
    <m/>
    <n v="50000"/>
    <n v="50000000"/>
    <n v="1000"/>
    <n v="1000"/>
    <m/>
    <s v="Hedge Fund"/>
    <n v="0"/>
    <n v="0"/>
    <n v="0"/>
    <n v="0"/>
    <s v="ARF"/>
    <n v="2.6789999999999998"/>
    <s v="HRF"/>
    <n v="0.25"/>
    <s v="COP2"/>
    <n v="7.0709999999999997"/>
    <s v="COTT"/>
    <n v="0"/>
    <m/>
    <m/>
    <m/>
    <d v="2012-12-18T00:00:00"/>
    <e v="#REF!"/>
    <x v="2"/>
    <n v="0"/>
    <x v="140"/>
  </r>
  <r>
    <d v="2012-12-31T00:00:00"/>
    <x v="26"/>
    <s v="NA"/>
    <n v="65719262.410500407"/>
    <n v="1314.3900000000003"/>
    <m/>
    <n v="65719262.410500407"/>
    <n v="0"/>
    <n v="0"/>
    <m/>
    <n v="49999.819239723671"/>
    <n v="65719262.410500407"/>
    <n v="0"/>
    <n v="0"/>
    <m/>
    <s v="Hedge Fund"/>
    <n v="1.5170961304347828E-2"/>
    <n v="0"/>
    <n v="3.0341922608695658E-3"/>
    <n v="0"/>
    <s v="ARF"/>
    <n v="3.5212508100000002"/>
    <s v="HRF"/>
    <n v="0.32859750000000004"/>
    <s v="COP2"/>
    <n v="9.2940516899999999"/>
    <s v="COTT"/>
    <n v="0"/>
    <m/>
    <m/>
    <m/>
    <d v="2012-12-31T00:00:00"/>
    <n v="-1"/>
    <x v="2"/>
    <n v="0"/>
    <x v="140"/>
  </r>
  <r>
    <d v="2013-01-31T00:00:00"/>
    <x v="26"/>
    <s v="NA"/>
    <n v="62213438.039310001"/>
    <n v="1244.27"/>
    <m/>
    <n v="162.95389903336763"/>
    <n v="0"/>
    <n v="0"/>
    <m/>
    <n v="49999.950203179375"/>
    <n v="162.95389903336763"/>
    <n v="0"/>
    <n v="0"/>
    <m/>
    <s v="Hedge Fund"/>
    <n v="3.3333333333333333E-2"/>
    <n v="0"/>
    <n v="6.6666666666666671E-3"/>
    <n v="0"/>
    <s v="ARF"/>
    <n v="3.3333993299999998"/>
    <s v="HRF"/>
    <n v="0.3110675"/>
    <s v="COP2"/>
    <n v="8.7982331699999996"/>
    <s v="COTT"/>
    <n v="0"/>
    <m/>
    <m/>
    <m/>
    <d v="2013-01-31T00:00:00"/>
    <n v="-5.334794086990946E-2"/>
    <x v="2"/>
    <n v="0"/>
    <x v="141"/>
  </r>
  <r>
    <d v="2013-02-28T00:00:00"/>
    <x v="26"/>
    <s v="NA"/>
    <n v="57041331.74453"/>
    <n v="1140.83"/>
    <m/>
    <n v="0"/>
    <n v="-111.44576312601566"/>
    <n v="0"/>
    <m/>
    <n v="49999.852514861988"/>
    <n v="-111.44576312601566"/>
    <n v="0"/>
    <n v="0"/>
    <m/>
    <s v="Hedge Fund"/>
    <n v="3.3333333333333333E-2"/>
    <n v="0"/>
    <n v="6.6666666666666671E-3"/>
    <n v="0"/>
    <s v="ARF"/>
    <n v="3.0562835699999997"/>
    <s v="HRF"/>
    <n v="0.2852075"/>
    <s v="COP2"/>
    <n v="8.0668089299999988"/>
    <s v="COTT"/>
    <n v="0"/>
    <m/>
    <m/>
    <m/>
    <d v="2013-02-28T00:00:00"/>
    <n v="-8.3133082048108542E-2"/>
    <x v="2"/>
    <n v="0"/>
    <x v="142"/>
  </r>
  <r>
    <d v="2013-03-28T00:00:00"/>
    <x v="26"/>
    <s v="NA"/>
    <n v="57321785.130564995"/>
    <n v="1146.44"/>
    <m/>
    <n v="0"/>
    <n v="-45.786573387682438"/>
    <n v="0"/>
    <m/>
    <n v="49999.812576816053"/>
    <n v="-45.786573387682438"/>
    <n v="0"/>
    <n v="0"/>
    <m/>
    <s v="Hedge Fund"/>
    <n v="3.3333333333333333E-2"/>
    <n v="0"/>
    <n v="6.6666666666666671E-3"/>
    <n v="0"/>
    <s v="ARF"/>
    <n v="3.0713127600000001"/>
    <s v="HRF"/>
    <n v="0.28661000000000003"/>
    <s v="COP2"/>
    <n v="8.1064772400000003"/>
    <s v="COTT"/>
    <n v="0"/>
    <m/>
    <m/>
    <m/>
    <d v="2013-03-28T00:00:00"/>
    <n v="4.9174723666103315E-3"/>
    <x v="2"/>
    <n v="0"/>
    <x v="143"/>
  </r>
  <r>
    <d v="2013-04-30T00:00:00"/>
    <x v="26"/>
    <s v="NA"/>
    <n v="56000990.289800003"/>
    <n v="1120.02"/>
    <m/>
    <n v="200.20751448720694"/>
    <n v="0"/>
    <n v="0"/>
    <m/>
    <n v="49999.991330333389"/>
    <n v="200.20751448720694"/>
    <n v="0"/>
    <n v="0"/>
    <m/>
    <s v="Hedge Fund"/>
    <n v="3.3333333333333333E-2"/>
    <n v="0"/>
    <n v="6.6666666666666671E-3"/>
    <n v="0"/>
    <s v="ARF"/>
    <n v="3.0005335799999999"/>
    <s v="HRF"/>
    <n v="0.280005"/>
    <s v="COP2"/>
    <n v="7.9196614199999997"/>
    <s v="COTT"/>
    <n v="0"/>
    <m/>
    <m/>
    <m/>
    <d v="2013-04-30T00:00:00"/>
    <n v="-2.3045253131432908E-2"/>
    <x v="2"/>
    <n v="0"/>
    <x v="144"/>
  </r>
  <r>
    <d v="2013-05-31T00:00:00"/>
    <x v="26"/>
    <s v="NA"/>
    <n v="56809260.847825803"/>
    <n v="1136.19"/>
    <m/>
    <n v="0"/>
    <n v="-229.30178569257259"/>
    <n v="0"/>
    <m/>
    <n v="49999.789513924436"/>
    <n v="-229.30178569257259"/>
    <n v="0"/>
    <n v="0"/>
    <m/>
    <s v="Hedge Fund"/>
    <n v="3.3333333333333333E-2"/>
    <n v="0"/>
    <n v="6.6666666666666671E-3"/>
    <n v="0"/>
    <s v="ARF"/>
    <n v="3.0438530100000003"/>
    <s v="HRF"/>
    <n v="0.28404750000000001"/>
    <s v="COP2"/>
    <n v="8.0339994900000011"/>
    <s v="COTT"/>
    <n v="0"/>
    <m/>
    <m/>
    <m/>
    <d v="2013-05-31T00:00:00"/>
    <n v="1.4437242192103739E-2"/>
    <x v="2"/>
    <n v="0"/>
    <x v="145"/>
  </r>
  <r>
    <d v="2013-06-28T00:00:00"/>
    <x v="26"/>
    <s v="NA"/>
    <n v="55882347.575962074"/>
    <n v="1117.6500000000001"/>
    <m/>
    <n v="82.825724422931671"/>
    <n v="0"/>
    <n v="0"/>
    <m/>
    <n v="49999.863620956537"/>
    <n v="82.825724422931671"/>
    <n v="0"/>
    <n v="0"/>
    <m/>
    <s v="Hedge Fund"/>
    <n v="3.3333333333333333E-2"/>
    <n v="0"/>
    <n v="6.6666666666666671E-3"/>
    <n v="0"/>
    <s v="ARF"/>
    <n v="2.9941843500000003"/>
    <s v="HRF"/>
    <n v="0.27941250000000001"/>
    <s v="COP2"/>
    <n v="7.902903150000002"/>
    <s v="COTT"/>
    <n v="0"/>
    <m/>
    <m/>
    <m/>
    <d v="2013-06-28T00:00:00"/>
    <n v="-1.6317693343542716E-2"/>
    <x v="2"/>
    <n v="0"/>
    <x v="146"/>
  </r>
  <r>
    <d v="2013-07-31T00:00:00"/>
    <x v="26"/>
    <s v="NA"/>
    <n v="51967128.741489731"/>
    <n v="1039.3399999999999"/>
    <m/>
    <n v="270.48568476736546"/>
    <n v="0"/>
    <n v="0"/>
    <m/>
    <n v="50000.123868502829"/>
    <n v="270.48568476736546"/>
    <n v="0"/>
    <n v="0"/>
    <m/>
    <s v="Hedge Fund"/>
    <n v="3.3333333333333333E-2"/>
    <n v="0"/>
    <n v="6.6666666666666671E-3"/>
    <n v="0"/>
    <s v="ARF"/>
    <n v="2.7843918599999999"/>
    <s v="HRF"/>
    <n v="0.25983499999999998"/>
    <s v="COP2"/>
    <n v="7.3491731400000004"/>
    <s v="COTT"/>
    <n v="0"/>
    <m/>
    <m/>
    <m/>
    <d v="2013-07-31T00:00:00"/>
    <n v="-7.0066657719321856E-2"/>
    <x v="2"/>
    <n v="0"/>
    <x v="147"/>
  </r>
  <r>
    <d v="2013-08-30T00:00:00"/>
    <x v="26"/>
    <s v="NA"/>
    <n v="51496411.199453689"/>
    <n v="1029.9300000000003"/>
    <m/>
    <n v="0"/>
    <n v="-216.37643344700336"/>
    <n v="0"/>
    <m/>
    <n v="49999.913780017749"/>
    <n v="-216.37643344700336"/>
    <n v="0"/>
    <n v="0"/>
    <m/>
    <s v="Hedge Fund"/>
    <n v="3.3333333333333333E-2"/>
    <n v="0"/>
    <n v="6.6666666666666671E-3"/>
    <n v="0"/>
    <s v="ARF"/>
    <n v="2.7591824700000003"/>
    <s v="HRF"/>
    <n v="0.2574825"/>
    <s v="COP2"/>
    <n v="7.2826350300000016"/>
    <s v="COTT"/>
    <n v="0"/>
    <m/>
    <m/>
    <m/>
    <d v="2013-08-30T00:00:00"/>
    <n v="-9.0538226181996473E-3"/>
    <x v="2"/>
    <n v="0"/>
    <x v="148"/>
  </r>
  <r>
    <d v="2013-09-30T00:00:00"/>
    <x v="26"/>
    <s v="NA"/>
    <n v="56652346.486825034"/>
    <n v="1133.05"/>
    <m/>
    <n v="0"/>
    <n v="-55.82162407040596"/>
    <n v="0"/>
    <m/>
    <n v="49999.864513326895"/>
    <n v="-55.82162407040596"/>
    <n v="0"/>
    <n v="0"/>
    <m/>
    <s v="Hedge Fund"/>
    <n v="3.3333333333333333E-2"/>
    <n v="0"/>
    <n v="6.6666666666666671E-3"/>
    <n v="0"/>
    <s v="ARF"/>
    <n v="3.0354409499999999"/>
    <s v="HRF"/>
    <n v="0.28326249999999997"/>
    <s v="COP2"/>
    <n v="8.0117965500000015"/>
    <s v="COTT"/>
    <n v="0"/>
    <m/>
    <m/>
    <m/>
    <d v="2013-09-30T00:00:00"/>
    <n v="0.10012330935112068"/>
    <x v="2"/>
    <n v="0"/>
    <x v="0"/>
  </r>
  <r>
    <d v="2013-10-31T00:00:00"/>
    <x v="26"/>
    <s v="NA"/>
    <n v="59214739.683031447"/>
    <n v="1184.29"/>
    <m/>
    <n v="400.13854353874922"/>
    <n v="0"/>
    <n v="0"/>
    <m/>
    <n v="50000.202385422024"/>
    <n v="400.13854353874922"/>
    <n v="0"/>
    <n v="0"/>
    <m/>
    <s v="Hedge Fund"/>
    <n v="3.3333333333333333E-2"/>
    <n v="0"/>
    <n v="6.6666666666666671E-3"/>
    <n v="0"/>
    <s v="ARF"/>
    <n v="3.17271291"/>
    <s v="HRF"/>
    <n v="0.29607250000000002"/>
    <s v="COP2"/>
    <n v="8.3741145900000014"/>
    <s v="COTT"/>
    <n v="0"/>
    <m/>
    <m/>
    <m/>
    <d v="2013-10-31T00:00:00"/>
    <n v="4.5223070473500826E-2"/>
    <x v="2"/>
    <n v="0"/>
    <x v="1"/>
  </r>
  <r>
    <d v="2013-11-29T00:00:00"/>
    <x v="26"/>
    <s v="NA"/>
    <n v="57274374.746451333"/>
    <n v="1145.49"/>
    <m/>
    <n v="0"/>
    <n v="-357.08402574062347"/>
    <n v="0"/>
    <m/>
    <n v="49999.890655048352"/>
    <n v="-357.08402574062347"/>
    <n v="0"/>
    <n v="0"/>
    <m/>
    <s v="Hedge Fund"/>
    <n v="3.3333333333333333E-2"/>
    <n v="0"/>
    <n v="6.6666666666666671E-3"/>
    <n v="0"/>
    <s v="ARF"/>
    <n v="3.0687677099999999"/>
    <s v="HRF"/>
    <n v="0.28637250000000003"/>
    <s v="COP2"/>
    <n v="8.099759790000002"/>
    <s v="COTT"/>
    <n v="0"/>
    <m/>
    <m/>
    <m/>
    <d v="2013-11-29T00:00:00"/>
    <n v="-3.2762245733730766E-2"/>
    <x v="2"/>
    <n v="0"/>
    <x v="2"/>
  </r>
  <r>
    <d v="2013-12-31T00:00:00"/>
    <x v="26"/>
    <s v="NA"/>
    <n v="62937256.873457022"/>
    <n v="1258.7499999999998"/>
    <m/>
    <n v="0"/>
    <n v="-105.48858507722616"/>
    <n v="0"/>
    <m/>
    <n v="49999.806850809953"/>
    <n v="-105.48858507722616"/>
    <n v="0"/>
    <n v="0"/>
    <m/>
    <s v="Hedge Fund"/>
    <n v="3.3333333333333333E-2"/>
    <n v="0"/>
    <n v="6.6666666666666671E-3"/>
    <n v="0"/>
    <s v="ARF"/>
    <n v="3.3721912499999998"/>
    <s v="HRF"/>
    <n v="0.31468750000000001"/>
    <s v="COP2"/>
    <n v="8.9006212500000021"/>
    <s v="COTT"/>
    <n v="0"/>
    <m/>
    <m/>
    <m/>
    <d v="2013-12-31T00:00:00"/>
    <n v="9.8874717369858978E-2"/>
    <x v="2"/>
    <n v="0"/>
    <x v="3"/>
  </r>
  <r>
    <d v="2014-01-30T00:00:00"/>
    <x v="26"/>
    <s v="NA"/>
    <n v="69559589.841135517"/>
    <n v="1391.19"/>
    <m/>
    <n v="358.54835721850395"/>
    <n v="0"/>
    <n v="0"/>
    <m/>
    <n v="50000.064578623707"/>
    <n v="358.54835721850395"/>
    <n v="0"/>
    <n v="0"/>
    <m/>
    <s v="Hedge Fund"/>
    <n v="3.3333333333333333E-2"/>
    <n v="0"/>
    <n v="6.6666666666666671E-3"/>
    <n v="0"/>
    <s v="ARF"/>
    <n v="3.72699801"/>
    <s v="HRF"/>
    <n v="0.34779750000000004"/>
    <s v="COP2"/>
    <n v="9.8371044900000033"/>
    <s v="COTT"/>
    <n v="0"/>
    <m/>
    <m/>
    <m/>
    <d v="2014-01-30T00:00:00"/>
    <n v="0.1052154915590866"/>
    <x v="2"/>
    <n v="0"/>
    <x v="4"/>
  </r>
  <r>
    <d v="2014-02-28T00:00:00"/>
    <x v="26"/>
    <s v="NA"/>
    <n v="71305982.316969454"/>
    <n v="1426.1200000000001"/>
    <m/>
    <n v="0"/>
    <n v="-109.77989739179611"/>
    <n v="0"/>
    <m/>
    <n v="49999.987600601249"/>
    <n v="-109.77989739179611"/>
    <n v="0"/>
    <n v="0"/>
    <m/>
    <s v="Hedge Fund"/>
    <n v="3.3333333333333333E-2"/>
    <n v="0"/>
    <n v="6.6666666666666671E-3"/>
    <n v="0"/>
    <s v="ARF"/>
    <n v="3.8205754799999996"/>
    <s v="HRF"/>
    <n v="0.35652999999999996"/>
    <s v="COP2"/>
    <n v="10.084094520000003"/>
    <s v="COTT"/>
    <n v="0"/>
    <m/>
    <m/>
    <m/>
    <d v="2014-02-28T00:00:00"/>
    <n v="2.5108001063837371E-2"/>
    <x v="2"/>
    <n v="0"/>
    <x v="5"/>
  </r>
  <r>
    <d v="2014-03-31T00:00:00"/>
    <x v="26"/>
    <s v="NA"/>
    <n v="67879116.421086162"/>
    <n v="1357.58"/>
    <m/>
    <n v="133.25426192581654"/>
    <n v="0"/>
    <n v="0"/>
    <m/>
    <n v="50000.085756335662"/>
    <n v="133.25426192581654"/>
    <n v="0"/>
    <n v="0"/>
    <m/>
    <s v="Hedge Fund"/>
    <n v="3.3333333333333333E-2"/>
    <n v="0"/>
    <n v="6.6666666666666671E-3"/>
    <n v="0"/>
    <s v="ARF"/>
    <n v="3.6369568199999995"/>
    <s v="HRF"/>
    <n v="0.339395"/>
    <s v="COP2"/>
    <n v="9.5994481800000031"/>
    <s v="COTT"/>
    <n v="0"/>
    <m/>
    <m/>
    <m/>
    <d v="2014-03-31T00:00:00"/>
    <n v="-4.8060471769556634E-2"/>
    <x v="2"/>
    <n v="0"/>
    <x v="6"/>
  </r>
  <r>
    <d v="2014-04-30T00:00:00"/>
    <x v="26"/>
    <s v="NA"/>
    <n v="63560487.165880002"/>
    <n v="1271.21"/>
    <m/>
    <n v="0"/>
    <n v="-121.84843145310879"/>
    <n v="0"/>
    <m/>
    <n v="49999.989904012713"/>
    <n v="-121.84843145310879"/>
    <n v="0"/>
    <n v="0"/>
    <m/>
    <s v="Hedge Fund"/>
    <n v="3.3333333333333333E-2"/>
    <n v="0"/>
    <n v="6.6666666666666671E-3"/>
    <n v="0"/>
    <s v="ARF"/>
    <n v="3.4055715900000001"/>
    <s v="HRF"/>
    <n v="0.31780250000000004"/>
    <s v="COP2"/>
    <n v="8.988725910000003"/>
    <s v="COTT"/>
    <n v="0"/>
    <m/>
    <m/>
    <m/>
    <d v="2014-04-30T00:00:00"/>
    <n v="-6.3620560114321045E-2"/>
    <x v="2"/>
    <n v="0"/>
    <x v="7"/>
  </r>
  <r>
    <d v="2014-05-30T00:00:00"/>
    <x v="26"/>
    <s v="NA"/>
    <n v="62681149.760169737"/>
    <n v="1253.6199999999997"/>
    <m/>
    <n v="162.41670133918524"/>
    <n v="0"/>
    <n v="0"/>
    <m/>
    <n v="50000.119462173345"/>
    <n v="162.41670133918524"/>
    <n v="0"/>
    <n v="0"/>
    <m/>
    <s v="Hedge Fund"/>
    <n v="3.3333333333333333E-2"/>
    <n v="0"/>
    <n v="6.6666666666666671E-3"/>
    <n v="0"/>
    <s v="ARF"/>
    <n v="3.3584479799999998"/>
    <s v="HRF"/>
    <n v="0.31340499999999999"/>
    <s v="COP2"/>
    <n v="8.8643470200000021"/>
    <s v="COTT"/>
    <n v="0"/>
    <m/>
    <m/>
    <m/>
    <d v="2014-05-30T00:00:00"/>
    <n v="-1.3837210217037654E-2"/>
    <x v="2"/>
    <n v="0"/>
    <x v="8"/>
  </r>
  <r>
    <d v="2014-06-30T00:00:00"/>
    <x v="26"/>
    <s v="NA"/>
    <n v="70171356.072159603"/>
    <n v="1403.4300000000003"/>
    <m/>
    <n v="0"/>
    <n v="-311.58463834226131"/>
    <n v="0"/>
    <m/>
    <n v="49999.897445657843"/>
    <n v="-311.58463834226131"/>
    <n v="0"/>
    <n v="0"/>
    <m/>
    <s v="Hedge Fund"/>
    <n v="3.3333333333333333E-2"/>
    <n v="0"/>
    <n v="6.6666666666666671E-3"/>
    <n v="0"/>
    <s v="ARF"/>
    <n v="3.7597889700000002"/>
    <s v="HRF"/>
    <n v="0.35085750000000004"/>
    <s v="COP2"/>
    <n v="9.9236535300000046"/>
    <s v="COTT"/>
    <n v="0"/>
    <m/>
    <m/>
    <m/>
    <d v="2014-06-30T00:00:00"/>
    <n v="0.11950192243263547"/>
    <x v="2"/>
    <n v="0"/>
    <x v="9"/>
  </r>
  <r>
    <d v="2014-07-31T00:00:00"/>
    <x v="26"/>
    <s v="NA"/>
    <n v="74898465.341994569"/>
    <n v="1497.97"/>
    <m/>
    <n v="118.96532249450684"/>
    <n v="0"/>
    <n v="0"/>
    <m/>
    <n v="49999.976863351447"/>
    <n v="118.96532249450684"/>
    <n v="0"/>
    <n v="0"/>
    <m/>
    <s v="Hedge Fund"/>
    <n v="3.3333333333333333E-2"/>
    <n v="0"/>
    <n v="6.6666666666666671E-3"/>
    <n v="0"/>
    <s v="ARF"/>
    <n v="4.0130616300000002"/>
    <s v="HRF"/>
    <n v="0.37449250000000001"/>
    <s v="COP2"/>
    <n v="10.592145870000005"/>
    <s v="COTT"/>
    <n v="0"/>
    <m/>
    <m/>
    <m/>
    <d v="2014-07-31T00:00:00"/>
    <n v="6.7363530778164593E-2"/>
    <x v="2"/>
    <n v="0"/>
    <x v="10"/>
  </r>
  <r>
    <d v="2014-08-29T00:00:00"/>
    <x v="26"/>
    <s v="NA"/>
    <n v="73088746.202739105"/>
    <n v="1461.77"/>
    <m/>
    <n v="280.02319785952568"/>
    <n v="0"/>
    <n v="0"/>
    <m/>
    <n v="50000.168427823191"/>
    <n v="280.02319785952568"/>
    <n v="0"/>
    <n v="0"/>
    <m/>
    <s v="Hedge Fund"/>
    <n v="3.3333333333333333E-2"/>
    <n v="0"/>
    <n v="6.6666666666666671E-3"/>
    <n v="0"/>
    <s v="ARF"/>
    <n v="3.91608183"/>
    <s v="HRF"/>
    <n v="0.3654425"/>
    <s v="COP2"/>
    <n v="10.336175670000005"/>
    <s v="COTT"/>
    <n v="0"/>
    <m/>
    <m/>
    <m/>
    <d v="2014-08-29T00:00:00"/>
    <n v="-2.4166038038144988E-2"/>
    <x v="2"/>
    <n v="0"/>
    <x v="11"/>
  </r>
  <r>
    <d v="2014-09-30T00:00:00"/>
    <x v="26"/>
    <s v="NA"/>
    <n v="68006387.162528455"/>
    <n v="1360.1300000000003"/>
    <m/>
    <n v="0"/>
    <n v="-341.92120671272278"/>
    <n v="0"/>
    <m/>
    <n v="49999.917039200991"/>
    <n v="-341.92120671272278"/>
    <n v="0"/>
    <n v="0"/>
    <m/>
    <s v="Hedge Fund"/>
    <n v="3.3333333333333333E-2"/>
    <n v="0"/>
    <n v="6.6666666666666671E-3"/>
    <n v="0"/>
    <s v="ARF"/>
    <n v="3.6437882700000004"/>
    <s v="HRF"/>
    <n v="0.34003250000000002"/>
    <s v="COP2"/>
    <n v="9.617479230000006"/>
    <s v="COTT"/>
    <n v="0"/>
    <m/>
    <m/>
    <m/>
    <d v="2014-09-30T00:00:00"/>
    <n v="-6.9532142539523778E-2"/>
    <x v="2"/>
    <n v="0"/>
    <x v="12"/>
  </r>
  <r>
    <d v="2014-10-31T00:00:00"/>
    <x v="26"/>
    <s v="NA"/>
    <n v="70523903.345223695"/>
    <n v="1410.48"/>
    <m/>
    <n v="20.359771475195885"/>
    <n v="0"/>
    <n v="0"/>
    <m/>
    <n v="49999.931473841316"/>
    <n v="20.359771475195885"/>
    <n v="0"/>
    <n v="0"/>
    <m/>
    <s v="Hedge Fund"/>
    <n v="3.3333333333333333E-2"/>
    <n v="0"/>
    <n v="6.6666666666666671E-3"/>
    <n v="0"/>
    <s v="ARF"/>
    <n v="3.77867592"/>
    <s v="HRF"/>
    <n v="0.35261999999999999"/>
    <s v="COP2"/>
    <n v="9.973504080000005"/>
    <s v="COTT"/>
    <n v="0"/>
    <m/>
    <m/>
    <m/>
    <d v="2014-10-31T00:00:00"/>
    <n v="3.7018520288501833E-2"/>
    <x v="2"/>
    <n v="0"/>
    <x v="149"/>
  </r>
  <r>
    <d v="2014-11-28T00:00:00"/>
    <x v="26"/>
    <s v="NA"/>
    <n v="67412499.174794555"/>
    <n v="1348.25"/>
    <m/>
    <n v="91.565188005566597"/>
    <n v="0"/>
    <n v="0"/>
    <m/>
    <n v="49999.999387943302"/>
    <n v="91.565188005566597"/>
    <n v="0"/>
    <n v="0"/>
    <m/>
    <s v="Hedge Fund"/>
    <n v="3.3333333333333333E-2"/>
    <n v="0"/>
    <n v="6.6666666666666671E-3"/>
    <n v="0"/>
    <s v="ARF"/>
    <n v="3.6119617499999999"/>
    <s v="HRF"/>
    <n v="0.33706249999999999"/>
    <s v="COP2"/>
    <n v="9.5334757500000045"/>
    <s v="COTT"/>
    <n v="0"/>
    <m/>
    <m/>
    <m/>
    <d v="2014-11-28T00:00:00"/>
    <n v="-4.4119732289716995E-2"/>
    <x v="2"/>
    <n v="0"/>
    <x v="150"/>
  </r>
  <r>
    <d v="2014-12-31T00:00:00"/>
    <x v="26"/>
    <s v="NA"/>
    <n v="74106782.462648049"/>
    <n v="1482.1399999999999"/>
    <m/>
    <n v="0"/>
    <n v="-216.63019822537899"/>
    <n v="0"/>
    <m/>
    <n v="49999.853227527798"/>
    <n v="-216.63019822537899"/>
    <n v="0"/>
    <n v="0"/>
    <m/>
    <s v="Hedge Fund"/>
    <n v="3.3333333333333333E-2"/>
    <n v="0"/>
    <n v="6.6666666666666671E-3"/>
    <n v="0"/>
    <s v="ARF"/>
    <n v="3.9706530600000001"/>
    <s v="HRF"/>
    <n v="0.37053500000000006"/>
    <s v="COP2"/>
    <n v="10.480211940000006"/>
    <s v="COTT"/>
    <n v="0"/>
    <m/>
    <m/>
    <m/>
    <d v="2014-12-31T00:00:00"/>
    <n v="9.9306508436862506E-2"/>
    <x v="2"/>
    <n v="0"/>
    <x v="151"/>
  </r>
  <r>
    <d v="2015-01-30T00:00:00"/>
    <x v="26"/>
    <s v="NA"/>
    <n v="74258043.618664622"/>
    <n v="1485.1600000000003"/>
    <m/>
    <n v="261.59926941990852"/>
    <n v="0"/>
    <n v="0"/>
    <m/>
    <n v="50000.029369673706"/>
    <n v="261.59926941990852"/>
    <n v="0"/>
    <n v="0"/>
    <m/>
    <s v="Hedge Fund"/>
    <n v="3.3333333333333333E-2"/>
    <n v="0"/>
    <n v="6.6666666666666671E-3"/>
    <n v="0"/>
    <s v="ARF"/>
    <n v="3.9787436400000002"/>
    <s v="HRF"/>
    <n v="0.37129000000000001"/>
    <s v="COP2"/>
    <n v="10.501566360000005"/>
    <s v="COTT"/>
    <n v="0"/>
    <m/>
    <m/>
    <m/>
    <d v="2015-01-30T00:00:00"/>
    <n v="2.0375942893386956E-3"/>
    <x v="2"/>
    <n v="0"/>
    <x v="152"/>
  </r>
  <r>
    <d v="2015-02-27T00:00:00"/>
    <x v="26"/>
    <s v="NA"/>
    <n v="72468164.967020229"/>
    <n v="1449.36"/>
    <m/>
    <n v="122.39978994429111"/>
    <n v="0"/>
    <n v="0"/>
    <m/>
    <n v="50000.113820596838"/>
    <n v="122.39978994429111"/>
    <n v="0"/>
    <n v="0"/>
    <m/>
    <s v="Hedge Fund"/>
    <n v="3.3333333333333333E-2"/>
    <n v="0"/>
    <n v="6.6666666666666671E-3"/>
    <n v="0"/>
    <s v="ARF"/>
    <n v="3.8828354399999996"/>
    <s v="HRF"/>
    <n v="0.36234"/>
    <s v="COP2"/>
    <n v="10.248424560000004"/>
    <s v="COTT"/>
    <n v="0"/>
    <m/>
    <m/>
    <m/>
    <d v="2015-02-27T00:00:00"/>
    <n v="-2.4105146920197384E-2"/>
    <x v="2"/>
    <n v="0"/>
    <x v="153"/>
  </r>
  <r>
    <d v="2015-03-31T00:00:00"/>
    <x v="26"/>
    <s v="NA"/>
    <n v="72893499.448669106"/>
    <n v="1457.87"/>
    <m/>
    <n v="0"/>
    <n v="-166.48696440458298"/>
    <n v="0"/>
    <m/>
    <n v="49999.999621824383"/>
    <n v="-166.48696440458298"/>
    <n v="0"/>
    <n v="0"/>
    <m/>
    <s v="Hedge Fund"/>
    <n v="3.3333333333333333E-2"/>
    <n v="0"/>
    <n v="6.6666666666666671E-3"/>
    <n v="0"/>
    <s v="ARF"/>
    <n v="3.9056337299999995"/>
    <s v="HRF"/>
    <n v="0.3644675"/>
    <s v="COP2"/>
    <n v="10.308598770000003"/>
    <s v="COTT"/>
    <n v="0"/>
    <m/>
    <m/>
    <m/>
    <d v="2015-03-31T00:00:00"/>
    <n v="5.871557101065239E-3"/>
    <x v="2"/>
    <n v="0"/>
    <x v="154"/>
  </r>
  <r>
    <d v="2015-04-30T00:00:00"/>
    <x v="26"/>
    <s v="NA"/>
    <n v="92115550.803931519"/>
    <n v="1842.31"/>
    <m/>
    <n v="51.500648245215416"/>
    <n v="0"/>
    <n v="0"/>
    <m/>
    <n v="50000.027576212211"/>
    <n v="51.500648245215416"/>
    <n v="0"/>
    <n v="0"/>
    <m/>
    <s v="Hedge Fund"/>
    <n v="3.3333333333333333E-2"/>
    <n v="0"/>
    <n v="6.6666666666666671E-3"/>
    <n v="0"/>
    <s v="ARF"/>
    <n v="4.9355484899999995"/>
    <s v="HRF"/>
    <n v="0.46057749999999997"/>
    <s v="COP2"/>
    <n v="13.026974010000005"/>
    <s v="COTT"/>
    <n v="0"/>
    <m/>
    <m/>
    <m/>
    <d v="2015-04-30T00:00:00"/>
    <n v="0.26369978118762316"/>
    <x v="2"/>
    <n v="0"/>
    <x v="155"/>
  </r>
  <r>
    <d v="2015-05-29T00:00:00"/>
    <x v="26"/>
    <s v="NA"/>
    <n v="111374907.3837744"/>
    <n v="2227.5"/>
    <m/>
    <n v="0"/>
    <n v="-154.04223829507828"/>
    <n v="0"/>
    <m/>
    <n v="49999.95842144754"/>
    <n v="-154.04223829507828"/>
    <n v="0"/>
    <n v="0"/>
    <m/>
    <s v="Hedge Fund"/>
    <n v="3.3333333333333333E-2"/>
    <n v="0"/>
    <n v="6.6666666666666671E-3"/>
    <n v="0"/>
    <s v="ARF"/>
    <n v="5.9674724999999995"/>
    <s v="HRF"/>
    <n v="0.55687500000000001"/>
    <s v="COP2"/>
    <n v="15.750652500000008"/>
    <s v="COTT"/>
    <n v="0"/>
    <m/>
    <m/>
    <m/>
    <d v="2015-05-29T00:00:00"/>
    <n v="0.20907990511911678"/>
    <x v="2"/>
    <n v="0"/>
    <x v="156"/>
  </r>
  <r>
    <d v="2015-06-30T00:00:00"/>
    <x v="26"/>
    <s v="NA"/>
    <n v="108181634.11686856"/>
    <n v="2163.6300000000006"/>
    <m/>
    <n v="224.077471986413"/>
    <n v="0"/>
    <n v="0"/>
    <m/>
    <n v="50000.061986970293"/>
    <n v="224.077471986413"/>
    <n v="0"/>
    <n v="0"/>
    <m/>
    <s v="Hedge Fund"/>
    <n v="3.3333333333333333E-2"/>
    <n v="0"/>
    <n v="6.6666666666666671E-3"/>
    <n v="0"/>
    <s v="ARF"/>
    <n v="5.7963647700000003"/>
    <s v="HRF"/>
    <n v="0.54090749999999999"/>
    <s v="COP2"/>
    <n v="15.299027730000008"/>
    <s v="COTT"/>
    <n v="0"/>
    <m/>
    <m/>
    <m/>
    <d v="2015-06-30T00:00:00"/>
    <n v="-2.8673400673400407E-2"/>
    <x v="2"/>
    <n v="0"/>
    <x v="157"/>
  </r>
  <r>
    <d v="2015-07-31T00:00:00"/>
    <x v="26"/>
    <s v="NA"/>
    <n v="88780727.979023203"/>
    <n v="1775.61"/>
    <m/>
    <n v="117.91433888673782"/>
    <n v="0"/>
    <n v="0"/>
    <m/>
    <n v="50000.128394761916"/>
    <n v="117.91433888673782"/>
    <n v="0"/>
    <n v="0"/>
    <m/>
    <s v="Hedge Fund"/>
    <n v="3.3333333333333333E-2"/>
    <n v="0"/>
    <n v="6.6666666666666671E-3"/>
    <n v="0"/>
    <s v="ARF"/>
    <n v="4.7568591899999992"/>
    <s v="HRF"/>
    <n v="0.44390249999999998"/>
    <s v="COP2"/>
    <n v="12.555338310000005"/>
    <s v="COTT"/>
    <n v="0"/>
    <m/>
    <m/>
    <m/>
    <d v="2015-07-31T00:00:00"/>
    <n v="-0.17933750225315814"/>
    <x v="2"/>
    <n v="0"/>
    <x v="158"/>
  </r>
  <r>
    <d v="2015-08-31T00:00:00"/>
    <x v="26"/>
    <s v="NA"/>
    <n v="78704201.448774502"/>
    <n v="1574.0800000000002"/>
    <m/>
    <n v="0"/>
    <n v="-0.65485234558582306"/>
    <n v="0"/>
    <m/>
    <n v="50000.127978739642"/>
    <n v="-0.65485234558582306"/>
    <n v="0"/>
    <n v="0"/>
    <m/>
    <s v="Hedge Fund"/>
    <n v="3.3333333333333333E-2"/>
    <n v="0"/>
    <n v="6.6666666666666671E-3"/>
    <n v="0"/>
    <s v="ARF"/>
    <n v="4.2169603199999992"/>
    <s v="HRF"/>
    <n v="0.39351999999999998"/>
    <s v="COP2"/>
    <n v="11.130319680000005"/>
    <s v="COTT"/>
    <n v="0"/>
    <m/>
    <m/>
    <m/>
    <d v="2015-08-31T00:00:00"/>
    <n v="-0.11349902287101321"/>
    <x v="2"/>
    <n v="0"/>
    <x v="159"/>
  </r>
  <r>
    <d v="2015-09-30T00:00:00"/>
    <x v="26"/>
    <s v="NA"/>
    <n v="78829820.461431265"/>
    <n v="1576.6"/>
    <m/>
    <n v="0"/>
    <n v="-381.30984964966774"/>
    <n v="0"/>
    <m/>
    <n v="49999.886122942582"/>
    <n v="-381.30984964966774"/>
    <n v="0"/>
    <n v="0"/>
    <m/>
    <s v="Hedge Fund"/>
    <n v="3.3333333333333333E-2"/>
    <n v="0"/>
    <n v="6.6666666666666671E-3"/>
    <n v="0"/>
    <s v="ARF"/>
    <n v="4.2237113999999991"/>
    <s v="HRF"/>
    <n v="0.39415"/>
    <s v="COP2"/>
    <n v="11.148138600000005"/>
    <s v="COTT"/>
    <n v="0"/>
    <m/>
    <m/>
    <m/>
    <d v="2015-09-30T00:00:00"/>
    <n v="1.6009351494203905E-3"/>
    <x v="2"/>
    <n v="0"/>
    <x v="160"/>
  </r>
  <r>
    <d v="2015-10-30T00:00:00"/>
    <x v="26"/>
    <s v="NA"/>
    <n v="86709789.018429056"/>
    <n v="1734.2000000000003"/>
    <m/>
    <n v="0"/>
    <n v="-13.495977982878685"/>
    <n v="0"/>
    <m/>
    <n v="49999.878340692565"/>
    <n v="-13.495977982878685"/>
    <n v="0"/>
    <n v="0"/>
    <m/>
    <s v="Hedge Fund"/>
    <n v="3.3333333333333333E-2"/>
    <n v="0"/>
    <n v="6.6666666666666671E-3"/>
    <n v="0"/>
    <s v="ARF"/>
    <n v="4.6459217999999991"/>
    <s v="HRF"/>
    <n v="0.43355000000000005"/>
    <s v="COP2"/>
    <n v="12.262528200000006"/>
    <s v="COTT"/>
    <n v="0"/>
    <m/>
    <m/>
    <m/>
    <d v="2015-10-30T00:00:00"/>
    <n v="9.9961943422555155E-2"/>
    <x v="2"/>
    <n v="0"/>
    <x v="161"/>
  </r>
  <r>
    <d v="2015-11-30T00:00:00"/>
    <x v="26"/>
    <s v="NA"/>
    <n v="80853670.232222617"/>
    <n v="1617.0700000000002"/>
    <m/>
    <n v="366.96383887529373"/>
    <n v="0"/>
    <n v="0"/>
    <m/>
    <n v="50000.105272018285"/>
    <n v="366.96383887529373"/>
    <n v="0"/>
    <n v="0"/>
    <m/>
    <s v="Hedge Fund"/>
    <n v="3.3333333333333333E-2"/>
    <n v="0"/>
    <n v="6.6666666666666671E-3"/>
    <n v="0"/>
    <s v="ARF"/>
    <n v="4.3321305299999988"/>
    <s v="HRF"/>
    <n v="0.4042675"/>
    <s v="COP2"/>
    <n v="11.434301970000003"/>
    <s v="COTT"/>
    <n v="0"/>
    <m/>
    <m/>
    <m/>
    <d v="2015-11-30T00:00:00"/>
    <n v="-6.7541229385307266E-2"/>
    <x v="2"/>
    <n v="0"/>
    <x v="162"/>
  </r>
  <r>
    <d v="2015-12-31T00:00:00"/>
    <x v="26"/>
    <s v="NA"/>
    <n v="78275984.417652145"/>
    <n v="1565.52"/>
    <m/>
    <n v="0"/>
    <n v="-180.38779792189598"/>
    <n v="0"/>
    <m/>
    <n v="49999.990046535429"/>
    <n v="-180.38779792189598"/>
    <n v="0"/>
    <n v="0"/>
    <m/>
    <s v="Hedge Fund"/>
    <n v="3.3333333333333333E-2"/>
    <n v="0"/>
    <n v="6.6666666666666671E-3"/>
    <n v="0"/>
    <s v="ARF"/>
    <n v="4.1940280799999989"/>
    <s v="HRF"/>
    <n v="0.39138000000000001"/>
    <s v="COP2"/>
    <n v="11.069791920000004"/>
    <s v="COTT"/>
    <n v="0"/>
    <m/>
    <m/>
    <m/>
    <d v="2015-12-31T00:00:00"/>
    <n v="-3.1878644709258164E-2"/>
    <x v="2"/>
    <n v="0"/>
    <x v="163"/>
  </r>
  <r>
    <d v="2016-01-29T00:00:00"/>
    <x v="26"/>
    <s v="NA"/>
    <n v="63262715.536859512"/>
    <n v="1265.25"/>
    <m/>
    <n v="228.13048055768013"/>
    <n v="0"/>
    <n v="0"/>
    <m/>
    <n v="50000.170351202934"/>
    <n v="228.13048055768013"/>
    <n v="0"/>
    <n v="0"/>
    <m/>
    <s v="Hedge Fund"/>
    <n v="3.3333333333333333E-2"/>
    <n v="0"/>
    <n v="6.6666666666666671E-3"/>
    <n v="0"/>
    <s v="ARF"/>
    <n v="3.3896047499999993"/>
    <s v="HRF"/>
    <n v="0.3163125"/>
    <s v="COP2"/>
    <n v="8.9465827500000028"/>
    <s v="COTT"/>
    <n v="0"/>
    <m/>
    <m/>
    <m/>
    <d v="2016-01-29T00:00:00"/>
    <n v="-0.19180208493024675"/>
    <x v="2"/>
    <n v="0"/>
    <x v="164"/>
  </r>
  <r>
    <d v="2016-02-29T00:00:00"/>
    <x v="26"/>
    <s v="NA"/>
    <n v="66387548.122993052"/>
    <n v="1327.7499999999998"/>
    <m/>
    <n v="0"/>
    <n v="-178.06081663072109"/>
    <n v="0"/>
    <m/>
    <n v="50000.036244016614"/>
    <n v="-178.06081663072109"/>
    <n v="0"/>
    <n v="0"/>
    <m/>
    <s v="Hedge Fund"/>
    <n v="3.3333333333333333E-2"/>
    <n v="0"/>
    <n v="6.6666666666666671E-3"/>
    <n v="0"/>
    <s v="ARF"/>
    <n v="3.5570422499999994"/>
    <s v="HRF"/>
    <n v="0.3319375"/>
    <s v="COP2"/>
    <n v="9.3885202500000027"/>
    <s v="COTT"/>
    <n v="0"/>
    <m/>
    <m/>
    <m/>
    <d v="2016-02-29T00:00:00"/>
    <n v="4.9397352301916442E-2"/>
    <x v="2"/>
    <n v="0"/>
    <x v="165"/>
  </r>
  <r>
    <d v="2016-03-31T00:00:00"/>
    <x v="26"/>
    <s v="NA"/>
    <n v="74258403.319707036"/>
    <n v="1327.75"/>
    <m/>
    <n v="0"/>
    <n v="0"/>
    <n v="0"/>
    <m/>
    <n v="55928.000993942413"/>
    <n v="0"/>
    <n v="0"/>
    <n v="0"/>
    <m/>
    <s v="Hedge Fund"/>
    <n v="3.3333333333333333E-2"/>
    <n v="0"/>
    <n v="6.6666666666666671E-3"/>
    <n v="0"/>
    <s v="ARF"/>
    <n v="3.5570422499999994"/>
    <s v="HRF"/>
    <n v="0.3319375"/>
    <s v="COP2"/>
    <n v="9.3885202500000027"/>
    <s v="COTT"/>
    <n v="0"/>
    <m/>
    <m/>
    <m/>
    <d v="2016-03-31T00:00:00"/>
    <n v="0.11855920905727713"/>
    <x v="2"/>
    <n v="0"/>
    <x v="166"/>
  </r>
  <r>
    <d v="2016-04-29T00:00:00"/>
    <x v="26"/>
    <s v="NA"/>
    <n v="87638884.141781285"/>
    <n v="1542.49"/>
    <m/>
    <n v="10000000"/>
    <n v="0"/>
    <n v="0"/>
    <m/>
    <n v="56816.500685113868"/>
    <n v="10000000"/>
    <n v="0"/>
    <n v="0"/>
    <m/>
    <s v="Hedge Fund"/>
    <n v="3.3333333333333333E-2"/>
    <n v="0"/>
    <n v="6.6666666666666671E-3"/>
    <n v="0"/>
    <s v="ARF"/>
    <n v="4.1323307099999997"/>
    <s v="HRF"/>
    <n v="0.85876588259999997"/>
    <s v="COP2"/>
    <n v="10.906946790000001"/>
    <s v="COTT"/>
    <n v="0.57829492589999998"/>
    <m/>
    <m/>
    <m/>
    <d v="2016-04-29T00:00:00"/>
    <n v="4.5523209104296969E-2"/>
    <x v="2"/>
    <n v="0"/>
    <x v="167"/>
  </r>
  <r>
    <d v="2016-05-31T00:00:00"/>
    <x v="26"/>
    <s v="NA"/>
    <n v="86791425.474924549"/>
    <n v="1527.58"/>
    <m/>
    <n v="0"/>
    <n v="-324.6416416913271"/>
    <n v="0"/>
    <m/>
    <n v="56816.288164891237"/>
    <n v="-324.6416416913271"/>
    <n v="0"/>
    <n v="0"/>
    <m/>
    <s v="Hedge Fund"/>
    <n v="3.3333333333333333E-2"/>
    <n v="0"/>
    <n v="6.6666666666666671E-3"/>
    <n v="0"/>
    <s v="ARF"/>
    <n v="4.0923868199999998"/>
    <s v="HRF"/>
    <n v="0.85046488919999996"/>
    <s v="COP2"/>
    <n v="10.80151818"/>
    <s v="COTT"/>
    <n v="0.57270501779999994"/>
    <m/>
    <m/>
    <m/>
    <d v="2016-05-31T00:00:00"/>
    <n v="-9.666189083883836E-3"/>
    <x v="2"/>
    <n v="0"/>
    <x v="168"/>
  </r>
  <r>
    <d v="2016-06-30T00:00:00"/>
    <x v="26"/>
    <s v="NA"/>
    <n v="86099971.131198362"/>
    <n v="1515.41"/>
    <m/>
    <n v="0"/>
    <n v="-0.11675947904586792"/>
    <n v="0"/>
    <m/>
    <n v="56816.288087843132"/>
    <n v="-0.11675947904586792"/>
    <n v="0"/>
    <n v="0"/>
    <m/>
    <s v="Hedge Fund"/>
    <n v="3.3333333333333333E-2"/>
    <n v="0"/>
    <n v="6.6666666666666671E-3"/>
    <n v="0"/>
    <s v="ARF"/>
    <n v="4.0597833899999998"/>
    <s v="HRF"/>
    <n v="0.84368936340000011"/>
    <s v="COP2"/>
    <n v="10.715464110000003"/>
    <s v="COTT"/>
    <n v="0.56814236309999999"/>
    <m/>
    <m/>
    <m/>
    <d v="2016-06-30T00:00:00"/>
    <n v="-7.9668495267021244E-3"/>
    <x v="2"/>
    <n v="0"/>
    <x v="169"/>
  </r>
  <r>
    <d v="2016-07-29T00:00:00"/>
    <x v="26"/>
    <s v="NA"/>
    <n v="94231012.532591999"/>
    <n v="1658.5199999999998"/>
    <m/>
    <n v="62.413142427802086"/>
    <n v="0"/>
    <n v="0"/>
    <m/>
    <n v="56816.325719672968"/>
    <n v="62.413142427802086"/>
    <n v="0"/>
    <n v="0"/>
    <m/>
    <s v="Hedge Fund"/>
    <n v="3.3333333333333333E-2"/>
    <n v="0"/>
    <n v="6.6666666666666671E-3"/>
    <n v="0"/>
    <s v="ARF"/>
    <n v="4.4431750799999987"/>
    <s v="HRF"/>
    <n v="0.92336442480000003"/>
    <s v="COP2"/>
    <n v="11.727394920000004"/>
    <s v="COTT"/>
    <n v="0.62179573320000003"/>
    <m/>
    <m/>
    <m/>
    <d v="2016-07-29T00:00:00"/>
    <n v="9.4436489134953394E-2"/>
    <x v="2"/>
    <n v="0"/>
    <x v="170"/>
  </r>
  <r>
    <d v="2016-08-31T00:00:00"/>
    <x v="26"/>
    <s v="NA"/>
    <n v="97101597.688332304"/>
    <n v="1709.04"/>
    <m/>
    <n v="224.38038241863251"/>
    <n v="0"/>
    <n v="0"/>
    <m/>
    <n v="56816.457009977712"/>
    <n v="224.38038241863251"/>
    <n v="0"/>
    <n v="0"/>
    <m/>
    <s v="Hedge Fund"/>
    <n v="3.3333333333333333E-2"/>
    <n v="0"/>
    <n v="6.6666666666666671E-3"/>
    <n v="0"/>
    <s v="ARF"/>
    <n v="4.578518159999998"/>
    <s v="HRF"/>
    <n v="0.95149092960000003"/>
    <s v="COP2"/>
    <n v="12.084621840000004"/>
    <s v="COTT"/>
    <n v="0.64073618639999996"/>
    <m/>
    <m/>
    <m/>
    <d v="2016-08-31T00:00:00"/>
    <n v="3.0460892844222709E-2"/>
    <x v="2"/>
    <n v="0"/>
    <x v="171"/>
  </r>
  <r>
    <d v="2016-09-30T00:00:00"/>
    <x v="26"/>
    <s v="NA"/>
    <n v="95200452.512183696"/>
    <n v="1675.5799999999997"/>
    <m/>
    <n v="0"/>
    <n v="-66.524594739079475"/>
    <n v="0"/>
    <m/>
    <n v="56816.417307549455"/>
    <n v="-66.524594739079475"/>
    <n v="0"/>
    <n v="0"/>
    <m/>
    <s v="Hedge Fund"/>
    <n v="3.3333333333333333E-2"/>
    <n v="0"/>
    <n v="6.6666666666666671E-3"/>
    <n v="0"/>
    <s v="ARF"/>
    <n v="4.4888788199999983"/>
    <s v="HRF"/>
    <n v="0.93286240919999996"/>
    <s v="COP2"/>
    <n v="11.848026180000003"/>
    <s v="COTT"/>
    <n v="0.62819169779999995"/>
    <m/>
    <m/>
    <m/>
    <d v="2016-09-30T00:00:00"/>
    <n v="-1.9578242756167374E-2"/>
    <x v="2"/>
    <n v="0"/>
    <x v="172"/>
  </r>
  <r>
    <d v="2016-10-31T00:00:00"/>
    <x v="26"/>
    <s v="NA"/>
    <n v="97927163.872442886"/>
    <n v="1723.57"/>
    <m/>
    <n v="91.493669882416725"/>
    <n v="0"/>
    <n v="0"/>
    <m/>
    <n v="56816.470391363793"/>
    <n v="91.493669882416725"/>
    <n v="0"/>
    <n v="0"/>
    <m/>
    <s v="Hedge Fund"/>
    <n v="3.3333333333333333E-2"/>
    <n v="0"/>
    <n v="6.6666666666666671E-3"/>
    <n v="0"/>
    <s v="ARF"/>
    <n v="4.6174440300000006"/>
    <s v="HRF"/>
    <n v="0"/>
    <s v="COP2"/>
    <n v="12.187363469999999"/>
    <s v="COTT"/>
    <n v="0.64616639299999989"/>
    <m/>
    <m/>
    <m/>
    <d v="2016-10-31T00:00:00"/>
    <n v="2.8640828847324551E-2"/>
    <x v="2"/>
    <n v="0"/>
    <x v="173"/>
  </r>
  <r>
    <d v="2016-11-30T00:00:00"/>
    <x v="26"/>
    <s v="NA"/>
    <n v="103433048.199292"/>
    <n v="1820.4799999999998"/>
    <m/>
    <n v="0"/>
    <n v="-199.81877794861794"/>
    <n v="0"/>
    <m/>
    <n v="56816.360629774572"/>
    <n v="-199.81877794861794"/>
    <n v="0"/>
    <n v="0"/>
    <m/>
    <s v="Hedge Fund"/>
    <n v="3.3333333333333333E-2"/>
    <n v="0"/>
    <n v="6.6666666666666671E-3"/>
    <n v="0"/>
    <s v="ARF"/>
    <n v="4.8770659199999997"/>
    <s v="HRF"/>
    <n v="0"/>
    <s v="COP2"/>
    <n v="12.87261408"/>
    <s v="COTT"/>
    <n v="0.68249795199999996"/>
    <m/>
    <m/>
    <m/>
    <d v="2016-11-30T00:00:00"/>
    <n v="5.6226320950121034E-2"/>
    <x v="2"/>
    <n v="0"/>
    <x v="174"/>
  </r>
  <r>
    <d v="2016-12-30T00:00:00"/>
    <x v="26"/>
    <s v="NA"/>
    <n v="105802499.43129019"/>
    <n v="1862.18"/>
    <m/>
    <n v="208.99373658001423"/>
    <n v="0"/>
    <n v="0"/>
    <m/>
    <n v="56816.472860459347"/>
    <n v="208.99373658001423"/>
    <n v="0"/>
    <n v="0"/>
    <m/>
    <s v="Hedge Fund"/>
    <n v="3.3333333333333333E-2"/>
    <n v="0"/>
    <n v="6.6666666666666671E-3"/>
    <n v="0"/>
    <s v="ARF"/>
    <n v="4.9887802199999998"/>
    <s v="HRF"/>
    <n v="0"/>
    <s v="COP2"/>
    <n v="13.167474780000001"/>
    <s v="COTT"/>
    <n v="0.69813128199999996"/>
    <m/>
    <m/>
    <m/>
    <d v="2016-12-30T00:00:00"/>
    <n v="2.2906046756899334E-2"/>
    <x v="2"/>
    <n v="0"/>
    <x v="175"/>
  </r>
  <r>
    <d v="2017-01-27T00:00:00"/>
    <x v="26"/>
    <s v="NA"/>
    <n v="105821795.07890099"/>
    <n v="1862.5199999999998"/>
    <m/>
    <n v="0"/>
    <n v="-21.953161731362343"/>
    <n v="0"/>
    <m/>
    <n v="56816.461073653438"/>
    <n v="-21.953161731362343"/>
    <n v="0"/>
    <n v="0"/>
    <m/>
    <s v="Hedge Fund"/>
    <n v="3.3333333333333333E-2"/>
    <n v="0"/>
    <n v="6.6666666666666671E-3"/>
    <n v="0"/>
    <s v="ARF"/>
    <n v="4.9896910800000001"/>
    <s v="HRF"/>
    <n v="0"/>
    <s v="COP2"/>
    <n v="13.16987892"/>
    <s v="COTT"/>
    <n v="0.69825874799999987"/>
    <m/>
    <m/>
    <m/>
    <d v="2017-01-27T00:00:00"/>
    <n v="1.8258170531293416E-4"/>
    <x v="2"/>
    <n v="0"/>
    <x v="176"/>
  </r>
  <r>
    <d v="2017-02-28T00:00:00"/>
    <x v="26"/>
    <s v="NA"/>
    <n v="113962660.29977046"/>
    <n v="2005.8"/>
    <m/>
    <n v="202.67823639512062"/>
    <n v="0"/>
    <n v="0"/>
    <m/>
    <n v="56816.562119737988"/>
    <n v="202.67823639512062"/>
    <n v="0"/>
    <n v="0"/>
    <m/>
    <s v="Hedge Fund"/>
    <n v="3.3333333333333333E-2"/>
    <n v="0"/>
    <n v="6.6666666666666671E-3"/>
    <n v="0"/>
    <s v="ARF"/>
    <n v="5.3735382000000005"/>
    <s v="HRF"/>
    <n v="0"/>
    <s v="COP2"/>
    <n v="14.183011799999999"/>
    <s v="COTT"/>
    <n v="0.75197441999999992"/>
    <m/>
    <m/>
    <m/>
    <d v="2017-02-28T00:00:00"/>
    <n v="7.6928032987565231E-2"/>
    <x v="2"/>
    <n v="0"/>
    <x v="177"/>
  </r>
  <r>
    <d v="2017-03-31T00:00:00"/>
    <x v="26"/>
    <s v="NA"/>
    <n v="134448281.32020485"/>
    <n v="2366.36"/>
    <m/>
    <n v="0"/>
    <n v="-158.61745834350586"/>
    <n v="0"/>
    <m/>
    <n v="56816.495089591117"/>
    <n v="-158.61745834350586"/>
    <n v="0"/>
    <n v="0"/>
    <m/>
    <s v="Hedge Fund"/>
    <n v="3.3333333333333333E-2"/>
    <n v="0"/>
    <n v="6.6666666666666671E-3"/>
    <n v="0"/>
    <s v="ARF"/>
    <n v="4.5698671048000001"/>
    <s v="HRF"/>
    <n v="0"/>
    <s v="COP2"/>
    <n v="16.732531560000002"/>
    <s v="COTT"/>
    <n v="1.4770109212"/>
    <m/>
    <m/>
    <m/>
    <d v="2017-03-31T00:00:00"/>
    <n v="0.17975869977066505"/>
    <x v="2"/>
    <n v="0"/>
    <x v="178"/>
  </r>
  <r>
    <d v="2017-04-28T00:00:00"/>
    <x v="26"/>
    <s v="NA"/>
    <n v="138096674.5"/>
    <n v="2430.58"/>
    <m/>
    <n v="0"/>
    <n v="-362.13485836982727"/>
    <n v="0"/>
    <m/>
    <n v="56816.346098462098"/>
    <n v="-362.13485836982727"/>
    <n v="0"/>
    <n v="0"/>
    <m/>
    <s v="Hedge Fund"/>
    <n v="3.3333333333333333E-2"/>
    <n v="0"/>
    <n v="6.6666666666666671E-3"/>
    <n v="0"/>
    <s v="ARF"/>
    <n v="4.6938874843999994"/>
    <s v="HRF"/>
    <n v="0"/>
    <s v="COP2"/>
    <n v="17.186631179999999"/>
    <s v="COTT"/>
    <n v="1.5170951185999999"/>
    <m/>
    <m/>
    <m/>
    <d v="2017-04-28T00:00:00"/>
    <n v="2.7138727835155807E-2"/>
    <x v="2"/>
    <n v="0"/>
    <x v="179"/>
  </r>
  <r>
    <d v="2017-05-31T00:00:00"/>
    <x v="26"/>
    <s v="NA"/>
    <n v="126196955.430124"/>
    <n v="2221.13"/>
    <m/>
    <n v="464.62044687569141"/>
    <n v="0"/>
    <n v="0"/>
    <m/>
    <n v="56816.555280476154"/>
    <n v="464.62044687569141"/>
    <n v="0"/>
    <n v="0"/>
    <m/>
    <s v="Hedge Fund"/>
    <n v="3.3333333333333333E-2"/>
    <n v="0"/>
    <n v="6.6666666666666671E-3"/>
    <n v="0"/>
    <s v="ARF"/>
    <n v="4.2894018333999995"/>
    <s v="HRF"/>
    <n v="0"/>
    <s v="COP2"/>
    <n v="15.70561023"/>
    <s v="COTT"/>
    <n v="1.3863627120999999"/>
    <m/>
    <m/>
    <m/>
    <d v="2017-05-31T00:00:00"/>
    <n v="-8.61728476330752E-2"/>
    <x v="2"/>
    <n v="0"/>
    <x v="180"/>
  </r>
  <r>
    <d v="2017-06-30T00:00:00"/>
    <x v="26"/>
    <s v="NA"/>
    <n v="115215909.67337903"/>
    <n v="2027.86"/>
    <m/>
    <n v="0"/>
    <n v="-110.11768732964993"/>
    <n v="0"/>
    <m/>
    <n v="56816.500978065073"/>
    <n v="-110.11768732964993"/>
    <n v="0"/>
    <n v="0"/>
    <m/>
    <s v="Hedge Fund"/>
    <n v="3.3333333333333333E-2"/>
    <n v="0"/>
    <n v="6.6666666666666671E-3"/>
    <n v="0"/>
    <s v="ARF"/>
    <n v="3.9161626747999998"/>
    <s v="HRF"/>
    <n v="0"/>
    <s v="COP2"/>
    <n v="14.338998059999998"/>
    <s v="COTT"/>
    <n v="1.2657293761999999"/>
    <m/>
    <m/>
    <m/>
    <d v="2017-06-30T00:00:00"/>
    <n v="-8.7014267512482424E-2"/>
    <x v="2"/>
    <n v="0"/>
    <x v="181"/>
  </r>
  <r>
    <d v="2017-07-31T00:00:00"/>
    <x v="26"/>
    <s v="NA"/>
    <n v="123246172.59999999"/>
    <n v="2169.1999999999998"/>
    <m/>
    <n v="0"/>
    <n v="-181.32161875069141"/>
    <n v="0"/>
    <m/>
    <n v="56816.417388899135"/>
    <n v="-181.32161875069141"/>
    <n v="0"/>
    <n v="0"/>
    <m/>
    <s v="Hedge Fund"/>
    <n v="3.3333333333333333E-2"/>
    <n v="0"/>
    <n v="6.6666666666666671E-3"/>
    <n v="0"/>
    <s v="ARF"/>
    <n v="4.1891156559999994"/>
    <s v="HRF"/>
    <n v="0"/>
    <s v="COP2"/>
    <n v="15.3384132"/>
    <s v="COTT"/>
    <n v="1.3539495639999999"/>
    <m/>
    <m/>
    <m/>
    <d v="2017-07-31T00:00:00"/>
    <n v="6.9699091653269818E-2"/>
    <x v="2"/>
    <n v="0"/>
    <x v="182"/>
  </r>
  <r>
    <d v="2017-08-31T00:00:00"/>
    <x v="26"/>
    <s v="NA"/>
    <n v="121613800"/>
    <n v="2140.4699999999998"/>
    <m/>
    <n v="0"/>
    <n v="-36.928416922688484"/>
    <n v="0"/>
    <m/>
    <n v="56816.400136418641"/>
    <n v="-36.928416922688484"/>
    <n v="0"/>
    <n v="0"/>
    <m/>
    <s v="Hedge Fund"/>
    <n v="3.3333333333333333E-2"/>
    <n v="0"/>
    <n v="6.6666666666666671E-3"/>
    <n v="0"/>
    <s v="ARF"/>
    <n v="4.1336328545999992"/>
    <s v="HRF"/>
    <n v="0"/>
    <s v="COP2"/>
    <n v="15.135263369999999"/>
    <s v="COTT"/>
    <n v="1.3360171598999999"/>
    <m/>
    <m/>
    <m/>
    <d v="2017-08-31T00:00:00"/>
    <n v="-1.3244514106583116E-2"/>
    <x v="2"/>
    <n v="0"/>
    <x v="183"/>
  </r>
  <r>
    <d v="2017-09-29T00:00:00"/>
    <x v="26"/>
    <s v="NA"/>
    <n v="124489600"/>
    <n v="2191.0856671857964"/>
    <m/>
    <n v="0"/>
    <n v="-1.4901161193847656E-8"/>
    <n v="0"/>
    <m/>
    <n v="56816.400136418641"/>
    <n v="-1.4901161193847656E-8"/>
    <n v="0"/>
    <n v="0"/>
    <m/>
    <s v="Hedge Fund"/>
    <n v="3.3333333333333333E-2"/>
    <n v="0"/>
    <n v="6.6666666666666671E-3"/>
    <n v="0"/>
    <s v="ARF"/>
    <n v="4.1336328545999992"/>
    <s v="HRF"/>
    <n v="0"/>
    <s v="COP2"/>
    <n v="15.135263369999999"/>
    <s v="COTT"/>
    <n v="1.3360171598999999"/>
    <m/>
    <m/>
    <m/>
    <d v="2017-09-29T00:00:00"/>
    <n v="2.3646987430702815E-2"/>
    <x v="2"/>
    <n v="0"/>
    <x v="184"/>
  </r>
  <r>
    <d v="2017-10-31T00:00:00"/>
    <x v="26"/>
    <s v="NA"/>
    <n v="121116367.48999999"/>
    <n v="2131.71"/>
    <m/>
    <n v="279.15519501268864"/>
    <n v="0"/>
    <n v="0"/>
    <m/>
    <n v="56816.531090063843"/>
    <n v="279.15519501268864"/>
    <n v="0"/>
    <n v="0"/>
    <m/>
    <s v="Hedge Fund"/>
    <n v="3.3333333333333333E-2"/>
    <n v="0"/>
    <n v="6.6666666666666671E-3"/>
    <n v="0"/>
    <s v="ARF"/>
    <n v="4.1167157178"/>
    <s v="HRF"/>
    <n v="0"/>
    <s v="COP2"/>
    <n v="15.07332141"/>
    <s v="COTT"/>
    <n v="1.3305494306999999"/>
    <m/>
    <m/>
    <m/>
    <d v="2017-10-31T00:00:00"/>
    <n v="-2.7098742908604589E-2"/>
    <x v="2"/>
    <n v="0"/>
    <x v="185"/>
  </r>
  <r>
    <d v="2017-11-30T00:00:00"/>
    <x v="26"/>
    <s v="NA"/>
    <n v="112134034.73999999"/>
    <n v="1973.62"/>
    <m/>
    <n v="0"/>
    <n v="-207.34997180104256"/>
    <n v="0"/>
    <m/>
    <n v="56816.426029326823"/>
    <n v="-207.34997180104256"/>
    <n v="0"/>
    <n v="0"/>
    <m/>
    <s v="Hedge Fund"/>
    <n v="3.3333333333333333E-2"/>
    <n v="0"/>
    <n v="6.6666666666666671E-3"/>
    <n v="0"/>
    <s v="ARF"/>
    <n v="3.8114154715999993"/>
    <s v="HRF"/>
    <n v="0"/>
    <s v="COP2"/>
    <n v="13.95546702"/>
    <s v="COTT"/>
    <n v="1.2318743953999998"/>
    <m/>
    <m/>
    <m/>
    <d v="2017-11-30T00:00:00"/>
    <n v="-7.4161119476852E-2"/>
    <x v="2"/>
    <n v="0"/>
    <x v="186"/>
  </r>
  <r>
    <d v="2017-12-29T00:00:00"/>
    <x v="26"/>
    <s v="NA"/>
    <n v="111686400"/>
    <n v="1965.7399999999998"/>
    <m/>
    <n v="78.69711109995842"/>
    <n v="0"/>
    <n v="0"/>
    <m/>
    <n v="56816.466063670683"/>
    <n v="78.69711109995842"/>
    <n v="0"/>
    <n v="0"/>
    <m/>
    <s v="Hedge Fund"/>
    <n v="3.3333333333333333E-2"/>
    <n v="0"/>
    <n v="6.6666666666666671E-3"/>
    <n v="0"/>
    <s v="ARF"/>
    <n v="3.7961977731999998"/>
    <s v="HRF"/>
    <n v="0"/>
    <s v="COP2"/>
    <n v="13.899747540000002"/>
    <s v="COTT"/>
    <n v="1.2269559358"/>
    <m/>
    <m/>
    <m/>
    <d v="2017-12-29T00:00:00"/>
    <n v="-3.992663227976978E-3"/>
    <x v="2"/>
    <n v="0"/>
    <x v="187"/>
  </r>
  <r>
    <d v="2018-01-31T00:00:00"/>
    <x v="26"/>
    <s v="NA"/>
    <n v="115981510.2"/>
    <n v="2041.34"/>
    <m/>
    <n v="0"/>
    <n v="-214.63441351056099"/>
    <n v="0"/>
    <m/>
    <n v="56816.360919787985"/>
    <n v="-214.63441351056099"/>
    <n v="0"/>
    <n v="0"/>
    <m/>
    <s v="Hedge Fund"/>
    <n v="3.3333333333333333E-2"/>
    <n v="0"/>
    <n v="6.6666666666666671E-3"/>
    <n v="0"/>
    <s v="ARF"/>
    <n v="3.9421949811999992"/>
    <s v="HRF"/>
    <n v="0"/>
    <s v="COP2"/>
    <n v="14.434315139999999"/>
    <s v="COTT"/>
    <n v="1.2741431878"/>
    <m/>
    <m/>
    <m/>
    <d v="2018-01-31T00:00:00"/>
    <n v="3.845879923082407E-2"/>
    <x v="2"/>
    <n v="0"/>
    <x v="188"/>
  </r>
  <r>
    <d v="2018-02-28T00:00:00"/>
    <x v="26"/>
    <s v="NA"/>
    <n v="107170997.11216848"/>
    <n v="1886.27"/>
    <m/>
    <n v="0"/>
    <n v="0"/>
    <n v="0"/>
    <m/>
    <n v="56816.360919787985"/>
    <n v="0"/>
    <n v="0"/>
    <n v="0"/>
    <m/>
    <s v="Hedge Fund"/>
    <n v="3.3333333333333333E-2"/>
    <n v="0"/>
    <n v="6.6666666666666671E-3"/>
    <n v="0"/>
    <s v="ARF"/>
    <n v="3.6427269999999998"/>
    <s v="HRF"/>
    <n v="0"/>
    <s v="COP2"/>
    <n v="14.434315139999999"/>
    <s v="COTT"/>
    <n v="1.2741431878"/>
    <m/>
    <m/>
    <m/>
    <d v="2018-02-28T00:00:00"/>
    <n v="-7.5964807430413339E-2"/>
    <x v="2"/>
    <n v="0"/>
    <x v="189"/>
  </r>
  <r>
    <d v="2018-03-29T00:00:00"/>
    <x v="26"/>
    <s v="NA"/>
    <n v="86433748.071999997"/>
    <n v="1901.6"/>
    <m/>
    <n v="0"/>
    <n v="0"/>
    <n v="0"/>
    <m/>
    <n v="45453.17"/>
    <n v="0"/>
    <n v="0"/>
    <n v="0"/>
    <m/>
    <s v="Hedge Fund"/>
    <n v="3.3333333333333333E-2"/>
    <n v="0"/>
    <n v="0"/>
    <n v="0"/>
    <s v="ARF"/>
    <n v="0"/>
    <s v="HRF"/>
    <n v="0"/>
    <s v="COP2"/>
    <n v="0"/>
    <s v="COTT"/>
    <n v="0"/>
    <m/>
    <m/>
    <m/>
    <d v="2018-03-29T00:00:00"/>
    <n v="-0.19349683775419424"/>
    <x v="2"/>
    <n v="0"/>
    <x v="190"/>
  </r>
  <r>
    <d v="2018-04-30T00:00:00"/>
    <x v="26"/>
    <s v="NA"/>
    <n v="87936884.403899997"/>
    <n v="1934.67"/>
    <m/>
    <n v="0"/>
    <n v="0"/>
    <n v="0"/>
    <m/>
    <n v="45453.17"/>
    <n v="0"/>
    <n v="0"/>
    <n v="0"/>
    <m/>
    <s v="Hedge Fund"/>
    <n v="3.3333333333333333E-2"/>
    <n v="0"/>
    <n v="0"/>
    <n v="0"/>
    <s v="ARF"/>
    <n v="0"/>
    <s v="HRF"/>
    <n v="0"/>
    <s v="COP2"/>
    <n v="0"/>
    <s v="COTT"/>
    <n v="0"/>
    <m/>
    <m/>
    <m/>
    <d v="2018-04-30T00:00:00"/>
    <n v="1.7390618426588178E-2"/>
    <x v="2"/>
    <n v="0"/>
    <x v="191"/>
  </r>
  <r>
    <d v="2018-05-31T00:00:00"/>
    <x v="26"/>
    <s v="NA"/>
    <n v="96242542.158000007"/>
    <n v="2117.4"/>
    <m/>
    <n v="0"/>
    <n v="0"/>
    <n v="0"/>
    <m/>
    <n v="45453.17"/>
    <n v="0"/>
    <n v="0"/>
    <n v="0"/>
    <m/>
    <s v="Hedge Fund"/>
    <n v="3.3333333333333333E-2"/>
    <n v="0"/>
    <n v="0"/>
    <n v="0"/>
    <m/>
    <m/>
    <m/>
    <m/>
    <m/>
    <m/>
    <m/>
    <m/>
    <m/>
    <m/>
    <m/>
    <d v="2018-05-31T00:00:00"/>
    <n v="9.4450216315961066E-2"/>
    <x v="2"/>
    <n v="0"/>
    <x v="192"/>
  </r>
  <r>
    <d v="2018-06-29T00:00:00"/>
    <x v="26"/>
    <s v="NA"/>
    <n v="87461898.777400002"/>
    <n v="1924.22"/>
    <m/>
    <n v="0"/>
    <n v="0"/>
    <n v="0"/>
    <m/>
    <n v="45453.17"/>
    <n v="0"/>
    <n v="0"/>
    <n v="0"/>
    <m/>
    <s v="Hedge Fund"/>
    <n v="3.3333333333333333E-2"/>
    <n v="0"/>
    <n v="0"/>
    <n v="0"/>
    <m/>
    <m/>
    <m/>
    <m/>
    <m/>
    <m/>
    <m/>
    <m/>
    <m/>
    <m/>
    <m/>
    <d v="2018-06-29T00:00:00"/>
    <n v="-9.1234532917729316E-2"/>
    <x v="2"/>
    <n v="0"/>
    <x v="193"/>
  </r>
  <r>
    <d v="2018-07-31T00:00:00"/>
    <x v="26"/>
    <s v="NA"/>
    <n v="92901734.163000003"/>
    <n v="2043.9"/>
    <m/>
    <n v="0"/>
    <n v="0"/>
    <n v="0"/>
    <m/>
    <n v="45453.17"/>
    <n v="0"/>
    <n v="0"/>
    <n v="0"/>
    <m/>
    <s v="Hedge Fund"/>
    <n v="3.3333333333333333E-2"/>
    <n v="0"/>
    <n v="0"/>
    <n v="0"/>
    <m/>
    <m/>
    <m/>
    <m/>
    <m/>
    <m/>
    <m/>
    <m/>
    <m/>
    <m/>
    <m/>
    <d v="2018-07-31T00:00:00"/>
    <n v="6.2196630322935986E-2"/>
    <x v="2"/>
    <n v="0"/>
    <x v="194"/>
  </r>
  <r>
    <d v="2018-08-31T00:00:00"/>
    <x v="26"/>
    <s v="NA"/>
    <n v="89177301.413199991"/>
    <n v="1961.96"/>
    <m/>
    <n v="0"/>
    <n v="0"/>
    <n v="0"/>
    <n v="50000000"/>
    <n v="45453.17"/>
    <n v="0"/>
    <n v="0"/>
    <n v="0"/>
    <m/>
    <s v="Hedge Fund"/>
    <n v="3.3333333333333333E-2"/>
    <n v="0"/>
    <n v="0"/>
    <n v="0"/>
    <m/>
    <m/>
    <m/>
    <m/>
    <m/>
    <m/>
    <m/>
    <m/>
    <m/>
    <m/>
    <m/>
    <d v="2018-08-31T00:00:00"/>
    <n v="-4.0090023973775701E-2"/>
    <x v="2"/>
    <n v="0"/>
    <x v="195"/>
  </r>
  <r>
    <d v="2018-09-28T00:00:00"/>
    <x v="26"/>
    <s v="NA"/>
    <n v="88272015.094042137"/>
    <n v="1942.04"/>
    <n v="0"/>
    <n v="0"/>
    <n v="0"/>
    <n v="0"/>
    <n v="50000000"/>
    <n v="45453.17"/>
    <n v="0"/>
    <n v="0"/>
    <n v="0"/>
    <m/>
    <s v="Hedge Fund"/>
    <n v="3.3333333333333333E-2"/>
    <n v="0"/>
    <m/>
    <m/>
    <m/>
    <m/>
    <m/>
    <m/>
    <m/>
    <m/>
    <m/>
    <m/>
    <m/>
    <m/>
    <m/>
    <d v="2018-09-28T00:00:00"/>
    <n v="-1.0151533011334757E-2"/>
    <x v="2"/>
    <n v="0"/>
    <x v="196"/>
  </r>
  <r>
    <d v="2018-10-31T00:00:00"/>
    <x v="26"/>
    <s v="NA"/>
    <n v="83873806.972081661"/>
    <n v="1845.28"/>
    <n v="0"/>
    <n v="0"/>
    <n v="0"/>
    <n v="0"/>
    <n v="50000000"/>
    <n v="45453.17"/>
    <n v="0"/>
    <n v="0"/>
    <n v="-1845.28"/>
    <m/>
    <s v="Hedge Fund"/>
    <n v="3.3333333333333E-2"/>
    <n v="0"/>
    <m/>
    <m/>
    <m/>
    <m/>
    <m/>
    <m/>
    <m/>
    <m/>
    <m/>
    <m/>
    <m/>
    <m/>
    <m/>
    <d v="2018-10-31T00:00:00"/>
    <n v="-4.9825622733034591E-2"/>
    <x v="2"/>
    <n v="0"/>
    <x v="197"/>
  </r>
  <r>
    <d v="2016-09-30T00:00:00"/>
    <x v="27"/>
    <s v="NA"/>
    <n v="496062.01360000001"/>
    <n v="1537984.5083555414"/>
    <n v="15"/>
    <n v="160000"/>
    <m/>
    <n v="0"/>
    <m/>
    <n v="0.32254031877759565"/>
    <n v="160000"/>
    <n v="1537984.5083555414"/>
    <n v="160000"/>
    <m/>
    <s v="Private Equity Fund"/>
    <n v="0"/>
    <n v="1.7687474500000001E-2"/>
    <n v="0"/>
    <n v="0"/>
    <m/>
    <m/>
    <m/>
    <m/>
    <m/>
    <m/>
    <m/>
    <m/>
    <m/>
    <m/>
    <m/>
    <d v="2016-09-30T00:00:00"/>
    <e v="#REF!"/>
    <x v="0"/>
    <n v="0"/>
    <x v="172"/>
  </r>
  <r>
    <d v="2016-10-31T00:00:00"/>
    <x v="27"/>
    <s v="NA"/>
    <n v="674534.48360000004"/>
    <n v="2091318.3386078263"/>
    <n v="15"/>
    <n v="0"/>
    <m/>
    <n v="0"/>
    <m/>
    <n v="0.32254031877759565"/>
    <n v="0"/>
    <n v="0"/>
    <n v="0"/>
    <m/>
    <s v="Private Equity Fund"/>
    <n v="0"/>
    <n v="0"/>
    <n v="0"/>
    <n v="0"/>
    <m/>
    <m/>
    <m/>
    <m/>
    <m/>
    <m/>
    <m/>
    <m/>
    <m/>
    <m/>
    <m/>
    <d v="2016-10-31T00:00:00"/>
    <n v="0.35977854604265547"/>
    <x v="0"/>
    <n v="0"/>
    <x v="173"/>
  </r>
  <r>
    <d v="2016-11-30T00:00:00"/>
    <x v="27"/>
    <s v="NA"/>
    <n v="3630475.2766999998"/>
    <n v="2127022.3215122861"/>
    <n v="15"/>
    <n v="2895000"/>
    <m/>
    <n v="0"/>
    <m/>
    <n v="1.706834592181796"/>
    <n v="2895000"/>
    <n v="0"/>
    <n v="2895000"/>
    <m/>
    <s v="Private Equity Fund"/>
    <n v="0"/>
    <n v="0"/>
    <n v="0"/>
    <n v="0"/>
    <m/>
    <m/>
    <m/>
    <m/>
    <m/>
    <m/>
    <m/>
    <m/>
    <m/>
    <m/>
    <m/>
    <d v="2016-11-30T00:00:00"/>
    <n v="9.0344963203004669E-2"/>
    <x v="0"/>
    <n v="0"/>
    <x v="174"/>
  </r>
  <r>
    <d v="2016-12-30T00:00:00"/>
    <x v="27"/>
    <s v="NA"/>
    <n v="3644232.1653875099"/>
    <n v="2135082.2054345617"/>
    <n v="15"/>
    <n v="0"/>
    <m/>
    <n v="0"/>
    <m/>
    <n v="1.706834592181796"/>
    <n v="0"/>
    <n v="0"/>
    <n v="0"/>
    <m/>
    <s v="Private Equity Fund"/>
    <n v="0"/>
    <n v="3.10122195E-2"/>
    <n v="0"/>
    <n v="0"/>
    <m/>
    <m/>
    <m/>
    <m/>
    <m/>
    <m/>
    <m/>
    <m/>
    <m/>
    <m/>
    <m/>
    <d v="2016-12-30T00:00:00"/>
    <n v="3.7892803666230712E-3"/>
    <x v="0"/>
    <n v="0"/>
    <x v="175"/>
  </r>
  <r>
    <d v="2017-01-27T00:00:00"/>
    <x v="27"/>
    <s v="NA"/>
    <n v="3745933.7941000001"/>
    <n v="2194667.1407167134"/>
    <n v="15"/>
    <n v="0"/>
    <m/>
    <n v="0"/>
    <m/>
    <n v="1.706834592181796"/>
    <n v="0"/>
    <n v="0"/>
    <n v="0"/>
    <m/>
    <s v="Private Equity Fund"/>
    <n v="0"/>
    <n v="3.4409200000000001E-2"/>
    <n v="0"/>
    <n v="0"/>
    <m/>
    <m/>
    <m/>
    <m/>
    <m/>
    <m/>
    <m/>
    <m/>
    <m/>
    <m/>
    <m/>
    <d v="2017-01-27T00:00:00"/>
    <n v="2.7907560247791174E-2"/>
    <x v="0"/>
    <n v="0"/>
    <x v="176"/>
  </r>
  <r>
    <d v="2017-02-28T00:00:00"/>
    <x v="27"/>
    <s v="NA"/>
    <n v="3968825.1388948201"/>
    <n v="1835307.9704590959"/>
    <n v="15"/>
    <n v="1000000"/>
    <m/>
    <n v="-797553.71"/>
    <m/>
    <n v="2.1624845545143208"/>
    <n v="202446.29000000004"/>
    <n v="-368813.59838388534"/>
    <n v="202446.29000000004"/>
    <m/>
    <s v="Private Equity Fund"/>
    <n v="0"/>
    <n v="3.4409200000000001E-2"/>
    <n v="0"/>
    <n v="0"/>
    <m/>
    <m/>
    <m/>
    <m/>
    <m/>
    <m/>
    <m/>
    <m/>
    <m/>
    <m/>
    <m/>
    <d v="2017-02-28T00:00:00"/>
    <n v="5.4579327661961052E-3"/>
    <x v="0"/>
    <n v="0"/>
    <x v="177"/>
  </r>
  <r>
    <d v="2017-03-31T00:00:00"/>
    <x v="27"/>
    <s v="NA"/>
    <n v="3969364.9099581363"/>
    <n v="1835557.5773578777"/>
    <n v="15"/>
    <n v="0"/>
    <m/>
    <n v="0"/>
    <m/>
    <n v="2.1624845545143208"/>
    <n v="0"/>
    <n v="0"/>
    <n v="0"/>
    <m/>
    <s v="Private Equity Fund"/>
    <n v="0"/>
    <n v="3.4409200000000001E-2"/>
    <n v="0"/>
    <n v="0"/>
    <m/>
    <m/>
    <m/>
    <m/>
    <m/>
    <m/>
    <m/>
    <m/>
    <m/>
    <m/>
    <m/>
    <d v="2017-03-31T00:00:00"/>
    <n v="1.3600273240221838E-4"/>
    <x v="0"/>
    <n v="0"/>
    <x v="178"/>
  </r>
  <r>
    <d v="2017-04-28T00:00:00"/>
    <x v="27"/>
    <s v="NA"/>
    <n v="4015699.8499999996"/>
    <n v="1856984.2922655686"/>
    <n v="15"/>
    <n v="0"/>
    <m/>
    <n v="0"/>
    <m/>
    <n v="2.1624845545143208"/>
    <n v="0"/>
    <n v="0"/>
    <n v="0"/>
    <m/>
    <s v="Private Equity Fund"/>
    <n v="0"/>
    <n v="3.9908079999999999E-2"/>
    <n v="0"/>
    <n v="0"/>
    <m/>
    <m/>
    <m/>
    <m/>
    <m/>
    <m/>
    <m/>
    <m/>
    <m/>
    <m/>
    <m/>
    <d v="2017-04-28T00:00:00"/>
    <n v="1.1673136910547166E-2"/>
    <x v="0"/>
    <n v="0"/>
    <x v="179"/>
  </r>
  <r>
    <d v="2017-05-31T00:00:00"/>
    <x v="27"/>
    <s v="NA"/>
    <n v="5558178.2314845603"/>
    <n v="1839929.0417435162"/>
    <n v="15"/>
    <n v="1594000"/>
    <m/>
    <n v="-105000"/>
    <m/>
    <n v="3.0208655363239618"/>
    <n v="1489000"/>
    <n v="-34758.250156269009"/>
    <n v="1489000"/>
    <m/>
    <s v="Private Equity Fund"/>
    <n v="0"/>
    <n v="4.2722732499999999E-2"/>
    <n v="0"/>
    <n v="0"/>
    <m/>
    <m/>
    <m/>
    <m/>
    <m/>
    <m/>
    <m/>
    <m/>
    <m/>
    <m/>
    <m/>
    <d v="2017-05-31T00:00:00"/>
    <n v="1.3317325368468635E-2"/>
    <x v="0"/>
    <n v="0"/>
    <x v="180"/>
  </r>
  <r>
    <d v="2017-06-30T00:00:00"/>
    <x v="27"/>
    <s v="NA"/>
    <n v="5618716.6995986504"/>
    <n v="1859969.1485891053"/>
    <n v="15"/>
    <n v="0"/>
    <m/>
    <n v="0"/>
    <m/>
    <n v="3.0208655363239618"/>
    <n v="0"/>
    <n v="0"/>
    <n v="0"/>
    <m/>
    <s v="Private Equity Fund"/>
    <n v="0"/>
    <n v="4.590897E-2"/>
    <n v="0"/>
    <n v="0"/>
    <m/>
    <m/>
    <m/>
    <m/>
    <m/>
    <m/>
    <m/>
    <m/>
    <m/>
    <m/>
    <m/>
    <d v="2017-06-30T00:00:00"/>
    <n v="1.0891782449718335E-2"/>
    <x v="0"/>
    <n v="0"/>
    <x v="181"/>
  </r>
  <r>
    <d v="2017-07-31T00:00:00"/>
    <x v="27"/>
    <s v="NA"/>
    <n v="5611088.6100000003"/>
    <n v="1857444.0148130644"/>
    <n v="15"/>
    <n v="0"/>
    <m/>
    <n v="-69730"/>
    <m/>
    <n v="3.0208655363239618"/>
    <n v="-69730"/>
    <n v="-23082.78841330131"/>
    <n v="-69730"/>
    <m/>
    <s v="Private Equity Fund"/>
    <n v="0"/>
    <n v="4.6735140000000001E-2"/>
    <n v="0"/>
    <n v="0"/>
    <m/>
    <m/>
    <m/>
    <m/>
    <m/>
    <m/>
    <m/>
    <m/>
    <m/>
    <m/>
    <m/>
    <d v="2017-07-31T00:00:00"/>
    <n v="1.1052685821619335E-2"/>
    <x v="0"/>
    <n v="0"/>
    <x v="182"/>
  </r>
  <r>
    <d v="2017-08-31T00:00:00"/>
    <x v="27"/>
    <s v="NA"/>
    <n v="5460800"/>
    <n v="1807693.8328890838"/>
    <n v="15"/>
    <n v="0"/>
    <m/>
    <n v="-52602"/>
    <m/>
    <n v="3.0208655363239618"/>
    <n v="-52602"/>
    <n v="-17412.890235429164"/>
    <n v="-52602"/>
    <m/>
    <s v="Private Equity Fund"/>
    <n v="0"/>
    <n v="4.944117E-2"/>
    <n v="0"/>
    <n v="0"/>
    <m/>
    <m/>
    <m/>
    <m/>
    <m/>
    <m/>
    <m/>
    <m/>
    <m/>
    <m/>
    <m/>
    <d v="2017-08-31T00:00:00"/>
    <n v="-1.7409564665563204E-2"/>
    <x v="0"/>
    <n v="0"/>
    <x v="183"/>
  </r>
  <r>
    <d v="2017-09-29T00:00:00"/>
    <x v="27"/>
    <s v="NA"/>
    <n v="5480500"/>
    <n v="1814215.1426803074"/>
    <n v="15"/>
    <n v="0"/>
    <m/>
    <n v="-105000"/>
    <m/>
    <n v="3.0208655363239618"/>
    <n v="-105000"/>
    <n v="-34758.250156269009"/>
    <n v="-105000"/>
    <m/>
    <s v="Private Equity Fund"/>
    <n v="0"/>
    <n v="5.28E-2"/>
    <n v="0"/>
    <n v="0"/>
    <m/>
    <m/>
    <m/>
    <m/>
    <m/>
    <m/>
    <m/>
    <m/>
    <m/>
    <m/>
    <m/>
    <d v="2017-09-29T00:00:00"/>
    <n v="2.2835481980662209E-2"/>
    <x v="0"/>
    <n v="0"/>
    <x v="184"/>
  </r>
  <r>
    <d v="2017-10-31T00:00:00"/>
    <x v="27"/>
    <s v="NA"/>
    <n v="5538206.4699999997"/>
    <n v="1833317.7704888335"/>
    <n v="15"/>
    <n v="0"/>
    <m/>
    <n v="-41178.33"/>
    <m/>
    <n v="3.0208655363239618"/>
    <n v="-41178.33"/>
    <n v="-13631.301858641873"/>
    <n v="-41178.33"/>
    <m/>
    <s v="Private Equity Fund"/>
    <n v="0"/>
    <n v="5.6530030000000002E-2"/>
    <n v="0"/>
    <n v="0"/>
    <m/>
    <m/>
    <m/>
    <m/>
    <m/>
    <m/>
    <m/>
    <m/>
    <m/>
    <m/>
    <m/>
    <d v="2017-10-31T00:00:00"/>
    <n v="1.8043025271416768E-2"/>
    <x v="0"/>
    <n v="0"/>
    <x v="185"/>
  </r>
  <r>
    <d v="2017-11-30T00:00:00"/>
    <x v="27"/>
    <s v="NA"/>
    <n v="5482523.2199999997"/>
    <n v="1814884.8911267947"/>
    <n v="15"/>
    <n v="0"/>
    <m/>
    <n v="-13800"/>
    <m/>
    <n v="3.0208655363239618"/>
    <n v="-13800"/>
    <n v="-4568.2271633953551"/>
    <n v="-13800"/>
    <m/>
    <s v="Private Equity Fund"/>
    <n v="0"/>
    <n v="5.912564E-2"/>
    <n v="0"/>
    <n v="0"/>
    <m/>
    <m/>
    <m/>
    <m/>
    <m/>
    <m/>
    <m/>
    <m/>
    <m/>
    <m/>
    <m/>
    <d v="2017-11-30T00:00:00"/>
    <n v="-7.5626017604937257E-3"/>
    <x v="0"/>
    <n v="0"/>
    <x v="186"/>
  </r>
  <r>
    <d v="2017-12-29T00:00:00"/>
    <x v="27"/>
    <s v="NA"/>
    <n v="5995971.9500000002"/>
    <n v="1817445.7951705558"/>
    <n v="15"/>
    <n v="505000"/>
    <m/>
    <n v="-53922"/>
    <m/>
    <n v="3.2991200980700039"/>
    <n v="451078"/>
    <n v="-16344.358009744643"/>
    <n v="451078"/>
    <m/>
    <s v="Private Equity Fund"/>
    <n v="0"/>
    <n v="6.2408319999999996E-2"/>
    <n v="0"/>
    <n v="0"/>
    <m/>
    <m/>
    <m/>
    <m/>
    <m/>
    <m/>
    <m/>
    <m/>
    <m/>
    <m/>
    <m/>
    <d v="2017-12-29T00:00:00"/>
    <n v="1.1376281959458945E-2"/>
    <x v="0"/>
    <n v="0"/>
    <x v="187"/>
  </r>
  <r>
    <d v="2018-01-31T00:00:00"/>
    <x v="27"/>
    <s v="NA"/>
    <n v="5480500"/>
    <n v="1661200.5131932332"/>
    <n v="15"/>
    <n v="0"/>
    <m/>
    <n v="-35000"/>
    <m/>
    <n v="3.2991200980700039"/>
    <n v="-35000"/>
    <n v="-10608.889327937808"/>
    <n v="-35000"/>
    <m/>
    <s v="Private Equity Fund"/>
    <n v="0"/>
    <n v="6.703524000000001E-2"/>
    <n v="0"/>
    <n v="0"/>
    <m/>
    <m/>
    <m/>
    <m/>
    <m/>
    <m/>
    <m/>
    <m/>
    <m/>
    <m/>
    <m/>
    <d v="2018-01-31T00:00:00"/>
    <n v="-8.0132454588951241E-2"/>
    <x v="0"/>
    <n v="0"/>
    <x v="188"/>
  </r>
  <r>
    <d v="2018-02-28T00:00:00"/>
    <x v="27"/>
    <s v="NA"/>
    <n v="5995978.0199999996"/>
    <n v="1817447.6350550761"/>
    <n v="15"/>
    <n v="0"/>
    <m/>
    <n v="-104900"/>
    <m/>
    <n v="3.2991200980700039"/>
    <n v="-104900"/>
    <n v="-31796.35687144789"/>
    <n v="-104900"/>
    <m/>
    <s v="Private Equity Fund"/>
    <n v="0"/>
    <n v="6.977179E-2"/>
    <n v="0"/>
    <n v="0"/>
    <m/>
    <m/>
    <m/>
    <m/>
    <m/>
    <m/>
    <m/>
    <m/>
    <m/>
    <m/>
    <m/>
    <d v="2018-02-28T00:00:00"/>
    <n v="0.1131973396587902"/>
    <x v="0"/>
    <n v="0"/>
    <x v="189"/>
  </r>
  <r>
    <d v="2018-03-29T00:00:00"/>
    <x v="27"/>
    <s v="NA"/>
    <n v="6056956.9890000001"/>
    <n v="1835931.0388680121"/>
    <n v="15"/>
    <n v="0"/>
    <m/>
    <n v="-76167.56"/>
    <m/>
    <n v="3.2991200980700039"/>
    <n v="-76167.56"/>
    <n v="-23087.234697687505"/>
    <n v="-76167.56"/>
    <m/>
    <s v="Private Equity Fund"/>
    <n v="0"/>
    <n v="7.6990031E-2"/>
    <n v="0"/>
    <n v="0"/>
    <m/>
    <m/>
    <m/>
    <m/>
    <m/>
    <m/>
    <m/>
    <m/>
    <m/>
    <m/>
    <m/>
    <d v="2018-03-29T00:00:00"/>
    <n v="2.2873087349976728E-2"/>
    <x v="0"/>
    <n v="0"/>
    <x v="190"/>
  </r>
  <r>
    <d v="2018-04-30T00:00:00"/>
    <x v="27"/>
    <s v="NA"/>
    <n v="6056956.9890000001"/>
    <n v="1835931.0388680121"/>
    <n v="15"/>
    <n v="0"/>
    <m/>
    <n v="-35000"/>
    <m/>
    <n v="3.2991200980700039"/>
    <n v="-35000"/>
    <n v="-10608.889327937808"/>
    <n v="-35000"/>
    <m/>
    <s v="Private Equity Fund"/>
    <n v="0"/>
    <n v="7.6990031E-2"/>
    <n v="0"/>
    <n v="0"/>
    <m/>
    <m/>
    <m/>
    <m/>
    <m/>
    <m/>
    <m/>
    <m/>
    <m/>
    <m/>
    <m/>
    <d v="2018-04-30T00:00:00"/>
    <n v="5.7784792039241584E-3"/>
    <x v="0"/>
    <n v="0"/>
    <x v="191"/>
  </r>
  <r>
    <d v="2018-05-31T00:00:00"/>
    <x v="27"/>
    <s v="NA"/>
    <n v="5984925.5465000002"/>
    <n v="1814097.5073933201"/>
    <n v="15"/>
    <n v="0"/>
    <m/>
    <n v="-105000"/>
    <m/>
    <n v="3.2991200980700039"/>
    <n v="-105000"/>
    <n v="-31826.667983813426"/>
    <n v="-105000"/>
    <m/>
    <s v="Private Equity Fund"/>
    <n v="0"/>
    <n v="8.0567323499999996E-2"/>
    <n v="0"/>
    <n v="0"/>
    <m/>
    <m/>
    <m/>
    <m/>
    <m/>
    <m/>
    <m/>
    <m/>
    <m/>
    <m/>
    <m/>
    <d v="2018-05-31T00:00:00"/>
    <n v="5.4430892542036702E-3"/>
    <x v="0"/>
    <n v="0"/>
    <x v="192"/>
  </r>
  <r>
    <d v="2018-06-29T00:00:00"/>
    <x v="27"/>
    <s v="NA"/>
    <n v="5208303.2494999999"/>
    <n v="1578694.6502938387"/>
    <n v="15"/>
    <n v="0"/>
    <m/>
    <n v="-839000"/>
    <m/>
    <n v="3.2991200980700039"/>
    <n v="-839000"/>
    <n v="-254310.23274685204"/>
    <n v="-839000"/>
    <m/>
    <s v="Private Equity Fund"/>
    <n v="0"/>
    <n v="8.0567323499999996E-2"/>
    <n v="0"/>
    <n v="0"/>
    <m/>
    <m/>
    <m/>
    <m/>
    <m/>
    <m/>
    <m/>
    <m/>
    <m/>
    <m/>
    <m/>
    <d v="2018-06-29T00:00:00"/>
    <n v="1.0422469338232432E-2"/>
    <x v="0"/>
    <n v="0"/>
    <x v="193"/>
  </r>
  <r>
    <d v="2018-07-31T00:00:00"/>
    <x v="27"/>
    <s v="NA"/>
    <n v="5208303.2494999999"/>
    <n v="1578694.6502938387"/>
    <n v="15"/>
    <n v="0"/>
    <m/>
    <n v="0"/>
    <m/>
    <n v="3.2991200980700039"/>
    <n v="0"/>
    <n v="0"/>
    <n v="0"/>
    <m/>
    <s v="Private Equity Fund"/>
    <n v="0"/>
    <n v="8.0567323499999996E-2"/>
    <n v="0"/>
    <n v="0"/>
    <m/>
    <m/>
    <m/>
    <m/>
    <m/>
    <m/>
    <m/>
    <m/>
    <m/>
    <m/>
    <m/>
    <d v="2018-07-31T00:00:00"/>
    <n v="0"/>
    <x v="0"/>
    <n v="0"/>
    <x v="194"/>
  </r>
  <r>
    <d v="2018-08-31T00:00:00"/>
    <x v="27"/>
    <s v="NA"/>
    <n v="5208303.2494999999"/>
    <n v="1578694.6502938387"/>
    <n v="15"/>
    <n v="0"/>
    <m/>
    <n v="0"/>
    <m/>
    <n v="3.2991200980700039"/>
    <n v="0"/>
    <n v="0"/>
    <n v="0"/>
    <m/>
    <s v="Private Equity Fund"/>
    <n v="0"/>
    <n v="8.0567323499999996E-2"/>
    <n v="0"/>
    <n v="0"/>
    <m/>
    <m/>
    <m/>
    <m/>
    <m/>
    <m/>
    <m/>
    <m/>
    <m/>
    <m/>
    <m/>
    <d v="2018-08-31T00:00:00"/>
    <n v="0"/>
    <x v="0"/>
    <n v="0"/>
    <x v="195"/>
  </r>
  <r>
    <d v="2018-09-28T00:00:00"/>
    <x v="27"/>
    <s v="NA"/>
    <n v="5736464.4972999981"/>
    <n v="1738786.1995857165"/>
    <n v="15"/>
    <n v="500000"/>
    <n v="0"/>
    <n v="-839000"/>
    <m/>
    <n v="3.2991200980700039"/>
    <n v="-339000"/>
    <n v="-254310.23274685204"/>
    <n v="-339000"/>
    <m/>
    <s v="Private Equity Fund"/>
    <n v="0"/>
    <n v="8.0567323499999996E-2"/>
    <n v="0"/>
    <n v="0"/>
    <m/>
    <m/>
    <m/>
    <m/>
    <m/>
    <m/>
    <m/>
    <m/>
    <m/>
    <m/>
    <m/>
    <d v="2018-09-28T00:00:00"/>
    <n v="0.16649592127402446"/>
    <x v="0"/>
    <n v="0"/>
    <x v="196"/>
  </r>
  <r>
    <d v="2018-10-31T00:00:00"/>
    <x v="27"/>
    <s v="NA"/>
    <n v="5736464.4972999981"/>
    <n v="1738786.1995857165"/>
    <n v="15"/>
    <n v="500000"/>
    <n v="0"/>
    <n v="-839000"/>
    <m/>
    <n v="3.2991200980700039"/>
    <n v="-339000"/>
    <n v="-254310.23274685204"/>
    <n v="-6075464.4972999981"/>
    <m/>
    <s v="Private Equity Fund"/>
    <n v="0"/>
    <n v="8.0567323499999996E-2"/>
    <n v="0"/>
    <n v="0"/>
    <m/>
    <m/>
    <m/>
    <m/>
    <m/>
    <m/>
    <m/>
    <m/>
    <m/>
    <m/>
    <m/>
    <d v="2018-10-31T00:00:00"/>
    <n v="5.9095632886694949E-2"/>
    <x v="0"/>
    <n v="0"/>
    <x v="197"/>
  </r>
  <r>
    <d v="2017-12-31T00:00:00"/>
    <x v="28"/>
    <s v="NA"/>
    <n v="999999.5"/>
    <n v="1006989.190505153"/>
    <m/>
    <n v="1000000"/>
    <n v="0"/>
    <n v="0"/>
    <m/>
    <n v="0.99305882270528978"/>
    <n v="1000000"/>
    <n v="1006989.190505153"/>
    <n v="1000000"/>
    <m/>
    <s v="Private Equity Fund"/>
    <n v="0"/>
    <n v="0"/>
    <n v="0"/>
    <n v="0"/>
    <m/>
    <m/>
    <m/>
    <m/>
    <m/>
    <m/>
    <m/>
    <m/>
    <m/>
    <m/>
    <m/>
    <d v="2017-12-31T00:00:00"/>
    <n v="-1.0000000871617005"/>
    <x v="0"/>
    <n v="0"/>
    <x v="187"/>
  </r>
  <r>
    <d v="2018-01-31T00:00:00"/>
    <x v="28"/>
    <s v="NA"/>
    <n v="999946.76"/>
    <n v="1006936.0818686915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1-31T00:00:00"/>
    <n v="-5.2740026370012849E-5"/>
    <x v="0"/>
    <n v="0"/>
    <x v="188"/>
  </r>
  <r>
    <d v="2018-02-28T00:00:00"/>
    <x v="28"/>
    <s v="NA"/>
    <n v="989534.53"/>
    <n v="996451.07356713386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2-28T00:00:00"/>
    <n v="-1.0412784376640172E-2"/>
    <x v="0"/>
    <n v="0"/>
    <x v="189"/>
  </r>
  <r>
    <d v="2018-03-29T00:00:00"/>
    <x v="28"/>
    <s v="NA"/>
    <n v="978868.91578947369"/>
    <n v="985710.90997695387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3-29T00:00:00"/>
    <n v="-1.0778415393474239E-2"/>
    <x v="0"/>
    <n v="0"/>
    <x v="190"/>
  </r>
  <r>
    <d v="2018-04-30T00:00:00"/>
    <x v="28"/>
    <s v="NA"/>
    <n v="978596.59"/>
    <n v="985436.68071354344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4-30T00:00:00"/>
    <n v="-2.7820455331761806E-4"/>
    <x v="0"/>
    <n v="0"/>
    <x v="191"/>
  </r>
  <r>
    <d v="2018-05-31T00:00:00"/>
    <x v="28"/>
    <s v="NA"/>
    <n v="968896.22894736845"/>
    <n v="975668.51710546447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5-31T00:00:00"/>
    <n v="-9.9125228431784507E-3"/>
    <x v="0"/>
    <n v="0"/>
    <x v="192"/>
  </r>
  <r>
    <d v="2018-06-29T00:00:00"/>
    <x v="28"/>
    <s v="NA"/>
    <n v="945890.25263157894"/>
    <n v="952501.73605505633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  <m/>
    <m/>
    <m/>
    <d v="2018-06-29T00:00:00"/>
    <n v="-2.3744520443416017E-2"/>
    <x v="0"/>
    <n v="0"/>
    <x v="193"/>
  </r>
  <r>
    <d v="2006-05-31T00:00:00"/>
    <x v="29"/>
    <s v="NA"/>
    <n v="9883443.0380000006"/>
    <n v="9883443.0380000006"/>
    <m/>
    <m/>
    <n v="0"/>
    <n v="0"/>
    <m/>
    <n v="1"/>
    <n v="0"/>
    <n v="9883443.0380000006"/>
    <n v="0"/>
    <m/>
    <s v="Private Equity Fund"/>
    <n v="0"/>
    <n v="0"/>
    <n v="0"/>
    <n v="0"/>
    <m/>
    <m/>
    <m/>
    <m/>
    <m/>
    <m/>
    <m/>
    <m/>
    <m/>
    <m/>
    <m/>
    <d v="2006-05-31T00:00:00"/>
    <n v="9.4488263945030511"/>
    <x v="0"/>
    <n v="0"/>
    <x v="61"/>
  </r>
  <r>
    <d v="2006-06-30T00:00:00"/>
    <x v="29"/>
    <s v="NA"/>
    <n v="9418784.0607000012"/>
    <n v="9418784.0607000012"/>
    <m/>
    <m/>
    <n v="0"/>
    <n v="-409619"/>
    <m/>
    <n v="1"/>
    <n v="-409619"/>
    <n v="-409619"/>
    <n v="-409619"/>
    <m/>
    <s v="Private Equity Fund"/>
    <n v="0"/>
    <n v="0"/>
    <n v="0"/>
    <n v="0"/>
    <m/>
    <m/>
    <m/>
    <m/>
    <m/>
    <m/>
    <m/>
    <m/>
    <m/>
    <m/>
    <m/>
    <d v="2006-06-30T00:00:00"/>
    <n v="-5.5689072207307788E-3"/>
    <x v="0"/>
    <n v="0"/>
    <x v="62"/>
  </r>
  <r>
    <d v="2006-07-31T00:00:00"/>
    <x v="29"/>
    <s v="NA"/>
    <n v="9975706.5765000004"/>
    <n v="9975706.5765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7-31T00:00:00"/>
    <n v="5.9128918574932188E-2"/>
    <x v="0"/>
    <n v="0"/>
    <x v="63"/>
  </r>
  <r>
    <d v="2006-08-31T00:00:00"/>
    <x v="29"/>
    <s v="NA"/>
    <n v="9352477.5504999999"/>
    <n v="9352477.5504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8-31T00:00:00"/>
    <n v="-6.2474674973716171E-2"/>
    <x v="0"/>
    <n v="0"/>
    <x v="64"/>
  </r>
  <r>
    <d v="2006-09-30T00:00:00"/>
    <x v="29"/>
    <s v="NA"/>
    <n v="10421864.596500002"/>
    <n v="10421864.5965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09-30T00:00:00"/>
    <n v="0.11434264773432479"/>
    <x v="0"/>
    <n v="0"/>
    <x v="65"/>
  </r>
  <r>
    <d v="2006-10-31T00:00:00"/>
    <x v="29"/>
    <s v="NA"/>
    <n v="12168472.222199999"/>
    <n v="12168472.2221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10-31T00:00:00"/>
    <n v="0.1675907040940221"/>
    <x v="0"/>
    <n v="0"/>
    <x v="66"/>
  </r>
  <r>
    <d v="2006-11-30T00:00:00"/>
    <x v="29"/>
    <s v="NA"/>
    <n v="11944091.729500001"/>
    <n v="11944091.729500001"/>
    <m/>
    <m/>
    <n v="0"/>
    <n v="-1648157.33"/>
    <m/>
    <n v="1"/>
    <n v="-1648157.33"/>
    <n v="-1648157.33"/>
    <n v="-1648157.33"/>
    <m/>
    <s v="Private Equity Fund"/>
    <n v="0"/>
    <n v="0"/>
    <n v="0"/>
    <n v="0"/>
    <m/>
    <m/>
    <m/>
    <m/>
    <m/>
    <m/>
    <m/>
    <m/>
    <m/>
    <m/>
    <m/>
    <d v="2006-11-30T00:00:00"/>
    <n v="0.11700538993732379"/>
    <x v="0"/>
    <n v="0"/>
    <x v="67"/>
  </r>
  <r>
    <d v="2006-12-31T00:00:00"/>
    <x v="29"/>
    <s v="NA"/>
    <n v="13165898.005399998"/>
    <n v="13165898.0053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6-12-31T00:00:00"/>
    <n v="0.10229377867907119"/>
    <x v="0"/>
    <n v="0"/>
    <x v="68"/>
  </r>
  <r>
    <d v="2007-01-31T00:00:00"/>
    <x v="29"/>
    <s v="NA"/>
    <n v="13654606.895299999"/>
    <n v="13654606.8952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1-31T00:00:00"/>
    <n v="3.7119297878470237E-2"/>
    <x v="0"/>
    <n v="0"/>
    <x v="69"/>
  </r>
  <r>
    <d v="2007-02-28T00:00:00"/>
    <x v="29"/>
    <s v="NA"/>
    <n v="13648686.7699"/>
    <n v="13648686.76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2-28T00:00:00"/>
    <n v="-4.3356249252679557E-4"/>
    <x v="0"/>
    <n v="0"/>
    <x v="70"/>
  </r>
  <r>
    <d v="2007-03-30T00:00:00"/>
    <x v="29"/>
    <s v="NA"/>
    <n v="16072364.949200001"/>
    <n v="16072364.949200001"/>
    <m/>
    <m/>
    <n v="0"/>
    <n v="-832219.91"/>
    <m/>
    <n v="1"/>
    <n v="-832219.91"/>
    <n v="-832219.91"/>
    <n v="-832219.91"/>
    <m/>
    <s v="Private Equity Fund"/>
    <n v="0"/>
    <n v="0"/>
    <n v="0"/>
    <n v="0"/>
    <m/>
    <m/>
    <m/>
    <m/>
    <m/>
    <m/>
    <m/>
    <m/>
    <m/>
    <m/>
    <m/>
    <d v="2007-03-30T00:00:00"/>
    <n v="0.23855028283602819"/>
    <x v="0"/>
    <n v="0"/>
    <x v="71"/>
  </r>
  <r>
    <d v="2007-04-30T00:00:00"/>
    <x v="29"/>
    <s v="NA"/>
    <n v="18884341.082600001"/>
    <n v="18884341.0826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4-30T00:00:00"/>
    <n v="0.17495721023557054"/>
    <x v="0"/>
    <n v="0"/>
    <x v="72"/>
  </r>
  <r>
    <d v="2007-05-31T00:00:00"/>
    <x v="29"/>
    <s v="NA"/>
    <n v="20933279.1941"/>
    <n v="20933279.1941"/>
    <m/>
    <m/>
    <n v="0"/>
    <n v="-1571283.66"/>
    <m/>
    <n v="1"/>
    <n v="-1571283.66"/>
    <n v="-1571283.66"/>
    <n v="-1571283.66"/>
    <m/>
    <s v="Private Equity Fund"/>
    <n v="0"/>
    <n v="0"/>
    <n v="0"/>
    <n v="0"/>
    <m/>
    <m/>
    <m/>
    <m/>
    <m/>
    <m/>
    <m/>
    <m/>
    <m/>
    <m/>
    <m/>
    <d v="2007-05-31T00:00:00"/>
    <n v="0.19170495574429469"/>
    <x v="0"/>
    <n v="0"/>
    <x v="73"/>
  </r>
  <r>
    <d v="2007-06-29T00:00:00"/>
    <x v="29"/>
    <s v="NA"/>
    <n v="17347487.535700001"/>
    <n v="17347487.535700001"/>
    <m/>
    <m/>
    <n v="0"/>
    <n v="-2328706.88"/>
    <m/>
    <n v="1"/>
    <n v="-2328706.88"/>
    <n v="-2328706.88"/>
    <n v="-2328706.88"/>
    <m/>
    <s v="Private Equity Fund"/>
    <n v="0"/>
    <n v="0"/>
    <n v="0"/>
    <n v="0"/>
    <m/>
    <m/>
    <m/>
    <m/>
    <m/>
    <m/>
    <m/>
    <m/>
    <m/>
    <m/>
    <m/>
    <d v="2007-06-29T00:00:00"/>
    <n v="-6.0051975934774071E-2"/>
    <x v="0"/>
    <n v="0"/>
    <x v="74"/>
  </r>
  <r>
    <d v="2007-07-31T00:00:00"/>
    <x v="29"/>
    <s v="NA"/>
    <n v="16650986.466100002"/>
    <n v="16650986.4661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7-31T00:00:00"/>
    <n v="-4.0149968009295045E-2"/>
    <x v="0"/>
    <n v="0"/>
    <x v="75"/>
  </r>
  <r>
    <d v="2007-08-31T00:00:00"/>
    <x v="29"/>
    <s v="NA"/>
    <n v="17279581.752300002"/>
    <n v="17279581.752300002"/>
    <m/>
    <m/>
    <n v="0"/>
    <n v="-2134414.79"/>
    <m/>
    <n v="1"/>
    <n v="-2134414.79"/>
    <n v="-2134414.79"/>
    <n v="-2134414.79"/>
    <m/>
    <s v="Private Equity Fund"/>
    <n v="0"/>
    <n v="0"/>
    <n v="0"/>
    <n v="0"/>
    <m/>
    <m/>
    <m/>
    <m/>
    <m/>
    <m/>
    <m/>
    <m/>
    <m/>
    <m/>
    <m/>
    <d v="2007-08-31T00:00:00"/>
    <n v="0.1659367198349031"/>
    <x v="0"/>
    <n v="0"/>
    <x v="76"/>
  </r>
  <r>
    <d v="2007-09-30T00:00:00"/>
    <x v="29"/>
    <s v="NA"/>
    <n v="17240114.835999999"/>
    <n v="17240114.835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7-09-30T00:00:00"/>
    <n v="-2.2840203464270514E-3"/>
    <x v="0"/>
    <n v="0"/>
    <x v="77"/>
  </r>
  <r>
    <d v="2007-10-31T00:00:00"/>
    <x v="29"/>
    <s v="NA"/>
    <n v="17627440.259099998"/>
    <n v="17627440.2590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7-10-31T00:00:00"/>
    <n v="2.2466522223576035E-2"/>
    <x v="0"/>
    <n v="0"/>
    <x v="78"/>
  </r>
  <r>
    <d v="2007-11-30T00:00:00"/>
    <x v="29"/>
    <s v="NA"/>
    <n v="17281942.715799998"/>
    <n v="17281942.715799998"/>
    <m/>
    <m/>
    <n v="0"/>
    <n v="-3066750.1"/>
    <m/>
    <n v="1"/>
    <n v="-3066750.1"/>
    <n v="-3066750.1"/>
    <n v="-3066750.1"/>
    <m/>
    <s v="Private Equity Fund"/>
    <n v="0"/>
    <n v="0"/>
    <n v="0"/>
    <n v="0"/>
    <m/>
    <m/>
    <m/>
    <m/>
    <m/>
    <m/>
    <m/>
    <m/>
    <m/>
    <m/>
    <m/>
    <d v="2007-11-30T00:00:00"/>
    <n v="0.15437593415159534"/>
    <x v="0"/>
    <n v="0"/>
    <x v="79"/>
  </r>
  <r>
    <d v="2007-12-31T00:00:00"/>
    <x v="29"/>
    <s v="NA"/>
    <n v="14607353.548899999"/>
    <n v="14607353.5488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7-12-31T00:00:00"/>
    <n v="-0.1547620664460807"/>
    <x v="0"/>
    <n v="0"/>
    <x v="80"/>
  </r>
  <r>
    <d v="2008-01-31T00:00:00"/>
    <x v="29"/>
    <s v="NA"/>
    <n v="13312883.375400001"/>
    <n v="13312883.3754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1-31T00:00:00"/>
    <n v="-8.8617706771222604E-2"/>
    <x v="0"/>
    <n v="0"/>
    <x v="81"/>
  </r>
  <r>
    <d v="2008-02-29T00:00:00"/>
    <x v="29"/>
    <s v="NA"/>
    <n v="13858374.7568"/>
    <n v="13858374.756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2-29T00:00:00"/>
    <n v="4.097469841942547E-2"/>
    <x v="0"/>
    <n v="0"/>
    <x v="82"/>
  </r>
  <r>
    <d v="2008-03-31T00:00:00"/>
    <x v="29"/>
    <s v="NA"/>
    <n v="13198675.3157"/>
    <n v="13198675.315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3-31T00:00:00"/>
    <n v="-4.7602944261288638E-2"/>
    <x v="0"/>
    <n v="0"/>
    <x v="83"/>
  </r>
  <r>
    <d v="2008-04-30T00:00:00"/>
    <x v="29"/>
    <s v="NA"/>
    <n v="13212696.137141576"/>
    <n v="13212696.13714157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4-30T00:00:00"/>
    <n v="1.06229004852465E-3"/>
    <x v="0"/>
    <n v="0"/>
    <x v="84"/>
  </r>
  <r>
    <d v="2008-05-30T00:00:00"/>
    <x v="29"/>
    <s v="NA"/>
    <n v="12541219.000179252"/>
    <n v="12541219.00017925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5-30T00:00:00"/>
    <n v="-5.0820599368418651E-2"/>
    <x v="0"/>
    <n v="0"/>
    <x v="85"/>
  </r>
  <r>
    <d v="2008-06-30T00:00:00"/>
    <x v="29"/>
    <s v="NA"/>
    <n v="11973988.358993264"/>
    <n v="11973988.35899326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6-30T00:00:00"/>
    <n v="-4.522930675063408E-2"/>
    <x v="0"/>
    <n v="0"/>
    <x v="86"/>
  </r>
  <r>
    <d v="2008-07-31T00:00:00"/>
    <x v="29"/>
    <s v="NA"/>
    <n v="10851614.452166066"/>
    <n v="10851614.45216606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7-31T00:00:00"/>
    <n v="-9.3734340904400582E-2"/>
    <x v="0"/>
    <n v="0"/>
    <x v="87"/>
  </r>
  <r>
    <d v="2008-08-29T00:00:00"/>
    <x v="29"/>
    <s v="NA"/>
    <n v="8959547.3835000005"/>
    <n v="8959547.383500000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8-29T00:00:00"/>
    <n v="-0.17435811758759956"/>
    <x v="0"/>
    <n v="0"/>
    <x v="88"/>
  </r>
  <r>
    <d v="2008-09-30T00:00:00"/>
    <x v="29"/>
    <s v="NA"/>
    <n v="7731420.3601257904"/>
    <n v="7731420.36012579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09-30T00:00:00"/>
    <n v="-0.13707467250365146"/>
    <x v="0"/>
    <n v="0"/>
    <x v="89"/>
  </r>
  <r>
    <d v="2008-10-31T00:00:00"/>
    <x v="29"/>
    <s v="NA"/>
    <n v="5292774.6245671185"/>
    <n v="5292774.624567118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10-31T00:00:00"/>
    <n v="-0.31542014558357234"/>
    <x v="0"/>
    <n v="0"/>
    <x v="90"/>
  </r>
  <r>
    <d v="2008-11-28T00:00:00"/>
    <x v="29"/>
    <s v="NA"/>
    <n v="5177830.7596805431"/>
    <n v="5177830.759680543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11-28T00:00:00"/>
    <n v="-2.1717128168097011E-2"/>
    <x v="0"/>
    <n v="0"/>
    <x v="91"/>
  </r>
  <r>
    <d v="2008-12-31T00:00:00"/>
    <x v="29"/>
    <s v="NA"/>
    <n v="4669857.4962914446"/>
    <n v="4669857.496291444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8-12-31T00:00:00"/>
    <n v="-9.8105420390456888E-2"/>
    <x v="0"/>
    <n v="0"/>
    <x v="92"/>
  </r>
  <r>
    <d v="2009-01-30T00:00:00"/>
    <x v="29"/>
    <s v="NA"/>
    <n v="4318747.7726973919"/>
    <n v="4318747.772697391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1-30T00:00:00"/>
    <n v="-7.5186389279091603E-2"/>
    <x v="0"/>
    <n v="0"/>
    <x v="93"/>
  </r>
  <r>
    <d v="2009-02-27T00:00:00"/>
    <x v="29"/>
    <s v="NA"/>
    <n v="4224381.8455724195"/>
    <n v="4224381.845572419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2-27T00:00:00"/>
    <n v="-2.1850298302101057E-2"/>
    <x v="0"/>
    <n v="0"/>
    <x v="94"/>
  </r>
  <r>
    <d v="2009-03-31T00:00:00"/>
    <x v="29"/>
    <s v="NA"/>
    <n v="4152757.4557141424"/>
    <n v="4152757.455714142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3-31T00:00:00"/>
    <n v="-1.6954998974192281E-2"/>
    <x v="0"/>
    <n v="0"/>
    <x v="95"/>
  </r>
  <r>
    <d v="2009-04-30T00:00:00"/>
    <x v="29"/>
    <s v="NA"/>
    <n v="4184828.7385757361"/>
    <n v="4184828.738575736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4-30T00:00:00"/>
    <n v="7.7228885153077798E-3"/>
    <x v="0"/>
    <n v="0"/>
    <x v="96"/>
  </r>
  <r>
    <d v="2009-05-29T00:00:00"/>
    <x v="29"/>
    <s v="NA"/>
    <n v="4284028.4058595886"/>
    <n v="4284028.405859588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5-29T00:00:00"/>
    <n v="2.370459425721072E-2"/>
    <x v="0"/>
    <n v="0"/>
    <x v="97"/>
  </r>
  <r>
    <d v="2009-06-30T00:00:00"/>
    <x v="29"/>
    <s v="NA"/>
    <n v="4039300.7496487615"/>
    <n v="4039300.749648761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6-30T00:00:00"/>
    <n v="-5.7125591388725305E-2"/>
    <x v="0"/>
    <n v="0"/>
    <x v="98"/>
  </r>
  <r>
    <d v="2009-07-31T00:00:00"/>
    <x v="29"/>
    <s v="NA"/>
    <n v="4199125.3059773697"/>
    <n v="4199125.305977369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7-31T00:00:00"/>
    <n v="3.9567382137243978E-2"/>
    <x v="0"/>
    <n v="0"/>
    <x v="99"/>
  </r>
  <r>
    <d v="2009-08-31T00:00:00"/>
    <x v="29"/>
    <s v="NA"/>
    <n v="4518652.24"/>
    <n v="4518652.2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8-31T00:00:00"/>
    <n v="7.609368874222211E-2"/>
    <x v="0"/>
    <n v="0"/>
    <x v="100"/>
  </r>
  <r>
    <d v="2009-09-30T00:00:00"/>
    <x v="29"/>
    <s v="NA"/>
    <n v="6526871.8700000001"/>
    <n v="6526871.87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09-30T00:00:00"/>
    <n v="0.44442889678980912"/>
    <x v="0"/>
    <n v="0"/>
    <x v="101"/>
  </r>
  <r>
    <d v="2009-10-30T00:00:00"/>
    <x v="29"/>
    <s v="NA"/>
    <n v="6667129.0700000003"/>
    <n v="6667129.0700000003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10-30T00:00:00"/>
    <n v="2.1489191575013944E-2"/>
    <x v="0"/>
    <n v="0"/>
    <x v="102"/>
  </r>
  <r>
    <d v="2009-11-30T00:00:00"/>
    <x v="29"/>
    <s v="NA"/>
    <n v="8278917.5700000012"/>
    <n v="8278917.570000001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09-11-30T00:00:00"/>
    <n v="0.24175150699459924"/>
    <x v="0"/>
    <n v="0"/>
    <x v="103"/>
  </r>
  <r>
    <d v="2009-12-31T00:00:00"/>
    <x v="29"/>
    <s v="NA"/>
    <n v="6543605.8300000001"/>
    <n v="6543605.8300000001"/>
    <m/>
    <m/>
    <n v="0"/>
    <n v="-1835991.59"/>
    <m/>
    <n v="1"/>
    <n v="-1835991.59"/>
    <n v="-1835991.59"/>
    <n v="-1835991.59"/>
    <m/>
    <s v="Private Equity Fund"/>
    <n v="0"/>
    <n v="0"/>
    <n v="0"/>
    <n v="0"/>
    <m/>
    <m/>
    <m/>
    <m/>
    <m/>
    <m/>
    <m/>
    <m/>
    <m/>
    <m/>
    <m/>
    <d v="2009-12-31T00:00:00"/>
    <n v="1.2160991959242251E-2"/>
    <x v="0"/>
    <n v="0"/>
    <x v="104"/>
  </r>
  <r>
    <d v="2010-01-29T00:00:00"/>
    <x v="29"/>
    <s v="NA"/>
    <n v="6530913.1100000003"/>
    <n v="6530913.1100000003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1-29T00:00:00"/>
    <n v="-1.9397134133306571E-3"/>
    <x v="0"/>
    <n v="0"/>
    <x v="105"/>
  </r>
  <r>
    <d v="2010-02-26T00:00:00"/>
    <x v="29"/>
    <s v="NA"/>
    <n v="6800882.0099999998"/>
    <n v="6800882.00999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2-26T00:00:00"/>
    <n v="4.1337083414358711E-2"/>
    <x v="0"/>
    <n v="0"/>
    <x v="106"/>
  </r>
  <r>
    <d v="2010-03-31T00:00:00"/>
    <x v="29"/>
    <s v="NA"/>
    <n v="7315920.7999999998"/>
    <n v="7315920.79999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3-31T00:00:00"/>
    <n v="7.5731175639084602E-2"/>
    <x v="0"/>
    <n v="0"/>
    <x v="107"/>
  </r>
  <r>
    <d v="2010-04-30T00:00:00"/>
    <x v="29"/>
    <s v="NA"/>
    <n v="7671479.3700000001"/>
    <n v="7671479.37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4-30T00:00:00"/>
    <n v="4.8600658716808409E-2"/>
    <x v="0"/>
    <n v="0"/>
    <x v="108"/>
  </r>
  <r>
    <d v="2010-05-31T00:00:00"/>
    <x v="29"/>
    <s v="NA"/>
    <n v="6458096.7400000002"/>
    <n v="6458096.7400000002"/>
    <m/>
    <m/>
    <n v="0"/>
    <n v="-468343.73"/>
    <m/>
    <n v="1"/>
    <n v="-468343.73"/>
    <n v="-468343.73"/>
    <n v="-468343.73"/>
    <m/>
    <s v="Private Equity Fund"/>
    <n v="0"/>
    <n v="0"/>
    <n v="0"/>
    <n v="0"/>
    <m/>
    <m/>
    <m/>
    <m/>
    <m/>
    <m/>
    <m/>
    <m/>
    <m/>
    <m/>
    <m/>
    <d v="2010-05-31T00:00:00"/>
    <n v="-9.7118021709546642E-2"/>
    <x v="0"/>
    <n v="0"/>
    <x v="109"/>
  </r>
  <r>
    <d v="2010-06-30T00:00:00"/>
    <x v="29"/>
    <s v="NA"/>
    <n v="7782077.1200000001"/>
    <n v="7782077.12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6-30T00:00:00"/>
    <n v="0.20501092400792986"/>
    <x v="0"/>
    <n v="0"/>
    <x v="110"/>
  </r>
  <r>
    <d v="2010-07-30T00:00:00"/>
    <x v="29"/>
    <s v="NA"/>
    <n v="8892084.9900000002"/>
    <n v="8892084.99000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7-30T00:00:00"/>
    <n v="0.14263645205304787"/>
    <x v="0"/>
    <n v="0"/>
    <x v="111"/>
  </r>
  <r>
    <d v="2010-08-31T00:00:00"/>
    <x v="29"/>
    <s v="NA"/>
    <n v="8548219.9499999993"/>
    <n v="8548219.9499999993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8-31T00:00:00"/>
    <n v="-3.8670912433553029E-2"/>
    <x v="0"/>
    <n v="0"/>
    <x v="112"/>
  </r>
  <r>
    <d v="2010-09-30T00:00:00"/>
    <x v="29"/>
    <s v="NA"/>
    <n v="9010054.2200000007"/>
    <n v="9010054.220000000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09-30T00:00:00"/>
    <n v="5.4026952125863614E-2"/>
    <x v="0"/>
    <n v="0"/>
    <x v="113"/>
  </r>
  <r>
    <d v="2010-10-29T00:00:00"/>
    <x v="29"/>
    <s v="NA"/>
    <n v="9492515.5800000001"/>
    <n v="9492515.58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10-29T00:00:00"/>
    <n v="5.3546998521835754E-2"/>
    <x v="0"/>
    <n v="0"/>
    <x v="114"/>
  </r>
  <r>
    <d v="2010-11-30T00:00:00"/>
    <x v="29"/>
    <s v="NA"/>
    <n v="10907065.949999999"/>
    <n v="10907065.94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0-11-30T00:00:00"/>
    <n v="0.14901743990606109"/>
    <x v="0"/>
    <n v="0"/>
    <x v="115"/>
  </r>
  <r>
    <d v="2010-12-31T00:00:00"/>
    <x v="29"/>
    <s v="NA"/>
    <n v="9254283.2300000004"/>
    <n v="9254283.2300000004"/>
    <m/>
    <m/>
    <n v="0"/>
    <n v="-2011987.9699999997"/>
    <m/>
    <n v="1"/>
    <n v="-2011987.9699999997"/>
    <n v="-2011987.9699999997"/>
    <n v="-2011987.9699999997"/>
    <m/>
    <s v="Private Equity Fund"/>
    <n v="0"/>
    <n v="0"/>
    <n v="0"/>
    <n v="0"/>
    <m/>
    <m/>
    <m/>
    <m/>
    <m/>
    <m/>
    <m/>
    <m/>
    <m/>
    <m/>
    <m/>
    <d v="2010-12-31T00:00:00"/>
    <n v="3.2933261029745697E-2"/>
    <x v="0"/>
    <n v="0"/>
    <x v="116"/>
  </r>
  <r>
    <d v="2011-01-31T00:00:00"/>
    <x v="29"/>
    <s v="NA"/>
    <n v="9927969.2599999998"/>
    <n v="9927969.25999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1-31T00:00:00"/>
    <n v="7.2797213274830685E-2"/>
    <x v="0"/>
    <n v="0"/>
    <x v="117"/>
  </r>
  <r>
    <d v="2011-02-28T00:00:00"/>
    <x v="29"/>
    <s v="NA"/>
    <n v="10574605.560000001"/>
    <n v="10574605.56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2-28T00:00:00"/>
    <n v="6.5132786279396671E-2"/>
    <x v="0"/>
    <n v="0"/>
    <x v="118"/>
  </r>
  <r>
    <d v="2011-03-31T00:00:00"/>
    <x v="29"/>
    <s v="NA"/>
    <n v="11518178.51"/>
    <n v="11518178.5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3-31T00:00:00"/>
    <n v="8.9230084720058223E-2"/>
    <x v="0"/>
    <n v="0"/>
    <x v="119"/>
  </r>
  <r>
    <d v="2011-04-29T00:00:00"/>
    <x v="29"/>
    <s v="NA"/>
    <n v="12316067.75"/>
    <n v="12316067.7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4-29T00:00:00"/>
    <n v="6.9272171750704992E-2"/>
    <x v="0"/>
    <n v="0"/>
    <x v="120"/>
  </r>
  <r>
    <d v="2011-05-31T00:00:00"/>
    <x v="29"/>
    <s v="NA"/>
    <n v="12753495.609999999"/>
    <n v="12753495.60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5-31T00:00:00"/>
    <n v="3.551684424600543E-2"/>
    <x v="0"/>
    <n v="0"/>
    <x v="121"/>
  </r>
  <r>
    <d v="2011-06-30T00:00:00"/>
    <x v="29"/>
    <s v="NA"/>
    <n v="10370453.630000001"/>
    <n v="10370453.630000001"/>
    <m/>
    <m/>
    <n v="0"/>
    <n v="-2978130.2"/>
    <m/>
    <n v="1"/>
    <n v="-2978130.2"/>
    <n v="-2978130.2"/>
    <n v="-2978130.2"/>
    <m/>
    <s v="Private Equity Fund"/>
    <n v="0"/>
    <n v="0"/>
    <n v="0"/>
    <n v="0"/>
    <m/>
    <m/>
    <m/>
    <m/>
    <m/>
    <m/>
    <m/>
    <m/>
    <m/>
    <m/>
    <m/>
    <d v="2011-06-30T00:00:00"/>
    <n v="4.6660793103139087E-2"/>
    <x v="0"/>
    <n v="0"/>
    <x v="122"/>
  </r>
  <r>
    <d v="2011-07-29T00:00:00"/>
    <x v="29"/>
    <s v="NA"/>
    <n v="10458301.76"/>
    <n v="10458301.7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7-29T00:00:00"/>
    <n v="8.4710016682267852E-3"/>
    <x v="0"/>
    <n v="0"/>
    <x v="123"/>
  </r>
  <r>
    <d v="2011-08-31T00:00:00"/>
    <x v="29"/>
    <s v="NA"/>
    <n v="9288797.9000000004"/>
    <n v="9288797.9000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8-31T00:00:00"/>
    <n v="-0.1118254078757811"/>
    <x v="0"/>
    <n v="0"/>
    <x v="124"/>
  </r>
  <r>
    <d v="2011-09-30T00:00:00"/>
    <x v="29"/>
    <s v="NA"/>
    <n v="8044249.4800000014"/>
    <n v="8044249.480000001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09-30T00:00:00"/>
    <n v="-0.13398379783890002"/>
    <x v="0"/>
    <n v="0"/>
    <x v="125"/>
  </r>
  <r>
    <d v="2011-10-31T00:00:00"/>
    <x v="29"/>
    <s v="NA"/>
    <n v="9118415.7899999991"/>
    <n v="9118415.789999999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10-31T00:00:00"/>
    <n v="0.13353219746237865"/>
    <x v="0"/>
    <n v="0"/>
    <x v="126"/>
  </r>
  <r>
    <d v="2011-11-30T00:00:00"/>
    <x v="29"/>
    <s v="NA"/>
    <n v="8604088.0899999999"/>
    <n v="8604088.089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1-11-30T00:00:00"/>
    <n v="-5.640537916290822E-2"/>
    <x v="0"/>
    <n v="0"/>
    <x v="127"/>
  </r>
  <r>
    <d v="2011-12-30T00:00:00"/>
    <x v="29"/>
    <s v="NA"/>
    <n v="7934380.5999999996"/>
    <n v="7934380.5999999996"/>
    <m/>
    <m/>
    <n v="0"/>
    <n v="-600506.10366267851"/>
    <m/>
    <n v="1"/>
    <n v="-600506.10366267851"/>
    <n v="-600506.10366267851"/>
    <n v="-600506.10366267851"/>
    <m/>
    <s v="Private Equity Fund"/>
    <n v="0"/>
    <n v="0"/>
    <n v="0"/>
    <n v="0"/>
    <m/>
    <m/>
    <m/>
    <m/>
    <m/>
    <m/>
    <m/>
    <m/>
    <m/>
    <m/>
    <m/>
    <d v="2011-12-30T00:00:00"/>
    <n v="-8.0428495865528804E-3"/>
    <x v="0"/>
    <n v="0"/>
    <x v="128"/>
  </r>
  <r>
    <d v="2012-01-31T00:00:00"/>
    <x v="29"/>
    <s v="NA"/>
    <n v="8635682.4299999997"/>
    <n v="8635682.429999999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1-31T00:00:00"/>
    <n v="8.838772241402193E-2"/>
    <x v="0"/>
    <n v="0"/>
    <x v="129"/>
  </r>
  <r>
    <d v="2012-02-29T00:00:00"/>
    <x v="29"/>
    <s v="NA"/>
    <n v="9925296.3699999992"/>
    <n v="9925296.369999999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2-29T00:00:00"/>
    <n v="0.14933549843379312"/>
    <x v="0"/>
    <n v="0"/>
    <x v="130"/>
  </r>
  <r>
    <d v="2012-03-30T00:00:00"/>
    <x v="29"/>
    <s v="NA"/>
    <n v="9822358.0399999991"/>
    <n v="9822358.039999999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3-30T00:00:00"/>
    <n v="-1.0371310453876181E-2"/>
    <x v="0"/>
    <n v="0"/>
    <x v="131"/>
  </r>
  <r>
    <d v="2012-04-30T00:00:00"/>
    <x v="29"/>
    <s v="NA"/>
    <n v="10107152.790000001"/>
    <n v="10107152.79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4-30T00:00:00"/>
    <n v="2.8994539685910592E-2"/>
    <x v="0"/>
    <n v="0"/>
    <x v="132"/>
  </r>
  <r>
    <d v="2012-05-31T00:00:00"/>
    <x v="29"/>
    <s v="NA"/>
    <n v="9913889.6500000004"/>
    <n v="9913889.6500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5-31T00:00:00"/>
    <n v="-1.9121422621731332E-2"/>
    <x v="0"/>
    <n v="0"/>
    <x v="133"/>
  </r>
  <r>
    <d v="2012-06-29T00:00:00"/>
    <x v="29"/>
    <s v="NA"/>
    <n v="9542944.9800000004"/>
    <n v="9542944.9800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6-29T00:00:00"/>
    <n v="-3.7416663196367161E-2"/>
    <x v="0"/>
    <n v="0"/>
    <x v="134"/>
  </r>
  <r>
    <d v="2012-07-31T00:00:00"/>
    <x v="29"/>
    <s v="NA"/>
    <n v="9757848.9900000002"/>
    <n v="9757848.99000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7-31T00:00:00"/>
    <n v="2.2519674005287982E-2"/>
    <x v="0"/>
    <n v="0"/>
    <x v="135"/>
  </r>
  <r>
    <d v="2012-08-31T00:00:00"/>
    <x v="29"/>
    <s v="NA"/>
    <n v="11299019.74"/>
    <n v="11299019.7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  <m/>
    <m/>
    <m/>
    <d v="2012-08-31T00:00:00"/>
    <n v="0.15794164795739474"/>
    <x v="0"/>
    <n v="0"/>
    <x v="136"/>
  </r>
  <r>
    <d v="2012-09-28T00:00:00"/>
    <x v="29"/>
    <s v="NA"/>
    <n v="12259013.873834601"/>
    <n v="12259013.873834601"/>
    <m/>
    <m/>
    <n v="0"/>
    <n v="0"/>
    <m/>
    <n v="1"/>
    <n v="0"/>
    <n v="0"/>
    <n v="0"/>
    <m/>
    <s v="Private Equity Fund"/>
    <n v="0"/>
    <n v="1.2259013873834601"/>
    <n v="0"/>
    <n v="0"/>
    <m/>
    <m/>
    <m/>
    <m/>
    <m/>
    <m/>
    <m/>
    <m/>
    <m/>
    <m/>
    <m/>
    <d v="2012-09-28T00:00:00"/>
    <n v="8.4962603475777332E-2"/>
    <x v="0"/>
    <n v="0"/>
    <x v="137"/>
  </r>
  <r>
    <d v="2012-10-31T00:00:00"/>
    <x v="29"/>
    <s v="NA"/>
    <n v="12360190.223033275"/>
    <n v="12360190.223033275"/>
    <m/>
    <m/>
    <n v="0"/>
    <n v="0"/>
    <m/>
    <n v="1"/>
    <n v="0"/>
    <n v="0"/>
    <n v="0"/>
    <m/>
    <s v="Private Equity Fund"/>
    <n v="0"/>
    <n v="1.2360190223033276"/>
    <n v="0"/>
    <n v="0"/>
    <m/>
    <m/>
    <m/>
    <m/>
    <m/>
    <m/>
    <m/>
    <m/>
    <m/>
    <m/>
    <m/>
    <d v="2012-10-31T00:00:00"/>
    <n v="8.2532208740397905E-3"/>
    <x v="0"/>
    <n v="0"/>
    <x v="138"/>
  </r>
  <r>
    <d v="2012-11-30T00:00:00"/>
    <x v="29"/>
    <s v="NA"/>
    <n v="12522151.163343713"/>
    <n v="12522151.163343713"/>
    <m/>
    <m/>
    <n v="0"/>
    <n v="0"/>
    <m/>
    <n v="1"/>
    <n v="0"/>
    <n v="0"/>
    <n v="0"/>
    <m/>
    <s v="Private Equity Fund"/>
    <n v="0"/>
    <n v="1.2522151163343713"/>
    <n v="0"/>
    <n v="0"/>
    <m/>
    <m/>
    <m/>
    <m/>
    <m/>
    <m/>
    <m/>
    <m/>
    <m/>
    <m/>
    <m/>
    <d v="2012-11-30T00:00:00"/>
    <n v="1.3103434282801141E-2"/>
    <x v="0"/>
    <n v="0"/>
    <x v="139"/>
  </r>
  <r>
    <d v="2012-12-31T00:00:00"/>
    <x v="29"/>
    <s v="NA"/>
    <n v="11663643.111214403"/>
    <n v="11663643.111214403"/>
    <m/>
    <m/>
    <n v="0"/>
    <n v="-2477026.73"/>
    <m/>
    <n v="1"/>
    <n v="-2477026.73"/>
    <n v="-2477026.73"/>
    <n v="-2477026.73"/>
    <m/>
    <s v="Private Equity Fund"/>
    <n v="0"/>
    <n v="1.1663643111214403"/>
    <n v="0"/>
    <n v="0"/>
    <m/>
    <m/>
    <m/>
    <m/>
    <m/>
    <m/>
    <m/>
    <m/>
    <m/>
    <m/>
    <m/>
    <d v="2012-12-31T00:00:00"/>
    <n v="0.12925244686460946"/>
    <x v="0"/>
    <n v="0"/>
    <x v="140"/>
  </r>
  <r>
    <d v="2013-01-31T00:00:00"/>
    <x v="29"/>
    <s v="NA"/>
    <n v="12249015.800824463"/>
    <n v="12249015.800824463"/>
    <m/>
    <m/>
    <n v="0"/>
    <n v="0"/>
    <m/>
    <n v="1"/>
    <n v="0"/>
    <n v="0"/>
    <n v="0"/>
    <m/>
    <s v="Private Equity Fund"/>
    <n v="0"/>
    <n v="1.2249015800824463"/>
    <n v="0"/>
    <n v="0"/>
    <m/>
    <m/>
    <m/>
    <m/>
    <m/>
    <m/>
    <m/>
    <m/>
    <m/>
    <m/>
    <m/>
    <d v="2013-01-31T00:00:00"/>
    <n v="5.0187808734239558E-2"/>
    <x v="0"/>
    <n v="0"/>
    <x v="141"/>
  </r>
  <r>
    <d v="2013-02-28T00:00:00"/>
    <x v="29"/>
    <s v="NA"/>
    <n v="12311712.423821142"/>
    <n v="12311712.423821142"/>
    <m/>
    <m/>
    <n v="0"/>
    <n v="0"/>
    <m/>
    <n v="1"/>
    <n v="0"/>
    <n v="0"/>
    <n v="0"/>
    <m/>
    <s v="Private Equity Fund"/>
    <n v="0"/>
    <n v="1.2311712423821142"/>
    <n v="0"/>
    <n v="0"/>
    <m/>
    <m/>
    <m/>
    <m/>
    <m/>
    <m/>
    <m/>
    <m/>
    <m/>
    <m/>
    <m/>
    <d v="2013-02-28T00:00:00"/>
    <n v="5.1185029080016431E-3"/>
    <x v="0"/>
    <n v="0"/>
    <x v="142"/>
  </r>
  <r>
    <d v="2013-03-28T00:00:00"/>
    <x v="29"/>
    <s v="NA"/>
    <n v="11729882.238661507"/>
    <n v="11729882.238661507"/>
    <m/>
    <m/>
    <n v="0"/>
    <n v="-662953.29"/>
    <m/>
    <n v="1"/>
    <n v="-662953.29"/>
    <n v="-662953.29"/>
    <n v="-662953.29"/>
    <m/>
    <s v="Private Equity Fund"/>
    <n v="0"/>
    <n v="1.1729882238661506"/>
    <n v="0"/>
    <n v="0"/>
    <m/>
    <m/>
    <m/>
    <m/>
    <m/>
    <m/>
    <m/>
    <m/>
    <m/>
    <m/>
    <m/>
    <d v="2013-03-28T00:00:00"/>
    <n v="6.5891000413074163E-3"/>
    <x v="0"/>
    <n v="0"/>
    <x v="143"/>
  </r>
  <r>
    <d v="2013-04-30T00:00:00"/>
    <x v="29"/>
    <s v="NA"/>
    <n v="11735901.6124679"/>
    <n v="11735901.6124679"/>
    <m/>
    <m/>
    <n v="0"/>
    <n v="0"/>
    <m/>
    <n v="1"/>
    <n v="0"/>
    <n v="0"/>
    <n v="0"/>
    <m/>
    <s v="Private Equity Fund"/>
    <n v="0"/>
    <n v="1.1735901612467901"/>
    <n v="0"/>
    <n v="0"/>
    <m/>
    <m/>
    <m/>
    <m/>
    <m/>
    <m/>
    <m/>
    <m/>
    <m/>
    <m/>
    <m/>
    <d v="2013-04-30T00:00:00"/>
    <n v="5.1316574914572755E-4"/>
    <x v="0"/>
    <n v="0"/>
    <x v="144"/>
  </r>
  <r>
    <d v="2013-05-31T00:00:00"/>
    <x v="29"/>
    <s v="NA"/>
    <n v="13266416.386573002"/>
    <n v="13266416.386573002"/>
    <m/>
    <m/>
    <n v="0"/>
    <n v="0"/>
    <m/>
    <n v="1"/>
    <n v="0"/>
    <n v="0"/>
    <n v="0"/>
    <m/>
    <s v="Private Equity Fund"/>
    <n v="0"/>
    <n v="1.3266416386573003"/>
    <n v="0"/>
    <n v="0"/>
    <m/>
    <m/>
    <m/>
    <m/>
    <m/>
    <m/>
    <m/>
    <m/>
    <m/>
    <m/>
    <m/>
    <d v="2013-05-31T00:00:00"/>
    <n v="0.13041305428797445"/>
    <x v="0"/>
    <n v="0"/>
    <x v="145"/>
  </r>
  <r>
    <d v="2013-06-28T00:00:00"/>
    <x v="29"/>
    <s v="NA"/>
    <n v="11808721.390754219"/>
    <n v="11808721.390754219"/>
    <m/>
    <m/>
    <n v="0"/>
    <n v="0"/>
    <m/>
    <n v="1"/>
    <n v="0"/>
    <n v="0"/>
    <n v="0"/>
    <m/>
    <s v="Private Equity Fund"/>
    <n v="0"/>
    <n v="1.180872139075422"/>
    <n v="0"/>
    <n v="0"/>
    <m/>
    <m/>
    <m/>
    <m/>
    <m/>
    <m/>
    <m/>
    <m/>
    <m/>
    <m/>
    <m/>
    <d v="2013-06-28T00:00:00"/>
    <n v="-0.10987858011860097"/>
    <x v="0"/>
    <n v="0"/>
    <x v="146"/>
  </r>
  <r>
    <d v="2013-07-31T00:00:00"/>
    <x v="29"/>
    <s v="NA"/>
    <n v="11736773.782846084"/>
    <n v="11736773.782846084"/>
    <m/>
    <m/>
    <n v="0"/>
    <n v="0"/>
    <m/>
    <n v="1"/>
    <n v="0"/>
    <n v="0"/>
    <n v="0"/>
    <m/>
    <s v="Private Equity Fund"/>
    <n v="0"/>
    <n v="1.1736773782846084"/>
    <n v="0"/>
    <n v="0"/>
    <m/>
    <m/>
    <m/>
    <m/>
    <m/>
    <m/>
    <m/>
    <m/>
    <m/>
    <m/>
    <m/>
    <d v="2013-07-31T00:00:00"/>
    <n v="-6.0927517490985128E-3"/>
    <x v="0"/>
    <n v="0"/>
    <x v="147"/>
  </r>
  <r>
    <d v="2013-08-30T00:00:00"/>
    <x v="29"/>
    <s v="NA"/>
    <n v="11566719.12818744"/>
    <n v="11566719.12818744"/>
    <m/>
    <m/>
    <n v="0"/>
    <n v="0"/>
    <m/>
    <n v="1"/>
    <n v="0"/>
    <n v="0"/>
    <n v="0"/>
    <m/>
    <s v="Private Equity Fund"/>
    <n v="0"/>
    <n v="1.1566719128187442"/>
    <n v="0"/>
    <n v="0"/>
    <m/>
    <m/>
    <m/>
    <m/>
    <m/>
    <m/>
    <m/>
    <m/>
    <m/>
    <m/>
    <m/>
    <d v="2013-08-30T00:00:00"/>
    <n v="-1.4489045951212587E-2"/>
    <x v="0"/>
    <n v="0"/>
    <x v="148"/>
  </r>
  <r>
    <d v="2013-09-30T00:00:00"/>
    <x v="29"/>
    <s v="NA"/>
    <n v="11750427.537092499"/>
    <n v="11750427.537092499"/>
    <m/>
    <m/>
    <n v="0"/>
    <n v="0"/>
    <m/>
    <n v="1"/>
    <n v="0"/>
    <n v="0"/>
    <n v="0"/>
    <m/>
    <s v="Private Equity Fund"/>
    <n v="0"/>
    <n v="1.1750427537092498"/>
    <n v="0"/>
    <n v="0"/>
    <m/>
    <m/>
    <m/>
    <m/>
    <m/>
    <m/>
    <m/>
    <m/>
    <m/>
    <m/>
    <m/>
    <d v="2013-09-30T00:00:00"/>
    <n v="1.5882499338759848E-2"/>
    <x v="0"/>
    <n v="0"/>
    <x v="0"/>
  </r>
  <r>
    <d v="2013-10-31T00:00:00"/>
    <x v="29"/>
    <s v="NA"/>
    <n v="11887180.954927858"/>
    <n v="11887180.954927858"/>
    <m/>
    <m/>
    <n v="0"/>
    <n v="0"/>
    <m/>
    <n v="1"/>
    <n v="0"/>
    <n v="0"/>
    <n v="0"/>
    <m/>
    <s v="Private Equity Fund"/>
    <n v="0"/>
    <n v="1.1887180954927858"/>
    <n v="0"/>
    <n v="0"/>
    <m/>
    <m/>
    <m/>
    <m/>
    <m/>
    <m/>
    <m/>
    <m/>
    <m/>
    <m/>
    <m/>
    <d v="2013-10-31T00:00:00"/>
    <n v="1.1638165284086011E-2"/>
    <x v="0"/>
    <n v="0"/>
    <x v="1"/>
  </r>
  <r>
    <d v="2013-11-29T00:00:00"/>
    <x v="29"/>
    <s v="NA"/>
    <n v="11702406.115568081"/>
    <n v="11702406.115568081"/>
    <m/>
    <m/>
    <n v="0"/>
    <n v="0"/>
    <m/>
    <n v="1"/>
    <n v="0"/>
    <n v="0"/>
    <n v="0"/>
    <m/>
    <s v="Private Equity Fund"/>
    <n v="0"/>
    <n v="1.1702406115568083"/>
    <n v="0"/>
    <n v="0"/>
    <m/>
    <m/>
    <m/>
    <m/>
    <m/>
    <m/>
    <m/>
    <m/>
    <m/>
    <m/>
    <m/>
    <d v="2013-11-29T00:00:00"/>
    <n v="-1.5544041944038689E-2"/>
    <x v="0"/>
    <n v="0"/>
    <x v="2"/>
  </r>
  <r>
    <d v="2013-12-31T00:00:00"/>
    <x v="29"/>
    <s v="NA"/>
    <n v="11764090.47267909"/>
    <n v="11764090.47267909"/>
    <m/>
    <m/>
    <n v="0"/>
    <n v="0"/>
    <m/>
    <n v="1"/>
    <n v="0"/>
    <n v="0"/>
    <n v="0"/>
    <m/>
    <s v="Private Equity Fund"/>
    <n v="0"/>
    <n v="1.176409047267909"/>
    <n v="0"/>
    <n v="0"/>
    <m/>
    <m/>
    <m/>
    <m/>
    <m/>
    <m/>
    <m/>
    <m/>
    <m/>
    <m/>
    <m/>
    <d v="2013-12-31T00:00:00"/>
    <n v="5.2710832714093492E-3"/>
    <x v="0"/>
    <n v="0"/>
    <x v="3"/>
  </r>
  <r>
    <d v="2014-01-30T00:00:00"/>
    <x v="29"/>
    <s v="NA"/>
    <n v="11676868.879779583"/>
    <n v="11676868.879779583"/>
    <m/>
    <m/>
    <n v="0"/>
    <n v="0"/>
    <m/>
    <n v="1"/>
    <n v="0"/>
    <n v="0"/>
    <n v="0"/>
    <m/>
    <s v="Private Equity Fund"/>
    <n v="0"/>
    <n v="1.1676868879779583"/>
    <n v="0"/>
    <n v="0"/>
    <m/>
    <m/>
    <m/>
    <m/>
    <m/>
    <m/>
    <m/>
    <m/>
    <m/>
    <m/>
    <m/>
    <d v="2014-01-30T00:00:00"/>
    <n v="-7.4142232331577684E-3"/>
    <x v="0"/>
    <n v="0"/>
    <x v="4"/>
  </r>
  <r>
    <d v="2014-02-28T00:00:00"/>
    <x v="29"/>
    <s v="NA"/>
    <n v="11583844.626509063"/>
    <n v="11583844.626509063"/>
    <m/>
    <m/>
    <n v="0"/>
    <n v="0"/>
    <m/>
    <n v="1"/>
    <n v="0"/>
    <n v="0"/>
    <n v="0"/>
    <m/>
    <s v="Private Equity Fund"/>
    <n v="0"/>
    <n v="1.1583844626509063"/>
    <n v="0"/>
    <n v="0"/>
    <m/>
    <m/>
    <m/>
    <m/>
    <m/>
    <m/>
    <m/>
    <m/>
    <m/>
    <m/>
    <m/>
    <d v="2014-02-28T00:00:00"/>
    <n v="-7.9665408790884351E-3"/>
    <x v="0"/>
    <n v="0"/>
    <x v="5"/>
  </r>
  <r>
    <d v="2014-03-31T00:00:00"/>
    <x v="29"/>
    <s v="NA"/>
    <n v="11430571.1"/>
    <n v="11430571.1"/>
    <m/>
    <m/>
    <n v="0"/>
    <n v="0"/>
    <m/>
    <n v="1"/>
    <n v="0"/>
    <n v="0"/>
    <n v="0"/>
    <m/>
    <s v="Private Equity Fund"/>
    <n v="0"/>
    <n v="1.14305711"/>
    <n v="0"/>
    <n v="0"/>
    <m/>
    <m/>
    <m/>
    <m/>
    <m/>
    <m/>
    <m/>
    <m/>
    <m/>
    <m/>
    <m/>
    <d v="2014-03-31T00:00:00"/>
    <n v="-1.3231662841739489E-2"/>
    <x v="0"/>
    <n v="0"/>
    <x v="6"/>
  </r>
  <r>
    <d v="2014-04-30T00:00:00"/>
    <x v="29"/>
    <s v="NA"/>
    <n v="12077816.77"/>
    <n v="12077816.77"/>
    <m/>
    <m/>
    <n v="0"/>
    <n v="0"/>
    <m/>
    <n v="1"/>
    <n v="0"/>
    <n v="0"/>
    <n v="0"/>
    <m/>
    <s v="Private Equity Fund"/>
    <n v="0"/>
    <n v="1.2077816770000001"/>
    <n v="0"/>
    <n v="0"/>
    <m/>
    <m/>
    <m/>
    <m/>
    <m/>
    <m/>
    <m/>
    <m/>
    <m/>
    <m/>
    <m/>
    <d v="2014-04-30T00:00:00"/>
    <n v="5.6624088537448491E-2"/>
    <x v="0"/>
    <n v="0"/>
    <x v="7"/>
  </r>
  <r>
    <d v="2014-05-30T00:00:00"/>
    <x v="29"/>
    <s v="NA"/>
    <n v="10377040.9767846"/>
    <n v="10377040.9767846"/>
    <m/>
    <m/>
    <n v="0"/>
    <n v="-346558.62999999902"/>
    <m/>
    <n v="1"/>
    <n v="-346558.62999999902"/>
    <n v="-346558.62999999902"/>
    <n v="-346558.62999999902"/>
    <m/>
    <s v="Private Equity Fund"/>
    <n v="0"/>
    <n v="1.0377040976784602"/>
    <n v="0"/>
    <n v="0"/>
    <m/>
    <m/>
    <m/>
    <m/>
    <m/>
    <m/>
    <m/>
    <m/>
    <m/>
    <m/>
    <m/>
    <d v="2014-05-30T00:00:00"/>
    <n v="-0.11212433414117784"/>
    <x v="0"/>
    <n v="0"/>
    <x v="8"/>
  </r>
  <r>
    <d v="2014-06-30T00:00:00"/>
    <x v="29"/>
    <s v="NA"/>
    <n v="9796896.9100000001"/>
    <n v="9796896.9100000001"/>
    <m/>
    <m/>
    <n v="0"/>
    <n v="0"/>
    <m/>
    <n v="1"/>
    <n v="0"/>
    <n v="0"/>
    <n v="0"/>
    <m/>
    <s v="Private Equity Fund"/>
    <n v="0"/>
    <n v="0.97968969100000014"/>
    <n v="0"/>
    <n v="0"/>
    <m/>
    <m/>
    <m/>
    <m/>
    <m/>
    <m/>
    <m/>
    <m/>
    <m/>
    <m/>
    <m/>
    <d v="2014-06-30T00:00:00"/>
    <n v="-5.5906502449252327E-2"/>
    <x v="0"/>
    <n v="0"/>
    <x v="9"/>
  </r>
  <r>
    <d v="2014-07-31T00:00:00"/>
    <x v="29"/>
    <s v="NA"/>
    <n v="9352044.7416898012"/>
    <n v="9352044.7416898012"/>
    <m/>
    <m/>
    <n v="0"/>
    <n v="0"/>
    <m/>
    <n v="1"/>
    <n v="0"/>
    <n v="0"/>
    <n v="0"/>
    <m/>
    <s v="Private Equity Fund"/>
    <n v="0"/>
    <n v="0.93520447416898012"/>
    <n v="0"/>
    <n v="0"/>
    <m/>
    <m/>
    <m/>
    <m/>
    <m/>
    <m/>
    <m/>
    <m/>
    <m/>
    <m/>
    <m/>
    <d v="2014-07-31T00:00:00"/>
    <n v="-4.5407456299363935E-2"/>
    <x v="0"/>
    <n v="0"/>
    <x v="10"/>
  </r>
  <r>
    <d v="2014-08-29T00:00:00"/>
    <x v="29"/>
    <s v="NA"/>
    <n v="8890893.009968942"/>
    <n v="8890893.009968942"/>
    <m/>
    <m/>
    <n v="0"/>
    <n v="0"/>
    <m/>
    <n v="1"/>
    <n v="0"/>
    <n v="0"/>
    <n v="0"/>
    <m/>
    <s v="Private Equity Fund"/>
    <n v="0"/>
    <n v="0.88908930099689421"/>
    <n v="0"/>
    <n v="0"/>
    <m/>
    <m/>
    <m/>
    <m/>
    <m/>
    <m/>
    <m/>
    <m/>
    <m/>
    <m/>
    <m/>
    <d v="2014-08-29T00:00:00"/>
    <n v="-4.931025721734672E-2"/>
    <x v="0"/>
    <n v="0"/>
    <x v="11"/>
  </r>
  <r>
    <d v="2014-09-30T00:00:00"/>
    <x v="29"/>
    <s v="NA"/>
    <n v="8044295.8954608878"/>
    <n v="8044295.8954608878"/>
    <m/>
    <m/>
    <n v="0"/>
    <n v="0"/>
    <m/>
    <n v="1"/>
    <n v="0"/>
    <n v="0"/>
    <n v="0"/>
    <m/>
    <s v="Private Equity Fund"/>
    <n v="0"/>
    <n v="0.80442958954608879"/>
    <n v="0"/>
    <n v="0"/>
    <m/>
    <m/>
    <m/>
    <m/>
    <m/>
    <m/>
    <m/>
    <m/>
    <m/>
    <m/>
    <m/>
    <d v="2014-09-30T00:00:00"/>
    <n v="-9.5220706576808922E-2"/>
    <x v="0"/>
    <n v="0"/>
    <x v="12"/>
  </r>
  <r>
    <d v="2014-10-31T00:00:00"/>
    <x v="29"/>
    <s v="NA"/>
    <n v="8771280.3446469381"/>
    <n v="8771280.3446469381"/>
    <m/>
    <m/>
    <n v="0"/>
    <n v="0"/>
    <m/>
    <n v="1"/>
    <n v="0"/>
    <n v="0"/>
    <n v="0"/>
    <m/>
    <s v="Private Equity Fund"/>
    <n v="0"/>
    <n v="0.87712803446469378"/>
    <n v="0"/>
    <n v="0"/>
    <m/>
    <m/>
    <m/>
    <m/>
    <m/>
    <m/>
    <m/>
    <m/>
    <m/>
    <m/>
    <m/>
    <d v="2014-10-31T00:00:00"/>
    <n v="9.0372663889236371E-2"/>
    <x v="0"/>
    <n v="0"/>
    <x v="149"/>
  </r>
  <r>
    <d v="2014-11-28T00:00:00"/>
    <x v="29"/>
    <s v="NA"/>
    <n v="8579195.0304291267"/>
    <n v="8579195.0304291267"/>
    <m/>
    <m/>
    <n v="0"/>
    <n v="0"/>
    <m/>
    <n v="1"/>
    <n v="0"/>
    <n v="0"/>
    <n v="0"/>
    <m/>
    <s v="Private Equity Fund"/>
    <n v="0"/>
    <n v="0.85791950304291265"/>
    <n v="0"/>
    <n v="0"/>
    <m/>
    <m/>
    <m/>
    <m/>
    <m/>
    <m/>
    <m/>
    <m/>
    <m/>
    <m/>
    <m/>
    <d v="2014-11-28T00:00:00"/>
    <n v="-2.1899347264055957E-2"/>
    <x v="0"/>
    <n v="0"/>
    <x v="150"/>
  </r>
  <r>
    <d v="2014-12-31T00:00:00"/>
    <x v="29"/>
    <s v="NA"/>
    <n v="7981146.8548097275"/>
    <n v="7981146.8548097275"/>
    <m/>
    <m/>
    <n v="0"/>
    <n v="0"/>
    <m/>
    <n v="1"/>
    <n v="0"/>
    <n v="0"/>
    <n v="0"/>
    <m/>
    <s v="Private Equity Fund"/>
    <n v="0"/>
    <n v="0.79811468548097286"/>
    <n v="0"/>
    <n v="0"/>
    <m/>
    <m/>
    <m/>
    <m/>
    <m/>
    <m/>
    <m/>
    <m/>
    <m/>
    <m/>
    <m/>
    <d v="2014-12-31T00:00:00"/>
    <n v="-6.9709124632114206E-2"/>
    <x v="0"/>
    <n v="0"/>
    <x v="151"/>
  </r>
  <r>
    <d v="2015-01-30T00:00:00"/>
    <x v="29"/>
    <s v="NA"/>
    <n v="7732859.4476359673"/>
    <n v="7732859.4476359673"/>
    <m/>
    <m/>
    <n v="0"/>
    <n v="0"/>
    <m/>
    <n v="1"/>
    <n v="0"/>
    <n v="0"/>
    <n v="0"/>
    <m/>
    <s v="Private Equity Fund"/>
    <n v="0"/>
    <n v="0.77328594476359669"/>
    <n v="0"/>
    <n v="0"/>
    <m/>
    <m/>
    <m/>
    <m/>
    <m/>
    <m/>
    <m/>
    <m/>
    <m/>
    <m/>
    <m/>
    <d v="2015-01-30T00:00:00"/>
    <n v="-3.1109239272315015E-2"/>
    <x v="0"/>
    <n v="0"/>
    <x v="152"/>
  </r>
  <r>
    <d v="2015-02-27T00:00:00"/>
    <x v="29"/>
    <s v="NA"/>
    <n v="7482915.7060653726"/>
    <n v="7482915.7060653726"/>
    <m/>
    <m/>
    <n v="0"/>
    <n v="0"/>
    <m/>
    <n v="1"/>
    <n v="0"/>
    <n v="0"/>
    <n v="0"/>
    <m/>
    <s v="Private Equity Fund"/>
    <n v="0"/>
    <n v="0.74829157060653728"/>
    <n v="0"/>
    <n v="0"/>
    <m/>
    <m/>
    <m/>
    <m/>
    <m/>
    <m/>
    <m/>
    <m/>
    <m/>
    <m/>
    <m/>
    <d v="2015-02-27T00:00:00"/>
    <n v="-3.2322292065841918E-2"/>
    <x v="0"/>
    <n v="0"/>
    <x v="153"/>
  </r>
  <r>
    <d v="2015-03-31T00:00:00"/>
    <x v="29"/>
    <s v="NA"/>
    <n v="6302512.1139103901"/>
    <n v="6302512.1139103901"/>
    <m/>
    <m/>
    <n v="0"/>
    <n v="0"/>
    <m/>
    <n v="1"/>
    <n v="0"/>
    <n v="0"/>
    <n v="0"/>
    <m/>
    <s v="Private Equity Fund"/>
    <n v="0"/>
    <n v="0.63025121139103901"/>
    <n v="0"/>
    <n v="0"/>
    <m/>
    <m/>
    <m/>
    <m/>
    <m/>
    <m/>
    <m/>
    <m/>
    <m/>
    <m/>
    <m/>
    <d v="2015-03-31T00:00:00"/>
    <n v="-0.15774647724525237"/>
    <x v="0"/>
    <n v="0"/>
    <x v="154"/>
  </r>
  <r>
    <d v="2015-04-30T00:00:00"/>
    <x v="29"/>
    <s v="NA"/>
    <n v="6469526.0955323968"/>
    <n v="6469526.0955323968"/>
    <m/>
    <m/>
    <n v="0"/>
    <n v="0"/>
    <m/>
    <n v="1"/>
    <n v="0"/>
    <n v="0"/>
    <n v="0"/>
    <m/>
    <s v="Private Equity Fund"/>
    <n v="0"/>
    <n v="0.64695260955323974"/>
    <n v="0"/>
    <n v="0"/>
    <m/>
    <m/>
    <m/>
    <m/>
    <m/>
    <m/>
    <m/>
    <m/>
    <m/>
    <m/>
    <m/>
    <d v="2015-04-30T00:00:00"/>
    <n v="2.6499589148490044E-2"/>
    <x v="0"/>
    <n v="0"/>
    <x v="155"/>
  </r>
  <r>
    <d v="2015-05-29T00:00:00"/>
    <x v="29"/>
    <s v="NA"/>
    <n v="6014644.6195175694"/>
    <n v="6014644.6195175694"/>
    <m/>
    <m/>
    <n v="0"/>
    <n v="0"/>
    <m/>
    <n v="1"/>
    <n v="0"/>
    <n v="0"/>
    <n v="0"/>
    <m/>
    <s v="Private Equity Fund"/>
    <n v="0"/>
    <n v="0.60146446195175696"/>
    <n v="0"/>
    <n v="0"/>
    <m/>
    <m/>
    <m/>
    <m/>
    <m/>
    <m/>
    <m/>
    <m/>
    <m/>
    <m/>
    <m/>
    <d v="2015-05-29T00:00:00"/>
    <n v="-7.0311406013023214E-2"/>
    <x v="0"/>
    <n v="0"/>
    <x v="156"/>
  </r>
  <r>
    <d v="2015-06-30T00:00:00"/>
    <x v="29"/>
    <s v="NA"/>
    <n v="5053632.1086379457"/>
    <n v="5053632.1086379457"/>
    <m/>
    <m/>
    <n v="0"/>
    <n v="0"/>
    <m/>
    <n v="1"/>
    <n v="0"/>
    <n v="0"/>
    <n v="0"/>
    <m/>
    <s v="Private Equity Fund"/>
    <n v="0"/>
    <n v="0.50536321086379465"/>
    <n v="0"/>
    <n v="0"/>
    <m/>
    <m/>
    <m/>
    <m/>
    <m/>
    <m/>
    <m/>
    <m/>
    <m/>
    <m/>
    <m/>
    <d v="2015-06-30T00:00:00"/>
    <n v="-0.1597787686010792"/>
    <x v="0"/>
    <n v="0"/>
    <x v="157"/>
  </r>
  <r>
    <d v="2015-07-31T00:00:00"/>
    <x v="29"/>
    <s v="NA"/>
    <n v="4574254.4232739527"/>
    <n v="4574254.4232739527"/>
    <m/>
    <m/>
    <n v="0"/>
    <n v="0"/>
    <m/>
    <n v="1"/>
    <n v="0"/>
    <n v="0"/>
    <n v="0"/>
    <m/>
    <s v="Private Equity Fund"/>
    <n v="0"/>
    <n v="0.45742544232739529"/>
    <n v="0"/>
    <n v="0"/>
    <m/>
    <m/>
    <m/>
    <m/>
    <m/>
    <m/>
    <m/>
    <m/>
    <m/>
    <m/>
    <m/>
    <d v="2015-07-31T00:00:00"/>
    <n v="-9.4858049628229635E-2"/>
    <x v="0"/>
    <n v="0"/>
    <x v="158"/>
  </r>
  <r>
    <d v="2015-08-31T00:00:00"/>
    <x v="29"/>
    <s v="NA"/>
    <n v="3346522.7698141458"/>
    <n v="3346522.7698141458"/>
    <m/>
    <m/>
    <n v="0"/>
    <n v="0"/>
    <m/>
    <n v="1"/>
    <n v="0"/>
    <n v="0"/>
    <n v="0"/>
    <m/>
    <s v="Private Equity Fund"/>
    <n v="0"/>
    <n v="0.33465227698141459"/>
    <n v="0"/>
    <n v="0"/>
    <m/>
    <m/>
    <m/>
    <m/>
    <m/>
    <m/>
    <m/>
    <m/>
    <m/>
    <m/>
    <m/>
    <d v="2015-08-31T00:00:00"/>
    <n v="-0.26840038612917305"/>
    <x v="0"/>
    <n v="0"/>
    <x v="159"/>
  </r>
  <r>
    <d v="2015-09-30T00:00:00"/>
    <x v="29"/>
    <s v="NA"/>
    <n v="3919614.6482686936"/>
    <n v="3919614.6482686936"/>
    <m/>
    <m/>
    <n v="0"/>
    <n v="0"/>
    <m/>
    <n v="1"/>
    <n v="0"/>
    <n v="0"/>
    <n v="0"/>
    <m/>
    <s v="Private Equity Fund"/>
    <n v="0"/>
    <n v="0.39196146482686939"/>
    <n v="0"/>
    <n v="0"/>
    <m/>
    <m/>
    <m/>
    <m/>
    <m/>
    <m/>
    <m/>
    <m/>
    <m/>
    <m/>
    <m/>
    <d v="2015-09-30T00:00:00"/>
    <n v="0.17124995640964236"/>
    <x v="0"/>
    <n v="0"/>
    <x v="160"/>
  </r>
  <r>
    <d v="2015-10-30T00:00:00"/>
    <x v="29"/>
    <s v="NA"/>
    <n v="4174230.9565974711"/>
    <n v="4174230.9565974711"/>
    <m/>
    <m/>
    <n v="0"/>
    <n v="0"/>
    <m/>
    <n v="1"/>
    <n v="0"/>
    <n v="0"/>
    <n v="0"/>
    <m/>
    <s v="Private Equity Fund"/>
    <n v="0"/>
    <n v="0.41742309565974711"/>
    <n v="0"/>
    <n v="0"/>
    <m/>
    <m/>
    <m/>
    <m/>
    <m/>
    <m/>
    <m/>
    <m/>
    <m/>
    <m/>
    <m/>
    <d v="2015-10-30T00:00:00"/>
    <n v="6.4959525661851147E-2"/>
    <x v="0"/>
    <n v="0"/>
    <x v="161"/>
  </r>
  <r>
    <d v="2015-11-30T00:00:00"/>
    <x v="29"/>
    <s v="NA"/>
    <n v="3550027.1552387862"/>
    <n v="3550027.1552387862"/>
    <m/>
    <m/>
    <n v="0"/>
    <n v="0"/>
    <m/>
    <n v="1"/>
    <n v="0"/>
    <n v="0"/>
    <n v="0"/>
    <m/>
    <s v="Private Equity Fund"/>
    <n v="0"/>
    <n v="0.35500271552387863"/>
    <n v="0"/>
    <n v="0"/>
    <m/>
    <m/>
    <m/>
    <m/>
    <m/>
    <m/>
    <m/>
    <m/>
    <m/>
    <m/>
    <m/>
    <d v="2015-11-30T00:00:00"/>
    <n v="-0.14953743763797156"/>
    <x v="0"/>
    <n v="0"/>
    <x v="162"/>
  </r>
  <r>
    <d v="2015-12-31T00:00:00"/>
    <x v="29"/>
    <s v="NA"/>
    <n v="3542318.3312115283"/>
    <n v="3542318.3312115283"/>
    <m/>
    <m/>
    <n v="0"/>
    <n v="0"/>
    <m/>
    <n v="1"/>
    <n v="0"/>
    <n v="0"/>
    <n v="0"/>
    <m/>
    <s v="Private Equity Fund"/>
    <n v="0"/>
    <n v="0.35423183312115286"/>
    <n v="0"/>
    <n v="0"/>
    <m/>
    <m/>
    <m/>
    <m/>
    <m/>
    <m/>
    <m/>
    <m/>
    <m/>
    <m/>
    <m/>
    <d v="2015-12-31T00:00:00"/>
    <n v="-2.1714831155255077E-3"/>
    <x v="0"/>
    <n v="0"/>
    <x v="163"/>
  </r>
  <r>
    <d v="2016-01-29T00:00:00"/>
    <x v="29"/>
    <s v="NA"/>
    <n v="2908506.6755012688"/>
    <n v="2908506.6755012688"/>
    <m/>
    <m/>
    <n v="0"/>
    <n v="0"/>
    <m/>
    <n v="1"/>
    <n v="0"/>
    <n v="0"/>
    <n v="0"/>
    <m/>
    <s v="Private Equity Fund"/>
    <n v="0"/>
    <n v="0.2908506675501269"/>
    <n v="0"/>
    <n v="0"/>
    <m/>
    <m/>
    <m/>
    <m/>
    <m/>
    <m/>
    <m/>
    <m/>
    <m/>
    <m/>
    <m/>
    <d v="2016-01-29T00:00:00"/>
    <n v="-0.17892566292693579"/>
    <x v="0"/>
    <n v="0"/>
    <x v="164"/>
  </r>
  <r>
    <d v="2016-02-29T00:00:00"/>
    <x v="29"/>
    <s v="NA"/>
    <n v="3186703.4429349126"/>
    <n v="3186703.4429349126"/>
    <m/>
    <m/>
    <n v="0"/>
    <n v="0"/>
    <m/>
    <n v="1"/>
    <n v="0"/>
    <n v="0"/>
    <n v="0"/>
    <m/>
    <s v="Private Equity Fund"/>
    <n v="0"/>
    <n v="0.31867034429349128"/>
    <n v="0"/>
    <n v="0"/>
    <m/>
    <m/>
    <m/>
    <m/>
    <m/>
    <m/>
    <m/>
    <m/>
    <m/>
    <m/>
    <m/>
    <d v="2016-02-29T00:00:00"/>
    <n v="9.5649348092246678E-2"/>
    <x v="0"/>
    <n v="0"/>
    <x v="165"/>
  </r>
  <r>
    <d v="2016-03-31T00:00:00"/>
    <x v="29"/>
    <s v="NA"/>
    <n v="3870898.4679717189"/>
    <n v="3870898.4679717189"/>
    <m/>
    <m/>
    <n v="0"/>
    <n v="0"/>
    <m/>
    <n v="1"/>
    <n v="0"/>
    <n v="0"/>
    <n v="0"/>
    <m/>
    <s v="Private Equity Fund"/>
    <n v="0"/>
    <n v="0.3870898467971719"/>
    <n v="0"/>
    <n v="0"/>
    <m/>
    <m/>
    <m/>
    <m/>
    <m/>
    <m/>
    <m/>
    <m/>
    <m/>
    <m/>
    <m/>
    <d v="2016-03-31T00:00:00"/>
    <n v="0.21470307397247845"/>
    <x v="0"/>
    <n v="0"/>
    <x v="166"/>
  </r>
  <r>
    <d v="2016-04-29T00:00:00"/>
    <x v="29"/>
    <s v="NA"/>
    <n v="3469102.0631553303"/>
    <n v="3469102.0631553303"/>
    <m/>
    <m/>
    <n v="0"/>
    <n v="0"/>
    <m/>
    <n v="1"/>
    <n v="0"/>
    <n v="0"/>
    <n v="0"/>
    <m/>
    <s v="Private Equity Fund"/>
    <n v="0"/>
    <n v="0.34691020631553304"/>
    <n v="0"/>
    <n v="0"/>
    <m/>
    <m/>
    <m/>
    <m/>
    <m/>
    <m/>
    <m/>
    <m/>
    <m/>
    <m/>
    <m/>
    <d v="2016-04-29T00:00:00"/>
    <n v="-0.1037992621457009"/>
    <x v="0"/>
    <n v="0"/>
    <x v="167"/>
  </r>
  <r>
    <d v="2016-05-31T00:00:00"/>
    <x v="29"/>
    <s v="NA"/>
    <n v="3610901.9761490626"/>
    <n v="3610901.9761490626"/>
    <m/>
    <m/>
    <n v="0"/>
    <n v="0"/>
    <m/>
    <n v="1"/>
    <n v="0"/>
    <n v="0"/>
    <n v="0"/>
    <m/>
    <s v="Private Equity Fund"/>
    <n v="0"/>
    <n v="0.36109019761490629"/>
    <n v="0"/>
    <n v="0"/>
    <m/>
    <m/>
    <m/>
    <m/>
    <m/>
    <m/>
    <m/>
    <m/>
    <m/>
    <m/>
    <m/>
    <d v="2016-05-31T00:00:00"/>
    <n v="4.0875105549577739E-2"/>
    <x v="0"/>
    <n v="0"/>
    <x v="168"/>
  </r>
  <r>
    <d v="2016-06-30T00:00:00"/>
    <x v="29"/>
    <s v="NA"/>
    <n v="3561047.7545026601"/>
    <n v="3561047.7545026601"/>
    <m/>
    <m/>
    <n v="0"/>
    <n v="0"/>
    <m/>
    <n v="1"/>
    <n v="0"/>
    <n v="0"/>
    <n v="0"/>
    <m/>
    <s v="Private Equity Fund"/>
    <n v="0"/>
    <n v="0.35610477545026603"/>
    <n v="0"/>
    <n v="0"/>
    <m/>
    <m/>
    <m/>
    <m/>
    <m/>
    <m/>
    <m/>
    <m/>
    <m/>
    <m/>
    <m/>
    <d v="2016-06-30T00:00:00"/>
    <n v="-1.3806584054538829E-2"/>
    <x v="0"/>
    <n v="0"/>
    <x v="169"/>
  </r>
  <r>
    <d v="2016-07-29T00:00:00"/>
    <x v="29"/>
    <s v="NA"/>
    <n v="3391406.3491183999"/>
    <n v="3391406.3491183999"/>
    <m/>
    <m/>
    <n v="0"/>
    <n v="0"/>
    <m/>
    <n v="1"/>
    <n v="0"/>
    <n v="0"/>
    <n v="0"/>
    <m/>
    <s v="Private Equity Fund"/>
    <n v="0"/>
    <n v="0.33914063491183999"/>
    <n v="0"/>
    <n v="0"/>
    <m/>
    <m/>
    <m/>
    <m/>
    <m/>
    <m/>
    <m/>
    <m/>
    <m/>
    <m/>
    <m/>
    <d v="2016-07-29T00:00:00"/>
    <n v="-4.7638059660885523E-2"/>
    <x v="0"/>
    <n v="0"/>
    <x v="170"/>
  </r>
  <r>
    <d v="2016-08-31T00:00:00"/>
    <x v="29"/>
    <s v="NA"/>
    <n v="3201453.6413659099"/>
    <n v="3201453.6413659099"/>
    <m/>
    <m/>
    <n v="0"/>
    <n v="0"/>
    <m/>
    <n v="1"/>
    <n v="0"/>
    <n v="0"/>
    <n v="0"/>
    <m/>
    <s v="Private Equity Fund"/>
    <n v="0"/>
    <n v="0.320145364136591"/>
    <n v="0"/>
    <n v="0"/>
    <m/>
    <m/>
    <m/>
    <m/>
    <m/>
    <m/>
    <m/>
    <m/>
    <m/>
    <m/>
    <m/>
    <d v="2016-08-31T00:00:00"/>
    <n v="-5.6010011245590907E-2"/>
    <x v="0"/>
    <n v="0"/>
    <x v="171"/>
  </r>
  <r>
    <d v="2016-09-30T00:00:00"/>
    <x v="29"/>
    <s v="NA"/>
    <n v="3074181.7027843199"/>
    <n v="3074181.7027843199"/>
    <m/>
    <m/>
    <n v="0"/>
    <n v="0"/>
    <m/>
    <n v="1"/>
    <n v="0"/>
    <n v="0"/>
    <n v="0"/>
    <m/>
    <s v="Private Equity Fund"/>
    <n v="0"/>
    <n v="0.30741817027843199"/>
    <n v="0"/>
    <n v="0"/>
    <m/>
    <m/>
    <m/>
    <m/>
    <m/>
    <m/>
    <m/>
    <m/>
    <m/>
    <m/>
    <m/>
    <d v="2016-09-30T00:00:00"/>
    <n v="-3.9754421846723731E-2"/>
    <x v="0"/>
    <n v="0"/>
    <x v="172"/>
  </r>
  <r>
    <d v="2016-10-31T00:00:00"/>
    <x v="29"/>
    <s v="NA"/>
    <n v="2895554.0215577199"/>
    <n v="2895554.0215577199"/>
    <m/>
    <m/>
    <n v="0"/>
    <n v="0"/>
    <m/>
    <n v="1"/>
    <n v="0"/>
    <n v="0"/>
    <n v="0"/>
    <m/>
    <s v="Private Equity Fund"/>
    <n v="0"/>
    <n v="0.28955540215577197"/>
    <n v="0"/>
    <n v="0"/>
    <m/>
    <m/>
    <m/>
    <m/>
    <m/>
    <m/>
    <m/>
    <m/>
    <m/>
    <m/>
    <m/>
    <d v="2016-10-31T00:00:00"/>
    <n v="-5.8105765532601716E-2"/>
    <x v="0"/>
    <n v="0"/>
    <x v="173"/>
  </r>
  <r>
    <d v="2016-11-30T00:00:00"/>
    <x v="29"/>
    <s v="NA"/>
    <n v="3051675.0085303402"/>
    <n v="3051675.0085303402"/>
    <m/>
    <m/>
    <n v="0"/>
    <n v="0"/>
    <m/>
    <n v="1"/>
    <n v="0"/>
    <n v="0"/>
    <n v="0"/>
    <m/>
    <s v="Private Equity Fund"/>
    <n v="0"/>
    <n v="0.30516750085303407"/>
    <n v="0"/>
    <n v="0"/>
    <m/>
    <m/>
    <m/>
    <m/>
    <m/>
    <m/>
    <m/>
    <m/>
    <m/>
    <m/>
    <m/>
    <d v="2016-11-30T00:00:00"/>
    <n v="5.3917483773496366E-2"/>
    <x v="0"/>
    <n v="0"/>
    <x v="174"/>
  </r>
  <r>
    <d v="2016-12-30T00:00:00"/>
    <x v="29"/>
    <s v="NA"/>
    <n v="2948636.4878177601"/>
    <n v="2948636.4878177601"/>
    <m/>
    <m/>
    <n v="0"/>
    <n v="0"/>
    <m/>
    <n v="1"/>
    <n v="0"/>
    <n v="0"/>
    <n v="0"/>
    <m/>
    <s v="Private Equity Fund"/>
    <n v="0"/>
    <n v="0.29486364878177601"/>
    <n v="0"/>
    <n v="0"/>
    <m/>
    <m/>
    <m/>
    <m/>
    <m/>
    <m/>
    <m/>
    <m/>
    <m/>
    <m/>
    <m/>
    <d v="2016-12-30T00:00:00"/>
    <n v="-3.3764578608323825E-2"/>
    <x v="0"/>
    <n v="0"/>
    <x v="175"/>
  </r>
  <r>
    <d v="2017-01-27T00:00:00"/>
    <x v="29"/>
    <s v="NA"/>
    <n v="2926383.3195470301"/>
    <n v="2926383.3195470301"/>
    <m/>
    <m/>
    <n v="0"/>
    <n v="0"/>
    <m/>
    <n v="1"/>
    <n v="0"/>
    <n v="0"/>
    <n v="0"/>
    <m/>
    <s v="Private Equity Fund"/>
    <n v="0"/>
    <n v="0.29263833195470301"/>
    <n v="0"/>
    <n v="0"/>
    <m/>
    <m/>
    <m/>
    <m/>
    <m/>
    <m/>
    <m/>
    <m/>
    <m/>
    <m/>
    <m/>
    <d v="2017-01-27T00:00:00"/>
    <n v="-7.5469351215955438E-3"/>
    <x v="0"/>
    <n v="0"/>
    <x v="176"/>
  </r>
  <r>
    <d v="2017-02-28T00:00:00"/>
    <x v="29"/>
    <s v="NA"/>
    <n v="3304077.6886254"/>
    <n v="3304077.6886254"/>
    <m/>
    <m/>
    <n v="0"/>
    <n v="0"/>
    <m/>
    <n v="1"/>
    <n v="0"/>
    <n v="0"/>
    <n v="0"/>
    <m/>
    <s v="Private Equity Fund"/>
    <n v="0"/>
    <n v="0.33040776886253997"/>
    <n v="0"/>
    <n v="0"/>
    <m/>
    <m/>
    <m/>
    <m/>
    <m/>
    <m/>
    <m/>
    <m/>
    <m/>
    <m/>
    <m/>
    <d v="2017-02-28T00:00:00"/>
    <n v="0.12906524123327512"/>
    <x v="0"/>
    <n v="0"/>
    <x v="177"/>
  </r>
  <r>
    <d v="2017-03-31T00:00:00"/>
    <x v="29"/>
    <s v="NA"/>
    <n v="3941737.3756737304"/>
    <n v="3941737.3756737304"/>
    <m/>
    <m/>
    <n v="0"/>
    <n v="0"/>
    <m/>
    <n v="1"/>
    <n v="0"/>
    <n v="0"/>
    <n v="0"/>
    <m/>
    <s v="Private Equity Fund"/>
    <n v="0"/>
    <n v="0.39417373756737306"/>
    <n v="0"/>
    <n v="0"/>
    <m/>
    <m/>
    <m/>
    <m/>
    <m/>
    <m/>
    <m/>
    <m/>
    <m/>
    <m/>
    <m/>
    <d v="2017-03-31T00:00:00"/>
    <n v="0.19299173540729209"/>
    <x v="0"/>
    <n v="0"/>
    <x v="178"/>
  </r>
  <r>
    <d v="2017-04-28T00:00:00"/>
    <x v="29"/>
    <s v="NA"/>
    <n v="3852310.14"/>
    <n v="3852310.14"/>
    <m/>
    <m/>
    <n v="0"/>
    <n v="0"/>
    <m/>
    <n v="1"/>
    <n v="0"/>
    <n v="0"/>
    <n v="0"/>
    <m/>
    <s v="Private Equity Fund"/>
    <n v="0"/>
    <n v="0.38523101400000004"/>
    <n v="0"/>
    <n v="0"/>
    <m/>
    <m/>
    <m/>
    <m/>
    <m/>
    <m/>
    <m/>
    <m/>
    <m/>
    <m/>
    <m/>
    <d v="2017-04-28T00:00:00"/>
    <n v="-2.2687263800380664E-2"/>
    <x v="0"/>
    <n v="0"/>
    <x v="179"/>
  </r>
  <r>
    <d v="2017-05-31T00:00:00"/>
    <x v="29"/>
    <s v="NA"/>
    <n v="3847270.2890292201"/>
    <n v="3847270.2890292201"/>
    <m/>
    <m/>
    <n v="0"/>
    <n v="0"/>
    <m/>
    <n v="1"/>
    <n v="0"/>
    <n v="0"/>
    <n v="0"/>
    <m/>
    <s v="Private Equity Fund"/>
    <n v="0"/>
    <n v="0.38472702890292204"/>
    <n v="0"/>
    <n v="0"/>
    <m/>
    <m/>
    <m/>
    <m/>
    <m/>
    <m/>
    <m/>
    <m/>
    <m/>
    <m/>
    <m/>
    <d v="2017-05-31T00:00:00"/>
    <n v="-1.3082671923138056E-3"/>
    <x v="0"/>
    <n v="0"/>
    <x v="180"/>
  </r>
  <r>
    <d v="2017-06-30T00:00:00"/>
    <x v="29"/>
    <s v="NA"/>
    <n v="3855230.38996726"/>
    <n v="3855230.38996726"/>
    <m/>
    <m/>
    <n v="0"/>
    <n v="0"/>
    <m/>
    <n v="1"/>
    <n v="0"/>
    <n v="0"/>
    <n v="0"/>
    <m/>
    <s v="Private Equity Fund"/>
    <n v="0"/>
    <n v="0.38552303899672602"/>
    <n v="0"/>
    <n v="0"/>
    <m/>
    <m/>
    <m/>
    <m/>
    <m/>
    <m/>
    <m/>
    <m/>
    <m/>
    <m/>
    <m/>
    <d v="2017-06-30T00:00:00"/>
    <n v="2.0690256571622712E-3"/>
    <x v="0"/>
    <n v="0"/>
    <x v="181"/>
  </r>
  <r>
    <d v="2017-07-31T00:00:00"/>
    <x v="29"/>
    <s v="NA"/>
    <n v="3879680.6239999998"/>
    <n v="3879680.6239999998"/>
    <m/>
    <m/>
    <n v="0"/>
    <n v="0"/>
    <m/>
    <n v="1"/>
    <n v="0"/>
    <n v="0"/>
    <n v="0"/>
    <m/>
    <s v="Private Equity Fund"/>
    <n v="0"/>
    <n v="0.38796806239999998"/>
    <n v="0"/>
    <n v="0"/>
    <m/>
    <m/>
    <m/>
    <m/>
    <m/>
    <m/>
    <m/>
    <m/>
    <m/>
    <m/>
    <m/>
    <d v="2017-07-31T00:00:00"/>
    <n v="6.3420941317460233E-3"/>
    <x v="0"/>
    <n v="0"/>
    <x v="182"/>
  </r>
  <r>
    <d v="2017-08-31T00:00:00"/>
    <x v="29"/>
    <s v="NA"/>
    <n v="3750376.31"/>
    <n v="3750376.31"/>
    <m/>
    <m/>
    <n v="0"/>
    <n v="0"/>
    <m/>
    <n v="1"/>
    <n v="0"/>
    <n v="0"/>
    <n v="0"/>
    <m/>
    <s v="Private Equity Fund"/>
    <n v="0"/>
    <n v="0.37503763100000004"/>
    <n v="0"/>
    <n v="0"/>
    <m/>
    <m/>
    <m/>
    <m/>
    <m/>
    <m/>
    <m/>
    <m/>
    <m/>
    <m/>
    <m/>
    <d v="2017-08-31T00:00:00"/>
    <n v="-3.3328597513958558E-2"/>
    <x v="0"/>
    <n v="0"/>
    <x v="183"/>
  </r>
  <r>
    <d v="2017-09-29T00:00:00"/>
    <x v="29"/>
    <s v="NA"/>
    <n v="3493098"/>
    <n v="3493098"/>
    <m/>
    <m/>
    <n v="0"/>
    <n v="0"/>
    <m/>
    <n v="1"/>
    <n v="0"/>
    <n v="0"/>
    <n v="0"/>
    <m/>
    <s v="Private Equity Fund"/>
    <n v="0"/>
    <n v="0.3493098"/>
    <n v="0"/>
    <n v="0"/>
    <m/>
    <m/>
    <m/>
    <m/>
    <m/>
    <m/>
    <m/>
    <m/>
    <m/>
    <m/>
    <m/>
    <d v="2017-09-29T00:00:00"/>
    <n v="-6.860066530230402E-2"/>
    <x v="0"/>
    <n v="0"/>
    <x v="184"/>
  </r>
  <r>
    <d v="2017-10-31T00:00:00"/>
    <x v="29"/>
    <s v="NA"/>
    <n v="3538387.8279515295"/>
    <n v="3538387.8279515295"/>
    <m/>
    <m/>
    <n v="0"/>
    <n v="0"/>
    <m/>
    <n v="1"/>
    <n v="0"/>
    <n v="0"/>
    <n v="0"/>
    <m/>
    <s v="Private Equity Fund"/>
    <n v="0"/>
    <n v="0.35383878279515302"/>
    <n v="0"/>
    <n v="0"/>
    <m/>
    <m/>
    <m/>
    <m/>
    <m/>
    <m/>
    <m/>
    <m/>
    <m/>
    <m/>
    <m/>
    <d v="2017-10-31T00:00:00"/>
    <n v="1.2965518846459467E-2"/>
    <x v="0"/>
    <n v="0"/>
    <x v="185"/>
  </r>
  <r>
    <d v="2017-11-30T00:00:00"/>
    <x v="29"/>
    <s v="NA"/>
    <n v="3155560.26"/>
    <n v="3155560.26"/>
    <m/>
    <m/>
    <n v="0"/>
    <n v="0"/>
    <m/>
    <n v="1"/>
    <n v="0"/>
    <n v="0"/>
    <n v="0"/>
    <m/>
    <s v="Private Equity Fund"/>
    <n v="0"/>
    <n v="0.31555602599999999"/>
    <n v="0"/>
    <n v="0"/>
    <m/>
    <m/>
    <m/>
    <m/>
    <m/>
    <m/>
    <m/>
    <m/>
    <m/>
    <m/>
    <m/>
    <d v="2017-11-30T00:00:00"/>
    <n v="-0.10819265342464146"/>
    <x v="0"/>
    <n v="0"/>
    <x v="186"/>
  </r>
  <r>
    <d v="2017-12-29T00:00:00"/>
    <x v="29"/>
    <s v="NA"/>
    <n v="3205132.13"/>
    <n v="3205132.13"/>
    <m/>
    <m/>
    <n v="0"/>
    <n v="0"/>
    <m/>
    <n v="1"/>
    <n v="0"/>
    <n v="0"/>
    <n v="0"/>
    <m/>
    <s v="Private Equity Fund"/>
    <n v="0"/>
    <n v="0.32051321300000002"/>
    <n v="0"/>
    <n v="0"/>
    <m/>
    <m/>
    <m/>
    <m/>
    <m/>
    <m/>
    <m/>
    <m/>
    <m/>
    <m/>
    <m/>
    <d v="2017-12-29T00:00:00"/>
    <n v="1.5709372002295385E-2"/>
    <x v="0"/>
    <n v="0"/>
    <x v="187"/>
  </r>
  <r>
    <d v="2018-01-31T00:00:00"/>
    <x v="29"/>
    <s v="NA"/>
    <n v="3329627.1210000003"/>
    <n v="3329627.1210000003"/>
    <m/>
    <m/>
    <n v="0"/>
    <n v="0"/>
    <m/>
    <n v="1"/>
    <n v="0"/>
    <n v="0"/>
    <n v="0"/>
    <m/>
    <s v="Private Equity Fund"/>
    <n v="0"/>
    <n v="0.33296271210000006"/>
    <n v="0"/>
    <n v="0"/>
    <m/>
    <m/>
    <m/>
    <m/>
    <m/>
    <m/>
    <m/>
    <m/>
    <m/>
    <m/>
    <m/>
    <d v="2018-01-31T00:00:00"/>
    <n v="3.8842389627163465E-2"/>
    <x v="0"/>
    <n v="0"/>
    <x v="188"/>
  </r>
  <r>
    <d v="2018-02-28T00:00:00"/>
    <x v="29"/>
    <s v="NA"/>
    <n v="3847521.01"/>
    <n v="3847521.01"/>
    <m/>
    <m/>
    <n v="0"/>
    <n v="0"/>
    <m/>
    <n v="1"/>
    <n v="0"/>
    <n v="0"/>
    <n v="0"/>
    <m/>
    <s v="Private Equity Fund"/>
    <n v="0"/>
    <n v="0.34627689090000002"/>
    <n v="0"/>
    <n v="0"/>
    <m/>
    <m/>
    <m/>
    <m/>
    <m/>
    <m/>
    <m/>
    <m/>
    <m/>
    <m/>
    <m/>
    <d v="2018-02-28T00:00:00"/>
    <n v="0.15554110721096559"/>
    <x v="0"/>
    <n v="0"/>
    <x v="189"/>
  </r>
  <r>
    <d v="2018-03-29T00:00:00"/>
    <x v="29"/>
    <s v="NA"/>
    <n v="3839160.035813387"/>
    <n v="3839160.035813387"/>
    <m/>
    <m/>
    <n v="0"/>
    <n v="0"/>
    <m/>
    <n v="1"/>
    <n v="0"/>
    <n v="0"/>
    <n v="0"/>
    <m/>
    <s v="Private Equity Fund"/>
    <n v="0"/>
    <n v="0.38391600358133871"/>
    <n v="0"/>
    <n v="0"/>
    <m/>
    <m/>
    <m/>
    <m/>
    <m/>
    <m/>
    <m/>
    <m/>
    <m/>
    <m/>
    <m/>
    <d v="2018-03-29T00:00:00"/>
    <n v="-2.1730808395540313E-3"/>
    <x v="0"/>
    <n v="0"/>
    <x v="190"/>
  </r>
  <r>
    <d v="2018-04-30T00:00:00"/>
    <x v="29"/>
    <s v="NA"/>
    <n v="3716114.02"/>
    <n v="3716114.02"/>
    <m/>
    <m/>
    <n v="0"/>
    <n v="0"/>
    <m/>
    <n v="1"/>
    <n v="0"/>
    <n v="0"/>
    <n v="0"/>
    <m/>
    <s v="Private Equity Fund"/>
    <n v="0"/>
    <n v="0.37161140200000004"/>
    <n v="0"/>
    <n v="0"/>
    <m/>
    <m/>
    <m/>
    <m/>
    <m/>
    <m/>
    <m/>
    <m/>
    <m/>
    <m/>
    <m/>
    <d v="2018-04-30T00:00:00"/>
    <n v="-3.2050243976692649E-2"/>
    <x v="0"/>
    <n v="0"/>
    <x v="191"/>
  </r>
  <r>
    <d v="2018-05-31T00:00:00"/>
    <x v="29"/>
    <s v="NA"/>
    <n v="3611732.0956333522"/>
    <n v="3611732.0956333522"/>
    <m/>
    <m/>
    <n v="0"/>
    <n v="0"/>
    <m/>
    <n v="1"/>
    <n v="0"/>
    <n v="0"/>
    <n v="0"/>
    <m/>
    <s v="Private Equity Fund"/>
    <n v="0"/>
    <n v="0.36117320956333526"/>
    <n v="0"/>
    <n v="0"/>
    <m/>
    <m/>
    <m/>
    <m/>
    <m/>
    <m/>
    <m/>
    <m/>
    <m/>
    <m/>
    <m/>
    <d v="2018-05-31T00:00:00"/>
    <n v="-2.8088999370005308E-2"/>
    <x v="0"/>
    <n v="0"/>
    <x v="192"/>
  </r>
  <r>
    <d v="2018-06-29T00:00:00"/>
    <x v="29"/>
    <s v="NA"/>
    <n v="3649853.4114958849"/>
    <n v="3649853.4114958849"/>
    <m/>
    <m/>
    <n v="0"/>
    <n v="0"/>
    <m/>
    <n v="1"/>
    <n v="0"/>
    <n v="0"/>
    <n v="0"/>
    <m/>
    <s v="Private Equity Fund"/>
    <n v="0"/>
    <n v="0.36498534114958847"/>
    <n v="0"/>
    <n v="0"/>
    <m/>
    <m/>
    <m/>
    <m/>
    <m/>
    <m/>
    <m/>
    <m/>
    <m/>
    <m/>
    <m/>
    <d v="2018-06-29T00:00:00"/>
    <n v="1.0554857019606123E-2"/>
    <x v="0"/>
    <n v="0"/>
    <x v="193"/>
  </r>
  <r>
    <d v="2018-07-31T00:00:00"/>
    <x v="29"/>
    <s v="NA"/>
    <n v="3594298.138089078"/>
    <n v="3594298.138089078"/>
    <m/>
    <m/>
    <n v="0"/>
    <n v="0"/>
    <m/>
    <n v="1"/>
    <n v="0"/>
    <n v="0"/>
    <n v="0"/>
    <m/>
    <s v="Private Equity Fund"/>
    <n v="0"/>
    <n v="0.35942981380890782"/>
    <n v="0"/>
    <n v="0"/>
    <m/>
    <m/>
    <m/>
    <m/>
    <m/>
    <m/>
    <m/>
    <m/>
    <m/>
    <m/>
    <m/>
    <d v="2018-07-31T00:00:00"/>
    <n v="-1.5221234154726648E-2"/>
    <x v="0"/>
    <n v="0"/>
    <x v="194"/>
  </r>
  <r>
    <d v="2018-08-31T00:00:00"/>
    <x v="29"/>
    <s v="NA"/>
    <n v="3491312.8513562307"/>
    <n v="3491312.8513562307"/>
    <m/>
    <m/>
    <n v="0"/>
    <n v="0"/>
    <m/>
    <n v="1"/>
    <n v="0"/>
    <n v="0"/>
    <n v="0"/>
    <m/>
    <s v="Private Equity Fund"/>
    <n v="0"/>
    <n v="0.34913128513562308"/>
    <n v="0"/>
    <n v="0"/>
    <m/>
    <m/>
    <m/>
    <m/>
    <m/>
    <m/>
    <m/>
    <m/>
    <m/>
    <m/>
    <m/>
    <d v="2018-08-31T00:00:00"/>
    <n v="-2.8652405219673827E-2"/>
    <x v="0"/>
    <n v="0"/>
    <x v="195"/>
  </r>
  <r>
    <d v="2018-09-28T00:00:00"/>
    <x v="29"/>
    <s v="NA"/>
    <n v="3526984.3490090291"/>
    <n v="3526984.3490090291"/>
    <m/>
    <m/>
    <n v="0"/>
    <n v="0"/>
    <m/>
    <n v="1"/>
    <n v="0"/>
    <n v="0"/>
    <n v="0"/>
    <m/>
    <s v="Private Equity Fund"/>
    <n v="0"/>
    <n v="0.35269843490090291"/>
    <n v="0"/>
    <n v="0"/>
    <m/>
    <m/>
    <m/>
    <m/>
    <m/>
    <m/>
    <m/>
    <m/>
    <m/>
    <m/>
    <m/>
    <d v="2018-09-28T00:00:00"/>
    <n v="1.0217216036351839E-2"/>
    <x v="0"/>
    <n v="0"/>
    <x v="196"/>
  </r>
  <r>
    <d v="2018-10-31T00:00:00"/>
    <x v="29"/>
    <s v="NA"/>
    <n v="3394021.7517306046"/>
    <n v="3394021.7517306046"/>
    <m/>
    <m/>
    <n v="0"/>
    <n v="0"/>
    <m/>
    <n v="1"/>
    <n v="0"/>
    <n v="0"/>
    <n v="-3394021.7517306046"/>
    <m/>
    <s v="Private Equity Fund"/>
    <n v="0"/>
    <n v="0.33940217517306048"/>
    <n v="0"/>
    <n v="0"/>
    <m/>
    <m/>
    <m/>
    <m/>
    <m/>
    <m/>
    <m/>
    <m/>
    <m/>
    <m/>
    <m/>
    <d v="2018-10-31T00:00:00"/>
    <n v="-3.7698663821908562E-2"/>
    <x v="0"/>
    <n v="0"/>
    <x v="198"/>
  </r>
  <r>
    <d v="2018-10-31T00:00:00"/>
    <x v="29"/>
    <s v="NA"/>
    <n v="4998760.1686245007"/>
    <m/>
    <m/>
    <m/>
    <m/>
    <m/>
    <m/>
    <m/>
    <n v="0"/>
    <n v="0"/>
    <n v="-4998760.1686245007"/>
    <m/>
    <s v="Private Equity Fund"/>
    <m/>
    <m/>
    <m/>
    <m/>
    <m/>
    <m/>
    <m/>
    <m/>
    <m/>
    <m/>
    <m/>
    <m/>
    <m/>
    <m/>
    <m/>
    <d v="2018-10-31T00:00:00"/>
    <e v="#REF!"/>
    <x v="0"/>
    <n v="0"/>
    <x v="198"/>
  </r>
  <r>
    <d v="2015-07-14T00:00:00"/>
    <x v="30"/>
    <s v="NA"/>
    <n v="14696666.67"/>
    <n v="14696666.67"/>
    <m/>
    <n v="14696666.67"/>
    <n v="0"/>
    <n v="0"/>
    <m/>
    <n v="1"/>
    <n v="14696666.67"/>
    <n v="14696666.67"/>
    <n v="14696666.67"/>
    <m/>
    <s v="Private Equity Fund"/>
    <n v="0"/>
    <n v="0"/>
    <n v="0"/>
    <n v="0"/>
    <m/>
    <m/>
    <m/>
    <m/>
    <m/>
    <m/>
    <m/>
    <m/>
    <m/>
    <m/>
    <m/>
    <d v="2015-07-14T00:00:00"/>
    <e v="#REF!"/>
    <x v="0"/>
    <n v="0"/>
    <x v="158"/>
  </r>
  <r>
    <d v="2015-07-31T00:00:00"/>
    <x v="30"/>
    <s v="NA"/>
    <n v="14645725.628252827"/>
    <n v="14645725.628252827"/>
    <m/>
    <m/>
    <n v="0"/>
    <n v="-153333.32999999999"/>
    <m/>
    <n v="1"/>
    <n v="-153333.32999999999"/>
    <n v="-153333.32999999999"/>
    <n v="-153333.32999999999"/>
    <m/>
    <s v="Private Equity Fund"/>
    <n v="3.0710641666666667E-3"/>
    <n v="0.56573334322244551"/>
    <n v="0"/>
    <n v="0"/>
    <m/>
    <m/>
    <m/>
    <m/>
    <m/>
    <m/>
    <m/>
    <m/>
    <m/>
    <m/>
    <m/>
    <d v="2015-07-31T00:00:00"/>
    <n v="6.9670416123568391E-3"/>
    <x v="0"/>
    <n v="0"/>
    <x v="158"/>
  </r>
  <r>
    <d v="2015-08-31T00:00:00"/>
    <x v="30"/>
    <s v="NA"/>
    <n v="14696851.377192808"/>
    <n v="14696851.377192808"/>
    <m/>
    <m/>
    <n v="0"/>
    <n v="-148541.66737316063"/>
    <m/>
    <n v="1"/>
    <n v="-148541.66737316063"/>
    <n v="-148541.66737316063"/>
    <n v="-148541.66737316063"/>
    <m/>
    <s v="Private Equity Fund"/>
    <n v="5.6001758333333327E-3"/>
    <n v="0.57084591811644381"/>
    <n v="0"/>
    <n v="0"/>
    <m/>
    <m/>
    <m/>
    <m/>
    <m/>
    <m/>
    <m/>
    <m/>
    <m/>
    <m/>
    <m/>
    <d v="2015-08-31T00:00:00"/>
    <n v="1.3633152865295095E-2"/>
    <x v="0"/>
    <n v="0"/>
    <x v="159"/>
  </r>
  <r>
    <d v="2015-09-30T00:00:00"/>
    <x v="30"/>
    <s v="NA"/>
    <n v="14747048.035198668"/>
    <n v="14747048.035198668"/>
    <m/>
    <m/>
    <n v="0"/>
    <n v="-143541.67000000001"/>
    <m/>
    <n v="1"/>
    <n v="-143541.67000000001"/>
    <n v="-143541.67000000001"/>
    <n v="-143541.67000000001"/>
    <m/>
    <s v="Private Equity Fund"/>
    <n v="5.4195249999999997E-3"/>
    <n v="0.57586558391702969"/>
    <n v="0"/>
    <n v="0"/>
    <m/>
    <m/>
    <m/>
    <m/>
    <m/>
    <m/>
    <m/>
    <m/>
    <m/>
    <m/>
    <m/>
    <d v="2015-09-30T00:00:00"/>
    <n v="1.3182301639554694E-2"/>
    <x v="0"/>
    <n v="0"/>
    <x v="160"/>
  </r>
  <r>
    <d v="2015-10-30T00:00:00"/>
    <x v="30"/>
    <s v="NA"/>
    <n v="14792962.810864134"/>
    <n v="14792962.810864134"/>
    <m/>
    <m/>
    <n v="0"/>
    <n v="-143541.67000000001"/>
    <m/>
    <n v="1"/>
    <n v="-143541.67000000001"/>
    <n v="-143541.67000000001"/>
    <n v="-143541.67000000001"/>
    <m/>
    <s v="Private Equity Fund"/>
    <n v="5.4195249999999997E-3"/>
    <n v="0.58045706148357634"/>
    <n v="0"/>
    <n v="0"/>
    <m/>
    <m/>
    <m/>
    <m/>
    <m/>
    <m/>
    <m/>
    <m/>
    <m/>
    <m/>
    <m/>
    <d v="2015-10-30T00:00:00"/>
    <n v="1.2847075917381323E-2"/>
    <x v="0"/>
    <n v="0"/>
    <x v="161"/>
  </r>
  <r>
    <d v="2015-11-30T00:00:00"/>
    <x v="30"/>
    <s v="NA"/>
    <n v="14851119.460035175"/>
    <n v="14851119.460035175"/>
    <m/>
    <m/>
    <n v="0"/>
    <n v="-143541.67000000001"/>
    <m/>
    <n v="1"/>
    <n v="-143541.67000000001"/>
    <n v="-143541.67000000001"/>
    <n v="-143541.67000000001"/>
    <m/>
    <s v="Private Equity Fund"/>
    <n v="5.6001758333333327E-3"/>
    <n v="0.5862727264006804"/>
    <n v="0"/>
    <n v="0"/>
    <m/>
    <m/>
    <m/>
    <m/>
    <m/>
    <m/>
    <m/>
    <m/>
    <m/>
    <m/>
    <m/>
    <d v="2015-11-30T00:00:00"/>
    <n v="1.3634747937236069E-2"/>
    <x v="0"/>
    <n v="0"/>
    <x v="162"/>
  </r>
  <r>
    <d v="2015-12-31T00:00:00"/>
    <x v="30"/>
    <s v="NA"/>
    <n v="14756596.616155753"/>
    <n v="14756596.616155753"/>
    <m/>
    <m/>
    <n v="0"/>
    <n v="-293750"/>
    <m/>
    <n v="1"/>
    <n v="-293750"/>
    <n v="-293750"/>
    <n v="-293750"/>
    <m/>
    <s v="Private Equity Fund"/>
    <n v="5.6001758333333327E-3"/>
    <n v="0.57682044201273808"/>
    <n v="0"/>
    <n v="0"/>
    <m/>
    <m/>
    <m/>
    <m/>
    <m/>
    <m/>
    <m/>
    <m/>
    <m/>
    <m/>
    <m/>
    <d v="2015-12-31T00:00:00"/>
    <n v="1.3414958828976031E-2"/>
    <x v="0"/>
    <n v="0"/>
    <x v="163"/>
  </r>
  <r>
    <d v="2016-01-29T00:00:00"/>
    <x v="30"/>
    <s v="NA"/>
    <n v="14794570.903602375"/>
    <n v="14794570.903602375"/>
    <m/>
    <m/>
    <n v="0"/>
    <n v="-152463.91"/>
    <m/>
    <n v="1"/>
    <n v="-152463.91"/>
    <n v="-152463.91"/>
    <n v="-152463.91"/>
    <m/>
    <s v="Private Equity Fund"/>
    <n v="5.2388741666666667E-3"/>
    <n v="0.58061787075740046"/>
    <n v="0"/>
    <n v="0"/>
    <m/>
    <m/>
    <m/>
    <m/>
    <m/>
    <m/>
    <m/>
    <m/>
    <m/>
    <m/>
    <m/>
    <d v="2016-01-29T00:00:00"/>
    <n v="1.2905292622699127E-2"/>
    <x v="0"/>
    <n v="0"/>
    <x v="164"/>
  </r>
  <r>
    <d v="2016-02-29T00:00:00"/>
    <x v="30"/>
    <s v="NA"/>
    <n v="14843893.495419782"/>
    <n v="14843893.495419782"/>
    <m/>
    <m/>
    <n v="0"/>
    <n v="-158922.24333333335"/>
    <m/>
    <n v="1"/>
    <n v="-158922.24333333335"/>
    <n v="-158922.24333333335"/>
    <n v="-158922.24333333335"/>
    <m/>
    <s v="Private Equity Fund"/>
    <n v="5.6001758333333327E-3"/>
    <n v="0.58555012993914102"/>
    <n v="0"/>
    <n v="0"/>
    <m/>
    <m/>
    <m/>
    <m/>
    <m/>
    <m/>
    <m/>
    <m/>
    <m/>
    <m/>
    <m/>
    <d v="2016-02-29T00:00:00"/>
    <n v="1.4075760392620484E-2"/>
    <x v="0"/>
    <n v="0"/>
    <x v="165"/>
  </r>
  <r>
    <d v="2016-03-31T00:00:00"/>
    <x v="30"/>
    <s v="NA"/>
    <n v="14904099.34772088"/>
    <n v="14904099.34772088"/>
    <m/>
    <m/>
    <n v="0"/>
    <n v="-148669.09666666665"/>
    <m/>
    <n v="1"/>
    <n v="-148669.09666666665"/>
    <n v="-148669.09666666665"/>
    <n v="-148669.09666666665"/>
    <m/>
    <s v="Private Equity Fund"/>
    <n v="5.6001758333333327E-3"/>
    <n v="0.59157071516925086"/>
    <n v="0"/>
    <n v="0"/>
    <m/>
    <m/>
    <m/>
    <m/>
    <m/>
    <m/>
    <m/>
    <m/>
    <m/>
    <m/>
    <m/>
    <d v="2016-03-31T00:00:00"/>
    <n v="1.407143947995948E-2"/>
    <x v="0"/>
    <n v="0"/>
    <x v="166"/>
  </r>
  <r>
    <d v="2016-04-29T00:00:00"/>
    <x v="30"/>
    <s v="NA"/>
    <n v="14944913.319970088"/>
    <n v="14944913.319970088"/>
    <m/>
    <m/>
    <n v="0"/>
    <n v="-158327.3833333333"/>
    <m/>
    <n v="1"/>
    <n v="-158327.3833333333"/>
    <n v="-158327.3833333333"/>
    <n v="-158327.3833333333"/>
    <m/>
    <s v="Private Equity Fund"/>
    <n v="5.2388741666666667E-3"/>
    <n v="0.5956521123941716"/>
    <n v="0"/>
    <n v="0"/>
    <m/>
    <m/>
    <m/>
    <m/>
    <m/>
    <m/>
    <m/>
    <m/>
    <m/>
    <m/>
    <m/>
    <d v="2016-04-29T00:00:00"/>
    <n v="1.3361515576115091E-2"/>
    <x v="0"/>
    <n v="0"/>
    <x v="167"/>
  </r>
  <r>
    <d v="2016-05-31T00:00:00"/>
    <x v="30"/>
    <s v="NA"/>
    <n v="15008517.709309621"/>
    <n v="15008517.709309621"/>
    <m/>
    <m/>
    <n v="0"/>
    <n v="-147545.66"/>
    <m/>
    <n v="1"/>
    <n v="-147545.66"/>
    <n v="-147545.66"/>
    <n v="-147545.66"/>
    <m/>
    <s v="Private Equity Fund"/>
    <n v="5.7808266666666665E-3"/>
    <n v="0.60201255132812492"/>
    <n v="0"/>
    <n v="0"/>
    <m/>
    <m/>
    <m/>
    <m/>
    <m/>
    <m/>
    <m/>
    <m/>
    <m/>
    <m/>
    <m/>
    <d v="2016-05-31T00:00:00"/>
    <n v="1.4128556306672202E-2"/>
    <x v="0"/>
    <n v="0"/>
    <x v="168"/>
  </r>
  <r>
    <d v="2016-06-30T00:00:00"/>
    <x v="30"/>
    <s v="NA"/>
    <n v="14654670.005635561"/>
    <n v="14654670.005635561"/>
    <m/>
    <m/>
    <n v="0"/>
    <n v="-547875.67000000004"/>
    <m/>
    <n v="1"/>
    <n v="-547875.67000000004"/>
    <n v="-547875.67000000004"/>
    <n v="-547875.67000000004"/>
    <m/>
    <s v="Private Equity Fund"/>
    <n v="5.4195249999999997E-3"/>
    <n v="0.56662778096071897"/>
    <n v="0"/>
    <n v="0"/>
    <m/>
    <m/>
    <m/>
    <m/>
    <m/>
    <m/>
    <m/>
    <m/>
    <m/>
    <m/>
    <m/>
    <d v="2016-06-30T00:00:00"/>
    <n v="1.2927856706701046E-2"/>
    <x v="0"/>
    <n v="0"/>
    <x v="169"/>
  </r>
  <r>
    <d v="2016-07-29T00:00:00"/>
    <x v="30"/>
    <s v="NA"/>
    <n v="14848729.8660897"/>
    <n v="14848729.8660897"/>
    <m/>
    <m/>
    <n v="0"/>
    <n v="0"/>
    <m/>
    <n v="1"/>
    <n v="0"/>
    <n v="0"/>
    <n v="0"/>
    <m/>
    <s v="Private Equity Fund"/>
    <n v="5.2388741666666667E-3"/>
    <n v="0.58603376700613286"/>
    <n v="0"/>
    <n v="0"/>
    <m/>
    <m/>
    <m/>
    <m/>
    <m/>
    <m/>
    <m/>
    <m/>
    <m/>
    <m/>
    <m/>
    <d v="2016-07-29T00:00:00"/>
    <n v="1.3242185622706737E-2"/>
    <x v="0"/>
    <n v="0"/>
    <x v="170"/>
  </r>
  <r>
    <d v="2016-08-31T00:00:00"/>
    <x v="30"/>
    <s v="NA"/>
    <n v="14760472.054414799"/>
    <n v="14760472.054414799"/>
    <m/>
    <m/>
    <n v="0"/>
    <n v="-296317.45999999996"/>
    <m/>
    <n v="1"/>
    <n v="-296317.45999999996"/>
    <n v="-296317.45999999996"/>
    <n v="-296317.45999999996"/>
    <m/>
    <s v="Private Equity Fund"/>
    <n v="5.9614775000000004E-3"/>
    <n v="0.57720798583864286"/>
    <n v="0"/>
    <n v="0"/>
    <m/>
    <m/>
    <m/>
    <m/>
    <m/>
    <m/>
    <m/>
    <m/>
    <m/>
    <m/>
    <m/>
    <d v="2016-08-31T00:00:00"/>
    <n v="1.4011949183630135E-2"/>
    <x v="0"/>
    <n v="0"/>
    <x v="171"/>
  </r>
  <r>
    <d v="2016-09-30T00:00:00"/>
    <x v="30"/>
    <s v="NA"/>
    <n v="14434308.1285714"/>
    <n v="14434308.1285714"/>
    <m/>
    <m/>
    <n v="0"/>
    <n v="-524658.50268499996"/>
    <m/>
    <n v="1"/>
    <n v="-524658.50268499996"/>
    <n v="-524658.50268499996"/>
    <n v="-524658.50268499996"/>
    <m/>
    <s v="Private Equity Fund"/>
    <n v="5.4195249999999997E-3"/>
    <n v="0.34258568942631895"/>
    <n v="0"/>
    <n v="0"/>
    <m/>
    <m/>
    <m/>
    <m/>
    <m/>
    <m/>
    <m/>
    <m/>
    <m/>
    <m/>
    <m/>
    <d v="2016-09-30T00:00:00"/>
    <n v="1.3447711977628174E-2"/>
    <x v="0"/>
    <n v="0"/>
    <x v="172"/>
  </r>
  <r>
    <d v="2016-10-31T00:00:00"/>
    <x v="30"/>
    <s v="NA"/>
    <n v="14336357.077197701"/>
    <n v="14336357.077197701"/>
    <m/>
    <m/>
    <n v="0"/>
    <n v="-299100.94965416699"/>
    <m/>
    <n v="1"/>
    <n v="-299100.94965416699"/>
    <n v="-299100.94965416699"/>
    <n v="-299100.94965416699"/>
    <m/>
    <s v="Private Equity Fund"/>
    <n v="5.6001758333333327E-3"/>
    <n v="0.29304712999999999"/>
    <n v="0"/>
    <n v="0"/>
    <m/>
    <m/>
    <m/>
    <m/>
    <m/>
    <m/>
    <m/>
    <m/>
    <m/>
    <m/>
    <m/>
    <d v="2016-10-31T00:00:00"/>
    <n v="1.393554138437092E-2"/>
    <x v="0"/>
    <n v="0"/>
    <x v="173"/>
  </r>
  <r>
    <d v="2016-11-30T00:00:00"/>
    <x v="30"/>
    <s v="NA"/>
    <n v="14385027.551208399"/>
    <n v="14385027.551208399"/>
    <m/>
    <m/>
    <n v="0"/>
    <n v="-145042.85230930601"/>
    <m/>
    <n v="1"/>
    <n v="-145042.85230930601"/>
    <n v="-145042.85230930601"/>
    <n v="-145042.85230930601"/>
    <m/>
    <s v="Private Equity Fund"/>
    <n v="5.4195249999999997E-3"/>
    <n v="0.34123275109635498"/>
    <n v="0"/>
    <n v="0"/>
    <m/>
    <m/>
    <m/>
    <m/>
    <m/>
    <m/>
    <m/>
    <m/>
    <m/>
    <m/>
    <m/>
    <d v="2016-11-30T00:00:00"/>
    <n v="1.3512032748410618E-2"/>
    <x v="0"/>
    <n v="0"/>
    <x v="174"/>
  </r>
  <r>
    <d v="2016-12-30T00:00:00"/>
    <x v="30"/>
    <s v="NA"/>
    <n v="14385501.470089899"/>
    <n v="14385501.470089899"/>
    <m/>
    <m/>
    <n v="0"/>
    <n v="-210672.019654167"/>
    <m/>
    <n v="1"/>
    <n v="-210672.019654167"/>
    <n v="-210672.019654167"/>
    <n v="-210672.019654167"/>
    <m/>
    <s v="Private Equity Fund"/>
    <n v="5.4195249999999997E-3"/>
    <n v="0.38213621990000801"/>
    <n v="0"/>
    <n v="0"/>
    <m/>
    <m/>
    <m/>
    <m/>
    <m/>
    <m/>
    <m/>
    <m/>
    <m/>
    <m/>
    <m/>
    <d v="2016-12-30T00:00:00"/>
    <n v="1.4678174079543638E-2"/>
    <x v="0"/>
    <n v="0"/>
    <x v="175"/>
  </r>
  <r>
    <d v="2017-01-27T00:00:00"/>
    <x v="30"/>
    <s v="NA"/>
    <n v="14358310.264785901"/>
    <n v="14358310.264785901"/>
    <m/>
    <m/>
    <n v="0"/>
    <n v="-210672.02230930599"/>
    <m/>
    <n v="1"/>
    <n v="-210672.02230930599"/>
    <n v="-210672.02230930599"/>
    <n v="-210672.02230930599"/>
    <m/>
    <s v="Private Equity Fund"/>
    <n v="5.0582233333333329E-3"/>
    <n v="0.38213621990000801"/>
    <n v="0"/>
    <n v="0"/>
    <m/>
    <m/>
    <m/>
    <m/>
    <m/>
    <m/>
    <m/>
    <m/>
    <m/>
    <m/>
    <m/>
    <d v="2017-01-27T00:00:00"/>
    <n v="1.2754565239647464E-2"/>
    <x v="0"/>
    <n v="0"/>
    <x v="176"/>
  </r>
  <r>
    <d v="2017-02-28T00:00:00"/>
    <x v="30"/>
    <s v="NA"/>
    <n v="14383894.4625721"/>
    <n v="14383894.4625721"/>
    <m/>
    <m/>
    <n v="0"/>
    <n v="-196142.95230930601"/>
    <m/>
    <n v="1"/>
    <n v="-196142.95230930601"/>
    <n v="-196142.95230930601"/>
    <n v="-196142.95230930601"/>
    <m/>
    <s v="Private Equity Fund"/>
    <n v="5.7808266666666665E-3"/>
    <n v="0.399850109003759"/>
    <n v="0"/>
    <n v="0"/>
    <m/>
    <m/>
    <m/>
    <m/>
    <m/>
    <m/>
    <m/>
    <m/>
    <m/>
    <m/>
    <m/>
    <d v="2017-02-28T00:00:00"/>
    <n v="1.5442426442009438E-2"/>
    <x v="0"/>
    <n v="0"/>
    <x v="177"/>
  </r>
  <r>
    <d v="2017-03-31T00:00:00"/>
    <x v="30"/>
    <s v="NA"/>
    <n v="14397196.8450264"/>
    <n v="14397196.8450264"/>
    <m/>
    <m/>
    <n v="0"/>
    <n v="-210671.54434388899"/>
    <m/>
    <n v="1"/>
    <n v="-210671.54434388899"/>
    <n v="-210671.54434388899"/>
    <n v="-210671.54434388899"/>
    <m/>
    <s v="Private Equity Fund"/>
    <n v="5.6001758333333327E-3"/>
    <n v="0.46256726999999997"/>
    <n v="0"/>
    <n v="0"/>
    <m/>
    <m/>
    <m/>
    <m/>
    <m/>
    <m/>
    <m/>
    <m/>
    <m/>
    <m/>
    <m/>
    <d v="2017-03-31T00:00:00"/>
    <n v="1.5571160326640632E-2"/>
    <x v="0"/>
    <n v="0"/>
    <x v="178"/>
  </r>
  <r>
    <d v="2017-04-28T00:00:00"/>
    <x v="30"/>
    <s v="NA"/>
    <n v="14577431.210000001"/>
    <n v="14577431.210000001"/>
    <m/>
    <m/>
    <n v="0"/>
    <n v="-6255.5700000000006"/>
    <m/>
    <n v="1"/>
    <n v="-6255.5700000000006"/>
    <n v="-6255.5700000000006"/>
    <n v="-6255.5700000000006"/>
    <m/>
    <s v="Private Equity Fund"/>
    <n v="5.0582233333333329E-3"/>
    <n v="0.46279136999999998"/>
    <n v="0"/>
    <n v="0"/>
    <m/>
    <m/>
    <m/>
    <m/>
    <m/>
    <m/>
    <m/>
    <m/>
    <m/>
    <m/>
    <m/>
    <d v="2017-04-28T00:00:00"/>
    <n v="1.2953211446714796E-2"/>
    <x v="0"/>
    <n v="0"/>
    <x v="179"/>
  </r>
  <r>
    <d v="2017-05-31T00:00:00"/>
    <x v="30"/>
    <s v="NA"/>
    <n v="14383072.065502601"/>
    <n v="14383072.065502601"/>
    <m/>
    <m/>
    <n v="0"/>
    <n v="-199392.41"/>
    <m/>
    <n v="1"/>
    <n v="-199392.41"/>
    <n v="-199392.41"/>
    <n v="-199392.41"/>
    <m/>
    <s v="Private Equity Fund"/>
    <n v="5.9614775000000004E-3"/>
    <n v="0.46279136600375897"/>
    <n v="0"/>
    <n v="0"/>
    <m/>
    <m/>
    <m/>
    <m/>
    <m/>
    <m/>
    <m/>
    <m/>
    <m/>
    <m/>
    <m/>
    <d v="2017-05-31T00:00:00"/>
    <n v="3.4527794575689441E-4"/>
    <x v="0"/>
    <n v="0"/>
    <x v="180"/>
  </r>
  <r>
    <d v="2017-06-30T00:00:00"/>
    <x v="30"/>
    <s v="NA"/>
    <n v="14498427.959645599"/>
    <n v="14498427.959645599"/>
    <m/>
    <m/>
    <n v="0"/>
    <n v="-207039.27"/>
    <m/>
    <n v="1"/>
    <n v="-207039.27"/>
    <n v="-207039.27"/>
    <n v="-207039.27"/>
    <m/>
    <s v="Private Equity Fund"/>
    <n v="5.4195249999999997E-3"/>
    <n v="0.5680182579874391"/>
    <n v="0"/>
    <n v="0"/>
    <m/>
    <m/>
    <m/>
    <m/>
    <m/>
    <m/>
    <m/>
    <m/>
    <m/>
    <m/>
    <m/>
    <d v="2017-06-30T00:00:00"/>
    <n v="2.2414902927188507E-2"/>
    <x v="0"/>
    <n v="0"/>
    <x v="181"/>
  </r>
  <r>
    <d v="2017-07-31T00:00:00"/>
    <x v="30"/>
    <s v="NA"/>
    <n v="14481671.02"/>
    <n v="14481671.02"/>
    <m/>
    <m/>
    <n v="0"/>
    <n v="-208683.48"/>
    <m/>
    <n v="1"/>
    <n v="-208683.48"/>
    <n v="-208683.48"/>
    <n v="-208683.48"/>
    <m/>
    <s v="Private Equity Fund"/>
    <n v="5.6001758333333327E-3"/>
    <n v="0.56839817000000004"/>
    <n v="0"/>
    <n v="0"/>
    <m/>
    <m/>
    <m/>
    <m/>
    <m/>
    <m/>
    <m/>
    <m/>
    <m/>
    <m/>
    <m/>
    <d v="2017-07-31T00:00:00"/>
    <n v="1.3237748319238518E-2"/>
    <x v="0"/>
    <n v="0"/>
    <x v="182"/>
  </r>
  <r>
    <d v="2017-08-31T00:00:00"/>
    <x v="30"/>
    <s v="NA"/>
    <n v="14380000"/>
    <n v="14380000"/>
    <m/>
    <m/>
    <n v="0"/>
    <n v="-297811.01"/>
    <m/>
    <n v="1"/>
    <n v="-297811.01"/>
    <n v="-297811.01"/>
    <n v="-297811.01"/>
    <m/>
    <s v="Private Equity Fund"/>
    <n v="5.6001758333333327E-3"/>
    <n v="0.56848243999999992"/>
    <n v="0"/>
    <n v="0"/>
    <m/>
    <m/>
    <m/>
    <m/>
    <m/>
    <m/>
    <m/>
    <m/>
    <m/>
    <m/>
    <m/>
    <d v="2017-08-31T00:00:00"/>
    <n v="1.3544016414205329E-2"/>
    <x v="0"/>
    <n v="0"/>
    <x v="183"/>
  </r>
  <r>
    <d v="2017-09-29T00:00:00"/>
    <x v="30"/>
    <s v="NA"/>
    <n v="14350536.189999999"/>
    <n v="14350536.189999999"/>
    <m/>
    <m/>
    <n v="0"/>
    <n v="-211680.5"/>
    <m/>
    <n v="1"/>
    <n v="-211680.5"/>
    <n v="-211680.5"/>
    <n v="-211680.5"/>
    <m/>
    <s v="Private Equity Fund"/>
    <n v="5.2388741666666667E-3"/>
    <n v="0.56834859999999998"/>
    <n v="0"/>
    <n v="0"/>
    <m/>
    <m/>
    <m/>
    <m/>
    <m/>
    <m/>
    <m/>
    <m/>
    <m/>
    <m/>
    <m/>
    <d v="2017-09-29T00:00:00"/>
    <n v="1.2671536161335206E-2"/>
    <x v="0"/>
    <n v="0"/>
    <x v="184"/>
  </r>
  <r>
    <d v="2017-10-31T00:00:00"/>
    <x v="30"/>
    <s v="NA"/>
    <n v="14407976.119999999"/>
    <n v="14407976.119999999"/>
    <m/>
    <m/>
    <n v="0"/>
    <n v="-144079.96"/>
    <m/>
    <n v="1"/>
    <n v="-144079.96"/>
    <n v="-144079.96"/>
    <n v="-144079.96"/>
    <m/>
    <s v="Private Equity Fund"/>
    <n v="5.7808266666666665E-3"/>
    <n v="0.56834859999999998"/>
    <n v="0"/>
    <n v="0"/>
    <m/>
    <m/>
    <m/>
    <m/>
    <m/>
    <m/>
    <m/>
    <m/>
    <m/>
    <m/>
    <m/>
    <d v="2017-10-31T00:00:00"/>
    <n v="1.4042673202721678E-2"/>
    <x v="0"/>
    <n v="0"/>
    <x v="185"/>
  </r>
  <r>
    <d v="2017-11-30T00:00:00"/>
    <x v="30"/>
    <s v="NA"/>
    <n v="14385290.359999999"/>
    <n v="14385290.359999999"/>
    <m/>
    <m/>
    <n v="0"/>
    <n v="-211680.49"/>
    <m/>
    <n v="1"/>
    <n v="-211680.49"/>
    <n v="-211680.49"/>
    <n v="-211680.49"/>
    <m/>
    <s v="Private Equity Fund"/>
    <n v="5.4195249999999997E-3"/>
    <n v="0.56834859999999998"/>
    <n v="0"/>
    <n v="0"/>
    <m/>
    <m/>
    <m/>
    <m/>
    <m/>
    <m/>
    <m/>
    <m/>
    <m/>
    <m/>
    <m/>
    <d v="2017-11-30T00:00:00"/>
    <n v="1.3117368353883663E-2"/>
    <x v="0"/>
    <n v="0"/>
    <x v="186"/>
  </r>
  <r>
    <d v="2017-12-29T00:00:00"/>
    <x v="30"/>
    <s v="NA"/>
    <n v="13793911.74"/>
    <n v="13793911.74"/>
    <m/>
    <m/>
    <n v="0"/>
    <n v="-704838.91"/>
    <m/>
    <n v="1"/>
    <n v="-704838.91"/>
    <n v="-704838.91"/>
    <n v="-704838.91"/>
    <m/>
    <s v="Private Equity Fund"/>
    <n v="5.2388741666666667E-3"/>
    <n v="0.67098701000000005"/>
    <n v="0"/>
    <n v="0"/>
    <m/>
    <m/>
    <m/>
    <m/>
    <m/>
    <m/>
    <m/>
    <m/>
    <m/>
    <m/>
    <m/>
    <d v="2017-12-29T00:00:00"/>
    <n v="7.8872436468497842E-3"/>
    <x v="0"/>
    <n v="0"/>
    <x v="187"/>
  </r>
  <r>
    <d v="2018-01-31T00:00:00"/>
    <x v="30"/>
    <s v="NA"/>
    <n v="13852986.49"/>
    <n v="13852986.49"/>
    <m/>
    <m/>
    <n v="0"/>
    <n v="-138969.21"/>
    <m/>
    <n v="1"/>
    <n v="-138969.21"/>
    <n v="-138969.21"/>
    <n v="-138969.21"/>
    <m/>
    <s v="Private Equity Fund"/>
    <n v="5.9614775000000004E-3"/>
    <n v="0.67098701000000005"/>
    <n v="0"/>
    <n v="0"/>
    <m/>
    <m/>
    <m/>
    <m/>
    <m/>
    <m/>
    <m/>
    <m/>
    <m/>
    <m/>
    <m/>
    <d v="2018-01-31T00:00:00"/>
    <n v="1.4357345743028604E-2"/>
    <x v="0"/>
    <n v="0"/>
    <x v="188"/>
  </r>
  <r>
    <d v="2018-02-28T00:00:00"/>
    <x v="30"/>
    <s v="NA"/>
    <n v="13825486.93"/>
    <n v="13825486.93"/>
    <m/>
    <m/>
    <n v="0"/>
    <n v="-139553.93"/>
    <m/>
    <n v="1"/>
    <n v="-139553.93"/>
    <n v="-139553.93"/>
    <n v="-139553.93"/>
    <m/>
    <s v="Private Equity Fund"/>
    <n v="5.0582233333333329E-3"/>
    <n v="0.67098701000000005"/>
    <n v="0"/>
    <n v="0"/>
    <m/>
    <m/>
    <m/>
    <m/>
    <m/>
    <m/>
    <m/>
    <m/>
    <m/>
    <m/>
    <m/>
    <d v="2018-02-28T00:00:00"/>
    <n v="8.0888240294529901E-3"/>
    <x v="0"/>
    <n v="0"/>
    <x v="189"/>
  </r>
  <r>
    <d v="2018-03-29T00:00:00"/>
    <x v="30"/>
    <s v="NA"/>
    <n v="14058249.32"/>
    <n v="14058249.32"/>
    <m/>
    <m/>
    <n v="0"/>
    <n v="-205021.35"/>
    <m/>
    <n v="1"/>
    <n v="-205021.35"/>
    <n v="-205021.35"/>
    <n v="-205021.35"/>
    <m/>
    <s v="Private Equity Fund"/>
    <n v="5.2388741666666667E-3"/>
    <n v="0.67098701000000005"/>
    <n v="0"/>
    <n v="0"/>
    <m/>
    <m/>
    <m/>
    <m/>
    <m/>
    <m/>
    <m/>
    <m/>
    <m/>
    <m/>
    <m/>
    <d v="2018-03-29T00:00:00"/>
    <n v="3.1664978037775349E-2"/>
    <x v="0"/>
    <n v="0"/>
    <x v="190"/>
  </r>
  <r>
    <d v="2018-04-30T00:00:00"/>
    <x v="30"/>
    <s v="NA"/>
    <n v="14058249.32"/>
    <n v="14058249.32"/>
    <m/>
    <m/>
    <n v="0"/>
    <n v="-139164.12"/>
    <m/>
    <n v="1"/>
    <n v="-139164.12"/>
    <n v="-139164.12"/>
    <n v="-139164.12"/>
    <m/>
    <s v="Private Equity Fund"/>
    <n v="5.2388741666666667E-3"/>
    <n v="0.67093743000000006"/>
    <n v="0"/>
    <n v="0"/>
    <m/>
    <m/>
    <m/>
    <m/>
    <m/>
    <m/>
    <m/>
    <m/>
    <m/>
    <m/>
    <m/>
    <d v="2018-04-30T00:00:00"/>
    <n v="9.8991074089158637E-3"/>
    <x v="0"/>
    <n v="0"/>
    <x v="191"/>
  </r>
  <r>
    <d v="2018-05-31T00:00:00"/>
    <x v="30"/>
    <s v="NA"/>
    <n v="13895942.915481418"/>
    <n v="13895942.915481418"/>
    <m/>
    <m/>
    <n v="0"/>
    <n v="-343126.61"/>
    <m/>
    <n v="1"/>
    <n v="-343126.61"/>
    <n v="-343126.61"/>
    <n v="-343126.61"/>
    <m/>
    <s v="Private Equity Fund"/>
    <n v="5.2388741666666667E-3"/>
    <n v="0.67093743000000006"/>
    <n v="0"/>
    <n v="0"/>
    <m/>
    <m/>
    <m/>
    <m/>
    <m/>
    <m/>
    <m/>
    <m/>
    <m/>
    <m/>
    <m/>
    <d v="2018-05-31T00:00:00"/>
    <n v="1.2862213591857019E-2"/>
    <x v="0"/>
    <n v="0"/>
    <x v="192"/>
  </r>
  <r>
    <d v="2018-06-29T00:00:00"/>
    <x v="30"/>
    <s v="NA"/>
    <n v="14025870.263168195"/>
    <n v="14025870.263168195"/>
    <m/>
    <m/>
    <n v="0"/>
    <m/>
    <m/>
    <n v="1"/>
    <n v="0"/>
    <n v="0"/>
    <n v="0"/>
    <m/>
    <s v="Private Equity Fund"/>
    <n v="5.2388741666666667E-3"/>
    <n v="0.774024130442449"/>
    <n v="0"/>
    <n v="0"/>
    <m/>
    <m/>
    <m/>
    <m/>
    <m/>
    <m/>
    <m/>
    <m/>
    <m/>
    <m/>
    <m/>
    <d v="2018-06-29T00:00:00"/>
    <n v="9.3500202524599008E-3"/>
    <x v="0"/>
    <n v="0"/>
    <x v="193"/>
  </r>
  <r>
    <d v="2018-07-31T00:00:00"/>
    <x v="30"/>
    <s v="NA"/>
    <n v="13868327.043732878"/>
    <n v="13868327.043732878"/>
    <m/>
    <m/>
    <n v="0"/>
    <n v="-343622.32"/>
    <m/>
    <n v="1"/>
    <n v="-343622.32"/>
    <n v="-343622.32"/>
    <n v="-343622.32"/>
    <m/>
    <s v="Private Equity Fund"/>
    <n v="5.2388741666666667E-3"/>
    <n v="0.774024130442449"/>
    <n v="0"/>
    <n v="0"/>
    <m/>
    <m/>
    <m/>
    <m/>
    <m/>
    <m/>
    <m/>
    <m/>
    <m/>
    <m/>
    <m/>
    <d v="2018-07-31T00:00:00"/>
    <n v="1.3266848835278733E-2"/>
    <x v="0"/>
    <n v="0"/>
    <x v="194"/>
  </r>
  <r>
    <d v="2018-08-31T00:00:00"/>
    <x v="30"/>
    <s v="NA"/>
    <n v="13835310.430643592"/>
    <n v="13835310.430643592"/>
    <m/>
    <m/>
    <n v="0"/>
    <n v="-209135.99"/>
    <m/>
    <n v="1"/>
    <n v="-209135.99"/>
    <n v="-209135.99"/>
    <n v="-209135.99"/>
    <m/>
    <s v="Private Equity Fund"/>
    <n v="5.2388741666666667E-3"/>
    <n v="0.77302444144244897"/>
    <n v="0"/>
    <n v="0"/>
    <m/>
    <m/>
    <m/>
    <m/>
    <m/>
    <m/>
    <m/>
    <m/>
    <m/>
    <m/>
    <m/>
    <d v="2018-08-31T00:00:00"/>
    <n v="1.2699395994580476E-2"/>
    <x v="0"/>
    <n v="0"/>
    <x v="195"/>
  </r>
  <r>
    <d v="2018-09-28T00:00:00"/>
    <x v="30"/>
    <s v="NA"/>
    <n v="13621237.322509421"/>
    <n v="13621237.322509421"/>
    <m/>
    <m/>
    <n v="0"/>
    <n v="-379670.12"/>
    <m/>
    <n v="1"/>
    <n v="-379670.12"/>
    <n v="-379670.12"/>
    <n v="-379670.12"/>
    <m/>
    <s v="Private Equity Fund"/>
    <n v="5.2388741666666667E-3"/>
    <n v="0.77302444144244897"/>
    <n v="0"/>
    <n v="0"/>
    <m/>
    <m/>
    <m/>
    <m/>
    <m/>
    <m/>
    <m/>
    <m/>
    <m/>
    <m/>
    <m/>
    <d v="2018-09-28T00:00:00"/>
    <n v="1.1969157663354713E-2"/>
    <x v="0"/>
    <n v="0"/>
    <x v="196"/>
  </r>
  <r>
    <d v="2018-10-31T00:00:00"/>
    <x v="30"/>
    <s v="NA"/>
    <n v="13608544.490167269"/>
    <m/>
    <m/>
    <m/>
    <m/>
    <n v="-206872.98"/>
    <m/>
    <n v="1"/>
    <n v="-206872.98"/>
    <n v="-206872.98"/>
    <n v="-13815417.47016727"/>
    <m/>
    <s v="Private Equity Fund"/>
    <n v="5.2388741666666667E-3"/>
    <n v="0.77305576784740704"/>
    <m/>
    <m/>
    <m/>
    <m/>
    <m/>
    <m/>
    <m/>
    <m/>
    <m/>
    <m/>
    <m/>
    <m/>
    <m/>
    <d v="2018-10-31T00:00:00"/>
    <n v="1.425569080548672E-2"/>
    <x v="0"/>
    <n v="0"/>
    <x v="198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  <r>
    <m/>
    <x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x v="19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386">
  <r>
    <x v="0"/>
    <x v="0"/>
    <s v="NA"/>
    <n v="5000000"/>
    <s v=""/>
    <m/>
    <n v="5000000"/>
    <n v="0"/>
    <n v="0"/>
    <m/>
    <m/>
    <n v="5000000"/>
    <s v=""/>
    <n v="5000000"/>
    <m/>
    <s v="Private Equity Fund"/>
    <n v="0"/>
    <n v="0"/>
    <n v="0"/>
    <n v="0"/>
    <m/>
    <m/>
    <m/>
    <m/>
    <m/>
    <m/>
    <m/>
    <m/>
  </r>
  <r>
    <x v="1"/>
    <x v="0"/>
    <s v="NA"/>
    <n v="5000000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2"/>
    <x v="0"/>
    <s v="NA"/>
    <n v="5000000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3"/>
    <x v="0"/>
    <s v="NA"/>
    <n v="5125316.4396383502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4"/>
    <x v="0"/>
    <s v="NA"/>
    <n v="5187317.3793550124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5"/>
    <x v="0"/>
    <s v="NA"/>
    <n v="5245667.6219666172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6"/>
    <x v="0"/>
    <s v="NA"/>
    <n v="5302134.6910279123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7"/>
    <x v="0"/>
    <s v="NA"/>
    <n v="5362007.8615804501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8"/>
    <x v="0"/>
    <s v="NA"/>
    <n v="5419999.19074817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9"/>
    <x v="0"/>
    <s v="NA"/>
    <n v="5478065.2156705195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0"/>
    <x v="0"/>
    <s v="NA"/>
    <n v="5538169.8641023338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1"/>
    <x v="0"/>
    <s v="NA"/>
    <n v="5598380.2334553897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2"/>
    <x v="0"/>
    <s v="NA"/>
    <n v="5654814.7240162529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3"/>
    <x v="0"/>
    <s v="NA"/>
    <n v="0"/>
    <s v=""/>
    <m/>
    <m/>
    <n v="0"/>
    <n v="-5706975.6700801905"/>
    <m/>
    <m/>
    <n v="-5706975.6700801905"/>
    <e v="#DIV/0!"/>
    <n v="-5706975.6700801905"/>
    <m/>
    <s v="Private Equity Fund"/>
    <n v="0"/>
    <n v="0"/>
    <n v="0"/>
    <n v="0"/>
    <m/>
    <m/>
    <m/>
    <m/>
    <m/>
    <m/>
    <m/>
    <m/>
  </r>
  <r>
    <x v="14"/>
    <x v="1"/>
    <s v="NA"/>
    <n v="6749909.9918982461"/>
    <n v="618.68607472861777"/>
    <m/>
    <n v="6749909.9918982461"/>
    <n v="0"/>
    <n v="0"/>
    <m/>
    <n v="10910.072600000001"/>
    <n v="6749909.9918982461"/>
    <n v="618.68607472861777"/>
    <n v="618.68607472861777"/>
    <m/>
    <s v="Hedge Fund"/>
    <n v="0"/>
    <n v="0"/>
    <n v="0"/>
    <n v="0"/>
    <m/>
    <m/>
    <m/>
    <m/>
    <m/>
    <m/>
    <m/>
    <m/>
  </r>
  <r>
    <x v="15"/>
    <x v="1"/>
    <s v="NA"/>
    <n v="6781984.8891887469"/>
    <n v="621.62600908712068"/>
    <m/>
    <n v="0"/>
    <n v="0"/>
    <n v="0"/>
    <m/>
    <n v="10910.072600000001"/>
    <n v="0"/>
    <n v="0"/>
    <n v="0"/>
    <m/>
    <s v="Hedge Fund"/>
    <n v="0"/>
    <n v="0"/>
    <n v="0"/>
    <n v="0"/>
    <m/>
    <m/>
    <m/>
    <m/>
    <m/>
    <m/>
    <m/>
    <m/>
  </r>
  <r>
    <x v="16"/>
    <x v="1"/>
    <s v="NA"/>
    <n v="7728473.6066321544"/>
    <n v="624.254249401175"/>
    <m/>
    <n v="917814.42480682768"/>
    <n v="0"/>
    <n v="0"/>
    <m/>
    <n v="12380.329992220006"/>
    <n v="917814.42480682768"/>
    <n v="0"/>
    <n v="0"/>
    <m/>
    <s v="Hedge Fund"/>
    <n v="0"/>
    <n v="0"/>
    <n v="0"/>
    <n v="0"/>
    <m/>
    <m/>
    <m/>
    <m/>
    <m/>
    <m/>
    <m/>
    <m/>
  </r>
  <r>
    <x v="17"/>
    <x v="1"/>
    <s v="NA"/>
    <n v="7851026.2108998587"/>
    <n v="634.15322659683318"/>
    <m/>
    <n v="0"/>
    <n v="-4.6566128730773926E-9"/>
    <n v="0"/>
    <m/>
    <n v="12380.329992219999"/>
    <n v="-4.6566128730773926E-9"/>
    <n v="0"/>
    <n v="0"/>
    <m/>
    <s v="Hedge Fund"/>
    <n v="0"/>
    <n v="0"/>
    <n v="0"/>
    <n v="0"/>
    <m/>
    <m/>
    <m/>
    <m/>
    <m/>
    <m/>
    <m/>
    <m/>
  </r>
  <r>
    <x v="18"/>
    <x v="1"/>
    <s v="NA"/>
    <n v="8023874.4039590294"/>
    <n v="648.11474403358886"/>
    <m/>
    <n v="1.862645149230957E-9"/>
    <n v="0"/>
    <n v="0"/>
    <m/>
    <n v="12380.32999222"/>
    <n v="1.862645149230957E-9"/>
    <n v="0"/>
    <n v="0"/>
    <m/>
    <s v="Hedge Fund"/>
    <n v="0"/>
    <n v="0"/>
    <n v="0"/>
    <n v="0"/>
    <m/>
    <m/>
    <m/>
    <m/>
    <m/>
    <m/>
    <m/>
    <m/>
  </r>
  <r>
    <x v="19"/>
    <x v="1"/>
    <s v="NA"/>
    <n v="11214338.140100392"/>
    <n v="649.00169239032004"/>
    <m/>
    <n v="3179483.0227989731"/>
    <n v="0"/>
    <n v="0"/>
    <m/>
    <n v="17279.366558810001"/>
    <n v="3179483.0227989731"/>
    <n v="0"/>
    <n v="0"/>
    <m/>
    <s v="Hedge Fund"/>
    <n v="0"/>
    <n v="0"/>
    <n v="0"/>
    <n v="0"/>
    <m/>
    <m/>
    <m/>
    <m/>
    <m/>
    <m/>
    <m/>
    <m/>
  </r>
  <r>
    <x v="20"/>
    <x v="1"/>
    <s v="NA"/>
    <n v="14316516.878817642"/>
    <n v="730.66825425449758"/>
    <m/>
    <n v="1691032.2806683928"/>
    <n v="0"/>
    <n v="0"/>
    <m/>
    <n v="19593.730527440002"/>
    <n v="1691032.2806683928"/>
    <n v="0"/>
    <n v="0"/>
    <m/>
    <s v="Hedge Fund"/>
    <n v="0"/>
    <n v="0"/>
    <n v="0"/>
    <n v="0"/>
    <m/>
    <m/>
    <m/>
    <m/>
    <m/>
    <m/>
    <m/>
    <m/>
  </r>
  <r>
    <x v="21"/>
    <x v="1"/>
    <s v="NA"/>
    <n v="16925908.766360465"/>
    <n v="863.84309218995372"/>
    <m/>
    <n v="0"/>
    <n v="0"/>
    <n v="0"/>
    <m/>
    <n v="19593.730527440002"/>
    <n v="0"/>
    <n v="0"/>
    <n v="0"/>
    <m/>
    <s v="Hedge Fund"/>
    <n v="0"/>
    <n v="0"/>
    <n v="0"/>
    <n v="0"/>
    <m/>
    <m/>
    <m/>
    <m/>
    <m/>
    <m/>
    <m/>
    <m/>
  </r>
  <r>
    <x v="22"/>
    <x v="1"/>
    <s v="NA"/>
    <n v="22284435.707187761"/>
    <n v="937.85236211303766"/>
    <m/>
    <n v="3908409.24942182"/>
    <n v="0"/>
    <n v="0"/>
    <m/>
    <n v="23761.134062700006"/>
    <n v="3908409.24942182"/>
    <n v="0"/>
    <n v="0"/>
    <m/>
    <s v="Hedge Fund"/>
    <n v="0"/>
    <n v="0"/>
    <n v="0"/>
    <n v="0"/>
    <m/>
    <m/>
    <m/>
    <m/>
    <m/>
    <m/>
    <m/>
    <m/>
  </r>
  <r>
    <x v="23"/>
    <x v="1"/>
    <s v="NA"/>
    <n v="26974538.276231118"/>
    <n v="976.59596895912296"/>
    <m/>
    <n v="3769510.5327009819"/>
    <n v="0"/>
    <n v="0"/>
    <m/>
    <n v="27620.98056270001"/>
    <n v="3769510.5327009819"/>
    <n v="0"/>
    <n v="0"/>
    <m/>
    <s v="Hedge Fund"/>
    <n v="0"/>
    <n v="0"/>
    <n v="0"/>
    <n v="0"/>
    <m/>
    <m/>
    <m/>
    <m/>
    <m/>
    <m/>
    <m/>
    <m/>
  </r>
  <r>
    <x v="24"/>
    <x v="1"/>
    <s v="NA"/>
    <n v="27079382.675778888"/>
    <n v="980.39179363340543"/>
    <m/>
    <n v="0"/>
    <n v="-3.7252902984619141E-9"/>
    <n v="0"/>
    <m/>
    <n v="27620.980562700006"/>
    <n v="-3.7252902984619141E-9"/>
    <n v="0"/>
    <n v="0"/>
    <m/>
    <s v="Hedge Fund"/>
    <n v="0"/>
    <n v="0"/>
    <n v="0"/>
    <n v="0"/>
    <m/>
    <m/>
    <m/>
    <m/>
    <m/>
    <m/>
    <m/>
    <m/>
  </r>
  <r>
    <x v="25"/>
    <x v="1"/>
    <s v="NA"/>
    <n v="48659638.343423203"/>
    <n v="996.43398038672808"/>
    <m/>
    <n v="21137154.739147589"/>
    <n v="0"/>
    <n v="0"/>
    <m/>
    <n v="48833.780562700005"/>
    <n v="21137154.739147589"/>
    <n v="0"/>
    <n v="0"/>
    <m/>
    <s v="Hedge Fund"/>
    <n v="0"/>
    <n v="0"/>
    <n v="0"/>
    <n v="0"/>
    <m/>
    <m/>
    <m/>
    <m/>
    <m/>
    <m/>
    <m/>
    <m/>
  </r>
  <r>
    <x v="26"/>
    <x v="1"/>
    <s v="NA"/>
    <n v="49882723.180063948"/>
    <n v="1021.479856879341"/>
    <m/>
    <n v="0"/>
    <n v="0"/>
    <n v="0"/>
    <m/>
    <n v="48833.780562700005"/>
    <n v="0"/>
    <n v="0"/>
    <n v="0"/>
    <m/>
    <s v="Hedge Fund"/>
    <n v="0"/>
    <n v="0"/>
    <n v="0"/>
    <n v="0"/>
    <m/>
    <m/>
    <m/>
    <m/>
    <m/>
    <m/>
    <m/>
    <m/>
  </r>
  <r>
    <x v="27"/>
    <x v="1"/>
    <s v="NA"/>
    <n v="53252382.71416261"/>
    <n v="1027.8809398558005"/>
    <m/>
    <n v="3057070.4526626021"/>
    <n v="0"/>
    <n v="0"/>
    <m/>
    <n v="51807.928962699989"/>
    <n v="3057070.4526626021"/>
    <n v="0"/>
    <n v="0"/>
    <m/>
    <s v="Hedge Fund"/>
    <n v="0"/>
    <n v="0"/>
    <n v="0"/>
    <n v="0"/>
    <m/>
    <m/>
    <m/>
    <m/>
    <m/>
    <m/>
    <m/>
    <m/>
  </r>
  <r>
    <x v="28"/>
    <x v="1"/>
    <s v="NA"/>
    <n v="54456302.425475195"/>
    <n v="1031.7350973533248"/>
    <m/>
    <n v="1004243.7934697866"/>
    <n v="0"/>
    <n v="0"/>
    <m/>
    <n v="52781.283262700003"/>
    <n v="1004243.7934697866"/>
    <n v="0"/>
    <n v="0"/>
    <m/>
    <s v="Hedge Fund"/>
    <n v="0"/>
    <n v="0"/>
    <n v="0"/>
    <n v="0"/>
    <m/>
    <m/>
    <m/>
    <m/>
    <m/>
    <m/>
    <m/>
    <m/>
  </r>
  <r>
    <x v="29"/>
    <x v="1"/>
    <s v="NA"/>
    <n v="55881933.612649925"/>
    <n v="1058.7452626818024"/>
    <m/>
    <n v="0"/>
    <n v="-7.4505805969238281E-9"/>
    <n v="0"/>
    <m/>
    <n v="52781.283262699995"/>
    <n v="-7.4505805969238281E-9"/>
    <n v="0"/>
    <n v="0"/>
    <m/>
    <s v="Hedge Fund"/>
    <n v="0"/>
    <n v="0"/>
    <n v="0"/>
    <n v="0"/>
    <m/>
    <m/>
    <m/>
    <m/>
    <m/>
    <m/>
    <m/>
    <m/>
  </r>
  <r>
    <x v="30"/>
    <x v="1"/>
    <s v="NA"/>
    <n v="57656149.670950986"/>
    <n v="1092.3597553319814"/>
    <m/>
    <n v="1.4901161193847656E-8"/>
    <n v="0"/>
    <n v="0"/>
    <m/>
    <n v="52781.283262700003"/>
    <n v="1.4901161193847656E-8"/>
    <n v="0"/>
    <n v="0"/>
    <m/>
    <s v="Hedge Fund"/>
    <n v="0"/>
    <n v="0"/>
    <n v="0"/>
    <n v="0"/>
    <m/>
    <m/>
    <m/>
    <m/>
    <m/>
    <m/>
    <m/>
    <m/>
  </r>
  <r>
    <x v="31"/>
    <x v="1"/>
    <s v="NA"/>
    <n v="79379745.093518212"/>
    <n v="1107.5970631330749"/>
    <m/>
    <n v="20919350.763356768"/>
    <n v="0"/>
    <n v="0"/>
    <m/>
    <n v="71668.432262699978"/>
    <n v="20919350.763356768"/>
    <n v="0"/>
    <n v="0"/>
    <m/>
    <s v="Hedge Fund"/>
    <n v="0"/>
    <n v="0"/>
    <n v="0"/>
    <n v="0"/>
    <m/>
    <m/>
    <m/>
    <m/>
    <m/>
    <m/>
    <m/>
    <m/>
  </r>
  <r>
    <x v="32"/>
    <x v="1"/>
    <s v="NA"/>
    <n v="90224471.478453606"/>
    <n v="1102.5368963469984"/>
    <m/>
    <n v="11207380.605481282"/>
    <n v="0"/>
    <n v="0"/>
    <m/>
    <n v="81833.516662699971"/>
    <n v="11207380.605481282"/>
    <n v="0"/>
    <n v="0"/>
    <m/>
    <s v="Hedge Fund"/>
    <n v="0"/>
    <n v="0"/>
    <n v="0"/>
    <n v="0"/>
    <m/>
    <m/>
    <m/>
    <m/>
    <m/>
    <m/>
    <m/>
    <m/>
  </r>
  <r>
    <x v="33"/>
    <x v="1"/>
    <s v="NA"/>
    <n v="91843291.29175207"/>
    <n v="1104.7140999999999"/>
    <m/>
    <n v="1440651.5818824768"/>
    <n v="0"/>
    <n v="0"/>
    <m/>
    <n v="83137.611162699992"/>
    <n v="1440651.5818824768"/>
    <n v="0"/>
    <n v="0"/>
    <m/>
    <s v="Hedge Fund"/>
    <n v="0"/>
    <n v="0"/>
    <n v="0"/>
    <n v="0"/>
    <m/>
    <m/>
    <m/>
    <m/>
    <m/>
    <m/>
    <m/>
    <m/>
  </r>
  <r>
    <x v="34"/>
    <x v="1"/>
    <s v="NA"/>
    <n v="90237190.528417513"/>
    <n v="1142.7991999999999"/>
    <m/>
    <n v="0"/>
    <n v="-4772404.9982271045"/>
    <n v="0"/>
    <m/>
    <n v="78961.54506270001"/>
    <n v="-4772404.9982271045"/>
    <n v="0"/>
    <n v="0"/>
    <m/>
    <s v="Hedge Fund"/>
    <n v="0"/>
    <n v="0"/>
    <n v="0"/>
    <n v="0"/>
    <m/>
    <m/>
    <m/>
    <m/>
    <m/>
    <m/>
    <m/>
    <m/>
  </r>
  <r>
    <x v="35"/>
    <x v="1"/>
    <s v="NA"/>
    <n v="93657771.974627659"/>
    <n v="1173.1184000000001"/>
    <m/>
    <n v="1026530.5691451132"/>
    <n v="0"/>
    <n v="0"/>
    <m/>
    <n v="79836.589362700004"/>
    <n v="1026530.5691451132"/>
    <n v="0"/>
    <n v="0"/>
    <m/>
    <s v="Hedge Fund"/>
    <n v="0"/>
    <n v="0"/>
    <n v="0"/>
    <n v="0"/>
    <m/>
    <m/>
    <m/>
    <m/>
    <m/>
    <m/>
    <m/>
    <m/>
  </r>
  <r>
    <x v="36"/>
    <x v="1"/>
    <s v="NA"/>
    <n v="97485302.037818968"/>
    <n v="1171.0465999999999"/>
    <m/>
    <n v="3992935.5090329647"/>
    <n v="0"/>
    <n v="0"/>
    <m/>
    <n v="83246.3046627"/>
    <n v="3992935.5090329647"/>
    <n v="0"/>
    <n v="0"/>
    <m/>
    <s v="Hedge Fund"/>
    <n v="0"/>
    <n v="0"/>
    <n v="0"/>
    <n v="0"/>
    <m/>
    <m/>
    <m/>
    <m/>
    <m/>
    <m/>
    <m/>
    <m/>
  </r>
  <r>
    <x v="37"/>
    <x v="1"/>
    <s v="NA"/>
    <n v="101662518.16102278"/>
    <n v="1167.9290000000001"/>
    <m/>
    <n v="4436744.8026202321"/>
    <n v="0"/>
    <n v="0"/>
    <m/>
    <n v="87045.118462700018"/>
    <n v="4436744.8026202321"/>
    <n v="0"/>
    <n v="0"/>
    <m/>
    <s v="Hedge Fund"/>
    <n v="0"/>
    <n v="0"/>
    <n v="0"/>
    <n v="0"/>
    <m/>
    <m/>
    <m/>
    <m/>
    <m/>
    <m/>
    <m/>
    <m/>
  </r>
  <r>
    <x v="38"/>
    <x v="1"/>
    <s v="NA"/>
    <n v="118417278.68384798"/>
    <n v="1141.9378999999997"/>
    <m/>
    <n v="19017158.901301116"/>
    <n v="0"/>
    <n v="0"/>
    <m/>
    <n v="103698.52746270003"/>
    <n v="19017158.901301116"/>
    <n v="0"/>
    <n v="0"/>
    <m/>
    <s v="Hedge Fund"/>
    <n v="0"/>
    <n v="0"/>
    <n v="0"/>
    <n v="0"/>
    <m/>
    <m/>
    <m/>
    <m/>
    <m/>
    <m/>
    <m/>
    <m/>
  </r>
  <r>
    <x v="39"/>
    <x v="1"/>
    <s v="NA"/>
    <n v="119663386.78956835"/>
    <n v="1152.3003000000001"/>
    <m/>
    <n v="171542.48474085331"/>
    <n v="0"/>
    <n v="0"/>
    <m/>
    <n v="103847.39706270001"/>
    <n v="171542.48474085331"/>
    <n v="0"/>
    <n v="0"/>
    <m/>
    <s v="Hedge Fund"/>
    <n v="0"/>
    <n v="0"/>
    <n v="0"/>
    <n v="0"/>
    <m/>
    <m/>
    <m/>
    <m/>
    <m/>
    <m/>
    <m/>
    <m/>
  </r>
  <r>
    <x v="40"/>
    <x v="1"/>
    <s v="NA"/>
    <n v="120028558.13680373"/>
    <n v="1158.3661"/>
    <m/>
    <n v="0"/>
    <n v="-264746.1938675344"/>
    <n v="0"/>
    <m/>
    <n v="103618.84566270003"/>
    <n v="-264746.1938675344"/>
    <n v="0"/>
    <n v="0"/>
    <m/>
    <s v="Hedge Fund"/>
    <n v="0"/>
    <n v="0"/>
    <n v="0"/>
    <n v="0"/>
    <m/>
    <m/>
    <m/>
    <m/>
    <m/>
    <m/>
    <m/>
    <m/>
  </r>
  <r>
    <x v="41"/>
    <x v="1"/>
    <s v="NA"/>
    <n v="120175468.9361843"/>
    <n v="1159.7838999999999"/>
    <m/>
    <n v="0"/>
    <n v="-1.4901161193847656E-8"/>
    <n v="0"/>
    <m/>
    <n v="103618.84566270003"/>
    <n v="-1.4901161193847656E-8"/>
    <n v="0"/>
    <n v="0"/>
    <m/>
    <s v="Hedge Fund"/>
    <n v="0"/>
    <n v="0"/>
    <n v="0"/>
    <n v="0"/>
    <m/>
    <m/>
    <m/>
    <m/>
    <m/>
    <m/>
    <m/>
    <m/>
  </r>
  <r>
    <x v="42"/>
    <x v="1"/>
    <s v="NA"/>
    <n v="133151966.97990951"/>
    <n v="1185.8472000000002"/>
    <m/>
    <n v="10275848.983564526"/>
    <n v="0"/>
    <n v="0"/>
    <m/>
    <n v="112284.2529627"/>
    <n v="10275848.983564526"/>
    <n v="0"/>
    <n v="0"/>
    <m/>
    <s v="Hedge Fund"/>
    <n v="0"/>
    <n v="0"/>
    <n v="0"/>
    <n v="0"/>
    <m/>
    <m/>
    <m/>
    <m/>
    <m/>
    <m/>
    <m/>
    <m/>
  </r>
  <r>
    <x v="43"/>
    <x v="1"/>
    <s v="NA"/>
    <n v="132441385.28338923"/>
    <n v="1202.7425000000003"/>
    <m/>
    <n v="0"/>
    <n v="-2607657.8356010169"/>
    <n v="0"/>
    <m/>
    <n v="110116.1597627"/>
    <n v="-2607657.8356010169"/>
    <n v="0"/>
    <n v="0"/>
    <m/>
    <s v="Hedge Fund"/>
    <n v="0"/>
    <n v="0"/>
    <n v="0"/>
    <n v="0"/>
    <m/>
    <m/>
    <m/>
    <m/>
    <m/>
    <m/>
    <m/>
    <m/>
  </r>
  <r>
    <x v="44"/>
    <x v="1"/>
    <s v="NA"/>
    <n v="138826338.32738152"/>
    <n v="1258.3509999999999"/>
    <m/>
    <n v="261558.57382822037"/>
    <n v="0"/>
    <n v="0"/>
    <m/>
    <n v="110324.01796270002"/>
    <n v="261558.57382822037"/>
    <n v="0"/>
    <n v="0"/>
    <m/>
    <s v="Hedge Fund"/>
    <n v="0"/>
    <n v="0"/>
    <n v="0"/>
    <n v="0"/>
    <m/>
    <m/>
    <m/>
    <m/>
    <m/>
    <m/>
    <m/>
    <m/>
  </r>
  <r>
    <x v="45"/>
    <x v="1"/>
    <s v="NA"/>
    <n v="161923259.5087077"/>
    <n v="1291.0157999999999"/>
    <m/>
    <n v="19493209.199378192"/>
    <n v="0"/>
    <n v="0"/>
    <m/>
    <n v="125423.14316270004"/>
    <n v="19493209.199378192"/>
    <n v="0"/>
    <n v="0"/>
    <m/>
    <s v="Hedge Fund"/>
    <n v="0"/>
    <n v="0"/>
    <n v="0"/>
    <n v="0"/>
    <m/>
    <m/>
    <m/>
    <m/>
    <m/>
    <m/>
    <m/>
    <m/>
  </r>
  <r>
    <x v="46"/>
    <x v="1"/>
    <s v="NA"/>
    <n v="183039313.04451823"/>
    <n v="1306.5826000000002"/>
    <m/>
    <n v="19163616.550825357"/>
    <n v="0"/>
    <n v="0"/>
    <m/>
    <n v="140090.1198627"/>
    <n v="19163616.550825357"/>
    <n v="0"/>
    <n v="0"/>
    <m/>
    <s v="Hedge Fund"/>
    <n v="0"/>
    <n v="0"/>
    <n v="0"/>
    <n v="0"/>
    <m/>
    <m/>
    <m/>
    <m/>
    <m/>
    <m/>
    <m/>
    <m/>
  </r>
  <r>
    <x v="47"/>
    <x v="1"/>
    <s v="NA"/>
    <n v="197976654.86490938"/>
    <n v="1337.2299999999998"/>
    <m/>
    <n v="10643943.880911082"/>
    <n v="0"/>
    <n v="0"/>
    <m/>
    <n v="148049.81556270007"/>
    <n v="10643943.880911082"/>
    <n v="0"/>
    <n v="0"/>
    <m/>
    <s v="Hedge Fund"/>
    <n v="0"/>
    <n v="0"/>
    <n v="0"/>
    <n v="0"/>
    <m/>
    <m/>
    <m/>
    <m/>
    <m/>
    <m/>
    <m/>
    <m/>
  </r>
  <r>
    <x v="48"/>
    <x v="1"/>
    <s v="NA"/>
    <n v="197964520.74361074"/>
    <n v="1323.7750000000001"/>
    <m/>
    <n v="1979876.1470974386"/>
    <n v="0"/>
    <n v="0"/>
    <m/>
    <n v="149545.44446270002"/>
    <n v="1979876.1470974386"/>
    <n v="0"/>
    <n v="0"/>
    <m/>
    <s v="Hedge Fund"/>
    <n v="0"/>
    <n v="0"/>
    <n v="0"/>
    <n v="0"/>
    <m/>
    <m/>
    <m/>
    <m/>
    <m/>
    <m/>
    <m/>
    <m/>
  </r>
  <r>
    <x v="49"/>
    <x v="1"/>
    <s v="NA"/>
    <n v="195145846.018877"/>
    <n v="1295.7067999999999"/>
    <m/>
    <n v="1378796.7195342481"/>
    <n v="0"/>
    <n v="0"/>
    <m/>
    <n v="150609.5715627"/>
    <n v="1378796.7195342481"/>
    <n v="0"/>
    <n v="0"/>
    <m/>
    <s v="Hedge Fund"/>
    <n v="0"/>
    <n v="0"/>
    <n v="0"/>
    <n v="0"/>
    <m/>
    <m/>
    <m/>
    <m/>
    <m/>
    <m/>
    <m/>
    <m/>
  </r>
  <r>
    <x v="50"/>
    <x v="1"/>
    <s v="NA"/>
    <n v="196818576.16448098"/>
    <n v="1306.8132000000001"/>
    <m/>
    <n v="0"/>
    <n v="0"/>
    <n v="0"/>
    <m/>
    <n v="150609.5715627"/>
    <n v="0"/>
    <n v="0"/>
    <n v="0"/>
    <m/>
    <s v="Hedge Fund"/>
    <n v="0"/>
    <n v="0"/>
    <n v="0"/>
    <n v="0"/>
    <m/>
    <m/>
    <m/>
    <m/>
    <m/>
    <m/>
    <m/>
    <m/>
  </r>
  <r>
    <x v="51"/>
    <x v="1"/>
    <s v="NA"/>
    <n v="196630871.4554424"/>
    <n v="1305.5669"/>
    <m/>
    <n v="0"/>
    <n v="0"/>
    <n v="0"/>
    <m/>
    <n v="150609.5715627"/>
    <n v="0"/>
    <n v="0"/>
    <n v="0"/>
    <m/>
    <s v="Hedge Fund"/>
    <n v="0"/>
    <n v="0"/>
    <n v="0"/>
    <n v="0"/>
    <m/>
    <m/>
    <m/>
    <m/>
    <m/>
    <m/>
    <m/>
    <m/>
  </r>
  <r>
    <x v="52"/>
    <x v="1"/>
    <s v="NA"/>
    <n v="201327054.55061355"/>
    <n v="1305.5878"/>
    <m/>
    <n v="4693035.3551254869"/>
    <n v="0"/>
    <n v="0"/>
    <m/>
    <n v="154204.1481627"/>
    <n v="4693035.3551254869"/>
    <n v="0"/>
    <n v="0"/>
    <m/>
    <s v="Hedge Fund"/>
    <n v="0"/>
    <n v="0"/>
    <n v="0"/>
    <n v="0"/>
    <m/>
    <m/>
    <m/>
    <m/>
    <m/>
    <m/>
    <m/>
    <m/>
  </r>
  <r>
    <x v="53"/>
    <x v="1"/>
    <s v="NA"/>
    <n v="201580000"/>
    <n v="1294.8004000000001"/>
    <m/>
    <n v="1916407.2772767544"/>
    <n v="0"/>
    <n v="0"/>
    <m/>
    <n v="155684.22746857352"/>
    <n v="1916407.2772767544"/>
    <n v="0"/>
    <n v="0"/>
    <m/>
    <s v="Hedge Fund"/>
    <n v="0"/>
    <n v="0"/>
    <n v="0"/>
    <n v="0"/>
    <m/>
    <m/>
    <m/>
    <m/>
    <m/>
    <m/>
    <m/>
    <m/>
  </r>
  <r>
    <x v="54"/>
    <x v="1"/>
    <s v="NA"/>
    <n v="201700000"/>
    <n v="1307.2343000000001"/>
    <m/>
    <n v="0"/>
    <n v="-1815762.1159214973"/>
    <n v="0"/>
    <m/>
    <n v="154295.21700891721"/>
    <n v="-1815762.1159214973"/>
    <n v="0"/>
    <n v="0"/>
    <m/>
    <s v="Hedge Fund"/>
    <n v="0"/>
    <n v="0"/>
    <n v="0"/>
    <n v="0"/>
    <m/>
    <m/>
    <m/>
    <m/>
    <m/>
    <m/>
    <m/>
    <m/>
  </r>
  <r>
    <x v="55"/>
    <x v="1"/>
    <s v="NA"/>
    <n v="219140000"/>
    <n v="1309.8898999999999"/>
    <m/>
    <n v="17030253.621711135"/>
    <n v="0"/>
    <n v="0"/>
    <m/>
    <n v="167296.50331680549"/>
    <n v="17030253.621711135"/>
    <n v="0"/>
    <n v="0"/>
    <m/>
    <s v="Hedge Fund"/>
    <n v="0"/>
    <n v="0"/>
    <n v="0"/>
    <n v="0"/>
    <m/>
    <m/>
    <m/>
    <m/>
    <m/>
    <m/>
    <m/>
    <m/>
  </r>
  <r>
    <x v="56"/>
    <x v="1"/>
    <s v="NA"/>
    <n v="224740000"/>
    <n v="1321.2363"/>
    <m/>
    <n v="3701786.9547661841"/>
    <n v="0"/>
    <n v="0"/>
    <m/>
    <n v="170098.26327054441"/>
    <n v="3701786.9547661841"/>
    <n v="0"/>
    <n v="0"/>
    <m/>
    <s v="Hedge Fund"/>
    <n v="0"/>
    <n v="0"/>
    <n v="0"/>
    <n v="0"/>
    <m/>
    <m/>
    <m/>
    <m/>
    <m/>
    <m/>
    <m/>
    <m/>
  </r>
  <r>
    <x v="57"/>
    <x v="1"/>
    <s v="NA"/>
    <n v="222840000"/>
    <n v="1347.0795000000001"/>
    <m/>
    <n v="0"/>
    <n v="-6295883.4373533428"/>
    <n v="0"/>
    <m/>
    <n v="165424.53507755109"/>
    <n v="-6295883.4373533428"/>
    <n v="0"/>
    <n v="0"/>
    <m/>
    <s v="Hedge Fund"/>
    <n v="0"/>
    <n v="0"/>
    <n v="0"/>
    <n v="0"/>
    <m/>
    <m/>
    <m/>
    <m/>
    <m/>
    <m/>
    <m/>
    <m/>
  </r>
  <r>
    <x v="58"/>
    <x v="1"/>
    <s v="NA"/>
    <n v="233820000"/>
    <n v="1388.9559999999999"/>
    <m/>
    <n v="4052599.4568249583"/>
    <n v="0"/>
    <n v="0"/>
    <m/>
    <n v="168342.26570172131"/>
    <n v="4052599.4568249583"/>
    <n v="0"/>
    <n v="0"/>
    <m/>
    <s v="Hedge Fund"/>
    <n v="0"/>
    <n v="0"/>
    <n v="0"/>
    <n v="0"/>
    <m/>
    <m/>
    <m/>
    <m/>
    <m/>
    <m/>
    <m/>
    <m/>
  </r>
  <r>
    <x v="59"/>
    <x v="1"/>
    <s v="NA"/>
    <n v="239660000"/>
    <n v="1395.6912"/>
    <m/>
    <n v="4706181.1720457375"/>
    <n v="0"/>
    <n v="0"/>
    <m/>
    <n v="171714.20153684425"/>
    <n v="4706181.1720457375"/>
    <n v="0"/>
    <n v="0"/>
    <m/>
    <s v="Hedge Fund"/>
    <n v="0"/>
    <n v="0"/>
    <n v="0"/>
    <n v="0"/>
    <m/>
    <m/>
    <m/>
    <m/>
    <m/>
    <m/>
    <m/>
    <m/>
  </r>
  <r>
    <x v="60"/>
    <x v="1"/>
    <s v="NA"/>
    <n v="247110000"/>
    <n v="1430.5590999999999"/>
    <m/>
    <n v="1462686.3922334909"/>
    <n v="0"/>
    <n v="0"/>
    <m/>
    <n v="172736.65939421867"/>
    <n v="1462686.3922334909"/>
    <n v="0"/>
    <n v="0"/>
    <m/>
    <s v="Hedge Fund"/>
    <n v="0"/>
    <n v="0"/>
    <n v="0"/>
    <n v="0"/>
    <m/>
    <m/>
    <m/>
    <m/>
    <m/>
    <m/>
    <m/>
    <m/>
  </r>
  <r>
    <x v="61"/>
    <x v="1"/>
    <s v="NA"/>
    <n v="254680000"/>
    <n v="1484.4526999999998"/>
    <m/>
    <n v="0"/>
    <n v="-1739400.4267282486"/>
    <n v="0"/>
    <m/>
    <n v="171564.91412626352"/>
    <n v="-1739400.4267282486"/>
    <n v="0"/>
    <n v="0"/>
    <m/>
    <s v="Hedge Fund"/>
    <n v="0"/>
    <n v="0"/>
    <n v="0"/>
    <n v="0"/>
    <m/>
    <m/>
    <m/>
    <m/>
    <m/>
    <m/>
    <m/>
    <m/>
  </r>
  <r>
    <x v="62"/>
    <x v="1"/>
    <s v="NA"/>
    <n v="266430000"/>
    <n v="1482.2828999999999"/>
    <m/>
    <n v="12122261.55067116"/>
    <n v="0"/>
    <n v="0"/>
    <m/>
    <n v="179743.01666706134"/>
    <n v="12122261.55067116"/>
    <n v="0"/>
    <n v="0"/>
    <m/>
    <s v="Hedge Fund"/>
    <n v="0"/>
    <n v="0"/>
    <n v="0"/>
    <n v="0"/>
    <m/>
    <m/>
    <m/>
    <m/>
    <m/>
    <m/>
    <m/>
    <m/>
  </r>
  <r>
    <x v="63"/>
    <x v="1"/>
    <s v="NA"/>
    <n v="298760000"/>
    <n v="1477.5463999999999"/>
    <m/>
    <n v="33181352.798443526"/>
    <n v="0"/>
    <n v="0"/>
    <m/>
    <n v="202200.07980798438"/>
    <n v="33181352.798443526"/>
    <n v="0"/>
    <n v="0"/>
    <m/>
    <s v="Hedge Fund"/>
    <n v="0"/>
    <n v="0"/>
    <n v="0"/>
    <n v="0"/>
    <m/>
    <m/>
    <m/>
    <m/>
    <m/>
    <m/>
    <m/>
    <m/>
  </r>
  <r>
    <x v="64"/>
    <x v="1"/>
    <s v="NA"/>
    <n v="302060000"/>
    <n v="1496.846"/>
    <m/>
    <n v="0"/>
    <n v="-602380.66026216745"/>
    <n v="0"/>
    <m/>
    <n v="201797.64651807869"/>
    <n v="-602380.66026216745"/>
    <n v="0"/>
    <n v="0"/>
    <m/>
    <s v="Hedge Fund"/>
    <n v="0"/>
    <n v="0"/>
    <n v="0"/>
    <n v="0"/>
    <m/>
    <m/>
    <m/>
    <m/>
    <m/>
    <m/>
    <m/>
    <m/>
  </r>
  <r>
    <x v="65"/>
    <x v="1"/>
    <s v="NA"/>
    <n v="328550000"/>
    <n v="1513.3480999999999"/>
    <m/>
    <n v="23159915.057394028"/>
    <n v="0"/>
    <n v="0"/>
    <m/>
    <n v="217101.40581667895"/>
    <n v="23159915.057394028"/>
    <n v="0"/>
    <n v="0"/>
    <m/>
    <s v="Hedge Fund"/>
    <n v="0"/>
    <n v="0"/>
    <n v="0"/>
    <n v="0"/>
    <m/>
    <m/>
    <m/>
    <m/>
    <m/>
    <m/>
    <m/>
    <m/>
  </r>
  <r>
    <x v="66"/>
    <x v="1"/>
    <s v="NA"/>
    <n v="339800000"/>
    <n v="1529.6334999999999"/>
    <m/>
    <n v="7714416.7657130361"/>
    <n v="0"/>
    <n v="0"/>
    <m/>
    <n v="222144.71636506394"/>
    <n v="7714416.7657130361"/>
    <n v="0"/>
    <n v="0"/>
    <m/>
    <s v="Hedge Fund"/>
    <n v="0"/>
    <n v="0"/>
    <n v="0"/>
    <n v="0"/>
    <m/>
    <m/>
    <m/>
    <m/>
    <m/>
    <m/>
    <m/>
    <m/>
  </r>
  <r>
    <x v="67"/>
    <x v="1"/>
    <s v="NA"/>
    <n v="350770000"/>
    <n v="1587.1284000000001"/>
    <m/>
    <n v="0"/>
    <n v="-1802188.2529377341"/>
    <n v="0"/>
    <m/>
    <n v="221009.21387330728"/>
    <n v="-1802188.2529377341"/>
    <n v="0"/>
    <n v="0"/>
    <m/>
    <s v="Hedge Fund"/>
    <n v="0"/>
    <n v="0"/>
    <n v="0"/>
    <n v="0"/>
    <m/>
    <m/>
    <m/>
    <m/>
    <m/>
    <m/>
    <m/>
    <m/>
  </r>
  <r>
    <x v="68"/>
    <x v="1"/>
    <s v="NA"/>
    <n v="357370000"/>
    <n v="1624.2778000000001"/>
    <m/>
    <n v="0"/>
    <n v="-1610359.6898650527"/>
    <n v="0"/>
    <m/>
    <n v="220017.78267239753"/>
    <n v="-1610359.6898650527"/>
    <n v="0"/>
    <n v="0"/>
    <m/>
    <s v="Hedge Fund"/>
    <n v="0"/>
    <n v="0"/>
    <n v="0"/>
    <n v="0"/>
    <m/>
    <m/>
    <m/>
    <m/>
    <m/>
    <m/>
    <m/>
    <m/>
  </r>
  <r>
    <x v="69"/>
    <x v="1"/>
    <s v="NA"/>
    <n v="407360000"/>
    <n v="1638.4662000000001"/>
    <m/>
    <n v="46868299.692330956"/>
    <n v="0"/>
    <n v="0"/>
    <m/>
    <n v="248622.76682912349"/>
    <n v="46868299.692330956"/>
    <n v="0"/>
    <n v="0"/>
    <m/>
    <s v="Hedge Fund"/>
    <n v="0"/>
    <n v="0"/>
    <n v="0"/>
    <n v="0"/>
    <m/>
    <m/>
    <m/>
    <m/>
    <m/>
    <m/>
    <m/>
    <m/>
  </r>
  <r>
    <x v="70"/>
    <x v="1"/>
    <s v="NA"/>
    <n v="441610000"/>
    <n v="1668.1523000000002"/>
    <m/>
    <n v="26869359.68163389"/>
    <n v="0"/>
    <n v="0"/>
    <m/>
    <n v="264730.02495035972"/>
    <n v="26869359.68163389"/>
    <n v="0"/>
    <n v="0"/>
    <m/>
    <s v="Hedge Fund"/>
    <n v="0"/>
    <n v="0"/>
    <n v="0"/>
    <n v="0"/>
    <m/>
    <m/>
    <m/>
    <m/>
    <m/>
    <m/>
    <m/>
    <m/>
  </r>
  <r>
    <x v="71"/>
    <x v="1"/>
    <s v="NA"/>
    <n v="442030000"/>
    <n v="1693.7085"/>
    <m/>
    <n v="0"/>
    <n v="-6345493.4636363387"/>
    <n v="0"/>
    <m/>
    <n v="260983.51634888767"/>
    <n v="-6345493.4636363387"/>
    <n v="0"/>
    <n v="0"/>
    <m/>
    <s v="Hedge Fund"/>
    <n v="0"/>
    <n v="0"/>
    <n v="0"/>
    <n v="0"/>
    <m/>
    <m/>
    <m/>
    <m/>
    <m/>
    <m/>
    <m/>
    <m/>
  </r>
  <r>
    <x v="72"/>
    <x v="1"/>
    <s v="NA"/>
    <n v="458480000"/>
    <n v="1753.7643245748914"/>
    <m/>
    <n v="776419.72521287203"/>
    <n v="0"/>
    <n v="0"/>
    <m/>
    <n v="261426.23246206957"/>
    <n v="776419.72521287203"/>
    <n v="0"/>
    <n v="0"/>
    <m/>
    <s v="Hedge Fund"/>
    <n v="0"/>
    <n v="0"/>
    <n v="0"/>
    <n v="0"/>
    <m/>
    <m/>
    <m/>
    <m/>
    <m/>
    <m/>
    <m/>
    <m/>
  </r>
  <r>
    <x v="73"/>
    <x v="1"/>
    <s v="NA"/>
    <n v="477589385.90630847"/>
    <n v="1817.9249080723571"/>
    <m/>
    <n v="2336126.2899979949"/>
    <n v="0"/>
    <n v="0"/>
    <m/>
    <n v="262711.28350000002"/>
    <n v="2336126.2899979949"/>
    <n v="0"/>
    <n v="0"/>
    <m/>
    <s v="Hedge Fund"/>
    <n v="0"/>
    <n v="0"/>
    <n v="0"/>
    <n v="0"/>
    <m/>
    <m/>
    <m/>
    <m/>
    <m/>
    <m/>
    <m/>
    <m/>
  </r>
  <r>
    <x v="74"/>
    <x v="1"/>
    <s v="NA"/>
    <n v="512447611.87423545"/>
    <n v="1866.9561000000001"/>
    <m/>
    <n v="21977178.605081022"/>
    <n v="0"/>
    <n v="0"/>
    <m/>
    <n v="274482.94679999998"/>
    <n v="21977178.605081022"/>
    <n v="0"/>
    <n v="0"/>
    <m/>
    <s v="Hedge Fund"/>
    <n v="0"/>
    <n v="0"/>
    <n v="0"/>
    <n v="0"/>
    <m/>
    <m/>
    <m/>
    <m/>
    <m/>
    <m/>
    <m/>
    <m/>
  </r>
  <r>
    <x v="75"/>
    <x v="1"/>
    <s v="NA"/>
    <n v="509518247.52110177"/>
    <n v="1856.2837999999999"/>
    <m/>
    <n v="0"/>
    <n v="0"/>
    <n v="0"/>
    <m/>
    <n v="274482.94679999998"/>
    <n v="0"/>
    <n v="0"/>
    <n v="0"/>
    <m/>
    <s v="Hedge Fund"/>
    <n v="0"/>
    <n v="0"/>
    <n v="0"/>
    <n v="0"/>
    <m/>
    <m/>
    <m/>
    <m/>
    <m/>
    <m/>
    <m/>
    <m/>
  </r>
  <r>
    <x v="76"/>
    <x v="1"/>
    <s v="NA"/>
    <n v="559120000"/>
    <n v="1906.9264000000001"/>
    <m/>
    <n v="35701222.397284508"/>
    <n v="0"/>
    <n v="0"/>
    <m/>
    <n v="293204.81377781543"/>
    <n v="35701222.397284508"/>
    <n v="0"/>
    <n v="0"/>
    <m/>
    <s v="Hedge Fund"/>
    <n v="0"/>
    <n v="0"/>
    <n v="0"/>
    <n v="0"/>
    <m/>
    <m/>
    <m/>
    <m/>
    <m/>
    <m/>
    <m/>
    <m/>
  </r>
  <r>
    <x v="77"/>
    <x v="1"/>
    <s v="NA"/>
    <n v="533270000"/>
    <n v="1802.6483000000003"/>
    <m/>
    <n v="4724840.8916043639"/>
    <n v="0"/>
    <n v="0"/>
    <m/>
    <n v="295825.86908383621"/>
    <n v="4724840.8916043639"/>
    <n v="0"/>
    <n v="0"/>
    <m/>
    <s v="Hedge Fund"/>
    <n v="0"/>
    <n v="0"/>
    <n v="0"/>
    <n v="0"/>
    <m/>
    <m/>
    <m/>
    <m/>
    <m/>
    <m/>
    <m/>
    <m/>
  </r>
  <r>
    <x v="78"/>
    <x v="1"/>
    <s v="NA"/>
    <n v="555580000"/>
    <n v="1813.7191"/>
    <m/>
    <n v="19034970.968546748"/>
    <n v="0"/>
    <n v="0"/>
    <m/>
    <n v="306320.86302669469"/>
    <n v="19034970.968546748"/>
    <n v="0"/>
    <n v="0"/>
    <m/>
    <s v="Hedge Fund"/>
    <n v="0"/>
    <n v="0"/>
    <n v="0"/>
    <n v="0"/>
    <m/>
    <m/>
    <m/>
    <m/>
    <m/>
    <m/>
    <m/>
    <m/>
  </r>
  <r>
    <x v="79"/>
    <x v="1"/>
    <s v="NA"/>
    <n v="558798778.40037513"/>
    <n v="1818.7966000000001"/>
    <m/>
    <n v="1663434.2183570862"/>
    <n v="0"/>
    <n v="0"/>
    <m/>
    <n v="307235.44259999995"/>
    <n v="1663434.2183570862"/>
    <n v="0"/>
    <n v="0"/>
    <m/>
    <s v="Hedge Fund"/>
    <n v="0"/>
    <n v="0"/>
    <n v="0"/>
    <n v="0"/>
    <m/>
    <m/>
    <m/>
    <m/>
    <m/>
    <m/>
    <m/>
    <m/>
  </r>
  <r>
    <x v="80"/>
    <x v="1"/>
    <s v="NA"/>
    <n v="571347344.46757579"/>
    <n v="1846.8496000000002"/>
    <m/>
    <n v="3929690.1959428787"/>
    <n v="0"/>
    <n v="0"/>
    <m/>
    <n v="309363.22289999994"/>
    <n v="3929690.1959428787"/>
    <n v="0"/>
    <n v="0"/>
    <m/>
    <s v="Hedge Fund"/>
    <n v="0"/>
    <n v="0"/>
    <n v="0"/>
    <n v="0"/>
    <m/>
    <m/>
    <m/>
    <m/>
    <m/>
    <m/>
    <m/>
    <m/>
  </r>
  <r>
    <x v="81"/>
    <x v="1"/>
    <s v="NA"/>
    <n v="584090357.11431062"/>
    <n v="1868.7528999999997"/>
    <m/>
    <n v="5966937.1665893793"/>
    <n v="0"/>
    <n v="0"/>
    <m/>
    <n v="312556.22780000005"/>
    <n v="5966937.1665893793"/>
    <n v="0"/>
    <n v="0"/>
    <m/>
    <s v="Hedge Fund"/>
    <n v="0"/>
    <n v="0"/>
    <n v="0"/>
    <n v="0"/>
    <m/>
    <m/>
    <m/>
    <m/>
    <m/>
    <m/>
    <m/>
    <m/>
  </r>
  <r>
    <x v="82"/>
    <x v="1"/>
    <s v="NA"/>
    <n v="578824889.01440358"/>
    <n v="1820.7343000000003"/>
    <m/>
    <n v="9743044.3803298473"/>
    <n v="0"/>
    <n v="0"/>
    <m/>
    <n v="317907.38989999995"/>
    <n v="9743044.3803298473"/>
    <n v="0"/>
    <n v="0"/>
    <m/>
    <s v="Hedge Fund"/>
    <n v="0"/>
    <n v="0"/>
    <n v="0"/>
    <n v="0"/>
    <m/>
    <m/>
    <m/>
    <m/>
    <m/>
    <m/>
    <m/>
    <m/>
  </r>
  <r>
    <x v="83"/>
    <x v="1"/>
    <s v="NA"/>
    <n v="623022111.54772389"/>
    <n v="1849.4313000000002"/>
    <m/>
    <n v="35074234.165360093"/>
    <n v="0"/>
    <n v="0"/>
    <m/>
    <n v="336872.26529999997"/>
    <n v="35074234.165360093"/>
    <n v="0"/>
    <n v="0"/>
    <m/>
    <s v="Hedge Fund"/>
    <n v="0"/>
    <n v="0"/>
    <n v="0"/>
    <n v="0"/>
    <m/>
    <m/>
    <m/>
    <m/>
    <m/>
    <m/>
    <m/>
    <m/>
  </r>
  <r>
    <x v="84"/>
    <x v="1"/>
    <s v="NA"/>
    <n v="616185608.06165004"/>
    <n v="1812.8426000000002"/>
    <m/>
    <n v="5489214.7673082352"/>
    <n v="0"/>
    <n v="0"/>
    <m/>
    <n v="339900.22523833561"/>
    <n v="5489214.7673082352"/>
    <n v="0"/>
    <n v="0"/>
    <m/>
    <s v="Hedge Fund"/>
    <n v="0"/>
    <n v="0"/>
    <n v="0"/>
    <n v="0"/>
    <m/>
    <m/>
    <m/>
    <m/>
    <m/>
    <m/>
    <m/>
    <m/>
  </r>
  <r>
    <x v="85"/>
    <x v="1"/>
    <s v="NA"/>
    <n v="612147534.47961235"/>
    <n v="1779.9915000000003"/>
    <m/>
    <n v="7128022.7072893381"/>
    <n v="0"/>
    <n v="0"/>
    <m/>
    <n v="343904.75150000001"/>
    <n v="7128022.7072893381"/>
    <n v="0"/>
    <n v="0"/>
    <m/>
    <s v="Hedge Fund"/>
    <n v="0"/>
    <n v="0"/>
    <n v="0"/>
    <n v="0"/>
    <m/>
    <m/>
    <m/>
    <m/>
    <m/>
    <m/>
    <m/>
    <m/>
  </r>
  <r>
    <x v="86"/>
    <x v="1"/>
    <s v="NA"/>
    <n v="613046016.40129268"/>
    <n v="1781.0038999999997"/>
    <m/>
    <n v="550312.75126194954"/>
    <n v="0"/>
    <n v="0"/>
    <m/>
    <n v="344213.74170000007"/>
    <n v="550312.75126194954"/>
    <n v="0"/>
    <n v="0"/>
    <m/>
    <s v="Hedge Fund"/>
    <n v="0"/>
    <n v="0"/>
    <n v="0"/>
    <n v="0"/>
    <m/>
    <m/>
    <m/>
    <m/>
    <m/>
    <m/>
    <m/>
    <m/>
  </r>
  <r>
    <x v="87"/>
    <x v="1"/>
    <s v="NA"/>
    <n v="624070000"/>
    <n v="1813.0252"/>
    <m/>
    <n v="1812.1116089820862"/>
    <n v="0"/>
    <n v="0"/>
    <m/>
    <n v="344214.74119609589"/>
    <n v="1812.1116089820862"/>
    <n v="0"/>
    <n v="0"/>
    <m/>
    <s v="Hedge Fund"/>
    <n v="0"/>
    <n v="0"/>
    <n v="0"/>
    <n v="0"/>
    <m/>
    <m/>
    <m/>
    <m/>
    <m/>
    <m/>
    <m/>
    <m/>
  </r>
  <r>
    <x v="88"/>
    <x v="1"/>
    <s v="NA"/>
    <n v="606867092.72744"/>
    <n v="1762.7"/>
    <m/>
    <n v="119768.42108178139"/>
    <n v="0"/>
    <n v="0"/>
    <m/>
    <n v="344282.68719999999"/>
    <n v="119768.42108178139"/>
    <n v="0"/>
    <n v="0"/>
    <m/>
    <s v="Hedge Fund"/>
    <n v="0"/>
    <n v="0"/>
    <n v="0"/>
    <n v="0"/>
    <m/>
    <m/>
    <m/>
    <m/>
    <m/>
    <m/>
    <m/>
    <m/>
  </r>
  <r>
    <x v="89"/>
    <x v="1"/>
    <s v="NA"/>
    <n v="578360000"/>
    <n v="1679.4906000000001"/>
    <m/>
    <n v="140463.10485970974"/>
    <n v="0"/>
    <n v="0"/>
    <m/>
    <n v="344366.32155011763"/>
    <n v="140463.10485970974"/>
    <n v="0"/>
    <n v="0"/>
    <m/>
    <s v="Hedge Fund"/>
    <n v="0"/>
    <n v="0"/>
    <n v="0"/>
    <n v="0"/>
    <m/>
    <m/>
    <m/>
    <m/>
    <m/>
    <m/>
    <m/>
    <m/>
  </r>
  <r>
    <x v="90"/>
    <x v="1"/>
    <s v="NA"/>
    <n v="554100000"/>
    <n v="1608.3681999999997"/>
    <m/>
    <n v="232159.26781618595"/>
    <n v="0"/>
    <n v="0"/>
    <m/>
    <n v="344510.66615219082"/>
    <n v="232159.26781618595"/>
    <n v="0"/>
    <n v="0"/>
    <m/>
    <s v="Hedge Fund"/>
    <n v="0"/>
    <n v="0"/>
    <n v="0"/>
    <n v="0"/>
    <m/>
    <m/>
    <m/>
    <m/>
    <m/>
    <m/>
    <m/>
    <m/>
  </r>
  <r>
    <x v="91"/>
    <x v="1"/>
    <s v="NA"/>
    <n v="518440000.00000006"/>
    <n v="1540.2582"/>
    <m/>
    <n v="0"/>
    <n v="-12195378.528374314"/>
    <n v="0"/>
    <m/>
    <n v="336592.91669409716"/>
    <n v="-12195378.528374314"/>
    <n v="0"/>
    <n v="0"/>
    <m/>
    <s v="Hedge Fund"/>
    <n v="0"/>
    <n v="0"/>
    <n v="0"/>
    <n v="0"/>
    <m/>
    <m/>
    <m/>
    <m/>
    <m/>
    <m/>
    <m/>
    <m/>
  </r>
  <r>
    <x v="92"/>
    <x v="1"/>
    <s v="NA"/>
    <n v="517700000.00000006"/>
    <n v="1537.1346000000001"/>
    <m/>
    <n v="311381.63458567858"/>
    <n v="0"/>
    <n v="0"/>
    <m/>
    <n v="336795.48947762937"/>
    <n v="311381.63458567858"/>
    <n v="0"/>
    <n v="0"/>
    <m/>
    <s v="Hedge Fund"/>
    <n v="0"/>
    <n v="0"/>
    <n v="0"/>
    <n v="0"/>
    <m/>
    <m/>
    <m/>
    <m/>
    <m/>
    <m/>
    <m/>
    <m/>
  </r>
  <r>
    <x v="93"/>
    <x v="1"/>
    <s v="NA"/>
    <n v="508910000"/>
    <n v="1511.0528999999999"/>
    <m/>
    <n v="0"/>
    <n v="-5801.0820913314819"/>
    <n v="0"/>
    <m/>
    <n v="336791.65037835541"/>
    <n v="-5801.0820913314819"/>
    <n v="0"/>
    <n v="0"/>
    <m/>
    <s v="Hedge Fund"/>
    <n v="0"/>
    <n v="0"/>
    <n v="0"/>
    <n v="0"/>
    <m/>
    <m/>
    <m/>
    <m/>
    <m/>
    <m/>
    <m/>
    <m/>
  </r>
  <r>
    <x v="94"/>
    <x v="1"/>
    <s v="NA"/>
    <n v="431380000"/>
    <n v="1529.8933999999999"/>
    <m/>
    <n v="0"/>
    <n v="-83875323.088953435"/>
    <n v="0"/>
    <m/>
    <n v="281967.35798716435"/>
    <n v="-83875323.088953435"/>
    <n v="0"/>
    <n v="0"/>
    <m/>
    <s v="Hedge Fund"/>
    <n v="0"/>
    <n v="0"/>
    <n v="0"/>
    <n v="0"/>
    <m/>
    <m/>
    <m/>
    <m/>
    <m/>
    <m/>
    <m/>
    <m/>
  </r>
  <r>
    <x v="95"/>
    <x v="1"/>
    <s v="NA"/>
    <n v="428120000"/>
    <n v="1518.3263000000002"/>
    <m/>
    <n v="1544.6265732645988"/>
    <n v="0"/>
    <n v="0"/>
    <m/>
    <n v="281968.37530904915"/>
    <n v="1544.6265732645988"/>
    <n v="0"/>
    <n v="0"/>
    <m/>
    <s v="Hedge Fund"/>
    <n v="0"/>
    <n v="0"/>
    <n v="0"/>
    <n v="0"/>
    <m/>
    <m/>
    <m/>
    <m/>
    <m/>
    <m/>
    <m/>
    <m/>
  </r>
  <r>
    <x v="96"/>
    <x v="1"/>
    <s v="NA"/>
    <n v="408010000"/>
    <n v="1447.0174000000002"/>
    <m/>
    <n v="0"/>
    <n v="-3145.3219245672226"/>
    <n v="0"/>
    <m/>
    <n v="281966.20165037405"/>
    <n v="-3145.3219245672226"/>
    <n v="0"/>
    <n v="0"/>
    <m/>
    <s v="Hedge Fund"/>
    <n v="0"/>
    <n v="0"/>
    <n v="0"/>
    <n v="0"/>
    <m/>
    <m/>
    <m/>
    <m/>
    <m/>
    <m/>
    <m/>
    <m/>
  </r>
  <r>
    <x v="97"/>
    <x v="1"/>
    <s v="NA"/>
    <n v="349930000"/>
    <n v="1413.8922"/>
    <m/>
    <n v="0"/>
    <n v="-48739813.177091002"/>
    <n v="0"/>
    <m/>
    <n v="247494.11588804296"/>
    <n v="-48739813.177091002"/>
    <n v="0"/>
    <n v="0"/>
    <m/>
    <s v="Hedge Fund"/>
    <n v="0"/>
    <n v="0"/>
    <n v="0"/>
    <n v="0"/>
    <m/>
    <m/>
    <m/>
    <m/>
    <m/>
    <m/>
    <m/>
    <m/>
  </r>
  <r>
    <x v="98"/>
    <x v="1"/>
    <s v="NA"/>
    <n v="348210000"/>
    <n v="1406.9434000000003"/>
    <m/>
    <n v="0"/>
    <n v="-212.88751727342606"/>
    <n v="0"/>
    <m/>
    <n v="247493.96457597366"/>
    <n v="-212.88751727342606"/>
    <n v="0"/>
    <n v="0"/>
    <m/>
    <s v="Hedge Fund"/>
    <n v="0"/>
    <n v="0"/>
    <n v="0"/>
    <n v="0"/>
    <m/>
    <m/>
    <m/>
    <m/>
    <m/>
    <m/>
    <m/>
    <m/>
  </r>
  <r>
    <x v="99"/>
    <x v="1"/>
    <s v="NA"/>
    <n v="345404460.07499999"/>
    <n v="1395.6012000000001"/>
    <m/>
    <n v="1586.120013654232"/>
    <n v="0"/>
    <n v="0"/>
    <m/>
    <n v="247495.10108976689"/>
    <n v="1586.120013654232"/>
    <n v="0"/>
    <n v="0"/>
    <m/>
    <s v="Hedge Fund"/>
    <n v="0"/>
    <n v="0"/>
    <n v="0"/>
    <n v="0"/>
    <m/>
    <m/>
    <m/>
    <m/>
    <m/>
    <m/>
    <m/>
    <m/>
  </r>
  <r>
    <x v="100"/>
    <x v="1"/>
    <s v="NA"/>
    <n v="315390000"/>
    <n v="1409.1298999999999"/>
    <m/>
    <n v="0"/>
    <n v="-33362747.049113095"/>
    <n v="0"/>
    <m/>
    <n v="223818.96800287894"/>
    <n v="-33362747.049113095"/>
    <n v="0"/>
    <n v="0"/>
    <m/>
    <s v="Hedge Fund"/>
    <n v="0"/>
    <n v="0"/>
    <n v="0"/>
    <n v="0"/>
    <m/>
    <m/>
    <m/>
    <m/>
    <m/>
    <m/>
    <m/>
    <m/>
  </r>
  <r>
    <x v="101"/>
    <x v="1"/>
    <s v="NA"/>
    <n v="317550000"/>
    <n v="1418.2234000000001"/>
    <m/>
    <n v="124702.21446579695"/>
    <n v="0"/>
    <n v="0"/>
    <m/>
    <n v="223906.89647343286"/>
    <n v="124702.21446579695"/>
    <n v="0"/>
    <n v="0"/>
    <m/>
    <s v="Hedge Fund"/>
    <n v="0"/>
    <n v="0"/>
    <n v="0"/>
    <n v="0"/>
    <m/>
    <m/>
    <m/>
    <m/>
    <m/>
    <m/>
    <m/>
    <m/>
  </r>
  <r>
    <x v="102"/>
    <x v="1"/>
    <s v="NA"/>
    <n v="338568492.37493181"/>
    <n v="1510.9146000000001"/>
    <m/>
    <n v="264293.45253360271"/>
    <n v="0"/>
    <n v="0"/>
    <m/>
    <n v="224081.8193"/>
    <n v="264293.45253360271"/>
    <n v="0"/>
    <n v="0"/>
    <m/>
    <s v="Hedge Fund"/>
    <n v="0"/>
    <n v="0"/>
    <n v="0"/>
    <n v="0"/>
    <m/>
    <m/>
    <m/>
    <m/>
    <m/>
    <m/>
    <m/>
    <m/>
  </r>
  <r>
    <x v="103"/>
    <x v="1"/>
    <s v="NA"/>
    <n v="334519302.79206502"/>
    <n v="1514.7872999999997"/>
    <m/>
    <n v="0"/>
    <n v="-4916991.2444698215"/>
    <n v="0"/>
    <m/>
    <n v="220835.82480000003"/>
    <n v="-4916991.2444698215"/>
    <n v="0"/>
    <n v="0"/>
    <m/>
    <s v="Hedge Fund"/>
    <n v="0"/>
    <n v="0"/>
    <n v="0"/>
    <n v="0"/>
    <m/>
    <m/>
    <m/>
    <m/>
    <m/>
    <m/>
    <m/>
    <m/>
  </r>
  <r>
    <x v="104"/>
    <x v="1"/>
    <s v="NA"/>
    <n v="349295003.95000005"/>
    <n v="1581.6953000000003"/>
    <m/>
    <n v="17.79221647977829"/>
    <n v="0"/>
    <n v="0"/>
    <m/>
    <n v="220835.83604882684"/>
    <n v="17.79221647977829"/>
    <n v="0"/>
    <n v="0"/>
    <m/>
    <s v="Hedge Fund"/>
    <n v="0"/>
    <n v="0"/>
    <n v="0"/>
    <n v="0"/>
    <m/>
    <m/>
    <m/>
    <m/>
    <m/>
    <m/>
    <m/>
    <m/>
  </r>
  <r>
    <x v="105"/>
    <x v="1"/>
    <s v="NA"/>
    <n v="353252518.72327679"/>
    <n v="1599.616"/>
    <m/>
    <n v="0"/>
    <n v="-17.993803381919861"/>
    <n v="0"/>
    <m/>
    <n v="220835.8248"/>
    <n v="-17.993803381919861"/>
    <n v="0"/>
    <n v="0"/>
    <m/>
    <s v="Hedge Fund"/>
    <n v="0"/>
    <n v="0"/>
    <n v="0"/>
    <n v="0"/>
    <m/>
    <m/>
    <m/>
    <m/>
    <m/>
    <m/>
    <m/>
    <m/>
  </r>
  <r>
    <x v="106"/>
    <x v="1"/>
    <s v="NA"/>
    <n v="352948806.02760398"/>
    <n v="1625.3155999999997"/>
    <m/>
    <n v="0"/>
    <n v="-5979105.0587028265"/>
    <n v="0"/>
    <m/>
    <n v="217157.09000000003"/>
    <n v="-5979105.0587028265"/>
    <n v="0"/>
    <n v="0"/>
    <m/>
    <s v="Hedge Fund"/>
    <n v="0"/>
    <n v="0"/>
    <n v="0"/>
    <n v="0"/>
    <m/>
    <m/>
    <m/>
    <m/>
    <m/>
    <m/>
    <m/>
    <m/>
  </r>
  <r>
    <x v="107"/>
    <x v="1"/>
    <s v="NA"/>
    <n v="355018201.71693742"/>
    <n v="1652.1982"/>
    <m/>
    <n v="0"/>
    <n v="-3768351.498300612"/>
    <n v="0"/>
    <m/>
    <n v="214876.27919999999"/>
    <n v="-3768351.498300612"/>
    <n v="0"/>
    <n v="0"/>
    <m/>
    <s v="Hedge Fund"/>
    <n v="0"/>
    <n v="0"/>
    <n v="0"/>
    <n v="0"/>
    <m/>
    <m/>
    <m/>
    <m/>
    <m/>
    <m/>
    <m/>
    <m/>
  </r>
  <r>
    <x v="108"/>
    <x v="1"/>
    <s v="NA"/>
    <n v="368917989.54005951"/>
    <n v="1716.8856000000001"/>
    <m/>
    <n v="0"/>
    <n v="0"/>
    <n v="0"/>
    <m/>
    <n v="214876.27919999999"/>
    <n v="0"/>
    <n v="0"/>
    <n v="0"/>
    <m/>
    <s v="Hedge Fund"/>
    <n v="0"/>
    <n v="0"/>
    <n v="0"/>
    <n v="0"/>
    <m/>
    <m/>
    <m/>
    <m/>
    <m/>
    <m/>
    <m/>
    <m/>
  </r>
  <r>
    <x v="109"/>
    <x v="1"/>
    <s v="NA"/>
    <n v="372784963.22142768"/>
    <n v="1753.6153999999999"/>
    <m/>
    <n v="0"/>
    <n v="-4025389.0783919692"/>
    <n v="0"/>
    <m/>
    <n v="212580.79920000001"/>
    <n v="-4025389.0783919692"/>
    <n v="0"/>
    <n v="0"/>
    <m/>
    <s v="Hedge Fund"/>
    <n v="0"/>
    <n v="0"/>
    <n v="0"/>
    <n v="0"/>
    <m/>
    <m/>
    <m/>
    <m/>
    <m/>
    <m/>
    <m/>
    <m/>
  </r>
  <r>
    <x v="110"/>
    <x v="1"/>
    <s v="NA"/>
    <n v="366711884.58983797"/>
    <n v="1717.0327"/>
    <m/>
    <n v="1703700.9713041186"/>
    <n v="0"/>
    <n v="0"/>
    <m/>
    <n v="213573.03479999999"/>
    <n v="1703700.9713041186"/>
    <n v="0"/>
    <n v="0"/>
    <m/>
    <s v="Hedge Fund"/>
    <n v="0"/>
    <n v="0"/>
    <n v="0"/>
    <n v="0"/>
    <m/>
    <m/>
    <m/>
    <m/>
    <m/>
    <m/>
    <m/>
    <m/>
  </r>
  <r>
    <x v="111"/>
    <x v="1"/>
    <s v="NA"/>
    <n v="397911829.52241683"/>
    <n v="1863.1183000000003"/>
    <m/>
    <n v="0"/>
    <n v="-5.9604644775390625E-8"/>
    <n v="0"/>
    <m/>
    <n v="213573.03479999996"/>
    <n v="-5.9604644775390625E-8"/>
    <n v="0"/>
    <n v="0"/>
    <m/>
    <s v="Hedge Fund"/>
    <n v="0"/>
    <n v="0"/>
    <n v="0"/>
    <n v="0"/>
    <m/>
    <m/>
    <m/>
    <m/>
    <m/>
    <m/>
    <m/>
    <m/>
  </r>
  <r>
    <x v="112"/>
    <x v="1"/>
    <s v="NA"/>
    <n v="420171548.96384674"/>
    <n v="1929.0141999999998"/>
    <m/>
    <n v="8186132.0975526571"/>
    <n v="0"/>
    <n v="0"/>
    <m/>
    <n v="217816.72160000002"/>
    <n v="8186132.0975526571"/>
    <n v="0"/>
    <n v="0"/>
    <m/>
    <s v="Hedge Fund"/>
    <n v="0"/>
    <n v="0"/>
    <n v="0"/>
    <n v="0"/>
    <m/>
    <m/>
    <m/>
    <m/>
    <m/>
    <m/>
    <m/>
    <m/>
  </r>
  <r>
    <x v="113"/>
    <x v="1"/>
    <s v="NA"/>
    <n v="423729540.27980381"/>
    <n v="1943.0368000000001"/>
    <m/>
    <n v="503634.55564886332"/>
    <n v="0"/>
    <n v="0"/>
    <m/>
    <n v="218075.92129999999"/>
    <n v="503634.55564886332"/>
    <n v="0"/>
    <n v="0"/>
    <m/>
    <s v="Hedge Fund"/>
    <n v="0"/>
    <n v="0"/>
    <n v="0"/>
    <n v="0"/>
    <m/>
    <m/>
    <m/>
    <m/>
    <m/>
    <m/>
    <m/>
    <m/>
  </r>
  <r>
    <x v="114"/>
    <x v="1"/>
    <s v="NA"/>
    <n v="442850372.91364473"/>
    <n v="1990.7815000000003"/>
    <m/>
    <n v="8708863.1941487193"/>
    <n v="0"/>
    <n v="0"/>
    <m/>
    <n v="222450.51649999997"/>
    <n v="8708863.1941487193"/>
    <n v="0"/>
    <n v="0"/>
    <m/>
    <s v="Hedge Fund"/>
    <n v="0"/>
    <n v="0"/>
    <n v="0"/>
    <n v="0"/>
    <m/>
    <m/>
    <m/>
    <m/>
    <m/>
    <m/>
    <m/>
    <m/>
  </r>
  <r>
    <x v="115"/>
    <x v="1"/>
    <s v="NA"/>
    <n v="457607576.10000002"/>
    <n v="2083.2993999999999"/>
    <m/>
    <n v="0"/>
    <n v="-5823451.4541400075"/>
    <n v="0"/>
    <m/>
    <n v="219655.21427213008"/>
    <n v="-5823451.4541400075"/>
    <n v="0"/>
    <n v="0"/>
    <m/>
    <s v="Hedge Fund"/>
    <n v="0"/>
    <n v="0"/>
    <n v="0"/>
    <n v="0"/>
    <m/>
    <m/>
    <m/>
    <m/>
    <m/>
    <m/>
    <m/>
    <m/>
  </r>
  <r>
    <x v="116"/>
    <x v="1"/>
    <s v="NA"/>
    <n v="474324050.08314651"/>
    <n v="2131.4557"/>
    <m/>
    <n v="6138691.5880935192"/>
    <n v="0"/>
    <n v="0"/>
    <m/>
    <n v="222535.26079999999"/>
    <n v="6138691.5880935192"/>
    <n v="0"/>
    <n v="0"/>
    <m/>
    <s v="Hedge Fund"/>
    <n v="0"/>
    <n v="0"/>
    <n v="0"/>
    <n v="0"/>
    <m/>
    <m/>
    <m/>
    <m/>
    <m/>
    <m/>
    <m/>
    <m/>
  </r>
  <r>
    <x v="117"/>
    <x v="1"/>
    <s v="NA"/>
    <n v="486399190.24615806"/>
    <n v="2149.4643000000001"/>
    <m/>
    <n v="8067591.6653686166"/>
    <n v="0"/>
    <n v="0"/>
    <m/>
    <n v="226288.56419999999"/>
    <n v="8067591.6653686166"/>
    <n v="0"/>
    <n v="0"/>
    <m/>
    <s v="Hedge Fund"/>
    <n v="0"/>
    <n v="0"/>
    <n v="0"/>
    <n v="0"/>
    <m/>
    <m/>
    <m/>
    <m/>
    <m/>
    <m/>
    <m/>
    <m/>
  </r>
  <r>
    <x v="118"/>
    <x v="1"/>
    <s v="NA"/>
    <n v="491389942.62095493"/>
    <n v="2172.3395"/>
    <m/>
    <n v="0"/>
    <n v="-185643.78899097443"/>
    <n v="0"/>
    <m/>
    <n v="226203.10620000001"/>
    <n v="-185643.78899097443"/>
    <n v="0"/>
    <n v="0"/>
    <m/>
    <s v="Hedge Fund"/>
    <n v="0"/>
    <n v="0"/>
    <n v="0"/>
    <n v="0"/>
    <m/>
    <m/>
    <m/>
    <m/>
    <m/>
    <m/>
    <m/>
    <m/>
  </r>
  <r>
    <x v="119"/>
    <x v="1"/>
    <s v="NA"/>
    <n v="489732805.8110106"/>
    <n v="2172.2797999999998"/>
    <m/>
    <n v="0"/>
    <n v="-1643632.4845041633"/>
    <n v="0"/>
    <m/>
    <n v="225446.46680000002"/>
    <n v="-1643632.4845041633"/>
    <n v="0"/>
    <n v="0"/>
    <m/>
    <s v="Hedge Fund"/>
    <n v="0"/>
    <n v="0"/>
    <n v="0"/>
    <n v="0"/>
    <m/>
    <m/>
    <m/>
    <m/>
    <m/>
    <m/>
    <m/>
    <m/>
  </r>
  <r>
    <x v="120"/>
    <x v="1"/>
    <s v="NA"/>
    <n v="498912940.84981328"/>
    <n v="2212.9996000000001"/>
    <m/>
    <n v="0"/>
    <n v="-5.9604644775390625E-8"/>
    <n v="0"/>
    <m/>
    <n v="225446.46679999999"/>
    <n v="-5.9604644775390625E-8"/>
    <n v="0"/>
    <n v="0"/>
    <m/>
    <s v="Hedge Fund"/>
    <n v="0"/>
    <n v="0"/>
    <n v="0"/>
    <n v="0"/>
    <m/>
    <m/>
    <m/>
    <m/>
    <m/>
    <m/>
    <m/>
    <m/>
  </r>
  <r>
    <x v="121"/>
    <x v="1"/>
    <s v="NA"/>
    <n v="492545205.69928956"/>
    <n v="2243.5120999999999"/>
    <m/>
    <n v="0"/>
    <n v="-13246670.468758702"/>
    <n v="0"/>
    <m/>
    <n v="219542.03219999999"/>
    <n v="-13246670.468758702"/>
    <n v="0"/>
    <n v="0"/>
    <m/>
    <s v="Hedge Fund"/>
    <n v="0"/>
    <n v="0"/>
    <n v="0"/>
    <n v="0"/>
    <m/>
    <m/>
    <m/>
    <m/>
    <m/>
    <m/>
    <m/>
    <m/>
  </r>
  <r>
    <x v="122"/>
    <x v="1"/>
    <s v="NA"/>
    <n v="492545205.69928956"/>
    <n v="2252.0594999999998"/>
    <m/>
    <n v="0"/>
    <n v="-1876513.5660262704"/>
    <n v="0"/>
    <m/>
    <n v="218708.78886605334"/>
    <n v="-1876513.5660262704"/>
    <n v="0"/>
    <n v="0"/>
    <m/>
    <s v="Hedge Fund"/>
    <n v="0"/>
    <n v="0"/>
    <n v="0"/>
    <n v="0"/>
    <m/>
    <m/>
    <m/>
    <m/>
    <m/>
    <m/>
    <m/>
    <m/>
  </r>
  <r>
    <x v="123"/>
    <x v="1"/>
    <s v="NA"/>
    <n v="494491126.54956007"/>
    <n v="2252.2640000000001"/>
    <m/>
    <n v="1901194.9029473066"/>
    <n v="0"/>
    <n v="0"/>
    <m/>
    <n v="219552.91500000001"/>
    <n v="1901194.9029473066"/>
    <n v="0"/>
    <n v="0"/>
    <m/>
    <s v="Hedge Fund"/>
    <n v="0"/>
    <n v="0"/>
    <n v="0"/>
    <n v="0"/>
    <m/>
    <m/>
    <m/>
    <m/>
    <m/>
    <m/>
    <m/>
    <m/>
  </r>
  <r>
    <x v="124"/>
    <x v="1"/>
    <s v="NA"/>
    <n v="487597309.0112915"/>
    <n v="2289.8463999999999"/>
    <m/>
    <n v="0"/>
    <n v="-15145143.010964513"/>
    <n v="0"/>
    <m/>
    <n v="212938.87179999999"/>
    <n v="-15145143.010964513"/>
    <n v="0"/>
    <n v="0"/>
    <m/>
    <s v="Hedge Fund"/>
    <n v="0"/>
    <n v="0"/>
    <n v="0"/>
    <n v="0"/>
    <m/>
    <m/>
    <m/>
    <m/>
    <m/>
    <m/>
    <m/>
    <m/>
  </r>
  <r>
    <x v="125"/>
    <x v="1"/>
    <s v="NA"/>
    <n v="462417258.86628366"/>
    <n v="2179.3768"/>
    <m/>
    <n v="0"/>
    <n v="-1656778.1528105736"/>
    <n v="0"/>
    <m/>
    <n v="212178.66450000004"/>
    <n v="-1656778.1528105736"/>
    <n v="0"/>
    <n v="0"/>
    <m/>
    <s v="Hedge Fund"/>
    <n v="0"/>
    <n v="0"/>
    <n v="0"/>
    <n v="0"/>
    <m/>
    <m/>
    <m/>
    <m/>
    <m/>
    <m/>
    <m/>
    <m/>
  </r>
  <r>
    <x v="126"/>
    <x v="1"/>
    <s v="NA"/>
    <n v="480594466.19034344"/>
    <n v="2193.4211"/>
    <m/>
    <n v="15197306.506222367"/>
    <n v="0"/>
    <n v="0"/>
    <m/>
    <n v="219107.25040000002"/>
    <n v="15197306.506222367"/>
    <n v="0"/>
    <n v="0"/>
    <m/>
    <s v="Hedge Fund"/>
    <n v="0"/>
    <n v="0"/>
    <n v="0"/>
    <n v="0"/>
    <m/>
    <m/>
    <m/>
    <m/>
    <m/>
    <m/>
    <m/>
    <m/>
  </r>
  <r>
    <x v="127"/>
    <x v="1"/>
    <s v="NA"/>
    <n v="462880101.72788733"/>
    <n v="2139.3407999999999"/>
    <m/>
    <n v="0"/>
    <n v="-5864978.6286489964"/>
    <n v="0"/>
    <m/>
    <n v="216365.7617"/>
    <n v="-5864978.6286489964"/>
    <n v="0"/>
    <n v="0"/>
    <m/>
    <s v="Hedge Fund"/>
    <n v="0"/>
    <n v="0"/>
    <n v="0"/>
    <n v="0"/>
    <m/>
    <m/>
    <m/>
    <m/>
    <m/>
    <m/>
    <m/>
    <m/>
  </r>
  <r>
    <x v="128"/>
    <x v="1"/>
    <s v="NA"/>
    <n v="459860079.32083493"/>
    <n v="2120.8011000000001"/>
    <m/>
    <n v="991333.90513700247"/>
    <n v="0"/>
    <n v="0"/>
    <m/>
    <n v="216833.1954"/>
    <n v="991333.90513700247"/>
    <n v="0"/>
    <n v="0"/>
    <m/>
    <s v="Hedge Fund"/>
    <n v="0"/>
    <n v="0"/>
    <n v="0"/>
    <n v="0"/>
    <m/>
    <m/>
    <m/>
    <m/>
    <m/>
    <m/>
    <m/>
    <m/>
  </r>
  <r>
    <x v="129"/>
    <x v="1"/>
    <s v="NA"/>
    <n v="469485998.73086625"/>
    <n v="2165.1943000000001"/>
    <m/>
    <n v="0"/>
    <n v="0"/>
    <n v="0"/>
    <m/>
    <n v="216833.19540000003"/>
    <n v="0"/>
    <n v="0"/>
    <n v="0"/>
    <m/>
    <s v="Hedge Fund"/>
    <n v="0"/>
    <n v="0"/>
    <n v="0"/>
    <n v="0"/>
    <m/>
    <m/>
    <m/>
    <m/>
    <m/>
    <m/>
    <m/>
    <m/>
  </r>
  <r>
    <x v="130"/>
    <x v="1"/>
    <s v="NA"/>
    <n v="465072443.76236367"/>
    <n v="2234.8852999999999"/>
    <m/>
    <n v="0"/>
    <n v="-19524877.189123988"/>
    <n v="0"/>
    <m/>
    <n v="208096.78409999999"/>
    <n v="-19524877.189123988"/>
    <n v="0"/>
    <n v="0"/>
    <m/>
    <s v="Hedge Fund"/>
    <n v="0"/>
    <n v="0"/>
    <n v="0.13628189915686975"/>
    <n v="2.6138737031278323"/>
    <m/>
    <m/>
    <m/>
    <m/>
    <m/>
    <m/>
    <m/>
    <m/>
  </r>
  <r>
    <x v="131"/>
    <x v="1"/>
    <s v="NA"/>
    <n v="500712163.51099485"/>
    <n v="2275.0497"/>
    <m/>
    <n v="27281637.273325086"/>
    <n v="0"/>
    <n v="0"/>
    <m/>
    <n v="220088.45060000001"/>
    <n v="27281637.273325086"/>
    <n v="0"/>
    <n v="0"/>
    <m/>
    <s v="Hedge Fund"/>
    <n v="0"/>
    <n v="0"/>
    <n v="0.12977234258469142"/>
    <n v="2.9572753198474966"/>
    <m/>
    <m/>
    <m/>
    <m/>
    <m/>
    <m/>
    <m/>
    <m/>
  </r>
  <r>
    <x v="132"/>
    <x v="1"/>
    <s v="NA"/>
    <n v="503927581.342408"/>
    <n v="2287.8317000000002"/>
    <m/>
    <n v="402247.2558439374"/>
    <n v="0"/>
    <n v="0"/>
    <m/>
    <n v="220264.27090000021"/>
    <n v="402247.2558439374"/>
    <n v="0"/>
    <n v="0"/>
    <m/>
    <s v="Hedge Fund"/>
    <n v="0"/>
    <n v="0"/>
    <n v="0.13539106294725917"/>
    <n v="3.0795417008306547"/>
    <m/>
    <m/>
    <m/>
    <m/>
    <m/>
    <m/>
    <m/>
    <m/>
  </r>
  <r>
    <x v="133"/>
    <x v="1"/>
    <s v="NA"/>
    <n v="499555681.40999997"/>
    <n v="2353.3773000000001"/>
    <m/>
    <n v="0"/>
    <n v="-18809253.727111101"/>
    <n v="0"/>
    <m/>
    <n v="212271.81948682855"/>
    <n v="-18809253.727111101"/>
    <n v="0"/>
    <n v="0"/>
    <m/>
    <s v="Hedge Fund"/>
    <n v="0"/>
    <n v="0"/>
    <n v="0.14192737503898437"/>
    <n v="3.5738000305829618"/>
    <m/>
    <m/>
    <m/>
    <m/>
    <m/>
    <m/>
    <m/>
    <m/>
  </r>
  <r>
    <x v="134"/>
    <x v="1"/>
    <s v="NA"/>
    <n v="517268733.92861003"/>
    <n v="2343.3036000000002"/>
    <m/>
    <n v="19851415.146574497"/>
    <n v="0"/>
    <n v="0"/>
    <m/>
    <n v="220743.37014145753"/>
    <n v="19851415.146574497"/>
    <n v="0"/>
    <n v="0"/>
    <m/>
    <s v="Hedge Fund"/>
    <n v="0"/>
    <n v="0"/>
    <n v="0.1425170558664097"/>
    <n v="3.4844562344206684"/>
    <m/>
    <m/>
    <m/>
    <m/>
    <m/>
    <m/>
    <m/>
    <m/>
  </r>
  <r>
    <x v="135"/>
    <x v="1"/>
    <s v="NA"/>
    <n v="561900298.21897602"/>
    <n v="2312.2212000000004"/>
    <m/>
    <n v="51492798.018450797"/>
    <n v="0"/>
    <n v="0"/>
    <m/>
    <n v="243013.21094148603"/>
    <n v="51492798.018450797"/>
    <n v="0"/>
    <n v="0"/>
    <m/>
    <s v="Hedge Fund"/>
    <n v="0"/>
    <n v="0"/>
    <n v="0.15349152222868309"/>
    <n v="3.2716804980254421"/>
    <m/>
    <m/>
    <m/>
    <m/>
    <m/>
    <m/>
    <m/>
    <m/>
  </r>
  <r>
    <x v="136"/>
    <x v="1"/>
    <s v="NA"/>
    <n v="543766689.38784707"/>
    <n v="2315.4141000000004"/>
    <m/>
    <n v="0"/>
    <n v="-18909525.71234405"/>
    <n v="0"/>
    <m/>
    <n v="234846.41014661136"/>
    <n v="-18909525.71234405"/>
    <n v="0"/>
    <n v="0"/>
    <m/>
    <s v="Hedge Fund"/>
    <n v="0"/>
    <n v="0"/>
    <n v="0.16941602927151156"/>
    <n v="3.3651884082228638"/>
    <m/>
    <m/>
    <m/>
    <m/>
    <m/>
    <m/>
    <m/>
    <m/>
  </r>
  <r>
    <x v="137"/>
    <x v="1"/>
    <s v="NA"/>
    <n v="555879294.26315308"/>
    <n v="2366.9908"/>
    <m/>
    <n v="2.0330972671508789"/>
    <n v="0"/>
    <n v="0"/>
    <m/>
    <n v="234846.41100554893"/>
    <n v="2.0330972671508789"/>
    <n v="0"/>
    <n v="0"/>
    <m/>
    <s v="Hedge Fund"/>
    <n v="0"/>
    <n v="0"/>
    <n v="0.1684496758974445"/>
    <n v="3.7924198645614777"/>
    <m/>
    <m/>
    <m/>
    <m/>
    <m/>
    <m/>
    <m/>
    <m/>
  </r>
  <r>
    <x v="138"/>
    <x v="1"/>
    <s v="NA"/>
    <n v="576537387.77257502"/>
    <n v="2446.1541000000002"/>
    <m/>
    <n v="2066876.6210663319"/>
    <n v="0"/>
    <n v="0"/>
    <m/>
    <n v="235691.36047993664"/>
    <n v="2066876.6210663319"/>
    <n v="0"/>
    <n v="0"/>
    <m/>
    <s v="Hedge Fund"/>
    <n v="0.69941867984112105"/>
    <n v="32.209986639999997"/>
    <n v="0.16198986988243222"/>
    <n v="4.4140508027934224"/>
    <m/>
    <m/>
    <m/>
    <m/>
    <m/>
    <m/>
    <m/>
    <m/>
  </r>
  <r>
    <x v="139"/>
    <x v="1"/>
    <s v="NA"/>
    <n v="568394319.54851401"/>
    <n v="2430.212"/>
    <m/>
    <n v="0"/>
    <n v="-4385652.9861537218"/>
    <n v="0"/>
    <m/>
    <n v="233886.72245405504"/>
    <n v="-4385652.9861537218"/>
    <n v="0"/>
    <n v="0"/>
    <m/>
    <s v="Hedge Fund"/>
    <n v="0.81253432439588902"/>
    <n v="31.521932184387399"/>
    <n v="0.18931355382078119"/>
    <n v="4.3277235492371178"/>
    <m/>
    <m/>
    <m/>
    <m/>
    <m/>
    <m/>
    <m/>
    <m/>
  </r>
  <r>
    <x v="140"/>
    <x v="1"/>
    <s v="NA"/>
    <n v="572222920.3565985"/>
    <n v="2406.3620999999998"/>
    <m/>
    <n v="9406775.7499414682"/>
    <n v="0"/>
    <n v="0"/>
    <m/>
    <n v="237795.8497420644"/>
    <n v="9406775.7499414682"/>
    <n v="0"/>
    <n v="0"/>
    <m/>
    <s v="Hedge Fund"/>
    <n v="0.74169943263698102"/>
    <n v="30.234805453042998"/>
    <n v="0.17908132054136874"/>
    <n v="4.1618716763579888"/>
    <m/>
    <m/>
    <m/>
    <m/>
    <m/>
    <m/>
    <m/>
    <m/>
  </r>
  <r>
    <x v="141"/>
    <x v="1"/>
    <s v="NA"/>
    <n v="579286023.37716031"/>
    <n v="2436.0645"/>
    <m/>
    <n v="0"/>
    <n v="-4.4268169403076172"/>
    <n v="0"/>
    <m/>
    <n v="237795.84792486418"/>
    <n v="-4.4268169403076172"/>
    <n v="0"/>
    <n v="0"/>
    <m/>
    <s v="Hedge Fund"/>
    <n v="0.77775839091030341"/>
    <n v="32.055488260000004"/>
    <n v="0.18962388891577797"/>
    <n v="4.4249729688920389"/>
    <m/>
    <m/>
    <m/>
    <m/>
    <m/>
    <m/>
    <m/>
    <m/>
  </r>
  <r>
    <x v="142"/>
    <x v="1"/>
    <s v="NA"/>
    <n v="591693066.89228654"/>
    <n v="2464.3440000000001"/>
    <m/>
    <n v="5682295.8337349892"/>
    <n v="0"/>
    <n v="0"/>
    <m/>
    <n v="240101.65256647876"/>
    <n v="5682295.8337349892"/>
    <n v="0"/>
    <n v="0"/>
    <m/>
    <s v="Hedge Fund"/>
    <n v="0.75699196771218757"/>
    <n v="1.6974706399999999"/>
    <n v="0.18345500000000001"/>
    <n v="0.26187624651358571"/>
    <m/>
    <m/>
    <m/>
    <m/>
    <m/>
    <m/>
    <m/>
    <m/>
  </r>
  <r>
    <x v="143"/>
    <x v="1"/>
    <s v="NA"/>
    <n v="603289142.41616726"/>
    <n v="2512.6405"/>
    <m/>
    <n v="6.0607037544250488"/>
    <n v="0"/>
    <n v="0"/>
    <m/>
    <n v="240101.65497856427"/>
    <n v="6.0607037544250488"/>
    <n v="0"/>
    <n v="0"/>
    <m/>
    <s v="Hedge Fund"/>
    <n v="0.70034444981618571"/>
    <n v="4.59650596"/>
    <n v="0.16972699999999999"/>
    <n v="0.70912315036101337"/>
    <m/>
    <m/>
    <m/>
    <m/>
    <m/>
    <m/>
    <m/>
    <m/>
  </r>
  <r>
    <x v="144"/>
    <x v="1"/>
    <s v="NA"/>
    <n v="609358108.90183723"/>
    <n v="2514.4333999999999"/>
    <m/>
    <n v="5638488.2284590006"/>
    <n v="0"/>
    <n v="0"/>
    <m/>
    <n v="242344.10380558789"/>
    <n v="5638488.2284590006"/>
    <n v="0"/>
    <n v="0"/>
    <m/>
    <s v="Hedge Fund"/>
    <n v="0.7074690304866571"/>
    <n v="4.7115388600000001"/>
    <n v="0.17119200000000001"/>
    <n v="0.725600356267594"/>
    <m/>
    <m/>
    <m/>
    <m/>
    <m/>
    <m/>
    <m/>
    <m/>
  </r>
  <r>
    <x v="145"/>
    <x v="1"/>
    <s v="NA"/>
    <n v="618889861.5677011"/>
    <n v="2505.2494000000002"/>
    <m/>
    <n v="11757440.9152143"/>
    <n v="0"/>
    <n v="0"/>
    <m/>
    <n v="247037.2257419565"/>
    <n v="11757440.9152143"/>
    <n v="0"/>
    <n v="0"/>
    <m/>
    <s v="Hedge Fund"/>
    <n v="0.84619966690578996"/>
    <n v="4.1729467400000004"/>
    <n v="0.21522796694710511"/>
    <n v="0.6480654379907802"/>
    <m/>
    <m/>
    <m/>
    <m/>
    <m/>
    <m/>
    <m/>
    <m/>
  </r>
  <r>
    <x v="146"/>
    <x v="1"/>
    <s v="NA"/>
    <n v="631699773.97302437"/>
    <n v="2557.1035000000006"/>
    <m/>
    <n v="19.397977113723755"/>
    <n v="0"/>
    <n v="0"/>
    <m/>
    <n v="247037.23332787439"/>
    <n v="19.397977113723755"/>
    <n v="0"/>
    <n v="0"/>
    <m/>
    <s v="Hedge Fund"/>
    <n v="0.81506017030468436"/>
    <n v="7.3354023923487999"/>
    <n v="0.20734867462684728"/>
    <n v="1.1448488706155575"/>
    <m/>
    <m/>
    <m/>
    <m/>
    <m/>
    <m/>
    <m/>
    <m/>
  </r>
  <r>
    <x v="147"/>
    <x v="1"/>
    <s v="NA"/>
    <n v="623808928.02271652"/>
    <n v="2525.1615999999999"/>
    <m/>
    <n v="0"/>
    <n v="-7.3470721244812012"/>
    <n v="0"/>
    <m/>
    <n v="247037.23041832907"/>
    <n v="-7.3470721244812012"/>
    <n v="0"/>
    <n v="0"/>
    <m/>
    <s v="Hedge Fund"/>
    <n v="0.72493023695588299"/>
    <n v="5.4167094599999999"/>
    <n v="0.18376154046453097"/>
    <n v="0.84740799900075703"/>
    <m/>
    <m/>
    <m/>
    <m/>
    <m/>
    <m/>
    <m/>
    <m/>
  </r>
  <r>
    <x v="148"/>
    <x v="1"/>
    <s v="NA"/>
    <n v="612933697.98724139"/>
    <n v="2473.3011000000001"/>
    <m/>
    <n v="1936244.2526346445"/>
    <n v="0"/>
    <n v="0"/>
    <m/>
    <n v="247820.08870138836"/>
    <n v="1936244.2526346445"/>
    <n v="0"/>
    <n v="0"/>
    <m/>
    <s v="Hedge Fund"/>
    <n v="0.8355238810303246"/>
    <n v="2.26844336"/>
    <n v="0.21267347607464632"/>
    <n v="0.35619020460900735"/>
    <m/>
    <m/>
    <m/>
    <m/>
    <m/>
    <m/>
    <m/>
    <m/>
  </r>
  <r>
    <x v="149"/>
    <x v="1"/>
    <s v="NA"/>
    <n v="604493524.41609669"/>
    <n v="2425.3937999999998"/>
    <m/>
    <n v="3432217.7642993927"/>
    <n v="0"/>
    <n v="0"/>
    <m/>
    <n v="249235.2064296102"/>
    <n v="3432217.7642993927"/>
    <n v="0"/>
    <n v="0"/>
    <m/>
    <s v="Hedge Fund"/>
    <n v="0.74624735539131903"/>
    <n v="0"/>
    <n v="0.18908246916556176"/>
    <n v="0"/>
    <m/>
    <m/>
    <m/>
    <m/>
    <m/>
    <m/>
    <m/>
    <m/>
  </r>
  <r>
    <x v="1"/>
    <x v="1"/>
    <s v="NA"/>
    <n v="591803650.95728004"/>
    <n v="2373.4969999999998"/>
    <m/>
    <n v="244636.20221960545"/>
    <n v="0"/>
    <n v="0"/>
    <m/>
    <n v="249338.2763733344"/>
    <n v="244636.20221960545"/>
    <n v="0"/>
    <n v="0"/>
    <m/>
    <s v="Hedge Fund"/>
    <n v="0.75496756604902904"/>
    <n v="0"/>
    <n v="0.19121289649932685"/>
    <n v="0"/>
    <m/>
    <m/>
    <m/>
    <m/>
    <m/>
    <m/>
    <m/>
    <m/>
  </r>
  <r>
    <x v="2"/>
    <x v="1"/>
    <s v="NA"/>
    <n v="566819693.64793813"/>
    <n v="2413.4202"/>
    <m/>
    <n v="0"/>
    <n v="-34938339.184649825"/>
    <n v="0"/>
    <m/>
    <n v="234861.58508490902"/>
    <n v="-34938339.184649825"/>
    <n v="0"/>
    <n v="0"/>
    <m/>
    <s v="Hedge Fund"/>
    <n v="0.72309538186393396"/>
    <n v="0"/>
    <n v="0.190327651777635"/>
    <n v="0"/>
    <m/>
    <m/>
    <m/>
    <m/>
    <m/>
    <m/>
    <m/>
    <m/>
  </r>
  <r>
    <x v="3"/>
    <x v="1"/>
    <s v="NA"/>
    <n v="482046496.66465259"/>
    <n v="2052.4706000000001"/>
    <m/>
    <n v="0"/>
    <n v="-1.7915217280387878"/>
    <n v="-82201554.474216789"/>
    <m/>
    <n v="234861.58421204795"/>
    <n v="-82201556.265738517"/>
    <n v="-350"/>
    <n v="-350"/>
    <m/>
    <s v="Hedge Fund"/>
    <n v="0.57522501494810896"/>
    <n v="0"/>
    <n v="0.15158891477962635"/>
    <n v="0"/>
    <m/>
    <m/>
    <m/>
    <m/>
    <m/>
    <m/>
    <m/>
    <m/>
  </r>
  <r>
    <x v="4"/>
    <x v="1"/>
    <s v="NA"/>
    <n v="492330936.31148612"/>
    <n v="2096.2600000000002"/>
    <m/>
    <n v="0"/>
    <n v="-8.2088615894317627"/>
    <n v="0"/>
    <m/>
    <n v="234861.58029609214"/>
    <n v="-8.2088615894317627"/>
    <n v="0"/>
    <n v="0"/>
    <m/>
    <s v="Hedge Fund"/>
    <n v="0.64914670640875238"/>
    <n v="0.5986151999999999"/>
    <n v="0.22805468182351463"/>
    <n v="9.4696204753426924E-2"/>
    <m/>
    <m/>
    <m/>
    <m/>
    <m/>
    <m/>
    <m/>
    <m/>
  </r>
  <r>
    <x v="5"/>
    <x v="1"/>
    <s v="NA"/>
    <n v="494849589.29393572"/>
    <n v="2106.9839999999999"/>
    <m/>
    <n v="0"/>
    <n v="-2.6046456694602966"/>
    <n v="0"/>
    <m/>
    <n v="234861.57905989591"/>
    <n v="-2.6046456694602966"/>
    <n v="0"/>
    <n v="0"/>
    <m/>
    <s v="Hedge Fund"/>
    <n v="0.6124082681588694"/>
    <n v="1.2283260600000001"/>
    <n v="0.21491427020717993"/>
    <n v="0.20194878998831403"/>
    <m/>
    <m/>
    <m/>
    <m/>
    <m/>
    <m/>
    <m/>
    <m/>
  </r>
  <r>
    <x v="6"/>
    <x v="1"/>
    <s v="NA"/>
    <n v="494353038.32696199"/>
    <n v="2104.8697000000002"/>
    <m/>
    <n v="16.869632542133331"/>
    <n v="0"/>
    <n v="0"/>
    <m/>
    <n v="234861.58707446925"/>
    <n v="16.869632542133331"/>
    <n v="0"/>
    <n v="0"/>
    <m/>
    <s v="Hedge Fund"/>
    <n v="0.59122794119189448"/>
    <n v="1.1041312599999999"/>
    <n v="0.20748139374268534"/>
    <n v="0.18152995284932091"/>
    <m/>
    <m/>
    <m/>
    <m/>
    <m/>
    <m/>
    <m/>
    <m/>
  </r>
  <r>
    <x v="7"/>
    <x v="1"/>
    <s v="NA"/>
    <n v="466992186.74625331"/>
    <n v="1988.3719999999998"/>
    <m/>
    <n v="0"/>
    <n v="-16.868183195590973"/>
    <n v="-29357697.323881883"/>
    <m/>
    <n v="234861.57859105506"/>
    <n v="-29357714.192065079"/>
    <n v="-125"/>
    <n v="-125"/>
    <m/>
    <s v="Hedge Fund"/>
    <n v="0.59779021761025397"/>
    <n v="1.6033530199999999"/>
    <n v="0.20968211978879578"/>
    <n v="0.26356119874511802"/>
    <m/>
    <m/>
    <m/>
    <m/>
    <m/>
    <m/>
    <m/>
    <m/>
  </r>
  <r>
    <x v="8"/>
    <x v="1"/>
    <s v="NA"/>
    <n v="475819830.91237307"/>
    <n v="2025.9585000000002"/>
    <m/>
    <n v="19.442407011985779"/>
    <n v="0"/>
    <n v="0"/>
    <m/>
    <n v="234861.5881877013"/>
    <n v="19.442407011985779"/>
    <n v="0"/>
    <n v="0"/>
    <m/>
    <s v="Hedge Fund"/>
    <n v="0.59210347592880497"/>
    <n v="3.8103003000000002"/>
    <n v="0.20764202067824317"/>
    <n v="0.62597884765462919"/>
    <m/>
    <m/>
    <m/>
    <m/>
    <m/>
    <m/>
    <m/>
    <m/>
  </r>
  <r>
    <x v="9"/>
    <x v="1"/>
    <s v="NA"/>
    <n v="467688271.20599842"/>
    <n v="1991.3358000000001"/>
    <m/>
    <n v="0"/>
    <n v="-17.39702832698822"/>
    <n v="0"/>
    <m/>
    <n v="234861.57945134037"/>
    <n v="-17.39702832698822"/>
    <n v="0"/>
    <n v="0"/>
    <m/>
    <s v="Hedge Fund"/>
    <n v="0.57955543042823199"/>
    <n v="1.7773854600000001"/>
    <n v="0.20324163090893543"/>
    <n v="0.29199947915820496"/>
    <m/>
    <m/>
    <m/>
    <m/>
    <m/>
    <m/>
    <m/>
    <m/>
  </r>
  <r>
    <x v="10"/>
    <x v="1"/>
    <s v="NA"/>
    <n v="430385592.93757498"/>
    <n v="1832.5074"/>
    <m/>
    <n v="10.617305815219879"/>
    <n v="0"/>
    <n v="-30532006.081877079"/>
    <m/>
    <n v="234861.58524520829"/>
    <n v="-30531995.464571264"/>
    <n v="-130"/>
    <n v="-130"/>
    <m/>
    <s v="Hedge Fund"/>
    <n v="0.54915359520930396"/>
    <n v="8.4691080000000002E-2"/>
    <n v="0.19241539958101614"/>
    <n v="1.3888147074010235E-2"/>
    <m/>
    <m/>
    <m/>
    <m/>
    <m/>
    <m/>
    <m/>
    <m/>
  </r>
  <r>
    <x v="11"/>
    <x v="1"/>
    <s v="NA"/>
    <n v="419056108.60221601"/>
    <n v="1784.2683999999999"/>
    <m/>
    <n v="3.6752846240997314"/>
    <n v="0"/>
    <n v="0"/>
    <m/>
    <n v="234861.5873050355"/>
    <n v="3.6752846240997314"/>
    <n v="0"/>
    <n v="0"/>
    <m/>
    <s v="Hedge Fund"/>
    <n v="0.53459246126251103"/>
    <n v="0"/>
    <n v="0.18807725420351545"/>
    <n v="0"/>
    <m/>
    <m/>
    <m/>
    <m/>
    <m/>
    <m/>
    <m/>
    <m/>
  </r>
  <r>
    <x v="12"/>
    <x v="1"/>
    <s v="NA"/>
    <n v="421138817.86430156"/>
    <n v="1793.1361999999999"/>
    <m/>
    <n v="3.6781820058822632"/>
    <n v="0"/>
    <n v="0"/>
    <m/>
    <n v="234861.58935629184"/>
    <n v="3.6781820058822632"/>
    <n v="0"/>
    <n v="0"/>
    <m/>
    <s v="Hedge Fund"/>
    <n v="0.50254401287917005"/>
    <n v="0"/>
    <n v="0.17680215579171576"/>
    <n v="0"/>
    <m/>
    <m/>
    <m/>
    <m/>
    <m/>
    <m/>
    <m/>
    <m/>
  </r>
  <r>
    <x v="13"/>
    <x v="1"/>
    <s v="NA"/>
    <n v="412209501.4978497"/>
    <n v="1755.1167000000003"/>
    <m/>
    <n v="3.8300796151161194"/>
    <n v="0"/>
    <n v="0"/>
    <m/>
    <n v="234861.59153852827"/>
    <n v="3.8300796151161194"/>
    <n v="0"/>
    <n v="0"/>
    <m/>
    <s v="Hedge Fund"/>
    <n v="0.54284519852222302"/>
    <n v="0"/>
    <n v="0.19098068805962898"/>
    <n v="0"/>
    <m/>
    <m/>
    <m/>
    <m/>
    <m/>
    <m/>
    <m/>
    <m/>
  </r>
  <r>
    <x v="150"/>
    <x v="1"/>
    <s v="NA"/>
    <n v="370264556.89962053"/>
    <n v="1576.5224000000001"/>
    <m/>
    <n v="0"/>
    <n v="-3.0605197548866272"/>
    <n v="-36403546.387568727"/>
    <m/>
    <n v="234861.58959721759"/>
    <n v="-36403549.448088482"/>
    <n v="-155"/>
    <n v="-155"/>
    <m/>
    <s v="Hedge Fund"/>
    <n v="0.47234877795119801"/>
    <n v="0"/>
    <n v="0.16617904121252294"/>
    <n v="0"/>
    <m/>
    <m/>
    <m/>
    <m/>
    <m/>
    <m/>
    <m/>
    <m/>
  </r>
  <r>
    <x v="151"/>
    <x v="1"/>
    <s v="NA"/>
    <n v="356152611.33447576"/>
    <n v="1516.4362000000001"/>
    <m/>
    <n v="0"/>
    <n v="-5.1202884316444397"/>
    <n v="0"/>
    <m/>
    <n v="234861.58622069014"/>
    <n v="-5.1202884316444397"/>
    <n v="0"/>
    <n v="0"/>
    <m/>
    <s v="Hedge Fund"/>
    <n v="0.41032307077420999"/>
    <n v="0"/>
    <n v="0.14435751222729182"/>
    <n v="0"/>
    <m/>
    <m/>
    <m/>
    <m/>
    <m/>
    <m/>
    <m/>
    <m/>
  </r>
  <r>
    <x v="152"/>
    <x v="1"/>
    <s v="NA"/>
    <n v="329336476.57777905"/>
    <n v="1402.2576999999999"/>
    <m/>
    <n v="8.865602433681488"/>
    <n v="0"/>
    <n v="-10568771.664438041"/>
    <m/>
    <n v="234861.59254306756"/>
    <n v="-10568762.798835607"/>
    <n v="-45.000000000000007"/>
    <n v="-45.000000000000007"/>
    <m/>
    <s v="Hedge Fund"/>
    <n v="0.44728142175997199"/>
    <n v="0"/>
    <n v="0.15742750087113641"/>
    <n v="0"/>
    <m/>
    <m/>
    <m/>
    <m/>
    <m/>
    <m/>
    <m/>
    <m/>
  </r>
  <r>
    <x v="153"/>
    <x v="1"/>
    <s v="NA"/>
    <n v="339560282.33671457"/>
    <n v="1445.7889"/>
    <m/>
    <n v="0"/>
    <n v="-1.1983752846717834"/>
    <n v="0"/>
    <m/>
    <n v="234861.59171419463"/>
    <n v="-1.1983752846717834"/>
    <n v="0"/>
    <n v="0"/>
    <m/>
    <s v="Hedge Fund"/>
    <n v="0"/>
    <n v="0"/>
    <n v="0"/>
    <n v="0"/>
    <m/>
    <m/>
    <m/>
    <m/>
    <m/>
    <m/>
    <m/>
    <m/>
  </r>
  <r>
    <x v="154"/>
    <x v="1"/>
    <s v="NA"/>
    <n v="343654344.0506829"/>
    <n v="1463.2207000000003"/>
    <m/>
    <n v="1.4195247888565063"/>
    <n v="0"/>
    <n v="0"/>
    <m/>
    <n v="234861.59268433179"/>
    <n v="1.4195247888565063"/>
    <n v="0"/>
    <n v="0"/>
    <m/>
    <s v="Hedge Fund"/>
    <n v="0"/>
    <n v="0"/>
    <n v="0"/>
    <n v="0"/>
    <m/>
    <m/>
    <m/>
    <m/>
    <m/>
    <m/>
    <m/>
    <m/>
  </r>
  <r>
    <x v="155"/>
    <x v="1"/>
    <s v="NA"/>
    <n v="295358441.80687124"/>
    <n v="1257.5851"/>
    <m/>
    <n v="2.284786581993103"/>
    <n v="0"/>
    <n v="-32880623.230159111"/>
    <m/>
    <n v="234861.59450113651"/>
    <n v="-32880620.945372529"/>
    <n v="-140"/>
    <n v="-140"/>
    <m/>
    <s v="Hedge Fund"/>
    <n v="0"/>
    <n v="0"/>
    <n v="0"/>
    <n v="0"/>
    <m/>
    <m/>
    <m/>
    <m/>
    <m/>
    <m/>
    <m/>
    <m/>
  </r>
  <r>
    <x v="156"/>
    <x v="1"/>
    <s v="NA"/>
    <n v="296262682.58616579"/>
    <n v="1261.4351999999999"/>
    <m/>
    <n v="0.15430575609207153"/>
    <n v="0"/>
    <n v="0"/>
    <m/>
    <n v="234861.59462346209"/>
    <n v="0.15430575609207153"/>
    <n v="0"/>
    <n v="0"/>
    <m/>
    <s v="Hedge Fund"/>
    <n v="0"/>
    <n v="0"/>
    <n v="0"/>
    <n v="0"/>
    <m/>
    <m/>
    <m/>
    <m/>
    <m/>
    <m/>
    <m/>
    <m/>
  </r>
  <r>
    <x v="157"/>
    <x v="1"/>
    <s v="NA"/>
    <n v="297046959.72046518"/>
    <n v="1264.7746"/>
    <m/>
    <n v="0"/>
    <n v="-19.67478621006012"/>
    <n v="0"/>
    <m/>
    <n v="234861.57906749961"/>
    <n v="-19.67478621006012"/>
    <n v="0"/>
    <n v="0"/>
    <m/>
    <s v="Hedge Fund"/>
    <n v="0"/>
    <n v="0"/>
    <n v="0"/>
    <n v="0"/>
    <m/>
    <m/>
    <m/>
    <m/>
    <m/>
    <m/>
    <m/>
    <m/>
  </r>
  <r>
    <x v="158"/>
    <x v="1"/>
    <s v="NA"/>
    <n v="288817948.81501245"/>
    <n v="1229.7367999999999"/>
    <m/>
    <n v="22.129598498344421"/>
    <n v="0"/>
    <n v="0"/>
    <m/>
    <n v="234861.59706289385"/>
    <n v="22.129598498344421"/>
    <n v="0"/>
    <n v="0"/>
    <m/>
    <s v="Hedge Fund"/>
    <n v="0"/>
    <n v="0"/>
    <n v="0"/>
    <n v="0"/>
    <m/>
    <m/>
    <m/>
    <m/>
    <m/>
    <m/>
    <m/>
    <m/>
  </r>
  <r>
    <x v="159"/>
    <x v="1"/>
    <s v="NA"/>
    <n v="261856452.08637106"/>
    <n v="1114.9395"/>
    <m/>
    <n v="0"/>
    <n v="-19.51213327050209"/>
    <n v="-10568771.080302294"/>
    <m/>
    <n v="234861.5795622732"/>
    <n v="-10568790.592435565"/>
    <n v="-45"/>
    <n v="-45"/>
    <m/>
    <s v="Hedge Fund"/>
    <n v="0"/>
    <n v="0"/>
    <n v="0"/>
    <n v="0"/>
    <m/>
    <m/>
    <m/>
    <m/>
    <m/>
    <m/>
    <m/>
    <m/>
  </r>
  <r>
    <x v="160"/>
    <x v="1"/>
    <s v="NA"/>
    <n v="249270259.18336296"/>
    <n v="1061.3496"/>
    <m/>
    <n v="15.659576117992401"/>
    <n v="0"/>
    <n v="0"/>
    <m/>
    <n v="234861.5943166728"/>
    <n v="15.659576117992401"/>
    <n v="0"/>
    <n v="0"/>
    <m/>
    <s v="Hedge Fund"/>
    <n v="0"/>
    <n v="0"/>
    <n v="0"/>
    <n v="0"/>
    <m/>
    <m/>
    <m/>
    <m/>
    <m/>
    <m/>
    <m/>
    <m/>
  </r>
  <r>
    <x v="161"/>
    <x v="1"/>
    <s v="NA"/>
    <n v="243935946.43107399"/>
    <n v="1038.6369999999999"/>
    <m/>
    <n v="4.6947879195213318"/>
    <n v="0"/>
    <n v="-15031142.32555622"/>
    <m/>
    <n v="234861.59883681595"/>
    <n v="-15031137.630768301"/>
    <n v="-64"/>
    <n v="-64"/>
    <m/>
    <s v="Hedge Fund"/>
    <n v="0"/>
    <n v="0"/>
    <n v="0"/>
    <n v="0"/>
    <m/>
    <m/>
    <m/>
    <m/>
    <m/>
    <m/>
    <m/>
    <m/>
  </r>
  <r>
    <x v="162"/>
    <x v="1"/>
    <s v="NA"/>
    <n v="245324847.21667984"/>
    <n v="1044.5507"/>
    <m/>
    <n v="0"/>
    <n v="-0.25143542885780334"/>
    <n v="0"/>
    <m/>
    <n v="234861.59859610436"/>
    <n v="-0.25143542885780334"/>
    <n v="0"/>
    <n v="0"/>
    <m/>
    <s v="Hedge Fund"/>
    <n v="0"/>
    <n v="0"/>
    <n v="0"/>
    <n v="0"/>
    <m/>
    <m/>
    <m/>
    <m/>
    <m/>
    <m/>
    <m/>
    <m/>
  </r>
  <r>
    <x v="163"/>
    <x v="1"/>
    <s v="NA"/>
    <n v="243647935.04559928"/>
    <n v="1037.4106999999999"/>
    <m/>
    <n v="0"/>
    <n v="-0.35710433125495911"/>
    <n v="0"/>
    <m/>
    <n v="234861.59825187776"/>
    <n v="-0.35710433125495911"/>
    <n v="0"/>
    <n v="0"/>
    <m/>
    <s v="Hedge Fund"/>
    <n v="0"/>
    <n v="0"/>
    <n v="0"/>
    <n v="0"/>
    <m/>
    <m/>
    <m/>
    <m/>
    <m/>
    <m/>
    <m/>
    <m/>
  </r>
  <r>
    <x v="164"/>
    <x v="1"/>
    <s v="NA"/>
    <n v="229115611.82595748"/>
    <n v="975.53459999999995"/>
    <m/>
    <n v="0"/>
    <n v="-3.4800487756729126"/>
    <n v="-12212802.923596753"/>
    <m/>
    <n v="234861.59468455295"/>
    <n v="-12212806.403645528"/>
    <n v="-52"/>
    <n v="-52"/>
    <m/>
    <s v="Hedge Fund"/>
    <n v="0"/>
    <n v="0"/>
    <n v="0"/>
    <n v="0"/>
    <m/>
    <m/>
    <m/>
    <m/>
    <m/>
    <m/>
    <m/>
    <m/>
  </r>
  <r>
    <x v="165"/>
    <x v="1"/>
    <s v="NA"/>
    <n v="215210879.89468837"/>
    <n v="916.33069999999998"/>
    <m/>
    <n v="0"/>
    <n v="-9.5657243132591248"/>
    <n v="0"/>
    <m/>
    <n v="234861.58424539128"/>
    <n v="-9.5657243132591248"/>
    <n v="0"/>
    <n v="0"/>
    <m/>
    <s v="Hedge Fund"/>
    <n v="0"/>
    <n v="0"/>
    <n v="0"/>
    <n v="0"/>
    <m/>
    <m/>
    <m/>
    <m/>
    <m/>
    <m/>
    <m/>
    <m/>
  </r>
  <r>
    <x v="166"/>
    <x v="1"/>
    <s v="NA"/>
    <n v="216884947.29431319"/>
    <n v="923.45860000000005"/>
    <m/>
    <n v="0"/>
    <n v="-2.4867179095745087"/>
    <n v="0"/>
    <m/>
    <n v="234861.58155256032"/>
    <n v="-2.4867179095745087"/>
    <n v="0"/>
    <n v="0"/>
    <m/>
    <s v="Hedge Fund"/>
    <n v="0"/>
    <n v="0"/>
    <n v="0"/>
    <n v="0"/>
    <m/>
    <m/>
    <m/>
    <m/>
    <m/>
    <m/>
    <m/>
    <m/>
  </r>
  <r>
    <x v="167"/>
    <x v="1"/>
    <s v="NA"/>
    <n v="226940767.57510108"/>
    <n v="966.27449999999999"/>
    <m/>
    <n v="10.291191637516022"/>
    <n v="0"/>
    <n v="0"/>
    <m/>
    <n v="234861.59220294139"/>
    <n v="10.291191637516022"/>
    <n v="0"/>
    <n v="0"/>
    <m/>
    <s v="Hedge Fund"/>
    <n v="0"/>
    <n v="0"/>
    <n v="0"/>
    <n v="0"/>
    <m/>
    <m/>
    <m/>
    <m/>
    <m/>
    <m/>
    <m/>
    <m/>
  </r>
  <r>
    <x v="168"/>
    <x v="1"/>
    <s v="NA"/>
    <n v="210448303.84221861"/>
    <n v="896.05240000000003"/>
    <m/>
    <n v="10.48095166683197"/>
    <n v="0"/>
    <n v="-15031142.649583876"/>
    <m/>
    <n v="234861.60389974806"/>
    <n v="-15031132.168632209"/>
    <n v="-64"/>
    <n v="-64"/>
    <m/>
    <s v="Hedge Fund"/>
    <n v="0"/>
    <n v="0"/>
    <n v="0"/>
    <n v="0"/>
    <m/>
    <m/>
    <m/>
    <m/>
    <m/>
    <m/>
    <m/>
    <m/>
  </r>
  <r>
    <x v="169"/>
    <x v="1"/>
    <s v="NA"/>
    <n v="210448303.84221861"/>
    <n v="913.46119999999996"/>
    <m/>
    <n v="0"/>
    <n v="-4088658.6899699271"/>
    <n v="0"/>
    <m/>
    <n v="230385.59693856578"/>
    <n v="-4088658.6899699271"/>
    <n v="0"/>
    <n v="0"/>
    <m/>
    <s v="Hedge Fund"/>
    <n v="0"/>
    <n v="0"/>
    <n v="0"/>
    <n v="0"/>
    <m/>
    <m/>
    <m/>
    <m/>
    <m/>
    <m/>
    <m/>
    <m/>
  </r>
  <r>
    <x v="170"/>
    <x v="1"/>
    <s v="NA"/>
    <n v="214375470.17588401"/>
    <n v="912.77359999999987"/>
    <m/>
    <n v="4085579.4701203704"/>
    <n v="0"/>
    <n v="0"/>
    <m/>
    <n v="234861.60223727333"/>
    <n v="4085579.4701203704"/>
    <n v="0"/>
    <n v="0"/>
    <m/>
    <s v="Hedge Fund"/>
    <n v="0"/>
    <n v="0"/>
    <n v="0"/>
    <n v="0"/>
    <m/>
    <m/>
    <m/>
    <m/>
    <m/>
    <m/>
    <m/>
    <m/>
  </r>
  <r>
    <x v="171"/>
    <x v="1"/>
    <s v="NA"/>
    <n v="212639820.515331"/>
    <n v="905.38350000000003"/>
    <m/>
    <n v="1.0661406517028809"/>
    <n v="0"/>
    <n v="-7985294.5161042297"/>
    <m/>
    <n v="234861.60341483029"/>
    <n v="-7985293.449963578"/>
    <n v="-34"/>
    <n v="-34"/>
    <m/>
    <s v="Hedge Fund"/>
    <n v="0"/>
    <n v="0"/>
    <n v="0"/>
    <n v="0"/>
    <m/>
    <m/>
    <m/>
    <m/>
    <m/>
    <m/>
    <m/>
    <m/>
  </r>
  <r>
    <x v="172"/>
    <x v="1"/>
    <s v="NA"/>
    <n v="215959790.50103399"/>
    <n v="919.51940000000002"/>
    <m/>
    <n v="0"/>
    <n v="-10.154008716344833"/>
    <n v="0"/>
    <m/>
    <n v="234861.59237209568"/>
    <n v="-10.154008716344833"/>
    <n v="0"/>
    <n v="0"/>
    <m/>
    <s v="Hedge Fund"/>
    <n v="0"/>
    <n v="0"/>
    <n v="0"/>
    <n v="0"/>
    <m/>
    <m/>
    <m/>
    <m/>
    <m/>
    <m/>
    <m/>
    <m/>
  </r>
  <r>
    <x v="173"/>
    <x v="1"/>
    <s v="NA"/>
    <n v="218353454.76887801"/>
    <n v="929.71120000000008"/>
    <m/>
    <n v="1.8907060623168945"/>
    <n v="0"/>
    <n v="0"/>
    <m/>
    <n v="234861.59440574449"/>
    <n v="1.8907060623168945"/>
    <n v="0"/>
    <n v="0"/>
    <m/>
    <s v="Hedge Fund"/>
    <n v="0"/>
    <n v="0"/>
    <n v="0"/>
    <n v="0"/>
    <m/>
    <m/>
    <m/>
    <m/>
    <m/>
    <m/>
    <m/>
    <m/>
  </r>
  <r>
    <x v="174"/>
    <x v="1"/>
    <s v="NA"/>
    <n v="226208428.01196498"/>
    <n v="963.1563000000001"/>
    <m/>
    <n v="3.7320273816585541"/>
    <n v="0"/>
    <n v="0"/>
    <m/>
    <n v="234861.59828053345"/>
    <n v="3.7320273816585541"/>
    <n v="0"/>
    <n v="0"/>
    <m/>
    <s v="Hedge Fund"/>
    <n v="0"/>
    <n v="0"/>
    <n v="0"/>
    <n v="0"/>
    <m/>
    <m/>
    <m/>
    <m/>
    <m/>
    <m/>
    <m/>
    <m/>
  </r>
  <r>
    <x v="175"/>
    <x v="1"/>
    <s v="NA"/>
    <n v="210770566.722247"/>
    <n v="897.42460000000005"/>
    <m/>
    <n v="0"/>
    <n v="-9.1700214147567749"/>
    <n v="-12212802.579243809"/>
    <m/>
    <n v="234861.58806238094"/>
    <n v="-12212811.749265224"/>
    <n v="-52"/>
    <n v="-52"/>
    <m/>
    <s v="Hedge Fund"/>
    <n v="0"/>
    <n v="0"/>
    <n v="0"/>
    <n v="0"/>
    <m/>
    <m/>
    <m/>
    <m/>
    <m/>
    <m/>
    <m/>
    <m/>
  </r>
  <r>
    <x v="176"/>
    <x v="1"/>
    <s v="NA"/>
    <n v="211047913.87174401"/>
    <n v="898.60550000000001"/>
    <m/>
    <n v="0"/>
    <n v="-0.89984583854675293"/>
    <n v="-6000713.5494085662"/>
    <m/>
    <n v="234861.58706100064"/>
    <n v="-6000714.4492544048"/>
    <n v="-25.55"/>
    <n v="-25.55"/>
    <m/>
    <s v="Hedge Fund"/>
    <n v="0"/>
    <n v="0"/>
    <n v="0"/>
    <n v="0"/>
    <m/>
    <m/>
    <m/>
    <m/>
    <m/>
    <m/>
    <m/>
    <m/>
  </r>
  <r>
    <x v="177"/>
    <x v="1"/>
    <s v="NA"/>
    <n v="213759052.237176"/>
    <n v="910.14899999999989"/>
    <m/>
    <n v="13.635193347930908"/>
    <n v="0"/>
    <n v="0"/>
    <m/>
    <n v="234861.60204227662"/>
    <n v="13.635193347930908"/>
    <n v="0"/>
    <n v="0"/>
    <m/>
    <s v="Hedge Fund"/>
    <n v="0"/>
    <n v="0"/>
    <n v="0"/>
    <n v="0"/>
    <m/>
    <m/>
    <m/>
    <m/>
    <m/>
    <m/>
    <m/>
    <m/>
  </r>
  <r>
    <x v="178"/>
    <x v="1"/>
    <s v="NA"/>
    <n v="237836518.87778831"/>
    <n v="1012.6666999999999"/>
    <m/>
    <n v="0"/>
    <n v="-4.6190771758556366"/>
    <n v="0"/>
    <m/>
    <n v="234861.59748097605"/>
    <n v="-4.6190771758556366"/>
    <n v="0"/>
    <n v="0"/>
    <m/>
    <s v="Hedge Fund"/>
    <n v="0"/>
    <n v="0"/>
    <n v="0"/>
    <n v="0"/>
    <m/>
    <m/>
    <m/>
    <m/>
    <m/>
    <m/>
    <m/>
    <m/>
  </r>
  <r>
    <x v="179"/>
    <x v="1"/>
    <s v="NA"/>
    <n v="245836832.63201973"/>
    <n v="1046.7307000000001"/>
    <m/>
    <n v="0"/>
    <n v="-11.702360600233078"/>
    <n v="0"/>
    <m/>
    <n v="234861.58630106074"/>
    <n v="-11.702360600233078"/>
    <n v="0"/>
    <n v="0"/>
    <m/>
    <s v="Hedge Fund"/>
    <n v="0"/>
    <n v="0"/>
    <n v="0"/>
    <n v="0"/>
    <m/>
    <m/>
    <m/>
    <m/>
    <m/>
    <m/>
    <m/>
    <m/>
  </r>
  <r>
    <x v="180"/>
    <x v="1"/>
    <s v="NA"/>
    <n v="242958698.65935501"/>
    <n v="1034.4761000000001"/>
    <m/>
    <n v="0.82282024621963501"/>
    <n v="0"/>
    <n v="0"/>
    <m/>
    <n v="234861.58709645877"/>
    <n v="0.82282024621963501"/>
    <n v="0"/>
    <n v="0"/>
    <m/>
    <s v="Hedge Fund"/>
    <n v="0"/>
    <n v="0"/>
    <n v="0"/>
    <n v="0"/>
    <m/>
    <m/>
    <m/>
    <m/>
    <m/>
    <m/>
    <m/>
    <m/>
  </r>
  <r>
    <x v="181"/>
    <x v="1"/>
    <s v="NA"/>
    <n v="238010661.764819"/>
    <n v="1013.4082"/>
    <m/>
    <n v="3.5362535119056702"/>
    <n v="0"/>
    <n v="0"/>
    <m/>
    <n v="234861.5905859248"/>
    <n v="3.5362535119056702"/>
    <n v="0"/>
    <n v="0"/>
    <m/>
    <s v="Hedge Fund"/>
    <n v="0"/>
    <n v="0"/>
    <n v="0"/>
    <n v="0"/>
    <m/>
    <m/>
    <m/>
    <m/>
    <m/>
    <m/>
    <m/>
    <m/>
  </r>
  <r>
    <x v="182"/>
    <x v="1"/>
    <s v="NA"/>
    <n v="241533864.84749463"/>
    <n v="1028.4093999999998"/>
    <m/>
    <n v="0"/>
    <n v="-2.6100218892097473"/>
    <n v="0"/>
    <m/>
    <n v="234861.5880480037"/>
    <n v="-2.6100218892097473"/>
    <n v="0"/>
    <n v="0"/>
    <m/>
    <s v="Hedge Fund"/>
    <n v="0"/>
    <n v="0"/>
    <n v="0"/>
    <n v="0"/>
    <m/>
    <m/>
    <m/>
    <m/>
    <m/>
    <m/>
    <m/>
    <m/>
  </r>
  <r>
    <x v="183"/>
    <x v="1"/>
    <s v="NA"/>
    <n v="214874151.69999999"/>
    <n v="914.89689999999985"/>
    <m/>
    <n v="12.865804374217987"/>
    <n v="0"/>
    <n v="-28000200.203622948"/>
    <m/>
    <n v="234861.60211057664"/>
    <n v="-28000187.337818574"/>
    <n v="-119.22"/>
    <n v="-119.22"/>
    <m/>
    <s v="Hedge Fund"/>
    <n v="0"/>
    <n v="0"/>
    <n v="0"/>
    <n v="0"/>
    <m/>
    <m/>
    <m/>
    <m/>
    <m/>
    <m/>
    <m/>
    <m/>
  </r>
  <r>
    <x v="184"/>
    <x v="1"/>
    <s v="NA"/>
    <n v="218153100"/>
    <n v="928.85810000000015"/>
    <m/>
    <n v="0"/>
    <n v="-1.4993862509727478"/>
    <n v="0"/>
    <m/>
    <n v="234861.60049635134"/>
    <n v="-1.4993862509727478"/>
    <n v="0"/>
    <n v="0"/>
    <m/>
    <s v="Hedge Fund"/>
    <n v="0"/>
    <n v="0"/>
    <n v="0"/>
    <n v="0"/>
    <m/>
    <m/>
    <m/>
    <m/>
    <m/>
    <m/>
    <m/>
    <m/>
  </r>
  <r>
    <x v="185"/>
    <x v="1"/>
    <s v="NA"/>
    <n v="217665400"/>
    <n v="926.78179999999998"/>
    <m/>
    <n v="0"/>
    <n v="-56.858889371156693"/>
    <n v="0"/>
    <m/>
    <n v="234861.53914546015"/>
    <n v="-56.858889371156693"/>
    <n v="0"/>
    <n v="0"/>
    <m/>
    <s v="Hedge Fund"/>
    <n v="0"/>
    <n v="0"/>
    <n v="0"/>
    <n v="0"/>
    <m/>
    <m/>
    <m/>
    <m/>
    <m/>
    <m/>
    <m/>
    <m/>
  </r>
  <r>
    <x v="186"/>
    <x v="1"/>
    <s v="NA"/>
    <n v="234208400"/>
    <n v="997.21889999999985"/>
    <m/>
    <n v="34.281057327985764"/>
    <n v="0"/>
    <n v="0"/>
    <m/>
    <n v="234861.5735221224"/>
    <n v="34.281057327985764"/>
    <n v="0"/>
    <n v="0"/>
    <m/>
    <s v="Hedge Fund"/>
    <n v="0"/>
    <n v="0"/>
    <n v="0"/>
    <n v="0"/>
    <m/>
    <m/>
    <m/>
    <m/>
    <m/>
    <m/>
    <m/>
    <m/>
  </r>
  <r>
    <x v="187"/>
    <x v="1"/>
    <s v="NA"/>
    <n v="226861500"/>
    <n v="965.93679999999995"/>
    <m/>
    <n v="63.229076355695724"/>
    <n v="0"/>
    <n v="0"/>
    <m/>
    <n v="234861.63898093542"/>
    <n v="63.229076355695724"/>
    <n v="0"/>
    <n v="0"/>
    <m/>
    <s v="Hedge Fund"/>
    <n v="0"/>
    <n v="0"/>
    <n v="0"/>
    <n v="0"/>
    <m/>
    <m/>
    <m/>
    <m/>
    <m/>
    <m/>
    <m/>
    <m/>
  </r>
  <r>
    <x v="188"/>
    <x v="1"/>
    <s v="NA"/>
    <n v="192630303.73301128"/>
    <n v="820.18649999999991"/>
    <m/>
    <n v="0"/>
    <n v="-41.927025675773621"/>
    <n v="-12799956.538481329"/>
    <m/>
    <n v="234861.58786204271"/>
    <n v="-12799998.465507004"/>
    <n v="-54.500000000000007"/>
    <n v="-54.500000000000007"/>
    <m/>
    <s v="Hedge Fund"/>
    <n v="0"/>
    <n v="0"/>
    <n v="0"/>
    <n v="0"/>
    <m/>
    <m/>
    <m/>
    <m/>
    <m/>
    <m/>
    <m/>
    <m/>
  </r>
  <r>
    <x v="189"/>
    <x v="1"/>
    <s v="NA"/>
    <n v="197800300"/>
    <n v="842.19930000000011"/>
    <m/>
    <n v="35.105699121952057"/>
    <n v="0"/>
    <n v="0"/>
    <m/>
    <n v="234861.62954540568"/>
    <n v="35.105699121952057"/>
    <n v="0"/>
    <n v="0"/>
    <m/>
    <s v="Hedge Fund"/>
    <n v="0"/>
    <n v="0"/>
    <n v="0"/>
    <n v="0"/>
    <m/>
    <m/>
    <m/>
    <m/>
    <m/>
    <m/>
    <m/>
    <m/>
  </r>
  <r>
    <x v="190"/>
    <x v="1"/>
    <s v="NA"/>
    <n v="197016054.0312115"/>
    <n v="838.86030000000005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</r>
  <r>
    <x v="191"/>
    <x v="1"/>
    <s v="NA"/>
    <n v="193826539.85326615"/>
    <n v="825.2799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</r>
  <r>
    <x v="192"/>
    <x v="1"/>
    <s v="NA"/>
    <n v="192484024.09938771"/>
    <n v="819.56370000000004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</r>
  <r>
    <x v="193"/>
    <x v="1"/>
    <s v="NA"/>
    <n v="175269750.77325788"/>
    <n v="746.26829999999995"/>
    <m/>
    <n v="0"/>
    <n v="0"/>
    <n v="-15000000"/>
    <m/>
    <n v="234861.57829999999"/>
    <n v="-15000000"/>
    <n v="-63.867406957641144"/>
    <n v="-63.867406957641144"/>
    <m/>
    <s v="Hedge Fund"/>
    <n v="0"/>
    <n v="0"/>
    <n v="0"/>
    <n v="0"/>
    <m/>
    <m/>
    <m/>
    <m/>
    <m/>
    <m/>
    <m/>
    <m/>
  </r>
  <r>
    <x v="194"/>
    <x v="1"/>
    <s v="NA"/>
    <n v="176066401.24685147"/>
    <n v="749.66030000000001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</r>
  <r>
    <x v="195"/>
    <x v="1"/>
    <s v="NA"/>
    <n v="121348961.37462108"/>
    <n v="516.68290000000002"/>
    <m/>
    <n v="0"/>
    <n v="0"/>
    <n v="-51899711.572733998"/>
    <m/>
    <n v="234861.57829999999"/>
    <n v="-51899711.572733998"/>
    <n v="-220.98"/>
    <n v="-220.98"/>
    <m/>
    <s v="Hedge Fund"/>
    <n v="0"/>
    <n v="0"/>
    <n v="0"/>
    <n v="0"/>
    <m/>
    <m/>
    <m/>
    <m/>
    <m/>
    <m/>
    <m/>
    <m/>
  </r>
  <r>
    <x v="196"/>
    <x v="1"/>
    <s v="NA"/>
    <n v="118937637.55021498"/>
    <n v="506.41590000000002"/>
    <m/>
    <n v="0"/>
    <n v="0"/>
    <n v="0"/>
    <m/>
    <n v="234861.57829999999"/>
    <n v="0"/>
    <n v="0"/>
    <n v="0"/>
    <m/>
    <s v="Hedge Fund"/>
    <n v="0"/>
    <n v="0"/>
    <n v="0"/>
    <n v="0"/>
    <m/>
    <m/>
    <m/>
    <m/>
    <m/>
    <m/>
    <m/>
    <m/>
  </r>
  <r>
    <x v="197"/>
    <x v="1"/>
    <s v="NA"/>
    <n v="121056603.11353731"/>
    <n v="515.43799999999999"/>
    <n v="0"/>
    <n v="0"/>
    <n v="0"/>
    <n v="0"/>
    <m/>
    <n v="234861.57829999999"/>
    <n v="0"/>
    <n v="0"/>
    <n v="0"/>
    <m/>
    <s v="Hedge Fund"/>
    <n v="0"/>
    <n v="0"/>
    <m/>
    <m/>
    <m/>
    <m/>
    <m/>
    <m/>
    <m/>
    <m/>
    <m/>
    <m/>
  </r>
  <r>
    <x v="198"/>
    <x v="1"/>
    <s v="NA"/>
    <n v="120878631.41458665"/>
    <n v="514.68029999999999"/>
    <n v="0"/>
    <n v="0"/>
    <n v="0"/>
    <n v="0"/>
    <m/>
    <n v="234861.57829999999"/>
    <n v="0"/>
    <n v="0"/>
    <n v="-514.68029999999999"/>
    <m/>
    <s v="Hedge Fund"/>
    <n v="0"/>
    <m/>
    <m/>
    <m/>
    <m/>
    <m/>
    <m/>
    <m/>
    <m/>
    <m/>
    <m/>
    <m/>
  </r>
  <r>
    <x v="199"/>
    <x v="2"/>
    <s v="NA"/>
    <n v="64551471.087311998"/>
    <s v=""/>
    <m/>
    <n v="64551461.088312"/>
    <n v="0"/>
    <n v="0"/>
    <m/>
    <m/>
    <n v="64551461.088312"/>
    <s v=""/>
    <n v="64551461.088312"/>
    <m/>
    <s v="Private Equity Fund"/>
    <n v="0"/>
    <n v="0"/>
    <n v="0"/>
    <n v="0"/>
    <m/>
    <m/>
    <m/>
    <m/>
    <m/>
    <m/>
    <m/>
    <m/>
  </r>
  <r>
    <x v="156"/>
    <x v="2"/>
    <s v="NA"/>
    <n v="61320067.704341397"/>
    <s v=""/>
    <m/>
    <n v="1.4901161193847656E-8"/>
    <n v="0"/>
    <n v="0"/>
    <m/>
    <m/>
    <n v="1.4901161193847656E-8"/>
    <e v="#DIV/0!"/>
    <n v="1.4901161193847656E-8"/>
    <m/>
    <s v="Private Equity Fund"/>
    <n v="2.6895833333333334E-2"/>
    <n v="0"/>
    <n v="0"/>
    <n v="0"/>
    <m/>
    <m/>
    <m/>
    <m/>
    <m/>
    <m/>
    <m/>
    <m/>
  </r>
  <r>
    <x v="157"/>
    <x v="2"/>
    <s v="NA"/>
    <n v="60883517.728767626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</r>
  <r>
    <x v="158"/>
    <x v="2"/>
    <s v="NA"/>
    <n v="65373874.499672115"/>
    <s v=""/>
    <m/>
    <n v="7.4505805969238281E-9"/>
    <n v="0"/>
    <n v="0"/>
    <m/>
    <m/>
    <n v="7.4505805969238281E-9"/>
    <e v="#DIV/0!"/>
    <n v="7.4505805969238281E-9"/>
    <m/>
    <s v="Private Equity Fund"/>
    <n v="2.6895833333333334E-2"/>
    <n v="0"/>
    <n v="0"/>
    <n v="0"/>
    <m/>
    <m/>
    <m/>
    <m/>
    <m/>
    <m/>
    <m/>
    <m/>
  </r>
  <r>
    <x v="159"/>
    <x v="2"/>
    <s v="NA"/>
    <n v="65823955.098767616"/>
    <s v=""/>
    <m/>
    <n v="0"/>
    <n v="-1.4901161193847656E-8"/>
    <n v="0"/>
    <m/>
    <m/>
    <n v="-1.4901161193847656E-8"/>
    <e v="#DIV/0!"/>
    <n v="-1.4901161193847656E-8"/>
    <m/>
    <s v="Private Equity Fund"/>
    <n v="2.6895833333333334E-2"/>
    <n v="0"/>
    <n v="0"/>
    <n v="0"/>
    <m/>
    <m/>
    <m/>
    <m/>
    <m/>
    <m/>
    <m/>
    <m/>
  </r>
  <r>
    <x v="160"/>
    <x v="2"/>
    <s v="NA"/>
    <n v="59740395.084341399"/>
    <s v=""/>
    <m/>
    <n v="0"/>
    <n v="-7.4505805969238281E-9"/>
    <n v="0"/>
    <m/>
    <m/>
    <n v="-7.4505805969238281E-9"/>
    <e v="#DIV/0!"/>
    <n v="-7.4505805969238281E-9"/>
    <m/>
    <s v="Private Equity Fund"/>
    <n v="2.6895833333333334E-2"/>
    <n v="0"/>
    <n v="0"/>
    <n v="0"/>
    <m/>
    <m/>
    <m/>
    <m/>
    <m/>
    <m/>
    <m/>
    <m/>
  </r>
  <r>
    <x v="161"/>
    <x v="2"/>
    <s v="NA"/>
    <n v="55807551.999915168"/>
    <s v=""/>
    <m/>
    <n v="2.2351741790771484E-8"/>
    <n v="0"/>
    <n v="0"/>
    <m/>
    <m/>
    <n v="2.2351741790771484E-8"/>
    <e v="#DIV/0!"/>
    <n v="2.2351741790771484E-8"/>
    <m/>
    <s v="Private Equity Fund"/>
    <n v="2.6895833333333334E-2"/>
    <n v="0"/>
    <n v="0"/>
    <n v="0"/>
    <m/>
    <m/>
    <m/>
    <m/>
    <m/>
    <m/>
    <m/>
    <m/>
  </r>
  <r>
    <x v="162"/>
    <x v="2"/>
    <s v="NA"/>
    <n v="56271664.266705543"/>
    <s v=""/>
    <m/>
    <n v="0"/>
    <n v="-2.2351741790771484E-8"/>
    <n v="0"/>
    <m/>
    <m/>
    <n v="-2.2351741790771484E-8"/>
    <e v="#DIV/0!"/>
    <n v="-2.2351741790771484E-8"/>
    <m/>
    <s v="Private Equity Fund"/>
    <n v="2.6895833333333334E-2"/>
    <n v="0"/>
    <n v="0"/>
    <n v="0"/>
    <m/>
    <m/>
    <m/>
    <m/>
    <m/>
    <m/>
    <m/>
    <m/>
  </r>
  <r>
    <x v="163"/>
    <x v="2"/>
    <s v="NA"/>
    <n v="56338493.622279316"/>
    <s v=""/>
    <m/>
    <n v="7.4505805969238281E-9"/>
    <n v="0"/>
    <n v="0"/>
    <m/>
    <m/>
    <n v="7.4505805969238281E-9"/>
    <e v="#DIV/0!"/>
    <n v="7.4505805969238281E-9"/>
    <m/>
    <s v="Private Equity Fund"/>
    <n v="2.6895833333333334E-2"/>
    <n v="0"/>
    <n v="0"/>
    <n v="0"/>
    <m/>
    <m/>
    <m/>
    <m/>
    <m/>
    <m/>
    <m/>
    <m/>
  </r>
  <r>
    <x v="164"/>
    <x v="2"/>
    <s v="NA"/>
    <n v="60037154.736705534"/>
    <s v=""/>
    <m/>
    <n v="0"/>
    <n v="-7.4505805969238281E-9"/>
    <n v="0"/>
    <m/>
    <m/>
    <n v="-7.4505805969238281E-9"/>
    <e v="#DIV/0!"/>
    <n v="-7.4505805969238281E-9"/>
    <m/>
    <s v="Private Equity Fund"/>
    <n v="2.6895833333333334E-2"/>
    <n v="0"/>
    <n v="0"/>
    <n v="0"/>
    <m/>
    <m/>
    <m/>
    <m/>
    <m/>
    <m/>
    <m/>
    <m/>
  </r>
  <r>
    <x v="165"/>
    <x v="2"/>
    <s v="NA"/>
    <n v="60511647.844827257"/>
    <s v=""/>
    <m/>
    <n v="1.4901161193847656E-8"/>
    <n v="0"/>
    <n v="0"/>
    <m/>
    <m/>
    <n v="1.4901161193847656E-8"/>
    <e v="#DIV/0!"/>
    <n v="1.4901161193847656E-8"/>
    <m/>
    <s v="Private Equity Fund"/>
    <n v="2.6895833333333334E-2"/>
    <n v="0"/>
    <n v="0"/>
    <n v="0"/>
    <m/>
    <m/>
    <m/>
    <m/>
    <m/>
    <m/>
    <m/>
    <m/>
  </r>
  <r>
    <x v="166"/>
    <x v="2"/>
    <s v="NA"/>
    <n v="55959711.520489521"/>
    <s v=""/>
    <m/>
    <n v="0"/>
    <n v="-1.4901161193847656E-8"/>
    <n v="0"/>
    <m/>
    <m/>
    <n v="-1.4901161193847656E-8"/>
    <e v="#DIV/0!"/>
    <n v="-1.4901161193847656E-8"/>
    <m/>
    <s v="Private Equity Fund"/>
    <n v="2.6895833333333334E-2"/>
    <n v="0"/>
    <n v="0"/>
    <n v="0"/>
    <m/>
    <m/>
    <m/>
    <m/>
    <m/>
    <m/>
    <m/>
    <m/>
  </r>
  <r>
    <x v="167"/>
    <x v="2"/>
    <s v="NA"/>
    <n v="56979444.618611224"/>
    <s v=""/>
    <m/>
    <n v="7.4505805969238281E-9"/>
    <n v="0"/>
    <n v="0"/>
    <m/>
    <m/>
    <n v="7.4505805969238281E-9"/>
    <e v="#DIV/0!"/>
    <n v="7.4505805969238281E-9"/>
    <m/>
    <s v="Private Equity Fund"/>
    <n v="2.6895833333333334E-2"/>
    <n v="0"/>
    <n v="0"/>
    <n v="0"/>
    <m/>
    <m/>
    <m/>
    <m/>
    <m/>
    <m/>
    <m/>
    <m/>
  </r>
  <r>
    <x v="168"/>
    <x v="2"/>
    <s v="NA"/>
    <n v="55839204.274027817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</r>
  <r>
    <x v="169"/>
    <x v="2"/>
    <s v="NA"/>
    <n v="55355748.643712372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</r>
  <r>
    <x v="200"/>
    <x v="2"/>
    <s v="NA"/>
    <n v="-478541.16382188606"/>
    <s v=""/>
    <m/>
    <n v="0"/>
    <n v="0"/>
    <n v="0"/>
    <m/>
    <m/>
    <n v="0"/>
    <e v="#DIV/0!"/>
    <n v="0"/>
    <m/>
    <s v="Private Equity Fund"/>
    <n v="2.6895833333333334E-2"/>
    <n v="0"/>
    <n v="0"/>
    <n v="0"/>
    <m/>
    <m/>
    <m/>
    <m/>
    <m/>
    <m/>
    <m/>
    <m/>
  </r>
  <r>
    <x v="198"/>
    <x v="3"/>
    <s v="NA"/>
    <n v="873699.32472540811"/>
    <m/>
    <m/>
    <m/>
    <m/>
    <m/>
    <m/>
    <m/>
    <n v="0"/>
    <e v="#DIV/0!"/>
    <n v="-873699.32472540811"/>
    <m/>
    <s v="Private Equity Fund"/>
    <m/>
    <m/>
    <m/>
    <m/>
    <m/>
    <m/>
    <m/>
    <m/>
    <m/>
    <m/>
    <m/>
    <m/>
  </r>
  <r>
    <x v="201"/>
    <x v="4"/>
    <s v="NA"/>
    <n v="25000000"/>
    <s v=""/>
    <m/>
    <n v="25000000"/>
    <n v="0"/>
    <n v="0"/>
    <m/>
    <m/>
    <n v="25000000"/>
    <s v=""/>
    <n v="25000000"/>
    <m/>
    <s v="Private Equity Fund"/>
    <n v="0"/>
    <n v="0"/>
    <n v="0"/>
    <n v="0"/>
    <m/>
    <m/>
    <m/>
    <m/>
    <m/>
    <m/>
    <m/>
    <m/>
  </r>
  <r>
    <x v="141"/>
    <x v="4"/>
    <s v="NA"/>
    <n v="25645789.683333334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42"/>
    <x v="4"/>
    <s v="NA"/>
    <n v="25772005.156203363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43"/>
    <x v="4"/>
    <s v="NA"/>
    <n v="25583989.6869055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44"/>
    <x v="4"/>
    <s v="NA"/>
    <n v="24677865.519999396"/>
    <s v=""/>
    <m/>
    <n v="0"/>
    <n v="0"/>
    <n v="-812500"/>
    <m/>
    <m/>
    <n v="-812500"/>
    <e v="#DIV/0!"/>
    <n v="-812500"/>
    <m/>
    <s v="Private Equity Fund"/>
    <n v="1.0416666666666668E-2"/>
    <n v="0"/>
    <n v="0"/>
    <n v="0"/>
    <m/>
    <m/>
    <m/>
    <m/>
    <m/>
    <m/>
    <m/>
    <m/>
  </r>
  <r>
    <x v="145"/>
    <x v="4"/>
    <s v="NA"/>
    <n v="24033286.523564719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46"/>
    <x v="4"/>
    <s v="NA"/>
    <n v="24446119.317117728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47"/>
    <x v="4"/>
    <s v="NA"/>
    <n v="24024233.432600282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</r>
  <r>
    <x v="148"/>
    <x v="4"/>
    <s v="NA"/>
    <n v="24247813.102273945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49"/>
    <x v="4"/>
    <s v="NA"/>
    <n v="24686541.963991936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"/>
    <x v="4"/>
    <s v="NA"/>
    <n v="24421385.61779771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</r>
  <r>
    <x v="2"/>
    <x v="4"/>
    <s v="NA"/>
    <n v="25094211.274091199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3"/>
    <x v="4"/>
    <s v="NA"/>
    <n v="25174712.007505503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4"/>
    <x v="4"/>
    <s v="NA"/>
    <n v="25553447.800464701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</r>
  <r>
    <x v="5"/>
    <x v="4"/>
    <s v="NA"/>
    <n v="25896176.7156156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6"/>
    <x v="4"/>
    <s v="NA"/>
    <n v="26363552.1641124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7"/>
    <x v="4"/>
    <s v="NA"/>
    <n v="25845197.603877198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</r>
  <r>
    <x v="8"/>
    <x v="4"/>
    <s v="NA"/>
    <n v="26079566.1336242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9"/>
    <x v="4"/>
    <s v="NA"/>
    <n v="26451152.577025499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0"/>
    <x v="4"/>
    <s v="NA"/>
    <n v="26006477.390000001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</r>
  <r>
    <x v="11"/>
    <x v="4"/>
    <s v="NA"/>
    <n v="26388437.5363997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2"/>
    <x v="4"/>
    <s v="NA"/>
    <n v="26766084.7136112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3"/>
    <x v="4"/>
    <s v="NA"/>
    <n v="26523624.981788699"/>
    <s v=""/>
    <m/>
    <n v="0"/>
    <n v="0"/>
    <n v="-843750"/>
    <m/>
    <m/>
    <n v="-843750"/>
    <e v="#DIV/0!"/>
    <n v="-843750"/>
    <m/>
    <s v="Private Equity Fund"/>
    <n v="1.0416666666666668E-2"/>
    <n v="0"/>
    <n v="0"/>
    <n v="0"/>
    <m/>
    <m/>
    <m/>
    <m/>
    <m/>
    <m/>
    <m/>
    <m/>
  </r>
  <r>
    <x v="150"/>
    <x v="4"/>
    <s v="NA"/>
    <n v="26925719.785053298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51"/>
    <x v="4"/>
    <s v="NA"/>
    <n v="27294238.825214498"/>
    <s v=""/>
    <m/>
    <n v="0"/>
    <n v="0"/>
    <n v="0"/>
    <m/>
    <m/>
    <n v="0"/>
    <e v="#DIV/0!"/>
    <n v="0"/>
    <m/>
    <s v="Private Equity Fund"/>
    <n v="1.0416666666666668E-2"/>
    <n v="0"/>
    <n v="0"/>
    <n v="0"/>
    <m/>
    <m/>
    <m/>
    <m/>
    <m/>
    <m/>
    <m/>
    <m/>
  </r>
  <r>
    <x v="152"/>
    <x v="4"/>
    <s v="NA"/>
    <n v="17062665.5121461"/>
    <s v=""/>
    <m/>
    <n v="0"/>
    <n v="0"/>
    <n v="-9156600"/>
    <m/>
    <m/>
    <n v="-9156600"/>
    <e v="#DIV/0!"/>
    <n v="-9156600"/>
    <m/>
    <s v="Private Equity Fund"/>
    <n v="1.0416666666666668E-2"/>
    <n v="0"/>
    <n v="0"/>
    <n v="0"/>
    <m/>
    <m/>
    <m/>
    <m/>
    <m/>
    <m/>
    <m/>
    <m/>
  </r>
  <r>
    <x v="153"/>
    <x v="4"/>
    <s v="NA"/>
    <n v="17372148.6819272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</r>
  <r>
    <x v="154"/>
    <x v="4"/>
    <s v="NA"/>
    <n v="17644593.0530967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</r>
  <r>
    <x v="155"/>
    <x v="4"/>
    <s v="NA"/>
    <n v="17143174.444285102"/>
    <s v=""/>
    <m/>
    <n v="0"/>
    <n v="0"/>
    <n v="-675000"/>
    <m/>
    <m/>
    <n v="-675000"/>
    <e v="#DIV/0!"/>
    <n v="-675000"/>
    <m/>
    <s v="Private Equity Fund"/>
    <n v="6.9444444444444449E-3"/>
    <n v="0"/>
    <n v="0"/>
    <n v="0"/>
    <m/>
    <m/>
    <m/>
    <m/>
    <m/>
    <m/>
    <m/>
    <m/>
  </r>
  <r>
    <x v="156"/>
    <x v="4"/>
    <s v="NA"/>
    <n v="17332792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</r>
  <r>
    <x v="157"/>
    <x v="4"/>
    <s v="NA"/>
    <n v="17538276"/>
    <s v=""/>
    <m/>
    <n v="0"/>
    <n v="0"/>
    <n v="0"/>
    <m/>
    <m/>
    <n v="0"/>
    <e v="#DIV/0!"/>
    <n v="0"/>
    <m/>
    <s v="Private Equity Fund"/>
    <n v="6.9444444444444449E-3"/>
    <n v="0"/>
    <n v="0"/>
    <n v="0"/>
    <m/>
    <m/>
    <m/>
    <m/>
    <m/>
    <m/>
    <m/>
    <m/>
  </r>
  <r>
    <x v="158"/>
    <x v="4"/>
    <s v="NA"/>
    <n v="17102772.816886302"/>
    <s v=""/>
    <m/>
    <n v="0"/>
    <n v="0"/>
    <n v="-687991.67"/>
    <m/>
    <m/>
    <n v="-687991.67"/>
    <e v="#DIV/0!"/>
    <n v="-687991.67"/>
    <m/>
    <s v="Private Equity Fund"/>
    <n v="6.9444444444444449E-3"/>
    <n v="1.3103059338443153"/>
    <n v="0"/>
    <n v="0"/>
    <m/>
    <m/>
    <m/>
    <m/>
    <m/>
    <m/>
    <m/>
    <m/>
  </r>
  <r>
    <x v="159"/>
    <x v="4"/>
    <s v="NA"/>
    <n v="17373049.710770797"/>
    <s v=""/>
    <m/>
    <n v="0"/>
    <n v="0"/>
    <n v="0"/>
    <m/>
    <m/>
    <n v="0"/>
    <e v="#DIV/0!"/>
    <n v="0"/>
    <m/>
    <s v="Private Equity Fund"/>
    <n v="6.9444444444444449E-3"/>
    <n v="1.3238197785385399"/>
    <n v="0"/>
    <n v="0"/>
    <m/>
    <m/>
    <m/>
    <m/>
    <m/>
    <m/>
    <m/>
    <m/>
  </r>
  <r>
    <x v="160"/>
    <x v="4"/>
    <s v="NA"/>
    <n v="17642680.043448534"/>
    <s v=""/>
    <m/>
    <n v="0"/>
    <n v="0"/>
    <n v="0"/>
    <m/>
    <m/>
    <n v="0"/>
    <e v="#DIV/0!"/>
    <n v="0"/>
    <m/>
    <s v="Private Equity Fund"/>
    <n v="6.9444444444444449E-3"/>
    <n v="1.3373012951724268"/>
    <n v="0"/>
    <n v="0"/>
    <m/>
    <m/>
    <m/>
    <m/>
    <m/>
    <m/>
    <m/>
    <m/>
  </r>
  <r>
    <x v="161"/>
    <x v="4"/>
    <s v="NA"/>
    <n v="17156535.915793724"/>
    <s v=""/>
    <m/>
    <n v="0"/>
    <n v="0"/>
    <n v="-701008.34"/>
    <m/>
    <m/>
    <n v="-701008.34"/>
    <e v="#DIV/0!"/>
    <n v="-701008.34"/>
    <m/>
    <s v="Private Equity Fund"/>
    <n v="6.9444444444444449E-3"/>
    <n v="1.3129940887896865"/>
    <n v="0"/>
    <n v="0"/>
    <m/>
    <m/>
    <m/>
    <m/>
    <m/>
    <m/>
    <m/>
    <m/>
  </r>
  <r>
    <x v="162"/>
    <x v="4"/>
    <s v="NA"/>
    <n v="17412183.412775867"/>
    <s v=""/>
    <m/>
    <n v="0"/>
    <n v="0"/>
    <n v="0"/>
    <m/>
    <m/>
    <n v="0"/>
    <e v="#DIV/0!"/>
    <n v="0"/>
    <m/>
    <s v="Private Equity Fund"/>
    <n v="6.9444444444444449E-3"/>
    <n v="1.3257764636387934"/>
    <n v="0"/>
    <n v="0"/>
    <m/>
    <m/>
    <m/>
    <m/>
    <m/>
    <m/>
    <m/>
    <m/>
  </r>
  <r>
    <x v="163"/>
    <x v="4"/>
    <s v="NA"/>
    <n v="17691784.370716549"/>
    <s v=""/>
    <m/>
    <n v="0"/>
    <n v="0"/>
    <n v="0"/>
    <m/>
    <m/>
    <n v="0"/>
    <e v="#DIV/0!"/>
    <n v="0"/>
    <m/>
    <s v="Private Equity Fund"/>
    <n v="6.9444444444444449E-3"/>
    <n v="1.3397565115358276"/>
    <n v="0"/>
    <n v="0"/>
    <m/>
    <m/>
    <m/>
    <m/>
    <m/>
    <m/>
    <m/>
    <m/>
  </r>
  <r>
    <x v="164"/>
    <x v="4"/>
    <s v="NA"/>
    <n v="8479342.4011224769"/>
    <s v=""/>
    <m/>
    <n v="0"/>
    <n v="0"/>
    <n v="-9400576.6600000001"/>
    <m/>
    <m/>
    <n v="-9400576.6600000001"/>
    <e v="#DIV/0!"/>
    <n v="-9400576.6600000001"/>
    <m/>
    <s v="Private Equity Fund"/>
    <n v="6.9444444444444449E-3"/>
    <n v="0.87913441305612394"/>
    <n v="0"/>
    <n v="0"/>
    <m/>
    <m/>
    <m/>
    <m/>
    <m/>
    <m/>
    <m/>
    <m/>
  </r>
  <r>
    <x v="165"/>
    <x v="4"/>
    <s v="NA"/>
    <n v="8556839.0005567409"/>
    <s v=""/>
    <m/>
    <n v="0"/>
    <n v="0"/>
    <n v="0"/>
    <m/>
    <m/>
    <n v="0"/>
    <e v="#DIV/0!"/>
    <n v="0"/>
    <m/>
    <s v="Private Equity Fund"/>
    <n v="6.9444444444444449E-3"/>
    <n v="0.88300924302783701"/>
    <n v="0"/>
    <n v="0"/>
    <m/>
    <m/>
    <m/>
    <m/>
    <m/>
    <m/>
    <m/>
    <m/>
  </r>
  <r>
    <x v="166"/>
    <x v="4"/>
    <s v="NA"/>
    <n v="8754153.935605105"/>
    <s v=""/>
    <m/>
    <n v="0"/>
    <n v="0"/>
    <n v="0"/>
    <m/>
    <m/>
    <n v="0"/>
    <e v="#DIV/0!"/>
    <n v="0"/>
    <m/>
    <s v="Private Equity Fund"/>
    <n v="6.9444444444444449E-3"/>
    <n v="0.89287498978025548"/>
    <n v="0"/>
    <n v="0"/>
    <m/>
    <m/>
    <m/>
    <m/>
    <m/>
    <m/>
    <m/>
    <m/>
  </r>
  <r>
    <x v="167"/>
    <x v="4"/>
    <s v="NA"/>
    <n v="8550827.4914703406"/>
    <s v=""/>
    <m/>
    <n v="0"/>
    <n v="0"/>
    <n v="-394334.63"/>
    <m/>
    <m/>
    <n v="-394334.63"/>
    <e v="#DIV/0!"/>
    <n v="-394334.63"/>
    <m/>
    <s v="Private Equity Fund"/>
    <n v="6.9444444444444449E-3"/>
    <n v="0.88270866757351707"/>
    <n v="0"/>
    <n v="0"/>
    <m/>
    <m/>
    <m/>
    <m/>
    <m/>
    <m/>
    <m/>
    <m/>
  </r>
  <r>
    <x v="168"/>
    <x v="4"/>
    <s v="NA"/>
    <n v="8690309.6835255511"/>
    <s v=""/>
    <m/>
    <n v="0"/>
    <n v="0"/>
    <n v="0"/>
    <m/>
    <m/>
    <n v="0"/>
    <e v="#DIV/0!"/>
    <n v="0"/>
    <m/>
    <s v="Private Equity Fund"/>
    <n v="6.9444444444444449E-3"/>
    <n v="0.88968277717627764"/>
    <n v="0"/>
    <n v="0"/>
    <m/>
    <m/>
    <m/>
    <m/>
    <m/>
    <m/>
    <m/>
    <m/>
  </r>
  <r>
    <x v="169"/>
    <x v="4"/>
    <s v="NA"/>
    <n v="8441034.9266496263"/>
    <s v=""/>
    <m/>
    <n v="0"/>
    <n v="0"/>
    <n v="-389708.33"/>
    <m/>
    <m/>
    <n v="-389708.33"/>
    <e v="#DIV/0!"/>
    <n v="-389708.33"/>
    <m/>
    <s v="Private Equity Fund"/>
    <n v="6.9444444444444449E-3"/>
    <n v="0.87721903933248135"/>
    <n v="0"/>
    <n v="0"/>
    <m/>
    <m/>
    <m/>
    <m/>
    <m/>
    <m/>
    <m/>
    <m/>
  </r>
  <r>
    <x v="170"/>
    <x v="4"/>
    <s v="NA"/>
    <n v="8656372.5526439138"/>
    <s v=""/>
    <m/>
    <n v="0"/>
    <n v="0"/>
    <n v="0"/>
    <m/>
    <m/>
    <n v="0"/>
    <e v="#DIV/0!"/>
    <n v="0"/>
    <m/>
    <s v="Private Equity Fund"/>
    <n v="6.9444444444444449E-3"/>
    <n v="0.88798592063219572"/>
    <n v="0"/>
    <n v="0"/>
    <m/>
    <m/>
    <m/>
    <m/>
    <m/>
    <m/>
    <m/>
    <m/>
  </r>
  <r>
    <x v="171"/>
    <x v="4"/>
    <s v="NA"/>
    <n v="8805165.2137730792"/>
    <s v=""/>
    <m/>
    <n v="0"/>
    <n v="0"/>
    <n v="0"/>
    <m/>
    <m/>
    <n v="0"/>
    <e v="#DIV/0!"/>
    <n v="0"/>
    <m/>
    <s v="Private Equity Fund"/>
    <n v="6.9444444444444449E-3"/>
    <n v="0.89542555368865406"/>
    <n v="0"/>
    <n v="0"/>
    <m/>
    <m/>
    <m/>
    <m/>
    <m/>
    <m/>
    <m/>
    <m/>
  </r>
  <r>
    <x v="172"/>
    <x v="4"/>
    <s v="NA"/>
    <n v="8523639.6865817495"/>
    <s v=""/>
    <m/>
    <n v="0"/>
    <n v="0"/>
    <n v="-408964.16000000003"/>
    <m/>
    <m/>
    <n v="-408964.16000000003"/>
    <e v="#DIV/0!"/>
    <n v="-408964.16000000003"/>
    <m/>
    <s v="Private Equity Fund"/>
    <n v="6.9444444444444449E-3"/>
    <n v="0.88134927732908752"/>
    <n v="0"/>
    <n v="0"/>
    <m/>
    <m/>
    <m/>
    <m/>
    <m/>
    <m/>
    <m/>
    <m/>
  </r>
  <r>
    <x v="173"/>
    <x v="4"/>
    <s v="NA"/>
    <n v="8639239.8956346698"/>
    <s v=""/>
    <m/>
    <n v="0"/>
    <n v="0"/>
    <n v="0"/>
    <m/>
    <m/>
    <n v="0"/>
    <e v="#DIV/0!"/>
    <n v="0"/>
    <m/>
    <s v="Private Equity Fund"/>
    <n v="6.9444444444444449E-3"/>
    <n v="0.88712928778173361"/>
    <n v="0"/>
    <n v="0"/>
    <m/>
    <m/>
    <m/>
    <m/>
    <m/>
    <m/>
    <m/>
    <m/>
  </r>
  <r>
    <x v="174"/>
    <x v="4"/>
    <s v="NA"/>
    <n v="8749623.5137581192"/>
    <s v=""/>
    <m/>
    <n v="0"/>
    <n v="0"/>
    <n v="0"/>
    <m/>
    <m/>
    <n v="0"/>
    <e v="#DIV/0!"/>
    <n v="0"/>
    <m/>
    <s v="Private Equity Fund"/>
    <n v="6.9444444444444449E-3"/>
    <n v="0.89264846868790615"/>
    <n v="0"/>
    <n v="0"/>
    <m/>
    <m/>
    <m/>
    <m/>
    <m/>
    <m/>
    <m/>
    <m/>
  </r>
  <r>
    <x v="175"/>
    <x v="4"/>
    <s v="NA"/>
    <n v="8878240.9103699606"/>
    <s v=""/>
    <m/>
    <n v="0"/>
    <n v="0"/>
    <n v="0"/>
    <m/>
    <m/>
    <n v="0"/>
    <e v="#DIV/0!"/>
    <n v="0"/>
    <m/>
    <s v="Private Equity Fund"/>
    <n v="6.9444444444444449E-3"/>
    <n v="0.89907933851849808"/>
    <n v="0"/>
    <n v="0"/>
    <m/>
    <m/>
    <m/>
    <m/>
    <m/>
    <m/>
    <m/>
    <m/>
  </r>
  <r>
    <x v="176"/>
    <x v="4"/>
    <s v="NA"/>
    <n v="8660621.0364860501"/>
    <s v=""/>
    <m/>
    <n v="0"/>
    <n v="0"/>
    <n v="-145749.42000000001"/>
    <m/>
    <m/>
    <n v="-145749.42000000001"/>
    <e v="#DIV/0!"/>
    <n v="-145749.42000000001"/>
    <m/>
    <s v="Private Equity Fund"/>
    <n v="6.9444444444444449E-3"/>
    <n v="0.88819834482430271"/>
    <n v="0"/>
    <n v="0"/>
    <m/>
    <m/>
    <m/>
    <m/>
    <m/>
    <m/>
    <m/>
    <m/>
  </r>
  <r>
    <x v="177"/>
    <x v="4"/>
    <s v="NA"/>
    <n v="8751206.7843473405"/>
    <s v=""/>
    <m/>
    <n v="0"/>
    <n v="0"/>
    <n v="0"/>
    <m/>
    <m/>
    <n v="0"/>
    <e v="#DIV/0!"/>
    <n v="0"/>
    <m/>
    <s v="Private Equity Fund"/>
    <n v="6.9444444444444449E-3"/>
    <n v="0.89272763221736717"/>
    <n v="0"/>
    <n v="0"/>
    <m/>
    <m/>
    <m/>
    <m/>
    <m/>
    <m/>
    <m/>
    <m/>
  </r>
  <r>
    <x v="178"/>
    <x v="4"/>
    <s v="NA"/>
    <n v="5522306.5709242104"/>
    <s v=""/>
    <m/>
    <n v="0"/>
    <n v="0"/>
    <n v="-3160862.9"/>
    <m/>
    <m/>
    <n v="-3160862.9"/>
    <e v="#DIV/0!"/>
    <n v="-3160862.9"/>
    <m/>
    <s v="Private Equity Fund"/>
    <n v="6.9444444444444449E-3"/>
    <n v="0.73128262154621071"/>
    <n v="0"/>
    <n v="0"/>
    <m/>
    <m/>
    <m/>
    <m/>
    <m/>
    <m/>
    <m/>
    <m/>
  </r>
  <r>
    <x v="179"/>
    <x v="4"/>
    <s v="NA"/>
    <n v="5525772.5703539206"/>
    <s v=""/>
    <m/>
    <n v="0"/>
    <n v="0"/>
    <n v="0"/>
    <m/>
    <m/>
    <n v="0"/>
    <e v="#DIV/0!"/>
    <n v="0"/>
    <m/>
    <s v="Private Equity Fund"/>
    <n v="4.1666666666666666E-3"/>
    <n v="0.73145592151769612"/>
    <n v="0"/>
    <n v="0"/>
    <m/>
    <m/>
    <m/>
    <m/>
    <m/>
    <m/>
    <m/>
    <m/>
  </r>
  <r>
    <x v="180"/>
    <x v="4"/>
    <s v="NA"/>
    <n v="3342035.97"/>
    <s v=""/>
    <m/>
    <n v="0"/>
    <n v="0"/>
    <n v="-2097624.21"/>
    <m/>
    <m/>
    <n v="-2097624.21"/>
    <e v="#DIV/0!"/>
    <n v="-2097624.21"/>
    <m/>
    <s v="Private Equity Fund"/>
    <n v="4.1666666666666666E-3"/>
    <n v="0.6222690915000002"/>
    <n v="0"/>
    <n v="0"/>
    <m/>
    <m/>
    <m/>
    <m/>
    <m/>
    <m/>
    <m/>
    <m/>
  </r>
  <r>
    <x v="181"/>
    <x v="4"/>
    <s v="NA"/>
    <n v="3390600.12361567"/>
    <s v=""/>
    <m/>
    <n v="0"/>
    <n v="0"/>
    <n v="0"/>
    <m/>
    <m/>
    <n v="0"/>
    <e v="#DIV/0!"/>
    <n v="0"/>
    <m/>
    <s v="Private Equity Fund"/>
    <n v="4.1666666666666666E-3"/>
    <n v="0.62469729918078354"/>
    <n v="0"/>
    <n v="0"/>
    <m/>
    <m/>
    <m/>
    <m/>
    <m/>
    <m/>
    <m/>
    <m/>
  </r>
  <r>
    <x v="182"/>
    <x v="4"/>
    <s v="NA"/>
    <n v="3429652.5697062798"/>
    <s v=""/>
    <m/>
    <n v="0"/>
    <n v="0"/>
    <n v="0"/>
    <m/>
    <m/>
    <n v="0"/>
    <e v="#DIV/0!"/>
    <n v="0"/>
    <m/>
    <s v="Private Equity Fund"/>
    <n v="4.1666666666666666E-3"/>
    <n v="0.62664992148531407"/>
    <n v="0"/>
    <n v="0"/>
    <m/>
    <m/>
    <m/>
    <m/>
    <m/>
    <m/>
    <m/>
    <m/>
  </r>
  <r>
    <x v="183"/>
    <x v="4"/>
    <s v="NA"/>
    <n v="3363149.16"/>
    <s v=""/>
    <m/>
    <n v="0"/>
    <n v="0"/>
    <n v="-93621.28"/>
    <m/>
    <m/>
    <n v="-93621.28"/>
    <e v="#DIV/0!"/>
    <n v="-93621.28"/>
    <m/>
    <s v="Private Equity Fund"/>
    <n v="4.1666666666666666E-3"/>
    <n v="0.62332475100000018"/>
    <n v="0"/>
    <n v="0"/>
    <m/>
    <m/>
    <m/>
    <m/>
    <m/>
    <m/>
    <m/>
    <m/>
  </r>
  <r>
    <x v="184"/>
    <x v="4"/>
    <s v="NA"/>
    <n v="3402563.57"/>
    <s v=""/>
    <m/>
    <n v="0"/>
    <n v="0"/>
    <n v="0"/>
    <m/>
    <m/>
    <n v="0"/>
    <e v="#DIV/0!"/>
    <n v="0"/>
    <m/>
    <s v="Private Equity Fund"/>
    <n v="4.1666666666666666E-3"/>
    <n v="0.62529547150000009"/>
    <n v="0"/>
    <n v="0"/>
    <m/>
    <m/>
    <m/>
    <m/>
    <m/>
    <m/>
    <m/>
    <m/>
  </r>
  <r>
    <x v="185"/>
    <x v="4"/>
    <s v="NA"/>
    <n v="3443364.1599999997"/>
    <s v=""/>
    <m/>
    <n v="0"/>
    <n v="0"/>
    <n v="0"/>
    <m/>
    <m/>
    <n v="0"/>
    <e v="#DIV/0!"/>
    <n v="0"/>
    <m/>
    <s v="Private Equity Fund"/>
    <n v="4.1666666666666666E-3"/>
    <n v="0.62733550100000013"/>
    <n v="0"/>
    <n v="0"/>
    <m/>
    <m/>
    <m/>
    <m/>
    <m/>
    <m/>
    <m/>
    <m/>
  </r>
  <r>
    <x v="186"/>
    <x v="4"/>
    <s v="NA"/>
    <n v="2500509.04"/>
    <s v=""/>
    <m/>
    <n v="0"/>
    <n v="0"/>
    <n v="-916304.26"/>
    <m/>
    <m/>
    <n v="-916304.26"/>
    <e v="#DIV/0!"/>
    <n v="-916304.26"/>
    <m/>
    <s v="Private Equity Fund"/>
    <n v="4.1666666666666666E-3"/>
    <n v="0.58019274500000007"/>
    <n v="0"/>
    <n v="0"/>
    <m/>
    <m/>
    <m/>
    <m/>
    <m/>
    <m/>
    <m/>
    <m/>
  </r>
  <r>
    <x v="187"/>
    <x v="4"/>
    <s v="NA"/>
    <n v="2531078.9300000002"/>
    <s v=""/>
    <m/>
    <n v="0"/>
    <n v="0"/>
    <n v="0"/>
    <m/>
    <m/>
    <n v="0"/>
    <e v="#DIV/0!"/>
    <n v="0"/>
    <m/>
    <s v="Private Equity Fund"/>
    <n v="4.1666666666666666E-3"/>
    <n v="0.5817212395000001"/>
    <n v="0"/>
    <n v="0"/>
    <m/>
    <m/>
    <m/>
    <m/>
    <m/>
    <m/>
    <m/>
    <m/>
  </r>
  <r>
    <x v="188"/>
    <x v="4"/>
    <s v="NA"/>
    <n v="2559118.13"/>
    <s v=""/>
    <m/>
    <n v="0"/>
    <n v="0"/>
    <n v="0"/>
    <m/>
    <m/>
    <n v="0"/>
    <e v="#DIV/0!"/>
    <n v="0"/>
    <m/>
    <s v="Private Equity Fund"/>
    <n v="4.1666666666666666E-3"/>
    <n v="0.58699004600000004"/>
    <n v="0"/>
    <n v="0"/>
    <m/>
    <m/>
    <m/>
    <m/>
    <m/>
    <m/>
    <m/>
    <m/>
  </r>
  <r>
    <x v="189"/>
    <x v="4"/>
    <s v="NA"/>
    <n v="2507823.14"/>
    <s v=""/>
    <m/>
    <n v="0"/>
    <n v="0"/>
    <n v="-77336.929999999993"/>
    <m/>
    <m/>
    <n v="-77336.929999999993"/>
    <e v="#DIV/0!"/>
    <n v="-77336.929999999993"/>
    <m/>
    <s v="Private Equity Fund"/>
    <n v="4.1666666666666666E-3"/>
    <n v="0.58442529650000008"/>
    <n v="0"/>
    <n v="0"/>
    <m/>
    <m/>
    <m/>
    <m/>
    <m/>
    <m/>
    <m/>
    <m/>
  </r>
  <r>
    <x v="190"/>
    <x v="4"/>
    <s v="NA"/>
    <n v="2536423.0499999998"/>
    <s v=""/>
    <m/>
    <n v="0"/>
    <n v="0"/>
    <n v="0"/>
    <m/>
    <m/>
    <n v="0"/>
    <e v="#DIV/0!"/>
    <n v="0"/>
    <m/>
    <s v="Private Equity Fund"/>
    <n v="4.1666666666666666E-3"/>
    <n v="0.58585529200000008"/>
    <n v="0"/>
    <n v="0"/>
    <m/>
    <m/>
    <m/>
    <m/>
    <m/>
    <m/>
    <m/>
    <m/>
  </r>
  <r>
    <x v="191"/>
    <x v="4"/>
    <s v="NA"/>
    <n v="2566070.87"/>
    <s v=""/>
    <m/>
    <n v="0"/>
    <n v="0"/>
    <n v="0"/>
    <m/>
    <m/>
    <n v="0"/>
    <e v="#DIV/0!"/>
    <n v="0"/>
    <m/>
    <s v="Private Equity Fund"/>
    <n v="4.1666666666666666E-3"/>
    <n v="0.587337683"/>
    <n v="0"/>
    <n v="0"/>
    <m/>
    <m/>
    <m/>
    <m/>
    <m/>
    <m/>
    <m/>
    <m/>
  </r>
  <r>
    <x v="192"/>
    <x v="4"/>
    <s v="NA"/>
    <n v="2514085.81"/>
    <s v=""/>
    <m/>
    <n v="0"/>
    <n v="0"/>
    <n v="-77187.5"/>
    <m/>
    <m/>
    <n v="-77187.5"/>
    <e v="#DIV/0!"/>
    <n v="-77187.5"/>
    <m/>
    <s v="Private Equity Fund"/>
    <n v="4.1666666666666666E-3"/>
    <n v="0.58473843000000003"/>
    <n v="0"/>
    <n v="0"/>
    <m/>
    <m/>
    <m/>
    <m/>
    <m/>
    <m/>
    <m/>
    <m/>
  </r>
  <r>
    <x v="193"/>
    <x v="4"/>
    <s v="NA"/>
    <n v="2545874.9087597281"/>
    <s v=""/>
    <m/>
    <n v="0"/>
    <n v="0"/>
    <n v="0"/>
    <m/>
    <m/>
    <n v="0"/>
    <e v="#DIV/0!"/>
    <n v="0"/>
    <m/>
    <s v="Private Equity Fund"/>
    <n v="4.1666666666666666E-3"/>
    <n v="0.58632788493798649"/>
    <n v="0"/>
    <n v="0"/>
    <m/>
    <m/>
    <m/>
    <m/>
    <m/>
    <m/>
    <m/>
    <m/>
  </r>
  <r>
    <x v="194"/>
    <x v="4"/>
    <s v="NA"/>
    <n v="2575928.85"/>
    <s v=""/>
    <m/>
    <n v="0"/>
    <n v="0"/>
    <n v="0"/>
    <m/>
    <m/>
    <n v="0"/>
    <e v="#DIV/0!"/>
    <n v="0"/>
    <m/>
    <s v="Private Equity Fund"/>
    <n v="4.1666666666666666E-3"/>
    <n v="0.58783058200000005"/>
    <n v="0"/>
    <n v="0"/>
    <m/>
    <m/>
    <m/>
    <m/>
    <m/>
    <m/>
    <m/>
    <m/>
  </r>
  <r>
    <x v="195"/>
    <x v="4"/>
    <s v="NA"/>
    <n v="2524083.7422295436"/>
    <s v=""/>
    <m/>
    <n v="0"/>
    <m/>
    <n v="-77187.5"/>
    <m/>
    <m/>
    <n v="-77187.5"/>
    <e v="#DIV/0!"/>
    <n v="-77187.5"/>
    <m/>
    <s v="Private Equity Fund"/>
    <n v="4.1666666666666666E-3"/>
    <n v="0.58523832661147723"/>
    <n v="0"/>
    <n v="0"/>
    <m/>
    <m/>
    <m/>
    <m/>
    <m/>
    <m/>
    <m/>
    <m/>
  </r>
  <r>
    <x v="196"/>
    <x v="4"/>
    <s v="NA"/>
    <n v="2555998.4625278935"/>
    <s v=""/>
    <m/>
    <n v="0"/>
    <m/>
    <n v="0"/>
    <m/>
    <m/>
    <n v="0"/>
    <e v="#DIV/0!"/>
    <n v="0"/>
    <m/>
    <s v="Private Equity Fund"/>
    <n v="4.1666666666666666E-3"/>
    <n v="0.5868340626263947"/>
    <n v="0"/>
    <n v="0"/>
    <m/>
    <m/>
    <m/>
    <m/>
    <m/>
    <m/>
    <m/>
    <m/>
  </r>
  <r>
    <x v="197"/>
    <x v="4"/>
    <s v="NA"/>
    <n v="2587230.6109355227"/>
    <s v=""/>
    <m/>
    <n v="0"/>
    <m/>
    <n v="0"/>
    <m/>
    <m/>
    <n v="0"/>
    <e v="#DIV/0!"/>
    <n v="0"/>
    <m/>
    <s v="Private Equity Fund"/>
    <n v="4.1666666666666666E-3"/>
    <n v="0.58839567004677618"/>
    <n v="0"/>
    <n v="0"/>
    <m/>
    <m/>
    <m/>
    <m/>
    <m/>
    <m/>
    <m/>
    <m/>
  </r>
  <r>
    <x v="198"/>
    <x v="4"/>
    <s v="NA"/>
    <n v="0"/>
    <m/>
    <m/>
    <m/>
    <m/>
    <n v="-2602597"/>
    <m/>
    <m/>
    <n v="-2602597"/>
    <e v="#DIV/0!"/>
    <n v="-2602597"/>
    <m/>
    <s v="Private Equity Fund"/>
    <m/>
    <m/>
    <m/>
    <m/>
    <m/>
    <m/>
    <m/>
    <m/>
    <m/>
    <m/>
    <m/>
    <m/>
  </r>
  <r>
    <x v="2"/>
    <x v="5"/>
    <s v="Series 1a"/>
    <n v="1570000"/>
    <e v="#DIV/0!"/>
    <n v="31.4"/>
    <n v="1570000"/>
    <n v="0"/>
    <n v="0"/>
    <m/>
    <m/>
    <n v="1570000"/>
    <e v="#DIV/0!"/>
    <n v="1570000"/>
    <n v="1570000"/>
    <s v="Private Equity Fund"/>
    <n v="0"/>
    <n v="0"/>
    <n v="0"/>
    <n v="0"/>
    <m/>
    <m/>
    <m/>
    <m/>
    <m/>
    <m/>
    <m/>
    <m/>
  </r>
  <r>
    <x v="3"/>
    <x v="5"/>
    <s v="Series 1a"/>
    <n v="1538219.61"/>
    <e v="#DIV/0!"/>
    <n v="31.4"/>
    <n v="0"/>
    <n v="0"/>
    <n v="0"/>
    <m/>
    <m/>
    <n v="0"/>
    <e v="#DIV/0!"/>
    <n v="0"/>
    <n v="0"/>
    <s v="Private Equity Fund"/>
    <n v="3.4054307453827699E-3"/>
    <n v="0"/>
    <n v="0"/>
    <n v="0"/>
    <m/>
    <m/>
    <m/>
    <m/>
    <m/>
    <m/>
    <m/>
    <m/>
  </r>
  <r>
    <x v="4"/>
    <x v="5"/>
    <s v="Series 1a"/>
    <n v="3231889.6"/>
    <e v="#DIV/0!"/>
    <n v="31.4"/>
    <n v="1570000"/>
    <n v="0"/>
    <n v="0"/>
    <m/>
    <m/>
    <n v="1570000"/>
    <e v="#DIV/0!"/>
    <n v="1570000"/>
    <n v="1570000"/>
    <s v="Private Equity Fund"/>
    <n v="1.00555717317576E-2"/>
    <n v="9.1083766999999777E-3"/>
    <n v="0"/>
    <n v="0"/>
    <m/>
    <m/>
    <m/>
    <m/>
    <m/>
    <m/>
    <m/>
    <m/>
  </r>
  <r>
    <x v="5"/>
    <x v="5"/>
    <s v="Series 1a"/>
    <n v="13900618.630000001"/>
    <e v="#DIV/0!"/>
    <n v="31.4"/>
    <n v="10770200"/>
    <n v="0"/>
    <n v="0"/>
    <m/>
    <m/>
    <n v="10770200"/>
    <e v="#DIV/0!"/>
    <n v="10770200"/>
    <n v="10770200"/>
    <s v="Private Equity Fund"/>
    <n v="1.54284713860697E-2"/>
    <n v="0"/>
    <n v="0"/>
    <n v="0"/>
    <m/>
    <m/>
    <m/>
    <m/>
    <m/>
    <m/>
    <m/>
    <m/>
  </r>
  <r>
    <x v="6"/>
    <x v="5"/>
    <s v="Series 1a"/>
    <n v="13941876.949999999"/>
    <e v="#DIV/0!"/>
    <n v="31.4"/>
    <n v="0"/>
    <n v="0"/>
    <n v="0"/>
    <m/>
    <m/>
    <n v="0"/>
    <e v="#DIV/0!"/>
    <n v="0"/>
    <n v="0"/>
    <s v="Private Equity Fund"/>
    <n v="1.4935254584058999E-2"/>
    <n v="0"/>
    <n v="0"/>
    <n v="0"/>
    <m/>
    <m/>
    <m/>
    <m/>
    <m/>
    <m/>
    <m/>
    <m/>
  </r>
  <r>
    <x v="7"/>
    <x v="5"/>
    <s v="Series 1a"/>
    <n v="13973652.550000001"/>
    <e v="#DIV/0!"/>
    <n v="31.4"/>
    <n v="0"/>
    <n v="0"/>
    <n v="0"/>
    <m/>
    <m/>
    <n v="0"/>
    <e v="#DIV/0!"/>
    <n v="0"/>
    <n v="0"/>
    <s v="Private Equity Fund"/>
    <n v="1.6006150595865399E-2"/>
    <n v="8.7930480000003195E-4"/>
    <n v="0"/>
    <n v="0"/>
    <m/>
    <m/>
    <m/>
    <m/>
    <m/>
    <m/>
    <m/>
    <m/>
  </r>
  <r>
    <x v="8"/>
    <x v="5"/>
    <s v="Series 1a"/>
    <n v="13544883.9679951"/>
    <e v="#DIV/0!"/>
    <n v="31.4"/>
    <n v="0"/>
    <n v="0"/>
    <n v="0"/>
    <m/>
    <m/>
    <n v="0"/>
    <e v="#DIV/0!"/>
    <n v="0"/>
    <n v="0"/>
    <s v="Private Equity Fund"/>
    <n v="1.6020908964155901E-2"/>
    <n v="0"/>
    <n v="0"/>
    <n v="0"/>
    <m/>
    <m/>
    <m/>
    <m/>
    <m/>
    <m/>
    <m/>
    <m/>
  </r>
  <r>
    <x v="9"/>
    <x v="5"/>
    <s v="Series 1a"/>
    <n v="13580251.029999999"/>
    <e v="#DIV/0!"/>
    <n v="31.4"/>
    <n v="0"/>
    <n v="0"/>
    <n v="0"/>
    <m/>
    <m/>
    <n v="0"/>
    <e v="#DIV/0!"/>
    <n v="0"/>
    <n v="0"/>
    <s v="Private Equity Fund"/>
    <n v="1.6046626098367201E-2"/>
    <n v="0"/>
    <n v="0"/>
    <n v="0"/>
    <m/>
    <m/>
    <m/>
    <m/>
    <m/>
    <m/>
    <m/>
    <m/>
  </r>
  <r>
    <x v="10"/>
    <x v="5"/>
    <s v="Series 1a"/>
    <n v="13509914.300000001"/>
    <e v="#DIV/0!"/>
    <n v="31.4"/>
    <n v="0"/>
    <n v="0"/>
    <n v="0"/>
    <m/>
    <m/>
    <n v="0"/>
    <e v="#DIV/0!"/>
    <n v="0"/>
    <n v="0"/>
    <s v="Private Equity Fund"/>
    <n v="1.54705351970461E-2"/>
    <n v="0"/>
    <n v="0"/>
    <n v="0"/>
    <m/>
    <m/>
    <m/>
    <m/>
    <m/>
    <m/>
    <m/>
    <m/>
  </r>
  <r>
    <x v="11"/>
    <x v="5"/>
    <s v="Series 1a"/>
    <n v="13807474.706977401"/>
    <e v="#DIV/0!"/>
    <n v="31.4"/>
    <n v="0"/>
    <n v="0"/>
    <n v="0"/>
    <m/>
    <m/>
    <n v="0"/>
    <e v="#DIV/0!"/>
    <n v="0"/>
    <n v="0"/>
    <s v="Private Equity Fund"/>
    <n v="2.57017146390193E-2"/>
    <n v="0"/>
    <n v="0"/>
    <n v="0"/>
    <m/>
    <m/>
    <m/>
    <m/>
    <m/>
    <m/>
    <m/>
    <m/>
  </r>
  <r>
    <x v="12"/>
    <x v="5"/>
    <s v="Series 1a"/>
    <n v="20613683.719999999"/>
    <e v="#DIV/0!"/>
    <n v="31.4"/>
    <n v="6688200"/>
    <n v="0"/>
    <n v="0"/>
    <m/>
    <m/>
    <n v="6688200"/>
    <e v="#DIV/0!"/>
    <n v="6688200"/>
    <n v="6688200"/>
    <s v="Private Equity Fund"/>
    <n v="2.57017146390193E-2"/>
    <n v="0"/>
    <n v="0"/>
    <n v="0"/>
    <m/>
    <m/>
    <m/>
    <m/>
    <m/>
    <m/>
    <m/>
    <m/>
  </r>
  <r>
    <x v="13"/>
    <x v="5"/>
    <s v="Series 1a"/>
    <n v="20053645.350000001"/>
    <e v="#DIV/0!"/>
    <n v="31.4"/>
    <n v="0"/>
    <n v="0"/>
    <n v="0"/>
    <m/>
    <m/>
    <n v="0"/>
    <e v="#DIV/0!"/>
    <n v="0"/>
    <n v="0"/>
    <s v="Private Equity Fund"/>
    <n v="2.7415162281620602E-2"/>
    <n v="0"/>
    <n v="2.8046939803949697E-4"/>
    <n v="0"/>
    <m/>
    <m/>
    <m/>
    <m/>
    <m/>
    <m/>
    <m/>
    <m/>
  </r>
  <r>
    <x v="150"/>
    <x v="5"/>
    <s v="Series 1a"/>
    <n v="24941602.829999998"/>
    <e v="#DIV/0!"/>
    <n v="31.4"/>
    <n v="5306600"/>
    <n v="0"/>
    <n v="0"/>
    <m/>
    <m/>
    <n v="5306600"/>
    <e v="#DIV/0!"/>
    <n v="5306600"/>
    <n v="5306600"/>
    <s v="Private Equity Fund"/>
    <n v="3.3231878357865299E-2"/>
    <n v="0"/>
    <n v="0"/>
    <n v="0"/>
    <m/>
    <m/>
    <m/>
    <m/>
    <m/>
    <m/>
    <m/>
    <m/>
  </r>
  <r>
    <x v="151"/>
    <x v="5"/>
    <s v="Series 1a"/>
    <n v="25250255.969999999"/>
    <e v="#DIV/0!"/>
    <n v="31.4"/>
    <n v="0"/>
    <n v="0"/>
    <n v="0"/>
    <m/>
    <m/>
    <n v="0"/>
    <e v="#DIV/0!"/>
    <n v="0"/>
    <n v="0"/>
    <s v="Private Equity Fund"/>
    <n v="3.0411032621366199E-2"/>
    <n v="0"/>
    <n v="0"/>
    <n v="0"/>
    <m/>
    <m/>
    <m/>
    <m/>
    <m/>
    <m/>
    <m/>
    <m/>
  </r>
  <r>
    <x v="152"/>
    <x v="5"/>
    <s v="Series 1a"/>
    <n v="25083508.142660901"/>
    <e v="#DIV/0!"/>
    <n v="31.4"/>
    <n v="0"/>
    <n v="0"/>
    <n v="0"/>
    <m/>
    <m/>
    <n v="0"/>
    <e v="#DIV/0!"/>
    <n v="0"/>
    <n v="0"/>
    <s v="Private Equity Fund"/>
    <n v="3.5833381912730208E-2"/>
    <n v="1.3173307500000042E-2"/>
    <n v="3.4950084573890603E-4"/>
    <n v="0"/>
    <m/>
    <m/>
    <m/>
    <m/>
    <m/>
    <m/>
    <m/>
    <m/>
  </r>
  <r>
    <x v="153"/>
    <x v="5"/>
    <s v="Series 1a"/>
    <n v="28166791.91"/>
    <e v="#DIV/0!"/>
    <n v="29.65"/>
    <n v="2482400"/>
    <n v="0"/>
    <n v="0"/>
    <m/>
    <m/>
    <n v="2482400"/>
    <e v="#DIV/0!"/>
    <n v="2482400"/>
    <n v="2482400"/>
    <s v="Private Equity Fund"/>
    <n v="5.0291263894687799E-2"/>
    <n v="4.0546282500000003E-2"/>
    <n v="0"/>
    <n v="0"/>
    <m/>
    <m/>
    <m/>
    <m/>
    <m/>
    <m/>
    <m/>
    <m/>
  </r>
  <r>
    <x v="154"/>
    <x v="5"/>
    <s v="Series 1a"/>
    <n v="28389786.66"/>
    <e v="#DIV/0!"/>
    <n v="29.65"/>
    <n v="0"/>
    <n v="0"/>
    <n v="0"/>
    <m/>
    <m/>
    <n v="0"/>
    <e v="#DIV/0!"/>
    <n v="0"/>
    <n v="0"/>
    <s v="Private Equity Fund"/>
    <n v="5.2595888685421199E-2"/>
    <n v="5.6029820250000022E-2"/>
    <n v="0"/>
    <n v="0"/>
    <m/>
    <m/>
    <m/>
    <m/>
    <m/>
    <m/>
    <m/>
    <m/>
  </r>
  <r>
    <x v="155"/>
    <x v="5"/>
    <s v="Series 1a"/>
    <n v="29883548.75"/>
    <e v="#DIV/0!"/>
    <n v="29.65"/>
    <n v="941600"/>
    <n v="0"/>
    <n v="0"/>
    <m/>
    <m/>
    <n v="941600"/>
    <e v="#DIV/0!"/>
    <n v="941600"/>
    <n v="941600"/>
    <s v="Private Equity Fund"/>
    <n v="7.3847029761967997E-2"/>
    <n v="0.18079215509999996"/>
    <n v="1.65574174547086E-3"/>
    <n v="7.5470659562139103E-4"/>
    <m/>
    <m/>
    <m/>
    <m/>
    <m/>
    <m/>
    <m/>
    <m/>
  </r>
  <r>
    <x v="156"/>
    <x v="5"/>
    <s v="Series 1a"/>
    <n v="32360591.469999995"/>
    <e v="#DIV/0!"/>
    <n v="29.65"/>
    <n v="321000"/>
    <n v="0"/>
    <n v="0"/>
    <m/>
    <m/>
    <n v="321000"/>
    <e v="#DIV/0!"/>
    <n v="321000"/>
    <n v="321000"/>
    <s v="Private Equity Fund"/>
    <n v="6.6601732655277995E-2"/>
    <n v="0.77697664154999957"/>
    <n v="0"/>
    <n v="0"/>
    <m/>
    <m/>
    <m/>
    <m/>
    <m/>
    <m/>
    <m/>
    <m/>
  </r>
  <r>
    <x v="157"/>
    <x v="5"/>
    <s v="Series 1a"/>
    <n v="33026978.780000001"/>
    <e v="#DIV/0!"/>
    <n v="29.65"/>
    <n v="0"/>
    <n v="0"/>
    <n v="0"/>
    <m/>
    <m/>
    <n v="0"/>
    <e v="#DIV/0!"/>
    <n v="0"/>
    <n v="0"/>
    <s v="Private Equity Fund"/>
    <n v="7.0410888600164007E-2"/>
    <n v="0.86488644609999987"/>
    <n v="0"/>
    <n v="0"/>
    <m/>
    <m/>
    <m/>
    <m/>
    <m/>
    <m/>
    <m/>
    <m/>
  </r>
  <r>
    <x v="158"/>
    <x v="5"/>
    <s v="Series 1a"/>
    <n v="32953550"/>
    <e v="#DIV/0!"/>
    <n v="29.65"/>
    <n v="0"/>
    <n v="0"/>
    <n v="0"/>
    <m/>
    <m/>
    <n v="0"/>
    <e v="#DIV/0!"/>
    <n v="0"/>
    <n v="0"/>
    <s v="Private Equity Fund"/>
    <n v="7.1638458715270997E-2"/>
    <n v="0.74071833634999973"/>
    <n v="2.1613581122426999E-3"/>
    <n v="1.7844698538790399E-3"/>
    <m/>
    <m/>
    <m/>
    <m/>
    <m/>
    <m/>
    <m/>
    <m/>
  </r>
  <r>
    <x v="159"/>
    <x v="5"/>
    <s v="Series 1a"/>
    <n v="32455827.480000004"/>
    <e v="#DIV/0!"/>
    <n v="29.65"/>
    <n v="0"/>
    <n v="0"/>
    <n v="0"/>
    <m/>
    <m/>
    <n v="0"/>
    <e v="#DIV/0!"/>
    <n v="0"/>
    <n v="0"/>
    <s v="Private Equity Fund"/>
    <n v="8.0384212948106007E-2"/>
    <n v="0.58249043209999984"/>
    <n v="0"/>
    <n v="0"/>
    <m/>
    <m/>
    <m/>
    <m/>
    <m/>
    <m/>
    <m/>
    <m/>
  </r>
  <r>
    <x v="160"/>
    <x v="5"/>
    <s v="Series 1a"/>
    <n v="31918760.91"/>
    <e v="#DIV/0!"/>
    <n v="29.65"/>
    <n v="0"/>
    <n v="0"/>
    <n v="0"/>
    <m/>
    <m/>
    <n v="0"/>
    <e v="#DIV/0!"/>
    <n v="0"/>
    <n v="0"/>
    <s v="Private Equity Fund"/>
    <n v="7.7928565940158998E-2"/>
    <n v="0.42374165515000006"/>
    <n v="0"/>
    <n v="0"/>
    <m/>
    <m/>
    <m/>
    <m/>
    <m/>
    <m/>
    <m/>
    <m/>
  </r>
  <r>
    <x v="161"/>
    <x v="5"/>
    <s v="Series 1a"/>
    <n v="32058201.579999994"/>
    <e v="#DIV/0!"/>
    <n v="29.65"/>
    <n v="0"/>
    <n v="0"/>
    <n v="0"/>
    <m/>
    <m/>
    <n v="0"/>
    <e v="#DIV/0!"/>
    <n v="0"/>
    <n v="0"/>
    <s v="Private Equity Fund"/>
    <n v="7.7458067181946005E-2"/>
    <n v="0.44912747364999994"/>
    <n v="3.9496571137065698E-3"/>
    <n v="1.16917083479527E-3"/>
    <m/>
    <m/>
    <m/>
    <m/>
    <m/>
    <m/>
    <m/>
    <m/>
  </r>
  <r>
    <x v="162"/>
    <x v="5"/>
    <s v="Series 1a"/>
    <n v="32942558.859999999"/>
    <e v="#DIV/0!"/>
    <n v="29.65"/>
    <n v="0"/>
    <n v="0"/>
    <n v="0"/>
    <m/>
    <m/>
    <n v="0"/>
    <e v="#DIV/0!"/>
    <n v="0"/>
    <n v="0"/>
    <s v="Private Equity Fund"/>
    <n v="7.8762006662963707E-2"/>
    <n v="0.71197127599999976"/>
    <n v="0"/>
    <n v="0"/>
    <m/>
    <m/>
    <m/>
    <m/>
    <m/>
    <m/>
    <m/>
    <m/>
  </r>
  <r>
    <x v="163"/>
    <x v="5"/>
    <s v="Series 1a"/>
    <n v="32928287.529999997"/>
    <e v="#DIV/0!"/>
    <n v="29.65"/>
    <n v="0"/>
    <n v="0"/>
    <n v="0"/>
    <m/>
    <m/>
    <n v="0"/>
    <e v="#DIV/0!"/>
    <n v="0"/>
    <n v="0"/>
    <s v="Private Equity Fund"/>
    <n v="9.0907669999999996E-2"/>
    <n v="0.69671716540000006"/>
    <n v="0"/>
    <n v="0"/>
    <m/>
    <m/>
    <m/>
    <m/>
    <m/>
    <m/>
    <m/>
    <m/>
  </r>
  <r>
    <x v="164"/>
    <x v="5"/>
    <s v="Series 1a"/>
    <n v="33029479.899999999"/>
    <e v="#DIV/0!"/>
    <n v="29.65"/>
    <n v="0"/>
    <n v="0"/>
    <n v="0"/>
    <m/>
    <m/>
    <n v="0"/>
    <e v="#DIV/0!"/>
    <n v="0"/>
    <n v="0"/>
    <s v="Private Equity Fund"/>
    <n v="8.9176745141277297E-2"/>
    <n v="0.71960480625000001"/>
    <n v="5.2254257511467304E-3"/>
    <n v="1.9003521976907599E-3"/>
    <m/>
    <m/>
    <m/>
    <m/>
    <m/>
    <m/>
    <m/>
    <m/>
  </r>
  <r>
    <x v="165"/>
    <x v="5"/>
    <s v="Series 1a"/>
    <n v="32641619.800000001"/>
    <e v="#DIV/0!"/>
    <n v="29.65"/>
    <n v="0"/>
    <n v="0"/>
    <n v="0"/>
    <m/>
    <m/>
    <n v="0"/>
    <e v="#DIV/0!"/>
    <n v="0"/>
    <n v="0"/>
    <s v="Private Equity Fund"/>
    <n v="8.0473602740569306E-2"/>
    <n v="0.71960480625000001"/>
    <n v="0"/>
    <n v="0"/>
    <m/>
    <m/>
    <m/>
    <m/>
    <m/>
    <m/>
    <m/>
    <m/>
  </r>
  <r>
    <x v="166"/>
    <x v="5"/>
    <s v="Series 1a"/>
    <n v="33219222.809999999"/>
    <e v="#DIV/0!"/>
    <n v="29.65"/>
    <n v="0"/>
    <n v="0"/>
    <n v="0"/>
    <m/>
    <m/>
    <n v="0"/>
    <e v="#DIV/0!"/>
    <n v="0"/>
    <n v="0"/>
    <s v="Private Equity Fund"/>
    <n v="0.105368399215298"/>
    <n v="0.78766958470000048"/>
    <n v="0"/>
    <n v="0"/>
    <m/>
    <m/>
    <m/>
    <m/>
    <m/>
    <m/>
    <m/>
    <m/>
  </r>
  <r>
    <x v="167"/>
    <x v="5"/>
    <s v="Series 1a"/>
    <n v="33815648.039999999"/>
    <e v="#DIV/0!"/>
    <n v="29.65"/>
    <n v="0"/>
    <n v="0"/>
    <n v="0"/>
    <m/>
    <m/>
    <n v="0"/>
    <e v="#DIV/0!"/>
    <n v="0"/>
    <n v="0"/>
    <s v="Private Equity Fund"/>
    <n v="0.12579417458966569"/>
    <n v="0.89243120444999979"/>
    <n v="8.3756631936899705E-3"/>
    <n v="3.1544602762288427E-3"/>
    <m/>
    <m/>
    <m/>
    <m/>
    <m/>
    <m/>
    <m/>
    <m/>
  </r>
  <r>
    <x v="168"/>
    <x v="5"/>
    <s v="Series 1a"/>
    <n v="34374314.149999999"/>
    <e v="#DIV/0!"/>
    <n v="29.65"/>
    <n v="0"/>
    <n v="0"/>
    <n v="0"/>
    <m/>
    <m/>
    <n v="0"/>
    <e v="#DIV/0!"/>
    <n v="0"/>
    <n v="0"/>
    <s v="Private Equity Fund"/>
    <n v="0.11105236282941799"/>
    <n v="1.0783258878499995"/>
    <n v="0"/>
    <n v="0"/>
    <m/>
    <m/>
    <m/>
    <m/>
    <m/>
    <m/>
    <m/>
    <m/>
  </r>
  <r>
    <x v="169"/>
    <x v="5"/>
    <s v="Series 1a"/>
    <n v="35043688.940000005"/>
    <e v="#DIV/0!"/>
    <n v="29.65"/>
    <n v="0"/>
    <n v="0"/>
    <n v="0"/>
    <m/>
    <m/>
    <n v="0"/>
    <e v="#DIV/0!"/>
    <n v="0"/>
    <n v="0"/>
    <s v="Private Equity Fund"/>
    <n v="0.1267221"/>
    <n v="1.3177194056000003"/>
    <n v="0"/>
    <n v="0"/>
    <m/>
    <m/>
    <m/>
    <m/>
    <m/>
    <m/>
    <m/>
    <m/>
  </r>
  <r>
    <x v="170"/>
    <x v="5"/>
    <s v="Series 1a"/>
    <n v="36239688.419999994"/>
    <e v="#DIV/0!"/>
    <n v="29.65"/>
    <n v="0"/>
    <n v="0"/>
    <n v="0"/>
    <m/>
    <m/>
    <n v="0"/>
    <e v="#DIV/0!"/>
    <n v="0"/>
    <n v="0"/>
    <s v="Private Equity Fund"/>
    <n v="0.122919215285926"/>
    <n v="1.6005225211"/>
    <n v="1.0830792825554299E-2"/>
    <n v="8.0552343872943299E-3"/>
    <m/>
    <m/>
    <m/>
    <m/>
    <m/>
    <m/>
    <m/>
    <m/>
  </r>
  <r>
    <x v="171"/>
    <x v="5"/>
    <s v="Series 1a"/>
    <n v="36415493.780000001"/>
    <e v="#DIV/0!"/>
    <n v="29.65"/>
    <n v="0"/>
    <n v="0"/>
    <n v="0"/>
    <m/>
    <m/>
    <n v="0"/>
    <e v="#DIV/0!"/>
    <n v="0"/>
    <n v="0"/>
    <s v="Private Equity Fund"/>
    <n v="0.11598075767429"/>
    <n v="1.7714104123500001"/>
    <n v="0"/>
    <n v="0"/>
    <m/>
    <m/>
    <m/>
    <m/>
    <m/>
    <m/>
    <m/>
    <m/>
  </r>
  <r>
    <x v="172"/>
    <x v="5"/>
    <s v="Series 1a"/>
    <n v="36415493.780000001"/>
    <e v="#DIV/0!"/>
    <n v="29.65"/>
    <n v="0"/>
    <n v="0"/>
    <n v="0"/>
    <m/>
    <m/>
    <n v="0"/>
    <e v="#DIV/0!"/>
    <n v="0"/>
    <n v="0"/>
    <s v="Private Equity Fund"/>
    <n v="0.132175368947997"/>
    <n v="1.7225015678"/>
    <n v="0"/>
    <n v="0"/>
    <m/>
    <m/>
    <m/>
    <m/>
    <m/>
    <m/>
    <m/>
    <m/>
  </r>
  <r>
    <x v="173"/>
    <x v="5"/>
    <s v="Series 1a"/>
    <n v="38138053.659999996"/>
    <e v="#DIV/0!"/>
    <n v="29.65"/>
    <n v="0"/>
    <n v="0"/>
    <n v="0"/>
    <m/>
    <m/>
    <n v="0"/>
    <e v="#DIV/0!"/>
    <n v="0"/>
    <n v="0"/>
    <s v="Private Equity Fund"/>
    <n v="0.13390901384676199"/>
    <n v="2.3253418314499998"/>
    <n v="8.14509610451844E-3"/>
    <n v="1.9635656748106401E-2"/>
    <m/>
    <m/>
    <m/>
    <m/>
    <m/>
    <m/>
    <m/>
    <m/>
  </r>
  <r>
    <x v="174"/>
    <x v="5"/>
    <s v="Series 1a"/>
    <n v="39252399.119999997"/>
    <e v="#DIV/0!"/>
    <n v="29.65"/>
    <n v="0"/>
    <n v="0"/>
    <n v="0"/>
    <m/>
    <m/>
    <n v="0"/>
    <e v="#DIV/0!"/>
    <n v="0"/>
    <n v="0"/>
    <s v="Private Equity Fund"/>
    <n v="0.13279840000000001"/>
    <n v="2.8169656940000003"/>
    <n v="0"/>
    <n v="0"/>
    <m/>
    <m/>
    <m/>
    <m/>
    <m/>
    <m/>
    <m/>
    <m/>
  </r>
  <r>
    <x v="175"/>
    <x v="5"/>
    <s v="Series 1a"/>
    <n v="39252399.119999997"/>
    <e v="#DIV/0!"/>
    <n v="29.65"/>
    <n v="0"/>
    <n v="0"/>
    <n v="0"/>
    <m/>
    <m/>
    <n v="0"/>
    <e v="#DIV/0!"/>
    <n v="0"/>
    <n v="0"/>
    <s v="Private Equity Fund"/>
    <n v="0.12929867533436298"/>
    <n v="2.9160986075499999"/>
    <n v="0"/>
    <n v="0"/>
    <m/>
    <m/>
    <m/>
    <m/>
    <m/>
    <m/>
    <m/>
    <m/>
  </r>
  <r>
    <x v="176"/>
    <x v="5"/>
    <s v="Series 1a"/>
    <n v="39228419.93"/>
    <e v="#DIV/0!"/>
    <n v="29.65"/>
    <n v="0"/>
    <n v="0"/>
    <n v="0"/>
    <m/>
    <m/>
    <n v="0"/>
    <e v="#DIV/0!"/>
    <n v="0"/>
    <n v="0"/>
    <s v="Private Equity Fund"/>
    <n v="0.14625836942770601"/>
    <n v="2.8408196464760298"/>
    <n v="8.14509610451844E-3"/>
    <n v="3.0328195401804498E-2"/>
    <m/>
    <m/>
    <m/>
    <m/>
    <m/>
    <m/>
    <m/>
    <m/>
  </r>
  <r>
    <x v="177"/>
    <x v="5"/>
    <s v="Series 1a"/>
    <n v="39772314.300000004"/>
    <e v="#DIV/0!"/>
    <n v="29.65"/>
    <n v="0"/>
    <n v="0"/>
    <n v="0"/>
    <m/>
    <m/>
    <n v="0"/>
    <e v="#DIV/0!"/>
    <n v="0"/>
    <n v="0"/>
    <s v="Private Equity Fund"/>
    <n v="0.13843012327705501"/>
    <n v="3.0757721821499997"/>
    <n v="0"/>
    <n v="0"/>
    <m/>
    <m/>
    <m/>
    <m/>
    <m/>
    <m/>
    <m/>
    <m/>
  </r>
  <r>
    <x v="178"/>
    <x v="5"/>
    <s v="Series 1a"/>
    <n v="41583673.660000004"/>
    <e v="#DIV/0!"/>
    <n v="29.65"/>
    <n v="0"/>
    <n v="0"/>
    <n v="0"/>
    <m/>
    <m/>
    <n v="0"/>
    <e v="#DIV/0!"/>
    <n v="0"/>
    <n v="0"/>
    <s v="Private Equity Fund"/>
    <n v="0.16910341435044501"/>
    <n v="3.7449375961500002"/>
    <n v="0"/>
    <n v="0"/>
    <m/>
    <m/>
    <m/>
    <m/>
    <m/>
    <m/>
    <m/>
    <m/>
  </r>
  <r>
    <x v="179"/>
    <x v="5"/>
    <s v="Series 1a"/>
    <n v="41289529.060000002"/>
    <e v="#DIV/0!"/>
    <n v="29.65"/>
    <n v="0"/>
    <n v="0"/>
    <n v="0"/>
    <m/>
    <m/>
    <n v="0"/>
    <e v="#DIV/0!"/>
    <n v="0"/>
    <n v="0"/>
    <s v="Private Equity Fund"/>
    <n v="0.15382000000000001"/>
    <n v="3.507736"/>
    <n v="1.3324000000000001E-2"/>
    <n v="3.0629E-2"/>
    <m/>
    <m/>
    <m/>
    <m/>
    <m/>
    <m/>
    <m/>
    <m/>
  </r>
  <r>
    <x v="180"/>
    <x v="5"/>
    <s v="Series 1a"/>
    <n v="41165407.509999998"/>
    <e v="#DIV/0!"/>
    <n v="29.65"/>
    <n v="0"/>
    <n v="0"/>
    <n v="0"/>
    <m/>
    <m/>
    <n v="0"/>
    <e v="#DIV/0!"/>
    <n v="0"/>
    <n v="0"/>
    <s v="Private Equity Fund"/>
    <n v="0.14174078000000001"/>
    <n v="3.5220046800000002"/>
    <n v="0"/>
    <n v="0"/>
    <m/>
    <m/>
    <m/>
    <m/>
    <m/>
    <m/>
    <m/>
    <m/>
  </r>
  <r>
    <x v="181"/>
    <x v="5"/>
    <s v="Series 1a"/>
    <n v="39936127.310000002"/>
    <e v="#DIV/0!"/>
    <n v="29.65"/>
    <n v="0"/>
    <n v="0"/>
    <n v="0"/>
    <m/>
    <m/>
    <n v="0"/>
    <e v="#DIV/0!"/>
    <n v="0"/>
    <n v="0"/>
    <s v="Private Equity Fund"/>
    <n v="0.16524702366001204"/>
    <n v="3.3823965622499998"/>
    <n v="0"/>
    <n v="0"/>
    <m/>
    <m/>
    <m/>
    <m/>
    <m/>
    <m/>
    <m/>
    <m/>
  </r>
  <r>
    <x v="182"/>
    <x v="5"/>
    <s v="Series 1a"/>
    <n v="41439987.240000002"/>
    <e v="#DIV/0!"/>
    <n v="29.65"/>
    <n v="0"/>
    <n v="0"/>
    <n v="0"/>
    <m/>
    <m/>
    <n v="0"/>
    <e v="#DIV/0!"/>
    <n v="0"/>
    <n v="0"/>
    <s v="Private Equity Fund"/>
    <n v="6.3254392679975957E-2"/>
    <n v="3.7692040000000002"/>
    <n v="2.3259999999999999E-3"/>
    <n v="6.2541029623037106E-2"/>
    <m/>
    <m/>
    <m/>
    <m/>
    <m/>
    <m/>
    <m/>
    <m/>
  </r>
  <r>
    <x v="183"/>
    <x v="5"/>
    <s v="Series 1a"/>
    <n v="42553230.669999994"/>
    <e v="#DIV/0!"/>
    <n v="29.65"/>
    <n v="0"/>
    <n v="0"/>
    <n v="0"/>
    <m/>
    <m/>
    <n v="0"/>
    <e v="#DIV/0!"/>
    <n v="0"/>
    <n v="0"/>
    <s v="Private Equity Fund"/>
    <n v="0.16219930999999999"/>
    <n v="4.1644473949999998"/>
    <n v="0"/>
    <n v="0"/>
    <m/>
    <m/>
    <m/>
    <m/>
    <m/>
    <m/>
    <m/>
    <m/>
  </r>
  <r>
    <x v="184"/>
    <x v="5"/>
    <s v="Series 1a"/>
    <n v="42825242.350000001"/>
    <e v="#DIV/0!"/>
    <n v="29.65"/>
    <n v="0"/>
    <n v="0"/>
    <n v="0"/>
    <m/>
    <m/>
    <n v="0"/>
    <e v="#DIV/0!"/>
    <n v="0"/>
    <n v="0"/>
    <s v="Private Equity Fund"/>
    <n v="0.16290069000000001"/>
    <n v="4.1874000000000002"/>
    <n v="0"/>
    <n v="0"/>
    <m/>
    <m/>
    <m/>
    <m/>
    <m/>
    <m/>
    <m/>
    <m/>
  </r>
  <r>
    <x v="185"/>
    <x v="5"/>
    <s v="Series 1a"/>
    <n v="42655889.466184251"/>
    <e v="#DIV/0!"/>
    <n v="29.65"/>
    <n v="0"/>
    <n v="0"/>
    <n v="0"/>
    <m/>
    <m/>
    <n v="0"/>
    <e v="#DIV/0!"/>
    <n v="0"/>
    <n v="0"/>
    <s v="Private Equity Fund"/>
    <n v="0.14739999999999998"/>
    <n v="4.1554502600000003"/>
    <n v="1.4379701819813E-2"/>
    <n v="7.0865736510435109E-2"/>
    <m/>
    <m/>
    <m/>
    <m/>
    <m/>
    <m/>
    <m/>
    <m/>
  </r>
  <r>
    <x v="186"/>
    <x v="5"/>
    <s v="Series 1a"/>
    <n v="42726425.919999994"/>
    <e v="#DIV/0!"/>
    <n v="29.65"/>
    <n v="0"/>
    <n v="0"/>
    <n v="0"/>
    <m/>
    <m/>
    <n v="0"/>
    <e v="#DIV/0!"/>
    <n v="0"/>
    <n v="0"/>
    <s v="Private Equity Fund"/>
    <n v="0.16900536999999999"/>
    <n v="4.3480566300000003"/>
    <n v="0"/>
    <n v="0"/>
    <m/>
    <m/>
    <m/>
    <m/>
    <m/>
    <m/>
    <m/>
    <m/>
  </r>
  <r>
    <x v="187"/>
    <x v="5"/>
    <s v="Series 1a"/>
    <n v="42879879.289999999"/>
    <e v="#DIV/0!"/>
    <n v="29.65"/>
    <n v="0"/>
    <n v="0"/>
    <n v="0"/>
    <m/>
    <m/>
    <n v="0"/>
    <e v="#DIV/0!"/>
    <n v="0"/>
    <n v="0"/>
    <s v="Private Equity Fund"/>
    <n v="0.15866278"/>
    <n v="4.34058206"/>
    <n v="0"/>
    <n v="0"/>
    <m/>
    <m/>
    <m/>
    <m/>
    <m/>
    <m/>
    <m/>
    <m/>
  </r>
  <r>
    <x v="188"/>
    <x v="5"/>
    <s v="Series 1a"/>
    <n v="44164800"/>
    <e v="#DIV/0!"/>
    <n v="29.65"/>
    <n v="0"/>
    <n v="-7.4505805969238281E-9"/>
    <n v="0"/>
    <m/>
    <m/>
    <n v="-7.4505805969238281E-9"/>
    <e v="#DIV/0!"/>
    <n v="-7.4505805969238281E-9"/>
    <n v="-7.4505805969238281E-9"/>
    <s v="Private Equity Fund"/>
    <n v="0.18145"/>
    <n v="5.4838778599999998"/>
    <n v="1.5841000000000001E-2"/>
    <n v="0.129771"/>
    <m/>
    <m/>
    <m/>
    <m/>
    <m/>
    <m/>
    <m/>
    <m/>
  </r>
  <r>
    <x v="189"/>
    <x v="5"/>
    <s v="Series 1a"/>
    <n v="44515800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1a"/>
    <n v="45075151.25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1a"/>
    <n v="45667423.57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2"/>
    <x v="5"/>
    <s v="Series 1a"/>
    <n v="46059111.229999997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3"/>
    <x v="5"/>
    <s v="Series 1a"/>
    <n v="46401099.969999999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4"/>
    <x v="5"/>
    <s v="Series 1a"/>
    <n v="46936244.099999994"/>
    <e v="#DIV/0!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5"/>
    <x v="5"/>
    <s v="Series 1a"/>
    <n v="52876260.840000004"/>
    <s v=""/>
    <n v="29.6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6"/>
    <x v="5"/>
    <s v="Series 1a"/>
    <n v="46159993.859999999"/>
    <s v=""/>
    <n v="29.65"/>
    <n v="0"/>
    <n v="0"/>
    <n v="-6827557.1600000001"/>
    <m/>
    <m/>
    <n v="-6827557.1600000001"/>
    <e v="#DIV/0!"/>
    <n v="-6827557.1600000001"/>
    <n v="-6827557.1600000001"/>
    <s v="Private Equity Fund"/>
    <n v="0"/>
    <n v="0"/>
    <n v="0"/>
    <n v="0"/>
    <m/>
    <m/>
    <m/>
    <m/>
    <m/>
    <m/>
    <m/>
    <m/>
  </r>
  <r>
    <x v="197"/>
    <x v="5"/>
    <s v="Series 1a"/>
    <n v="40265819.460000001"/>
    <m/>
    <n v="29.6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1a"/>
    <n v="39660205.350000001"/>
    <m/>
    <n v="29.65"/>
    <n v="0"/>
    <n v="0"/>
    <n v="0"/>
    <n v="0"/>
    <m/>
    <n v="0"/>
    <e v="#DIV/0!"/>
    <n v="-39660205.350000001"/>
    <n v="-39660205.350000001"/>
    <s v="Private Equity Fund"/>
    <n v="0"/>
    <n v="0"/>
    <m/>
    <m/>
    <m/>
    <m/>
    <m/>
    <m/>
    <m/>
    <m/>
    <m/>
    <m/>
  </r>
  <r>
    <x v="4"/>
    <x v="5"/>
    <s v="Series 1b"/>
    <n v="1715000"/>
    <e v="#DIV/0!"/>
    <n v="5"/>
    <n v="1715000"/>
    <n v="0"/>
    <n v="0"/>
    <m/>
    <m/>
    <n v="1715000"/>
    <e v="#DIV/0!"/>
    <n v="1715000"/>
    <n v="1715000"/>
    <s v="Private Equity Fund"/>
    <n v="0"/>
    <n v="0"/>
    <n v="0"/>
    <n v="0"/>
    <m/>
    <m/>
    <m/>
    <m/>
    <m/>
    <m/>
    <m/>
    <m/>
  </r>
  <r>
    <x v="5"/>
    <x v="5"/>
    <s v="Series 1b"/>
    <n v="1710131.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6"/>
    <x v="5"/>
    <s v="Series 1b"/>
    <n v="1708806.1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7"/>
    <x v="5"/>
    <s v="Series 1b"/>
    <n v="1709258.4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8"/>
    <x v="5"/>
    <s v="Series 1b"/>
    <n v="1665599.5811384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9"/>
    <x v="5"/>
    <s v="Series 1b"/>
    <n v="1660287.4895163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0"/>
    <x v="5"/>
    <s v="Series 1b"/>
    <n v="1667302.7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1"/>
    <x v="5"/>
    <s v="Series 1b"/>
    <n v="1701679.4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2"/>
    <x v="5"/>
    <s v="Series 1b"/>
    <n v="2838902.21"/>
    <e v="#DIV/0!"/>
    <n v="5"/>
    <n v="1115000"/>
    <n v="0"/>
    <n v="0"/>
    <m/>
    <m/>
    <n v="1115000"/>
    <e v="#DIV/0!"/>
    <n v="1115000"/>
    <n v="1115000"/>
    <s v="Private Equity Fund"/>
    <n v="0"/>
    <n v="0"/>
    <n v="0"/>
    <n v="0"/>
    <m/>
    <m/>
    <m/>
    <m/>
    <m/>
    <m/>
    <m/>
    <m/>
  </r>
  <r>
    <x v="13"/>
    <x v="5"/>
    <s v="Series 1b"/>
    <n v="2774774.3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1b"/>
    <n v="3592667.11"/>
    <e v="#DIV/0!"/>
    <n v="5"/>
    <n v="845000"/>
    <n v="0"/>
    <n v="0"/>
    <m/>
    <m/>
    <n v="845000"/>
    <e v="#DIV/0!"/>
    <n v="845000"/>
    <n v="845000"/>
    <s v="Private Equity Fund"/>
    <n v="0"/>
    <n v="0"/>
    <n v="0"/>
    <n v="0"/>
    <m/>
    <m/>
    <m/>
    <m/>
    <m/>
    <m/>
    <m/>
    <m/>
  </r>
  <r>
    <x v="151"/>
    <x v="5"/>
    <s v="Series 1b"/>
    <n v="3628168.5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1b"/>
    <n v="3612168.4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1b"/>
    <n v="4283262.28"/>
    <e v="#DIV/0!"/>
    <n v="5"/>
    <n v="580000"/>
    <n v="0"/>
    <n v="0"/>
    <m/>
    <m/>
    <n v="580000"/>
    <e v="#DIV/0!"/>
    <n v="580000"/>
    <n v="580000"/>
    <s v="Private Equity Fund"/>
    <n v="0"/>
    <n v="0"/>
    <n v="0"/>
    <n v="0"/>
    <m/>
    <m/>
    <m/>
    <m/>
    <m/>
    <m/>
    <m/>
    <m/>
  </r>
  <r>
    <x v="154"/>
    <x v="5"/>
    <s v="Series 1b"/>
    <n v="4391115.97"/>
    <e v="#DIV/0!"/>
    <n v="5"/>
    <n v="70000"/>
    <n v="0"/>
    <n v="0"/>
    <m/>
    <m/>
    <n v="70000"/>
    <e v="#DIV/0!"/>
    <n v="70000"/>
    <n v="70000"/>
    <s v="Private Equity Fund"/>
    <n v="0"/>
    <n v="0"/>
    <n v="0"/>
    <n v="0"/>
    <m/>
    <m/>
    <m/>
    <m/>
    <m/>
    <m/>
    <m/>
    <m/>
  </r>
  <r>
    <x v="155"/>
    <x v="5"/>
    <s v="Series 1b"/>
    <n v="4767176.66"/>
    <e v="#DIV/0!"/>
    <n v="5"/>
    <n v="270000"/>
    <n v="0"/>
    <n v="0"/>
    <m/>
    <m/>
    <n v="270000"/>
    <e v="#DIV/0!"/>
    <n v="270000"/>
    <n v="270000"/>
    <s v="Private Equity Fund"/>
    <n v="0"/>
    <n v="0"/>
    <n v="0"/>
    <n v="0"/>
    <m/>
    <m/>
    <m/>
    <m/>
    <m/>
    <m/>
    <m/>
    <m/>
  </r>
  <r>
    <x v="156"/>
    <x v="5"/>
    <s v="Series 1b"/>
    <n v="5113303.48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7"/>
    <x v="5"/>
    <s v="Series 1b"/>
    <n v="5221944.7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8"/>
    <x v="5"/>
    <s v="Series 1b"/>
    <n v="5180495.0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1b"/>
    <n v="5503461.46"/>
    <e v="#DIV/0!"/>
    <n v="5"/>
    <n v="405000"/>
    <n v="0"/>
    <n v="0"/>
    <m/>
    <m/>
    <n v="405000"/>
    <e v="#DIV/0!"/>
    <n v="405000"/>
    <n v="405000"/>
    <s v="Private Equity Fund"/>
    <n v="0"/>
    <n v="0"/>
    <n v="0"/>
    <n v="0"/>
    <m/>
    <m/>
    <m/>
    <m/>
    <m/>
    <m/>
    <m/>
    <m/>
  </r>
  <r>
    <x v="160"/>
    <x v="5"/>
    <s v="Series 1b"/>
    <n v="5419781.80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1b"/>
    <n v="5439797.15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1b"/>
    <n v="5583165.01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1b"/>
    <n v="5574337.65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4"/>
    <x v="5"/>
    <s v="Series 1b"/>
    <n v="5615713.25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1b"/>
    <n v="5554342.15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1b"/>
    <n v="5657600.84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7"/>
    <x v="5"/>
    <s v="Series 1b"/>
    <n v="5761592.089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1b"/>
    <n v="5836690.63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1b"/>
    <n v="5990345.00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1b"/>
    <n v="6188571.91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1b"/>
    <n v="6239692.80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1b"/>
    <n v="6229363.589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1b"/>
    <n v="6528370.73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1b"/>
    <n v="6756982.92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1b"/>
    <n v="6792676.29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1b"/>
    <n v="6739588.50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1b"/>
    <n v="6837463.5599999996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78"/>
    <x v="5"/>
    <s v="Series 1b"/>
    <n v="7144092.58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1b"/>
    <n v="7072450.0800000001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80"/>
    <x v="5"/>
    <s v="Series 1b"/>
    <n v="7039290.359999999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1b"/>
    <n v="6852835.19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1b"/>
    <n v="7108090.7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1b"/>
    <n v="7281360.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1b"/>
    <n v="7341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1b"/>
    <n v="7288776.1186818518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86"/>
    <x v="5"/>
    <s v="Series 1b"/>
    <n v="73279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1b"/>
    <n v="73543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1b"/>
    <n v="75650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1b"/>
    <n v="76504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1b"/>
    <n v="7735560.90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1b"/>
    <n v="7809241.66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2"/>
    <x v="5"/>
    <s v="Series 1b"/>
    <n v="7874016.6100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3"/>
    <x v="5"/>
    <s v="Series 1b"/>
    <n v="7931624.71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4"/>
    <x v="5"/>
    <s v="Series 1b"/>
    <n v="8016238.84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5"/>
    <x v="5"/>
    <s v="Series 1b"/>
    <n v="7971364.96"/>
    <s v="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6"/>
    <x v="5"/>
    <s v="Series 1b"/>
    <n v="8001516.6100000003"/>
    <s v="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7"/>
    <x v="5"/>
    <s v="Series 1b"/>
    <n v="7982313.3099999996"/>
    <m/>
    <n v="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1b"/>
    <n v="7896428.04"/>
    <m/>
    <n v="5"/>
    <n v="0"/>
    <n v="0"/>
    <n v="0"/>
    <n v="0"/>
    <m/>
    <n v="0"/>
    <e v="#DIV/0!"/>
    <n v="-7896428.04"/>
    <n v="-7896428.04"/>
    <s v="Private Equity Fund"/>
    <n v="0"/>
    <n v="0"/>
    <m/>
    <m/>
    <m/>
    <m/>
    <m/>
    <m/>
    <m/>
    <m/>
    <m/>
    <m/>
  </r>
  <r>
    <x v="2"/>
    <x v="5"/>
    <s v="Series 1GP"/>
    <n v="150000"/>
    <e v="#DIV/0!"/>
    <n v="3"/>
    <n v="150000"/>
    <m/>
    <n v="0"/>
    <m/>
    <m/>
    <n v="150000"/>
    <e v="#DIV/0!"/>
    <n v="150000"/>
    <n v="1.0000000000000001E-5"/>
    <s v="Private Equity Fund"/>
    <n v="0"/>
    <n v="0"/>
    <n v="0"/>
    <n v="0"/>
    <m/>
    <m/>
    <m/>
    <m/>
    <m/>
    <m/>
    <m/>
    <m/>
  </r>
  <r>
    <x v="3"/>
    <x v="5"/>
    <s v="Series 1GP"/>
    <n v="146963.66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4"/>
    <x v="5"/>
    <s v="Series 1GP"/>
    <n v="317887.63669999997"/>
    <e v="#DIV/0!"/>
    <n v="3"/>
    <n v="150000"/>
    <m/>
    <n v="0"/>
    <m/>
    <m/>
    <n v="150000"/>
    <e v="#DIV/0!"/>
    <n v="150000"/>
    <m/>
    <s v="Private Equity Fund"/>
    <n v="0"/>
    <n v="0"/>
    <n v="0"/>
    <n v="0"/>
    <m/>
    <m/>
    <m/>
    <m/>
    <m/>
    <m/>
    <m/>
    <m/>
  </r>
  <r>
    <x v="5"/>
    <x v="5"/>
    <s v="Series 1GP"/>
    <n v="1319084.58"/>
    <e v="#DIV/0!"/>
    <n v="3"/>
    <n v="1020000"/>
    <m/>
    <n v="0"/>
    <m/>
    <m/>
    <n v="1020000"/>
    <e v="#DIV/0!"/>
    <n v="1020000"/>
    <m/>
    <s v="Private Equity Fund"/>
    <n v="0"/>
    <n v="0"/>
    <n v="0"/>
    <n v="0"/>
    <m/>
    <m/>
    <m/>
    <m/>
    <m/>
    <m/>
    <m/>
    <m/>
  </r>
  <r>
    <x v="6"/>
    <x v="5"/>
    <s v="Series 1GP"/>
    <n v="1323026.46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7"/>
    <x v="5"/>
    <s v="Series 1GP"/>
    <n v="1326941.6547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8"/>
    <x v="5"/>
    <s v="Series 1GP"/>
    <n v="1285097.19439442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9"/>
    <x v="5"/>
    <s v="Series 1GP"/>
    <n v="1288476.2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0"/>
    <x v="5"/>
    <s v="Series 1GP"/>
    <n v="1281756.1399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1"/>
    <x v="5"/>
    <s v="Series 1GP"/>
    <n v="1310185.4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2"/>
    <x v="5"/>
    <s v="Series 1GP"/>
    <n v="1960050.6895000001"/>
    <e v="#DIV/0!"/>
    <n v="3"/>
    <n v="633000"/>
    <m/>
    <n v="0"/>
    <m/>
    <m/>
    <n v="633000"/>
    <e v="#DIV/0!"/>
    <n v="633000"/>
    <m/>
    <s v="Private Equity Fund"/>
    <n v="0"/>
    <n v="0"/>
    <n v="0"/>
    <n v="0"/>
    <m/>
    <m/>
    <m/>
    <m/>
    <m/>
    <m/>
    <m/>
    <m/>
  </r>
  <r>
    <x v="13"/>
    <x v="5"/>
    <s v="Series 1GP"/>
    <n v="1900953.3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0"/>
    <x v="5"/>
    <s v="Series 1GP"/>
    <n v="2367955.6800000002"/>
    <e v="#DIV/0!"/>
    <n v="3"/>
    <n v="507000"/>
    <m/>
    <n v="0"/>
    <m/>
    <m/>
    <n v="507000"/>
    <e v="#DIV/0!"/>
    <n v="507000"/>
    <m/>
    <s v="Private Equity Fund"/>
    <n v="0"/>
    <n v="0"/>
    <n v="0"/>
    <n v="0"/>
    <m/>
    <m/>
    <m/>
    <m/>
    <m/>
    <m/>
    <m/>
    <m/>
  </r>
  <r>
    <x v="151"/>
    <x v="5"/>
    <s v="Series 1GP"/>
    <n v="2408646.9284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2"/>
    <x v="5"/>
    <s v="Series 1GP"/>
    <n v="2394687.2174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3"/>
    <x v="5"/>
    <s v="Series 1GP"/>
    <n v="2827147.6724999999"/>
    <e v="#DIV/0!"/>
    <n v="3"/>
    <n v="348000"/>
    <m/>
    <n v="0"/>
    <m/>
    <m/>
    <n v="348000"/>
    <e v="#DIV/0!"/>
    <n v="348000"/>
    <m/>
    <s v="Private Equity Fund"/>
    <n v="0"/>
    <n v="0"/>
    <n v="0"/>
    <n v="0"/>
    <m/>
    <m/>
    <m/>
    <m/>
    <m/>
    <m/>
    <m/>
    <m/>
  </r>
  <r>
    <x v="154"/>
    <x v="5"/>
    <s v="Series 1GP"/>
    <n v="2864701.77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5"/>
    <x v="5"/>
    <s v="Series 1GP"/>
    <n v="3185872.1850999999"/>
    <e v="#DIV/0!"/>
    <n v="3"/>
    <n v="132000"/>
    <m/>
    <n v="0"/>
    <m/>
    <m/>
    <n v="132000"/>
    <e v="#DIV/0!"/>
    <n v="132000"/>
    <m/>
    <s v="Private Equity Fund"/>
    <n v="0"/>
    <n v="0"/>
    <n v="0"/>
    <n v="0"/>
    <m/>
    <m/>
    <m/>
    <m/>
    <m/>
    <m/>
    <m/>
    <m/>
  </r>
  <r>
    <x v="156"/>
    <x v="5"/>
    <s v="Series 1GP"/>
    <n v="4069761.0416000006"/>
    <e v="#DIV/0!"/>
    <n v="3"/>
    <n v="60000"/>
    <m/>
    <n v="0"/>
    <m/>
    <m/>
    <n v="60000"/>
    <e v="#DIV/0!"/>
    <n v="60000"/>
    <m/>
    <s v="Private Equity Fund"/>
    <n v="0"/>
    <n v="0"/>
    <n v="0"/>
    <n v="0"/>
    <m/>
    <m/>
    <m/>
    <m/>
    <m/>
    <m/>
    <m/>
    <m/>
  </r>
  <r>
    <x v="157"/>
    <x v="5"/>
    <s v="Series 1GP"/>
    <n v="4220792.305700000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8"/>
    <x v="5"/>
    <s v="Series 1GP"/>
    <n v="4078696.8763999995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9"/>
    <x v="5"/>
    <s v="Series 1GP"/>
    <n v="3865713.532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0"/>
    <x v="5"/>
    <s v="Series 1GP"/>
    <n v="3650081.20520000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1"/>
    <x v="5"/>
    <s v="Series 1GP"/>
    <n v="3689699.3336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2"/>
    <x v="5"/>
    <s v="Series 1GP"/>
    <n v="4043769.9460000005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3"/>
    <x v="5"/>
    <s v="Series 1GP"/>
    <n v="3982468.3794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4"/>
    <x v="5"/>
    <s v="Series 1GP"/>
    <n v="4061089.0263000005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5"/>
    <x v="5"/>
    <s v="Series 1GP"/>
    <n v="3895394.3670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6"/>
    <x v="5"/>
    <s v="Series 1GP"/>
    <n v="4134414.9668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7"/>
    <x v="5"/>
    <s v="Series 1GP"/>
    <n v="4314428.394500000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8"/>
    <x v="5"/>
    <s v="Series 1GP"/>
    <n v="4549045.8778999997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9"/>
    <x v="5"/>
    <s v="Series 1GP"/>
    <n v="4877021.4655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0"/>
    <x v="5"/>
    <s v="Series 1GP"/>
    <n v="5279719.151100000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1"/>
    <x v="5"/>
    <s v="Series 1GP"/>
    <n v="5480885.3323999997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2"/>
    <x v="5"/>
    <s v="Series 1GP"/>
    <n v="5425331.6677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3"/>
    <x v="5"/>
    <s v="Series 1GP"/>
    <n v="6208452.71150000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4"/>
    <x v="5"/>
    <s v="Series 1GP"/>
    <n v="6837924.614000000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5"/>
    <x v="5"/>
    <s v="Series 1GP"/>
    <n v="6956428.8748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6"/>
    <x v="5"/>
    <s v="Series 1GP"/>
    <n v="6774999.5607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7"/>
    <x v="5"/>
    <s v="Series 1GP"/>
    <n v="7129025.3021999998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8"/>
    <x v="5"/>
    <s v="Series 1GP"/>
    <n v="7986363.446200000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9"/>
    <x v="5"/>
    <s v="Series 1GP"/>
    <n v="7714559.4543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0"/>
    <x v="5"/>
    <s v="Series 1GP"/>
    <n v="7711987.967999999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1"/>
    <x v="5"/>
    <s v="Series 1GP"/>
    <n v="7453411.11230000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2"/>
    <x v="5"/>
    <s v="Series 1GP"/>
    <n v="7987115.8896000003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3"/>
    <x v="5"/>
    <s v="Series 1GP"/>
    <n v="8497206.1649999991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4"/>
    <x v="5"/>
    <s v="Series 1GP"/>
    <n v="85489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5"/>
    <x v="5"/>
    <s v="Series 1GP"/>
    <n v="8497472.9574262202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6"/>
    <x v="5"/>
    <s v="Series 1GP"/>
    <n v="86590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7"/>
    <x v="5"/>
    <s v="Series 1GP"/>
    <n v="86788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8"/>
    <x v="5"/>
    <s v="Series 1GP"/>
    <n v="99797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9"/>
    <x v="5"/>
    <s v="Series 1GP"/>
    <n v="10423200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0"/>
    <x v="5"/>
    <s v="Series 1GP"/>
    <n v="10674736.699999999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1"/>
    <x v="5"/>
    <s v="Series 1GP"/>
    <n v="10930650.250600001"/>
    <e v="#DIV/0!"/>
    <n v="3"/>
    <n v="0"/>
    <m/>
    <n v="0"/>
    <m/>
    <m/>
    <n v="0"/>
    <e v="#DIV/0!"/>
    <n v="0"/>
    <m/>
    <s v="Private Equity Fund"/>
    <n v="0"/>
    <m/>
    <n v="0"/>
    <n v="0"/>
    <m/>
    <m/>
    <m/>
    <m/>
    <m/>
    <m/>
    <m/>
    <m/>
  </r>
  <r>
    <x v="192"/>
    <x v="5"/>
    <s v="Series 1GP"/>
    <n v="11225271.3255"/>
    <e v="#DIV/0!"/>
    <n v="3"/>
    <n v="0"/>
    <m/>
    <n v="0"/>
    <m/>
    <m/>
    <n v="0"/>
    <e v="#DIV/0!"/>
    <n v="0"/>
    <m/>
    <s v="Private Equity Fund"/>
    <n v="0"/>
    <m/>
    <n v="0"/>
    <n v="0"/>
    <m/>
    <m/>
    <m/>
    <m/>
    <m/>
    <m/>
    <m/>
    <m/>
  </r>
  <r>
    <x v="193"/>
    <x v="5"/>
    <s v="Series 1GP"/>
    <n v="11416671.114399999"/>
    <e v="#DIV/0!"/>
    <n v="3"/>
    <n v="0"/>
    <m/>
    <n v="0"/>
    <m/>
    <m/>
    <n v="0"/>
    <e v="#DIV/0!"/>
    <n v="0"/>
    <m/>
    <s v="Private Equity Fund"/>
    <n v="0"/>
    <m/>
    <n v="0"/>
    <n v="0"/>
    <m/>
    <m/>
    <m/>
    <m/>
    <m/>
    <m/>
    <m/>
    <m/>
  </r>
  <r>
    <x v="194"/>
    <x v="5"/>
    <s v="Series 1GP"/>
    <n v="11511267.4134"/>
    <e v="#DIV/0!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5"/>
    <x v="5"/>
    <s v="Series 1GP"/>
    <n v="7448321.3964999998"/>
    <s v=""/>
    <n v="3"/>
    <n v="0"/>
    <m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6"/>
    <x v="5"/>
    <s v="Series 1GP"/>
    <n v="7429964.5773"/>
    <s v=""/>
    <n v="3"/>
    <n v="0"/>
    <n v="0"/>
    <n v="-33569.160000000003"/>
    <m/>
    <m/>
    <n v="-33569.160000000003"/>
    <e v="#DIV/0!"/>
    <n v="-33569.160000000003"/>
    <m/>
    <s v="Private Equity Fund"/>
    <n v="0"/>
    <n v="0"/>
    <n v="0"/>
    <n v="0"/>
    <m/>
    <m/>
    <m/>
    <m/>
    <m/>
    <m/>
    <m/>
    <m/>
  </r>
  <r>
    <x v="197"/>
    <x v="5"/>
    <s v="Series 1GP"/>
    <n v="6649805.5535000004"/>
    <m/>
    <n v="0.15300000164685079"/>
    <n v="0"/>
    <n v="0"/>
    <n v="0"/>
    <m/>
    <n v="0"/>
    <n v="0"/>
    <e v="#DIV/0!"/>
    <n v="0"/>
    <m/>
    <s v="Private Equity Fund"/>
    <n v="0"/>
    <n v="0"/>
    <m/>
    <m/>
    <m/>
    <m/>
    <m/>
    <m/>
    <m/>
    <m/>
    <m/>
    <m/>
  </r>
  <r>
    <x v="198"/>
    <x v="5"/>
    <s v="Series 1GP"/>
    <n v="6573257.1261"/>
    <m/>
    <n v="0.15300000164685079"/>
    <n v="0"/>
    <n v="0"/>
    <n v="0"/>
    <n v="0"/>
    <m/>
    <n v="0"/>
    <e v="#DIV/0!"/>
    <n v="-6573257.1261"/>
    <m/>
    <s v="Private Equity Fund"/>
    <n v="0"/>
    <m/>
    <m/>
    <m/>
    <m/>
    <m/>
    <m/>
    <m/>
    <m/>
    <m/>
    <m/>
    <m/>
  </r>
  <r>
    <x v="197"/>
    <x v="5"/>
    <s v="Series 1LASM"/>
    <n v="3863684.12"/>
    <m/>
    <n v="2.847"/>
    <n v="0"/>
    <n v="0"/>
    <n v="0"/>
    <m/>
    <n v="0"/>
    <n v="0"/>
    <n v="0"/>
    <n v="0"/>
    <m/>
    <s v="Private Equity Fund"/>
    <n v="0"/>
    <n v="0"/>
    <m/>
    <m/>
    <m/>
    <m/>
    <m/>
    <m/>
    <m/>
    <m/>
    <m/>
    <m/>
  </r>
  <r>
    <x v="198"/>
    <x v="5"/>
    <s v="Series 1LASM"/>
    <n v="3812982.58"/>
    <m/>
    <n v="2.847"/>
    <n v="0"/>
    <n v="0"/>
    <n v="0"/>
    <n v="0"/>
    <m/>
    <n v="0"/>
    <e v="#DIV/0!"/>
    <n v="-3812982.58"/>
    <m/>
    <s v="Private Equity Fund"/>
    <n v="0"/>
    <m/>
    <m/>
    <m/>
    <m/>
    <m/>
    <m/>
    <m/>
    <m/>
    <m/>
    <m/>
    <m/>
  </r>
  <r>
    <x v="2"/>
    <x v="5"/>
    <s v="Series 2"/>
    <n v="530000"/>
    <e v="#DIV/0!"/>
    <n v="10.6"/>
    <n v="530000"/>
    <m/>
    <n v="0"/>
    <m/>
    <m/>
    <n v="530000"/>
    <e v="#DIV/0!"/>
    <n v="530000"/>
    <n v="530000"/>
    <s v="Private Equity Fund"/>
    <n v="0"/>
    <n v="0"/>
    <n v="0"/>
    <n v="0"/>
    <m/>
    <m/>
    <m/>
    <m/>
    <m/>
    <m/>
    <m/>
    <m/>
  </r>
  <r>
    <x v="3"/>
    <x v="5"/>
    <s v="Series 2"/>
    <n v="518631.39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4"/>
    <x v="5"/>
    <s v="Series 2"/>
    <n v="1105197.1065"/>
    <e v="#DIV/0!"/>
    <n v="10.6"/>
    <n v="551200"/>
    <m/>
    <n v="0"/>
    <m/>
    <m/>
    <n v="551200"/>
    <e v="#DIV/0!"/>
    <n v="551200"/>
    <n v="551200"/>
    <s v="Private Equity Fund"/>
    <n v="0"/>
    <n v="0"/>
    <n v="0"/>
    <n v="0"/>
    <m/>
    <m/>
    <m/>
    <m/>
    <m/>
    <m/>
    <m/>
    <m/>
  </r>
  <r>
    <x v="5"/>
    <x v="5"/>
    <s v="Series 2"/>
    <n v="4726343.17"/>
    <e v="#DIV/0!"/>
    <n v="10.6"/>
    <n v="3657000"/>
    <m/>
    <n v="0"/>
    <m/>
    <m/>
    <n v="3657000"/>
    <e v="#DIV/0!"/>
    <n v="3657000"/>
    <n v="3657000"/>
    <s v="Private Equity Fund"/>
    <n v="0"/>
    <n v="0"/>
    <n v="0"/>
    <n v="0"/>
    <m/>
    <m/>
    <m/>
    <m/>
    <m/>
    <m/>
    <m/>
    <m/>
  </r>
  <r>
    <x v="6"/>
    <x v="5"/>
    <s v="Series 2"/>
    <n v="4728777.5999999996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7"/>
    <x v="5"/>
    <s v="Series 2"/>
    <n v="4739082.6059999997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8"/>
    <x v="5"/>
    <s v="Series 2"/>
    <n v="4588830.3771351697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9"/>
    <x v="5"/>
    <s v="Series 2"/>
    <n v="4600754.85854627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0"/>
    <x v="5"/>
    <s v="Series 2"/>
    <n v="4565551.7699999996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1"/>
    <x v="5"/>
    <s v="Series 2"/>
    <n v="4660057.74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2"/>
    <x v="5"/>
    <s v="Series 2"/>
    <n v="6976515.1399999997"/>
    <e v="#DIV/0!"/>
    <n v="10.6"/>
    <n v="2279000"/>
    <m/>
    <n v="0"/>
    <m/>
    <m/>
    <n v="2279000"/>
    <e v="#DIV/0!"/>
    <n v="2279000"/>
    <n v="2279000"/>
    <s v="Private Equity Fund"/>
    <n v="0"/>
    <n v="0"/>
    <n v="0"/>
    <n v="0"/>
    <m/>
    <m/>
    <m/>
    <m/>
    <m/>
    <m/>
    <m/>
    <m/>
  </r>
  <r>
    <x v="13"/>
    <x v="5"/>
    <s v="Series 2"/>
    <n v="6770088.3600000003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2"/>
    <n v="8409436.1199999992"/>
    <e v="#DIV/0!"/>
    <n v="10.6"/>
    <n v="1791400"/>
    <m/>
    <n v="0"/>
    <m/>
    <m/>
    <n v="1791400"/>
    <e v="#DIV/0!"/>
    <n v="1791400"/>
    <n v="1791400"/>
    <s v="Private Equity Fund"/>
    <n v="0"/>
    <n v="0"/>
    <n v="0"/>
    <n v="0"/>
    <m/>
    <m/>
    <m/>
    <m/>
    <m/>
    <m/>
    <m/>
    <m/>
  </r>
  <r>
    <x v="151"/>
    <x v="5"/>
    <s v="Series 2"/>
    <n v="8514549.3300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2"/>
    <n v="8436051.689999999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2"/>
    <n v="9887172.3200000003"/>
    <e v="#DIV/0!"/>
    <n v="10.6"/>
    <n v="1229600"/>
    <m/>
    <n v="0"/>
    <m/>
    <m/>
    <n v="1229600"/>
    <e v="#DIV/0!"/>
    <n v="1229600"/>
    <n v="1229600"/>
    <s v="Private Equity Fund"/>
    <n v="0"/>
    <n v="0"/>
    <n v="0"/>
    <n v="0"/>
    <m/>
    <m/>
    <m/>
    <m/>
    <m/>
    <m/>
    <m/>
    <m/>
  </r>
  <r>
    <x v="154"/>
    <x v="5"/>
    <s v="Series 2"/>
    <n v="9953578.0299999993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5"/>
    <x v="5"/>
    <s v="Series 2"/>
    <n v="10649062.6165"/>
    <e v="#DIV/0!"/>
    <n v="10.6"/>
    <n v="530000"/>
    <m/>
    <n v="0"/>
    <m/>
    <m/>
    <n v="530000"/>
    <e v="#DIV/0!"/>
    <n v="530000"/>
    <n v="530000"/>
    <s v="Private Equity Fund"/>
    <n v="0"/>
    <n v="0"/>
    <n v="0"/>
    <n v="0"/>
    <m/>
    <m/>
    <m/>
    <m/>
    <m/>
    <m/>
    <m/>
    <m/>
  </r>
  <r>
    <x v="156"/>
    <x v="5"/>
    <s v="Series 2"/>
    <n v="11413470.706"/>
    <e v="#DIV/0!"/>
    <n v="10.6"/>
    <n v="31800.000000000004"/>
    <m/>
    <n v="0"/>
    <m/>
    <m/>
    <n v="31800.000000000004"/>
    <e v="#DIV/0!"/>
    <n v="31800.000000000004"/>
    <n v="31800.000000000004"/>
    <s v="Private Equity Fund"/>
    <n v="0"/>
    <n v="0"/>
    <n v="0"/>
    <n v="0"/>
    <m/>
    <m/>
    <m/>
    <m/>
    <m/>
    <m/>
    <m/>
    <m/>
  </r>
  <r>
    <x v="157"/>
    <x v="5"/>
    <s v="Series 2"/>
    <n v="11574110.599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8"/>
    <x v="5"/>
    <s v="Series 2"/>
    <n v="11463405.375499999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2"/>
    <n v="11286587.602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2"/>
    <n v="11103813.683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2"/>
    <n v="11134637.139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2"/>
    <n v="11432695.3685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2"/>
    <n v="11347949.357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4"/>
    <x v="5"/>
    <s v="Series 2"/>
    <n v="11400477.852499999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2"/>
    <n v="11294442.299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2"/>
    <n v="11470431.6795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7"/>
    <x v="5"/>
    <s v="Series 2"/>
    <n v="11604795.0555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2"/>
    <n v="11813649.788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2"/>
    <n v="12065563.4975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2"/>
    <n v="12337020.288000001"/>
    <e v="#DIV/0!"/>
    <n v="10.6"/>
    <n v="0"/>
    <m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2"/>
    <n v="12529891.527000001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2"/>
    <n v="12495096.139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2"/>
    <n v="12906612.054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2"/>
    <n v="13305670.759500001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2"/>
    <n v="13363494.763499999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2"/>
    <n v="13205800.239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2"/>
    <n v="13403996.082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2"/>
    <n v="13952193.900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2"/>
    <n v="13789553.710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2"/>
    <n v="13770736.460000001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2"/>
    <n v="13352113.212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2"/>
    <n v="13777107.6535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2"/>
    <n v="14151754.560000001"/>
    <e v="#DIV/0!"/>
    <n v="10.6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</r>
  <r>
    <x v="184"/>
    <x v="5"/>
    <s v="Series 2"/>
    <n v="141762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2"/>
    <n v="14102883.024617514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2"/>
    <n v="14156000"/>
    <e v="#DIV/0!"/>
    <n v="10.6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</r>
  <r>
    <x v="187"/>
    <x v="5"/>
    <s v="Series 2"/>
    <n v="141411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2"/>
    <n v="145162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2"/>
    <n v="14653600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2"/>
    <n v="14810746.539999999"/>
    <e v="#DIV/0!"/>
    <n v="1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2"/>
    <n v="14915524.239"/>
    <e v="#DIV/0!"/>
    <n v="10.6"/>
    <n v="0"/>
    <n v="0"/>
    <n v="0"/>
    <m/>
    <m/>
    <n v="0"/>
    <e v="#DIV/0!"/>
    <n v="0"/>
    <n v="0"/>
    <s v="Private Equity Fund"/>
    <n v="5.8199004298520839E-2"/>
    <n v="0.76156310099999991"/>
    <n v="0"/>
    <n v="0"/>
    <m/>
    <m/>
    <m/>
    <m/>
    <m/>
    <m/>
    <m/>
    <m/>
  </r>
  <r>
    <x v="192"/>
    <x v="5"/>
    <s v="Series 2"/>
    <n v="15121138.7885"/>
    <e v="#DIV/0!"/>
    <n v="10.6"/>
    <n v="0"/>
    <n v="0"/>
    <n v="0"/>
    <m/>
    <m/>
    <n v="0"/>
    <e v="#DIV/0!"/>
    <n v="0"/>
    <n v="0"/>
    <s v="Private Equity Fund"/>
    <n v="0"/>
    <n v="0.79784801999999999"/>
    <n v="0"/>
    <n v="0"/>
    <m/>
    <m/>
    <m/>
    <m/>
    <m/>
    <m/>
    <m/>
    <m/>
  </r>
  <r>
    <x v="193"/>
    <x v="5"/>
    <s v="Series 2"/>
    <n v="15209589.771500001"/>
    <e v="#DIV/0!"/>
    <n v="10.6"/>
    <n v="0"/>
    <n v="0"/>
    <n v="0"/>
    <m/>
    <m/>
    <n v="0"/>
    <e v="#DIV/0!"/>
    <n v="0"/>
    <n v="0"/>
    <s v="Private Equity Fund"/>
    <n v="0"/>
    <n v="0.81345701999999998"/>
    <n v="0"/>
    <n v="0"/>
    <m/>
    <m/>
    <m/>
    <m/>
    <m/>
    <m/>
    <m/>
    <m/>
  </r>
  <r>
    <x v="194"/>
    <x v="5"/>
    <s v="Series 2"/>
    <n v="15256892.093"/>
    <e v="#DIV/0!"/>
    <n v="10.6"/>
    <n v="0"/>
    <n v="0"/>
    <n v="0"/>
    <m/>
    <m/>
    <n v="0"/>
    <e v="#DIV/0!"/>
    <n v="0"/>
    <n v="0"/>
    <s v="Private Equity Fund"/>
    <n v="6.1021400000000003E-2"/>
    <n v="0.82180448699999997"/>
    <n v="0"/>
    <n v="0"/>
    <m/>
    <m/>
    <m/>
    <m/>
    <m/>
    <m/>
    <m/>
    <m/>
  </r>
  <r>
    <x v="195"/>
    <x v="5"/>
    <s v="Series 2"/>
    <n v="15658718.458000001"/>
    <s v=""/>
    <n v="10.6"/>
    <n v="0"/>
    <n v="0"/>
    <n v="0"/>
    <m/>
    <m/>
    <n v="0"/>
    <e v="#DIV/0!"/>
    <n v="0"/>
    <n v="0"/>
    <s v="Private Equity Fund"/>
    <n v="0"/>
    <n v="0.89271502199999997"/>
    <n v="0"/>
    <n v="0"/>
    <m/>
    <m/>
    <m/>
    <m/>
    <m/>
    <m/>
    <m/>
    <m/>
  </r>
  <r>
    <x v="196"/>
    <x v="5"/>
    <s v="Series 2"/>
    <n v="13353128.341499999"/>
    <s v=""/>
    <n v="10.6"/>
    <n v="0"/>
    <n v="0"/>
    <n v="-2325706.65"/>
    <m/>
    <m/>
    <n v="-2325706.65"/>
    <e v="#DIV/0!"/>
    <n v="-2325706.65"/>
    <n v="-2325706.65"/>
    <s v="Private Equity Fund"/>
    <n v="0"/>
    <n v="0.89626499849999997"/>
    <n v="0"/>
    <n v="0"/>
    <m/>
    <m/>
    <m/>
    <m/>
    <m/>
    <m/>
    <m/>
    <m/>
  </r>
  <r>
    <x v="197"/>
    <x v="5"/>
    <s v="Series 2"/>
    <n v="12747967.8325"/>
    <m/>
    <n v="10.6"/>
    <n v="0"/>
    <n v="0"/>
    <n v="0"/>
    <m/>
    <n v="0"/>
    <n v="0"/>
    <e v="#DIV/0!"/>
    <n v="0"/>
    <n v="0"/>
    <s v="Private Equity Fund"/>
    <n v="5.0816355213805425E-2"/>
    <n v="0.78947196750000015"/>
    <m/>
    <m/>
    <m/>
    <m/>
    <m/>
    <m/>
    <m/>
    <m/>
    <m/>
    <m/>
  </r>
  <r>
    <x v="198"/>
    <x v="5"/>
    <s v="Series 2"/>
    <n v="12743254.463500001"/>
    <m/>
    <n v="10.6"/>
    <n v="0"/>
    <n v="0"/>
    <n v="0"/>
    <n v="0"/>
    <m/>
    <n v="0"/>
    <e v="#DIV/0!"/>
    <n v="-12743254.463500001"/>
    <n v="-12743254.463500001"/>
    <s v="Private Equity Fund"/>
    <n v="1.8376394991231525E-2"/>
    <n v="0.78864019650000006"/>
    <m/>
    <m/>
    <m/>
    <m/>
    <m/>
    <m/>
    <m/>
    <m/>
    <m/>
    <m/>
  </r>
  <r>
    <x v="2"/>
    <x v="5"/>
    <s v="Series 2a"/>
    <n v="625000"/>
    <e v="#DIV/0!"/>
    <n v="12.5"/>
    <n v="625000"/>
    <n v="0"/>
    <n v="0"/>
    <m/>
    <m/>
    <n v="625000"/>
    <e v="#DIV/0!"/>
    <n v="625000"/>
    <n v="625000"/>
    <s v="Private Equity Fund"/>
    <n v="0"/>
    <n v="0"/>
    <n v="0"/>
    <n v="0"/>
    <m/>
    <m/>
    <m/>
    <m/>
    <m/>
    <m/>
    <m/>
    <m/>
  </r>
  <r>
    <x v="3"/>
    <x v="5"/>
    <s v="Series 2a"/>
    <n v="615087.0600000000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4"/>
    <x v="5"/>
    <s v="Series 2a"/>
    <n v="1304875.9208"/>
    <e v="#DIV/0!"/>
    <n v="12.5"/>
    <n v="650000"/>
    <n v="0"/>
    <n v="0"/>
    <m/>
    <m/>
    <n v="650000"/>
    <e v="#DIV/0!"/>
    <n v="650000"/>
    <n v="650000"/>
    <s v="Private Equity Fund"/>
    <n v="0"/>
    <n v="0"/>
    <n v="0"/>
    <n v="0"/>
    <m/>
    <m/>
    <m/>
    <m/>
    <m/>
    <m/>
    <m/>
    <m/>
  </r>
  <r>
    <x v="5"/>
    <x v="5"/>
    <s v="Series 2a"/>
    <n v="5575550.8099999996"/>
    <e v="#DIV/0!"/>
    <n v="12.5"/>
    <n v="4312500"/>
    <n v="0"/>
    <n v="0"/>
    <m/>
    <m/>
    <n v="4312500"/>
    <e v="#DIV/0!"/>
    <n v="4312500"/>
    <n v="4312500"/>
    <s v="Private Equity Fund"/>
    <n v="0"/>
    <n v="0"/>
    <n v="0"/>
    <n v="0"/>
    <m/>
    <m/>
    <m/>
    <m/>
    <m/>
    <m/>
    <m/>
    <m/>
  </r>
  <r>
    <x v="6"/>
    <x v="5"/>
    <s v="Series 2a"/>
    <n v="5581128.400000000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7"/>
    <x v="5"/>
    <s v="Series 2a"/>
    <n v="5592806.0392000005"/>
    <e v="#DIV/0!"/>
    <n v="12.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8"/>
    <x v="5"/>
    <s v="Series 2a"/>
    <n v="5417492.9050840503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9"/>
    <x v="5"/>
    <s v="Series 2a"/>
    <n v="5431558.26513554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0"/>
    <x v="5"/>
    <s v="Series 2a"/>
    <n v="5392738.1100000003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1"/>
    <x v="5"/>
    <s v="Series 2a"/>
    <n v="5505576.799999999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2"/>
    <x v="5"/>
    <s v="Series 2a"/>
    <n v="8237810.1699999999"/>
    <e v="#DIV/0!"/>
    <n v="12.5"/>
    <n v="2687500"/>
    <n v="0"/>
    <n v="0"/>
    <m/>
    <m/>
    <n v="2687500"/>
    <e v="#DIV/0!"/>
    <n v="2687500"/>
    <n v="2687500"/>
    <s v="Private Equity Fund"/>
    <n v="0"/>
    <n v="0"/>
    <n v="0"/>
    <n v="0"/>
    <m/>
    <m/>
    <m/>
    <m/>
    <m/>
    <m/>
    <m/>
    <m/>
  </r>
  <r>
    <x v="13"/>
    <x v="5"/>
    <s v="Series 2a"/>
    <n v="7998460.5800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2a"/>
    <n v="9934168.5199999996"/>
    <e v="#DIV/0!"/>
    <n v="12.5"/>
    <n v="2112500"/>
    <n v="0"/>
    <n v="0"/>
    <m/>
    <m/>
    <n v="2112500"/>
    <e v="#DIV/0!"/>
    <n v="2112500"/>
    <n v="2112500"/>
    <s v="Private Equity Fund"/>
    <n v="0"/>
    <n v="0"/>
    <n v="0"/>
    <n v="0"/>
    <m/>
    <m/>
    <m/>
    <m/>
    <m/>
    <m/>
    <m/>
    <m/>
  </r>
  <r>
    <x v="151"/>
    <x v="5"/>
    <s v="Series 2a"/>
    <n v="10057907.689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2a"/>
    <n v="9970545.960000000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2a"/>
    <n v="11677130.890000001"/>
    <e v="#DIV/0!"/>
    <n v="12.5"/>
    <n v="1450000"/>
    <n v="0"/>
    <n v="0"/>
    <m/>
    <m/>
    <n v="1450000"/>
    <e v="#DIV/0!"/>
    <n v="1450000"/>
    <n v="1450000"/>
    <s v="Private Equity Fund"/>
    <n v="0"/>
    <n v="0"/>
    <n v="0"/>
    <n v="0"/>
    <m/>
    <m/>
    <m/>
    <m/>
    <m/>
    <m/>
    <m/>
    <m/>
  </r>
  <r>
    <x v="154"/>
    <x v="5"/>
    <s v="Series 2a"/>
    <n v="11758156.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5"/>
    <x v="5"/>
    <s v="Series 2a"/>
    <n v="12576599.862400001"/>
    <e v="#DIV/0!"/>
    <n v="12.5"/>
    <n v="612500"/>
    <n v="0"/>
    <n v="0"/>
    <m/>
    <m/>
    <n v="612500"/>
    <e v="#DIV/0!"/>
    <n v="612500"/>
    <n v="612500"/>
    <s v="Private Equity Fund"/>
    <n v="0"/>
    <n v="0"/>
    <n v="0"/>
    <n v="0"/>
    <m/>
    <m/>
    <m/>
    <m/>
    <m/>
    <m/>
    <m/>
    <m/>
  </r>
  <r>
    <x v="156"/>
    <x v="5"/>
    <s v="Series 2a"/>
    <n v="13509168.309599999"/>
    <e v="#DIV/0!"/>
    <n v="12.5"/>
    <n v="50000"/>
    <n v="0"/>
    <n v="0"/>
    <m/>
    <m/>
    <n v="50000"/>
    <e v="#DIV/0!"/>
    <n v="50000"/>
    <n v="50000"/>
    <s v="Private Equity Fund"/>
    <n v="0"/>
    <n v="0"/>
    <n v="0"/>
    <n v="0"/>
    <m/>
    <m/>
    <m/>
    <m/>
    <m/>
    <m/>
    <m/>
    <m/>
  </r>
  <r>
    <x v="157"/>
    <x v="5"/>
    <s v="Series 2a"/>
    <n v="13716734.5343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8"/>
    <x v="5"/>
    <s v="Series 2a"/>
    <n v="13590945.723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2a"/>
    <n v="13378057.584799999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</r>
  <r>
    <x v="160"/>
    <x v="5"/>
    <s v="Series 2a"/>
    <n v="13157791.4991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2a"/>
    <n v="13198297.230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2a"/>
    <n v="13556383.2576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</r>
  <r>
    <x v="163"/>
    <x v="5"/>
    <s v="Series 2a"/>
    <n v="13466546.3895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4"/>
    <x v="5"/>
    <s v="Series 2a"/>
    <n v="13531806.58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2a"/>
    <n v="13396181.791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2a"/>
    <n v="13614130.793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7"/>
    <x v="5"/>
    <s v="Series 2a"/>
    <n v="13790241.814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2a"/>
    <n v="14030215.676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2a"/>
    <n v="14341170.1615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2a"/>
    <n v="14693824.256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2a"/>
    <n v="14904850.7207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2a"/>
    <n v="14865943.896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2a"/>
    <n v="15399456.7448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2a"/>
    <n v="15890217.732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2a"/>
    <n v="15960715.3856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2a"/>
    <n v="15775094.00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2a"/>
    <n v="16009942.242400002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</r>
  <r>
    <x v="178"/>
    <x v="5"/>
    <s v="Series 2a"/>
    <n v="16683268.5751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2a"/>
    <n v="16498679.47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2a"/>
    <n v="16468145.270000001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2a"/>
    <n v="15971631.2224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2a"/>
    <n v="16494341.7096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2a"/>
    <n v="16944683.969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2a"/>
    <n v="169892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2a"/>
    <n v="16903192.986779157"/>
    <e v="#DIV/0!"/>
    <n v="12.5"/>
    <n v="0"/>
    <n v="-1.862645149230957E-9"/>
    <n v="0"/>
    <m/>
    <m/>
    <n v="-1.862645149230957E-9"/>
    <e v="#DIV/0!"/>
    <n v="-1.862645149230957E-9"/>
    <n v="-1.862645149230957E-9"/>
    <s v="Private Equity Fund"/>
    <n v="0"/>
    <n v="0"/>
    <n v="0"/>
    <n v="0"/>
    <m/>
    <m/>
    <m/>
    <m/>
    <m/>
    <m/>
    <m/>
    <m/>
  </r>
  <r>
    <x v="186"/>
    <x v="5"/>
    <s v="Series 2a"/>
    <n v="169608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2a"/>
    <n v="169575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2a"/>
    <n v="174193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2a"/>
    <n v="17579700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2a"/>
    <n v="17774999.809999999"/>
    <e v="#DIV/0!"/>
    <n v="1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2a"/>
    <n v="17918458.056000002"/>
    <e v="#DIV/0!"/>
    <n v="12.5"/>
    <n v="0"/>
    <n v="0"/>
    <n v="0"/>
    <m/>
    <m/>
    <n v="0"/>
    <e v="#DIV/0!"/>
    <n v="0"/>
    <n v="0"/>
    <s v="Private Equity Fund"/>
    <n v="5.5369108026619186E-2"/>
    <n v="0.73888064399999986"/>
    <n v="0"/>
    <n v="0"/>
    <m/>
    <m/>
    <m/>
    <m/>
    <m/>
    <m/>
    <m/>
    <m/>
  </r>
  <r>
    <x v="192"/>
    <x v="5"/>
    <s v="Series 2a"/>
    <n v="18150563.9168"/>
    <e v="#DIV/0!"/>
    <n v="12.5"/>
    <n v="0"/>
    <n v="0"/>
    <n v="0"/>
    <m/>
    <m/>
    <n v="0"/>
    <e v="#DIV/0!"/>
    <n v="0"/>
    <n v="0"/>
    <s v="Private Equity Fund"/>
    <n v="0"/>
    <n v="0.77053143999999996"/>
    <n v="0"/>
    <n v="0"/>
    <m/>
    <m/>
    <m/>
    <m/>
    <m/>
    <m/>
    <m/>
    <m/>
  </r>
  <r>
    <x v="193"/>
    <x v="5"/>
    <s v="Series 2a"/>
    <n v="18262436.899999999"/>
    <e v="#DIV/0!"/>
    <n v="12.5"/>
    <n v="0"/>
    <n v="0"/>
    <n v="0"/>
    <m/>
    <m/>
    <n v="0"/>
    <e v="#DIV/0!"/>
    <n v="0"/>
    <n v="0"/>
    <s v="Private Equity Fund"/>
    <n v="0"/>
    <n v="0.78578685000000004"/>
    <n v="0"/>
    <n v="0"/>
    <m/>
    <m/>
    <m/>
    <m/>
    <m/>
    <m/>
    <m/>
    <m/>
  </r>
  <r>
    <x v="194"/>
    <x v="5"/>
    <s v="Series 2a"/>
    <n v="18347434.128800001"/>
    <e v="#DIV/0!"/>
    <n v="12.5"/>
    <n v="0"/>
    <n v="0"/>
    <n v="0"/>
    <m/>
    <m/>
    <n v="0"/>
    <e v="#DIV/0!"/>
    <n v="0"/>
    <n v="0"/>
    <s v="Private Equity Fund"/>
    <n v="5.8082179999999997E-2"/>
    <n v="0.79737738120000012"/>
    <n v="0"/>
    <n v="0"/>
    <m/>
    <m/>
    <m/>
    <m/>
    <m/>
    <m/>
    <m/>
    <m/>
  </r>
  <r>
    <x v="195"/>
    <x v="5"/>
    <s v="Series 2a"/>
    <n v="16928343.462400001"/>
    <s v=""/>
    <n v="12.5"/>
    <n v="0"/>
    <n v="0"/>
    <n v="0"/>
    <m/>
    <m/>
    <n v="0"/>
    <e v="#DIV/0!"/>
    <n v="0"/>
    <n v="0"/>
    <s v="Private Equity Fund"/>
    <n v="0"/>
    <n v="0.6038650176"/>
    <n v="0"/>
    <n v="0"/>
    <m/>
    <m/>
    <m/>
    <m/>
    <m/>
    <m/>
    <m/>
    <m/>
  </r>
  <r>
    <x v="196"/>
    <x v="5"/>
    <s v="Series 2a"/>
    <n v="14215265.427999999"/>
    <s v=""/>
    <n v="12.5"/>
    <n v="0"/>
    <n v="0"/>
    <n v="-2742578.6"/>
    <m/>
    <m/>
    <n v="-2742578.6"/>
    <e v="#DIV/0!"/>
    <n v="-2742578.6"/>
    <n v="-2742578.6"/>
    <s v="Private Equity Fund"/>
    <n v="0"/>
    <n v="0.60788782199999991"/>
    <n v="0"/>
    <n v="0"/>
    <m/>
    <m/>
    <m/>
    <m/>
    <m/>
    <m/>
    <m/>
    <m/>
  </r>
  <r>
    <x v="197"/>
    <x v="5"/>
    <s v="Series 2a"/>
    <n v="15391233.584000001"/>
    <m/>
    <n v="12.5"/>
    <n v="0"/>
    <n v="0"/>
    <n v="0"/>
    <m/>
    <n v="0"/>
    <n v="0"/>
    <e v="#DIV/0!"/>
    <n v="0"/>
    <n v="0"/>
    <s v="Private Equity Fund"/>
    <n v="4.8490697976908977E-2"/>
    <n v="0.76824711599999984"/>
    <m/>
    <m/>
    <m/>
    <m/>
    <m/>
    <m/>
    <m/>
    <m/>
    <m/>
    <m/>
  </r>
  <r>
    <x v="198"/>
    <x v="5"/>
    <s v="Series 2a"/>
    <n v="15343742.5624"/>
    <m/>
    <n v="12.5"/>
    <n v="0"/>
    <n v="0"/>
    <n v="0"/>
    <n v="0"/>
    <m/>
    <n v="0"/>
    <e v="#DIV/0!"/>
    <n v="-15343742.5624"/>
    <n v="-15343742.5624"/>
    <s v="Private Equity Fund"/>
    <n v="1.7492357180470468E-2"/>
    <n v="0.76177106760000002"/>
    <m/>
    <m/>
    <m/>
    <m/>
    <m/>
    <m/>
    <m/>
    <m/>
    <m/>
    <m/>
  </r>
  <r>
    <x v="2"/>
    <x v="5"/>
    <s v="Series 2b"/>
    <n v="250000"/>
    <e v="#DIV/0!"/>
    <n v="5"/>
    <n v="250000"/>
    <n v="0"/>
    <n v="0"/>
    <m/>
    <m/>
    <n v="250000"/>
    <e v="#DIV/0!"/>
    <n v="250000"/>
    <n v="250000"/>
    <s v="Private Equity Fund"/>
    <n v="0"/>
    <n v="0"/>
    <n v="0"/>
    <n v="0"/>
    <m/>
    <m/>
    <m/>
    <m/>
    <m/>
    <m/>
    <m/>
    <m/>
  </r>
  <r>
    <x v="3"/>
    <x v="5"/>
    <s v="Series 2b"/>
    <n v="244123.2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4"/>
    <x v="5"/>
    <s v="Series 2b"/>
    <n v="529195.446"/>
    <e v="#DIV/0!"/>
    <n v="5"/>
    <n v="270000"/>
    <n v="0"/>
    <n v="0"/>
    <m/>
    <m/>
    <n v="270000"/>
    <e v="#DIV/0!"/>
    <n v="270000"/>
    <n v="270000"/>
    <s v="Private Equity Fund"/>
    <n v="0"/>
    <n v="0"/>
    <n v="0"/>
    <n v="0"/>
    <m/>
    <m/>
    <m/>
    <m/>
    <m/>
    <m/>
    <m/>
    <m/>
  </r>
  <r>
    <x v="5"/>
    <x v="5"/>
    <s v="Series 2b"/>
    <n v="2235864.92"/>
    <e v="#DIV/0!"/>
    <n v="5"/>
    <n v="1725000"/>
    <n v="0"/>
    <n v="0"/>
    <m/>
    <m/>
    <n v="1725000"/>
    <e v="#DIV/0!"/>
    <n v="1725000"/>
    <n v="1725000"/>
    <s v="Private Equity Fund"/>
    <n v="0"/>
    <n v="0"/>
    <n v="0"/>
    <n v="0"/>
    <m/>
    <m/>
    <m/>
    <m/>
    <m/>
    <m/>
    <m/>
    <m/>
  </r>
  <r>
    <x v="6"/>
    <x v="5"/>
    <s v="Series 2b"/>
    <n v="2236583.3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7"/>
    <x v="5"/>
    <s v="Series 2b"/>
    <n v="2241521.1800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8"/>
    <x v="5"/>
    <s v="Series 2b"/>
    <n v="2170327.50793077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9"/>
    <x v="5"/>
    <s v="Series 2b"/>
    <n v="2175954.57771003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0"/>
    <x v="5"/>
    <s v="Series 2b"/>
    <n v="2158838.8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1"/>
    <x v="5"/>
    <s v="Series 2b"/>
    <n v="2203177.3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2"/>
    <x v="5"/>
    <s v="Series 2b"/>
    <n v="3306719.03"/>
    <e v="#DIV/0!"/>
    <n v="5"/>
    <n v="1085000"/>
    <n v="0"/>
    <n v="0"/>
    <m/>
    <m/>
    <n v="1085000"/>
    <e v="#DIV/0!"/>
    <n v="1085000"/>
    <n v="1085000"/>
    <s v="Private Equity Fund"/>
    <n v="0"/>
    <n v="0"/>
    <n v="0"/>
    <n v="0"/>
    <m/>
    <m/>
    <m/>
    <m/>
    <m/>
    <m/>
    <m/>
    <m/>
  </r>
  <r>
    <x v="13"/>
    <x v="5"/>
    <s v="Series 2b"/>
    <n v="3210611.3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2b"/>
    <n v="3985210.28"/>
    <e v="#DIV/0!"/>
    <n v="5"/>
    <n v="845000"/>
    <n v="0"/>
    <n v="0"/>
    <m/>
    <m/>
    <n v="845000"/>
    <e v="#DIV/0!"/>
    <n v="845000"/>
    <n v="845000"/>
    <s v="Private Equity Fund"/>
    <n v="0"/>
    <n v="0"/>
    <n v="0"/>
    <n v="0"/>
    <m/>
    <m/>
    <m/>
    <m/>
    <m/>
    <m/>
    <m/>
    <m/>
  </r>
  <r>
    <x v="151"/>
    <x v="5"/>
    <s v="Series 2b"/>
    <n v="4034682.92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2b"/>
    <n v="4000393.9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2b"/>
    <n v="4682738.01"/>
    <e v="#DIV/0!"/>
    <n v="5"/>
    <n v="580000"/>
    <n v="0"/>
    <n v="0"/>
    <m/>
    <m/>
    <n v="580000"/>
    <e v="#DIV/0!"/>
    <n v="580000"/>
    <n v="580000"/>
    <s v="Private Equity Fund"/>
    <n v="0"/>
    <n v="0"/>
    <n v="0"/>
    <n v="0"/>
    <m/>
    <m/>
    <m/>
    <m/>
    <m/>
    <m/>
    <m/>
    <m/>
  </r>
  <r>
    <x v="154"/>
    <x v="5"/>
    <s v="Series 2b"/>
    <n v="4715774.5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5"/>
    <x v="5"/>
    <s v="Series 2b"/>
    <n v="5043013.6500000004"/>
    <e v="#DIV/0!"/>
    <n v="5"/>
    <n v="240000"/>
    <n v="0"/>
    <n v="0"/>
    <m/>
    <m/>
    <n v="240000"/>
    <e v="#DIV/0!"/>
    <n v="240000"/>
    <n v="240000"/>
    <s v="Private Equity Fund"/>
    <n v="0"/>
    <n v="0"/>
    <n v="0"/>
    <n v="0"/>
    <m/>
    <m/>
    <m/>
    <m/>
    <m/>
    <m/>
    <m/>
    <m/>
  </r>
  <r>
    <x v="156"/>
    <x v="5"/>
    <s v="Series 2b"/>
    <n v="5408016.7063999996"/>
    <e v="#DIV/0!"/>
    <n v="5"/>
    <n v="5000"/>
    <n v="0"/>
    <n v="0"/>
    <m/>
    <m/>
    <n v="5000"/>
    <e v="#DIV/0!"/>
    <n v="5000"/>
    <n v="5000"/>
    <s v="Private Equity Fund"/>
    <n v="0"/>
    <n v="0"/>
    <n v="0"/>
    <n v="0"/>
    <m/>
    <m/>
    <m/>
    <m/>
    <m/>
    <m/>
    <m/>
    <m/>
  </r>
  <r>
    <x v="157"/>
    <x v="5"/>
    <s v="Series 2b"/>
    <n v="5503822.2772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8"/>
    <x v="5"/>
    <s v="Series 2b"/>
    <n v="5453826.5883999998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59"/>
    <x v="5"/>
    <s v="Series 2b"/>
    <n v="5365647.2655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2b"/>
    <n v="5274352.9884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2b"/>
    <n v="5292107.7372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2b"/>
    <n v="5440204.7463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2b"/>
    <n v="5406503.803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4"/>
    <x v="5"/>
    <s v="Series 2b"/>
    <n v="5434118.6336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2b"/>
    <n v="5375650.646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2b"/>
    <n v="5467670.417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7"/>
    <x v="5"/>
    <s v="Series 2b"/>
    <n v="5544748.3760000002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68"/>
    <x v="5"/>
    <s v="Series 2b"/>
    <n v="5640834.2615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2b"/>
    <n v="5771834.754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2b"/>
    <n v="5925349.201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2b"/>
    <n v="6006646.474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2b"/>
    <n v="5991389.838000000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2b"/>
    <n v="6223342.9060000004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74"/>
    <x v="5"/>
    <s v="Series 2b"/>
    <n v="6429584.64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2b"/>
    <n v="6459037.5864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2b"/>
    <n v="6383377.9916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2b"/>
    <n v="6479560.330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2b"/>
    <n v="6762283.4415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2b"/>
    <n v="6689070.6787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2b"/>
    <n v="6674150.072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2b"/>
    <n v="6470667.287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2b"/>
    <n v="6690350.546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2b"/>
    <n v="6876665.504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2b"/>
    <n v="6899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2b"/>
    <n v="6864496.364077932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2b"/>
    <n v="6886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2b"/>
    <n v="68893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2b"/>
    <n v="7083600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89"/>
    <x v="5"/>
    <s v="Series 2b"/>
    <n v="71486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2b"/>
    <n v="7231237.23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2b"/>
    <n v="7295664.2331999997"/>
    <e v="#DIV/0!"/>
    <n v="5"/>
    <n v="0"/>
    <n v="0"/>
    <n v="0"/>
    <m/>
    <m/>
    <n v="0"/>
    <e v="#DIV/0!"/>
    <n v="0"/>
    <n v="0"/>
    <s v="Private Equity Fund"/>
    <n v="1.8527213647000065E-2"/>
    <n v="0.19962297679999999"/>
    <n v="0"/>
    <n v="0"/>
    <m/>
    <m/>
    <m/>
    <m/>
    <m/>
    <m/>
    <m/>
    <m/>
  </r>
  <r>
    <x v="192"/>
    <x v="5"/>
    <s v="Series 2b"/>
    <n v="7387326.0872"/>
    <e v="#DIV/0!"/>
    <n v="5"/>
    <n v="0"/>
    <n v="0"/>
    <n v="0"/>
    <m/>
    <m/>
    <n v="0"/>
    <e v="#DIV/0!"/>
    <n v="0"/>
    <n v="0"/>
    <s v="Private Equity Fund"/>
    <n v="0"/>
    <n v="0.20759357000000001"/>
    <n v="0"/>
    <n v="0"/>
    <m/>
    <m/>
    <m/>
    <m/>
    <m/>
    <m/>
    <m/>
    <m/>
  </r>
  <r>
    <x v="193"/>
    <x v="5"/>
    <s v="Series 2b"/>
    <n v="7435216.4387999997"/>
    <e v="#DIV/0!"/>
    <n v="5"/>
    <n v="0"/>
    <n v="0"/>
    <n v="0"/>
    <m/>
    <m/>
    <n v="0"/>
    <e v="#DIV/0!"/>
    <n v="0"/>
    <n v="0"/>
    <s v="Private Equity Fund"/>
    <n v="0"/>
    <n v="0.21175795"/>
    <n v="0"/>
    <n v="0"/>
    <m/>
    <m/>
    <m/>
    <m/>
    <m/>
    <m/>
    <m/>
    <m/>
  </r>
  <r>
    <x v="194"/>
    <x v="5"/>
    <s v="Series 2b"/>
    <n v="7478541.5848000003"/>
    <e v="#DIV/0!"/>
    <n v="5"/>
    <n v="0"/>
    <n v="0"/>
    <n v="0"/>
    <m/>
    <m/>
    <n v="0"/>
    <e v="#DIV/0!"/>
    <n v="0"/>
    <n v="0"/>
    <s v="Private Equity Fund"/>
    <n v="1.9442270000000001E-2"/>
    <n v="0.21552535520000005"/>
    <n v="0"/>
    <n v="0"/>
    <m/>
    <m/>
    <m/>
    <m/>
    <m/>
    <m/>
    <m/>
    <m/>
  </r>
  <r>
    <x v="195"/>
    <x v="5"/>
    <s v="Series 2b"/>
    <n v="6472772.3676000005"/>
    <s v=""/>
    <n v="5"/>
    <n v="0"/>
    <n v="0"/>
    <n v="0"/>
    <m/>
    <m/>
    <n v="0"/>
    <e v="#DIV/0!"/>
    <n v="0"/>
    <n v="0"/>
    <s v="Private Equity Fund"/>
    <n v="0"/>
    <n v="0.12806716239999999"/>
    <n v="0"/>
    <n v="0"/>
    <m/>
    <m/>
    <m/>
    <m/>
    <m/>
    <m/>
    <m/>
    <m/>
  </r>
  <r>
    <x v="196"/>
    <x v="5"/>
    <s v="Series 2b"/>
    <n v="5389155.2359999996"/>
    <s v=""/>
    <n v="5"/>
    <n v="0"/>
    <n v="0"/>
    <n v="-1097031.44"/>
    <m/>
    <m/>
    <n v="-1097031.44"/>
    <e v="#DIV/0!"/>
    <n v="-1097031.44"/>
    <n v="-1097031.44"/>
    <s v="Private Equity Fund"/>
    <n v="0"/>
    <n v="0.12923362400000002"/>
    <n v="0"/>
    <n v="0"/>
    <m/>
    <m/>
    <m/>
    <m/>
    <m/>
    <m/>
    <m/>
    <m/>
  </r>
  <r>
    <x v="197"/>
    <x v="5"/>
    <s v="Series 2b"/>
    <n v="6295068.5272000004"/>
    <m/>
    <n v="5"/>
    <n v="0"/>
    <n v="0"/>
    <n v="0"/>
    <m/>
    <n v="0"/>
    <n v="0"/>
    <e v="#DIV/0!"/>
    <n v="0"/>
    <n v="0"/>
    <s v="Private Equity Fund"/>
    <n v="1.6253674272088788E-2"/>
    <n v="0.20800869279999998"/>
    <m/>
    <m/>
    <m/>
    <m/>
    <m/>
    <m/>
    <m/>
    <m/>
    <m/>
    <m/>
  </r>
  <r>
    <x v="198"/>
    <x v="5"/>
    <s v="Series 2b"/>
    <n v="6263279.5372000001"/>
    <m/>
    <n v="5"/>
    <n v="0"/>
    <n v="0"/>
    <n v="0"/>
    <n v="0"/>
    <m/>
    <n v="0"/>
    <e v="#DIV/0!"/>
    <n v="-6263279.5372000001"/>
    <n v="-6263279.5372000001"/>
    <s v="Private Equity Fund"/>
    <n v="5.853546798801435E-3"/>
    <n v="0.20524443279999999"/>
    <m/>
    <m/>
    <m/>
    <m/>
    <m/>
    <m/>
    <m/>
    <m/>
    <m/>
    <m/>
  </r>
  <r>
    <x v="4"/>
    <x v="5"/>
    <s v="Series 3"/>
    <n v="478860"/>
    <e v="#DIV/0!"/>
    <n v="1.3879999999999999"/>
    <n v="478860"/>
    <n v="0"/>
    <n v="0"/>
    <m/>
    <m/>
    <n v="478860"/>
    <e v="#DIV/0!"/>
    <n v="478860"/>
    <n v="478860"/>
    <s v="Private Equity Fund"/>
    <n v="0"/>
    <n v="0"/>
    <n v="0"/>
    <n v="0"/>
    <m/>
    <m/>
    <m/>
    <m/>
    <m/>
    <m/>
    <m/>
    <m/>
  </r>
  <r>
    <x v="5"/>
    <x v="5"/>
    <s v="Series 3"/>
    <n v="476919.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6"/>
    <x v="5"/>
    <s v="Series 3"/>
    <n v="475396.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7"/>
    <x v="5"/>
    <s v="Series 3"/>
    <n v="475500.9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8"/>
    <x v="5"/>
    <s v="Series 3"/>
    <n v="462809.9208905330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9"/>
    <x v="5"/>
    <s v="Series 3"/>
    <n v="461337.10230139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0"/>
    <x v="5"/>
    <s v="Series 3"/>
    <n v="462119.3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1"/>
    <x v="5"/>
    <s v="Series 3"/>
    <n v="471061.43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2"/>
    <x v="5"/>
    <s v="Series 3"/>
    <n v="789189.67"/>
    <e v="#DIV/0!"/>
    <n v="1.3879999999999999"/>
    <n v="312300"/>
    <n v="0"/>
    <n v="0"/>
    <m/>
    <m/>
    <n v="312300"/>
    <e v="#DIV/0!"/>
    <n v="312300"/>
    <n v="312300"/>
    <s v="Private Equity Fund"/>
    <n v="0"/>
    <n v="0"/>
    <n v="0"/>
    <n v="0"/>
    <m/>
    <m/>
    <m/>
    <m/>
    <m/>
    <m/>
    <m/>
    <m/>
  </r>
  <r>
    <x v="13"/>
    <x v="5"/>
    <s v="Series 3"/>
    <n v="769409.4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3"/>
    <n v="995186.97"/>
    <e v="#DIV/0!"/>
    <n v="1.3879999999999999"/>
    <n v="234572"/>
    <n v="0"/>
    <n v="0"/>
    <m/>
    <m/>
    <n v="234572"/>
    <e v="#DIV/0!"/>
    <n v="234572"/>
    <n v="234572"/>
    <s v="Private Equity Fund"/>
    <n v="0"/>
    <n v="0"/>
    <n v="0"/>
    <n v="0"/>
    <m/>
    <m/>
    <m/>
    <m/>
    <m/>
    <m/>
    <m/>
    <m/>
  </r>
  <r>
    <x v="151"/>
    <x v="5"/>
    <s v="Series 3"/>
    <n v="1005153.6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3"/>
    <n v="998082.1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3"/>
    <n v="1186700.83"/>
    <e v="#DIV/0!"/>
    <n v="1.3879999999999999"/>
    <n v="161008"/>
    <n v="0"/>
    <n v="0"/>
    <m/>
    <m/>
    <n v="161008"/>
    <e v="#DIV/0!"/>
    <n v="161008"/>
    <n v="161008"/>
    <s v="Private Equity Fund"/>
    <n v="0"/>
    <n v="0"/>
    <n v="0"/>
    <n v="0"/>
    <m/>
    <m/>
    <m/>
    <m/>
    <m/>
    <m/>
    <m/>
    <m/>
  </r>
  <r>
    <x v="154"/>
    <x v="5"/>
    <s v="Series 3"/>
    <n v="1213847.8740000001"/>
    <e v="#DIV/0!"/>
    <n v="1.3879999999999999"/>
    <n v="19432"/>
    <n v="0"/>
    <n v="0"/>
    <m/>
    <m/>
    <n v="19432"/>
    <e v="#DIV/0!"/>
    <n v="19432"/>
    <n v="19432"/>
    <s v="Private Equity Fund"/>
    <n v="0"/>
    <n v="0"/>
    <n v="0"/>
    <n v="0"/>
    <m/>
    <m/>
    <m/>
    <m/>
    <m/>
    <m/>
    <m/>
    <m/>
  </r>
  <r>
    <x v="155"/>
    <x v="5"/>
    <s v="Series 3"/>
    <n v="1317230.17"/>
    <e v="#DIV/0!"/>
    <n v="1.3879999999999999"/>
    <n v="83280"/>
    <n v="0"/>
    <n v="0"/>
    <m/>
    <m/>
    <n v="83280"/>
    <e v="#DIV/0!"/>
    <n v="83280"/>
    <n v="83280"/>
    <s v="Private Equity Fund"/>
    <n v="0"/>
    <n v="0"/>
    <n v="0"/>
    <n v="0"/>
    <m/>
    <m/>
    <m/>
    <m/>
    <m/>
    <m/>
    <m/>
    <m/>
  </r>
  <r>
    <x v="156"/>
    <x v="5"/>
    <s v="Series 3"/>
    <n v="1404798.63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7"/>
    <x v="5"/>
    <s v="Series 3"/>
    <n v="1424749.5430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8"/>
    <x v="5"/>
    <s v="Series 3"/>
    <n v="1410189.3064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3"/>
    <n v="1487748.469"/>
    <e v="#DIV/0!"/>
    <n v="1.3879999999999999"/>
    <n v="98548"/>
    <n v="0"/>
    <n v="0"/>
    <m/>
    <m/>
    <n v="98548"/>
    <e v="#DIV/0!"/>
    <n v="98548"/>
    <n v="98548"/>
    <s v="Private Equity Fund"/>
    <n v="0"/>
    <n v="0"/>
    <n v="0"/>
    <n v="0"/>
    <m/>
    <m/>
    <m/>
    <m/>
    <m/>
    <m/>
    <m/>
    <m/>
  </r>
  <r>
    <x v="160"/>
    <x v="5"/>
    <s v="Series 3"/>
    <n v="1466421.535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3"/>
    <n v="1469571.30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3"/>
    <n v="1506584.7834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3"/>
    <n v="1497037.04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4"/>
    <x v="5"/>
    <s v="Series 3"/>
    <n v="1506154.343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3"/>
    <n v="1495063.858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3"/>
    <n v="1517727.3145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7"/>
    <x v="5"/>
    <s v="Series 3"/>
    <n v="1535606.8095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</r>
  <r>
    <x v="168"/>
    <x v="5"/>
    <s v="Series 3"/>
    <n v="1561607.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3"/>
    <n v="1595990.85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3"/>
    <n v="1631030.6059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3"/>
    <n v="1656591.1854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3"/>
    <n v="1652188.7975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3"/>
    <n v="1705542.447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3"/>
    <n v="1757509.6880000001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</r>
  <r>
    <x v="175"/>
    <x v="5"/>
    <s v="Series 3"/>
    <n v="1765985.267500000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3"/>
    <n v="1749611.1735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3"/>
    <n v="1776669.1044999999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</r>
  <r>
    <x v="178"/>
    <x v="5"/>
    <s v="Series 3"/>
    <n v="1846777.86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3"/>
    <n v="1822095.1869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3"/>
    <n v="1818473.7710000002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3"/>
    <n v="1766358.97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3"/>
    <n v="1824437.9909999999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3"/>
    <n v="1869270.8330000001"/>
    <e v="#DIV/0!"/>
    <n v="1.3879999999999999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</r>
  <r>
    <x v="184"/>
    <x v="5"/>
    <s v="Series 3"/>
    <n v="18752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3"/>
    <n v="1860868.7768049261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3"/>
    <n v="18741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3"/>
    <n v="18721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3"/>
    <n v="19196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3"/>
    <n v="1943800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3"/>
    <n v="1962029.34"/>
    <e v="#DIV/0!"/>
    <n v="1.387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3"/>
    <n v="1970710.4620000001"/>
    <e v="#DIV/0!"/>
    <n v="1.3879999999999999"/>
    <n v="0"/>
    <n v="0"/>
    <n v="0"/>
    <m/>
    <m/>
    <n v="0"/>
    <e v="#DIV/0!"/>
    <n v="0"/>
    <n v="0"/>
    <s v="Private Equity Fund"/>
    <n v="7.6977349587588955E-3"/>
    <n v="0.10283125799999998"/>
    <n v="0"/>
    <n v="0"/>
    <m/>
    <m/>
    <m/>
    <m/>
    <m/>
    <m/>
    <m/>
    <m/>
  </r>
  <r>
    <x v="192"/>
    <x v="5"/>
    <s v="Series 3"/>
    <n v="1996607.1484999999"/>
    <e v="#DIV/0!"/>
    <n v="1.3879999999999999"/>
    <n v="0"/>
    <n v="0"/>
    <n v="0"/>
    <m/>
    <m/>
    <n v="0"/>
    <e v="#DIV/0!"/>
    <n v="0"/>
    <n v="0"/>
    <s v="Private Equity Fund"/>
    <n v="0"/>
    <n v="0.10740126"/>
    <n v="0"/>
    <n v="0"/>
    <m/>
    <m/>
    <m/>
    <m/>
    <m/>
    <m/>
    <m/>
    <m/>
  </r>
  <r>
    <x v="193"/>
    <x v="5"/>
    <s v="Series 3"/>
    <n v="2008032.0834999999"/>
    <e v="#DIV/0!"/>
    <n v="1.3879999999999999"/>
    <n v="0"/>
    <n v="0"/>
    <n v="0"/>
    <m/>
    <m/>
    <n v="0"/>
    <e v="#DIV/0!"/>
    <n v="0"/>
    <n v="0"/>
    <s v="Private Equity Fund"/>
    <n v="0"/>
    <n v="0.10941743"/>
    <n v="0"/>
    <n v="0"/>
    <m/>
    <m/>
    <m/>
    <m/>
    <m/>
    <m/>
    <m/>
    <m/>
  </r>
  <r>
    <x v="194"/>
    <x v="5"/>
    <s v="Series 3"/>
    <n v="2012705.1115000001"/>
    <e v="#DIV/0!"/>
    <n v="1.3879999999999999"/>
    <n v="0"/>
    <n v="0"/>
    <n v="0"/>
    <m/>
    <m/>
    <n v="0"/>
    <e v="#DIV/0!"/>
    <n v="0"/>
    <n v="0"/>
    <s v="Private Equity Fund"/>
    <n v="8.0569500000000002E-3"/>
    <n v="0.11024207849999999"/>
    <n v="0"/>
    <n v="0"/>
    <m/>
    <m/>
    <m/>
    <m/>
    <m/>
    <m/>
    <m/>
    <m/>
  </r>
  <r>
    <x v="195"/>
    <x v="5"/>
    <s v="Series 3"/>
    <n v="2019547.2545"/>
    <s v=""/>
    <n v="1.3879999999999999"/>
    <n v="0"/>
    <n v="0"/>
    <n v="0"/>
    <m/>
    <m/>
    <n v="0"/>
    <e v="#DIV/0!"/>
    <n v="0"/>
    <n v="0"/>
    <s v="Private Equity Fund"/>
    <n v="0"/>
    <n v="0.1114495155"/>
    <n v="0"/>
    <n v="0"/>
    <m/>
    <m/>
    <m/>
    <m/>
    <m/>
    <m/>
    <m/>
    <m/>
  </r>
  <r>
    <x v="196"/>
    <x v="5"/>
    <s v="Series 3"/>
    <n v="2024332.7715"/>
    <s v=""/>
    <n v="1.3879999999999999"/>
    <n v="0"/>
    <n v="0"/>
    <n v="0"/>
    <m/>
    <m/>
    <n v="0"/>
    <e v="#DIV/0!"/>
    <n v="0"/>
    <n v="0"/>
    <s v="Private Equity Fund"/>
    <n v="0"/>
    <n v="0.11229401850000001"/>
    <n v="0"/>
    <n v="0"/>
    <m/>
    <m/>
    <m/>
    <m/>
    <m/>
    <m/>
    <m/>
    <m/>
  </r>
  <r>
    <x v="197"/>
    <x v="5"/>
    <s v="Series 3"/>
    <n v="1997981.6240000001"/>
    <m/>
    <n v="1.3879999999999999"/>
    <n v="0"/>
    <n v="0"/>
    <n v="0"/>
    <m/>
    <n v="0"/>
    <n v="0"/>
    <e v="#DIV/0!"/>
    <n v="0"/>
    <n v="0"/>
    <s v="Private Equity Fund"/>
    <n v="7.9040211368797807E-3"/>
    <n v="0.10764381599999999"/>
    <m/>
    <m/>
    <m/>
    <m/>
    <m/>
    <m/>
    <m/>
    <m/>
    <m/>
    <m/>
  </r>
  <r>
    <x v="198"/>
    <x v="5"/>
    <s v="Series 3"/>
    <n v="2001814.5885000001"/>
    <m/>
    <n v="1.3879999999999999"/>
    <n v="0"/>
    <n v="0"/>
    <n v="0"/>
    <n v="0"/>
    <m/>
    <n v="0"/>
    <e v="#DIV/0!"/>
    <n v="-2001814.5885000001"/>
    <n v="-2001814.5885000001"/>
    <s v="Private Equity Fund"/>
    <n v="2.8655758604566439E-3"/>
    <n v="0.10832022149999999"/>
    <m/>
    <m/>
    <m/>
    <m/>
    <m/>
    <m/>
    <m/>
    <m/>
    <m/>
    <m/>
  </r>
  <r>
    <x v="202"/>
    <x v="5"/>
    <s v="Series 4"/>
    <n v="611040"/>
    <e v="#DIV/0!"/>
    <n v="5.36"/>
    <n v="611040"/>
    <n v="0"/>
    <n v="0"/>
    <m/>
    <m/>
    <n v="611040"/>
    <e v="#DIV/0!"/>
    <n v="611040"/>
    <n v="611040"/>
    <s v="Private Equity Fund"/>
    <n v="0"/>
    <n v="0"/>
    <n v="0"/>
    <n v="0"/>
    <m/>
    <m/>
    <m/>
    <m/>
    <m/>
    <m/>
    <m/>
    <m/>
  </r>
  <r>
    <x v="203"/>
    <x v="5"/>
    <s v="Series 4"/>
    <n v="1356080"/>
    <e v="#DIV/0!"/>
    <n v="5.36"/>
    <n v="745040"/>
    <n v="0"/>
    <n v="0"/>
    <m/>
    <m/>
    <n v="745040"/>
    <e v="#DIV/0!"/>
    <n v="745040"/>
    <n v="745040"/>
    <s v="Private Equity Fund"/>
    <n v="0"/>
    <n v="0"/>
    <n v="0"/>
    <n v="0"/>
    <m/>
    <m/>
    <m/>
    <m/>
    <m/>
    <m/>
    <m/>
    <m/>
  </r>
  <r>
    <x v="12"/>
    <x v="5"/>
    <s v="Series 4"/>
    <n v="1361855.2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3"/>
    <x v="5"/>
    <s v="Series 4"/>
    <n v="1329933.120000000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4"/>
    <n v="2254028.6"/>
    <e v="#DIV/0!"/>
    <n v="5.36"/>
    <n v="905840"/>
    <n v="0"/>
    <n v="0"/>
    <m/>
    <m/>
    <n v="905840"/>
    <e v="#DIV/0!"/>
    <n v="905840"/>
    <n v="905840"/>
    <s v="Private Equity Fund"/>
    <n v="0"/>
    <n v="0"/>
    <n v="0"/>
    <n v="0"/>
    <m/>
    <m/>
    <m/>
    <m/>
    <m/>
    <m/>
    <m/>
    <m/>
  </r>
  <r>
    <x v="151"/>
    <x v="5"/>
    <s v="Series 4"/>
    <n v="2306091.7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4"/>
    <n v="2319192.5299999998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4"/>
    <n v="3012891.62"/>
    <e v="#DIV/0!"/>
    <n v="5.36"/>
    <n v="621760"/>
    <n v="0"/>
    <n v="0"/>
    <m/>
    <m/>
    <n v="621760"/>
    <e v="#DIV/0!"/>
    <n v="621760"/>
    <n v="621760"/>
    <s v="Private Equity Fund"/>
    <n v="0"/>
    <n v="0"/>
    <n v="0"/>
    <n v="0"/>
    <m/>
    <m/>
    <m/>
    <m/>
    <m/>
    <m/>
    <m/>
    <m/>
  </r>
  <r>
    <x v="154"/>
    <x v="5"/>
    <s v="Series 4"/>
    <n v="3307051.67"/>
    <e v="#DIV/0!"/>
    <n v="5.36"/>
    <n v="249240"/>
    <n v="0"/>
    <n v="0"/>
    <m/>
    <m/>
    <n v="249240"/>
    <e v="#DIV/0!"/>
    <n v="249240"/>
    <n v="249240"/>
    <s v="Private Equity Fund"/>
    <n v="0"/>
    <n v="0"/>
    <n v="0"/>
    <n v="0"/>
    <m/>
    <m/>
    <m/>
    <m/>
    <m/>
    <m/>
    <m/>
    <m/>
  </r>
  <r>
    <x v="155"/>
    <x v="5"/>
    <s v="Series 4"/>
    <n v="3786701.32"/>
    <e v="#DIV/0!"/>
    <n v="5.36"/>
    <n v="380560"/>
    <n v="0"/>
    <n v="0"/>
    <m/>
    <m/>
    <n v="380560"/>
    <e v="#DIV/0!"/>
    <n v="380560"/>
    <n v="380560"/>
    <s v="Private Equity Fund"/>
    <n v="0"/>
    <n v="0"/>
    <n v="0"/>
    <n v="0"/>
    <m/>
    <m/>
    <m/>
    <m/>
    <m/>
    <m/>
    <m/>
    <m/>
  </r>
  <r>
    <x v="156"/>
    <x v="5"/>
    <s v="Series 4"/>
    <n v="4155725.0000000005"/>
    <e v="#DIV/0!"/>
    <n v="5.36"/>
    <n v="53600"/>
    <n v="0"/>
    <n v="0"/>
    <m/>
    <m/>
    <n v="53600"/>
    <e v="#DIV/0!"/>
    <n v="53600"/>
    <n v="53600"/>
    <s v="Private Equity Fund"/>
    <n v="0"/>
    <n v="0"/>
    <n v="0"/>
    <n v="0"/>
    <m/>
    <m/>
    <m/>
    <m/>
    <m/>
    <m/>
    <m/>
    <m/>
  </r>
  <r>
    <x v="157"/>
    <x v="5"/>
    <s v="Series 4"/>
    <n v="4340370.76"/>
    <e v="#DIV/0!"/>
    <n v="5.36"/>
    <n v="160800"/>
    <n v="0"/>
    <n v="0"/>
    <m/>
    <m/>
    <n v="160800"/>
    <e v="#DIV/0!"/>
    <n v="160800"/>
    <n v="160800"/>
    <s v="Private Equity Fund"/>
    <n v="0"/>
    <n v="0"/>
    <n v="0"/>
    <n v="0"/>
    <m/>
    <m/>
    <m/>
    <m/>
    <m/>
    <m/>
    <m/>
    <m/>
  </r>
  <r>
    <x v="158"/>
    <x v="5"/>
    <s v="Series 4"/>
    <n v="4280901.63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4"/>
    <n v="4359077.57"/>
    <e v="#DIV/0!"/>
    <n v="5.36"/>
    <n v="155440"/>
    <n v="0"/>
    <n v="0"/>
    <m/>
    <m/>
    <n v="155440"/>
    <e v="#DIV/0!"/>
    <n v="155440"/>
    <n v="155440"/>
    <s v="Private Equity Fund"/>
    <n v="0"/>
    <n v="0"/>
    <n v="0"/>
    <n v="0"/>
    <m/>
    <m/>
    <m/>
    <m/>
    <m/>
    <m/>
    <m/>
    <m/>
  </r>
  <r>
    <x v="160"/>
    <x v="5"/>
    <s v="Series 4"/>
    <n v="4287609.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4"/>
    <n v="4310120.5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4"/>
    <n v="4443583.2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4"/>
    <n v="4670845.82"/>
    <e v="#DIV/0!"/>
    <n v="5.36"/>
    <n v="230480"/>
    <n v="0"/>
    <n v="0"/>
    <m/>
    <m/>
    <n v="230480"/>
    <e v="#DIV/0!"/>
    <n v="230480"/>
    <n v="230480"/>
    <s v="Private Equity Fund"/>
    <n v="0"/>
    <n v="0"/>
    <n v="0"/>
    <n v="0"/>
    <m/>
    <m/>
    <m/>
    <m/>
    <m/>
    <m/>
    <m/>
    <m/>
  </r>
  <r>
    <x v="164"/>
    <x v="5"/>
    <s v="Series 4"/>
    <n v="4713172.11000000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4"/>
    <n v="4645760.9000000004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4"/>
    <n v="5998952.4000000004"/>
    <e v="#DIV/0!"/>
    <n v="5.36"/>
    <n v="1246200"/>
    <n v="0"/>
    <n v="0"/>
    <m/>
    <m/>
    <n v="1246200"/>
    <e v="#DIV/0!"/>
    <n v="1246200"/>
    <n v="1246200"/>
    <s v="Private Equity Fund"/>
    <n v="0"/>
    <n v="0"/>
    <n v="0"/>
    <n v="0"/>
    <m/>
    <m/>
    <m/>
    <m/>
    <m/>
    <m/>
    <m/>
    <m/>
  </r>
  <r>
    <x v="167"/>
    <x v="5"/>
    <s v="Series 4"/>
    <n v="6073133.4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4"/>
    <n v="6144593.599999999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4"/>
    <n v="6225331.63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4"/>
    <n v="6439846.7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4"/>
    <n v="6491037.92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4"/>
    <n v="6480549.96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4"/>
    <n v="6803889.12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4"/>
    <n v="7047647.740000000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4"/>
    <n v="7085855.7599999998"/>
    <e v="#DIV/0!"/>
    <n v="5.36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76"/>
    <x v="5"/>
    <s v="Series 4"/>
    <n v="7050644.8899999997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4"/>
    <n v="7160134.9800000004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4"/>
    <n v="7477471.910000000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4"/>
    <n v="7379042.87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4"/>
    <n v="7339903.3500000006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4"/>
    <n v="7155239.62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4"/>
    <n v="7447567.61000000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4"/>
    <n v="7613230.5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4"/>
    <n v="76623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4"/>
    <n v="7625108.6931535918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4"/>
    <n v="7665296.490000000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4"/>
    <n v="77047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4"/>
    <n v="81084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4"/>
    <n v="8201800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4"/>
    <n v="8286601.4900000002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4"/>
    <n v="8385406.5700000003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2"/>
    <x v="5"/>
    <s v="Series 4"/>
    <n v="8455532.5399999991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3"/>
    <x v="5"/>
    <s v="Series 4"/>
    <n v="8521073.6699999999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4"/>
    <x v="5"/>
    <s v="Series 4"/>
    <n v="8604963.5"/>
    <e v="#DIV/0!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5"/>
    <x v="5"/>
    <s v="Series 4"/>
    <n v="8562379.1999999993"/>
    <s v="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6"/>
    <x v="5"/>
    <s v="Series 4"/>
    <n v="8594662.0099999998"/>
    <s v=""/>
    <n v="5.3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7"/>
    <x v="5"/>
    <s v="Series 4"/>
    <n v="8562986.9000000004"/>
    <m/>
    <n v="5.36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4"/>
    <n v="8468736.7400000002"/>
    <m/>
    <n v="5.36"/>
    <n v="0"/>
    <n v="0"/>
    <n v="0"/>
    <n v="0"/>
    <m/>
    <n v="0"/>
    <e v="#DIV/0!"/>
    <n v="-8468736.7400000002"/>
    <n v="-8468736.7400000002"/>
    <s v="Private Equity Fund"/>
    <n v="0"/>
    <n v="0"/>
    <m/>
    <m/>
    <m/>
    <m/>
    <m/>
    <m/>
    <m/>
    <m/>
    <m/>
    <m/>
  </r>
  <r>
    <x v="202"/>
    <x v="5"/>
    <s v="Series 5"/>
    <n v="300080"/>
    <e v="#DIV/0!"/>
    <n v="2.63"/>
    <n v="300080"/>
    <n v="0"/>
    <n v="0"/>
    <m/>
    <m/>
    <n v="300080"/>
    <e v="#DIV/0!"/>
    <n v="300080"/>
    <n v="300080"/>
    <s v="Private Equity Fund"/>
    <n v="0"/>
    <n v="0"/>
    <n v="0"/>
    <n v="0"/>
    <m/>
    <m/>
    <m/>
    <m/>
    <m/>
    <m/>
    <m/>
    <m/>
  </r>
  <r>
    <x v="203"/>
    <x v="5"/>
    <s v="Series 5"/>
    <n v="665910"/>
    <e v="#DIV/0!"/>
    <n v="2.63"/>
    <n v="365830"/>
    <n v="0"/>
    <n v="0"/>
    <m/>
    <m/>
    <n v="365830"/>
    <e v="#DIV/0!"/>
    <n v="365830"/>
    <n v="365830"/>
    <s v="Private Equity Fund"/>
    <n v="0"/>
    <n v="0"/>
    <n v="0"/>
    <n v="0"/>
    <m/>
    <m/>
    <m/>
    <m/>
    <m/>
    <m/>
    <m/>
    <m/>
  </r>
  <r>
    <x v="12"/>
    <x v="5"/>
    <s v="Series 5"/>
    <n v="667641.24600000004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3"/>
    <x v="5"/>
    <s v="Series 5"/>
    <n v="650611.2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5"/>
    <n v="1103306.8999999999"/>
    <e v="#DIV/0!"/>
    <n v="2.63"/>
    <n v="444470"/>
    <n v="0"/>
    <n v="0"/>
    <m/>
    <m/>
    <n v="444470"/>
    <e v="#DIV/0!"/>
    <n v="444470"/>
    <n v="444470"/>
    <s v="Private Equity Fund"/>
    <n v="0"/>
    <n v="0"/>
    <n v="0"/>
    <n v="0"/>
    <m/>
    <m/>
    <m/>
    <m/>
    <m/>
    <m/>
    <m/>
    <m/>
  </r>
  <r>
    <x v="151"/>
    <x v="5"/>
    <s v="Series 5"/>
    <n v="1125599.114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5"/>
    <n v="1128516.96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5"/>
    <n v="1465704.2904999999"/>
    <e v="#DIV/0!"/>
    <n v="2.63"/>
    <n v="305080"/>
    <n v="0"/>
    <n v="0"/>
    <m/>
    <m/>
    <n v="305080"/>
    <e v="#DIV/0!"/>
    <n v="305080"/>
    <n v="305080"/>
    <s v="Private Equity Fund"/>
    <n v="0"/>
    <n v="0"/>
    <n v="0"/>
    <n v="0"/>
    <m/>
    <m/>
    <m/>
    <m/>
    <m/>
    <m/>
    <m/>
    <m/>
  </r>
  <r>
    <x v="154"/>
    <x v="5"/>
    <s v="Series 5"/>
    <n v="1604997.6754999999"/>
    <e v="#DIV/0!"/>
    <n v="2.63"/>
    <n v="122295"/>
    <n v="0"/>
    <n v="0"/>
    <m/>
    <m/>
    <n v="122295"/>
    <e v="#DIV/0!"/>
    <n v="122295"/>
    <n v="122295"/>
    <s v="Private Equity Fund"/>
    <n v="0"/>
    <n v="0"/>
    <n v="0"/>
    <n v="0"/>
    <m/>
    <m/>
    <m/>
    <m/>
    <m/>
    <m/>
    <m/>
    <m/>
  </r>
  <r>
    <x v="155"/>
    <x v="5"/>
    <s v="Series 5"/>
    <n v="1837353.1429999999"/>
    <e v="#DIV/0!"/>
    <n v="2.63"/>
    <n v="197250"/>
    <n v="0"/>
    <n v="0"/>
    <m/>
    <m/>
    <n v="197250"/>
    <e v="#DIV/0!"/>
    <n v="197250"/>
    <n v="197250"/>
    <s v="Private Equity Fund"/>
    <n v="0"/>
    <n v="0"/>
    <n v="0"/>
    <n v="0"/>
    <m/>
    <m/>
    <m/>
    <m/>
    <m/>
    <m/>
    <m/>
    <m/>
  </r>
  <r>
    <x v="156"/>
    <x v="5"/>
    <s v="Series 5"/>
    <n v="2002566.909"/>
    <e v="#DIV/0!"/>
    <n v="2.63"/>
    <n v="26300"/>
    <n v="0"/>
    <n v="0"/>
    <m/>
    <m/>
    <n v="26300"/>
    <e v="#DIV/0!"/>
    <n v="26300"/>
    <n v="26300"/>
    <s v="Private Equity Fund"/>
    <n v="0"/>
    <n v="0"/>
    <n v="0"/>
    <n v="0"/>
    <m/>
    <m/>
    <m/>
    <m/>
    <m/>
    <m/>
    <m/>
    <m/>
  </r>
  <r>
    <x v="157"/>
    <x v="5"/>
    <s v="Series 5"/>
    <n v="2084092.9754999999"/>
    <e v="#DIV/0!"/>
    <n v="2.63"/>
    <n v="78900"/>
    <n v="0"/>
    <n v="0"/>
    <m/>
    <m/>
    <n v="78900"/>
    <e v="#DIV/0!"/>
    <n v="78900"/>
    <n v="78900"/>
    <s v="Private Equity Fund"/>
    <n v="0"/>
    <n v="0"/>
    <n v="0"/>
    <n v="0"/>
    <m/>
    <m/>
    <m/>
    <m/>
    <m/>
    <m/>
    <m/>
    <m/>
  </r>
  <r>
    <x v="158"/>
    <x v="5"/>
    <s v="Series 5"/>
    <n v="2052580.959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5"/>
    <n v="2094321.554"/>
    <e v="#DIV/0!"/>
    <n v="2.63"/>
    <n v="76270"/>
    <n v="0"/>
    <n v="0"/>
    <m/>
    <m/>
    <n v="76270"/>
    <e v="#DIV/0!"/>
    <n v="76270"/>
    <n v="76270"/>
    <s v="Private Equity Fund"/>
    <n v="0"/>
    <n v="0"/>
    <n v="0"/>
    <n v="0"/>
    <m/>
    <m/>
    <m/>
    <m/>
    <m/>
    <m/>
    <m/>
    <m/>
  </r>
  <r>
    <x v="160"/>
    <x v="5"/>
    <s v="Series 5"/>
    <n v="2062285.241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5"/>
    <n v="2069444.9439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5"/>
    <n v="2129597.293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5"/>
    <n v="2230071.602"/>
    <e v="#DIV/0!"/>
    <n v="2.63"/>
    <n v="113090"/>
    <n v="0"/>
    <n v="0"/>
    <m/>
    <m/>
    <n v="113090"/>
    <e v="#DIV/0!"/>
    <n v="113090"/>
    <n v="113090"/>
    <s v="Private Equity Fund"/>
    <n v="0"/>
    <n v="0"/>
    <n v="0"/>
    <n v="0"/>
    <m/>
    <m/>
    <m/>
    <m/>
    <m/>
    <m/>
    <m/>
    <m/>
  </r>
  <r>
    <x v="164"/>
    <x v="5"/>
    <s v="Series 5"/>
    <n v="2247136.7544999998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5"/>
    <n v="2224103.6924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5"/>
    <n v="2865344.7275"/>
    <e v="#DIV/0!"/>
    <n v="2.63"/>
    <n v="600435"/>
    <n v="0"/>
    <n v="0"/>
    <m/>
    <m/>
    <n v="600435"/>
    <e v="#DIV/0!"/>
    <n v="600435"/>
    <n v="600435"/>
    <s v="Private Equity Fund"/>
    <n v="0"/>
    <n v="0"/>
    <n v="0"/>
    <n v="0"/>
    <m/>
    <m/>
    <m/>
    <m/>
    <m/>
    <m/>
    <m/>
    <m/>
  </r>
  <r>
    <x v="167"/>
    <x v="5"/>
    <s v="Series 5"/>
    <n v="2885692.605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5"/>
    <n v="2929170.6154999998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5"/>
    <n v="2959422.447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5"/>
    <n v="3028777.0325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5"/>
    <n v="3073498.992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5"/>
    <n v="3065489.697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5"/>
    <n v="3170103.5235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5"/>
    <n v="3268102.106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5"/>
    <n v="3284136.1575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5"/>
    <n v="3262282.7170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5"/>
    <n v="3315318.4925000002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5"/>
    <n v="3443498.637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5"/>
    <n v="3388011.1894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5"/>
    <n v="3379414.052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5"/>
    <n v="3287223.9780000001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5"/>
    <n v="3405044.0589999999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5"/>
    <n v="3481511.3000000003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5"/>
    <n v="34866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5"/>
    <n v="3467281.3861674946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5"/>
    <n v="34914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5"/>
    <n v="34924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5"/>
    <n v="36538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5"/>
    <n v="3700400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5"/>
    <n v="3732083.6"/>
    <e v="#DIV/0!"/>
    <n v="2.63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5"/>
    <n v="3756526.6834999998"/>
    <e v="#DIV/0!"/>
    <n v="2.63"/>
    <n v="0"/>
    <n v="0"/>
    <n v="0"/>
    <m/>
    <m/>
    <n v="0"/>
    <e v="#DIV/0!"/>
    <n v="0"/>
    <n v="0"/>
    <s v="Private Equity Fund"/>
    <n v="1.4683595309372504E-2"/>
    <n v="0.19879882649999997"/>
    <n v="0"/>
    <n v="0"/>
    <m/>
    <m/>
    <m/>
    <m/>
    <m/>
    <m/>
    <m/>
    <m/>
  </r>
  <r>
    <x v="192"/>
    <x v="5"/>
    <s v="Series 5"/>
    <n v="3805919.9794999999"/>
    <e v="#DIV/0!"/>
    <n v="2.63"/>
    <n v="0"/>
    <n v="0"/>
    <n v="0"/>
    <m/>
    <m/>
    <n v="0"/>
    <e v="#DIV/0!"/>
    <n v="0"/>
    <n v="0"/>
    <s v="Private Equity Fund"/>
    <n v="0"/>
    <n v="0.20751528999999999"/>
    <n v="0"/>
    <n v="0"/>
    <m/>
    <m/>
    <m/>
    <m/>
    <m/>
    <m/>
    <m/>
    <m/>
  </r>
  <r>
    <x v="193"/>
    <x v="5"/>
    <s v="Series 5"/>
    <n v="3829040.5065000001"/>
    <e v="#DIV/0!"/>
    <n v="2.63"/>
    <n v="0"/>
    <n v="0"/>
    <n v="0"/>
    <m/>
    <m/>
    <n v="0"/>
    <e v="#DIV/0!"/>
    <n v="0"/>
    <n v="0"/>
    <s v="Private Equity Fund"/>
    <n v="0"/>
    <n v="0.21159538"/>
    <n v="0"/>
    <n v="0"/>
    <m/>
    <m/>
    <m/>
    <m/>
    <m/>
    <m/>
    <m/>
    <m/>
  </r>
  <r>
    <x v="194"/>
    <x v="5"/>
    <s v="Series 5"/>
    <n v="3834910.7850000001"/>
    <e v="#DIV/0!"/>
    <n v="2.63"/>
    <n v="0"/>
    <n v="0"/>
    <n v="0"/>
    <m/>
    <m/>
    <n v="0"/>
    <e v="#DIV/0!"/>
    <n v="0"/>
    <n v="0"/>
    <s v="Private Equity Fund"/>
    <n v="1.5361110000000001E-2"/>
    <n v="0.21263132000000001"/>
    <n v="0"/>
    <n v="0"/>
    <m/>
    <m/>
    <m/>
    <m/>
    <m/>
    <m/>
    <m/>
    <m/>
  </r>
  <r>
    <x v="195"/>
    <x v="5"/>
    <s v="Series 5"/>
    <n v="3850278.5894999998"/>
    <s v=""/>
    <n v="2.63"/>
    <n v="0"/>
    <n v="0"/>
    <n v="0"/>
    <m/>
    <m/>
    <n v="0"/>
    <e v="#DIV/0!"/>
    <n v="0"/>
    <n v="0"/>
    <s v="Private Equity Fund"/>
    <n v="0"/>
    <n v="0.21534328049999998"/>
    <n v="0"/>
    <n v="0"/>
    <m/>
    <m/>
    <m/>
    <m/>
    <m/>
    <m/>
    <m/>
    <m/>
  </r>
  <r>
    <x v="196"/>
    <x v="5"/>
    <s v="Series 5"/>
    <n v="3859226.7179999999"/>
    <s v=""/>
    <n v="2.63"/>
    <n v="0"/>
    <n v="0"/>
    <n v="0"/>
    <m/>
    <m/>
    <n v="0"/>
    <e v="#DIV/0!"/>
    <n v="0"/>
    <n v="0"/>
    <s v="Private Equity Fund"/>
    <n v="0"/>
    <n v="0.21692236200000001"/>
    <n v="0"/>
    <n v="0"/>
    <m/>
    <m/>
    <m/>
    <m/>
    <m/>
    <m/>
    <m/>
    <m/>
  </r>
  <r>
    <x v="197"/>
    <x v="5"/>
    <s v="Series 5"/>
    <n v="3804708.5765"/>
    <m/>
    <n v="2.63"/>
    <n v="0"/>
    <n v="0"/>
    <n v="0"/>
    <m/>
    <n v="0"/>
    <n v="0"/>
    <e v="#DIV/0!"/>
    <n v="0"/>
    <n v="0"/>
    <s v="Private Equity Fund"/>
    <n v="1.5060139345472665E-2"/>
    <n v="0.20730151349999998"/>
    <m/>
    <m/>
    <m/>
    <m/>
    <m/>
    <m/>
    <m/>
    <m/>
    <m/>
    <m/>
  </r>
  <r>
    <x v="198"/>
    <x v="5"/>
    <s v="Series 5"/>
    <n v="3811240.699"/>
    <m/>
    <n v="2.63"/>
    <n v="0"/>
    <n v="0"/>
    <n v="0"/>
    <n v="0"/>
    <m/>
    <n v="0"/>
    <e v="#DIV/0!"/>
    <n v="-3811240.699"/>
    <n v="-3811240.699"/>
    <s v="Private Equity Fund"/>
    <n v="5.4587700977269168E-3"/>
    <n v="0.20845424099999998"/>
    <m/>
    <m/>
    <m/>
    <m/>
    <m/>
    <m/>
    <m/>
    <m/>
    <m/>
    <m/>
  </r>
  <r>
    <x v="202"/>
    <x v="5"/>
    <s v="Series 5c"/>
    <n v="319200"/>
    <e v="#DIV/0!"/>
    <n v="2.8"/>
    <n v="319200"/>
    <n v="0"/>
    <n v="0"/>
    <m/>
    <m/>
    <n v="319200"/>
    <e v="#DIV/0!"/>
    <n v="319200"/>
    <n v="319200"/>
    <s v="Private Equity Fund"/>
    <n v="0"/>
    <n v="0"/>
    <n v="0"/>
    <n v="0"/>
    <m/>
    <m/>
    <m/>
    <m/>
    <m/>
    <m/>
    <m/>
    <m/>
  </r>
  <r>
    <x v="203"/>
    <x v="5"/>
    <s v="Series 5c"/>
    <n v="708399.99999999988"/>
    <e v="#DIV/0!"/>
    <n v="2.8"/>
    <n v="389200"/>
    <n v="0"/>
    <n v="0"/>
    <m/>
    <m/>
    <n v="389200"/>
    <e v="#DIV/0!"/>
    <n v="389200"/>
    <n v="389200"/>
    <s v="Private Equity Fund"/>
    <n v="0"/>
    <n v="0"/>
    <n v="0"/>
    <n v="0"/>
    <m/>
    <m/>
    <m/>
    <m/>
    <m/>
    <m/>
    <m/>
    <m/>
  </r>
  <r>
    <x v="12"/>
    <x v="5"/>
    <s v="Series 5c"/>
    <n v="710243.71799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3"/>
    <x v="5"/>
    <s v="Series 5c"/>
    <n v="689478.5"/>
    <e v="#DIV/0!"/>
    <n v="2.8"/>
    <n v="0"/>
    <n v="-1.1641532182693481E-10"/>
    <n v="0"/>
    <m/>
    <m/>
    <n v="-1.1641532182693481E-10"/>
    <e v="#DIV/0!"/>
    <n v="-1.1641532182693481E-10"/>
    <n v="-1.1641532182693481E-10"/>
    <s v="Private Equity Fund"/>
    <n v="0"/>
    <n v="0"/>
    <n v="0"/>
    <n v="0"/>
    <m/>
    <m/>
    <m/>
    <m/>
    <m/>
    <m/>
    <m/>
    <m/>
  </r>
  <r>
    <x v="150"/>
    <x v="5"/>
    <s v="Series 5c"/>
    <n v="1170752.6000000001"/>
    <e v="#DIV/0!"/>
    <n v="2.8"/>
    <n v="473200"/>
    <n v="0"/>
    <n v="0"/>
    <m/>
    <m/>
    <n v="473200"/>
    <e v="#DIV/0!"/>
    <n v="473200"/>
    <n v="473200"/>
    <s v="Private Equity Fund"/>
    <n v="0"/>
    <n v="0"/>
    <n v="0"/>
    <n v="0"/>
    <m/>
    <m/>
    <m/>
    <m/>
    <m/>
    <m/>
    <m/>
    <m/>
  </r>
  <r>
    <x v="151"/>
    <x v="5"/>
    <s v="Series 5c"/>
    <n v="1195039.5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5c"/>
    <n v="1196947.0305000001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5c"/>
    <n v="1557204.6444999999"/>
    <e v="#DIV/0!"/>
    <n v="2.8"/>
    <n v="324800"/>
    <n v="0"/>
    <n v="0"/>
    <m/>
    <m/>
    <n v="324800"/>
    <e v="#DIV/0!"/>
    <n v="324800"/>
    <n v="324800"/>
    <s v="Private Equity Fund"/>
    <n v="0"/>
    <n v="0"/>
    <n v="0"/>
    <n v="0"/>
    <m/>
    <m/>
    <m/>
    <m/>
    <m/>
    <m/>
    <m/>
    <m/>
  </r>
  <r>
    <x v="154"/>
    <x v="5"/>
    <s v="Series 5c"/>
    <n v="1705171.0895"/>
    <e v="#DIV/0!"/>
    <n v="2.8"/>
    <n v="130200.00000000001"/>
    <n v="0"/>
    <n v="0"/>
    <m/>
    <m/>
    <n v="130200.00000000001"/>
    <e v="#DIV/0!"/>
    <n v="130200.00000000001"/>
    <n v="130200.00000000001"/>
    <s v="Private Equity Fund"/>
    <n v="0"/>
    <n v="0"/>
    <n v="0"/>
    <n v="0"/>
    <m/>
    <m/>
    <m/>
    <m/>
    <m/>
    <m/>
    <m/>
    <m/>
  </r>
  <r>
    <x v="155"/>
    <x v="5"/>
    <s v="Series 5c"/>
    <n v="1953412.9445"/>
    <e v="#DIV/0!"/>
    <n v="2.8"/>
    <n v="212800"/>
    <n v="0"/>
    <n v="0"/>
    <m/>
    <m/>
    <n v="212800"/>
    <e v="#DIV/0!"/>
    <n v="212800"/>
    <n v="212800"/>
    <s v="Private Equity Fund"/>
    <n v="0"/>
    <n v="0"/>
    <n v="0"/>
    <n v="0"/>
    <m/>
    <m/>
    <m/>
    <m/>
    <m/>
    <m/>
    <m/>
    <m/>
  </r>
  <r>
    <x v="156"/>
    <x v="5"/>
    <s v="Series 5c"/>
    <n v="2131696.0809999998"/>
    <e v="#DIV/0!"/>
    <n v="2.8"/>
    <n v="28000"/>
    <n v="0"/>
    <n v="0"/>
    <m/>
    <m/>
    <n v="28000"/>
    <e v="#DIV/0!"/>
    <n v="28000"/>
    <n v="28000"/>
    <s v="Private Equity Fund"/>
    <n v="0"/>
    <n v="0"/>
    <n v="0"/>
    <n v="0"/>
    <m/>
    <m/>
    <m/>
    <m/>
    <m/>
    <m/>
    <m/>
    <m/>
  </r>
  <r>
    <x v="157"/>
    <x v="5"/>
    <s v="Series 5c"/>
    <n v="2216335.2725"/>
    <e v="#DIV/0!"/>
    <n v="2.8"/>
    <n v="84000"/>
    <n v="0"/>
    <n v="0"/>
    <m/>
    <m/>
    <n v="84000"/>
    <e v="#DIV/0!"/>
    <n v="84000"/>
    <n v="84000"/>
    <s v="Private Equity Fund"/>
    <n v="0"/>
    <n v="0"/>
    <n v="0"/>
    <n v="0"/>
    <m/>
    <m/>
    <m/>
    <m/>
    <m/>
    <m/>
    <m/>
    <m/>
  </r>
  <r>
    <x v="158"/>
    <x v="5"/>
    <s v="Series 5c"/>
    <n v="2181675.63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5c"/>
    <n v="2225845.8815000001"/>
    <e v="#DIV/0!"/>
    <n v="2.8"/>
    <n v="81200"/>
    <n v="0"/>
    <n v="0"/>
    <m/>
    <m/>
    <n v="81200"/>
    <e v="#DIV/0!"/>
    <n v="81200"/>
    <n v="81200"/>
    <s v="Private Equity Fund"/>
    <n v="0"/>
    <n v="0"/>
    <n v="0"/>
    <n v="0"/>
    <m/>
    <m/>
    <m/>
    <m/>
    <m/>
    <m/>
    <m/>
    <m/>
  </r>
  <r>
    <x v="160"/>
    <x v="5"/>
    <s v="Series 5c"/>
    <n v="2191470.385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5c"/>
    <n v="2198833.1365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5c"/>
    <n v="2263410.4670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5c"/>
    <n v="2369405.517"/>
    <e v="#DIV/0!"/>
    <n v="2.8"/>
    <n v="120400"/>
    <n v="0"/>
    <n v="0"/>
    <m/>
    <m/>
    <n v="120400"/>
    <e v="#DIV/0!"/>
    <n v="120400"/>
    <n v="120400"/>
    <s v="Private Equity Fund"/>
    <n v="0"/>
    <n v="0"/>
    <n v="0"/>
    <n v="0"/>
    <m/>
    <m/>
    <m/>
    <m/>
    <m/>
    <m/>
    <m/>
    <m/>
  </r>
  <r>
    <x v="164"/>
    <x v="5"/>
    <s v="Series 5c"/>
    <n v="2387345.2684999998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5c"/>
    <n v="2363279.3629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5c"/>
    <n v="3043948.8695"/>
    <e v="#DIV/0!"/>
    <n v="2.8"/>
    <n v="637000"/>
    <n v="0"/>
    <n v="0"/>
    <m/>
    <m/>
    <n v="637000"/>
    <e v="#DIV/0!"/>
    <n v="637000"/>
    <n v="637000"/>
    <s v="Private Equity Fund"/>
    <n v="0"/>
    <n v="0"/>
    <n v="0"/>
    <n v="0"/>
    <m/>
    <m/>
    <m/>
    <m/>
    <m/>
    <m/>
    <m/>
    <m/>
  </r>
  <r>
    <x v="167"/>
    <x v="5"/>
    <s v="Series 5c"/>
    <n v="3064957.3930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5c"/>
    <n v="3111891.9449999998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5c"/>
    <n v="3144107.922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5c"/>
    <n v="3217317.9125000001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5c"/>
    <n v="3265549.513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5c"/>
    <n v="3257031.510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5c"/>
    <n v="3367806.8594999998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5c"/>
    <n v="3472149.850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5c"/>
    <n v="3489220.026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5c"/>
    <n v="3465971.285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5c"/>
    <n v="3522416.640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5c"/>
    <n v="3658891.6715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5c"/>
    <n v="3599853.5104999999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5c"/>
    <n v="3590667.6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5c"/>
    <n v="3492533.8450000002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5c"/>
    <n v="3617964.2650000001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5c"/>
    <n v="3699358.727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5c"/>
    <n v="37048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5c"/>
    <n v="3684195.5575059503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5c"/>
    <n v="37098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5c"/>
    <n v="37110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5c"/>
    <n v="38822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5c"/>
    <n v="3931800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5c"/>
    <n v="3965527.85"/>
    <e v="#DIV/0!"/>
    <n v="2.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5c"/>
    <n v="3991556.9789999998"/>
    <e v="#DIV/0!"/>
    <n v="2.8"/>
    <n v="0"/>
    <n v="0"/>
    <n v="0"/>
    <m/>
    <m/>
    <n v="0"/>
    <e v="#DIV/0!"/>
    <n v="0"/>
    <n v="0"/>
    <s v="Private Equity Fund"/>
    <n v="1.5598715376257248E-2"/>
    <n v="0.21027476100000003"/>
    <n v="0"/>
    <n v="0"/>
    <m/>
    <m/>
    <m/>
    <m/>
    <m/>
    <m/>
    <m/>
    <m/>
  </r>
  <r>
    <x v="192"/>
    <x v="5"/>
    <s v="Series 5c"/>
    <n v="4044079.5244999998"/>
    <e v="#DIV/0!"/>
    <n v="2.8"/>
    <n v="0"/>
    <n v="0"/>
    <n v="0"/>
    <m/>
    <m/>
    <n v="0"/>
    <e v="#DIV/0!"/>
    <n v="0"/>
    <n v="0"/>
    <s v="Private Equity Fund"/>
    <n v="0"/>
    <n v="0.21954345"/>
    <n v="0"/>
    <n v="0"/>
    <m/>
    <m/>
    <m/>
    <m/>
    <m/>
    <m/>
    <m/>
    <m/>
  </r>
  <r>
    <x v="193"/>
    <x v="5"/>
    <s v="Series 5c"/>
    <n v="4068688.5970000001"/>
    <e v="#DIV/0!"/>
    <n v="2.8"/>
    <n v="0"/>
    <n v="0"/>
    <n v="0"/>
    <m/>
    <m/>
    <n v="0"/>
    <e v="#DIV/0!"/>
    <n v="0"/>
    <n v="0"/>
    <s v="Private Equity Fund"/>
    <n v="0"/>
    <n v="0.22388622"/>
    <n v="0"/>
    <n v="0"/>
    <m/>
    <m/>
    <m/>
    <m/>
    <m/>
    <m/>
    <m/>
    <m/>
  </r>
  <r>
    <x v="194"/>
    <x v="5"/>
    <s v="Series 5c"/>
    <n v="4075010.8714999999"/>
    <e v="#DIV/0!"/>
    <n v="2.8"/>
    <n v="0"/>
    <n v="0"/>
    <n v="0"/>
    <m/>
    <m/>
    <n v="0"/>
    <e v="#DIV/0!"/>
    <n v="0"/>
    <n v="0"/>
    <s v="Private Equity Fund"/>
    <n v="1.6319279999999999E-2"/>
    <n v="0.22500191999999999"/>
    <n v="0"/>
    <n v="0"/>
    <m/>
    <m/>
    <m/>
    <m/>
    <m/>
    <m/>
    <m/>
    <m/>
  </r>
  <r>
    <x v="195"/>
    <x v="5"/>
    <s v="Series 5c"/>
    <n v="4091275.8254999998"/>
    <s v=""/>
    <n v="2.8"/>
    <n v="0"/>
    <n v="0"/>
    <n v="0"/>
    <m/>
    <m/>
    <n v="0"/>
    <e v="#DIV/0!"/>
    <n v="0"/>
    <n v="0"/>
    <s v="Private Equity Fund"/>
    <n v="0"/>
    <n v="0.22787220449999998"/>
    <n v="0"/>
    <n v="0"/>
    <m/>
    <m/>
    <m/>
    <m/>
    <m/>
    <m/>
    <m/>
    <m/>
  </r>
  <r>
    <x v="196"/>
    <x v="5"/>
    <s v="Series 5c"/>
    <n v="4100797.585"/>
    <s v=""/>
    <n v="2.8"/>
    <n v="0"/>
    <n v="0"/>
    <n v="0"/>
    <m/>
    <m/>
    <n v="0"/>
    <e v="#DIV/0!"/>
    <n v="0"/>
    <n v="0"/>
    <s v="Private Equity Fund"/>
    <n v="0"/>
    <n v="0.22955251499999993"/>
    <n v="0"/>
    <n v="0"/>
    <m/>
    <m/>
    <m/>
    <m/>
    <m/>
    <m/>
    <m/>
    <m/>
  </r>
  <r>
    <x v="197"/>
    <x v="5"/>
    <s v="Series 5c"/>
    <n v="4042907.0515000001"/>
    <m/>
    <n v="2.8"/>
    <n v="0"/>
    <n v="0"/>
    <n v="0"/>
    <m/>
    <n v="0"/>
    <n v="0"/>
    <e v="#DIV/0!"/>
    <n v="0"/>
    <n v="0"/>
    <s v="Private Equity Fund"/>
    <n v="1.5999456882540623E-2"/>
    <n v="0.21933653849999996"/>
    <m/>
    <m/>
    <m/>
    <m/>
    <m/>
    <m/>
    <m/>
    <m/>
    <m/>
    <m/>
  </r>
  <r>
    <x v="198"/>
    <x v="5"/>
    <s v="Series 5c"/>
    <n v="4049736.6485000001"/>
    <m/>
    <n v="2.8"/>
    <n v="0"/>
    <n v="0"/>
    <n v="0"/>
    <n v="0"/>
    <m/>
    <n v="0"/>
    <e v="#DIV/0!"/>
    <n v="-4049736.6485000001"/>
    <n v="-4049736.6485000001"/>
    <s v="Private Equity Fund"/>
    <n v="5.7990639749147853E-3"/>
    <n v="0.22054176150000002"/>
    <m/>
    <m/>
    <m/>
    <m/>
    <m/>
    <m/>
    <m/>
    <m/>
    <m/>
    <m/>
  </r>
  <r>
    <x v="202"/>
    <x v="5"/>
    <s v="Series 5d"/>
    <n v="592800"/>
    <e v="#DIV/0!"/>
    <n v="5.2"/>
    <n v="592800"/>
    <n v="0"/>
    <n v="0"/>
    <m/>
    <m/>
    <n v="592800"/>
    <e v="#DIV/0!"/>
    <n v="592800"/>
    <n v="592800"/>
    <s v="Private Equity Fund"/>
    <n v="0"/>
    <n v="0"/>
    <n v="0"/>
    <n v="0"/>
    <m/>
    <m/>
    <m/>
    <m/>
    <m/>
    <m/>
    <m/>
    <m/>
  </r>
  <r>
    <x v="203"/>
    <x v="5"/>
    <s v="Series 5d"/>
    <n v="1315599.9999999998"/>
    <e v="#DIV/0!"/>
    <n v="5.2"/>
    <n v="722800"/>
    <n v="0"/>
    <n v="0"/>
    <m/>
    <m/>
    <n v="722800"/>
    <e v="#DIV/0!"/>
    <n v="722800"/>
    <n v="722800"/>
    <s v="Private Equity Fund"/>
    <n v="0"/>
    <n v="0"/>
    <n v="0"/>
    <n v="0"/>
    <m/>
    <m/>
    <m/>
    <m/>
    <m/>
    <m/>
    <m/>
    <m/>
  </r>
  <r>
    <x v="12"/>
    <x v="5"/>
    <s v="Series 5d"/>
    <n v="1319648.626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3"/>
    <x v="5"/>
    <s v="Series 5d"/>
    <n v="1287631.9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5d"/>
    <n v="2183993.2400000002"/>
    <e v="#DIV/0!"/>
    <n v="5.2"/>
    <n v="878800"/>
    <n v="0"/>
    <n v="0"/>
    <m/>
    <m/>
    <n v="878800"/>
    <e v="#DIV/0!"/>
    <n v="878800"/>
    <n v="878800"/>
    <s v="Private Equity Fund"/>
    <n v="0"/>
    <n v="0"/>
    <n v="0"/>
    <n v="0"/>
    <m/>
    <m/>
    <m/>
    <m/>
    <m/>
    <m/>
    <m/>
    <m/>
  </r>
  <r>
    <x v="151"/>
    <x v="5"/>
    <s v="Series 5d"/>
    <n v="2227448.08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5d"/>
    <n v="2235564.7519999999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5d"/>
    <n v="2900307.3870000001"/>
    <e v="#DIV/0!"/>
    <n v="5.2"/>
    <n v="603200"/>
    <n v="0"/>
    <n v="0"/>
    <m/>
    <m/>
    <n v="603200"/>
    <e v="#DIV/0!"/>
    <n v="603200"/>
    <n v="603200"/>
    <s v="Private Equity Fund"/>
    <n v="0"/>
    <n v="0"/>
    <n v="0"/>
    <n v="0"/>
    <m/>
    <m/>
    <m/>
    <m/>
    <m/>
    <m/>
    <m/>
    <m/>
  </r>
  <r>
    <x v="154"/>
    <x v="5"/>
    <s v="Series 5d"/>
    <n v="3177317.9145"/>
    <e v="#DIV/0!"/>
    <n v="5.2"/>
    <n v="241800"/>
    <n v="0"/>
    <n v="0"/>
    <m/>
    <m/>
    <n v="241800"/>
    <e v="#DIV/0!"/>
    <n v="241800"/>
    <n v="241800"/>
    <s v="Private Equity Fund"/>
    <n v="0"/>
    <n v="0"/>
    <n v="0"/>
    <n v="0"/>
    <m/>
    <m/>
    <m/>
    <m/>
    <m/>
    <m/>
    <m/>
    <m/>
  </r>
  <r>
    <x v="155"/>
    <x v="5"/>
    <s v="Series 5d"/>
    <n v="3632076.7675000001"/>
    <e v="#DIV/0!"/>
    <n v="5.2"/>
    <n v="379600"/>
    <n v="0"/>
    <n v="0"/>
    <m/>
    <m/>
    <n v="379600"/>
    <e v="#DIV/0!"/>
    <n v="379600"/>
    <n v="379600"/>
    <s v="Private Equity Fund"/>
    <n v="0"/>
    <n v="0"/>
    <n v="0"/>
    <n v="0"/>
    <m/>
    <m/>
    <m/>
    <m/>
    <m/>
    <m/>
    <m/>
    <m/>
  </r>
  <r>
    <x v="156"/>
    <x v="5"/>
    <s v="Series 5d"/>
    <n v="3951943.0134999999"/>
    <e v="#DIV/0!"/>
    <n v="5.2"/>
    <n v="52000"/>
    <n v="0"/>
    <n v="0"/>
    <m/>
    <m/>
    <n v="52000"/>
    <e v="#DIV/0!"/>
    <n v="52000"/>
    <n v="52000"/>
    <s v="Private Equity Fund"/>
    <n v="0"/>
    <n v="0"/>
    <n v="0"/>
    <n v="0"/>
    <m/>
    <m/>
    <m/>
    <m/>
    <m/>
    <m/>
    <m/>
    <m/>
  </r>
  <r>
    <x v="157"/>
    <x v="5"/>
    <s v="Series 5d"/>
    <n v="4119888.9389999998"/>
    <e v="#DIV/0!"/>
    <n v="5.2"/>
    <n v="156000"/>
    <n v="0"/>
    <n v="0"/>
    <m/>
    <m/>
    <n v="156000"/>
    <e v="#DIV/0!"/>
    <n v="156000"/>
    <n v="156000"/>
    <s v="Private Equity Fund"/>
    <n v="0"/>
    <n v="0"/>
    <n v="0"/>
    <n v="0"/>
    <m/>
    <m/>
    <m/>
    <m/>
    <m/>
    <m/>
    <m/>
    <m/>
  </r>
  <r>
    <x v="158"/>
    <x v="5"/>
    <s v="Series 5d"/>
    <n v="4063773.4434999996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5d"/>
    <n v="4148424.1315000006"/>
    <e v="#DIV/0!"/>
    <n v="5.2"/>
    <n v="150800"/>
    <n v="0"/>
    <n v="0"/>
    <m/>
    <m/>
    <n v="150800"/>
    <e v="#DIV/0!"/>
    <n v="150800"/>
    <n v="150800"/>
    <s v="Private Equity Fund"/>
    <n v="0"/>
    <n v="0"/>
    <n v="0"/>
    <n v="0"/>
    <m/>
    <m/>
    <m/>
    <m/>
    <m/>
    <m/>
    <m/>
    <m/>
  </r>
  <r>
    <x v="160"/>
    <x v="5"/>
    <s v="Series 5d"/>
    <n v="4087134.05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5d"/>
    <n v="4103342.281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5d"/>
    <n v="4218142.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5d"/>
    <n v="4427179.1694999998"/>
    <e v="#DIV/0!"/>
    <n v="5.2"/>
    <n v="223600"/>
    <n v="0"/>
    <n v="0"/>
    <m/>
    <m/>
    <n v="223600"/>
    <e v="#DIV/0!"/>
    <n v="223600"/>
    <n v="223600"/>
    <s v="Private Equity Fund"/>
    <n v="0"/>
    <n v="0"/>
    <n v="0"/>
    <n v="0"/>
    <m/>
    <m/>
    <m/>
    <m/>
    <m/>
    <m/>
    <m/>
    <m/>
  </r>
  <r>
    <x v="164"/>
    <x v="5"/>
    <s v="Series 5d"/>
    <n v="4461447.4464999996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5d"/>
    <n v="4411236.4079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5d"/>
    <n v="5694017.5860000001"/>
    <e v="#DIV/0!"/>
    <n v="5.2"/>
    <n v="1198600"/>
    <n v="0"/>
    <n v="0"/>
    <m/>
    <m/>
    <n v="1198600"/>
    <e v="#DIV/0!"/>
    <n v="1198600"/>
    <n v="1198600"/>
    <s v="Private Equity Fund"/>
    <n v="0"/>
    <n v="0"/>
    <n v="0"/>
    <n v="0"/>
    <m/>
    <m/>
    <m/>
    <m/>
    <m/>
    <m/>
    <m/>
    <m/>
  </r>
  <r>
    <x v="167"/>
    <x v="5"/>
    <s v="Series 5d"/>
    <n v="5743964.7675000001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5d"/>
    <n v="5817384.129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5d"/>
    <n v="5880338.554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5d"/>
    <n v="6035891.9550000001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5d"/>
    <n v="6102899.095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5d"/>
    <n v="6090400.51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5d"/>
    <n v="6324918.202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5d"/>
    <n v="6522023.521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5d"/>
    <n v="6553636.0925000003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5d"/>
    <n v="6516965.6560000004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5d"/>
    <n v="6615104.9134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5d"/>
    <n v="6872350.2479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5d"/>
    <n v="6775789.0324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5d"/>
    <n v="6751761.6749999998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5d"/>
    <n v="6583300.1744999997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5d"/>
    <n v="6819993.7244999995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5d"/>
    <n v="6964480.193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5d"/>
    <n v="69886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5d"/>
    <n v="6953801.0628649574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5d"/>
    <n v="69948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5d"/>
    <n v="70108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5d"/>
    <n v="73366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5d"/>
    <n v="7421800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5d"/>
    <n v="7487797.8200000003"/>
    <e v="#DIV/0!"/>
    <n v="5.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5d"/>
    <n v="7551320.983"/>
    <e v="#DIV/0!"/>
    <n v="5.2"/>
    <n v="0"/>
    <n v="0"/>
    <n v="0"/>
    <m/>
    <m/>
    <n v="0"/>
    <e v="#DIV/0!"/>
    <n v="0"/>
    <n v="0"/>
    <s v="Private Equity Fund"/>
    <n v="1.5745325537686965E-2"/>
    <n v="0.41493899700000003"/>
    <n v="0"/>
    <n v="0"/>
    <m/>
    <m/>
    <m/>
    <m/>
    <m/>
    <m/>
    <m/>
    <m/>
  </r>
  <r>
    <x v="192"/>
    <x v="5"/>
    <s v="Series 5d"/>
    <n v="7630754.0949999997"/>
    <e v="#DIV/0!"/>
    <n v="5.2"/>
    <n v="0"/>
    <n v="0"/>
    <n v="0"/>
    <m/>
    <m/>
    <n v="0"/>
    <e v="#DIV/0!"/>
    <n v="0"/>
    <n v="0"/>
    <s v="Private Equity Fund"/>
    <n v="0"/>
    <n v="0.42895661000000002"/>
    <n v="0"/>
    <n v="0"/>
    <m/>
    <m/>
    <m/>
    <m/>
    <m/>
    <m/>
    <m/>
    <m/>
  </r>
  <r>
    <x v="193"/>
    <x v="5"/>
    <s v="Series 5d"/>
    <n v="7680300.3569999998"/>
    <e v="#DIV/0!"/>
    <n v="5.2"/>
    <n v="0"/>
    <n v="0"/>
    <n v="0"/>
    <m/>
    <m/>
    <n v="0"/>
    <e v="#DIV/0!"/>
    <n v="0"/>
    <n v="0"/>
    <s v="Private Equity Fund"/>
    <n v="0"/>
    <n v="0.43770006"/>
    <n v="0"/>
    <n v="0"/>
    <m/>
    <m/>
    <m/>
    <m/>
    <m/>
    <m/>
    <m/>
    <m/>
  </r>
  <r>
    <x v="194"/>
    <x v="5"/>
    <s v="Series 5d"/>
    <n v="7718232.5080000004"/>
    <e v="#DIV/0!"/>
    <n v="5.2"/>
    <n v="0"/>
    <n v="0"/>
    <n v="0"/>
    <m/>
    <m/>
    <n v="0"/>
    <e v="#DIV/0!"/>
    <n v="0"/>
    <n v="0"/>
    <s v="Private Equity Fund"/>
    <n v="1.6492690000000001E-2"/>
    <n v="0.44439397000000003"/>
    <n v="0"/>
    <n v="0"/>
    <m/>
    <m/>
    <m/>
    <m/>
    <m/>
    <m/>
    <m/>
    <m/>
  </r>
  <r>
    <x v="195"/>
    <x v="5"/>
    <s v="Series 5d"/>
    <n v="7718663.8490000004"/>
    <s v=""/>
    <n v="5.2"/>
    <n v="0"/>
    <n v="0"/>
    <n v="0"/>
    <m/>
    <m/>
    <n v="0"/>
    <e v="#DIV/0!"/>
    <n v="0"/>
    <n v="0"/>
    <s v="Private Equity Fund"/>
    <n v="0"/>
    <n v="0.44447009100000001"/>
    <n v="0"/>
    <n v="0"/>
    <m/>
    <m/>
    <m/>
    <m/>
    <m/>
    <m/>
    <m/>
    <m/>
  </r>
  <r>
    <x v="196"/>
    <x v="5"/>
    <s v="Series 5d"/>
    <n v="7740461.8439999996"/>
    <s v=""/>
    <n v="5.2"/>
    <n v="0"/>
    <n v="0"/>
    <n v="0"/>
    <m/>
    <m/>
    <n v="0"/>
    <e v="#DIV/0!"/>
    <n v="0"/>
    <n v="0"/>
    <s v="Private Equity Fund"/>
    <n v="0"/>
    <n v="0.44831679599999991"/>
    <n v="0"/>
    <n v="0"/>
    <m/>
    <m/>
    <m/>
    <m/>
    <m/>
    <m/>
    <m/>
    <m/>
  </r>
  <r>
    <x v="197"/>
    <x v="5"/>
    <s v="Series 5d"/>
    <n v="7669947.8415000001"/>
    <m/>
    <n v="5.2"/>
    <n v="0"/>
    <n v="0"/>
    <n v="0"/>
    <m/>
    <n v="0"/>
    <n v="0"/>
    <e v="#DIV/0!"/>
    <n v="0"/>
    <n v="0"/>
    <s v="Private Equity Fund"/>
    <n v="1.6199536836271119E-2"/>
    <n v="0.43587314850000003"/>
    <m/>
    <m/>
    <m/>
    <m/>
    <m/>
    <m/>
    <m/>
    <m/>
    <m/>
    <m/>
  </r>
  <r>
    <x v="198"/>
    <x v="5"/>
    <s v="Series 5d"/>
    <n v="7641448.1914999997"/>
    <m/>
    <n v="5.2"/>
    <n v="0"/>
    <n v="0"/>
    <n v="0"/>
    <n v="0"/>
    <m/>
    <n v="0"/>
    <e v="#DIV/0!"/>
    <n v="-7641448.1914999997"/>
    <n v="-7641448.1914999997"/>
    <s v="Private Equity Fund"/>
    <n v="5.8428153100409672E-3"/>
    <n v="0.43084379850000004"/>
    <m/>
    <m/>
    <m/>
    <m/>
    <m/>
    <m/>
    <m/>
    <m/>
    <m/>
    <m/>
  </r>
  <r>
    <x v="204"/>
    <x v="5"/>
    <s v="Series 6"/>
    <n v="859790"/>
    <e v="#DIV/0!"/>
    <n v="6.77"/>
    <n v="859790"/>
    <n v="0"/>
    <n v="0"/>
    <m/>
    <m/>
    <n v="859790"/>
    <e v="#DIV/0!"/>
    <n v="859790"/>
    <n v="859790"/>
    <s v="Private Equity Fund"/>
    <n v="0"/>
    <n v="0"/>
    <n v="0"/>
    <n v="0"/>
    <m/>
    <m/>
    <m/>
    <m/>
    <m/>
    <m/>
    <m/>
    <m/>
  </r>
  <r>
    <x v="153"/>
    <x v="5"/>
    <s v="Series 6"/>
    <n v="857293.5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4"/>
    <x v="5"/>
    <s v="Series 6"/>
    <n v="1397700.68"/>
    <e v="#DIV/0!"/>
    <n v="6.77"/>
    <n v="534830"/>
    <n v="0"/>
    <n v="0"/>
    <m/>
    <m/>
    <n v="534830"/>
    <e v="#DIV/0!"/>
    <n v="534830"/>
    <n v="534830"/>
    <s v="Private Equity Fund"/>
    <n v="0"/>
    <n v="0"/>
    <n v="0"/>
    <n v="0"/>
    <m/>
    <m/>
    <m/>
    <m/>
    <m/>
    <m/>
    <m/>
    <m/>
  </r>
  <r>
    <x v="155"/>
    <x v="5"/>
    <s v="Series 6"/>
    <n v="2030467.2799999998"/>
    <e v="#DIV/0!"/>
    <n v="6.77"/>
    <n v="541600"/>
    <n v="0"/>
    <n v="0"/>
    <m/>
    <m/>
    <n v="541600"/>
    <e v="#DIV/0!"/>
    <n v="541600"/>
    <n v="541600"/>
    <s v="Private Equity Fund"/>
    <n v="0"/>
    <n v="0"/>
    <n v="0"/>
    <n v="0"/>
    <m/>
    <m/>
    <m/>
    <m/>
    <m/>
    <m/>
    <m/>
    <m/>
  </r>
  <r>
    <x v="156"/>
    <x v="5"/>
    <s v="Series 6"/>
    <n v="3046891.53"/>
    <e v="#DIV/0!"/>
    <n v="6.77"/>
    <n v="771780"/>
    <n v="0"/>
    <n v="0"/>
    <m/>
    <m/>
    <n v="771780"/>
    <e v="#DIV/0!"/>
    <n v="771780"/>
    <n v="771780"/>
    <s v="Private Equity Fund"/>
    <n v="0"/>
    <n v="0"/>
    <n v="0"/>
    <n v="0"/>
    <m/>
    <m/>
    <m/>
    <m/>
    <m/>
    <m/>
    <m/>
    <m/>
  </r>
  <r>
    <x v="157"/>
    <x v="5"/>
    <s v="Series 6"/>
    <n v="3586142.68"/>
    <e v="#DIV/0!"/>
    <n v="6.77"/>
    <n v="514520"/>
    <n v="0"/>
    <n v="0"/>
    <m/>
    <m/>
    <n v="514520"/>
    <e v="#DIV/0!"/>
    <n v="514520"/>
    <n v="514520"/>
    <s v="Private Equity Fund"/>
    <n v="0"/>
    <n v="0"/>
    <n v="0"/>
    <n v="0"/>
    <m/>
    <m/>
    <m/>
    <m/>
    <m/>
    <m/>
    <m/>
    <m/>
  </r>
  <r>
    <x v="158"/>
    <x v="5"/>
    <s v="Series 6"/>
    <n v="3531947.4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6"/>
    <n v="4044744.11"/>
    <e v="#DIV/0!"/>
    <n v="6.77"/>
    <n v="588990"/>
    <n v="0"/>
    <n v="0"/>
    <m/>
    <m/>
    <n v="588990"/>
    <e v="#DIV/0!"/>
    <n v="588990"/>
    <n v="588990"/>
    <s v="Private Equity Fund"/>
    <n v="0"/>
    <n v="0"/>
    <n v="0"/>
    <n v="0"/>
    <m/>
    <m/>
    <m/>
    <m/>
    <m/>
    <m/>
    <m/>
    <m/>
  </r>
  <r>
    <x v="160"/>
    <x v="5"/>
    <s v="Series 6"/>
    <n v="3968308.7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6"/>
    <n v="3982092.5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6"/>
    <n v="4100663.6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6"/>
    <n v="4451253.05"/>
    <e v="#DIV/0!"/>
    <n v="6.77"/>
    <n v="338500"/>
    <n v="0"/>
    <n v="0"/>
    <m/>
    <m/>
    <n v="338500"/>
    <e v="#DIV/0!"/>
    <n v="338500"/>
    <n v="338500"/>
    <s v="Private Equity Fund"/>
    <n v="0"/>
    <n v="0"/>
    <n v="0"/>
    <n v="0"/>
    <m/>
    <m/>
    <m/>
    <m/>
    <m/>
    <m/>
    <m/>
    <m/>
  </r>
  <r>
    <x v="164"/>
    <x v="5"/>
    <s v="Series 6"/>
    <n v="4483105.889999999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6"/>
    <n v="4389303.26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6"/>
    <n v="6006931.2300000004"/>
    <e v="#DIV/0!"/>
    <n v="6.77"/>
    <n v="1516480"/>
    <n v="0"/>
    <n v="0"/>
    <m/>
    <m/>
    <n v="1516480"/>
    <e v="#DIV/0!"/>
    <n v="1516480"/>
    <n v="1516480"/>
    <s v="Private Equity Fund"/>
    <n v="0"/>
    <n v="0"/>
    <n v="0"/>
    <n v="0"/>
    <m/>
    <m/>
    <m/>
    <m/>
    <m/>
    <m/>
    <m/>
    <m/>
  </r>
  <r>
    <x v="167"/>
    <x v="5"/>
    <s v="Series 6"/>
    <n v="6079516.65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6"/>
    <n v="7232755.7800000003"/>
    <e v="#DIV/0!"/>
    <n v="6.77"/>
    <n v="1103510"/>
    <n v="0"/>
    <n v="0"/>
    <m/>
    <m/>
    <n v="1103510"/>
    <e v="#DIV/0!"/>
    <n v="1103510"/>
    <n v="1103510"/>
    <s v="Private Equity Fund"/>
    <n v="0"/>
    <n v="0"/>
    <n v="0"/>
    <n v="0"/>
    <m/>
    <m/>
    <m/>
    <m/>
    <m/>
    <m/>
    <m/>
    <m/>
  </r>
  <r>
    <x v="169"/>
    <x v="5"/>
    <s v="Series 6"/>
    <n v="7331596.780000000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6"/>
    <n v="7552291.69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6"/>
    <n v="7579551.160000000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6"/>
    <n v="7551779.830000000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6"/>
    <n v="7943256.79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6"/>
    <n v="8157145.0599999996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6"/>
    <n v="8193606.929999999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6"/>
    <n v="8162605.360000000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6"/>
    <n v="8276887.69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6"/>
    <n v="8596559.859999999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6"/>
    <n v="8507608.25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6"/>
    <n v="8485080.429999999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6"/>
    <n v="8553917.3000000007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6"/>
    <n v="8635086.40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6"/>
    <n v="8787317.1899999995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6"/>
    <n v="88362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6"/>
    <n v="8822200.01278718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6"/>
    <n v="88631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6"/>
    <n v="89063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6"/>
    <n v="93856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6"/>
    <n v="9519300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6"/>
    <n v="9629991.9100000001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6"/>
    <n v="9765815.4600000009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2"/>
    <x v="5"/>
    <s v="Series 6"/>
    <n v="9837125.0299999993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3"/>
    <x v="5"/>
    <s v="Series 6"/>
    <n v="9916416.4800000004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4"/>
    <x v="5"/>
    <s v="Series 6"/>
    <n v="10017799.789999999"/>
    <e v="#DIV/0!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5"/>
    <x v="5"/>
    <s v="Series 6"/>
    <n v="9965116.4167347848"/>
    <s v="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6"/>
    <x v="5"/>
    <s v="Series 6"/>
    <n v="10000078.720000001"/>
    <s v=""/>
    <n v="6.7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7"/>
    <x v="5"/>
    <s v="Series 6"/>
    <n v="9954867.5399999991"/>
    <m/>
    <n v="6.77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6"/>
    <n v="9834044.7899999991"/>
    <m/>
    <n v="6.77"/>
    <n v="0"/>
    <n v="0"/>
    <n v="0"/>
    <n v="0"/>
    <m/>
    <n v="0"/>
    <e v="#DIV/0!"/>
    <n v="-9834044.7899999991"/>
    <n v="-9834044.7899999991"/>
    <s v="Private Equity Fund"/>
    <n v="0"/>
    <n v="0"/>
    <m/>
    <m/>
    <m/>
    <m/>
    <m/>
    <m/>
    <m/>
    <m/>
    <m/>
    <m/>
  </r>
  <r>
    <x v="204"/>
    <x v="5"/>
    <s v="Series 7"/>
    <n v="339090"/>
    <e v="#DIV/0!"/>
    <n v="2.67"/>
    <n v="339090"/>
    <n v="0"/>
    <n v="0"/>
    <m/>
    <m/>
    <n v="339090"/>
    <e v="#DIV/0!"/>
    <n v="339090"/>
    <n v="339090"/>
    <s v="Private Equity Fund"/>
    <n v="0"/>
    <n v="0"/>
    <n v="0"/>
    <n v="0"/>
    <m/>
    <m/>
    <m/>
    <m/>
    <m/>
    <m/>
    <m/>
    <m/>
  </r>
  <r>
    <x v="153"/>
    <x v="5"/>
    <s v="Series 7"/>
    <n v="337688.57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4"/>
    <x v="5"/>
    <s v="Series 7"/>
    <n v="549921.07999999996"/>
    <e v="#DIV/0!"/>
    <n v="2.67"/>
    <n v="210930"/>
    <n v="0"/>
    <n v="0"/>
    <m/>
    <m/>
    <n v="210930"/>
    <e v="#DIV/0!"/>
    <n v="210930"/>
    <n v="210930"/>
    <s v="Private Equity Fund"/>
    <n v="0"/>
    <n v="0"/>
    <n v="0"/>
    <n v="0"/>
    <m/>
    <m/>
    <m/>
    <m/>
    <m/>
    <m/>
    <m/>
    <m/>
  </r>
  <r>
    <x v="155"/>
    <x v="5"/>
    <s v="Series 7"/>
    <n v="795358.47"/>
    <e v="#DIV/0!"/>
    <n v="2.67"/>
    <n v="216270"/>
    <n v="0"/>
    <n v="0"/>
    <m/>
    <m/>
    <n v="216270"/>
    <e v="#DIV/0!"/>
    <n v="216270"/>
    <n v="216270"/>
    <s v="Private Equity Fund"/>
    <n v="0"/>
    <n v="0"/>
    <n v="0"/>
    <n v="0"/>
    <m/>
    <m/>
    <m/>
    <m/>
    <m/>
    <m/>
    <m/>
    <m/>
  </r>
  <r>
    <x v="156"/>
    <x v="5"/>
    <s v="Series 7"/>
    <n v="1183014.1854999999"/>
    <e v="#DIV/0!"/>
    <n v="2.67"/>
    <n v="304380"/>
    <n v="0"/>
    <n v="0"/>
    <m/>
    <m/>
    <n v="304380"/>
    <e v="#DIV/0!"/>
    <n v="304380"/>
    <n v="304380"/>
    <s v="Private Equity Fund"/>
    <n v="0"/>
    <n v="0"/>
    <n v="0"/>
    <n v="0"/>
    <m/>
    <m/>
    <m/>
    <m/>
    <m/>
    <m/>
    <m/>
    <m/>
  </r>
  <r>
    <x v="157"/>
    <x v="5"/>
    <s v="Series 7"/>
    <n v="1391626.0149999999"/>
    <e v="#DIV/0!"/>
    <n v="2.67"/>
    <n v="202920"/>
    <n v="0"/>
    <n v="0"/>
    <m/>
    <m/>
    <n v="202920"/>
    <e v="#DIV/0!"/>
    <n v="202920"/>
    <n v="202920"/>
    <s v="Private Equity Fund"/>
    <n v="0"/>
    <n v="0"/>
    <n v="0"/>
    <n v="0"/>
    <m/>
    <m/>
    <m/>
    <m/>
    <m/>
    <m/>
    <m/>
    <m/>
  </r>
  <r>
    <x v="158"/>
    <x v="5"/>
    <s v="Series 7"/>
    <n v="1370366.1635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7"/>
    <n v="1575392.5325"/>
    <e v="#DIV/0!"/>
    <n v="2.67"/>
    <n v="232290"/>
    <n v="0"/>
    <n v="0"/>
    <m/>
    <m/>
    <n v="232290"/>
    <e v="#DIV/0!"/>
    <n v="232290"/>
    <n v="232290"/>
    <s v="Private Equity Fund"/>
    <n v="0"/>
    <n v="0"/>
    <n v="0"/>
    <n v="0"/>
    <m/>
    <m/>
    <m/>
    <m/>
    <m/>
    <m/>
    <m/>
    <m/>
  </r>
  <r>
    <x v="160"/>
    <x v="5"/>
    <s v="Series 7"/>
    <n v="1548113.031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7"/>
    <n v="1551081.98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7"/>
    <n v="1594170.791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7"/>
    <n v="1723020.3655000001"/>
    <e v="#DIV/0!"/>
    <n v="2.67"/>
    <n v="133500"/>
    <n v="0"/>
    <n v="0"/>
    <m/>
    <m/>
    <n v="133500"/>
    <e v="#DIV/0!"/>
    <n v="133500"/>
    <n v="133500"/>
    <s v="Private Equity Fund"/>
    <n v="0"/>
    <n v="0"/>
    <n v="0"/>
    <n v="0"/>
    <m/>
    <m/>
    <m/>
    <m/>
    <m/>
    <m/>
    <m/>
    <m/>
  </r>
  <r>
    <x v="164"/>
    <x v="5"/>
    <s v="Series 7"/>
    <n v="1733415.8230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7"/>
    <n v="1705873.7660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7"/>
    <n v="2334662.2004999998"/>
    <e v="#DIV/0!"/>
    <n v="2.67"/>
    <n v="598080"/>
    <n v="0"/>
    <n v="0"/>
    <m/>
    <m/>
    <n v="598080"/>
    <e v="#DIV/0!"/>
    <n v="598080"/>
    <n v="598080"/>
    <s v="Private Equity Fund"/>
    <n v="0"/>
    <n v="0"/>
    <n v="0"/>
    <n v="0"/>
    <m/>
    <m/>
    <m/>
    <m/>
    <m/>
    <m/>
    <m/>
    <m/>
  </r>
  <r>
    <x v="167"/>
    <x v="5"/>
    <s v="Series 7"/>
    <n v="2350747.3539999998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7"/>
    <n v="2810271.5644999999"/>
    <e v="#DIV/0!"/>
    <n v="2.67"/>
    <n v="432540"/>
    <n v="0"/>
    <n v="0"/>
    <m/>
    <m/>
    <n v="432540"/>
    <e v="#DIV/0!"/>
    <n v="432540"/>
    <n v="432540"/>
    <s v="Private Equity Fund"/>
    <n v="0"/>
    <n v="0"/>
    <n v="0"/>
    <n v="0"/>
    <m/>
    <m/>
    <m/>
    <m/>
    <m/>
    <m/>
    <m/>
    <m/>
  </r>
  <r>
    <x v="169"/>
    <x v="5"/>
    <s v="Series 7"/>
    <n v="2840150.075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7"/>
    <n v="2897727.401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7"/>
    <n v="2926397.094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7"/>
    <n v="2913673.2230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7"/>
    <n v="3018880.2815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7"/>
    <n v="3087154.703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7"/>
    <n v="3099473.260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7"/>
    <n v="3082372.765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7"/>
    <n v="3127581.3925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7"/>
    <n v="3230890.086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7"/>
    <n v="3187566.003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7"/>
    <n v="3187248.1370000001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7"/>
    <n v="3196022.117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7"/>
    <n v="3219658.441500000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7"/>
    <n v="3277605.6869999999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7"/>
    <n v="32797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7"/>
    <n v="3271540.5241503487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7"/>
    <n v="32922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7"/>
    <n v="32923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7"/>
    <n v="34483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7"/>
    <n v="3500300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7"/>
    <n v="3534000.12"/>
    <e v="#DIV/0!"/>
    <n v="2.67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7"/>
    <n v="3563924.5745000001"/>
    <e v="#DIV/0!"/>
    <n v="2.67"/>
    <n v="0"/>
    <n v="0"/>
    <n v="0"/>
    <m/>
    <m/>
    <n v="0"/>
    <e v="#DIV/0!"/>
    <n v="0"/>
    <n v="0"/>
    <s v="Private Equity Fund"/>
    <n v="1.3816203926527304E-2"/>
    <n v="0.1577513955"/>
    <n v="0"/>
    <n v="0"/>
    <m/>
    <m/>
    <m/>
    <m/>
    <m/>
    <m/>
    <m/>
    <m/>
  </r>
  <r>
    <x v="192"/>
    <x v="5"/>
    <s v="Series 7"/>
    <n v="3606773.2445"/>
    <e v="#DIV/0!"/>
    <n v="2.67"/>
    <n v="0"/>
    <n v="0"/>
    <n v="0"/>
    <m/>
    <m/>
    <n v="0"/>
    <e v="#DIV/0!"/>
    <n v="0"/>
    <n v="0"/>
    <s v="Private Equity Fund"/>
    <n v="0"/>
    <n v="0.16531293"/>
    <n v="0"/>
    <n v="0"/>
    <m/>
    <m/>
    <m/>
    <m/>
    <m/>
    <m/>
    <m/>
    <m/>
  </r>
  <r>
    <x v="193"/>
    <x v="5"/>
    <s v="Series 7"/>
    <n v="3629442.9994999999"/>
    <e v="#DIV/0!"/>
    <n v="2.67"/>
    <n v="0"/>
    <n v="0"/>
    <n v="0"/>
    <m/>
    <m/>
    <n v="0"/>
    <e v="#DIV/0!"/>
    <n v="0"/>
    <n v="0"/>
    <s v="Private Equity Fund"/>
    <n v="0"/>
    <n v="0.16931346999999999"/>
    <n v="0"/>
    <n v="0"/>
    <m/>
    <m/>
    <m/>
    <m/>
    <m/>
    <m/>
    <m/>
    <m/>
  </r>
  <r>
    <x v="194"/>
    <x v="5"/>
    <s v="Series 7"/>
    <n v="3636086.03"/>
    <e v="#DIV/0!"/>
    <n v="2.67"/>
    <n v="0"/>
    <n v="0"/>
    <n v="0"/>
    <m/>
    <m/>
    <n v="0"/>
    <e v="#DIV/0!"/>
    <n v="0"/>
    <n v="0"/>
    <s v="Private Equity Fund"/>
    <n v="1.444659E-2"/>
    <n v="0.17048577000000001"/>
    <n v="0"/>
    <n v="0"/>
    <m/>
    <m/>
    <m/>
    <m/>
    <m/>
    <m/>
    <m/>
    <m/>
  </r>
  <r>
    <x v="195"/>
    <x v="5"/>
    <s v="Series 7"/>
    <n v="3649588.0674999999"/>
    <s v=""/>
    <n v="2.67"/>
    <n v="0"/>
    <n v="0"/>
    <n v="0"/>
    <m/>
    <m/>
    <n v="0"/>
    <e v="#DIV/0!"/>
    <n v="0"/>
    <n v="0"/>
    <s v="Private Equity Fund"/>
    <n v="0"/>
    <n v="0.1728684825"/>
    <n v="0"/>
    <n v="0"/>
    <m/>
    <m/>
    <m/>
    <m/>
    <m/>
    <m/>
    <m/>
    <m/>
  </r>
  <r>
    <x v="196"/>
    <x v="5"/>
    <s v="Series 7"/>
    <n v="3657115.7779999999"/>
    <s v=""/>
    <n v="2.67"/>
    <n v="0"/>
    <n v="0"/>
    <n v="0"/>
    <m/>
    <m/>
    <n v="0"/>
    <e v="#DIV/0!"/>
    <n v="0"/>
    <n v="0"/>
    <s v="Private Equity Fund"/>
    <n v="0"/>
    <n v="0.17419690200000004"/>
    <n v="0"/>
    <n v="0"/>
    <m/>
    <m/>
    <m/>
    <m/>
    <m/>
    <m/>
    <m/>
    <m/>
  </r>
  <r>
    <x v="197"/>
    <x v="5"/>
    <s v="Series 7"/>
    <n v="3602993.5835000002"/>
    <m/>
    <n v="2.67"/>
    <n v="0"/>
    <n v="0"/>
    <n v="0"/>
    <m/>
    <n v="0"/>
    <n v="0"/>
    <e v="#DIV/0!"/>
    <n v="0"/>
    <n v="0"/>
    <s v="Private Equity Fund"/>
    <n v="1.4142829852559425E-2"/>
    <n v="0.16464592649999998"/>
    <m/>
    <m/>
    <m/>
    <m/>
    <m/>
    <m/>
    <m/>
    <m/>
    <m/>
    <m/>
  </r>
  <r>
    <x v="198"/>
    <x v="5"/>
    <s v="Series 7"/>
    <n v="3605600.8054999998"/>
    <m/>
    <n v="2.67"/>
    <n v="0"/>
    <n v="0"/>
    <n v="0"/>
    <n v="0"/>
    <m/>
    <n v="0"/>
    <e v="#DIV/0!"/>
    <n v="-3605600.8054999998"/>
    <n v="-3605600.8054999998"/>
    <s v="Private Equity Fund"/>
    <n v="5.1206427321923292E-3"/>
    <n v="0.1651060245"/>
    <m/>
    <m/>
    <m/>
    <m/>
    <m/>
    <m/>
    <m/>
    <m/>
    <m/>
    <m/>
  </r>
  <r>
    <x v="204"/>
    <x v="5"/>
    <s v="Series 7a"/>
    <n v="1160000"/>
    <e v="#DIV/0!"/>
    <n v="1.75"/>
    <n v="1160000"/>
    <n v="0"/>
    <n v="0"/>
    <m/>
    <m/>
    <n v="1160000"/>
    <e v="#DIV/0!"/>
    <n v="1160000"/>
    <n v="1160000"/>
    <s v="Private Equity Fund"/>
    <n v="0"/>
    <n v="0"/>
    <n v="0"/>
    <n v="0"/>
    <m/>
    <m/>
    <m/>
    <m/>
    <m/>
    <m/>
    <m/>
    <m/>
  </r>
  <r>
    <x v="153"/>
    <x v="5"/>
    <s v="Series 7a"/>
    <n v="1156631.8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4"/>
    <x v="5"/>
    <s v="Series 7a"/>
    <n v="1164642.2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5"/>
    <x v="5"/>
    <s v="Series 7a"/>
    <n v="1726618.06"/>
    <e v="#DIV/0!"/>
    <n v="1.75"/>
    <n v="440000"/>
    <n v="0"/>
    <n v="0"/>
    <m/>
    <m/>
    <n v="440000"/>
    <e v="#DIV/0!"/>
    <n v="440000"/>
    <n v="440000"/>
    <s v="Private Equity Fund"/>
    <n v="0"/>
    <n v="0"/>
    <n v="0"/>
    <n v="0"/>
    <m/>
    <m/>
    <m/>
    <m/>
    <m/>
    <m/>
    <m/>
    <m/>
  </r>
  <r>
    <x v="156"/>
    <x v="5"/>
    <s v="Series 7a"/>
    <n v="2008952.2"/>
    <e v="#DIV/0!"/>
    <n v="1.75"/>
    <n v="150000"/>
    <n v="0"/>
    <n v="0"/>
    <m/>
    <m/>
    <n v="150000"/>
    <e v="#DIV/0!"/>
    <n v="150000"/>
    <n v="150000"/>
    <s v="Private Equity Fund"/>
    <n v="0"/>
    <n v="0"/>
    <n v="0"/>
    <n v="0"/>
    <m/>
    <m/>
    <m/>
    <m/>
    <m/>
    <m/>
    <m/>
    <m/>
  </r>
  <r>
    <x v="157"/>
    <x v="5"/>
    <s v="Series 7a"/>
    <n v="2161800.1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8"/>
    <x v="5"/>
    <s v="Series 7a"/>
    <n v="1983954.53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7a"/>
    <n v="1908570.1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7a"/>
    <n v="1850255.55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7a"/>
    <n v="1859779.78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7a"/>
    <n v="1930263.09"/>
    <e v="#DIV/0!"/>
    <n v="1.75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</r>
  <r>
    <x v="163"/>
    <x v="5"/>
    <s v="Series 7a"/>
    <n v="1846102.8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4"/>
    <x v="5"/>
    <s v="Series 7a"/>
    <n v="1944715.6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7a"/>
    <n v="1873639.5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7a"/>
    <n v="1954122.4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7"/>
    <x v="5"/>
    <s v="Series 7a"/>
    <n v="2001249.940000000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7a"/>
    <n v="1921050.9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7a"/>
    <n v="2178835.13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7a"/>
    <n v="2269232.4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7a"/>
    <n v="2378839.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7a"/>
    <n v="2340113.0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7a"/>
    <n v="2505169.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7a"/>
    <n v="2802133.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7a"/>
    <n v="2811723.3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7a"/>
    <n v="2609019.490000000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7a"/>
    <n v="2651731.13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7a"/>
    <n v="2809913.0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7a"/>
    <n v="2741889.22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7a"/>
    <n v="2689507.659999999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7a"/>
    <n v="2673231.2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7a"/>
    <n v="2706661.7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7a"/>
    <n v="2795517.96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7a"/>
    <n v="28241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7a"/>
    <n v="2788860.298837219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7a"/>
    <n v="2797005.71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7a"/>
    <n v="28095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7a"/>
    <n v="28802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7a"/>
    <n v="2900200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7a"/>
    <n v="2938514.65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7a"/>
    <n v="2940364.84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2"/>
    <x v="5"/>
    <s v="Series 7a"/>
    <n v="2985580.5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3"/>
    <x v="5"/>
    <s v="Series 7a"/>
    <n v="3008781.87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4"/>
    <x v="5"/>
    <s v="Series 7a"/>
    <n v="3041542.9"/>
    <e v="#DIV/0!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5"/>
    <x v="5"/>
    <s v="Series 7a"/>
    <n v="3024051.4804923646"/>
    <s v="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6"/>
    <x v="5"/>
    <s v="Series 7a"/>
    <n v="3049153.62"/>
    <s v=""/>
    <n v="1.7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7"/>
    <x v="5"/>
    <s v="Series 7a"/>
    <n v="3050868.61"/>
    <m/>
    <n v="1.7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7a"/>
    <n v="3037214.32"/>
    <m/>
    <n v="1.75"/>
    <n v="0"/>
    <n v="0"/>
    <n v="0"/>
    <n v="0"/>
    <m/>
    <n v="0"/>
    <e v="#DIV/0!"/>
    <n v="-3037214.32"/>
    <n v="-3037214.32"/>
    <s v="Private Equity Fund"/>
    <n v="0"/>
    <n v="0"/>
    <m/>
    <m/>
    <m/>
    <m/>
    <m/>
    <m/>
    <m/>
    <m/>
    <m/>
    <m/>
  </r>
  <r>
    <x v="204"/>
    <x v="5"/>
    <s v="Series 7c"/>
    <n v="2794000"/>
    <e v="#DIV/0!"/>
    <n v="22"/>
    <n v="2794000"/>
    <n v="0"/>
    <n v="0"/>
    <m/>
    <m/>
    <n v="2794000"/>
    <e v="#DIV/0!"/>
    <n v="2794000"/>
    <n v="2794000"/>
    <s v="Private Equity Fund"/>
    <n v="0"/>
    <n v="0"/>
    <n v="0"/>
    <n v="0"/>
    <m/>
    <m/>
    <m/>
    <m/>
    <m/>
    <m/>
    <m/>
    <m/>
  </r>
  <r>
    <x v="153"/>
    <x v="5"/>
    <s v="Series 7c"/>
    <n v="2774559.8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4"/>
    <x v="5"/>
    <s v="Series 7c"/>
    <n v="4517306.2300000004"/>
    <e v="#DIV/0!"/>
    <n v="22"/>
    <n v="1738000"/>
    <n v="0"/>
    <n v="0"/>
    <m/>
    <m/>
    <n v="1738000"/>
    <e v="#DIV/0!"/>
    <n v="1738000"/>
    <n v="1738000"/>
    <s v="Private Equity Fund"/>
    <n v="0"/>
    <n v="0"/>
    <n v="0"/>
    <n v="0"/>
    <m/>
    <m/>
    <m/>
    <m/>
    <m/>
    <m/>
    <m/>
    <m/>
  </r>
  <r>
    <x v="155"/>
    <x v="5"/>
    <s v="Series 7c"/>
    <n v="6580985.2005000003"/>
    <e v="#DIV/0!"/>
    <n v="22"/>
    <n v="1826000"/>
    <n v="0"/>
    <n v="0"/>
    <m/>
    <m/>
    <n v="1826000"/>
    <e v="#DIV/0!"/>
    <n v="1826000"/>
    <n v="1826000"/>
    <s v="Private Equity Fund"/>
    <n v="0"/>
    <n v="0"/>
    <n v="0"/>
    <n v="0"/>
    <m/>
    <m/>
    <m/>
    <m/>
    <m/>
    <m/>
    <m/>
    <m/>
  </r>
  <r>
    <x v="156"/>
    <x v="5"/>
    <s v="Series 7c"/>
    <n v="9787048.4145"/>
    <e v="#DIV/0!"/>
    <n v="22"/>
    <n v="2508000"/>
    <n v="0"/>
    <n v="0"/>
    <m/>
    <m/>
    <n v="2508000"/>
    <e v="#DIV/0!"/>
    <n v="2508000"/>
    <n v="2508000"/>
    <s v="Private Equity Fund"/>
    <n v="0"/>
    <n v="0"/>
    <n v="0"/>
    <n v="0"/>
    <m/>
    <m/>
    <m/>
    <m/>
    <m/>
    <m/>
    <m/>
    <m/>
  </r>
  <r>
    <x v="157"/>
    <x v="5"/>
    <s v="Series 7c"/>
    <n v="11483766.125499999"/>
    <e v="#DIV/0!"/>
    <n v="22"/>
    <n v="1672000"/>
    <n v="0"/>
    <n v="0"/>
    <m/>
    <m/>
    <n v="1672000"/>
    <e v="#DIV/0!"/>
    <n v="1672000"/>
    <n v="1672000"/>
    <s v="Private Equity Fund"/>
    <n v="0"/>
    <n v="0"/>
    <n v="0"/>
    <n v="0"/>
    <m/>
    <m/>
    <m/>
    <m/>
    <m/>
    <m/>
    <m/>
    <m/>
  </r>
  <r>
    <x v="158"/>
    <x v="5"/>
    <s v="Series 7c"/>
    <n v="11304354.73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7c"/>
    <n v="12990256.0485"/>
    <e v="#DIV/0!"/>
    <n v="22"/>
    <n v="1914000"/>
    <n v="0"/>
    <n v="0"/>
    <m/>
    <m/>
    <n v="1914000"/>
    <e v="#DIV/0!"/>
    <n v="1914000"/>
    <n v="1914000"/>
    <s v="Private Equity Fund"/>
    <n v="0"/>
    <n v="0"/>
    <n v="0"/>
    <n v="0"/>
    <m/>
    <m/>
    <m/>
    <m/>
    <m/>
    <m/>
    <m/>
    <m/>
  </r>
  <r>
    <x v="160"/>
    <x v="5"/>
    <s v="Series 7c"/>
    <n v="12762026.619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7c"/>
    <n v="12783146.79950000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7c"/>
    <n v="13145094.7090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7c"/>
    <n v="14193352.9395"/>
    <e v="#DIV/0!"/>
    <n v="22"/>
    <n v="1100000"/>
    <n v="0"/>
    <n v="0"/>
    <m/>
    <m/>
    <n v="1100000"/>
    <e v="#DIV/0!"/>
    <n v="1100000"/>
    <n v="1100000"/>
    <s v="Private Equity Fund"/>
    <n v="0"/>
    <n v="0"/>
    <n v="0"/>
    <n v="0"/>
    <m/>
    <m/>
    <m/>
    <m/>
    <m/>
    <m/>
    <m/>
    <m/>
  </r>
  <r>
    <x v="164"/>
    <x v="5"/>
    <s v="Series 7c"/>
    <n v="14276487.0875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7c"/>
    <n v="14055736.7240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7c"/>
    <n v="19237163.476"/>
    <e v="#DIV/0!"/>
    <n v="22"/>
    <n v="4928000"/>
    <n v="0"/>
    <n v="0"/>
    <m/>
    <m/>
    <n v="4928000"/>
    <e v="#DIV/0!"/>
    <n v="4928000"/>
    <n v="4928000"/>
    <s v="Private Equity Fund"/>
    <n v="0"/>
    <n v="0"/>
    <n v="0"/>
    <n v="0"/>
    <m/>
    <m/>
    <m/>
    <m/>
    <m/>
    <m/>
    <m/>
    <m/>
  </r>
  <r>
    <x v="167"/>
    <x v="5"/>
    <s v="Series 7c"/>
    <n v="19359442.6484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7c"/>
    <n v="23114540.901500002"/>
    <e v="#DIV/0!"/>
    <n v="22"/>
    <n v="3520000"/>
    <n v="0"/>
    <n v="0"/>
    <m/>
    <m/>
    <n v="3520000"/>
    <e v="#DIV/0!"/>
    <n v="3520000"/>
    <n v="3520000"/>
    <s v="Private Equity Fund"/>
    <n v="0"/>
    <n v="0"/>
    <n v="0"/>
    <n v="0"/>
    <m/>
    <m/>
    <m/>
    <m/>
    <m/>
    <m/>
    <m/>
    <m/>
  </r>
  <r>
    <x v="169"/>
    <x v="5"/>
    <s v="Series 7c"/>
    <n v="23360785.16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7c"/>
    <n v="23822597.981999997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7c"/>
    <n v="24071380.3680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7c"/>
    <n v="23966595.5894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7c"/>
    <n v="24821064.25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7c"/>
    <n v="25383692.078500006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7c"/>
    <n v="25485191.096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7c"/>
    <n v="25344423.208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7c"/>
    <n v="25716790.520499997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7c"/>
    <n v="26568093.715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7c"/>
    <n v="26211382.969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7c"/>
    <n v="26208342.489999998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7c"/>
    <n v="26280494.353500001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7c"/>
    <n v="26475037.550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7c"/>
    <n v="26952415.592999998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7c"/>
    <n v="269694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7c"/>
    <n v="26901638.79241142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7c"/>
    <n v="270713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7c"/>
    <n v="270725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7c"/>
    <n v="283471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7c"/>
    <n v="28775200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7c"/>
    <n v="29052532.109999999"/>
    <e v="#DIV/0!"/>
    <n v="22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7c"/>
    <n v="29298788.057999998"/>
    <e v="#DIV/0!"/>
    <n v="22"/>
    <n v="0"/>
    <n v="0"/>
    <n v="0"/>
    <m/>
    <m/>
    <n v="0"/>
    <e v="#DIV/0!"/>
    <n v="0"/>
    <n v="0"/>
    <s v="Private Equity Fund"/>
    <n v="0.113549272084965"/>
    <n v="1.2880214219999999"/>
    <n v="2.5806652746583046E-3"/>
    <n v="0"/>
    <m/>
    <m/>
    <m/>
    <m/>
    <m/>
    <m/>
    <m/>
    <m/>
  </r>
  <r>
    <x v="192"/>
    <x v="5"/>
    <s v="Series 7c"/>
    <n v="29651132.1065"/>
    <e v="#DIV/0!"/>
    <n v="22"/>
    <n v="0"/>
    <n v="0"/>
    <n v="0"/>
    <m/>
    <m/>
    <n v="0"/>
    <e v="#DIV/0!"/>
    <n v="0"/>
    <n v="0"/>
    <s v="Private Equity Fund"/>
    <n v="0"/>
    <n v="1.350199784"/>
    <n v="0"/>
    <n v="0"/>
    <m/>
    <m/>
    <m/>
    <m/>
    <m/>
    <m/>
    <m/>
    <m/>
  </r>
  <r>
    <x v="193"/>
    <x v="5"/>
    <s v="Series 7c"/>
    <n v="29837704.938999999"/>
    <e v="#DIV/0!"/>
    <n v="22"/>
    <n v="0"/>
    <n v="0"/>
    <n v="0"/>
    <m/>
    <m/>
    <n v="0"/>
    <e v="#DIV/0!"/>
    <n v="0"/>
    <n v="0"/>
    <s v="Private Equity Fund"/>
    <n v="0"/>
    <n v="1.3831244"/>
    <n v="0"/>
    <n v="0"/>
    <m/>
    <m/>
    <m/>
    <m/>
    <m/>
    <m/>
    <m/>
    <m/>
  </r>
  <r>
    <x v="194"/>
    <x v="5"/>
    <s v="Series 7c"/>
    <n v="29893114.5605"/>
    <e v="#DIV/0!"/>
    <n v="22"/>
    <n v="0"/>
    <n v="0"/>
    <n v="0"/>
    <m/>
    <m/>
    <n v="0"/>
    <e v="#DIV/0!"/>
    <n v="0"/>
    <n v="0"/>
    <s v="Private Equity Fund"/>
    <n v="0.11873577"/>
    <n v="1.39290257"/>
    <n v="2.6985404114846178E-3"/>
    <n v="0"/>
    <m/>
    <m/>
    <m/>
    <m/>
    <m/>
    <m/>
    <m/>
    <m/>
  </r>
  <r>
    <x v="195"/>
    <x v="5"/>
    <s v="Series 7c"/>
    <n v="30003333.850000001"/>
    <s v=""/>
    <n v="22"/>
    <n v="0"/>
    <n v="0"/>
    <n v="0"/>
    <m/>
    <m/>
    <n v="0"/>
    <e v="#DIV/0!"/>
    <n v="0"/>
    <n v="0"/>
    <s v="Private Equity Fund"/>
    <n v="0"/>
    <n v="1.41235303"/>
    <n v="0"/>
    <n v="0"/>
    <m/>
    <m/>
    <m/>
    <m/>
    <m/>
    <m/>
    <m/>
    <m/>
  </r>
  <r>
    <x v="196"/>
    <x v="5"/>
    <s v="Series 7c"/>
    <n v="30065156.490000002"/>
    <s v=""/>
    <n v="22"/>
    <n v="0"/>
    <n v="0"/>
    <n v="0"/>
    <m/>
    <m/>
    <n v="0"/>
    <e v="#DIV/0!"/>
    <n v="0"/>
    <n v="0"/>
    <s v="Private Equity Fund"/>
    <n v="0"/>
    <n v="1.4232629099999998"/>
    <n v="0"/>
    <n v="0"/>
    <m/>
    <m/>
    <m/>
    <m/>
    <m/>
    <m/>
    <m/>
    <m/>
  </r>
  <r>
    <x v="197"/>
    <x v="5"/>
    <s v="Series 7c"/>
    <n v="29621115.1895"/>
    <m/>
    <n v="22"/>
    <n v="0"/>
    <n v="0"/>
    <n v="0"/>
    <m/>
    <n v="0"/>
    <n v="0"/>
    <e v="#DIV/0!"/>
    <n v="0"/>
    <n v="0"/>
    <s v="Private Equity Fund"/>
    <n v="0.11623912546798738"/>
    <n v="1.3449026804999997"/>
    <n v="2.6417983060906224E-3"/>
    <m/>
    <m/>
    <m/>
    <m/>
    <m/>
    <m/>
    <m/>
    <m/>
    <m/>
  </r>
  <r>
    <x v="198"/>
    <x v="5"/>
    <s v="Series 7c"/>
    <n v="29641320.786000002"/>
    <m/>
    <n v="22"/>
    <n v="0"/>
    <n v="0"/>
    <n v="0"/>
    <n v="0"/>
    <m/>
    <n v="0"/>
    <e v="#DIV/0!"/>
    <n v="-29641320.786000002"/>
    <n v="-29641320.786000002"/>
    <s v="Private Equity Fund"/>
    <n v="4.2084321568942179E-2"/>
    <n v="1.3484683740000003"/>
    <m/>
    <m/>
    <m/>
    <m/>
    <m/>
    <m/>
    <m/>
    <m/>
    <m/>
    <m/>
  </r>
  <r>
    <x v="204"/>
    <x v="5"/>
    <s v="Series 7d"/>
    <n v="635000"/>
    <e v="#DIV/0!"/>
    <n v="5"/>
    <n v="635000"/>
    <n v="0"/>
    <n v="0"/>
    <m/>
    <m/>
    <n v="635000"/>
    <e v="#DIV/0!"/>
    <n v="635000"/>
    <n v="635000"/>
    <s v="Private Equity Fund"/>
    <n v="0"/>
    <n v="0"/>
    <n v="0"/>
    <n v="0"/>
    <m/>
    <m/>
    <m/>
    <m/>
    <m/>
    <m/>
    <m/>
    <m/>
  </r>
  <r>
    <x v="153"/>
    <x v="5"/>
    <s v="Series 7d"/>
    <n v="632739.8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4"/>
    <x v="5"/>
    <s v="Series 7d"/>
    <n v="1030818.5330000002"/>
    <e v="#DIV/0!"/>
    <n v="5"/>
    <n v="395000"/>
    <n v="0"/>
    <n v="0"/>
    <m/>
    <m/>
    <n v="395000"/>
    <e v="#DIV/0!"/>
    <n v="395000"/>
    <n v="395000"/>
    <s v="Private Equity Fund"/>
    <n v="0"/>
    <n v="0"/>
    <n v="0"/>
    <n v="0"/>
    <m/>
    <m/>
    <m/>
    <m/>
    <m/>
    <m/>
    <m/>
    <m/>
  </r>
  <r>
    <x v="155"/>
    <x v="5"/>
    <s v="Series 7d"/>
    <n v="1491642.7845000001"/>
    <e v="#DIV/0!"/>
    <n v="5"/>
    <n v="405000"/>
    <n v="0"/>
    <n v="0"/>
    <m/>
    <m/>
    <n v="405000"/>
    <e v="#DIV/0!"/>
    <n v="405000"/>
    <n v="405000"/>
    <s v="Private Equity Fund"/>
    <n v="0"/>
    <n v="0"/>
    <n v="0"/>
    <n v="0"/>
    <m/>
    <m/>
    <m/>
    <m/>
    <m/>
    <m/>
    <m/>
    <m/>
  </r>
  <r>
    <x v="156"/>
    <x v="5"/>
    <s v="Series 7d"/>
    <n v="2216485.2955"/>
    <e v="#DIV/0!"/>
    <n v="5"/>
    <n v="570000"/>
    <n v="0"/>
    <n v="0"/>
    <m/>
    <m/>
    <n v="570000"/>
    <e v="#DIV/0!"/>
    <n v="570000"/>
    <n v="570000"/>
    <s v="Private Equity Fund"/>
    <n v="0"/>
    <n v="0"/>
    <n v="0"/>
    <n v="0"/>
    <m/>
    <m/>
    <m/>
    <m/>
    <m/>
    <m/>
    <m/>
    <m/>
  </r>
  <r>
    <x v="157"/>
    <x v="5"/>
    <s v="Series 7d"/>
    <n v="2609415.2404999998"/>
    <e v="#DIV/0!"/>
    <n v="5"/>
    <n v="380000"/>
    <n v="0"/>
    <n v="0"/>
    <m/>
    <m/>
    <n v="380000"/>
    <e v="#DIV/0!"/>
    <n v="380000"/>
    <n v="380000"/>
    <s v="Private Equity Fund"/>
    <n v="0"/>
    <n v="0"/>
    <n v="0"/>
    <n v="0"/>
    <m/>
    <m/>
    <m/>
    <m/>
    <m/>
    <m/>
    <m/>
    <m/>
  </r>
  <r>
    <x v="158"/>
    <x v="5"/>
    <s v="Series 7d"/>
    <n v="2566544.17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7d"/>
    <n v="2951992.8450000002"/>
    <e v="#DIV/0!"/>
    <n v="5"/>
    <n v="435000"/>
    <n v="0"/>
    <n v="0"/>
    <m/>
    <m/>
    <n v="435000"/>
    <e v="#DIV/0!"/>
    <n v="435000"/>
    <n v="435000"/>
    <s v="Private Equity Fund"/>
    <n v="0"/>
    <n v="0"/>
    <n v="0"/>
    <n v="0"/>
    <m/>
    <m/>
    <m/>
    <m/>
    <m/>
    <m/>
    <m/>
    <m/>
  </r>
  <r>
    <x v="160"/>
    <x v="5"/>
    <s v="Series 7d"/>
    <n v="2902354.740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7d"/>
    <n v="2909357.8735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7d"/>
    <n v="2987129.7965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7d"/>
    <n v="3236025.9185000001"/>
    <e v="#DIV/0!"/>
    <n v="5"/>
    <n v="250000"/>
    <n v="0"/>
    <n v="0"/>
    <m/>
    <m/>
    <n v="250000"/>
    <e v="#DIV/0!"/>
    <n v="250000"/>
    <n v="250000"/>
    <s v="Private Equity Fund"/>
    <n v="0"/>
    <n v="0"/>
    <n v="0"/>
    <n v="0"/>
    <m/>
    <m/>
    <m/>
    <m/>
    <m/>
    <m/>
    <m/>
    <m/>
  </r>
  <r>
    <x v="164"/>
    <x v="5"/>
    <s v="Series 7d"/>
    <n v="3255730.796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7d"/>
    <n v="3200749.515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7d"/>
    <n v="4381048.6349999998"/>
    <e v="#DIV/0!"/>
    <n v="5"/>
    <n v="1120000"/>
    <n v="0"/>
    <n v="0"/>
    <m/>
    <m/>
    <n v="1120000"/>
    <e v="#DIV/0!"/>
    <n v="1120000"/>
    <n v="1120000"/>
    <s v="Private Equity Fund"/>
    <n v="0"/>
    <n v="0"/>
    <n v="0"/>
    <n v="0"/>
    <m/>
    <m/>
    <m/>
    <m/>
    <m/>
    <m/>
    <m/>
    <m/>
  </r>
  <r>
    <x v="167"/>
    <x v="5"/>
    <s v="Series 7d"/>
    <n v="4418355.576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7d"/>
    <n v="5269900.5935000004"/>
    <e v="#DIV/0!"/>
    <n v="5"/>
    <n v="810000"/>
    <n v="0"/>
    <n v="0"/>
    <m/>
    <m/>
    <n v="810000"/>
    <e v="#DIV/0!"/>
    <n v="810000"/>
    <n v="810000"/>
    <s v="Private Equity Fund"/>
    <n v="0"/>
    <n v="0"/>
    <n v="0"/>
    <n v="0"/>
    <m/>
    <m/>
    <m/>
    <m/>
    <m/>
    <m/>
    <m/>
    <m/>
  </r>
  <r>
    <x v="169"/>
    <x v="5"/>
    <s v="Series 7d"/>
    <n v="5328694.864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7d"/>
    <n v="5450800.798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7d"/>
    <n v="5487478.025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7d"/>
    <n v="5466630.756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7d"/>
    <n v="5686290.2635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7d"/>
    <n v="5817117.095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7d"/>
    <n v="5840102.829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7d"/>
    <n v="5813898.0944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7d"/>
    <n v="5892575.667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7d"/>
    <n v="6089383.154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7d"/>
    <n v="6019948.6174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7d"/>
    <n v="6013073.919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7d"/>
    <n v="6041855.9225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7d"/>
    <n v="6089193.731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7d"/>
    <n v="6191735.0630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7d"/>
    <n v="62080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7d"/>
    <n v="6195650.069016211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7d"/>
    <n v="62283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7d"/>
    <n v="62409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7d"/>
    <n v="6536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7d"/>
    <n v="66277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7d"/>
    <n v="6693713.7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7d"/>
    <n v="6763152.9685000004"/>
    <e v="#DIV/0!"/>
    <n v="5"/>
    <n v="0"/>
    <n v="0"/>
    <n v="0"/>
    <m/>
    <m/>
    <n v="0"/>
    <e v="#DIV/0!"/>
    <n v="0"/>
    <n v="0"/>
    <s v="Private Equity Fund"/>
    <n v="1.3982360487840309E-2"/>
    <n v="0.31114464150000004"/>
    <n v="0"/>
    <n v="0"/>
    <m/>
    <m/>
    <m/>
    <m/>
    <m/>
    <m/>
    <m/>
    <m/>
  </r>
  <r>
    <x v="192"/>
    <x v="5"/>
    <s v="Series 7d"/>
    <n v="6827067.8430000003"/>
    <e v="#DIV/0!"/>
    <n v="5"/>
    <n v="0"/>
    <n v="0"/>
    <n v="0"/>
    <m/>
    <m/>
    <n v="0"/>
    <e v="#DIV/0!"/>
    <n v="0"/>
    <n v="0"/>
    <s v="Private Equity Fund"/>
    <n v="0"/>
    <n v="0.32242374000000001"/>
    <n v="0"/>
    <n v="0"/>
    <m/>
    <m/>
    <m/>
    <m/>
    <m/>
    <m/>
    <m/>
    <m/>
  </r>
  <r>
    <x v="193"/>
    <x v="5"/>
    <s v="Series 7d"/>
    <n v="6872878.5420000004"/>
    <e v="#DIV/0!"/>
    <n v="5"/>
    <n v="0"/>
    <n v="0"/>
    <n v="0"/>
    <m/>
    <m/>
    <n v="0"/>
    <e v="#DIV/0!"/>
    <n v="0"/>
    <n v="0"/>
    <s v="Private Equity Fund"/>
    <n v="0"/>
    <n v="0.33050797999999998"/>
    <n v="0"/>
    <n v="0"/>
    <m/>
    <m/>
    <m/>
    <m/>
    <m/>
    <m/>
    <m/>
    <m/>
  </r>
  <r>
    <x v="194"/>
    <x v="5"/>
    <s v="Series 7d"/>
    <n v="6908838.2850000001"/>
    <e v="#DIV/0!"/>
    <n v="5"/>
    <n v="0"/>
    <n v="0"/>
    <n v="0"/>
    <m/>
    <m/>
    <n v="0"/>
    <e v="#DIV/0!"/>
    <n v="0"/>
    <n v="0"/>
    <s v="Private Equity Fund"/>
    <n v="1.464001E-2"/>
    <n v="0.33685382000000003"/>
    <n v="0"/>
    <n v="0"/>
    <m/>
    <m/>
    <m/>
    <m/>
    <m/>
    <m/>
    <m/>
    <m/>
  </r>
  <r>
    <x v="195"/>
    <x v="5"/>
    <s v="Series 7d"/>
    <n v="6907294.6849999996"/>
    <s v=""/>
    <n v="5"/>
    <n v="0"/>
    <n v="0"/>
    <n v="0"/>
    <m/>
    <m/>
    <n v="0"/>
    <e v="#DIV/0!"/>
    <n v="0"/>
    <n v="0"/>
    <s v="Private Equity Fund"/>
    <n v="0"/>
    <n v="0.33658141499999999"/>
    <n v="0"/>
    <n v="0"/>
    <m/>
    <m/>
    <m/>
    <m/>
    <m/>
    <m/>
    <m/>
    <m/>
  </r>
  <r>
    <x v="196"/>
    <x v="5"/>
    <s v="Series 7d"/>
    <n v="6924993.0789999999"/>
    <s v=""/>
    <n v="5"/>
    <n v="0"/>
    <n v="0"/>
    <n v="0"/>
    <m/>
    <m/>
    <n v="0"/>
    <e v="#DIV/0!"/>
    <n v="0"/>
    <n v="0"/>
    <s v="Private Equity Fund"/>
    <n v="0"/>
    <n v="0.33970466100000002"/>
    <n v="0"/>
    <n v="0"/>
    <m/>
    <m/>
    <m/>
    <m/>
    <m/>
    <m/>
    <m/>
    <m/>
  </r>
  <r>
    <x v="197"/>
    <x v="5"/>
    <s v="Series 7d"/>
    <n v="6857174.1799999997"/>
    <m/>
    <n v="5"/>
    <n v="0"/>
    <n v="0"/>
    <n v="0"/>
    <m/>
    <n v="0"/>
    <n v="0"/>
    <e v="#DIV/0!"/>
    <n v="0"/>
    <n v="0"/>
    <s v="Private Equity Fund"/>
    <n v="1.4359091719455935E-2"/>
    <n v="0.32773661999999992"/>
    <m/>
    <m/>
    <m/>
    <m/>
    <m/>
    <m/>
    <m/>
    <m/>
    <m/>
    <m/>
  </r>
  <r>
    <x v="198"/>
    <x v="5"/>
    <s v="Series 7d"/>
    <n v="6824984.8075000001"/>
    <m/>
    <n v="5"/>
    <n v="0"/>
    <n v="0"/>
    <n v="0"/>
    <n v="0"/>
    <m/>
    <n v="0"/>
    <e v="#DIV/0!"/>
    <n v="-6824984.8075000001"/>
    <n v="-6824984.8075000001"/>
    <s v="Private Equity Fund"/>
    <n v="5.1731082511125483E-3"/>
    <n v="0.32205614250000003"/>
    <m/>
    <m/>
    <m/>
    <m/>
    <m/>
    <m/>
    <m/>
    <m/>
    <m/>
    <m/>
  </r>
  <r>
    <x v="204"/>
    <x v="5"/>
    <s v="Series 7e"/>
    <n v="127000"/>
    <e v="#DIV/0!"/>
    <n v="1"/>
    <n v="127000"/>
    <n v="0"/>
    <n v="0"/>
    <m/>
    <m/>
    <n v="127000"/>
    <e v="#DIV/0!"/>
    <n v="127000"/>
    <n v="127000"/>
    <s v="Private Equity Fund"/>
    <n v="0"/>
    <n v="0"/>
    <n v="0"/>
    <n v="0"/>
    <m/>
    <m/>
    <m/>
    <m/>
    <m/>
    <m/>
    <m/>
    <m/>
  </r>
  <r>
    <x v="153"/>
    <x v="5"/>
    <s v="Series 7e"/>
    <n v="126485.53000000001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4"/>
    <x v="5"/>
    <s v="Series 7e"/>
    <n v="205995.76"/>
    <e v="#DIV/0!"/>
    <n v="1"/>
    <n v="79000"/>
    <n v="0"/>
    <n v="0"/>
    <m/>
    <m/>
    <n v="79000"/>
    <e v="#DIV/0!"/>
    <n v="79000"/>
    <n v="79000"/>
    <s v="Private Equity Fund"/>
    <n v="0"/>
    <n v="0"/>
    <n v="0"/>
    <n v="0"/>
    <m/>
    <m/>
    <m/>
    <m/>
    <m/>
    <m/>
    <m/>
    <m/>
  </r>
  <r>
    <x v="155"/>
    <x v="5"/>
    <s v="Series 7e"/>
    <n v="297950.1335"/>
    <e v="#DIV/0!"/>
    <n v="1"/>
    <n v="81000"/>
    <n v="0"/>
    <n v="0"/>
    <m/>
    <m/>
    <n v="81000"/>
    <e v="#DIV/0!"/>
    <n v="81000"/>
    <n v="81000"/>
    <s v="Private Equity Fund"/>
    <n v="0"/>
    <n v="0"/>
    <n v="0"/>
    <n v="0"/>
    <m/>
    <m/>
    <m/>
    <m/>
    <m/>
    <m/>
    <m/>
    <m/>
  </r>
  <r>
    <x v="156"/>
    <x v="5"/>
    <s v="Series 7e"/>
    <n v="443107.98849999998"/>
    <e v="#DIV/0!"/>
    <n v="1"/>
    <n v="114000"/>
    <n v="0"/>
    <n v="0"/>
    <m/>
    <m/>
    <n v="114000"/>
    <e v="#DIV/0!"/>
    <n v="114000"/>
    <n v="114000"/>
    <s v="Private Equity Fund"/>
    <n v="0"/>
    <n v="0"/>
    <n v="0"/>
    <n v="0"/>
    <m/>
    <m/>
    <m/>
    <m/>
    <m/>
    <m/>
    <m/>
    <m/>
  </r>
  <r>
    <x v="157"/>
    <x v="5"/>
    <s v="Series 7e"/>
    <n v="521304.64350000006"/>
    <e v="#DIV/0!"/>
    <n v="1"/>
    <n v="76000"/>
    <n v="0"/>
    <n v="0"/>
    <m/>
    <m/>
    <n v="76000"/>
    <e v="#DIV/0!"/>
    <n v="76000"/>
    <n v="76000"/>
    <s v="Private Equity Fund"/>
    <n v="0"/>
    <n v="0"/>
    <n v="0"/>
    <n v="0"/>
    <m/>
    <m/>
    <m/>
    <m/>
    <m/>
    <m/>
    <m/>
    <m/>
  </r>
  <r>
    <x v="158"/>
    <x v="5"/>
    <s v="Series 7e"/>
    <n v="513419.13400000008"/>
    <e v="#DIV/0!"/>
    <n v="1"/>
    <n v="0"/>
    <n v="-5.8207660913467407E-11"/>
    <n v="0"/>
    <m/>
    <m/>
    <n v="-5.8207660913467407E-11"/>
    <e v="#DIV/0!"/>
    <n v="-5.8207660913467407E-11"/>
    <n v="-5.8207660913467407E-11"/>
    <s v="Private Equity Fund"/>
    <n v="0"/>
    <n v="0"/>
    <n v="0"/>
    <n v="0"/>
    <m/>
    <m/>
    <m/>
    <m/>
    <m/>
    <m/>
    <m/>
    <m/>
  </r>
  <r>
    <x v="159"/>
    <x v="5"/>
    <s v="Series 7e"/>
    <n v="590250.81350000005"/>
    <e v="#DIV/0!"/>
    <n v="1"/>
    <n v="87000"/>
    <n v="0"/>
    <n v="0"/>
    <m/>
    <m/>
    <n v="87000"/>
    <e v="#DIV/0!"/>
    <n v="87000"/>
    <n v="87000"/>
    <s v="Private Equity Fund"/>
    <n v="0"/>
    <n v="0"/>
    <n v="0"/>
    <n v="0"/>
    <m/>
    <m/>
    <m/>
    <m/>
    <m/>
    <m/>
    <m/>
    <m/>
  </r>
  <r>
    <x v="160"/>
    <x v="5"/>
    <s v="Series 7e"/>
    <n v="580074.91949999996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7e"/>
    <n v="581227.92749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7e"/>
    <n v="597283.067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7e"/>
    <n v="645757.71699999995"/>
    <e v="#DIV/0!"/>
    <n v="1"/>
    <n v="50000.000000000007"/>
    <n v="0"/>
    <n v="0"/>
    <m/>
    <m/>
    <n v="50000.000000000007"/>
    <e v="#DIV/0!"/>
    <n v="50000.000000000007"/>
    <n v="50000.000000000007"/>
    <s v="Private Equity Fund"/>
    <n v="0"/>
    <n v="0"/>
    <n v="0"/>
    <n v="0"/>
    <m/>
    <m/>
    <m/>
    <m/>
    <m/>
    <m/>
    <m/>
    <m/>
  </r>
  <r>
    <x v="164"/>
    <x v="5"/>
    <s v="Series 7e"/>
    <n v="649657.47450000001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7e"/>
    <n v="639245.54399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7e"/>
    <n v="874826.36049999995"/>
    <e v="#DIV/0!"/>
    <n v="1"/>
    <n v="224000"/>
    <n v="0"/>
    <n v="0"/>
    <m/>
    <m/>
    <n v="224000"/>
    <e v="#DIV/0!"/>
    <n v="224000"/>
    <n v="224000"/>
    <s v="Private Equity Fund"/>
    <n v="0"/>
    <n v="0"/>
    <n v="0"/>
    <n v="0"/>
    <m/>
    <m/>
    <m/>
    <m/>
    <m/>
    <m/>
    <m/>
    <m/>
  </r>
  <r>
    <x v="167"/>
    <x v="5"/>
    <s v="Series 7e"/>
    <n v="881054.616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7e"/>
    <n v="1052905.9805000001"/>
    <e v="#DIV/0!"/>
    <n v="1"/>
    <n v="162000"/>
    <n v="0"/>
    <n v="0"/>
    <m/>
    <m/>
    <n v="162000"/>
    <e v="#DIV/0!"/>
    <n v="162000"/>
    <n v="162000"/>
    <s v="Private Equity Fund"/>
    <n v="0"/>
    <n v="0"/>
    <n v="0"/>
    <n v="0"/>
    <m/>
    <m/>
    <m/>
    <m/>
    <m/>
    <m/>
    <m/>
    <m/>
  </r>
  <r>
    <x v="169"/>
    <x v="5"/>
    <s v="Series 7e"/>
    <n v="1064177.3629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7e"/>
    <n v="1086146.956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7e"/>
    <n v="1096401.9424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7e"/>
    <n v="1091721.315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7e"/>
    <n v="1131767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7e"/>
    <n v="1157422.728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7e"/>
    <n v="1162034.080499999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7e"/>
    <n v="1155793.797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7e"/>
    <n v="1172556.281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7e"/>
    <n v="1211343.57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7e"/>
    <n v="1195448.524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7e"/>
    <n v="1195151.679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7e"/>
    <n v="1198787.281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7e"/>
    <n v="1207726.7995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7e"/>
    <n v="1229260.9889999998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7e"/>
    <n v="12304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7e"/>
    <n v="1227420.8877113301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7e"/>
    <n v="12350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7e"/>
    <n v="12354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7e"/>
    <n v="12939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7e"/>
    <n v="1313200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7e"/>
    <n v="1325905.72"/>
    <e v="#DIV/0!"/>
    <n v="1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7e"/>
    <n v="1337491.1995000001"/>
    <e v="#DIV/0!"/>
    <n v="1"/>
    <n v="0"/>
    <n v="0"/>
    <n v="0"/>
    <m/>
    <m/>
    <n v="0"/>
    <e v="#DIV/0!"/>
    <n v="0"/>
    <n v="0"/>
    <s v="Private Equity Fund"/>
    <n v="4.8393937167223811E-3"/>
    <n v="5.9557270499999988E-2"/>
    <n v="9.6787874334447628E-4"/>
    <n v="0"/>
    <m/>
    <m/>
    <m/>
    <m/>
    <m/>
    <m/>
    <m/>
    <m/>
  </r>
  <r>
    <x v="192"/>
    <x v="5"/>
    <s v="Series 7e"/>
    <n v="1353079.0264999999"/>
    <e v="#DIV/0!"/>
    <n v="1"/>
    <n v="0"/>
    <n v="0"/>
    <n v="0"/>
    <m/>
    <m/>
    <n v="0"/>
    <e v="#DIV/0!"/>
    <n v="0"/>
    <n v="0"/>
    <s v="Private Equity Fund"/>
    <n v="0"/>
    <n v="6.2308059999999998E-2"/>
    <n v="0"/>
    <n v="0"/>
    <m/>
    <m/>
    <m/>
    <m/>
    <m/>
    <m/>
    <m/>
    <m/>
  </r>
  <r>
    <x v="193"/>
    <x v="5"/>
    <s v="Series 7e"/>
    <n v="1361664.4005"/>
    <e v="#DIV/0!"/>
    <n v="1"/>
    <n v="0"/>
    <n v="0"/>
    <n v="0"/>
    <m/>
    <m/>
    <n v="0"/>
    <e v="#DIV/0!"/>
    <n v="0"/>
    <n v="0"/>
    <s v="Private Equity Fund"/>
    <n v="0"/>
    <n v="6.3823130000000006E-2"/>
    <n v="0"/>
    <n v="0"/>
    <m/>
    <m/>
    <m/>
    <m/>
    <m/>
    <m/>
    <m/>
    <m/>
  </r>
  <r>
    <x v="194"/>
    <x v="5"/>
    <s v="Series 7e"/>
    <n v="1364815.0870000001"/>
    <e v="#DIV/0!"/>
    <n v="1"/>
    <n v="0"/>
    <n v="0"/>
    <n v="0"/>
    <m/>
    <m/>
    <n v="0"/>
    <e v="#DIV/0!"/>
    <n v="0"/>
    <n v="0"/>
    <s v="Private Equity Fund"/>
    <n v="5.0611500000000004E-3"/>
    <n v="6.4379130000000007E-2"/>
    <n v="1.0122306390809538E-3"/>
    <n v="0"/>
    <m/>
    <m/>
    <m/>
    <m/>
    <m/>
    <m/>
    <m/>
    <m/>
  </r>
  <r>
    <x v="195"/>
    <x v="5"/>
    <s v="Series 7e"/>
    <n v="1369115.9424999999"/>
    <s v=""/>
    <n v="1"/>
    <n v="0"/>
    <n v="0"/>
    <n v="0"/>
    <m/>
    <m/>
    <n v="0"/>
    <e v="#DIV/0!"/>
    <n v="0"/>
    <n v="0"/>
    <s v="Private Equity Fund"/>
    <n v="0"/>
    <n v="6.51381075E-2"/>
    <n v="0"/>
    <n v="0"/>
    <m/>
    <m/>
    <m/>
    <m/>
    <m/>
    <m/>
    <m/>
    <m/>
  </r>
  <r>
    <x v="196"/>
    <x v="5"/>
    <s v="Series 7e"/>
    <n v="1372037.0355"/>
    <s v=""/>
    <n v="1"/>
    <n v="0"/>
    <n v="0"/>
    <n v="0"/>
    <m/>
    <m/>
    <n v="0"/>
    <e v="#DIV/0!"/>
    <n v="0"/>
    <n v="0"/>
    <s v="Private Equity Fund"/>
    <n v="0"/>
    <n v="6.5653594499999982E-2"/>
    <n v="0"/>
    <n v="0"/>
    <m/>
    <m/>
    <m/>
    <m/>
    <m/>
    <m/>
    <m/>
    <m/>
  </r>
  <r>
    <x v="197"/>
    <x v="5"/>
    <s v="Series 7e"/>
    <n v="1352710.645"/>
    <m/>
    <n v="1"/>
    <n v="0"/>
    <n v="0"/>
    <n v="0"/>
    <m/>
    <n v="0"/>
    <n v="0"/>
    <e v="#DIV/0!"/>
    <n v="0"/>
    <n v="0"/>
    <s v="Private Equity Fund"/>
    <n v="4.9560686339302374E-3"/>
    <n v="6.2243054999999992E-2"/>
    <n v="9.9121372678604726E-4"/>
    <m/>
    <m/>
    <m/>
    <m/>
    <m/>
    <m/>
    <m/>
    <m/>
    <m/>
  </r>
  <r>
    <x v="198"/>
    <x v="5"/>
    <s v="Series 7e"/>
    <n v="1352643.0870000001"/>
    <m/>
    <n v="1"/>
    <n v="0"/>
    <n v="0"/>
    <n v="0"/>
    <n v="0"/>
    <m/>
    <n v="0"/>
    <e v="#DIV/0!"/>
    <n v="-1352643.0870000001"/>
    <n v="-1352643.0870000001"/>
    <s v="Private Equity Fund"/>
    <n v="1.7931515744181148E-3"/>
    <n v="6.2231132999999994E-2"/>
    <m/>
    <m/>
    <m/>
    <m/>
    <m/>
    <m/>
    <m/>
    <m/>
    <m/>
    <m/>
  </r>
  <r>
    <x v="205"/>
    <x v="5"/>
    <s v="Series 8"/>
    <n v="504426.00000000006"/>
    <e v="#DIV/0!"/>
    <n v="5.798"/>
    <n v="504426.00000000006"/>
    <n v="0"/>
    <n v="0"/>
    <m/>
    <m/>
    <n v="504426.00000000006"/>
    <e v="#DIV/0!"/>
    <n v="504426.00000000006"/>
    <n v="504426.00000000006"/>
    <s v="Private Equity Fund"/>
    <n v="0"/>
    <n v="0"/>
    <n v="0"/>
    <n v="0"/>
    <m/>
    <m/>
    <m/>
    <m/>
    <m/>
    <m/>
    <m/>
    <m/>
  </r>
  <r>
    <x v="159"/>
    <x v="5"/>
    <s v="Series 8"/>
    <n v="502986.1099999999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8"/>
    <n v="500839.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8"/>
    <n v="502121.0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8"/>
    <n v="500313.9399999999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8"/>
    <n v="938848.33"/>
    <e v="#DIV/0!"/>
    <n v="5.798"/>
    <n v="521819.99999999994"/>
    <n v="0"/>
    <n v="0"/>
    <m/>
    <m/>
    <n v="521819.99999999994"/>
    <e v="#DIV/0!"/>
    <n v="521819.99999999994"/>
    <n v="521819.99999999994"/>
    <s v="Private Equity Fund"/>
    <n v="0"/>
    <n v="0"/>
    <n v="0"/>
    <n v="0"/>
    <m/>
    <m/>
    <m/>
    <m/>
    <m/>
    <m/>
    <m/>
    <m/>
  </r>
  <r>
    <x v="164"/>
    <x v="5"/>
    <s v="Series 8"/>
    <n v="1037218.1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8"/>
    <n v="1030504.1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8"/>
    <n v="2345408.2200000002"/>
    <e v="#DIV/0!"/>
    <n v="5.798"/>
    <n v="1298752"/>
    <n v="0"/>
    <n v="0"/>
    <m/>
    <m/>
    <n v="1298752"/>
    <e v="#DIV/0!"/>
    <n v="1298752"/>
    <n v="1298752"/>
    <s v="Private Equity Fund"/>
    <n v="0"/>
    <n v="0"/>
    <n v="0"/>
    <n v="0"/>
    <m/>
    <m/>
    <m/>
    <m/>
    <m/>
    <m/>
    <m/>
    <m/>
  </r>
  <r>
    <x v="167"/>
    <x v="5"/>
    <s v="Series 8"/>
    <n v="2360166.6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8"/>
    <n v="3289877.32"/>
    <e v="#DIV/0!"/>
    <n v="5.798"/>
    <n v="927680"/>
    <n v="0"/>
    <n v="0"/>
    <m/>
    <m/>
    <n v="927680"/>
    <e v="#DIV/0!"/>
    <n v="927680"/>
    <n v="927680"/>
    <s v="Private Equity Fund"/>
    <n v="0"/>
    <n v="0"/>
    <n v="0"/>
    <n v="0"/>
    <m/>
    <m/>
    <m/>
    <m/>
    <m/>
    <m/>
    <m/>
    <m/>
  </r>
  <r>
    <x v="169"/>
    <x v="5"/>
    <s v="Series 8"/>
    <n v="3340819.11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8"/>
    <n v="3344890.68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8"/>
    <n v="3322915.3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8"/>
    <n v="3324291.3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8"/>
    <n v="3483042.17"/>
    <e v="#DIV/0!"/>
    <n v="5.798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</r>
  <r>
    <x v="174"/>
    <x v="5"/>
    <s v="Series 8"/>
    <n v="3594157.2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8"/>
    <n v="3634138.62"/>
    <e v="#DIV/0!"/>
    <n v="5.798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</r>
  <r>
    <x v="176"/>
    <x v="5"/>
    <s v="Series 8"/>
    <n v="6174599.0599999996"/>
    <e v="#DIV/0!"/>
    <n v="5.798"/>
    <n v="2545322"/>
    <n v="0"/>
    <n v="0"/>
    <m/>
    <m/>
    <n v="2545322"/>
    <e v="#DIV/0!"/>
    <n v="2545322"/>
    <n v="2545322"/>
    <s v="Private Equity Fund"/>
    <n v="0"/>
    <n v="0"/>
    <n v="0"/>
    <n v="0"/>
    <m/>
    <m/>
    <m/>
    <m/>
    <m/>
    <m/>
    <m/>
    <m/>
  </r>
  <r>
    <x v="177"/>
    <x v="5"/>
    <s v="Series 8"/>
    <n v="6248850.7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8"/>
    <n v="6385129.030000000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8"/>
    <n v="6370744.6699999999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8"/>
    <n v="6393070.2000000002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8"/>
    <n v="6519843.320000000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8"/>
    <n v="6592540.7800000003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8"/>
    <n v="6637241.5599999996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8"/>
    <n v="66639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8"/>
    <n v="6711796.3608642947"/>
    <e v="#DIV/0!"/>
    <n v="5.798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86"/>
    <x v="5"/>
    <s v="Series 8"/>
    <n v="6768778.1600000001"/>
    <e v="#DIV/0!"/>
    <n v="5.798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87"/>
    <x v="5"/>
    <s v="Series 8"/>
    <n v="68021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8"/>
    <n v="74291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8"/>
    <n v="7632800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8"/>
    <n v="7675398.46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8"/>
    <n v="7790059.04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2"/>
    <x v="5"/>
    <s v="Series 8"/>
    <n v="7799059.25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3"/>
    <x v="5"/>
    <s v="Series 8"/>
    <n v="7864554.7199999997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4"/>
    <x v="5"/>
    <s v="Series 8"/>
    <n v="7914038.0999999996"/>
    <e v="#DIV/0!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5"/>
    <x v="5"/>
    <s v="Series 8"/>
    <n v="7873150.8774561826"/>
    <s v="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6"/>
    <x v="5"/>
    <s v="Series 8"/>
    <n v="7861182.2000000002"/>
    <s v=""/>
    <n v="5.798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7"/>
    <x v="5"/>
    <s v="Series 8"/>
    <n v="7799576.0800000001"/>
    <m/>
    <n v="5.798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8"/>
    <n v="7637609.6299999999"/>
    <m/>
    <n v="5.798"/>
    <n v="0"/>
    <n v="0"/>
    <n v="0"/>
    <n v="0"/>
    <m/>
    <n v="0"/>
    <e v="#DIV/0!"/>
    <n v="-7637609.6299999999"/>
    <n v="-7637609.6299999999"/>
    <s v="Private Equity Fund"/>
    <n v="0"/>
    <n v="0"/>
    <m/>
    <m/>
    <m/>
    <m/>
    <m/>
    <m/>
    <m/>
    <m/>
    <m/>
    <m/>
  </r>
  <r>
    <x v="205"/>
    <x v="5"/>
    <s v="Series 8GP"/>
    <n v="217500"/>
    <e v="#DIV/0!"/>
    <n v="2.5"/>
    <n v="217500"/>
    <n v="0"/>
    <n v="0"/>
    <m/>
    <m/>
    <n v="217500"/>
    <e v="#DIV/0!"/>
    <n v="217500"/>
    <m/>
    <s v="Private Equity Fund"/>
    <n v="0"/>
    <n v="0"/>
    <n v="0"/>
    <n v="0"/>
    <m/>
    <m/>
    <m/>
    <m/>
    <m/>
    <m/>
    <m/>
    <m/>
  </r>
  <r>
    <x v="159"/>
    <x v="5"/>
    <s v="Series 8GP"/>
    <n v="216879.1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0"/>
    <x v="5"/>
    <s v="Series 8GP"/>
    <n v="215953.47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1"/>
    <x v="5"/>
    <s v="Series 8GP"/>
    <n v="216506.1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2"/>
    <x v="5"/>
    <s v="Series 8GP"/>
    <n v="215726.95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3"/>
    <x v="5"/>
    <s v="Series 8GP"/>
    <n v="404815.59"/>
    <e v="#DIV/0!"/>
    <n v="2.5"/>
    <n v="225000"/>
    <n v="0"/>
    <n v="0"/>
    <m/>
    <m/>
    <n v="225000"/>
    <e v="#DIV/0!"/>
    <n v="225000"/>
    <m/>
    <s v="Private Equity Fund"/>
    <n v="0"/>
    <n v="0"/>
    <n v="0"/>
    <n v="0"/>
    <m/>
    <m/>
    <m/>
    <m/>
    <m/>
    <m/>
    <m/>
    <m/>
  </r>
  <r>
    <x v="164"/>
    <x v="5"/>
    <s v="Series 8GP"/>
    <n v="447231.29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5"/>
    <x v="5"/>
    <s v="Series 8GP"/>
    <n v="444336.02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6"/>
    <x v="5"/>
    <s v="Series 8GP"/>
    <n v="1011300.5400000002"/>
    <e v="#DIV/0!"/>
    <n v="2.5"/>
    <n v="560000"/>
    <n v="0"/>
    <n v="0"/>
    <m/>
    <m/>
    <n v="560000"/>
    <e v="#DIV/0!"/>
    <n v="560000"/>
    <m/>
    <s v="Private Equity Fund"/>
    <n v="0"/>
    <n v="0"/>
    <n v="0"/>
    <n v="0"/>
    <m/>
    <m/>
    <m/>
    <m/>
    <m/>
    <m/>
    <m/>
    <m/>
  </r>
  <r>
    <x v="167"/>
    <x v="5"/>
    <s v="Series 8GP"/>
    <n v="1017664.4299999999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8"/>
    <x v="5"/>
    <s v="Series 8GP"/>
    <n v="1418539.72"/>
    <e v="#DIV/0!"/>
    <n v="2.5"/>
    <n v="400000"/>
    <n v="0"/>
    <n v="0"/>
    <m/>
    <m/>
    <n v="400000"/>
    <e v="#DIV/0!"/>
    <n v="400000"/>
    <m/>
    <s v="Private Equity Fund"/>
    <n v="0"/>
    <n v="0"/>
    <n v="0"/>
    <n v="0"/>
    <m/>
    <m/>
    <m/>
    <m/>
    <m/>
    <m/>
    <m/>
    <m/>
  </r>
  <r>
    <x v="169"/>
    <x v="5"/>
    <s v="Series 8GP"/>
    <n v="1440504.9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0"/>
    <x v="5"/>
    <s v="Series 8GP"/>
    <n v="1442260.7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1"/>
    <x v="5"/>
    <s v="Series 8GP"/>
    <n v="1432785.1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2"/>
    <x v="5"/>
    <s v="Series 8GP"/>
    <n v="1433378.49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3"/>
    <x v="5"/>
    <s v="Series 8GP"/>
    <n v="1501829.3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4"/>
    <x v="5"/>
    <s v="Series 8GP"/>
    <n v="1549740.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5"/>
    <x v="5"/>
    <s v="Series 8GP"/>
    <n v="1566979.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6"/>
    <x v="5"/>
    <s v="Series 8GP"/>
    <n v="2662383.33"/>
    <e v="#DIV/0!"/>
    <n v="2.5"/>
    <n v="1097500"/>
    <n v="0"/>
    <n v="0"/>
    <m/>
    <m/>
    <n v="1097500"/>
    <e v="#DIV/0!"/>
    <n v="1097500"/>
    <m/>
    <s v="Private Equity Fund"/>
    <n v="0"/>
    <n v="0"/>
    <n v="0"/>
    <n v="0"/>
    <m/>
    <m/>
    <m/>
    <m/>
    <m/>
    <m/>
    <m/>
    <m/>
  </r>
  <r>
    <x v="177"/>
    <x v="5"/>
    <s v="Series 8GP"/>
    <n v="2694399.42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8"/>
    <x v="5"/>
    <s v="Series 8GP"/>
    <n v="2753160.3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9"/>
    <x v="5"/>
    <s v="Series 8GP"/>
    <n v="2746958.01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0"/>
    <x v="5"/>
    <s v="Series 8GP"/>
    <n v="2756584.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1"/>
    <x v="5"/>
    <s v="Series 8GP"/>
    <n v="2811246.84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2"/>
    <x v="5"/>
    <s v="Series 8GP"/>
    <n v="2842592.7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3"/>
    <x v="5"/>
    <s v="Series 8GP"/>
    <n v="2861866.98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4"/>
    <x v="5"/>
    <s v="Series 8GP"/>
    <n v="28734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5"/>
    <x v="5"/>
    <s v="Series 8GP"/>
    <n v="2894013.7589100967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6"/>
    <x v="5"/>
    <s v="Series 8GP"/>
    <n v="2918583.35"/>
    <e v="#DIV/0!"/>
    <n v="2.5"/>
    <n v="0"/>
    <n v="-4.6566128730773926E-10"/>
    <n v="0"/>
    <m/>
    <m/>
    <n v="-4.6566128730773926E-10"/>
    <e v="#DIV/0!"/>
    <n v="-4.6566128730773926E-10"/>
    <m/>
    <s v="Private Equity Fund"/>
    <n v="0"/>
    <n v="0"/>
    <n v="0"/>
    <n v="0"/>
    <m/>
    <m/>
    <m/>
    <m/>
    <m/>
    <m/>
    <m/>
    <m/>
  </r>
  <r>
    <x v="187"/>
    <x v="5"/>
    <s v="Series 8GP"/>
    <n v="29329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8"/>
    <x v="5"/>
    <s v="Series 8GP"/>
    <n v="32033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9"/>
    <x v="5"/>
    <s v="Series 8GP"/>
    <n v="3291100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0"/>
    <x v="5"/>
    <s v="Series 8GP"/>
    <n v="3309502.7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1"/>
    <x v="5"/>
    <s v="Series 8GP"/>
    <n v="3358942.47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2"/>
    <x v="5"/>
    <s v="Series 8GP"/>
    <n v="3362823.22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3"/>
    <x v="5"/>
    <s v="Series 8GP"/>
    <n v="3391063.7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4"/>
    <x v="5"/>
    <s v="Series 8GP"/>
    <n v="3412400.16"/>
    <e v="#DIV/0!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5"/>
    <x v="5"/>
    <s v="Series 8GP"/>
    <n v="3394770.276930056"/>
    <s v="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6"/>
    <x v="5"/>
    <s v="Series 8GP"/>
    <n v="3389609.58"/>
    <s v=""/>
    <n v="2.5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7"/>
    <x v="5"/>
    <s v="Series 8LASM"/>
    <n v="3363046.06"/>
    <m/>
    <n v="2.5"/>
    <n v="0"/>
    <n v="0"/>
    <n v="0"/>
    <m/>
    <n v="0"/>
    <n v="0"/>
    <e v="#DIV/0!"/>
    <n v="0"/>
    <m/>
    <s v="Private Equity Fund"/>
    <n v="0"/>
    <n v="0"/>
    <m/>
    <m/>
    <m/>
    <m/>
    <m/>
    <m/>
    <m/>
    <m/>
    <m/>
    <m/>
  </r>
  <r>
    <x v="198"/>
    <x v="5"/>
    <s v="Series 8LASM"/>
    <n v="3293208.86"/>
    <m/>
    <n v="2.5"/>
    <n v="0"/>
    <n v="0"/>
    <n v="0"/>
    <m/>
    <n v="0"/>
    <n v="0"/>
    <e v="#DIV/0!"/>
    <n v="-3293208.86"/>
    <m/>
    <s v="Private Equity Fund"/>
    <n v="0"/>
    <n v="0"/>
    <m/>
    <m/>
    <m/>
    <m/>
    <m/>
    <m/>
    <m/>
    <m/>
    <m/>
    <m/>
  </r>
  <r>
    <x v="205"/>
    <x v="5"/>
    <s v="Series 9"/>
    <n v="17835"/>
    <e v="#DIV/0!"/>
    <n v="0.20499999999999999"/>
    <n v="17835"/>
    <n v="0"/>
    <n v="0"/>
    <m/>
    <m/>
    <n v="17835"/>
    <e v="#DIV/0!"/>
    <n v="17835"/>
    <n v="17835"/>
    <s v="Private Equity Fund"/>
    <n v="0"/>
    <n v="0"/>
    <n v="0"/>
    <n v="0"/>
    <m/>
    <m/>
    <m/>
    <m/>
    <m/>
    <m/>
    <m/>
    <m/>
  </r>
  <r>
    <x v="159"/>
    <x v="5"/>
    <s v="Series 9"/>
    <n v="17761.4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9"/>
    <n v="17663.07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9"/>
    <n v="17686.38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9"/>
    <n v="17667.8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9"/>
    <n v="32962.97"/>
    <e v="#DIV/0!"/>
    <n v="0.20499999999999999"/>
    <n v="18450"/>
    <n v="0"/>
    <n v="0"/>
    <m/>
    <m/>
    <n v="18450"/>
    <e v="#DIV/0!"/>
    <n v="18450"/>
    <n v="18450"/>
    <s v="Private Equity Fund"/>
    <n v="0"/>
    <n v="0"/>
    <n v="0"/>
    <n v="0"/>
    <m/>
    <m/>
    <m/>
    <m/>
    <m/>
    <m/>
    <m/>
    <m/>
  </r>
  <r>
    <x v="164"/>
    <x v="5"/>
    <s v="Series 9"/>
    <n v="36439.767999999996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9"/>
    <n v="36319.07650000000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9"/>
    <n v="82587.678499999995"/>
    <e v="#DIV/0!"/>
    <n v="0.20499999999999999"/>
    <n v="45920"/>
    <n v="0"/>
    <n v="0"/>
    <m/>
    <m/>
    <n v="45920"/>
    <e v="#DIV/0!"/>
    <n v="45920"/>
    <n v="45920"/>
    <s v="Private Equity Fund"/>
    <n v="0"/>
    <n v="0"/>
    <n v="0"/>
    <n v="0"/>
    <m/>
    <m/>
    <m/>
    <m/>
    <m/>
    <m/>
    <m/>
    <m/>
  </r>
  <r>
    <x v="167"/>
    <x v="5"/>
    <s v="Series 9"/>
    <n v="82823.06900000000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9"/>
    <n v="115948.15150000001"/>
    <e v="#DIV/0!"/>
    <n v="0.20499999999999999"/>
    <n v="32800"/>
    <n v="0"/>
    <n v="0"/>
    <m/>
    <m/>
    <n v="32800"/>
    <e v="#DIV/0!"/>
    <n v="32800"/>
    <n v="32800"/>
    <s v="Private Equity Fund"/>
    <n v="0"/>
    <n v="0"/>
    <n v="0"/>
    <n v="0"/>
    <m/>
    <m/>
    <m/>
    <m/>
    <m/>
    <m/>
    <m/>
    <m/>
  </r>
  <r>
    <x v="169"/>
    <x v="5"/>
    <s v="Series 9"/>
    <n v="117345.3390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9"/>
    <n v="116964.0629999999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9"/>
    <n v="116940.1950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9"/>
    <n v="116845.7685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9"/>
    <n v="120724.378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9"/>
    <n v="123928.07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9"/>
    <n v="125132.571500000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9"/>
    <n v="214426.65299999999"/>
    <e v="#DIV/0!"/>
    <n v="0.20499999999999999"/>
    <n v="89995"/>
    <n v="0"/>
    <n v="0"/>
    <m/>
    <m/>
    <n v="89995"/>
    <e v="#DIV/0!"/>
    <n v="89995"/>
    <n v="89995"/>
    <s v="Private Equity Fund"/>
    <n v="0"/>
    <n v="0"/>
    <n v="0"/>
    <n v="0"/>
    <m/>
    <m/>
    <m/>
    <m/>
    <m/>
    <m/>
    <m/>
    <m/>
  </r>
  <r>
    <x v="177"/>
    <x v="5"/>
    <s v="Series 9"/>
    <n v="217131.0469999999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9"/>
    <n v="220971.1939999999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9"/>
    <n v="219612.57949999999"/>
    <e v="#DIV/0!"/>
    <n v="0.20499999999999999"/>
    <n v="0"/>
    <n v="-2.9103830456733704E-11"/>
    <n v="0"/>
    <m/>
    <m/>
    <n v="-2.9103830456733704E-11"/>
    <e v="#DIV/0!"/>
    <n v="-2.9103830456733704E-11"/>
    <n v="-2.9103830456733704E-11"/>
    <s v="Private Equity Fund"/>
    <n v="0"/>
    <n v="0"/>
    <n v="0"/>
    <n v="0"/>
    <m/>
    <m/>
    <m/>
    <m/>
    <m/>
    <m/>
    <m/>
    <m/>
  </r>
  <r>
    <x v="180"/>
    <x v="5"/>
    <s v="Series 9"/>
    <n v="220773.56100000002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9"/>
    <n v="223608.829"/>
    <e v="#DIV/0!"/>
    <n v="0.20499999999999999"/>
    <n v="0"/>
    <n v="-2.9103830456733704E-11"/>
    <n v="0"/>
    <m/>
    <m/>
    <n v="-2.9103830456733704E-11"/>
    <e v="#DIV/0!"/>
    <n v="-2.9103830456733704E-11"/>
    <n v="-2.9103830456733704E-11"/>
    <s v="Private Equity Fund"/>
    <n v="0"/>
    <n v="0"/>
    <n v="0"/>
    <n v="0"/>
    <m/>
    <m/>
    <m/>
    <m/>
    <m/>
    <m/>
    <m/>
    <m/>
  </r>
  <r>
    <x v="182"/>
    <x v="5"/>
    <s v="Series 9"/>
    <n v="225547.10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9"/>
    <n v="227370.929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9"/>
    <n v="227200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9"/>
    <n v="228389.25570312311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9"/>
    <n v="230600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9"/>
    <n v="230600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9"/>
    <n v="249100"/>
    <e v="#DIV/0!"/>
    <n v="0.20499999999999999"/>
    <n v="0"/>
    <n v="-2.9103830456733704E-11"/>
    <n v="0"/>
    <m/>
    <m/>
    <n v="-2.9103830456733704E-11"/>
    <e v="#DIV/0!"/>
    <n v="-2.9103830456733704E-11"/>
    <n v="-2.9103830456733704E-11"/>
    <s v="Private Equity Fund"/>
    <n v="0"/>
    <n v="0"/>
    <n v="0"/>
    <n v="0"/>
    <m/>
    <m/>
    <m/>
    <m/>
    <m/>
    <m/>
    <m/>
    <m/>
  </r>
  <r>
    <x v="189"/>
    <x v="5"/>
    <s v="Series 9"/>
    <n v="255800.00000000003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9"/>
    <n v="256799.42"/>
    <e v="#DIV/0!"/>
    <n v="0.20499999999999999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9"/>
    <n v="259127.23499999999"/>
    <e v="#DIV/0!"/>
    <n v="0.20499999999999999"/>
    <n v="0"/>
    <n v="0"/>
    <n v="0"/>
    <m/>
    <m/>
    <n v="0"/>
    <e v="#DIV/0!"/>
    <n v="0"/>
    <n v="0"/>
    <s v="Private Equity Fund"/>
    <n v="9.9743376961578195E-4"/>
    <n v="9.5518649999999962E-3"/>
    <n v="2.9184656832626854E-3"/>
    <n v="2.7922227302052852E-2"/>
    <m/>
    <m/>
    <m/>
    <m/>
    <m/>
    <m/>
    <m/>
    <m/>
  </r>
  <r>
    <x v="192"/>
    <x v="5"/>
    <s v="Series 9"/>
    <n v="260762.397"/>
    <e v="#DIV/0!"/>
    <n v="0.20499999999999999"/>
    <n v="0"/>
    <n v="0"/>
    <n v="0"/>
    <m/>
    <m/>
    <n v="0"/>
    <e v="#DIV/0!"/>
    <n v="0"/>
    <n v="0"/>
    <s v="Private Equity Fund"/>
    <n v="0"/>
    <n v="9.8404200000000008E-3"/>
    <n v="0"/>
    <n v="0"/>
    <m/>
    <m/>
    <m/>
    <m/>
    <m/>
    <m/>
    <m/>
    <m/>
  </r>
  <r>
    <x v="193"/>
    <x v="5"/>
    <s v="Series 9"/>
    <n v="262451.33850000001"/>
    <e v="#DIV/0!"/>
    <n v="0.20499999999999999"/>
    <n v="0"/>
    <n v="0"/>
    <n v="0"/>
    <m/>
    <m/>
    <n v="0"/>
    <e v="#DIV/0!"/>
    <n v="0"/>
    <n v="0"/>
    <s v="Private Equity Fund"/>
    <n v="0"/>
    <n v="1.013847E-2"/>
    <n v="0"/>
    <n v="0"/>
    <m/>
    <m/>
    <m/>
    <m/>
    <m/>
    <m/>
    <m/>
    <m/>
  </r>
  <r>
    <x v="194"/>
    <x v="5"/>
    <s v="Series 9"/>
    <n v="261975.6955"/>
    <e v="#DIV/0!"/>
    <n v="0.20499999999999999"/>
    <n v="0"/>
    <n v="0"/>
    <n v="0"/>
    <m/>
    <m/>
    <n v="0"/>
    <e v="#DIV/0!"/>
    <n v="0"/>
    <n v="0"/>
    <s v="Private Equity Fund"/>
    <n v="1.0323999999999999E-3"/>
    <n v="1.0054530000000001E-2"/>
    <n v="3.0206441724097972E-3"/>
    <n v="2.9387677605614178E-2"/>
    <m/>
    <m/>
    <m/>
    <m/>
    <m/>
    <m/>
    <m/>
    <m/>
  </r>
  <r>
    <x v="195"/>
    <x v="5"/>
    <s v="Series 9"/>
    <n v="262986.17550000001"/>
    <s v=""/>
    <n v="0.20499999999999999"/>
    <n v="0"/>
    <n v="0"/>
    <n v="0"/>
    <m/>
    <m/>
    <n v="0"/>
    <e v="#DIV/0!"/>
    <n v="0"/>
    <n v="0"/>
    <s v="Private Equity Fund"/>
    <n v="0"/>
    <n v="1.0232854500000003E-2"/>
    <n v="0"/>
    <n v="0"/>
    <m/>
    <m/>
    <m/>
    <m/>
    <m/>
    <m/>
    <m/>
    <m/>
  </r>
  <r>
    <x v="196"/>
    <x v="5"/>
    <s v="Series 9"/>
    <n v="262331.15700000001"/>
    <s v=""/>
    <n v="0.20499999999999999"/>
    <n v="0"/>
    <n v="0"/>
    <n v="0"/>
    <m/>
    <m/>
    <n v="0"/>
    <e v="#DIV/0!"/>
    <n v="0"/>
    <n v="0"/>
    <s v="Private Equity Fund"/>
    <n v="0"/>
    <n v="1.0117262999999998E-2"/>
    <n v="0"/>
    <n v="0"/>
    <m/>
    <m/>
    <m/>
    <m/>
    <m/>
    <m/>
    <m/>
    <m/>
  </r>
  <r>
    <x v="197"/>
    <x v="5"/>
    <s v="Series 9"/>
    <n v="257683.86"/>
    <m/>
    <n v="0.20499999999999999"/>
    <n v="0"/>
    <n v="0"/>
    <n v="0"/>
    <m/>
    <n v="0"/>
    <n v="0"/>
    <e v="#DIV/0!"/>
    <n v="0"/>
    <n v="0"/>
    <s v="Private Equity Fund"/>
    <n v="1E-3"/>
    <n v="9.2971500000000006E-3"/>
    <n v="2.9320780998473369E-3"/>
    <n v="2.7165518663514993E-2"/>
    <m/>
    <m/>
    <m/>
    <m/>
    <m/>
    <m/>
    <m/>
    <m/>
  </r>
  <r>
    <x v="198"/>
    <x v="5"/>
    <s v="Series 9"/>
    <n v="255907.39"/>
    <m/>
    <n v="0.20499999999999999"/>
    <n v="0"/>
    <n v="0"/>
    <n v="0"/>
    <n v="0"/>
    <m/>
    <n v="0"/>
    <e v="#DIV/0!"/>
    <n v="-255907.39"/>
    <n v="-255907.39"/>
    <s v="Private Equity Fund"/>
    <n v="3.5972000000000001E-4"/>
    <n v="8.9836599999999992E-3"/>
    <m/>
    <m/>
    <m/>
    <m/>
    <m/>
    <m/>
    <m/>
    <m/>
    <m/>
    <m/>
  </r>
  <r>
    <x v="205"/>
    <x v="5"/>
    <s v="Series 9b"/>
    <n v="435000"/>
    <e v="#DIV/0!"/>
    <n v="5"/>
    <n v="435000"/>
    <n v="0"/>
    <n v="0"/>
    <m/>
    <m/>
    <n v="435000"/>
    <e v="#DIV/0!"/>
    <n v="435000"/>
    <n v="435000"/>
    <s v="Private Equity Fund"/>
    <n v="0"/>
    <n v="0"/>
    <n v="0"/>
    <n v="0"/>
    <m/>
    <m/>
    <m/>
    <m/>
    <m/>
    <m/>
    <m/>
    <m/>
  </r>
  <r>
    <x v="159"/>
    <x v="5"/>
    <s v="Series 9b"/>
    <n v="431451.3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9b"/>
    <n v="427296.1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9b"/>
    <n v="426167.7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9b"/>
    <n v="429223.2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9b"/>
    <n v="796277.43"/>
    <e v="#DIV/0!"/>
    <n v="5"/>
    <n v="450000"/>
    <n v="0"/>
    <n v="0"/>
    <m/>
    <m/>
    <n v="450000"/>
    <e v="#DIV/0!"/>
    <n v="450000"/>
    <n v="450000"/>
    <s v="Private Equity Fund"/>
    <n v="0"/>
    <n v="0"/>
    <n v="0"/>
    <n v="0"/>
    <m/>
    <m/>
    <m/>
    <m/>
    <m/>
    <m/>
    <m/>
    <m/>
  </r>
  <r>
    <x v="164"/>
    <x v="5"/>
    <s v="Series 9b"/>
    <n v="880195.2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9b"/>
    <n v="879492.1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9b"/>
    <n v="2009582.7867999999"/>
    <e v="#DIV/0!"/>
    <n v="5"/>
    <n v="1120000"/>
    <n v="0"/>
    <n v="0"/>
    <m/>
    <m/>
    <n v="1120000"/>
    <e v="#DIV/0!"/>
    <n v="1120000"/>
    <n v="1120000"/>
    <s v="Private Equity Fund"/>
    <n v="0"/>
    <n v="0"/>
    <n v="0"/>
    <n v="0"/>
    <m/>
    <m/>
    <m/>
    <m/>
    <m/>
    <m/>
    <m/>
    <m/>
  </r>
  <r>
    <x v="167"/>
    <x v="5"/>
    <s v="Series 9b"/>
    <n v="2011728.1623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9b"/>
    <n v="2825345.0548"/>
    <e v="#DIV/0!"/>
    <n v="5"/>
    <n v="800000"/>
    <n v="0"/>
    <n v="0"/>
    <m/>
    <m/>
    <n v="800000"/>
    <e v="#DIV/0!"/>
    <n v="800000"/>
    <n v="800000"/>
    <s v="Private Equity Fund"/>
    <n v="0"/>
    <n v="0"/>
    <n v="0"/>
    <n v="0"/>
    <m/>
    <m/>
    <m/>
    <m/>
    <m/>
    <m/>
    <m/>
    <m/>
  </r>
  <r>
    <x v="169"/>
    <x v="5"/>
    <s v="Series 9b"/>
    <n v="2862525.5484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9b"/>
    <n v="2847929.941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9b"/>
    <n v="2851543.7475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9b"/>
    <n v="2849335.0024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9b"/>
    <n v="2948127.941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9b"/>
    <n v="3033036.9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9b"/>
    <n v="3064835.8851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9b"/>
    <n v="5247065.8528000005"/>
    <e v="#DIV/0!"/>
    <n v="5"/>
    <n v="2195000"/>
    <n v="0"/>
    <n v="0"/>
    <m/>
    <m/>
    <n v="2195000"/>
    <e v="#DIV/0!"/>
    <n v="2195000"/>
    <n v="2195000"/>
    <s v="Private Equity Fund"/>
    <n v="0"/>
    <n v="0"/>
    <n v="0"/>
    <n v="0"/>
    <m/>
    <m/>
    <m/>
    <m/>
    <m/>
    <m/>
    <m/>
    <m/>
  </r>
  <r>
    <x v="177"/>
    <x v="5"/>
    <s v="Series 9b"/>
    <n v="5314284.1991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9b"/>
    <n v="5417914.7747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9b"/>
    <n v="5390211.2104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9b"/>
    <n v="5416544.573000000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9b"/>
    <n v="5499965.1496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9b"/>
    <n v="5553299.0767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9b"/>
    <n v="5597225.884000000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9b"/>
    <n v="56011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9b"/>
    <n v="5634829.879532085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9b"/>
    <n v="5688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9b"/>
    <n v="5697458.639999999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9b"/>
    <n v="61894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9b"/>
    <n v="63601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9b"/>
    <n v="6389632.0999999996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9b"/>
    <n v="6460847.2631999999"/>
    <e v="#DIV/0!"/>
    <n v="5"/>
    <n v="0"/>
    <n v="0"/>
    <n v="0"/>
    <m/>
    <m/>
    <n v="0"/>
    <e v="#DIV/0!"/>
    <n v="0"/>
    <n v="0"/>
    <s v="Private Equity Fund"/>
    <n v="1.6284234321241903E-2"/>
    <n v="0.12703019679999999"/>
    <n v="0"/>
    <n v="0"/>
    <m/>
    <m/>
    <m/>
    <m/>
    <m/>
    <m/>
    <m/>
    <m/>
  </r>
  <r>
    <x v="192"/>
    <x v="5"/>
    <s v="Series 9b"/>
    <n v="6492093.5820000004"/>
    <e v="#DIV/0!"/>
    <n v="5"/>
    <n v="0"/>
    <n v="0"/>
    <n v="0"/>
    <m/>
    <m/>
    <n v="0"/>
    <e v="#DIV/0!"/>
    <n v="0"/>
    <n v="0"/>
    <s v="Private Equity Fund"/>
    <n v="0"/>
    <n v="0.12974727"/>
    <n v="0"/>
    <n v="0"/>
    <m/>
    <m/>
    <m/>
    <m/>
    <m/>
    <m/>
    <m/>
    <m/>
  </r>
  <r>
    <x v="193"/>
    <x v="5"/>
    <s v="Series 9b"/>
    <n v="6539124.7916000001"/>
    <e v="#DIV/0!"/>
    <n v="5"/>
    <n v="0"/>
    <n v="0"/>
    <n v="0"/>
    <m/>
    <m/>
    <n v="0"/>
    <e v="#DIV/0!"/>
    <n v="0"/>
    <n v="0"/>
    <s v="Private Equity Fund"/>
    <n v="0"/>
    <n v="0.13383693999999999"/>
    <n v="0"/>
    <n v="0"/>
    <m/>
    <m/>
    <m/>
    <m/>
    <m/>
    <m/>
    <m/>
    <m/>
  </r>
  <r>
    <x v="194"/>
    <x v="5"/>
    <s v="Series 9b"/>
    <n v="6543684.8267999999"/>
    <e v="#DIV/0!"/>
    <n v="5"/>
    <n v="0"/>
    <n v="0"/>
    <n v="0"/>
    <m/>
    <m/>
    <n v="0"/>
    <e v="#DIV/0!"/>
    <n v="0"/>
    <n v="0"/>
    <s v="Private Equity Fund"/>
    <n v="1.6874549999999999E-2"/>
    <n v="0.13423346"/>
    <n v="0"/>
    <n v="0"/>
    <m/>
    <m/>
    <m/>
    <m/>
    <m/>
    <m/>
    <m/>
    <m/>
  </r>
  <r>
    <x v="195"/>
    <x v="5"/>
    <s v="Series 9b"/>
    <n v="6550824.6339999996"/>
    <s v=""/>
    <n v="5"/>
    <n v="0"/>
    <n v="0"/>
    <n v="0"/>
    <m/>
    <m/>
    <n v="0"/>
    <e v="#DIV/0!"/>
    <n v="0"/>
    <n v="0"/>
    <s v="Private Equity Fund"/>
    <n v="0"/>
    <n v="0.13485431600000003"/>
    <n v="0"/>
    <n v="0"/>
    <m/>
    <m/>
    <m/>
    <m/>
    <m/>
    <m/>
    <m/>
    <m/>
  </r>
  <r>
    <x v="196"/>
    <x v="5"/>
    <s v="Series 9b"/>
    <n v="6536116.7779999999"/>
    <s v=""/>
    <n v="5"/>
    <n v="0"/>
    <n v="0"/>
    <n v="0"/>
    <m/>
    <m/>
    <n v="0"/>
    <e v="#DIV/0!"/>
    <n v="0"/>
    <n v="0"/>
    <s v="Private Equity Fund"/>
    <n v="0"/>
    <n v="0.13357537200000003"/>
    <n v="0"/>
    <n v="0"/>
    <m/>
    <m/>
    <m/>
    <m/>
    <m/>
    <m/>
    <m/>
    <m/>
  </r>
  <r>
    <x v="197"/>
    <x v="5"/>
    <s v="Series 9b"/>
    <n v="6437782.5596000003"/>
    <m/>
    <n v="5"/>
    <n v="0"/>
    <n v="0"/>
    <n v="0"/>
    <m/>
    <n v="0"/>
    <n v="0"/>
    <e v="#DIV/0!"/>
    <n v="0"/>
    <n v="0"/>
    <s v="Private Equity Fund"/>
    <n v="1.6402962140799855E-2"/>
    <n v="0.12502457040000001"/>
    <m/>
    <m/>
    <m/>
    <m/>
    <m/>
    <m/>
    <m/>
    <m/>
    <m/>
    <m/>
  </r>
  <r>
    <x v="198"/>
    <x v="5"/>
    <s v="Series 9b"/>
    <n v="6363951.9155999999"/>
    <m/>
    <n v="5"/>
    <n v="0"/>
    <n v="0"/>
    <n v="0"/>
    <n v="0"/>
    <m/>
    <n v="0"/>
    <e v="#DIV/0!"/>
    <n v="-6363951.9155999999"/>
    <n v="-6363951.9155999999"/>
    <s v="Private Equity Fund"/>
    <n v="5.8662451585324814E-3"/>
    <n v="0.11860451439999999"/>
    <m/>
    <m/>
    <m/>
    <m/>
    <m/>
    <m/>
    <m/>
    <m/>
    <m/>
    <m/>
  </r>
  <r>
    <x v="205"/>
    <x v="5"/>
    <s v="Series 9c"/>
    <n v="435000"/>
    <e v="#DIV/0!"/>
    <n v="5"/>
    <n v="435000"/>
    <n v="0"/>
    <n v="0"/>
    <m/>
    <m/>
    <n v="435000"/>
    <e v="#DIV/0!"/>
    <n v="435000"/>
    <n v="435000"/>
    <s v="Private Equity Fund"/>
    <n v="0"/>
    <n v="0"/>
    <n v="0"/>
    <n v="0"/>
    <m/>
    <m/>
    <m/>
    <m/>
    <m/>
    <m/>
    <m/>
    <m/>
  </r>
  <r>
    <x v="159"/>
    <x v="5"/>
    <s v="Series 9c"/>
    <n v="431267.1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9c"/>
    <n v="426929.3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9c"/>
    <n v="425622.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9c"/>
    <n v="429045.9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9c"/>
    <n v="794391.98"/>
    <e v="#DIV/0!"/>
    <n v="5"/>
    <n v="450000"/>
    <n v="0"/>
    <n v="0"/>
    <m/>
    <m/>
    <n v="450000"/>
    <e v="#DIV/0!"/>
    <n v="450000"/>
    <n v="450000"/>
    <s v="Private Equity Fund"/>
    <n v="0"/>
    <n v="0"/>
    <n v="0"/>
    <n v="0"/>
    <m/>
    <m/>
    <m/>
    <m/>
    <m/>
    <m/>
    <m/>
    <m/>
  </r>
  <r>
    <x v="164"/>
    <x v="5"/>
    <s v="Series 9c"/>
    <n v="878532.7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9c"/>
    <n v="878596.7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9c"/>
    <n v="2007363.1189999999"/>
    <e v="#DIV/0!"/>
    <n v="5"/>
    <n v="1120000"/>
    <n v="0"/>
    <n v="0"/>
    <m/>
    <m/>
    <n v="1120000"/>
    <e v="#DIV/0!"/>
    <n v="1120000"/>
    <n v="1120000"/>
    <s v="Private Equity Fund"/>
    <n v="0"/>
    <n v="0"/>
    <n v="0"/>
    <n v="0"/>
    <m/>
    <m/>
    <m/>
    <m/>
    <m/>
    <m/>
    <m/>
    <m/>
  </r>
  <r>
    <x v="167"/>
    <x v="5"/>
    <s v="Series 9c"/>
    <n v="2007672.67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9c"/>
    <n v="2822378.0715000001"/>
    <e v="#DIV/0!"/>
    <n v="5"/>
    <n v="800000"/>
    <n v="0"/>
    <n v="0"/>
    <m/>
    <m/>
    <n v="800000"/>
    <e v="#DIV/0!"/>
    <n v="800000"/>
    <n v="800000"/>
    <s v="Private Equity Fund"/>
    <n v="0"/>
    <n v="0"/>
    <n v="0"/>
    <n v="0"/>
    <m/>
    <m/>
    <m/>
    <m/>
    <m/>
    <m/>
    <m/>
    <m/>
  </r>
  <r>
    <x v="169"/>
    <x v="5"/>
    <s v="Series 9c"/>
    <n v="2855644.4704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9c"/>
    <n v="2838109.3615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9c"/>
    <n v="2846576.3985000001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9c"/>
    <n v="2843434.3905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9c"/>
    <n v="2927534.5890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9c"/>
    <n v="3004892.5874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9c"/>
    <n v="3034295.1839999999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9c"/>
    <n v="5213019.2479999997"/>
    <e v="#DIV/0!"/>
    <n v="5"/>
    <n v="2195000"/>
    <n v="0"/>
    <n v="0"/>
    <m/>
    <m/>
    <n v="2195000"/>
    <e v="#DIV/0!"/>
    <n v="2195000"/>
    <n v="2195000"/>
    <s v="Private Equity Fund"/>
    <n v="0"/>
    <n v="0"/>
    <n v="0"/>
    <n v="0"/>
    <m/>
    <m/>
    <m/>
    <m/>
    <m/>
    <m/>
    <m/>
    <m/>
  </r>
  <r>
    <x v="177"/>
    <x v="5"/>
    <s v="Series 9c"/>
    <n v="5278936.399500000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9c"/>
    <n v="5372620.875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9c"/>
    <n v="5339568.57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9c"/>
    <n v="5367841.282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9c"/>
    <n v="5437080.2510000002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9c"/>
    <n v="5484375.917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9c"/>
    <n v="5528817.9800000004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9c"/>
    <n v="55245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9c"/>
    <n v="5553759.4379963763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9c"/>
    <n v="56072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9c"/>
    <n v="5607542.5099999998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9c"/>
    <n v="60596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9c"/>
    <n v="6221400"/>
    <e v="#DIV/0!"/>
    <n v="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9c"/>
    <n v="6246730.6699999999"/>
    <e v="#DIV/0!"/>
    <n v="5"/>
    <n v="0"/>
    <n v="-9.3132257461547852E-10"/>
    <n v="0"/>
    <m/>
    <m/>
    <n v="-9.3132257461547852E-10"/>
    <e v="#DIV/0!"/>
    <n v="-9.3132257461547852E-10"/>
    <n v="-9.3132257461547852E-10"/>
    <s v="Private Equity Fund"/>
    <n v="0"/>
    <n v="0"/>
    <n v="0"/>
    <n v="0"/>
    <m/>
    <m/>
    <m/>
    <m/>
    <m/>
    <m/>
    <m/>
    <m/>
  </r>
  <r>
    <x v="191"/>
    <x v="5"/>
    <s v="Series 9c"/>
    <n v="6303590.3959999997"/>
    <e v="#DIV/0!"/>
    <n v="5"/>
    <n v="0"/>
    <n v="0"/>
    <n v="0"/>
    <m/>
    <m/>
    <n v="0"/>
    <e v="#DIV/0!"/>
    <n v="0"/>
    <n v="0"/>
    <s v="Private Equity Fund"/>
    <n v="2.4255213193791345E-2"/>
    <n v="0.23004536399999997"/>
    <n v="2.4255213193791346E-3"/>
    <n v="2.300453642135802E-2"/>
    <m/>
    <m/>
    <m/>
    <m/>
    <m/>
    <m/>
    <m/>
    <m/>
  </r>
  <r>
    <x v="192"/>
    <x v="5"/>
    <s v="Series 9c"/>
    <n v="6343370.1665000003"/>
    <e v="#DIV/0!"/>
    <n v="5"/>
    <n v="0"/>
    <n v="0"/>
    <n v="0"/>
    <m/>
    <m/>
    <n v="0"/>
    <e v="#DIV/0!"/>
    <n v="0"/>
    <n v="0"/>
    <s v="Private Equity Fund"/>
    <n v="0"/>
    <n v="0.23706532"/>
    <n v="0"/>
    <n v="0"/>
    <m/>
    <m/>
    <m/>
    <m/>
    <m/>
    <m/>
    <m/>
    <m/>
  </r>
  <r>
    <x v="193"/>
    <x v="5"/>
    <s v="Series 9c"/>
    <n v="6384583.8870000001"/>
    <e v="#DIV/0!"/>
    <n v="5"/>
    <n v="0"/>
    <n v="0"/>
    <n v="0"/>
    <m/>
    <m/>
    <n v="0"/>
    <e v="#DIV/0!"/>
    <n v="0"/>
    <n v="0"/>
    <s v="Private Equity Fund"/>
    <n v="0"/>
    <n v="0.24433832999999999"/>
    <n v="0"/>
    <n v="0"/>
    <m/>
    <m/>
    <m/>
    <m/>
    <m/>
    <m/>
    <m/>
    <m/>
  </r>
  <r>
    <x v="194"/>
    <x v="5"/>
    <s v="Series 9c"/>
    <n v="6373127.7314999998"/>
    <e v="#DIV/0!"/>
    <n v="5"/>
    <n v="0"/>
    <n v="0"/>
    <n v="0"/>
    <m/>
    <m/>
    <n v="0"/>
    <e v="#DIV/0!"/>
    <n v="0"/>
    <n v="0"/>
    <s v="Private Equity Fund"/>
    <n v="2.5106739999999999E-2"/>
    <n v="0.24231665999999999"/>
    <n v="2.5106741274694934E-3"/>
    <n v="2.4231665894614896E-2"/>
    <m/>
    <m/>
    <m/>
    <m/>
    <m/>
    <m/>
    <m/>
    <m/>
  </r>
  <r>
    <x v="195"/>
    <x v="5"/>
    <s v="Series 9c"/>
    <n v="6397608.7429999998"/>
    <s v=""/>
    <n v="5"/>
    <n v="0"/>
    <n v="0"/>
    <n v="0"/>
    <m/>
    <m/>
    <n v="0"/>
    <e v="#DIV/0!"/>
    <n v="0"/>
    <n v="0"/>
    <s v="Private Equity Fund"/>
    <n v="0"/>
    <n v="0.246636837"/>
    <n v="0"/>
    <n v="0"/>
    <m/>
    <m/>
    <m/>
    <m/>
    <m/>
    <m/>
    <m/>
    <m/>
  </r>
  <r>
    <x v="196"/>
    <x v="5"/>
    <s v="Series 9c"/>
    <n v="6381653.9115000004"/>
    <s v=""/>
    <n v="5"/>
    <n v="0"/>
    <n v="0"/>
    <n v="0"/>
    <m/>
    <m/>
    <n v="0"/>
    <e v="#DIV/0!"/>
    <n v="0"/>
    <n v="0"/>
    <s v="Private Equity Fund"/>
    <n v="0"/>
    <n v="0.24382127850000004"/>
    <n v="0"/>
    <n v="0"/>
    <m/>
    <m/>
    <m/>
    <m/>
    <m/>
    <m/>
    <m/>
    <m/>
  </r>
  <r>
    <x v="197"/>
    <x v="5"/>
    <s v="Series 9c"/>
    <n v="6268510.5815000003"/>
    <m/>
    <n v="5"/>
    <n v="0"/>
    <n v="0"/>
    <n v="0"/>
    <m/>
    <n v="0"/>
    <n v="0"/>
    <e v="#DIV/0!"/>
    <n v="0"/>
    <n v="0"/>
    <s v="Private Equity Fund"/>
    <n v="2.437080795572456E-2"/>
    <n v="0.22385480849999995"/>
    <n v="2.4370807955724559E-3"/>
    <n v="2.2385480779998891E-2"/>
    <m/>
    <m/>
    <m/>
    <m/>
    <m/>
    <m/>
    <m/>
    <m/>
  </r>
  <r>
    <x v="198"/>
    <x v="5"/>
    <s v="Series 9c"/>
    <n v="6224956.0800000001"/>
    <m/>
    <n v="5"/>
    <n v="0"/>
    <n v="0"/>
    <n v="0"/>
    <n v="0"/>
    <m/>
    <n v="0"/>
    <e v="#DIV/0!"/>
    <n v="-6224956.0800000001"/>
    <n v="-6224956.0800000001"/>
    <s v="Private Equity Fund"/>
    <n v="8.747086534878306E-3"/>
    <n v="0.21616871999999998"/>
    <m/>
    <m/>
    <m/>
    <m/>
    <m/>
    <m/>
    <m/>
    <m/>
    <m/>
    <m/>
  </r>
  <r>
    <x v="205"/>
    <x v="5"/>
    <s v="Series 9e"/>
    <n v="52200"/>
    <e v="#DIV/0!"/>
    <n v="0.6"/>
    <n v="52200"/>
    <n v="0"/>
    <n v="0"/>
    <m/>
    <m/>
    <n v="52200"/>
    <e v="#DIV/0!"/>
    <n v="52200"/>
    <n v="52200"/>
    <s v="Private Equity Fund"/>
    <n v="0"/>
    <n v="0"/>
    <n v="0"/>
    <n v="0"/>
    <m/>
    <m/>
    <m/>
    <m/>
    <m/>
    <m/>
    <m/>
    <m/>
  </r>
  <r>
    <x v="159"/>
    <x v="5"/>
    <s v="Series 9e"/>
    <n v="51989.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9e"/>
    <n v="51705.5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9e"/>
    <n v="51778.12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9e"/>
    <n v="96525.96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9e"/>
    <n v="96522.23"/>
    <e v="#DIV/0!"/>
    <n v="0.6"/>
    <n v="54000"/>
    <n v="0"/>
    <n v="0"/>
    <m/>
    <m/>
    <n v="54000"/>
    <e v="#DIV/0!"/>
    <n v="54000"/>
    <n v="54000"/>
    <s v="Private Equity Fund"/>
    <n v="0"/>
    <n v="0"/>
    <n v="0"/>
    <n v="0"/>
    <m/>
    <m/>
    <m/>
    <m/>
    <m/>
    <m/>
    <m/>
    <m/>
  </r>
  <r>
    <x v="164"/>
    <x v="5"/>
    <s v="Series 9e"/>
    <n v="106687.86599999999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9e"/>
    <n v="106318.039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9e"/>
    <n v="241765.027"/>
    <e v="#DIV/0!"/>
    <n v="0.6"/>
    <n v="134400"/>
    <n v="0"/>
    <n v="0"/>
    <m/>
    <m/>
    <n v="134400"/>
    <e v="#DIV/0!"/>
    <n v="134400"/>
    <n v="134400"/>
    <s v="Private Equity Fund"/>
    <n v="0"/>
    <n v="0"/>
    <n v="0"/>
    <n v="0"/>
    <m/>
    <m/>
    <m/>
    <m/>
    <m/>
    <m/>
    <m/>
    <m/>
  </r>
  <r>
    <x v="167"/>
    <x v="5"/>
    <s v="Series 9e"/>
    <n v="242495.24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9e"/>
    <n v="339394.52799999999"/>
    <e v="#DIV/0!"/>
    <n v="0.6"/>
    <n v="96000"/>
    <n v="0"/>
    <n v="0"/>
    <m/>
    <m/>
    <n v="96000"/>
    <e v="#DIV/0!"/>
    <n v="96000"/>
    <n v="96000"/>
    <s v="Private Equity Fund"/>
    <n v="0"/>
    <n v="0"/>
    <n v="0"/>
    <n v="0"/>
    <m/>
    <m/>
    <m/>
    <m/>
    <m/>
    <m/>
    <m/>
    <m/>
  </r>
  <r>
    <x v="169"/>
    <x v="5"/>
    <s v="Series 9e"/>
    <n v="343509.964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9e"/>
    <n v="342493.25400000002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9e"/>
    <n v="342298.25550000003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9e"/>
    <n v="342048.3555000000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9e"/>
    <n v="353574.8825000000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9e"/>
    <n v="362976.4095000000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9e"/>
    <n v="366501.1809999999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9e"/>
    <n v="627958.79500000004"/>
    <e v="#DIV/0!"/>
    <n v="0.6"/>
    <n v="263400"/>
    <n v="0"/>
    <n v="0"/>
    <m/>
    <m/>
    <n v="263400"/>
    <e v="#DIV/0!"/>
    <n v="263400"/>
    <n v="263400"/>
    <s v="Private Equity Fund"/>
    <n v="0"/>
    <n v="0"/>
    <n v="0"/>
    <n v="0"/>
    <m/>
    <m/>
    <m/>
    <m/>
    <m/>
    <m/>
    <m/>
    <m/>
  </r>
  <r>
    <x v="177"/>
    <x v="5"/>
    <s v="Series 9e"/>
    <n v="635782.3989999999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9e"/>
    <n v="647071.42749999999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9e"/>
    <n v="643274.1715000000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9e"/>
    <n v="646577.4250000000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9e"/>
    <n v="655063.9009999999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9e"/>
    <n v="660784.40949999995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9e"/>
    <n v="666029.86200000008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9e"/>
    <n v="6657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9e"/>
    <n v="669245.40883801656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9e"/>
    <n v="6756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9e"/>
    <n v="675792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9e"/>
    <n v="7301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9e"/>
    <n v="749400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9e"/>
    <n v="752502.51"/>
    <e v="#DIV/0!"/>
    <n v="0.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9e"/>
    <n v="759529.5895"/>
    <e v="#DIV/0!"/>
    <n v="0.6"/>
    <n v="0"/>
    <n v="0"/>
    <n v="0"/>
    <m/>
    <m/>
    <n v="0"/>
    <e v="#DIV/0!"/>
    <n v="0"/>
    <n v="0"/>
    <s v="Private Equity Fund"/>
    <n v="2.7285400512535355E-3"/>
    <n v="2.8152280499999998E-2"/>
    <n v="5.4570801025070708E-4"/>
    <n v="0"/>
    <m/>
    <m/>
    <m/>
    <m/>
    <m/>
    <m/>
    <m/>
    <m/>
  </r>
  <r>
    <x v="192"/>
    <x v="5"/>
    <s v="Series 9e"/>
    <n v="764054.19050000003"/>
    <e v="#DIV/0!"/>
    <n v="0.6"/>
    <n v="0"/>
    <n v="0"/>
    <n v="0"/>
    <m/>
    <m/>
    <n v="0"/>
    <e v="#DIV/0!"/>
    <n v="0"/>
    <n v="0"/>
    <s v="Private Equity Fund"/>
    <n v="0"/>
    <n v="2.8950739999999999E-2"/>
    <n v="0"/>
    <n v="0"/>
    <m/>
    <m/>
    <m/>
    <m/>
    <m/>
    <m/>
    <m/>
    <m/>
  </r>
  <r>
    <x v="193"/>
    <x v="5"/>
    <s v="Series 9e"/>
    <n v="769051.08550000004"/>
    <e v="#DIV/0!"/>
    <n v="0.6"/>
    <n v="0"/>
    <n v="0"/>
    <n v="0"/>
    <m/>
    <m/>
    <n v="0"/>
    <e v="#DIV/0!"/>
    <n v="0"/>
    <n v="0"/>
    <s v="Private Equity Fund"/>
    <n v="0"/>
    <n v="2.9832540000000001E-2"/>
    <n v="0"/>
    <n v="0"/>
    <m/>
    <m/>
    <m/>
    <m/>
    <m/>
    <m/>
    <m/>
    <m/>
  </r>
  <r>
    <x v="194"/>
    <x v="5"/>
    <s v="Series 9e"/>
    <n v="768033.86499999999"/>
    <e v="#DIV/0!"/>
    <n v="0.6"/>
    <n v="0"/>
    <n v="0"/>
    <n v="0"/>
    <m/>
    <m/>
    <n v="0"/>
    <e v="#DIV/0!"/>
    <n v="0"/>
    <n v="0"/>
    <s v="Private Equity Fund"/>
    <n v="2.82482E-3"/>
    <n v="2.9653039999999999E-2"/>
    <n v="5.6496388529984442E-4"/>
    <n v="0"/>
    <m/>
    <m/>
    <m/>
    <m/>
    <m/>
    <m/>
    <m/>
    <m/>
  </r>
  <r>
    <x v="195"/>
    <x v="5"/>
    <s v="Series 9e"/>
    <n v="770563.3885"/>
    <s v=""/>
    <n v="0.6"/>
    <n v="0"/>
    <n v="0"/>
    <n v="0"/>
    <m/>
    <m/>
    <n v="0"/>
    <e v="#DIV/0!"/>
    <n v="0"/>
    <n v="0"/>
    <s v="Private Equity Fund"/>
    <n v="0"/>
    <n v="3.0099421500000008E-2"/>
    <n v="0"/>
    <n v="0"/>
    <m/>
    <m/>
    <m/>
    <m/>
    <m/>
    <m/>
    <m/>
    <m/>
  </r>
  <r>
    <x v="196"/>
    <x v="5"/>
    <s v="Series 9e"/>
    <n v="768702.9425"/>
    <s v=""/>
    <n v="0.6"/>
    <n v="0"/>
    <n v="0"/>
    <n v="0"/>
    <m/>
    <m/>
    <n v="0"/>
    <e v="#DIV/0!"/>
    <n v="0"/>
    <n v="0"/>
    <s v="Private Equity Fund"/>
    <n v="0"/>
    <n v="2.9771107500000005E-2"/>
    <n v="0"/>
    <n v="0"/>
    <m/>
    <m/>
    <m/>
    <m/>
    <m/>
    <m/>
    <m/>
    <m/>
  </r>
  <r>
    <x v="197"/>
    <x v="5"/>
    <s v="Series 9e"/>
    <n v="755634.15"/>
    <m/>
    <n v="0.6"/>
    <n v="0"/>
    <n v="0"/>
    <n v="0"/>
    <m/>
    <n v="0"/>
    <n v="0"/>
    <e v="#DIV/0!"/>
    <n v="0"/>
    <n v="0"/>
    <s v="Private Equity Fund"/>
    <n v="2.7429112250025073E-3"/>
    <n v="2.7464849999999999E-2"/>
    <n v="5.4858224500050148E-4"/>
    <m/>
    <m/>
    <m/>
    <m/>
    <m/>
    <m/>
    <m/>
    <m/>
    <m/>
  </r>
  <r>
    <x v="198"/>
    <x v="5"/>
    <s v="Series 9e"/>
    <n v="749844.95299999998"/>
    <m/>
    <n v="0.6"/>
    <n v="0"/>
    <n v="0"/>
    <n v="0"/>
    <n v="0"/>
    <m/>
    <n v="0"/>
    <e v="#DIV/0!"/>
    <n v="-749844.95299999998"/>
    <n v="-749844.95299999998"/>
    <s v="Private Equity Fund"/>
    <n v="9.8383470928153438E-4"/>
    <n v="2.6443227000000007E-2"/>
    <m/>
    <m/>
    <m/>
    <m/>
    <m/>
    <m/>
    <m/>
    <m/>
    <m/>
    <m/>
  </r>
  <r>
    <x v="205"/>
    <x v="5"/>
    <s v="Series 9WF"/>
    <n v="522000"/>
    <e v="#DIV/0!"/>
    <n v="6"/>
    <n v="522000"/>
    <n v="0"/>
    <n v="0"/>
    <m/>
    <m/>
    <n v="522000"/>
    <e v="#DIV/0!"/>
    <n v="522000"/>
    <n v="522000"/>
    <s v="Private Equity Fund"/>
    <n v="0"/>
    <n v="0"/>
    <n v="0"/>
    <n v="0"/>
    <m/>
    <m/>
    <m/>
    <m/>
    <m/>
    <m/>
    <m/>
    <m/>
  </r>
  <r>
    <x v="159"/>
    <x v="5"/>
    <s v="Series 9WF"/>
    <n v="519846.8299999999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9WF"/>
    <n v="516967.7700000000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9WF"/>
    <n v="517650.21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9WF"/>
    <n v="517106.3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9WF"/>
    <n v="964769.83"/>
    <e v="#DIV/0!"/>
    <n v="6"/>
    <n v="540000"/>
    <n v="0"/>
    <n v="0"/>
    <m/>
    <m/>
    <n v="540000"/>
    <e v="#DIV/0!"/>
    <n v="540000"/>
    <n v="540000"/>
    <s v="Private Equity Fund"/>
    <n v="0"/>
    <n v="0"/>
    <n v="0"/>
    <n v="0"/>
    <m/>
    <m/>
    <m/>
    <m/>
    <m/>
    <m/>
    <m/>
    <m/>
  </r>
  <r>
    <x v="164"/>
    <x v="5"/>
    <s v="Series 9WF"/>
    <n v="1066538.9745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9WF"/>
    <n v="1062997.3049999999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9WF"/>
    <n v="2417200.3650000002"/>
    <e v="#DIV/0!"/>
    <n v="6"/>
    <n v="1344000"/>
    <n v="0"/>
    <n v="0"/>
    <m/>
    <m/>
    <n v="1344000"/>
    <e v="#DIV/0!"/>
    <n v="1344000"/>
    <n v="1344000"/>
    <s v="Private Equity Fund"/>
    <n v="0"/>
    <n v="0"/>
    <n v="0"/>
    <n v="0"/>
    <m/>
    <m/>
    <m/>
    <m/>
    <m/>
    <m/>
    <m/>
    <m/>
  </r>
  <r>
    <x v="167"/>
    <x v="5"/>
    <s v="Series 9WF"/>
    <n v="2424099.0414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9WF"/>
    <n v="3393604.3280000002"/>
    <e v="#DIV/0!"/>
    <n v="6"/>
    <n v="960000"/>
    <n v="0"/>
    <n v="0"/>
    <m/>
    <m/>
    <n v="960000"/>
    <e v="#DIV/0!"/>
    <n v="960000"/>
    <n v="960000"/>
    <s v="Private Equity Fund"/>
    <n v="0"/>
    <n v="0"/>
    <n v="0"/>
    <n v="0"/>
    <m/>
    <m/>
    <m/>
    <m/>
    <m/>
    <m/>
    <m/>
    <m/>
  </r>
  <r>
    <x v="169"/>
    <x v="5"/>
    <s v="Series 9WF"/>
    <n v="3434497.7259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9WF"/>
    <n v="3423351.2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9WF"/>
    <n v="3422639.9114999999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9WF"/>
    <n v="3419876.0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9WF"/>
    <n v="3533408.9534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9WF"/>
    <n v="3627163.1970000002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9WF"/>
    <n v="3662416.4879999999"/>
    <e v="#DIV/0!"/>
    <n v="6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</r>
  <r>
    <x v="176"/>
    <x v="5"/>
    <s v="Series 9WF"/>
    <n v="5229928.6804999998"/>
    <e v="#DIV/0!"/>
    <n v="6"/>
    <n v="2195000"/>
    <n v="0"/>
    <n v="0"/>
    <m/>
    <m/>
    <n v="2195000"/>
    <e v="#DIV/0!"/>
    <n v="2195000"/>
    <n v="2195000"/>
    <s v="Private Equity Fund"/>
    <n v="0"/>
    <n v="0"/>
    <n v="0"/>
    <n v="0"/>
    <m/>
    <m/>
    <m/>
    <m/>
    <m/>
    <m/>
    <m/>
    <m/>
  </r>
  <r>
    <x v="177"/>
    <x v="5"/>
    <s v="Series 9WF"/>
    <n v="5295889.5985000003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9WF"/>
    <n v="5389551.752999999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9WF"/>
    <n v="5356414.7750000004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9WF"/>
    <n v="5384731.25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9WF"/>
    <n v="5453884.2154999999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9WF"/>
    <n v="5501159.1160000004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9WF"/>
    <n v="5545642.7189999996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9WF"/>
    <n v="55412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9WF"/>
    <n v="5570479.8676990084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9WF"/>
    <n v="56239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9WF"/>
    <n v="5624220.3300000001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9WF"/>
    <n v="60762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9WF"/>
    <n v="6238100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9WF"/>
    <n v="6263410.5499999998"/>
    <e v="#DIV/0!"/>
    <n v="6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9WF"/>
    <n v="6320186.6885000002"/>
    <e v="#DIV/0!"/>
    <n v="6"/>
    <n v="0"/>
    <n v="0"/>
    <n v="0"/>
    <m/>
    <m/>
    <n v="0"/>
    <e v="#DIV/0!"/>
    <n v="0"/>
    <n v="0"/>
    <s v="Private Equity Fund"/>
    <n v="2.432769720614671E-2"/>
    <n v="0.23297412149999991"/>
    <n v="0"/>
    <n v="0"/>
    <m/>
    <m/>
    <m/>
    <m/>
    <m/>
    <m/>
    <m/>
    <m/>
  </r>
  <r>
    <x v="192"/>
    <x v="5"/>
    <s v="Series 9WF"/>
    <n v="6360068.6035000002"/>
    <e v="#DIV/0!"/>
    <n v="6"/>
    <n v="0"/>
    <n v="0"/>
    <n v="0"/>
    <m/>
    <m/>
    <n v="0"/>
    <e v="#DIV/0!"/>
    <n v="0"/>
    <n v="0"/>
    <s v="Private Equity Fund"/>
    <n v="0"/>
    <n v="0.24001211"/>
    <n v="0"/>
    <n v="0"/>
    <m/>
    <m/>
    <m/>
    <m/>
    <m/>
    <m/>
    <m/>
    <m/>
  </r>
  <r>
    <x v="193"/>
    <x v="5"/>
    <s v="Series 9WF"/>
    <n v="6401262.4000000004"/>
    <e v="#DIV/0!"/>
    <n v="6"/>
    <n v="0"/>
    <n v="0"/>
    <n v="0"/>
    <m/>
    <m/>
    <n v="0"/>
    <e v="#DIV/0!"/>
    <n v="0"/>
    <n v="0"/>
    <s v="Private Equity Fund"/>
    <n v="0"/>
    <n v="0.24728159999999999"/>
    <n v="0"/>
    <n v="0"/>
    <m/>
    <m/>
    <m/>
    <m/>
    <m/>
    <m/>
    <m/>
    <m/>
  </r>
  <r>
    <x v="194"/>
    <x v="5"/>
    <s v="Series 9WF"/>
    <n v="6389661.2769999998"/>
    <e v="#DIV/0!"/>
    <n v="6"/>
    <n v="0"/>
    <n v="0"/>
    <n v="0"/>
    <m/>
    <m/>
    <n v="0"/>
    <e v="#DIV/0!"/>
    <n v="0"/>
    <n v="0"/>
    <s v="Private Equity Fund"/>
    <n v="2.5180560000000001E-2"/>
    <n v="0.24523434"/>
    <n v="0"/>
    <n v="0"/>
    <m/>
    <m/>
    <m/>
    <m/>
    <m/>
    <m/>
    <m/>
    <m/>
  </r>
  <r>
    <x v="195"/>
    <x v="5"/>
    <s v="Series 9WF"/>
    <n v="6414307.1885000002"/>
    <s v=""/>
    <n v="6"/>
    <n v="0"/>
    <n v="0"/>
    <n v="0"/>
    <m/>
    <m/>
    <n v="0"/>
    <e v="#DIV/0!"/>
    <n v="0"/>
    <n v="0"/>
    <s v="Private Equity Fund"/>
    <n v="0"/>
    <n v="0.24958362149999991"/>
    <n v="0"/>
    <n v="0"/>
    <m/>
    <m/>
    <m/>
    <m/>
    <m/>
    <m/>
    <m/>
    <m/>
  </r>
  <r>
    <x v="196"/>
    <x v="5"/>
    <s v="Series 9WF"/>
    <n v="6398331.0475000003"/>
    <s v=""/>
    <n v="6"/>
    <n v="0"/>
    <n v="0"/>
    <n v="0"/>
    <m/>
    <m/>
    <n v="0"/>
    <e v="#DIV/0!"/>
    <n v="0"/>
    <n v="0"/>
    <s v="Private Equity Fund"/>
    <n v="0"/>
    <n v="0.24676430249999992"/>
    <n v="0"/>
    <n v="0"/>
    <m/>
    <m/>
    <m/>
    <m/>
    <m/>
    <m/>
    <m/>
    <m/>
  </r>
  <r>
    <x v="197"/>
    <x v="5"/>
    <s v="Series 9WF"/>
    <n v="6284982.2879999997"/>
    <m/>
    <n v="5"/>
    <n v="0"/>
    <n v="0"/>
    <n v="0"/>
    <m/>
    <n v="0"/>
    <n v="0"/>
    <e v="#DIV/0!"/>
    <n v="0"/>
    <n v="0"/>
    <s v="Private Equity Fund"/>
    <n v="2.4435499999999999E-2"/>
    <n v="0.22676157999999999"/>
    <m/>
    <m/>
    <m/>
    <m/>
    <m/>
    <m/>
    <m/>
    <m/>
    <m/>
    <m/>
  </r>
  <r>
    <x v="198"/>
    <x v="5"/>
    <s v="Series 9WF"/>
    <n v="6241653.8399999999"/>
    <m/>
    <n v="5"/>
    <n v="0"/>
    <n v="0"/>
    <n v="0"/>
    <m/>
    <n v="0"/>
    <n v="0"/>
    <e v="#DIV/0!"/>
    <n v="-6241653.8399999999"/>
    <n v="-6241653.8399999999"/>
    <s v="Private Equity Fund"/>
    <n v="8.7737600000000002E-3"/>
    <n v="0.21911538"/>
    <m/>
    <m/>
    <m/>
    <m/>
    <m/>
    <m/>
    <m/>
    <m/>
    <m/>
    <m/>
  </r>
  <r>
    <x v="4"/>
    <x v="5"/>
    <s v="Series USf1"/>
    <n v="6860"/>
    <e v="#DIV/0!"/>
    <n v="0.02"/>
    <n v="6860"/>
    <n v="0"/>
    <n v="0"/>
    <m/>
    <m/>
    <n v="6860"/>
    <e v="#DIV/0!"/>
    <n v="6860"/>
    <m/>
    <s v="Private Equity Fund"/>
    <n v="0"/>
    <n v="0"/>
    <n v="0"/>
    <n v="0"/>
    <m/>
    <m/>
    <m/>
    <m/>
    <m/>
    <m/>
    <m/>
    <m/>
  </r>
  <r>
    <x v="5"/>
    <x v="5"/>
    <s v="Series USf1"/>
    <n v="6840.5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6"/>
    <x v="5"/>
    <s v="Series USf1"/>
    <n v="6835.2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7"/>
    <x v="5"/>
    <s v="Series USf1"/>
    <n v="6749.94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8"/>
    <x v="5"/>
    <s v="Series USf1"/>
    <n v="6575.3055722311401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9"/>
    <x v="5"/>
    <s v="Series USf1"/>
    <n v="6501.337989908440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0"/>
    <x v="5"/>
    <s v="Series USf1"/>
    <n v="6495.0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1"/>
    <x v="5"/>
    <s v="Series USf1"/>
    <n v="6603.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2"/>
    <x v="5"/>
    <s v="Series USf1"/>
    <n v="11218.91"/>
    <e v="#DIV/0!"/>
    <n v="0.02"/>
    <n v="4460"/>
    <n v="0"/>
    <n v="0"/>
    <m/>
    <m/>
    <n v="4460"/>
    <e v="#DIV/0!"/>
    <n v="4460"/>
    <m/>
    <s v="Private Equity Fund"/>
    <n v="0"/>
    <n v="0"/>
    <n v="0"/>
    <n v="0"/>
    <m/>
    <m/>
    <m/>
    <m/>
    <m/>
    <m/>
    <m/>
    <m/>
  </r>
  <r>
    <x v="13"/>
    <x v="5"/>
    <s v="Series USf1"/>
    <n v="10873.4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0"/>
    <x v="5"/>
    <s v="Series USf1"/>
    <n v="14128.13"/>
    <e v="#DIV/0!"/>
    <n v="0.02"/>
    <n v="3380"/>
    <n v="0"/>
    <n v="0"/>
    <m/>
    <m/>
    <n v="3380"/>
    <e v="#DIV/0!"/>
    <n v="3380"/>
    <m/>
    <s v="Private Equity Fund"/>
    <n v="0"/>
    <n v="0"/>
    <n v="0"/>
    <n v="0"/>
    <m/>
    <m/>
    <m/>
    <m/>
    <m/>
    <m/>
    <m/>
    <m/>
  </r>
  <r>
    <x v="151"/>
    <x v="5"/>
    <s v="Series USf1"/>
    <n v="14253.0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2"/>
    <x v="5"/>
    <s v="Series USf1"/>
    <n v="14163.0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3"/>
    <x v="5"/>
    <s v="Series USf1"/>
    <n v="16972.490000000002"/>
    <e v="#DIV/0!"/>
    <n v="0.02"/>
    <n v="2320"/>
    <n v="0"/>
    <n v="0"/>
    <m/>
    <m/>
    <n v="2320"/>
    <e v="#DIV/0!"/>
    <n v="2320"/>
    <m/>
    <s v="Private Equity Fund"/>
    <n v="0"/>
    <n v="0"/>
    <n v="0"/>
    <n v="0"/>
    <m/>
    <m/>
    <m/>
    <m/>
    <m/>
    <m/>
    <m/>
    <m/>
  </r>
  <r>
    <x v="154"/>
    <x v="5"/>
    <s v="Series USf1"/>
    <n v="17384.689999999999"/>
    <e v="#DIV/0!"/>
    <n v="0.02"/>
    <n v="280"/>
    <n v="0"/>
    <n v="0"/>
    <m/>
    <m/>
    <n v="280"/>
    <e v="#DIV/0!"/>
    <n v="280"/>
    <m/>
    <s v="Private Equity Fund"/>
    <n v="0"/>
    <n v="0"/>
    <n v="0"/>
    <n v="0"/>
    <m/>
    <m/>
    <m/>
    <m/>
    <m/>
    <m/>
    <m/>
    <m/>
  </r>
  <r>
    <x v="155"/>
    <x v="5"/>
    <s v="Series USf1"/>
    <n v="18722.650000000001"/>
    <e v="#DIV/0!"/>
    <n v="0.02"/>
    <n v="1080"/>
    <n v="0"/>
    <n v="0"/>
    <m/>
    <m/>
    <n v="1080"/>
    <e v="#DIV/0!"/>
    <n v="1080"/>
    <m/>
    <s v="Private Equity Fund"/>
    <n v="0"/>
    <n v="0"/>
    <n v="0"/>
    <n v="0"/>
    <m/>
    <m/>
    <m/>
    <m/>
    <m/>
    <m/>
    <m/>
    <m/>
  </r>
  <r>
    <x v="156"/>
    <x v="5"/>
    <s v="Series USf1"/>
    <n v="20231.2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7"/>
    <x v="5"/>
    <s v="Series USf1"/>
    <n v="20501.650000000001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8"/>
    <x v="5"/>
    <s v="Series USf1"/>
    <n v="20313.2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59"/>
    <x v="5"/>
    <s v="Series USf1"/>
    <n v="21604.3"/>
    <e v="#DIV/0!"/>
    <n v="0.02"/>
    <n v="1620"/>
    <n v="0"/>
    <n v="0"/>
    <m/>
    <m/>
    <n v="1620"/>
    <e v="#DIV/0!"/>
    <n v="1620"/>
    <m/>
    <s v="Private Equity Fund"/>
    <n v="0"/>
    <n v="0"/>
    <n v="0"/>
    <n v="0"/>
    <m/>
    <m/>
    <m/>
    <m/>
    <m/>
    <m/>
    <m/>
    <m/>
  </r>
  <r>
    <x v="160"/>
    <x v="5"/>
    <s v="Series USf1"/>
    <n v="21266.3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1"/>
    <x v="5"/>
    <s v="Series USf1"/>
    <n v="21340.6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2"/>
    <x v="5"/>
    <s v="Series USf1"/>
    <n v="21913.0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3"/>
    <x v="5"/>
    <s v="Series USf1"/>
    <n v="21874.7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4"/>
    <x v="5"/>
    <s v="Series USf1"/>
    <n v="22066.04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5"/>
    <x v="5"/>
    <s v="Series USf1"/>
    <n v="21818.2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6"/>
    <x v="5"/>
    <s v="Series USf1"/>
    <n v="22217.1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7"/>
    <x v="5"/>
    <s v="Series USf1"/>
    <n v="22639.3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8"/>
    <x v="5"/>
    <s v="Series USf1"/>
    <n v="22939.9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9"/>
    <x v="5"/>
    <s v="Series USf1"/>
    <n v="23588.5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0"/>
    <x v="5"/>
    <s v="Series USf1"/>
    <n v="24334.8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1"/>
    <x v="5"/>
    <s v="Series USf1"/>
    <n v="24585.5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2"/>
    <x v="5"/>
    <s v="Series USf1"/>
    <n v="24540.560000000001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3"/>
    <x v="5"/>
    <s v="Series USf1"/>
    <n v="25683.3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4"/>
    <x v="5"/>
    <s v="Series USf1"/>
    <n v="26608.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5"/>
    <x v="5"/>
    <s v="Series USf1"/>
    <n v="26748"/>
    <e v="#DIV/0!"/>
    <n v="0.02"/>
    <n v="0"/>
    <n v="-3.637978807091713E-12"/>
    <n v="0"/>
    <m/>
    <m/>
    <n v="-3.637978807091713E-12"/>
    <e v="#DIV/0!"/>
    <n v="-3.637978807091713E-12"/>
    <m/>
    <s v="Private Equity Fund"/>
    <n v="0"/>
    <n v="0"/>
    <n v="0"/>
    <n v="0"/>
    <m/>
    <m/>
    <m/>
    <m/>
    <m/>
    <m/>
    <m/>
    <m/>
  </r>
  <r>
    <x v="176"/>
    <x v="5"/>
    <s v="Series USf1"/>
    <n v="26518.6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7"/>
    <x v="5"/>
    <s v="Series USf1"/>
    <n v="26905.1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8"/>
    <x v="5"/>
    <s v="Series USf1"/>
    <n v="28129.75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79"/>
    <x v="5"/>
    <s v="Series USf1"/>
    <n v="27842.6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0"/>
    <x v="5"/>
    <s v="Series USf1"/>
    <n v="27708.0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1"/>
    <x v="5"/>
    <s v="Series USf1"/>
    <n v="26970.46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2"/>
    <x v="5"/>
    <s v="Series USf1"/>
    <n v="27976.9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3"/>
    <x v="5"/>
    <s v="Series USf1"/>
    <n v="28691.75999999999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4"/>
    <x v="5"/>
    <s v="Series USf1"/>
    <n v="289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5"/>
    <x v="5"/>
    <s v="Series USf1"/>
    <n v="28690.676788204917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6"/>
    <x v="5"/>
    <s v="Series USf1"/>
    <n v="289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7"/>
    <x v="5"/>
    <s v="Series USf1"/>
    <n v="290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8"/>
    <x v="5"/>
    <s v="Series USf1"/>
    <n v="298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89"/>
    <x v="5"/>
    <s v="Series USf1"/>
    <n v="30200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0"/>
    <x v="5"/>
    <s v="Series USf1"/>
    <n v="30495.759999999998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1"/>
    <x v="5"/>
    <s v="Series USf1"/>
    <n v="30758.42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2"/>
    <x v="5"/>
    <s v="Series USf1"/>
    <n v="31015.279999999999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3"/>
    <x v="5"/>
    <s v="Series USf1"/>
    <n v="31243.2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4"/>
    <x v="5"/>
    <s v="Series USf1"/>
    <n v="31578.23"/>
    <e v="#DIV/0!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5"/>
    <x v="5"/>
    <s v="Series USf1"/>
    <n v="31420.67"/>
    <s v="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6"/>
    <x v="5"/>
    <s v="Series USf1"/>
    <n v="31539.040000000001"/>
    <s v=""/>
    <n v="0.02"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97"/>
    <x v="5"/>
    <s v="Series USf1"/>
    <n v="31434.81"/>
    <m/>
    <n v="0.02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USf1"/>
    <n v="31117.49"/>
    <m/>
    <n v="0.02"/>
    <n v="0"/>
    <n v="0"/>
    <n v="0"/>
    <n v="0"/>
    <m/>
    <n v="0"/>
    <e v="#DIV/0!"/>
    <n v="-31117.49"/>
    <n v="-31117.49"/>
    <s v="Private Equity Fund"/>
    <n v="0"/>
    <n v="0"/>
    <m/>
    <m/>
    <m/>
    <m/>
    <m/>
    <m/>
    <m/>
    <m/>
    <m/>
    <m/>
  </r>
  <r>
    <x v="4"/>
    <x v="5"/>
    <s v="Series USf1a"/>
    <n v="860000"/>
    <e v="#DIV/0!"/>
    <n v="2.5"/>
    <n v="860000"/>
    <n v="0"/>
    <n v="0"/>
    <m/>
    <m/>
    <n v="860000"/>
    <e v="#DIV/0!"/>
    <n v="860000"/>
    <n v="860000"/>
    <s v="Private Equity Fund"/>
    <n v="0"/>
    <n v="0"/>
    <n v="0"/>
    <n v="0"/>
    <m/>
    <m/>
    <m/>
    <m/>
    <m/>
    <m/>
    <m/>
    <m/>
  </r>
  <r>
    <x v="5"/>
    <x v="5"/>
    <s v="Series USf1a"/>
    <n v="857037.1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6"/>
    <x v="5"/>
    <s v="Series USf1a"/>
    <n v="855336.2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7"/>
    <x v="5"/>
    <s v="Series USf1a"/>
    <n v="844677.64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8"/>
    <x v="5"/>
    <s v="Series USf1a"/>
    <n v="821330.03320277296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9"/>
    <x v="5"/>
    <s v="Series USf1a"/>
    <n v="812089.78496929305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0"/>
    <x v="5"/>
    <s v="Series USf1a"/>
    <n v="811293.34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1"/>
    <x v="5"/>
    <s v="Series USf1a"/>
    <n v="824327.46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2"/>
    <x v="5"/>
    <s v="Series USf1a"/>
    <n v="1405940.54"/>
    <e v="#DIV/0!"/>
    <n v="2.5"/>
    <n v="562500"/>
    <n v="0"/>
    <n v="0"/>
    <m/>
    <m/>
    <n v="562500"/>
    <e v="#DIV/0!"/>
    <n v="562500"/>
    <n v="562500"/>
    <s v="Private Equity Fund"/>
    <n v="0"/>
    <n v="0"/>
    <n v="0"/>
    <n v="0"/>
    <m/>
    <m/>
    <m/>
    <m/>
    <m/>
    <m/>
    <m/>
    <m/>
  </r>
  <r>
    <x v="13"/>
    <x v="5"/>
    <s v="Series USf1a"/>
    <n v="1361015.5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USf1a"/>
    <n v="1766727.95"/>
    <e v="#DIV/0!"/>
    <n v="2.5"/>
    <n v="422500"/>
    <n v="0"/>
    <n v="0"/>
    <m/>
    <m/>
    <n v="422500"/>
    <e v="#DIV/0!"/>
    <n v="422500"/>
    <n v="422500"/>
    <s v="Private Equity Fund"/>
    <n v="0"/>
    <n v="0"/>
    <n v="0"/>
    <n v="0"/>
    <m/>
    <m/>
    <m/>
    <m/>
    <m/>
    <m/>
    <m/>
    <m/>
  </r>
  <r>
    <x v="151"/>
    <x v="5"/>
    <s v="Series USf1a"/>
    <n v="1782442.7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USf1a"/>
    <n v="1768829.07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USf1a"/>
    <n v="2122046.6800000002"/>
    <e v="#DIV/0!"/>
    <n v="2.5"/>
    <n v="290000"/>
    <n v="0"/>
    <n v="0"/>
    <m/>
    <m/>
    <n v="290000"/>
    <e v="#DIV/0!"/>
    <n v="290000"/>
    <n v="290000"/>
    <s v="Private Equity Fund"/>
    <n v="0"/>
    <n v="0"/>
    <n v="0"/>
    <n v="0"/>
    <m/>
    <m/>
    <m/>
    <m/>
    <m/>
    <m/>
    <m/>
    <m/>
  </r>
  <r>
    <x v="154"/>
    <x v="5"/>
    <s v="Series USf1a"/>
    <n v="2172117.4822999998"/>
    <e v="#DIV/0!"/>
    <n v="2.5"/>
    <n v="35000"/>
    <n v="0"/>
    <n v="0"/>
    <m/>
    <m/>
    <n v="35000"/>
    <e v="#DIV/0!"/>
    <n v="35000"/>
    <n v="35000"/>
    <s v="Private Equity Fund"/>
    <n v="0"/>
    <n v="0"/>
    <n v="0"/>
    <n v="0"/>
    <m/>
    <m/>
    <m/>
    <m/>
    <m/>
    <m/>
    <m/>
    <m/>
  </r>
  <r>
    <x v="155"/>
    <x v="5"/>
    <s v="Series USf1a"/>
    <n v="2339729.5580000002"/>
    <e v="#DIV/0!"/>
    <n v="2.5"/>
    <n v="142500"/>
    <n v="0"/>
    <n v="0"/>
    <m/>
    <m/>
    <n v="142500"/>
    <e v="#DIV/0!"/>
    <n v="142500"/>
    <n v="142500"/>
    <s v="Private Equity Fund"/>
    <n v="0"/>
    <n v="0"/>
    <n v="0"/>
    <n v="0"/>
    <m/>
    <m/>
    <m/>
    <m/>
    <m/>
    <m/>
    <m/>
    <m/>
  </r>
  <r>
    <x v="156"/>
    <x v="5"/>
    <s v="Series USf1a"/>
    <n v="2519826.8267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7"/>
    <x v="5"/>
    <s v="Series USf1a"/>
    <n v="2545631.2373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8"/>
    <x v="5"/>
    <s v="Series USf1a"/>
    <n v="2519251.2548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USf1a"/>
    <n v="2667132.7740000002"/>
    <e v="#DIV/0!"/>
    <n v="2.5"/>
    <n v="187500"/>
    <n v="0"/>
    <n v="0"/>
    <m/>
    <m/>
    <n v="187500"/>
    <e v="#DIV/0!"/>
    <n v="187500"/>
    <n v="187500"/>
    <s v="Private Equity Fund"/>
    <n v="0"/>
    <n v="0"/>
    <n v="0"/>
    <n v="0"/>
    <m/>
    <m/>
    <m/>
    <m/>
    <m/>
    <m/>
    <m/>
    <m/>
  </r>
  <r>
    <x v="160"/>
    <x v="5"/>
    <s v="Series USf1a"/>
    <n v="2626523.3223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USf1a"/>
    <n v="2633600.0902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USf1a"/>
    <n v="2702863.2115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USf1a"/>
    <n v="2691209.4232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4"/>
    <x v="5"/>
    <s v="Series USf1a"/>
    <n v="2712651.0528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USf1a"/>
    <n v="2687325.5980000002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USf1a"/>
    <n v="2731798.4139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7"/>
    <x v="5"/>
    <s v="Series USf1a"/>
    <n v="2774104.4082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USf1a"/>
    <n v="2816951.7217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USf1a"/>
    <n v="2890121.2659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USf1a"/>
    <n v="2965002.458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USf1a"/>
    <n v="3007110.502299999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USf1a"/>
    <n v="2999997.98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USf1a"/>
    <n v="3115391.631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USf1a"/>
    <n v="3220469.106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USf1a"/>
    <n v="3236605.509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USf1a"/>
    <n v="3206329.88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USf1a"/>
    <n v="3254896.5792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USf1a"/>
    <n v="3394294.4863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USf1a"/>
    <n v="3353483.9024999999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USf1a"/>
    <n v="3342040.2650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USf1a"/>
    <n v="3248797.0923000001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USf1a"/>
    <n v="3363062.7955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USf1a"/>
    <n v="3449585.14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USf1a"/>
    <n v="34690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USf1a"/>
    <n v="3439498.2622398427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USf1a"/>
    <n v="3464600"/>
    <e v="#DIV/0!"/>
    <n v="2.5"/>
    <n v="0"/>
    <n v="-4.6566128730773926E-10"/>
    <n v="0"/>
    <m/>
    <m/>
    <n v="-4.6566128730773926E-10"/>
    <e v="#DIV/0!"/>
    <n v="-4.6566128730773926E-10"/>
    <n v="-4.6566128730773926E-10"/>
    <s v="Private Equity Fund"/>
    <n v="0"/>
    <n v="0"/>
    <n v="0"/>
    <n v="0"/>
    <m/>
    <m/>
    <m/>
    <m/>
    <m/>
    <m/>
    <m/>
    <m/>
  </r>
  <r>
    <x v="187"/>
    <x v="5"/>
    <s v="Series USf1a"/>
    <n v="34685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USf1a"/>
    <n v="35602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USf1a"/>
    <n v="3606800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USf1a"/>
    <n v="3644015.38"/>
    <e v="#DIV/0!"/>
    <n v="2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USf1a"/>
    <n v="3665818.0704999999"/>
    <e v="#DIV/0!"/>
    <n v="2.5"/>
    <n v="0"/>
    <n v="0"/>
    <n v="0"/>
    <m/>
    <m/>
    <n v="0"/>
    <e v="#DIV/0!"/>
    <n v="0"/>
    <n v="0"/>
    <s v="Private Equity Fund"/>
    <n v="6.9669446296834695E-3"/>
    <n v="9.4525789499999985E-2"/>
    <n v="0"/>
    <n v="0"/>
    <m/>
    <m/>
    <m/>
    <m/>
    <m/>
    <m/>
    <m/>
    <m/>
  </r>
  <r>
    <x v="192"/>
    <x v="5"/>
    <s v="Series USf1a"/>
    <n v="3705965.1609999998"/>
    <e v="#DIV/0!"/>
    <n v="2.5"/>
    <n v="0"/>
    <n v="0"/>
    <n v="0"/>
    <m/>
    <m/>
    <n v="0"/>
    <e v="#DIV/0!"/>
    <n v="0"/>
    <n v="0"/>
    <s v="Private Equity Fund"/>
    <n v="0"/>
    <n v="9.778096E-2"/>
    <n v="0"/>
    <n v="0"/>
    <m/>
    <m/>
    <m/>
    <m/>
    <m/>
    <m/>
    <m/>
    <m/>
  </r>
  <r>
    <x v="193"/>
    <x v="5"/>
    <s v="Series USf1a"/>
    <n v="3730191.0868000002"/>
    <e v="#DIV/0!"/>
    <n v="2.5"/>
    <n v="0"/>
    <n v="0"/>
    <n v="0"/>
    <m/>
    <m/>
    <n v="0"/>
    <e v="#DIV/0!"/>
    <n v="0"/>
    <n v="0"/>
    <s v="Private Equity Fund"/>
    <n v="0"/>
    <n v="9.9745219999999996E-2"/>
    <n v="0"/>
    <n v="0"/>
    <m/>
    <m/>
    <m/>
    <m/>
    <m/>
    <m/>
    <m/>
    <m/>
  </r>
  <r>
    <x v="194"/>
    <x v="5"/>
    <s v="Series USf1a"/>
    <n v="3753854.2148000002"/>
    <e v="#DIV/0!"/>
    <n v="2.5"/>
    <n v="0"/>
    <n v="0"/>
    <n v="0"/>
    <m/>
    <m/>
    <n v="0"/>
    <e v="#DIV/0!"/>
    <n v="0"/>
    <n v="0"/>
    <s v="Private Equity Fund"/>
    <n v="7.3023200000000002E-3"/>
    <n v="0.10166385999999999"/>
    <n v="0"/>
    <n v="0"/>
    <m/>
    <m/>
    <m/>
    <m/>
    <m/>
    <m/>
    <m/>
    <m/>
  </r>
  <r>
    <x v="195"/>
    <x v="5"/>
    <s v="Series USf1a"/>
    <n v="3752807.42"/>
    <s v=""/>
    <n v="2.5"/>
    <n v="0"/>
    <n v="0"/>
    <n v="0"/>
    <m/>
    <m/>
    <n v="0"/>
    <e v="#DIV/0!"/>
    <n v="0"/>
    <n v="0"/>
    <s v="Private Equity Fund"/>
    <n v="0"/>
    <n v="0.10157898"/>
    <n v="0"/>
    <n v="0"/>
    <m/>
    <m/>
    <m/>
    <m/>
    <m/>
    <m/>
    <m/>
    <m/>
  </r>
  <r>
    <x v="196"/>
    <x v="5"/>
    <s v="Series USf1a"/>
    <n v="3764204.2803000002"/>
    <s v=""/>
    <n v="2.5"/>
    <n v="0"/>
    <n v="0"/>
    <n v="0"/>
    <m/>
    <m/>
    <n v="0"/>
    <e v="#DIV/0!"/>
    <n v="0"/>
    <n v="0"/>
    <s v="Private Equity Fund"/>
    <n v="0"/>
    <n v="0.10250304975000001"/>
    <n v="0"/>
    <n v="0"/>
    <m/>
    <m/>
    <m/>
    <m/>
    <m/>
    <m/>
    <m/>
    <m/>
  </r>
  <r>
    <x v="197"/>
    <x v="5"/>
    <s v="Series USf1a"/>
    <n v="3730633.2922999999"/>
    <m/>
    <n v="2.5"/>
    <n v="0"/>
    <n v="0"/>
    <n v="0"/>
    <m/>
    <n v="0"/>
    <n v="0"/>
    <e v="#DIV/0!"/>
    <n v="0"/>
    <n v="0"/>
    <s v="Private Equity Fund"/>
    <n v="7.1757678695087944E-3"/>
    <n v="9.9781077750000016E-2"/>
    <m/>
    <m/>
    <m/>
    <m/>
    <m/>
    <m/>
    <m/>
    <m/>
    <m/>
    <m/>
  </r>
  <r>
    <x v="198"/>
    <x v="5"/>
    <s v="Series USf1a"/>
    <n v="3717703.1058"/>
    <m/>
    <n v="2.5"/>
    <n v="0"/>
    <n v="0"/>
    <n v="0"/>
    <n v="0"/>
    <m/>
    <n v="0"/>
    <e v="#DIV/0!"/>
    <n v="-3717703.1058"/>
    <n v="-3717703.1058"/>
    <s v="Private Equity Fund"/>
    <n v="2.5896131190994605E-3"/>
    <n v="9.8732684250000008E-2"/>
    <m/>
    <m/>
    <m/>
    <m/>
    <m/>
    <m/>
    <m/>
    <m/>
    <m/>
    <m/>
  </r>
  <r>
    <x v="202"/>
    <x v="5"/>
    <s v="Series USf4"/>
    <n v="28500"/>
    <e v="#DIV/0!"/>
    <n v="0.25"/>
    <n v="28500"/>
    <n v="0"/>
    <n v="0"/>
    <m/>
    <m/>
    <n v="28500"/>
    <e v="#DIV/0!"/>
    <n v="28500"/>
    <n v="28500"/>
    <s v="Private Equity Fund"/>
    <n v="0"/>
    <n v="0"/>
    <n v="0"/>
    <n v="0"/>
    <m/>
    <m/>
    <m/>
    <m/>
    <m/>
    <m/>
    <m/>
    <m/>
  </r>
  <r>
    <x v="203"/>
    <x v="5"/>
    <s v="Series USf4"/>
    <n v="63250"/>
    <e v="#DIV/0!"/>
    <n v="0.25"/>
    <n v="34750"/>
    <n v="0"/>
    <n v="0"/>
    <m/>
    <m/>
    <n v="34750"/>
    <e v="#DIV/0!"/>
    <n v="34750"/>
    <n v="34750"/>
    <s v="Private Equity Fund"/>
    <n v="0"/>
    <n v="0"/>
    <n v="0"/>
    <n v="0"/>
    <m/>
    <m/>
    <m/>
    <m/>
    <m/>
    <m/>
    <m/>
    <m/>
  </r>
  <r>
    <x v="12"/>
    <x v="5"/>
    <s v="Series USf4"/>
    <n v="61810.6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3"/>
    <x v="5"/>
    <s v="Series USf4"/>
    <n v="61386.8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USf4"/>
    <n v="104341.77"/>
    <e v="#DIV/0!"/>
    <n v="0.25"/>
    <n v="42250"/>
    <n v="0"/>
    <n v="0"/>
    <m/>
    <m/>
    <n v="42250"/>
    <e v="#DIV/0!"/>
    <n v="42250"/>
    <n v="42250"/>
    <s v="Private Equity Fund"/>
    <n v="0"/>
    <n v="0"/>
    <n v="0"/>
    <n v="0"/>
    <m/>
    <m/>
    <m/>
    <m/>
    <m/>
    <m/>
    <m/>
    <m/>
  </r>
  <r>
    <x v="151"/>
    <x v="5"/>
    <s v="Series USf4"/>
    <n v="106492.2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USf4"/>
    <n v="106368.1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USf4"/>
    <n v="140286.5"/>
    <e v="#DIV/0!"/>
    <n v="0.25"/>
    <n v="29000"/>
    <n v="0"/>
    <n v="0"/>
    <m/>
    <m/>
    <n v="29000"/>
    <e v="#DIV/0!"/>
    <n v="29000"/>
    <n v="29000"/>
    <s v="Private Equity Fund"/>
    <n v="0"/>
    <n v="0"/>
    <n v="0"/>
    <n v="0"/>
    <m/>
    <m/>
    <m/>
    <m/>
    <m/>
    <m/>
    <m/>
    <m/>
  </r>
  <r>
    <x v="154"/>
    <x v="5"/>
    <s v="Series USf4"/>
    <n v="153766.51999999999"/>
    <e v="#DIV/0!"/>
    <n v="0.25"/>
    <n v="11625"/>
    <n v="0"/>
    <n v="0"/>
    <m/>
    <m/>
    <n v="11625"/>
    <e v="#DIV/0!"/>
    <n v="11625"/>
    <n v="11625"/>
    <s v="Private Equity Fund"/>
    <n v="0"/>
    <n v="0"/>
    <n v="0"/>
    <n v="0"/>
    <m/>
    <m/>
    <m/>
    <m/>
    <m/>
    <m/>
    <m/>
    <m/>
  </r>
  <r>
    <x v="155"/>
    <x v="5"/>
    <s v="Series USf4"/>
    <n v="174059.74"/>
    <e v="#DIV/0!"/>
    <n v="0.25"/>
    <n v="17750"/>
    <n v="0"/>
    <n v="0"/>
    <m/>
    <m/>
    <n v="17750"/>
    <e v="#DIV/0!"/>
    <n v="17750"/>
    <n v="17750"/>
    <s v="Private Equity Fund"/>
    <n v="0"/>
    <n v="0"/>
    <n v="0"/>
    <n v="0"/>
    <m/>
    <m/>
    <m/>
    <m/>
    <m/>
    <m/>
    <m/>
    <m/>
  </r>
  <r>
    <x v="156"/>
    <x v="5"/>
    <s v="Series USf4"/>
    <n v="192822.85"/>
    <e v="#DIV/0!"/>
    <n v="0.25"/>
    <n v="2500"/>
    <n v="0"/>
    <n v="0"/>
    <m/>
    <m/>
    <n v="2500"/>
    <e v="#DIV/0!"/>
    <n v="2500"/>
    <n v="2500"/>
    <s v="Private Equity Fund"/>
    <n v="0"/>
    <n v="0"/>
    <n v="0"/>
    <n v="0"/>
    <m/>
    <m/>
    <m/>
    <m/>
    <m/>
    <m/>
    <m/>
    <m/>
  </r>
  <r>
    <x v="157"/>
    <x v="5"/>
    <s v="Series USf4"/>
    <n v="199382.9"/>
    <e v="#DIV/0!"/>
    <n v="0.25"/>
    <n v="7500"/>
    <n v="0"/>
    <n v="0"/>
    <m/>
    <m/>
    <n v="7500"/>
    <e v="#DIV/0!"/>
    <n v="7500"/>
    <n v="7500"/>
    <s v="Private Equity Fund"/>
    <n v="0"/>
    <n v="0"/>
    <n v="0"/>
    <n v="0"/>
    <m/>
    <m/>
    <m/>
    <m/>
    <m/>
    <m/>
    <m/>
    <m/>
  </r>
  <r>
    <x v="158"/>
    <x v="5"/>
    <s v="Series USf4"/>
    <n v="196327.05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USf4"/>
    <n v="199962.78"/>
    <e v="#DIV/0!"/>
    <n v="0.25"/>
    <n v="7250"/>
    <n v="0"/>
    <n v="0"/>
    <m/>
    <m/>
    <n v="7250"/>
    <e v="#DIV/0!"/>
    <n v="7250"/>
    <n v="7250"/>
    <s v="Private Equity Fund"/>
    <n v="0"/>
    <n v="0"/>
    <n v="0"/>
    <n v="0"/>
    <m/>
    <m/>
    <m/>
    <m/>
    <m/>
    <m/>
    <m/>
    <m/>
  </r>
  <r>
    <x v="160"/>
    <x v="5"/>
    <s v="Series USf4"/>
    <n v="196588.6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USf4"/>
    <n v="197567.39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USf4"/>
    <n v="203778.7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USf4"/>
    <n v="214341.23"/>
    <e v="#DIV/0!"/>
    <n v="0.25"/>
    <n v="10750"/>
    <n v="0"/>
    <n v="0"/>
    <m/>
    <m/>
    <n v="10750"/>
    <e v="#DIV/0!"/>
    <n v="10750"/>
    <n v="10750"/>
    <s v="Private Equity Fund"/>
    <n v="0"/>
    <n v="0"/>
    <n v="0"/>
    <n v="0"/>
    <m/>
    <m/>
    <m/>
    <m/>
    <m/>
    <m/>
    <m/>
    <m/>
  </r>
  <r>
    <x v="164"/>
    <x v="5"/>
    <s v="Series USf4"/>
    <n v="216432.9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USf4"/>
    <n v="213263.95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USf4"/>
    <n v="276202.56"/>
    <e v="#DIV/0!"/>
    <n v="0.25"/>
    <n v="58125"/>
    <n v="0"/>
    <n v="0"/>
    <m/>
    <m/>
    <n v="58125"/>
    <e v="#DIV/0!"/>
    <n v="58125"/>
    <n v="58125"/>
    <s v="Private Equity Fund"/>
    <n v="0"/>
    <n v="0"/>
    <n v="0"/>
    <n v="0"/>
    <m/>
    <m/>
    <m/>
    <m/>
    <m/>
    <m/>
    <m/>
    <m/>
  </r>
  <r>
    <x v="167"/>
    <x v="5"/>
    <s v="Series USf4"/>
    <n v="279736.03000000003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USf4"/>
    <n v="283076.76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USf4"/>
    <n v="287267.2199999999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USf4"/>
    <n v="296689.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USf4"/>
    <n v="299654.9000000000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USf4"/>
    <n v="299119.86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USf4"/>
    <n v="313535.5999999999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USf4"/>
    <n v="325043.5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USf4"/>
    <n v="326779.74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USf4"/>
    <n v="324924.7199999999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USf4"/>
    <n v="329969.4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USf4"/>
    <n v="344746.2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USf4"/>
    <n v="340148.43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USf4"/>
    <n v="338298.8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USf4"/>
    <n v="329788.44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USf4"/>
    <n v="343241.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USf4"/>
    <n v="351239.95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USf4"/>
    <n v="3535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USf4"/>
    <n v="351409.6799051106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USf4"/>
    <n v="3536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USf4"/>
    <n v="3554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USf4"/>
    <n v="3739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USf4"/>
    <n v="378600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USf4"/>
    <n v="382487.18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USf4"/>
    <n v="386694.81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2"/>
    <x v="5"/>
    <s v="Series USf4"/>
    <n v="389937.62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3"/>
    <x v="5"/>
    <s v="Series USf4"/>
    <n v="392963.57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4"/>
    <x v="5"/>
    <s v="Series USf4"/>
    <n v="396833.13"/>
    <e v="#DIV/0!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5"/>
    <x v="5"/>
    <s v="Series USf4"/>
    <n v="395121.07889534574"/>
    <s v="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6"/>
    <x v="5"/>
    <s v="Series USf4"/>
    <n v="396598.91"/>
    <s v=""/>
    <n v="0.2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7"/>
    <x v="5"/>
    <s v="Series USf4"/>
    <n v="394778.75"/>
    <m/>
    <n v="0.25"/>
    <n v="0"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5"/>
    <s v="Series USf4"/>
    <n v="390710.57"/>
    <m/>
    <n v="0.25"/>
    <n v="0"/>
    <n v="0"/>
    <n v="0"/>
    <n v="0"/>
    <m/>
    <n v="0"/>
    <e v="#DIV/0!"/>
    <n v="-390710.57"/>
    <n v="-390710.57"/>
    <s v="Private Equity Fund"/>
    <n v="0"/>
    <n v="0"/>
    <m/>
    <m/>
    <m/>
    <m/>
    <m/>
    <m/>
    <m/>
    <m/>
    <m/>
    <m/>
  </r>
  <r>
    <x v="202"/>
    <x v="5"/>
    <s v="Series USf5c"/>
    <n v="171000"/>
    <e v="#DIV/0!"/>
    <n v="1.5"/>
    <n v="171000"/>
    <n v="0"/>
    <n v="0"/>
    <m/>
    <m/>
    <n v="171000"/>
    <e v="#DIV/0!"/>
    <n v="171000"/>
    <n v="171000"/>
    <s v="Private Equity Fund"/>
    <n v="0"/>
    <n v="0"/>
    <n v="0"/>
    <n v="0"/>
    <m/>
    <m/>
    <m/>
    <m/>
    <m/>
    <m/>
    <m/>
    <m/>
  </r>
  <r>
    <x v="203"/>
    <x v="5"/>
    <s v="Series USf5c"/>
    <n v="379500"/>
    <e v="#DIV/0!"/>
    <n v="1.5"/>
    <n v="208500"/>
    <n v="0"/>
    <n v="0"/>
    <m/>
    <m/>
    <n v="208500"/>
    <e v="#DIV/0!"/>
    <n v="208500"/>
    <n v="208500"/>
    <s v="Private Equity Fund"/>
    <n v="0"/>
    <n v="0"/>
    <n v="0"/>
    <n v="0"/>
    <m/>
    <m/>
    <m/>
    <m/>
    <m/>
    <m/>
    <m/>
    <m/>
  </r>
  <r>
    <x v="12"/>
    <x v="5"/>
    <s v="Series USf5c"/>
    <n v="370421.7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3"/>
    <x v="5"/>
    <s v="Series USf5c"/>
    <n v="365516.5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0"/>
    <x v="5"/>
    <s v="Series USf5c"/>
    <n v="622083.77"/>
    <e v="#DIV/0!"/>
    <n v="1.5"/>
    <n v="253500"/>
    <n v="0"/>
    <n v="0"/>
    <m/>
    <m/>
    <n v="253500"/>
    <e v="#DIV/0!"/>
    <n v="253500"/>
    <n v="253500"/>
    <s v="Private Equity Fund"/>
    <n v="0"/>
    <n v="0"/>
    <n v="0"/>
    <n v="0"/>
    <m/>
    <m/>
    <m/>
    <m/>
    <m/>
    <m/>
    <m/>
    <m/>
  </r>
  <r>
    <x v="151"/>
    <x v="5"/>
    <s v="Series USf5c"/>
    <n v="634771.78249999997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2"/>
    <x v="5"/>
    <s v="Series USf5c"/>
    <n v="631909.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3"/>
    <x v="5"/>
    <s v="Series USf5c"/>
    <n v="833005.94550000003"/>
    <e v="#DIV/0!"/>
    <n v="1.5"/>
    <n v="174000"/>
    <n v="0"/>
    <n v="0"/>
    <m/>
    <m/>
    <n v="174000"/>
    <e v="#DIV/0!"/>
    <n v="174000"/>
    <n v="174000"/>
    <s v="Private Equity Fund"/>
    <n v="0"/>
    <n v="0"/>
    <n v="0"/>
    <n v="0"/>
    <m/>
    <m/>
    <m/>
    <m/>
    <m/>
    <m/>
    <m/>
    <m/>
  </r>
  <r>
    <x v="154"/>
    <x v="5"/>
    <s v="Series USf5c"/>
    <n v="911053.33100000001"/>
    <e v="#DIV/0!"/>
    <n v="1.5"/>
    <n v="69750"/>
    <n v="0"/>
    <n v="0"/>
    <m/>
    <m/>
    <n v="69750"/>
    <e v="#DIV/0!"/>
    <n v="69750"/>
    <n v="69750"/>
    <s v="Private Equity Fund"/>
    <n v="0"/>
    <n v="0"/>
    <n v="0"/>
    <n v="0"/>
    <m/>
    <m/>
    <m/>
    <m/>
    <m/>
    <m/>
    <m/>
    <m/>
  </r>
  <r>
    <x v="155"/>
    <x v="5"/>
    <s v="Series USf5c"/>
    <n v="1033516.7045"/>
    <e v="#DIV/0!"/>
    <n v="1.5"/>
    <n v="114000"/>
    <n v="0"/>
    <n v="0"/>
    <m/>
    <m/>
    <n v="114000"/>
    <e v="#DIV/0!"/>
    <n v="114000"/>
    <n v="114000"/>
    <s v="Private Equity Fund"/>
    <n v="0"/>
    <n v="0"/>
    <n v="0"/>
    <n v="0"/>
    <m/>
    <m/>
    <m/>
    <m/>
    <m/>
    <m/>
    <m/>
    <m/>
  </r>
  <r>
    <x v="156"/>
    <x v="5"/>
    <s v="Series USf5c"/>
    <n v="1136860.0689999999"/>
    <e v="#DIV/0!"/>
    <n v="1.5"/>
    <n v="15000"/>
    <n v="0"/>
    <n v="0"/>
    <m/>
    <m/>
    <n v="15000"/>
    <e v="#DIV/0!"/>
    <n v="15000"/>
    <n v="15000"/>
    <s v="Private Equity Fund"/>
    <n v="0"/>
    <n v="0"/>
    <n v="0"/>
    <n v="0"/>
    <m/>
    <m/>
    <m/>
    <m/>
    <m/>
    <m/>
    <m/>
    <m/>
  </r>
  <r>
    <x v="157"/>
    <x v="5"/>
    <s v="Series USf5c"/>
    <n v="1171814.7520000001"/>
    <e v="#DIV/0!"/>
    <n v="1.5"/>
    <n v="45000"/>
    <n v="0"/>
    <n v="0"/>
    <m/>
    <m/>
    <n v="45000"/>
    <e v="#DIV/0!"/>
    <n v="45000"/>
    <n v="45000"/>
    <s v="Private Equity Fund"/>
    <n v="0"/>
    <n v="0"/>
    <n v="0"/>
    <n v="0"/>
    <m/>
    <m/>
    <m/>
    <m/>
    <m/>
    <m/>
    <m/>
    <m/>
  </r>
  <r>
    <x v="158"/>
    <x v="5"/>
    <s v="Series USf5c"/>
    <n v="1151869.960999999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59"/>
    <x v="5"/>
    <s v="Series USf5c"/>
    <n v="1175500.446"/>
    <e v="#DIV/0!"/>
    <n v="1.5"/>
    <n v="43500"/>
    <n v="0"/>
    <n v="0"/>
    <m/>
    <m/>
    <n v="43500"/>
    <e v="#DIV/0!"/>
    <n v="43500"/>
    <n v="43500"/>
    <s v="Private Equity Fund"/>
    <n v="0"/>
    <n v="0"/>
    <n v="0"/>
    <n v="0"/>
    <m/>
    <m/>
    <m/>
    <m/>
    <m/>
    <m/>
    <m/>
    <m/>
  </r>
  <r>
    <x v="160"/>
    <x v="5"/>
    <s v="Series USf5c"/>
    <n v="1156899.3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USf5c"/>
    <n v="1160503.0120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USf5c"/>
    <n v="1194984.06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USf5c"/>
    <n v="1251678.7405000001"/>
    <e v="#DIV/0!"/>
    <n v="1.5"/>
    <n v="64500"/>
    <n v="0"/>
    <n v="0"/>
    <m/>
    <m/>
    <n v="64500"/>
    <e v="#DIV/0!"/>
    <n v="64500"/>
    <n v="64500"/>
    <s v="Private Equity Fund"/>
    <n v="0"/>
    <n v="0"/>
    <n v="0"/>
    <n v="0"/>
    <m/>
    <m/>
    <m/>
    <m/>
    <m/>
    <m/>
    <m/>
    <m/>
  </r>
  <r>
    <x v="164"/>
    <x v="5"/>
    <s v="Series USf5c"/>
    <n v="1261897.95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USf5c"/>
    <n v="1248832.40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USf5c"/>
    <n v="1612599.959"/>
    <e v="#DIV/0!"/>
    <n v="1.5"/>
    <n v="341250"/>
    <n v="0"/>
    <n v="0"/>
    <m/>
    <m/>
    <n v="341250"/>
    <e v="#DIV/0!"/>
    <n v="341250"/>
    <n v="341250"/>
    <s v="Private Equity Fund"/>
    <n v="0"/>
    <n v="0"/>
    <n v="0"/>
    <n v="0"/>
    <m/>
    <m/>
    <m/>
    <m/>
    <m/>
    <m/>
    <m/>
    <m/>
  </r>
  <r>
    <x v="167"/>
    <x v="5"/>
    <s v="Series USf5c"/>
    <n v="1624318.058999999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USf5c"/>
    <n v="1649388.723999999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9"/>
    <x v="5"/>
    <s v="Series USf5c"/>
    <n v="1668831.08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USf5c"/>
    <n v="1705241.603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USf5c"/>
    <n v="1733841.40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USf5c"/>
    <n v="1729066.0665"/>
    <e v="#DIV/0!"/>
    <n v="1.5"/>
    <n v="0"/>
    <n v="-2.3283064365386963E-10"/>
    <n v="0"/>
    <m/>
    <m/>
    <n v="-2.3283064365386963E-10"/>
    <e v="#DIV/0!"/>
    <n v="-2.3283064365386963E-10"/>
    <n v="-2.3283064365386963E-10"/>
    <s v="Private Equity Fund"/>
    <n v="0"/>
    <n v="0"/>
    <n v="0"/>
    <n v="0"/>
    <m/>
    <m/>
    <m/>
    <m/>
    <m/>
    <m/>
    <m/>
    <m/>
  </r>
  <r>
    <x v="173"/>
    <x v="5"/>
    <s v="Series USf5c"/>
    <n v="1785250.00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USf5c"/>
    <n v="1841875.1170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USf5c"/>
    <n v="1850785.497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USf5c"/>
    <n v="1837298.9380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7"/>
    <x v="5"/>
    <s v="Series USf5c"/>
    <n v="1867170.683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USf5c"/>
    <n v="1940184.4765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USf5c"/>
    <n v="1908620.007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USf5c"/>
    <n v="1903525.014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USf5c"/>
    <n v="1851576.974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USf5c"/>
    <n v="1917871.4325000001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3"/>
    <x v="5"/>
    <s v="Series USf5c"/>
    <n v="1962810.372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USf5c"/>
    <n v="1965700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5"/>
    <x v="5"/>
    <s v="Series USf5c"/>
    <n v="1952857.6001246925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USf5c"/>
    <n v="1968200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7"/>
    <x v="5"/>
    <s v="Series USf5c"/>
    <n v="1968900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USf5c"/>
    <n v="2058600.0000000002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USf5c"/>
    <n v="2086800.0000000002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USf5c"/>
    <n v="2104762.9"/>
    <e v="#DIV/0!"/>
    <n v="1.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USf5c"/>
    <n v="2116774.7390000001"/>
    <e v="#DIV/0!"/>
    <n v="1.5"/>
    <n v="0"/>
    <n v="0"/>
    <n v="0"/>
    <m/>
    <m/>
    <n v="0"/>
    <e v="#DIV/0!"/>
    <n v="0"/>
    <n v="0"/>
    <s v="Private Equity Fund"/>
    <n v="8.2622945324499174E-3"/>
    <n v="0.10884260099999998"/>
    <n v="8.2622945324499182E-4"/>
    <n v="1.0884260074726808E-2"/>
    <m/>
    <m/>
    <m/>
    <m/>
    <m/>
    <m/>
    <m/>
    <m/>
  </r>
  <r>
    <x v="192"/>
    <x v="5"/>
    <s v="Series USf5c"/>
    <n v="2144638.2914999998"/>
    <e v="#DIV/0!"/>
    <n v="1.5"/>
    <n v="0"/>
    <n v="0"/>
    <n v="0"/>
    <m/>
    <m/>
    <n v="0"/>
    <e v="#DIV/0!"/>
    <n v="0"/>
    <n v="0"/>
    <s v="Private Equity Fund"/>
    <n v="0"/>
    <n v="0.11375970000000001"/>
    <n v="0"/>
    <n v="0"/>
    <m/>
    <m/>
    <m/>
    <m/>
    <m/>
    <m/>
    <m/>
    <m/>
  </r>
  <r>
    <x v="193"/>
    <x v="5"/>
    <s v="Series USf5c"/>
    <n v="2157690.0499999998"/>
    <e v="#DIV/0!"/>
    <n v="1.5"/>
    <n v="0"/>
    <n v="0"/>
    <n v="0"/>
    <m/>
    <m/>
    <n v="0"/>
    <e v="#DIV/0!"/>
    <n v="0"/>
    <n v="0"/>
    <s v="Private Equity Fund"/>
    <n v="0"/>
    <n v="0.11606295"/>
    <n v="0"/>
    <n v="0"/>
    <m/>
    <m/>
    <m/>
    <m/>
    <m/>
    <m/>
    <m/>
    <m/>
  </r>
  <r>
    <x v="194"/>
    <x v="5"/>
    <s v="Series USf5c"/>
    <n v="2161044.4134999998"/>
    <e v="#DIV/0!"/>
    <n v="1.5"/>
    <n v="0"/>
    <n v="0"/>
    <n v="0"/>
    <m/>
    <m/>
    <n v="0"/>
    <e v="#DIV/0!"/>
    <n v="0"/>
    <n v="0"/>
    <s v="Private Equity Fund"/>
    <n v="8.6442600000000008E-3"/>
    <n v="0.11665490000000001"/>
    <n v="8.6442578711791018E-4"/>
    <n v="1.1665489642588534E-2"/>
    <m/>
    <m/>
    <m/>
    <m/>
    <m/>
    <m/>
    <m/>
    <m/>
  </r>
  <r>
    <x v="195"/>
    <x v="5"/>
    <s v="Series USf5c"/>
    <n v="2170940.3854999999"/>
    <s v=""/>
    <n v="1.5"/>
    <n v="0"/>
    <n v="0"/>
    <n v="0"/>
    <m/>
    <m/>
    <n v="0"/>
    <e v="#DIV/0!"/>
    <n v="0"/>
    <n v="0"/>
    <s v="Private Equity Fund"/>
    <n v="0"/>
    <n v="0.1184012445"/>
    <n v="0"/>
    <n v="0"/>
    <m/>
    <m/>
    <m/>
    <m/>
    <m/>
    <m/>
    <m/>
    <m/>
  </r>
  <r>
    <x v="196"/>
    <x v="5"/>
    <s v="Series USf5c"/>
    <n v="2175925.9925000002"/>
    <s v=""/>
    <n v="1.5"/>
    <n v="0"/>
    <n v="0"/>
    <n v="0"/>
    <m/>
    <m/>
    <n v="0"/>
    <e v="#DIV/0!"/>
    <n v="0"/>
    <n v="0"/>
    <s v="Private Equity Fund"/>
    <n v="0"/>
    <n v="0.11928105749999997"/>
    <n v="0"/>
    <n v="0"/>
    <m/>
    <m/>
    <m/>
    <m/>
    <m/>
    <m/>
    <m/>
    <m/>
  </r>
  <r>
    <x v="197"/>
    <x v="5"/>
    <s v="Series USf5c"/>
    <n v="2143437.8110000002"/>
    <m/>
    <n v="1.5"/>
    <n v="0"/>
    <n v="0"/>
    <n v="0"/>
    <m/>
    <n v="0"/>
    <n v="0"/>
    <e v="#DIV/0!"/>
    <n v="0"/>
    <n v="0"/>
    <s v="Private Equity Fund"/>
    <n v="8.4721916883442258E-3"/>
    <n v="0.11354784900000002"/>
    <n v="8.4721916883442275E-4"/>
    <n v="1.1354784885615966E-2"/>
    <m/>
    <m/>
    <m/>
    <m/>
    <m/>
    <m/>
    <m/>
    <m/>
  </r>
  <r>
    <x v="198"/>
    <x v="5"/>
    <s v="Series USf5c"/>
    <n v="2148469.8280000002"/>
    <m/>
    <n v="1.5"/>
    <n v="0"/>
    <n v="0"/>
    <n v="0"/>
    <n v="0"/>
    <m/>
    <n v="0"/>
    <e v="#DIV/0!"/>
    <n v="-2148469.8280000002"/>
    <n v="-2148469.8280000002"/>
    <s v="Private Equity Fund"/>
    <n v="3.0730396340098135E-3"/>
    <n v="0.11443585200000003"/>
    <m/>
    <m/>
    <m/>
    <m/>
    <m/>
    <m/>
    <m/>
    <m/>
    <m/>
    <m/>
  </r>
  <r>
    <x v="205"/>
    <x v="5"/>
    <s v="Series USf9"/>
    <n v="1831350"/>
    <e v="#DIV/0!"/>
    <n v="21.05"/>
    <n v="1831350"/>
    <n v="0"/>
    <n v="0"/>
    <m/>
    <m/>
    <n v="1831350"/>
    <e v="#DIV/0!"/>
    <n v="1831350"/>
    <n v="1831350"/>
    <s v="Private Equity Fund"/>
    <n v="0"/>
    <n v="0"/>
    <n v="0"/>
    <n v="0"/>
    <m/>
    <m/>
    <m/>
    <m/>
    <m/>
    <m/>
    <m/>
    <m/>
  </r>
  <r>
    <x v="159"/>
    <x v="5"/>
    <s v="Series USf9"/>
    <n v="1820369.53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0"/>
    <x v="5"/>
    <s v="Series USf9"/>
    <n v="1806851.16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1"/>
    <x v="5"/>
    <s v="Series USf9"/>
    <n v="1805815.34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2"/>
    <x v="5"/>
    <s v="Series USf9"/>
    <n v="1800195.7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3"/>
    <x v="5"/>
    <s v="Series USf9"/>
    <n v="3367839.44"/>
    <e v="#DIV/0!"/>
    <n v="21.05"/>
    <n v="1894500"/>
    <n v="0"/>
    <n v="0"/>
    <m/>
    <m/>
    <n v="1894500"/>
    <e v="#DIV/0!"/>
    <n v="1894500"/>
    <n v="1894500"/>
    <s v="Private Equity Fund"/>
    <n v="0"/>
    <n v="0"/>
    <n v="0"/>
    <n v="0"/>
    <m/>
    <m/>
    <m/>
    <m/>
    <m/>
    <m/>
    <m/>
    <m/>
  </r>
  <r>
    <x v="164"/>
    <x v="5"/>
    <s v="Series USf9"/>
    <n v="3720124.3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5"/>
    <x v="5"/>
    <s v="Series USf9"/>
    <n v="3704328.1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6"/>
    <x v="5"/>
    <s v="Series USf9"/>
    <n v="8442957.6040000003"/>
    <e v="#DIV/0!"/>
    <n v="21.05"/>
    <n v="4715200"/>
    <n v="0"/>
    <n v="0"/>
    <m/>
    <m/>
    <n v="4715200"/>
    <e v="#DIV/0!"/>
    <n v="4715200"/>
    <n v="4715200"/>
    <s v="Private Equity Fund"/>
    <n v="0"/>
    <n v="0"/>
    <n v="0"/>
    <n v="0"/>
    <m/>
    <m/>
    <m/>
    <m/>
    <m/>
    <m/>
    <m/>
    <m/>
  </r>
  <r>
    <x v="167"/>
    <x v="5"/>
    <s v="Series USf9"/>
    <n v="8474713.280999999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68"/>
    <x v="5"/>
    <s v="Series USf9"/>
    <n v="11874267.287"/>
    <e v="#DIV/0!"/>
    <n v="21.05"/>
    <n v="3368000"/>
    <n v="0"/>
    <n v="0"/>
    <m/>
    <m/>
    <n v="3368000"/>
    <e v="#DIV/0!"/>
    <n v="3368000"/>
    <n v="3368000"/>
    <s v="Private Equity Fund"/>
    <n v="0"/>
    <n v="0"/>
    <n v="0"/>
    <n v="0"/>
    <m/>
    <m/>
    <m/>
    <m/>
    <m/>
    <m/>
    <m/>
    <m/>
  </r>
  <r>
    <x v="169"/>
    <x v="5"/>
    <s v="Series USf9"/>
    <n v="12017034.71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0"/>
    <x v="5"/>
    <s v="Series USf9"/>
    <n v="11969811.537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1"/>
    <x v="5"/>
    <s v="Series USf9"/>
    <n v="11975009.669500001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2"/>
    <x v="5"/>
    <s v="Series USf9"/>
    <n v="11962083.685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3"/>
    <x v="5"/>
    <s v="Series USf9"/>
    <n v="12346544.083000001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4"/>
    <x v="5"/>
    <s v="Series USf9"/>
    <n v="12683243.584000001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5"/>
    <x v="5"/>
    <s v="Series USf9"/>
    <n v="12803643.772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6"/>
    <x v="5"/>
    <s v="Series USf9"/>
    <n v="23005376.302000001"/>
    <e v="#DIV/0!"/>
    <n v="21.05"/>
    <n v="9679950"/>
    <n v="0"/>
    <n v="0"/>
    <m/>
    <m/>
    <n v="9679950"/>
    <e v="#DIV/0!"/>
    <n v="9679950"/>
    <n v="9679950"/>
    <s v="Private Equity Fund"/>
    <n v="0"/>
    <n v="0"/>
    <n v="0"/>
    <n v="0"/>
    <m/>
    <m/>
    <m/>
    <m/>
    <m/>
    <m/>
    <m/>
    <m/>
  </r>
  <r>
    <x v="177"/>
    <x v="5"/>
    <s v="Series USf9"/>
    <n v="23291460.6149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8"/>
    <x v="5"/>
    <s v="Series USf9"/>
    <n v="23702772.1215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79"/>
    <x v="5"/>
    <s v="Series USf9"/>
    <n v="23556426.0064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0"/>
    <x v="5"/>
    <s v="Series USf9"/>
    <n v="23679333.369999997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1"/>
    <x v="5"/>
    <s v="Series USf9"/>
    <n v="23992307.519499999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2"/>
    <x v="5"/>
    <s v="Series USf9"/>
    <n v="24187274.170000002"/>
    <e v="#DIV/0!"/>
    <n v="21.05"/>
    <n v="0"/>
    <n v="-3.7252902984619141E-9"/>
    <n v="0"/>
    <m/>
    <m/>
    <n v="-3.7252902984619141E-9"/>
    <e v="#DIV/0!"/>
    <n v="-3.7252902984619141E-9"/>
    <n v="-3.7252902984619141E-9"/>
    <s v="Private Equity Fund"/>
    <n v="0"/>
    <n v="0"/>
    <n v="0"/>
    <n v="0"/>
    <m/>
    <m/>
    <m/>
    <m/>
    <m/>
    <m/>
    <m/>
    <m/>
  </r>
  <r>
    <x v="183"/>
    <x v="5"/>
    <s v="Series USf9"/>
    <n v="24403627.09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4"/>
    <x v="5"/>
    <s v="Series USf9"/>
    <n v="24382200"/>
    <e v="#DIV/0!"/>
    <n v="21.05"/>
    <n v="0"/>
    <n v="-3.7252902984619141E-9"/>
    <n v="0"/>
    <m/>
    <m/>
    <n v="-3.7252902984619141E-9"/>
    <e v="#DIV/0!"/>
    <n v="-3.7252902984619141E-9"/>
    <n v="-3.7252902984619141E-9"/>
    <s v="Private Equity Fund"/>
    <n v="0"/>
    <n v="0"/>
    <n v="0"/>
    <n v="0"/>
    <m/>
    <m/>
    <m/>
    <m/>
    <m/>
    <m/>
    <m/>
    <m/>
  </r>
  <r>
    <x v="185"/>
    <x v="5"/>
    <s v="Series USf9"/>
    <n v="24484859.07603934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6"/>
    <x v="5"/>
    <s v="Series USf9"/>
    <n v="24745400"/>
    <e v="#DIV/0!"/>
    <n v="21.05"/>
    <n v="0"/>
    <n v="-3.7252902984619141E-9"/>
    <n v="0"/>
    <m/>
    <m/>
    <n v="-3.7252902984619141E-9"/>
    <e v="#DIV/0!"/>
    <n v="-3.7252902984619141E-9"/>
    <n v="-3.7252902984619141E-9"/>
    <s v="Private Equity Fund"/>
    <n v="0"/>
    <n v="0"/>
    <n v="0"/>
    <n v="0"/>
    <m/>
    <m/>
    <m/>
    <m/>
    <m/>
    <m/>
    <m/>
    <m/>
  </r>
  <r>
    <x v="187"/>
    <x v="5"/>
    <s v="Series USf9"/>
    <n v="24745809.3499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8"/>
    <x v="5"/>
    <s v="Series USf9"/>
    <n v="26709200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89"/>
    <x v="5"/>
    <s v="Series USf9"/>
    <n v="27448400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0"/>
    <x v="5"/>
    <s v="Series USf9"/>
    <n v="27557653.829999998"/>
    <e v="#DIV/0!"/>
    <n v="21.05"/>
    <n v="0"/>
    <n v="0"/>
    <n v="0"/>
    <m/>
    <m/>
    <n v="0"/>
    <e v="#DIV/0!"/>
    <n v="0"/>
    <n v="0"/>
    <s v="Private Equity Fund"/>
    <n v="0"/>
    <n v="0"/>
    <n v="0"/>
    <n v="0"/>
    <m/>
    <m/>
    <m/>
    <m/>
    <m/>
    <m/>
    <m/>
    <m/>
  </r>
  <r>
    <x v="191"/>
    <x v="5"/>
    <s v="Series USf9"/>
    <n v="27778505.8015"/>
    <e v="#DIV/0!"/>
    <n v="21.05"/>
    <n v="0"/>
    <n v="0"/>
    <n v="0"/>
    <m/>
    <m/>
    <n v="0"/>
    <e v="#DIV/0!"/>
    <n v="0"/>
    <n v="0"/>
    <s v="Private Equity Fund"/>
    <n v="0.10687670862403684"/>
    <n v="1.0109127885"/>
    <n v="1.0202004032539106E-2"/>
    <n v="9.6467640714760633E-2"/>
    <m/>
    <m/>
    <m/>
    <m/>
    <m/>
    <m/>
    <m/>
    <m/>
  </r>
  <r>
    <x v="192"/>
    <x v="5"/>
    <s v="Series USf9"/>
    <n v="27951739.311999999"/>
    <e v="#DIV/0!"/>
    <n v="21.05"/>
    <n v="0"/>
    <n v="0"/>
    <n v="0"/>
    <m/>
    <m/>
    <n v="0"/>
    <e v="#DIV/0!"/>
    <n v="0"/>
    <n v="0"/>
    <s v="Private Equity Fund"/>
    <n v="0"/>
    <n v="1.0414834100000001"/>
    <n v="0"/>
    <n v="0"/>
    <m/>
    <m/>
    <m/>
    <m/>
    <m/>
    <m/>
    <m/>
    <m/>
  </r>
  <r>
    <x v="193"/>
    <x v="5"/>
    <s v="Series USf9"/>
    <n v="28131200.101"/>
    <e v="#DIV/0!"/>
    <n v="21.05"/>
    <n v="0"/>
    <n v="0"/>
    <n v="0"/>
    <m/>
    <m/>
    <n v="0"/>
    <e v="#DIV/0!"/>
    <n v="0"/>
    <n v="0"/>
    <s v="Private Equity Fund"/>
    <n v="0"/>
    <n v="1.07315296"/>
    <n v="0"/>
    <n v="0"/>
    <m/>
    <m/>
    <m/>
    <m/>
    <m/>
    <m/>
    <m/>
    <m/>
  </r>
  <r>
    <x v="194"/>
    <x v="5"/>
    <s v="Series USf9"/>
    <n v="28077608.8675"/>
    <e v="#DIV/0!"/>
    <n v="21.05"/>
    <n v="0"/>
    <n v="0"/>
    <n v="0"/>
    <m/>
    <m/>
    <n v="0"/>
    <e v="#DIV/0!"/>
    <n v="0"/>
    <n v="0"/>
    <s v="Private Equity Fund"/>
    <n v="0.11059623"/>
    <n v="1.0636956799999999"/>
    <n v="1.0557069563628523E-2"/>
    <n v="0.10150669942680482"/>
    <m/>
    <m/>
    <m/>
    <m/>
    <m/>
    <m/>
    <m/>
    <m/>
  </r>
  <r>
    <x v="195"/>
    <x v="5"/>
    <s v="Series USf9"/>
    <n v="28205901.399"/>
    <s v=""/>
    <n v="21.05"/>
    <n v="0"/>
    <n v="0"/>
    <n v="0"/>
    <m/>
    <m/>
    <n v="0"/>
    <e v="#DIV/0!"/>
    <n v="0"/>
    <n v="0"/>
    <s v="Private Equity Fund"/>
    <n v="0"/>
    <n v="1.0863355410000002"/>
    <n v="0"/>
    <n v="0"/>
    <m/>
    <m/>
    <m/>
    <m/>
    <m/>
    <m/>
    <m/>
    <m/>
  </r>
  <r>
    <x v="196"/>
    <x v="5"/>
    <s v="Series USf9"/>
    <n v="28133464.467"/>
    <s v=""/>
    <n v="21.05"/>
    <n v="0"/>
    <n v="0"/>
    <n v="0"/>
    <m/>
    <m/>
    <n v="0"/>
    <e v="#DIV/0!"/>
    <n v="0"/>
    <n v="0"/>
    <s v="Private Equity Fund"/>
    <n v="0"/>
    <n v="1.0735525529999999"/>
    <n v="0"/>
    <n v="0"/>
    <m/>
    <m/>
    <m/>
    <m/>
    <m/>
    <m/>
    <m/>
    <m/>
  </r>
  <r>
    <x v="197"/>
    <x v="5"/>
    <s v="Series USf9"/>
    <n v="27609142.749000002"/>
    <m/>
    <n v="22.05"/>
    <n v="0"/>
    <n v="0"/>
    <n v="0"/>
    <m/>
    <n v="0"/>
    <n v="0"/>
    <e v="#DIV/0!"/>
    <n v="0"/>
    <n v="0"/>
    <s v="Private Equity Fund"/>
    <n v="0.10732074536836229"/>
    <n v="0.98102519100000007"/>
    <n v="1.02443904961647E-2"/>
    <n v="9.3614718469544084E-2"/>
    <m/>
    <m/>
    <m/>
    <m/>
    <m/>
    <m/>
    <m/>
    <m/>
  </r>
  <r>
    <x v="198"/>
    <x v="5"/>
    <s v="Series USf9"/>
    <n v="27441294.6855"/>
    <m/>
    <n v="22.05"/>
    <m/>
    <n v="0"/>
    <n v="0"/>
    <n v="0"/>
    <n v="0"/>
    <n v="0"/>
    <e v="#DIV/0!"/>
    <n v="-27441294.6855"/>
    <n v="-27441294.6855"/>
    <s v="Private Equity Fund"/>
    <n v="3.8557458241334608E-2"/>
    <n v="0.95140494449999979"/>
    <m/>
    <m/>
    <m/>
    <m/>
    <m/>
    <m/>
    <m/>
    <m/>
    <m/>
    <m/>
  </r>
  <r>
    <x v="206"/>
    <x v="6"/>
    <s v="Series 1a"/>
    <m/>
    <m/>
    <m/>
    <n v="1035000"/>
    <m/>
    <m/>
    <m/>
    <m/>
    <n v="1035000"/>
    <m/>
    <n v="1035000"/>
    <n v="1035000"/>
    <s v="Private Equity Fund"/>
    <n v="0"/>
    <n v="0"/>
    <m/>
    <m/>
    <m/>
    <m/>
    <m/>
    <m/>
    <m/>
    <m/>
    <m/>
    <m/>
  </r>
  <r>
    <x v="207"/>
    <x v="6"/>
    <s v="Series 1a"/>
    <m/>
    <m/>
    <m/>
    <n v="1680000"/>
    <m/>
    <m/>
    <m/>
    <m/>
    <n v="1680000"/>
    <m/>
    <n v="1680000"/>
    <n v="1680000"/>
    <s v="Private Equity Fund"/>
    <n v="0"/>
    <n v="0"/>
    <m/>
    <m/>
    <m/>
    <m/>
    <m/>
    <m/>
    <m/>
    <m/>
    <m/>
    <m/>
  </r>
  <r>
    <x v="208"/>
    <x v="6"/>
    <s v="Series 1a"/>
    <m/>
    <m/>
    <m/>
    <n v="3735000"/>
    <m/>
    <m/>
    <m/>
    <m/>
    <n v="3735000"/>
    <m/>
    <n v="3735000"/>
    <n v="3735000"/>
    <s v="Private Equity Fund"/>
    <n v="0"/>
    <n v="0"/>
    <m/>
    <m/>
    <m/>
    <m/>
    <m/>
    <m/>
    <m/>
    <m/>
    <m/>
    <m/>
  </r>
  <r>
    <x v="173"/>
    <x v="6"/>
    <s v="Series 1a"/>
    <n v="6703485.8399999999"/>
    <m/>
    <m/>
    <m/>
    <m/>
    <m/>
    <m/>
    <m/>
    <n v="0"/>
    <m/>
    <n v="0"/>
    <n v="0"/>
    <s v="Private Equity Fund"/>
    <n v="1.3023700000000001E-2"/>
    <n v="4.4732800000000003E-2"/>
    <m/>
    <m/>
    <m/>
    <m/>
    <m/>
    <m/>
    <m/>
    <m/>
    <m/>
    <m/>
  </r>
  <r>
    <x v="209"/>
    <x v="6"/>
    <s v="Series 1a"/>
    <m/>
    <m/>
    <m/>
    <n v="2925000"/>
    <m/>
    <m/>
    <m/>
    <m/>
    <n v="2925000"/>
    <m/>
    <n v="2925000"/>
    <n v="2925000"/>
    <s v="Private Equity Fund"/>
    <n v="0"/>
    <n v="0"/>
    <m/>
    <m/>
    <m/>
    <m/>
    <m/>
    <m/>
    <m/>
    <m/>
    <m/>
    <m/>
  </r>
  <r>
    <x v="210"/>
    <x v="6"/>
    <s v="Series 1a"/>
    <m/>
    <m/>
    <m/>
    <n v="2190000"/>
    <m/>
    <m/>
    <m/>
    <m/>
    <n v="2190000"/>
    <m/>
    <n v="2190000"/>
    <n v="2190000"/>
    <s v="Private Equity Fund"/>
    <n v="0"/>
    <n v="0"/>
    <m/>
    <m/>
    <m/>
    <m/>
    <m/>
    <m/>
    <m/>
    <m/>
    <m/>
    <m/>
  </r>
  <r>
    <x v="174"/>
    <x v="6"/>
    <s v="Series 1a"/>
    <n v="12250631.060000001"/>
    <m/>
    <m/>
    <m/>
    <m/>
    <m/>
    <m/>
    <m/>
    <n v="0"/>
    <m/>
    <n v="0"/>
    <n v="0"/>
    <s v="Private Equity Fund"/>
    <n v="1.5738040000000002E-2"/>
    <n v="0.12099372"/>
    <m/>
    <m/>
    <m/>
    <m/>
    <m/>
    <m/>
    <m/>
    <m/>
    <m/>
    <m/>
  </r>
  <r>
    <x v="211"/>
    <x v="6"/>
    <s v="Series 1a"/>
    <m/>
    <m/>
    <m/>
    <m/>
    <m/>
    <n v="-6238035"/>
    <m/>
    <m/>
    <n v="-6238035"/>
    <m/>
    <n v="-6238035"/>
    <n v="-6238035"/>
    <s v="Private Equity Fund"/>
    <n v="0"/>
    <n v="0"/>
    <m/>
    <m/>
    <m/>
    <m/>
    <m/>
    <m/>
    <m/>
    <m/>
    <m/>
    <m/>
  </r>
  <r>
    <x v="211"/>
    <x v="6"/>
    <s v="Series 1a"/>
    <m/>
    <m/>
    <m/>
    <n v="1020000"/>
    <m/>
    <m/>
    <m/>
    <m/>
    <n v="1020000"/>
    <m/>
    <n v="1020000"/>
    <n v="1020000"/>
    <s v="Private Equity Fund"/>
    <n v="0"/>
    <n v="0"/>
    <m/>
    <m/>
    <m/>
    <m/>
    <m/>
    <m/>
    <m/>
    <m/>
    <m/>
    <m/>
  </r>
  <r>
    <x v="212"/>
    <x v="6"/>
    <s v="Series 1a"/>
    <m/>
    <m/>
    <m/>
    <n v="2415000"/>
    <m/>
    <m/>
    <m/>
    <m/>
    <n v="2415000"/>
    <m/>
    <n v="2415000"/>
    <n v="2415000"/>
    <s v="Private Equity Fund"/>
    <n v="0"/>
    <n v="0"/>
    <m/>
    <m/>
    <m/>
    <m/>
    <m/>
    <m/>
    <m/>
    <m/>
    <m/>
    <m/>
  </r>
  <r>
    <x v="175"/>
    <x v="6"/>
    <s v="Series 1a"/>
    <n v="9492634.9199999999"/>
    <m/>
    <m/>
    <m/>
    <m/>
    <m/>
    <m/>
    <m/>
    <n v="0"/>
    <m/>
    <n v="0"/>
    <n v="0"/>
    <s v="Private Equity Fund"/>
    <n v="2.411423E-2"/>
    <n v="0.12894174999999999"/>
    <m/>
    <m/>
    <m/>
    <m/>
    <m/>
    <m/>
    <m/>
    <m/>
    <m/>
    <m/>
  </r>
  <r>
    <x v="213"/>
    <x v="6"/>
    <s v="Series 1a"/>
    <n v="9388408.1400000006"/>
    <m/>
    <m/>
    <m/>
    <m/>
    <m/>
    <m/>
    <m/>
    <n v="0"/>
    <m/>
    <n v="0"/>
    <n v="0"/>
    <s v="Private Equity Fund"/>
    <n v="4.06573E-2"/>
    <n v="0.11054878999999999"/>
    <m/>
    <m/>
    <m/>
    <m/>
    <m/>
    <m/>
    <m/>
    <m/>
    <m/>
    <m/>
  </r>
  <r>
    <x v="214"/>
    <x v="6"/>
    <s v="Series 1a"/>
    <n v="9589391.3000000007"/>
    <m/>
    <m/>
    <m/>
    <m/>
    <m/>
    <m/>
    <m/>
    <n v="0"/>
    <m/>
    <n v="0"/>
    <n v="0"/>
    <s v="Private Equity Fund"/>
    <n v="5.239949E-2"/>
    <n v="0.14601641000000001"/>
    <m/>
    <m/>
    <m/>
    <m/>
    <m/>
    <m/>
    <m/>
    <m/>
    <m/>
    <m/>
  </r>
  <r>
    <x v="215"/>
    <x v="6"/>
    <s v="Series 1a"/>
    <m/>
    <m/>
    <m/>
    <n v="1410000"/>
    <m/>
    <m/>
    <m/>
    <m/>
    <n v="1410000"/>
    <m/>
    <n v="1410000"/>
    <n v="1410000"/>
    <s v="Private Equity Fund"/>
    <n v="0"/>
    <n v="0"/>
    <m/>
    <m/>
    <m/>
    <m/>
    <m/>
    <m/>
    <m/>
    <m/>
    <m/>
    <m/>
  </r>
  <r>
    <x v="178"/>
    <x v="6"/>
    <s v="Series 1a"/>
    <n v="10259522.17"/>
    <m/>
    <m/>
    <m/>
    <m/>
    <m/>
    <m/>
    <m/>
    <n v="0"/>
    <m/>
    <n v="0"/>
    <n v="0"/>
    <s v="Private Equity Fund"/>
    <n v="4.7526260000000001E-2"/>
    <n v="1.132294E-2"/>
    <m/>
    <m/>
    <m/>
    <m/>
    <m/>
    <m/>
    <m/>
    <m/>
    <m/>
    <m/>
  </r>
  <r>
    <x v="179"/>
    <x v="6"/>
    <s v="Series 1a"/>
    <n v="11041112.789999999"/>
    <m/>
    <m/>
    <m/>
    <m/>
    <m/>
    <m/>
    <m/>
    <n v="0"/>
    <m/>
    <n v="0"/>
    <n v="0"/>
    <s v="Private Equity Fund"/>
    <n v="8.1788520000000003E-2"/>
    <n v="0.15337901999999998"/>
    <m/>
    <m/>
    <m/>
    <m/>
    <m/>
    <m/>
    <m/>
    <m/>
    <m/>
    <m/>
  </r>
  <r>
    <x v="216"/>
    <x v="6"/>
    <s v="Series 1a"/>
    <m/>
    <m/>
    <m/>
    <n v="1620000"/>
    <m/>
    <m/>
    <m/>
    <m/>
    <n v="1620000"/>
    <m/>
    <n v="1620000"/>
    <n v="1620000"/>
    <s v="Private Equity Fund"/>
    <n v="0"/>
    <n v="0"/>
    <m/>
    <m/>
    <m/>
    <m/>
    <m/>
    <m/>
    <m/>
    <m/>
    <m/>
    <m/>
  </r>
  <r>
    <x v="217"/>
    <x v="6"/>
    <s v="Series 1a"/>
    <n v="12739274.27"/>
    <m/>
    <m/>
    <m/>
    <m/>
    <m/>
    <m/>
    <m/>
    <n v="0"/>
    <m/>
    <n v="0"/>
    <n v="0"/>
    <s v="Private Equity Fund"/>
    <n v="8.8139999999999996E-2"/>
    <n v="0.16717222000000001"/>
    <m/>
    <m/>
    <m/>
    <m/>
    <m/>
    <m/>
    <m/>
    <m/>
    <m/>
    <m/>
  </r>
  <r>
    <x v="218"/>
    <x v="6"/>
    <s v="Series 1a"/>
    <m/>
    <m/>
    <m/>
    <n v="3208035"/>
    <m/>
    <m/>
    <m/>
    <m/>
    <n v="3208035"/>
    <m/>
    <n v="3208035"/>
    <n v="3208035"/>
    <s v="Private Equity Fund"/>
    <n v="0"/>
    <n v="0"/>
    <m/>
    <m/>
    <m/>
    <m/>
    <m/>
    <m/>
    <m/>
    <m/>
    <m/>
    <m/>
  </r>
  <r>
    <x v="181"/>
    <x v="6"/>
    <s v="Series 1a"/>
    <n v="15571437.140000001"/>
    <m/>
    <m/>
    <m/>
    <m/>
    <m/>
    <m/>
    <m/>
    <n v="0"/>
    <m/>
    <n v="0"/>
    <n v="0"/>
    <s v="Private Equity Fund"/>
    <n v="0.11948458000000001"/>
    <n v="0.10084185000000001"/>
    <m/>
    <m/>
    <m/>
    <m/>
    <m/>
    <m/>
    <m/>
    <m/>
    <m/>
    <m/>
  </r>
  <r>
    <x v="182"/>
    <x v="6"/>
    <s v="Series 1a"/>
    <n v="15852888.880000001"/>
    <m/>
    <m/>
    <m/>
    <m/>
    <m/>
    <m/>
    <m/>
    <n v="0"/>
    <m/>
    <n v="0"/>
    <n v="0"/>
    <s v="Private Equity Fund"/>
    <n v="0.14049895000000001"/>
    <n v="0.1505098"/>
    <m/>
    <m/>
    <m/>
    <m/>
    <m/>
    <m/>
    <m/>
    <m/>
    <m/>
    <m/>
  </r>
  <r>
    <x v="183"/>
    <x v="6"/>
    <s v="Series 1a"/>
    <n v="14354896.08"/>
    <m/>
    <m/>
    <m/>
    <m/>
    <m/>
    <m/>
    <m/>
    <n v="0"/>
    <m/>
    <n v="0"/>
    <n v="0"/>
    <s v="Private Equity Fund"/>
    <n v="0.14525354000000001"/>
    <n v="0.13676843"/>
    <m/>
    <m/>
    <m/>
    <m/>
    <m/>
    <m/>
    <m/>
    <m/>
    <m/>
    <m/>
  </r>
  <r>
    <x v="219"/>
    <x v="6"/>
    <s v="Series 1a"/>
    <m/>
    <m/>
    <m/>
    <m/>
    <m/>
    <n v="-1420125"/>
    <m/>
    <m/>
    <n v="-1420125"/>
    <m/>
    <n v="-1420125"/>
    <n v="-1420125"/>
    <s v="Private Equity Fund"/>
    <n v="0"/>
    <n v="0"/>
    <m/>
    <m/>
    <m/>
    <m/>
    <m/>
    <m/>
    <m/>
    <m/>
    <m/>
    <m/>
  </r>
  <r>
    <x v="219"/>
    <x v="6"/>
    <s v="Series 1a"/>
    <m/>
    <m/>
    <m/>
    <n v="1420125"/>
    <m/>
    <m/>
    <m/>
    <m/>
    <n v="1420125"/>
    <m/>
    <n v="1420125"/>
    <n v="1420125"/>
    <s v="Private Equity Fund"/>
    <n v="0"/>
    <n v="0"/>
    <m/>
    <m/>
    <m/>
    <m/>
    <m/>
    <m/>
    <m/>
    <m/>
    <m/>
    <m/>
  </r>
  <r>
    <x v="184"/>
    <x v="6"/>
    <s v="Series 1a"/>
    <n v="15747081.99"/>
    <m/>
    <m/>
    <m/>
    <m/>
    <m/>
    <m/>
    <m/>
    <n v="0"/>
    <m/>
    <n v="0"/>
    <n v="0"/>
    <s v="Private Equity Fund"/>
    <n v="0.16706735"/>
    <n v="0.13183800000000001"/>
    <m/>
    <m/>
    <m/>
    <m/>
    <m/>
    <m/>
    <m/>
    <m/>
    <m/>
    <m/>
  </r>
  <r>
    <x v="220"/>
    <x v="6"/>
    <s v="Series 1a"/>
    <n v="15801478.99"/>
    <m/>
    <m/>
    <m/>
    <m/>
    <m/>
    <m/>
    <m/>
    <n v="0"/>
    <m/>
    <n v="0"/>
    <n v="0"/>
    <s v="Private Equity Fund"/>
    <n v="0.18567357999999998"/>
    <n v="0.14143747000000001"/>
    <m/>
    <m/>
    <m/>
    <m/>
    <m/>
    <m/>
    <m/>
    <m/>
    <m/>
    <m/>
  </r>
  <r>
    <x v="186"/>
    <x v="6"/>
    <s v="Series 1a"/>
    <n v="15838570.16"/>
    <m/>
    <m/>
    <m/>
    <m/>
    <m/>
    <m/>
    <m/>
    <n v="0"/>
    <m/>
    <n v="0"/>
    <n v="0"/>
    <s v="Private Equity Fund"/>
    <n v="0.18567357999999998"/>
    <n v="0.14798296999999999"/>
    <m/>
    <m/>
    <m/>
    <m/>
    <m/>
    <m/>
    <m/>
    <m/>
    <m/>
    <m/>
  </r>
  <r>
    <x v="187"/>
    <x v="6"/>
    <s v="Series 1a"/>
    <n v="15767016.34"/>
    <m/>
    <m/>
    <m/>
    <m/>
    <m/>
    <m/>
    <m/>
    <n v="0"/>
    <m/>
    <n v="0"/>
    <n v="0"/>
    <s v="Private Equity Fund"/>
    <n v="0.22529195000000002"/>
    <n v="0.13535582999999998"/>
    <m/>
    <m/>
    <m/>
    <m/>
    <m/>
    <m/>
    <m/>
    <m/>
    <m/>
    <m/>
  </r>
  <r>
    <x v="221"/>
    <x v="6"/>
    <s v="Series 1a"/>
    <m/>
    <m/>
    <m/>
    <m/>
    <m/>
    <n v="-1837506.57"/>
    <m/>
    <m/>
    <n v="-1837506.57"/>
    <m/>
    <n v="-1837506.57"/>
    <n v="-1837506.57"/>
    <s v="Private Equity Fund"/>
    <n v="0"/>
    <n v="0"/>
    <m/>
    <m/>
    <m/>
    <m/>
    <m/>
    <m/>
    <m/>
    <m/>
    <m/>
    <m/>
  </r>
  <r>
    <x v="221"/>
    <x v="6"/>
    <s v="Series 1a"/>
    <m/>
    <m/>
    <m/>
    <n v="1837506.57"/>
    <m/>
    <m/>
    <m/>
    <m/>
    <n v="1837506.57"/>
    <m/>
    <n v="1837506.57"/>
    <n v="1837506.57"/>
    <s v="Private Equity Fund"/>
    <n v="0"/>
    <n v="0"/>
    <m/>
    <m/>
    <m/>
    <m/>
    <m/>
    <m/>
    <m/>
    <m/>
    <m/>
    <m/>
  </r>
  <r>
    <x v="222"/>
    <x v="6"/>
    <s v="Series 1a"/>
    <n v="17838440.370000001"/>
    <m/>
    <m/>
    <m/>
    <m/>
    <m/>
    <m/>
    <m/>
    <n v="0"/>
    <m/>
    <n v="0"/>
    <n v="0"/>
    <s v="Private Equity Fund"/>
    <n v="0.26887283000000001"/>
    <n v="0.50090124000000003"/>
    <m/>
    <m/>
    <m/>
    <m/>
    <m/>
    <m/>
    <m/>
    <m/>
    <m/>
    <m/>
  </r>
  <r>
    <x v="189"/>
    <x v="6"/>
    <s v="Series 1a"/>
    <n v="18724846.699999999"/>
    <m/>
    <m/>
    <m/>
    <m/>
    <m/>
    <m/>
    <m/>
    <n v="0"/>
    <m/>
    <n v="0"/>
    <n v="0"/>
    <s v="Private Equity Fund"/>
    <m/>
    <n v="0.65732588999999997"/>
    <m/>
    <m/>
    <m/>
    <m/>
    <m/>
    <m/>
    <m/>
    <m/>
    <m/>
    <m/>
  </r>
  <r>
    <x v="190"/>
    <x v="6"/>
    <s v="Series 1a"/>
    <n v="18776004.09"/>
    <m/>
    <m/>
    <m/>
    <m/>
    <m/>
    <m/>
    <m/>
    <n v="0"/>
    <m/>
    <n v="0"/>
    <n v="0"/>
    <s v="Private Equity Fund"/>
    <m/>
    <n v="0.66635366000000007"/>
    <m/>
    <m/>
    <m/>
    <m/>
    <m/>
    <m/>
    <m/>
    <m/>
    <m/>
    <m/>
  </r>
  <r>
    <x v="223"/>
    <x v="6"/>
    <s v="Series 1a"/>
    <n v="18897873.370000001"/>
    <m/>
    <m/>
    <m/>
    <m/>
    <m/>
    <m/>
    <m/>
    <n v="0"/>
    <m/>
    <n v="0"/>
    <n v="0"/>
    <s v="Private Equity Fund"/>
    <n v="7.2709309999999999E-2"/>
    <n v="0.68786000999999997"/>
    <m/>
    <m/>
    <m/>
    <m/>
    <m/>
    <m/>
    <m/>
    <m/>
    <m/>
    <m/>
  </r>
  <r>
    <x v="192"/>
    <x v="6"/>
    <s v="Series 1a"/>
    <n v="18799244.719999999"/>
    <m/>
    <m/>
    <m/>
    <m/>
    <m/>
    <m/>
    <m/>
    <n v="0"/>
    <m/>
    <n v="0"/>
    <n v="0"/>
    <s v="Private Equity Fund"/>
    <m/>
    <n v="0.67045494999999999"/>
    <m/>
    <m/>
    <m/>
    <m/>
    <m/>
    <m/>
    <m/>
    <m/>
    <m/>
    <m/>
  </r>
  <r>
    <x v="193"/>
    <x v="6"/>
    <s v="Series 1a"/>
    <n v="19039649.370000001"/>
    <m/>
    <m/>
    <m/>
    <m/>
    <m/>
    <m/>
    <m/>
    <n v="0"/>
    <m/>
    <n v="0"/>
    <n v="0"/>
    <s v="Private Equity Fund"/>
    <m/>
    <n v="0.71287929999999999"/>
    <m/>
    <m/>
    <m/>
    <m/>
    <m/>
    <m/>
    <m/>
    <m/>
    <m/>
    <m/>
  </r>
  <r>
    <x v="224"/>
    <x v="6"/>
    <s v="Series 1a"/>
    <n v="18868621.899999999"/>
    <m/>
    <m/>
    <m/>
    <m/>
    <m/>
    <m/>
    <m/>
    <n v="0"/>
    <m/>
    <n v="0"/>
    <n v="0"/>
    <s v="Private Equity Fund"/>
    <n v="7.4200600000000005E-2"/>
    <n v="0.68269797999999993"/>
    <m/>
    <m/>
    <m/>
    <m/>
    <m/>
    <m/>
    <m/>
    <m/>
    <m/>
    <m/>
  </r>
  <r>
    <x v="195"/>
    <x v="6"/>
    <s v="Series 1a"/>
    <n v="18765436.329999998"/>
    <m/>
    <m/>
    <m/>
    <m/>
    <m/>
    <m/>
    <m/>
    <n v="0"/>
    <m/>
    <n v="0"/>
    <n v="0"/>
    <s v="Private Equity Fund"/>
    <n v="0"/>
    <n v="0.66448876000000001"/>
    <m/>
    <m/>
    <m/>
    <m/>
    <m/>
    <m/>
    <m/>
    <m/>
    <m/>
    <m/>
  </r>
  <r>
    <x v="196"/>
    <x v="6"/>
    <s v="Series 1a"/>
    <n v="18635387.879999999"/>
    <m/>
    <m/>
    <m/>
    <m/>
    <m/>
    <m/>
    <m/>
    <n v="0"/>
    <m/>
    <n v="0"/>
    <n v="0"/>
    <s v="Private Equity Fund"/>
    <n v="0"/>
    <n v="0.64153904000000006"/>
    <m/>
    <m/>
    <m/>
    <m/>
    <m/>
    <m/>
    <m/>
    <m/>
    <m/>
    <m/>
  </r>
  <r>
    <x v="225"/>
    <x v="6"/>
    <s v="Series 1a"/>
    <n v="17887701.600000001"/>
    <m/>
    <m/>
    <m/>
    <m/>
    <m/>
    <m/>
    <m/>
    <n v="0"/>
    <e v="#DIV/0!"/>
    <n v="0"/>
    <n v="0"/>
    <s v="Private Equity Fund"/>
    <n v="6.9059110000000007E-2"/>
    <n v="0.5095944"/>
    <m/>
    <m/>
    <m/>
    <m/>
    <m/>
    <m/>
    <m/>
    <m/>
    <m/>
    <m/>
  </r>
  <r>
    <x v="198"/>
    <x v="6"/>
    <s v="Series 1a"/>
    <n v="17808274.208500002"/>
    <m/>
    <n v="15"/>
    <m/>
    <n v="0"/>
    <n v="0"/>
    <n v="0"/>
    <m/>
    <n v="0"/>
    <e v="#DIV/0!"/>
    <n v="-17808274.208500002"/>
    <n v="-17808274.208500002"/>
    <s v="Private Equity Fund"/>
    <n v="9.3920669695228567E-2"/>
    <n v="0.49557780150000025"/>
    <m/>
    <m/>
    <m/>
    <m/>
    <m/>
    <m/>
    <m/>
    <m/>
    <m/>
    <m/>
  </r>
  <r>
    <x v="206"/>
    <x v="6"/>
    <s v="Series 1b"/>
    <m/>
    <m/>
    <m/>
    <n v="95000"/>
    <m/>
    <m/>
    <m/>
    <m/>
    <n v="95000"/>
    <m/>
    <n v="95000"/>
    <n v="95000"/>
    <s v="Private Equity Fund"/>
    <n v="0"/>
    <n v="0"/>
    <m/>
    <m/>
    <m/>
    <m/>
    <m/>
    <m/>
    <m/>
    <m/>
    <m/>
    <m/>
  </r>
  <r>
    <x v="207"/>
    <x v="6"/>
    <s v="Series 1b"/>
    <m/>
    <m/>
    <m/>
    <n v="112000"/>
    <m/>
    <m/>
    <m/>
    <m/>
    <n v="112000"/>
    <m/>
    <n v="112000"/>
    <n v="112000"/>
    <s v="Private Equity Fund"/>
    <n v="0"/>
    <n v="0"/>
    <m/>
    <m/>
    <m/>
    <m/>
    <m/>
    <m/>
    <m/>
    <m/>
    <m/>
    <m/>
  </r>
  <r>
    <x v="208"/>
    <x v="6"/>
    <s v="Series 1b"/>
    <m/>
    <m/>
    <m/>
    <n v="249000"/>
    <m/>
    <m/>
    <m/>
    <m/>
    <n v="249000"/>
    <m/>
    <n v="249000"/>
    <n v="249000"/>
    <s v="Private Equity Fund"/>
    <n v="0"/>
    <n v="0"/>
    <m/>
    <m/>
    <m/>
    <m/>
    <m/>
    <m/>
    <m/>
    <m/>
    <m/>
    <m/>
  </r>
  <r>
    <x v="173"/>
    <x v="6"/>
    <s v="Series 1b"/>
    <n v="472559.59"/>
    <m/>
    <m/>
    <m/>
    <m/>
    <m/>
    <m/>
    <m/>
    <n v="0"/>
    <m/>
    <n v="0"/>
    <n v="0"/>
    <s v="Private Equity Fund"/>
    <n v="9.1833000000000008E-4"/>
    <n v="2.9222800000000002E-3"/>
    <m/>
    <m/>
    <m/>
    <m/>
    <m/>
    <m/>
    <m/>
    <m/>
    <m/>
    <m/>
  </r>
  <r>
    <x v="209"/>
    <x v="6"/>
    <s v="Series 1b"/>
    <m/>
    <m/>
    <m/>
    <n v="195000"/>
    <m/>
    <m/>
    <m/>
    <m/>
    <n v="195000"/>
    <m/>
    <n v="195000"/>
    <n v="195000"/>
    <s v="Private Equity Fund"/>
    <n v="0"/>
    <n v="0"/>
    <m/>
    <m/>
    <m/>
    <m/>
    <m/>
    <m/>
    <m/>
    <m/>
    <m/>
    <m/>
  </r>
  <r>
    <x v="210"/>
    <x v="6"/>
    <s v="Series 1b"/>
    <m/>
    <m/>
    <m/>
    <n v="146000"/>
    <m/>
    <m/>
    <m/>
    <m/>
    <n v="146000"/>
    <m/>
    <n v="146000"/>
    <n v="146000"/>
    <s v="Private Equity Fund"/>
    <n v="0"/>
    <n v="0"/>
    <m/>
    <m/>
    <m/>
    <m/>
    <m/>
    <m/>
    <m/>
    <m/>
    <m/>
    <m/>
  </r>
  <r>
    <x v="174"/>
    <x v="6"/>
    <s v="Series 1b"/>
    <n v="842268.55"/>
    <m/>
    <m/>
    <m/>
    <m/>
    <m/>
    <m/>
    <m/>
    <n v="0"/>
    <m/>
    <n v="0"/>
    <n v="0"/>
    <s v="Private Equity Fund"/>
    <n v="1.0817299999999999E-3"/>
    <n v="7.9885700000000004E-3"/>
    <m/>
    <m/>
    <m/>
    <m/>
    <m/>
    <m/>
    <m/>
    <m/>
    <m/>
    <m/>
  </r>
  <r>
    <x v="211"/>
    <x v="6"/>
    <s v="Series 1b"/>
    <m/>
    <m/>
    <m/>
    <m/>
    <m/>
    <n v="-415869"/>
    <m/>
    <m/>
    <n v="-415869"/>
    <m/>
    <n v="-415869"/>
    <n v="-415869"/>
    <s v="Private Equity Fund"/>
    <n v="0"/>
    <n v="0"/>
    <m/>
    <m/>
    <m/>
    <m/>
    <m/>
    <m/>
    <m/>
    <m/>
    <m/>
    <m/>
  </r>
  <r>
    <x v="211"/>
    <x v="6"/>
    <s v="Series 1b"/>
    <m/>
    <m/>
    <m/>
    <n v="68000"/>
    <m/>
    <m/>
    <m/>
    <m/>
    <n v="68000"/>
    <m/>
    <n v="68000"/>
    <n v="68000"/>
    <s v="Private Equity Fund"/>
    <n v="0"/>
    <n v="0"/>
    <m/>
    <m/>
    <m/>
    <m/>
    <m/>
    <m/>
    <m/>
    <m/>
    <m/>
    <m/>
  </r>
  <r>
    <x v="212"/>
    <x v="6"/>
    <s v="Series 1b"/>
    <m/>
    <m/>
    <m/>
    <n v="161000"/>
    <m/>
    <m/>
    <m/>
    <m/>
    <n v="161000"/>
    <m/>
    <n v="161000"/>
    <n v="161000"/>
    <s v="Private Equity Fund"/>
    <n v="0"/>
    <n v="0"/>
    <m/>
    <m/>
    <m/>
    <m/>
    <m/>
    <m/>
    <m/>
    <m/>
    <m/>
    <m/>
  </r>
  <r>
    <x v="175"/>
    <x v="6"/>
    <s v="Series 1b"/>
    <n v="658449.07999999996"/>
    <m/>
    <m/>
    <m/>
    <m/>
    <m/>
    <m/>
    <m/>
    <n v="0"/>
    <m/>
    <n v="0"/>
    <n v="0"/>
    <s v="Private Equity Fund"/>
    <n v="1.67162E-3"/>
    <n v="8.5267199999999998E-3"/>
    <m/>
    <m/>
    <m/>
    <m/>
    <m/>
    <m/>
    <m/>
    <m/>
    <m/>
    <m/>
  </r>
  <r>
    <x v="213"/>
    <x v="6"/>
    <s v="Series 1b"/>
    <n v="651252.27"/>
    <m/>
    <m/>
    <m/>
    <m/>
    <m/>
    <m/>
    <m/>
    <n v="0"/>
    <m/>
    <n v="0"/>
    <n v="0"/>
    <s v="Private Equity Fund"/>
    <n v="2.7104899999999999E-3"/>
    <n v="7.2566999999999996E-3"/>
    <m/>
    <m/>
    <m/>
    <m/>
    <m/>
    <m/>
    <m/>
    <m/>
    <m/>
    <m/>
  </r>
  <r>
    <x v="214"/>
    <x v="6"/>
    <s v="Series 1b"/>
    <n v="664227.72"/>
    <m/>
    <m/>
    <m/>
    <m/>
    <m/>
    <m/>
    <m/>
    <n v="0"/>
    <m/>
    <n v="0"/>
    <n v="0"/>
    <s v="Private Equity Fund"/>
    <n v="3.4933000000000004E-3"/>
    <n v="9.5464799999999995E-3"/>
    <m/>
    <m/>
    <m/>
    <m/>
    <m/>
    <m/>
    <m/>
    <m/>
    <m/>
    <m/>
  </r>
  <r>
    <x v="215"/>
    <x v="6"/>
    <s v="Series 1b"/>
    <m/>
    <m/>
    <m/>
    <n v="94000"/>
    <m/>
    <m/>
    <m/>
    <m/>
    <n v="94000"/>
    <m/>
    <n v="94000"/>
    <n v="94000"/>
    <s v="Private Equity Fund"/>
    <n v="0"/>
    <n v="0"/>
    <m/>
    <m/>
    <m/>
    <m/>
    <m/>
    <m/>
    <m/>
    <m/>
    <m/>
    <m/>
  </r>
  <r>
    <x v="178"/>
    <x v="6"/>
    <s v="Series 1b"/>
    <n v="708820.35"/>
    <m/>
    <m/>
    <m/>
    <m/>
    <m/>
    <m/>
    <m/>
    <n v="0"/>
    <m/>
    <n v="0"/>
    <n v="0"/>
    <s v="Private Equity Fund"/>
    <n v="3.1684199999999999E-3"/>
    <n v="1.9156999999999998E-4"/>
    <m/>
    <m/>
    <m/>
    <m/>
    <m/>
    <m/>
    <m/>
    <m/>
    <m/>
    <m/>
  </r>
  <r>
    <x v="179"/>
    <x v="6"/>
    <s v="Series 1b"/>
    <n v="761119.1"/>
    <m/>
    <m/>
    <m/>
    <m/>
    <m/>
    <m/>
    <m/>
    <n v="0"/>
    <m/>
    <n v="0"/>
    <n v="0"/>
    <s v="Private Equity Fund"/>
    <n v="5.4525699999999995E-3"/>
    <n v="1.005672E-2"/>
    <m/>
    <m/>
    <m/>
    <m/>
    <m/>
    <m/>
    <m/>
    <m/>
    <m/>
    <m/>
  </r>
  <r>
    <x v="216"/>
    <x v="6"/>
    <s v="Series 1b"/>
    <m/>
    <m/>
    <m/>
    <n v="108000"/>
    <m/>
    <m/>
    <m/>
    <m/>
    <n v="108000"/>
    <m/>
    <n v="108000"/>
    <n v="108000"/>
    <s v="Private Equity Fund"/>
    <n v="0"/>
    <n v="0"/>
    <m/>
    <m/>
    <m/>
    <m/>
    <m/>
    <m/>
    <m/>
    <m/>
    <m/>
    <m/>
  </r>
  <r>
    <x v="217"/>
    <x v="6"/>
    <s v="Series 1b"/>
    <n v="874086.2"/>
    <m/>
    <m/>
    <m/>
    <m/>
    <m/>
    <m/>
    <m/>
    <n v="0"/>
    <m/>
    <n v="0"/>
    <n v="0"/>
    <s v="Private Equity Fund"/>
    <n v="5.8760000000000001E-3"/>
    <n v="1.093327E-2"/>
    <m/>
    <m/>
    <m/>
    <m/>
    <m/>
    <m/>
    <m/>
    <m/>
    <m/>
    <m/>
  </r>
  <r>
    <x v="218"/>
    <x v="6"/>
    <s v="Series 1b"/>
    <m/>
    <m/>
    <m/>
    <n v="187869"/>
    <m/>
    <m/>
    <m/>
    <m/>
    <n v="187869"/>
    <m/>
    <n v="187869"/>
    <n v="187869"/>
    <s v="Private Equity Fund"/>
    <n v="0"/>
    <n v="0"/>
    <m/>
    <m/>
    <m/>
    <m/>
    <m/>
    <m/>
    <m/>
    <m/>
    <m/>
    <m/>
  </r>
  <r>
    <x v="181"/>
    <x v="6"/>
    <s v="Series 1b"/>
    <n v="1059898.97"/>
    <m/>
    <m/>
    <m/>
    <m/>
    <m/>
    <m/>
    <m/>
    <n v="0"/>
    <m/>
    <n v="0"/>
    <n v="0"/>
    <s v="Private Equity Fund"/>
    <n v="7.9656399999999995E-3"/>
    <n v="1.0570410000000001E-2"/>
    <m/>
    <m/>
    <m/>
    <m/>
    <m/>
    <m/>
    <m/>
    <m/>
    <m/>
    <m/>
  </r>
  <r>
    <x v="182"/>
    <x v="6"/>
    <s v="Series 1b"/>
    <n v="1055904.17"/>
    <m/>
    <m/>
    <m/>
    <m/>
    <m/>
    <m/>
    <m/>
    <n v="0"/>
    <m/>
    <n v="0"/>
    <n v="0"/>
    <s v="Private Equity Fund"/>
    <n v="9.366600000000001E-3"/>
    <n v="9.8654400000000014E-3"/>
    <m/>
    <m/>
    <m/>
    <m/>
    <m/>
    <m/>
    <m/>
    <m/>
    <m/>
    <m/>
  </r>
  <r>
    <x v="183"/>
    <x v="6"/>
    <s v="Series 1b"/>
    <n v="956003.86"/>
    <m/>
    <m/>
    <m/>
    <m/>
    <m/>
    <m/>
    <m/>
    <n v="0"/>
    <m/>
    <n v="0"/>
    <n v="0"/>
    <s v="Private Equity Fund"/>
    <n v="9.683569999999999E-3"/>
    <n v="8.9433299999999993E-3"/>
    <m/>
    <m/>
    <m/>
    <m/>
    <m/>
    <m/>
    <m/>
    <m/>
    <m/>
    <m/>
  </r>
  <r>
    <x v="219"/>
    <x v="6"/>
    <s v="Series 1b"/>
    <m/>
    <m/>
    <m/>
    <m/>
    <m/>
    <n v="-94675"/>
    <m/>
    <m/>
    <n v="-94675"/>
    <m/>
    <n v="-94675"/>
    <n v="-94675"/>
    <s v="Private Equity Fund"/>
    <n v="0"/>
    <n v="0"/>
    <m/>
    <m/>
    <m/>
    <m/>
    <m/>
    <m/>
    <m/>
    <m/>
    <m/>
    <m/>
  </r>
  <r>
    <x v="219"/>
    <x v="6"/>
    <s v="Series 1b"/>
    <m/>
    <m/>
    <m/>
    <n v="94675"/>
    <m/>
    <m/>
    <m/>
    <m/>
    <n v="94675"/>
    <m/>
    <n v="94675"/>
    <n v="94675"/>
    <s v="Private Equity Fund"/>
    <n v="0"/>
    <n v="0"/>
    <m/>
    <m/>
    <m/>
    <m/>
    <m/>
    <m/>
    <m/>
    <m/>
    <m/>
    <m/>
  </r>
  <r>
    <x v="184"/>
    <x v="6"/>
    <s v="Series 1b"/>
    <n v="1048850.3799999999"/>
    <m/>
    <m/>
    <m/>
    <m/>
    <m/>
    <m/>
    <m/>
    <n v="0"/>
    <m/>
    <n v="0"/>
    <n v="0"/>
    <s v="Private Equity Fund"/>
    <n v="1.113782E-2"/>
    <n v="8.6206499999999988E-3"/>
    <m/>
    <m/>
    <m/>
    <m/>
    <m/>
    <m/>
    <m/>
    <m/>
    <m/>
    <m/>
  </r>
  <r>
    <x v="220"/>
    <x v="6"/>
    <s v="Series 1b"/>
    <n v="1052476.8400000001"/>
    <m/>
    <m/>
    <m/>
    <m/>
    <m/>
    <m/>
    <m/>
    <n v="0"/>
    <m/>
    <n v="0"/>
    <n v="0"/>
    <s v="Private Equity Fund"/>
    <n v="1.237824E-2"/>
    <n v="9.2606200000000007E-3"/>
    <m/>
    <m/>
    <m/>
    <m/>
    <m/>
    <m/>
    <m/>
    <m/>
    <m/>
    <m/>
  </r>
  <r>
    <x v="186"/>
    <x v="6"/>
    <s v="Series 1b"/>
    <n v="1054949.6399999999"/>
    <m/>
    <m/>
    <m/>
    <m/>
    <m/>
    <m/>
    <m/>
    <n v="0"/>
    <m/>
    <n v="0"/>
    <n v="0"/>
    <s v="Private Equity Fund"/>
    <n v="1.237824E-2"/>
    <n v="9.6970000000000008E-3"/>
    <m/>
    <m/>
    <m/>
    <m/>
    <m/>
    <m/>
    <m/>
    <m/>
    <m/>
    <m/>
  </r>
  <r>
    <x v="187"/>
    <x v="6"/>
    <s v="Series 1b"/>
    <n v="1050179.3799999999"/>
    <m/>
    <m/>
    <m/>
    <m/>
    <m/>
    <m/>
    <m/>
    <n v="0"/>
    <m/>
    <n v="0"/>
    <n v="0"/>
    <s v="Private Equity Fund"/>
    <n v="1.5019459999999998E-2"/>
    <n v="8.8551900000000006E-3"/>
    <m/>
    <m/>
    <m/>
    <m/>
    <m/>
    <m/>
    <m/>
    <m/>
    <m/>
    <m/>
  </r>
  <r>
    <x v="221"/>
    <x v="6"/>
    <s v="Series 1b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</r>
  <r>
    <x v="221"/>
    <x v="6"/>
    <s v="Series 1b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</r>
  <r>
    <x v="222"/>
    <x v="6"/>
    <s v="Series 1b"/>
    <n v="1188274.27"/>
    <m/>
    <m/>
    <m/>
    <m/>
    <m/>
    <m/>
    <m/>
    <n v="0"/>
    <m/>
    <n v="0"/>
    <n v="0"/>
    <s v="Private Equity Fund"/>
    <n v="1.7924860000000001E-2"/>
    <n v="3.3224870000000004E-2"/>
    <m/>
    <m/>
    <m/>
    <m/>
    <m/>
    <m/>
    <m/>
    <m/>
    <m/>
    <m/>
  </r>
  <r>
    <x v="189"/>
    <x v="6"/>
    <s v="Series 1b"/>
    <n v="1247368.08"/>
    <m/>
    <m/>
    <m/>
    <m/>
    <m/>
    <m/>
    <m/>
    <n v="0"/>
    <m/>
    <n v="0"/>
    <n v="0"/>
    <s v="Private Equity Fund"/>
    <m/>
    <n v="4.3653190000000001E-2"/>
    <m/>
    <m/>
    <m/>
    <m/>
    <m/>
    <m/>
    <m/>
    <m/>
    <m/>
    <m/>
  </r>
  <r>
    <x v="190"/>
    <x v="6"/>
    <s v="Series 1b"/>
    <n v="1250780.22"/>
    <m/>
    <m/>
    <m/>
    <m/>
    <m/>
    <m/>
    <m/>
    <n v="0"/>
    <m/>
    <n v="0"/>
    <n v="0"/>
    <s v="Private Equity Fund"/>
    <m/>
    <n v="4.4255330000000002E-2"/>
    <m/>
    <m/>
    <m/>
    <m/>
    <m/>
    <m/>
    <m/>
    <m/>
    <m/>
    <m/>
  </r>
  <r>
    <x v="223"/>
    <x v="6"/>
    <s v="Series 1b"/>
    <n v="1258903.1299999999"/>
    <m/>
    <m/>
    <m/>
    <m/>
    <m/>
    <m/>
    <m/>
    <n v="0"/>
    <m/>
    <n v="0"/>
    <n v="0"/>
    <s v="Private Equity Fund"/>
    <n v="4.8472899999999998E-3"/>
    <n v="4.568879E-2"/>
    <m/>
    <m/>
    <m/>
    <m/>
    <m/>
    <m/>
    <m/>
    <m/>
    <m/>
    <m/>
  </r>
  <r>
    <x v="192"/>
    <x v="6"/>
    <s v="Series 1b"/>
    <n v="1252327.6499999999"/>
    <m/>
    <m/>
    <m/>
    <m/>
    <m/>
    <m/>
    <m/>
    <n v="0"/>
    <m/>
    <n v="0"/>
    <n v="0"/>
    <s v="Private Equity Fund"/>
    <m/>
    <n v="4.4528410000000004E-2"/>
    <m/>
    <m/>
    <m/>
    <m/>
    <m/>
    <m/>
    <m/>
    <m/>
    <m/>
    <m/>
  </r>
  <r>
    <x v="193"/>
    <x v="6"/>
    <s v="Series 1b"/>
    <n v="1268354.6100000001"/>
    <m/>
    <m/>
    <m/>
    <m/>
    <m/>
    <m/>
    <m/>
    <n v="0"/>
    <m/>
    <n v="0"/>
    <n v="0"/>
    <s v="Private Equity Fund"/>
    <m/>
    <n v="4.7356699999999995E-2"/>
    <m/>
    <m/>
    <m/>
    <m/>
    <m/>
    <m/>
    <m/>
    <m/>
    <m/>
    <m/>
  </r>
  <r>
    <x v="224"/>
    <x v="6"/>
    <s v="Series 1b"/>
    <n v="1256953.04"/>
    <m/>
    <m/>
    <m/>
    <m/>
    <m/>
    <m/>
    <m/>
    <n v="0"/>
    <m/>
    <n v="0"/>
    <n v="0"/>
    <s v="Private Equity Fund"/>
    <n v="4.94671E-3"/>
    <n v="4.534465E-2"/>
    <m/>
    <m/>
    <m/>
    <m/>
    <m/>
    <m/>
    <m/>
    <m/>
    <m/>
    <m/>
  </r>
  <r>
    <x v="195"/>
    <x v="6"/>
    <s v="Series 1b"/>
    <n v="1250073.73"/>
    <m/>
    <m/>
    <m/>
    <m/>
    <m/>
    <m/>
    <m/>
    <n v="0"/>
    <m/>
    <n v="0"/>
    <n v="0"/>
    <s v="Private Equity Fund"/>
    <n v="0"/>
    <n v="4.4130660000000002E-2"/>
    <m/>
    <m/>
    <m/>
    <m/>
    <m/>
    <m/>
    <m/>
    <m/>
    <m/>
    <m/>
  </r>
  <r>
    <x v="196"/>
    <x v="6"/>
    <s v="Series 1b"/>
    <n v="1241403.83"/>
    <m/>
    <m/>
    <m/>
    <m/>
    <m/>
    <m/>
    <m/>
    <n v="0"/>
    <m/>
    <n v="0"/>
    <n v="0"/>
    <s v="Private Equity Fund"/>
    <n v="0"/>
    <n v="4.2600680000000002E-2"/>
    <m/>
    <m/>
    <m/>
    <m/>
    <m/>
    <m/>
    <m/>
    <m/>
    <m/>
    <m/>
  </r>
  <r>
    <x v="225"/>
    <x v="6"/>
    <s v="Series 1b"/>
    <n v="1191558.3500000001"/>
    <m/>
    <m/>
    <m/>
    <m/>
    <m/>
    <m/>
    <m/>
    <n v="0"/>
    <e v="#DIV/0!"/>
    <n v="0"/>
    <n v="0"/>
    <s v="Private Equity Fund"/>
    <n v="4.6039399999999999E-3"/>
    <n v="3.3804420000000002E-2"/>
    <m/>
    <m/>
    <m/>
    <m/>
    <m/>
    <m/>
    <m/>
    <m/>
    <m/>
    <m/>
  </r>
  <r>
    <x v="198"/>
    <x v="6"/>
    <s v="Series 1b"/>
    <n v="1186262.9140000001"/>
    <m/>
    <n v="1"/>
    <m/>
    <n v="0"/>
    <n v="0"/>
    <n v="0"/>
    <m/>
    <n v="0"/>
    <e v="#DIV/0!"/>
    <n v="-1186262.9140000001"/>
    <n v="-1186262.9140000001"/>
    <s v="Private Equity Fund"/>
    <n v="6.2613775611426569E-3"/>
    <n v="3.2869926000000015E-2"/>
    <m/>
    <m/>
    <m/>
    <m/>
    <m/>
    <m/>
    <m/>
    <m/>
    <m/>
    <m/>
  </r>
  <r>
    <x v="206"/>
    <x v="6"/>
    <s v="Series 1GP"/>
    <m/>
    <m/>
    <m/>
    <n v="900000"/>
    <m/>
    <m/>
    <m/>
    <m/>
    <n v="900000"/>
    <m/>
    <n v="900000"/>
    <m/>
    <s v="Private Equity Fund"/>
    <n v="0"/>
    <n v="0"/>
    <m/>
    <m/>
    <m/>
    <m/>
    <m/>
    <m/>
    <m/>
    <m/>
    <m/>
    <m/>
  </r>
  <r>
    <x v="207"/>
    <x v="6"/>
    <s v="Series 1GP"/>
    <m/>
    <m/>
    <m/>
    <n v="2240000"/>
    <m/>
    <m/>
    <m/>
    <m/>
    <n v="2240000"/>
    <m/>
    <n v="2240000"/>
    <m/>
    <s v="Private Equity Fund"/>
    <n v="0"/>
    <n v="0"/>
    <m/>
    <m/>
    <m/>
    <m/>
    <m/>
    <m/>
    <m/>
    <m/>
    <m/>
    <m/>
  </r>
  <r>
    <x v="208"/>
    <x v="6"/>
    <s v="Series 1GP"/>
    <m/>
    <m/>
    <m/>
    <n v="4980000"/>
    <m/>
    <m/>
    <m/>
    <m/>
    <n v="4980000"/>
    <m/>
    <n v="4980000"/>
    <m/>
    <s v="Private Equity Fund"/>
    <n v="0"/>
    <n v="0"/>
    <m/>
    <m/>
    <m/>
    <m/>
    <m/>
    <m/>
    <m/>
    <m/>
    <m/>
    <m/>
  </r>
  <r>
    <x v="173"/>
    <x v="6"/>
    <s v="Series 1GP"/>
    <n v="8582644.8699999992"/>
    <m/>
    <m/>
    <m/>
    <m/>
    <m/>
    <m/>
    <m/>
    <n v="0"/>
    <m/>
    <n v="0"/>
    <m/>
    <s v="Private Equity Fund"/>
    <n v="0"/>
    <n v="-4.7655080000000002E-2"/>
    <m/>
    <m/>
    <m/>
    <m/>
    <m/>
    <m/>
    <m/>
    <m/>
    <m/>
    <m/>
  </r>
  <r>
    <x v="209"/>
    <x v="6"/>
    <s v="Series 1GP"/>
    <m/>
    <m/>
    <m/>
    <n v="3900000"/>
    <m/>
    <m/>
    <m/>
    <m/>
    <n v="3900000"/>
    <m/>
    <n v="3900000"/>
    <m/>
    <s v="Private Equity Fund"/>
    <n v="0"/>
    <n v="0"/>
    <m/>
    <m/>
    <m/>
    <m/>
    <m/>
    <m/>
    <m/>
    <m/>
    <m/>
    <m/>
  </r>
  <r>
    <x v="210"/>
    <x v="6"/>
    <s v="Series 1GP"/>
    <m/>
    <m/>
    <m/>
    <n v="2920000"/>
    <m/>
    <m/>
    <m/>
    <m/>
    <n v="2920000"/>
    <m/>
    <n v="2920000"/>
    <m/>
    <s v="Private Equity Fund"/>
    <n v="0"/>
    <n v="0"/>
    <m/>
    <m/>
    <m/>
    <m/>
    <m/>
    <m/>
    <m/>
    <m/>
    <m/>
    <m/>
  </r>
  <r>
    <x v="174"/>
    <x v="6"/>
    <s v="Series 1GP"/>
    <n v="16182831"/>
    <m/>
    <m/>
    <m/>
    <m/>
    <m/>
    <m/>
    <m/>
    <n v="0"/>
    <m/>
    <n v="0"/>
    <m/>
    <s v="Private Equity Fund"/>
    <n v="0"/>
    <n v="-0.12898229"/>
    <m/>
    <m/>
    <m/>
    <m/>
    <m/>
    <m/>
    <m/>
    <m/>
    <m/>
    <m/>
  </r>
  <r>
    <x v="211"/>
    <x v="6"/>
    <s v="Series 1GP"/>
    <m/>
    <m/>
    <m/>
    <m/>
    <m/>
    <n v="-8317379"/>
    <m/>
    <m/>
    <n v="-8317379"/>
    <m/>
    <n v="-8317379"/>
    <m/>
    <s v="Private Equity Fund"/>
    <n v="0"/>
    <n v="0"/>
    <m/>
    <m/>
    <m/>
    <m/>
    <m/>
    <m/>
    <m/>
    <m/>
    <m/>
    <m/>
  </r>
  <r>
    <x v="211"/>
    <x v="6"/>
    <s v="Series 1GP"/>
    <m/>
    <m/>
    <m/>
    <n v="1360000"/>
    <m/>
    <m/>
    <m/>
    <m/>
    <n v="1360000"/>
    <m/>
    <n v="1360000"/>
    <m/>
    <s v="Private Equity Fund"/>
    <n v="0"/>
    <n v="0"/>
    <m/>
    <m/>
    <m/>
    <m/>
    <m/>
    <m/>
    <m/>
    <m/>
    <m/>
    <m/>
  </r>
  <r>
    <x v="212"/>
    <x v="6"/>
    <s v="Series 1GP"/>
    <m/>
    <m/>
    <m/>
    <n v="3220000"/>
    <m/>
    <m/>
    <m/>
    <m/>
    <n v="3220000"/>
    <m/>
    <n v="3220000"/>
    <m/>
    <s v="Private Equity Fund"/>
    <n v="0"/>
    <n v="0"/>
    <m/>
    <m/>
    <m/>
    <m/>
    <m/>
    <m/>
    <m/>
    <m/>
    <m/>
    <m/>
  </r>
  <r>
    <x v="175"/>
    <x v="6"/>
    <s v="Series 1GP"/>
    <n v="12535756.279999999"/>
    <m/>
    <m/>
    <m/>
    <m/>
    <m/>
    <m/>
    <m/>
    <n v="0"/>
    <m/>
    <n v="0"/>
    <m/>
    <s v="Private Equity Fund"/>
    <n v="0"/>
    <n v="-0.13746847000000001"/>
    <m/>
    <m/>
    <m/>
    <m/>
    <m/>
    <m/>
    <m/>
    <m/>
    <m/>
    <m/>
  </r>
  <r>
    <x v="213"/>
    <x v="6"/>
    <s v="Series 1GP"/>
    <n v="12357292.130000001"/>
    <m/>
    <m/>
    <m/>
    <m/>
    <m/>
    <m/>
    <m/>
    <n v="0"/>
    <m/>
    <n v="0"/>
    <m/>
    <s v="Private Equity Fund"/>
    <n v="0"/>
    <n v="-0.11780549"/>
    <m/>
    <m/>
    <m/>
    <m/>
    <m/>
    <m/>
    <m/>
    <m/>
    <m/>
    <m/>
  </r>
  <r>
    <x v="214"/>
    <x v="6"/>
    <s v="Series 1GP"/>
    <n v="12729217.140000001"/>
    <m/>
    <m/>
    <m/>
    <m/>
    <m/>
    <m/>
    <m/>
    <n v="0"/>
    <m/>
    <n v="0"/>
    <m/>
    <s v="Private Equity Fund"/>
    <n v="0"/>
    <n v="-0.15880621"/>
    <m/>
    <m/>
    <m/>
    <m/>
    <m/>
    <m/>
    <m/>
    <m/>
    <m/>
    <m/>
  </r>
  <r>
    <x v="215"/>
    <x v="6"/>
    <s v="Series 1GP"/>
    <m/>
    <m/>
    <m/>
    <n v="1880000"/>
    <m/>
    <m/>
    <m/>
    <m/>
    <n v="1880000"/>
    <m/>
    <n v="1880000"/>
    <m/>
    <s v="Private Equity Fund"/>
    <n v="0"/>
    <n v="0"/>
    <m/>
    <m/>
    <m/>
    <m/>
    <m/>
    <m/>
    <m/>
    <m/>
    <m/>
    <m/>
  </r>
  <r>
    <x v="178"/>
    <x v="6"/>
    <s v="Series 1GP"/>
    <n v="15202436.27"/>
    <m/>
    <m/>
    <m/>
    <m/>
    <m/>
    <m/>
    <m/>
    <n v="0"/>
    <m/>
    <n v="0"/>
    <m/>
    <s v="Private Equity Fund"/>
    <n v="0"/>
    <n v="-3.393695E-2"/>
    <m/>
    <m/>
    <m/>
    <m/>
    <m/>
    <m/>
    <m/>
    <m/>
    <m/>
    <m/>
  </r>
  <r>
    <x v="179"/>
    <x v="6"/>
    <s v="Series 1GP"/>
    <n v="14725352.25"/>
    <m/>
    <m/>
    <m/>
    <m/>
    <m/>
    <m/>
    <m/>
    <n v="0"/>
    <m/>
    <n v="0"/>
    <m/>
    <s v="Private Equity Fund"/>
    <n v="0"/>
    <n v="-0.17031079999999998"/>
    <m/>
    <m/>
    <m/>
    <m/>
    <m/>
    <m/>
    <m/>
    <m/>
    <m/>
    <m/>
  </r>
  <r>
    <x v="216"/>
    <x v="6"/>
    <s v="Series 1GP"/>
    <m/>
    <m/>
    <m/>
    <n v="2160000"/>
    <m/>
    <m/>
    <m/>
    <m/>
    <n v="2160000"/>
    <m/>
    <n v="2160000"/>
    <m/>
    <s v="Private Equity Fund"/>
    <n v="0"/>
    <n v="0"/>
    <m/>
    <m/>
    <m/>
    <m/>
    <m/>
    <m/>
    <m/>
    <m/>
    <m/>
    <m/>
  </r>
  <r>
    <x v="217"/>
    <x v="6"/>
    <s v="Series 1GP"/>
    <n v="17033301.52"/>
    <m/>
    <m/>
    <m/>
    <m/>
    <m/>
    <m/>
    <m/>
    <n v="0"/>
    <m/>
    <n v="0"/>
    <m/>
    <s v="Private Equity Fund"/>
    <n v="0"/>
    <n v="-0.18718485999999998"/>
    <m/>
    <m/>
    <m/>
    <m/>
    <m/>
    <m/>
    <m/>
    <m/>
    <m/>
    <m/>
  </r>
  <r>
    <x v="218"/>
    <x v="6"/>
    <s v="Series 1GP"/>
    <m/>
    <m/>
    <m/>
    <m/>
    <m/>
    <n v="-1189669"/>
    <m/>
    <m/>
    <n v="-1189669"/>
    <m/>
    <n v="-1189669"/>
    <m/>
    <s v="Private Equity Fund"/>
    <n v="0"/>
    <n v="0"/>
    <m/>
    <m/>
    <m/>
    <m/>
    <m/>
    <m/>
    <m/>
    <m/>
    <m/>
    <m/>
  </r>
  <r>
    <x v="218"/>
    <x v="6"/>
    <s v="Series 1GP"/>
    <m/>
    <m/>
    <m/>
    <n v="4386072"/>
    <m/>
    <m/>
    <m/>
    <m/>
    <n v="4386072"/>
    <m/>
    <n v="4386072"/>
    <m/>
    <s v="Private Equity Fund"/>
    <n v="0"/>
    <n v="0"/>
    <m/>
    <m/>
    <m/>
    <m/>
    <m/>
    <m/>
    <m/>
    <m/>
    <m/>
    <m/>
  </r>
  <r>
    <x v="181"/>
    <x v="6"/>
    <s v="Series 1GP"/>
    <n v="19093188.699999999"/>
    <m/>
    <m/>
    <m/>
    <m/>
    <m/>
    <m/>
    <m/>
    <n v="0"/>
    <m/>
    <n v="0"/>
    <m/>
    <s v="Private Equity Fund"/>
    <n v="0"/>
    <n v="-0.12330902000000001"/>
    <m/>
    <m/>
    <m/>
    <m/>
    <m/>
    <m/>
    <m/>
    <m/>
    <m/>
    <m/>
  </r>
  <r>
    <x v="182"/>
    <x v="6"/>
    <s v="Series 1GP"/>
    <n v="20016985.48"/>
    <m/>
    <m/>
    <m/>
    <m/>
    <m/>
    <m/>
    <m/>
    <n v="0"/>
    <m/>
    <n v="0"/>
    <m/>
    <s v="Private Equity Fund"/>
    <n v="0"/>
    <n v="-0.17180442000000001"/>
    <m/>
    <m/>
    <m/>
    <m/>
    <m/>
    <m/>
    <m/>
    <m/>
    <m/>
    <m/>
  </r>
  <r>
    <x v="183"/>
    <x v="6"/>
    <s v="Series 1GP"/>
    <n v="18149798.98"/>
    <m/>
    <m/>
    <m/>
    <m/>
    <m/>
    <m/>
    <m/>
    <n v="0"/>
    <m/>
    <n v="0"/>
    <m/>
    <s v="Private Equity Fund"/>
    <n v="0"/>
    <n v="-0.15047690999999999"/>
    <m/>
    <m/>
    <m/>
    <m/>
    <m/>
    <m/>
    <m/>
    <m/>
    <m/>
    <m/>
  </r>
  <r>
    <x v="219"/>
    <x v="6"/>
    <s v="Series 1GP"/>
    <m/>
    <m/>
    <m/>
    <m/>
    <m/>
    <n v="-1745715"/>
    <m/>
    <m/>
    <n v="-1745715"/>
    <m/>
    <n v="-1745715"/>
    <m/>
    <s v="Private Equity Fund"/>
    <n v="0"/>
    <n v="0"/>
    <m/>
    <m/>
    <m/>
    <m/>
    <m/>
    <m/>
    <m/>
    <m/>
    <m/>
    <m/>
  </r>
  <r>
    <x v="219"/>
    <x v="6"/>
    <s v="Series 1GP"/>
    <m/>
    <m/>
    <m/>
    <n v="1745715"/>
    <m/>
    <m/>
    <m/>
    <m/>
    <n v="1745715"/>
    <m/>
    <n v="1745715"/>
    <m/>
    <s v="Private Equity Fund"/>
    <n v="0"/>
    <n v="0"/>
    <m/>
    <m/>
    <m/>
    <m/>
    <m/>
    <m/>
    <m/>
    <m/>
    <m/>
    <m/>
  </r>
  <r>
    <x v="184"/>
    <x v="6"/>
    <s v="Series 1GP"/>
    <n v="19870779.280000001"/>
    <m/>
    <m/>
    <m/>
    <m/>
    <m/>
    <m/>
    <m/>
    <n v="0"/>
    <m/>
    <n v="0"/>
    <m/>
    <s v="Private Equity Fund"/>
    <n v="0"/>
    <n v="-0.14595648"/>
    <m/>
    <m/>
    <m/>
    <m/>
    <m/>
    <m/>
    <m/>
    <m/>
    <m/>
    <m/>
  </r>
  <r>
    <x v="220"/>
    <x v="6"/>
    <s v="Series 1GP"/>
    <n v="19985895.530000001"/>
    <m/>
    <m/>
    <m/>
    <m/>
    <m/>
    <m/>
    <m/>
    <n v="0"/>
    <m/>
    <n v="0"/>
    <m/>
    <s v="Private Equity Fund"/>
    <n v="0"/>
    <n v="-0.15953210999999998"/>
    <m/>
    <m/>
    <m/>
    <m/>
    <m/>
    <m/>
    <m/>
    <m/>
    <m/>
    <m/>
  </r>
  <r>
    <x v="186"/>
    <x v="6"/>
    <s v="Series 1GP"/>
    <n v="20053153.120000001"/>
    <m/>
    <m/>
    <m/>
    <m/>
    <m/>
    <m/>
    <m/>
    <n v="0"/>
    <m/>
    <n v="0"/>
    <m/>
    <s v="Private Equity Fund"/>
    <n v="0"/>
    <n v="-0.16652484000000001"/>
    <m/>
    <m/>
    <m/>
    <m/>
    <m/>
    <m/>
    <m/>
    <m/>
    <m/>
    <m/>
  </r>
  <r>
    <x v="187"/>
    <x v="6"/>
    <s v="Series 1GP"/>
    <n v="19981086.07"/>
    <m/>
    <m/>
    <m/>
    <m/>
    <m/>
    <m/>
    <m/>
    <n v="0"/>
    <m/>
    <n v="0"/>
    <m/>
    <s v="Private Equity Fund"/>
    <n v="0"/>
    <n v="-0.14923717"/>
    <m/>
    <m/>
    <m/>
    <m/>
    <m/>
    <m/>
    <m/>
    <m/>
    <m/>
    <m/>
  </r>
  <r>
    <x v="221"/>
    <x v="6"/>
    <s v="Series 1GP"/>
    <m/>
    <m/>
    <m/>
    <m/>
    <m/>
    <n v="-2258788.52"/>
    <m/>
    <m/>
    <n v="-2258788.52"/>
    <m/>
    <n v="-2258788.52"/>
    <m/>
    <s v="Private Equity Fund"/>
    <n v="0"/>
    <n v="0"/>
    <m/>
    <m/>
    <m/>
    <m/>
    <m/>
    <m/>
    <m/>
    <m/>
    <m/>
    <m/>
  </r>
  <r>
    <x v="221"/>
    <x v="6"/>
    <s v="Series 1GP"/>
    <m/>
    <m/>
    <m/>
    <n v="2258788.52"/>
    <m/>
    <m/>
    <m/>
    <m/>
    <n v="2258788.52"/>
    <m/>
    <n v="2258788.52"/>
    <m/>
    <s v="Private Equity Fund"/>
    <n v="0"/>
    <n v="0"/>
    <m/>
    <m/>
    <m/>
    <m/>
    <m/>
    <m/>
    <m/>
    <m/>
    <m/>
    <m/>
  </r>
  <r>
    <x v="222"/>
    <x v="6"/>
    <s v="Series 1GP"/>
    <n v="23826921.539999999"/>
    <m/>
    <m/>
    <m/>
    <m/>
    <m/>
    <m/>
    <m/>
    <n v="0"/>
    <m/>
    <n v="0"/>
    <m/>
    <s v="Private Equity Fund"/>
    <n v="0"/>
    <n v="-0.95243478000000004"/>
    <m/>
    <m/>
    <m/>
    <m/>
    <m/>
    <m/>
    <m/>
    <m/>
    <m/>
    <m/>
  </r>
  <r>
    <x v="189"/>
    <x v="6"/>
    <s v="Series 1GP"/>
    <n v="25511607.32"/>
    <m/>
    <m/>
    <m/>
    <m/>
    <m/>
    <m/>
    <m/>
    <n v="0"/>
    <m/>
    <n v="0"/>
    <m/>
    <s v="Private Equity Fund"/>
    <m/>
    <n v="-1.31612967"/>
    <m/>
    <m/>
    <m/>
    <m/>
    <m/>
    <m/>
    <m/>
    <m/>
    <m/>
    <m/>
  </r>
  <r>
    <x v="190"/>
    <x v="6"/>
    <s v="Series 1GP"/>
    <n v="25635984.129999999"/>
    <m/>
    <m/>
    <m/>
    <m/>
    <m/>
    <m/>
    <m/>
    <n v="0"/>
    <m/>
    <n v="0"/>
    <m/>
    <s v="Private Equity Fund"/>
    <m/>
    <n v="-1.3397229099999999"/>
    <m/>
    <m/>
    <m/>
    <m/>
    <m/>
    <m/>
    <m/>
    <m/>
    <m/>
    <m/>
  </r>
  <r>
    <x v="223"/>
    <x v="6"/>
    <s v="Series 1GP"/>
    <n v="25866945.579999998"/>
    <m/>
    <m/>
    <m/>
    <m/>
    <m/>
    <m/>
    <m/>
    <n v="0"/>
    <m/>
    <n v="0"/>
    <m/>
    <s v="Private Equity Fund"/>
    <n v="0"/>
    <m/>
    <m/>
    <m/>
    <m/>
    <m/>
    <m/>
    <m/>
    <m/>
    <m/>
    <m/>
    <m/>
  </r>
  <r>
    <x v="192"/>
    <x v="6"/>
    <s v="Series 1GP"/>
    <n v="25717878.460000001"/>
    <m/>
    <m/>
    <m/>
    <m/>
    <m/>
    <m/>
    <m/>
    <n v="0"/>
    <m/>
    <n v="0"/>
    <m/>
    <s v="Private Equity Fund"/>
    <m/>
    <n v="-1.3262478899999999"/>
    <m/>
    <m/>
    <m/>
    <m/>
    <m/>
    <m/>
    <m/>
    <m/>
    <m/>
    <m/>
  </r>
  <r>
    <x v="193"/>
    <x v="6"/>
    <s v="Series 1GP"/>
    <n v="26179442.640000001"/>
    <m/>
    <m/>
    <m/>
    <m/>
    <m/>
    <m/>
    <m/>
    <n v="0"/>
    <m/>
    <n v="0"/>
    <m/>
    <s v="Private Equity Fund"/>
    <m/>
    <n v="-1.4089706100000001"/>
    <m/>
    <m/>
    <m/>
    <m/>
    <m/>
    <m/>
    <m/>
    <m/>
    <m/>
    <m/>
  </r>
  <r>
    <x v="224"/>
    <x v="6"/>
    <s v="Series 1GP"/>
    <n v="25898977.030000001"/>
    <m/>
    <m/>
    <m/>
    <m/>
    <m/>
    <m/>
    <m/>
    <n v="0"/>
    <m/>
    <n v="0"/>
    <m/>
    <s v="Private Equity Fund"/>
    <n v="0"/>
    <m/>
    <m/>
    <m/>
    <m/>
    <m/>
    <m/>
    <m/>
    <m/>
    <m/>
    <m/>
    <m/>
  </r>
  <r>
    <x v="195"/>
    <x v="6"/>
    <s v="Series 1GP"/>
    <n v="25732180.699999999"/>
    <m/>
    <m/>
    <m/>
    <m/>
    <m/>
    <m/>
    <m/>
    <n v="0"/>
    <m/>
    <n v="0"/>
    <m/>
    <s v="Private Equity Fund"/>
    <n v="0"/>
    <m/>
    <m/>
    <m/>
    <m/>
    <m/>
    <m/>
    <m/>
    <m/>
    <m/>
    <m/>
    <m/>
  </r>
  <r>
    <x v="196"/>
    <x v="6"/>
    <s v="Series 1GP"/>
    <n v="25428464.949999999"/>
    <m/>
    <m/>
    <m/>
    <m/>
    <m/>
    <m/>
    <m/>
    <n v="0"/>
    <m/>
    <n v="0"/>
    <m/>
    <s v="Private Equity Fund"/>
    <n v="0"/>
    <m/>
    <m/>
    <m/>
    <m/>
    <m/>
    <m/>
    <m/>
    <m/>
    <m/>
    <m/>
    <m/>
  </r>
  <r>
    <x v="225"/>
    <x v="6"/>
    <s v="Series 1GP"/>
    <n v="24174212.559999999"/>
    <m/>
    <m/>
    <m/>
    <m/>
    <m/>
    <m/>
    <m/>
    <n v="0"/>
    <e v="#DIV/0!"/>
    <n v="0"/>
    <m/>
    <s v="Private Equity Fund"/>
    <n v="0"/>
    <m/>
    <m/>
    <m/>
    <m/>
    <m/>
    <m/>
    <m/>
    <m/>
    <m/>
    <m/>
    <m/>
  </r>
  <r>
    <x v="198"/>
    <x v="6"/>
    <s v="Series 1GP"/>
    <n v="23956623.047699999"/>
    <m/>
    <n v="18.439024"/>
    <m/>
    <n v="0"/>
    <n v="0"/>
    <n v="0"/>
    <n v="0"/>
    <n v="0"/>
    <e v="#DIV/0!"/>
    <n v="-23956623.047699999"/>
    <m/>
    <s v="Private Equity Fund"/>
    <n v="0"/>
    <m/>
    <m/>
    <m/>
    <m/>
    <m/>
    <m/>
    <m/>
    <m/>
    <m/>
    <m/>
    <m/>
  </r>
  <r>
    <x v="211"/>
    <x v="6"/>
    <s v="Series 2a"/>
    <m/>
    <m/>
    <m/>
    <n v="19584"/>
    <m/>
    <m/>
    <m/>
    <m/>
    <n v="19584"/>
    <m/>
    <n v="19584"/>
    <n v="19584"/>
    <s v="Private Equity Fund"/>
    <n v="0"/>
    <n v="0"/>
    <m/>
    <m/>
    <m/>
    <m/>
    <m/>
    <m/>
    <m/>
    <m/>
    <m/>
    <m/>
  </r>
  <r>
    <x v="211"/>
    <x v="6"/>
    <s v="Series 2a"/>
    <m/>
    <m/>
    <m/>
    <n v="111883"/>
    <m/>
    <m/>
    <m/>
    <m/>
    <n v="111883"/>
    <m/>
    <n v="111883"/>
    <n v="111883"/>
    <s v="Private Equity Fund"/>
    <n v="0"/>
    <n v="0"/>
    <m/>
    <m/>
    <m/>
    <m/>
    <m/>
    <m/>
    <m/>
    <m/>
    <m/>
    <m/>
  </r>
  <r>
    <x v="212"/>
    <x v="6"/>
    <s v="Series 2a"/>
    <m/>
    <m/>
    <m/>
    <n v="46368"/>
    <m/>
    <m/>
    <m/>
    <m/>
    <n v="46368"/>
    <m/>
    <n v="46368"/>
    <n v="46368"/>
    <s v="Private Equity Fund"/>
    <n v="0"/>
    <n v="0"/>
    <m/>
    <m/>
    <m/>
    <m/>
    <m/>
    <m/>
    <m/>
    <m/>
    <m/>
    <m/>
  </r>
  <r>
    <x v="175"/>
    <x v="6"/>
    <s v="Series 2a"/>
    <n v="177016.75"/>
    <m/>
    <m/>
    <m/>
    <m/>
    <m/>
    <m/>
    <m/>
    <n v="0"/>
    <m/>
    <n v="0"/>
    <n v="0"/>
    <s v="Private Equity Fund"/>
    <n v="7.8700000000000005E-4"/>
    <n v="0"/>
    <m/>
    <m/>
    <m/>
    <m/>
    <m/>
    <m/>
    <m/>
    <m/>
    <m/>
    <m/>
  </r>
  <r>
    <x v="213"/>
    <x v="6"/>
    <s v="Series 2a"/>
    <n v="175467.47"/>
    <m/>
    <m/>
    <m/>
    <m/>
    <m/>
    <m/>
    <m/>
    <n v="0"/>
    <m/>
    <n v="0"/>
    <n v="0"/>
    <s v="Private Equity Fund"/>
    <n v="7.8061999999999999E-4"/>
    <n v="0"/>
    <m/>
    <m/>
    <m/>
    <m/>
    <m/>
    <m/>
    <m/>
    <m/>
    <m/>
    <m/>
  </r>
  <r>
    <x v="214"/>
    <x v="6"/>
    <s v="Series 2a"/>
    <n v="179056.49"/>
    <m/>
    <m/>
    <m/>
    <m/>
    <m/>
    <m/>
    <m/>
    <n v="0"/>
    <m/>
    <n v="0"/>
    <n v="0"/>
    <s v="Private Equity Fund"/>
    <n v="1.00607E-3"/>
    <n v="2.1556E-4"/>
    <m/>
    <m/>
    <m/>
    <m/>
    <m/>
    <m/>
    <m/>
    <m/>
    <m/>
    <m/>
  </r>
  <r>
    <x v="215"/>
    <x v="6"/>
    <s v="Series 2a"/>
    <m/>
    <m/>
    <m/>
    <n v="27072"/>
    <m/>
    <m/>
    <m/>
    <m/>
    <n v="27072"/>
    <m/>
    <n v="27072"/>
    <n v="27072"/>
    <s v="Private Equity Fund"/>
    <n v="0"/>
    <n v="0"/>
    <m/>
    <m/>
    <m/>
    <m/>
    <m/>
    <m/>
    <m/>
    <m/>
    <m/>
    <m/>
  </r>
  <r>
    <x v="178"/>
    <x v="6"/>
    <s v="Series 2a"/>
    <n v="214912.61"/>
    <m/>
    <m/>
    <m/>
    <m/>
    <m/>
    <m/>
    <m/>
    <n v="0"/>
    <m/>
    <n v="0"/>
    <n v="0"/>
    <s v="Private Equity Fund"/>
    <n v="9.1250000000000001E-4"/>
    <n v="1.68643E-3"/>
    <m/>
    <m/>
    <m/>
    <m/>
    <m/>
    <m/>
    <m/>
    <m/>
    <m/>
    <m/>
  </r>
  <r>
    <x v="179"/>
    <x v="6"/>
    <s v="Series 2a"/>
    <n v="207554.53"/>
    <m/>
    <m/>
    <m/>
    <m/>
    <m/>
    <m/>
    <m/>
    <n v="0"/>
    <m/>
    <n v="0"/>
    <n v="0"/>
    <s v="Private Equity Fund"/>
    <n v="1.5703399999999999E-3"/>
    <n v="4.6720999999999997E-4"/>
    <m/>
    <m/>
    <m/>
    <m/>
    <m/>
    <m/>
    <m/>
    <m/>
    <m/>
    <m/>
  </r>
  <r>
    <x v="216"/>
    <x v="6"/>
    <s v="Series 2a"/>
    <m/>
    <m/>
    <m/>
    <n v="31104"/>
    <m/>
    <m/>
    <m/>
    <m/>
    <n v="31104"/>
    <m/>
    <n v="31104"/>
    <n v="31104"/>
    <s v="Private Equity Fund"/>
    <n v="0"/>
    <n v="0"/>
    <m/>
    <m/>
    <m/>
    <m/>
    <m/>
    <m/>
    <m/>
    <m/>
    <m/>
    <m/>
  </r>
  <r>
    <x v="217"/>
    <x v="6"/>
    <s v="Series 2a"/>
    <n v="239533.91"/>
    <m/>
    <m/>
    <m/>
    <m/>
    <m/>
    <m/>
    <m/>
    <n v="0"/>
    <m/>
    <n v="0"/>
    <n v="0"/>
    <s v="Private Equity Fund"/>
    <n v="1.6922899999999999E-3"/>
    <n v="6.2169000000000005E-4"/>
    <m/>
    <m/>
    <m/>
    <m/>
    <m/>
    <m/>
    <m/>
    <m/>
    <m/>
    <m/>
  </r>
  <r>
    <x v="218"/>
    <x v="6"/>
    <s v="Series 2a"/>
    <m/>
    <m/>
    <m/>
    <n v="51989"/>
    <m/>
    <m/>
    <m/>
    <m/>
    <n v="51989"/>
    <m/>
    <n v="51989"/>
    <n v="51989"/>
    <s v="Private Equity Fund"/>
    <n v="0"/>
    <n v="0"/>
    <m/>
    <m/>
    <m/>
    <m/>
    <m/>
    <m/>
    <m/>
    <m/>
    <m/>
    <m/>
  </r>
  <r>
    <x v="181"/>
    <x v="6"/>
    <s v="Series 2a"/>
    <n v="292470.64"/>
    <m/>
    <m/>
    <m/>
    <m/>
    <m/>
    <m/>
    <m/>
    <n v="0"/>
    <m/>
    <n v="0"/>
    <n v="0"/>
    <s v="Private Equity Fund"/>
    <n v="2.2940999999999999E-3"/>
    <n v="7.8894000000000002E-4"/>
    <m/>
    <m/>
    <m/>
    <m/>
    <m/>
    <m/>
    <m/>
    <m/>
    <m/>
    <m/>
  </r>
  <r>
    <x v="182"/>
    <x v="6"/>
    <s v="Series 2a"/>
    <n v="290336.17"/>
    <m/>
    <m/>
    <m/>
    <m/>
    <m/>
    <m/>
    <m/>
    <n v="0"/>
    <m/>
    <n v="0"/>
    <n v="0"/>
    <s v="Private Equity Fund"/>
    <n v="2.6975799999999998E-3"/>
    <n v="4.1227000000000001E-4"/>
    <m/>
    <m/>
    <m/>
    <m/>
    <m/>
    <m/>
    <m/>
    <m/>
    <m/>
    <m/>
  </r>
  <r>
    <x v="183"/>
    <x v="6"/>
    <s v="Series 2a"/>
    <n v="260948.63"/>
    <m/>
    <m/>
    <m/>
    <m/>
    <m/>
    <m/>
    <m/>
    <n v="0"/>
    <m/>
    <n v="0"/>
    <n v="0"/>
    <s v="Private Equity Fund"/>
    <n v="2.7888699999999997E-3"/>
    <n v="3.7880000000000003E-5"/>
    <m/>
    <m/>
    <m/>
    <m/>
    <m/>
    <m/>
    <m/>
    <m/>
    <m/>
    <m/>
  </r>
  <r>
    <x v="219"/>
    <x v="6"/>
    <s v="Series 2a"/>
    <m/>
    <m/>
    <m/>
    <m/>
    <m/>
    <n v="-27266"/>
    <m/>
    <m/>
    <n v="-27266"/>
    <m/>
    <n v="-27266"/>
    <n v="-27266"/>
    <s v="Private Equity Fund"/>
    <n v="0"/>
    <n v="0"/>
    <m/>
    <m/>
    <m/>
    <m/>
    <m/>
    <m/>
    <m/>
    <m/>
    <m/>
    <m/>
  </r>
  <r>
    <x v="219"/>
    <x v="6"/>
    <s v="Series 2a"/>
    <m/>
    <m/>
    <m/>
    <n v="27266"/>
    <m/>
    <m/>
    <m/>
    <m/>
    <n v="27266"/>
    <m/>
    <n v="27266"/>
    <n v="27266"/>
    <s v="Private Equity Fund"/>
    <n v="0"/>
    <n v="0"/>
    <m/>
    <m/>
    <m/>
    <m/>
    <m/>
    <m/>
    <m/>
    <m/>
    <m/>
    <m/>
  </r>
  <r>
    <x v="184"/>
    <x v="6"/>
    <s v="Series 2a"/>
    <n v="288304.67"/>
    <m/>
    <m/>
    <m/>
    <m/>
    <m/>
    <m/>
    <m/>
    <n v="0"/>
    <m/>
    <n v="0"/>
    <n v="0"/>
    <s v="Private Equity Fund"/>
    <n v="3.20769E-3"/>
    <n v="5.3770000000000002E-5"/>
    <m/>
    <m/>
    <m/>
    <m/>
    <m/>
    <m/>
    <m/>
    <m/>
    <m/>
    <m/>
  </r>
  <r>
    <x v="220"/>
    <x v="6"/>
    <s v="Series 2a"/>
    <n v="289349.09000000003"/>
    <m/>
    <m/>
    <m/>
    <m/>
    <m/>
    <m/>
    <m/>
    <n v="0"/>
    <m/>
    <n v="0"/>
    <n v="0"/>
    <s v="Private Equity Fund"/>
    <n v="3.56493E-3"/>
    <n v="2.3808000000000002E-4"/>
    <m/>
    <m/>
    <m/>
    <m/>
    <m/>
    <m/>
    <m/>
    <m/>
    <m/>
    <m/>
  </r>
  <r>
    <x v="186"/>
    <x v="6"/>
    <s v="Series 2a"/>
    <n v="289435.11"/>
    <m/>
    <m/>
    <m/>
    <m/>
    <m/>
    <m/>
    <m/>
    <n v="0"/>
    <m/>
    <n v="0"/>
    <n v="0"/>
    <s v="Private Equity Fund"/>
    <n v="3.56493E-3"/>
    <n v="2.5326E-4"/>
    <m/>
    <m/>
    <m/>
    <m/>
    <m/>
    <m/>
    <m/>
    <m/>
    <m/>
    <m/>
  </r>
  <r>
    <x v="187"/>
    <x v="6"/>
    <s v="Series 2a"/>
    <n v="288061.28999999998"/>
    <m/>
    <m/>
    <m/>
    <m/>
    <m/>
    <m/>
    <m/>
    <n v="0"/>
    <m/>
    <n v="0"/>
    <n v="0"/>
    <s v="Private Equity Fund"/>
    <n v="4.3256099999999997E-3"/>
    <n v="1.081E-5"/>
    <m/>
    <m/>
    <m/>
    <m/>
    <m/>
    <m/>
    <m/>
    <m/>
    <m/>
    <m/>
  </r>
  <r>
    <x v="221"/>
    <x v="6"/>
    <s v="Series 2a"/>
    <m/>
    <m/>
    <m/>
    <m/>
    <m/>
    <n v="-35280.129999999997"/>
    <m/>
    <m/>
    <n v="-35280.129999999997"/>
    <m/>
    <n v="-35280.129999999997"/>
    <n v="-35280.129999999997"/>
    <s v="Private Equity Fund"/>
    <n v="0"/>
    <n v="0"/>
    <m/>
    <m/>
    <m/>
    <m/>
    <m/>
    <m/>
    <m/>
    <m/>
    <m/>
    <m/>
  </r>
  <r>
    <x v="221"/>
    <x v="6"/>
    <s v="Series 2a"/>
    <m/>
    <m/>
    <m/>
    <n v="35280.129999999997"/>
    <m/>
    <m/>
    <m/>
    <m/>
    <n v="35280.129999999997"/>
    <m/>
    <n v="35280.129999999997"/>
    <n v="35280.129999999997"/>
    <s v="Private Equity Fund"/>
    <n v="0"/>
    <n v="0"/>
    <m/>
    <m/>
    <m/>
    <m/>
    <m/>
    <m/>
    <m/>
    <m/>
    <m/>
    <m/>
  </r>
  <r>
    <x v="222"/>
    <x v="6"/>
    <s v="Series 2a"/>
    <n v="328563.52"/>
    <m/>
    <m/>
    <m/>
    <m/>
    <m/>
    <m/>
    <m/>
    <n v="0"/>
    <m/>
    <n v="0"/>
    <n v="0"/>
    <s v="Private Equity Fund"/>
    <n v="5.0391000000000003E-3"/>
    <n v="7.1582700000000004E-3"/>
    <m/>
    <m/>
    <m/>
    <m/>
    <m/>
    <m/>
    <m/>
    <m/>
    <m/>
    <m/>
  </r>
  <r>
    <x v="189"/>
    <x v="6"/>
    <s v="Series 2a"/>
    <n v="344976.14"/>
    <m/>
    <m/>
    <m/>
    <m/>
    <m/>
    <m/>
    <m/>
    <n v="0"/>
    <m/>
    <n v="0"/>
    <n v="0"/>
    <s v="Private Equity Fund"/>
    <m/>
    <n v="1.005461E-2"/>
    <m/>
    <m/>
    <m/>
    <m/>
    <m/>
    <m/>
    <m/>
    <m/>
    <m/>
    <m/>
  </r>
  <r>
    <x v="190"/>
    <x v="6"/>
    <s v="Series 2a"/>
    <n v="345974.85"/>
    <m/>
    <m/>
    <m/>
    <m/>
    <m/>
    <m/>
    <m/>
    <n v="0"/>
    <m/>
    <n v="0"/>
    <n v="0"/>
    <s v="Private Equity Fund"/>
    <m/>
    <n v="1.0230860000000001E-2"/>
    <m/>
    <m/>
    <m/>
    <m/>
    <m/>
    <m/>
    <m/>
    <m/>
    <m/>
    <m/>
  </r>
  <r>
    <x v="223"/>
    <x v="6"/>
    <s v="Series 2a"/>
    <n v="348885.47"/>
    <m/>
    <m/>
    <m/>
    <m/>
    <m/>
    <m/>
    <m/>
    <n v="0"/>
    <m/>
    <n v="0"/>
    <n v="0"/>
    <s v="Private Equity Fund"/>
    <n v="1.33508E-3"/>
    <n v="1.0744490000000001E-2"/>
    <m/>
    <m/>
    <m/>
    <m/>
    <m/>
    <m/>
    <m/>
    <m/>
    <m/>
    <m/>
  </r>
  <r>
    <x v="192"/>
    <x v="6"/>
    <s v="Series 2a"/>
    <n v="346195.28"/>
    <m/>
    <m/>
    <m/>
    <m/>
    <m/>
    <m/>
    <m/>
    <n v="0"/>
    <m/>
    <n v="0"/>
    <n v="0"/>
    <s v="Private Equity Fund"/>
    <m/>
    <n v="1.0269760000000001E-2"/>
    <m/>
    <m/>
    <m/>
    <m/>
    <m/>
    <m/>
    <m/>
    <m/>
    <m/>
    <m/>
  </r>
  <r>
    <x v="193"/>
    <x v="6"/>
    <s v="Series 2a"/>
    <n v="349820.43"/>
    <m/>
    <m/>
    <m/>
    <m/>
    <m/>
    <m/>
    <m/>
    <n v="0"/>
    <m/>
    <n v="0"/>
    <n v="0"/>
    <s v="Private Equity Fund"/>
    <m/>
    <n v="1.0909489999999999E-2"/>
    <m/>
    <m/>
    <m/>
    <m/>
    <m/>
    <m/>
    <m/>
    <m/>
    <m/>
    <m/>
  </r>
  <r>
    <x v="224"/>
    <x v="6"/>
    <s v="Series 2a"/>
    <n v="347965.02"/>
    <m/>
    <m/>
    <m/>
    <m/>
    <m/>
    <m/>
    <m/>
    <n v="0"/>
    <m/>
    <n v="0"/>
    <n v="0"/>
    <s v="Private Equity Fund"/>
    <n v="1.36046E-3"/>
    <n v="1.0505250000000001E-2"/>
    <m/>
    <m/>
    <m/>
    <m/>
    <m/>
    <m/>
    <m/>
    <m/>
    <m/>
    <m/>
  </r>
  <r>
    <x v="195"/>
    <x v="6"/>
    <s v="Series 2a"/>
    <n v="344354.46"/>
    <m/>
    <m/>
    <m/>
    <m/>
    <m/>
    <m/>
    <m/>
    <n v="0"/>
    <m/>
    <n v="0"/>
    <n v="0"/>
    <s v="Private Equity Fund"/>
    <n v="0"/>
    <n v="9.9448999999999996E-3"/>
    <m/>
    <m/>
    <m/>
    <m/>
    <m/>
    <m/>
    <m/>
    <m/>
    <m/>
    <m/>
  </r>
  <r>
    <x v="196"/>
    <x v="6"/>
    <s v="Series 2a"/>
    <n v="341681.16"/>
    <m/>
    <m/>
    <m/>
    <m/>
    <m/>
    <m/>
    <m/>
    <n v="0"/>
    <m/>
    <n v="0"/>
    <n v="0"/>
    <s v="Private Equity Fund"/>
    <n v="0"/>
    <n v="9.4731499999999996E-3"/>
    <m/>
    <m/>
    <m/>
    <m/>
    <m/>
    <m/>
    <m/>
    <m/>
    <m/>
    <m/>
  </r>
  <r>
    <x v="225"/>
    <x v="6"/>
    <s v="Series 2a"/>
    <n v="328745.86"/>
    <m/>
    <m/>
    <m/>
    <m/>
    <m/>
    <m/>
    <m/>
    <n v="0"/>
    <e v="#DIV/0!"/>
    <n v="0"/>
    <n v="0"/>
    <s v="Private Equity Fund"/>
    <n v="1.26103E-3"/>
    <n v="7.1904500000000001E-3"/>
    <m/>
    <m/>
    <m/>
    <m/>
    <m/>
    <m/>
    <m/>
    <m/>
    <m/>
    <m/>
  </r>
  <r>
    <x v="198"/>
    <x v="6"/>
    <s v="Series 2a"/>
    <n v="325524.93300000002"/>
    <m/>
    <n v="0.28799999999999998"/>
    <m/>
    <n v="0"/>
    <n v="0"/>
    <n v="0"/>
    <m/>
    <n v="0"/>
    <e v="#DIV/0!"/>
    <n v="-325524.93300000002"/>
    <n v="-325524.93300000002"/>
    <s v="Private Equity Fund"/>
    <n v="1.7120876354672491E-3"/>
    <n v="6.6220469999999972E-3"/>
    <m/>
    <m/>
    <m/>
    <m/>
    <m/>
    <m/>
    <m/>
    <m/>
    <m/>
    <m/>
  </r>
  <r>
    <x v="211"/>
    <x v="6"/>
    <s v="Series 2b"/>
    <m/>
    <m/>
    <m/>
    <n v="68000"/>
    <m/>
    <m/>
    <m/>
    <m/>
    <n v="68000"/>
    <m/>
    <n v="68000"/>
    <n v="68000"/>
    <s v="Private Equity Fund"/>
    <n v="0"/>
    <n v="0"/>
    <m/>
    <m/>
    <m/>
    <m/>
    <m/>
    <m/>
    <m/>
    <m/>
    <m/>
    <m/>
  </r>
  <r>
    <x v="211"/>
    <x v="6"/>
    <s v="Series 2b"/>
    <m/>
    <m/>
    <m/>
    <n v="388481"/>
    <m/>
    <m/>
    <m/>
    <m/>
    <n v="388481"/>
    <m/>
    <n v="388481"/>
    <n v="388481"/>
    <s v="Private Equity Fund"/>
    <n v="0"/>
    <n v="0"/>
    <m/>
    <m/>
    <m/>
    <m/>
    <m/>
    <m/>
    <m/>
    <m/>
    <m/>
    <m/>
  </r>
  <r>
    <x v="212"/>
    <x v="6"/>
    <s v="Series 2b"/>
    <m/>
    <m/>
    <m/>
    <n v="161000"/>
    <m/>
    <m/>
    <m/>
    <m/>
    <n v="161000"/>
    <m/>
    <n v="161000"/>
    <n v="161000"/>
    <s v="Private Equity Fund"/>
    <n v="0"/>
    <n v="0"/>
    <m/>
    <m/>
    <m/>
    <m/>
    <m/>
    <m/>
    <m/>
    <m/>
    <m/>
    <m/>
  </r>
  <r>
    <x v="175"/>
    <x v="6"/>
    <s v="Series 2b"/>
    <n v="614641.5"/>
    <m/>
    <m/>
    <m/>
    <m/>
    <m/>
    <m/>
    <m/>
    <n v="0"/>
    <m/>
    <n v="0"/>
    <n v="0"/>
    <s v="Private Equity Fund"/>
    <n v="2.7326399999999997E-3"/>
    <n v="0"/>
    <m/>
    <m/>
    <m/>
    <m/>
    <m/>
    <m/>
    <m/>
    <m/>
    <m/>
    <m/>
  </r>
  <r>
    <x v="213"/>
    <x v="6"/>
    <s v="Series 2b"/>
    <n v="609263.80000000005"/>
    <m/>
    <m/>
    <m/>
    <m/>
    <m/>
    <m/>
    <m/>
    <n v="0"/>
    <m/>
    <n v="0"/>
    <n v="0"/>
    <s v="Private Equity Fund"/>
    <n v="2.7104899999999999E-3"/>
    <n v="0"/>
    <m/>
    <m/>
    <m/>
    <m/>
    <m/>
    <m/>
    <m/>
    <m/>
    <m/>
    <m/>
  </r>
  <r>
    <x v="214"/>
    <x v="6"/>
    <s v="Series 2b"/>
    <n v="621724.47"/>
    <m/>
    <m/>
    <m/>
    <m/>
    <m/>
    <m/>
    <m/>
    <n v="0"/>
    <m/>
    <n v="0"/>
    <n v="0"/>
    <s v="Private Equity Fund"/>
    <n v="3.4933000000000004E-3"/>
    <n v="7.4885000000000001E-4"/>
    <m/>
    <m/>
    <m/>
    <m/>
    <m/>
    <m/>
    <m/>
    <m/>
    <m/>
    <m/>
  </r>
  <r>
    <x v="215"/>
    <x v="6"/>
    <s v="Series 2b"/>
    <m/>
    <m/>
    <m/>
    <n v="94000"/>
    <m/>
    <m/>
    <m/>
    <m/>
    <n v="94000"/>
    <m/>
    <n v="94000"/>
    <n v="94000"/>
    <s v="Private Equity Fund"/>
    <n v="0"/>
    <n v="0"/>
    <m/>
    <m/>
    <m/>
    <m/>
    <m/>
    <m/>
    <m/>
    <m/>
    <m/>
    <m/>
  </r>
  <r>
    <x v="178"/>
    <x v="6"/>
    <s v="Series 2b"/>
    <n v="746224.89"/>
    <m/>
    <m/>
    <m/>
    <m/>
    <m/>
    <m/>
    <m/>
    <n v="0"/>
    <m/>
    <n v="0"/>
    <n v="0"/>
    <s v="Private Equity Fund"/>
    <n v="3.1684199999999999E-3"/>
    <n v="5.8560499999999998E-3"/>
    <m/>
    <m/>
    <m/>
    <m/>
    <m/>
    <m/>
    <m/>
    <m/>
    <m/>
    <m/>
  </r>
  <r>
    <x v="179"/>
    <x v="6"/>
    <s v="Series 2b"/>
    <n v="720676.68"/>
    <m/>
    <m/>
    <m/>
    <m/>
    <m/>
    <m/>
    <m/>
    <n v="0"/>
    <m/>
    <n v="0"/>
    <n v="0"/>
    <s v="Private Equity Fund"/>
    <n v="5.4525699999999995E-3"/>
    <n v="1.6227699999999999E-3"/>
    <m/>
    <m/>
    <m/>
    <m/>
    <m/>
    <m/>
    <m/>
    <m/>
    <m/>
    <m/>
  </r>
  <r>
    <x v="216"/>
    <x v="6"/>
    <s v="Series 2b"/>
    <m/>
    <m/>
    <m/>
    <n v="108000"/>
    <m/>
    <m/>
    <m/>
    <m/>
    <n v="108000"/>
    <m/>
    <n v="108000"/>
    <n v="108000"/>
    <s v="Private Equity Fund"/>
    <n v="0"/>
    <n v="0"/>
    <m/>
    <m/>
    <m/>
    <m/>
    <m/>
    <m/>
    <m/>
    <m/>
    <m/>
    <m/>
  </r>
  <r>
    <x v="217"/>
    <x v="6"/>
    <s v="Series 2b"/>
    <n v="831716.5"/>
    <m/>
    <m/>
    <m/>
    <m/>
    <m/>
    <m/>
    <m/>
    <n v="0"/>
    <m/>
    <n v="0"/>
    <n v="0"/>
    <s v="Private Equity Fund"/>
    <n v="5.8760000000000001E-3"/>
    <n v="2.1592099999999999E-3"/>
    <m/>
    <m/>
    <m/>
    <m/>
    <m/>
    <m/>
    <m/>
    <m/>
    <m/>
    <m/>
  </r>
  <r>
    <x v="218"/>
    <x v="6"/>
    <s v="Series 2b"/>
    <m/>
    <m/>
    <m/>
    <n v="180519"/>
    <m/>
    <m/>
    <m/>
    <m/>
    <n v="180519"/>
    <m/>
    <n v="180519"/>
    <n v="180519"/>
    <s v="Private Equity Fund"/>
    <n v="0"/>
    <n v="0"/>
    <m/>
    <m/>
    <m/>
    <m/>
    <m/>
    <m/>
    <m/>
    <m/>
    <m/>
    <m/>
  </r>
  <r>
    <x v="181"/>
    <x v="6"/>
    <s v="Series 2b"/>
    <n v="1015524.86"/>
    <m/>
    <m/>
    <m/>
    <m/>
    <m/>
    <m/>
    <m/>
    <n v="0"/>
    <m/>
    <n v="0"/>
    <n v="0"/>
    <s v="Private Equity Fund"/>
    <n v="7.9656399999999995E-3"/>
    <n v="2.73968E-3"/>
    <m/>
    <m/>
    <m/>
    <m/>
    <m/>
    <m/>
    <m/>
    <m/>
    <m/>
    <m/>
  </r>
  <r>
    <x v="182"/>
    <x v="6"/>
    <s v="Series 2b"/>
    <n v="1008111.71"/>
    <m/>
    <m/>
    <m/>
    <m/>
    <m/>
    <m/>
    <m/>
    <n v="0"/>
    <m/>
    <n v="0"/>
    <n v="0"/>
    <s v="Private Equity Fund"/>
    <n v="9.366600000000001E-3"/>
    <n v="1.4314799999999999E-3"/>
    <m/>
    <m/>
    <m/>
    <m/>
    <m/>
    <m/>
    <m/>
    <m/>
    <m/>
    <m/>
  </r>
  <r>
    <x v="183"/>
    <x v="6"/>
    <s v="Series 2b"/>
    <n v="906074.62"/>
    <m/>
    <m/>
    <m/>
    <m/>
    <m/>
    <m/>
    <m/>
    <n v="0"/>
    <m/>
    <n v="0"/>
    <n v="0"/>
    <s v="Private Equity Fund"/>
    <n v="9.683569999999999E-3"/>
    <n v="1.3229E-4"/>
    <m/>
    <m/>
    <m/>
    <m/>
    <m/>
    <m/>
    <m/>
    <m/>
    <m/>
    <m/>
  </r>
  <r>
    <x v="219"/>
    <x v="6"/>
    <s v="Series 2b"/>
    <m/>
    <m/>
    <m/>
    <m/>
    <m/>
    <n v="-94675"/>
    <m/>
    <m/>
    <n v="-94675"/>
    <m/>
    <n v="-94675"/>
    <n v="-94675"/>
    <s v="Private Equity Fund"/>
    <n v="0"/>
    <n v="0"/>
    <m/>
    <m/>
    <m/>
    <m/>
    <m/>
    <m/>
    <m/>
    <m/>
    <m/>
    <m/>
  </r>
  <r>
    <x v="219"/>
    <x v="6"/>
    <s v="Series 2b"/>
    <m/>
    <m/>
    <m/>
    <n v="94675"/>
    <m/>
    <m/>
    <m/>
    <m/>
    <n v="94675"/>
    <m/>
    <n v="94675"/>
    <n v="94675"/>
    <s v="Private Equity Fund"/>
    <n v="0"/>
    <n v="0"/>
    <m/>
    <m/>
    <m/>
    <m/>
    <m/>
    <m/>
    <m/>
    <m/>
    <m/>
    <m/>
  </r>
  <r>
    <x v="184"/>
    <x v="6"/>
    <s v="Series 2b"/>
    <n v="1001057.91"/>
    <m/>
    <m/>
    <m/>
    <m/>
    <m/>
    <m/>
    <m/>
    <n v="0"/>
    <m/>
    <n v="0"/>
    <n v="0"/>
    <s v="Private Equity Fund"/>
    <n v="1.113782E-2"/>
    <n v="1.8668999999999999E-4"/>
    <m/>
    <m/>
    <m/>
    <m/>
    <m/>
    <m/>
    <m/>
    <m/>
    <m/>
    <m/>
  </r>
  <r>
    <x v="220"/>
    <x v="6"/>
    <s v="Series 2b"/>
    <n v="1004684.36"/>
    <m/>
    <m/>
    <m/>
    <m/>
    <m/>
    <m/>
    <m/>
    <n v="0"/>
    <m/>
    <n v="0"/>
    <n v="0"/>
    <s v="Private Equity Fund"/>
    <n v="1.237824E-2"/>
    <n v="8.2664999999999995E-4"/>
    <m/>
    <m/>
    <m/>
    <m/>
    <m/>
    <m/>
    <m/>
    <m/>
    <m/>
    <m/>
  </r>
  <r>
    <x v="186"/>
    <x v="6"/>
    <s v="Series 2b"/>
    <n v="1004986.23"/>
    <m/>
    <m/>
    <m/>
    <m/>
    <m/>
    <m/>
    <m/>
    <n v="0"/>
    <m/>
    <n v="0"/>
    <n v="0"/>
    <s v="Private Equity Fund"/>
    <n v="1.237824E-2"/>
    <n v="8.7991999999999996E-4"/>
    <m/>
    <m/>
    <m/>
    <m/>
    <m/>
    <m/>
    <m/>
    <m/>
    <m/>
    <m/>
  </r>
  <r>
    <x v="187"/>
    <x v="6"/>
    <s v="Series 2b"/>
    <n v="1000215.98"/>
    <m/>
    <m/>
    <m/>
    <m/>
    <m/>
    <m/>
    <m/>
    <n v="0"/>
    <m/>
    <n v="0"/>
    <n v="0"/>
    <s v="Private Equity Fund"/>
    <n v="1.5019459999999998E-2"/>
    <n v="3.8109999999999999E-5"/>
    <m/>
    <m/>
    <m/>
    <m/>
    <m/>
    <m/>
    <m/>
    <m/>
    <m/>
    <m/>
  </r>
  <r>
    <x v="221"/>
    <x v="6"/>
    <s v="Series 2b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</r>
  <r>
    <x v="221"/>
    <x v="6"/>
    <s v="Series 2b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</r>
  <r>
    <x v="222"/>
    <x v="6"/>
    <s v="Series 2b"/>
    <n v="1140845.55"/>
    <m/>
    <m/>
    <m/>
    <m/>
    <m/>
    <m/>
    <m/>
    <n v="0"/>
    <m/>
    <n v="0"/>
    <n v="0"/>
    <s v="Private Equity Fund"/>
    <n v="1.7496879999999999E-2"/>
    <n v="2.4855099999999998E-2"/>
    <m/>
    <m/>
    <m/>
    <m/>
    <m/>
    <m/>
    <m/>
    <m/>
    <m/>
    <m/>
  </r>
  <r>
    <x v="189"/>
    <x v="6"/>
    <s v="Series 2b"/>
    <n v="1197837"/>
    <m/>
    <m/>
    <m/>
    <m/>
    <m/>
    <m/>
    <m/>
    <n v="0"/>
    <m/>
    <n v="0"/>
    <n v="0"/>
    <s v="Private Equity Fund"/>
    <m/>
    <n v="3.4912410000000005E-2"/>
    <m/>
    <m/>
    <m/>
    <m/>
    <m/>
    <m/>
    <m/>
    <m/>
    <m/>
    <m/>
  </r>
  <r>
    <x v="190"/>
    <x v="6"/>
    <s v="Series 2b"/>
    <n v="1201304.75"/>
    <m/>
    <m/>
    <m/>
    <m/>
    <m/>
    <m/>
    <m/>
    <n v="0"/>
    <m/>
    <n v="0"/>
    <n v="0"/>
    <s v="Private Equity Fund"/>
    <m/>
    <n v="3.552437E-2"/>
    <m/>
    <m/>
    <m/>
    <m/>
    <m/>
    <m/>
    <m/>
    <m/>
    <m/>
    <m/>
  </r>
  <r>
    <x v="223"/>
    <x v="6"/>
    <s v="Series 2b"/>
    <n v="1211407.8700000001"/>
    <m/>
    <m/>
    <m/>
    <m/>
    <m/>
    <m/>
    <m/>
    <n v="0"/>
    <m/>
    <n v="0"/>
    <n v="0"/>
    <s v="Private Equity Fund"/>
    <n v="4.6356800000000005E-3"/>
    <n v="3.7307269999999997E-2"/>
    <m/>
    <m/>
    <m/>
    <m/>
    <m/>
    <m/>
    <m/>
    <m/>
    <m/>
    <m/>
  </r>
  <r>
    <x v="192"/>
    <x v="6"/>
    <s v="Series 2b"/>
    <n v="1202071.08"/>
    <m/>
    <m/>
    <m/>
    <m/>
    <m/>
    <m/>
    <m/>
    <n v="0"/>
    <m/>
    <n v="0"/>
    <n v="0"/>
    <s v="Private Equity Fund"/>
    <m/>
    <n v="3.56596E-2"/>
    <m/>
    <m/>
    <m/>
    <m/>
    <m/>
    <m/>
    <m/>
    <m/>
    <m/>
    <m/>
  </r>
  <r>
    <x v="193"/>
    <x v="6"/>
    <s v="Series 2b"/>
    <n v="1214658.58"/>
    <m/>
    <m/>
    <m/>
    <m/>
    <m/>
    <m/>
    <m/>
    <n v="0"/>
    <m/>
    <n v="0"/>
    <n v="0"/>
    <s v="Private Equity Fund"/>
    <m/>
    <n v="3.788093E-2"/>
    <m/>
    <m/>
    <m/>
    <m/>
    <m/>
    <m/>
    <m/>
    <m/>
    <m/>
    <m/>
  </r>
  <r>
    <x v="224"/>
    <x v="6"/>
    <s v="Series 2b"/>
    <n v="1207985.23"/>
    <m/>
    <m/>
    <m/>
    <m/>
    <m/>
    <m/>
    <m/>
    <n v="0"/>
    <m/>
    <n v="0"/>
    <n v="0"/>
    <s v="Private Equity Fund"/>
    <n v="4.7238100000000002E-3"/>
    <n v="3.6703279999999998E-2"/>
    <m/>
    <m/>
    <m/>
    <m/>
    <m/>
    <m/>
    <m/>
    <m/>
    <m/>
    <m/>
  </r>
  <r>
    <x v="195"/>
    <x v="6"/>
    <s v="Series 2b"/>
    <n v="1195679.56"/>
    <m/>
    <m/>
    <m/>
    <m/>
    <m/>
    <m/>
    <m/>
    <n v="0"/>
    <m/>
    <n v="0"/>
    <n v="0"/>
    <s v="Private Equity Fund"/>
    <n v="0"/>
    <n v="3.4531690000000004E-2"/>
    <m/>
    <m/>
    <m/>
    <m/>
    <m/>
    <m/>
    <m/>
    <m/>
    <m/>
    <m/>
  </r>
  <r>
    <x v="196"/>
    <x v="6"/>
    <s v="Series 2b"/>
    <n v="1186397.32"/>
    <m/>
    <m/>
    <m/>
    <m/>
    <m/>
    <m/>
    <m/>
    <n v="0"/>
    <m/>
    <n v="0"/>
    <n v="0"/>
    <s v="Private Equity Fund"/>
    <n v="0"/>
    <n v="3.2893640000000002E-2"/>
    <m/>
    <m/>
    <m/>
    <m/>
    <m/>
    <m/>
    <m/>
    <m/>
    <m/>
    <m/>
  </r>
  <r>
    <x v="225"/>
    <x v="6"/>
    <s v="Series 2b"/>
    <n v="1141478.79"/>
    <m/>
    <m/>
    <m/>
    <m/>
    <m/>
    <m/>
    <m/>
    <n v="0"/>
    <e v="#DIV/0!"/>
    <n v="0"/>
    <n v="0"/>
    <s v="Private Equity Fund"/>
    <n v="4.3785600000000001E-3"/>
    <n v="2.4966849999999999E-2"/>
    <m/>
    <m/>
    <m/>
    <m/>
    <m/>
    <m/>
    <m/>
    <m/>
    <m/>
    <m/>
  </r>
  <r>
    <x v="198"/>
    <x v="6"/>
    <s v="Series 2b"/>
    <n v="1130299.3389999999"/>
    <m/>
    <n v="1"/>
    <m/>
    <n v="0"/>
    <n v="0"/>
    <n v="0"/>
    <m/>
    <n v="0"/>
    <e v="#DIV/0!"/>
    <n v="-1130299.3389999999"/>
    <n v="-1130299.3389999999"/>
    <s v="Private Equity Fund"/>
    <n v="5.9447563034687187E-3"/>
    <n v="2.299400100000001E-2"/>
    <m/>
    <m/>
    <m/>
    <m/>
    <m/>
    <m/>
    <m/>
    <m/>
    <m/>
    <m/>
  </r>
  <r>
    <x v="211"/>
    <x v="6"/>
    <s v="Series 2c"/>
    <m/>
    <m/>
    <m/>
    <n v="340000"/>
    <m/>
    <m/>
    <m/>
    <m/>
    <n v="340000"/>
    <m/>
    <n v="340000"/>
    <n v="340000"/>
    <s v="Private Equity Fund"/>
    <n v="0"/>
    <n v="0"/>
    <m/>
    <m/>
    <m/>
    <m/>
    <m/>
    <m/>
    <m/>
    <m/>
    <m/>
    <m/>
  </r>
  <r>
    <x v="211"/>
    <x v="6"/>
    <s v="Series 2c"/>
    <m/>
    <m/>
    <m/>
    <n v="1942405"/>
    <m/>
    <m/>
    <m/>
    <m/>
    <n v="1942405"/>
    <m/>
    <n v="1942405"/>
    <n v="1942405"/>
    <s v="Private Equity Fund"/>
    <n v="0"/>
    <n v="0"/>
    <m/>
    <m/>
    <m/>
    <m/>
    <m/>
    <m/>
    <m/>
    <m/>
    <m/>
    <m/>
  </r>
  <r>
    <x v="212"/>
    <x v="6"/>
    <s v="Series 2c"/>
    <m/>
    <m/>
    <m/>
    <n v="805000"/>
    <m/>
    <m/>
    <m/>
    <m/>
    <n v="805000"/>
    <m/>
    <n v="805000"/>
    <n v="805000"/>
    <s v="Private Equity Fund"/>
    <n v="0"/>
    <n v="0"/>
    <m/>
    <m/>
    <m/>
    <m/>
    <m/>
    <m/>
    <m/>
    <m/>
    <m/>
    <m/>
  </r>
  <r>
    <x v="175"/>
    <x v="6"/>
    <s v="Series 2c"/>
    <n v="3077761.88"/>
    <m/>
    <m/>
    <m/>
    <m/>
    <m/>
    <m/>
    <m/>
    <n v="0"/>
    <m/>
    <n v="0"/>
    <n v="0"/>
    <s v="Private Equity Fund"/>
    <n v="9.1087999999999985E-3"/>
    <n v="0"/>
    <m/>
    <m/>
    <m/>
    <m/>
    <m/>
    <m/>
    <m/>
    <m/>
    <m/>
    <m/>
  </r>
  <r>
    <x v="213"/>
    <x v="6"/>
    <s v="Series 2c"/>
    <n v="3049268.25"/>
    <m/>
    <m/>
    <m/>
    <m/>
    <m/>
    <m/>
    <m/>
    <n v="0"/>
    <m/>
    <n v="0"/>
    <n v="0"/>
    <s v="Private Equity Fund"/>
    <n v="9.0349599999999999E-3"/>
    <n v="0"/>
    <m/>
    <m/>
    <m/>
    <m/>
    <m/>
    <m/>
    <m/>
    <m/>
    <m/>
    <m/>
  </r>
  <r>
    <x v="214"/>
    <x v="6"/>
    <s v="Series 2c"/>
    <n v="3113612.56"/>
    <m/>
    <m/>
    <m/>
    <m/>
    <m/>
    <m/>
    <m/>
    <n v="0"/>
    <m/>
    <n v="0"/>
    <n v="0"/>
    <s v="Private Equity Fund"/>
    <n v="1.164433E-2"/>
    <n v="2.2789200000000003E-3"/>
    <m/>
    <m/>
    <m/>
    <m/>
    <m/>
    <m/>
    <m/>
    <m/>
    <m/>
    <m/>
  </r>
  <r>
    <x v="215"/>
    <x v="6"/>
    <s v="Series 2c"/>
    <m/>
    <m/>
    <m/>
    <n v="470000"/>
    <m/>
    <m/>
    <m/>
    <m/>
    <n v="470000"/>
    <m/>
    <n v="470000"/>
    <n v="470000"/>
    <s v="Private Equity Fund"/>
    <n v="0"/>
    <n v="0"/>
    <m/>
    <m/>
    <m/>
    <m/>
    <m/>
    <m/>
    <m/>
    <m/>
    <m/>
    <m/>
  </r>
  <r>
    <x v="178"/>
    <x v="6"/>
    <s v="Series 2c"/>
    <n v="3747763.06"/>
    <m/>
    <m/>
    <m/>
    <m/>
    <m/>
    <m/>
    <m/>
    <n v="0"/>
    <m/>
    <n v="0"/>
    <n v="0"/>
    <s v="Private Equity Fund"/>
    <n v="1.0561389999999999E-2"/>
    <n v="1.4879950000000001E-2"/>
    <m/>
    <m/>
    <m/>
    <m/>
    <m/>
    <m/>
    <m/>
    <m/>
    <m/>
    <m/>
  </r>
  <r>
    <x v="179"/>
    <x v="6"/>
    <s v="Series 2c"/>
    <n v="3612433.36"/>
    <m/>
    <m/>
    <m/>
    <m/>
    <m/>
    <m/>
    <m/>
    <n v="0"/>
    <m/>
    <n v="0"/>
    <n v="0"/>
    <s v="Private Equity Fund"/>
    <n v="1.8175230000000001E-2"/>
    <n v="4.7850699999999998E-3"/>
    <m/>
    <m/>
    <m/>
    <m/>
    <m/>
    <m/>
    <m/>
    <m/>
    <m/>
    <m/>
  </r>
  <r>
    <x v="216"/>
    <x v="6"/>
    <s v="Series 2c"/>
    <m/>
    <m/>
    <m/>
    <n v="540000"/>
    <m/>
    <m/>
    <m/>
    <m/>
    <n v="540000"/>
    <m/>
    <n v="540000"/>
    <n v="540000"/>
    <s v="Private Equity Fund"/>
    <n v="0"/>
    <n v="0"/>
    <m/>
    <m/>
    <m/>
    <m/>
    <m/>
    <m/>
    <m/>
    <m/>
    <m/>
    <m/>
  </r>
  <r>
    <x v="217"/>
    <x v="6"/>
    <s v="Series 2c"/>
    <n v="4169837.38"/>
    <m/>
    <m/>
    <m/>
    <m/>
    <m/>
    <m/>
    <m/>
    <n v="0"/>
    <m/>
    <n v="0"/>
    <n v="0"/>
    <s v="Private Equity Fund"/>
    <n v="1.9586669999999997E-2"/>
    <n v="6.2984700000000005E-3"/>
    <m/>
    <m/>
    <m/>
    <m/>
    <m/>
    <m/>
    <m/>
    <m/>
    <m/>
    <m/>
  </r>
  <r>
    <x v="218"/>
    <x v="6"/>
    <s v="Series 2c"/>
    <m/>
    <m/>
    <m/>
    <n v="902595"/>
    <m/>
    <m/>
    <m/>
    <m/>
    <n v="902595"/>
    <m/>
    <n v="902595"/>
    <n v="902595"/>
    <s v="Private Equity Fund"/>
    <n v="0"/>
    <n v="0"/>
    <m/>
    <m/>
    <m/>
    <m/>
    <m/>
    <m/>
    <m/>
    <m/>
    <m/>
    <m/>
  </r>
  <r>
    <x v="181"/>
    <x v="6"/>
    <s v="Series 2c"/>
    <n v="5096233.63"/>
    <m/>
    <m/>
    <m/>
    <m/>
    <m/>
    <m/>
    <m/>
    <n v="0"/>
    <m/>
    <n v="0"/>
    <n v="0"/>
    <s v="Private Equity Fund"/>
    <n v="2.655213E-2"/>
    <n v="8.3681399999999996E-3"/>
    <m/>
    <m/>
    <m/>
    <m/>
    <m/>
    <m/>
    <m/>
    <m/>
    <m/>
    <m/>
  </r>
  <r>
    <x v="182"/>
    <x v="6"/>
    <s v="Series 2c"/>
    <n v="5055164.1100000003"/>
    <m/>
    <m/>
    <m/>
    <m/>
    <m/>
    <m/>
    <m/>
    <n v="0"/>
    <m/>
    <n v="0"/>
    <n v="0"/>
    <s v="Private Equity Fund"/>
    <n v="3.1221990000000002E-2"/>
    <n v="4.7968799999999999E-3"/>
    <m/>
    <m/>
    <m/>
    <m/>
    <m/>
    <m/>
    <m/>
    <m/>
    <m/>
    <m/>
  </r>
  <r>
    <x v="183"/>
    <x v="6"/>
    <s v="Series 2c"/>
    <n v="4542251.0599999996"/>
    <m/>
    <m/>
    <m/>
    <m/>
    <m/>
    <m/>
    <m/>
    <n v="0"/>
    <m/>
    <n v="0"/>
    <n v="0"/>
    <s v="Private Equity Fund"/>
    <n v="3.2278569999999999E-2"/>
    <n v="1.3587899999999999E-3"/>
    <m/>
    <m/>
    <m/>
    <m/>
    <m/>
    <m/>
    <m/>
    <m/>
    <m/>
    <m/>
  </r>
  <r>
    <x v="219"/>
    <x v="6"/>
    <s v="Series 2c"/>
    <m/>
    <m/>
    <m/>
    <m/>
    <m/>
    <n v="-473375"/>
    <m/>
    <m/>
    <n v="-473375"/>
    <m/>
    <n v="-473375"/>
    <n v="-473375"/>
    <s v="Private Equity Fund"/>
    <n v="0"/>
    <n v="0"/>
    <m/>
    <m/>
    <m/>
    <m/>
    <m/>
    <m/>
    <m/>
    <m/>
    <m/>
    <m/>
  </r>
  <r>
    <x v="219"/>
    <x v="6"/>
    <s v="Series 2c"/>
    <m/>
    <m/>
    <m/>
    <n v="473375"/>
    <m/>
    <m/>
    <m/>
    <m/>
    <n v="473375"/>
    <m/>
    <n v="473375"/>
    <n v="473375"/>
    <s v="Private Equity Fund"/>
    <n v="0"/>
    <n v="0"/>
    <m/>
    <m/>
    <m/>
    <m/>
    <m/>
    <m/>
    <m/>
    <m/>
    <m/>
    <m/>
  </r>
  <r>
    <x v="184"/>
    <x v="6"/>
    <s v="Series 2c"/>
    <n v="5019706.46"/>
    <m/>
    <m/>
    <m/>
    <m/>
    <m/>
    <m/>
    <m/>
    <n v="0"/>
    <m/>
    <n v="0"/>
    <n v="0"/>
    <s v="Private Equity Fund"/>
    <n v="3.7126079999999999E-2"/>
    <n v="1.71361E-3"/>
    <m/>
    <m/>
    <m/>
    <m/>
    <m/>
    <m/>
    <m/>
    <m/>
    <m/>
    <m/>
  </r>
  <r>
    <x v="220"/>
    <x v="6"/>
    <s v="Series 2c"/>
    <n v="5041233.95"/>
    <m/>
    <m/>
    <m/>
    <m/>
    <m/>
    <m/>
    <m/>
    <n v="0"/>
    <m/>
    <n v="0"/>
    <n v="0"/>
    <s v="Private Equity Fund"/>
    <n v="4.12608E-2"/>
    <n v="3.5855599999999998E-3"/>
    <m/>
    <m/>
    <m/>
    <m/>
    <m/>
    <m/>
    <m/>
    <m/>
    <m/>
    <m/>
  </r>
  <r>
    <x v="186"/>
    <x v="6"/>
    <s v="Series 2c"/>
    <n v="5042870.33"/>
    <m/>
    <m/>
    <m/>
    <m/>
    <m/>
    <m/>
    <m/>
    <n v="0"/>
    <m/>
    <n v="0"/>
    <n v="0"/>
    <s v="Private Equity Fund"/>
    <n v="4.12608E-2"/>
    <n v="3.7278599999999999E-3"/>
    <m/>
    <m/>
    <m/>
    <m/>
    <m/>
    <m/>
    <m/>
    <m/>
    <m/>
    <m/>
  </r>
  <r>
    <x v="187"/>
    <x v="6"/>
    <s v="Series 2c"/>
    <n v="5021104.7300000004"/>
    <m/>
    <m/>
    <m/>
    <m/>
    <m/>
    <m/>
    <m/>
    <n v="0"/>
    <m/>
    <n v="0"/>
    <n v="0"/>
    <s v="Private Equity Fund"/>
    <n v="5.0064879999999999E-2"/>
    <n v="1.83519E-3"/>
    <m/>
    <m/>
    <m/>
    <m/>
    <m/>
    <m/>
    <m/>
    <m/>
    <m/>
    <m/>
  </r>
  <r>
    <x v="221"/>
    <x v="6"/>
    <s v="Series 2c"/>
    <m/>
    <m/>
    <m/>
    <m/>
    <m/>
    <n v="-612502.18999999994"/>
    <m/>
    <m/>
    <n v="-612502.18999999994"/>
    <m/>
    <n v="-612502.18999999994"/>
    <n v="-612502.18999999994"/>
    <s v="Private Equity Fund"/>
    <n v="0"/>
    <n v="0"/>
    <m/>
    <m/>
    <m/>
    <m/>
    <m/>
    <m/>
    <m/>
    <m/>
    <m/>
    <m/>
  </r>
  <r>
    <x v="221"/>
    <x v="6"/>
    <s v="Series 2c"/>
    <m/>
    <m/>
    <m/>
    <n v="612502.18999999994"/>
    <m/>
    <m/>
    <m/>
    <m/>
    <n v="612502.18999999994"/>
    <m/>
    <n v="612502.18999999994"/>
    <n v="612502.18999999994"/>
    <s v="Private Equity Fund"/>
    <n v="0"/>
    <n v="0"/>
    <m/>
    <m/>
    <m/>
    <m/>
    <m/>
    <m/>
    <m/>
    <m/>
    <m/>
    <m/>
  </r>
  <r>
    <x v="222"/>
    <x v="6"/>
    <s v="Series 2c"/>
    <n v="5785865.9000000004"/>
    <m/>
    <m/>
    <m/>
    <m/>
    <m/>
    <m/>
    <m/>
    <n v="0"/>
    <m/>
    <n v="0"/>
    <n v="0"/>
    <s v="Private Equity Fund"/>
    <n v="5.8419650000000004E-2"/>
    <n v="6.8336160000000007E-2"/>
    <m/>
    <m/>
    <m/>
    <m/>
    <m/>
    <m/>
    <m/>
    <m/>
    <m/>
    <m/>
  </r>
  <r>
    <x v="189"/>
    <x v="6"/>
    <s v="Series 2c"/>
    <n v="6096843.3799999999"/>
    <m/>
    <m/>
    <m/>
    <m/>
    <m/>
    <m/>
    <m/>
    <n v="0"/>
    <m/>
    <n v="0"/>
    <n v="0"/>
    <s v="Private Equity Fund"/>
    <m/>
    <n v="9.5377690000000001E-2"/>
    <m/>
    <m/>
    <m/>
    <m/>
    <m/>
    <m/>
    <m/>
    <m/>
    <m/>
    <m/>
  </r>
  <r>
    <x v="190"/>
    <x v="6"/>
    <s v="Series 2c"/>
    <n v="6117675.3200000003"/>
    <m/>
    <m/>
    <m/>
    <m/>
    <m/>
    <m/>
    <m/>
    <n v="0"/>
    <m/>
    <n v="0"/>
    <n v="0"/>
    <s v="Private Equity Fund"/>
    <m/>
    <n v="9.7189159999999997E-2"/>
    <m/>
    <m/>
    <m/>
    <m/>
    <m/>
    <m/>
    <m/>
    <m/>
    <m/>
    <m/>
  </r>
  <r>
    <x v="223"/>
    <x v="6"/>
    <s v="Series 2c"/>
    <n v="6174774.6799999997"/>
    <m/>
    <m/>
    <m/>
    <m/>
    <m/>
    <m/>
    <m/>
    <n v="0"/>
    <m/>
    <n v="0"/>
    <n v="0"/>
    <s v="Private Equity Fund"/>
    <n v="1.552394E-2"/>
    <n v="0.10215432000000001"/>
    <m/>
    <m/>
    <m/>
    <m/>
    <m/>
    <m/>
    <m/>
    <m/>
    <m/>
    <m/>
  </r>
  <r>
    <x v="192"/>
    <x v="6"/>
    <s v="Series 2c"/>
    <n v="6126735.2800000003"/>
    <m/>
    <m/>
    <m/>
    <m/>
    <m/>
    <m/>
    <m/>
    <n v="0"/>
    <m/>
    <n v="0"/>
    <n v="0"/>
    <s v="Private Equity Fund"/>
    <m/>
    <n v="9.7976979999999991E-2"/>
    <m/>
    <m/>
    <m/>
    <m/>
    <m/>
    <m/>
    <m/>
    <m/>
    <m/>
    <m/>
  </r>
  <r>
    <x v="193"/>
    <x v="6"/>
    <s v="Series 2c"/>
    <n v="6197267.9199999999"/>
    <m/>
    <m/>
    <m/>
    <m/>
    <m/>
    <m/>
    <m/>
    <n v="0"/>
    <m/>
    <n v="0"/>
    <n v="0"/>
    <s v="Private Equity Fund"/>
    <m/>
    <n v="0.10411025"/>
    <m/>
    <m/>
    <m/>
    <m/>
    <m/>
    <m/>
    <m/>
    <m/>
    <m/>
    <m/>
  </r>
  <r>
    <x v="224"/>
    <x v="6"/>
    <s v="Series 2c"/>
    <n v="6163410.1699999999"/>
    <m/>
    <m/>
    <m/>
    <m/>
    <m/>
    <m/>
    <m/>
    <n v="0"/>
    <m/>
    <n v="0"/>
    <n v="0"/>
    <s v="Private Equity Fund"/>
    <n v="1.583857E-2"/>
    <n v="0.10116610000000001"/>
    <m/>
    <m/>
    <m/>
    <m/>
    <m/>
    <m/>
    <m/>
    <m/>
    <m/>
    <m/>
  </r>
  <r>
    <x v="195"/>
    <x v="6"/>
    <s v="Series 2c"/>
    <n v="6099283.4000000004"/>
    <m/>
    <m/>
    <m/>
    <m/>
    <m/>
    <m/>
    <m/>
    <n v="0"/>
    <m/>
    <n v="0"/>
    <n v="0"/>
    <s v="Private Equity Fund"/>
    <n v="0"/>
    <n v="9.5589859999999999E-2"/>
    <m/>
    <m/>
    <m/>
    <m/>
    <m/>
    <m/>
    <m/>
    <m/>
    <m/>
    <m/>
  </r>
  <r>
    <x v="196"/>
    <x v="6"/>
    <s v="Series 2c"/>
    <n v="6044214.1799999997"/>
    <m/>
    <m/>
    <m/>
    <m/>
    <m/>
    <m/>
    <m/>
    <n v="0"/>
    <m/>
    <n v="0"/>
    <n v="0"/>
    <s v="Private Equity Fund"/>
    <n v="0"/>
    <n v="9.0801229999999997E-2"/>
    <m/>
    <m/>
    <m/>
    <m/>
    <m/>
    <m/>
    <m/>
    <m/>
    <m/>
    <m/>
  </r>
  <r>
    <x v="225"/>
    <x v="6"/>
    <s v="Series 2c"/>
    <n v="5810104.7400000002"/>
    <m/>
    <m/>
    <m/>
    <m/>
    <m/>
    <m/>
    <m/>
    <n v="0"/>
    <e v="#DIV/0!"/>
    <n v="0"/>
    <n v="0"/>
    <s v="Private Equity Fund"/>
    <n v="1.4706149999999999E-2"/>
    <n v="7.0443889999999995E-2"/>
    <m/>
    <m/>
    <m/>
    <m/>
    <m/>
    <m/>
    <m/>
    <m/>
    <m/>
    <m/>
  </r>
  <r>
    <x v="198"/>
    <x v="6"/>
    <s v="Series 2c"/>
    <n v="5744821.9167999998"/>
    <m/>
    <n v="5"/>
    <m/>
    <n v="0"/>
    <n v="0"/>
    <n v="0"/>
    <m/>
    <n v="0"/>
    <e v="#DIV/0!"/>
    <n v="-5744821.9167999998"/>
    <n v="-5744821.9167999998"/>
    <s v="Private Equity Fund"/>
    <n v="1.9960001762763684E-2"/>
    <n v="6.4767123199999999E-2"/>
    <m/>
    <m/>
    <m/>
    <m/>
    <m/>
    <m/>
    <m/>
    <m/>
    <m/>
    <m/>
  </r>
  <r>
    <x v="211"/>
    <x v="6"/>
    <s v="Series 2d"/>
    <m/>
    <m/>
    <m/>
    <n v="68000"/>
    <m/>
    <m/>
    <m/>
    <m/>
    <n v="68000"/>
    <m/>
    <n v="68000"/>
    <n v="68000"/>
    <s v="Private Equity Fund"/>
    <n v="0"/>
    <n v="0"/>
    <m/>
    <m/>
    <m/>
    <m/>
    <m/>
    <m/>
    <m/>
    <m/>
    <m/>
    <m/>
  </r>
  <r>
    <x v="211"/>
    <x v="6"/>
    <s v="Series 2d"/>
    <m/>
    <m/>
    <m/>
    <n v="388481"/>
    <m/>
    <m/>
    <m/>
    <m/>
    <n v="388481"/>
    <m/>
    <n v="388481"/>
    <n v="388481"/>
    <s v="Private Equity Fund"/>
    <n v="0"/>
    <n v="0"/>
    <m/>
    <m/>
    <m/>
    <m/>
    <m/>
    <m/>
    <m/>
    <m/>
    <m/>
    <m/>
  </r>
  <r>
    <x v="212"/>
    <x v="6"/>
    <s v="Series 2d"/>
    <m/>
    <m/>
    <m/>
    <n v="161000"/>
    <m/>
    <m/>
    <m/>
    <m/>
    <n v="161000"/>
    <m/>
    <n v="161000"/>
    <n v="161000"/>
    <s v="Private Equity Fund"/>
    <n v="0"/>
    <n v="0"/>
    <m/>
    <m/>
    <m/>
    <m/>
    <m/>
    <m/>
    <m/>
    <m/>
    <m/>
    <m/>
  </r>
  <r>
    <x v="175"/>
    <x v="6"/>
    <s v="Series 2d"/>
    <n v="617374.14"/>
    <m/>
    <m/>
    <m/>
    <m/>
    <m/>
    <m/>
    <m/>
    <n v="0"/>
    <m/>
    <n v="0"/>
    <n v="0"/>
    <s v="Private Equity Fund"/>
    <m/>
    <m/>
    <m/>
    <m/>
    <m/>
    <m/>
    <m/>
    <m/>
    <m/>
    <m/>
    <m/>
    <m/>
  </r>
  <r>
    <x v="213"/>
    <x v="6"/>
    <s v="Series 2d"/>
    <n v="611974.28"/>
    <m/>
    <m/>
    <m/>
    <m/>
    <m/>
    <m/>
    <m/>
    <n v="0"/>
    <m/>
    <n v="0"/>
    <n v="0"/>
    <s v="Private Equity Fund"/>
    <m/>
    <m/>
    <m/>
    <m/>
    <m/>
    <m/>
    <m/>
    <m/>
    <m/>
    <m/>
    <m/>
    <m/>
  </r>
  <r>
    <x v="214"/>
    <x v="6"/>
    <s v="Series 2d"/>
    <n v="625966.62"/>
    <m/>
    <m/>
    <m/>
    <m/>
    <m/>
    <m/>
    <m/>
    <n v="0"/>
    <m/>
    <n v="0"/>
    <n v="0"/>
    <s v="Private Equity Fund"/>
    <m/>
    <m/>
    <m/>
    <m/>
    <m/>
    <m/>
    <m/>
    <m/>
    <m/>
    <m/>
    <m/>
    <m/>
  </r>
  <r>
    <x v="215"/>
    <x v="6"/>
    <s v="Series 2d"/>
    <m/>
    <m/>
    <m/>
    <n v="94000"/>
    <m/>
    <m/>
    <m/>
    <m/>
    <n v="94000"/>
    <m/>
    <n v="94000"/>
    <n v="94000"/>
    <s v="Private Equity Fund"/>
    <n v="0"/>
    <n v="0"/>
    <m/>
    <m/>
    <m/>
    <m/>
    <m/>
    <m/>
    <m/>
    <m/>
    <m/>
    <m/>
  </r>
  <r>
    <x v="178"/>
    <x v="6"/>
    <s v="Series 2d"/>
    <n v="755531.46"/>
    <m/>
    <m/>
    <m/>
    <m/>
    <m/>
    <m/>
    <m/>
    <n v="0"/>
    <m/>
    <n v="0"/>
    <n v="0"/>
    <s v="Private Equity Fund"/>
    <m/>
    <m/>
    <m/>
    <m/>
    <m/>
    <m/>
    <m/>
    <m/>
    <m/>
    <m/>
    <m/>
    <m/>
  </r>
  <r>
    <x v="179"/>
    <x v="6"/>
    <s v="Series 2d"/>
    <n v="727752.02"/>
    <m/>
    <m/>
    <m/>
    <m/>
    <m/>
    <m/>
    <m/>
    <n v="0"/>
    <m/>
    <n v="0"/>
    <n v="0"/>
    <s v="Private Equity Fund"/>
    <m/>
    <m/>
    <m/>
    <m/>
    <m/>
    <m/>
    <m/>
    <m/>
    <m/>
    <m/>
    <m/>
    <m/>
  </r>
  <r>
    <x v="216"/>
    <x v="6"/>
    <s v="Series 2d"/>
    <m/>
    <m/>
    <m/>
    <n v="108000"/>
    <m/>
    <m/>
    <m/>
    <m/>
    <n v="108000"/>
    <m/>
    <n v="108000"/>
    <n v="108000"/>
    <s v="Private Equity Fund"/>
    <n v="0"/>
    <n v="0"/>
    <m/>
    <m/>
    <m/>
    <m/>
    <m/>
    <m/>
    <m/>
    <m/>
    <m/>
    <m/>
  </r>
  <r>
    <x v="217"/>
    <x v="6"/>
    <s v="Series 2d"/>
    <n v="839751.71"/>
    <m/>
    <m/>
    <m/>
    <m/>
    <m/>
    <m/>
    <m/>
    <n v="0"/>
    <m/>
    <n v="0"/>
    <n v="0"/>
    <s v="Private Equity Fund"/>
    <m/>
    <m/>
    <m/>
    <m/>
    <m/>
    <m/>
    <m/>
    <m/>
    <m/>
    <m/>
    <m/>
    <m/>
  </r>
  <r>
    <x v="218"/>
    <x v="6"/>
    <s v="Series 2d"/>
    <m/>
    <m/>
    <m/>
    <n v="484868"/>
    <m/>
    <m/>
    <m/>
    <m/>
    <n v="484868"/>
    <m/>
    <n v="484868"/>
    <n v="484868"/>
    <s v="Private Equity Fund"/>
    <n v="0"/>
    <n v="0"/>
    <m/>
    <m/>
    <m/>
    <m/>
    <m/>
    <m/>
    <m/>
    <m/>
    <m/>
    <m/>
  </r>
  <r>
    <x v="218"/>
    <x v="6"/>
    <s v="Series 2d"/>
    <m/>
    <m/>
    <m/>
    <n v="1195651"/>
    <m/>
    <m/>
    <m/>
    <m/>
    <n v="1195651"/>
    <m/>
    <n v="1195651"/>
    <n v="1195651"/>
    <s v="Private Equity Fund"/>
    <n v="0"/>
    <n v="0"/>
    <m/>
    <m/>
    <m/>
    <m/>
    <m/>
    <m/>
    <m/>
    <m/>
    <m/>
    <m/>
  </r>
  <r>
    <x v="181"/>
    <x v="6"/>
    <s v="Series 2d"/>
    <n v="2569309.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2"/>
    <x v="6"/>
    <s v="Series 2d"/>
    <n v="2580845.240000000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3"/>
    <x v="6"/>
    <s v="Series 2d"/>
    <n v="2320764.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19"/>
    <x v="6"/>
    <s v="Series 2d"/>
    <m/>
    <m/>
    <m/>
    <m/>
    <m/>
    <n v="-236688"/>
    <m/>
    <m/>
    <n v="-236688"/>
    <m/>
    <n v="-236688"/>
    <n v="-236688"/>
    <s v="Private Equity Fund"/>
    <n v="0"/>
    <n v="0"/>
    <m/>
    <m/>
    <m/>
    <m/>
    <m/>
    <m/>
    <m/>
    <m/>
    <m/>
    <m/>
  </r>
  <r>
    <x v="219"/>
    <x v="6"/>
    <s v="Series 2d"/>
    <m/>
    <m/>
    <m/>
    <n v="236688"/>
    <m/>
    <m/>
    <m/>
    <m/>
    <n v="236688"/>
    <m/>
    <n v="236688"/>
    <n v="236688"/>
    <s v="Private Equity Fund"/>
    <n v="0"/>
    <n v="0"/>
    <m/>
    <m/>
    <m/>
    <m/>
    <m/>
    <m/>
    <m/>
    <m/>
    <m/>
    <m/>
  </r>
  <r>
    <x v="184"/>
    <x v="6"/>
    <s v="Series 2d"/>
    <n v="2564526.819999999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0"/>
    <x v="6"/>
    <s v="Series 2d"/>
    <n v="2578293.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6"/>
    <x v="6"/>
    <s v="Series 2d"/>
    <n v="2576649.180000000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7"/>
    <x v="6"/>
    <s v="Series 2d"/>
    <n v="2569222.0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1"/>
    <x v="6"/>
    <s v="Series 2d"/>
    <m/>
    <m/>
    <m/>
    <m/>
    <m/>
    <n v="-306251.09999999998"/>
    <m/>
    <m/>
    <n v="-306251.09999999998"/>
    <m/>
    <n v="-306251.09999999998"/>
    <n v="-306251.09999999998"/>
    <s v="Private Equity Fund"/>
    <n v="0"/>
    <n v="0"/>
    <m/>
    <m/>
    <m/>
    <m/>
    <m/>
    <m/>
    <m/>
    <m/>
    <m/>
    <m/>
  </r>
  <r>
    <x v="221"/>
    <x v="6"/>
    <s v="Series 2d"/>
    <m/>
    <m/>
    <m/>
    <n v="306251.09999999998"/>
    <m/>
    <m/>
    <m/>
    <m/>
    <n v="306251.09999999998"/>
    <m/>
    <n v="306251.09999999998"/>
    <n v="306251.09999999998"/>
    <s v="Private Equity Fund"/>
    <n v="0"/>
    <n v="0"/>
    <m/>
    <m/>
    <m/>
    <m/>
    <m/>
    <m/>
    <m/>
    <m/>
    <m/>
    <m/>
  </r>
  <r>
    <x v="222"/>
    <x v="6"/>
    <s v="Series 2d"/>
    <n v="2991564.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9"/>
    <x v="6"/>
    <s v="Series 2d"/>
    <n v="3160851.65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0"/>
    <x v="6"/>
    <s v="Series 2d"/>
    <n v="3174516.09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3"/>
    <x v="6"/>
    <s v="Series 2d"/>
    <n v="3210859.7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2"/>
    <x v="6"/>
    <s v="Series 2d"/>
    <n v="3185409.77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3"/>
    <x v="6"/>
    <s v="Series 2d"/>
    <n v="3228860.44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4"/>
    <x v="6"/>
    <s v="Series 2d"/>
    <n v="3213747.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6"/>
    <s v="Series 2d"/>
    <n v="3181380.8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6"/>
    <x v="6"/>
    <s v="Series 2d"/>
    <n v="3146453.9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5"/>
    <x v="6"/>
    <s v="Series 2d"/>
    <n v="3029983.99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</r>
  <r>
    <x v="198"/>
    <x v="6"/>
    <s v="Series 2d"/>
    <n v="2989158.37"/>
    <m/>
    <n v="2.5"/>
    <m/>
    <n v="0"/>
    <n v="0"/>
    <n v="0"/>
    <m/>
    <n v="0"/>
    <e v="#DIV/0!"/>
    <n v="-2989158.37"/>
    <n v="-2989158.37"/>
    <s v="Private Equity Fund"/>
    <n v="0"/>
    <n v="0"/>
    <m/>
    <m/>
    <m/>
    <m/>
    <m/>
    <m/>
    <m/>
    <m/>
    <m/>
    <m/>
  </r>
  <r>
    <x v="218"/>
    <x v="6"/>
    <s v="Series 2e"/>
    <m/>
    <m/>
    <m/>
    <n v="304349"/>
    <m/>
    <m/>
    <m/>
    <m/>
    <n v="304349"/>
    <m/>
    <n v="304349"/>
    <n v="304349"/>
    <s v="Private Equity Fund"/>
    <n v="0"/>
    <n v="0"/>
    <m/>
    <m/>
    <m/>
    <m/>
    <m/>
    <m/>
    <m/>
    <m/>
    <m/>
    <m/>
  </r>
  <r>
    <x v="218"/>
    <x v="6"/>
    <s v="Series 2e"/>
    <m/>
    <m/>
    <m/>
    <n v="1195651"/>
    <m/>
    <m/>
    <m/>
    <m/>
    <n v="1195651"/>
    <m/>
    <n v="1195651"/>
    <n v="1195651"/>
    <s v="Private Equity Fund"/>
    <n v="0"/>
    <n v="0"/>
    <m/>
    <m/>
    <m/>
    <m/>
    <m/>
    <m/>
    <m/>
    <m/>
    <m/>
    <m/>
  </r>
  <r>
    <x v="181"/>
    <x v="6"/>
    <s v="Series 2e"/>
    <n v="1543079.2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2"/>
    <x v="6"/>
    <s v="Series 2e"/>
    <n v="1561935.4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3"/>
    <x v="6"/>
    <s v="Series 2e"/>
    <n v="1404873.9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19"/>
    <x v="6"/>
    <s v="Series 2e"/>
    <m/>
    <m/>
    <m/>
    <m/>
    <m/>
    <n v="-142013"/>
    <m/>
    <m/>
    <n v="-142013"/>
    <m/>
    <n v="-142013"/>
    <n v="-142013"/>
    <s v="Private Equity Fund"/>
    <n v="0"/>
    <n v="0"/>
    <m/>
    <m/>
    <m/>
    <m/>
    <m/>
    <m/>
    <m/>
    <m/>
    <m/>
    <m/>
  </r>
  <r>
    <x v="219"/>
    <x v="6"/>
    <s v="Series 2e"/>
    <m/>
    <m/>
    <m/>
    <n v="142013"/>
    <m/>
    <m/>
    <m/>
    <m/>
    <n v="142013"/>
    <m/>
    <n v="142013"/>
    <n v="142013"/>
    <s v="Private Equity Fund"/>
    <n v="0"/>
    <n v="0"/>
    <m/>
    <m/>
    <m/>
    <m/>
    <m/>
    <m/>
    <m/>
    <m/>
    <m/>
    <m/>
  </r>
  <r>
    <x v="184"/>
    <x v="6"/>
    <s v="Series 2e"/>
    <n v="1552144.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0"/>
    <x v="6"/>
    <s v="Series 2e"/>
    <n v="1560404.6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6"/>
    <x v="6"/>
    <s v="Series 2e"/>
    <n v="1558404.7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7"/>
    <x v="6"/>
    <s v="Series 2e"/>
    <n v="1553948.5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1"/>
    <x v="6"/>
    <s v="Series 2e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</r>
  <r>
    <x v="221"/>
    <x v="6"/>
    <s v="Series 2e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</r>
  <r>
    <x v="222"/>
    <x v="6"/>
    <s v="Series 2e"/>
    <n v="1808367.0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9"/>
    <x v="6"/>
    <s v="Series 2e"/>
    <n v="1905142.7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0"/>
    <x v="6"/>
    <s v="Series 2e"/>
    <n v="1891129.69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3"/>
    <x v="6"/>
    <s v="Series 2e"/>
    <n v="1940012.0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2"/>
    <x v="6"/>
    <s v="Series 2e"/>
    <n v="1880164.78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3"/>
    <x v="6"/>
    <s v="Series 2e"/>
    <n v="1901711.31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4"/>
    <x v="6"/>
    <s v="Series 2e"/>
    <n v="1942202.3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6"/>
    <s v="Series 2e"/>
    <n v="1873765.4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6"/>
    <x v="6"/>
    <s v="Series 2e"/>
    <n v="1852716.3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5"/>
    <x v="6"/>
    <s v="Series 2e"/>
    <n v="1832303.42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</r>
  <r>
    <x v="198"/>
    <x v="6"/>
    <s v="Series 2e"/>
    <n v="1758103.59"/>
    <m/>
    <n v="1.5"/>
    <m/>
    <n v="0"/>
    <n v="0"/>
    <n v="0"/>
    <m/>
    <n v="0"/>
    <e v="#DIV/0!"/>
    <n v="-1758103.59"/>
    <n v="-1758103.59"/>
    <s v="Private Equity Fund"/>
    <n v="0"/>
    <n v="0"/>
    <m/>
    <m/>
    <m/>
    <m/>
    <m/>
    <m/>
    <m/>
    <m/>
    <m/>
    <m/>
  </r>
  <r>
    <x v="218"/>
    <x v="6"/>
    <s v="Series 2f"/>
    <m/>
    <m/>
    <m/>
    <n v="202900"/>
    <m/>
    <m/>
    <m/>
    <m/>
    <n v="202900"/>
    <m/>
    <n v="202900"/>
    <n v="202900"/>
    <s v="Private Equity Fund"/>
    <n v="0"/>
    <n v="0"/>
    <m/>
    <m/>
    <m/>
    <m/>
    <m/>
    <m/>
    <m/>
    <m/>
    <m/>
    <m/>
  </r>
  <r>
    <x v="218"/>
    <x v="6"/>
    <s v="Series 2f"/>
    <m/>
    <m/>
    <m/>
    <n v="797100"/>
    <m/>
    <m/>
    <m/>
    <m/>
    <n v="797100"/>
    <m/>
    <n v="797100"/>
    <n v="797100"/>
    <s v="Private Equity Fund"/>
    <n v="0"/>
    <n v="0"/>
    <m/>
    <m/>
    <m/>
    <m/>
    <m/>
    <m/>
    <m/>
    <m/>
    <m/>
    <m/>
  </r>
  <r>
    <x v="181"/>
    <x v="6"/>
    <s v="Series 2f"/>
    <n v="1028719.4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2"/>
    <x v="6"/>
    <s v="Series 2f"/>
    <n v="1027135.15"/>
    <m/>
    <m/>
    <m/>
    <m/>
    <m/>
    <m/>
    <m/>
    <n v="0"/>
    <m/>
    <n v="0"/>
    <n v="0"/>
    <s v="Private Equity Fund"/>
    <n v="9.366600000000001E-3"/>
    <n v="4.7885499999999999E-3"/>
    <m/>
    <m/>
    <m/>
    <m/>
    <m/>
    <m/>
    <m/>
    <m/>
    <m/>
    <m/>
  </r>
  <r>
    <x v="183"/>
    <x v="6"/>
    <s v="Series 2f"/>
    <n v="923663.5"/>
    <m/>
    <m/>
    <m/>
    <m/>
    <m/>
    <m/>
    <m/>
    <n v="0"/>
    <m/>
    <n v="0"/>
    <n v="0"/>
    <s v="Private Equity Fund"/>
    <m/>
    <m/>
    <m/>
    <m/>
    <m/>
    <m/>
    <m/>
    <m/>
    <m/>
    <m/>
    <m/>
    <m/>
  </r>
  <r>
    <x v="219"/>
    <x v="6"/>
    <s v="Series 2f"/>
    <m/>
    <m/>
    <m/>
    <m/>
    <m/>
    <n v="-94675"/>
    <m/>
    <m/>
    <n v="-94675"/>
    <m/>
    <n v="-94675"/>
    <n v="-94675"/>
    <s v="Private Equity Fund"/>
    <n v="0"/>
    <n v="0"/>
    <m/>
    <m/>
    <m/>
    <m/>
    <m/>
    <m/>
    <m/>
    <m/>
    <m/>
    <m/>
  </r>
  <r>
    <x v="219"/>
    <x v="6"/>
    <s v="Series 2f"/>
    <m/>
    <m/>
    <m/>
    <n v="94675"/>
    <m/>
    <m/>
    <m/>
    <m/>
    <n v="94675"/>
    <m/>
    <n v="94675"/>
    <n v="94675"/>
    <s v="Private Equity Fund"/>
    <n v="0"/>
    <n v="0"/>
    <m/>
    <m/>
    <m/>
    <m/>
    <m/>
    <m/>
    <m/>
    <m/>
    <m/>
    <m/>
  </r>
  <r>
    <x v="184"/>
    <x v="6"/>
    <s v="Series 2f"/>
    <n v="1020081.34"/>
    <m/>
    <m/>
    <m/>
    <m/>
    <m/>
    <m/>
    <m/>
    <n v="0"/>
    <m/>
    <n v="0"/>
    <n v="0"/>
    <s v="Private Equity Fund"/>
    <n v="1.113782E-2"/>
    <n v="3.5437699999999999E-3"/>
    <m/>
    <m/>
    <m/>
    <m/>
    <m/>
    <m/>
    <m/>
    <m/>
    <m/>
    <m/>
  </r>
  <r>
    <x v="220"/>
    <x v="6"/>
    <s v="Series 2f"/>
    <n v="1023707.8"/>
    <m/>
    <m/>
    <m/>
    <m/>
    <m/>
    <m/>
    <m/>
    <n v="0"/>
    <m/>
    <n v="0"/>
    <n v="0"/>
    <s v="Private Equity Fund"/>
    <n v="1.237824E-2"/>
    <n v="4.1837299999999992E-3"/>
    <m/>
    <m/>
    <m/>
    <m/>
    <m/>
    <m/>
    <m/>
    <m/>
    <m/>
    <m/>
  </r>
  <r>
    <x v="186"/>
    <x v="6"/>
    <s v="Series 2f"/>
    <n v="1022575.12"/>
    <m/>
    <m/>
    <m/>
    <m/>
    <m/>
    <m/>
    <m/>
    <n v="0"/>
    <m/>
    <n v="0"/>
    <n v="0"/>
    <s v="Private Equity Fund"/>
    <n v="1.237824E-2"/>
    <n v="3.9838399999999998E-3"/>
    <m/>
    <m/>
    <m/>
    <m/>
    <m/>
    <m/>
    <m/>
    <m/>
    <m/>
    <m/>
  </r>
  <r>
    <x v="187"/>
    <x v="6"/>
    <s v="Series 2f"/>
    <n v="1017804.86"/>
    <m/>
    <m/>
    <m/>
    <m/>
    <m/>
    <m/>
    <m/>
    <n v="0"/>
    <m/>
    <n v="0"/>
    <n v="0"/>
    <s v="Private Equity Fund"/>
    <n v="1.5019459999999998E-2"/>
    <n v="3.1420300000000001E-3"/>
    <m/>
    <m/>
    <m/>
    <m/>
    <m/>
    <m/>
    <m/>
    <m/>
    <m/>
    <m/>
  </r>
  <r>
    <x v="221"/>
    <x v="6"/>
    <s v="Series 2f"/>
    <m/>
    <m/>
    <m/>
    <m/>
    <m/>
    <n v="-183750.66"/>
    <m/>
    <m/>
    <n v="-183750.66"/>
    <m/>
    <n v="-183750.66"/>
    <n v="-183750.66"/>
    <s v="Private Equity Fund"/>
    <n v="0"/>
    <n v="0"/>
    <m/>
    <m/>
    <m/>
    <m/>
    <m/>
    <m/>
    <m/>
    <m/>
    <m/>
    <m/>
  </r>
  <r>
    <x v="221"/>
    <x v="6"/>
    <s v="Series 2f"/>
    <m/>
    <m/>
    <m/>
    <n v="183750.66"/>
    <m/>
    <m/>
    <m/>
    <m/>
    <n v="183750.66"/>
    <m/>
    <n v="183750.66"/>
    <n v="183750.66"/>
    <s v="Private Equity Fund"/>
    <n v="0"/>
    <n v="0"/>
    <m/>
    <m/>
    <m/>
    <m/>
    <m/>
    <m/>
    <m/>
    <m/>
    <m/>
    <m/>
  </r>
  <r>
    <x v="222"/>
    <x v="6"/>
    <s v="Series 2f"/>
    <n v="1159727.03"/>
    <m/>
    <m/>
    <m/>
    <m/>
    <m/>
    <m/>
    <m/>
    <n v="0"/>
    <m/>
    <n v="0"/>
    <n v="0"/>
    <s v="Private Equity Fund"/>
    <n v="1.76639E-2"/>
    <n v="2.818712E-2"/>
    <m/>
    <m/>
    <m/>
    <m/>
    <m/>
    <m/>
    <m/>
    <m/>
    <m/>
    <m/>
  </r>
  <r>
    <x v="189"/>
    <x v="6"/>
    <s v="Series 2f"/>
    <n v="1218471.94"/>
    <m/>
    <m/>
    <m/>
    <m/>
    <m/>
    <m/>
    <m/>
    <n v="0"/>
    <m/>
    <n v="0"/>
    <n v="0"/>
    <s v="Private Equity Fund"/>
    <m/>
    <n v="3.8553870000000004E-2"/>
    <m/>
    <m/>
    <m/>
    <m/>
    <m/>
    <m/>
    <m/>
    <m/>
    <m/>
    <m/>
  </r>
  <r>
    <x v="190"/>
    <x v="6"/>
    <s v="Series 2f"/>
    <n v="1239449.96"/>
    <m/>
    <m/>
    <m/>
    <m/>
    <m/>
    <m/>
    <m/>
    <n v="0"/>
    <m/>
    <n v="0"/>
    <n v="0"/>
    <s v="Private Equity Fund"/>
    <m/>
    <n v="4.2255870000000001E-2"/>
    <m/>
    <m/>
    <m/>
    <m/>
    <m/>
    <m/>
    <m/>
    <m/>
    <m/>
    <m/>
  </r>
  <r>
    <x v="223"/>
    <x v="6"/>
    <s v="Series 2f"/>
    <n v="1230315.31"/>
    <m/>
    <m/>
    <m/>
    <m/>
    <m/>
    <m/>
    <m/>
    <n v="0"/>
    <m/>
    <n v="0"/>
    <n v="0"/>
    <s v="Private Equity Fund"/>
    <n v="4.7182600000000002E-3"/>
    <n v="4.064388E-2"/>
    <m/>
    <m/>
    <m/>
    <m/>
    <m/>
    <m/>
    <m/>
    <m/>
    <m/>
    <m/>
  </r>
  <r>
    <x v="192"/>
    <x v="6"/>
    <s v="Series 2f"/>
    <n v="1256911.81"/>
    <m/>
    <m/>
    <m/>
    <m/>
    <m/>
    <m/>
    <m/>
    <n v="0"/>
    <m/>
    <n v="0"/>
    <n v="0"/>
    <s v="Private Equity Fund"/>
    <m/>
    <n v="4.5337379999999997E-2"/>
    <m/>
    <m/>
    <m/>
    <m/>
    <m/>
    <m/>
    <m/>
    <m/>
    <m/>
    <m/>
  </r>
  <r>
    <x v="193"/>
    <x v="6"/>
    <s v="Series 2f"/>
    <n v="1275452.8799999999"/>
    <m/>
    <m/>
    <m/>
    <m/>
    <m/>
    <m/>
    <m/>
    <n v="0"/>
    <m/>
    <n v="0"/>
    <n v="0"/>
    <s v="Private Equity Fund"/>
    <m/>
    <n v="4.8609329999999999E-2"/>
    <m/>
    <m/>
    <m/>
    <m/>
    <m/>
    <m/>
    <m/>
    <m/>
    <m/>
    <m/>
  </r>
  <r>
    <x v="224"/>
    <x v="6"/>
    <s v="Series 2f"/>
    <n v="1227467.3400000001"/>
    <m/>
    <m/>
    <m/>
    <m/>
    <m/>
    <m/>
    <m/>
    <n v="0"/>
    <m/>
    <n v="0"/>
    <n v="0"/>
    <s v="Private Equity Fund"/>
    <n v="4.8107899999999997E-3"/>
    <n v="4.0141290000000003E-2"/>
    <m/>
    <m/>
    <m/>
    <m/>
    <m/>
    <m/>
    <m/>
    <m/>
    <m/>
    <m/>
  </r>
  <r>
    <x v="195"/>
    <x v="6"/>
    <s v="Series 2f"/>
    <n v="1256528.31"/>
    <m/>
    <m/>
    <m/>
    <m/>
    <m/>
    <m/>
    <m/>
    <n v="0"/>
    <m/>
    <n v="0"/>
    <n v="0"/>
    <s v="Private Equity Fund"/>
    <n v="0"/>
    <n v="4.5269699999999996E-2"/>
    <m/>
    <m/>
    <m/>
    <m/>
    <m/>
    <m/>
    <m/>
    <m/>
    <m/>
    <m/>
  </r>
  <r>
    <x v="196"/>
    <x v="6"/>
    <s v="Series 2f"/>
    <n v="1247720.1200000001"/>
    <m/>
    <m/>
    <m/>
    <m/>
    <m/>
    <m/>
    <m/>
    <n v="0"/>
    <m/>
    <n v="0"/>
    <n v="0"/>
    <s v="Private Equity Fund"/>
    <n v="0"/>
    <n v="4.3715320000000002E-2"/>
    <m/>
    <m/>
    <m/>
    <m/>
    <m/>
    <m/>
    <m/>
    <m/>
    <m/>
    <m/>
  </r>
  <r>
    <x v="225"/>
    <x v="6"/>
    <s v="Series 2f"/>
    <n v="1161394.76"/>
    <m/>
    <m/>
    <m/>
    <m/>
    <m/>
    <m/>
    <m/>
    <n v="0"/>
    <e v="#DIV/0!"/>
    <n v="0"/>
    <n v="0"/>
    <s v="Private Equity Fund"/>
    <n v="4.4665099999999999E-3"/>
    <n v="2.8481430000000002E-2"/>
    <m/>
    <m/>
    <m/>
    <m/>
    <m/>
    <m/>
    <m/>
    <m/>
    <m/>
    <m/>
  </r>
  <r>
    <x v="198"/>
    <x v="6"/>
    <s v="Series 2f"/>
    <n v="1192406.1614999999"/>
    <m/>
    <n v="1"/>
    <m/>
    <n v="0"/>
    <n v="0"/>
    <n v="0"/>
    <m/>
    <n v="0"/>
    <e v="#DIV/0!"/>
    <n v="-1192406.1614999999"/>
    <n v="-1192406.1614999999"/>
    <s v="Private Equity Fund"/>
    <n v="6.1320537129210973E-3"/>
    <n v="3.395402849999999E-2"/>
    <m/>
    <m/>
    <m/>
    <m/>
    <m/>
    <m/>
    <m/>
    <m/>
    <m/>
    <m/>
  </r>
  <r>
    <x v="211"/>
    <x v="6"/>
    <s v="Series 2GP"/>
    <m/>
    <m/>
    <m/>
    <n v="2125000"/>
    <m/>
    <m/>
    <m/>
    <m/>
    <n v="2125000"/>
    <m/>
    <n v="2125000"/>
    <m/>
    <s v="Private Equity Fund"/>
    <n v="0"/>
    <n v="0"/>
    <m/>
    <m/>
    <m/>
    <m/>
    <m/>
    <m/>
    <m/>
    <m/>
    <m/>
    <m/>
  </r>
  <r>
    <x v="211"/>
    <x v="6"/>
    <s v="Series 2GP"/>
    <m/>
    <m/>
    <m/>
    <n v="12140033"/>
    <m/>
    <m/>
    <m/>
    <m/>
    <n v="12140033"/>
    <m/>
    <n v="12140033"/>
    <m/>
    <s v="Private Equity Fund"/>
    <n v="0"/>
    <n v="0"/>
    <m/>
    <m/>
    <m/>
    <m/>
    <m/>
    <m/>
    <m/>
    <m/>
    <m/>
    <m/>
  </r>
  <r>
    <x v="212"/>
    <x v="6"/>
    <s v="Series 2GP"/>
    <m/>
    <m/>
    <m/>
    <n v="5031250"/>
    <m/>
    <m/>
    <m/>
    <m/>
    <n v="5031250"/>
    <m/>
    <n v="5031250"/>
    <m/>
    <s v="Private Equity Fund"/>
    <n v="0"/>
    <n v="0"/>
    <m/>
    <m/>
    <m/>
    <m/>
    <m/>
    <m/>
    <m/>
    <m/>
    <m/>
    <m/>
  </r>
  <r>
    <x v="175"/>
    <x v="6"/>
    <s v="Series 2GP"/>
    <n v="19292941.77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13"/>
    <x v="6"/>
    <s v="Series 2GP"/>
    <n v="19124196.30999999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14"/>
    <x v="6"/>
    <s v="Series 2GP"/>
    <n v="19561469.89000000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15"/>
    <x v="6"/>
    <s v="Series 2GP"/>
    <m/>
    <m/>
    <m/>
    <n v="2937500"/>
    <m/>
    <m/>
    <m/>
    <m/>
    <n v="2937500"/>
    <m/>
    <n v="2937500"/>
    <m/>
    <s v="Private Equity Fund"/>
    <n v="0"/>
    <n v="0"/>
    <m/>
    <m/>
    <m/>
    <m/>
    <m/>
    <m/>
    <m/>
    <m/>
    <m/>
    <m/>
  </r>
  <r>
    <x v="178"/>
    <x v="6"/>
    <s v="Series 2GP"/>
    <n v="23610370.989999998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79"/>
    <x v="6"/>
    <s v="Series 2GP"/>
    <n v="22742250.69999999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16"/>
    <x v="6"/>
    <s v="Series 2GP"/>
    <m/>
    <m/>
    <m/>
    <n v="3375000"/>
    <m/>
    <m/>
    <m/>
    <m/>
    <n v="3375000"/>
    <m/>
    <n v="3375000"/>
    <m/>
    <s v="Private Equity Fund"/>
    <n v="0"/>
    <n v="0"/>
    <m/>
    <m/>
    <m/>
    <m/>
    <m/>
    <m/>
    <m/>
    <m/>
    <m/>
    <m/>
  </r>
  <r>
    <x v="217"/>
    <x v="6"/>
    <s v="Series 2GP"/>
    <n v="26242258.85000000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18"/>
    <x v="6"/>
    <s v="Series 2GP"/>
    <m/>
    <m/>
    <m/>
    <m/>
    <m/>
    <n v="-1998733"/>
    <m/>
    <m/>
    <n v="-1998733"/>
    <m/>
    <n v="-1998733"/>
    <m/>
    <s v="Private Equity Fund"/>
    <n v="0"/>
    <n v="0"/>
    <m/>
    <m/>
    <m/>
    <m/>
    <m/>
    <m/>
    <m/>
    <m/>
    <m/>
    <m/>
  </r>
  <r>
    <x v="218"/>
    <x v="6"/>
    <s v="Series 2GP"/>
    <m/>
    <m/>
    <m/>
    <n v="5200926"/>
    <m/>
    <m/>
    <m/>
    <m/>
    <n v="5200926"/>
    <m/>
    <n v="5200926"/>
    <m/>
    <s v="Private Equity Fund"/>
    <n v="0"/>
    <n v="0"/>
    <m/>
    <m/>
    <m/>
    <m/>
    <m/>
    <m/>
    <m/>
    <m/>
    <m/>
    <m/>
  </r>
  <r>
    <x v="181"/>
    <x v="6"/>
    <s v="Series 2GP"/>
    <n v="29560639.5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2"/>
    <x v="6"/>
    <s v="Series 2GP"/>
    <n v="29355785.37000000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3"/>
    <x v="6"/>
    <s v="Series 2GP"/>
    <n v="26391831.53999999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19"/>
    <x v="6"/>
    <s v="Series 2GP"/>
    <m/>
    <m/>
    <m/>
    <m/>
    <m/>
    <n v="-2727680"/>
    <m/>
    <m/>
    <n v="-2727680"/>
    <m/>
    <n v="-2727680"/>
    <m/>
    <s v="Private Equity Fund"/>
    <n v="0"/>
    <n v="0"/>
    <m/>
    <m/>
    <m/>
    <m/>
    <m/>
    <m/>
    <m/>
    <m/>
    <m/>
    <m/>
  </r>
  <r>
    <x v="219"/>
    <x v="6"/>
    <s v="Series 2GP"/>
    <m/>
    <m/>
    <m/>
    <n v="2727680"/>
    <m/>
    <m/>
    <m/>
    <m/>
    <n v="2727680"/>
    <m/>
    <n v="2727680"/>
    <m/>
    <s v="Private Equity Fund"/>
    <n v="0"/>
    <n v="0"/>
    <m/>
    <m/>
    <m/>
    <m/>
    <m/>
    <m/>
    <m/>
    <m/>
    <m/>
    <m/>
  </r>
  <r>
    <x v="184"/>
    <x v="6"/>
    <s v="Series 2GP"/>
    <n v="29167725.57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0"/>
    <x v="6"/>
    <s v="Series 2GP"/>
    <n v="29326382.80000000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6"/>
    <x v="6"/>
    <s v="Series 2GP"/>
    <n v="29340747.60000000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7"/>
    <x v="6"/>
    <s v="Series 2GP"/>
    <n v="29255154.80999999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1"/>
    <x v="6"/>
    <s v="Series 2GP"/>
    <m/>
    <m/>
    <m/>
    <m/>
    <m/>
    <n v="-3529357.19"/>
    <m/>
    <m/>
    <n v="-3529357.19"/>
    <m/>
    <n v="-3529357.19"/>
    <m/>
    <s v="Private Equity Fund"/>
    <n v="0"/>
    <n v="0"/>
    <m/>
    <m/>
    <m/>
    <m/>
    <m/>
    <m/>
    <m/>
    <m/>
    <m/>
    <m/>
  </r>
  <r>
    <x v="221"/>
    <x v="6"/>
    <s v="Series 2GP"/>
    <m/>
    <m/>
    <m/>
    <n v="3529357.19"/>
    <m/>
    <m/>
    <m/>
    <m/>
    <n v="3529357.19"/>
    <m/>
    <n v="3529357.19"/>
    <m/>
    <s v="Private Equity Fund"/>
    <n v="0"/>
    <n v="0"/>
    <m/>
    <m/>
    <m/>
    <m/>
    <m/>
    <m/>
    <m/>
    <m/>
    <m/>
    <m/>
  </r>
  <r>
    <x v="222"/>
    <x v="6"/>
    <s v="Series 2GP"/>
    <n v="34089075.68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9"/>
    <x v="6"/>
    <s v="Series 2GP"/>
    <n v="36073324.969999999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190"/>
    <x v="6"/>
    <s v="Series 2GP"/>
    <n v="36230799.289999999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223"/>
    <x v="6"/>
    <s v="Series 2GP"/>
    <n v="36614362.71999999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2"/>
    <x v="6"/>
    <s v="Series 2GP"/>
    <n v="36349157.57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193"/>
    <x v="6"/>
    <s v="Series 2GP"/>
    <n v="36822017.270000003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224"/>
    <x v="6"/>
    <s v="Series 2GP"/>
    <n v="36634448.64000000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5"/>
    <x v="6"/>
    <s v="Series 2GP"/>
    <n v="36268340.85999999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6"/>
    <x v="6"/>
    <s v="Series 2GP"/>
    <n v="35862022.659999996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5"/>
    <x v="6"/>
    <s v="Series 2GP"/>
    <n v="34506346.009999998"/>
    <m/>
    <m/>
    <m/>
    <m/>
    <m/>
    <m/>
    <m/>
    <n v="0"/>
    <e v="#DIV/0!"/>
    <n v="0"/>
    <m/>
    <s v="Private Equity Fund"/>
    <n v="0"/>
    <n v="0"/>
    <m/>
    <m/>
    <m/>
    <m/>
    <m/>
    <m/>
    <m/>
    <m/>
    <m/>
    <m/>
  </r>
  <r>
    <x v="198"/>
    <x v="6"/>
    <s v="Series 2GP"/>
    <n v="34040586.549999997"/>
    <m/>
    <n v="28.810976"/>
    <m/>
    <n v="0"/>
    <n v="0"/>
    <n v="0"/>
    <m/>
    <n v="0"/>
    <e v="#DIV/0!"/>
    <n v="-34040586.549999997"/>
    <m/>
    <s v="Private Equity Fund"/>
    <n v="0"/>
    <n v="0"/>
    <m/>
    <m/>
    <m/>
    <m/>
    <m/>
    <m/>
    <m/>
    <m/>
    <m/>
    <m/>
  </r>
  <r>
    <x v="183"/>
    <x v="6"/>
    <s v="Series 3a"/>
    <n v="454047.14"/>
    <m/>
    <m/>
    <m/>
    <m/>
    <m/>
    <m/>
    <m/>
    <n v="0"/>
    <m/>
    <n v="0"/>
    <n v="0"/>
    <s v="Private Equity Fund"/>
    <n v="5.7762000000000004E-4"/>
    <n v="0"/>
    <m/>
    <m/>
    <m/>
    <m/>
    <m/>
    <m/>
    <m/>
    <m/>
    <m/>
    <m/>
  </r>
  <r>
    <x v="219"/>
    <x v="6"/>
    <s v="Series 3a"/>
    <m/>
    <m/>
    <m/>
    <n v="35731"/>
    <m/>
    <m/>
    <m/>
    <m/>
    <n v="35731"/>
    <m/>
    <n v="35731"/>
    <n v="35731"/>
    <s v="Private Equity Fund"/>
    <n v="0"/>
    <n v="0"/>
    <m/>
    <m/>
    <m/>
    <m/>
    <m/>
    <m/>
    <m/>
    <m/>
    <m/>
    <m/>
  </r>
  <r>
    <x v="219"/>
    <x v="6"/>
    <s v="Series 3a"/>
    <m/>
    <m/>
    <m/>
    <n v="464269"/>
    <m/>
    <m/>
    <m/>
    <m/>
    <n v="464269"/>
    <m/>
    <n v="464269"/>
    <n v="464269"/>
    <s v="Private Equity Fund"/>
    <n v="0"/>
    <n v="0"/>
    <m/>
    <m/>
    <m/>
    <m/>
    <m/>
    <m/>
    <m/>
    <m/>
    <m/>
    <m/>
  </r>
  <r>
    <x v="184"/>
    <x v="6"/>
    <s v="Series 3a"/>
    <n v="488643.56"/>
    <m/>
    <m/>
    <m/>
    <m/>
    <m/>
    <m/>
    <m/>
    <n v="0"/>
    <m/>
    <n v="0"/>
    <n v="0"/>
    <s v="Private Equity Fund"/>
    <n v="5.5689099999999998E-3"/>
    <n v="0"/>
    <m/>
    <m/>
    <m/>
    <m/>
    <m/>
    <m/>
    <m/>
    <m/>
    <m/>
    <m/>
  </r>
  <r>
    <x v="220"/>
    <x v="6"/>
    <s v="Series 3a"/>
    <n v="490776.77"/>
    <m/>
    <m/>
    <m/>
    <m/>
    <m/>
    <m/>
    <m/>
    <n v="0"/>
    <m/>
    <n v="0"/>
    <n v="0"/>
    <s v="Private Equity Fund"/>
    <n v="6.1891200000000002E-3"/>
    <n v="0"/>
    <m/>
    <m/>
    <m/>
    <m/>
    <m/>
    <m/>
    <m/>
    <m/>
    <m/>
    <m/>
  </r>
  <r>
    <x v="186"/>
    <x v="6"/>
    <s v="Series 3a"/>
    <n v="499627.77"/>
    <m/>
    <m/>
    <m/>
    <m/>
    <m/>
    <m/>
    <m/>
    <n v="0"/>
    <m/>
    <n v="0"/>
    <n v="0"/>
    <s v="Private Equity Fund"/>
    <n v="6.1891200000000002E-3"/>
    <n v="0"/>
    <m/>
    <m/>
    <m/>
    <m/>
    <m/>
    <m/>
    <m/>
    <m/>
    <m/>
    <m/>
  </r>
  <r>
    <x v="187"/>
    <x v="6"/>
    <s v="Series 3a"/>
    <n v="496821.74"/>
    <m/>
    <m/>
    <m/>
    <m/>
    <m/>
    <m/>
    <m/>
    <n v="0"/>
    <m/>
    <n v="0"/>
    <n v="0"/>
    <s v="Private Equity Fund"/>
    <n v="7.5097299999999992E-3"/>
    <n v="0"/>
    <m/>
    <m/>
    <m/>
    <m/>
    <m/>
    <m/>
    <m/>
    <m/>
    <m/>
    <m/>
  </r>
  <r>
    <x v="221"/>
    <x v="6"/>
    <s v="Series 3a"/>
    <m/>
    <m/>
    <m/>
    <m/>
    <m/>
    <n v="-61250.22"/>
    <m/>
    <m/>
    <n v="-61250.22"/>
    <m/>
    <n v="-61250.22"/>
    <n v="-61250.22"/>
    <s v="Private Equity Fund"/>
    <n v="0"/>
    <n v="0"/>
    <m/>
    <m/>
    <m/>
    <m/>
    <m/>
    <m/>
    <m/>
    <m/>
    <m/>
    <m/>
  </r>
  <r>
    <x v="221"/>
    <x v="6"/>
    <s v="Series 3a"/>
    <m/>
    <m/>
    <m/>
    <n v="61250.22"/>
    <m/>
    <m/>
    <m/>
    <m/>
    <n v="61250.22"/>
    <m/>
    <n v="61250.22"/>
    <n v="61250.22"/>
    <s v="Private Equity Fund"/>
    <n v="0"/>
    <n v="0"/>
    <m/>
    <m/>
    <m/>
    <m/>
    <m/>
    <m/>
    <m/>
    <m/>
    <m/>
    <m/>
  </r>
  <r>
    <x v="222"/>
    <x v="6"/>
    <s v="Series 3a"/>
    <n v="564267.93000000005"/>
    <m/>
    <m/>
    <m/>
    <m/>
    <m/>
    <m/>
    <m/>
    <n v="0"/>
    <m/>
    <n v="0"/>
    <n v="0"/>
    <s v="Private Equity Fund"/>
    <n v="4.0106999999999999E-3"/>
    <n v="1.13414E-2"/>
    <m/>
    <m/>
    <m/>
    <m/>
    <m/>
    <m/>
    <m/>
    <m/>
    <m/>
    <m/>
  </r>
  <r>
    <x v="189"/>
    <x v="6"/>
    <s v="Series 3a"/>
    <n v="601907.43999999994"/>
    <m/>
    <m/>
    <m/>
    <m/>
    <m/>
    <m/>
    <m/>
    <n v="0"/>
    <m/>
    <n v="0"/>
    <n v="0"/>
    <s v="Private Equity Fund"/>
    <m/>
    <n v="1.7983669999999997E-2"/>
    <m/>
    <m/>
    <m/>
    <m/>
    <m/>
    <m/>
    <m/>
    <m/>
    <m/>
    <m/>
  </r>
  <r>
    <x v="190"/>
    <x v="6"/>
    <s v="Series 3a"/>
    <n v="603627.78"/>
    <m/>
    <m/>
    <m/>
    <m/>
    <m/>
    <m/>
    <m/>
    <n v="0"/>
    <m/>
    <n v="0"/>
    <n v="0"/>
    <s v="Private Equity Fund"/>
    <m/>
    <n v="1.828726E-2"/>
    <m/>
    <m/>
    <m/>
    <m/>
    <m/>
    <m/>
    <m/>
    <m/>
    <m/>
    <m/>
  </r>
  <r>
    <x v="223"/>
    <x v="6"/>
    <s v="Series 3a"/>
    <n v="599520.57999999996"/>
    <m/>
    <m/>
    <m/>
    <m/>
    <m/>
    <m/>
    <m/>
    <n v="0"/>
    <m/>
    <n v="0"/>
    <n v="0"/>
    <s v="Private Equity Fund"/>
    <n v="2.2908299999999998E-3"/>
    <n v="1.756245E-2"/>
    <m/>
    <m/>
    <m/>
    <m/>
    <m/>
    <m/>
    <m/>
    <m/>
    <m/>
    <m/>
  </r>
  <r>
    <x v="192"/>
    <x v="6"/>
    <s v="Series 3a"/>
    <n v="594006.32999999996"/>
    <m/>
    <m/>
    <m/>
    <m/>
    <m/>
    <m/>
    <m/>
    <n v="0"/>
    <m/>
    <n v="0"/>
    <n v="0"/>
    <s v="Private Equity Fund"/>
    <m/>
    <n v="1.6589349999999999E-2"/>
    <m/>
    <m/>
    <m/>
    <m/>
    <m/>
    <m/>
    <m/>
    <m/>
    <m/>
    <m/>
  </r>
  <r>
    <x v="193"/>
    <x v="6"/>
    <s v="Series 3a"/>
    <n v="599577.04"/>
    <m/>
    <m/>
    <m/>
    <m/>
    <m/>
    <m/>
    <m/>
    <n v="0"/>
    <m/>
    <n v="0"/>
    <n v="0"/>
    <s v="Private Equity Fund"/>
    <m/>
    <n v="1.7572419999999998E-2"/>
    <m/>
    <m/>
    <m/>
    <m/>
    <m/>
    <m/>
    <m/>
    <m/>
    <m/>
    <m/>
  </r>
  <r>
    <x v="224"/>
    <x v="6"/>
    <s v="Series 3a"/>
    <n v="597486.80000000005"/>
    <m/>
    <m/>
    <m/>
    <m/>
    <m/>
    <m/>
    <m/>
    <n v="0"/>
    <m/>
    <n v="0"/>
    <n v="0"/>
    <s v="Private Equity Fund"/>
    <n v="2.33285E-3"/>
    <n v="1.7203549999999998E-2"/>
    <m/>
    <m/>
    <m/>
    <m/>
    <m/>
    <m/>
    <m/>
    <m/>
    <m/>
    <m/>
  </r>
  <r>
    <x v="195"/>
    <x v="6"/>
    <s v="Series 3a"/>
    <n v="589931.46"/>
    <m/>
    <m/>
    <m/>
    <m/>
    <m/>
    <m/>
    <m/>
    <n v="0"/>
    <m/>
    <n v="0"/>
    <n v="0"/>
    <s v="Private Equity Fund"/>
    <n v="0"/>
    <n v="1.5870260000000001E-2"/>
    <m/>
    <m/>
    <m/>
    <m/>
    <m/>
    <m/>
    <m/>
    <m/>
    <m/>
    <m/>
  </r>
  <r>
    <x v="196"/>
    <x v="6"/>
    <s v="Series 3a"/>
    <n v="585172.68000000005"/>
    <m/>
    <m/>
    <m/>
    <m/>
    <m/>
    <m/>
    <m/>
    <n v="0"/>
    <m/>
    <n v="0"/>
    <n v="0"/>
    <s v="Private Equity Fund"/>
    <n v="0"/>
    <n v="1.5030469999999999E-2"/>
    <m/>
    <m/>
    <m/>
    <m/>
    <m/>
    <m/>
    <m/>
    <m/>
    <m/>
    <m/>
  </r>
  <r>
    <x v="225"/>
    <x v="6"/>
    <s v="Series 3a"/>
    <n v="563986.69999999995"/>
    <m/>
    <m/>
    <m/>
    <m/>
    <m/>
    <m/>
    <m/>
    <n v="0"/>
    <e v="#DIV/0!"/>
    <n v="0"/>
    <n v="0"/>
    <s v="Private Equity Fund"/>
    <n v="2.1594600000000002E-3"/>
    <n v="1.129177E-2"/>
    <m/>
    <m/>
    <m/>
    <m/>
    <m/>
    <m/>
    <m/>
    <m/>
    <m/>
    <m/>
  </r>
  <r>
    <x v="198"/>
    <x v="6"/>
    <s v="Series 3a"/>
    <n v="556913.6115"/>
    <m/>
    <n v="0.5"/>
    <m/>
    <n v="0"/>
    <n v="0"/>
    <n v="0"/>
    <m/>
    <n v="0"/>
    <e v="#DIV/0!"/>
    <n v="-556913.6115"/>
    <n v="-556913.6115"/>
    <s v="Private Equity Fund"/>
    <n v="2.9293580503472966E-3"/>
    <n v="1.004357849999999E-2"/>
    <m/>
    <m/>
    <m/>
    <m/>
    <m/>
    <m/>
    <m/>
    <m/>
    <m/>
    <m/>
  </r>
  <r>
    <x v="183"/>
    <x v="6"/>
    <s v="Series 3b"/>
    <n v="90809.43"/>
    <m/>
    <m/>
    <m/>
    <m/>
    <m/>
    <m/>
    <m/>
    <n v="0"/>
    <m/>
    <n v="0"/>
    <n v="0"/>
    <s v="Private Equity Fund"/>
    <n v="1.1551999999999999E-4"/>
    <n v="0"/>
    <m/>
    <m/>
    <m/>
    <m/>
    <m/>
    <m/>
    <m/>
    <m/>
    <m/>
    <m/>
  </r>
  <r>
    <x v="219"/>
    <x v="6"/>
    <s v="Series 3b"/>
    <m/>
    <m/>
    <m/>
    <n v="7146"/>
    <m/>
    <m/>
    <m/>
    <m/>
    <n v="7146"/>
    <m/>
    <n v="7146"/>
    <n v="7146"/>
    <s v="Private Equity Fund"/>
    <n v="0"/>
    <n v="0"/>
    <m/>
    <m/>
    <m/>
    <m/>
    <m/>
    <m/>
    <m/>
    <m/>
    <m/>
    <m/>
  </r>
  <r>
    <x v="219"/>
    <x v="6"/>
    <s v="Series 3b"/>
    <m/>
    <m/>
    <m/>
    <n v="92854"/>
    <m/>
    <m/>
    <m/>
    <m/>
    <n v="92854"/>
    <m/>
    <n v="92854"/>
    <n v="92854"/>
    <s v="Private Equity Fund"/>
    <n v="0"/>
    <n v="0"/>
    <m/>
    <m/>
    <m/>
    <m/>
    <m/>
    <m/>
    <m/>
    <m/>
    <m/>
    <m/>
  </r>
  <r>
    <x v="184"/>
    <x v="6"/>
    <s v="Series 3b"/>
    <n v="97728.71"/>
    <m/>
    <m/>
    <m/>
    <m/>
    <m/>
    <m/>
    <m/>
    <n v="0"/>
    <m/>
    <n v="0"/>
    <n v="0"/>
    <s v="Private Equity Fund"/>
    <n v="1.11378E-3"/>
    <n v="0"/>
    <m/>
    <m/>
    <m/>
    <m/>
    <m/>
    <m/>
    <m/>
    <m/>
    <m/>
    <m/>
  </r>
  <r>
    <x v="220"/>
    <x v="6"/>
    <s v="Series 3b"/>
    <n v="98155.35"/>
    <m/>
    <m/>
    <m/>
    <m/>
    <m/>
    <m/>
    <m/>
    <n v="0"/>
    <m/>
    <n v="0"/>
    <n v="0"/>
    <s v="Private Equity Fund"/>
    <n v="1.2378199999999999E-3"/>
    <n v="0"/>
    <m/>
    <m/>
    <m/>
    <m/>
    <m/>
    <m/>
    <m/>
    <m/>
    <m/>
    <m/>
  </r>
  <r>
    <x v="186"/>
    <x v="6"/>
    <s v="Series 3b"/>
    <n v="99925.55"/>
    <m/>
    <m/>
    <m/>
    <m/>
    <m/>
    <m/>
    <m/>
    <n v="0"/>
    <m/>
    <n v="0"/>
    <n v="0"/>
    <s v="Private Equity Fund"/>
    <n v="1.2378199999999999E-3"/>
    <n v="0"/>
    <m/>
    <m/>
    <m/>
    <m/>
    <m/>
    <m/>
    <m/>
    <m/>
    <m/>
    <m/>
  </r>
  <r>
    <x v="187"/>
    <x v="6"/>
    <s v="Series 3b"/>
    <n v="99364.35"/>
    <m/>
    <m/>
    <m/>
    <m/>
    <m/>
    <m/>
    <m/>
    <n v="0"/>
    <m/>
    <n v="0"/>
    <n v="0"/>
    <s v="Private Equity Fund"/>
    <n v="1.5019499999999999E-3"/>
    <n v="0"/>
    <m/>
    <m/>
    <m/>
    <m/>
    <m/>
    <m/>
    <m/>
    <m/>
    <m/>
    <m/>
  </r>
  <r>
    <x v="221"/>
    <x v="6"/>
    <s v="Series 3b"/>
    <m/>
    <m/>
    <m/>
    <m/>
    <m/>
    <n v="-12250.04"/>
    <m/>
    <m/>
    <n v="-12250.04"/>
    <m/>
    <n v="-12250.04"/>
    <n v="-12250.04"/>
    <s v="Private Equity Fund"/>
    <n v="0"/>
    <n v="0"/>
    <m/>
    <m/>
    <m/>
    <m/>
    <m/>
    <m/>
    <m/>
    <m/>
    <m/>
    <m/>
  </r>
  <r>
    <x v="221"/>
    <x v="6"/>
    <s v="Series 3b"/>
    <m/>
    <m/>
    <m/>
    <n v="12250.04"/>
    <m/>
    <m/>
    <m/>
    <m/>
    <n v="12250.04"/>
    <m/>
    <n v="12250.04"/>
    <n v="12250.04"/>
    <s v="Private Equity Fund"/>
    <n v="0"/>
    <n v="0"/>
    <m/>
    <m/>
    <m/>
    <m/>
    <m/>
    <m/>
    <m/>
    <m/>
    <m/>
    <m/>
  </r>
  <r>
    <x v="222"/>
    <x v="6"/>
    <s v="Series 3b"/>
    <n v="112853.59"/>
    <m/>
    <m/>
    <m/>
    <m/>
    <m/>
    <m/>
    <m/>
    <n v="0"/>
    <m/>
    <n v="0"/>
    <n v="0"/>
    <s v="Private Equity Fund"/>
    <n v="8.0214000000000001E-4"/>
    <n v="2.2682800000000001E-3"/>
    <m/>
    <m/>
    <m/>
    <m/>
    <m/>
    <m/>
    <m/>
    <m/>
    <m/>
    <m/>
  </r>
  <r>
    <x v="189"/>
    <x v="6"/>
    <s v="Series 3b"/>
    <n v="120381.49"/>
    <m/>
    <m/>
    <m/>
    <m/>
    <m/>
    <m/>
    <m/>
    <n v="0"/>
    <m/>
    <n v="0"/>
    <n v="0"/>
    <s v="Private Equity Fund"/>
    <m/>
    <n v="3.5967299999999998E-3"/>
    <m/>
    <m/>
    <m/>
    <m/>
    <m/>
    <m/>
    <m/>
    <m/>
    <m/>
    <m/>
  </r>
  <r>
    <x v="190"/>
    <x v="6"/>
    <s v="Series 3b"/>
    <n v="120725.56"/>
    <m/>
    <m/>
    <m/>
    <m/>
    <m/>
    <m/>
    <m/>
    <n v="0"/>
    <m/>
    <n v="0"/>
    <n v="0"/>
    <s v="Private Equity Fund"/>
    <m/>
    <n v="3.65745E-3"/>
    <m/>
    <m/>
    <m/>
    <m/>
    <m/>
    <m/>
    <m/>
    <m/>
    <m/>
    <m/>
  </r>
  <r>
    <x v="223"/>
    <x v="6"/>
    <s v="Series 3b"/>
    <n v="119904.12"/>
    <m/>
    <m/>
    <m/>
    <m/>
    <m/>
    <m/>
    <m/>
    <n v="0"/>
    <m/>
    <n v="0"/>
    <n v="0"/>
    <s v="Private Equity Fund"/>
    <n v="4.5817000000000004E-4"/>
    <n v="3.5124899999999996E-3"/>
    <m/>
    <m/>
    <m/>
    <m/>
    <m/>
    <m/>
    <m/>
    <m/>
    <m/>
    <m/>
  </r>
  <r>
    <x v="192"/>
    <x v="6"/>
    <s v="Series 3b"/>
    <n v="118801.43"/>
    <m/>
    <m/>
    <m/>
    <m/>
    <m/>
    <m/>
    <m/>
    <n v="0"/>
    <m/>
    <n v="0"/>
    <n v="0"/>
    <s v="Private Equity Fund"/>
    <m/>
    <n v="3.3178999999999999E-3"/>
    <m/>
    <m/>
    <m/>
    <m/>
    <m/>
    <m/>
    <m/>
    <m/>
    <m/>
    <m/>
  </r>
  <r>
    <x v="193"/>
    <x v="6"/>
    <s v="Series 3b"/>
    <n v="119915.59"/>
    <m/>
    <m/>
    <m/>
    <m/>
    <m/>
    <m/>
    <m/>
    <n v="0"/>
    <m/>
    <n v="0"/>
    <n v="0"/>
    <s v="Private Equity Fund"/>
    <m/>
    <n v="3.5145200000000001E-3"/>
    <m/>
    <m/>
    <m/>
    <m/>
    <m/>
    <m/>
    <m/>
    <m/>
    <m/>
    <m/>
  </r>
  <r>
    <x v="224"/>
    <x v="6"/>
    <s v="Series 3b"/>
    <n v="119497.35"/>
    <m/>
    <m/>
    <m/>
    <m/>
    <m/>
    <m/>
    <m/>
    <n v="0"/>
    <m/>
    <n v="0"/>
    <n v="0"/>
    <s v="Private Equity Fund"/>
    <n v="4.6656999999999997E-4"/>
    <n v="3.44071E-3"/>
    <m/>
    <m/>
    <m/>
    <m/>
    <m/>
    <m/>
    <m/>
    <m/>
    <m/>
    <m/>
  </r>
  <r>
    <x v="195"/>
    <x v="6"/>
    <s v="Series 3b"/>
    <n v="117986.48"/>
    <m/>
    <m/>
    <m/>
    <m/>
    <m/>
    <m/>
    <m/>
    <n v="0"/>
    <m/>
    <n v="0"/>
    <n v="0"/>
    <s v="Private Equity Fund"/>
    <n v="0"/>
    <n v="3.1740800000000001E-3"/>
    <m/>
    <m/>
    <m/>
    <m/>
    <m/>
    <m/>
    <m/>
    <m/>
    <m/>
    <m/>
  </r>
  <r>
    <x v="196"/>
    <x v="6"/>
    <s v="Series 3b"/>
    <n v="117034.71"/>
    <m/>
    <m/>
    <m/>
    <m/>
    <m/>
    <m/>
    <m/>
    <n v="0"/>
    <m/>
    <n v="0"/>
    <n v="0"/>
    <s v="Private Equity Fund"/>
    <n v="0"/>
    <n v="3.0061300000000001E-3"/>
    <m/>
    <m/>
    <m/>
    <m/>
    <m/>
    <m/>
    <m/>
    <m/>
    <m/>
    <m/>
  </r>
  <r>
    <x v="225"/>
    <x v="6"/>
    <s v="Series 3b"/>
    <n v="112797.33"/>
    <m/>
    <m/>
    <m/>
    <m/>
    <m/>
    <m/>
    <m/>
    <n v="0"/>
    <e v="#DIV/0!"/>
    <n v="0"/>
    <n v="0"/>
    <s v="Private Equity Fund"/>
    <n v="4.3188999999999999E-4"/>
    <n v="2.2583500000000001E-3"/>
    <m/>
    <m/>
    <m/>
    <m/>
    <m/>
    <m/>
    <m/>
    <m/>
    <m/>
    <m/>
  </r>
  <r>
    <x v="198"/>
    <x v="6"/>
    <s v="Series 3b"/>
    <n v="111382.91099999999"/>
    <m/>
    <n v="0.1"/>
    <m/>
    <n v="0"/>
    <n v="0"/>
    <n v="0"/>
    <m/>
    <n v="0"/>
    <e v="#DIV/0!"/>
    <n v="-111382.91099999999"/>
    <n v="-111382.91099999999"/>
    <s v="Private Equity Fund"/>
    <n v="5.8587185678645078E-4"/>
    <n v="2.0087490000000006E-3"/>
    <m/>
    <m/>
    <m/>
    <m/>
    <m/>
    <m/>
    <m/>
    <m/>
    <m/>
    <m/>
  </r>
  <r>
    <x v="183"/>
    <x v="6"/>
    <s v="Series 3c"/>
    <n v="4540471.43"/>
    <m/>
    <m/>
    <m/>
    <m/>
    <m/>
    <m/>
    <m/>
    <n v="0"/>
    <m/>
    <n v="0"/>
    <n v="0"/>
    <s v="Private Equity Fund"/>
    <n v="5.7761599999999998E-3"/>
    <n v="0"/>
    <m/>
    <m/>
    <m/>
    <m/>
    <m/>
    <m/>
    <m/>
    <m/>
    <m/>
    <m/>
  </r>
  <r>
    <x v="219"/>
    <x v="6"/>
    <s v="Series 3c"/>
    <m/>
    <m/>
    <m/>
    <n v="357312"/>
    <m/>
    <m/>
    <m/>
    <m/>
    <n v="357312"/>
    <m/>
    <n v="357312"/>
    <n v="357312"/>
    <s v="Private Equity Fund"/>
    <n v="0"/>
    <n v="0"/>
    <m/>
    <m/>
    <m/>
    <m/>
    <m/>
    <m/>
    <m/>
    <m/>
    <m/>
    <m/>
  </r>
  <r>
    <x v="219"/>
    <x v="6"/>
    <s v="Series 3c"/>
    <m/>
    <m/>
    <m/>
    <n v="4642688"/>
    <m/>
    <m/>
    <m/>
    <m/>
    <n v="4642688"/>
    <m/>
    <n v="4642688"/>
    <n v="4642688"/>
    <s v="Private Equity Fund"/>
    <n v="0"/>
    <n v="0"/>
    <m/>
    <m/>
    <m/>
    <m/>
    <m/>
    <m/>
    <m/>
    <m/>
    <m/>
    <m/>
  </r>
  <r>
    <x v="184"/>
    <x v="6"/>
    <s v="Series 3c"/>
    <n v="4886435.62"/>
    <m/>
    <m/>
    <m/>
    <m/>
    <m/>
    <m/>
    <m/>
    <n v="0"/>
    <m/>
    <n v="0"/>
    <n v="0"/>
    <s v="Private Equity Fund"/>
    <n v="5.5689120000000002E-2"/>
    <n v="0"/>
    <m/>
    <m/>
    <m/>
    <m/>
    <m/>
    <m/>
    <m/>
    <m/>
    <m/>
    <m/>
  </r>
  <r>
    <x v="220"/>
    <x v="6"/>
    <s v="Series 3c"/>
    <n v="4907767.71"/>
    <m/>
    <m/>
    <m/>
    <m/>
    <m/>
    <m/>
    <m/>
    <n v="0"/>
    <m/>
    <n v="0"/>
    <n v="0"/>
    <s v="Private Equity Fund"/>
    <n v="6.1891190000000006E-2"/>
    <n v="0"/>
    <m/>
    <m/>
    <m/>
    <m/>
    <m/>
    <m/>
    <m/>
    <m/>
    <m/>
    <m/>
  </r>
  <r>
    <x v="186"/>
    <x v="6"/>
    <s v="Series 3c"/>
    <n v="4996277.68"/>
    <m/>
    <m/>
    <m/>
    <m/>
    <m/>
    <m/>
    <m/>
    <n v="0"/>
    <m/>
    <n v="0"/>
    <n v="0"/>
    <s v="Private Equity Fund"/>
    <n v="6.1891190000000006E-2"/>
    <n v="0"/>
    <m/>
    <m/>
    <m/>
    <m/>
    <m/>
    <m/>
    <m/>
    <m/>
    <m/>
    <m/>
  </r>
  <r>
    <x v="187"/>
    <x v="6"/>
    <s v="Series 3c"/>
    <n v="4968217.3600000003"/>
    <m/>
    <m/>
    <m/>
    <m/>
    <m/>
    <m/>
    <m/>
    <n v="0"/>
    <m/>
    <n v="0"/>
    <n v="0"/>
    <s v="Private Equity Fund"/>
    <n v="7.5097320000000009E-2"/>
    <n v="0"/>
    <m/>
    <m/>
    <m/>
    <m/>
    <m/>
    <m/>
    <m/>
    <m/>
    <m/>
    <m/>
  </r>
  <r>
    <x v="221"/>
    <x v="6"/>
    <s v="Series 3c"/>
    <m/>
    <m/>
    <m/>
    <m/>
    <m/>
    <n v="-612502.18999999994"/>
    <m/>
    <m/>
    <n v="-612502.18999999994"/>
    <m/>
    <n v="-612502.18999999994"/>
    <n v="-612502.18999999994"/>
    <s v="Private Equity Fund"/>
    <n v="0"/>
    <n v="0"/>
    <m/>
    <m/>
    <m/>
    <m/>
    <m/>
    <m/>
    <m/>
    <m/>
    <m/>
    <m/>
  </r>
  <r>
    <x v="221"/>
    <x v="6"/>
    <s v="Series 3c"/>
    <m/>
    <m/>
    <m/>
    <n v="612502.18999999994"/>
    <m/>
    <m/>
    <m/>
    <m/>
    <n v="612502.18999999994"/>
    <m/>
    <n v="612502.18999999994"/>
    <n v="612502.18999999994"/>
    <s v="Private Equity Fund"/>
    <n v="0"/>
    <n v="0"/>
    <m/>
    <m/>
    <m/>
    <m/>
    <m/>
    <m/>
    <m/>
    <m/>
    <m/>
    <m/>
  </r>
  <r>
    <x v="222"/>
    <x v="6"/>
    <s v="Series 3c"/>
    <n v="5642679.2999999998"/>
    <m/>
    <m/>
    <m/>
    <m/>
    <m/>
    <m/>
    <m/>
    <n v="0"/>
    <m/>
    <n v="0"/>
    <n v="0"/>
    <s v="Private Equity Fund"/>
    <n v="4.010702E-2"/>
    <n v="0.11341399000000001"/>
    <m/>
    <m/>
    <m/>
    <m/>
    <m/>
    <m/>
    <m/>
    <m/>
    <m/>
    <m/>
  </r>
  <r>
    <x v="189"/>
    <x v="6"/>
    <s v="Series 3c"/>
    <n v="6019074.4400000004"/>
    <m/>
    <m/>
    <m/>
    <m/>
    <m/>
    <m/>
    <m/>
    <n v="0"/>
    <m/>
    <n v="0"/>
    <n v="0"/>
    <s v="Private Equity Fund"/>
    <m/>
    <n v="0.17983667"/>
    <m/>
    <m/>
    <m/>
    <m/>
    <m/>
    <m/>
    <m/>
    <m/>
    <m/>
    <m/>
  </r>
  <r>
    <x v="190"/>
    <x v="6"/>
    <s v="Series 3c"/>
    <n v="6036277.8099999996"/>
    <m/>
    <m/>
    <m/>
    <m/>
    <m/>
    <m/>
    <m/>
    <n v="0"/>
    <m/>
    <n v="0"/>
    <n v="0"/>
    <s v="Private Equity Fund"/>
    <m/>
    <n v="0.18287255999999999"/>
    <m/>
    <m/>
    <m/>
    <m/>
    <m/>
    <m/>
    <m/>
    <m/>
    <m/>
    <m/>
  </r>
  <r>
    <x v="223"/>
    <x v="6"/>
    <s v="Series 3c"/>
    <n v="5995205.7699999996"/>
    <m/>
    <m/>
    <m/>
    <m/>
    <m/>
    <m/>
    <m/>
    <n v="0"/>
    <m/>
    <n v="0"/>
    <n v="0"/>
    <s v="Private Equity Fund"/>
    <n v="2.2908349999999997E-2"/>
    <n v="0.17562454999999999"/>
    <m/>
    <m/>
    <m/>
    <m/>
    <m/>
    <m/>
    <m/>
    <m/>
    <m/>
    <m/>
  </r>
  <r>
    <x v="192"/>
    <x v="6"/>
    <s v="Series 3c"/>
    <n v="5940066.8099999996"/>
    <m/>
    <m/>
    <m/>
    <m/>
    <m/>
    <m/>
    <m/>
    <n v="0"/>
    <m/>
    <n v="0"/>
    <n v="0"/>
    <s v="Private Equity Fund"/>
    <m/>
    <n v="0.16589414000000002"/>
    <m/>
    <m/>
    <m/>
    <m/>
    <m/>
    <m/>
    <m/>
    <m/>
    <m/>
    <m/>
  </r>
  <r>
    <x v="193"/>
    <x v="6"/>
    <s v="Series 3c"/>
    <n v="5995774.1900000004"/>
    <m/>
    <m/>
    <m/>
    <m/>
    <m/>
    <m/>
    <m/>
    <n v="0"/>
    <m/>
    <n v="0"/>
    <n v="0"/>
    <s v="Private Equity Fund"/>
    <m/>
    <n v="0.17572485999999998"/>
    <m/>
    <m/>
    <m/>
    <m/>
    <m/>
    <m/>
    <m/>
    <m/>
    <m/>
    <m/>
  </r>
  <r>
    <x v="224"/>
    <x v="6"/>
    <s v="Series 3c"/>
    <n v="5974868.0199999996"/>
    <m/>
    <m/>
    <m/>
    <m/>
    <m/>
    <m/>
    <m/>
    <n v="0"/>
    <m/>
    <n v="0"/>
    <n v="0"/>
    <s v="Private Equity Fund"/>
    <n v="2.332855E-2"/>
    <n v="0.17203552999999999"/>
    <m/>
    <m/>
    <m/>
    <m/>
    <m/>
    <m/>
    <m/>
    <m/>
    <m/>
    <m/>
  </r>
  <r>
    <x v="195"/>
    <x v="6"/>
    <s v="Series 3c"/>
    <n v="5899318.4500000002"/>
    <m/>
    <m/>
    <m/>
    <m/>
    <m/>
    <m/>
    <m/>
    <n v="0"/>
    <m/>
    <n v="0"/>
    <n v="0"/>
    <s v="Private Equity Fund"/>
    <n v="0"/>
    <n v="0.15870326000000001"/>
    <m/>
    <m/>
    <m/>
    <m/>
    <m/>
    <m/>
    <m/>
    <m/>
    <m/>
    <m/>
  </r>
  <r>
    <x v="196"/>
    <x v="6"/>
    <s v="Series 3c"/>
    <n v="5851730.6200000001"/>
    <m/>
    <m/>
    <m/>
    <m/>
    <m/>
    <m/>
    <m/>
    <n v="0"/>
    <m/>
    <n v="0"/>
    <n v="0"/>
    <s v="Private Equity Fund"/>
    <n v="0"/>
    <n v="0.15030540000000001"/>
    <m/>
    <m/>
    <m/>
    <m/>
    <m/>
    <m/>
    <m/>
    <m/>
    <m/>
    <m/>
  </r>
  <r>
    <x v="225"/>
    <x v="6"/>
    <s v="Series 3c"/>
    <n v="5639867.1100000003"/>
    <m/>
    <m/>
    <m/>
    <m/>
    <m/>
    <m/>
    <m/>
    <n v="0"/>
    <e v="#DIV/0!"/>
    <n v="0"/>
    <n v="0"/>
    <s v="Private Equity Fund"/>
    <n v="2.1594599999999999E-2"/>
    <n v="0.11291772"/>
    <m/>
    <m/>
    <m/>
    <m/>
    <m/>
    <m/>
    <m/>
    <m/>
    <m/>
    <m/>
  </r>
  <r>
    <x v="198"/>
    <x v="6"/>
    <s v="Series 3c"/>
    <n v="5569140.0164999999"/>
    <m/>
    <n v="5"/>
    <m/>
    <n v="0"/>
    <n v="0"/>
    <n v="0"/>
    <m/>
    <n v="0"/>
    <e v="#DIV/0!"/>
    <n v="-5569140.0164999999"/>
    <n v="-5569140.0164999999"/>
    <s v="Private Equity Fund"/>
    <n v="2.9293587287426214E-2"/>
    <n v="0.10043647350000004"/>
    <m/>
    <m/>
    <m/>
    <m/>
    <m/>
    <m/>
    <m/>
    <m/>
    <m/>
    <m/>
  </r>
  <r>
    <x v="183"/>
    <x v="6"/>
    <s v="Series 3d"/>
    <n v="908094.29"/>
    <m/>
    <m/>
    <m/>
    <m/>
    <m/>
    <m/>
    <m/>
    <n v="0"/>
    <m/>
    <n v="0"/>
    <n v="0"/>
    <s v="Private Equity Fund"/>
    <n v="1.1552299999999999E-3"/>
    <n v="0"/>
    <m/>
    <m/>
    <m/>
    <m/>
    <m/>
    <m/>
    <m/>
    <m/>
    <m/>
    <m/>
  </r>
  <r>
    <x v="219"/>
    <x v="6"/>
    <s v="Series 3d"/>
    <m/>
    <m/>
    <m/>
    <n v="71462"/>
    <m/>
    <m/>
    <m/>
    <m/>
    <n v="71462"/>
    <m/>
    <n v="71462"/>
    <n v="71462"/>
    <s v="Private Equity Fund"/>
    <n v="0"/>
    <n v="0"/>
    <m/>
    <m/>
    <m/>
    <m/>
    <m/>
    <m/>
    <m/>
    <m/>
    <m/>
    <m/>
  </r>
  <r>
    <x v="219"/>
    <x v="6"/>
    <s v="Series 3d"/>
    <m/>
    <m/>
    <m/>
    <n v="928538"/>
    <m/>
    <m/>
    <m/>
    <m/>
    <n v="928538"/>
    <m/>
    <n v="928538"/>
    <n v="928538"/>
    <s v="Private Equity Fund"/>
    <n v="0"/>
    <n v="0"/>
    <m/>
    <m/>
    <m/>
    <m/>
    <m/>
    <m/>
    <m/>
    <m/>
    <m/>
    <m/>
  </r>
  <r>
    <x v="184"/>
    <x v="6"/>
    <s v="Series 3d"/>
    <n v="977287.12"/>
    <m/>
    <m/>
    <m/>
    <m/>
    <m/>
    <m/>
    <m/>
    <n v="0"/>
    <m/>
    <n v="0"/>
    <n v="0"/>
    <s v="Private Equity Fund"/>
    <n v="1.113782E-2"/>
    <n v="0"/>
    <m/>
    <m/>
    <m/>
    <m/>
    <m/>
    <m/>
    <m/>
    <m/>
    <m/>
    <m/>
  </r>
  <r>
    <x v="220"/>
    <x v="6"/>
    <s v="Series 3d"/>
    <n v="981553.54"/>
    <m/>
    <m/>
    <m/>
    <m/>
    <m/>
    <m/>
    <m/>
    <n v="0"/>
    <m/>
    <n v="0"/>
    <n v="0"/>
    <s v="Private Equity Fund"/>
    <n v="1.237824E-2"/>
    <n v="0"/>
    <m/>
    <m/>
    <m/>
    <m/>
    <m/>
    <m/>
    <m/>
    <m/>
    <m/>
    <m/>
  </r>
  <r>
    <x v="186"/>
    <x v="6"/>
    <s v="Series 3d"/>
    <n v="999255.54"/>
    <m/>
    <m/>
    <m/>
    <m/>
    <m/>
    <m/>
    <m/>
    <n v="0"/>
    <m/>
    <n v="0"/>
    <n v="0"/>
    <s v="Private Equity Fund"/>
    <n v="1.237824E-2"/>
    <n v="0"/>
    <m/>
    <m/>
    <m/>
    <m/>
    <m/>
    <m/>
    <m/>
    <m/>
    <m/>
    <m/>
  </r>
  <r>
    <x v="187"/>
    <x v="6"/>
    <s v="Series 3d"/>
    <n v="993643.47"/>
    <m/>
    <m/>
    <m/>
    <m/>
    <m/>
    <m/>
    <m/>
    <n v="0"/>
    <m/>
    <n v="0"/>
    <n v="0"/>
    <s v="Private Equity Fund"/>
    <n v="1.5019459999999998E-2"/>
    <n v="0"/>
    <m/>
    <m/>
    <m/>
    <m/>
    <m/>
    <m/>
    <m/>
    <m/>
    <m/>
    <m/>
  </r>
  <r>
    <x v="221"/>
    <x v="6"/>
    <s v="Series 3d"/>
    <m/>
    <m/>
    <m/>
    <m/>
    <m/>
    <n v="-122500.44"/>
    <m/>
    <m/>
    <n v="-122500.44"/>
    <m/>
    <n v="-122500.44"/>
    <n v="-122500.44"/>
    <s v="Private Equity Fund"/>
    <n v="0"/>
    <n v="0"/>
    <m/>
    <m/>
    <m/>
    <m/>
    <m/>
    <m/>
    <m/>
    <m/>
    <m/>
    <m/>
  </r>
  <r>
    <x v="221"/>
    <x v="6"/>
    <s v="Series 3d"/>
    <m/>
    <m/>
    <m/>
    <n v="122500.44"/>
    <m/>
    <m/>
    <m/>
    <m/>
    <n v="122500.44"/>
    <m/>
    <n v="122500.44"/>
    <n v="122500.44"/>
    <s v="Private Equity Fund"/>
    <n v="0"/>
    <n v="0"/>
    <m/>
    <m/>
    <m/>
    <m/>
    <m/>
    <m/>
    <m/>
    <m/>
    <m/>
    <m/>
  </r>
  <r>
    <x v="222"/>
    <x v="6"/>
    <s v="Series 3d"/>
    <n v="1128535.8600000001"/>
    <m/>
    <m/>
    <m/>
    <m/>
    <m/>
    <m/>
    <m/>
    <n v="0"/>
    <m/>
    <n v="0"/>
    <n v="0"/>
    <s v="Private Equity Fund"/>
    <n v="8.0213999999999997E-3"/>
    <n v="2.2682799999999999E-2"/>
    <m/>
    <m/>
    <m/>
    <m/>
    <m/>
    <m/>
    <m/>
    <m/>
    <m/>
    <m/>
  </r>
  <r>
    <x v="189"/>
    <x v="6"/>
    <s v="Series 3d"/>
    <n v="1203814.8899999999"/>
    <m/>
    <m/>
    <m/>
    <m/>
    <m/>
    <m/>
    <m/>
    <n v="0"/>
    <m/>
    <n v="0"/>
    <n v="0"/>
    <s v="Private Equity Fund"/>
    <m/>
    <n v="3.5967329999999999E-2"/>
    <m/>
    <m/>
    <m/>
    <m/>
    <m/>
    <m/>
    <m/>
    <m/>
    <m/>
    <m/>
  </r>
  <r>
    <x v="190"/>
    <x v="6"/>
    <s v="Series 3d"/>
    <n v="1207255.56"/>
    <m/>
    <m/>
    <m/>
    <m/>
    <m/>
    <m/>
    <m/>
    <n v="0"/>
    <m/>
    <n v="0"/>
    <n v="0"/>
    <s v="Private Equity Fund"/>
    <m/>
    <n v="3.6574510000000005E-2"/>
    <m/>
    <m/>
    <m/>
    <m/>
    <m/>
    <m/>
    <m/>
    <m/>
    <m/>
    <m/>
  </r>
  <r>
    <x v="223"/>
    <x v="6"/>
    <s v="Series 3d"/>
    <n v="1199041.1499999999"/>
    <m/>
    <m/>
    <m/>
    <m/>
    <m/>
    <m/>
    <m/>
    <n v="0"/>
    <m/>
    <n v="0"/>
    <n v="0"/>
    <s v="Private Equity Fund"/>
    <n v="4.5816700000000004E-3"/>
    <n v="3.5124910000000002E-2"/>
    <m/>
    <m/>
    <m/>
    <m/>
    <m/>
    <m/>
    <m/>
    <m/>
    <m/>
    <m/>
  </r>
  <r>
    <x v="192"/>
    <x v="6"/>
    <s v="Series 3d"/>
    <n v="1188012.6599999999"/>
    <m/>
    <m/>
    <m/>
    <m/>
    <m/>
    <m/>
    <m/>
    <n v="0"/>
    <m/>
    <n v="0"/>
    <n v="0"/>
    <s v="Private Equity Fund"/>
    <m/>
    <n v="3.317871E-2"/>
    <m/>
    <m/>
    <m/>
    <m/>
    <m/>
    <m/>
    <m/>
    <m/>
    <m/>
    <m/>
  </r>
  <r>
    <x v="193"/>
    <x v="6"/>
    <s v="Series 3d"/>
    <n v="1199154.0900000001"/>
    <m/>
    <m/>
    <m/>
    <m/>
    <m/>
    <m/>
    <m/>
    <n v="0"/>
    <m/>
    <n v="0"/>
    <n v="0"/>
    <s v="Private Equity Fund"/>
    <m/>
    <n v="3.5144839999999997E-2"/>
    <m/>
    <m/>
    <m/>
    <m/>
    <m/>
    <m/>
    <m/>
    <m/>
    <m/>
    <m/>
  </r>
  <r>
    <x v="224"/>
    <x v="6"/>
    <s v="Series 3d"/>
    <n v="1194973.5900000001"/>
    <m/>
    <m/>
    <m/>
    <m/>
    <m/>
    <m/>
    <m/>
    <n v="0"/>
    <m/>
    <n v="0"/>
    <n v="0"/>
    <s v="Private Equity Fund"/>
    <n v="4.66571E-3"/>
    <n v="3.4407099999999996E-2"/>
    <m/>
    <m/>
    <m/>
    <m/>
    <m/>
    <m/>
    <m/>
    <m/>
    <m/>
    <m/>
  </r>
  <r>
    <x v="195"/>
    <x v="6"/>
    <s v="Series 3d"/>
    <n v="1179862.93"/>
    <m/>
    <m/>
    <m/>
    <m/>
    <m/>
    <m/>
    <m/>
    <n v="0"/>
    <m/>
    <n v="0"/>
    <n v="0"/>
    <s v="Private Equity Fund"/>
    <n v="0"/>
    <n v="3.1740520000000001E-2"/>
    <m/>
    <m/>
    <m/>
    <m/>
    <m/>
    <m/>
    <m/>
    <m/>
    <m/>
    <m/>
  </r>
  <r>
    <x v="196"/>
    <x v="6"/>
    <s v="Series 3d"/>
    <n v="1170345.3600000001"/>
    <m/>
    <m/>
    <m/>
    <m/>
    <m/>
    <m/>
    <m/>
    <n v="0"/>
    <m/>
    <n v="0"/>
    <n v="0"/>
    <s v="Private Equity Fund"/>
    <n v="0"/>
    <n v="3.0060949999999999E-2"/>
    <m/>
    <m/>
    <m/>
    <m/>
    <m/>
    <m/>
    <m/>
    <m/>
    <m/>
    <m/>
  </r>
  <r>
    <x v="225"/>
    <x v="6"/>
    <s v="Series 3d"/>
    <n v="1127973.3999999999"/>
    <m/>
    <m/>
    <m/>
    <m/>
    <m/>
    <m/>
    <m/>
    <n v="0"/>
    <e v="#DIV/0!"/>
    <n v="0"/>
    <n v="0"/>
    <s v="Private Equity Fund"/>
    <n v="4.3189200000000004E-3"/>
    <n v="2.2583539999999999E-2"/>
    <m/>
    <m/>
    <m/>
    <m/>
    <m/>
    <m/>
    <m/>
    <m/>
    <m/>
    <m/>
  </r>
  <r>
    <x v="198"/>
    <x v="6"/>
    <s v="Series 3d"/>
    <n v="1113827.223"/>
    <m/>
    <n v="1"/>
    <m/>
    <n v="0"/>
    <n v="0"/>
    <n v="0"/>
    <m/>
    <n v="0"/>
    <e v="#DIV/0!"/>
    <n v="-1113827.223"/>
    <n v="-1113827.223"/>
    <s v="Private Equity Fund"/>
    <n v="5.8587161156123981E-3"/>
    <n v="2.0087156999999981E-2"/>
    <m/>
    <m/>
    <m/>
    <m/>
    <m/>
    <m/>
    <m/>
    <m/>
    <m/>
    <m/>
  </r>
  <r>
    <x v="183"/>
    <x v="6"/>
    <s v="Series 3GP"/>
    <n v="909279.87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19"/>
    <x v="6"/>
    <s v="Series 3GP"/>
    <m/>
    <m/>
    <m/>
    <n v="71462"/>
    <m/>
    <m/>
    <m/>
    <m/>
    <n v="71462"/>
    <m/>
    <n v="71462"/>
    <m/>
    <s v="Private Equity Fund"/>
    <n v="0"/>
    <n v="0"/>
    <m/>
    <m/>
    <m/>
    <m/>
    <m/>
    <m/>
    <m/>
    <m/>
    <m/>
    <m/>
  </r>
  <r>
    <x v="219"/>
    <x v="6"/>
    <s v="Series 3GP"/>
    <m/>
    <m/>
    <m/>
    <n v="928538"/>
    <m/>
    <m/>
    <m/>
    <m/>
    <n v="928538"/>
    <m/>
    <n v="928538"/>
    <m/>
    <s v="Private Equity Fund"/>
    <n v="0"/>
    <n v="0"/>
    <m/>
    <m/>
    <m/>
    <m/>
    <m/>
    <m/>
    <m/>
    <m/>
    <m/>
    <m/>
  </r>
  <r>
    <x v="184"/>
    <x v="6"/>
    <s v="Series 3GP"/>
    <n v="988424.95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0"/>
    <x v="6"/>
    <s v="Series 3GP"/>
    <n v="993931.78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6"/>
    <x v="6"/>
    <s v="Series 3GP"/>
    <n v="1011633.78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7"/>
    <x v="6"/>
    <s v="Series 3GP"/>
    <n v="1008662.94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1"/>
    <x v="6"/>
    <s v="Series 3GP"/>
    <m/>
    <m/>
    <m/>
    <m/>
    <m/>
    <n v="-122500.44"/>
    <m/>
    <m/>
    <n v="-122500.44"/>
    <m/>
    <n v="-122500.44"/>
    <m/>
    <s v="Private Equity Fund"/>
    <n v="0"/>
    <n v="0"/>
    <m/>
    <m/>
    <m/>
    <m/>
    <m/>
    <m/>
    <m/>
    <m/>
    <m/>
    <m/>
  </r>
  <r>
    <x v="221"/>
    <x v="6"/>
    <s v="Series 3GP"/>
    <m/>
    <m/>
    <m/>
    <n v="122500.44"/>
    <m/>
    <m/>
    <m/>
    <m/>
    <n v="122500.44"/>
    <m/>
    <n v="122500.44"/>
    <m/>
    <s v="Private Equity Fund"/>
    <n v="0"/>
    <n v="0"/>
    <m/>
    <m/>
    <m/>
    <m/>
    <m/>
    <m/>
    <m/>
    <m/>
    <m/>
    <m/>
  </r>
  <r>
    <x v="222"/>
    <x v="6"/>
    <s v="Series 3GP"/>
    <n v="1159240.06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9"/>
    <x v="6"/>
    <s v="Series 3GP"/>
    <n v="1249492.26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190"/>
    <x v="6"/>
    <s v="Series 3GP"/>
    <n v="1254958.03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223"/>
    <x v="6"/>
    <s v="Series 3GP"/>
    <n v="1246769.1399999999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2"/>
    <x v="6"/>
    <s v="Series 3GP"/>
    <n v="1235408.22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193"/>
    <x v="6"/>
    <s v="Series 3GP"/>
    <n v="1250094.06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224"/>
    <x v="6"/>
    <s v="Series 3GP"/>
    <n v="1246649.48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5"/>
    <x v="6"/>
    <s v="Series 3GP"/>
    <n v="1230473.82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6"/>
    <x v="6"/>
    <s v="Series 3GP"/>
    <n v="1216135.17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5"/>
    <x v="6"/>
    <s v="Series 3GP"/>
    <n v="1172144.6399999999"/>
    <m/>
    <m/>
    <m/>
    <m/>
    <m/>
    <m/>
    <m/>
    <n v="0"/>
    <e v="#DIV/0!"/>
    <n v="0"/>
    <m/>
    <s v="Private Equity Fund"/>
    <n v="0"/>
    <n v="0"/>
    <m/>
    <m/>
    <m/>
    <m/>
    <m/>
    <m/>
    <m/>
    <m/>
    <m/>
    <m/>
  </r>
  <r>
    <x v="198"/>
    <x v="6"/>
    <s v="Series 3GP"/>
    <n v="1152376.17"/>
    <m/>
    <n v="1"/>
    <m/>
    <n v="0"/>
    <n v="0"/>
    <n v="0"/>
    <m/>
    <n v="0"/>
    <e v="#DIV/0!"/>
    <n v="-1152376.17"/>
    <m/>
    <s v="Private Equity Fund"/>
    <n v="0"/>
    <n v="0"/>
    <m/>
    <m/>
    <m/>
    <m/>
    <m/>
    <m/>
    <m/>
    <m/>
    <m/>
    <m/>
  </r>
  <r>
    <x v="221"/>
    <x v="6"/>
    <s v="Series 4a"/>
    <m/>
    <m/>
    <m/>
    <n v="16316"/>
    <m/>
    <m/>
    <m/>
    <m/>
    <n v="16316"/>
    <m/>
    <n v="16316"/>
    <n v="16316"/>
    <s v="Private Equity Fund"/>
    <n v="0"/>
    <n v="0"/>
    <m/>
    <m/>
    <m/>
    <m/>
    <m/>
    <m/>
    <m/>
    <m/>
    <m/>
    <m/>
  </r>
  <r>
    <x v="221"/>
    <x v="6"/>
    <s v="Series 4a"/>
    <m/>
    <m/>
    <m/>
    <n v="133684"/>
    <m/>
    <m/>
    <m/>
    <m/>
    <n v="133684"/>
    <m/>
    <n v="133684"/>
    <n v="133684"/>
    <s v="Private Equity Fund"/>
    <n v="0"/>
    <n v="0"/>
    <m/>
    <m/>
    <m/>
    <m/>
    <m/>
    <m/>
    <m/>
    <m/>
    <m/>
    <m/>
  </r>
  <r>
    <x v="222"/>
    <x v="6"/>
    <s v="Series 4a"/>
    <n v="169842.62"/>
    <m/>
    <m/>
    <m/>
    <m/>
    <m/>
    <m/>
    <m/>
    <n v="0"/>
    <m/>
    <n v="0"/>
    <n v="0"/>
    <s v="Private Equity Fund"/>
    <n v="6.506900000000001E-4"/>
    <n v="3.5016399999999999E-3"/>
    <m/>
    <m/>
    <m/>
    <m/>
    <m/>
    <m/>
    <m/>
    <m/>
    <m/>
    <m/>
  </r>
  <r>
    <x v="189"/>
    <x v="6"/>
    <s v="Series 4a"/>
    <n v="178172.91"/>
    <m/>
    <m/>
    <m/>
    <m/>
    <m/>
    <m/>
    <m/>
    <n v="0"/>
    <m/>
    <n v="0"/>
    <n v="0"/>
    <s v="Private Equity Fund"/>
    <m/>
    <n v="4.97169E-3"/>
    <m/>
    <m/>
    <m/>
    <m/>
    <m/>
    <m/>
    <m/>
    <m/>
    <m/>
    <m/>
  </r>
  <r>
    <x v="190"/>
    <x v="6"/>
    <s v="Series 4a"/>
    <n v="178690.6"/>
    <m/>
    <m/>
    <m/>
    <m/>
    <m/>
    <m/>
    <m/>
    <n v="0"/>
    <m/>
    <n v="0"/>
    <n v="0"/>
    <s v="Private Equity Fund"/>
    <m/>
    <n v="5.0630500000000004E-3"/>
    <m/>
    <m/>
    <m/>
    <m/>
    <m/>
    <m/>
    <m/>
    <m/>
    <m/>
    <m/>
  </r>
  <r>
    <x v="223"/>
    <x v="6"/>
    <s v="Series 4a"/>
    <n v="180416.8"/>
    <m/>
    <m/>
    <m/>
    <m/>
    <m/>
    <m/>
    <m/>
    <n v="0"/>
    <m/>
    <n v="0"/>
    <n v="0"/>
    <s v="Private Equity Fund"/>
    <n v="6.8970000000000001E-4"/>
    <n v="5.3676699999999997E-3"/>
    <m/>
    <m/>
    <m/>
    <m/>
    <m/>
    <m/>
    <m/>
    <m/>
    <m/>
    <m/>
  </r>
  <r>
    <x v="192"/>
    <x v="6"/>
    <s v="Series 4a"/>
    <n v="178764.21"/>
    <m/>
    <m/>
    <m/>
    <m/>
    <m/>
    <m/>
    <m/>
    <n v="0"/>
    <m/>
    <n v="0"/>
    <n v="0"/>
    <s v="Private Equity Fund"/>
    <m/>
    <n v="5.0760399999999995E-3"/>
    <m/>
    <m/>
    <m/>
    <m/>
    <m/>
    <m/>
    <m/>
    <m/>
    <m/>
    <m/>
  </r>
  <r>
    <x v="193"/>
    <x v="6"/>
    <s v="Series 4a"/>
    <n v="180496.42"/>
    <m/>
    <m/>
    <m/>
    <m/>
    <m/>
    <m/>
    <m/>
    <n v="0"/>
    <m/>
    <n v="0"/>
    <n v="0"/>
    <s v="Private Equity Fund"/>
    <m/>
    <n v="5.3817200000000004E-3"/>
    <m/>
    <m/>
    <m/>
    <m/>
    <m/>
    <m/>
    <m/>
    <m/>
    <m/>
    <m/>
  </r>
  <r>
    <x v="224"/>
    <x v="6"/>
    <s v="Series 4a"/>
    <n v="179807.7"/>
    <m/>
    <m/>
    <m/>
    <m/>
    <m/>
    <m/>
    <m/>
    <n v="0"/>
    <m/>
    <n v="0"/>
    <n v="0"/>
    <s v="Private Equity Fund"/>
    <n v="7.0235999999999996E-4"/>
    <n v="5.2601800000000006E-3"/>
    <m/>
    <m/>
    <m/>
    <m/>
    <m/>
    <m/>
    <m/>
    <m/>
    <m/>
    <m/>
  </r>
  <r>
    <x v="195"/>
    <x v="6"/>
    <s v="Series 4a"/>
    <n v="177602.97"/>
    <m/>
    <m/>
    <m/>
    <m/>
    <m/>
    <m/>
    <m/>
    <n v="0"/>
    <m/>
    <n v="0"/>
    <n v="0"/>
    <s v="Private Equity Fund"/>
    <n v="0"/>
    <n v="4.8711099999999997E-3"/>
    <m/>
    <m/>
    <m/>
    <m/>
    <m/>
    <m/>
    <m/>
    <m/>
    <m/>
    <m/>
  </r>
  <r>
    <x v="196"/>
    <x v="6"/>
    <s v="Series 4a"/>
    <n v="176177.76"/>
    <m/>
    <m/>
    <m/>
    <m/>
    <m/>
    <m/>
    <m/>
    <n v="0"/>
    <m/>
    <n v="0"/>
    <n v="0"/>
    <s v="Private Equity Fund"/>
    <n v="0"/>
    <n v="4.6196099999999997E-3"/>
    <m/>
    <m/>
    <m/>
    <m/>
    <m/>
    <m/>
    <m/>
    <m/>
    <m/>
    <m/>
  </r>
  <r>
    <x v="225"/>
    <x v="6"/>
    <s v="Series 4a"/>
    <n v="169758.04"/>
    <m/>
    <m/>
    <m/>
    <m/>
    <m/>
    <m/>
    <m/>
    <n v="0"/>
    <e v="#DIV/0!"/>
    <n v="0"/>
    <n v="0"/>
    <s v="Private Equity Fund"/>
    <n v="6.5032000000000002E-4"/>
    <n v="3.4867100000000001E-3"/>
    <m/>
    <m/>
    <m/>
    <m/>
    <m/>
    <m/>
    <m/>
    <m/>
    <m/>
    <m/>
  </r>
  <r>
    <x v="198"/>
    <x v="6"/>
    <s v="Series 4a"/>
    <n v="167700.63800000001"/>
    <m/>
    <n v="0.15"/>
    <m/>
    <n v="0"/>
    <n v="0"/>
    <n v="0"/>
    <m/>
    <n v="0"/>
    <e v="#DIV/0!"/>
    <n v="-167700.63800000001"/>
    <n v="-167700.63800000001"/>
    <s v="Private Equity Fund"/>
    <n v="8.8229382378804139E-4"/>
    <n v="3.1236419999999998E-3"/>
    <m/>
    <m/>
    <m/>
    <m/>
    <m/>
    <m/>
    <m/>
    <m/>
    <m/>
    <m/>
  </r>
  <r>
    <x v="221"/>
    <x v="6"/>
    <s v="Series 4b"/>
    <m/>
    <m/>
    <m/>
    <n v="10877"/>
    <m/>
    <m/>
    <m/>
    <m/>
    <n v="10877"/>
    <m/>
    <n v="10877"/>
    <n v="10877"/>
    <s v="Private Equity Fund"/>
    <n v="0"/>
    <n v="0"/>
    <m/>
    <m/>
    <m/>
    <m/>
    <m/>
    <m/>
    <m/>
    <m/>
    <m/>
    <m/>
  </r>
  <r>
    <x v="221"/>
    <x v="6"/>
    <s v="Series 4b"/>
    <m/>
    <m/>
    <m/>
    <n v="89123"/>
    <m/>
    <m/>
    <m/>
    <m/>
    <n v="89123"/>
    <m/>
    <n v="89123"/>
    <n v="89123"/>
    <s v="Private Equity Fund"/>
    <n v="0"/>
    <n v="0"/>
    <m/>
    <m/>
    <m/>
    <m/>
    <m/>
    <m/>
    <m/>
    <m/>
    <m/>
    <m/>
  </r>
  <r>
    <x v="222"/>
    <x v="6"/>
    <s v="Series 4b"/>
    <n v="113228.41"/>
    <m/>
    <m/>
    <m/>
    <m/>
    <m/>
    <m/>
    <m/>
    <n v="0"/>
    <m/>
    <n v="0"/>
    <n v="0"/>
    <s v="Private Equity Fund"/>
    <n v="4.3380000000000003E-4"/>
    <n v="2.3344299999999998E-3"/>
    <m/>
    <m/>
    <m/>
    <m/>
    <m/>
    <m/>
    <m/>
    <m/>
    <m/>
    <m/>
  </r>
  <r>
    <x v="189"/>
    <x v="6"/>
    <s v="Series 4b"/>
    <n v="118781.94"/>
    <m/>
    <m/>
    <m/>
    <m/>
    <m/>
    <m/>
    <m/>
    <n v="0"/>
    <m/>
    <n v="0"/>
    <n v="0"/>
    <s v="Private Equity Fund"/>
    <m/>
    <n v="3.31446E-3"/>
    <m/>
    <m/>
    <m/>
    <m/>
    <m/>
    <m/>
    <m/>
    <m/>
    <m/>
    <m/>
  </r>
  <r>
    <x v="190"/>
    <x v="6"/>
    <s v="Series 4b"/>
    <n v="119127.07"/>
    <m/>
    <m/>
    <m/>
    <m/>
    <m/>
    <m/>
    <m/>
    <n v="0"/>
    <m/>
    <n v="0"/>
    <n v="0"/>
    <s v="Private Equity Fund"/>
    <m/>
    <n v="3.37536E-3"/>
    <m/>
    <m/>
    <m/>
    <m/>
    <m/>
    <m/>
    <m/>
    <m/>
    <m/>
    <m/>
  </r>
  <r>
    <x v="223"/>
    <x v="6"/>
    <s v="Series 4b"/>
    <n v="120277.87"/>
    <m/>
    <m/>
    <m/>
    <m/>
    <m/>
    <m/>
    <m/>
    <n v="0"/>
    <m/>
    <n v="0"/>
    <n v="0"/>
    <s v="Private Equity Fund"/>
    <n v="4.5980000000000001E-4"/>
    <n v="3.5784499999999999E-3"/>
    <m/>
    <m/>
    <m/>
    <m/>
    <m/>
    <m/>
    <m/>
    <m/>
    <m/>
    <m/>
  </r>
  <r>
    <x v="192"/>
    <x v="6"/>
    <s v="Series 4b"/>
    <n v="119175.85"/>
    <m/>
    <m/>
    <m/>
    <m/>
    <m/>
    <m/>
    <m/>
    <n v="0"/>
    <m/>
    <n v="0"/>
    <n v="0"/>
    <s v="Private Equity Fund"/>
    <m/>
    <n v="3.3839699999999996E-3"/>
    <m/>
    <m/>
    <m/>
    <m/>
    <m/>
    <m/>
    <m/>
    <m/>
    <m/>
    <m/>
  </r>
  <r>
    <x v="193"/>
    <x v="6"/>
    <s v="Series 4b"/>
    <n v="120330.63"/>
    <m/>
    <m/>
    <m/>
    <m/>
    <m/>
    <m/>
    <m/>
    <n v="0"/>
    <m/>
    <n v="0"/>
    <n v="0"/>
    <s v="Private Equity Fund"/>
    <m/>
    <n v="3.5877600000000002E-3"/>
    <m/>
    <m/>
    <m/>
    <m/>
    <m/>
    <m/>
    <m/>
    <m/>
    <m/>
    <m/>
  </r>
  <r>
    <x v="224"/>
    <x v="6"/>
    <s v="Series 4b"/>
    <n v="119871.81"/>
    <m/>
    <m/>
    <m/>
    <m/>
    <m/>
    <m/>
    <m/>
    <n v="0"/>
    <m/>
    <n v="0"/>
    <n v="0"/>
    <s v="Private Equity Fund"/>
    <n v="4.6824000000000003E-4"/>
    <n v="3.5067900000000001E-3"/>
    <m/>
    <m/>
    <m/>
    <m/>
    <m/>
    <m/>
    <m/>
    <m/>
    <m/>
    <m/>
  </r>
  <r>
    <x v="195"/>
    <x v="6"/>
    <s v="Series 4b"/>
    <n v="118401.67"/>
    <m/>
    <m/>
    <m/>
    <m/>
    <m/>
    <m/>
    <m/>
    <n v="0"/>
    <m/>
    <n v="0"/>
    <n v="0"/>
    <s v="Private Equity Fund"/>
    <n v="0"/>
    <n v="3.24735E-3"/>
    <m/>
    <m/>
    <m/>
    <m/>
    <m/>
    <m/>
    <m/>
    <m/>
    <m/>
    <m/>
  </r>
  <r>
    <x v="196"/>
    <x v="6"/>
    <s v="Series 4b"/>
    <n v="117451.52"/>
    <m/>
    <m/>
    <m/>
    <m/>
    <m/>
    <m/>
    <m/>
    <n v="0"/>
    <m/>
    <n v="0"/>
    <n v="0"/>
    <s v="Private Equity Fund"/>
    <n v="0"/>
    <n v="3.07968E-3"/>
    <m/>
    <m/>
    <m/>
    <m/>
    <m/>
    <m/>
    <m/>
    <m/>
    <m/>
    <m/>
  </r>
  <r>
    <x v="225"/>
    <x v="6"/>
    <s v="Series 4b"/>
    <n v="113172.04"/>
    <m/>
    <m/>
    <m/>
    <m/>
    <m/>
    <m/>
    <m/>
    <n v="0"/>
    <e v="#DIV/0!"/>
    <n v="0"/>
    <n v="0"/>
    <s v="Private Equity Fund"/>
    <n v="4.3354999999999999E-4"/>
    <n v="2.3244799999999999E-3"/>
    <m/>
    <m/>
    <m/>
    <m/>
    <m/>
    <m/>
    <m/>
    <m/>
    <m/>
    <m/>
  </r>
  <r>
    <x v="198"/>
    <x v="6"/>
    <s v="Series 4b"/>
    <n v="111800.0995"/>
    <m/>
    <n v="0.1"/>
    <m/>
    <n v="0"/>
    <n v="0"/>
    <n v="0"/>
    <m/>
    <n v="0"/>
    <e v="#DIV/0!"/>
    <n v="-111800.0995"/>
    <n v="-111800.0995"/>
    <s v="Private Equity Fund"/>
    <n v="5.8819544390917322E-4"/>
    <n v="2.0823704999999998E-3"/>
    <m/>
    <m/>
    <m/>
    <m/>
    <m/>
    <m/>
    <m/>
    <m/>
    <m/>
    <m/>
  </r>
  <r>
    <x v="221"/>
    <x v="6"/>
    <s v="Series 4c"/>
    <m/>
    <m/>
    <m/>
    <n v="27194"/>
    <m/>
    <m/>
    <m/>
    <m/>
    <n v="27194"/>
    <m/>
    <n v="27194"/>
    <n v="27194"/>
    <s v="Private Equity Fund"/>
    <n v="0"/>
    <n v="0"/>
    <m/>
    <m/>
    <m/>
    <m/>
    <m/>
    <m/>
    <m/>
    <m/>
    <m/>
    <m/>
  </r>
  <r>
    <x v="221"/>
    <x v="6"/>
    <s v="Series 4c"/>
    <m/>
    <m/>
    <m/>
    <n v="222806"/>
    <m/>
    <m/>
    <m/>
    <m/>
    <n v="222806"/>
    <m/>
    <n v="222806"/>
    <n v="222806"/>
    <s v="Private Equity Fund"/>
    <n v="0"/>
    <n v="0"/>
    <m/>
    <m/>
    <m/>
    <m/>
    <m/>
    <m/>
    <m/>
    <m/>
    <m/>
    <m/>
  </r>
  <r>
    <x v="222"/>
    <x v="6"/>
    <s v="Series 4c"/>
    <n v="283071.03000000003"/>
    <m/>
    <m/>
    <m/>
    <m/>
    <m/>
    <m/>
    <m/>
    <n v="0"/>
    <m/>
    <n v="0"/>
    <n v="0"/>
    <s v="Private Equity Fund"/>
    <n v="1.08449E-3"/>
    <n v="5.8360600000000006E-3"/>
    <m/>
    <m/>
    <m/>
    <m/>
    <m/>
    <m/>
    <m/>
    <m/>
    <m/>
    <m/>
  </r>
  <r>
    <x v="189"/>
    <x v="6"/>
    <s v="Series 4c"/>
    <n v="296954.84999999998"/>
    <m/>
    <m/>
    <m/>
    <m/>
    <m/>
    <m/>
    <m/>
    <n v="0"/>
    <m/>
    <n v="0"/>
    <n v="0"/>
    <s v="Private Equity Fund"/>
    <m/>
    <n v="8.2861499999999991E-3"/>
    <m/>
    <m/>
    <m/>
    <m/>
    <m/>
    <m/>
    <m/>
    <m/>
    <m/>
    <m/>
  </r>
  <r>
    <x v="190"/>
    <x v="6"/>
    <s v="Series 4c"/>
    <n v="297817.67"/>
    <m/>
    <m/>
    <m/>
    <m/>
    <m/>
    <m/>
    <m/>
    <n v="0"/>
    <m/>
    <n v="0"/>
    <n v="0"/>
    <s v="Private Equity Fund"/>
    <m/>
    <n v="8.4384100000000004E-3"/>
    <m/>
    <m/>
    <m/>
    <m/>
    <m/>
    <m/>
    <m/>
    <m/>
    <m/>
    <m/>
  </r>
  <r>
    <x v="223"/>
    <x v="6"/>
    <s v="Series 4c"/>
    <n v="300694.65999999997"/>
    <m/>
    <m/>
    <m/>
    <m/>
    <m/>
    <m/>
    <m/>
    <n v="0"/>
    <m/>
    <n v="0"/>
    <n v="0"/>
    <s v="Private Equity Fund"/>
    <n v="1.1494999999999999E-3"/>
    <n v="8.9461200000000001E-3"/>
    <m/>
    <m/>
    <m/>
    <m/>
    <m/>
    <m/>
    <m/>
    <m/>
    <m/>
    <m/>
  </r>
  <r>
    <x v="192"/>
    <x v="6"/>
    <s v="Series 4c"/>
    <n v="297940.06"/>
    <m/>
    <m/>
    <m/>
    <m/>
    <m/>
    <m/>
    <m/>
    <n v="0"/>
    <m/>
    <n v="0"/>
    <n v="0"/>
    <s v="Private Equity Fund"/>
    <m/>
    <n v="8.4600100000000004E-3"/>
    <m/>
    <m/>
    <m/>
    <m/>
    <m/>
    <m/>
    <m/>
    <m/>
    <m/>
    <m/>
  </r>
  <r>
    <x v="193"/>
    <x v="6"/>
    <s v="Series 4c"/>
    <n v="300827.05"/>
    <m/>
    <m/>
    <m/>
    <m/>
    <m/>
    <m/>
    <m/>
    <n v="0"/>
    <m/>
    <n v="0"/>
    <n v="0"/>
    <s v="Private Equity Fund"/>
    <m/>
    <n v="8.9694800000000002E-3"/>
    <m/>
    <m/>
    <m/>
    <m/>
    <m/>
    <m/>
    <m/>
    <m/>
    <m/>
    <m/>
  </r>
  <r>
    <x v="224"/>
    <x v="6"/>
    <s v="Series 4c"/>
    <n v="299679.46999999997"/>
    <m/>
    <m/>
    <m/>
    <m/>
    <m/>
    <m/>
    <m/>
    <n v="0"/>
    <m/>
    <n v="0"/>
    <n v="0"/>
    <s v="Private Equity Fund"/>
    <n v="1.1706099999999999E-3"/>
    <n v="8.7669699999999989E-3"/>
    <m/>
    <m/>
    <m/>
    <m/>
    <m/>
    <m/>
    <m/>
    <m/>
    <m/>
    <m/>
  </r>
  <r>
    <x v="195"/>
    <x v="6"/>
    <s v="Series 4c"/>
    <n v="296004.64"/>
    <m/>
    <m/>
    <m/>
    <m/>
    <m/>
    <m/>
    <m/>
    <n v="0"/>
    <m/>
    <n v="0"/>
    <n v="0"/>
    <s v="Private Equity Fund"/>
    <n v="0"/>
    <n v="8.1184700000000009E-3"/>
    <m/>
    <m/>
    <m/>
    <m/>
    <m/>
    <m/>
    <m/>
    <m/>
    <m/>
    <m/>
  </r>
  <r>
    <x v="196"/>
    <x v="6"/>
    <s v="Series 4c"/>
    <n v="293629.28000000003"/>
    <m/>
    <m/>
    <m/>
    <m/>
    <m/>
    <m/>
    <m/>
    <n v="0"/>
    <m/>
    <n v="0"/>
    <n v="0"/>
    <s v="Private Equity Fund"/>
    <n v="0"/>
    <n v="7.6992900000000001E-3"/>
    <m/>
    <m/>
    <m/>
    <m/>
    <m/>
    <m/>
    <m/>
    <m/>
    <m/>
    <m/>
  </r>
  <r>
    <x v="225"/>
    <x v="6"/>
    <s v="Series 4c"/>
    <n v="282930.03000000003"/>
    <m/>
    <m/>
    <m/>
    <m/>
    <m/>
    <m/>
    <m/>
    <n v="0"/>
    <e v="#DIV/0!"/>
    <n v="0"/>
    <n v="0"/>
    <s v="Private Equity Fund"/>
    <n v="1.0838699999999998E-3"/>
    <n v="5.81118E-3"/>
    <m/>
    <m/>
    <m/>
    <m/>
    <m/>
    <m/>
    <m/>
    <m/>
    <m/>
    <m/>
  </r>
  <r>
    <x v="198"/>
    <x v="6"/>
    <s v="Series 4c"/>
    <n v="279500.73749999999"/>
    <m/>
    <n v="0.25"/>
    <m/>
    <n v="0"/>
    <n v="0"/>
    <n v="0"/>
    <m/>
    <n v="0"/>
    <e v="#DIV/0!"/>
    <n v="-279500.73749999999"/>
    <n v="-279500.73749999999"/>
    <s v="Private Equity Fund"/>
    <n v="1.4704890219556445E-3"/>
    <n v="5.2060125E-3"/>
    <m/>
    <m/>
    <m/>
    <m/>
    <m/>
    <m/>
    <m/>
    <m/>
    <m/>
    <m/>
  </r>
  <r>
    <x v="221"/>
    <x v="6"/>
    <s v="Series 4d"/>
    <m/>
    <m/>
    <m/>
    <n v="21755"/>
    <m/>
    <m/>
    <m/>
    <m/>
    <n v="21755"/>
    <m/>
    <n v="21755"/>
    <n v="21755"/>
    <s v="Private Equity Fund"/>
    <n v="0"/>
    <n v="0"/>
    <m/>
    <m/>
    <m/>
    <m/>
    <m/>
    <m/>
    <m/>
    <m/>
    <m/>
    <m/>
  </r>
  <r>
    <x v="221"/>
    <x v="6"/>
    <s v="Series 4d"/>
    <m/>
    <m/>
    <m/>
    <n v="178245"/>
    <m/>
    <m/>
    <m/>
    <m/>
    <n v="178245"/>
    <m/>
    <n v="178245"/>
    <n v="178245"/>
    <s v="Private Equity Fund"/>
    <n v="0"/>
    <n v="0"/>
    <m/>
    <m/>
    <m/>
    <m/>
    <m/>
    <m/>
    <m/>
    <m/>
    <m/>
    <m/>
  </r>
  <r>
    <x v="222"/>
    <x v="6"/>
    <s v="Series 4d"/>
    <n v="231993.2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9"/>
    <x v="6"/>
    <s v="Series 4d"/>
    <n v="245393.01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0"/>
    <x v="6"/>
    <s v="Series 4d"/>
    <n v="246486.16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3"/>
    <x v="6"/>
    <s v="Series 4d"/>
    <n v="249499.8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2"/>
    <x v="6"/>
    <s v="Series 4d"/>
    <n v="247231.78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3"/>
    <x v="6"/>
    <s v="Series 4d"/>
    <n v="250266.01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4"/>
    <x v="6"/>
    <s v="Series 4d"/>
    <n v="249480.8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6"/>
    <s v="Series 4d"/>
    <n v="246344.4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6"/>
    <x v="6"/>
    <s v="Series 4d"/>
    <n v="243478.1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5"/>
    <x v="6"/>
    <s v="Series 4d"/>
    <n v="234583.75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</r>
  <r>
    <x v="198"/>
    <x v="6"/>
    <s v="Series 4d"/>
    <n v="230729.67"/>
    <m/>
    <n v="0.2"/>
    <m/>
    <n v="0"/>
    <n v="0"/>
    <n v="0"/>
    <m/>
    <n v="0"/>
    <e v="#DIV/0!"/>
    <n v="-230729.67"/>
    <n v="-230729.67"/>
    <s v="Private Equity Fund"/>
    <n v="0"/>
    <n v="0"/>
    <m/>
    <m/>
    <m/>
    <m/>
    <m/>
    <m/>
    <m/>
    <m/>
    <m/>
    <m/>
  </r>
  <r>
    <x v="221"/>
    <x v="6"/>
    <s v="Series 4e"/>
    <m/>
    <m/>
    <m/>
    <n v="36983"/>
    <m/>
    <m/>
    <m/>
    <m/>
    <n v="36983"/>
    <m/>
    <n v="36983"/>
    <n v="36983"/>
    <s v="Private Equity Fund"/>
    <n v="0"/>
    <n v="0"/>
    <m/>
    <m/>
    <m/>
    <m/>
    <m/>
    <m/>
    <m/>
    <m/>
    <m/>
    <m/>
  </r>
  <r>
    <x v="221"/>
    <x v="6"/>
    <s v="Series 4e"/>
    <m/>
    <m/>
    <m/>
    <n v="303017"/>
    <m/>
    <m/>
    <m/>
    <m/>
    <n v="303017"/>
    <m/>
    <n v="303017"/>
    <n v="303017"/>
    <s v="Private Equity Fund"/>
    <n v="0"/>
    <n v="0"/>
    <m/>
    <m/>
    <m/>
    <m/>
    <m/>
    <m/>
    <m/>
    <m/>
    <m/>
    <m/>
  </r>
  <r>
    <x v="222"/>
    <x v="6"/>
    <s v="Series 4e"/>
    <n v="394388.5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89"/>
    <x v="6"/>
    <s v="Series 4e"/>
    <n v="417168.12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0"/>
    <x v="6"/>
    <s v="Series 4e"/>
    <n v="419026.48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3"/>
    <x v="6"/>
    <s v="Series 4e"/>
    <n v="424149.6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2"/>
    <x v="6"/>
    <s v="Series 4e"/>
    <n v="420293.51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193"/>
    <x v="6"/>
    <s v="Series 4e"/>
    <n v="425451.65"/>
    <m/>
    <m/>
    <m/>
    <m/>
    <m/>
    <m/>
    <m/>
    <n v="0"/>
    <m/>
    <n v="0"/>
    <n v="0"/>
    <s v="Private Equity Fund"/>
    <m/>
    <n v="0"/>
    <m/>
    <m/>
    <m/>
    <m/>
    <m/>
    <m/>
    <m/>
    <m/>
    <m/>
    <m/>
  </r>
  <r>
    <x v="224"/>
    <x v="6"/>
    <s v="Series 4e"/>
    <n v="424117.4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6"/>
    <s v="Series 4e"/>
    <n v="418784.9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6"/>
    <x v="6"/>
    <s v="Series 4e"/>
    <n v="413912.2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5"/>
    <x v="6"/>
    <s v="Series 4e"/>
    <n v="398792.36"/>
    <m/>
    <m/>
    <m/>
    <m/>
    <m/>
    <m/>
    <m/>
    <n v="0"/>
    <e v="#DIV/0!"/>
    <n v="0"/>
    <n v="0"/>
    <s v="Private Equity Fund"/>
    <n v="0"/>
    <n v="0"/>
    <m/>
    <m/>
    <m/>
    <m/>
    <m/>
    <m/>
    <m/>
    <m/>
    <m/>
    <m/>
  </r>
  <r>
    <x v="198"/>
    <x v="6"/>
    <s v="Series 4e"/>
    <n v="392239.85"/>
    <m/>
    <n v="0.34"/>
    <m/>
    <n v="0"/>
    <n v="0"/>
    <n v="0"/>
    <m/>
    <n v="0"/>
    <e v="#DIV/0!"/>
    <n v="-392239.85"/>
    <n v="-392239.85"/>
    <s v="Private Equity Fund"/>
    <n v="0"/>
    <n v="0"/>
    <m/>
    <m/>
    <m/>
    <m/>
    <m/>
    <m/>
    <m/>
    <m/>
    <m/>
    <m/>
  </r>
  <r>
    <x v="221"/>
    <x v="6"/>
    <s v="Series 4f"/>
    <m/>
    <m/>
    <m/>
    <n v="54387"/>
    <m/>
    <m/>
    <m/>
    <m/>
    <n v="54387"/>
    <m/>
    <n v="54387"/>
    <n v="54387"/>
    <s v="Private Equity Fund"/>
    <n v="0"/>
    <n v="0"/>
    <m/>
    <m/>
    <m/>
    <m/>
    <m/>
    <m/>
    <m/>
    <m/>
    <m/>
    <m/>
  </r>
  <r>
    <x v="221"/>
    <x v="6"/>
    <s v="Series 4f"/>
    <m/>
    <m/>
    <m/>
    <n v="445613"/>
    <m/>
    <m/>
    <m/>
    <m/>
    <n v="445613"/>
    <m/>
    <n v="445613"/>
    <n v="445613"/>
    <s v="Private Equity Fund"/>
    <n v="0"/>
    <n v="0"/>
    <m/>
    <m/>
    <m/>
    <m/>
    <m/>
    <m/>
    <m/>
    <m/>
    <m/>
    <m/>
  </r>
  <r>
    <x v="222"/>
    <x v="6"/>
    <s v="Series 4f"/>
    <n v="566142.06000000006"/>
    <m/>
    <m/>
    <m/>
    <m/>
    <m/>
    <m/>
    <m/>
    <n v="0"/>
    <m/>
    <n v="0"/>
    <n v="0"/>
    <s v="Private Equity Fund"/>
    <n v="2.16898E-3"/>
    <n v="1.1672129999999999E-2"/>
    <m/>
    <m/>
    <m/>
    <m/>
    <m/>
    <m/>
    <m/>
    <m/>
    <m/>
    <m/>
  </r>
  <r>
    <x v="189"/>
    <x v="6"/>
    <s v="Series 4f"/>
    <n v="593909.71"/>
    <m/>
    <m/>
    <m/>
    <m/>
    <m/>
    <m/>
    <m/>
    <n v="0"/>
    <m/>
    <n v="0"/>
    <n v="0"/>
    <s v="Private Equity Fund"/>
    <m/>
    <n v="1.6572299999999998E-2"/>
    <m/>
    <m/>
    <m/>
    <m/>
    <m/>
    <m/>
    <m/>
    <m/>
    <m/>
    <m/>
  </r>
  <r>
    <x v="190"/>
    <x v="6"/>
    <s v="Series 4f"/>
    <n v="595635.34"/>
    <m/>
    <m/>
    <m/>
    <m/>
    <m/>
    <m/>
    <m/>
    <n v="0"/>
    <m/>
    <n v="0"/>
    <n v="0"/>
    <s v="Private Equity Fund"/>
    <m/>
    <n v="1.6876820000000001E-2"/>
    <m/>
    <m/>
    <m/>
    <m/>
    <m/>
    <m/>
    <m/>
    <m/>
    <m/>
    <m/>
  </r>
  <r>
    <x v="223"/>
    <x v="6"/>
    <s v="Series 4f"/>
    <n v="601389.32999999996"/>
    <m/>
    <m/>
    <m/>
    <m/>
    <m/>
    <m/>
    <m/>
    <n v="0"/>
    <m/>
    <n v="0"/>
    <n v="0"/>
    <s v="Private Equity Fund"/>
    <n v="2.2989999999999998E-3"/>
    <n v="1.789224E-2"/>
    <m/>
    <m/>
    <m/>
    <m/>
    <m/>
    <m/>
    <m/>
    <m/>
    <m/>
    <m/>
  </r>
  <r>
    <x v="192"/>
    <x v="6"/>
    <s v="Series 4f"/>
    <n v="595880.13"/>
    <m/>
    <m/>
    <m/>
    <m/>
    <m/>
    <m/>
    <m/>
    <n v="0"/>
    <m/>
    <n v="0"/>
    <n v="0"/>
    <s v="Private Equity Fund"/>
    <m/>
    <n v="1.6920020000000001E-2"/>
    <m/>
    <m/>
    <m/>
    <m/>
    <m/>
    <m/>
    <m/>
    <m/>
    <m/>
    <m/>
  </r>
  <r>
    <x v="193"/>
    <x v="6"/>
    <s v="Series 4f"/>
    <n v="601654.1"/>
    <m/>
    <m/>
    <m/>
    <m/>
    <m/>
    <m/>
    <m/>
    <n v="0"/>
    <m/>
    <n v="0"/>
    <n v="0"/>
    <s v="Private Equity Fund"/>
    <m/>
    <n v="1.793896E-2"/>
    <m/>
    <m/>
    <m/>
    <m/>
    <m/>
    <m/>
    <m/>
    <m/>
    <m/>
    <m/>
  </r>
  <r>
    <x v="224"/>
    <x v="6"/>
    <s v="Series 4f"/>
    <n v="599358.97"/>
    <m/>
    <m/>
    <m/>
    <m/>
    <m/>
    <m/>
    <m/>
    <n v="0"/>
    <m/>
    <n v="0"/>
    <n v="0"/>
    <s v="Private Equity Fund"/>
    <n v="2.3412100000000003E-3"/>
    <n v="1.7533939999999998E-2"/>
    <m/>
    <m/>
    <m/>
    <m/>
    <m/>
    <m/>
    <m/>
    <m/>
    <m/>
    <m/>
  </r>
  <r>
    <x v="195"/>
    <x v="6"/>
    <s v="Series 4f"/>
    <n v="592009.28"/>
    <m/>
    <m/>
    <m/>
    <m/>
    <m/>
    <m/>
    <m/>
    <n v="0"/>
    <m/>
    <n v="0"/>
    <n v="0"/>
    <s v="Private Equity Fund"/>
    <n v="0"/>
    <n v="1.623693E-2"/>
    <m/>
    <m/>
    <m/>
    <m/>
    <m/>
    <m/>
    <m/>
    <m/>
    <m/>
    <m/>
  </r>
  <r>
    <x v="196"/>
    <x v="6"/>
    <s v="Series 4f"/>
    <n v="587258.59"/>
    <m/>
    <m/>
    <m/>
    <m/>
    <m/>
    <m/>
    <m/>
    <n v="0"/>
    <m/>
    <n v="0"/>
    <n v="0"/>
    <s v="Private Equity Fund"/>
    <n v="0"/>
    <n v="1.539857E-2"/>
    <m/>
    <m/>
    <m/>
    <m/>
    <m/>
    <m/>
    <m/>
    <m/>
    <m/>
    <m/>
  </r>
  <r>
    <x v="225"/>
    <x v="6"/>
    <s v="Series 4f"/>
    <n v="565860.11"/>
    <m/>
    <m/>
    <m/>
    <m/>
    <m/>
    <m/>
    <m/>
    <n v="0"/>
    <e v="#DIV/0!"/>
    <n v="0"/>
    <n v="0"/>
    <s v="Private Equity Fund"/>
    <n v="2.1677300000000001E-3"/>
    <n v="1.1622370000000002E-2"/>
    <m/>
    <m/>
    <m/>
    <m/>
    <m/>
    <m/>
    <m/>
    <m/>
    <m/>
    <m/>
  </r>
  <r>
    <x v="198"/>
    <x v="6"/>
    <s v="Series 4f"/>
    <n v="559001.47499999998"/>
    <m/>
    <n v="0.5"/>
    <m/>
    <n v="0"/>
    <n v="0"/>
    <n v="0"/>
    <m/>
    <n v="0"/>
    <e v="#DIV/0!"/>
    <n v="-559001.47499999998"/>
    <n v="-559001.47499999998"/>
    <s v="Private Equity Fund"/>
    <n v="2.9409783032145025E-3"/>
    <n v="1.0412025E-2"/>
    <m/>
    <m/>
    <m/>
    <m/>
    <m/>
    <m/>
    <m/>
    <m/>
    <m/>
    <m/>
  </r>
  <r>
    <x v="221"/>
    <x v="6"/>
    <s v="Series 4g"/>
    <m/>
    <m/>
    <m/>
    <n v="543870"/>
    <m/>
    <m/>
    <m/>
    <m/>
    <n v="543870"/>
    <m/>
    <n v="543870"/>
    <n v="543870"/>
    <s v="Private Equity Fund"/>
    <n v="0"/>
    <n v="0"/>
    <m/>
    <m/>
    <m/>
    <m/>
    <m/>
    <m/>
    <m/>
    <m/>
    <m/>
    <m/>
  </r>
  <r>
    <x v="221"/>
    <x v="6"/>
    <s v="Series 4g"/>
    <m/>
    <m/>
    <m/>
    <n v="4456130"/>
    <m/>
    <m/>
    <m/>
    <m/>
    <n v="4456130"/>
    <m/>
    <n v="4456130"/>
    <n v="4456130"/>
    <s v="Private Equity Fund"/>
    <n v="0"/>
    <n v="0"/>
    <m/>
    <m/>
    <m/>
    <m/>
    <m/>
    <m/>
    <m/>
    <m/>
    <m/>
    <m/>
  </r>
  <r>
    <x v="222"/>
    <x v="6"/>
    <s v="Series 4g"/>
    <n v="5661420.6100000003"/>
    <m/>
    <m/>
    <m/>
    <m/>
    <m/>
    <m/>
    <m/>
    <n v="0"/>
    <m/>
    <n v="0"/>
    <n v="0"/>
    <s v="Private Equity Fund"/>
    <n v="2.1689779999999999E-2"/>
    <n v="0.11672128"/>
    <m/>
    <m/>
    <m/>
    <m/>
    <m/>
    <m/>
    <m/>
    <m/>
    <m/>
    <m/>
  </r>
  <r>
    <x v="189"/>
    <x v="6"/>
    <s v="Series 4g"/>
    <n v="5939097.0599999996"/>
    <m/>
    <m/>
    <m/>
    <m/>
    <m/>
    <m/>
    <m/>
    <n v="0"/>
    <m/>
    <n v="0"/>
    <n v="0"/>
    <s v="Private Equity Fund"/>
    <m/>
    <n v="0.16572301"/>
    <m/>
    <m/>
    <m/>
    <m/>
    <m/>
    <m/>
    <m/>
    <m/>
    <m/>
    <m/>
  </r>
  <r>
    <x v="190"/>
    <x v="6"/>
    <s v="Series 4g"/>
    <n v="5956353.3399999999"/>
    <m/>
    <m/>
    <m/>
    <m/>
    <m/>
    <m/>
    <m/>
    <n v="0"/>
    <m/>
    <n v="0"/>
    <n v="0"/>
    <s v="Private Equity Fund"/>
    <m/>
    <n v="0.16876823999999999"/>
    <m/>
    <m/>
    <m/>
    <m/>
    <m/>
    <m/>
    <m/>
    <m/>
    <m/>
    <m/>
  </r>
  <r>
    <x v="223"/>
    <x v="6"/>
    <s v="Series 4g"/>
    <n v="6013893.3099999996"/>
    <m/>
    <m/>
    <m/>
    <m/>
    <m/>
    <m/>
    <m/>
    <n v="0"/>
    <m/>
    <n v="0"/>
    <n v="0"/>
    <s v="Private Equity Fund"/>
    <n v="2.2989970000000002E-2"/>
    <n v="0.17892235000000001"/>
    <m/>
    <m/>
    <m/>
    <m/>
    <m/>
    <m/>
    <m/>
    <m/>
    <m/>
    <m/>
  </r>
  <r>
    <x v="192"/>
    <x v="6"/>
    <s v="Series 4g"/>
    <n v="5958803.8099999996"/>
    <m/>
    <m/>
    <m/>
    <m/>
    <m/>
    <m/>
    <m/>
    <n v="0"/>
    <m/>
    <n v="0"/>
    <n v="0"/>
    <s v="Private Equity Fund"/>
    <m/>
    <n v="0.16920067000000003"/>
    <m/>
    <m/>
    <m/>
    <m/>
    <m/>
    <m/>
    <m/>
    <m/>
    <m/>
    <m/>
  </r>
  <r>
    <x v="193"/>
    <x v="6"/>
    <s v="Series 4g"/>
    <n v="6016543.7000000002"/>
    <m/>
    <m/>
    <m/>
    <m/>
    <m/>
    <m/>
    <m/>
    <n v="0"/>
    <m/>
    <n v="0"/>
    <n v="0"/>
    <s v="Private Equity Fund"/>
    <m/>
    <n v="0.17939005999999999"/>
    <m/>
    <m/>
    <m/>
    <m/>
    <m/>
    <m/>
    <m/>
    <m/>
    <m/>
    <m/>
  </r>
  <r>
    <x v="224"/>
    <x v="6"/>
    <s v="Series 4g"/>
    <n v="5993589.7199999997"/>
    <m/>
    <m/>
    <m/>
    <m/>
    <m/>
    <m/>
    <m/>
    <n v="0"/>
    <m/>
    <n v="0"/>
    <n v="0"/>
    <s v="Private Equity Fund"/>
    <n v="2.3412139999999998E-2"/>
    <n v="0.17533936"/>
    <m/>
    <m/>
    <m/>
    <m/>
    <m/>
    <m/>
    <m/>
    <m/>
    <m/>
    <m/>
  </r>
  <r>
    <x v="195"/>
    <x v="6"/>
    <s v="Series 4g"/>
    <n v="5920095.4699999997"/>
    <m/>
    <m/>
    <m/>
    <m/>
    <m/>
    <m/>
    <m/>
    <n v="0"/>
    <m/>
    <n v="0"/>
    <n v="0"/>
    <s v="Private Equity Fund"/>
    <n v="0"/>
    <n v="0.16236979000000001"/>
    <m/>
    <m/>
    <m/>
    <m/>
    <m/>
    <m/>
    <m/>
    <m/>
    <m/>
    <m/>
  </r>
  <r>
    <x v="196"/>
    <x v="6"/>
    <s v="Series 4g"/>
    <n v="5872588.5899999999"/>
    <m/>
    <m/>
    <m/>
    <m/>
    <m/>
    <m/>
    <m/>
    <n v="0"/>
    <m/>
    <n v="0"/>
    <n v="0"/>
    <s v="Private Equity Fund"/>
    <n v="0"/>
    <n v="0.15398622000000001"/>
    <m/>
    <m/>
    <m/>
    <m/>
    <m/>
    <m/>
    <m/>
    <m/>
    <m/>
    <m/>
  </r>
  <r>
    <x v="225"/>
    <x v="6"/>
    <s v="Series 4g"/>
    <n v="5658601"/>
    <m/>
    <m/>
    <m/>
    <m/>
    <m/>
    <m/>
    <m/>
    <n v="0"/>
    <e v="#DIV/0!"/>
    <n v="0"/>
    <n v="0"/>
    <s v="Private Equity Fund"/>
    <n v="2.1677330000000002E-2"/>
    <n v="0.11622371000000001"/>
    <m/>
    <m/>
    <m/>
    <m/>
    <m/>
    <m/>
    <m/>
    <m/>
    <m/>
    <m/>
  </r>
  <r>
    <x v="198"/>
    <x v="6"/>
    <s v="Series 4g"/>
    <n v="5590017.5975000001"/>
    <m/>
    <n v="5"/>
    <m/>
    <n v="0"/>
    <n v="0"/>
    <n v="0"/>
    <m/>
    <n v="0"/>
    <e v="#DIV/0!"/>
    <n v="-5590017.5975000001"/>
    <n v="-5590017.5975000001"/>
    <s v="Private Equity Fund"/>
    <n v="2.9409787266424143E-2"/>
    <n v="0.10412075249999994"/>
    <m/>
    <m/>
    <m/>
    <m/>
    <m/>
    <m/>
    <m/>
    <m/>
    <m/>
    <m/>
  </r>
  <r>
    <x v="221"/>
    <x v="6"/>
    <s v="Series 4GP"/>
    <m/>
    <m/>
    <m/>
    <n v="516677"/>
    <m/>
    <m/>
    <m/>
    <m/>
    <n v="516677"/>
    <m/>
    <n v="516677"/>
    <m/>
    <s v="Private Equity Fund"/>
    <n v="0"/>
    <n v="0"/>
    <m/>
    <m/>
    <m/>
    <m/>
    <m/>
    <m/>
    <m/>
    <m/>
    <m/>
    <m/>
  </r>
  <r>
    <x v="221"/>
    <x v="6"/>
    <s v="Series 4GP"/>
    <m/>
    <m/>
    <m/>
    <n v="4233323"/>
    <m/>
    <m/>
    <m/>
    <m/>
    <n v="4233323"/>
    <m/>
    <n v="4233323"/>
    <m/>
    <s v="Private Equity Fund"/>
    <n v="0"/>
    <n v="0"/>
    <m/>
    <m/>
    <m/>
    <m/>
    <m/>
    <m/>
    <m/>
    <m/>
    <m/>
    <m/>
  </r>
  <r>
    <x v="222"/>
    <x v="6"/>
    <s v="Series 4GP"/>
    <n v="5509840.080000000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89"/>
    <x v="6"/>
    <s v="Series 4GP"/>
    <n v="5828083.9800000004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190"/>
    <x v="6"/>
    <s v="Series 4GP"/>
    <n v="5854046.4100000001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223"/>
    <x v="6"/>
    <s v="Series 4GP"/>
    <n v="5925620.6399999997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2"/>
    <x v="6"/>
    <s v="Series 4GP"/>
    <n v="5871742.2699999996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193"/>
    <x v="6"/>
    <s v="Series 4GP"/>
    <n v="5943804.2400000002"/>
    <m/>
    <m/>
    <m/>
    <m/>
    <m/>
    <m/>
    <m/>
    <n v="0"/>
    <m/>
    <n v="0"/>
    <m/>
    <s v="Private Equity Fund"/>
    <m/>
    <n v="0"/>
    <m/>
    <m/>
    <m/>
    <m/>
    <m/>
    <m/>
    <m/>
    <m/>
    <m/>
    <m/>
  </r>
  <r>
    <x v="224"/>
    <x v="6"/>
    <s v="Series 4GP"/>
    <n v="5925169.9400000004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5"/>
    <x v="6"/>
    <s v="Series 4GP"/>
    <n v="5850666.5700000003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6"/>
    <x v="6"/>
    <s v="Series 4GP"/>
    <n v="5782592.3099999996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5"/>
    <x v="6"/>
    <s v="Series 4GP"/>
    <n v="5571364.2599999998"/>
    <m/>
    <m/>
    <m/>
    <m/>
    <m/>
    <m/>
    <m/>
    <n v="0"/>
    <e v="#DIV/0!"/>
    <n v="0"/>
    <m/>
    <s v="Private Equity Fund"/>
    <n v="0"/>
    <n v="0"/>
    <m/>
    <m/>
    <m/>
    <m/>
    <m/>
    <m/>
    <m/>
    <m/>
    <m/>
    <m/>
  </r>
  <r>
    <x v="198"/>
    <x v="6"/>
    <s v="Series 4GP"/>
    <n v="5479815.54"/>
    <m/>
    <n v="4.75"/>
    <m/>
    <n v="0"/>
    <n v="0"/>
    <n v="0"/>
    <m/>
    <n v="0"/>
    <e v="#DIV/0!"/>
    <n v="-5479815.54"/>
    <m/>
    <s v="Private Equity Fund"/>
    <n v="0"/>
    <n v="0"/>
    <m/>
    <m/>
    <m/>
    <m/>
    <m/>
    <m/>
    <m/>
    <m/>
    <m/>
    <m/>
  </r>
  <r>
    <x v="226"/>
    <x v="7"/>
    <s v="Series 1a"/>
    <m/>
    <m/>
    <m/>
    <n v="3079187.66"/>
    <m/>
    <m/>
    <m/>
    <m/>
    <n v="3079187.66"/>
    <m/>
    <n v="3079187.66"/>
    <n v="3079187.66"/>
    <s v="Private Equity Fund"/>
    <n v="0"/>
    <n v="0"/>
    <m/>
    <m/>
    <m/>
    <m/>
    <m/>
    <m/>
    <m/>
    <m/>
    <m/>
    <m/>
  </r>
  <r>
    <x v="224"/>
    <x v="7"/>
    <s v="Series 1a"/>
    <n v="3087670.9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a"/>
    <n v="3097256.1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a"/>
    <m/>
    <m/>
    <m/>
    <n v="-970645.93366353028"/>
    <m/>
    <m/>
    <m/>
    <m/>
    <n v="-970645.93366353028"/>
    <m/>
    <n v="-970645.93366353028"/>
    <n v="-970645.93366353028"/>
    <s v="Private Equity Fund"/>
    <n v="0"/>
    <n v="0"/>
    <m/>
    <m/>
    <m/>
    <m/>
    <m/>
    <m/>
    <m/>
    <m/>
    <m/>
    <m/>
  </r>
  <r>
    <x v="196"/>
    <x v="7"/>
    <s v="Series 1a"/>
    <n v="2112090.2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a"/>
    <m/>
    <m/>
    <m/>
    <n v="424497.08"/>
    <m/>
    <m/>
    <m/>
    <m/>
    <n v="424497.08"/>
    <m/>
    <n v="424497.08"/>
    <n v="424497.08"/>
    <s v="Private Equity Fund"/>
    <n v="0"/>
    <n v="0"/>
    <m/>
    <m/>
    <m/>
    <m/>
    <m/>
    <m/>
    <m/>
    <m/>
    <m/>
    <m/>
  </r>
  <r>
    <x v="197"/>
    <x v="7"/>
    <s v="Series 1a"/>
    <n v="2558906.7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a"/>
    <n v="2943699.86"/>
    <m/>
    <n v="3.0791876600000001"/>
    <n v="278250.09999999992"/>
    <n v="0"/>
    <n v="0"/>
    <n v="0"/>
    <m/>
    <n v="278250.09999999992"/>
    <m/>
    <n v="-2665449.7599999998"/>
    <n v="-2665449.7599999998"/>
    <s v="Private Equity Fund"/>
    <n v="0"/>
    <n v="0"/>
    <m/>
    <m/>
    <m/>
    <m/>
    <m/>
    <m/>
    <m/>
    <m/>
    <m/>
    <m/>
  </r>
  <r>
    <x v="226"/>
    <x v="7"/>
    <s v="Series 1b"/>
    <m/>
    <m/>
    <m/>
    <n v="371469.01"/>
    <m/>
    <m/>
    <m/>
    <m/>
    <n v="371469.01"/>
    <m/>
    <n v="371469.01"/>
    <n v="371469.01"/>
    <s v="Private Equity Fund"/>
    <n v="0"/>
    <n v="0"/>
    <m/>
    <m/>
    <m/>
    <m/>
    <m/>
    <m/>
    <m/>
    <m/>
    <m/>
    <m/>
  </r>
  <r>
    <x v="224"/>
    <x v="7"/>
    <s v="Series 1b"/>
    <n v="372492.4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b"/>
    <n v="373648.7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b"/>
    <m/>
    <m/>
    <m/>
    <n v="-117097.40236256353"/>
    <m/>
    <m/>
    <m/>
    <m/>
    <n v="-117097.40236256353"/>
    <m/>
    <n v="-117097.40236256353"/>
    <n v="-117097.40236256353"/>
    <s v="Private Equity Fund"/>
    <n v="0"/>
    <n v="0"/>
    <m/>
    <m/>
    <m/>
    <m/>
    <m/>
    <m/>
    <m/>
    <m/>
    <m/>
    <m/>
  </r>
  <r>
    <x v="196"/>
    <x v="7"/>
    <s v="Series 1b"/>
    <n v="254799.6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b"/>
    <m/>
    <m/>
    <m/>
    <n v="51210.75"/>
    <m/>
    <m/>
    <m/>
    <m/>
    <n v="51210.75"/>
    <m/>
    <n v="51210.75"/>
    <n v="51210.75"/>
    <s v="Private Equity Fund"/>
    <n v="0"/>
    <n v="0"/>
    <m/>
    <m/>
    <m/>
    <m/>
    <m/>
    <m/>
    <m/>
    <m/>
    <m/>
    <m/>
  </r>
  <r>
    <x v="197"/>
    <x v="7"/>
    <s v="Series 1b"/>
    <n v="308703.0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b"/>
    <n v="355123.96"/>
    <m/>
    <n v="0.37146900999999999"/>
    <n v="33567.719999999987"/>
    <n v="0"/>
    <n v="0"/>
    <n v="0"/>
    <m/>
    <n v="33567.719999999987"/>
    <m/>
    <n v="-321556.24000000005"/>
    <n v="-321556.24000000005"/>
    <s v="Private Equity Fund"/>
    <n v="0"/>
    <n v="0"/>
    <m/>
    <m/>
    <m/>
    <m/>
    <m/>
    <m/>
    <m/>
    <m/>
    <m/>
    <m/>
  </r>
  <r>
    <x v="226"/>
    <x v="7"/>
    <s v="Series 1c"/>
    <m/>
    <m/>
    <m/>
    <n v="762359.54"/>
    <m/>
    <m/>
    <m/>
    <m/>
    <n v="762359.54"/>
    <m/>
    <n v="762359.54"/>
    <n v="762359.54"/>
    <s v="Private Equity Fund"/>
    <n v="0"/>
    <n v="0"/>
    <m/>
    <m/>
    <m/>
    <m/>
    <m/>
    <m/>
    <m/>
    <m/>
    <m/>
    <m/>
  </r>
  <r>
    <x v="224"/>
    <x v="7"/>
    <s v="Series 1c"/>
    <n v="764459.8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c"/>
    <n v="766833.0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c"/>
    <m/>
    <m/>
    <m/>
    <n v="-240317.00982324383"/>
    <m/>
    <m/>
    <m/>
    <m/>
    <n v="-240317.00982324383"/>
    <m/>
    <n v="-240317.00982324383"/>
    <n v="-240317.00982324383"/>
    <s v="Private Equity Fund"/>
    <n v="0"/>
    <n v="0"/>
    <m/>
    <m/>
    <m/>
    <m/>
    <m/>
    <m/>
    <m/>
    <m/>
    <m/>
    <m/>
  </r>
  <r>
    <x v="196"/>
    <x v="7"/>
    <s v="Series 1c"/>
    <n v="522921.0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c"/>
    <m/>
    <m/>
    <m/>
    <n v="105098.95"/>
    <m/>
    <m/>
    <m/>
    <m/>
    <n v="105098.95"/>
    <m/>
    <n v="105098.95"/>
    <n v="105098.95"/>
    <s v="Private Equity Fund"/>
    <n v="0"/>
    <n v="0"/>
    <m/>
    <m/>
    <m/>
    <m/>
    <m/>
    <m/>
    <m/>
    <m/>
    <m/>
    <m/>
  </r>
  <r>
    <x v="197"/>
    <x v="7"/>
    <s v="Series 1c"/>
    <n v="633545.9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c"/>
    <n v="728814.84"/>
    <m/>
    <n v="0.76235954000000006"/>
    <n v="68890.440000000031"/>
    <n v="0"/>
    <n v="0"/>
    <n v="0"/>
    <m/>
    <n v="68890.440000000031"/>
    <m/>
    <n v="-659924.39999999991"/>
    <n v="-659924.39999999991"/>
    <s v="Private Equity Fund"/>
    <n v="0"/>
    <n v="0"/>
    <m/>
    <m/>
    <m/>
    <m/>
    <m/>
    <m/>
    <m/>
    <m/>
    <m/>
    <m/>
  </r>
  <r>
    <x v="226"/>
    <x v="7"/>
    <s v="Series 1d"/>
    <m/>
    <m/>
    <m/>
    <n v="699505.07"/>
    <m/>
    <m/>
    <m/>
    <m/>
    <n v="699505.07"/>
    <m/>
    <n v="699505.07"/>
    <n v="699505.07"/>
    <s v="Private Equity Fund"/>
    <n v="0"/>
    <n v="0"/>
    <m/>
    <m/>
    <m/>
    <m/>
    <m/>
    <m/>
    <m/>
    <m/>
    <m/>
    <m/>
  </r>
  <r>
    <x v="224"/>
    <x v="7"/>
    <s v="Series 1d"/>
    <n v="701432.2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d"/>
    <n v="703609.7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d"/>
    <m/>
    <m/>
    <m/>
    <n v="-220503.52689173142"/>
    <m/>
    <m/>
    <m/>
    <m/>
    <n v="-220503.52689173142"/>
    <m/>
    <n v="-220503.52689173142"/>
    <n v="-220503.52689173142"/>
    <s v="Private Equity Fund"/>
    <n v="0"/>
    <n v="0"/>
    <m/>
    <m/>
    <m/>
    <m/>
    <m/>
    <m/>
    <m/>
    <m/>
    <m/>
    <m/>
  </r>
  <r>
    <x v="196"/>
    <x v="7"/>
    <s v="Series 1d"/>
    <n v="479807.6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d"/>
    <m/>
    <m/>
    <m/>
    <n v="96433.83"/>
    <m/>
    <m/>
    <m/>
    <m/>
    <n v="96433.83"/>
    <m/>
    <n v="96433.83"/>
    <n v="96433.83"/>
    <s v="Private Equity Fund"/>
    <n v="0"/>
    <n v="0"/>
    <m/>
    <m/>
    <m/>
    <m/>
    <m/>
    <m/>
    <m/>
    <m/>
    <m/>
    <m/>
  </r>
  <r>
    <x v="197"/>
    <x v="7"/>
    <s v="Series 1d"/>
    <n v="581311.8299999999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d"/>
    <n v="668726.04"/>
    <m/>
    <n v="0.69950506999999995"/>
    <n v="63210.62000000001"/>
    <n v="0"/>
    <n v="0"/>
    <n v="0"/>
    <m/>
    <n v="63210.62000000001"/>
    <m/>
    <n v="-605515.42000000004"/>
    <n v="-605515.42000000004"/>
    <s v="Private Equity Fund"/>
    <n v="0"/>
    <n v="0"/>
    <m/>
    <m/>
    <m/>
    <m/>
    <m/>
    <m/>
    <m/>
    <m/>
    <m/>
    <m/>
  </r>
  <r>
    <x v="226"/>
    <x v="7"/>
    <s v="Series 1e"/>
    <m/>
    <m/>
    <m/>
    <n v="200000"/>
    <m/>
    <m/>
    <m/>
    <m/>
    <n v="200000"/>
    <m/>
    <n v="200000"/>
    <n v="200000"/>
    <s v="Private Equity Fund"/>
    <n v="0"/>
    <n v="0"/>
    <m/>
    <m/>
    <m/>
    <m/>
    <m/>
    <m/>
    <m/>
    <m/>
    <m/>
    <m/>
  </r>
  <r>
    <x v="224"/>
    <x v="7"/>
    <s v="Series 1e"/>
    <n v="200551.0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e"/>
    <n v="201173.5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e"/>
    <m/>
    <m/>
    <m/>
    <n v="-63045.582558900962"/>
    <m/>
    <m/>
    <m/>
    <m/>
    <n v="-63045.582558900962"/>
    <m/>
    <n v="-63045.582558900962"/>
    <n v="-63045.582558900962"/>
    <s v="Private Equity Fund"/>
    <n v="0"/>
    <n v="0"/>
    <m/>
    <m/>
    <m/>
    <m/>
    <m/>
    <m/>
    <m/>
    <m/>
    <m/>
    <m/>
  </r>
  <r>
    <x v="196"/>
    <x v="7"/>
    <s v="Series 1e"/>
    <n v="137184.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e"/>
    <m/>
    <m/>
    <m/>
    <n v="27572.02"/>
    <m/>
    <m/>
    <m/>
    <m/>
    <n v="27572.02"/>
    <m/>
    <n v="27572.02"/>
    <n v="27572.02"/>
    <s v="Private Equity Fund"/>
    <n v="0"/>
    <n v="0"/>
    <m/>
    <m/>
    <m/>
    <m/>
    <m/>
    <m/>
    <m/>
    <m/>
    <m/>
    <m/>
  </r>
  <r>
    <x v="197"/>
    <x v="7"/>
    <s v="Series 1e"/>
    <n v="166206.6099999999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e"/>
    <n v="208600.38"/>
    <m/>
    <n v="0.2"/>
    <n v="18072.959999999992"/>
    <n v="0"/>
    <n v="0"/>
    <n v="0"/>
    <m/>
    <n v="18072.959999999992"/>
    <m/>
    <n v="-190527.42"/>
    <n v="-190527.42"/>
    <s v="Private Equity Fund"/>
    <n v="0"/>
    <n v="0"/>
    <m/>
    <m/>
    <m/>
    <m/>
    <m/>
    <m/>
    <m/>
    <m/>
    <m/>
    <m/>
  </r>
  <r>
    <x v="226"/>
    <x v="7"/>
    <s v="Series 1f"/>
    <m/>
    <m/>
    <m/>
    <n v="250000"/>
    <m/>
    <m/>
    <m/>
    <m/>
    <n v="250000"/>
    <m/>
    <n v="250000"/>
    <n v="250000"/>
    <s v="Private Equity Fund"/>
    <n v="0"/>
    <n v="0"/>
    <m/>
    <m/>
    <m/>
    <m/>
    <m/>
    <m/>
    <m/>
    <m/>
    <m/>
    <m/>
  </r>
  <r>
    <x v="224"/>
    <x v="7"/>
    <s v="Series 1f"/>
    <n v="250688.7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f"/>
    <n v="251466.9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f"/>
    <m/>
    <m/>
    <m/>
    <n v="-78806.980698626197"/>
    <m/>
    <m/>
    <m/>
    <m/>
    <n v="-78806.980698626197"/>
    <m/>
    <n v="-78806.980698626197"/>
    <n v="-78806.980698626197"/>
    <s v="Private Equity Fund"/>
    <n v="0"/>
    <n v="0"/>
    <m/>
    <m/>
    <m/>
    <m/>
    <m/>
    <m/>
    <m/>
    <m/>
    <m/>
    <m/>
  </r>
  <r>
    <x v="196"/>
    <x v="7"/>
    <s v="Series 1f"/>
    <n v="171481.1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f"/>
    <m/>
    <m/>
    <m/>
    <n v="34465.019999999997"/>
    <m/>
    <m/>
    <m/>
    <m/>
    <n v="34465.019999999997"/>
    <m/>
    <n v="34465.019999999997"/>
    <n v="34465.019999999997"/>
    <s v="Private Equity Fund"/>
    <n v="0"/>
    <n v="0"/>
    <m/>
    <m/>
    <m/>
    <m/>
    <m/>
    <m/>
    <m/>
    <m/>
    <m/>
    <m/>
  </r>
  <r>
    <x v="197"/>
    <x v="7"/>
    <s v="Series 1f"/>
    <n v="207758.2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f"/>
    <n v="238999.71"/>
    <m/>
    <n v="0.25"/>
    <n v="22591.189999999995"/>
    <n v="0"/>
    <n v="0"/>
    <n v="0"/>
    <m/>
    <n v="22591.189999999995"/>
    <m/>
    <n v="-216408.52"/>
    <n v="-216408.52"/>
    <s v="Private Equity Fund"/>
    <n v="0"/>
    <n v="0"/>
    <m/>
    <m/>
    <m/>
    <m/>
    <m/>
    <m/>
    <m/>
    <m/>
    <m/>
    <m/>
  </r>
  <r>
    <x v="226"/>
    <x v="7"/>
    <s v="Series 1g"/>
    <m/>
    <m/>
    <m/>
    <n v="200000"/>
    <m/>
    <m/>
    <m/>
    <m/>
    <n v="200000"/>
    <m/>
    <n v="200000"/>
    <n v="200000"/>
    <s v="Private Equity Fund"/>
    <n v="0"/>
    <n v="0"/>
    <m/>
    <m/>
    <m/>
    <m/>
    <m/>
    <m/>
    <m/>
    <m/>
    <m/>
    <m/>
  </r>
  <r>
    <x v="224"/>
    <x v="7"/>
    <s v="Series 1g"/>
    <n v="200551.0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g"/>
    <n v="201173.5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g"/>
    <m/>
    <m/>
    <m/>
    <n v="-63045.582558900962"/>
    <m/>
    <m/>
    <m/>
    <m/>
    <n v="-63045.582558900962"/>
    <m/>
    <n v="-63045.582558900962"/>
    <n v="-63045.582558900962"/>
    <s v="Private Equity Fund"/>
    <n v="0"/>
    <n v="0"/>
    <m/>
    <m/>
    <m/>
    <m/>
    <m/>
    <m/>
    <m/>
    <m/>
    <m/>
    <m/>
  </r>
  <r>
    <x v="196"/>
    <x v="7"/>
    <s v="Series 1g"/>
    <n v="137184.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g"/>
    <m/>
    <m/>
    <m/>
    <n v="27572.02"/>
    <m/>
    <m/>
    <m/>
    <m/>
    <n v="27572.02"/>
    <m/>
    <n v="27572.02"/>
    <n v="27572.02"/>
    <s v="Private Equity Fund"/>
    <n v="0"/>
    <n v="0"/>
    <m/>
    <m/>
    <m/>
    <m/>
    <m/>
    <m/>
    <m/>
    <m/>
    <m/>
    <m/>
  </r>
  <r>
    <x v="197"/>
    <x v="7"/>
    <s v="Series 1g"/>
    <n v="166206.6099999999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g"/>
    <n v="191199.78"/>
    <m/>
    <n v="0.2"/>
    <n v="18072.959999999992"/>
    <n v="0"/>
    <n v="0"/>
    <n v="0"/>
    <m/>
    <n v="18072.959999999992"/>
    <m/>
    <n v="-173126.82"/>
    <n v="-173126.82"/>
    <s v="Private Equity Fund"/>
    <n v="0"/>
    <n v="0"/>
    <m/>
    <m/>
    <m/>
    <m/>
    <m/>
    <m/>
    <m/>
    <m/>
    <m/>
    <m/>
  </r>
  <r>
    <x v="226"/>
    <x v="7"/>
    <s v="Series 1GP"/>
    <m/>
    <m/>
    <m/>
    <n v="1000"/>
    <m/>
    <m/>
    <m/>
    <m/>
    <n v="1000"/>
    <m/>
    <n v="1000"/>
    <m/>
    <s v="Private Equity Fund"/>
    <n v="0"/>
    <n v="0"/>
    <m/>
    <m/>
    <m/>
    <m/>
    <m/>
    <m/>
    <m/>
    <m/>
    <m/>
    <m/>
  </r>
  <r>
    <x v="224"/>
    <x v="7"/>
    <s v="Series 1GP"/>
    <n v="4084.34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5"/>
    <x v="7"/>
    <s v="Series 1GP"/>
    <n v="7603.91"/>
    <m/>
    <m/>
    <m/>
    <m/>
    <m/>
    <m/>
    <m/>
    <n v="0"/>
    <m/>
    <n v="0"/>
    <m/>
    <s v="Private Equity Fund"/>
    <n v="0"/>
    <n v="-6.5980400000000003E-3"/>
    <m/>
    <m/>
    <m/>
    <m/>
    <m/>
    <m/>
    <m/>
    <m/>
    <m/>
    <m/>
  </r>
  <r>
    <x v="227"/>
    <x v="7"/>
    <s v="Series 1GP"/>
    <m/>
    <m/>
    <m/>
    <n v="-315.22516279450474"/>
    <m/>
    <m/>
    <m/>
    <m/>
    <n v="-315.22516279450474"/>
    <m/>
    <n v="-315.22516279450474"/>
    <m/>
    <s v="Private Equity Fund"/>
    <n v="0"/>
    <n v="0"/>
    <m/>
    <m/>
    <m/>
    <m/>
    <m/>
    <m/>
    <m/>
    <m/>
    <m/>
    <m/>
  </r>
  <r>
    <x v="196"/>
    <x v="7"/>
    <s v="Series 1GP"/>
    <n v="3537.73"/>
    <m/>
    <m/>
    <m/>
    <m/>
    <m/>
    <m/>
    <m/>
    <n v="0"/>
    <m/>
    <n v="0"/>
    <m/>
    <s v="Private Equity Fund"/>
    <n v="0"/>
    <n v="-2.8518099999999998E-3"/>
    <m/>
    <m/>
    <m/>
    <m/>
    <m/>
    <m/>
    <m/>
    <m/>
    <m/>
    <m/>
  </r>
  <r>
    <x v="228"/>
    <x v="7"/>
    <s v="Series 1GP"/>
    <m/>
    <m/>
    <m/>
    <n v="137.87"/>
    <m/>
    <m/>
    <m/>
    <m/>
    <n v="137.87"/>
    <m/>
    <n v="137.87"/>
    <m/>
    <s v="Private Equity Fund"/>
    <n v="0"/>
    <n v="0"/>
    <m/>
    <m/>
    <m/>
    <m/>
    <m/>
    <m/>
    <m/>
    <m/>
    <m/>
    <m/>
  </r>
  <r>
    <x v="197"/>
    <x v="7"/>
    <s v="Series 1GP"/>
    <n v="34333.839999999997"/>
    <m/>
    <m/>
    <m/>
    <m/>
    <m/>
    <m/>
    <m/>
    <n v="0"/>
    <m/>
    <n v="0"/>
    <m/>
    <s v="Private Equity Fund"/>
    <n v="0"/>
    <m/>
    <m/>
    <m/>
    <m/>
    <m/>
    <m/>
    <m/>
    <m/>
    <m/>
    <m/>
    <m/>
  </r>
  <r>
    <x v="198"/>
    <x v="7"/>
    <s v="Series 1GP"/>
    <n v="130215.36229999999"/>
    <m/>
    <n v="1E-3"/>
    <n v="90.360000000000042"/>
    <n v="0"/>
    <n v="0"/>
    <n v="0"/>
    <m/>
    <n v="90.360000000000042"/>
    <m/>
    <n v="-130125.00229999999"/>
    <m/>
    <s v="Private Equity Fund"/>
    <n v="0"/>
    <n v="0"/>
    <m/>
    <m/>
    <m/>
    <m/>
    <m/>
    <m/>
    <m/>
    <m/>
    <m/>
    <m/>
  </r>
  <r>
    <x v="226"/>
    <x v="7"/>
    <s v="Series 1h"/>
    <m/>
    <m/>
    <m/>
    <n v="3006618.01"/>
    <m/>
    <m/>
    <m/>
    <m/>
    <n v="3006618.01"/>
    <m/>
    <n v="3006618.01"/>
    <n v="3006618.01"/>
    <s v="Private Equity Fund"/>
    <n v="0"/>
    <n v="0"/>
    <m/>
    <m/>
    <m/>
    <m/>
    <m/>
    <m/>
    <m/>
    <m/>
    <m/>
    <m/>
  </r>
  <r>
    <x v="224"/>
    <x v="7"/>
    <s v="Series 1h"/>
    <n v="3010606.09"/>
    <m/>
    <m/>
    <m/>
    <m/>
    <m/>
    <m/>
    <m/>
    <n v="0"/>
    <m/>
    <n v="0"/>
    <n v="0"/>
    <s v="Private Equity Fund"/>
    <n v="3.59152E-3"/>
    <n v="7.0377999999999999E-4"/>
    <m/>
    <m/>
    <m/>
    <m/>
    <m/>
    <m/>
    <m/>
    <m/>
    <m/>
    <m/>
  </r>
  <r>
    <x v="195"/>
    <x v="7"/>
    <s v="Series 1h"/>
    <n v="3015156.11"/>
    <m/>
    <m/>
    <m/>
    <m/>
    <m/>
    <m/>
    <m/>
    <n v="0"/>
    <m/>
    <n v="0"/>
    <n v="0"/>
    <s v="Private Equity Fund"/>
    <n v="0"/>
    <n v="1.50672E-3"/>
    <m/>
    <m/>
    <m/>
    <m/>
    <m/>
    <m/>
    <m/>
    <m/>
    <m/>
    <m/>
  </r>
  <r>
    <x v="227"/>
    <x v="7"/>
    <s v="Series 1h"/>
    <m/>
    <m/>
    <m/>
    <n v="-947769.95465533994"/>
    <m/>
    <m/>
    <m/>
    <m/>
    <n v="-947769.95465533994"/>
    <m/>
    <n v="-947769.95465533994"/>
    <n v="-947769.95465533994"/>
    <s v="Private Equity Fund"/>
    <n v="0"/>
    <n v="0"/>
    <m/>
    <m/>
    <m/>
    <m/>
    <m/>
    <m/>
    <m/>
    <m/>
    <m/>
    <m/>
  </r>
  <r>
    <x v="196"/>
    <x v="7"/>
    <s v="Series 1h"/>
    <n v="2052335.59"/>
    <m/>
    <m/>
    <m/>
    <m/>
    <m/>
    <m/>
    <m/>
    <n v="0"/>
    <m/>
    <n v="0"/>
    <n v="0"/>
    <s v="Private Equity Fund"/>
    <n v="0"/>
    <n v="6.3962000000000003E-4"/>
    <m/>
    <m/>
    <m/>
    <m/>
    <m/>
    <m/>
    <m/>
    <m/>
    <m/>
    <m/>
  </r>
  <r>
    <x v="228"/>
    <x v="7"/>
    <s v="Series 1h"/>
    <m/>
    <m/>
    <m/>
    <n v="414492.62"/>
    <m/>
    <m/>
    <m/>
    <m/>
    <n v="414492.62"/>
    <m/>
    <n v="414492.62"/>
    <n v="414492.62"/>
    <s v="Private Equity Fund"/>
    <n v="0"/>
    <n v="0"/>
    <m/>
    <m/>
    <m/>
    <m/>
    <m/>
    <m/>
    <m/>
    <m/>
    <m/>
    <m/>
  </r>
  <r>
    <x v="197"/>
    <x v="7"/>
    <s v="Series 1h"/>
    <n v="2481729.34"/>
    <m/>
    <m/>
    <m/>
    <m/>
    <m/>
    <m/>
    <m/>
    <n v="0"/>
    <m/>
    <n v="0"/>
    <n v="0"/>
    <s v="Private Equity Fund"/>
    <n v="1.3600370000000001E-2"/>
    <n v="3.2692300000000001E-3"/>
    <m/>
    <m/>
    <m/>
    <m/>
    <m/>
    <m/>
    <m/>
    <m/>
    <m/>
    <m/>
  </r>
  <r>
    <x v="198"/>
    <x v="7"/>
    <s v="Series 1h"/>
    <n v="2841193.8892999999"/>
    <m/>
    <n v="3.00661801"/>
    <n v="271692.37000000011"/>
    <n v="0"/>
    <n v="0"/>
    <n v="0"/>
    <m/>
    <n v="271692.37000000011"/>
    <m/>
    <n v="-2569501.5192999998"/>
    <n v="-2569501.5192999998"/>
    <s v="Private Equity Fund"/>
    <n v="1.6159917736953477E-2"/>
    <n v="1.696956069830095E-2"/>
    <m/>
    <m/>
    <m/>
    <m/>
    <m/>
    <m/>
    <m/>
    <m/>
    <m/>
    <m/>
  </r>
  <r>
    <x v="226"/>
    <x v="7"/>
    <s v="Series 1i"/>
    <m/>
    <m/>
    <m/>
    <n v="53146.8"/>
    <m/>
    <m/>
    <m/>
    <m/>
    <n v="53146.8"/>
    <m/>
    <n v="53146.8"/>
    <n v="53146.8"/>
    <s v="Private Equity Fund"/>
    <n v="0"/>
    <n v="0"/>
    <m/>
    <m/>
    <m/>
    <m/>
    <m/>
    <m/>
    <m/>
    <m/>
    <m/>
    <m/>
  </r>
  <r>
    <x v="224"/>
    <x v="7"/>
    <s v="Series 1i"/>
    <n v="53215.93"/>
    <m/>
    <m/>
    <m/>
    <m/>
    <m/>
    <m/>
    <m/>
    <n v="0"/>
    <m/>
    <n v="0"/>
    <n v="0"/>
    <s v="Private Equity Fund"/>
    <n v="6.5090000000000002E-5"/>
    <n v="1.22E-5"/>
    <m/>
    <m/>
    <m/>
    <m/>
    <m/>
    <m/>
    <m/>
    <m/>
    <m/>
    <m/>
  </r>
  <r>
    <x v="195"/>
    <x v="7"/>
    <s v="Series 1i"/>
    <n v="53296.36"/>
    <m/>
    <m/>
    <m/>
    <m/>
    <m/>
    <m/>
    <m/>
    <n v="0"/>
    <m/>
    <n v="0"/>
    <n v="0"/>
    <s v="Private Equity Fund"/>
    <n v="0"/>
    <n v="2.639E-5"/>
    <m/>
    <m/>
    <m/>
    <m/>
    <m/>
    <m/>
    <m/>
    <m/>
    <m/>
    <m/>
  </r>
  <r>
    <x v="227"/>
    <x v="7"/>
    <s v="Series 1i"/>
    <m/>
    <m/>
    <m/>
    <n v="-16753.351378006992"/>
    <m/>
    <m/>
    <m/>
    <m/>
    <n v="-16753.351378006992"/>
    <m/>
    <n v="-16753.351378006992"/>
    <n v="-16753.351378006992"/>
    <s v="Private Equity Fund"/>
    <n v="0"/>
    <n v="0"/>
    <m/>
    <m/>
    <m/>
    <m/>
    <m/>
    <m/>
    <m/>
    <m/>
    <m/>
    <m/>
  </r>
  <r>
    <x v="196"/>
    <x v="7"/>
    <s v="Series 1i"/>
    <n v="36276.959999999999"/>
    <m/>
    <m/>
    <m/>
    <m/>
    <m/>
    <m/>
    <m/>
    <n v="0"/>
    <m/>
    <n v="0"/>
    <n v="0"/>
    <s v="Private Equity Fund"/>
    <n v="0"/>
    <n v="1.1060000000000001E-5"/>
    <m/>
    <m/>
    <m/>
    <m/>
    <m/>
    <m/>
    <m/>
    <m/>
    <m/>
    <m/>
  </r>
  <r>
    <x v="228"/>
    <x v="7"/>
    <s v="Series 1i"/>
    <m/>
    <m/>
    <m/>
    <n v="7326.82"/>
    <m/>
    <m/>
    <m/>
    <m/>
    <n v="7326.82"/>
    <m/>
    <n v="7326.82"/>
    <n v="7326.82"/>
    <s v="Private Equity Fund"/>
    <n v="0"/>
    <n v="0"/>
    <m/>
    <m/>
    <m/>
    <m/>
    <m/>
    <m/>
    <m/>
    <m/>
    <m/>
    <m/>
  </r>
  <r>
    <x v="197"/>
    <x v="7"/>
    <s v="Series 1i"/>
    <n v="43867.18"/>
    <m/>
    <m/>
    <m/>
    <m/>
    <m/>
    <m/>
    <m/>
    <n v="0"/>
    <m/>
    <n v="0"/>
    <n v="0"/>
    <s v="Private Equity Fund"/>
    <n v="2.4202000000000002E-4"/>
    <n v="5.7549999999999996E-5"/>
    <m/>
    <m/>
    <m/>
    <m/>
    <m/>
    <m/>
    <m/>
    <m/>
    <m/>
    <m/>
  </r>
  <r>
    <x v="198"/>
    <x v="7"/>
    <s v="Series 1i"/>
    <n v="50221.2958"/>
    <m/>
    <n v="5.3146800000000001E-2"/>
    <n v="4802.59"/>
    <n v="0"/>
    <n v="0"/>
    <n v="0"/>
    <m/>
    <n v="4802.59"/>
    <m/>
    <n v="-45418.705799999996"/>
    <n v="-45418.705799999996"/>
    <s v="Private Equity Fund"/>
    <n v="2.8726154165544633E-4"/>
    <n v="2.997242067010473E-4"/>
    <m/>
    <m/>
    <m/>
    <m/>
    <m/>
    <m/>
    <m/>
    <m/>
    <m/>
    <m/>
  </r>
  <r>
    <x v="226"/>
    <x v="7"/>
    <s v="Series 1j"/>
    <m/>
    <m/>
    <m/>
    <n v="116675.97"/>
    <m/>
    <m/>
    <m/>
    <m/>
    <n v="116675.97"/>
    <m/>
    <n v="116675.97"/>
    <n v="116675.97"/>
    <s v="Private Equity Fund"/>
    <n v="0"/>
    <n v="0"/>
    <m/>
    <m/>
    <m/>
    <m/>
    <m/>
    <m/>
    <m/>
    <m/>
    <m/>
    <m/>
  </r>
  <r>
    <x v="224"/>
    <x v="7"/>
    <s v="Series 1j"/>
    <n v="116830.68"/>
    <m/>
    <m/>
    <m/>
    <m/>
    <m/>
    <m/>
    <m/>
    <n v="0"/>
    <m/>
    <n v="0"/>
    <n v="0"/>
    <s v="Private Equity Fund"/>
    <n v="1.3944000000000001E-4"/>
    <n v="2.73E-5"/>
    <m/>
    <m/>
    <m/>
    <m/>
    <m/>
    <m/>
    <m/>
    <m/>
    <m/>
    <m/>
  </r>
  <r>
    <x v="195"/>
    <x v="7"/>
    <s v="Series 1j"/>
    <n v="117007.25"/>
    <m/>
    <m/>
    <m/>
    <m/>
    <m/>
    <m/>
    <m/>
    <n v="0"/>
    <m/>
    <n v="0"/>
    <n v="0"/>
    <s v="Private Equity Fund"/>
    <n v="0"/>
    <n v="5.8459999999999999E-5"/>
    <m/>
    <m/>
    <m/>
    <m/>
    <m/>
    <m/>
    <m/>
    <m/>
    <m/>
    <m/>
  </r>
  <r>
    <x v="227"/>
    <x v="7"/>
    <s v="Series 1j"/>
    <m/>
    <m/>
    <m/>
    <n v="-36779.51926085676"/>
    <m/>
    <m/>
    <m/>
    <m/>
    <n v="-36779.51926085676"/>
    <m/>
    <n v="-36779.51926085676"/>
    <n v="-36779.51926085676"/>
    <s v="Private Equity Fund"/>
    <n v="0"/>
    <n v="0"/>
    <m/>
    <m/>
    <m/>
    <m/>
    <m/>
    <m/>
    <m/>
    <m/>
    <m/>
    <m/>
  </r>
  <r>
    <x v="196"/>
    <x v="7"/>
    <s v="Series 1j"/>
    <n v="79643.67"/>
    <m/>
    <m/>
    <m/>
    <m/>
    <m/>
    <m/>
    <m/>
    <n v="0"/>
    <m/>
    <n v="0"/>
    <n v="0"/>
    <s v="Private Equity Fund"/>
    <n v="0"/>
    <n v="2.4809999999999998E-5"/>
    <m/>
    <m/>
    <m/>
    <m/>
    <m/>
    <m/>
    <m/>
    <m/>
    <m/>
    <m/>
  </r>
  <r>
    <x v="228"/>
    <x v="7"/>
    <s v="Series 1j"/>
    <m/>
    <m/>
    <m/>
    <n v="16084.96"/>
    <m/>
    <m/>
    <m/>
    <m/>
    <n v="16084.96"/>
    <m/>
    <n v="16084.96"/>
    <n v="16084.96"/>
    <s v="Private Equity Fund"/>
    <n v="0"/>
    <n v="0"/>
    <m/>
    <m/>
    <m/>
    <m/>
    <m/>
    <m/>
    <m/>
    <m/>
    <m/>
    <m/>
  </r>
  <r>
    <x v="197"/>
    <x v="7"/>
    <s v="Series 1j"/>
    <n v="96306.89"/>
    <m/>
    <m/>
    <m/>
    <m/>
    <m/>
    <m/>
    <m/>
    <n v="0"/>
    <m/>
    <n v="0"/>
    <n v="0"/>
    <s v="Private Equity Fund"/>
    <n v="5.2784000000000001E-4"/>
    <n v="1.2685999999999999E-4"/>
    <m/>
    <m/>
    <m/>
    <m/>
    <m/>
    <m/>
    <m/>
    <m/>
    <m/>
    <m/>
  </r>
  <r>
    <x v="198"/>
    <x v="7"/>
    <s v="Series 1j"/>
    <n v="110256.4136"/>
    <m/>
    <n v="0.11667597"/>
    <n v="10543.409999999996"/>
    <n v="0"/>
    <n v="0"/>
    <n v="0"/>
    <m/>
    <n v="10543.409999999996"/>
    <m/>
    <n v="-99713.003599999996"/>
    <n v="-99713.003599999996"/>
    <s v="Private Equity Fund"/>
    <n v="6.2716932950993194E-4"/>
    <n v="6.5851638912851559E-4"/>
    <m/>
    <m/>
    <m/>
    <m/>
    <m/>
    <m/>
    <m/>
    <m/>
    <m/>
    <m/>
  </r>
  <r>
    <x v="226"/>
    <x v="7"/>
    <s v="Series 1k"/>
    <m/>
    <m/>
    <m/>
    <n v="71107.710000000006"/>
    <m/>
    <m/>
    <m/>
    <m/>
    <n v="71107.710000000006"/>
    <m/>
    <n v="71107.710000000006"/>
    <n v="71107.710000000006"/>
    <s v="Private Equity Fund"/>
    <n v="0"/>
    <n v="0"/>
    <m/>
    <m/>
    <m/>
    <m/>
    <m/>
    <m/>
    <m/>
    <m/>
    <m/>
    <m/>
  </r>
  <r>
    <x v="224"/>
    <x v="7"/>
    <s v="Series 1k"/>
    <n v="71202"/>
    <m/>
    <m/>
    <m/>
    <m/>
    <m/>
    <m/>
    <m/>
    <n v="0"/>
    <m/>
    <n v="0"/>
    <n v="0"/>
    <s v="Private Equity Fund"/>
    <n v="8.4980000000000003E-5"/>
    <n v="1.664E-5"/>
    <m/>
    <m/>
    <m/>
    <m/>
    <m/>
    <m/>
    <m/>
    <m/>
    <m/>
    <m/>
  </r>
  <r>
    <x v="195"/>
    <x v="7"/>
    <s v="Series 1k"/>
    <n v="71309.61"/>
    <m/>
    <m/>
    <m/>
    <m/>
    <m/>
    <m/>
    <m/>
    <n v="0"/>
    <m/>
    <n v="0"/>
    <n v="0"/>
    <s v="Private Equity Fund"/>
    <n v="0"/>
    <n v="3.5630000000000003E-5"/>
    <m/>
    <m/>
    <m/>
    <m/>
    <m/>
    <m/>
    <m/>
    <m/>
    <m/>
    <m/>
  </r>
  <r>
    <x v="227"/>
    <x v="7"/>
    <s v="Series 1k"/>
    <m/>
    <m/>
    <m/>
    <n v="-22415.139286894439"/>
    <m/>
    <m/>
    <m/>
    <m/>
    <n v="-22415.139286894439"/>
    <m/>
    <n v="-22415.139286894439"/>
    <n v="-22415.139286894439"/>
    <s v="Private Equity Fund"/>
    <n v="0"/>
    <n v="0"/>
    <m/>
    <m/>
    <m/>
    <m/>
    <m/>
    <m/>
    <m/>
    <m/>
    <m/>
    <m/>
  </r>
  <r>
    <x v="196"/>
    <x v="7"/>
    <s v="Series 1k"/>
    <n v="48538.52"/>
    <m/>
    <m/>
    <m/>
    <m/>
    <m/>
    <m/>
    <m/>
    <n v="0"/>
    <m/>
    <n v="0"/>
    <n v="0"/>
    <s v="Private Equity Fund"/>
    <n v="0"/>
    <n v="1.5119999999999999E-5"/>
    <m/>
    <m/>
    <m/>
    <m/>
    <m/>
    <m/>
    <m/>
    <m/>
    <m/>
    <m/>
  </r>
  <r>
    <x v="228"/>
    <x v="7"/>
    <s v="Series 1k"/>
    <m/>
    <m/>
    <m/>
    <n v="9802.92"/>
    <m/>
    <m/>
    <m/>
    <m/>
    <n v="9802.92"/>
    <m/>
    <n v="9802.92"/>
    <n v="9802.92"/>
    <s v="Private Equity Fund"/>
    <n v="0"/>
    <n v="0"/>
    <m/>
    <m/>
    <m/>
    <m/>
    <m/>
    <m/>
    <m/>
    <m/>
    <m/>
    <m/>
  </r>
  <r>
    <x v="197"/>
    <x v="7"/>
    <s v="Series 1k"/>
    <n v="58693.86"/>
    <m/>
    <m/>
    <m/>
    <m/>
    <m/>
    <m/>
    <m/>
    <n v="0"/>
    <m/>
    <n v="0"/>
    <n v="0"/>
    <s v="Private Equity Fund"/>
    <n v="3.2169000000000002E-4"/>
    <n v="7.7310000000000004E-5"/>
    <m/>
    <m/>
    <m/>
    <m/>
    <m/>
    <m/>
    <m/>
    <m/>
    <m/>
    <m/>
  </r>
  <r>
    <x v="198"/>
    <x v="7"/>
    <s v="Series 1k"/>
    <n v="67195.339099999997"/>
    <m/>
    <n v="7.1107710000000005E-2"/>
    <n v="6425.6400000000031"/>
    <n v="0"/>
    <n v="0"/>
    <n v="0"/>
    <m/>
    <n v="6425.6400000000031"/>
    <m/>
    <n v="-60769.699099999998"/>
    <n v="-60769.699099999998"/>
    <s v="Private Equity Fund"/>
    <n v="3.8222588939373599E-4"/>
    <n v="4.0133089303416488E-4"/>
    <m/>
    <m/>
    <m/>
    <m/>
    <m/>
    <m/>
    <m/>
    <m/>
    <m/>
    <m/>
  </r>
  <r>
    <x v="226"/>
    <x v="7"/>
    <s v="Series 1l"/>
    <m/>
    <m/>
    <m/>
    <n v="111075.41"/>
    <m/>
    <m/>
    <m/>
    <m/>
    <n v="111075.41"/>
    <m/>
    <n v="111075.41"/>
    <n v="111075.41"/>
    <s v="Private Equity Fund"/>
    <n v="0"/>
    <n v="0"/>
    <m/>
    <m/>
    <m/>
    <m/>
    <m/>
    <m/>
    <m/>
    <m/>
    <m/>
    <m/>
  </r>
  <r>
    <x v="224"/>
    <x v="7"/>
    <s v="Series 1l"/>
    <n v="111381.4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l"/>
    <n v="111727.1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l"/>
    <m/>
    <m/>
    <m/>
    <n v="-35014.070019916362"/>
    <m/>
    <m/>
    <m/>
    <m/>
    <n v="-35014.070019916362"/>
    <m/>
    <n v="-35014.070019916362"/>
    <n v="-35014.070019916362"/>
    <s v="Private Equity Fund"/>
    <n v="0"/>
    <n v="0"/>
    <m/>
    <m/>
    <m/>
    <m/>
    <m/>
    <m/>
    <m/>
    <m/>
    <m/>
    <m/>
  </r>
  <r>
    <x v="196"/>
    <x v="7"/>
    <s v="Series 1l"/>
    <n v="76189.3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l"/>
    <m/>
    <m/>
    <m/>
    <n v="15312.87"/>
    <m/>
    <m/>
    <m/>
    <m/>
    <n v="15312.87"/>
    <m/>
    <n v="15312.87"/>
    <n v="15312.87"/>
    <s v="Private Equity Fund"/>
    <n v="0"/>
    <n v="0"/>
    <m/>
    <m/>
    <m/>
    <m/>
    <m/>
    <m/>
    <m/>
    <m/>
    <m/>
    <m/>
  </r>
  <r>
    <x v="197"/>
    <x v="7"/>
    <s v="Series 1l"/>
    <n v="92307.3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l"/>
    <n v="106187.97"/>
    <m/>
    <n v="0.11107541"/>
    <n v="10037.299999999999"/>
    <n v="0"/>
    <n v="0"/>
    <n v="0"/>
    <m/>
    <n v="10037.299999999999"/>
    <m/>
    <n v="-96150.67"/>
    <n v="-96150.67"/>
    <s v="Private Equity Fund"/>
    <n v="0"/>
    <n v="0"/>
    <m/>
    <m/>
    <m/>
    <m/>
    <m/>
    <m/>
    <m/>
    <m/>
    <m/>
    <m/>
  </r>
  <r>
    <x v="226"/>
    <x v="7"/>
    <s v="Series 1m"/>
    <m/>
    <m/>
    <m/>
    <n v="1500000"/>
    <m/>
    <m/>
    <m/>
    <m/>
    <n v="1500000"/>
    <m/>
    <n v="1500000"/>
    <n v="1500000"/>
    <s v="Private Equity Fund"/>
    <n v="0"/>
    <n v="0"/>
    <m/>
    <m/>
    <m/>
    <m/>
    <m/>
    <m/>
    <m/>
    <m/>
    <m/>
    <m/>
  </r>
  <r>
    <x v="224"/>
    <x v="7"/>
    <s v="Series 1m"/>
    <n v="1504132.5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m"/>
    <n v="1508801.8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m"/>
    <m/>
    <m/>
    <m/>
    <n v="-472841.88419175713"/>
    <m/>
    <m/>
    <m/>
    <m/>
    <n v="-472841.88419175713"/>
    <m/>
    <n v="-472841.88419175713"/>
    <n v="-472841.88419175713"/>
    <s v="Private Equity Fund"/>
    <n v="0"/>
    <n v="0"/>
    <m/>
    <m/>
    <m/>
    <m/>
    <m/>
    <m/>
    <m/>
    <m/>
    <m/>
    <m/>
  </r>
  <r>
    <x v="196"/>
    <x v="7"/>
    <s v="Series 1m"/>
    <n v="1028886.7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m"/>
    <m/>
    <m/>
    <m/>
    <n v="206790.13"/>
    <m/>
    <m/>
    <m/>
    <m/>
    <n v="206790.13"/>
    <m/>
    <n v="206790.13"/>
    <n v="206790.13"/>
    <s v="Private Equity Fund"/>
    <n v="0"/>
    <n v="0"/>
    <m/>
    <m/>
    <m/>
    <m/>
    <m/>
    <m/>
    <m/>
    <m/>
    <m/>
    <m/>
  </r>
  <r>
    <x v="197"/>
    <x v="7"/>
    <s v="Series 1m"/>
    <n v="1246549.5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m"/>
    <n v="1564502.87"/>
    <m/>
    <n v="1.5"/>
    <n v="135547.15000000005"/>
    <n v="0"/>
    <n v="0"/>
    <n v="0"/>
    <m/>
    <n v="135547.15000000005"/>
    <m/>
    <n v="-1428955.72"/>
    <n v="-1428955.72"/>
    <s v="Private Equity Fund"/>
    <n v="0"/>
    <n v="0"/>
    <m/>
    <m/>
    <m/>
    <m/>
    <m/>
    <m/>
    <m/>
    <m/>
    <m/>
    <m/>
  </r>
  <r>
    <x v="226"/>
    <x v="7"/>
    <s v="Series 1n"/>
    <m/>
    <m/>
    <m/>
    <n v="7500000"/>
    <m/>
    <m/>
    <m/>
    <m/>
    <n v="7500000"/>
    <m/>
    <n v="7500000"/>
    <n v="7500000"/>
    <s v="Private Equity Fund"/>
    <n v="0"/>
    <n v="0"/>
    <m/>
    <m/>
    <m/>
    <m/>
    <m/>
    <m/>
    <m/>
    <m/>
    <m/>
    <m/>
  </r>
  <r>
    <x v="224"/>
    <x v="7"/>
    <s v="Series 1n"/>
    <n v="7509944.9100000001"/>
    <m/>
    <m/>
    <m/>
    <m/>
    <m/>
    <m/>
    <m/>
    <n v="0"/>
    <m/>
    <n v="0"/>
    <n v="0"/>
    <s v="Private Equity Fund"/>
    <n v="8.9629799999999989E-3"/>
    <n v="1.75498E-3"/>
    <m/>
    <m/>
    <m/>
    <m/>
    <m/>
    <m/>
    <m/>
    <m/>
    <m/>
    <m/>
  </r>
  <r>
    <x v="195"/>
    <x v="7"/>
    <s v="Series 1n"/>
    <n v="7521294.9100000001"/>
    <m/>
    <m/>
    <m/>
    <m/>
    <m/>
    <m/>
    <m/>
    <n v="0"/>
    <m/>
    <n v="0"/>
    <n v="0"/>
    <s v="Private Equity Fund"/>
    <n v="0"/>
    <n v="3.7579200000000001E-3"/>
    <m/>
    <m/>
    <m/>
    <m/>
    <m/>
    <m/>
    <m/>
    <m/>
    <m/>
    <m/>
  </r>
  <r>
    <x v="227"/>
    <x v="7"/>
    <s v="Series 1n"/>
    <m/>
    <m/>
    <m/>
    <n v="-2364209.4209587858"/>
    <m/>
    <m/>
    <m/>
    <m/>
    <n v="-2364209.4209587858"/>
    <m/>
    <n v="-2364209.4209587858"/>
    <n v="-2364209.4209587858"/>
    <s v="Private Equity Fund"/>
    <n v="0"/>
    <n v="0"/>
    <m/>
    <m/>
    <m/>
    <m/>
    <m/>
    <m/>
    <m/>
    <m/>
    <m/>
    <m/>
  </r>
  <r>
    <x v="196"/>
    <x v="7"/>
    <s v="Series 1n"/>
    <n v="5119541.9000000004"/>
    <m/>
    <m/>
    <m/>
    <m/>
    <m/>
    <m/>
    <m/>
    <n v="0"/>
    <m/>
    <n v="0"/>
    <n v="0"/>
    <s v="Private Equity Fund"/>
    <n v="0"/>
    <n v="1.59493E-3"/>
    <m/>
    <m/>
    <m/>
    <m/>
    <m/>
    <m/>
    <m/>
    <m/>
    <m/>
    <m/>
  </r>
  <r>
    <x v="228"/>
    <x v="7"/>
    <s v="Series 1n"/>
    <m/>
    <m/>
    <m/>
    <n v="1033950.65"/>
    <m/>
    <m/>
    <m/>
    <m/>
    <n v="1033950.65"/>
    <m/>
    <n v="1033950.65"/>
    <n v="1033950.65"/>
    <s v="Private Equity Fund"/>
    <n v="0"/>
    <n v="0"/>
    <m/>
    <m/>
    <m/>
    <m/>
    <m/>
    <m/>
    <m/>
    <m/>
    <m/>
    <m/>
  </r>
  <r>
    <x v="197"/>
    <x v="7"/>
    <s v="Series 1n"/>
    <n v="6190663.3600000003"/>
    <m/>
    <m/>
    <m/>
    <m/>
    <m/>
    <m/>
    <m/>
    <n v="0"/>
    <m/>
    <n v="0"/>
    <n v="0"/>
    <s v="Private Equity Fund"/>
    <n v="3.3930019999999998E-2"/>
    <n v="8.1544900000000003E-3"/>
    <m/>
    <m/>
    <m/>
    <m/>
    <m/>
    <m/>
    <m/>
    <m/>
    <m/>
    <m/>
  </r>
  <r>
    <x v="198"/>
    <x v="7"/>
    <s v="Series 1n"/>
    <n v="7087346.6249000002"/>
    <m/>
    <n v="7.5"/>
    <n v="677735.81999999983"/>
    <n v="0"/>
    <n v="0"/>
    <n v="0"/>
    <m/>
    <n v="677735.81999999983"/>
    <m/>
    <n v="-6409610.8048999999"/>
    <n v="-6409610.8048999999"/>
    <s v="Private Equity Fund"/>
    <n v="4.0314812415066896E-2"/>
    <n v="4.2329925143817948E-2"/>
    <m/>
    <m/>
    <m/>
    <m/>
    <m/>
    <m/>
    <m/>
    <m/>
    <m/>
    <m/>
  </r>
  <r>
    <x v="226"/>
    <x v="7"/>
    <s v="Series 1o"/>
    <m/>
    <m/>
    <m/>
    <n v="2000000"/>
    <m/>
    <m/>
    <m/>
    <m/>
    <n v="2000000"/>
    <m/>
    <n v="2000000"/>
    <n v="2000000"/>
    <s v="Private Equity Fund"/>
    <n v="0"/>
    <n v="0"/>
    <m/>
    <m/>
    <m/>
    <m/>
    <m/>
    <m/>
    <m/>
    <m/>
    <m/>
    <m/>
  </r>
  <r>
    <x v="224"/>
    <x v="7"/>
    <s v="Series 1o"/>
    <n v="2005510.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5"/>
    <x v="7"/>
    <s v="Series 1o"/>
    <n v="2011735.8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7"/>
    <x v="7"/>
    <s v="Series 1o"/>
    <m/>
    <m/>
    <m/>
    <n v="-630455.84558900958"/>
    <m/>
    <m/>
    <m/>
    <m/>
    <n v="-630455.84558900958"/>
    <m/>
    <n v="-630455.84558900958"/>
    <n v="-630455.84558900958"/>
    <s v="Private Equity Fund"/>
    <n v="0"/>
    <n v="0"/>
    <m/>
    <m/>
    <m/>
    <m/>
    <m/>
    <m/>
    <m/>
    <m/>
    <m/>
    <m/>
  </r>
  <r>
    <x v="196"/>
    <x v="7"/>
    <s v="Series 1o"/>
    <n v="1371848.9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1o"/>
    <m/>
    <m/>
    <m/>
    <n v="275720.17"/>
    <m/>
    <m/>
    <m/>
    <m/>
    <n v="275720.17"/>
    <m/>
    <n v="275720.17"/>
    <n v="275720.17"/>
    <s v="Private Equity Fund"/>
    <n v="0"/>
    <n v="0"/>
    <m/>
    <m/>
    <m/>
    <m/>
    <m/>
    <m/>
    <m/>
    <m/>
    <m/>
    <m/>
  </r>
  <r>
    <x v="197"/>
    <x v="7"/>
    <s v="Series 1o"/>
    <n v="1662066.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1o"/>
    <n v="1911997.69"/>
    <m/>
    <n v="2"/>
    <n v="180729.56"/>
    <n v="0"/>
    <n v="0"/>
    <n v="0"/>
    <m/>
    <n v="180729.56"/>
    <m/>
    <n v="-1731268.13"/>
    <n v="-1731268.13"/>
    <s v="Private Equity Fund"/>
    <n v="0"/>
    <n v="0"/>
    <m/>
    <m/>
    <m/>
    <m/>
    <m/>
    <m/>
    <m/>
    <m/>
    <m/>
    <m/>
  </r>
  <r>
    <x v="226"/>
    <x v="7"/>
    <s v="Series 1p"/>
    <m/>
    <m/>
    <m/>
    <n v="300000"/>
    <m/>
    <m/>
    <m/>
    <m/>
    <n v="300000"/>
    <m/>
    <n v="300000"/>
    <n v="300000"/>
    <s v="Private Equity Fund"/>
    <n v="0"/>
    <n v="0"/>
    <m/>
    <m/>
    <m/>
    <m/>
    <m/>
    <m/>
    <m/>
    <m/>
    <m/>
    <m/>
  </r>
  <r>
    <x v="224"/>
    <x v="7"/>
    <s v="Series 1p"/>
    <n v="300397.8"/>
    <m/>
    <m/>
    <m/>
    <m/>
    <m/>
    <m/>
    <m/>
    <n v="0"/>
    <m/>
    <n v="0"/>
    <n v="0"/>
    <s v="Private Equity Fund"/>
    <n v="3.5851999999999998E-4"/>
    <n v="7.0199999999999999E-5"/>
    <m/>
    <m/>
    <m/>
    <m/>
    <m/>
    <m/>
    <m/>
    <m/>
    <m/>
    <m/>
  </r>
  <r>
    <x v="195"/>
    <x v="7"/>
    <s v="Series 1p"/>
    <n v="300851.78999999998"/>
    <m/>
    <m/>
    <m/>
    <m/>
    <m/>
    <m/>
    <m/>
    <n v="0"/>
    <m/>
    <n v="0"/>
    <n v="0"/>
    <s v="Private Equity Fund"/>
    <n v="0"/>
    <n v="1.5031999999999998E-4"/>
    <m/>
    <m/>
    <m/>
    <m/>
    <m/>
    <m/>
    <m/>
    <m/>
    <m/>
    <m/>
  </r>
  <r>
    <x v="227"/>
    <x v="7"/>
    <s v="Series 1p"/>
    <m/>
    <m/>
    <m/>
    <n v="-94568.378838351433"/>
    <m/>
    <m/>
    <m/>
    <m/>
    <n v="-94568.378838351433"/>
    <m/>
    <n v="-94568.378838351433"/>
    <n v="-94568.378838351433"/>
    <s v="Private Equity Fund"/>
    <n v="0"/>
    <n v="0"/>
    <m/>
    <m/>
    <m/>
    <m/>
    <m/>
    <m/>
    <m/>
    <m/>
    <m/>
    <m/>
  </r>
  <r>
    <x v="196"/>
    <x v="7"/>
    <s v="Series 1p"/>
    <n v="204781.67"/>
    <m/>
    <m/>
    <m/>
    <m/>
    <m/>
    <m/>
    <m/>
    <n v="0"/>
    <m/>
    <n v="0"/>
    <n v="0"/>
    <s v="Private Equity Fund"/>
    <n v="0"/>
    <n v="6.3799999999999992E-5"/>
    <m/>
    <m/>
    <m/>
    <m/>
    <m/>
    <m/>
    <m/>
    <m/>
    <m/>
    <m/>
  </r>
  <r>
    <x v="228"/>
    <x v="7"/>
    <s v="Series 1p"/>
    <m/>
    <m/>
    <m/>
    <n v="41358.03"/>
    <m/>
    <m/>
    <m/>
    <m/>
    <n v="41358.03"/>
    <m/>
    <n v="41358.03"/>
    <n v="41358.03"/>
    <s v="Private Equity Fund"/>
    <n v="0"/>
    <n v="0"/>
    <m/>
    <m/>
    <m/>
    <m/>
    <m/>
    <m/>
    <m/>
    <m/>
    <m/>
    <m/>
  </r>
  <r>
    <x v="197"/>
    <x v="7"/>
    <s v="Series 1p"/>
    <n v="247626.54"/>
    <m/>
    <m/>
    <m/>
    <m/>
    <m/>
    <m/>
    <m/>
    <n v="0"/>
    <m/>
    <n v="0"/>
    <n v="0"/>
    <s v="Private Equity Fund"/>
    <n v="1.3572E-3"/>
    <n v="3.2618000000000002E-4"/>
    <m/>
    <m/>
    <m/>
    <m/>
    <m/>
    <m/>
    <m/>
    <m/>
    <m/>
    <m/>
  </r>
  <r>
    <x v="198"/>
    <x v="7"/>
    <s v="Series 1p"/>
    <n v="297647.56170000002"/>
    <m/>
    <n v="0.3"/>
    <n v="-26100.910000000003"/>
    <n v="0"/>
    <n v="0"/>
    <n v="0"/>
    <m/>
    <n v="-26100.910000000003"/>
    <m/>
    <n v="-323748.47169999999"/>
    <n v="-323748.47169999999"/>
    <s v="Private Equity Fund"/>
    <n v="1.6720436452766479E-3"/>
    <n v="1.3580968325752715E-2"/>
    <m/>
    <m/>
    <m/>
    <m/>
    <m/>
    <m/>
    <m/>
    <m/>
    <m/>
    <m/>
  </r>
  <r>
    <x v="226"/>
    <x v="7"/>
    <s v="Series 1q"/>
    <m/>
    <m/>
    <m/>
    <n v="1000000"/>
    <m/>
    <m/>
    <m/>
    <m/>
    <n v="1000000"/>
    <m/>
    <n v="1000000"/>
    <n v="1000000"/>
    <s v="Private Equity Fund"/>
    <n v="0"/>
    <n v="0"/>
    <m/>
    <m/>
    <m/>
    <m/>
    <m/>
    <m/>
    <m/>
    <m/>
    <m/>
    <m/>
  </r>
  <r>
    <x v="224"/>
    <x v="7"/>
    <s v="Series 1q"/>
    <n v="1001325.98"/>
    <m/>
    <m/>
    <m/>
    <m/>
    <m/>
    <m/>
    <m/>
    <n v="0"/>
    <m/>
    <n v="0"/>
    <n v="0"/>
    <s v="Private Equity Fund"/>
    <n v="1.19506E-3"/>
    <n v="2.34E-4"/>
    <m/>
    <m/>
    <m/>
    <m/>
    <m/>
    <m/>
    <m/>
    <m/>
    <m/>
    <m/>
  </r>
  <r>
    <x v="195"/>
    <x v="7"/>
    <s v="Series 1q"/>
    <n v="1002839.32"/>
    <m/>
    <m/>
    <m/>
    <m/>
    <m/>
    <m/>
    <m/>
    <n v="0"/>
    <m/>
    <n v="0"/>
    <n v="0"/>
    <s v="Private Equity Fund"/>
    <n v="0"/>
    <n v="5.0106E-4"/>
    <m/>
    <m/>
    <m/>
    <m/>
    <m/>
    <m/>
    <m/>
    <m/>
    <m/>
    <m/>
  </r>
  <r>
    <x v="227"/>
    <x v="7"/>
    <s v="Series 1q"/>
    <m/>
    <m/>
    <m/>
    <n v="-315227.92279450479"/>
    <m/>
    <m/>
    <m/>
    <m/>
    <n v="-315227.92279450479"/>
    <m/>
    <n v="-315227.92279450479"/>
    <n v="-315227.92279450479"/>
    <s v="Private Equity Fund"/>
    <n v="0"/>
    <n v="0"/>
    <m/>
    <m/>
    <m/>
    <m/>
    <m/>
    <m/>
    <m/>
    <m/>
    <m/>
    <m/>
  </r>
  <r>
    <x v="196"/>
    <x v="7"/>
    <s v="Series 1q"/>
    <n v="682605.58"/>
    <m/>
    <m/>
    <m/>
    <m/>
    <m/>
    <m/>
    <m/>
    <n v="0"/>
    <m/>
    <n v="0"/>
    <n v="0"/>
    <s v="Private Equity Fund"/>
    <n v="0"/>
    <n v="2.1265999999999999E-4"/>
    <m/>
    <m/>
    <m/>
    <m/>
    <m/>
    <m/>
    <m/>
    <m/>
    <m/>
    <m/>
  </r>
  <r>
    <x v="228"/>
    <x v="7"/>
    <s v="Series 1q"/>
    <m/>
    <m/>
    <m/>
    <n v="137860.09"/>
    <m/>
    <m/>
    <m/>
    <m/>
    <n v="137860.09"/>
    <m/>
    <n v="137860.09"/>
    <n v="137860.09"/>
    <s v="Private Equity Fund"/>
    <n v="0"/>
    <n v="0"/>
    <m/>
    <m/>
    <m/>
    <m/>
    <m/>
    <m/>
    <m/>
    <m/>
    <m/>
    <m/>
  </r>
  <r>
    <x v="197"/>
    <x v="7"/>
    <s v="Series 1q"/>
    <n v="825421.79"/>
    <m/>
    <m/>
    <m/>
    <m/>
    <m/>
    <m/>
    <m/>
    <n v="0"/>
    <m/>
    <n v="0"/>
    <n v="0"/>
    <s v="Private Equity Fund"/>
    <n v="4.5240000000000002E-3"/>
    <n v="1.08726E-3"/>
    <m/>
    <m/>
    <m/>
    <m/>
    <m/>
    <m/>
    <m/>
    <m/>
    <m/>
    <m/>
  </r>
  <r>
    <x v="198"/>
    <x v="7"/>
    <s v="Series 1q"/>
    <n v="944979.55810000002"/>
    <m/>
    <n v="1"/>
    <n v="90364.76999999999"/>
    <n v="0"/>
    <n v="0"/>
    <n v="0"/>
    <m/>
    <n v="90364.76999999999"/>
    <m/>
    <n v="-854614.78810000001"/>
    <n v="-854614.78810000001"/>
    <s v="Private Equity Fund"/>
    <n v="5.375308345625357E-3"/>
    <n v="5.6439919191757443E-3"/>
    <m/>
    <m/>
    <m/>
    <m/>
    <m/>
    <m/>
    <m/>
    <m/>
    <m/>
    <m/>
  </r>
  <r>
    <x v="226"/>
    <x v="7"/>
    <s v="Series 1r"/>
    <m/>
    <m/>
    <m/>
    <n v="40000"/>
    <m/>
    <m/>
    <m/>
    <m/>
    <n v="40000"/>
    <m/>
    <n v="40000"/>
    <n v="40000"/>
    <s v="Private Equity Fund"/>
    <n v="0"/>
    <n v="0"/>
    <m/>
    <m/>
    <m/>
    <m/>
    <m/>
    <m/>
    <m/>
    <m/>
    <m/>
    <m/>
  </r>
  <r>
    <x v="224"/>
    <x v="7"/>
    <s v="Series 1r"/>
    <n v="40093.67"/>
    <m/>
    <m/>
    <m/>
    <m/>
    <m/>
    <m/>
    <m/>
    <n v="0"/>
    <m/>
    <n v="0"/>
    <n v="0"/>
    <s v="Private Equity Fund"/>
    <n v="0"/>
    <n v="1.6530000000000003E-5"/>
    <m/>
    <m/>
    <m/>
    <m/>
    <m/>
    <m/>
    <m/>
    <m/>
    <m/>
    <m/>
  </r>
  <r>
    <x v="195"/>
    <x v="7"/>
    <s v="Series 1r"/>
    <n v="40199.51"/>
    <m/>
    <m/>
    <m/>
    <m/>
    <m/>
    <m/>
    <m/>
    <n v="0"/>
    <m/>
    <n v="0"/>
    <n v="0"/>
    <s v="Private Equity Fund"/>
    <n v="0"/>
    <n v="3.5210000000000003E-5"/>
    <m/>
    <m/>
    <m/>
    <m/>
    <m/>
    <m/>
    <m/>
    <m/>
    <m/>
    <m/>
  </r>
  <r>
    <x v="227"/>
    <x v="7"/>
    <s v="Series 1r"/>
    <m/>
    <m/>
    <m/>
    <n v="-12609.116511780192"/>
    <m/>
    <m/>
    <m/>
    <m/>
    <n v="-12609.116511780192"/>
    <m/>
    <n v="-12609.116511780192"/>
    <n v="-12609.116511780192"/>
    <s v="Private Equity Fund"/>
    <n v="0"/>
    <n v="0"/>
    <m/>
    <m/>
    <m/>
    <m/>
    <m/>
    <m/>
    <m/>
    <m/>
    <m/>
    <m/>
  </r>
  <r>
    <x v="196"/>
    <x v="7"/>
    <s v="Series 1r"/>
    <n v="27409.84"/>
    <m/>
    <m/>
    <m/>
    <m/>
    <m/>
    <m/>
    <m/>
    <n v="0"/>
    <m/>
    <n v="0"/>
    <n v="0"/>
    <s v="Private Equity Fund"/>
    <n v="0"/>
    <n v="2.7140000000000001E-5"/>
    <m/>
    <m/>
    <m/>
    <m/>
    <m/>
    <m/>
    <m/>
    <m/>
    <m/>
    <m/>
  </r>
  <r>
    <x v="228"/>
    <x v="7"/>
    <s v="Series 1r"/>
    <m/>
    <m/>
    <m/>
    <n v="5514.4"/>
    <m/>
    <m/>
    <m/>
    <m/>
    <n v="5514.4"/>
    <m/>
    <n v="5514.4"/>
    <n v="5514.4"/>
    <s v="Private Equity Fund"/>
    <n v="0"/>
    <n v="0"/>
    <m/>
    <m/>
    <m/>
    <m/>
    <m/>
    <m/>
    <m/>
    <m/>
    <m/>
    <m/>
  </r>
  <r>
    <x v="197"/>
    <x v="7"/>
    <s v="Series 1r"/>
    <n v="33170.69"/>
    <m/>
    <m/>
    <m/>
    <m/>
    <m/>
    <m/>
    <m/>
    <n v="0"/>
    <m/>
    <n v="0"/>
    <n v="0"/>
    <s v="Private Equity Fund"/>
    <n v="0"/>
    <n v="7.0629999999999993E-5"/>
    <m/>
    <m/>
    <m/>
    <m/>
    <m/>
    <m/>
    <m/>
    <m/>
    <m/>
    <m/>
  </r>
  <r>
    <x v="198"/>
    <x v="7"/>
    <s v="Series 1r"/>
    <n v="37981.94"/>
    <m/>
    <n v="0.04"/>
    <n v="3614.6000000000017"/>
    <n v="0"/>
    <n v="0"/>
    <n v="0"/>
    <m/>
    <n v="3614.6000000000017"/>
    <m/>
    <n v="-34367.340000000004"/>
    <n v="-34367.340000000004"/>
    <s v="Private Equity Fund"/>
    <n v="0"/>
    <n v="2.580099767670286E-4"/>
    <m/>
    <m/>
    <m/>
    <m/>
    <m/>
    <m/>
    <m/>
    <m/>
    <m/>
    <m/>
  </r>
  <r>
    <x v="226"/>
    <x v="7"/>
    <s v="Series 1s"/>
    <m/>
    <m/>
    <m/>
    <n v="1000000"/>
    <m/>
    <m/>
    <m/>
    <m/>
    <n v="1000000"/>
    <m/>
    <n v="1000000"/>
    <n v="1000000"/>
    <s v="Private Equity Fund"/>
    <n v="0"/>
    <n v="0"/>
    <m/>
    <m/>
    <m/>
    <m/>
    <m/>
    <m/>
    <m/>
    <m/>
    <m/>
    <m/>
  </r>
  <r>
    <x v="224"/>
    <x v="7"/>
    <s v="Series 1s"/>
    <n v="1001393.71"/>
    <m/>
    <m/>
    <m/>
    <m/>
    <m/>
    <m/>
    <m/>
    <n v="0"/>
    <m/>
    <n v="0"/>
    <n v="0"/>
    <s v="Private Equity Fund"/>
    <n v="1.1153900000000002E-3"/>
    <n v="2.4594999999999999E-4"/>
    <m/>
    <m/>
    <m/>
    <m/>
    <m/>
    <m/>
    <m/>
    <m/>
    <m/>
    <m/>
  </r>
  <r>
    <x v="195"/>
    <x v="7"/>
    <s v="Series 1s"/>
    <n v="1002982.55"/>
    <m/>
    <m/>
    <m/>
    <m/>
    <m/>
    <m/>
    <m/>
    <n v="0"/>
    <m/>
    <n v="0"/>
    <n v="0"/>
    <s v="Private Equity Fund"/>
    <n v="0"/>
    <n v="5.2633000000000009E-4"/>
    <m/>
    <m/>
    <m/>
    <m/>
    <m/>
    <m/>
    <m/>
    <m/>
    <m/>
    <m/>
  </r>
  <r>
    <x v="227"/>
    <x v="7"/>
    <s v="Series 1s"/>
    <m/>
    <m/>
    <m/>
    <n v="-315227.92279450479"/>
    <m/>
    <m/>
    <m/>
    <m/>
    <n v="-315227.92279450479"/>
    <m/>
    <n v="-315227.92279450479"/>
    <n v="-315227.92279450479"/>
    <s v="Private Equity Fund"/>
    <n v="0"/>
    <n v="0"/>
    <m/>
    <m/>
    <m/>
    <m/>
    <m/>
    <m/>
    <m/>
    <m/>
    <m/>
    <m/>
  </r>
  <r>
    <x v="196"/>
    <x v="7"/>
    <s v="Series 1s"/>
    <n v="682888.94"/>
    <m/>
    <m/>
    <m/>
    <m/>
    <m/>
    <m/>
    <m/>
    <n v="0"/>
    <m/>
    <n v="0"/>
    <n v="0"/>
    <s v="Private Equity Fund"/>
    <n v="0"/>
    <n v="2.6266000000000001E-4"/>
    <m/>
    <m/>
    <m/>
    <m/>
    <m/>
    <m/>
    <m/>
    <m/>
    <m/>
    <m/>
  </r>
  <r>
    <x v="228"/>
    <x v="7"/>
    <s v="Series 1s"/>
    <m/>
    <m/>
    <m/>
    <n v="137860.09"/>
    <m/>
    <m/>
    <m/>
    <m/>
    <n v="137860.09"/>
    <m/>
    <n v="137860.09"/>
    <n v="137860.09"/>
    <s v="Private Equity Fund"/>
    <n v="0"/>
    <n v="0"/>
    <m/>
    <m/>
    <m/>
    <m/>
    <m/>
    <m/>
    <m/>
    <m/>
    <m/>
    <m/>
  </r>
  <r>
    <x v="197"/>
    <x v="7"/>
    <s v="Series 1s"/>
    <n v="825853.55"/>
    <m/>
    <m/>
    <m/>
    <m/>
    <m/>
    <m/>
    <m/>
    <n v="0"/>
    <m/>
    <n v="0"/>
    <n v="0"/>
    <s v="Private Equity Fund"/>
    <n v="4.0160400000000002E-3"/>
    <n v="1.1634600000000001E-3"/>
    <m/>
    <m/>
    <m/>
    <m/>
    <m/>
    <m/>
    <m/>
    <m/>
    <m/>
    <m/>
  </r>
  <r>
    <x v="198"/>
    <x v="7"/>
    <s v="Series 1s"/>
    <n v="945490.76509999996"/>
    <m/>
    <n v="1"/>
    <n v="90364.76999999999"/>
    <n v="0"/>
    <n v="0"/>
    <n v="0"/>
    <m/>
    <n v="90364.76999999999"/>
    <m/>
    <n v="-855125.99509999994"/>
    <n v="-855125.99509999994"/>
    <s v="Private Equity Fund"/>
    <n v="4.7738841084913729E-3"/>
    <n v="5.7342049191757335E-3"/>
    <m/>
    <m/>
    <m/>
    <m/>
    <m/>
    <m/>
    <m/>
    <m/>
    <m/>
    <m/>
  </r>
  <r>
    <x v="227"/>
    <x v="7"/>
    <s v="Series 2a"/>
    <m/>
    <m/>
    <m/>
    <n v="615354.2389688543"/>
    <m/>
    <m/>
    <m/>
    <m/>
    <n v="615354.2389688543"/>
    <m/>
    <n v="615354.2389688543"/>
    <n v="615354.2389688543"/>
    <s v="Private Equity Fund"/>
    <n v="0"/>
    <n v="0"/>
    <m/>
    <m/>
    <m/>
    <m/>
    <m/>
    <m/>
    <m/>
    <m/>
    <m/>
    <m/>
  </r>
  <r>
    <x v="196"/>
    <x v="7"/>
    <s v="Series 2a"/>
    <n v="742427.4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a"/>
    <m/>
    <m/>
    <m/>
    <n v="123884.71"/>
    <m/>
    <m/>
    <m/>
    <m/>
    <n v="123884.71"/>
    <m/>
    <n v="123884.71"/>
    <n v="123884.71"/>
    <s v="Private Equity Fund"/>
    <n v="0"/>
    <n v="0"/>
    <m/>
    <m/>
    <m/>
    <m/>
    <m/>
    <m/>
    <m/>
    <m/>
    <m/>
    <m/>
  </r>
  <r>
    <x v="197"/>
    <x v="7"/>
    <s v="Series 2a"/>
    <n v="746788.7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a"/>
    <n v="862115.54"/>
    <m/>
    <n v="0.89862635999999985"/>
    <n v="81204.710000000036"/>
    <n v="0"/>
    <n v="0"/>
    <n v="0"/>
    <m/>
    <n v="81204.710000000036"/>
    <m/>
    <n v="-780910.83"/>
    <n v="-780910.83"/>
    <s v="Private Equity Fund"/>
    <n v="0"/>
    <n v="0"/>
    <m/>
    <m/>
    <m/>
    <m/>
    <m/>
    <m/>
    <m/>
    <m/>
    <m/>
    <m/>
  </r>
  <r>
    <x v="227"/>
    <x v="7"/>
    <s v="Series 2b"/>
    <m/>
    <m/>
    <m/>
    <n v="1315789.9988014151"/>
    <m/>
    <m/>
    <m/>
    <m/>
    <n v="1315789.9988014151"/>
    <m/>
    <n v="1315789.9988014151"/>
    <n v="1315789.9988014151"/>
    <s v="Private Equity Fund"/>
    <n v="0"/>
    <n v="0"/>
    <m/>
    <m/>
    <m/>
    <m/>
    <m/>
    <m/>
    <m/>
    <m/>
    <m/>
    <m/>
  </r>
  <r>
    <x v="196"/>
    <x v="7"/>
    <s v="Series 2b"/>
    <n v="1587506.9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b"/>
    <m/>
    <m/>
    <m/>
    <n v="264898.39"/>
    <m/>
    <m/>
    <m/>
    <m/>
    <n v="264898.39"/>
    <m/>
    <n v="264898.39"/>
    <n v="264898.39"/>
    <s v="Private Equity Fund"/>
    <n v="0"/>
    <n v="0"/>
    <m/>
    <m/>
    <m/>
    <m/>
    <m/>
    <m/>
    <m/>
    <m/>
    <m/>
    <m/>
  </r>
  <r>
    <x v="197"/>
    <x v="7"/>
    <s v="Series 2b"/>
    <n v="1596831.8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b"/>
    <n v="1843431.14"/>
    <m/>
    <n v="1.9215016999999999"/>
    <n v="173637.21999999997"/>
    <n v="0"/>
    <n v="0"/>
    <n v="0"/>
    <m/>
    <n v="173637.21999999997"/>
    <m/>
    <n v="-1669793.92"/>
    <n v="-1669793.92"/>
    <s v="Private Equity Fund"/>
    <n v="0"/>
    <n v="0"/>
    <m/>
    <m/>
    <m/>
    <m/>
    <m/>
    <m/>
    <m/>
    <m/>
    <m/>
    <m/>
  </r>
  <r>
    <x v="227"/>
    <x v="7"/>
    <s v="Series 2c"/>
    <m/>
    <m/>
    <m/>
    <n v="1657267.2892863816"/>
    <m/>
    <m/>
    <m/>
    <m/>
    <n v="1657267.2892863816"/>
    <m/>
    <n v="1657267.2892863816"/>
    <n v="1657267.2892863816"/>
    <s v="Private Equity Fund"/>
    <n v="0"/>
    <n v="0"/>
    <m/>
    <m/>
    <m/>
    <m/>
    <m/>
    <m/>
    <m/>
    <m/>
    <m/>
    <m/>
  </r>
  <r>
    <x v="196"/>
    <x v="7"/>
    <s v="Series 2c"/>
    <n v="1999501.7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c"/>
    <m/>
    <m/>
    <m/>
    <n v="333645.65000000002"/>
    <m/>
    <m/>
    <m/>
    <m/>
    <n v="333645.65000000002"/>
    <m/>
    <n v="333645.65000000002"/>
    <n v="333645.65000000002"/>
    <s v="Private Equity Fund"/>
    <n v="0"/>
    <n v="0"/>
    <m/>
    <m/>
    <m/>
    <m/>
    <m/>
    <m/>
    <m/>
    <m/>
    <m/>
    <m/>
  </r>
  <r>
    <x v="197"/>
    <x v="7"/>
    <s v="Series 2c"/>
    <n v="201124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c"/>
    <n v="2253292.46"/>
    <m/>
    <n v="2.4201758399999997"/>
    <n v="218700.09"/>
    <n v="0"/>
    <n v="0"/>
    <n v="0"/>
    <m/>
    <n v="218700.09"/>
    <m/>
    <n v="-2034592.3699999999"/>
    <n v="-2034592.3699999999"/>
    <s v="Private Equity Fund"/>
    <n v="0"/>
    <n v="0"/>
    <m/>
    <m/>
    <m/>
    <m/>
    <m/>
    <m/>
    <m/>
    <m/>
    <m/>
    <m/>
  </r>
  <r>
    <x v="227"/>
    <x v="7"/>
    <s v="Series 2d"/>
    <m/>
    <m/>
    <m/>
    <n v="1806182.6545612537"/>
    <m/>
    <m/>
    <m/>
    <m/>
    <n v="1806182.6545612537"/>
    <m/>
    <n v="1806182.6545612537"/>
    <n v="1806182.6545612537"/>
    <s v="Private Equity Fund"/>
    <n v="0"/>
    <n v="0"/>
    <m/>
    <m/>
    <m/>
    <m/>
    <m/>
    <m/>
    <m/>
    <m/>
    <m/>
    <m/>
  </r>
  <r>
    <x v="196"/>
    <x v="7"/>
    <s v="Series 2d"/>
    <n v="2179168.200000000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d"/>
    <m/>
    <m/>
    <m/>
    <n v="363625.59"/>
    <m/>
    <m/>
    <m/>
    <m/>
    <n v="363625.59"/>
    <m/>
    <n v="363625.59"/>
    <n v="363625.59"/>
    <s v="Private Equity Fund"/>
    <n v="0"/>
    <n v="0"/>
    <m/>
    <m/>
    <m/>
    <m/>
    <m/>
    <m/>
    <m/>
    <m/>
    <m/>
    <m/>
  </r>
  <r>
    <x v="197"/>
    <x v="7"/>
    <s v="Series 2d"/>
    <n v="2191968.3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d"/>
    <n v="2599025.85"/>
    <m/>
    <n v="2.6376422499999999"/>
    <n v="238351.54000000004"/>
    <n v="0"/>
    <n v="0"/>
    <n v="0"/>
    <m/>
    <n v="238351.54000000004"/>
    <m/>
    <n v="-2360674.31"/>
    <n v="-2360674.31"/>
    <s v="Private Equity Fund"/>
    <n v="0"/>
    <n v="0"/>
    <m/>
    <m/>
    <m/>
    <m/>
    <m/>
    <m/>
    <m/>
    <m/>
    <m/>
    <m/>
  </r>
  <r>
    <x v="227"/>
    <x v="7"/>
    <s v="Series 2e"/>
    <m/>
    <m/>
    <m/>
    <n v="1697747.7300869208"/>
    <m/>
    <m/>
    <m/>
    <m/>
    <n v="1697747.7300869208"/>
    <m/>
    <n v="1697747.7300869208"/>
    <n v="1697747.7300869208"/>
    <s v="Private Equity Fund"/>
    <n v="0"/>
    <n v="0"/>
    <m/>
    <m/>
    <m/>
    <m/>
    <m/>
    <m/>
    <m/>
    <m/>
    <m/>
    <m/>
  </r>
  <r>
    <x v="196"/>
    <x v="7"/>
    <s v="Series 2e"/>
    <n v="2048341.5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e"/>
    <m/>
    <m/>
    <m/>
    <n v="341795.28"/>
    <m/>
    <m/>
    <m/>
    <m/>
    <n v="341795.28"/>
    <m/>
    <n v="341795.28"/>
    <n v="341795.28"/>
    <s v="Private Equity Fund"/>
    <n v="0"/>
    <n v="0"/>
    <m/>
    <m/>
    <m/>
    <m/>
    <m/>
    <m/>
    <m/>
    <m/>
    <m/>
    <m/>
  </r>
  <r>
    <x v="197"/>
    <x v="7"/>
    <s v="Series 2e"/>
    <n v="2060372.7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e"/>
    <n v="2378556.89"/>
    <m/>
    <n v="2.4792910499999996"/>
    <n v="224042.05000000002"/>
    <n v="0"/>
    <n v="0"/>
    <n v="0"/>
    <m/>
    <n v="224042.05000000002"/>
    <m/>
    <n v="-2154514.8400000003"/>
    <n v="-2154514.8400000003"/>
    <s v="Private Equity Fund"/>
    <n v="0"/>
    <n v="0"/>
    <m/>
    <m/>
    <m/>
    <m/>
    <m/>
    <m/>
    <m/>
    <m/>
    <m/>
    <m/>
  </r>
  <r>
    <x v="227"/>
    <x v="7"/>
    <s v="Series 2f"/>
    <m/>
    <m/>
    <m/>
    <n v="81006.866316168715"/>
    <m/>
    <m/>
    <m/>
    <m/>
    <n v="81006.866316168715"/>
    <m/>
    <n v="81006.866316168715"/>
    <n v="81006.866316168715"/>
    <s v="Private Equity Fund"/>
    <n v="0"/>
    <n v="0"/>
    <m/>
    <m/>
    <m/>
    <m/>
    <m/>
    <m/>
    <m/>
    <m/>
    <m/>
    <m/>
  </r>
  <r>
    <x v="196"/>
    <x v="7"/>
    <s v="Series 2f"/>
    <n v="-20562.3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f"/>
    <m/>
    <m/>
    <m/>
    <n v="16308.44"/>
    <m/>
    <m/>
    <m/>
    <m/>
    <n v="16308.44"/>
    <m/>
    <n v="16308.44"/>
    <n v="16308.44"/>
    <s v="Private Equity Fund"/>
    <n v="0"/>
    <n v="0"/>
    <m/>
    <m/>
    <m/>
    <m/>
    <m/>
    <m/>
    <m/>
    <m/>
    <m/>
    <m/>
  </r>
  <r>
    <x v="197"/>
    <x v="7"/>
    <s v="Series 2f"/>
    <n v="98309.18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f"/>
    <n v="103199.24"/>
    <m/>
    <n v="0.11829707"/>
    <n v="10689.960000000003"/>
    <n v="0"/>
    <n v="0"/>
    <n v="0"/>
    <m/>
    <n v="10689.960000000003"/>
    <m/>
    <n v="-92509.28"/>
    <n v="-92509.28"/>
    <s v="Private Equity Fund"/>
    <n v="0"/>
    <n v="0"/>
    <m/>
    <m/>
    <m/>
    <m/>
    <m/>
    <m/>
    <m/>
    <m/>
    <m/>
    <m/>
  </r>
  <r>
    <x v="227"/>
    <x v="7"/>
    <s v="Series 2g"/>
    <m/>
    <m/>
    <m/>
    <n v="276428.7702094643"/>
    <m/>
    <m/>
    <m/>
    <m/>
    <n v="276428.7702094643"/>
    <m/>
    <n v="276428.7702094643"/>
    <n v="276428.7702094643"/>
    <s v="Private Equity Fund"/>
    <n v="0"/>
    <n v="0"/>
    <m/>
    <m/>
    <m/>
    <m/>
    <m/>
    <m/>
    <m/>
    <m/>
    <m/>
    <m/>
  </r>
  <r>
    <x v="196"/>
    <x v="7"/>
    <s v="Series 2g"/>
    <n v="332595.14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g"/>
    <m/>
    <m/>
    <m/>
    <n v="55651.39"/>
    <m/>
    <m/>
    <m/>
    <m/>
    <n v="55651.39"/>
    <m/>
    <n v="55651.39"/>
    <n v="55651.39"/>
    <s v="Private Equity Fund"/>
    <n v="0"/>
    <n v="0"/>
    <m/>
    <m/>
    <m/>
    <m/>
    <m/>
    <m/>
    <m/>
    <m/>
    <m/>
    <m/>
  </r>
  <r>
    <x v="197"/>
    <x v="7"/>
    <s v="Series 2g"/>
    <n v="333820.7"/>
    <m/>
    <m/>
    <m/>
    <m/>
    <m/>
    <m/>
    <m/>
    <n v="0"/>
    <m/>
    <n v="0"/>
    <n v="0"/>
    <s v="Private Equity Fund"/>
    <n v="1.3438299999999999E-3"/>
    <n v="3.0714999999999996E-4"/>
    <m/>
    <m/>
    <m/>
    <m/>
    <m/>
    <m/>
    <m/>
    <m/>
    <m/>
    <m/>
  </r>
  <r>
    <x v="198"/>
    <x v="7"/>
    <s v="Series 2g"/>
    <n v="383034.77799999999"/>
    <m/>
    <n v="0.40368021000000004"/>
    <n v="36478.710000000014"/>
    <n v="0"/>
    <n v="0"/>
    <n v="0"/>
    <m/>
    <n v="36478.710000000014"/>
    <m/>
    <n v="-346556.06799999997"/>
    <n v="-346556.06799999997"/>
    <s v="Private Equity Fund"/>
    <n v="1.6893278226068128E-3"/>
    <n v="2.5545719685803455E-3"/>
    <m/>
    <m/>
    <m/>
    <m/>
    <m/>
    <m/>
    <m/>
    <m/>
    <m/>
    <m/>
  </r>
  <r>
    <x v="227"/>
    <x v="7"/>
    <s v="Series 2h"/>
    <m/>
    <m/>
    <m/>
    <n v="258614.24866045982"/>
    <m/>
    <m/>
    <m/>
    <m/>
    <n v="258614.24866045982"/>
    <m/>
    <n v="258614.24866045982"/>
    <n v="258614.24866045982"/>
    <s v="Private Equity Fund"/>
    <n v="0"/>
    <n v="0"/>
    <m/>
    <m/>
    <m/>
    <m/>
    <m/>
    <m/>
    <m/>
    <m/>
    <m/>
    <m/>
  </r>
  <r>
    <x v="196"/>
    <x v="7"/>
    <s v="Series 2h"/>
    <n v="311161.0900000000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h"/>
    <m/>
    <m/>
    <m/>
    <n v="52064.94"/>
    <m/>
    <m/>
    <m/>
    <m/>
    <n v="52064.94"/>
    <m/>
    <n v="52064.94"/>
    <n v="52064.94"/>
    <s v="Private Equity Fund"/>
    <n v="0"/>
    <n v="0"/>
    <m/>
    <m/>
    <m/>
    <m/>
    <m/>
    <m/>
    <m/>
    <m/>
    <m/>
    <m/>
  </r>
  <r>
    <x v="197"/>
    <x v="7"/>
    <s v="Series 2h"/>
    <n v="312307.55"/>
    <m/>
    <m/>
    <m/>
    <m/>
    <m/>
    <m/>
    <m/>
    <n v="0"/>
    <m/>
    <n v="0"/>
    <n v="0"/>
    <s v="Private Equity Fund"/>
    <n v="1.2572200000000001E-3"/>
    <n v="2.8736000000000001E-4"/>
    <m/>
    <m/>
    <m/>
    <m/>
    <m/>
    <m/>
    <m/>
    <m/>
    <m/>
    <m/>
  </r>
  <r>
    <x v="198"/>
    <x v="7"/>
    <s v="Series 2h"/>
    <n v="358350.04580000002"/>
    <m/>
    <n v="0.37766508999999998"/>
    <n v="34127.839999999997"/>
    <n v="0"/>
    <n v="0"/>
    <n v="0"/>
    <m/>
    <n v="34127.839999999997"/>
    <m/>
    <n v="-324222.2058"/>
    <n v="-324222.2058"/>
    <s v="Private Equity Fund"/>
    <n v="1.5804589391823695E-3"/>
    <n v="2.3899442009310211E-3"/>
    <m/>
    <m/>
    <m/>
    <m/>
    <m/>
    <m/>
    <m/>
    <m/>
    <m/>
    <m/>
  </r>
  <r>
    <x v="227"/>
    <x v="7"/>
    <s v="Series 2i"/>
    <m/>
    <m/>
    <m/>
    <n v="2676009.9033536147"/>
    <m/>
    <m/>
    <m/>
    <m/>
    <n v="2676009.9033536147"/>
    <m/>
    <n v="2676009.9033536147"/>
    <n v="2676009.9033536147"/>
    <s v="Private Equity Fund"/>
    <n v="0"/>
    <n v="0"/>
    <m/>
    <m/>
    <m/>
    <m/>
    <m/>
    <m/>
    <m/>
    <m/>
    <m/>
    <m/>
  </r>
  <r>
    <x v="196"/>
    <x v="7"/>
    <s v="Series 2i"/>
    <n v="3219736.85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i"/>
    <m/>
    <m/>
    <m/>
    <n v="538741.56000000006"/>
    <m/>
    <m/>
    <m/>
    <m/>
    <n v="538741.56000000006"/>
    <m/>
    <n v="538741.56000000006"/>
    <n v="538741.56000000006"/>
    <s v="Private Equity Fund"/>
    <n v="0"/>
    <n v="0"/>
    <m/>
    <m/>
    <m/>
    <m/>
    <m/>
    <m/>
    <m/>
    <m/>
    <m/>
    <m/>
  </r>
  <r>
    <x v="197"/>
    <x v="7"/>
    <s v="Series 2i"/>
    <n v="3231600.94"/>
    <m/>
    <m/>
    <m/>
    <m/>
    <m/>
    <m/>
    <m/>
    <n v="0"/>
    <m/>
    <n v="0"/>
    <n v="0"/>
    <s v="Private Equity Fund"/>
    <n v="1.3009120000000001E-2"/>
    <n v="2.9734399999999999E-3"/>
    <m/>
    <m/>
    <m/>
    <m/>
    <m/>
    <m/>
    <m/>
    <m/>
    <m/>
    <m/>
  </r>
  <r>
    <x v="198"/>
    <x v="7"/>
    <s v="Series 2i"/>
    <n v="3708025.2570000002"/>
    <m/>
    <n v="3.9078864599999998"/>
    <n v="353137.61999999994"/>
    <n v="0"/>
    <n v="0"/>
    <n v="0"/>
    <m/>
    <n v="353137.61999999994"/>
    <m/>
    <n v="-3354887.6370000001"/>
    <n v="-3354887.6370000001"/>
    <s v="Private Equity Fund"/>
    <n v="1.6353789707124488E-2"/>
    <n v="2.4729912996957752E-2"/>
    <m/>
    <m/>
    <m/>
    <m/>
    <m/>
    <m/>
    <m/>
    <m/>
    <m/>
    <m/>
  </r>
  <r>
    <x v="227"/>
    <x v="7"/>
    <s v="Series 2j"/>
    <m/>
    <m/>
    <m/>
    <n v="187965.91718211613"/>
    <m/>
    <m/>
    <m/>
    <m/>
    <n v="187965.91718211613"/>
    <m/>
    <n v="187965.91718211613"/>
    <n v="187965.91718211613"/>
    <s v="Private Equity Fund"/>
    <n v="0"/>
    <n v="0"/>
    <m/>
    <m/>
    <m/>
    <m/>
    <m/>
    <m/>
    <m/>
    <m/>
    <m/>
    <m/>
  </r>
  <r>
    <x v="196"/>
    <x v="7"/>
    <s v="Series 2j"/>
    <n v="226157.8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j"/>
    <m/>
    <m/>
    <m/>
    <n v="37841.800000000003"/>
    <m/>
    <m/>
    <m/>
    <m/>
    <n v="37841.800000000003"/>
    <m/>
    <n v="37841.800000000003"/>
    <n v="37841.800000000003"/>
    <s v="Private Equity Fund"/>
    <n v="0"/>
    <n v="0"/>
    <m/>
    <m/>
    <m/>
    <m/>
    <m/>
    <m/>
    <m/>
    <m/>
    <m/>
    <m/>
  </r>
  <r>
    <x v="197"/>
    <x v="7"/>
    <s v="Series 2j"/>
    <n v="226991.24"/>
    <m/>
    <m/>
    <m/>
    <m/>
    <m/>
    <m/>
    <m/>
    <n v="0"/>
    <m/>
    <n v="0"/>
    <n v="0"/>
    <s v="Private Equity Fund"/>
    <n v="9.1376999999999995E-4"/>
    <n v="2.0886E-4"/>
    <m/>
    <m/>
    <m/>
    <m/>
    <m/>
    <m/>
    <m/>
    <m/>
    <m/>
    <m/>
  </r>
  <r>
    <x v="198"/>
    <x v="7"/>
    <s v="Series 2j"/>
    <n v="260455.8126"/>
    <m/>
    <n v="0.27449425"/>
    <n v="24804.769999999997"/>
    <n v="0"/>
    <n v="0"/>
    <n v="0"/>
    <m/>
    <n v="24804.769999999997"/>
    <m/>
    <n v="-235651.04260000002"/>
    <n v="-235651.04260000002"/>
    <s v="Private Equity Fund"/>
    <n v="1.148708324366896E-3"/>
    <n v="1.7370574226825877E-3"/>
    <m/>
    <m/>
    <m/>
    <m/>
    <m/>
    <m/>
    <m/>
    <m/>
    <m/>
    <m/>
  </r>
  <r>
    <x v="227"/>
    <x v="7"/>
    <s v="Series 2k"/>
    <m/>
    <m/>
    <m/>
    <n v="136270.74163617956"/>
    <m/>
    <m/>
    <m/>
    <m/>
    <n v="136270.74163617956"/>
    <m/>
    <n v="136270.74163617956"/>
    <n v="136270.74163617956"/>
    <s v="Private Equity Fund"/>
    <n v="0"/>
    <n v="0"/>
    <m/>
    <m/>
    <m/>
    <m/>
    <m/>
    <m/>
    <m/>
    <m/>
    <m/>
    <m/>
  </r>
  <r>
    <x v="196"/>
    <x v="7"/>
    <s v="Series 2k"/>
    <n v="163958.82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k"/>
    <m/>
    <m/>
    <m/>
    <n v="27434.36"/>
    <m/>
    <m/>
    <m/>
    <m/>
    <n v="27434.36"/>
    <m/>
    <n v="27434.36"/>
    <n v="27434.36"/>
    <s v="Private Equity Fund"/>
    <n v="0"/>
    <n v="0"/>
    <m/>
    <m/>
    <m/>
    <m/>
    <m/>
    <m/>
    <m/>
    <m/>
    <m/>
    <m/>
  </r>
  <r>
    <x v="197"/>
    <x v="7"/>
    <s v="Series 2k"/>
    <n v="164563.12"/>
    <m/>
    <m/>
    <m/>
    <m/>
    <m/>
    <m/>
    <m/>
    <n v="0"/>
    <m/>
    <n v="0"/>
    <n v="0"/>
    <s v="Private Equity Fund"/>
    <n v="6.6246000000000002E-4"/>
    <n v="1.5141999999999998E-4"/>
    <m/>
    <m/>
    <m/>
    <m/>
    <m/>
    <m/>
    <m/>
    <m/>
    <m/>
    <m/>
  </r>
  <r>
    <x v="198"/>
    <x v="7"/>
    <s v="Series 2k"/>
    <n v="188824.10819999999"/>
    <m/>
    <n v="0.1990015"/>
    <n v="17982.849999999995"/>
    <n v="0"/>
    <n v="0"/>
    <n v="0"/>
    <m/>
    <n v="17982.849999999995"/>
    <m/>
    <n v="-170841.25819999998"/>
    <n v="-170841.25819999998"/>
    <s v="Private Equity Fund"/>
    <n v="8.3278536552482368E-4"/>
    <n v="1.2593217545730701E-3"/>
    <m/>
    <m/>
    <m/>
    <m/>
    <m/>
    <m/>
    <m/>
    <m/>
    <m/>
    <m/>
  </r>
  <r>
    <x v="227"/>
    <x v="7"/>
    <s v="Series 2l"/>
    <m/>
    <m/>
    <m/>
    <n v="21623.539122453571"/>
    <m/>
    <m/>
    <m/>
    <m/>
    <n v="21623.539122453571"/>
    <m/>
    <n v="21623.539122453571"/>
    <n v="21623.539122453571"/>
    <s v="Private Equity Fund"/>
    <n v="0"/>
    <n v="0"/>
    <m/>
    <m/>
    <m/>
    <m/>
    <m/>
    <m/>
    <m/>
    <m/>
    <m/>
    <m/>
  </r>
  <r>
    <x v="196"/>
    <x v="7"/>
    <s v="Series 2l"/>
    <n v="26089.1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l"/>
    <m/>
    <m/>
    <m/>
    <n v="4353.3500000000004"/>
    <m/>
    <m/>
    <m/>
    <m/>
    <n v="4353.3500000000004"/>
    <m/>
    <n v="4353.3500000000004"/>
    <n v="4353.3500000000004"/>
    <s v="Private Equity Fund"/>
    <n v="0"/>
    <n v="0"/>
    <m/>
    <m/>
    <m/>
    <m/>
    <m/>
    <m/>
    <m/>
    <m/>
    <m/>
    <m/>
  </r>
  <r>
    <x v="197"/>
    <x v="7"/>
    <s v="Series 2l"/>
    <n v="26242.1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l"/>
    <n v="30294.82"/>
    <m/>
    <n v="3.1578040000000002E-2"/>
    <n v="2853.5600000000009"/>
    <n v="0"/>
    <n v="0"/>
    <n v="0"/>
    <m/>
    <n v="2853.5600000000009"/>
    <m/>
    <n v="-27441.26"/>
    <n v="-27441.26"/>
    <s v="Private Equity Fund"/>
    <n v="0"/>
    <n v="0"/>
    <m/>
    <m/>
    <m/>
    <m/>
    <m/>
    <m/>
    <m/>
    <m/>
    <m/>
    <m/>
  </r>
  <r>
    <x v="227"/>
    <x v="7"/>
    <s v="Series 2m"/>
    <m/>
    <m/>
    <m/>
    <n v="68477.568777712513"/>
    <m/>
    <m/>
    <m/>
    <m/>
    <n v="68477.568777712513"/>
    <m/>
    <n v="68477.568777712513"/>
    <n v="68477.568777712513"/>
    <s v="Private Equity Fund"/>
    <n v="0"/>
    <n v="0"/>
    <m/>
    <m/>
    <m/>
    <m/>
    <m/>
    <m/>
    <m/>
    <m/>
    <m/>
    <m/>
  </r>
  <r>
    <x v="196"/>
    <x v="7"/>
    <s v="Series 2m"/>
    <n v="51095.6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m"/>
    <m/>
    <m/>
    <m/>
    <n v="13786.01"/>
    <m/>
    <m/>
    <m/>
    <m/>
    <n v="13786.01"/>
    <m/>
    <n v="13786.01"/>
    <n v="13786.01"/>
    <s v="Private Equity Fund"/>
    <n v="0"/>
    <n v="0"/>
    <m/>
    <m/>
    <m/>
    <m/>
    <m/>
    <m/>
    <m/>
    <m/>
    <m/>
    <m/>
  </r>
  <r>
    <x v="197"/>
    <x v="7"/>
    <s v="Series 2m"/>
    <n v="83103.7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2m"/>
    <n v="87237.52"/>
    <m/>
    <n v="0.1"/>
    <n v="9036.5399999999954"/>
    <n v="0"/>
    <n v="0"/>
    <n v="0"/>
    <m/>
    <n v="9036.5399999999954"/>
    <m/>
    <n v="-78200.98000000001"/>
    <n v="-78200.98000000001"/>
    <s v="Private Equity Fund"/>
    <n v="0"/>
    <n v="0"/>
    <m/>
    <m/>
    <m/>
    <m/>
    <m/>
    <m/>
    <m/>
    <m/>
    <m/>
    <m/>
  </r>
  <r>
    <x v="227"/>
    <x v="7"/>
    <s v="Series 2n"/>
    <m/>
    <m/>
    <m/>
    <n v="821725.8253325501"/>
    <m/>
    <m/>
    <m/>
    <m/>
    <n v="821725.8253325501"/>
    <m/>
    <n v="821725.8253325501"/>
    <n v="821725.8253325501"/>
    <s v="Private Equity Fund"/>
    <n v="0"/>
    <n v="0"/>
    <m/>
    <m/>
    <m/>
    <m/>
    <m/>
    <m/>
    <m/>
    <m/>
    <m/>
    <m/>
  </r>
  <r>
    <x v="196"/>
    <x v="7"/>
    <s v="Series 2n"/>
    <n v="611394.16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n"/>
    <m/>
    <m/>
    <m/>
    <n v="165432.1"/>
    <m/>
    <m/>
    <m/>
    <m/>
    <n v="165432.1"/>
    <m/>
    <n v="165432.1"/>
    <n v="165432.1"/>
    <s v="Private Equity Fund"/>
    <n v="0"/>
    <n v="0"/>
    <m/>
    <m/>
    <m/>
    <m/>
    <m/>
    <m/>
    <m/>
    <m/>
    <m/>
    <m/>
  </r>
  <r>
    <x v="197"/>
    <x v="7"/>
    <s v="Series 2n"/>
    <n v="992331.92"/>
    <m/>
    <m/>
    <m/>
    <m/>
    <m/>
    <m/>
    <m/>
    <n v="0"/>
    <m/>
    <n v="0"/>
    <n v="0"/>
    <s v="Private Equity Fund"/>
    <n v="3.9947300000000002E-3"/>
    <n v="9.1305999999999994E-4"/>
    <m/>
    <m/>
    <m/>
    <m/>
    <m/>
    <m/>
    <m/>
    <m/>
    <m/>
    <m/>
  </r>
  <r>
    <x v="198"/>
    <x v="7"/>
    <s v="Series 2n"/>
    <n v="969430.77"/>
    <m/>
    <n v="1.2"/>
    <n v="161648.78999999998"/>
    <n v="0"/>
    <n v="0"/>
    <n v="0"/>
    <m/>
    <n v="161648.78999999998"/>
    <m/>
    <n v="-807781.98"/>
    <n v="-807781.98"/>
    <s v="Private Equity Fund"/>
    <n v="5.1202839400407716E-3"/>
    <n v="0"/>
    <m/>
    <m/>
    <m/>
    <m/>
    <m/>
    <m/>
    <m/>
    <m/>
    <m/>
    <m/>
  </r>
  <r>
    <x v="227"/>
    <x v="7"/>
    <s v="Series 2o"/>
    <m/>
    <m/>
    <m/>
    <n v="109563.31004434002"/>
    <m/>
    <m/>
    <m/>
    <m/>
    <n v="109563.31004434002"/>
    <m/>
    <n v="109563.31004434002"/>
    <n v="109563.31004434002"/>
    <s v="Private Equity Fund"/>
    <n v="0"/>
    <n v="0"/>
    <m/>
    <m/>
    <m/>
    <m/>
    <m/>
    <m/>
    <m/>
    <m/>
    <m/>
    <m/>
  </r>
  <r>
    <x v="196"/>
    <x v="7"/>
    <s v="Series 2o"/>
    <n v="132188.8599999999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o"/>
    <m/>
    <m/>
    <m/>
    <n v="22057.61"/>
    <m/>
    <m/>
    <m/>
    <m/>
    <n v="22057.61"/>
    <m/>
    <n v="22057.61"/>
    <n v="22057.61"/>
    <s v="Private Equity Fund"/>
    <n v="0"/>
    <n v="0"/>
    <m/>
    <m/>
    <m/>
    <m/>
    <m/>
    <m/>
    <m/>
    <m/>
    <m/>
    <m/>
  </r>
  <r>
    <x v="197"/>
    <x v="7"/>
    <s v="Series 2o"/>
    <n v="132763.51999999999"/>
    <m/>
    <m/>
    <m/>
    <m/>
    <m/>
    <m/>
    <m/>
    <n v="0"/>
    <m/>
    <n v="0"/>
    <n v="0"/>
    <s v="Private Equity Fund"/>
    <n v="0"/>
    <n v="2.0163999999999997E-4"/>
    <m/>
    <m/>
    <m/>
    <m/>
    <m/>
    <m/>
    <m/>
    <m/>
    <m/>
    <m/>
  </r>
  <r>
    <x v="198"/>
    <x v="7"/>
    <s v="Series 2o"/>
    <n v="152386.09099999999"/>
    <m/>
    <n v="0.16"/>
    <n v="14458.460000000003"/>
    <n v="0"/>
    <n v="0"/>
    <n v="0"/>
    <m/>
    <n v="14458.460000000003"/>
    <m/>
    <n v="-137927.63099999999"/>
    <n v="-137927.63099999999"/>
    <s v="Private Equity Fund"/>
    <n v="0"/>
    <n v="1.1129489933489997E-3"/>
    <m/>
    <m/>
    <m/>
    <m/>
    <m/>
    <m/>
    <m/>
    <m/>
    <m/>
    <m/>
  </r>
  <r>
    <x v="227"/>
    <x v="7"/>
    <s v="Series 2p"/>
    <m/>
    <m/>
    <m/>
    <n v="6847715.8777712509"/>
    <m/>
    <m/>
    <m/>
    <m/>
    <n v="6847715.8777712509"/>
    <m/>
    <n v="6847715.8777712509"/>
    <n v="6847715.8777712509"/>
    <s v="Private Equity Fund"/>
    <n v="0"/>
    <n v="0"/>
    <m/>
    <m/>
    <m/>
    <m/>
    <m/>
    <m/>
    <m/>
    <m/>
    <m/>
    <m/>
  </r>
  <r>
    <x v="196"/>
    <x v="7"/>
    <s v="Series 2p"/>
    <n v="5094951.99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p"/>
    <m/>
    <m/>
    <m/>
    <n v="1378600.86"/>
    <m/>
    <m/>
    <m/>
    <m/>
    <n v="1378600.86"/>
    <m/>
    <n v="1378600.86"/>
    <n v="1378600.86"/>
    <s v="Private Equity Fund"/>
    <n v="0"/>
    <n v="0"/>
    <m/>
    <m/>
    <m/>
    <m/>
    <m/>
    <m/>
    <m/>
    <m/>
    <m/>
    <m/>
  </r>
  <r>
    <x v="197"/>
    <x v="7"/>
    <s v="Series 2p"/>
    <n v="8269433.3499999996"/>
    <m/>
    <m/>
    <m/>
    <m/>
    <m/>
    <m/>
    <m/>
    <n v="0"/>
    <m/>
    <n v="0"/>
    <n v="0"/>
    <s v="Private Equity Fund"/>
    <n v="3.3289390000000002E-2"/>
    <n v="7.6088100000000006E-3"/>
    <m/>
    <m/>
    <m/>
    <m/>
    <m/>
    <m/>
    <m/>
    <m/>
    <m/>
    <m/>
  </r>
  <r>
    <x v="198"/>
    <x v="7"/>
    <s v="Series 2p"/>
    <n v="8680595.9000000004"/>
    <m/>
    <n v="10"/>
    <n v="903653.73"/>
    <n v="0"/>
    <n v="0"/>
    <n v="0"/>
    <m/>
    <n v="903653.73"/>
    <m/>
    <n v="-7776942.1699999999"/>
    <n v="-7776942.1699999999"/>
    <s v="Private Equity Fund"/>
    <n v="4.3073670606504154E-2"/>
    <n v="0"/>
    <m/>
    <m/>
    <m/>
    <m/>
    <m/>
    <m/>
    <m/>
    <m/>
    <m/>
    <m/>
  </r>
  <r>
    <x v="227"/>
    <x v="7"/>
    <s v="Series 2q"/>
    <m/>
    <m/>
    <m/>
    <n v="1032370.2269021661"/>
    <m/>
    <m/>
    <m/>
    <m/>
    <n v="1032370.2269021661"/>
    <m/>
    <n v="1032370.2269021661"/>
    <n v="1032370.2269021661"/>
    <s v="Private Equity Fund"/>
    <n v="0"/>
    <n v="0"/>
    <m/>
    <m/>
    <m/>
    <m/>
    <m/>
    <m/>
    <m/>
    <m/>
    <m/>
    <m/>
  </r>
  <r>
    <x v="196"/>
    <x v="7"/>
    <s v="Series 2q"/>
    <n v="1242335.3500000001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q"/>
    <m/>
    <m/>
    <m/>
    <n v="207839.64"/>
    <m/>
    <m/>
    <m/>
    <m/>
    <n v="207839.64"/>
    <m/>
    <n v="207839.64"/>
    <n v="207839.64"/>
    <s v="Private Equity Fund"/>
    <n v="0"/>
    <n v="0"/>
    <m/>
    <m/>
    <m/>
    <m/>
    <m/>
    <m/>
    <m/>
    <m/>
    <m/>
    <m/>
  </r>
  <r>
    <x v="197"/>
    <x v="7"/>
    <s v="Series 2q"/>
    <n v="1246993.52"/>
    <m/>
    <m/>
    <m/>
    <m/>
    <m/>
    <m/>
    <m/>
    <n v="0"/>
    <m/>
    <n v="0"/>
    <n v="0"/>
    <s v="Private Equity Fund"/>
    <n v="4.6854100000000001E-3"/>
    <n v="1.1971199999999999E-3"/>
    <m/>
    <m/>
    <m/>
    <m/>
    <m/>
    <m/>
    <m/>
    <m/>
    <m/>
    <m/>
  </r>
  <r>
    <x v="198"/>
    <x v="7"/>
    <s v="Series 2q"/>
    <n v="1430842.3674999999"/>
    <m/>
    <n v="1.5076128999999998"/>
    <n v="136236.00000000006"/>
    <n v="0"/>
    <n v="0"/>
    <n v="0"/>
    <m/>
    <n v="136236.00000000006"/>
    <m/>
    <n v="-1294606.3674999999"/>
    <n v="-1294606.3674999999"/>
    <s v="Private Equity Fund"/>
    <n v="5.9164501527957016E-3"/>
    <n v="9.5993824646750919E-3"/>
    <m/>
    <m/>
    <m/>
    <m/>
    <m/>
    <m/>
    <m/>
    <m/>
    <m/>
    <m/>
  </r>
  <r>
    <x v="227"/>
    <x v="7"/>
    <s v="Series 2r"/>
    <m/>
    <m/>
    <m/>
    <n v="1369543.3755542503"/>
    <m/>
    <m/>
    <m/>
    <m/>
    <n v="1369543.3755542503"/>
    <m/>
    <n v="1369543.3755542503"/>
    <n v="1369543.3755542503"/>
    <s v="Private Equity Fund"/>
    <n v="0"/>
    <n v="0"/>
    <m/>
    <m/>
    <m/>
    <m/>
    <m/>
    <m/>
    <m/>
    <m/>
    <m/>
    <m/>
  </r>
  <r>
    <x v="196"/>
    <x v="7"/>
    <s v="Series 2r"/>
    <n v="1018980.6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2r"/>
    <m/>
    <m/>
    <m/>
    <n v="275720.17"/>
    <m/>
    <m/>
    <m/>
    <m/>
    <n v="275720.17"/>
    <m/>
    <n v="275720.17"/>
    <n v="275720.17"/>
    <s v="Private Equity Fund"/>
    <n v="0"/>
    <n v="0"/>
    <m/>
    <m/>
    <m/>
    <m/>
    <m/>
    <m/>
    <m/>
    <m/>
    <m/>
    <m/>
  </r>
  <r>
    <x v="197"/>
    <x v="7"/>
    <s v="Series 2r"/>
    <n v="1653886.87"/>
    <m/>
    <m/>
    <m/>
    <m/>
    <m/>
    <m/>
    <m/>
    <n v="0"/>
    <m/>
    <n v="0"/>
    <n v="0"/>
    <s v="Private Equity Fund"/>
    <n v="6.6578799999999997E-3"/>
    <n v="1.52176E-3"/>
    <m/>
    <m/>
    <m/>
    <m/>
    <m/>
    <m/>
    <m/>
    <m/>
    <m/>
    <m/>
  </r>
  <r>
    <x v="198"/>
    <x v="7"/>
    <s v="Series 2r"/>
    <n v="1736119.57"/>
    <m/>
    <n v="2"/>
    <n v="180730.74"/>
    <n v="0"/>
    <n v="0"/>
    <n v="0"/>
    <m/>
    <n v="180730.74"/>
    <m/>
    <n v="-1555388.83"/>
    <n v="-1555388.83"/>
    <s v="Private Equity Fund"/>
    <n v="8.6147347858213773E-3"/>
    <n v="0"/>
    <m/>
    <m/>
    <m/>
    <m/>
    <m/>
    <m/>
    <m/>
    <m/>
    <m/>
    <m/>
  </r>
  <r>
    <x v="198"/>
    <x v="7"/>
    <s v="Series 3a"/>
    <n v="6899.32"/>
    <m/>
    <n v="0.05"/>
    <n v="45649.850000000006"/>
    <m/>
    <m/>
    <m/>
    <m/>
    <n v="45649.850000000006"/>
    <m/>
    <n v="38750.530000000006"/>
    <n v="38750.530000000006"/>
    <s v="Private Equity Fund"/>
    <n v="0"/>
    <n v="0"/>
    <m/>
    <m/>
    <m/>
    <m/>
    <m/>
    <m/>
    <m/>
    <m/>
    <m/>
    <m/>
  </r>
  <r>
    <x v="198"/>
    <x v="7"/>
    <s v="Series 3b"/>
    <n v="603106.94999999995"/>
    <m/>
    <n v="1"/>
    <n v="912997.02"/>
    <m/>
    <m/>
    <m/>
    <m/>
    <n v="912997.02"/>
    <m/>
    <n v="309890.07000000007"/>
    <n v="309890.07000000007"/>
    <s v="Private Equity Fund"/>
    <n v="0"/>
    <n v="0"/>
    <m/>
    <m/>
    <m/>
    <m/>
    <m/>
    <m/>
    <m/>
    <m/>
    <m/>
    <m/>
  </r>
  <r>
    <x v="198"/>
    <x v="7"/>
    <s v="Series 3c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</r>
  <r>
    <x v="198"/>
    <x v="7"/>
    <s v="Series 3d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</r>
  <r>
    <x v="198"/>
    <x v="7"/>
    <s v="Series 3e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</r>
  <r>
    <x v="198"/>
    <x v="7"/>
    <s v="Series 3f"/>
    <n v="8802343.5"/>
    <m/>
    <n v="10"/>
    <n v="9129970.129999999"/>
    <m/>
    <m/>
    <m/>
    <m/>
    <n v="9129970.129999999"/>
    <m/>
    <n v="327626.62999999896"/>
    <n v="327626.62999999896"/>
    <s v="Private Equity Fund"/>
    <n v="1.9452247070770791E-2"/>
    <n v="0"/>
    <m/>
    <m/>
    <m/>
    <m/>
    <m/>
    <m/>
    <m/>
    <m/>
    <m/>
    <m/>
  </r>
  <r>
    <x v="198"/>
    <x v="7"/>
    <s v="Series 3g"/>
    <n v="4401171.74"/>
    <m/>
    <n v="5"/>
    <n v="4564985.0600000005"/>
    <m/>
    <m/>
    <m/>
    <m/>
    <n v="4564985.0600000005"/>
    <m/>
    <n v="163813.3200000003"/>
    <n v="163813.3200000003"/>
    <s v="Private Equity Fund"/>
    <n v="9.7261235240840276E-3"/>
    <n v="0"/>
    <m/>
    <m/>
    <m/>
    <m/>
    <m/>
    <m/>
    <m/>
    <m/>
    <m/>
    <m/>
  </r>
  <r>
    <x v="198"/>
    <x v="7"/>
    <s v="Series 3h"/>
    <n v="880234.36"/>
    <m/>
    <n v="1"/>
    <n v="912997.02"/>
    <m/>
    <m/>
    <m/>
    <m/>
    <n v="912997.02"/>
    <m/>
    <n v="32762.660000000033"/>
    <n v="32762.660000000033"/>
    <s v="Private Equity Fund"/>
    <n v="1.9452247228989965E-3"/>
    <n v="0"/>
    <m/>
    <m/>
    <m/>
    <m/>
    <m/>
    <m/>
    <m/>
    <m/>
    <m/>
    <m/>
  </r>
  <r>
    <x v="227"/>
    <x v="7"/>
    <s v="Series US1a"/>
    <m/>
    <m/>
    <m/>
    <n v="88507.399967734367"/>
    <m/>
    <m/>
    <m/>
    <m/>
    <n v="88507.399967734367"/>
    <m/>
    <n v="88507.399967734367"/>
    <n v="88507.399967734367"/>
    <s v="Private Equity Fund"/>
    <n v="0"/>
    <n v="0"/>
    <m/>
    <m/>
    <m/>
    <m/>
    <m/>
    <m/>
    <m/>
    <m/>
    <m/>
    <m/>
  </r>
  <r>
    <x v="196"/>
    <x v="7"/>
    <s v="Series US1a"/>
    <n v="60066.73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US1a"/>
    <m/>
    <m/>
    <m/>
    <n v="17818.57"/>
    <m/>
    <m/>
    <m/>
    <m/>
    <n v="17818.57"/>
    <m/>
    <n v="17818.57"/>
    <n v="17818.57"/>
    <s v="Private Equity Fund"/>
    <n v="0"/>
    <n v="0"/>
    <m/>
    <m/>
    <m/>
    <m/>
    <m/>
    <m/>
    <m/>
    <m/>
    <m/>
    <m/>
  </r>
  <r>
    <x v="197"/>
    <x v="7"/>
    <s v="Series US1a"/>
    <n v="107410.9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198"/>
    <x v="7"/>
    <s v="Series US1a"/>
    <n v="112754.2"/>
    <m/>
    <n v="0.12925114999999998"/>
    <n v="11679.829999999998"/>
    <n v="0"/>
    <n v="0"/>
    <n v="0"/>
    <m/>
    <n v="11679.829999999998"/>
    <m/>
    <n v="-101074.37"/>
    <n v="-101074.37"/>
    <s v="Private Equity Fund"/>
    <n v="0"/>
    <n v="0"/>
    <m/>
    <m/>
    <m/>
    <m/>
    <m/>
    <m/>
    <m/>
    <m/>
    <m/>
    <m/>
  </r>
  <r>
    <x v="227"/>
    <x v="7"/>
    <s v="Series US1b"/>
    <m/>
    <m/>
    <m/>
    <n v="3423857.4388856255"/>
    <m/>
    <m/>
    <m/>
    <m/>
    <n v="3423857.4388856255"/>
    <m/>
    <n v="3423857.4388856255"/>
    <n v="3423857.4388856255"/>
    <s v="Private Equity Fund"/>
    <n v="0"/>
    <n v="0"/>
    <m/>
    <m/>
    <m/>
    <m/>
    <m/>
    <m/>
    <m/>
    <m/>
    <m/>
    <m/>
  </r>
  <r>
    <x v="196"/>
    <x v="7"/>
    <s v="Series US1b"/>
    <n v="3445971.37"/>
    <m/>
    <m/>
    <m/>
    <m/>
    <m/>
    <m/>
    <m/>
    <n v="0"/>
    <m/>
    <n v="0"/>
    <n v="0"/>
    <s v="Private Equity Fund"/>
    <n v="0"/>
    <n v="0"/>
    <m/>
    <m/>
    <m/>
    <m/>
    <m/>
    <m/>
    <m/>
    <m/>
    <m/>
    <m/>
  </r>
  <r>
    <x v="228"/>
    <x v="7"/>
    <s v="Series US1b"/>
    <m/>
    <m/>
    <m/>
    <n v="689300.43"/>
    <m/>
    <m/>
    <m/>
    <m/>
    <n v="689300.43"/>
    <m/>
    <n v="689300.43"/>
    <n v="689300.43"/>
    <s v="Private Equity Fund"/>
    <n v="0"/>
    <n v="0"/>
    <m/>
    <m/>
    <m/>
    <m/>
    <m/>
    <m/>
    <m/>
    <m/>
    <m/>
    <m/>
  </r>
  <r>
    <x v="197"/>
    <x v="7"/>
    <s v="Series US1b"/>
    <n v="4134686.7"/>
    <m/>
    <m/>
    <m/>
    <m/>
    <m/>
    <m/>
    <m/>
    <n v="0"/>
    <m/>
    <n v="0"/>
    <n v="0"/>
    <s v="Private Equity Fund"/>
    <n v="1.6644570000000001E-2"/>
    <n v="3.7992E-3"/>
    <m/>
    <m/>
    <m/>
    <m/>
    <m/>
    <m/>
    <m/>
    <m/>
    <m/>
    <m/>
  </r>
  <r>
    <x v="198"/>
    <x v="7"/>
    <s v="Series US1b"/>
    <n v="4340297.07"/>
    <m/>
    <n v="5"/>
    <n v="451826.85999999987"/>
    <n v="0"/>
    <n v="0"/>
    <n v="0"/>
    <m/>
    <n v="451826.85999999987"/>
    <m/>
    <n v="-3888470.2100000004"/>
    <n v="-3888470.2100000004"/>
    <s v="Private Equity Fund"/>
    <n v="2.1536703398838494E-2"/>
    <n v="0"/>
    <m/>
    <m/>
    <m/>
    <m/>
    <m/>
    <m/>
    <m/>
    <m/>
    <m/>
    <m/>
  </r>
  <r>
    <x v="227"/>
    <x v="7"/>
    <s v="Series US1GP"/>
    <m/>
    <m/>
    <m/>
    <n v="684.84568777712514"/>
    <m/>
    <m/>
    <m/>
    <m/>
    <n v="684.84568777712514"/>
    <m/>
    <n v="684.84568777712514"/>
    <m/>
    <s v="Private Equity Fund"/>
    <n v="0"/>
    <n v="0"/>
    <m/>
    <m/>
    <m/>
    <m/>
    <m/>
    <m/>
    <m/>
    <m/>
    <m/>
    <m/>
  </r>
  <r>
    <x v="196"/>
    <x v="7"/>
    <s v="Series US1GP"/>
    <n v="1006.35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228"/>
    <x v="7"/>
    <s v="Series US1GP"/>
    <m/>
    <m/>
    <m/>
    <n v="137.86000000000001"/>
    <m/>
    <m/>
    <m/>
    <m/>
    <n v="137.86000000000001"/>
    <m/>
    <n v="137.86000000000001"/>
    <m/>
    <s v="Private Equity Fund"/>
    <n v="0"/>
    <n v="0"/>
    <m/>
    <m/>
    <m/>
    <m/>
    <m/>
    <m/>
    <m/>
    <m/>
    <m/>
    <m/>
  </r>
  <r>
    <x v="197"/>
    <x v="7"/>
    <s v="Series US1GP"/>
    <n v="831.1"/>
    <m/>
    <m/>
    <m/>
    <m/>
    <m/>
    <m/>
    <m/>
    <n v="0"/>
    <m/>
    <n v="0"/>
    <m/>
    <s v="Private Equity Fund"/>
    <n v="0"/>
    <n v="0"/>
    <m/>
    <m/>
    <m/>
    <m/>
    <m/>
    <m/>
    <m/>
    <m/>
    <m/>
    <m/>
  </r>
  <r>
    <x v="198"/>
    <x v="7"/>
    <s v="Series US1GP"/>
    <n v="959.43"/>
    <m/>
    <n v="1E-3"/>
    <n v="90.350000000000037"/>
    <n v="0"/>
    <n v="0"/>
    <n v="0"/>
    <m/>
    <n v="90.350000000000037"/>
    <m/>
    <n v="-869.07999999999993"/>
    <m/>
    <s v="Private Equity Fund"/>
    <n v="0"/>
    <n v="0"/>
    <m/>
    <m/>
    <m/>
    <m/>
    <m/>
    <m/>
    <m/>
    <m/>
    <m/>
    <m/>
  </r>
  <r>
    <x v="198"/>
    <x v="7"/>
    <s v="Series US3a"/>
    <n v="440117.18"/>
    <m/>
    <n v="0.5"/>
    <n v="456498.51"/>
    <m/>
    <m/>
    <m/>
    <m/>
    <n v="456498.51"/>
    <m/>
    <n v="16381.330000000016"/>
    <n v="16381.330000000016"/>
    <s v="Private Equity Fund"/>
    <n v="9.7261236144949824E-4"/>
    <n v="0"/>
    <m/>
    <m/>
    <m/>
    <m/>
    <m/>
    <m/>
    <m/>
    <m/>
    <m/>
    <m/>
  </r>
  <r>
    <x v="198"/>
    <x v="7"/>
    <s v="Series US3b"/>
    <n v="440117.18"/>
    <m/>
    <n v="0.5"/>
    <n v="456498.51"/>
    <m/>
    <m/>
    <m/>
    <m/>
    <n v="456498.51"/>
    <m/>
    <n v="16381.330000000016"/>
    <n v="16381.330000000016"/>
    <s v="Private Equity Fund"/>
    <n v="9.7261236144949824E-4"/>
    <n v="0"/>
    <m/>
    <m/>
    <m/>
    <m/>
    <m/>
    <m/>
    <m/>
    <m/>
    <m/>
    <m/>
  </r>
  <r>
    <x v="0"/>
    <x v="8"/>
    <s v="NA"/>
    <n v="10000000"/>
    <n v="10000000"/>
    <m/>
    <n v="10000000"/>
    <m/>
    <m/>
    <m/>
    <n v="1"/>
    <n v="10000000"/>
    <n v="10000000"/>
    <n v="10000000"/>
    <m/>
    <s v="Private Equity Fund"/>
    <n v="0"/>
    <n v="0"/>
    <n v="0"/>
    <n v="0"/>
    <m/>
    <m/>
    <m/>
    <m/>
    <m/>
    <m/>
    <m/>
    <m/>
  </r>
  <r>
    <x v="1"/>
    <x v="8"/>
    <s v="NA"/>
    <n v="10000000"/>
    <n v="10000000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2"/>
    <x v="8"/>
    <s v="NA"/>
    <n v="10000000"/>
    <n v="10000000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3"/>
    <x v="8"/>
    <s v="NA"/>
    <n v="10164368.672502527"/>
    <n v="10164368.672502527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4"/>
    <x v="8"/>
    <s v="NA"/>
    <n v="10257937.023066772"/>
    <n v="10257937.023066772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5"/>
    <x v="8"/>
    <s v="NA"/>
    <n v="10346527.986370357"/>
    <n v="10346527.986370357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6"/>
    <x v="8"/>
    <s v="NA"/>
    <n v="10432846.72352398"/>
    <n v="10432846.72352398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7"/>
    <x v="8"/>
    <s v="NA"/>
    <n v="10525942.206504317"/>
    <n v="10525942.206504317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8"/>
    <x v="8"/>
    <s v="NA"/>
    <n v="10616825.116279578"/>
    <n v="10616825.116279578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9"/>
    <x v="8"/>
    <s v="NA"/>
    <n v="10708493.105861999"/>
    <n v="10708493.105861999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10"/>
    <x v="8"/>
    <s v="NA"/>
    <n v="10804043.874846555"/>
    <n v="10804043.874846555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11"/>
    <x v="8"/>
    <s v="NA"/>
    <n v="10900453.286927642"/>
    <n v="10900453.286927642"/>
    <m/>
    <m/>
    <m/>
    <m/>
    <m/>
    <n v="1"/>
    <n v="0"/>
    <n v="0"/>
    <n v="0"/>
    <m/>
    <s v="Private Equity Fund"/>
    <n v="0"/>
    <n v="0"/>
    <n v="0"/>
    <n v="0"/>
    <m/>
    <m/>
    <m/>
    <m/>
    <m/>
    <m/>
    <m/>
    <m/>
  </r>
  <r>
    <x v="12"/>
    <x v="8"/>
    <s v="NA"/>
    <n v="0"/>
    <n v="0"/>
    <m/>
    <m/>
    <m/>
    <n v="-10913284.529999999"/>
    <m/>
    <n v="1"/>
    <n v="-10913284.529999999"/>
    <n v="-10913284.529999999"/>
    <n v="-10913284.529999999"/>
    <m/>
    <s v="Private Equity Fund"/>
    <n v="0"/>
    <n v="0"/>
    <n v="0"/>
    <n v="0"/>
    <m/>
    <m/>
    <m/>
    <m/>
    <m/>
    <m/>
    <m/>
    <m/>
  </r>
  <r>
    <x v="229"/>
    <x v="9"/>
    <s v="NA"/>
    <n v="10377013.1771596"/>
    <n v="10374027.213771095"/>
    <m/>
    <n v="10380000"/>
    <n v="0"/>
    <n v="0"/>
    <m/>
    <n v="1.0002878306878298"/>
    <n v="10380000"/>
    <n v="0"/>
    <n v="10380000"/>
    <m/>
    <s v="Private Equity Fund"/>
    <n v="0"/>
    <n v="0"/>
    <n v="0"/>
    <n v="0"/>
    <m/>
    <m/>
    <m/>
    <m/>
    <m/>
    <m/>
    <m/>
    <m/>
  </r>
  <r>
    <x v="169"/>
    <x v="9"/>
    <s v="NA"/>
    <n v="10486724.781968523"/>
    <n v="10483707.249299951"/>
    <m/>
    <m/>
    <n v="0"/>
    <n v="0"/>
    <m/>
    <n v="1.0002878306878298"/>
    <n v="0"/>
    <n v="0"/>
    <n v="0"/>
    <m/>
    <s v="Private Equity Fund"/>
    <n v="2.0833333333333332E-2"/>
    <n v="0"/>
    <n v="0"/>
    <n v="0"/>
    <m/>
    <m/>
    <m/>
    <m/>
    <m/>
    <m/>
    <m/>
    <m/>
  </r>
  <r>
    <x v="170"/>
    <x v="9"/>
    <s v="NA"/>
    <n v="12941662.31513188"/>
    <n v="12937938.379429029"/>
    <m/>
    <m/>
    <n v="0"/>
    <n v="0"/>
    <m/>
    <n v="1.0002878306878298"/>
    <n v="0"/>
    <n v="0"/>
    <n v="0"/>
    <m/>
    <s v="Private Equity Fund"/>
    <n v="2.0833333333333332E-2"/>
    <n v="0"/>
    <n v="0"/>
    <n v="0"/>
    <m/>
    <m/>
    <m/>
    <m/>
    <m/>
    <m/>
    <m/>
    <m/>
  </r>
  <r>
    <x v="171"/>
    <x v="9"/>
    <s v="NA"/>
    <n v="12939780.3823858"/>
    <n v="12936056.988205079"/>
    <m/>
    <m/>
    <n v="0"/>
    <n v="0"/>
    <m/>
    <n v="1.0002878306878298"/>
    <n v="0"/>
    <n v="0"/>
    <n v="0"/>
    <m/>
    <s v="Private Equity Fund"/>
    <n v="2.0833333333333332E-2"/>
    <n v="0"/>
    <n v="0"/>
    <n v="0"/>
    <m/>
    <m/>
    <m/>
    <m/>
    <m/>
    <m/>
    <m/>
    <m/>
  </r>
  <r>
    <x v="120"/>
    <x v="10"/>
    <s v="Series 1"/>
    <n v="5439919.8303298615"/>
    <n v="5531500.9606722854"/>
    <n v="20"/>
    <n v="5440000"/>
    <n v="0"/>
    <n v="0"/>
    <m/>
    <n v="0.98344371066848857"/>
    <n v="5440000"/>
    <n v="5531500.9606722854"/>
    <n v="5440000"/>
    <n v="5440000"/>
    <s v="Private Equity Fund"/>
    <n v="0"/>
    <n v="0"/>
    <n v="3.0904820000000003E-3"/>
    <n v="0"/>
    <s v="ARF"/>
    <n v="4.0799398727473957"/>
    <s v="HRF"/>
    <n v="1.3599799575824654"/>
    <m/>
    <m/>
    <m/>
    <m/>
  </r>
  <r>
    <x v="121"/>
    <x v="10"/>
    <s v="Series 1"/>
    <n v="6963222.8666041326"/>
    <n v="5617962.1755314358"/>
    <n v="20"/>
    <n v="1440000"/>
    <n v="0"/>
    <n v="0"/>
    <m/>
    <n v="1.2394570573885078"/>
    <n v="1440000"/>
    <n v="0"/>
    <n v="1440000"/>
    <n v="1440000"/>
    <s v="Private Equity Fund"/>
    <n v="0"/>
    <n v="0"/>
    <n v="6.479285231481482E-3"/>
    <n v="6.3397155578703715E-3"/>
    <s v="ARF"/>
    <n v="5.2224171499530989"/>
    <s v="HRF"/>
    <n v="1.7408057166510333"/>
    <m/>
    <m/>
    <m/>
    <m/>
  </r>
  <r>
    <x v="122"/>
    <x v="10"/>
    <s v="Series 1"/>
    <n v="9241618.556954734"/>
    <n v="5684692.6349293655"/>
    <n v="20"/>
    <n v="2240000"/>
    <n v="0"/>
    <n v="0"/>
    <m/>
    <n v="1.6257024170788021"/>
    <n v="2240000"/>
    <n v="0"/>
    <n v="2240000"/>
    <n v="2240000"/>
    <s v="Private Equity Fund"/>
    <n v="0"/>
    <n v="0"/>
    <n v="8.3648381944444444E-3"/>
    <n v="7.7633204236111121E-3"/>
    <s v="ARF"/>
    <n v="6.9312139177160494"/>
    <s v="HRF"/>
    <n v="2.3104046392386843"/>
    <m/>
    <m/>
    <m/>
    <m/>
  </r>
  <r>
    <x v="123"/>
    <x v="10"/>
    <s v="Series 1"/>
    <n v="9117203.4608489964"/>
    <n v="5608162.5794907464"/>
    <n v="20"/>
    <n v="0"/>
    <n v="0"/>
    <n v="0"/>
    <m/>
    <n v="1.6257024170788021"/>
    <n v="0"/>
    <n v="0"/>
    <n v="0"/>
    <n v="0"/>
    <s v="Private Equity Fund"/>
    <n v="0"/>
    <n v="0"/>
    <n v="8.0008648055555562E-3"/>
    <n v="2.7102760416666669E-4"/>
    <s v="ARF"/>
    <n v="6.8379025956367459"/>
    <s v="HRF"/>
    <n v="2.2793008652122499"/>
    <m/>
    <m/>
    <m/>
    <m/>
  </r>
  <r>
    <x v="124"/>
    <x v="10"/>
    <s v="Series 1"/>
    <n v="11074140.605355401"/>
    <n v="5726804.1646914193"/>
    <n v="20"/>
    <n v="1756624"/>
    <n v="0"/>
    <n v="0"/>
    <m/>
    <n v="1.9337383096898888"/>
    <n v="1756624"/>
    <n v="0"/>
    <n v="1756624"/>
    <n v="1756624"/>
    <s v="Private Equity Fund"/>
    <n v="0"/>
    <n v="0"/>
    <n v="9.151950226713489E-3"/>
    <n v="1.3893436705231903E-2"/>
    <s v="ARF"/>
    <n v="8.3056054540165487"/>
    <s v="HRF"/>
    <n v="2.7685351513388516"/>
    <m/>
    <m/>
    <m/>
    <m/>
  </r>
  <r>
    <x v="125"/>
    <x v="10"/>
    <s v="Series 1"/>
    <n v="11412371.688635422"/>
    <n v="5618404.3421111973"/>
    <n v="20"/>
    <n v="580000"/>
    <n v="0"/>
    <n v="0"/>
    <m/>
    <n v="2.0312478407965662"/>
    <n v="580000"/>
    <n v="0"/>
    <n v="580000"/>
    <n v="580000"/>
    <s v="Private Equity Fund"/>
    <n v="0"/>
    <n v="0"/>
    <n v="1.0648906212962965E-2"/>
    <n v="3.4242899305555563E-4"/>
    <s v="ARF"/>
    <n v="8.5592787664765666"/>
    <s v="HRF"/>
    <n v="2.8530929221588566"/>
    <m/>
    <m/>
    <m/>
    <m/>
  </r>
  <r>
    <x v="126"/>
    <x v="10"/>
    <s v="Series 1"/>
    <n v="12201220.449999999"/>
    <n v="5547816.2166290497"/>
    <n v="20"/>
    <n v="960000"/>
    <n v="0"/>
    <n v="0"/>
    <m/>
    <n v="2.1992834610180498"/>
    <n v="960000"/>
    <n v="0"/>
    <n v="960000"/>
    <n v="960000"/>
    <s v="Private Equity Fund"/>
    <n v="0"/>
    <n v="0"/>
    <n v="1.0229916028370039E-2"/>
    <n v="3.2261447041383509E-4"/>
    <s v="ARF"/>
    <n v="9.1509153399999992"/>
    <s v="HRF"/>
    <n v="3.05030511"/>
    <m/>
    <m/>
    <m/>
    <m/>
  </r>
  <r>
    <x v="127"/>
    <x v="10"/>
    <s v="Series 1"/>
    <n v="12066360.928115284"/>
    <n v="5486496.4621385168"/>
    <n v="20"/>
    <n v="0"/>
    <n v="0"/>
    <n v="0"/>
    <m/>
    <n v="2.1992834610180498"/>
    <n v="0"/>
    <n v="0"/>
    <n v="0"/>
    <n v="0"/>
    <s v="Private Equity Fund"/>
    <n v="0"/>
    <n v="0"/>
    <n v="1.0448280539001325E-2"/>
    <n v="3.2951684054385942E-4"/>
    <s v="ARF"/>
    <n v="9.0497706960864601"/>
    <s v="HRF"/>
    <n v="3.0165902320288227"/>
    <m/>
    <m/>
    <m/>
    <m/>
  </r>
  <r>
    <x v="128"/>
    <x v="10"/>
    <s v="Series 1"/>
    <n v="13278731.665019356"/>
    <n v="5599629.342714793"/>
    <n v="20"/>
    <n v="960000"/>
    <n v="0"/>
    <n v="0"/>
    <m/>
    <n v="2.3713590404506322"/>
    <n v="960000"/>
    <n v="0"/>
    <n v="960000"/>
    <n v="960000"/>
    <s v="Private Equity Fund"/>
    <n v="0"/>
    <n v="0"/>
    <n v="1.105366821451479E-2"/>
    <n v="3.4082557197318404E-4"/>
    <s v="ARF"/>
    <n v="9.9590487487645163"/>
    <s v="HRF"/>
    <n v="3.3196829162548402"/>
    <m/>
    <m/>
    <m/>
    <m/>
  </r>
  <r>
    <x v="129"/>
    <x v="10"/>
    <s v="Series 1"/>
    <n v="18738539.340648819"/>
    <n v="5704961.8956675557"/>
    <n v="20"/>
    <n v="5200000"/>
    <n v="0"/>
    <n v="0"/>
    <m/>
    <n v="3.2846037683230067"/>
    <n v="5200000"/>
    <n v="0"/>
    <n v="5200000"/>
    <n v="5200000"/>
    <s v="Private Equity Fund"/>
    <n v="0"/>
    <n v="0"/>
    <n v="1.4977314171483845E-2"/>
    <n v="7.1214351973376173E-3"/>
    <s v="ARF"/>
    <n v="14.05390450548661"/>
    <s v="HRF"/>
    <n v="4.684634835162206"/>
    <m/>
    <m/>
    <m/>
    <m/>
  </r>
  <r>
    <x v="130"/>
    <x v="10"/>
    <s v="Series 1"/>
    <n v="18688107.043579143"/>
    <n v="5689607.7462398382"/>
    <n v="20"/>
    <n v="0"/>
    <n v="0"/>
    <n v="0"/>
    <m/>
    <n v="3.2846037683230067"/>
    <n v="0"/>
    <n v="0"/>
    <n v="0"/>
    <n v="0"/>
    <s v="Private Equity Fund"/>
    <n v="0"/>
    <n v="0"/>
    <n v="1.5916557592592594E-2"/>
    <n v="1.5806055000000001E-3"/>
    <s v="ARF"/>
    <n v="14.016080282684351"/>
    <s v="HRF"/>
    <n v="4.6720267608947887"/>
    <m/>
    <m/>
    <m/>
    <m/>
  </r>
  <r>
    <x v="131"/>
    <x v="10"/>
    <s v="Series 1"/>
    <n v="19871660.301793132"/>
    <n v="5629013.3591202339"/>
    <n v="20"/>
    <n v="1423376"/>
    <n v="0"/>
    <n v="-506667"/>
    <m/>
    <n v="3.5302208458249069"/>
    <n v="916709"/>
    <n v="-143522.7488952202"/>
    <n v="916709"/>
    <n v="916709"/>
    <s v="Private Equity Fund"/>
    <n v="0"/>
    <n v="0"/>
    <n v="1.5626680064814817E-2"/>
    <n v="2.1790995784722229E-2"/>
    <s v="ARF"/>
    <n v="14.903745476344849"/>
    <s v="HRF"/>
    <n v="4.9679148254482861"/>
    <m/>
    <m/>
    <m/>
    <m/>
  </r>
  <r>
    <x v="132"/>
    <x v="10"/>
    <s v="Series 1"/>
    <n v="20386278.47693345"/>
    <n v="5774788.4246515986"/>
    <n v="20"/>
    <n v="0"/>
    <n v="0"/>
    <n v="0"/>
    <m/>
    <n v="3.5302208458249069"/>
    <n v="0"/>
    <n v="0"/>
    <n v="0"/>
    <n v="0"/>
    <s v="Private Equity Fund"/>
    <n v="0"/>
    <n v="0"/>
    <n v="1.6565295537037037E-2"/>
    <n v="6.3902603203703709E-2"/>
    <s v="ARF"/>
    <n v="15.2897091077001"/>
    <s v="HRF"/>
    <n v="5.0965693692333502"/>
    <m/>
    <m/>
    <m/>
    <m/>
  </r>
  <r>
    <x v="133"/>
    <x v="10"/>
    <s v="Series 1"/>
    <n v="20996803.877107341"/>
    <n v="5947730.9760775082"/>
    <n v="20"/>
    <n v="0"/>
    <n v="0"/>
    <n v="0"/>
    <m/>
    <n v="3.5302208458249069"/>
    <n v="0"/>
    <n v="0"/>
    <n v="0"/>
    <n v="0"/>
    <s v="Private Equity Fund"/>
    <n v="0"/>
    <n v="0"/>
    <n v="1.7606188407407408E-2"/>
    <n v="0.11674443673148151"/>
    <s v="ARF"/>
    <n v="15.7476031578305"/>
    <s v="HRF"/>
    <n v="5.24920071927684"/>
    <m/>
    <m/>
    <m/>
    <m/>
  </r>
  <r>
    <x v="134"/>
    <x v="10"/>
    <s v="Series 1"/>
    <n v="21105407.251500808"/>
    <n v="5978494.8798491117"/>
    <n v="20"/>
    <n v="0"/>
    <n v="0"/>
    <n v="0"/>
    <m/>
    <n v="3.5302208458249069"/>
    <n v="0"/>
    <n v="0"/>
    <n v="0"/>
    <n v="0"/>
    <s v="Private Equity Fund"/>
    <n v="0"/>
    <n v="0"/>
    <n v="1.7684097453703702E-2"/>
    <n v="0.12172395858796296"/>
    <s v="ARF"/>
    <n v="15.8290556886256"/>
    <s v="HRF"/>
    <n v="5.2763515628752096"/>
    <m/>
    <m/>
    <m/>
    <m/>
  </r>
  <r>
    <x v="135"/>
    <x v="10"/>
    <s v="Series 1"/>
    <n v="15856006.646431472"/>
    <n v="4491505.5853188122"/>
    <n v="20"/>
    <n v="0"/>
    <n v="0"/>
    <n v="-5084657.16"/>
    <m/>
    <n v="3.5302208458249069"/>
    <n v="-5084657.16"/>
    <n v="-1440322.6829317156"/>
    <n v="-5084657.16"/>
    <n v="-5084657.16"/>
    <s v="Private Equity Fund"/>
    <n v="0"/>
    <n v="0"/>
    <n v="1.2481193490740741E-2"/>
    <n v="0.10674695115046298"/>
    <s v="ARF"/>
    <n v="11.8920052348236"/>
    <s v="HRF"/>
    <n v="3.9640014116078701"/>
    <m/>
    <m/>
    <m/>
    <m/>
  </r>
  <r>
    <x v="136"/>
    <x v="10"/>
    <s v="Series 1"/>
    <n v="16124571.248880671"/>
    <n v="4567581.4497415219"/>
    <n v="20"/>
    <n v="0"/>
    <n v="0"/>
    <n v="0"/>
    <m/>
    <n v="3.5302208458249069"/>
    <n v="0"/>
    <n v="0"/>
    <n v="0"/>
    <n v="0"/>
    <s v="Private Equity Fund"/>
    <n v="0"/>
    <n v="0"/>
    <n v="7.4035567143032775E-3"/>
    <n v="0.1290542929212963"/>
    <s v="ARF"/>
    <n v="12.0934286866605"/>
    <s v="HRF"/>
    <n v="4.03114256222017"/>
    <m/>
    <m/>
    <m/>
    <m/>
  </r>
  <r>
    <x v="137"/>
    <x v="10"/>
    <s v="Series 1"/>
    <n v="16163682.000000002"/>
    <n v="4578660.2895159759"/>
    <n v="20"/>
    <n v="0"/>
    <n v="0"/>
    <n v="0"/>
    <m/>
    <n v="3.5302208458249069"/>
    <n v="0"/>
    <n v="0"/>
    <n v="0"/>
    <n v="0"/>
    <s v="Private Equity Fund"/>
    <n v="0"/>
    <n v="0"/>
    <n v="7.1829621689814827E-3"/>
    <n v="0.13123646349074075"/>
    <s v="ARF"/>
    <n v="12.122762"/>
    <s v="HRF"/>
    <n v="4.0409199999999998"/>
    <m/>
    <m/>
    <m/>
    <m/>
  </r>
  <r>
    <x v="138"/>
    <x v="10"/>
    <s v="Series 1"/>
    <n v="15927797.57"/>
    <n v="4511841.6851561451"/>
    <n v="20"/>
    <n v="0"/>
    <n v="0"/>
    <n v="0"/>
    <m/>
    <n v="3.5302208458249069"/>
    <n v="0"/>
    <n v="0"/>
    <n v="0"/>
    <n v="0"/>
    <s v="Private Equity Fund"/>
    <n v="0.104944617408108"/>
    <n v="1.957410407"/>
    <n v="7.3099015324074069E-3"/>
    <n v="0.12434016400231483"/>
    <s v="ARF"/>
    <n v="11.94584843"/>
    <s v="HRF"/>
    <n v="3.9819491400000002"/>
    <m/>
    <m/>
    <m/>
    <m/>
  </r>
  <r>
    <x v="139"/>
    <x v="10"/>
    <s v="Series 1"/>
    <n v="13944781.049999999"/>
    <n v="3950115.7743408885"/>
    <n v="20"/>
    <n v="0"/>
    <n v="0"/>
    <n v="-2196798.5"/>
    <m/>
    <n v="3.5302208458249069"/>
    <n v="-2196798.5"/>
    <n v="-622283.58959414449"/>
    <n v="-2196798.5"/>
    <n v="-2196798.5"/>
    <s v="Private Equity Fund"/>
    <n v="0.10863791968284101"/>
    <n v="2.2564713019999982"/>
    <n v="7.56858989451651E-3"/>
    <n v="0.1435737533812903"/>
    <s v="ARF"/>
    <n v="10.458586029999999"/>
    <s v="HRF"/>
    <n v="3.4861950199999998"/>
    <m/>
    <m/>
    <m/>
    <m/>
  </r>
  <r>
    <x v="140"/>
    <x v="10"/>
    <s v="Series 1"/>
    <n v="14009041.93"/>
    <n v="3968318.8508073371"/>
    <n v="20"/>
    <n v="0"/>
    <n v="0"/>
    <n v="0"/>
    <m/>
    <n v="3.5302208458249069"/>
    <n v="0"/>
    <n v="0"/>
    <n v="0"/>
    <n v="0"/>
    <s v="Private Equity Fund"/>
    <n v="9.9115082501967905E-2"/>
    <n v="2.3348894489999985"/>
    <n v="6.9040251409171515E-3"/>
    <n v="0.14847931216471025"/>
    <s v="ARF"/>
    <n v="10.506781689999999"/>
    <s v="HRF"/>
    <n v="3.50226024"/>
    <m/>
    <m/>
    <m/>
    <m/>
  </r>
  <r>
    <x v="141"/>
    <x v="10"/>
    <s v="Series 1"/>
    <n v="14352573.709999997"/>
    <n v="4065630.5474413545"/>
    <n v="20"/>
    <n v="0"/>
    <n v="0"/>
    <n v="0"/>
    <m/>
    <n v="3.5302208458249069"/>
    <n v="0"/>
    <n v="0"/>
    <n v="0"/>
    <n v="0"/>
    <s v="Private Equity Fund"/>
    <n v="0.10471876507952201"/>
    <n v="2.8162089054999999"/>
    <n v="7.2913272034737363E-3"/>
    <n v="0.17916337831405355"/>
    <s v="ARF"/>
    <n v="10.764430529999998"/>
    <s v="HRF"/>
    <n v="3.5881431800000003"/>
    <m/>
    <m/>
    <m/>
    <m/>
  </r>
  <r>
    <x v="142"/>
    <x v="10"/>
    <s v="Series 1"/>
    <n v="11058816.67"/>
    <n v="3132613.2706623585"/>
    <n v="20"/>
    <n v="0"/>
    <n v="0"/>
    <n v="-3991693.48"/>
    <m/>
    <n v="3.5302208458249069"/>
    <n v="-3991693.48"/>
    <n v="-1130720.6133352432"/>
    <n v="-3991693.48"/>
    <n v="-3991693.48"/>
    <s v="Private Equity Fund"/>
    <n v="8.1055150250014696E-2"/>
    <n v="3.838333784"/>
    <n v="5.6382960997359427E-3"/>
    <n v="0.24541471035740742"/>
    <s v="ARF"/>
    <n v="8.29411275"/>
    <s v="HRF"/>
    <n v="2.7647039200000001"/>
    <m/>
    <m/>
    <m/>
    <m/>
  </r>
  <r>
    <x v="143"/>
    <x v="10"/>
    <s v="Series 1"/>
    <n v="10904940.99"/>
    <n v="3089025.1534537757"/>
    <n v="20"/>
    <n v="0"/>
    <n v="0"/>
    <n v="0"/>
    <m/>
    <n v="3.5302208458249069"/>
    <n v="0"/>
    <n v="0"/>
    <n v="0"/>
    <n v="0"/>
    <s v="Private Equity Fund"/>
    <n v="7.2156556018884599E-2"/>
    <n v="3.5979169065000001"/>
    <n v="5.0183419248778756E-3"/>
    <n v="0.22967172115000001"/>
    <s v="ARF"/>
    <n v="8.178705990000001"/>
    <s v="HRF"/>
    <n v="2.726235"/>
    <m/>
    <m/>
    <m/>
    <m/>
  </r>
  <r>
    <x v="144"/>
    <x v="10"/>
    <s v="Series 1"/>
    <n v="8925270.2399999984"/>
    <n v="2528246.9935430996"/>
    <n v="20"/>
    <n v="0"/>
    <n v="0"/>
    <n v="-1504579.72"/>
    <m/>
    <n v="3.5302208458249069"/>
    <n v="-1504579.72"/>
    <n v="-426199.8854206031"/>
    <n v="-1504579.72"/>
    <n v="-1504579.72"/>
    <s v="Private Equity Fund"/>
    <n v="5.9551701254124997E-2"/>
    <n v="2.8452230080000001"/>
    <n v="4.140385843651017E-3"/>
    <n v="0.18064918532987265"/>
    <s v="ARF"/>
    <n v="6.69395293"/>
    <s v="HRF"/>
    <n v="2.2313173100000001"/>
    <m/>
    <m/>
    <m/>
    <m/>
  </r>
  <r>
    <x v="145"/>
    <x v="10"/>
    <s v="Series 1"/>
    <n v="8622221.2100000009"/>
    <n v="2442402.7806071281"/>
    <n v="20"/>
    <n v="0"/>
    <n v="0"/>
    <n v="0"/>
    <m/>
    <n v="3.5302208458249069"/>
    <n v="0"/>
    <n v="0"/>
    <n v="0"/>
    <n v="0"/>
    <s v="Private Equity Fund"/>
    <n v="6.7816715134049507E-2"/>
    <n v="2.3834679765"/>
    <n v="4.713690814814815E-3"/>
    <n v="0.15051172352546299"/>
    <s v="ARF"/>
    <n v="6.4666661599999999"/>
    <s v="HRF"/>
    <n v="2.1555550499999998"/>
    <m/>
    <m/>
    <m/>
    <m/>
  </r>
  <r>
    <x v="146"/>
    <x v="10"/>
    <s v="Series 1"/>
    <n v="7838255.0600000005"/>
    <n v="2220329.9460060932"/>
    <n v="20"/>
    <n v="0"/>
    <n v="0"/>
    <n v="-909125.73"/>
    <m/>
    <n v="3.5302208458249069"/>
    <n v="-909125.73"/>
    <n v="-257526.58819495598"/>
    <n v="-909125.73"/>
    <n v="-909125.73"/>
    <s v="Private Equity Fund"/>
    <n v="5.79812700814442E-2"/>
    <n v="2.5597769757499993"/>
    <n v="4.0263451473945026E-3"/>
    <n v="0.16187399877533024"/>
    <s v="ARF"/>
    <n v="5.8786915400000002"/>
    <s v="HRF"/>
    <n v="1.9595635200000001"/>
    <m/>
    <m/>
    <m/>
    <m/>
  </r>
  <r>
    <x v="147"/>
    <x v="10"/>
    <s v="Series 1"/>
    <n v="7836269.3599999985"/>
    <n v="2219767.4599501994"/>
    <n v="20"/>
    <n v="0"/>
    <n v="0"/>
    <n v="0"/>
    <m/>
    <n v="3.5302208458249069"/>
    <n v="0"/>
    <n v="0"/>
    <n v="0"/>
    <n v="0"/>
    <s v="Private Equity Fund"/>
    <n v="5.2321232716537901E-2"/>
    <n v="2.5494838932500001"/>
    <n v="3.6330117453703711E-3"/>
    <n v="0.1611658903310185"/>
    <s v="ARF"/>
    <n v="5.8772022699999997"/>
    <s v="HRF"/>
    <n v="1.95906709"/>
    <m/>
    <m/>
    <m/>
    <m/>
  </r>
  <r>
    <x v="148"/>
    <x v="10"/>
    <s v="Series 1"/>
    <n v="7496333"/>
    <n v="2123474.2321760696"/>
    <n v="20"/>
    <n v="0"/>
    <n v="0"/>
    <n v="0"/>
    <m/>
    <n v="3.5302208458249069"/>
    <n v="0"/>
    <n v="0"/>
    <n v="0"/>
    <n v="0"/>
    <s v="Private Equity Fund"/>
    <n v="5.9023222832782399E-2"/>
    <n v="2.0348636142499985"/>
    <n v="4.0969315486111112E-3"/>
    <n v="0.1276252983287037"/>
    <s v="ARF"/>
    <n v="5.6222500000000002"/>
    <s v="HRF"/>
    <n v="1.8740829999999999"/>
    <m/>
    <m/>
    <m/>
    <m/>
  </r>
  <r>
    <x v="149"/>
    <x v="10"/>
    <s v="Series 1"/>
    <n v="7284499.3499999996"/>
    <n v="2063468.4537130792"/>
    <n v="20"/>
    <n v="0"/>
    <n v="0"/>
    <n v="0"/>
    <m/>
    <n v="3.5302208458249069"/>
    <n v="0"/>
    <n v="0"/>
    <n v="0"/>
    <n v="0"/>
    <s v="Private Equity Fund"/>
    <n v="5.2142626258420199E-2"/>
    <n v="1.7120206462499992"/>
    <n v="3.618305086160796E-3"/>
    <n v="0.10657310903101842"/>
    <s v="ARF"/>
    <n v="5.4633747599999998"/>
    <s v="HRF"/>
    <n v="1.8211245900000002"/>
    <m/>
    <m/>
    <m/>
    <m/>
  </r>
  <r>
    <x v="1"/>
    <x v="10"/>
    <s v="Series 1"/>
    <n v="5829674.0599999996"/>
    <n v="1651362.4259214806"/>
    <n v="20"/>
    <n v="0"/>
    <n v="-9.3132257461547852E-10"/>
    <n v="-1568165.29"/>
    <m/>
    <n v="3.5302208458249069"/>
    <n v="-1568165.290000001"/>
    <n v="-444211.66790588328"/>
    <n v="-1568165.290000001"/>
    <n v="-1568165.290000001"/>
    <s v="Private Equity Fund"/>
    <n v="4.3401248612449997E-2"/>
    <n v="1.8735221427499982"/>
    <n v="3.0070137289551725E-3"/>
    <n v="0.11701061268472213"/>
    <s v="ARF"/>
    <n v="4.3722557899999996"/>
    <s v="HRF"/>
    <n v="1.45741827"/>
    <m/>
    <m/>
    <m/>
    <m/>
  </r>
  <r>
    <x v="2"/>
    <x v="10"/>
    <s v="Series 1"/>
    <n v="5909208.8499999996"/>
    <n v="1673892.1183893227"/>
    <n v="20"/>
    <n v="0"/>
    <n v="0"/>
    <n v="0"/>
    <m/>
    <n v="3.5302208458249069"/>
    <n v="0"/>
    <n v="0"/>
    <n v="0"/>
    <n v="0"/>
    <s v="Private Equity Fund"/>
    <n v="4.3932156520843202E-2"/>
    <n v="1.983905606249998"/>
    <n v="3.0435436550925931E-3"/>
    <n v="0.12409550781018522"/>
    <s v="ARF"/>
    <n v="4.4319068799999997"/>
    <s v="HRF"/>
    <n v="1.4773019700000001"/>
    <m/>
    <m/>
    <m/>
    <m/>
  </r>
  <r>
    <x v="3"/>
    <x v="10"/>
    <s v="Series 1"/>
    <n v="5764841.1500000004"/>
    <n v="1632997.3114339053"/>
    <n v="20"/>
    <n v="0"/>
    <n v="-9.3132257461547852E-10"/>
    <n v="0"/>
    <m/>
    <n v="3.5302208458249069"/>
    <n v="-9.3132257461547852E-10"/>
    <n v="0"/>
    <n v="-9.3132257461547852E-10"/>
    <n v="-9.3132257461547852E-10"/>
    <s v="Private Equity Fund"/>
    <n v="4.0097409422905197E-2"/>
    <n v="1.7632087252499986"/>
    <n v="2.7770582384259298E-3"/>
    <n v="0.109700636564815"/>
    <s v="ARF"/>
    <n v="4.32363111"/>
    <s v="HRF"/>
    <n v="1.4412100400000001"/>
    <m/>
    <m/>
    <m/>
    <m/>
  </r>
  <r>
    <x v="4"/>
    <x v="10"/>
    <s v="Series 1"/>
    <n v="5832803.9000000004"/>
    <n v="1652249.0106811004"/>
    <n v="20"/>
    <n v="0"/>
    <n v="0"/>
    <n v="0"/>
    <m/>
    <n v="3.5302208458249069"/>
    <n v="0"/>
    <n v="0"/>
    <n v="0"/>
    <n v="0"/>
    <s v="Private Equity Fund"/>
    <n v="4.4677805599249103E-2"/>
    <n v="1.8513061007499985"/>
    <n v="3.09298075632756E-3"/>
    <n v="0.115156371476741"/>
    <s v="ARF"/>
    <n v="4.3746031700000003"/>
    <s v="HRF"/>
    <n v="1.4582007299999999"/>
    <m/>
    <m/>
    <m/>
    <m/>
  </r>
  <r>
    <x v="5"/>
    <x v="10"/>
    <s v="Series 1"/>
    <n v="5692070.6500000004"/>
    <n v="1612383.7285511054"/>
    <n v="20"/>
    <n v="0"/>
    <n v="-9.3132257461547852E-10"/>
    <n v="0"/>
    <m/>
    <n v="3.5302208458249069"/>
    <n v="-9.3132257461547852E-10"/>
    <n v="0"/>
    <n v="-9.3132257461547852E-10"/>
    <n v="-9.3132257461547852E-10"/>
    <s v="Private Equity Fund"/>
    <n v="4.0872684024873297E-2"/>
    <n v="1.635478109749998"/>
    <n v="2.8285824063261399E-3"/>
    <n v="0.10106249947037001"/>
    <s v="ARF"/>
    <n v="4.2690532300000008"/>
    <s v="HRF"/>
    <n v="1.4230174199999999"/>
    <m/>
    <m/>
    <m/>
    <m/>
  </r>
  <r>
    <x v="6"/>
    <x v="10"/>
    <s v="Series 1"/>
    <n v="5493697.709999999"/>
    <n v="1556190.943832095"/>
    <n v="20"/>
    <n v="0"/>
    <n v="0"/>
    <n v="0"/>
    <m/>
    <n v="3.5302208458249069"/>
    <n v="0"/>
    <n v="0"/>
    <n v="0"/>
    <n v="0"/>
    <s v="Private Equity Fund"/>
    <n v="3.8144602395356601E-2"/>
    <n v="1.3339887022499977"/>
    <n v="2.6385385538816699E-3"/>
    <n v="8.1388038315277605E-2"/>
    <s v="ARF"/>
    <n v="4.1202735299999995"/>
    <s v="HRF"/>
    <n v="1.37342418"/>
    <m/>
    <m/>
    <m/>
    <m/>
  </r>
  <r>
    <x v="7"/>
    <x v="10"/>
    <s v="Series 1"/>
    <n v="4430006.74"/>
    <n v="1254880.9078727311"/>
    <n v="20"/>
    <n v="0"/>
    <n v="0"/>
    <n v="-1000000"/>
    <m/>
    <n v="3.5302208458249069"/>
    <n v="-1000000"/>
    <n v="-283268.39698504185"/>
    <n v="-1000000"/>
    <n v="-1000000"/>
    <s v="Private Equity Fund"/>
    <n v="3.3114230127117596E-2"/>
    <n v="1.2342163692499983"/>
    <n v="2.2854881381637803E-3"/>
    <n v="7.4862563797455497E-2"/>
    <s v="ARF"/>
    <n v="3.3225053"/>
    <s v="HRF"/>
    <n v="1.1075014399999998"/>
    <m/>
    <m/>
    <m/>
    <m/>
  </r>
  <r>
    <x v="8"/>
    <x v="10"/>
    <s v="Series 1"/>
    <n v="4400796.42"/>
    <n v="1246606.547350911"/>
    <n v="20"/>
    <n v="0"/>
    <n v="0"/>
    <n v="0"/>
    <m/>
    <n v="3.5302208458249069"/>
    <n v="0"/>
    <n v="0"/>
    <n v="0"/>
    <n v="0"/>
    <s v="Private Equity Fund"/>
    <n v="3.1817964225521002E-2"/>
    <n v="1.1857847352499979"/>
    <n v="2.1955922715684801E-3"/>
    <n v="7.1672653460934099E-2"/>
    <s v="ARF"/>
    <n v="3.3005975599999999"/>
    <s v="HRF"/>
    <n v="1.1001988600000001"/>
    <m/>
    <m/>
    <m/>
    <m/>
  </r>
  <r>
    <x v="9"/>
    <x v="10"/>
    <s v="Series 1"/>
    <n v="3941963.4700000007"/>
    <n v="1116633.6731204933"/>
    <n v="20"/>
    <n v="0"/>
    <n v="0"/>
    <n v="-400000"/>
    <m/>
    <n v="3.5302208458249069"/>
    <n v="-400000"/>
    <n v="-113307.35879401675"/>
    <n v="-400000"/>
    <n v="-400000"/>
    <s v="Private Equity Fund"/>
    <n v="2.7901842960602798E-2"/>
    <n v="1.0934456962500001"/>
    <n v="1.92220315246566E-3"/>
    <n v="6.5615522355127298E-2"/>
    <s v="ARF"/>
    <n v="2.9564728499999999"/>
    <s v="HRF"/>
    <n v="0.98549061999999998"/>
    <m/>
    <m/>
    <m/>
    <m/>
  </r>
  <r>
    <x v="10"/>
    <x v="10"/>
    <s v="Series 1"/>
    <n v="3919778.1400000006"/>
    <n v="1110349.2702548092"/>
    <n v="20"/>
    <n v="0"/>
    <n v="0"/>
    <n v="0"/>
    <m/>
    <n v="3.5302208458249069"/>
    <n v="0"/>
    <n v="0"/>
    <n v="0"/>
    <n v="0"/>
    <s v="Private Equity Fund"/>
    <n v="2.86503846586291E-2"/>
    <n v="1.0558859817499981"/>
    <n v="1.9733761553552198E-3"/>
    <n v="6.3134390084918293E-2"/>
    <s v="ARF"/>
    <n v="2.9398338500000003"/>
    <s v="HRF"/>
    <n v="0.97994429000000005"/>
    <m/>
    <m/>
    <m/>
    <m/>
  </r>
  <r>
    <x v="11"/>
    <x v="10"/>
    <s v="Series 1"/>
    <n v="3893611.78"/>
    <n v="1102937.1674026754"/>
    <n v="20"/>
    <n v="0"/>
    <n v="0"/>
    <n v="0"/>
    <m/>
    <n v="3.5302208458249069"/>
    <n v="0"/>
    <n v="0"/>
    <n v="0"/>
    <n v="0"/>
    <s v="Private Equity Fund"/>
    <n v="2.8440105424305299E-2"/>
    <n v="1.0125069707499983"/>
    <n v="1.95847513853098E-3"/>
    <n v="6.0277596522825799E-2"/>
    <s v="ARF"/>
    <n v="2.9202090800000002"/>
    <s v="HRF"/>
    <n v="0.97340269999999995"/>
    <m/>
    <m/>
    <m/>
    <m/>
  </r>
  <r>
    <x v="12"/>
    <x v="10"/>
    <s v="Series 1"/>
    <n v="4124128.3900000006"/>
    <n v="1168235.2379958017"/>
    <n v="20"/>
    <n v="0"/>
    <n v="0"/>
    <n v="0"/>
    <m/>
    <n v="3.5302208458249069"/>
    <n v="0"/>
    <n v="0"/>
    <n v="0"/>
    <n v="0"/>
    <s v="Private Equity Fund"/>
    <n v="2.8132242892573499E-2"/>
    <n v="1.3507338047499999"/>
    <n v="1.93851976440103E-3"/>
    <n v="8.2232507949932199E-2"/>
    <s v="ARF"/>
    <n v="3.0930965399999999"/>
    <s v="HRF"/>
    <n v="1.03103185"/>
    <m/>
    <m/>
    <m/>
    <m/>
  </r>
  <r>
    <x v="13"/>
    <x v="10"/>
    <s v="Series 1"/>
    <n v="4134442.0999999996"/>
    <n v="1171156.7860944699"/>
    <n v="20"/>
    <n v="0"/>
    <n v="0"/>
    <n v="0"/>
    <m/>
    <n v="3.5302208458249069"/>
    <n v="0"/>
    <n v="0"/>
    <n v="0"/>
    <n v="0"/>
    <s v="Private Equity Fund"/>
    <n v="1.20081194341881E-2"/>
    <n v="1.3643971487499984"/>
    <n v="9.63953680759971E-4"/>
    <n v="8.3094904822526905E-2"/>
    <s v="ARF"/>
    <n v="3.1008318199999998"/>
    <s v="HRF"/>
    <n v="1.03361028"/>
    <m/>
    <m/>
    <m/>
    <m/>
  </r>
  <r>
    <x v="150"/>
    <x v="10"/>
    <s v="Series 1"/>
    <n v="3925700.7"/>
    <n v="1112026.9443320567"/>
    <n v="20"/>
    <n v="0"/>
    <n v="0"/>
    <n v="0"/>
    <m/>
    <n v="3.5302208458249069"/>
    <n v="0"/>
    <n v="0"/>
    <n v="0"/>
    <n v="0"/>
    <s v="Private Equity Fund"/>
    <n v="1.1684628901495E-3"/>
    <n v="1.0538599402499988"/>
    <n v="1.18165294674845E-4"/>
    <n v="6.2895340843927394E-2"/>
    <s v="ARF"/>
    <n v="2.94427577"/>
    <s v="HRF"/>
    <n v="0.98142493000000008"/>
    <m/>
    <m/>
    <m/>
    <m/>
  </r>
  <r>
    <x v="151"/>
    <x v="10"/>
    <s v="Series 1"/>
    <n v="3654688.2800000003"/>
    <n v="1035257.6905556199"/>
    <n v="20"/>
    <n v="0"/>
    <n v="0"/>
    <n v="0"/>
    <m/>
    <n v="3.5302208458249069"/>
    <n v="0"/>
    <n v="0"/>
    <n v="0"/>
    <n v="0"/>
    <s v="Private Equity Fund"/>
    <n v="0"/>
    <n v="0.6335103882499985"/>
    <n v="0"/>
    <n v="3.5571195905535799E-2"/>
    <s v="ARF"/>
    <n v="2.7410162100000002"/>
    <s v="HRF"/>
    <n v="0.91367206999999995"/>
    <m/>
    <m/>
    <m/>
    <m/>
  </r>
  <r>
    <x v="152"/>
    <x v="10"/>
    <s v="Series 1"/>
    <n v="3172090.71"/>
    <n v="898553.0505128433"/>
    <n v="20"/>
    <n v="0"/>
    <n v="0"/>
    <n v="-480000"/>
    <m/>
    <n v="3.5302208458249069"/>
    <n v="-480000"/>
    <n v="-135968.83055282009"/>
    <n v="-480000"/>
    <n v="-480000"/>
    <s v="Private Equity Fund"/>
    <n v="0"/>
    <n v="0.64779731874999813"/>
    <n v="0"/>
    <n v="3.6517395253857103E-2"/>
    <s v="ARF"/>
    <n v="2.3790682799999998"/>
    <s v="HRF"/>
    <n v="0.79302243000000006"/>
    <m/>
    <m/>
    <m/>
    <m/>
  </r>
  <r>
    <x v="153"/>
    <x v="10"/>
    <s v="Series 1"/>
    <n v="3127789.4099999997"/>
    <n v="886003.89227748977"/>
    <n v="20"/>
    <n v="0"/>
    <n v="0"/>
    <n v="0"/>
    <m/>
    <n v="3.5302208458249069"/>
    <n v="0"/>
    <n v="0"/>
    <n v="0"/>
    <n v="0"/>
    <s v="Private Equity Fund"/>
    <n v="0"/>
    <n v="0.51101888932079265"/>
    <n v="0"/>
    <n v="2.8806971290840179E-2"/>
    <s v="ARF"/>
    <n v="2.3458422999999997"/>
    <s v="HRF"/>
    <n v="0.78194710999999995"/>
    <m/>
    <m/>
    <m/>
    <m/>
  </r>
  <r>
    <x v="154"/>
    <x v="10"/>
    <s v="Series 1"/>
    <n v="3287632"/>
    <n v="931282.24651672714"/>
    <n v="20"/>
    <n v="0"/>
    <n v="-4.6566128730773926E-10"/>
    <n v="0"/>
    <m/>
    <n v="3.5302208458249069"/>
    <n v="-4.6566128730773926E-10"/>
    <n v="0"/>
    <n v="-4.6566128730773926E-10"/>
    <n v="-4.6566128730773926E-10"/>
    <s v="Private Equity Fund"/>
    <n v="0"/>
    <n v="0.73575103079021731"/>
    <n v="0"/>
    <n v="4.1475489975234217E-2"/>
    <s v="ARF"/>
    <n v="2.4657239999999998"/>
    <s v="HRF"/>
    <n v="0.82190799999999997"/>
    <m/>
    <m/>
    <m/>
    <m/>
  </r>
  <r>
    <x v="155"/>
    <x v="10"/>
    <s v="Series 1"/>
    <n v="2791812.28"/>
    <n v="790832.1892387548"/>
    <n v="20"/>
    <n v="0"/>
    <n v="0"/>
    <n v="-477919.5"/>
    <m/>
    <n v="3.5302208458249069"/>
    <n v="-477919.5"/>
    <n v="-135379.49065289271"/>
    <n v="-477919.5"/>
    <n v="-477919.5"/>
    <s v="Private Equity Fund"/>
    <n v="0"/>
    <n v="0.6849820711681901"/>
    <n v="0"/>
    <n v="3.8994749280827704E-2"/>
    <s v="ARF"/>
    <n v="2.0938592099999997"/>
    <s v="HRF"/>
    <n v="0.69795306999999995"/>
    <m/>
    <m/>
    <m/>
    <m/>
  </r>
  <r>
    <x v="156"/>
    <x v="10"/>
    <s v="Series 1"/>
    <n v="2847103.5900000003"/>
    <n v="806494.46998965798"/>
    <n v="20"/>
    <n v="0"/>
    <n v="0"/>
    <n v="0"/>
    <m/>
    <n v="3.5302208458249069"/>
    <n v="0"/>
    <n v="0"/>
    <n v="0"/>
    <n v="0"/>
    <s v="Private Equity Fund"/>
    <n v="0"/>
    <n v="0.75530032283503956"/>
    <n v="0"/>
    <n v="4.3548371694007798E-2"/>
    <s v="ARF"/>
    <n v="2.13532769"/>
    <s v="HRF"/>
    <n v="0.71177590000000002"/>
    <m/>
    <m/>
    <m/>
    <m/>
  </r>
  <r>
    <x v="157"/>
    <x v="10"/>
    <s v="Series 1"/>
    <n v="2866857.4099999997"/>
    <n v="812090.10291538888"/>
    <n v="20"/>
    <n v="0"/>
    <n v="0"/>
    <n v="0"/>
    <m/>
    <n v="3.5302208458249069"/>
    <n v="0"/>
    <n v="0"/>
    <n v="0"/>
    <n v="0"/>
    <s v="Private Equity Fund"/>
    <n v="0"/>
    <n v="0.77367366789632686"/>
    <n v="0"/>
    <n v="4.4607724160570898E-2"/>
    <s v="ARF"/>
    <n v="2.15014306"/>
    <s v="HRF"/>
    <n v="0.71671434999999994"/>
    <m/>
    <m/>
    <m/>
    <m/>
  </r>
  <r>
    <x v="158"/>
    <x v="10"/>
    <s v="Series 1"/>
    <n v="2823590.6500000004"/>
    <n v="799833.99716745247"/>
    <n v="20"/>
    <n v="0"/>
    <n v="0"/>
    <n v="0"/>
    <m/>
    <n v="3.5302208458249069"/>
    <n v="0"/>
    <n v="0"/>
    <n v="0"/>
    <n v="0"/>
    <s v="Private Equity Fund"/>
    <n v="0"/>
    <n v="0.69727742627429989"/>
    <n v="0"/>
    <n v="3.9776955197009405E-2"/>
    <s v="ARF"/>
    <n v="2.1176932400000004"/>
    <s v="HRF"/>
    <n v="0.70589741000000006"/>
    <m/>
    <m/>
    <m/>
    <m/>
  </r>
  <r>
    <x v="159"/>
    <x v="10"/>
    <s v="Series 1"/>
    <n v="2440121.92"/>
    <n v="691209.42472646257"/>
    <n v="20"/>
    <n v="0"/>
    <n v="0"/>
    <n v="-250000"/>
    <m/>
    <n v="3.5302208458249069"/>
    <n v="-250000"/>
    <n v="-70817.099246260463"/>
    <n v="-250000"/>
    <n v="-250000"/>
    <s v="Private Equity Fund"/>
    <n v="0"/>
    <n v="0.48860344823849133"/>
    <n v="0"/>
    <n v="2.62166549268124E-2"/>
    <s v="ARF"/>
    <n v="1.83009194"/>
    <s v="HRF"/>
    <n v="0.61002997999999997"/>
    <m/>
    <m/>
    <m/>
    <m/>
  </r>
  <r>
    <x v="160"/>
    <x v="10"/>
    <s v="Series 1"/>
    <n v="2526770.6"/>
    <n v="715754.25741093245"/>
    <n v="20"/>
    <n v="0"/>
    <n v="0"/>
    <n v="0"/>
    <m/>
    <n v="3.5302208458249069"/>
    <n v="0"/>
    <n v="0"/>
    <n v="0"/>
    <n v="0"/>
    <s v="Private Equity Fund"/>
    <n v="0"/>
    <n v="0.60740928220268309"/>
    <n v="0"/>
    <n v="3.3958686182676397E-2"/>
    <s v="ARF"/>
    <n v="1.89507845"/>
    <s v="HRF"/>
    <n v="0.63169215000000001"/>
    <m/>
    <m/>
    <m/>
    <m/>
  </r>
  <r>
    <x v="161"/>
    <x v="10"/>
    <s v="Series 1"/>
    <n v="2502109.4300000002"/>
    <n v="708768.5273172569"/>
    <n v="20"/>
    <n v="0"/>
    <n v="0"/>
    <n v="0"/>
    <m/>
    <n v="3.5302208458249069"/>
    <n v="0"/>
    <n v="0"/>
    <n v="0"/>
    <n v="0"/>
    <s v="Private Equity Fund"/>
    <n v="0"/>
    <n v="0.56068751868623867"/>
    <n v="0"/>
    <n v="3.09237142489205E-2"/>
    <s v="ARF"/>
    <n v="1.8765825700000001"/>
    <s v="HRF"/>
    <n v="0.62552686000000002"/>
    <m/>
    <m/>
    <m/>
    <m/>
  </r>
  <r>
    <x v="162"/>
    <x v="10"/>
    <s v="Series 1"/>
    <n v="2474407.83"/>
    <n v="700921.53949133598"/>
    <n v="20"/>
    <n v="0"/>
    <n v="0"/>
    <n v="0"/>
    <m/>
    <n v="3.5302208458249069"/>
    <n v="0"/>
    <n v="0"/>
    <n v="0"/>
    <n v="0"/>
    <s v="Private Equity Fund"/>
    <n v="0"/>
    <n v="0.5086671532624093"/>
    <n v="0"/>
    <n v="2.7516079730722797E-2"/>
    <s v="ARF"/>
    <n v="1.85580637"/>
    <s v="HRF"/>
    <n v="0.61860145999999994"/>
    <m/>
    <m/>
    <m/>
    <m/>
  </r>
  <r>
    <x v="163"/>
    <x v="10"/>
    <s v="Series 1"/>
    <n v="2183321.84"/>
    <n v="618466.07771923207"/>
    <n v="20"/>
    <n v="0"/>
    <n v="0"/>
    <n v="-290000"/>
    <m/>
    <n v="3.5302208458249069"/>
    <n v="-290000"/>
    <n v="-82147.835125662139"/>
    <n v="-290000"/>
    <n v="-290000"/>
    <s v="Private Equity Fund"/>
    <n v="0"/>
    <n v="0.49766621252999582"/>
    <n v="0"/>
    <n v="2.67873671592797E-2"/>
    <s v="ARF"/>
    <n v="1.6374918799999998"/>
    <s v="HRF"/>
    <n v="0.54582995999999995"/>
    <m/>
    <m/>
    <m/>
    <m/>
  </r>
  <r>
    <x v="164"/>
    <x v="10"/>
    <s v="Series 1"/>
    <n v="1678825.21"/>
    <n v="475558.12605477625"/>
    <n v="20"/>
    <n v="0"/>
    <n v="0"/>
    <n v="-406740"/>
    <m/>
    <n v="3.5302208458249069"/>
    <n v="-406740"/>
    <n v="-115216.58778969593"/>
    <n v="-406740"/>
    <n v="-406740"/>
    <s v="Private Equity Fund"/>
    <n v="0"/>
    <n v="0.34076894901534155"/>
    <n v="0"/>
    <n v="1.703844742078995E-2"/>
    <s v="ARF"/>
    <n v="1.2591194099999998"/>
    <s v="HRF"/>
    <n v="0.41970579999999996"/>
    <m/>
    <m/>
    <m/>
    <m/>
  </r>
  <r>
    <x v="165"/>
    <x v="10"/>
    <s v="Series 1"/>
    <n v="1611811.35"/>
    <n v="456575.21735679626"/>
    <n v="20"/>
    <n v="0"/>
    <n v="0"/>
    <n v="0"/>
    <m/>
    <n v="3.5302208458249069"/>
    <n v="0"/>
    <n v="0"/>
    <n v="0"/>
    <n v="0"/>
    <s v="Private Equity Fund"/>
    <n v="0"/>
    <n v="0.25181277728214502"/>
    <n v="0"/>
    <n v="1.2590638831192649E-2"/>
    <s v="ARF"/>
    <n v="1.2088590100000001"/>
    <s v="HRF"/>
    <n v="0.40295234000000002"/>
    <m/>
    <m/>
    <m/>
    <m/>
  </r>
  <r>
    <x v="166"/>
    <x v="10"/>
    <s v="Series 1"/>
    <n v="1665543.12"/>
    <n v="471795.72971186525"/>
    <n v="20"/>
    <n v="0"/>
    <n v="0"/>
    <n v="0"/>
    <m/>
    <n v="3.5302208458249069"/>
    <n v="0"/>
    <n v="0"/>
    <n v="0"/>
    <n v="0"/>
    <s v="Private Equity Fund"/>
    <n v="0"/>
    <n v="0.31280395636206065"/>
    <n v="0"/>
    <n v="1.5640197818103035E-2"/>
    <s v="ARF"/>
    <n v="1.2491578400000001"/>
    <s v="HRF"/>
    <n v="0.41638528000000002"/>
    <m/>
    <m/>
    <m/>
    <m/>
  </r>
  <r>
    <x v="167"/>
    <x v="10"/>
    <s v="Series 1"/>
    <n v="1658931.3199999998"/>
    <n v="469922.81572467944"/>
    <n v="20"/>
    <n v="0"/>
    <n v="-2.3283064365386963E-10"/>
    <n v="0"/>
    <m/>
    <n v="3.5302208458249069"/>
    <n v="-2.3283064365386963E-10"/>
    <n v="0"/>
    <n v="-2.3283064365386963E-10"/>
    <n v="-2.3283064365386963E-10"/>
    <s v="Private Equity Fund"/>
    <n v="0"/>
    <n v="0.29866738140427601"/>
    <n v="0"/>
    <n v="1.4933369039950193E-2"/>
    <s v="ARF"/>
    <n v="1.2441989899999999"/>
    <s v="HRF"/>
    <n v="0.41473233000000004"/>
    <m/>
    <m/>
    <m/>
    <m/>
  </r>
  <r>
    <x v="168"/>
    <x v="10"/>
    <s v="Series 1"/>
    <n v="1748740.6400000001"/>
    <n v="495362.95783539623"/>
    <n v="20"/>
    <n v="0"/>
    <n v="0"/>
    <n v="0"/>
    <m/>
    <n v="3.5302208458249069"/>
    <n v="0"/>
    <n v="0"/>
    <n v="0"/>
    <n v="0"/>
    <s v="Private Equity Fund"/>
    <n v="0"/>
    <n v="0.41165192122027849"/>
    <n v="0"/>
    <n v="2.0651412670511234E-2"/>
    <s v="ARF"/>
    <n v="1.3115559800000001"/>
    <s v="HRF"/>
    <n v="0.43718465999999995"/>
    <m/>
    <m/>
    <m/>
    <m/>
  </r>
  <r>
    <x v="169"/>
    <x v="10"/>
    <s v="Series 1"/>
    <n v="1782495.5299999998"/>
    <n v="504924.65141610254"/>
    <n v="20"/>
    <n v="0"/>
    <n v="0"/>
    <n v="0"/>
    <m/>
    <n v="3.5302208458249069"/>
    <n v="0"/>
    <n v="0"/>
    <n v="0"/>
    <n v="0"/>
    <s v="Private Equity Fund"/>
    <n v="0"/>
    <n v="0.45469143897699976"/>
    <n v="0"/>
    <n v="2.2872779999999999E-2"/>
    <s v="ARF"/>
    <n v="1.3368721499999998"/>
    <s v="HRF"/>
    <n v="0.44562338000000001"/>
    <m/>
    <m/>
    <m/>
    <m/>
  </r>
  <r>
    <x v="170"/>
    <x v="10"/>
    <s v="Series 1"/>
    <n v="1853730.5599999996"/>
    <n v="525103.28417338384"/>
    <n v="20"/>
    <n v="0"/>
    <n v="0"/>
    <n v="0"/>
    <m/>
    <n v="3.5302208458249069"/>
    <n v="0"/>
    <n v="0"/>
    <n v="0"/>
    <n v="0"/>
    <s v="Private Equity Fund"/>
    <n v="0"/>
    <n v="0.56215035367385102"/>
    <n v="0"/>
    <n v="2.8537895169314001E-2"/>
    <s v="ARF"/>
    <n v="1.3902984199999999"/>
    <s v="HRF"/>
    <n v="0.46343213999999999"/>
    <m/>
    <m/>
    <m/>
    <m/>
  </r>
  <r>
    <x v="171"/>
    <x v="10"/>
    <s v="Series 1"/>
    <n v="2083713.4000000004"/>
    <n v="590250.15459425142"/>
    <n v="20"/>
    <n v="0"/>
    <n v="0"/>
    <n v="0"/>
    <m/>
    <n v="3.5302208458249069"/>
    <n v="0"/>
    <n v="0"/>
    <n v="0"/>
    <n v="0"/>
    <s v="Private Equity Fund"/>
    <n v="0"/>
    <n v="0.89706792961365101"/>
    <n v="0"/>
    <n v="4.5798945352988674E-2"/>
    <s v="ARF"/>
    <n v="1.5627855500000001"/>
    <s v="HRF"/>
    <n v="0.52092784999999997"/>
    <m/>
    <m/>
    <m/>
    <m/>
  </r>
  <r>
    <x v="172"/>
    <x v="10"/>
    <s v="Series 1"/>
    <n v="2197932.12"/>
    <n v="622604.70831433474"/>
    <n v="20"/>
    <n v="0"/>
    <n v="0"/>
    <n v="0"/>
    <m/>
    <n v="3.5302208458249069"/>
    <n v="0"/>
    <n v="0"/>
    <n v="0"/>
    <n v="0"/>
    <s v="Private Equity Fund"/>
    <n v="0"/>
    <n v="1.05908303874119"/>
    <n v="0"/>
    <n v="5.4147814834702004E-2"/>
    <s v="ARF"/>
    <n v="1.64844959"/>
    <s v="HRF"/>
    <n v="0.54948253000000002"/>
    <m/>
    <m/>
    <m/>
    <m/>
  </r>
  <r>
    <x v="173"/>
    <x v="10"/>
    <s v="Series 1"/>
    <n v="2383926.04"/>
    <n v="675290.9078816988"/>
    <n v="20"/>
    <n v="0"/>
    <n v="-4.6566128730773926E-10"/>
    <n v="0"/>
    <m/>
    <n v="3.5302208458249069"/>
    <n v="-4.6566128730773926E-10"/>
    <n v="0"/>
    <n v="-4.6566128730773926E-10"/>
    <n v="-4.6566128730773926E-10"/>
    <s v="Private Equity Fund"/>
    <n v="0"/>
    <n v="1.3326301500250002"/>
    <n v="0"/>
    <n v="6.8308259020552611E-2"/>
    <s v="ARF"/>
    <n v="1.7879450299999999"/>
    <s v="HRF"/>
    <n v="0.59598101000000003"/>
    <m/>
    <m/>
    <m/>
    <m/>
  </r>
  <r>
    <x v="174"/>
    <x v="10"/>
    <s v="Series 1"/>
    <n v="2383926.0399999996"/>
    <n v="675290.90788169869"/>
    <n v="20"/>
    <n v="0"/>
    <n v="0"/>
    <n v="0"/>
    <m/>
    <n v="3.5302208458249069"/>
    <n v="0"/>
    <n v="0"/>
    <n v="0"/>
    <n v="0"/>
    <s v="Private Equity Fund"/>
    <n v="0"/>
    <n v="1.6656619404088"/>
    <n v="0"/>
    <n v="8.5478303569214195E-2"/>
    <s v="ARF"/>
    <n v="1.7879450299999999"/>
    <s v="HRF"/>
    <n v="0.59598101000000003"/>
    <m/>
    <m/>
    <m/>
    <m/>
  </r>
  <r>
    <x v="175"/>
    <x v="10"/>
    <s v="Series 1"/>
    <n v="2105286.3899999997"/>
    <n v="596361.10088972561"/>
    <n v="20"/>
    <n v="0"/>
    <n v="0"/>
    <n v="-305055"/>
    <m/>
    <n v="3.5302208458249069"/>
    <n v="-305055"/>
    <n v="-86412.440842271943"/>
    <n v="-305055"/>
    <n v="-305055"/>
    <s v="Private Equity Fund"/>
    <n v="0"/>
    <n v="1.3519572440862599"/>
    <n v="0"/>
    <n v="6.9305301119385196E-2"/>
    <s v="ARF"/>
    <n v="1.57896529"/>
    <s v="HRF"/>
    <n v="0.52632109999999999"/>
    <m/>
    <m/>
    <m/>
    <m/>
  </r>
  <r>
    <x v="176"/>
    <x v="10"/>
    <s v="Series 1"/>
    <n v="1648367.29"/>
    <n v="466930.35988087766"/>
    <n v="20"/>
    <n v="0"/>
    <n v="0"/>
    <n v="-488088"/>
    <m/>
    <n v="3.5302208458249069"/>
    <n v="-488088"/>
    <n v="-138259.90534763513"/>
    <n v="-488088"/>
    <n v="-488088"/>
    <s v="Private Equity Fund"/>
    <n v="0"/>
    <n v="1.3827958810792"/>
    <n v="0"/>
    <n v="7.0888859975050691E-2"/>
    <s v="ARF"/>
    <n v="1.2362759699999999"/>
    <s v="HRF"/>
    <n v="0.41209131999999998"/>
    <m/>
    <m/>
    <m/>
    <m/>
  </r>
  <r>
    <x v="177"/>
    <x v="10"/>
    <s v="Series 1"/>
    <n v="1678796.2699999998"/>
    <n v="475549.92826736748"/>
    <n v="20"/>
    <n v="0"/>
    <n v="0"/>
    <n v="0"/>
    <m/>
    <n v="3.5302208458249069"/>
    <n v="0"/>
    <n v="0"/>
    <n v="0"/>
    <n v="0"/>
    <s v="Private Equity Fund"/>
    <n v="0"/>
    <n v="1.72535399653829"/>
    <n v="0"/>
    <n v="8.8149245626351999E-2"/>
    <s v="ARF"/>
    <n v="1.2590976999999999"/>
    <s v="HRF"/>
    <n v="0.41969856999999999"/>
    <m/>
    <m/>
    <m/>
    <m/>
  </r>
  <r>
    <x v="178"/>
    <x v="10"/>
    <s v="Series 1"/>
    <n v="1703709.04"/>
    <n v="482606.92868972459"/>
    <n v="20"/>
    <n v="0"/>
    <n v="0"/>
    <n v="0"/>
    <m/>
    <n v="3.5302208458249069"/>
    <n v="0"/>
    <n v="0"/>
    <n v="0"/>
    <n v="0"/>
    <s v="Private Equity Fund"/>
    <n v="0"/>
    <n v="1.45837852068304"/>
    <n v="0"/>
    <n v="7.4776943126538098E-2"/>
    <s v="ARF"/>
    <n v="1.27778228"/>
    <s v="HRF"/>
    <n v="0.42592676000000002"/>
    <m/>
    <m/>
    <m/>
    <m/>
  </r>
  <r>
    <x v="179"/>
    <x v="10"/>
    <s v="Series 1"/>
    <n v="1393086.49"/>
    <n v="394617.37688381854"/>
    <n v="20"/>
    <n v="0"/>
    <n v="0"/>
    <n v="-305055"/>
    <m/>
    <n v="3.5302208458249069"/>
    <n v="-305055"/>
    <n v="-86412.440842271943"/>
    <n v="-305055"/>
    <n v="-305055"/>
    <s v="Private Equity Fund"/>
    <n v="0"/>
    <n v="1.7565484600000001"/>
    <n v="0"/>
    <n v="8.9745179999999994E-2"/>
    <s v="ARF"/>
    <n v="1.04481537"/>
    <s v="HRF"/>
    <n v="0.34827111999999999"/>
    <m/>
    <m/>
    <m/>
    <m/>
  </r>
  <r>
    <x v="180"/>
    <x v="10"/>
    <s v="Series 1"/>
    <n v="1392567.23"/>
    <n v="394470.28693600011"/>
    <n v="20"/>
    <n v="0"/>
    <n v="0"/>
    <n v="0"/>
    <m/>
    <n v="3.5302208458249069"/>
    <n v="0"/>
    <n v="0"/>
    <n v="0"/>
    <n v="0"/>
    <s v="Private Equity Fund"/>
    <n v="0"/>
    <n v="1.76596832"/>
    <n v="0"/>
    <n v="9.0226890000000004E-2"/>
    <s v="ARF"/>
    <n v="1.0444259199999999"/>
    <s v="HRF"/>
    <n v="0.34814130999999998"/>
    <m/>
    <m/>
    <m/>
    <m/>
  </r>
  <r>
    <x v="181"/>
    <x v="10"/>
    <s v="Series 1"/>
    <n v="1365095.72"/>
    <n v="386688.47633554152"/>
    <n v="20"/>
    <n v="0"/>
    <n v="0"/>
    <n v="0"/>
    <m/>
    <n v="3.5302208458249069"/>
    <n v="0"/>
    <n v="0"/>
    <n v="0"/>
    <n v="0"/>
    <s v="Private Equity Fund"/>
    <n v="0"/>
    <n v="1.3956006386070401"/>
    <n v="0"/>
    <n v="5.49031E-3"/>
    <s v="ARF"/>
    <n v="1.02382229"/>
    <s v="HRF"/>
    <n v="0.34127342999999999"/>
    <m/>
    <m/>
    <m/>
    <m/>
  </r>
  <r>
    <x v="182"/>
    <x v="10"/>
    <s v="Series 1"/>
    <n v="1365614"/>
    <n v="386835.28868033097"/>
    <n v="20"/>
    <n v="0"/>
    <n v="0"/>
    <n v="0"/>
    <m/>
    <n v="3.5302208458249069"/>
    <n v="0"/>
    <n v="0"/>
    <n v="0"/>
    <n v="0"/>
    <s v="Private Equity Fund"/>
    <n v="0"/>
    <n v="1.3954717000000001"/>
    <n v="0"/>
    <n v="5.0959000000000004E-3"/>
    <s v="ARF"/>
    <n v="1.024211"/>
    <s v="HRF"/>
    <n v="0.34140300000000001"/>
    <m/>
    <m/>
    <m/>
    <m/>
  </r>
  <r>
    <x v="183"/>
    <x v="10"/>
    <s v="Series 1"/>
    <n v="910334.81"/>
    <n v="257869.08234838268"/>
    <n v="20"/>
    <n v="0"/>
    <n v="0"/>
    <n v="-427077"/>
    <m/>
    <n v="3.5302208458249069"/>
    <n v="-427077"/>
    <n v="-120977.41717918073"/>
    <n v="-427077"/>
    <n v="-427077"/>
    <s v="Private Equity Fund"/>
    <n v="0"/>
    <n v="1.3437761100000001"/>
    <n v="0"/>
    <n v="8.2108128773E-2"/>
    <s v="ARF"/>
    <n v="0.68275160999999995"/>
    <s v="HRF"/>
    <n v="0.22758320000000001"/>
    <m/>
    <m/>
    <m/>
    <m/>
  </r>
  <r>
    <x v="184"/>
    <x v="10"/>
    <s v="Series 1"/>
    <n v="925100.00000000023"/>
    <n v="262051.5940508623"/>
    <n v="20"/>
    <n v="0"/>
    <n v="0"/>
    <n v="0"/>
    <m/>
    <n v="3.5302208458249069"/>
    <n v="0"/>
    <n v="0"/>
    <n v="0"/>
    <n v="0"/>
    <s v="Private Equity Fund"/>
    <n v="0"/>
    <n v="1.3648461000000001"/>
    <n v="0"/>
    <n v="8.3496683994000009E-2"/>
    <s v="ARF"/>
    <n v="0.69379999999999997"/>
    <s v="HRF"/>
    <n v="0.23130000000000001"/>
    <m/>
    <m/>
    <m/>
    <m/>
  </r>
  <r>
    <x v="185"/>
    <x v="10"/>
    <s v="Series 1"/>
    <n v="903200"/>
    <n v="255848.01615688982"/>
    <n v="20"/>
    <n v="0"/>
    <n v="0"/>
    <n v="0"/>
    <m/>
    <n v="3.5302208458249069"/>
    <n v="0"/>
    <n v="0"/>
    <n v="0"/>
    <n v="0"/>
    <s v="Private Equity Fund"/>
    <n v="0"/>
    <n v="1.3419098"/>
    <n v="0"/>
    <n v="8.1365769404999996E-2"/>
    <s v="ARF"/>
    <n v="0.6774"/>
    <s v="HRF"/>
    <n v="0.2258"/>
    <m/>
    <m/>
    <m/>
    <m/>
  </r>
  <r>
    <x v="186"/>
    <x v="10"/>
    <s v="Series 1"/>
    <n v="1466692.23"/>
    <n v="415467.55686251633"/>
    <n v="20"/>
    <n v="0"/>
    <n v="0"/>
    <n v="0"/>
    <m/>
    <n v="3.5302208458249069"/>
    <n v="0"/>
    <n v="0"/>
    <n v="0"/>
    <n v="0"/>
    <s v="Private Equity Fund"/>
    <n v="0"/>
    <n v="2.0572032"/>
    <n v="0"/>
    <n v="0.12424333954399999"/>
    <s v="ARF"/>
    <n v="1.10001967"/>
    <s v="HRF"/>
    <n v="0.36667255999999998"/>
    <m/>
    <m/>
    <m/>
    <m/>
  </r>
  <r>
    <x v="187"/>
    <x v="10"/>
    <s v="Series 1"/>
    <n v="1460900"/>
    <n v="413826.80115544767"/>
    <n v="20"/>
    <n v="0"/>
    <n v="0"/>
    <n v="0"/>
    <m/>
    <n v="3.5302208458249069"/>
    <n v="0"/>
    <n v="0"/>
    <n v="0"/>
    <n v="0"/>
    <s v="Private Equity Fund"/>
    <n v="0"/>
    <n v="2.04853489"/>
    <n v="0"/>
    <n v="0.12386975786"/>
    <s v="ARF"/>
    <n v="1.0956999999999999"/>
    <s v="HRF"/>
    <n v="0.36520000000000002"/>
    <m/>
    <m/>
    <m/>
    <m/>
  </r>
  <r>
    <x v="188"/>
    <x v="10"/>
    <s v="Series 1"/>
    <n v="863200.99"/>
    <n v="244517.56071320115"/>
    <n v="20"/>
    <n v="0"/>
    <n v="0"/>
    <n v="-586065.87"/>
    <m/>
    <n v="3.5302208458249069"/>
    <n v="-586065.87"/>
    <n v="-166013.93952254392"/>
    <n v="-586065.87"/>
    <n v="-586065.87"/>
    <s v="Private Equity Fund"/>
    <n v="0"/>
    <n v="1.4125804399999999"/>
    <n v="0"/>
    <n v="7.1735880000000002E-2"/>
    <s v="ARF"/>
    <n v="1.0956999999999999"/>
    <s v="HRF"/>
    <n v="0.36520000000000002"/>
    <m/>
    <m/>
    <m/>
    <m/>
  </r>
  <r>
    <x v="189"/>
    <x v="10"/>
    <s v="Series 1"/>
    <n v="851999.99999999977"/>
    <n v="241344.6742312556"/>
    <n v="20"/>
    <n v="0"/>
    <n v="0"/>
    <n v="0"/>
    <m/>
    <n v="3.5302208458249069"/>
    <n v="0"/>
    <n v="0"/>
    <n v="0"/>
    <n v="0"/>
    <s v="Private Equity Fund"/>
    <n v="0"/>
    <n v="0"/>
    <n v="0"/>
    <n v="7.0867179999999988E-2"/>
    <s v="ARF"/>
    <n v="0.63900000000000001"/>
    <s v="HRF"/>
    <n v="0.21299999999999999"/>
    <m/>
    <m/>
    <m/>
    <m/>
  </r>
  <r>
    <x v="190"/>
    <x v="10"/>
    <s v="Series 1"/>
    <n v="868899.99999999977"/>
    <n v="246131.91014030282"/>
    <n v="20"/>
    <n v="0"/>
    <n v="0"/>
    <n v="0"/>
    <m/>
    <n v="3.5302208458249069"/>
    <n v="0"/>
    <n v="0"/>
    <n v="0"/>
    <n v="0"/>
    <s v="Private Equity Fund"/>
    <n v="0"/>
    <n v="0"/>
    <n v="0"/>
    <n v="7.2165899999999991E-2"/>
    <s v="ARF"/>
    <n v="0.65169999999999995"/>
    <s v="HRF"/>
    <n v="0.2172"/>
    <m/>
    <m/>
    <m/>
    <m/>
  </r>
  <r>
    <x v="191"/>
    <x v="10"/>
    <s v="Series 1"/>
    <n v="425895"/>
    <n v="120642.5939339444"/>
    <n v="20"/>
    <n v="0"/>
    <n v="0"/>
    <n v="-441006.77"/>
    <m/>
    <n v="3.5302208458249069"/>
    <n v="-441006.77"/>
    <n v="-124923.28079745105"/>
    <n v="-441006.77"/>
    <n v="-441006.77"/>
    <s v="Private Equity Fund"/>
    <n v="0"/>
    <n v="0"/>
    <n v="0"/>
    <n v="0"/>
    <s v="ARF"/>
    <n v="0.31942199999999998"/>
    <s v="HRF"/>
    <n v="0.106473"/>
    <m/>
    <m/>
    <m/>
    <m/>
  </r>
  <r>
    <x v="192"/>
    <x v="10"/>
    <s v="Series 1"/>
    <n v="430584.17"/>
    <n v="121970.88760303475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32293861999999995"/>
    <s v="HRF"/>
    <n v="0.10764554999999999"/>
    <m/>
    <m/>
    <m/>
    <m/>
  </r>
  <r>
    <x v="193"/>
    <x v="10"/>
    <s v="Series 1"/>
    <n v="309840.7"/>
    <n v="87768.078409723268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238101999999997"/>
    <s v="HRF"/>
    <n v="7.7459679999999989E-2"/>
    <m/>
    <m/>
    <m/>
    <m/>
  </r>
  <r>
    <x v="194"/>
    <x v="10"/>
    <s v="Series 1"/>
    <n v="308929.28000000003"/>
    <n v="87509.901927343162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169745"/>
    <s v="HRF"/>
    <n v="7.7231830000000001E-2"/>
    <m/>
    <m/>
    <m/>
    <m/>
  </r>
  <r>
    <x v="195"/>
    <x v="10"/>
    <s v="Series 1"/>
    <n v="310849.42700000003"/>
    <n v="88053.818890008799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313756299999999"/>
    <s v="HRF"/>
    <n v="7.7711863999999992E-2"/>
    <m/>
    <m/>
    <m/>
    <m/>
  </r>
  <r>
    <x v="196"/>
    <x v="10"/>
    <s v="Series 1"/>
    <n v="309211.40000000002"/>
    <n v="87589.817607500576"/>
    <n v="20"/>
    <n v="0"/>
    <n v="0"/>
    <m/>
    <m/>
    <n v="3.5302208458249069"/>
    <n v="0"/>
    <n v="0"/>
    <n v="0"/>
    <n v="0"/>
    <s v="Private Equity Fund"/>
    <n v="0"/>
    <n v="0"/>
    <n v="0"/>
    <n v="0"/>
    <s v="ARF"/>
    <n v="0.23190904000000001"/>
    <s v="HRF"/>
    <n v="7.7302360000000001E-2"/>
    <m/>
    <m/>
    <m/>
    <m/>
  </r>
  <r>
    <x v="197"/>
    <x v="10"/>
    <s v="Series 1"/>
    <n v="310437.28049999999"/>
    <m/>
    <n v="20"/>
    <m/>
    <n v="0"/>
    <n v="0"/>
    <m/>
    <n v="0"/>
    <n v="0"/>
    <e v="#DIV/0!"/>
    <n v="0"/>
    <n v="0"/>
    <s v="Private Equity Fund"/>
    <n v="0"/>
    <m/>
    <n v="0"/>
    <n v="0"/>
    <s v="ARF"/>
    <n v="0.23282845000000002"/>
    <s v="HRF"/>
    <n v="7.7608830000000004E-2"/>
    <m/>
    <m/>
    <m/>
    <m/>
  </r>
  <r>
    <x v="198"/>
    <x v="10"/>
    <s v="Series 1"/>
    <n v="180458.46"/>
    <m/>
    <n v="20"/>
    <m/>
    <n v="0"/>
    <n v="129935.11"/>
    <n v="0"/>
    <m/>
    <n v="129935.11"/>
    <e v="#DIV/0!"/>
    <n v="-50523.349999999991"/>
    <n v="-50523.349999999991"/>
    <s v="Private Equity Fund"/>
    <n v="0"/>
    <m/>
    <m/>
    <m/>
    <s v="ARF"/>
    <n v="0.13534434000000001"/>
    <s v="HRF"/>
    <n v="4.5114120000000001E-2"/>
    <m/>
    <m/>
    <m/>
    <m/>
  </r>
  <r>
    <x v="120"/>
    <x v="10"/>
    <s v="Series 1GP"/>
    <n v="91662.649670138489"/>
    <n v="91661.299360169098"/>
    <n v="0.33700000000000002"/>
    <n v="91664"/>
    <n v="0"/>
    <n v="0"/>
    <m/>
    <n v="1.0000147315167778"/>
    <n v="91664"/>
    <n v="91661.299360169098"/>
    <n v="91664"/>
    <m/>
    <s v="Private Equity Fund"/>
    <n v="0"/>
    <n v="0"/>
    <n v="0"/>
    <n v="0"/>
    <m/>
    <m/>
    <m/>
    <m/>
    <m/>
    <m/>
    <m/>
    <m/>
  </r>
  <r>
    <x v="121"/>
    <x v="10"/>
    <s v="Series 1GP"/>
    <n v="224912.18510616751"/>
    <n v="177834.37360975149"/>
    <n v="0.33700000000000002"/>
    <n v="24264"/>
    <n v="0"/>
    <n v="0"/>
    <m/>
    <n v="1.264728412965459"/>
    <n v="24264"/>
    <n v="0"/>
    <n v="24264"/>
    <m/>
    <s v="Private Equity Fund"/>
    <n v="0"/>
    <n v="0"/>
    <n v="0"/>
    <n v="0"/>
    <m/>
    <m/>
    <m/>
    <m/>
    <m/>
    <m/>
    <m/>
    <m/>
  </r>
  <r>
    <x v="122"/>
    <x v="10"/>
    <s v="Series 1GP"/>
    <n v="397802.57780292595"/>
    <n v="269336.78418931179"/>
    <n v="0.33700000000000002"/>
    <n v="37744"/>
    <n v="0"/>
    <n v="0"/>
    <m/>
    <n v="1.4769708452571333"/>
    <n v="37744"/>
    <n v="0"/>
    <n v="37744"/>
    <m/>
    <s v="Private Equity Fund"/>
    <n v="0"/>
    <n v="0"/>
    <n v="0"/>
    <n v="0"/>
    <m/>
    <m/>
    <m/>
    <m/>
    <m/>
    <m/>
    <m/>
    <m/>
  </r>
  <r>
    <x v="123"/>
    <x v="10"/>
    <s v="Series 1GP"/>
    <n v="153624.87831530557"/>
    <n v="104013.48056979435"/>
    <n v="0.33700000000000002"/>
    <n v="0"/>
    <n v="0"/>
    <n v="0"/>
    <m/>
    <n v="1.4769708452571333"/>
    <n v="0"/>
    <n v="0"/>
    <n v="0"/>
    <m/>
    <s v="Private Equity Fund"/>
    <n v="0"/>
    <n v="0"/>
    <n v="0"/>
    <n v="0"/>
    <m/>
    <m/>
    <m/>
    <m/>
    <m/>
    <m/>
    <m/>
    <m/>
  </r>
  <r>
    <x v="124"/>
    <x v="10"/>
    <s v="Series 1GP"/>
    <n v="427998.79467020038"/>
    <n v="242968.5733248968"/>
    <n v="0.33700000000000002"/>
    <n v="29599"/>
    <n v="0"/>
    <n v="0"/>
    <m/>
    <n v="1.7615397284235677"/>
    <n v="29599"/>
    <n v="0"/>
    <n v="29599"/>
    <m/>
    <s v="Private Equity Fund"/>
    <n v="0"/>
    <n v="0"/>
    <n v="0"/>
    <n v="0"/>
    <m/>
    <m/>
    <m/>
    <m/>
    <m/>
    <m/>
    <m/>
    <m/>
  </r>
  <r>
    <x v="125"/>
    <x v="10"/>
    <s v="Series 1GP"/>
    <n v="192298.34855347683"/>
    <n v="106727.87961584142"/>
    <n v="0.33700000000000002"/>
    <n v="9773"/>
    <n v="0"/>
    <n v="0"/>
    <m/>
    <n v="1.8017630374147744"/>
    <n v="9773"/>
    <n v="0"/>
    <n v="9773"/>
    <m/>
    <s v="Private Equity Fund"/>
    <n v="0"/>
    <n v="0"/>
    <n v="0"/>
    <n v="0"/>
    <m/>
    <m/>
    <m/>
    <m/>
    <m/>
    <m/>
    <m/>
    <m/>
  </r>
  <r>
    <x v="126"/>
    <x v="10"/>
    <s v="Series 1GP"/>
    <n v="205590.45550874621"/>
    <n v="105251.47836149708"/>
    <n v="0.33700000000000002"/>
    <n v="16176"/>
    <n v="0"/>
    <n v="0"/>
    <m/>
    <n v="1.9533260597311948"/>
    <n v="16176"/>
    <n v="0"/>
    <n v="16176"/>
    <m/>
    <s v="Private Equity Fund"/>
    <n v="0"/>
    <n v="0"/>
    <n v="0"/>
    <n v="0"/>
    <m/>
    <m/>
    <m/>
    <m/>
    <m/>
    <m/>
    <m/>
    <m/>
  </r>
  <r>
    <x v="127"/>
    <x v="10"/>
    <s v="Series 1GP"/>
    <n v="203318.06723874202"/>
    <n v="104088.13532479132"/>
    <n v="0.33700000000000002"/>
    <n v="0"/>
    <n v="0"/>
    <n v="0"/>
    <m/>
    <n v="1.9533260597311948"/>
    <n v="0"/>
    <n v="0"/>
    <n v="0"/>
    <m/>
    <s v="Private Equity Fund"/>
    <n v="0"/>
    <n v="0"/>
    <n v="0"/>
    <n v="0"/>
    <m/>
    <m/>
    <m/>
    <m/>
    <m/>
    <m/>
    <m/>
    <m/>
  </r>
  <r>
    <x v="128"/>
    <x v="10"/>
    <s v="Series 1GP"/>
    <n v="223746.514155577"/>
    <n v="106104.7240905349"/>
    <n v="0.33700000000000002"/>
    <n v="16176"/>
    <n v="0"/>
    <n v="0"/>
    <m/>
    <n v="2.1087328210256038"/>
    <n v="16176"/>
    <n v="0"/>
    <n v="16176"/>
    <m/>
    <s v="Private Equity Fund"/>
    <n v="0"/>
    <n v="0"/>
    <n v="0"/>
    <n v="0"/>
    <m/>
    <m/>
    <m/>
    <m/>
    <m/>
    <m/>
    <m/>
    <m/>
  </r>
  <r>
    <x v="129"/>
    <x v="10"/>
    <s v="Series 1GP"/>
    <n v="436697.39385868312"/>
    <n v="148813.87169102972"/>
    <n v="0.33700000000000002"/>
    <n v="87620"/>
    <n v="0"/>
    <n v="0"/>
    <m/>
    <n v="2.9345207465965459"/>
    <n v="87620"/>
    <n v="0"/>
    <n v="87620"/>
    <m/>
    <s v="Private Equity Fund"/>
    <n v="0"/>
    <n v="0"/>
    <n v="0"/>
    <n v="0"/>
    <m/>
    <m/>
    <m/>
    <m/>
    <m/>
    <m/>
    <m/>
    <m/>
  </r>
  <r>
    <x v="130"/>
    <x v="10"/>
    <s v="Series 1GP"/>
    <n v="346506.59522356617"/>
    <n v="118079.44981320856"/>
    <n v="0.33700000000000002"/>
    <n v="0"/>
    <n v="0"/>
    <n v="0"/>
    <m/>
    <n v="2.9345207465965459"/>
    <n v="0"/>
    <n v="0"/>
    <n v="0"/>
    <m/>
    <s v="Private Equity Fund"/>
    <n v="0"/>
    <n v="0"/>
    <n v="0"/>
    <n v="0"/>
    <m/>
    <m/>
    <m/>
    <m/>
    <m/>
    <m/>
    <m/>
    <m/>
  </r>
  <r>
    <x v="131"/>
    <x v="10"/>
    <s v="Series 1GP"/>
    <n v="730024.2263319667"/>
    <n v="232666.79399398909"/>
    <n v="0.33700000000000002"/>
    <n v="23984"/>
    <n v="0"/>
    <n v="-8537"/>
    <m/>
    <n v="3.1376382241757574"/>
    <n v="15447"/>
    <n v="-2720.8363074562649"/>
    <n v="15447"/>
    <m/>
    <s v="Private Equity Fund"/>
    <n v="0"/>
    <n v="0"/>
    <n v="0"/>
    <n v="0"/>
    <m/>
    <m/>
    <m/>
    <m/>
    <m/>
    <m/>
    <m/>
    <m/>
  </r>
  <r>
    <x v="132"/>
    <x v="10"/>
    <s v="Series 1GP"/>
    <n v="1482653.4895216525"/>
    <n v="472538.0632150918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33"/>
    <x v="10"/>
    <s v="Series 1GP"/>
    <n v="2375518.9952369593"/>
    <n v="757104.1737487108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34"/>
    <x v="10"/>
    <s v="Series 1GP"/>
    <n v="2517481.5755533935"/>
    <n v="802349.2180060765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35"/>
    <x v="10"/>
    <s v="Series 1GP"/>
    <n v="2166176.8995844284"/>
    <n v="690384.53282913857"/>
    <n v="0.33700000000000002"/>
    <n v="0"/>
    <n v="0"/>
    <n v="-85676.47"/>
    <m/>
    <n v="3.1376382241757574"/>
    <n v="-85676.47"/>
    <n v="-27306.038452698544"/>
    <n v="-85676.47"/>
    <m/>
    <s v="Private Equity Fund"/>
    <n v="0"/>
    <n v="0"/>
    <n v="0"/>
    <n v="0"/>
    <m/>
    <m/>
    <m/>
    <m/>
    <m/>
    <m/>
    <m/>
    <m/>
  </r>
  <r>
    <x v="136"/>
    <x v="10"/>
    <s v="Series 1GP"/>
    <n v="2559239.6231593285"/>
    <n v="815657.9695645531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37"/>
    <x v="10"/>
    <s v="Series 1GP"/>
    <n v="2599512.81"/>
    <n v="828493.4795766263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38"/>
    <x v="10"/>
    <s v="Series 1GP"/>
    <n v="2225794.1400000015"/>
    <n v="709385.2066341099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39"/>
    <x v="10"/>
    <s v="Series 1GP"/>
    <n v="2491441.2019999973"/>
    <n v="794049.86298396043"/>
    <n v="0.33700000000000002"/>
    <n v="0"/>
    <n v="0"/>
    <n v="-37016.06"/>
    <m/>
    <n v="3.1376382241757574"/>
    <n v="-37016.06"/>
    <n v="-11797.427668616556"/>
    <n v="-37016.06"/>
    <m/>
    <s v="Private Equity Fund"/>
    <n v="0"/>
    <n v="0"/>
    <n v="0"/>
    <n v="0"/>
    <m/>
    <m/>
    <m/>
    <m/>
    <m/>
    <m/>
    <m/>
    <m/>
  </r>
  <r>
    <x v="140"/>
    <x v="10"/>
    <s v="Series 1GP"/>
    <n v="2570942.1390000032"/>
    <n v="819387.6907766755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41"/>
    <x v="10"/>
    <s v="Series 1GP"/>
    <n v="3058050.1055000015"/>
    <n v="974634.3864431141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42"/>
    <x v="10"/>
    <s v="Series 1GP"/>
    <n v="4024675.1740000006"/>
    <n v="1282708.4853153406"/>
    <n v="0.33700000000000002"/>
    <n v="0"/>
    <n v="-4.6566128730773926E-10"/>
    <n v="-67260.039999999994"/>
    <m/>
    <n v="3.1376382241757574"/>
    <n v="-67260.040000000459"/>
    <n v="-21436.518551360041"/>
    <n v="-67260.040000000459"/>
    <m/>
    <s v="Private Equity Fund"/>
    <n v="0"/>
    <n v="0"/>
    <n v="0"/>
    <n v="0"/>
    <m/>
    <m/>
    <m/>
    <m/>
    <m/>
    <m/>
    <m/>
    <m/>
  </r>
  <r>
    <x v="143"/>
    <x v="10"/>
    <s v="Series 1GP"/>
    <n v="3781665.4965000004"/>
    <n v="1205258.6137439176"/>
    <n v="0.33700000000000002"/>
    <n v="0"/>
    <n v="-4.6566128730773926E-10"/>
    <n v="0"/>
    <m/>
    <n v="3.1376382241757574"/>
    <n v="-4.6566128730773926E-10"/>
    <n v="0"/>
    <n v="-4.6566128730773926E-10"/>
    <m/>
    <s v="Private Equity Fund"/>
    <n v="0"/>
    <n v="0"/>
    <n v="0"/>
    <n v="0"/>
    <m/>
    <m/>
    <m/>
    <m/>
    <m/>
    <m/>
    <m/>
    <m/>
  </r>
  <r>
    <x v="144"/>
    <x v="10"/>
    <s v="Series 1GP"/>
    <n v="2995614.1480000014"/>
    <n v="954735.35633220908"/>
    <n v="0.33700000000000002"/>
    <n v="0"/>
    <n v="0"/>
    <n v="-24932.06"/>
    <m/>
    <n v="3.1376382241757574"/>
    <n v="-24932.06"/>
    <n v="-7946.1232362279543"/>
    <n v="-24932.06"/>
    <m/>
    <s v="Private Equity Fund"/>
    <n v="0"/>
    <n v="0"/>
    <n v="0"/>
    <n v="0"/>
    <m/>
    <m/>
    <m/>
    <m/>
    <m/>
    <m/>
    <m/>
    <m/>
  </r>
  <r>
    <x v="145"/>
    <x v="10"/>
    <s v="Series 1GP"/>
    <n v="2528752.7364999996"/>
    <n v="805941.4616432685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46"/>
    <x v="10"/>
    <s v="Series 1GP"/>
    <n v="2691851.9058000003"/>
    <n v="857922.97055124538"/>
    <n v="0.33700000000000002"/>
    <n v="0"/>
    <n v="0"/>
    <n v="-15318.77"/>
    <m/>
    <n v="3.1376382241757574"/>
    <n v="-15318.77"/>
    <n v="-4882.261403487385"/>
    <n v="-15318.77"/>
    <m/>
    <s v="Private Equity Fund"/>
    <n v="0"/>
    <n v="0"/>
    <n v="0"/>
    <n v="0"/>
    <m/>
    <m/>
    <m/>
    <m/>
    <m/>
    <m/>
    <m/>
    <m/>
  </r>
  <r>
    <x v="147"/>
    <x v="10"/>
    <s v="Series 1GP"/>
    <n v="2681525.3633000022"/>
    <n v="854631.7872591656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48"/>
    <x v="10"/>
    <s v="Series 1GP"/>
    <n v="2161177.1543000005"/>
    <n v="688791.05871669808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49"/>
    <x v="10"/>
    <s v="Series 1GP"/>
    <n v="1834764.7962999991"/>
    <n v="584759.83055120485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"/>
    <x v="10"/>
    <s v="Series 1GP"/>
    <n v="1971752.4828000003"/>
    <n v="628419.32113380288"/>
    <n v="0.33700000000000002"/>
    <n v="0"/>
    <n v="0"/>
    <n v="-26423.59"/>
    <m/>
    <n v="3.1376382241757574"/>
    <n v="-26423.59"/>
    <n v="-8421.4903414944692"/>
    <n v="-26423.59"/>
    <m/>
    <s v="Private Equity Fund"/>
    <n v="0"/>
    <n v="0"/>
    <n v="0"/>
    <n v="0"/>
    <m/>
    <m/>
    <m/>
    <m/>
    <m/>
    <m/>
    <m/>
    <m/>
  </r>
  <r>
    <x v="2"/>
    <x v="10"/>
    <s v="Series 1GP"/>
    <n v="2083476.1063000001"/>
    <n v="664026.8754525769"/>
    <n v="0.33700000000000002"/>
    <n v="0"/>
    <n v="-2.3283064365386963E-10"/>
    <n v="0"/>
    <m/>
    <n v="3.1376382241757574"/>
    <n v="-2.3283064365386963E-10"/>
    <n v="0"/>
    <n v="-2.3283064365386963E-10"/>
    <m/>
    <s v="Private Equity Fund"/>
    <n v="0"/>
    <n v="0"/>
    <n v="0"/>
    <n v="0"/>
    <m/>
    <m/>
    <m/>
    <m/>
    <m/>
    <m/>
    <m/>
    <m/>
  </r>
  <r>
    <x v="3"/>
    <x v="10"/>
    <s v="Series 1GP"/>
    <n v="1860346.6252999993"/>
    <n v="592913.04235328257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4"/>
    <x v="10"/>
    <s v="Series 1GP"/>
    <n v="1949589.1707999995"/>
    <n v="621355.6285037122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5"/>
    <x v="10"/>
    <s v="Series 1GP"/>
    <n v="1731389.8297999995"/>
    <n v="551813.0855429731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6"/>
    <x v="10"/>
    <s v="Series 1GP"/>
    <n v="1426557.8423000004"/>
    <n v="454659.76010499115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7"/>
    <x v="10"/>
    <s v="Series 1GP"/>
    <n v="1308862.3093000003"/>
    <n v="417148.89218747715"/>
    <n v="0.33700000000000002"/>
    <n v="0"/>
    <n v="0"/>
    <n v="-16850"/>
    <m/>
    <n v="3.1376382241757574"/>
    <n v="-16850"/>
    <n v="-5370.2813377811954"/>
    <n v="-16850"/>
    <m/>
    <s v="Private Equity Fund"/>
    <n v="0"/>
    <n v="0"/>
    <n v="0"/>
    <n v="0"/>
    <m/>
    <m/>
    <m/>
    <m/>
    <m/>
    <m/>
    <m/>
    <m/>
  </r>
  <r>
    <x v="8"/>
    <x v="10"/>
    <s v="Series 1GP"/>
    <n v="1259938.4853000003"/>
    <n v="401556.3284485993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9"/>
    <x v="10"/>
    <s v="Series 1GP"/>
    <n v="1159868.1062999994"/>
    <n v="369662.79202080134"/>
    <n v="0.33700000000000002"/>
    <n v="0"/>
    <n v="0"/>
    <n v="-6740"/>
    <m/>
    <n v="3.1376382241757574"/>
    <n v="-6740"/>
    <n v="-2148.1125351124779"/>
    <n v="-6740"/>
    <m/>
    <s v="Private Equity Fund"/>
    <n v="0"/>
    <n v="0"/>
    <n v="0"/>
    <n v="0"/>
    <m/>
    <m/>
    <m/>
    <m/>
    <m/>
    <m/>
    <m/>
    <m/>
  </r>
  <r>
    <x v="10"/>
    <x v="10"/>
    <s v="Series 1GP"/>
    <n v="1121934.5717999993"/>
    <n v="357572.9550830310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1"/>
    <x v="10"/>
    <s v="Series 1GP"/>
    <n v="1078114.6608000002"/>
    <n v="343607.06485949818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2"/>
    <x v="10"/>
    <s v="Series 1GP"/>
    <n v="1420225.6947999999"/>
    <n v="452641.6346719152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3"/>
    <x v="10"/>
    <s v="Series 1GP"/>
    <n v="1434062.8288"/>
    <n v="457051.68229735008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0"/>
    <x v="10"/>
    <s v="Series 1GP"/>
    <n v="1120008.3302999993"/>
    <n v="356959.0406154043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1"/>
    <x v="10"/>
    <s v="Series 1GP"/>
    <n v="683005.10819999967"/>
    <n v="217681.2810786756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2"/>
    <x v="10"/>
    <s v="Series 1GP"/>
    <n v="701247.37870000023"/>
    <n v="223495.29442140021"/>
    <n v="0.33700000000000002"/>
    <n v="0"/>
    <n v="0"/>
    <n v="-8088"/>
    <m/>
    <n v="3.1376382241757574"/>
    <n v="-8088"/>
    <n v="-2577.7350421349738"/>
    <n v="-8088"/>
    <m/>
    <s v="Private Equity Fund"/>
    <n v="0"/>
    <n v="0"/>
    <n v="0"/>
    <n v="0"/>
    <m/>
    <m/>
    <m/>
    <m/>
    <m/>
    <m/>
    <m/>
    <m/>
  </r>
  <r>
    <x v="153"/>
    <x v="10"/>
    <s v="Series 1GP"/>
    <n v="563722.46930000046"/>
    <n v="179664.5849596275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4"/>
    <x v="10"/>
    <s v="Series 1GP"/>
    <n v="791148.03080000007"/>
    <n v="252147.6264230019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5"/>
    <x v="10"/>
    <s v="Series 1GP"/>
    <n v="732024.51120000007"/>
    <n v="233304.30690182562"/>
    <n v="0.33700000000000002"/>
    <n v="0"/>
    <n v="0"/>
    <n v="-7919.4999999999991"/>
    <m/>
    <n v="3.1376382241757574"/>
    <n v="-7919.4999999999991"/>
    <n v="-2524.0322287571612"/>
    <n v="-7919.4999999999991"/>
    <m/>
    <s v="Private Equity Fund"/>
    <n v="0"/>
    <n v="0"/>
    <n v="0"/>
    <n v="0"/>
    <m/>
    <m/>
    <m/>
    <m/>
    <m/>
    <m/>
    <m/>
    <m/>
  </r>
  <r>
    <x v="156"/>
    <x v="10"/>
    <s v="Series 1GP"/>
    <n v="803273.9828"/>
    <n v="256012.3014217218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7"/>
    <x v="10"/>
    <s v="Series 1GP"/>
    <n v="821980.5079000002"/>
    <n v="261974.2778394824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8"/>
    <x v="10"/>
    <s v="Series 1GP"/>
    <n v="744855.38629999931"/>
    <n v="237393.6486879934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59"/>
    <x v="10"/>
    <s v="Series 1GP"/>
    <n v="529720.00819999992"/>
    <n v="168827.62458669205"/>
    <n v="0.33700000000000002"/>
    <n v="0"/>
    <n v="0"/>
    <n v="-4212.5"/>
    <m/>
    <n v="3.1376382241757574"/>
    <n v="-4212.5"/>
    <n v="-1342.5703344452988"/>
    <n v="-4212.5"/>
    <m/>
    <s v="Private Equity Fund"/>
    <n v="0"/>
    <n v="0"/>
    <n v="0"/>
    <n v="0"/>
    <m/>
    <m/>
    <m/>
    <m/>
    <m/>
    <m/>
    <m/>
    <m/>
  </r>
  <r>
    <x v="160"/>
    <x v="10"/>
    <s v="Series 1GP"/>
    <n v="649985.87220000022"/>
    <n v="207157.6854182251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61"/>
    <x v="10"/>
    <s v="Series 1GP"/>
    <n v="602848.56919999979"/>
    <n v="192134.50567850767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62"/>
    <x v="10"/>
    <s v="Series 1GP"/>
    <n v="550361.43330000003"/>
    <n v="175406.2750317804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63"/>
    <x v="10"/>
    <s v="Series 1GP"/>
    <n v="534455.69260000042"/>
    <n v="170336.93957511606"/>
    <n v="0.33700000000000002"/>
    <n v="0"/>
    <n v="0"/>
    <n v="-4886.5"/>
    <m/>
    <n v="3.1376382241757574"/>
    <n v="-4886.5"/>
    <n v="-1557.3815879565466"/>
    <n v="-4886.5"/>
    <m/>
    <s v="Private Equity Fund"/>
    <n v="0"/>
    <n v="0"/>
    <n v="0"/>
    <n v="0"/>
    <m/>
    <m/>
    <m/>
    <m/>
    <m/>
    <m/>
    <m/>
    <m/>
  </r>
  <r>
    <x v="164"/>
    <x v="10"/>
    <s v="Series 1GP"/>
    <n v="369057.6590000001"/>
    <n v="117622.75719245797"/>
    <n v="0.33700000000000002"/>
    <n v="0"/>
    <n v="0"/>
    <n v="-6740"/>
    <m/>
    <n v="3.1376382241757574"/>
    <n v="-6740"/>
    <n v="-2148.1125351124779"/>
    <n v="-6740"/>
    <m/>
    <s v="Private Equity Fund"/>
    <n v="0"/>
    <n v="0"/>
    <n v="0"/>
    <n v="0"/>
    <m/>
    <m/>
    <m/>
    <m/>
    <m/>
    <m/>
    <m/>
    <m/>
  </r>
  <r>
    <x v="165"/>
    <x v="10"/>
    <s v="Series 1GP"/>
    <n v="278972.3073000001"/>
    <n v="88911.55938581313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66"/>
    <x v="10"/>
    <s v="Series 1GP"/>
    <n v="340868.86679999973"/>
    <n v="108638.6773891194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67"/>
    <x v="10"/>
    <s v="Series 1GP"/>
    <n v="326620.88140000001"/>
    <n v="104097.6868790543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68"/>
    <x v="10"/>
    <s v="Series 1GP"/>
    <n v="441118.7111999999"/>
    <n v="140589.4114245372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69"/>
    <x v="10"/>
    <s v="Series 1GP"/>
    <n v="484726.99900000024"/>
    <n v="154487.8549939694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70"/>
    <x v="10"/>
    <s v="Series 1GP"/>
    <n v="593386.22410000011"/>
    <n v="189118.7516546398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71"/>
    <x v="10"/>
    <s v="Series 1GP"/>
    <n v="932179.00909999991"/>
    <n v="297095.75881549536"/>
    <n v="0.33700000000000002"/>
    <n v="0"/>
    <n v="-1.1641532182693481E-10"/>
    <n v="0"/>
    <m/>
    <n v="3.1376382241757574"/>
    <n v="-1.1641532182693481E-10"/>
    <n v="0"/>
    <n v="-1.1641532182693481E-10"/>
    <m/>
    <s v="Private Equity Fund"/>
    <n v="0"/>
    <n v="0"/>
    <n v="0"/>
    <n v="0"/>
    <m/>
    <m/>
    <m/>
    <m/>
    <m/>
    <m/>
    <m/>
    <m/>
  </r>
  <r>
    <x v="172"/>
    <x v="10"/>
    <s v="Series 1GP"/>
    <n v="1096118.6204000004"/>
    <n v="349345.12588300247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73"/>
    <x v="10"/>
    <s v="Series 1GP"/>
    <n v="1372799.7185"/>
    <n v="437526.45155915892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74"/>
    <x v="10"/>
    <s v="Series 1GP"/>
    <n v="1938426.5207000007"/>
    <n v="617797.96847331442"/>
    <n v="0.33700000000000002"/>
    <n v="0"/>
    <n v="-2.3283064365386963E-10"/>
    <n v="0"/>
    <m/>
    <n v="3.1376382241757574"/>
    <n v="-2.3283064365386963E-10"/>
    <n v="0"/>
    <n v="-2.3283064365386963E-10"/>
    <m/>
    <s v="Private Equity Fund"/>
    <n v="0"/>
    <n v="0"/>
    <n v="0"/>
    <n v="0"/>
    <m/>
    <m/>
    <m/>
    <m/>
    <m/>
    <m/>
    <m/>
    <m/>
  </r>
  <r>
    <x v="175"/>
    <x v="10"/>
    <s v="Series 1GP"/>
    <n v="1387431.7341000002"/>
    <n v="442189.83674080909"/>
    <n v="0.33700000000000002"/>
    <n v="0"/>
    <n v="0"/>
    <n v="-5055"/>
    <m/>
    <n v="3.1376382241757574"/>
    <n v="-5055"/>
    <n v="-1611.0844013343585"/>
    <n v="-5055"/>
    <m/>
    <s v="Private Equity Fund"/>
    <n v="0"/>
    <n v="0"/>
    <n v="0"/>
    <n v="0"/>
    <m/>
    <m/>
    <m/>
    <m/>
    <m/>
    <m/>
    <m/>
    <m/>
  </r>
  <r>
    <x v="176"/>
    <x v="10"/>
    <s v="Series 1GP"/>
    <n v="1410571.2895"/>
    <n v="449564.66893838608"/>
    <n v="0.33700000000000002"/>
    <n v="0"/>
    <n v="0"/>
    <n v="-8088"/>
    <m/>
    <n v="3.1376382241757574"/>
    <n v="-8088"/>
    <n v="-2577.7350421349738"/>
    <n v="-8088"/>
    <m/>
    <s v="Private Equity Fund"/>
    <n v="0"/>
    <n v="0"/>
    <n v="0"/>
    <n v="0"/>
    <m/>
    <m/>
    <m/>
    <m/>
    <m/>
    <m/>
    <m/>
    <m/>
  </r>
  <r>
    <x v="177"/>
    <x v="10"/>
    <s v="Series 1GP"/>
    <n v="1453456.0765000002"/>
    <n v="463232.5248019364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78"/>
    <x v="10"/>
    <s v="Series 1GP"/>
    <n v="1487086.4406999997"/>
    <n v="473950.8937779626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79"/>
    <x v="10"/>
    <s v="Series 1GP"/>
    <n v="1463682.2866"/>
    <n v="466491.73104859859"/>
    <n v="0.33700000000000002"/>
    <n v="0"/>
    <n v="0"/>
    <n v="-5055"/>
    <m/>
    <n v="3.1376382241757574"/>
    <n v="-5055"/>
    <n v="-1611.0844013343585"/>
    <n v="-5055"/>
    <m/>
    <s v="Private Equity Fund"/>
    <n v="0"/>
    <n v="0"/>
    <n v="0"/>
    <n v="0"/>
    <m/>
    <m/>
    <m/>
    <m/>
    <m/>
    <m/>
    <m/>
    <m/>
  </r>
  <r>
    <x v="180"/>
    <x v="10"/>
    <s v="Series 1GP"/>
    <n v="1461109.1350000002"/>
    <n v="465671.6391781677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81"/>
    <x v="10"/>
    <s v="Series 1GP"/>
    <n v="1418602.9186000002"/>
    <n v="452124.4379513066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82"/>
    <x v="10"/>
    <s v="Series 1GP"/>
    <n v="1418482.7183000003"/>
    <n v="452086.12878644699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83"/>
    <x v="10"/>
    <s v="Series 1GP"/>
    <n v="1359115.6680000001"/>
    <n v="433165.19333806663"/>
    <n v="0.33700000000000002"/>
    <n v="0"/>
    <n v="0"/>
    <n v="-7077"/>
    <m/>
    <n v="3.1376382241757574"/>
    <n v="-7077"/>
    <n v="-2255.5181618681017"/>
    <n v="-7077"/>
    <m/>
    <s v="Private Equity Fund"/>
    <n v="0"/>
    <n v="0"/>
    <n v="0"/>
    <n v="0"/>
    <m/>
    <m/>
    <m/>
    <m/>
    <m/>
    <m/>
    <m/>
    <m/>
  </r>
  <r>
    <x v="184"/>
    <x v="10"/>
    <s v="Series 1GP"/>
    <n v="1380399.9999999998"/>
    <n v="439948.7453218493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85"/>
    <x v="10"/>
    <s v="Series 1GP"/>
    <n v="1357100"/>
    <n v="432522.7776559561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86"/>
    <x v="10"/>
    <s v="Series 1GP"/>
    <n v="2081907.77"/>
    <n v="663527.02933012845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87"/>
    <x v="10"/>
    <s v="Series 1GP"/>
    <n v="2073200"/>
    <n v="660751.7667351913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88"/>
    <x v="10"/>
    <s v="Series 1GP"/>
    <n v="1417399.01"/>
    <n v="451740.7389669164"/>
    <n v="0.33700000000000002"/>
    <n v="0"/>
    <n v="0"/>
    <n v="-639091.62"/>
    <m/>
    <n v="3.1376382241757574"/>
    <n v="-639091.62"/>
    <n v="-203685.56676666773"/>
    <n v="-639091.62"/>
    <m/>
    <s v="Private Equity Fund"/>
    <n v="0"/>
    <n v="0"/>
    <n v="0"/>
    <n v="0"/>
    <m/>
    <m/>
    <m/>
    <m/>
    <m/>
    <m/>
    <m/>
    <m/>
  </r>
  <r>
    <x v="189"/>
    <x v="10"/>
    <s v="Series 1GP"/>
    <n v="1400400.0000000002"/>
    <n v="446322.9664942900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90"/>
    <x v="10"/>
    <s v="Series 1GP"/>
    <n v="1426000.0000000002"/>
    <n v="454481.969595014"/>
    <n v="0.33700000000000002"/>
    <n v="0"/>
    <n v="0"/>
    <n v="0"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91"/>
    <x v="10"/>
    <s v="Series 1GP"/>
    <n v="817929.08100000001"/>
    <n v="260683.04328325362"/>
    <n v="0.33700000000000002"/>
    <n v="0"/>
    <n v="0"/>
    <n v="-604998.24"/>
    <m/>
    <n v="3.1376382241757574"/>
    <n v="-604998.24"/>
    <n v="-192819.62953486459"/>
    <n v="-604998.24"/>
    <m/>
    <s v="Private Equity Fund"/>
    <n v="0"/>
    <n v="0"/>
    <n v="0"/>
    <n v="0"/>
    <m/>
    <m/>
    <m/>
    <m/>
    <m/>
    <m/>
    <m/>
    <m/>
  </r>
  <r>
    <x v="192"/>
    <x v="10"/>
    <s v="Series 1GP"/>
    <n v="824993.58349999995"/>
    <n v="262934.57835366658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93"/>
    <x v="10"/>
    <s v="Series 1GP"/>
    <n v="670093.52049999998"/>
    <n v="213566.21529431755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94"/>
    <x v="10"/>
    <s v="Series 1GP"/>
    <n v="668698.59250000003"/>
    <n v="213121.63631473604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95"/>
    <x v="10"/>
    <s v="Series 1GP"/>
    <n v="671560.21440000006"/>
    <n v="214033.66685986103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96"/>
    <x v="10"/>
    <s v="Series 1GP"/>
    <n v="669177.91859999998"/>
    <n v="213274.40284349219"/>
    <n v="0.33700000000000002"/>
    <n v="0"/>
    <n v="0"/>
    <m/>
    <m/>
    <n v="3.1376382241757574"/>
    <n v="0"/>
    <n v="0"/>
    <n v="0"/>
    <m/>
    <s v="Private Equity Fund"/>
    <n v="0"/>
    <n v="0"/>
    <n v="0"/>
    <n v="0"/>
    <m/>
    <m/>
    <m/>
    <m/>
    <m/>
    <m/>
    <m/>
    <m/>
  </r>
  <r>
    <x v="197"/>
    <x v="10"/>
    <s v="Series 1GP"/>
    <n v="671043.35"/>
    <m/>
    <n v="0.33700000000000002"/>
    <m/>
    <n v="0"/>
    <n v="0"/>
    <m/>
    <n v="0"/>
    <n v="0"/>
    <e v="#DIV/0!"/>
    <n v="0"/>
    <m/>
    <s v="Private Equity Fund"/>
    <n v="0"/>
    <m/>
    <m/>
    <m/>
    <m/>
    <m/>
    <m/>
    <m/>
    <m/>
    <m/>
    <m/>
    <m/>
  </r>
  <r>
    <x v="198"/>
    <x v="10"/>
    <s v="Series 1GP"/>
    <n v="479302.12"/>
    <m/>
    <n v="0.33700000000000002"/>
    <m/>
    <n v="0"/>
    <n v="191841.44"/>
    <m/>
    <n v="0"/>
    <n v="191841.44"/>
    <e v="#DIV/0!"/>
    <n v="-287460.68"/>
    <m/>
    <s v="Private Equity Fund"/>
    <n v="0"/>
    <m/>
    <m/>
    <m/>
    <m/>
    <m/>
    <m/>
    <m/>
    <m/>
    <m/>
    <m/>
    <m/>
  </r>
  <r>
    <x v="120"/>
    <x v="10"/>
    <s v="Series 2"/>
    <n v="45455421.530000001"/>
    <n v="45426861.016401105"/>
    <n v="166"/>
    <n v="45484000"/>
    <n v="0"/>
    <n v="0"/>
    <m/>
    <n v="1.0006287142223758"/>
    <n v="45484000"/>
    <n v="45426861.016401105"/>
    <n v="45484000"/>
    <n v="45484000"/>
    <s v="Private Equity Fund"/>
    <n v="0"/>
    <n v="0"/>
    <n v="1.5841000000000001E-2"/>
    <n v="0.129771"/>
    <m/>
    <m/>
    <m/>
    <m/>
    <m/>
    <m/>
    <m/>
    <m/>
  </r>
  <r>
    <x v="121"/>
    <x v="10"/>
    <s v="Series 2"/>
    <n v="57966939.544166863"/>
    <n v="45869611.21120733"/>
    <n v="166"/>
    <n v="11952000"/>
    <n v="0"/>
    <n v="0"/>
    <m/>
    <n v="1.2637329598730889"/>
    <n v="11952000"/>
    <n v="0"/>
    <n v="11952000"/>
    <n v="11952000"/>
    <s v="Private Equity Fund"/>
    <n v="0"/>
    <n v="0"/>
    <n v="0"/>
    <n v="0"/>
    <m/>
    <m/>
    <m/>
    <m/>
    <m/>
    <m/>
    <m/>
    <m/>
  </r>
  <r>
    <x v="122"/>
    <x v="10"/>
    <s v="Series 2"/>
    <n v="76705780.747440457"/>
    <n v="45957589.818853274"/>
    <n v="166"/>
    <n v="18592000"/>
    <n v="0"/>
    <n v="0"/>
    <m/>
    <n v="1.6690557762011551"/>
    <n v="18592000"/>
    <n v="0"/>
    <n v="18592000"/>
    <n v="18592000"/>
    <s v="Private Equity Fund"/>
    <n v="0"/>
    <n v="0"/>
    <n v="0"/>
    <n v="0"/>
    <m/>
    <m/>
    <m/>
    <m/>
    <m/>
    <m/>
    <m/>
    <m/>
  </r>
  <r>
    <x v="123"/>
    <x v="10"/>
    <s v="Series 2"/>
    <n v="75836477.478575513"/>
    <n v="45436754.457171403"/>
    <n v="166"/>
    <n v="0"/>
    <n v="0"/>
    <n v="0"/>
    <m/>
    <n v="1.6690557762011551"/>
    <n v="0"/>
    <n v="0"/>
    <n v="0"/>
    <n v="0"/>
    <s v="Private Equity Fund"/>
    <n v="0"/>
    <n v="0"/>
    <n v="0"/>
    <n v="0"/>
    <m/>
    <m/>
    <m/>
    <m/>
    <m/>
    <m/>
    <m/>
    <m/>
  </r>
  <r>
    <x v="124"/>
    <x v="10"/>
    <s v="Series 2"/>
    <n v="91808650.171970159"/>
    <n v="46136368.011183135"/>
    <n v="166"/>
    <n v="14579983"/>
    <n v="0"/>
    <n v="0"/>
    <m/>
    <n v="1.9899409972999258"/>
    <n v="14579983"/>
    <n v="0"/>
    <n v="14579983"/>
    <n v="14579983"/>
    <s v="Private Equity Fund"/>
    <n v="0"/>
    <n v="0"/>
    <n v="0"/>
    <n v="0"/>
    <m/>
    <m/>
    <m/>
    <m/>
    <m/>
    <m/>
    <m/>
    <m/>
  </r>
  <r>
    <x v="125"/>
    <x v="10"/>
    <s v="Series 2"/>
    <n v="94759262.790074378"/>
    <n v="45246618.808014639"/>
    <n v="166"/>
    <n v="4814000"/>
    <n v="0"/>
    <n v="0"/>
    <m/>
    <n v="2.0942838445486109"/>
    <n v="4814000"/>
    <n v="0"/>
    <n v="4814000"/>
    <n v="4814000"/>
    <s v="Private Equity Fund"/>
    <n v="0"/>
    <n v="0"/>
    <n v="0"/>
    <n v="0"/>
    <m/>
    <m/>
    <m/>
    <m/>
    <m/>
    <m/>
    <m/>
    <m/>
  </r>
  <r>
    <x v="126"/>
    <x v="10"/>
    <s v="Series 2"/>
    <n v="101240094.92325184"/>
    <n v="44591589.989509508"/>
    <n v="166"/>
    <n v="7968000"/>
    <n v="0"/>
    <n v="0"/>
    <m/>
    <n v="2.2703854010827893"/>
    <n v="7968000"/>
    <n v="0"/>
    <n v="7968000"/>
    <n v="7968000"/>
    <s v="Private Equity Fund"/>
    <n v="0"/>
    <n v="0"/>
    <n v="0"/>
    <n v="0"/>
    <m/>
    <m/>
    <m/>
    <m/>
    <m/>
    <m/>
    <m/>
    <m/>
  </r>
  <r>
    <x v="127"/>
    <x v="10"/>
    <s v="Series 2"/>
    <n v="100052733.59144756"/>
    <n v="44068612.114811227"/>
    <n v="166"/>
    <n v="0"/>
    <n v="0"/>
    <n v="0"/>
    <m/>
    <n v="2.2703854010827893"/>
    <n v="0"/>
    <n v="0"/>
    <n v="0"/>
    <n v="0"/>
    <s v="Private Equity Fund"/>
    <n v="0"/>
    <n v="0"/>
    <n v="0"/>
    <n v="0"/>
    <m/>
    <m/>
    <m/>
    <m/>
    <m/>
    <m/>
    <m/>
    <m/>
  </r>
  <r>
    <x v="128"/>
    <x v="10"/>
    <s v="Series 2"/>
    <n v="110706569.4513956"/>
    <n v="44888409.866782501"/>
    <n v="166"/>
    <n v="8632000"/>
    <n v="0"/>
    <n v="0"/>
    <m/>
    <n v="2.4662617762568293"/>
    <n v="8632000"/>
    <n v="0"/>
    <n v="8632000"/>
    <n v="8632000"/>
    <s v="Private Equity Fund"/>
    <n v="0"/>
    <n v="0"/>
    <n v="0"/>
    <n v="0"/>
    <m/>
    <m/>
    <m/>
    <m/>
    <m/>
    <m/>
    <m/>
    <m/>
  </r>
  <r>
    <x v="129"/>
    <x v="10"/>
    <s v="Series 2"/>
    <n v="155809622.75436318"/>
    <n v="45455268.368714377"/>
    <n v="166"/>
    <n v="43160000"/>
    <n v="0"/>
    <n v="0"/>
    <m/>
    <n v="3.4277571851627808"/>
    <n v="43160000"/>
    <n v="0"/>
    <n v="43160000"/>
    <n v="43160000"/>
    <s v="Private Equity Fund"/>
    <n v="0"/>
    <n v="0"/>
    <n v="0"/>
    <n v="0"/>
    <m/>
    <m/>
    <m/>
    <m/>
    <m/>
    <m/>
    <m/>
    <m/>
  </r>
  <r>
    <x v="130"/>
    <x v="10"/>
    <s v="Series 2"/>
    <n v="155361118.26698914"/>
    <n v="45324423.48585178"/>
    <n v="166"/>
    <n v="0"/>
    <n v="0"/>
    <n v="0"/>
    <m/>
    <n v="3.4277571851627808"/>
    <n v="0"/>
    <n v="0"/>
    <n v="0"/>
    <n v="0"/>
    <s v="Private Equity Fund"/>
    <n v="0"/>
    <n v="0"/>
    <n v="0"/>
    <n v="0"/>
    <m/>
    <m/>
    <m/>
    <m/>
    <m/>
    <m/>
    <m/>
    <m/>
  </r>
  <r>
    <x v="131"/>
    <x v="10"/>
    <s v="Series 2"/>
    <n v="167970974.18795109"/>
    <n v="45813137.462739617"/>
    <n v="166"/>
    <n v="10818017"/>
    <n v="0"/>
    <n v="0"/>
    <m/>
    <n v="3.6664368233798426"/>
    <n v="10818017"/>
    <n v="0"/>
    <n v="10818017"/>
    <n v="10818017"/>
    <s v="Private Equity Fund"/>
    <n v="0"/>
    <n v="0"/>
    <n v="0"/>
    <n v="0"/>
    <m/>
    <m/>
    <m/>
    <m/>
    <m/>
    <m/>
    <m/>
    <m/>
  </r>
  <r>
    <x v="132"/>
    <x v="10"/>
    <s v="Series 2"/>
    <n v="171505407.63952401"/>
    <n v="46777134.28631361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33"/>
    <x v="10"/>
    <s v="Series 2"/>
    <n v="175710406.576123"/>
    <n v="47924024.07036358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34"/>
    <x v="10"/>
    <s v="Series 2"/>
    <n v="176373895.738648"/>
    <n v="48104987.0037200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35"/>
    <x v="10"/>
    <s v="Series 2"/>
    <n v="132936435.45803101"/>
    <n v="36257664.28329885"/>
    <n v="166"/>
    <n v="0"/>
    <n v="0"/>
    <n v="-42202654.469999999"/>
    <m/>
    <n v="3.6664368233798426"/>
    <n v="-42202654.469999999"/>
    <n v="-11510536.388049964"/>
    <n v="-42202654.469999999"/>
    <n v="-42202654.469999999"/>
    <s v="Private Equity Fund"/>
    <n v="0"/>
    <n v="0"/>
    <n v="0"/>
    <n v="0"/>
    <m/>
    <m/>
    <m/>
    <m/>
    <m/>
    <m/>
    <m/>
    <m/>
  </r>
  <r>
    <x v="136"/>
    <x v="10"/>
    <s v="Series 2"/>
    <n v="134749839.169386"/>
    <n v="36752259.93534757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37"/>
    <x v="10"/>
    <s v="Series 2"/>
    <n v="134946857.1805"/>
    <n v="36805995.48858489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38"/>
    <x v="10"/>
    <s v="Series 2"/>
    <n v="133212483.83499999"/>
    <n v="36332954.92384901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39"/>
    <x v="10"/>
    <s v="Series 2"/>
    <n v="116414686.05599999"/>
    <n v="31751450.158272494"/>
    <n v="166"/>
    <n v="0"/>
    <n v="0"/>
    <n v="-18233427.600000001"/>
    <m/>
    <n v="3.6664368233798426"/>
    <n v="-18233427.600000001"/>
    <n v="-4973064.7160563441"/>
    <n v="-18233427.600000001"/>
    <n v="-18233427.600000001"/>
    <s v="Private Equity Fund"/>
    <n v="0"/>
    <n v="0"/>
    <n v="0"/>
    <n v="0"/>
    <m/>
    <m/>
    <m/>
    <m/>
    <m/>
    <m/>
    <m/>
    <m/>
  </r>
  <r>
    <x v="140"/>
    <x v="10"/>
    <s v="Series 2"/>
    <n v="116801795.11300001"/>
    <n v="31857031.97398291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41"/>
    <x v="10"/>
    <s v="Series 2"/>
    <n v="119155354.69850001"/>
    <n v="32498952.09940060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42"/>
    <x v="10"/>
    <s v="Series 2"/>
    <n v="90893976.321999997"/>
    <n v="24790820.270622019"/>
    <n v="166"/>
    <n v="0"/>
    <n v="0"/>
    <n v="-33131055.840000004"/>
    <m/>
    <n v="3.6664368233798426"/>
    <n v="-33131055.840000004"/>
    <n v="-9036308.938621968"/>
    <n v="-33131055.840000004"/>
    <n v="-33131055.840000004"/>
    <s v="Private Equity Fund"/>
    <n v="0"/>
    <n v="0"/>
    <n v="0"/>
    <n v="0"/>
    <m/>
    <m/>
    <m/>
    <m/>
    <m/>
    <m/>
    <m/>
    <m/>
  </r>
  <r>
    <x v="143"/>
    <x v="10"/>
    <s v="Series 2"/>
    <n v="89760068.119499996"/>
    <n v="24481553.19276883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44"/>
    <x v="10"/>
    <s v="Series 2"/>
    <n v="73911483.362000003"/>
    <n v="20158940.934339065"/>
    <n v="166"/>
    <n v="0"/>
    <n v="0"/>
    <n v="-12281075.470000001"/>
    <m/>
    <n v="3.6664368233798426"/>
    <n v="-12281075.470000001"/>
    <n v="-3349594.1868374809"/>
    <n v="-12281075.470000001"/>
    <n v="-12281075.470000001"/>
    <s v="Private Equity Fund"/>
    <n v="0"/>
    <n v="0"/>
    <n v="0"/>
    <n v="0"/>
    <m/>
    <m/>
    <m/>
    <m/>
    <m/>
    <m/>
    <m/>
    <m/>
  </r>
  <r>
    <x v="145"/>
    <x v="10"/>
    <s v="Series 2"/>
    <n v="71728085.667500004"/>
    <n v="19563431.50660882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46"/>
    <x v="10"/>
    <s v="Series 2"/>
    <n v="65026495.470299989"/>
    <n v="17735610.513085678"/>
    <n v="166"/>
    <n v="0"/>
    <n v="-7.4505805969238281E-9"/>
    <n v="-7545743.6550000003"/>
    <m/>
    <n v="3.6664368233798426"/>
    <n v="-7545743.6550000077"/>
    <n v="-2058059.0962001316"/>
    <n v="-7545743.6550000077"/>
    <n v="-7545743.6550000077"/>
    <s v="Private Equity Fund"/>
    <n v="0"/>
    <n v="0"/>
    <n v="0"/>
    <n v="0"/>
    <m/>
    <m/>
    <m/>
    <m/>
    <m/>
    <m/>
    <m/>
    <m/>
  </r>
  <r>
    <x v="147"/>
    <x v="10"/>
    <s v="Series 2"/>
    <n v="64977431.030800007"/>
    <n v="17722228.46346542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48"/>
    <x v="10"/>
    <s v="Series 2"/>
    <n v="62539624.587800004"/>
    <n v="17057330.48200975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49"/>
    <x v="10"/>
    <s v="Series 2"/>
    <n v="61010187.491800003"/>
    <n v="16640185.12544798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"/>
    <x v="10"/>
    <s v="Series 2"/>
    <n v="48764910.963299997"/>
    <n v="13300354.89834157"/>
    <n v="166"/>
    <n v="0"/>
    <n v="0"/>
    <n v="-13015771.939999999"/>
    <m/>
    <n v="3.6664368233798426"/>
    <n v="-13015771.939999999"/>
    <n v="-3549978.5123807564"/>
    <n v="-13015771.939999999"/>
    <n v="-13015771.939999999"/>
    <s v="Private Equity Fund"/>
    <n v="0"/>
    <n v="0"/>
    <n v="0"/>
    <n v="0"/>
    <m/>
    <m/>
    <m/>
    <m/>
    <m/>
    <m/>
    <m/>
    <m/>
  </r>
  <r>
    <x v="2"/>
    <x v="10"/>
    <s v="Series 2"/>
    <n v="49296549.149800003"/>
    <n v="13445356.22036351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3"/>
    <x v="10"/>
    <s v="Series 2"/>
    <n v="48251123.456799999"/>
    <n v="13160222.24878281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4"/>
    <x v="10"/>
    <s v="Series 2"/>
    <n v="48700587.553300001"/>
    <n v="13282811.05043184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5"/>
    <x v="10"/>
    <s v="Series 2"/>
    <n v="47680249.746299997"/>
    <n v="13004519.65850232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6"/>
    <x v="10"/>
    <s v="Series 2"/>
    <n v="46255086.561800003"/>
    <n v="12615814.42419633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7"/>
    <x v="10"/>
    <s v="Series 2"/>
    <n v="37483452.4168"/>
    <n v="10223400.599126242"/>
    <n v="166"/>
    <n v="0"/>
    <n v="0"/>
    <n v="-8300000.0000000009"/>
    <m/>
    <n v="3.6664368233798426"/>
    <n v="-8300000.0000000009"/>
    <n v="-2263778.2675193585"/>
    <n v="-8300000.0000000009"/>
    <n v="-8300000.0000000009"/>
    <s v="Private Equity Fund"/>
    <n v="0"/>
    <n v="0"/>
    <n v="0"/>
    <n v="0"/>
    <m/>
    <m/>
    <m/>
    <m/>
    <m/>
    <m/>
    <m/>
    <m/>
  </r>
  <r>
    <x v="8"/>
    <x v="10"/>
    <s v="Series 2"/>
    <n v="37255948.658799998"/>
    <n v="10161350.23007330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9"/>
    <x v="10"/>
    <s v="Series 2"/>
    <n v="32837970.873799995"/>
    <n v="8956371.6642821822"/>
    <n v="166"/>
    <n v="0"/>
    <n v="-3.7252902984619141E-9"/>
    <n v="-3984000"/>
    <m/>
    <n v="3.6664368233798426"/>
    <n v="-3984000.0000000037"/>
    <n v="-1086613.568409292"/>
    <n v="-3984000.0000000037"/>
    <n v="-3984000.0000000037"/>
    <s v="Private Equity Fund"/>
    <n v="0"/>
    <n v="0"/>
    <n v="0"/>
    <n v="0"/>
    <m/>
    <m/>
    <m/>
    <m/>
    <m/>
    <m/>
    <m/>
    <m/>
  </r>
  <r>
    <x v="10"/>
    <x v="10"/>
    <s v="Series 2"/>
    <n v="32662030.8783"/>
    <n v="8908385.021125514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1"/>
    <x v="10"/>
    <s v="Series 2"/>
    <n v="32458143.367300004"/>
    <n v="8852775.850472452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2"/>
    <x v="10"/>
    <s v="Series 2"/>
    <n v="34065376.883299999"/>
    <n v="9291139.742562755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3"/>
    <x v="10"/>
    <s v="Series 2"/>
    <n v="34132872.3913"/>
    <n v="9309548.762341741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0"/>
    <x v="10"/>
    <s v="Series 2"/>
    <n v="32660201.873799998"/>
    <n v="8907886.170446200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1"/>
    <x v="10"/>
    <s v="Series 2"/>
    <n v="30664346.4538"/>
    <n v="8363527.842144186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2"/>
    <x v="10"/>
    <s v="Series 2"/>
    <n v="26745883.417300001"/>
    <n v="7294789.1115289321"/>
    <n v="166"/>
    <n v="0"/>
    <n v="0"/>
    <n v="-3984000"/>
    <m/>
    <n v="3.6664368233798426"/>
    <n v="-3984000"/>
    <n v="-1086613.568409292"/>
    <n v="-3984000"/>
    <n v="-3984000"/>
    <s v="Private Equity Fund"/>
    <n v="0"/>
    <n v="0"/>
    <n v="0"/>
    <n v="0"/>
    <m/>
    <m/>
    <m/>
    <m/>
    <m/>
    <m/>
    <m/>
    <m/>
  </r>
  <r>
    <x v="153"/>
    <x v="10"/>
    <s v="Series 2"/>
    <n v="26494746.789799999"/>
    <n v="7226293.0103828348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4"/>
    <x v="10"/>
    <s v="Series 2"/>
    <n v="27633170.992699999"/>
    <n v="7536791.801918144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5"/>
    <x v="10"/>
    <s v="Series 2"/>
    <n v="23560229.002300002"/>
    <n v="6425919.8064079564"/>
    <n v="166"/>
    <n v="0"/>
    <n v="0"/>
    <n v="-3901000"/>
    <m/>
    <n v="3.6664368233798426"/>
    <n v="-3901000"/>
    <n v="-1063975.7857340984"/>
    <n v="-3901000"/>
    <n v="-3901000"/>
    <s v="Private Equity Fund"/>
    <n v="0"/>
    <n v="0"/>
    <n v="0"/>
    <n v="0"/>
    <m/>
    <m/>
    <m/>
    <m/>
    <m/>
    <m/>
    <m/>
    <m/>
  </r>
  <r>
    <x v="156"/>
    <x v="10"/>
    <s v="Series 2"/>
    <n v="23959889.320900001"/>
    <n v="6534924.908050913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7"/>
    <x v="10"/>
    <s v="Series 2"/>
    <n v="24108507.849199999"/>
    <n v="6575459.774860099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8"/>
    <x v="10"/>
    <s v="Series 2"/>
    <n v="23813479.602899998"/>
    <n v="6494992.481814522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59"/>
    <x v="10"/>
    <s v="Series 2"/>
    <n v="20805701.559"/>
    <n v="5674637.9553925106"/>
    <n v="166"/>
    <n v="0"/>
    <n v="0"/>
    <n v="-2075000.0000000002"/>
    <m/>
    <n v="3.6664368233798426"/>
    <n v="-2075000.0000000002"/>
    <n v="-565944.56687983964"/>
    <n v="-2075000.0000000002"/>
    <n v="-2075000.0000000002"/>
    <s v="Private Equity Fund"/>
    <n v="0"/>
    <n v="0"/>
    <n v="0"/>
    <n v="0"/>
    <m/>
    <m/>
    <m/>
    <m/>
    <m/>
    <m/>
    <m/>
    <m/>
  </r>
  <r>
    <x v="160"/>
    <x v="10"/>
    <s v="Series 2"/>
    <n v="21425847.437100001"/>
    <n v="5843779.251962930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61"/>
    <x v="10"/>
    <s v="Series 2"/>
    <n v="21260417.132599998"/>
    <n v="5798659.067852543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62"/>
    <x v="10"/>
    <s v="Series 2"/>
    <n v="21073536.754999999"/>
    <n v="5747688.497077038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63"/>
    <x v="10"/>
    <s v="Series 2"/>
    <n v="18666487.9903"/>
    <n v="5091179.4991990654"/>
    <n v="166"/>
    <n v="0"/>
    <n v="0"/>
    <n v="-2407000"/>
    <m/>
    <n v="3.6664368233798426"/>
    <n v="-2407000"/>
    <n v="-656495.69758061389"/>
    <n v="-2407000"/>
    <n v="-2407000"/>
    <s v="Private Equity Fund"/>
    <n v="0"/>
    <n v="0"/>
    <n v="0"/>
    <n v="0"/>
    <m/>
    <m/>
    <m/>
    <m/>
    <m/>
    <m/>
    <m/>
    <m/>
  </r>
  <r>
    <x v="164"/>
    <x v="10"/>
    <s v="Series 2"/>
    <n v="14615185.301000001"/>
    <n v="3986209.5012255632"/>
    <n v="166"/>
    <n v="0"/>
    <n v="0"/>
    <n v="-3320000"/>
    <m/>
    <n v="3.6664368233798426"/>
    <n v="-3320000"/>
    <n v="-905511.30700774339"/>
    <n v="-3320000"/>
    <n v="-3320000"/>
    <s v="Private Equity Fund"/>
    <n v="0"/>
    <n v="0"/>
    <n v="0"/>
    <n v="0"/>
    <m/>
    <m/>
    <m/>
    <m/>
    <m/>
    <m/>
    <m/>
    <m/>
  </r>
  <r>
    <x v="165"/>
    <x v="10"/>
    <s v="Series 2"/>
    <n v="14147926.432700001"/>
    <n v="3858767.275760113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66"/>
    <x v="10"/>
    <s v="Series 2"/>
    <n v="14532908.953199999"/>
    <n v="3963769.0906134541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67"/>
    <x v="10"/>
    <s v="Series 2"/>
    <n v="14492167.5286"/>
    <n v="3952657.096445109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68"/>
    <x v="10"/>
    <s v="Series 2"/>
    <n v="15131296.208799999"/>
    <n v="4126975.845407168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69"/>
    <x v="10"/>
    <s v="Series 2"/>
    <n v="15375532.3751"/>
    <n v="4193589.8846134557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0"/>
    <x v="10"/>
    <s v="Series 2"/>
    <n v="15883809.908199999"/>
    <n v="4332219.719950821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1"/>
    <x v="10"/>
    <s v="Series 2"/>
    <n v="17511862.707400002"/>
    <n v="4776261.954312630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2"/>
    <x v="10"/>
    <s v="Series 2"/>
    <n v="18323958.088100001"/>
    <n v="4997756.396961007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3"/>
    <x v="10"/>
    <s v="Series 2"/>
    <n v="19641859.5502"/>
    <n v="5357206.6004108824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4"/>
    <x v="10"/>
    <s v="Series 2"/>
    <n v="21261530.336100001"/>
    <n v="5798962.687839366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5"/>
    <x v="10"/>
    <s v="Series 2"/>
    <n v="17312951.462000001"/>
    <n v="4722010.0320835067"/>
    <n v="166"/>
    <n v="0"/>
    <n v="0"/>
    <n v="-2490000"/>
    <m/>
    <n v="3.6664368233798426"/>
    <n v="-2490000"/>
    <n v="-679133.48025580752"/>
    <n v="-2490000"/>
    <n v="-2490000"/>
    <s v="Private Equity Fund"/>
    <n v="0"/>
    <n v="0"/>
    <n v="0"/>
    <n v="0"/>
    <m/>
    <m/>
    <m/>
    <m/>
    <m/>
    <m/>
    <m/>
    <m/>
  </r>
  <r>
    <x v="176"/>
    <x v="10"/>
    <s v="Series 2"/>
    <n v="13494317.740700001"/>
    <n v="3680499.1851081434"/>
    <n v="166"/>
    <n v="0"/>
    <n v="0"/>
    <n v="-3984000"/>
    <m/>
    <n v="3.6664368233798426"/>
    <n v="-3984000"/>
    <n v="-1086613.568409292"/>
    <n v="-3984000"/>
    <n v="-3984000"/>
    <s v="Private Equity Fund"/>
    <n v="0"/>
    <n v="0"/>
    <n v="0"/>
    <n v="0"/>
    <m/>
    <m/>
    <m/>
    <m/>
    <m/>
    <m/>
    <m/>
    <m/>
  </r>
  <r>
    <x v="177"/>
    <x v="10"/>
    <s v="Series 2"/>
    <n v="13711362.126399999"/>
    <n v="3739696.8192569083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8"/>
    <x v="10"/>
    <s v="Series 2"/>
    <n v="13889828.339500001"/>
    <n v="3788372.474040313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79"/>
    <x v="10"/>
    <s v="Series 2"/>
    <n v="11326239.392999999"/>
    <n v="3089168.0229632589"/>
    <n v="166"/>
    <n v="0"/>
    <n v="0"/>
    <n v="-2490000"/>
    <m/>
    <n v="3.6664368233798426"/>
    <n v="-2490000"/>
    <n v="-679133.48025580752"/>
    <n v="-2490000"/>
    <n v="-2490000"/>
    <s v="Private Equity Fund"/>
    <n v="0"/>
    <n v="0"/>
    <n v="0"/>
    <n v="0"/>
    <m/>
    <m/>
    <m/>
    <m/>
    <m/>
    <m/>
    <m/>
    <m/>
  </r>
  <r>
    <x v="180"/>
    <x v="10"/>
    <s v="Series 2"/>
    <n v="11323798.039999999"/>
    <n v="3088502.1576783499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81"/>
    <x v="10"/>
    <s v="Series 2"/>
    <n v="11131427.014699999"/>
    <n v="3036034.0436573192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82"/>
    <x v="10"/>
    <s v="Series 2"/>
    <n v="11136392.9254"/>
    <n v="3037388.467840584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83"/>
    <x v="10"/>
    <s v="Series 2"/>
    <n v="7401068.1880000001"/>
    <n v="2018599.6771594312"/>
    <n v="166"/>
    <n v="0"/>
    <n v="0"/>
    <n v="-3486000"/>
    <m/>
    <n v="3.6664368233798426"/>
    <n v="-3486000"/>
    <n v="-950786.87235813052"/>
    <n v="-3486000"/>
    <n v="-3486000"/>
    <s v="Private Equity Fund"/>
    <n v="0"/>
    <n v="0"/>
    <n v="0"/>
    <n v="0"/>
    <m/>
    <m/>
    <m/>
    <m/>
    <m/>
    <m/>
    <m/>
    <m/>
  </r>
  <r>
    <x v="184"/>
    <x v="10"/>
    <s v="Series 2"/>
    <n v="7505600"/>
    <n v="2047110.1403244936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85"/>
    <x v="10"/>
    <s v="Series 2"/>
    <n v="7342700"/>
    <n v="2002680.082519806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86"/>
    <x v="10"/>
    <s v="Series 2"/>
    <n v="11324900"/>
    <n v="3088802.711063853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87"/>
    <x v="10"/>
    <s v="Series 2"/>
    <n v="11286200"/>
    <n v="3078247.5039610825"/>
    <n v="166"/>
    <n v="0"/>
    <n v="0"/>
    <n v="0"/>
    <m/>
    <n v="3.6664368233798426"/>
    <n v="0"/>
    <n v="0"/>
    <n v="0"/>
    <n v="0"/>
    <s v="Private Equity Fund"/>
    <n v="0"/>
    <n v="0"/>
    <n v="0"/>
    <n v="0"/>
    <m/>
    <m/>
    <m/>
    <m/>
    <m/>
    <m/>
    <m/>
    <m/>
  </r>
  <r>
    <x v="188"/>
    <x v="10"/>
    <s v="Series 2"/>
    <n v="6958600"/>
    <n v="1897918.9701638804"/>
    <n v="166"/>
    <n v="0"/>
    <n v="0"/>
    <n v="-4245335.18"/>
    <m/>
    <n v="3.6664368233798426"/>
    <n v="-4245335.18"/>
    <n v="-1157891.2673276365"/>
    <n v="-4245335.18"/>
    <n v="-4245335.18"/>
    <s v="Private Equity Fund"/>
    <n v="0"/>
    <n v="0"/>
    <n v="0"/>
    <n v="0"/>
    <m/>
    <m/>
    <m/>
    <m/>
    <m/>
    <m/>
    <m/>
    <m/>
  </r>
  <r>
    <x v="189"/>
    <x v="10"/>
    <s v="Series 2"/>
    <n v="6879600"/>
    <n v="1876372.1649670093"/>
    <n v="166"/>
    <n v="0"/>
    <n v="0"/>
    <n v="0"/>
    <m/>
    <n v="3.6664368233798426"/>
    <n v="0"/>
    <n v="0"/>
    <n v="0"/>
    <n v="0"/>
    <s v="Private Equity Fund"/>
    <n v="0"/>
    <n v="1.214"/>
    <m/>
    <n v="0.06"/>
    <m/>
    <m/>
    <m/>
    <m/>
    <m/>
    <m/>
    <m/>
    <m/>
  </r>
  <r>
    <x v="190"/>
    <x v="10"/>
    <s v="Series 2"/>
    <n v="6999000"/>
    <n v="1908937.8426949384"/>
    <n v="166"/>
    <n v="0"/>
    <n v="0"/>
    <n v="0"/>
    <m/>
    <n v="3.6664368233798426"/>
    <n v="0"/>
    <n v="0"/>
    <n v="0"/>
    <n v="0"/>
    <s v="Private Equity Fund"/>
    <n v="0"/>
    <n v="1.2351000000000001"/>
    <m/>
    <n v="0.06"/>
    <m/>
    <m/>
    <m/>
    <m/>
    <m/>
    <m/>
    <m/>
    <m/>
  </r>
  <r>
    <x v="191"/>
    <x v="10"/>
    <s v="Series 2"/>
    <n v="3873139.8689999999"/>
    <n v="1056377.0918680693"/>
    <n v="166"/>
    <n v="0"/>
    <n v="0"/>
    <n v="-3111302.82"/>
    <m/>
    <n v="3.6664368233798426"/>
    <n v="-3111302.82"/>
    <n v="-848590.32621538476"/>
    <n v="-3111302.82"/>
    <n v="-3111302.82"/>
    <s v="Private Equity Fund"/>
    <n v="0"/>
    <n v="0.6835"/>
    <m/>
    <n v="0.03"/>
    <m/>
    <m/>
    <m/>
    <m/>
    <m/>
    <m/>
    <m/>
    <m/>
  </r>
  <r>
    <x v="192"/>
    <x v="10"/>
    <s v="Series 2"/>
    <n v="3906216.8964999998"/>
    <n v="1065398.6648811584"/>
    <n v="166"/>
    <n v="0"/>
    <n v="0"/>
    <m/>
    <m/>
    <n v="3.6664368233798426"/>
    <n v="0"/>
    <n v="0"/>
    <n v="0"/>
    <n v="0"/>
    <s v="Private Equity Fund"/>
    <n v="0"/>
    <n v="0.68930000000000002"/>
    <m/>
    <n v="0.03"/>
    <m/>
    <m/>
    <m/>
    <m/>
    <m/>
    <m/>
    <m/>
    <m/>
  </r>
  <r>
    <x v="193"/>
    <x v="10"/>
    <s v="Series 2"/>
    <n v="3054371.7335000001"/>
    <n v="833062.69291840121"/>
    <n v="166"/>
    <n v="0"/>
    <n v="0"/>
    <m/>
    <m/>
    <n v="3.6664368233798426"/>
    <n v="0"/>
    <n v="0"/>
    <n v="0"/>
    <n v="0"/>
    <s v="Private Equity Fund"/>
    <n v="0"/>
    <n v="0.53900000000000003"/>
    <m/>
    <n v="0.03"/>
    <m/>
    <m/>
    <m/>
    <m/>
    <m/>
    <m/>
    <m/>
    <m/>
  </r>
  <r>
    <x v="194"/>
    <x v="10"/>
    <s v="Series 2"/>
    <n v="3047941.5855"/>
    <n v="831308.90625583089"/>
    <n v="166"/>
    <n v="0"/>
    <n v="0"/>
    <m/>
    <m/>
    <n v="3.6664368233798426"/>
    <n v="0"/>
    <n v="0"/>
    <n v="0"/>
    <n v="0"/>
    <s v="Private Equity Fund"/>
    <n v="0"/>
    <n v="0.53790000000000004"/>
    <m/>
    <n v="0.03"/>
    <m/>
    <m/>
    <m/>
    <m/>
    <m/>
    <m/>
    <m/>
    <m/>
  </r>
  <r>
    <x v="195"/>
    <x v="10"/>
    <s v="Series 2"/>
    <n v="3061488.2625000002"/>
    <n v="835003.68613410858"/>
    <n v="166"/>
    <n v="0"/>
    <n v="0"/>
    <m/>
    <m/>
    <n v="3.6664368233798426"/>
    <n v="0"/>
    <n v="0"/>
    <n v="0"/>
    <n v="0"/>
    <s v="Private Equity Fund"/>
    <n v="0"/>
    <n v="0.5403"/>
    <m/>
    <n v="0.03"/>
    <m/>
    <m/>
    <m/>
    <m/>
    <m/>
    <m/>
    <m/>
    <m/>
  </r>
  <r>
    <x v="196"/>
    <x v="10"/>
    <s v="Series 2"/>
    <n v="3049931.92"/>
    <n v="831851.75878428796"/>
    <n v="166"/>
    <n v="0"/>
    <n v="0"/>
    <m/>
    <m/>
    <n v="3.6664368233798426"/>
    <n v="0"/>
    <n v="0"/>
    <n v="0"/>
    <n v="0"/>
    <s v="Private Equity Fund"/>
    <n v="0"/>
    <n v="0.53820000000000001"/>
    <m/>
    <n v="0.03"/>
    <m/>
    <m/>
    <m/>
    <m/>
    <m/>
    <m/>
    <m/>
    <m/>
  </r>
  <r>
    <x v="197"/>
    <x v="10"/>
    <s v="Series 2"/>
    <n v="3058580.4915"/>
    <m/>
    <n v="166"/>
    <m/>
    <n v="0"/>
    <n v="0"/>
    <m/>
    <n v="0"/>
    <n v="0"/>
    <e v="#DIV/0!"/>
    <n v="0"/>
    <n v="0"/>
    <s v="Private Equity Fund"/>
    <n v="0"/>
    <n v="0.53969999999999996"/>
    <m/>
    <n v="0.03"/>
    <m/>
    <m/>
    <m/>
    <m/>
    <m/>
    <m/>
    <m/>
    <m/>
  </r>
  <r>
    <x v="198"/>
    <x v="10"/>
    <s v="Series 2"/>
    <n v="2141580.0065000001"/>
    <m/>
    <n v="166"/>
    <m/>
    <n v="0"/>
    <n v="916692.1399999999"/>
    <n v="0"/>
    <m/>
    <n v="916692.1399999999"/>
    <e v="#DIV/0!"/>
    <n v="-1224887.8665000002"/>
    <n v="-1224887.8665000002"/>
    <s v="Private Equity Fund"/>
    <n v="0"/>
    <n v="0.37790000000000001"/>
    <m/>
    <n v="0.02"/>
    <m/>
    <m/>
    <m/>
    <m/>
    <m/>
    <m/>
    <m/>
    <m/>
  </r>
  <r>
    <x v="120"/>
    <x v="10"/>
    <s v="Series 3"/>
    <n v="698494.09991152771"/>
    <n v="696991.43944459327"/>
    <n v="2.5"/>
    <n v="700000"/>
    <n v="0"/>
    <n v="0"/>
    <m/>
    <n v="1.0021559238491249"/>
    <n v="700000"/>
    <n v="696991.43944459327"/>
    <n v="700000"/>
    <n v="700000"/>
    <s v="Private Equity Fund"/>
    <n v="0"/>
    <n v="0"/>
    <n v="0"/>
    <n v="0"/>
    <m/>
    <m/>
    <m/>
    <m/>
    <m/>
    <m/>
    <m/>
    <m/>
  </r>
  <r>
    <x v="121"/>
    <x v="10"/>
    <s v="Series 3"/>
    <n v="885716.25064541516"/>
    <n v="702721.44632387103"/>
    <n v="2.5"/>
    <n v="180000"/>
    <n v="0"/>
    <n v="0"/>
    <m/>
    <n v="1.2604087370306403"/>
    <n v="180000"/>
    <n v="0"/>
    <n v="180000"/>
    <n v="180000"/>
    <s v="Private Equity Fund"/>
    <n v="0"/>
    <n v="0"/>
    <n v="0"/>
    <n v="0"/>
    <m/>
    <m/>
    <m/>
    <m/>
    <m/>
    <m/>
    <m/>
    <m/>
  </r>
  <r>
    <x v="122"/>
    <x v="10"/>
    <s v="Series 3"/>
    <n v="1166764.3727162105"/>
    <n v="703353.27920524799"/>
    <n v="2.5"/>
    <n v="280000"/>
    <n v="0"/>
    <n v="0"/>
    <m/>
    <n v="1.6588596473661039"/>
    <n v="280000"/>
    <n v="0"/>
    <n v="280000"/>
    <n v="280000"/>
    <s v="Private Equity Fund"/>
    <n v="0"/>
    <n v="0"/>
    <n v="0"/>
    <n v="0"/>
    <m/>
    <m/>
    <m/>
    <m/>
    <m/>
    <m/>
    <m/>
    <m/>
  </r>
  <r>
    <x v="123"/>
    <x v="10"/>
    <s v="Series 3"/>
    <n v="885716.25064541516"/>
    <n v="533930.79520122963"/>
    <n v="2.5"/>
    <n v="0"/>
    <n v="-1.1641532182693481E-10"/>
    <n v="0"/>
    <m/>
    <n v="1.6588596473661039"/>
    <n v="-1.1641532182693481E-10"/>
    <n v="0"/>
    <n v="-1.1641532182693481E-10"/>
    <n v="-1.1641532182693481E-10"/>
    <s v="Private Equity Fund"/>
    <n v="0"/>
    <n v="0"/>
    <n v="0"/>
    <n v="0"/>
    <m/>
    <m/>
    <m/>
    <m/>
    <m/>
    <m/>
    <m/>
    <m/>
  </r>
  <r>
    <x v="124"/>
    <x v="10"/>
    <s v="Series 3"/>
    <n v="1391806.9162973689"/>
    <n v="672335.5098891448"/>
    <n v="2.5"/>
    <n v="219578"/>
    <n v="0"/>
    <n v="0"/>
    <m/>
    <n v="2.0701077004349377"/>
    <n v="219578"/>
    <n v="0"/>
    <n v="219578"/>
    <n v="219578"/>
    <s v="Private Equity Fund"/>
    <n v="0"/>
    <n v="0"/>
    <n v="0"/>
    <n v="0"/>
    <m/>
    <m/>
    <m/>
    <m/>
    <m/>
    <m/>
    <m/>
    <m/>
  </r>
  <r>
    <x v="125"/>
    <x v="10"/>
    <s v="Series 3"/>
    <n v="1434720.3104248999"/>
    <n v="658750.84022477246"/>
    <n v="2.5"/>
    <n v="72500"/>
    <n v="0"/>
    <n v="0"/>
    <m/>
    <n v="2.1779407673094715"/>
    <n v="72500"/>
    <n v="0"/>
    <n v="72500"/>
    <n v="72500"/>
    <s v="Private Equity Fund"/>
    <n v="0"/>
    <n v="0"/>
    <n v="0"/>
    <n v="0"/>
    <m/>
    <m/>
    <m/>
    <m/>
    <m/>
    <m/>
    <m/>
    <m/>
  </r>
  <r>
    <x v="126"/>
    <x v="10"/>
    <s v="Series 3"/>
    <n v="1531054.6660233366"/>
    <n v="648723.46550698159"/>
    <n v="2.5"/>
    <n v="120000"/>
    <n v="0"/>
    <n v="0"/>
    <m/>
    <n v="2.3601037228194102"/>
    <n v="120000"/>
    <n v="0"/>
    <n v="120000"/>
    <n v="120000"/>
    <s v="Private Equity Fund"/>
    <n v="0"/>
    <n v="0"/>
    <n v="0"/>
    <n v="0"/>
    <m/>
    <m/>
    <m/>
    <m/>
    <m/>
    <m/>
    <m/>
    <m/>
  </r>
  <r>
    <x v="127"/>
    <x v="10"/>
    <s v="Series 3"/>
    <n v="1511874.1302845422"/>
    <n v="640596.47703891504"/>
    <n v="2.5"/>
    <n v="0"/>
    <n v="0"/>
    <n v="0"/>
    <m/>
    <n v="2.3601037228194102"/>
    <n v="0"/>
    <n v="0"/>
    <n v="0"/>
    <n v="0"/>
    <s v="Private Equity Fund"/>
    <n v="0"/>
    <n v="0"/>
    <n v="0"/>
    <n v="0"/>
    <m/>
    <m/>
    <m/>
    <m/>
    <m/>
    <m/>
    <m/>
    <m/>
  </r>
  <r>
    <x v="128"/>
    <x v="10"/>
    <s v="Series 3"/>
    <n v="1678523.2737329511"/>
    <n v="651917.64320667309"/>
    <n v="2.5"/>
    <n v="137500"/>
    <n v="0"/>
    <n v="0"/>
    <m/>
    <n v="2.5747474258812475"/>
    <n v="137500"/>
    <n v="0"/>
    <n v="137500"/>
    <n v="137500"/>
    <s v="Private Equity Fund"/>
    <n v="0"/>
    <n v="0"/>
    <n v="0"/>
    <n v="0"/>
    <m/>
    <m/>
    <m/>
    <m/>
    <m/>
    <m/>
    <m/>
    <m/>
  </r>
  <r>
    <x v="129"/>
    <x v="10"/>
    <s v="Series 3"/>
    <n v="2358030.7045429787"/>
    <n v="660178.85105791281"/>
    <n v="2.5"/>
    <n v="650000"/>
    <n v="0"/>
    <n v="0"/>
    <m/>
    <n v="3.5718058837606192"/>
    <n v="650000"/>
    <n v="0"/>
    <n v="650000"/>
    <n v="650000"/>
    <s v="Private Equity Fund"/>
    <n v="0"/>
    <n v="0"/>
    <n v="0"/>
    <n v="0"/>
    <m/>
    <m/>
    <m/>
    <m/>
    <m/>
    <m/>
    <m/>
    <m/>
  </r>
  <r>
    <x v="130"/>
    <x v="10"/>
    <s v="Series 3"/>
    <n v="2348572.4309151429"/>
    <n v="657530.81420046824"/>
    <n v="2.5"/>
    <n v="0"/>
    <n v="0"/>
    <n v="0"/>
    <m/>
    <n v="3.5718058837606192"/>
    <n v="0"/>
    <n v="0"/>
    <n v="0"/>
    <n v="0"/>
    <s v="Private Equity Fund"/>
    <n v="0"/>
    <n v="0"/>
    <n v="0"/>
    <n v="0"/>
    <m/>
    <m/>
    <m/>
    <m/>
    <m/>
    <m/>
    <m/>
    <m/>
  </r>
  <r>
    <x v="131"/>
    <x v="10"/>
    <s v="Series 3"/>
    <n v="2515481.670588511"/>
    <n v="664528.08830121788"/>
    <n v="2.5"/>
    <n v="140422"/>
    <n v="0"/>
    <n v="0"/>
    <m/>
    <n v="3.7853654568898993"/>
    <n v="140422"/>
    <n v="0"/>
    <n v="140422"/>
    <n v="140422"/>
    <s v="Private Equity Fund"/>
    <n v="0"/>
    <n v="0"/>
    <n v="0"/>
    <n v="0"/>
    <m/>
    <m/>
    <m/>
    <m/>
    <m/>
    <m/>
    <m/>
    <m/>
  </r>
  <r>
    <x v="132"/>
    <x v="10"/>
    <s v="Series 3"/>
    <n v="2564402.1641417602"/>
    <n v="677451.67364862654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33"/>
    <x v="10"/>
    <s v="Series 3"/>
    <n v="2622754.3313792697"/>
    <n v="692866.8740835806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34"/>
    <x v="10"/>
    <s v="Series 3"/>
    <n v="2630903.9288705401"/>
    <n v="695019.7963269104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35"/>
    <x v="10"/>
    <s v="Series 3"/>
    <n v="1976938.7068198901"/>
    <n v="522258.3471356993"/>
    <n v="2.5"/>
    <n v="0"/>
    <n v="0"/>
    <n v="-635582.14999999991"/>
    <m/>
    <n v="3.7853654568898993"/>
    <n v="-635582.14999999991"/>
    <n v="-167905.0958852997"/>
    <n v="-635582.14999999991"/>
    <n v="-635582.14999999991"/>
    <s v="Private Equity Fund"/>
    <n v="0"/>
    <n v="0"/>
    <n v="0"/>
    <n v="0"/>
    <m/>
    <m/>
    <m/>
    <m/>
    <m/>
    <m/>
    <m/>
    <m/>
  </r>
  <r>
    <x v="136"/>
    <x v="10"/>
    <s v="Series 3"/>
    <n v="2001656.2666096399"/>
    <n v="528788.1155480888"/>
    <n v="2.5"/>
    <n v="0"/>
    <n v="-2.3283064365386963E-10"/>
    <n v="0"/>
    <m/>
    <n v="3.7853654568898993"/>
    <n v="-2.3283064365386963E-10"/>
    <n v="0"/>
    <n v="-2.3283064365386963E-10"/>
    <n v="-2.3283064365386963E-10"/>
    <s v="Private Equity Fund"/>
    <n v="0"/>
    <n v="0"/>
    <n v="0"/>
    <n v="0"/>
    <m/>
    <m/>
    <m/>
    <m/>
    <m/>
    <m/>
    <m/>
    <m/>
  </r>
  <r>
    <x v="137"/>
    <x v="10"/>
    <s v="Series 3"/>
    <n v="2003493.0580000002"/>
    <n v="529273.3504378976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38"/>
    <x v="10"/>
    <s v="Series 3"/>
    <n v="1978060.466"/>
    <n v="522554.6881872794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39"/>
    <x v="10"/>
    <s v="Series 3"/>
    <n v="1722936.112"/>
    <n v="455157.13915125764"/>
    <n v="2.5"/>
    <n v="0"/>
    <n v="0"/>
    <n v="-274599.81"/>
    <m/>
    <n v="3.7853654568898993"/>
    <n v="-274599.81"/>
    <n v="-72542.48318354298"/>
    <n v="-274599.81"/>
    <n v="-274599.81"/>
    <s v="Private Equity Fund"/>
    <n v="0"/>
    <n v="0"/>
    <n v="0"/>
    <n v="0"/>
    <m/>
    <m/>
    <m/>
    <m/>
    <m/>
    <m/>
    <m/>
    <m/>
  </r>
  <r>
    <x v="140"/>
    <x v="10"/>
    <s v="Series 3"/>
    <n v="1727626.872"/>
    <n v="456396.3220131031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41"/>
    <x v="10"/>
    <s v="Series 3"/>
    <n v="1760145.44"/>
    <n v="464986.9239960138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42"/>
    <x v="10"/>
    <s v="Series 3"/>
    <n v="1329563.5919999999"/>
    <n v="351237.84140313498"/>
    <n v="2.5"/>
    <n v="0"/>
    <n v="0"/>
    <n v="-498961.68"/>
    <m/>
    <n v="3.7853654568898993"/>
    <n v="-498961.68"/>
    <n v="-131813.34422857885"/>
    <n v="-498961.68"/>
    <n v="-498961.68"/>
    <s v="Private Equity Fund"/>
    <n v="0"/>
    <n v="0"/>
    <n v="0"/>
    <n v="0"/>
    <m/>
    <m/>
    <m/>
    <m/>
    <m/>
    <m/>
    <m/>
    <m/>
  </r>
  <r>
    <x v="143"/>
    <x v="10"/>
    <s v="Series 3"/>
    <n v="1312918.304"/>
    <n v="346840.5676948056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44"/>
    <x v="10"/>
    <s v="Series 3"/>
    <n v="1076928.1359999999"/>
    <n v="284497.79770664911"/>
    <n v="2.5"/>
    <n v="0"/>
    <n v="0"/>
    <n v="-184955.96"/>
    <m/>
    <n v="3.7853654568898993"/>
    <n v="-184955.96"/>
    <n v="-48860.793523477114"/>
    <n v="-184955.96"/>
    <n v="-184955.96"/>
    <s v="Private Equity Fund"/>
    <n v="0"/>
    <n v="0"/>
    <n v="0"/>
    <n v="0"/>
    <m/>
    <m/>
    <m/>
    <m/>
    <m/>
    <m/>
    <m/>
    <m/>
  </r>
  <r>
    <x v="145"/>
    <x v="10"/>
    <s v="Series 3"/>
    <n v="1045449.552"/>
    <n v="276181.9337937725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46"/>
    <x v="10"/>
    <s v="Series 3"/>
    <n v="943323.60800000001"/>
    <n v="249202.78338859408"/>
    <n v="2.5"/>
    <n v="0"/>
    <n v="0"/>
    <n v="-113640.72"/>
    <m/>
    <n v="3.7853654568898993"/>
    <n v="-113640.72"/>
    <n v="-30021.069641547518"/>
    <n v="-113640.72"/>
    <n v="-113640.72"/>
    <s v="Private Equity Fund"/>
    <n v="0"/>
    <n v="0"/>
    <n v="0"/>
    <n v="0"/>
    <m/>
    <m/>
    <m/>
    <m/>
    <m/>
    <m/>
    <m/>
    <m/>
  </r>
  <r>
    <x v="147"/>
    <x v="10"/>
    <s v="Series 3"/>
    <n v="942222.12800000003"/>
    <n v="248911.7995952075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48"/>
    <x v="10"/>
    <s v="Series 3"/>
    <n v="907211.67200000002"/>
    <n v="239662.9023886575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49"/>
    <x v="10"/>
    <s v="Series 3"/>
    <n v="885131.28799999994"/>
    <n v="233829.8106432328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"/>
    <x v="10"/>
    <s v="Series 3"/>
    <n v="699704.20400000003"/>
    <n v="184844.5578025867"/>
    <n v="2.5"/>
    <n v="0"/>
    <n v="0"/>
    <n v="-196020.66"/>
    <m/>
    <n v="3.7853654568898993"/>
    <n v="-196020.66"/>
    <n v="-51783.813804084552"/>
    <n v="-196020.66"/>
    <n v="-196020.66"/>
    <s v="Private Equity Fund"/>
    <n v="0"/>
    <n v="0"/>
    <n v="0"/>
    <n v="0"/>
    <m/>
    <m/>
    <m/>
    <m/>
    <m/>
    <m/>
    <m/>
    <m/>
  </r>
  <r>
    <x v="2"/>
    <x v="10"/>
    <s v="Series 3"/>
    <n v="706908.06"/>
    <n v="186747.6385175248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3"/>
    <x v="10"/>
    <s v="Series 3"/>
    <n v="691788.14"/>
    <n v="182753.3293359688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4"/>
    <x v="10"/>
    <s v="Series 3"/>
    <n v="697822.54799999995"/>
    <n v="184347.470791720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5"/>
    <x v="10"/>
    <s v="Series 3"/>
    <n v="683053.26"/>
    <n v="180445.7899188430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6"/>
    <x v="10"/>
    <s v="Series 3"/>
    <n v="662567.67599999998"/>
    <n v="175034.0049186091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7"/>
    <x v="10"/>
    <s v="Series 3"/>
    <n v="530641.91599999997"/>
    <n v="140182.47961611126"/>
    <n v="2.5"/>
    <n v="0"/>
    <n v="0"/>
    <n v="-125000"/>
    <m/>
    <n v="3.7853654568898993"/>
    <n v="-125000"/>
    <n v="-33021.91067773453"/>
    <n v="-125000"/>
    <n v="-125000"/>
    <s v="Private Equity Fund"/>
    <n v="0"/>
    <n v="0"/>
    <n v="0"/>
    <n v="0"/>
    <m/>
    <m/>
    <m/>
    <m/>
    <m/>
    <m/>
    <m/>
    <m/>
  </r>
  <r>
    <x v="8"/>
    <x v="10"/>
    <s v="Series 3"/>
    <n v="527186.46"/>
    <n v="139269.633541048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9"/>
    <x v="10"/>
    <s v="Series 3"/>
    <n v="470825.98"/>
    <n v="124380.58765053458"/>
    <n v="2.5"/>
    <n v="0"/>
    <n v="0"/>
    <n v="-50000"/>
    <m/>
    <n v="3.7853654568898993"/>
    <n v="-50000"/>
    <n v="-13208.764271093811"/>
    <n v="-50000"/>
    <n v="-50000"/>
    <s v="Private Equity Fund"/>
    <n v="0"/>
    <n v="0"/>
    <n v="0"/>
    <n v="0"/>
    <m/>
    <m/>
    <m/>
    <m/>
    <m/>
    <m/>
    <m/>
    <m/>
  </r>
  <r>
    <x v="10"/>
    <x v="10"/>
    <s v="Series 3"/>
    <n v="468117.78"/>
    <n v="123665.1481425550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1"/>
    <x v="10"/>
    <s v="Series 3"/>
    <n v="465015.43599999999"/>
    <n v="122845.585530878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2"/>
    <x v="10"/>
    <s v="Series 3"/>
    <n v="487585.83600000001"/>
    <n v="128808.1273929641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3"/>
    <x v="10"/>
    <s v="Series 3"/>
    <n v="488484.26"/>
    <n v="129045.4688095939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0"/>
    <x v="10"/>
    <s v="Series 3"/>
    <n v="467610.12400000001"/>
    <n v="123531.0379738589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1"/>
    <x v="10"/>
    <s v="Series 3"/>
    <n v="439319.804"/>
    <n v="116057.4346131827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2"/>
    <x v="10"/>
    <s v="Series 3"/>
    <n v="380249.12400000001"/>
    <n v="100452.42086411841"/>
    <n v="2.5"/>
    <n v="0"/>
    <n v="0"/>
    <n v="-60000"/>
    <m/>
    <n v="3.7853654568898993"/>
    <n v="-60000"/>
    <n v="-15850.517125312572"/>
    <n v="-60000"/>
    <n v="-60000"/>
    <s v="Private Equity Fund"/>
    <n v="0"/>
    <n v="0"/>
    <n v="0"/>
    <n v="0"/>
    <m/>
    <m/>
    <m/>
    <m/>
    <m/>
    <m/>
    <m/>
    <m/>
  </r>
  <r>
    <x v="153"/>
    <x v="10"/>
    <s v="Series 3"/>
    <n v="377084.1115"/>
    <n v="99616.30278356709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4"/>
    <x v="10"/>
    <s v="Series 3"/>
    <n v="393289.81140000001"/>
    <n v="103897.4481801108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5"/>
    <x v="10"/>
    <s v="Series 3"/>
    <n v="332170.0001"/>
    <n v="87751.104585002147"/>
    <n v="2.5"/>
    <n v="0"/>
    <n v="0"/>
    <n v="-58750"/>
    <m/>
    <n v="3.7853654568898993"/>
    <n v="-58750"/>
    <n v="-15520.298018535228"/>
    <n v="-58750"/>
    <n v="-58750"/>
    <s v="Private Equity Fund"/>
    <n v="0"/>
    <n v="0"/>
    <n v="0"/>
    <n v="0"/>
    <m/>
    <m/>
    <m/>
    <m/>
    <m/>
    <m/>
    <m/>
    <m/>
  </r>
  <r>
    <x v="156"/>
    <x v="10"/>
    <s v="Series 3"/>
    <n v="337898.42499999999"/>
    <n v="89264.41286797742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7"/>
    <x v="10"/>
    <s v="Series 3"/>
    <n v="340065.67599999998"/>
    <n v="89836.94701948326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8"/>
    <x v="10"/>
    <s v="Series 3"/>
    <n v="335951.05670000002"/>
    <n v="88749.96629150342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59"/>
    <x v="10"/>
    <s v="Series 3"/>
    <n v="291538.7746"/>
    <n v="77017.33899149904"/>
    <n v="2.5"/>
    <n v="0"/>
    <n v="0"/>
    <n v="-31250"/>
    <m/>
    <n v="3.7853654568898993"/>
    <n v="-31250"/>
    <n v="-8255.4776694336324"/>
    <n v="-31250"/>
    <n v="-31250"/>
    <s v="Private Equity Fund"/>
    <n v="0"/>
    <n v="0"/>
    <n v="0"/>
    <n v="0"/>
    <m/>
    <m/>
    <m/>
    <m/>
    <m/>
    <m/>
    <m/>
    <m/>
  </r>
  <r>
    <x v="160"/>
    <x v="10"/>
    <s v="Series 3"/>
    <n v="300387.94050000003"/>
    <n v="79355.06991887708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61"/>
    <x v="10"/>
    <s v="Series 3"/>
    <n v="298100.16950000002"/>
    <n v="78750.69736197218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62"/>
    <x v="10"/>
    <s v="Series 3"/>
    <n v="295508.35840000003"/>
    <n v="78066.00492487009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63"/>
    <x v="10"/>
    <s v="Series 3"/>
    <n v="259309.42220000003"/>
    <n v="68503.140622266816"/>
    <n v="2.5"/>
    <n v="0"/>
    <n v="-2.9103830456733704E-11"/>
    <n v="-36250"/>
    <m/>
    <n v="3.7853654568898993"/>
    <n v="-36250.000000000029"/>
    <n v="-9576.3540965430129"/>
    <n v="-36250.000000000029"/>
    <n v="-36250.000000000029"/>
    <s v="Private Equity Fund"/>
    <n v="0"/>
    <n v="0"/>
    <n v="0"/>
    <n v="0"/>
    <m/>
    <m/>
    <m/>
    <m/>
    <m/>
    <m/>
    <m/>
    <m/>
  </r>
  <r>
    <x v="164"/>
    <x v="10"/>
    <s v="Series 3"/>
    <n v="198343.4"/>
    <n v="52397.424306545363"/>
    <n v="2.5"/>
    <n v="0"/>
    <n v="0"/>
    <n v="-50000"/>
    <m/>
    <n v="3.7853654568898993"/>
    <n v="-50000"/>
    <n v="-13208.764271093811"/>
    <n v="-50000"/>
    <n v="-50000"/>
    <s v="Private Equity Fund"/>
    <n v="0"/>
    <n v="0"/>
    <n v="0"/>
    <n v="0"/>
    <m/>
    <m/>
    <m/>
    <m/>
    <m/>
    <m/>
    <m/>
    <m/>
  </r>
  <r>
    <x v="165"/>
    <x v="10"/>
    <s v="Series 3"/>
    <n v="189966.67"/>
    <n v="50184.4992678933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66"/>
    <x v="10"/>
    <s v="Series 3"/>
    <n v="196683.14"/>
    <n v="51958.82464717084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67"/>
    <x v="10"/>
    <s v="Series 3"/>
    <n v="195856.66"/>
    <n v="51740.48905727536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68"/>
    <x v="10"/>
    <s v="Series 3"/>
    <n v="206462.21040000001"/>
    <n v="54542.213361251459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69"/>
    <x v="10"/>
    <s v="Series 3"/>
    <n v="209967.08970000001"/>
    <n v="55468.11585069818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0"/>
    <x v="10"/>
    <s v="Series 3"/>
    <n v="217211.89790000001"/>
    <n v="57382.01512475993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1"/>
    <x v="10"/>
    <s v="Series 3"/>
    <n v="240327.4387"/>
    <n v="63488.56971328095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2"/>
    <x v="10"/>
    <s v="Series 3"/>
    <n v="251882.35339999999"/>
    <n v="66541.092602178891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3"/>
    <x v="10"/>
    <s v="Series 3"/>
    <n v="270603.0417"/>
    <n v="71486.63577712536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4"/>
    <x v="10"/>
    <s v="Series 3"/>
    <n v="293602.46950000001"/>
    <n v="77562.51618073020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5"/>
    <x v="10"/>
    <s v="Series 3"/>
    <n v="235461.14360000001"/>
    <n v="62203.014816291383"/>
    <n v="2.5"/>
    <n v="0"/>
    <n v="0"/>
    <n v="-37500"/>
    <m/>
    <n v="3.7853654568898993"/>
    <n v="-37500"/>
    <n v="-9906.5732033203585"/>
    <n v="-37500"/>
    <n v="-37500"/>
    <s v="Private Equity Fund"/>
    <n v="0"/>
    <n v="0"/>
    <n v="0"/>
    <n v="0"/>
    <m/>
    <m/>
    <m/>
    <m/>
    <m/>
    <m/>
    <m/>
    <m/>
  </r>
  <r>
    <x v="176"/>
    <x v="10"/>
    <s v="Series 3"/>
    <n v="177826.60140000001"/>
    <n v="46977.393180447216"/>
    <n v="2.5"/>
    <n v="0"/>
    <n v="0"/>
    <n v="-60000"/>
    <m/>
    <n v="3.7853654568898993"/>
    <n v="-60000"/>
    <n v="-15850.517125312572"/>
    <n v="-60000"/>
    <n v="-60000"/>
    <s v="Private Equity Fund"/>
    <n v="0"/>
    <n v="0"/>
    <n v="0"/>
    <n v="0"/>
    <m/>
    <m/>
    <m/>
    <m/>
    <m/>
    <m/>
    <m/>
    <m/>
  </r>
  <r>
    <x v="177"/>
    <x v="10"/>
    <s v="Series 3"/>
    <n v="180923.18410000001"/>
    <n v="47795.43379905216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8"/>
    <x v="10"/>
    <s v="Series 3"/>
    <n v="183475.82620000001"/>
    <n v="48469.778754399558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79"/>
    <x v="10"/>
    <s v="Series 3"/>
    <n v="144947.53539999999"/>
    <n v="38291.556535492506"/>
    <n v="2.5"/>
    <n v="0"/>
    <n v="0"/>
    <n v="-37500"/>
    <m/>
    <n v="3.7853654568898993"/>
    <n v="-37500"/>
    <n v="-9906.5732033203585"/>
    <n v="-37500"/>
    <n v="-37500"/>
    <s v="Private Equity Fund"/>
    <n v="0"/>
    <n v="0"/>
    <n v="0"/>
    <n v="0"/>
    <m/>
    <m/>
    <m/>
    <m/>
    <m/>
    <m/>
    <m/>
    <m/>
  </r>
  <r>
    <x v="180"/>
    <x v="10"/>
    <s v="Series 3"/>
    <n v="144926.28599999999"/>
    <n v="38285.94296918246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81"/>
    <x v="10"/>
    <s v="Series 3"/>
    <n v="142215.29800000001"/>
    <n v="37569.766940507187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82"/>
    <x v="10"/>
    <s v="Series 3"/>
    <n v="142299.9915"/>
    <n v="37592.140870043062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83"/>
    <x v="10"/>
    <s v="Series 3"/>
    <n v="86270.338000000003"/>
    <n v="22790.491164591735"/>
    <n v="2.5"/>
    <n v="0"/>
    <n v="0"/>
    <n v="-52500"/>
    <m/>
    <n v="3.7853654568898993"/>
    <n v="-52500"/>
    <n v="-13869.2024846485"/>
    <n v="-52500"/>
    <n v="-52500"/>
    <s v="Private Equity Fund"/>
    <n v="0"/>
    <n v="0"/>
    <n v="0"/>
    <n v="0"/>
    <m/>
    <m/>
    <m/>
    <m/>
    <m/>
    <m/>
    <m/>
    <m/>
  </r>
  <r>
    <x v="184"/>
    <x v="10"/>
    <s v="Series 3"/>
    <n v="87700"/>
    <n v="23168.17253149854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85"/>
    <x v="10"/>
    <s v="Series 3"/>
    <n v="85400"/>
    <n v="22560.5693750282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86"/>
    <x v="10"/>
    <s v="Series 3"/>
    <n v="141900"/>
    <n v="37486.473001364233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87"/>
    <x v="10"/>
    <s v="Series 3"/>
    <n v="141300"/>
    <n v="37327.967830111105"/>
    <n v="2.5"/>
    <n v="0"/>
    <n v="0"/>
    <n v="0"/>
    <m/>
    <n v="3.7853654568898993"/>
    <n v="0"/>
    <n v="0"/>
    <n v="0"/>
    <n v="0"/>
    <s v="Private Equity Fund"/>
    <n v="0"/>
    <n v="0"/>
    <n v="0"/>
    <n v="0"/>
    <m/>
    <m/>
    <m/>
    <m/>
    <m/>
    <m/>
    <m/>
    <m/>
  </r>
  <r>
    <x v="188"/>
    <x v="10"/>
    <s v="Series 3"/>
    <n v="77100"/>
    <n v="20367.914506026656"/>
    <n v="2.5"/>
    <n v="0"/>
    <n v="0"/>
    <n v="-63053.37999999999"/>
    <m/>
    <n v="3.7853654568898993"/>
    <n v="-63053.37999999999"/>
    <n v="-16657.144658314017"/>
    <n v="-63053.37999999999"/>
    <n v="-63053.37999999999"/>
    <s v="Private Equity Fund"/>
    <n v="0"/>
    <n v="0"/>
    <n v="0"/>
    <n v="0"/>
    <m/>
    <m/>
    <m/>
    <m/>
    <m/>
    <m/>
    <m/>
    <m/>
  </r>
  <r>
    <x v="189"/>
    <x v="10"/>
    <s v="Series 3"/>
    <n v="76000"/>
    <n v="20077.321692062593"/>
    <n v="2.5"/>
    <n v="0"/>
    <n v="0"/>
    <n v="0"/>
    <m/>
    <n v="3.7853654568898993"/>
    <n v="0"/>
    <n v="0"/>
    <n v="0"/>
    <n v="0"/>
    <s v="Private Equity Fund"/>
    <n v="0"/>
    <n v="1.9E-2"/>
    <m/>
    <n v="0.01"/>
    <m/>
    <m/>
    <m/>
    <m/>
    <m/>
    <m/>
    <m/>
    <m/>
  </r>
  <r>
    <x v="190"/>
    <x v="10"/>
    <s v="Series 3"/>
    <n v="77700"/>
    <n v="20526.41967727978"/>
    <n v="2.5"/>
    <n v="0"/>
    <n v="0"/>
    <n v="0"/>
    <m/>
    <n v="3.7853654568898993"/>
    <n v="0"/>
    <n v="0"/>
    <n v="0"/>
    <n v="0"/>
    <s v="Private Equity Fund"/>
    <n v="0"/>
    <n v="1.9400000000000001E-2"/>
    <m/>
    <n v="0.01"/>
    <m/>
    <m/>
    <m/>
    <m/>
    <m/>
    <m/>
    <m/>
    <m/>
  </r>
  <r>
    <x v="191"/>
    <x v="10"/>
    <s v="Series 3"/>
    <n v="33381.375999999997"/>
    <n v="8818.5345325749677"/>
    <n v="2.5"/>
    <n v="0"/>
    <n v="0"/>
    <n v="-44100.67"/>
    <m/>
    <n v="3.7853654568898993"/>
    <n v="-44100.67"/>
    <n v="-11650.307084545973"/>
    <n v="-44100.67"/>
    <n v="-44100.67"/>
    <s v="Private Equity Fund"/>
    <n v="0"/>
    <n v="8.3000000000000001E-3"/>
    <m/>
    <n v="0"/>
    <m/>
    <m/>
    <m/>
    <m/>
    <m/>
    <m/>
    <m/>
    <m/>
  </r>
  <r>
    <x v="192"/>
    <x v="10"/>
    <s v="Series 3"/>
    <n v="33850.224000000002"/>
    <n v="8942.3925867944454"/>
    <n v="2.5"/>
    <n v="0"/>
    <n v="0"/>
    <m/>
    <m/>
    <n v="3.7853654568898993"/>
    <n v="0"/>
    <n v="0"/>
    <n v="0"/>
    <n v="0"/>
    <s v="Private Equity Fund"/>
    <n v="0"/>
    <n v="8.5000000000000006E-3"/>
    <m/>
    <n v="0"/>
    <m/>
    <m/>
    <m/>
    <m/>
    <m/>
    <m/>
    <m/>
    <m/>
  </r>
  <r>
    <x v="193"/>
    <x v="10"/>
    <s v="Series 3"/>
    <n v="21775.88"/>
    <n v="5752.6493143125263"/>
    <n v="2.5"/>
    <n v="0"/>
    <n v="0"/>
    <m/>
    <m/>
    <n v="3.7853654568898993"/>
    <n v="0"/>
    <n v="0"/>
    <n v="0"/>
    <n v="0"/>
    <s v="Private Equity Fund"/>
    <n v="0"/>
    <n v="5.4000000000000003E-3"/>
    <m/>
    <n v="0"/>
    <m/>
    <m/>
    <m/>
    <m/>
    <m/>
    <m/>
    <m/>
    <m/>
  </r>
  <r>
    <x v="194"/>
    <x v="10"/>
    <s v="Series 3"/>
    <n v="21684.736000000001"/>
    <n v="5728.5713220980342"/>
    <n v="2.5"/>
    <n v="0"/>
    <n v="0"/>
    <m/>
    <m/>
    <n v="3.7853654568898993"/>
    <n v="0"/>
    <n v="0"/>
    <n v="0"/>
    <n v="0"/>
    <s v="Private Equity Fund"/>
    <n v="0"/>
    <n v="5.4000000000000003E-3"/>
    <m/>
    <n v="0"/>
    <m/>
    <m/>
    <m/>
    <m/>
    <m/>
    <m/>
    <m/>
    <m/>
  </r>
  <r>
    <x v="195"/>
    <x v="10"/>
    <s v="Series 3"/>
    <n v="21876.749599999999"/>
    <n v="5779.296569682916"/>
    <n v="2.5"/>
    <n v="0"/>
    <n v="0"/>
    <m/>
    <m/>
    <n v="3.7853654568898993"/>
    <n v="0"/>
    <n v="0"/>
    <n v="0"/>
    <n v="0"/>
    <s v="Private Equity Fund"/>
    <n v="0"/>
    <n v="5.4999999999999997E-3"/>
    <m/>
    <n v="0"/>
    <m/>
    <m/>
    <m/>
    <m/>
    <m/>
    <m/>
    <m/>
    <m/>
  </r>
  <r>
    <x v="196"/>
    <x v="10"/>
    <s v="Series 3"/>
    <n v="21712.946400000001"/>
    <n v="5736.0238125698997"/>
    <n v="2.5"/>
    <n v="0"/>
    <n v="0"/>
    <m/>
    <m/>
    <n v="3.7853654568898993"/>
    <n v="0"/>
    <n v="0"/>
    <n v="0"/>
    <n v="0"/>
    <s v="Private Equity Fund"/>
    <n v="0"/>
    <n v="5.4000000000000003E-3"/>
    <m/>
    <n v="0"/>
    <m/>
    <m/>
    <m/>
    <m/>
    <m/>
    <m/>
    <m/>
    <m/>
  </r>
  <r>
    <x v="197"/>
    <x v="10"/>
    <s v="Series 3"/>
    <n v="21835.534"/>
    <m/>
    <n v="2.5"/>
    <m/>
    <n v="0"/>
    <n v="0"/>
    <m/>
    <n v="0"/>
    <n v="0"/>
    <e v="#DIV/0!"/>
    <n v="0"/>
    <n v="0"/>
    <s v="Private Equity Fund"/>
    <n v="0"/>
    <n v="5.4999999999999997E-3"/>
    <m/>
    <n v="0"/>
    <m/>
    <m/>
    <m/>
    <m/>
    <m/>
    <m/>
    <m/>
    <m/>
  </r>
  <r>
    <x v="198"/>
    <x v="10"/>
    <s v="Series 3"/>
    <n v="8837.6479999999992"/>
    <m/>
    <n v="2.5"/>
    <m/>
    <n v="0"/>
    <n v="12993.509999999998"/>
    <n v="0"/>
    <m/>
    <n v="12993.509999999998"/>
    <e v="#DIV/0!"/>
    <n v="4155.8619999999992"/>
    <n v="4155.8619999999992"/>
    <s v="Private Equity Fund"/>
    <n v="0"/>
    <n v="2.2000000000000001E-3"/>
    <m/>
    <n v="0"/>
    <m/>
    <m/>
    <m/>
    <m/>
    <m/>
    <m/>
    <m/>
    <m/>
  </r>
  <r>
    <x v="121"/>
    <x v="10"/>
    <s v="Series 4"/>
    <n v="5881830.4138641013"/>
    <n v="5932086.5942141199"/>
    <n v="21.6"/>
    <n v="5832000"/>
    <n v="0"/>
    <n v="0"/>
    <m/>
    <n v="0.99152807708521384"/>
    <n v="5832000"/>
    <n v="5932086.5942141199"/>
    <n v="5832000"/>
    <n v="5832000"/>
    <s v="Private Equity Fund"/>
    <n v="0"/>
    <n v="0"/>
    <n v="0"/>
    <n v="0"/>
    <m/>
    <m/>
    <m/>
    <m/>
    <m/>
    <m/>
    <m/>
    <m/>
  </r>
  <r>
    <x v="122"/>
    <x v="10"/>
    <s v="Series 4"/>
    <n v="8303999.8597596977"/>
    <n v="5934208.6211567139"/>
    <n v="21.6"/>
    <n v="2419200"/>
    <n v="0"/>
    <n v="0"/>
    <m/>
    <n v="1.3993441063319167"/>
    <n v="2419200"/>
    <n v="0"/>
    <n v="2419200"/>
    <n v="2419200"/>
    <s v="Private Equity Fund"/>
    <n v="0"/>
    <n v="0"/>
    <n v="0"/>
    <n v="0"/>
    <m/>
    <m/>
    <m/>
    <m/>
    <m/>
    <m/>
    <m/>
    <m/>
  </r>
  <r>
    <x v="123"/>
    <x v="10"/>
    <s v="Series 4"/>
    <n v="8197024.5573718296"/>
    <n v="5857761.8759252774"/>
    <n v="21.6"/>
    <n v="0"/>
    <n v="0"/>
    <n v="0"/>
    <m/>
    <n v="1.3993441063319167"/>
    <n v="0"/>
    <n v="0"/>
    <n v="0"/>
    <n v="0"/>
    <s v="Private Equity Fund"/>
    <n v="0"/>
    <n v="0"/>
    <n v="0"/>
    <n v="0"/>
    <m/>
    <m/>
    <m/>
    <m/>
    <m/>
    <m/>
    <m/>
    <m/>
  </r>
  <r>
    <x v="124"/>
    <x v="10"/>
    <s v="Series 4"/>
    <n v="10689839.874732964"/>
    <n v="5946778.7081141779"/>
    <n v="21.6"/>
    <n v="2332800"/>
    <n v="0"/>
    <n v="0"/>
    <m/>
    <n v="1.7975849446267504"/>
    <n v="2332800"/>
    <n v="0"/>
    <n v="2332800"/>
    <n v="2332800"/>
    <s v="Private Equity Fund"/>
    <n v="0"/>
    <n v="0"/>
    <n v="0"/>
    <n v="0"/>
    <m/>
    <m/>
    <m/>
    <m/>
    <m/>
    <m/>
    <m/>
    <m/>
  </r>
  <r>
    <x v="125"/>
    <x v="10"/>
    <s v="Series 4"/>
    <n v="11060972.135927849"/>
    <n v="5812633.3762019267"/>
    <n v="21.6"/>
    <n v="626400"/>
    <n v="0"/>
    <n v="0"/>
    <m/>
    <n v="1.9029192828871095"/>
    <n v="626400"/>
    <n v="0"/>
    <n v="626400"/>
    <n v="626400"/>
    <s v="Private Equity Fund"/>
    <n v="0"/>
    <n v="0"/>
    <n v="0"/>
    <n v="0"/>
    <m/>
    <m/>
    <m/>
    <m/>
    <m/>
    <m/>
    <m/>
    <m/>
  </r>
  <r>
    <x v="126"/>
    <x v="10"/>
    <s v="Series 4"/>
    <n v="11936365.475471746"/>
    <n v="5735082.093935485"/>
    <n v="21.6"/>
    <n v="1036800"/>
    <n v="0"/>
    <n v="0"/>
    <m/>
    <n v="2.0812893834760895"/>
    <n v="1036800"/>
    <n v="0"/>
    <n v="1036800"/>
    <n v="1036800"/>
    <s v="Private Equity Fund"/>
    <n v="0"/>
    <n v="0"/>
    <n v="0"/>
    <n v="0"/>
    <m/>
    <m/>
    <m/>
    <m/>
    <m/>
    <m/>
    <m/>
    <m/>
  </r>
  <r>
    <x v="127"/>
    <x v="10"/>
    <s v="Series 4"/>
    <n v="11761832.851621341"/>
    <n v="5651224.1618112614"/>
    <n v="21.6"/>
    <n v="0"/>
    <n v="0"/>
    <n v="0"/>
    <m/>
    <n v="2.0812893834760895"/>
    <n v="0"/>
    <n v="0"/>
    <n v="0"/>
    <n v="0"/>
    <s v="Private Equity Fund"/>
    <n v="0"/>
    <n v="0"/>
    <n v="0"/>
    <n v="0"/>
    <m/>
    <m/>
    <m/>
    <m/>
    <m/>
    <m/>
    <m/>
    <m/>
  </r>
  <r>
    <x v="128"/>
    <x v="10"/>
    <s v="Series 4"/>
    <n v="13174938.9966515"/>
    <n v="5759065.0201608147"/>
    <n v="21.6"/>
    <n v="1166400"/>
    <n v="0"/>
    <n v="0"/>
    <m/>
    <n v="2.2876871420152165"/>
    <n v="1166400"/>
    <n v="0"/>
    <n v="1166400"/>
    <n v="1166400"/>
    <s v="Private Equity Fund"/>
    <n v="0"/>
    <n v="0"/>
    <n v="0"/>
    <n v="0"/>
    <m/>
    <m/>
    <m/>
    <m/>
    <m/>
    <m/>
    <m/>
    <m/>
  </r>
  <r>
    <x v="129"/>
    <x v="10"/>
    <s v="Series 4"/>
    <n v="19070372.654865604"/>
    <n v="5844706.1159444368"/>
    <n v="21.6"/>
    <n v="5616000"/>
    <n v="0"/>
    <n v="0"/>
    <m/>
    <n v="3.2628454325259182"/>
    <n v="5616000"/>
    <n v="0"/>
    <n v="5616000"/>
    <n v="5616000"/>
    <s v="Private Equity Fund"/>
    <n v="0"/>
    <n v="0"/>
    <n v="0"/>
    <n v="0"/>
    <m/>
    <m/>
    <m/>
    <m/>
    <m/>
    <m/>
    <m/>
    <m/>
  </r>
  <r>
    <x v="130"/>
    <x v="10"/>
    <s v="Series 4"/>
    <n v="18987162.529326625"/>
    <n v="5819203.7968000807"/>
    <n v="21.6"/>
    <n v="0"/>
    <n v="0"/>
    <n v="0"/>
    <m/>
    <n v="3.2628454325259182"/>
    <n v="0"/>
    <n v="0"/>
    <n v="0"/>
    <n v="0"/>
    <s v="Private Equity Fund"/>
    <n v="0"/>
    <n v="0"/>
    <n v="0"/>
    <n v="0"/>
    <m/>
    <m/>
    <m/>
    <m/>
    <m/>
    <m/>
    <m/>
    <m/>
  </r>
  <r>
    <x v="131"/>
    <x v="10"/>
    <s v="Series 4"/>
    <n v="21773988.077221259"/>
    <n v="5877625.2611154309"/>
    <n v="21.6"/>
    <n v="2570400"/>
    <n v="0"/>
    <n v="0"/>
    <m/>
    <n v="3.7045553450423756"/>
    <n v="2570400"/>
    <n v="0"/>
    <n v="2570400"/>
    <n v="2570400"/>
    <s v="Private Equity Fund"/>
    <n v="0"/>
    <n v="0"/>
    <n v="0"/>
    <n v="0"/>
    <m/>
    <m/>
    <m/>
    <m/>
    <m/>
    <m/>
    <m/>
    <m/>
  </r>
  <r>
    <x v="132"/>
    <x v="10"/>
    <s v="Series 4"/>
    <n v="22206005.1703123"/>
    <n v="5994243.060784475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33"/>
    <x v="10"/>
    <s v="Series 4"/>
    <n v="22709731.070482198"/>
    <n v="6130217.787371841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34"/>
    <x v="10"/>
    <s v="Series 4"/>
    <n v="22793766.635628801"/>
    <n v="6152902.173841883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35"/>
    <x v="10"/>
    <s v="Series 4"/>
    <n v="17140938.4730247"/>
    <n v="4626989.4431361584"/>
    <n v="21.6"/>
    <n v="0"/>
    <n v="0"/>
    <n v="-5491429.75"/>
    <m/>
    <n v="3.7045553450423756"/>
    <n v="-5491429.75"/>
    <n v="-1482345.1773635696"/>
    <n v="-5491429.75"/>
    <n v="-5491429.75"/>
    <s v="Private Equity Fund"/>
    <n v="0"/>
    <n v="0"/>
    <n v="0"/>
    <n v="0"/>
    <m/>
    <m/>
    <m/>
    <m/>
    <m/>
    <m/>
    <m/>
    <m/>
  </r>
  <r>
    <x v="136"/>
    <x v="10"/>
    <s v="Series 4"/>
    <n v="17390320.8747258"/>
    <n v="4694307.212334784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37"/>
    <x v="10"/>
    <s v="Series 4"/>
    <n v="17407868.377999999"/>
    <n v="4699043.949038605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38"/>
    <x v="10"/>
    <s v="Series 4"/>
    <n v="17178589.282000002"/>
    <n v="4637152.824559434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39"/>
    <x v="10"/>
    <s v="Series 4"/>
    <n v="15083813.619999999"/>
    <n v="4071693.4193427358"/>
    <n v="21.6"/>
    <n v="0"/>
    <n v="0"/>
    <n v="-2258158.0299999998"/>
    <m/>
    <n v="3.7045553450423756"/>
    <n v="-2258158.0299999998"/>
    <n v="-609562.50337087875"/>
    <n v="-2258158.0299999998"/>
    <n v="-2258158.0299999998"/>
    <s v="Private Equity Fund"/>
    <n v="0"/>
    <n v="0"/>
    <n v="0"/>
    <n v="0"/>
    <m/>
    <m/>
    <m/>
    <m/>
    <m/>
    <m/>
    <m/>
    <m/>
  </r>
  <r>
    <x v="140"/>
    <x v="10"/>
    <s v="Series 4"/>
    <n v="15119541.995999999"/>
    <n v="4081337.863188827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41"/>
    <x v="10"/>
    <s v="Series 4"/>
    <n v="15350965.075999999"/>
    <n v="4143807.7302700961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42"/>
    <x v="10"/>
    <s v="Series 4"/>
    <n v="11622636.412"/>
    <n v="3137390.4097705013"/>
    <n v="21.6"/>
    <n v="0"/>
    <n v="0"/>
    <n v="-4311028.96"/>
    <m/>
    <n v="3.7045553450423756"/>
    <n v="-4311028.96"/>
    <n v="-1163710.2319902545"/>
    <n v="-4311028.96"/>
    <n v="-4311028.96"/>
    <s v="Private Equity Fund"/>
    <n v="0"/>
    <n v="0"/>
    <n v="0"/>
    <n v="0"/>
    <m/>
    <m/>
    <m/>
    <m/>
    <m/>
    <m/>
    <m/>
    <m/>
  </r>
  <r>
    <x v="143"/>
    <x v="10"/>
    <s v="Series 4"/>
    <n v="11478019.98"/>
    <n v="3098352.949527524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44"/>
    <x v="10"/>
    <s v="Series 4"/>
    <n v="9507131.5940000005"/>
    <n v="2566335.4191004131"/>
    <n v="21.6"/>
    <n v="0"/>
    <n v="0"/>
    <n v="-1529388.85"/>
    <m/>
    <n v="3.7045553450423756"/>
    <n v="-1529388.85"/>
    <n v="-412840.05975149112"/>
    <n v="-1529388.85"/>
    <n v="-1529388.85"/>
    <s v="Private Equity Fund"/>
    <n v="0"/>
    <n v="0"/>
    <n v="0"/>
    <n v="0"/>
    <m/>
    <m/>
    <m/>
    <m/>
    <m/>
    <m/>
    <m/>
    <m/>
  </r>
  <r>
    <x v="145"/>
    <x v="10"/>
    <s v="Series 4"/>
    <n v="9232811.9539999999"/>
    <n v="2492286.14342496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46"/>
    <x v="10"/>
    <s v="Series 4"/>
    <n v="8314489.0260000005"/>
    <n v="2244395.9535189215"/>
    <n v="21.6"/>
    <n v="0"/>
    <n v="0"/>
    <n v="-1016171.1200000001"/>
    <m/>
    <n v="3.7045553450423756"/>
    <n v="-1016171.1200000001"/>
    <n v="-274303.12827149202"/>
    <n v="-1016171.1200000001"/>
    <n v="-1016171.1200000001"/>
    <s v="Private Equity Fund"/>
    <n v="0"/>
    <n v="0"/>
    <n v="0"/>
    <n v="0"/>
    <m/>
    <m/>
    <m/>
    <m/>
    <m/>
    <m/>
    <m/>
    <m/>
  </r>
  <r>
    <x v="147"/>
    <x v="10"/>
    <s v="Series 4"/>
    <n v="8309051.898"/>
    <n v="2242928.266443527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48"/>
    <x v="10"/>
    <s v="Series 4"/>
    <n v="8006385.7860000012"/>
    <n v="2161227.2028043945"/>
    <n v="21.6"/>
    <n v="0"/>
    <n v="-9.3132257461547852E-10"/>
    <n v="0"/>
    <m/>
    <n v="3.7045553450423756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</r>
  <r>
    <x v="149"/>
    <x v="10"/>
    <s v="Series 4"/>
    <n v="7816696.9539999999"/>
    <n v="2110022.992222454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"/>
    <x v="10"/>
    <s v="Series 4"/>
    <n v="6214611.7300000004"/>
    <n v="1677559.4237825896"/>
    <n v="21.6"/>
    <n v="0"/>
    <n v="0"/>
    <n v="-1693618.52"/>
    <m/>
    <n v="3.7045553450423756"/>
    <n v="-1693618.52"/>
    <n v="-457171.87685331423"/>
    <n v="-1693618.52"/>
    <n v="-1693618.52"/>
    <s v="Private Equity Fund"/>
    <n v="0"/>
    <n v="0"/>
    <n v="0"/>
    <n v="0"/>
    <m/>
    <m/>
    <m/>
    <m/>
    <m/>
    <m/>
    <m/>
    <m/>
  </r>
  <r>
    <x v="2"/>
    <x v="10"/>
    <s v="Series 4"/>
    <n v="6273667.7139999997"/>
    <n v="1693500.873835166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3"/>
    <x v="10"/>
    <s v="Series 4"/>
    <n v="6143947.6579999998"/>
    <n v="1658484.510488456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4"/>
    <x v="10"/>
    <s v="Series 4"/>
    <n v="6173033.9780000001"/>
    <n v="1666336.011489494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5"/>
    <x v="10"/>
    <s v="Series 4"/>
    <n v="6044729.7539999997"/>
    <n v="1631701.834901552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6"/>
    <x v="10"/>
    <s v="Series 4"/>
    <n v="5865255.25"/>
    <n v="1583254.858872383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7"/>
    <x v="10"/>
    <s v="Series 4"/>
    <n v="4726009.898"/>
    <n v="1275729.3272253543"/>
    <n v="21.6"/>
    <n v="0"/>
    <n v="0"/>
    <n v="-1080000"/>
    <m/>
    <n v="3.7045553450423756"/>
    <n v="-1080000"/>
    <n v="-291532.96398859605"/>
    <n v="-1080000"/>
    <n v="-1080000"/>
    <s v="Private Equity Fund"/>
    <n v="0"/>
    <n v="0"/>
    <n v="0"/>
    <n v="0"/>
    <m/>
    <m/>
    <m/>
    <m/>
    <m/>
    <m/>
    <m/>
    <m/>
  </r>
  <r>
    <x v="8"/>
    <x v="10"/>
    <s v="Series 4"/>
    <n v="4696329.7060000002"/>
    <n v="1267717.517646177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9"/>
    <x v="10"/>
    <s v="Series 4"/>
    <n v="3991671.29"/>
    <n v="1077503.4837424841"/>
    <n v="21.6"/>
    <n v="0"/>
    <n v="0"/>
    <n v="-648000"/>
    <m/>
    <n v="3.7045553450423756"/>
    <n v="-648000"/>
    <n v="-174919.77839315764"/>
    <n v="-648000"/>
    <n v="-648000"/>
    <s v="Private Equity Fund"/>
    <n v="0"/>
    <n v="0"/>
    <n v="0"/>
    <n v="0"/>
    <m/>
    <m/>
    <m/>
    <m/>
    <m/>
    <m/>
    <m/>
    <m/>
  </r>
  <r>
    <x v="10"/>
    <x v="10"/>
    <s v="Series 4"/>
    <n v="3968333.57"/>
    <n v="1071203.747923654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1"/>
    <x v="10"/>
    <s v="Series 4"/>
    <n v="3941840.466"/>
    <n v="1064052.254280711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2"/>
    <x v="10"/>
    <s v="Series 4"/>
    <n v="4137659.6260000006"/>
    <n v="1116911.2729108576"/>
    <n v="21.6"/>
    <n v="0"/>
    <n v="-4.6566128730773926E-10"/>
    <n v="0"/>
    <m/>
    <n v="3.7045553450423756"/>
    <n v="-4.6566128730773926E-10"/>
    <n v="0"/>
    <n v="-4.6566128730773926E-10"/>
    <n v="-4.6566128730773926E-10"/>
    <s v="Private Equity Fund"/>
    <n v="0"/>
    <n v="0"/>
    <n v="0"/>
    <n v="0"/>
    <m/>
    <m/>
    <m/>
    <m/>
    <m/>
    <m/>
    <m/>
    <m/>
  </r>
  <r>
    <x v="13"/>
    <x v="10"/>
    <s v="Series 4"/>
    <n v="4143770.6900000004"/>
    <n v="1118560.88087478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0"/>
    <x v="10"/>
    <s v="Series 4"/>
    <n v="3962028.122"/>
    <n v="1069501.668345213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1"/>
    <x v="10"/>
    <s v="Series 4"/>
    <n v="3717759.3539999998"/>
    <n v="1003564.262840692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2"/>
    <x v="10"/>
    <s v="Series 4"/>
    <n v="3209316.37"/>
    <n v="866316.21641039068"/>
    <n v="21.6"/>
    <n v="0"/>
    <n v="0"/>
    <n v="-518400"/>
    <m/>
    <n v="3.7045553450423756"/>
    <n v="-518400"/>
    <n v="-139935.82271452612"/>
    <n v="-518400"/>
    <n v="-518400"/>
    <s v="Private Equity Fund"/>
    <n v="0"/>
    <n v="0"/>
    <n v="0"/>
    <n v="0"/>
    <m/>
    <m/>
    <m/>
    <m/>
    <m/>
    <m/>
    <m/>
    <m/>
  </r>
  <r>
    <x v="153"/>
    <x v="10"/>
    <s v="Series 4"/>
    <n v="3179390.8892999999"/>
    <n v="858238.194107377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4"/>
    <x v="10"/>
    <s v="Series 4"/>
    <n v="3319515.1650999999"/>
    <n v="896063.0510062007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5"/>
    <x v="10"/>
    <s v="Series 4"/>
    <n v="2790645.7563999998"/>
    <n v="753301.13778286078"/>
    <n v="21.6"/>
    <n v="0"/>
    <n v="0"/>
    <n v="-507600.00000000006"/>
    <m/>
    <n v="3.7045553450423756"/>
    <n v="-507600.00000000006"/>
    <n v="-137020.49307464017"/>
    <n v="-507600.00000000006"/>
    <n v="-507600.00000000006"/>
    <s v="Private Equity Fund"/>
    <n v="0"/>
    <n v="0"/>
    <n v="0"/>
    <n v="0"/>
    <m/>
    <m/>
    <m/>
    <m/>
    <m/>
    <m/>
    <m/>
    <m/>
  </r>
  <r>
    <x v="156"/>
    <x v="10"/>
    <s v="Series 4"/>
    <n v="2838513.8612000002"/>
    <n v="766222.55488736148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7"/>
    <x v="10"/>
    <s v="Series 4"/>
    <n v="2857554.9268"/>
    <n v="771362.4607131663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8"/>
    <x v="10"/>
    <s v="Series 4"/>
    <n v="2822405.6140999999"/>
    <n v="761874.3280153950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59"/>
    <x v="10"/>
    <s v="Series 4"/>
    <n v="2439555.3780999999"/>
    <n v="658528.5279553826"/>
    <n v="21.6"/>
    <n v="0"/>
    <n v="0"/>
    <n v="-270000"/>
    <m/>
    <n v="3.7045553450423756"/>
    <n v="-270000"/>
    <n v="-72883.240997149012"/>
    <n v="-270000"/>
    <n v="-270000"/>
    <s v="Private Equity Fund"/>
    <n v="0"/>
    <n v="0"/>
    <n v="0"/>
    <n v="0"/>
    <m/>
    <m/>
    <m/>
    <m/>
    <m/>
    <m/>
    <m/>
    <m/>
  </r>
  <r>
    <x v="160"/>
    <x v="10"/>
    <s v="Series 4"/>
    <n v="2518431.3502000002"/>
    <n v="679820.1445607482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61"/>
    <x v="10"/>
    <s v="Series 4"/>
    <n v="2499237.2086999998"/>
    <n v="674638.9177434226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62"/>
    <x v="10"/>
    <s v="Series 4"/>
    <n v="2474293.9232999999"/>
    <n v="667905.778924649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63"/>
    <x v="10"/>
    <s v="Series 4"/>
    <n v="2160366.0350000001"/>
    <n v="583164.73470726027"/>
    <n v="21.6"/>
    <n v="0"/>
    <n v="0"/>
    <n v="-313200"/>
    <m/>
    <n v="3.7045553450423756"/>
    <n v="-313200"/>
    <n v="-84544.559556692868"/>
    <n v="-313200"/>
    <n v="-313200"/>
    <s v="Private Equity Fund"/>
    <n v="0"/>
    <n v="0"/>
    <n v="0"/>
    <n v="0"/>
    <m/>
    <m/>
    <m/>
    <m/>
    <m/>
    <m/>
    <m/>
    <m/>
  </r>
  <r>
    <x v="164"/>
    <x v="10"/>
    <s v="Series 4"/>
    <n v="1634391.7"/>
    <n v="441184.31168459286"/>
    <n v="21.6"/>
    <n v="0"/>
    <n v="0"/>
    <n v="-432000"/>
    <m/>
    <n v="3.7045553450423756"/>
    <n v="-432000"/>
    <n v="-116613.18559543844"/>
    <n v="-432000"/>
    <n v="-432000"/>
    <s v="Private Equity Fund"/>
    <n v="0"/>
    <n v="0"/>
    <n v="0"/>
    <n v="0"/>
    <m/>
    <m/>
    <m/>
    <m/>
    <m/>
    <m/>
    <m/>
    <m/>
  </r>
  <r>
    <x v="165"/>
    <x v="10"/>
    <s v="Series 4"/>
    <n v="1566116.28"/>
    <n v="422754.186165920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66"/>
    <x v="10"/>
    <s v="Series 4"/>
    <n v="1622956.34"/>
    <n v="438097.4742817441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67"/>
    <x v="10"/>
    <s v="Series 4"/>
    <n v="1612981.51"/>
    <n v="435404.8893232419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68"/>
    <x v="10"/>
    <s v="Series 4"/>
    <n v="1702819.5495"/>
    <n v="459655.5837069082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69"/>
    <x v="10"/>
    <s v="Series 4"/>
    <n v="1733756.0562"/>
    <n v="468006.5202751527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0"/>
    <x v="10"/>
    <s v="Series 4"/>
    <n v="1830080.2498000001"/>
    <n v="494008.07366776327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1"/>
    <x v="10"/>
    <s v="Series 4"/>
    <n v="2028854.8348000001"/>
    <n v="547664.8736035531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2"/>
    <x v="10"/>
    <s v="Series 4"/>
    <n v="2127885.7980999998"/>
    <n v="574397.0868049372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3"/>
    <x v="10"/>
    <s v="Series 4"/>
    <n v="2305587.6395999999"/>
    <n v="622365.55398894346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4"/>
    <x v="10"/>
    <s v="Series 4"/>
    <n v="2505019.7538000001"/>
    <n v="676199.8459956456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5"/>
    <x v="10"/>
    <s v="Series 4"/>
    <n v="2001996.8402999998"/>
    <n v="540414.88217450271"/>
    <n v="21.6"/>
    <n v="0"/>
    <n v="0"/>
    <n v="-324000"/>
    <m/>
    <n v="3.7045553450423756"/>
    <n v="-324000"/>
    <n v="-87459.889196578821"/>
    <n v="-324000"/>
    <n v="-324000"/>
    <s v="Private Equity Fund"/>
    <n v="0"/>
    <n v="0"/>
    <n v="0"/>
    <n v="0"/>
    <m/>
    <m/>
    <m/>
    <m/>
    <m/>
    <m/>
    <m/>
    <m/>
  </r>
  <r>
    <x v="176"/>
    <x v="10"/>
    <s v="Series 4"/>
    <n v="1502309.4084000001"/>
    <n v="405530.29135074659"/>
    <n v="21.6"/>
    <n v="0"/>
    <n v="0"/>
    <n v="-518400"/>
    <m/>
    <n v="3.7045553450423756"/>
    <n v="-518400"/>
    <n v="-139935.82271452612"/>
    <n v="-518400"/>
    <n v="-518400"/>
    <s v="Private Equity Fund"/>
    <n v="0"/>
    <n v="0"/>
    <n v="0"/>
    <n v="0"/>
    <m/>
    <m/>
    <m/>
    <m/>
    <m/>
    <m/>
    <m/>
    <m/>
  </r>
  <r>
    <x v="177"/>
    <x v="10"/>
    <s v="Series 4"/>
    <n v="1529018.003"/>
    <n v="412739.9540801056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8"/>
    <x v="10"/>
    <s v="Series 4"/>
    <n v="1548789.9136000001"/>
    <n v="418077.1426920830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79"/>
    <x v="10"/>
    <s v="Series 4"/>
    <n v="1212858.6850999999"/>
    <n v="327396.56237640209"/>
    <n v="21.6"/>
    <n v="0"/>
    <n v="0"/>
    <n v="-324000"/>
    <m/>
    <n v="3.7045553450423756"/>
    <n v="-324000"/>
    <n v="-87459.889196578821"/>
    <n v="-324000"/>
    <n v="-324000"/>
    <s v="Private Equity Fund"/>
    <n v="0"/>
    <n v="0"/>
    <n v="0"/>
    <n v="0"/>
    <m/>
    <m/>
    <m/>
    <m/>
    <m/>
    <m/>
    <m/>
    <m/>
  </r>
  <r>
    <x v="180"/>
    <x v="10"/>
    <s v="Series 4"/>
    <n v="1211369.1230000001"/>
    <n v="326994.4730670891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81"/>
    <x v="10"/>
    <s v="Series 4"/>
    <n v="1189975.8287"/>
    <n v="321219.61149601563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82"/>
    <x v="10"/>
    <s v="Series 4"/>
    <n v="1193395.1847999999"/>
    <n v="322142.6254022799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83"/>
    <x v="10"/>
    <s v="Series 4"/>
    <n v="710196.65600000008"/>
    <n v="191709.0149430272"/>
    <n v="21.6"/>
    <n v="0"/>
    <n v="0"/>
    <n v="-453600"/>
    <m/>
    <n v="3.7045553450423756"/>
    <n v="-453600"/>
    <n v="-122443.84487521036"/>
    <n v="-453600"/>
    <n v="-453600"/>
    <s v="Private Equity Fund"/>
    <n v="0"/>
    <n v="0"/>
    <n v="0"/>
    <n v="0"/>
    <m/>
    <m/>
    <m/>
    <m/>
    <m/>
    <m/>
    <m/>
    <m/>
  </r>
  <r>
    <x v="184"/>
    <x v="10"/>
    <s v="Series 4"/>
    <n v="721500"/>
    <n v="194760.21622015932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85"/>
    <x v="10"/>
    <s v="Series 4"/>
    <n v="700700"/>
    <n v="189145.50728408265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86"/>
    <x v="10"/>
    <s v="Series 4"/>
    <n v="731700"/>
    <n v="197513.58310227384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87"/>
    <x v="10"/>
    <s v="Series 4"/>
    <n v="734100"/>
    <n v="198161.43413335961"/>
    <n v="21.6"/>
    <n v="0"/>
    <n v="0"/>
    <n v="0"/>
    <m/>
    <n v="3.7045553450423756"/>
    <n v="0"/>
    <n v="0"/>
    <n v="0"/>
    <n v="0"/>
    <s v="Private Equity Fund"/>
    <n v="0"/>
    <n v="0"/>
    <n v="0"/>
    <n v="0"/>
    <m/>
    <m/>
    <m/>
    <m/>
    <m/>
    <m/>
    <m/>
    <m/>
  </r>
  <r>
    <x v="188"/>
    <x v="10"/>
    <s v="Series 4"/>
    <n v="671000"/>
    <n v="181128.35077439627"/>
    <n v="21.6"/>
    <n v="0"/>
    <n v="0"/>
    <n v="-56453.95"/>
    <m/>
    <n v="3.7045553450423756"/>
    <n v="-56453.95"/>
    <n v="-15239.062381818521"/>
    <n v="-56453.95"/>
    <n v="-56453.95"/>
    <s v="Private Equity Fund"/>
    <n v="0"/>
    <n v="0"/>
    <n v="0"/>
    <n v="0"/>
    <m/>
    <m/>
    <m/>
    <m/>
    <m/>
    <m/>
    <m/>
    <m/>
  </r>
  <r>
    <x v="189"/>
    <x v="10"/>
    <s v="Series 4"/>
    <n v="660700"/>
    <n v="178347.99009931984"/>
    <n v="21.6"/>
    <n v="0"/>
    <n v="0"/>
    <n v="0"/>
    <m/>
    <n v="3.7045553450423756"/>
    <n v="0"/>
    <n v="0"/>
    <n v="0"/>
    <n v="0"/>
    <s v="Private Equity Fund"/>
    <n v="0"/>
    <n v="0.153"/>
    <m/>
    <n v="0.01"/>
    <m/>
    <m/>
    <m/>
    <m/>
    <m/>
    <m/>
    <m/>
    <m/>
  </r>
  <r>
    <x v="190"/>
    <x v="10"/>
    <s v="Series 4"/>
    <n v="675400"/>
    <n v="182316.07766472019"/>
    <n v="21.6"/>
    <n v="0"/>
    <n v="0"/>
    <n v="0"/>
    <m/>
    <n v="3.7045553450423756"/>
    <n v="0"/>
    <n v="0"/>
    <n v="0"/>
    <n v="0"/>
    <s v="Private Equity Fund"/>
    <n v="0"/>
    <n v="0.15670000000000001"/>
    <m/>
    <n v="0.01"/>
    <m/>
    <m/>
    <m/>
    <m/>
    <m/>
    <m/>
    <m/>
    <m/>
  </r>
  <r>
    <x v="191"/>
    <x v="10"/>
    <s v="Series 4"/>
    <n v="475645.864"/>
    <n v="128394.85976003396"/>
    <n v="21.6"/>
    <n v="0"/>
    <n v="0"/>
    <n v="-198591.5"/>
    <m/>
    <n v="3.7045553450423756"/>
    <n v="-198591.5"/>
    <n v="-53607.378349945626"/>
    <n v="-198591.5"/>
    <n v="-198591.5"/>
    <s v="Private Equity Fund"/>
    <n v="0"/>
    <n v="0.11890000000000001"/>
    <m/>
    <n v="0.01"/>
    <m/>
    <m/>
    <m/>
    <m/>
    <m/>
    <m/>
    <m/>
    <m/>
  </r>
  <r>
    <x v="192"/>
    <x v="10"/>
    <s v="Series 4"/>
    <n v="479771.576"/>
    <n v="129508.54591551851"/>
    <n v="21.6"/>
    <n v="0"/>
    <n v="0"/>
    <m/>
    <m/>
    <n v="3.7045553450423756"/>
    <n v="0"/>
    <n v="0"/>
    <n v="0"/>
    <n v="0"/>
    <s v="Private Equity Fund"/>
    <n v="0"/>
    <n v="0.11990000000000001"/>
    <m/>
    <n v="0.01"/>
    <m/>
    <m/>
    <m/>
    <m/>
    <m/>
    <m/>
    <m/>
    <m/>
  </r>
  <r>
    <x v="193"/>
    <x v="10"/>
    <s v="Series 4"/>
    <n v="481686.25599999999"/>
    <n v="130025.39067060154"/>
    <n v="21.6"/>
    <n v="0"/>
    <n v="0"/>
    <m/>
    <m/>
    <n v="3.7045553450423756"/>
    <n v="0"/>
    <n v="0"/>
    <n v="0"/>
    <n v="0"/>
    <s v="Private Equity Fund"/>
    <n v="0"/>
    <n v="0.12039999999999999"/>
    <m/>
    <n v="0.01"/>
    <m/>
    <m/>
    <m/>
    <m/>
    <m/>
    <m/>
    <m/>
    <m/>
  </r>
  <r>
    <x v="194"/>
    <x v="10"/>
    <s v="Series 4"/>
    <n v="480798.05599999998"/>
    <n v="129785.63180151388"/>
    <n v="21.6"/>
    <n v="0"/>
    <n v="0"/>
    <m/>
    <m/>
    <n v="3.7045553450423756"/>
    <n v="0"/>
    <n v="0"/>
    <n v="0"/>
    <n v="0"/>
    <s v="Private Equity Fund"/>
    <n v="0"/>
    <n v="0.1202"/>
    <m/>
    <n v="0.01"/>
    <m/>
    <m/>
    <m/>
    <m/>
    <m/>
    <m/>
    <m/>
    <m/>
  </r>
  <r>
    <x v="195"/>
    <x v="10"/>
    <s v="Series 4"/>
    <n v="482360.74560000002"/>
    <n v="130207.46099677515"/>
    <n v="21.6"/>
    <n v="0"/>
    <n v="0"/>
    <m/>
    <m/>
    <n v="3.7045553450423756"/>
    <n v="0"/>
    <n v="0"/>
    <n v="0"/>
    <n v="0"/>
    <s v="Private Equity Fund"/>
    <n v="0"/>
    <n v="0.1206"/>
    <m/>
    <n v="0.01"/>
    <m/>
    <m/>
    <m/>
    <m/>
    <m/>
    <m/>
    <m/>
    <m/>
  </r>
  <r>
    <x v="196"/>
    <x v="10"/>
    <s v="Series 4"/>
    <n v="481263.20799999998"/>
    <n v="129911.19396935205"/>
    <n v="21.6"/>
    <n v="0"/>
    <n v="0"/>
    <m/>
    <m/>
    <n v="3.7045553450423756"/>
    <n v="0"/>
    <n v="0"/>
    <n v="0"/>
    <n v="0"/>
    <s v="Private Equity Fund"/>
    <n v="0"/>
    <n v="0.1203"/>
    <m/>
    <n v="0.01"/>
    <m/>
    <m/>
    <m/>
    <m/>
    <m/>
    <m/>
    <m/>
    <m/>
  </r>
  <r>
    <x v="197"/>
    <x v="10"/>
    <s v="Series 4"/>
    <n v="482414.83199999999"/>
    <m/>
    <n v="21.6"/>
    <m/>
    <n v="0"/>
    <n v="0"/>
    <m/>
    <n v="0"/>
    <n v="0"/>
    <e v="#DIV/0!"/>
    <n v="0"/>
    <n v="0"/>
    <s v="Private Equity Fund"/>
    <n v="0"/>
    <n v="0.1206"/>
    <m/>
    <n v="0.01"/>
    <m/>
    <m/>
    <m/>
    <m/>
    <m/>
    <m/>
    <m/>
    <m/>
  </r>
  <r>
    <x v="198"/>
    <x v="10"/>
    <s v="Series 4"/>
    <n v="384502.76"/>
    <m/>
    <n v="21.6"/>
    <m/>
    <n v="0"/>
    <n v="98537.800000000017"/>
    <n v="0"/>
    <m/>
    <n v="98537.800000000017"/>
    <e v="#DIV/0!"/>
    <n v="-285964.95999999996"/>
    <n v="-285964.95999999996"/>
    <s v="Private Equity Fund"/>
    <n v="0"/>
    <n v="9.6100000000000005E-2"/>
    <m/>
    <n v="0.01"/>
    <m/>
    <m/>
    <m/>
    <m/>
    <m/>
    <m/>
    <m/>
    <m/>
  </r>
  <r>
    <x v="135"/>
    <x v="11"/>
    <s v="Series 1"/>
    <n v="4029878.06"/>
    <n v="4138951.2565498538"/>
    <n v="20"/>
    <n v="4000000"/>
    <n v="0"/>
    <n v="0"/>
    <m/>
    <n v="0.97364714156098209"/>
    <n v="4000000"/>
    <n v="4138951.2565498538"/>
    <n v="4000000"/>
    <n v="4000000"/>
    <s v="Private Equity Fund"/>
    <n v="0"/>
    <n v="0"/>
    <n v="6.8459550000000014E-4"/>
    <n v="1.0984095000000002E-3"/>
    <s v="ARF"/>
    <n v="2.0149390299999999"/>
    <s v="HRF"/>
    <n v="2.0149390299999999"/>
    <m/>
    <m/>
    <m/>
    <m/>
  </r>
  <r>
    <x v="136"/>
    <x v="11"/>
    <s v="Series 1"/>
    <n v="4010930.6934421007"/>
    <n v="4119491.058138012"/>
    <n v="20"/>
    <n v="0"/>
    <n v="0"/>
    <n v="0"/>
    <m/>
    <n v="0.97364714156098209"/>
    <n v="0"/>
    <n v="0"/>
    <n v="0"/>
    <n v="0"/>
    <s v="Private Equity Fund"/>
    <n v="0"/>
    <n v="0"/>
    <n v="7.5138400000000012E-4"/>
    <n v="2.2401649999999999E-4"/>
    <s v="ARF"/>
    <n v="2.0054653467210501"/>
    <s v="HRF"/>
    <n v="2.0054653467210501"/>
    <m/>
    <m/>
    <m/>
    <m/>
  </r>
  <r>
    <x v="137"/>
    <x v="11"/>
    <s v="Series 1"/>
    <n v="6354230"/>
    <n v="4170388.8988385224"/>
    <n v="20"/>
    <n v="2300000"/>
    <n v="0"/>
    <n v="0"/>
    <m/>
    <n v="1.5236540653965605"/>
    <n v="2300000"/>
    <n v="0"/>
    <n v="2300000"/>
    <n v="2300000"/>
    <s v="Private Equity Fund"/>
    <n v="0"/>
    <n v="0"/>
    <n v="2.810686122916667E-3"/>
    <n v="1.8767730000000004E-3"/>
    <s v="ARF"/>
    <n v="3.1771150000000001"/>
    <s v="HRF"/>
    <n v="3.1771150000000001"/>
    <m/>
    <m/>
    <m/>
    <m/>
  </r>
  <r>
    <x v="138"/>
    <x v="11"/>
    <s v="Series 1"/>
    <n v="7483423.5"/>
    <n v="4133646.6856795652"/>
    <n v="20"/>
    <n v="1220000"/>
    <n v="0"/>
    <n v="0"/>
    <m/>
    <n v="1.8103684395488524"/>
    <n v="1220000"/>
    <n v="0"/>
    <n v="1220000"/>
    <n v="1220000"/>
    <s v="Private Equity Fund"/>
    <n v="4.44350107782438E-2"/>
    <n v="0"/>
    <n v="2.9385898500000002E-3"/>
    <n v="0"/>
    <s v="ARF"/>
    <n v="3.7417117499999999"/>
    <s v="HRF"/>
    <n v="3.7417117499999999"/>
    <m/>
    <m/>
    <m/>
    <m/>
  </r>
  <r>
    <x v="139"/>
    <x v="11"/>
    <s v="Series 1"/>
    <n v="7518596.9400000004"/>
    <n v="4153075.5705582509"/>
    <n v="20"/>
    <n v="0"/>
    <n v="-9.3132257461547852E-10"/>
    <n v="0"/>
    <m/>
    <n v="1.8103684395488524"/>
    <n v="-9.3132257461547852E-10"/>
    <n v="0"/>
    <n v="-9.3132257461547852E-10"/>
    <n v="-9.3132257461547852E-10"/>
    <s v="Private Equity Fund"/>
    <n v="5.2980052493631101E-2"/>
    <n v="7.4905757500000114E-2"/>
    <n v="3.4935929770833329E-3"/>
    <n v="2.6837677770833335E-3"/>
    <s v="ARF"/>
    <n v="3.7592984700000001"/>
    <s v="HRF"/>
    <n v="3.7592984700000001"/>
    <m/>
    <m/>
    <m/>
    <m/>
  </r>
  <r>
    <x v="140"/>
    <x v="11"/>
    <s v="Series 1"/>
    <n v="12245659.699999999"/>
    <n v="4179855.2652301537"/>
    <n v="20"/>
    <n v="4760000"/>
    <n v="0"/>
    <n v="0"/>
    <m/>
    <n v="2.9296851022246391"/>
    <n v="4760000"/>
    <n v="0"/>
    <n v="4760000"/>
    <n v="4760000"/>
    <s v="Private Equity Fund"/>
    <n v="8.6749536822355797E-2"/>
    <n v="0.10311649599999971"/>
    <n v="4.9409078374999995E-3"/>
    <n v="3.7053753874999999E-3"/>
    <s v="ARF"/>
    <n v="6.1228298499999996"/>
    <s v="HRF"/>
    <n v="6.1228298499999996"/>
    <m/>
    <m/>
    <m/>
    <m/>
  </r>
  <r>
    <x v="141"/>
    <x v="11"/>
    <s v="Series 1"/>
    <n v="13875515.779999997"/>
    <n v="4205467.1665304592"/>
    <n v="20"/>
    <n v="1580000"/>
    <n v="0"/>
    <n v="0"/>
    <m/>
    <n v="3.2993993843132055"/>
    <n v="1580000"/>
    <n v="0"/>
    <n v="1580000"/>
    <n v="1580000"/>
    <s v="Private Equity Fund"/>
    <n v="0.103769811635849"/>
    <n v="0.25944480800000036"/>
    <n v="5.7562168500000007E-3"/>
    <n v="1.0330484822916668E-2"/>
    <s v="ARF"/>
    <n v="6.9377578899999994"/>
    <s v="HRF"/>
    <n v="6.9377578899999994"/>
    <m/>
    <m/>
    <m/>
    <m/>
  </r>
  <r>
    <x v="142"/>
    <x v="11"/>
    <s v="Series 1"/>
    <n v="13703525.24"/>
    <n v="4153339.3335625208"/>
    <n v="20"/>
    <n v="0"/>
    <n v="-1.862645149230957E-9"/>
    <n v="0"/>
    <m/>
    <n v="3.2993993843132055"/>
    <n v="-1.862645149230957E-9"/>
    <n v="0"/>
    <n v="-1.862645149230957E-9"/>
    <n v="-1.862645149230957E-9"/>
    <s v="Private Equity Fund"/>
    <n v="0.10308979524162801"/>
    <n v="0.255766039"/>
    <n v="5.7208678151277797E-3"/>
    <n v="9.9390453983333356E-3"/>
    <s v="ARF"/>
    <n v="6.8517626199999997"/>
    <s v="HRF"/>
    <n v="6.8517626199999997"/>
    <m/>
    <m/>
    <m/>
    <m/>
  </r>
  <r>
    <x v="143"/>
    <x v="11"/>
    <s v="Series 1"/>
    <n v="15562001.039999999"/>
    <n v="4221422.2649204005"/>
    <n v="20"/>
    <n v="1660000"/>
    <n v="0"/>
    <n v="0"/>
    <m/>
    <n v="3.6864355336633059"/>
    <n v="1660000"/>
    <n v="0"/>
    <n v="1660000"/>
    <n v="1660000"/>
    <s v="Private Equity Fund"/>
    <n v="0.107276674580859"/>
    <n v="0.338444199"/>
    <n v="5.8240889251275256E-3"/>
    <n v="1.334926036124998E-2"/>
    <s v="ARF"/>
    <n v="7.7810005199999992"/>
    <s v="HRF"/>
    <n v="7.7810005199999992"/>
    <m/>
    <m/>
    <m/>
    <m/>
  </r>
  <r>
    <x v="144"/>
    <x v="11"/>
    <s v="Series 1"/>
    <n v="16739315.179999996"/>
    <n v="4231037.5286431285"/>
    <n v="20"/>
    <n v="1180000"/>
    <n v="0"/>
    <n v="0"/>
    <m/>
    <n v="3.9563145130901747"/>
    <n v="1180000"/>
    <n v="0"/>
    <n v="1180000"/>
    <n v="1180000"/>
    <s v="Private Equity Fund"/>
    <n v="0.11615643422216899"/>
    <n v="0.2622608974999992"/>
    <n v="6.2295760000000006E-3"/>
    <n v="9.7893083583333353E-3"/>
    <s v="ARF"/>
    <n v="8.3696575899999992"/>
    <s v="HRF"/>
    <n v="8.3696575899999992"/>
    <m/>
    <m/>
    <m/>
    <m/>
  </r>
  <r>
    <x v="145"/>
    <x v="11"/>
    <s v="Series 1"/>
    <n v="17189065.48"/>
    <n v="4187066.9176211073"/>
    <n v="20"/>
    <n v="648960"/>
    <n v="0"/>
    <n v="0"/>
    <m/>
    <n v="4.1052760364685099"/>
    <n v="648960"/>
    <n v="0"/>
    <n v="648960"/>
    <n v="648960"/>
    <s v="Private Equity Fund"/>
    <n v="0.14087869872832201"/>
    <n v="7.0979914500001101E-2"/>
    <n v="7.513362983333334E-3"/>
    <n v="1.4195982000000003E-3"/>
    <s v="ARF"/>
    <n v="8.59453274"/>
    <s v="HRF"/>
    <n v="8.59453274"/>
    <m/>
    <m/>
    <m/>
    <m/>
  </r>
  <r>
    <x v="146"/>
    <x v="11"/>
    <s v="Series 1"/>
    <n v="17284523.859999999"/>
    <n v="4210319.5269833067"/>
    <n v="20"/>
    <n v="0"/>
    <n v="0"/>
    <n v="0"/>
    <m/>
    <n v="4.1052760364685099"/>
    <n v="0"/>
    <n v="0"/>
    <n v="0"/>
    <n v="0"/>
    <s v="Private Equity Fund"/>
    <n v="0.13342731951925699"/>
    <n v="0.23611917049999909"/>
    <n v="7.1123933583333325E-3"/>
    <n v="8.1409090333333326E-3"/>
    <s v="ARF"/>
    <n v="8.6422619300000001"/>
    <s v="HRF"/>
    <n v="8.6422619300000001"/>
    <m/>
    <m/>
    <m/>
    <m/>
  </r>
  <r>
    <x v="147"/>
    <x v="11"/>
    <s v="Series 1"/>
    <n v="17464276.260000002"/>
    <n v="4254105.2306493213"/>
    <n v="20"/>
    <n v="0"/>
    <n v="0"/>
    <n v="0"/>
    <m/>
    <n v="4.1052760364685099"/>
    <n v="0"/>
    <n v="0"/>
    <n v="0"/>
    <n v="0"/>
    <s v="Private Equity Fund"/>
    <n v="0.121003450645939"/>
    <n v="0.24113119200000002"/>
    <n v="6.4470436291666671E-3"/>
    <n v="8.254087508333334E-3"/>
    <s v="ARF"/>
    <n v="8.7321381300000009"/>
    <s v="HRF"/>
    <n v="8.7321381300000009"/>
    <m/>
    <m/>
    <m/>
    <m/>
  </r>
  <r>
    <x v="148"/>
    <x v="11"/>
    <s v="Series 1"/>
    <n v="16949422.66"/>
    <n v="4128692.567669685"/>
    <n v="20"/>
    <n v="0"/>
    <n v="0"/>
    <n v="0"/>
    <m/>
    <n v="4.1052760364685099"/>
    <n v="0"/>
    <n v="0"/>
    <n v="0"/>
    <n v="0"/>
    <s v="Private Equity Fund"/>
    <n v="0.13853193730990199"/>
    <n v="0"/>
    <n v="7.3886962000000002E-3"/>
    <n v="0"/>
    <s v="ARF"/>
    <n v="8.4747113299999999"/>
    <s v="HRF"/>
    <n v="8.4747113299999999"/>
    <m/>
    <m/>
    <m/>
    <m/>
  </r>
  <r>
    <x v="149"/>
    <x v="11"/>
    <s v="Series 1"/>
    <n v="16655431.660000002"/>
    <n v="4057079.6000182093"/>
    <n v="20"/>
    <n v="0"/>
    <n v="0"/>
    <n v="0"/>
    <m/>
    <n v="4.1052760364685099"/>
    <n v="0"/>
    <n v="0"/>
    <n v="0"/>
    <n v="0"/>
    <s v="Private Equity Fund"/>
    <n v="0.12398072844547101"/>
    <n v="0"/>
    <n v="6.6158181325960295E-3"/>
    <n v="0"/>
    <s v="ARF"/>
    <n v="8.3277158300000007"/>
    <s v="HRF"/>
    <n v="8.3277158300000007"/>
    <m/>
    <m/>
    <m/>
    <m/>
  </r>
  <r>
    <x v="1"/>
    <x v="11"/>
    <s v="Series 1"/>
    <n v="19326548.100000001"/>
    <n v="4067147.6995531274"/>
    <n v="20"/>
    <n v="2660000"/>
    <n v="0"/>
    <n v="0"/>
    <m/>
    <n v="4.7518677775393998"/>
    <n v="2660000"/>
    <n v="0"/>
    <n v="2660000"/>
    <n v="2660000"/>
    <s v="Private Equity Fund"/>
    <n v="0.169472467734434"/>
    <n v="0"/>
    <n v="8.6614820471078904E-3"/>
    <n v="0"/>
    <s v="ARF"/>
    <n v="9.6632740500000001"/>
    <s v="HRF"/>
    <n v="9.6632740500000001"/>
    <m/>
    <m/>
    <m/>
    <m/>
  </r>
  <r>
    <x v="2"/>
    <x v="11"/>
    <s v="Series 1"/>
    <n v="16417722.399999999"/>
    <n v="3455004.0465354407"/>
    <n v="20"/>
    <n v="0"/>
    <n v="0"/>
    <n v="-3224867.42"/>
    <m/>
    <n v="4.7518677775393998"/>
    <n v="-3224867.42"/>
    <n v="-678652.59956157545"/>
    <n v="-3224867.42"/>
    <n v="-3224867.42"/>
    <s v="Private Equity Fund"/>
    <n v="0.14767777177191402"/>
    <n v="0.22893597500000112"/>
    <n v="7.5469736604166669E-3"/>
    <n v="6.605525027083334E-3"/>
    <s v="ARF"/>
    <n v="8.2088611999999994"/>
    <s v="HRF"/>
    <n v="8.2088611999999994"/>
    <m/>
    <m/>
    <m/>
    <m/>
  </r>
  <r>
    <x v="3"/>
    <x v="11"/>
    <s v="Series 1"/>
    <n v="16367553.960000001"/>
    <n v="3444446.4211239913"/>
    <n v="20"/>
    <n v="0"/>
    <n v="0"/>
    <n v="0"/>
    <m/>
    <n v="4.7518677775393998"/>
    <n v="0"/>
    <n v="0"/>
    <n v="0"/>
    <n v="0"/>
    <s v="Private Equity Fund"/>
    <n v="0.13805853620390901"/>
    <n v="0.25754727300000002"/>
    <n v="7.0542959854166679E-3"/>
    <n v="7.6213894083333343E-3"/>
    <s v="ARF"/>
    <n v="8.1837769800000011"/>
    <s v="HRF"/>
    <n v="8.1837769800000011"/>
    <m/>
    <m/>
    <m/>
    <m/>
  </r>
  <r>
    <x v="4"/>
    <x v="11"/>
    <s v="Series 1"/>
    <n v="16639720.48"/>
    <n v="3501722.1141233728"/>
    <n v="20"/>
    <n v="0"/>
    <n v="0"/>
    <n v="0"/>
    <m/>
    <n v="4.7518677775393998"/>
    <n v="0"/>
    <n v="0"/>
    <n v="0"/>
    <n v="0"/>
    <s v="Private Equity Fund"/>
    <n v="0.15521295352099571"/>
    <n v="0.64462153002730549"/>
    <n v="7.9298758840632803E-3"/>
    <n v="2.4295049900000299E-2"/>
    <s v="ARF"/>
    <n v="8.3198602400000006"/>
    <s v="HRF"/>
    <n v="8.3198602400000006"/>
    <m/>
    <m/>
    <m/>
    <m/>
  </r>
  <r>
    <x v="5"/>
    <x v="11"/>
    <s v="Series 1"/>
    <n v="16905601.559999999"/>
    <n v="3557675.0767156268"/>
    <n v="20"/>
    <n v="0"/>
    <n v="0"/>
    <n v="0"/>
    <m/>
    <n v="4.7518677775393998"/>
    <n v="0"/>
    <n v="0"/>
    <n v="0"/>
    <n v="0"/>
    <s v="Private Equity Fund"/>
    <n v="0.14777942514555001"/>
    <n v="0.94586041050000047"/>
    <n v="7.5488678017476994E-3"/>
    <n v="3.7246241853750001E-2"/>
    <s v="ARF"/>
    <n v="8.4528007799999987"/>
    <s v="HRF"/>
    <n v="8.4528007799999987"/>
    <m/>
    <m/>
    <m/>
    <m/>
  </r>
  <r>
    <x v="6"/>
    <x v="11"/>
    <s v="Series 1"/>
    <n v="17002095.659999996"/>
    <n v="3577981.6392121874"/>
    <n v="20"/>
    <n v="0"/>
    <n v="0"/>
    <n v="0"/>
    <m/>
    <n v="4.7518677775393998"/>
    <n v="0"/>
    <n v="0"/>
    <n v="0"/>
    <n v="0"/>
    <s v="Private Equity Fund"/>
    <n v="0.14378600872052799"/>
    <n v="1.0921174825"/>
    <n v="7.3437693641430699E-3"/>
    <n v="4.3415455349583305E-2"/>
    <s v="ARF"/>
    <n v="8.5010478299999992"/>
    <s v="HRF"/>
    <n v="8.5010478299999992"/>
    <m/>
    <m/>
    <m/>
    <m/>
  </r>
  <r>
    <x v="7"/>
    <x v="11"/>
    <s v="Series 1"/>
    <n v="16321037.359999999"/>
    <n v="3434657.3019443983"/>
    <n v="20"/>
    <n v="0"/>
    <n v="0"/>
    <n v="-875800"/>
    <m/>
    <n v="4.7518677775393998"/>
    <n v="-875800"/>
    <n v="-184306.4750537955"/>
    <n v="-875800"/>
    <n v="-875800"/>
    <s v="Private Equity Fund"/>
    <n v="0.147148692856092"/>
    <n v="1.2494029125000008"/>
    <n v="7.5156186244553598E-3"/>
    <n v="5.08554830398006E-2"/>
    <s v="ARF"/>
    <n v="8.1605186799999991"/>
    <s v="HRF"/>
    <n v="8.1605186799999991"/>
    <m/>
    <m/>
    <m/>
    <m/>
  </r>
  <r>
    <x v="8"/>
    <x v="11"/>
    <s v="Series 1"/>
    <n v="16135483.119999999"/>
    <n v="3395608.6060027611"/>
    <n v="20"/>
    <n v="0"/>
    <n v="0"/>
    <n v="0"/>
    <m/>
    <n v="4.7518677775393998"/>
    <n v="0"/>
    <n v="0"/>
    <n v="0"/>
    <n v="0"/>
    <s v="Private Equity Fund"/>
    <n v="0.14032298364026"/>
    <n v="0.81754584250000006"/>
    <n v="7.1648134461411404E-3"/>
    <n v="3.08508617921157E-2"/>
    <s v="ARF"/>
    <n v="8.06774156"/>
    <s v="HRF"/>
    <n v="8.06774156"/>
    <m/>
    <m/>
    <m/>
    <m/>
  </r>
  <r>
    <x v="9"/>
    <x v="11"/>
    <s v="Series 1"/>
    <n v="16210826.539999997"/>
    <n v="3411464.1439779806"/>
    <n v="20"/>
    <n v="0"/>
    <n v="0"/>
    <n v="0"/>
    <m/>
    <n v="4.7518677775393998"/>
    <n v="0"/>
    <n v="0"/>
    <n v="0"/>
    <n v="0"/>
    <s v="Private Equity Fund"/>
    <n v="0.14114654423049899"/>
    <n v="0.97272864950000293"/>
    <n v="7.2057648970529397E-3"/>
    <n v="3.7552869527191501E-2"/>
    <s v="ARF"/>
    <n v="8.1054132699999997"/>
    <s v="HRF"/>
    <n v="8.1054132699999997"/>
    <m/>
    <m/>
    <m/>
    <m/>
  </r>
  <r>
    <x v="10"/>
    <x v="11"/>
    <s v="Series 1"/>
    <n v="16242340.66"/>
    <n v="3418096.0877683698"/>
    <n v="20"/>
    <n v="0"/>
    <n v="0"/>
    <n v="0"/>
    <m/>
    <n v="4.7518677775393998"/>
    <n v="0"/>
    <n v="0"/>
    <n v="0"/>
    <n v="0"/>
    <s v="Private Equity Fund"/>
    <n v="0.14621847501648799"/>
    <n v="1.0505556085000012"/>
    <n v="7.4634923585856607E-3"/>
    <n v="4.0822879810959001E-2"/>
    <s v="ARF"/>
    <n v="8.12117033"/>
    <s v="HRF"/>
    <n v="8.12117033"/>
    <m/>
    <m/>
    <m/>
    <m/>
  </r>
  <r>
    <x v="11"/>
    <x v="11"/>
    <s v="Series 1"/>
    <n v="14945471.82"/>
    <n v="3145178.3845170513"/>
    <n v="20"/>
    <n v="0"/>
    <n v="0"/>
    <n v="-1313200"/>
    <m/>
    <n v="4.7518677775393998"/>
    <n v="-1313200"/>
    <n v="-276354.4907977212"/>
    <n v="-1313200"/>
    <n v="-1313200"/>
    <s v="Private Equity Fund"/>
    <n v="0.13546904561441001"/>
    <n v="1.2167070935000006"/>
    <n v="6.9125370253875201E-3"/>
    <n v="4.7887210469560605E-2"/>
    <s v="ARF"/>
    <n v="7.4727359099999999"/>
    <s v="HRF"/>
    <n v="7.4727359099999999"/>
    <m/>
    <m/>
    <m/>
    <m/>
  </r>
  <r>
    <x v="12"/>
    <x v="11"/>
    <s v="Series 1"/>
    <n v="11552124.52"/>
    <n v="2431070.2782184505"/>
    <n v="20"/>
    <n v="0"/>
    <n v="0"/>
    <n v="-3764982"/>
    <m/>
    <n v="4.7518677775393998"/>
    <n v="-3764982"/>
    <n v="-792316.23779514618"/>
    <n v="-3764982"/>
    <n v="-3764982"/>
    <s v="Private Equity Fund"/>
    <n v="9.4121948225675503E-2"/>
    <n v="1.6051740220000006"/>
    <n v="4.8033587656965198E-3"/>
    <n v="6.6305085238277994E-2"/>
    <s v="ARF"/>
    <n v="5.7760622599999998"/>
    <s v="HRF"/>
    <n v="5.7760622599999998"/>
    <m/>
    <m/>
    <m/>
    <m/>
  </r>
  <r>
    <x v="13"/>
    <x v="11"/>
    <s v="Series 1"/>
    <n v="11923276.52"/>
    <n v="2509176.8286057152"/>
    <n v="20"/>
    <n v="0"/>
    <n v="0"/>
    <n v="0"/>
    <m/>
    <n v="4.7518677775393998"/>
    <n v="0"/>
    <n v="0"/>
    <n v="0"/>
    <n v="0"/>
    <s v="Private Equity Fund"/>
    <n v="0.105620045962263"/>
    <n v="1.976654841"/>
    <n v="5.3881984562632393E-3"/>
    <n v="8.42219228821732E-2"/>
    <s v="ARF"/>
    <n v="5.96163826"/>
    <s v="HRF"/>
    <n v="5.96163826"/>
    <m/>
    <m/>
    <m/>
    <m/>
  </r>
  <r>
    <x v="150"/>
    <x v="11"/>
    <s v="Series 1"/>
    <n v="9620670.4800000004"/>
    <n v="2024608.2025838168"/>
    <n v="20"/>
    <n v="0"/>
    <n v="0"/>
    <n v="-1865000"/>
    <m/>
    <n v="4.7518677775393998"/>
    <n v="-1865000"/>
    <n v="-392477.25048564578"/>
    <n v="-1865000"/>
    <n v="-1865000"/>
    <s v="Private Equity Fund"/>
    <n v="8.1228541406217006E-2"/>
    <n v="1.3497602735000012"/>
    <n v="4.14401592994291E-3"/>
    <n v="5.4445728805858198E-2"/>
    <s v="ARF"/>
    <n v="4.8103352400000006"/>
    <s v="HRF"/>
    <n v="4.8103352400000006"/>
    <m/>
    <m/>
    <m/>
    <m/>
  </r>
  <r>
    <x v="151"/>
    <x v="11"/>
    <s v="Series 1"/>
    <n v="9242642.5599999987"/>
    <n v="1945054.6590726059"/>
    <n v="20"/>
    <n v="0"/>
    <n v="0"/>
    <n v="0"/>
    <m/>
    <n v="4.7518677775393998"/>
    <n v="0"/>
    <n v="0"/>
    <n v="0"/>
    <n v="0"/>
    <s v="Private Equity Fund"/>
    <n v="7.0647337428247095E-2"/>
    <n v="0.78179146950000034"/>
    <n v="3.6032118983682498E-3"/>
    <n v="2.8006063743124702E-2"/>
    <s v="ARF"/>
    <n v="4.6213212800000001"/>
    <s v="HRF"/>
    <n v="4.6213212800000001"/>
    <m/>
    <m/>
    <m/>
    <m/>
  </r>
  <r>
    <x v="152"/>
    <x v="11"/>
    <s v="Series 1"/>
    <n v="8103036.0800000001"/>
    <n v="1705231.8076484641"/>
    <n v="20"/>
    <n v="0"/>
    <n v="0"/>
    <n v="-1150000"/>
    <m/>
    <n v="4.7518677775393998"/>
    <n v="-1150000"/>
    <n v="-242010.10083565291"/>
    <n v="-1150000"/>
    <n v="-1150000"/>
    <s v="Private Equity Fund"/>
    <n v="7.1964093250969696E-2"/>
    <n v="0.637980934"/>
    <n v="3.6668947213499099E-3"/>
    <n v="2.1601157457595801E-2"/>
    <s v="ARF"/>
    <n v="4.0515180400000004"/>
    <s v="HRF"/>
    <n v="4.0515180400000004"/>
    <m/>
    <m/>
    <m/>
    <m/>
  </r>
  <r>
    <x v="153"/>
    <x v="11"/>
    <s v="Series 1"/>
    <n v="8294624.1799999988"/>
    <n v="1745550.2906049083"/>
    <n v="20"/>
    <n v="0"/>
    <n v="0"/>
    <n v="0"/>
    <m/>
    <n v="4.7518677775393998"/>
    <n v="0"/>
    <n v="0"/>
    <n v="0"/>
    <n v="0"/>
    <s v="Private Equity Fund"/>
    <n v="6.6656517904930906E-2"/>
    <n v="0.83939367900000073"/>
    <n v="3.3964498489093844E-3"/>
    <n v="2.8420716141635733E-2"/>
    <s v="ARF"/>
    <n v="4.1473120899999998"/>
    <s v="HRF"/>
    <n v="4.1473120899999998"/>
    <m/>
    <m/>
    <m/>
    <m/>
  </r>
  <r>
    <x v="154"/>
    <x v="11"/>
    <s v="Series 1"/>
    <n v="8502524.2799999993"/>
    <n v="1789301.5290090321"/>
    <n v="20"/>
    <n v="0"/>
    <n v="0"/>
    <n v="0"/>
    <m/>
    <n v="4.7518677775393998"/>
    <n v="0"/>
    <n v="0"/>
    <n v="0"/>
    <n v="0"/>
    <s v="Private Equity Fund"/>
    <n v="6.3682696399051303E-2"/>
    <n v="1.1906586805000003"/>
    <n v="3.2449202472771173E-3"/>
    <n v="4.0314066244076435E-2"/>
    <s v="ARF"/>
    <n v="4.2512621399999997"/>
    <s v="HRF"/>
    <n v="4.2512621399999997"/>
    <m/>
    <m/>
    <m/>
    <m/>
  </r>
  <r>
    <x v="155"/>
    <x v="11"/>
    <s v="Series 1"/>
    <n v="8525943.6600000001"/>
    <n v="1794229.9868484309"/>
    <n v="20"/>
    <n v="0"/>
    <n v="0"/>
    <n v="0"/>
    <m/>
    <n v="4.7518677775393998"/>
    <n v="0"/>
    <n v="0"/>
    <n v="0"/>
    <n v="0"/>
    <s v="Private Equity Fund"/>
    <n v="7.25169592266727E-2"/>
    <n v="1.1362937885000004"/>
    <n v="3.6930120238448799E-3"/>
    <n v="4.4687830897109503E-2"/>
    <s v="ARF"/>
    <n v="4.2629718299999997"/>
    <s v="HRF"/>
    <n v="4.2629718299999997"/>
    <m/>
    <m/>
    <m/>
    <m/>
  </r>
  <r>
    <x v="156"/>
    <x v="11"/>
    <s v="Series 1"/>
    <n v="8036124.9600000009"/>
    <n v="1691150.7929543543"/>
    <n v="20"/>
    <n v="0"/>
    <n v="0"/>
    <n v="-643000"/>
    <m/>
    <n v="4.7518677775393998"/>
    <n v="-643000"/>
    <n v="-135315.21290202157"/>
    <n v="-643000"/>
    <n v="-643000"/>
    <s v="Private Equity Fund"/>
    <n v="6.3952573684911806E-2"/>
    <n v="1.5239453505000014"/>
    <n v="3.2563482381166302E-3"/>
    <n v="6.2321826256616704E-2"/>
    <s v="ARF"/>
    <n v="4.0180624800000002"/>
    <s v="HRF"/>
    <n v="4.0180624800000002"/>
    <m/>
    <m/>
    <m/>
    <m/>
  </r>
  <r>
    <x v="157"/>
    <x v="11"/>
    <s v="Series 1"/>
    <n v="8083008.6200000001"/>
    <n v="1701017.1575492623"/>
    <n v="20"/>
    <n v="0"/>
    <n v="0"/>
    <n v="0"/>
    <m/>
    <n v="4.7518677775393998"/>
    <n v="0"/>
    <n v="0"/>
    <n v="0"/>
    <n v="0"/>
    <s v="Private Equity Fund"/>
    <n v="6.2049934270313203E-2"/>
    <n v="1.5775730350000001"/>
    <n v="3.159469314431325E-3"/>
    <n v="6.4514933269841965E-2"/>
    <s v="ARF"/>
    <n v="4.0415043099999997"/>
    <s v="HRF"/>
    <n v="4.0415043099999997"/>
    <m/>
    <m/>
    <m/>
    <m/>
  </r>
  <r>
    <x v="158"/>
    <x v="11"/>
    <s v="Series 1"/>
    <n v="8309419.8800000008"/>
    <n v="1748663.950473547"/>
    <n v="20"/>
    <n v="0"/>
    <n v="0"/>
    <n v="0"/>
    <m/>
    <n v="4.7518677775393998"/>
    <n v="0"/>
    <n v="0"/>
    <n v="0"/>
    <n v="0"/>
    <s v="Private Equity Fund"/>
    <n v="6.2049934270313203E-2"/>
    <n v="1.5775730350000001"/>
    <n v="3.159469314431325E-3"/>
    <n v="6.4514933269841965E-2"/>
    <s v="ARF"/>
    <n v="4.15470994"/>
    <s v="HRF"/>
    <n v="4.15470994"/>
    <m/>
    <m/>
    <m/>
    <m/>
  </r>
  <r>
    <x v="159"/>
    <x v="11"/>
    <s v="Series 1"/>
    <n v="7106513.879999999"/>
    <n v="1495520.122338058"/>
    <n v="20"/>
    <n v="0"/>
    <n v="0"/>
    <n v="-906600"/>
    <m/>
    <n v="4.7518677775393998"/>
    <n v="-906600"/>
    <n v="-190788.1368848721"/>
    <n v="-906600"/>
    <n v="-906600"/>
    <s v="Private Equity Fund"/>
    <n v="5.8155294263264601E-2"/>
    <n v="1.3647535125000005"/>
    <n v="2.9576832493149498E-3"/>
    <n v="5.4875959512572597E-2"/>
    <s v="ARF"/>
    <n v="3.5532569399999998"/>
    <s v="HRF"/>
    <n v="3.5532569399999998"/>
    <m/>
    <m/>
    <m/>
    <m/>
  </r>
  <r>
    <x v="160"/>
    <x v="11"/>
    <s v="Series 1"/>
    <n v="7156824.0999999996"/>
    <n v="1506107.5844382877"/>
    <n v="20"/>
    <n v="0"/>
    <n v="0"/>
    <n v="0"/>
    <m/>
    <n v="4.7518677775393998"/>
    <n v="0"/>
    <n v="0"/>
    <n v="0"/>
    <n v="0"/>
    <s v="Private Equity Fund"/>
    <n v="5.7309681474404801E-2"/>
    <n v="1.1882007185000005"/>
    <n v="2.9128083672966799E-3"/>
    <n v="4.7278616678979597E-2"/>
    <s v="ARF"/>
    <n v="3.5784120499999998"/>
    <s v="HRF"/>
    <n v="3.5784120499999998"/>
    <m/>
    <m/>
    <m/>
    <m/>
  </r>
  <r>
    <x v="161"/>
    <x v="11"/>
    <s v="Series 1"/>
    <n v="6574095.5800000001"/>
    <n v="1383476.1167121914"/>
    <n v="20"/>
    <n v="0"/>
    <n v="0"/>
    <n v="-569178.48"/>
    <m/>
    <n v="4.7518677775393998"/>
    <n v="-569178.48"/>
    <n v="-119779.94898981186"/>
    <n v="-569178.48"/>
    <n v="-569178.48"/>
    <s v="Private Equity Fund"/>
    <n v="5.1776235041536098E-2"/>
    <n v="1.0430580290000013"/>
    <n v="2.6308200000000003E-3"/>
    <n v="4.0707752595644402E-2"/>
    <s v="ARF"/>
    <n v="3.2870477899999999"/>
    <s v="HRF"/>
    <n v="3.2870477899999999"/>
    <m/>
    <m/>
    <m/>
    <m/>
  </r>
  <r>
    <x v="162"/>
    <x v="11"/>
    <s v="Series 1"/>
    <n v="6539175.9199999999"/>
    <n v="1376127.4989402376"/>
    <n v="20"/>
    <n v="0"/>
    <n v="0"/>
    <n v="0"/>
    <m/>
    <n v="4.7518677775393998"/>
    <n v="0"/>
    <n v="0"/>
    <n v="0"/>
    <n v="0"/>
    <s v="Private Equity Fund"/>
    <n v="5.2137021220164295E-2"/>
    <n v="1.1204263632040079"/>
    <n v="2.6494600000000002E-3"/>
    <n v="4.38330789809998E-2"/>
    <s v="ARF"/>
    <n v="3.26958796"/>
    <s v="HRF"/>
    <n v="3.26958796"/>
    <m/>
    <m/>
    <m/>
    <m/>
  </r>
  <r>
    <x v="163"/>
    <x v="11"/>
    <s v="Series 1"/>
    <n v="6521329.5"/>
    <n v="1372371.8346761025"/>
    <n v="20"/>
    <n v="0"/>
    <n v="-9.3132257461547852E-10"/>
    <n v="0"/>
    <m/>
    <n v="4.7518677775393998"/>
    <n v="-9.3132257461547852E-10"/>
    <n v="0"/>
    <n v="-9.3132257461547852E-10"/>
    <n v="-9.3132257461547852E-10"/>
    <s v="Private Equity Fund"/>
    <n v="5.3311669123790949E-2"/>
    <n v="1.0007359425328697"/>
    <n v="2.7081700000000002E-3"/>
    <n v="3.8400695408189002E-2"/>
    <s v="ARF"/>
    <n v="3.2606647500000001"/>
    <s v="HRF"/>
    <n v="3.2606647500000001"/>
    <m/>
    <m/>
    <m/>
    <m/>
  </r>
  <r>
    <x v="164"/>
    <x v="11"/>
    <s v="Series 1"/>
    <n v="4694623.7800000012"/>
    <n v="987953.36902891682"/>
    <n v="20"/>
    <n v="0"/>
    <n v="0"/>
    <n v="-1277640"/>
    <m/>
    <n v="4.7518677775393998"/>
    <n v="-1277640"/>
    <n v="-268871.11759275093"/>
    <n v="-1277640"/>
    <n v="-1277640"/>
    <s v="Private Equity Fund"/>
    <n v="2.5074186134815601E-2"/>
    <n v="0.14746175550000015"/>
    <n v="1.2789000000000001E-3"/>
    <n v="2.9492351689660011E-3"/>
    <s v="ARF"/>
    <n v="2.3473118900000003"/>
    <s v="HRF"/>
    <n v="2.3473118900000003"/>
    <m/>
    <m/>
    <m/>
    <m/>
  </r>
  <r>
    <x v="165"/>
    <x v="11"/>
    <s v="Series 1"/>
    <n v="4577805.9000000004"/>
    <n v="963369.79779569292"/>
    <n v="20"/>
    <n v="0"/>
    <n v="0"/>
    <n v="0"/>
    <m/>
    <n v="4.7518677775393998"/>
    <n v="0"/>
    <n v="0"/>
    <n v="0"/>
    <n v="0"/>
    <s v="Private Equity Fund"/>
    <n v="1.9757121539852599E-2"/>
    <n v="1.8735705716780154E-2"/>
    <n v="1.0097288277658601E-3"/>
    <n v="3.7471411433560316E-4"/>
    <s v="ARF"/>
    <n v="2.2889029500000002"/>
    <s v="HRF"/>
    <n v="2.2889029500000002"/>
    <m/>
    <m/>
    <m/>
    <m/>
  </r>
  <r>
    <x v="166"/>
    <x v="11"/>
    <s v="Series 1"/>
    <n v="4623394.4999999991"/>
    <n v="972963.62534608936"/>
    <n v="20"/>
    <n v="0"/>
    <n v="0"/>
    <n v="0"/>
    <m/>
    <n v="4.7518677775393998"/>
    <n v="0"/>
    <n v="0"/>
    <n v="0"/>
    <n v="0"/>
    <s v="Private Equity Fund"/>
    <n v="2.3619030146024402E-3"/>
    <n v="7.7928940575246505E-2"/>
    <n v="1.4168339043671199E-4"/>
    <n v="1.5585788498134019E-3"/>
    <s v="ARF"/>
    <n v="2.3116972499999999"/>
    <s v="HRF"/>
    <n v="2.3116972499999999"/>
    <m/>
    <m/>
    <m/>
    <m/>
  </r>
  <r>
    <x v="167"/>
    <x v="11"/>
    <s v="Series 1"/>
    <n v="4623394.5"/>
    <n v="972963.6253460896"/>
    <n v="20"/>
    <n v="0"/>
    <n v="0"/>
    <n v="0"/>
    <m/>
    <n v="4.7518677775393998"/>
    <n v="0"/>
    <n v="0"/>
    <n v="0"/>
    <n v="0"/>
    <s v="Private Equity Fund"/>
    <n v="0"/>
    <n v="0.20326950866163968"/>
    <n v="0"/>
    <n v="4.0653902352410379E-3"/>
    <s v="ARF"/>
    <n v="2.3116972499999999"/>
    <s v="HRF"/>
    <n v="2.3116972499999999"/>
    <m/>
    <m/>
    <m/>
    <m/>
  </r>
  <r>
    <x v="168"/>
    <x v="11"/>
    <s v="Series 1"/>
    <n v="4841242.1399999997"/>
    <n v="1018808.2595401843"/>
    <n v="20"/>
    <n v="0"/>
    <n v="0"/>
    <n v="0"/>
    <m/>
    <n v="4.7518677775393998"/>
    <n v="0"/>
    <n v="0"/>
    <n v="0"/>
    <n v="0"/>
    <s v="Private Equity Fund"/>
    <n v="0"/>
    <n v="0.27563152974245902"/>
    <n v="0"/>
    <n v="5.5126306423399383E-3"/>
    <s v="ARF"/>
    <n v="2.4206210699999997"/>
    <s v="HRF"/>
    <n v="2.4206210699999997"/>
    <m/>
    <m/>
    <m/>
    <m/>
  </r>
  <r>
    <x v="169"/>
    <x v="11"/>
    <s v="Series 1"/>
    <n v="4810791.78"/>
    <n v="1012400.1771975046"/>
    <n v="20"/>
    <n v="0"/>
    <n v="-9.3132257461547852E-10"/>
    <n v="0"/>
    <m/>
    <n v="4.7518677775393998"/>
    <n v="-9.3132257461547852E-10"/>
    <n v="0"/>
    <n v="-9.3132257461547852E-10"/>
    <n v="-9.3132257461547852E-10"/>
    <s v="Private Equity Fund"/>
    <n v="0"/>
    <n v="0.22840141583163867"/>
    <n v="0"/>
    <n v="4.5680299999999998E-3"/>
    <s v="ARF"/>
    <n v="2.4053958900000003"/>
    <s v="HRF"/>
    <n v="2.4053958900000003"/>
    <m/>
    <m/>
    <m/>
    <m/>
  </r>
  <r>
    <x v="170"/>
    <x v="11"/>
    <s v="Series 1"/>
    <n v="4871895.0999999996"/>
    <n v="1025258.9777493245"/>
    <n v="20"/>
    <n v="0"/>
    <n v="0"/>
    <n v="0"/>
    <m/>
    <n v="4.7518677775393998"/>
    <n v="0"/>
    <n v="0"/>
    <n v="0"/>
    <n v="0"/>
    <s v="Private Equity Fund"/>
    <n v="0"/>
    <n v="0.235709396971858"/>
    <n v="0"/>
    <n v="4.7141879394371495E-3"/>
    <s v="ARF"/>
    <n v="2.4359475499999999"/>
    <s v="HRF"/>
    <n v="2.4359475499999999"/>
    <m/>
    <m/>
    <m/>
    <m/>
  </r>
  <r>
    <x v="171"/>
    <x v="11"/>
    <s v="Series 1"/>
    <n v="4940436.7"/>
    <n v="1039683.116468835"/>
    <n v="20"/>
    <n v="0"/>
    <n v="0"/>
    <n v="0"/>
    <m/>
    <n v="4.7518677775393998"/>
    <n v="0"/>
    <n v="0"/>
    <n v="0"/>
    <n v="0"/>
    <s v="Private Equity Fund"/>
    <n v="0"/>
    <n v="0.32778970647002798"/>
    <n v="0"/>
    <n v="6.57198491655369E-3"/>
    <s v="ARF"/>
    <n v="2.4702183500000001"/>
    <s v="HRF"/>
    <n v="2.4702183500000001"/>
    <m/>
    <m/>
    <m/>
    <m/>
  </r>
  <r>
    <x v="172"/>
    <x v="11"/>
    <s v="Series 1"/>
    <n v="4972437.1999999993"/>
    <n v="1046417.4158008273"/>
    <n v="20"/>
    <n v="0"/>
    <n v="0"/>
    <n v="0"/>
    <m/>
    <n v="4.7518677775393998"/>
    <n v="0"/>
    <n v="0"/>
    <n v="0"/>
    <n v="0"/>
    <s v="Private Equity Fund"/>
    <n v="0"/>
    <n v="0.34303404273277799"/>
    <n v="0"/>
    <n v="6.8972350759166304E-3"/>
    <s v="ARF"/>
    <n v="2.4862185999999999"/>
    <s v="HRF"/>
    <n v="2.4862185999999999"/>
    <m/>
    <m/>
    <m/>
    <m/>
  </r>
  <r>
    <x v="173"/>
    <x v="11"/>
    <s v="Series 1"/>
    <n v="4912843.74"/>
    <n v="1033876.3555714836"/>
    <n v="20"/>
    <n v="0"/>
    <n v="0"/>
    <n v="0"/>
    <m/>
    <n v="4.7518677775393998"/>
    <n v="0"/>
    <n v="0"/>
    <n v="0"/>
    <n v="0"/>
    <s v="Private Equity Fund"/>
    <n v="0"/>
    <n v="0.328460409579725"/>
    <n v="0"/>
    <n v="6.5848066656387302E-3"/>
    <s v="ARF"/>
    <n v="2.4564218700000002"/>
    <s v="HRF"/>
    <n v="2.4564218700000002"/>
    <m/>
    <m/>
    <m/>
    <m/>
  </r>
  <r>
    <x v="174"/>
    <x v="11"/>
    <s v="Series 1"/>
    <n v="4912843.74"/>
    <n v="1033876.3555714836"/>
    <n v="20"/>
    <n v="0"/>
    <n v="0"/>
    <n v="0"/>
    <m/>
    <n v="4.7518677775393998"/>
    <n v="0"/>
    <n v="0"/>
    <n v="0"/>
    <n v="0"/>
    <s v="Private Equity Fund"/>
    <n v="0"/>
    <n v="0.38204331660802399"/>
    <n v="0"/>
    <n v="7.7303357210628705E-3"/>
    <s v="ARF"/>
    <n v="2.4564218700000002"/>
    <s v="HRF"/>
    <n v="2.4564218700000002"/>
    <m/>
    <m/>
    <m/>
    <m/>
  </r>
  <r>
    <x v="175"/>
    <x v="11"/>
    <s v="Series 1"/>
    <n v="4125000.2600000002"/>
    <n v="868079.764234517"/>
    <n v="20"/>
    <n v="0"/>
    <n v="0"/>
    <n v="-305055"/>
    <m/>
    <n v="4.7518677775393998"/>
    <n v="-305055"/>
    <n v="-64196.862009060955"/>
    <n v="-305055"/>
    <n v="-305055"/>
    <s v="Private Equity Fund"/>
    <n v="0"/>
    <n v="0.38419360006556502"/>
    <n v="0"/>
    <n v="7.7756936371825508E-3"/>
    <s v="ARF"/>
    <n v="2.0625001300000001"/>
    <s v="HRF"/>
    <n v="2.0625001300000001"/>
    <m/>
    <m/>
    <m/>
    <m/>
  </r>
  <r>
    <x v="176"/>
    <x v="11"/>
    <s v="Series 1"/>
    <n v="3810004.94"/>
    <n v="801791.02583803097"/>
    <n v="20"/>
    <n v="0"/>
    <n v="0"/>
    <n v="-154128"/>
    <m/>
    <n v="4.7518677775393998"/>
    <n v="-154128"/>
    <n v="-32435.245931823923"/>
    <n v="-154128"/>
    <n v="-154128"/>
    <s v="Private Equity Fund"/>
    <n v="0"/>
    <n v="0.48146872826252096"/>
    <n v="0"/>
    <n v="2.9923272456474801E-3"/>
    <s v="ARF"/>
    <n v="1.9050024699999999"/>
    <s v="HRF"/>
    <n v="1.9050024699999999"/>
    <m/>
    <m/>
    <m/>
    <m/>
  </r>
  <r>
    <x v="177"/>
    <x v="11"/>
    <s v="Series 1"/>
    <n v="3579466.7500999998"/>
    <n v="753275.74706918932"/>
    <n v="20"/>
    <n v="0"/>
    <n v="0"/>
    <n v="0"/>
    <m/>
    <n v="4.7518677775393998"/>
    <n v="0"/>
    <n v="0"/>
    <n v="0"/>
    <n v="0"/>
    <s v="Private Equity Fund"/>
    <n v="0"/>
    <n v="0.15701027424990099"/>
    <n v="0"/>
    <n v="3.1402054849980201E-3"/>
    <s v="ARF"/>
    <n v="1.8912115900000002"/>
    <s v="HRF"/>
    <n v="1.8912115900000002"/>
    <m/>
    <m/>
    <m/>
    <m/>
  </r>
  <r>
    <x v="178"/>
    <x v="11"/>
    <s v="Series 1"/>
    <n v="3639399.0500999996"/>
    <n v="765888.11399641761"/>
    <n v="20"/>
    <n v="0"/>
    <n v="0"/>
    <n v="0"/>
    <m/>
    <n v="4.7518677775393998"/>
    <n v="0"/>
    <n v="0"/>
    <n v="0"/>
    <n v="0"/>
    <s v="Private Equity Fund"/>
    <n v="0"/>
    <n v="0.20652973699842933"/>
    <n v="0"/>
    <n v="4.1305947941001004E-3"/>
    <s v="ARF"/>
    <n v="1.9211777400000001"/>
    <s v="HRF"/>
    <n v="1.9211777400000001"/>
    <m/>
    <m/>
    <m/>
    <m/>
  </r>
  <r>
    <x v="179"/>
    <x v="11"/>
    <s v="Series 1"/>
    <n v="3753024.1199999996"/>
    <n v="789799.77888681518"/>
    <n v="20"/>
    <n v="0"/>
    <n v="0"/>
    <n v="-243360"/>
    <m/>
    <n v="4.7518677775393998"/>
    <n v="-243360"/>
    <n v="-51213.546208143038"/>
    <n v="-243360"/>
    <n v="-243360"/>
    <s v="Private Equity Fund"/>
    <n v="0"/>
    <n v="0.40978891000000001"/>
    <n v="0"/>
    <n v="8.3263768999999998E-3"/>
    <s v="ARF"/>
    <n v="1.87651206"/>
    <s v="HRF"/>
    <n v="1.87651206"/>
    <m/>
    <m/>
    <m/>
    <m/>
  </r>
  <r>
    <x v="180"/>
    <x v="11"/>
    <s v="Series 1"/>
    <n v="3578185.12"/>
    <n v="753006.03626072418"/>
    <n v="20"/>
    <n v="0"/>
    <n v="0"/>
    <n v="-233220"/>
    <m/>
    <n v="4.7518677775393998"/>
    <n v="-233220"/>
    <n v="-49079.648449470405"/>
    <n v="-233220"/>
    <n v="-233220"/>
    <s v="Private Equity Fund"/>
    <n v="0"/>
    <n v="0.46452662"/>
    <n v="0"/>
    <n v="9.4909299999999999E-3"/>
    <s v="ARF"/>
    <n v="1.7890925600000001"/>
    <s v="HRF"/>
    <n v="1.7890925600000001"/>
    <m/>
    <m/>
    <m/>
    <m/>
  </r>
  <r>
    <x v="181"/>
    <x v="11"/>
    <s v="Series 1"/>
    <n v="3361422.84"/>
    <n v="707389.80909536232"/>
    <n v="20"/>
    <n v="0"/>
    <n v="0"/>
    <n v="0"/>
    <m/>
    <n v="4.7518677775393998"/>
    <n v="0"/>
    <n v="0"/>
    <n v="0"/>
    <n v="0"/>
    <s v="Private Equity Fund"/>
    <n v="0"/>
    <n v="0.25281222614730697"/>
    <n v="0"/>
    <n v="5.05624E-3"/>
    <s v="ARF"/>
    <n v="1.68071142"/>
    <s v="HRF"/>
    <n v="1.68071142"/>
    <m/>
    <m/>
    <m/>
    <m/>
  </r>
  <r>
    <x v="182"/>
    <x v="11"/>
    <s v="Series 1"/>
    <n v="3238242.12"/>
    <n v="681467.21912300738"/>
    <n v="20"/>
    <n v="0"/>
    <n v="0"/>
    <n v="0"/>
    <m/>
    <n v="4.7518677775393998"/>
    <n v="0"/>
    <n v="0"/>
    <n v="0"/>
    <n v="0"/>
    <s v="Private Equity Fund"/>
    <n v="0"/>
    <n v="0.15160545"/>
    <n v="0"/>
    <n v="3.0321100000000002E-3"/>
    <s v="ARF"/>
    <n v="1.6191210600000001"/>
    <s v="HRF"/>
    <n v="1.6191210600000001"/>
    <m/>
    <m/>
    <m/>
    <m/>
  </r>
  <r>
    <x v="183"/>
    <x v="11"/>
    <s v="Series 1"/>
    <n v="3391980.0000000005"/>
    <n v="713820.36681088526"/>
    <n v="20"/>
    <n v="0"/>
    <n v="0"/>
    <n v="0"/>
    <m/>
    <n v="4.7518677775393998"/>
    <n v="0"/>
    <n v="0"/>
    <n v="0"/>
    <n v="0"/>
    <s v="Private Equity Fund"/>
    <n v="0"/>
    <n v="0.30406337"/>
    <n v="0"/>
    <n v="6.0812674279999996E-3"/>
    <s v="ARF"/>
    <n v="1.6959900000000001"/>
    <s v="HRF"/>
    <n v="1.6959900000000001"/>
    <m/>
    <m/>
    <m/>
    <m/>
  </r>
  <r>
    <x v="184"/>
    <x v="11"/>
    <s v="Series 1"/>
    <n v="3767000"/>
    <n v="792740.91291122127"/>
    <n v="20"/>
    <n v="0"/>
    <n v="0"/>
    <n v="0"/>
    <m/>
    <n v="4.7518677775393998"/>
    <n v="0"/>
    <n v="0"/>
    <n v="0"/>
    <n v="0"/>
    <s v="Private Equity Fund"/>
    <n v="0"/>
    <n v="0.69355655689999995"/>
    <n v="0"/>
    <n v="2.2694526154999999E-2"/>
    <s v="ARF"/>
    <n v="1.8835"/>
    <s v="HRF"/>
    <n v="1.8835"/>
    <m/>
    <m/>
    <m/>
    <m/>
  </r>
  <r>
    <x v="185"/>
    <x v="11"/>
    <s v="Series 1"/>
    <n v="3702500"/>
    <n v="779167.30290783034"/>
    <n v="20"/>
    <n v="0"/>
    <n v="0"/>
    <n v="0"/>
    <m/>
    <n v="4.7518677775393998"/>
    <n v="0"/>
    <n v="0"/>
    <n v="0"/>
    <n v="0"/>
    <s v="Private Equity Fund"/>
    <n v="0"/>
    <n v="0.67648516000000003"/>
    <n v="0"/>
    <n v="2.193272877E-2"/>
    <s v="ARF"/>
    <n v="1.8512999999999999"/>
    <s v="HRF"/>
    <n v="1.8512999999999999"/>
    <m/>
    <m/>
    <m/>
    <m/>
  </r>
  <r>
    <x v="186"/>
    <x v="11"/>
    <s v="Series 1"/>
    <n v="3694786.12"/>
    <n v="777543.96649336594"/>
    <n v="20"/>
    <n v="0"/>
    <n v="0"/>
    <n v="0"/>
    <m/>
    <n v="4.7518677775393998"/>
    <n v="0"/>
    <n v="0"/>
    <n v="0"/>
    <n v="0"/>
    <s v="Private Equity Fund"/>
    <n v="0"/>
    <n v="0.64568718000000003"/>
    <n v="0"/>
    <n v="2.0568019699999999E-2"/>
    <s v="ARF"/>
    <n v="1.84738264"/>
    <s v="HRF"/>
    <n v="1.84738264"/>
    <m/>
    <m/>
    <m/>
    <m/>
  </r>
  <r>
    <x v="187"/>
    <x v="11"/>
    <s v="Series 1"/>
    <n v="2714442.85"/>
    <n v="571237.03290531924"/>
    <n v="20"/>
    <n v="0"/>
    <n v="0"/>
    <n v="-877134.23"/>
    <m/>
    <n v="4.7518677775393998"/>
    <n v="-877134.23"/>
    <n v="-184587.25517278502"/>
    <n v="-877134.23"/>
    <n v="-877134.23"/>
    <s v="Private Equity Fund"/>
    <n v="0"/>
    <n v="0.51595460999999998"/>
    <n v="0"/>
    <n v="1.4867321559999999E-2"/>
    <s v="ARF"/>
    <n v="1.3572"/>
    <s v="HRF"/>
    <n v="1.3572"/>
    <m/>
    <m/>
    <m/>
    <m/>
  </r>
  <r>
    <x v="188"/>
    <x v="11"/>
    <s v="Series 1"/>
    <n v="2742757.56"/>
    <n v="577195.68144639069"/>
    <n v="20"/>
    <n v="0"/>
    <n v="0"/>
    <n v="0"/>
    <m/>
    <n v="4.7518677775393998"/>
    <n v="0"/>
    <n v="0"/>
    <n v="0"/>
    <n v="0"/>
    <s v="Private Equity Fund"/>
    <n v="0"/>
    <n v="0.53864325000000002"/>
    <n v="0"/>
    <n v="1.106977051E-2"/>
    <s v="ARF"/>
    <n v="1.3572"/>
    <s v="HRF"/>
    <n v="1.3572"/>
    <m/>
    <m/>
    <m/>
    <m/>
  </r>
  <r>
    <x v="189"/>
    <x v="11"/>
    <s v="Series 1"/>
    <n v="2800656.2"/>
    <n v="589380.07771130127"/>
    <n v="20"/>
    <n v="0"/>
    <n v="0"/>
    <n v="0"/>
    <m/>
    <n v="4.7518677775393998"/>
    <n v="0"/>
    <n v="0"/>
    <n v="0"/>
    <n v="0"/>
    <s v="Private Equity Fund"/>
    <n v="0"/>
    <m/>
    <n v="0"/>
    <m/>
    <s v="ARF"/>
    <n v="1.4003000000000001"/>
    <s v="HRF"/>
    <n v="1.4003000000000001"/>
    <m/>
    <m/>
    <m/>
    <m/>
  </r>
  <r>
    <x v="190"/>
    <x v="11"/>
    <s v="Series 1"/>
    <n v="2712600"/>
    <n v="570849.21697981923"/>
    <n v="20"/>
    <n v="0"/>
    <n v="0"/>
    <n v="0"/>
    <m/>
    <n v="4.7518677775393998"/>
    <n v="0"/>
    <n v="0"/>
    <n v="0"/>
    <n v="0"/>
    <s v="Private Equity Fund"/>
    <n v="0"/>
    <m/>
    <n v="0"/>
    <m/>
    <s v="ARF"/>
    <n v="1.3563000000000001"/>
    <s v="HRF"/>
    <n v="1.3563000000000001"/>
    <m/>
    <m/>
    <m/>
    <m/>
  </r>
  <r>
    <x v="191"/>
    <x v="11"/>
    <s v="Series 1"/>
    <n v="2727708.7"/>
    <n v="574028.74568459799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1.36385435"/>
    <s v="HRF"/>
    <n v="1.36385435"/>
    <m/>
    <m/>
    <m/>
    <m/>
  </r>
  <r>
    <x v="192"/>
    <x v="11"/>
    <s v="Series 1"/>
    <n v="1615122.42"/>
    <n v="339892.12150097714"/>
    <n v="20"/>
    <n v="0"/>
    <n v="0"/>
    <n v="-1138714.3400000001"/>
    <m/>
    <n v="4.7518677775393998"/>
    <n v="-1138714.3400000001"/>
    <n v="-239635.10630122083"/>
    <n v="-1138714.3400000001"/>
    <n v="-1138714.3400000001"/>
    <s v="Private Equity Fund"/>
    <n v="0"/>
    <n v="0"/>
    <n v="0"/>
    <n v="0"/>
    <s v="ARF"/>
    <n v="0.80759999999999998"/>
    <s v="HRF"/>
    <n v="0.80759999999999998"/>
    <m/>
    <m/>
    <m/>
    <m/>
  </r>
  <r>
    <x v="193"/>
    <x v="11"/>
    <s v="Series 1"/>
    <n v="1546340.62"/>
    <n v="325417.43423692702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732"/>
    <s v="HRF"/>
    <n v="0.7732"/>
    <m/>
    <m/>
    <m/>
    <m/>
  </r>
  <r>
    <x v="194"/>
    <x v="11"/>
    <s v="Series 1"/>
    <n v="1491615.34"/>
    <n v="313900.85116644064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4580767000000003"/>
    <s v="HRF"/>
    <n v="0.74580767000000003"/>
    <m/>
    <m/>
    <m/>
    <m/>
  </r>
  <r>
    <x v="195"/>
    <x v="11"/>
    <s v="Series 1"/>
    <n v="1484989.844"/>
    <n v="312506.55816205259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42494922"/>
    <s v="HRF"/>
    <n v="0.742494922"/>
    <m/>
    <m/>
    <m/>
    <m/>
  </r>
  <r>
    <x v="196"/>
    <x v="11"/>
    <s v="Series 1"/>
    <n v="1479671.04"/>
    <n v="311387.25008173514"/>
    <n v="20"/>
    <n v="0"/>
    <n v="0"/>
    <n v="0"/>
    <m/>
    <n v="4.7518677775393998"/>
    <n v="0"/>
    <n v="0"/>
    <n v="0"/>
    <n v="0"/>
    <s v="Private Equity Fund"/>
    <n v="0"/>
    <n v="0"/>
    <n v="0"/>
    <n v="0"/>
    <s v="ARF"/>
    <n v="0.73983551999999997"/>
    <s v="HRF"/>
    <n v="0.73983551999999997"/>
    <m/>
    <m/>
    <m/>
    <m/>
  </r>
  <r>
    <x v="197"/>
    <x v="11"/>
    <s v="Series 1"/>
    <n v="1417212.8045000001"/>
    <m/>
    <n v="20"/>
    <m/>
    <n v="0"/>
    <n v="0"/>
    <m/>
    <n v="0"/>
    <n v="0"/>
    <e v="#DIV/0!"/>
    <n v="0"/>
    <n v="0"/>
    <s v="Private Equity Fund"/>
    <n v="0"/>
    <m/>
    <m/>
    <m/>
    <s v="ARF"/>
    <n v="0.70860639999999997"/>
    <s v="HRF"/>
    <n v="0.70860639999999997"/>
    <m/>
    <m/>
    <m/>
    <m/>
  </r>
  <r>
    <x v="198"/>
    <x v="11"/>
    <s v="Series 1"/>
    <n v="1326919.82"/>
    <m/>
    <n v="20"/>
    <m/>
    <n v="0"/>
    <n v="80416.759999999995"/>
    <n v="0"/>
    <m/>
    <n v="80416.759999999995"/>
    <e v="#DIV/0!"/>
    <n v="-1246503.06"/>
    <n v="-1246503.06"/>
    <s v="Private Equity Fund"/>
    <n v="0"/>
    <m/>
    <m/>
    <m/>
    <s v="ARF"/>
    <n v="0.66345991000000004"/>
    <s v="HRF"/>
    <n v="0.66345991000000004"/>
    <m/>
    <m/>
    <m/>
    <m/>
  </r>
  <r>
    <x v="135"/>
    <x v="11"/>
    <s v="Series 1GP"/>
    <n v="78386.453144950079"/>
    <n v="109722.07208295455"/>
    <n v="0.28000000000000003"/>
    <n v="56000"/>
    <n v="0"/>
    <n v="0"/>
    <m/>
    <n v="0.71440915812897332"/>
    <n v="56000"/>
    <n v="109722.07208295455"/>
    <n v="56000"/>
    <m/>
    <s v="Private Equity Fund"/>
    <n v="0"/>
    <n v="0"/>
    <n v="0"/>
    <n v="0"/>
    <s v="ARF"/>
    <n v="2.0149390299999999"/>
    <s v="HRF"/>
    <n v="2.0149390299999999"/>
    <m/>
    <m/>
    <m/>
    <m/>
  </r>
  <r>
    <x v="136"/>
    <x v="11"/>
    <s v="Series 1GP"/>
    <n v="60633.369739969465"/>
    <n v="84872.04993111697"/>
    <n v="0.28000000000000003"/>
    <n v="0"/>
    <n v="0"/>
    <n v="0"/>
    <m/>
    <n v="0.71440915812897332"/>
    <n v="0"/>
    <n v="0"/>
    <n v="0"/>
    <m/>
    <s v="Private Equity Fund"/>
    <n v="0"/>
    <n v="0"/>
    <n v="0"/>
    <n v="0"/>
    <s v="ARF"/>
    <n v="2.0054653467210501"/>
    <s v="HRF"/>
    <n v="2.0054653467210501"/>
    <m/>
    <m/>
    <m/>
    <m/>
  </r>
  <r>
    <x v="137"/>
    <x v="11"/>
    <s v="Series 1GP"/>
    <n v="129079.27000000008"/>
    <n v="118009.52910788672"/>
    <n v="0.28000000000000003"/>
    <n v="32200"/>
    <n v="0"/>
    <n v="0"/>
    <m/>
    <n v="1.0938037883533387"/>
    <n v="32200"/>
    <n v="0"/>
    <n v="32200"/>
    <m/>
    <s v="Private Equity Fund"/>
    <n v="0"/>
    <n v="0"/>
    <n v="0"/>
    <n v="0"/>
    <s v="ARF"/>
    <n v="3.1771150000000001"/>
    <s v="HRF"/>
    <n v="3.1771150000000001"/>
    <m/>
    <m/>
    <m/>
    <m/>
  </r>
  <r>
    <x v="138"/>
    <x v="11"/>
    <s v="Series 1GP"/>
    <n v="104767.9300000004"/>
    <n v="84590.009822217078"/>
    <n v="0.28000000000000003"/>
    <n v="17080"/>
    <n v="0"/>
    <n v="0"/>
    <m/>
    <n v="1.2385378630430623"/>
    <n v="17080"/>
    <n v="0"/>
    <n v="17080"/>
    <m/>
    <s v="Private Equity Fund"/>
    <n v="0"/>
    <n v="0"/>
    <n v="0"/>
    <n v="0"/>
    <s v="ARF"/>
    <n v="3.7417117499999999"/>
    <s v="HRF"/>
    <n v="3.7417117499999999"/>
    <m/>
    <m/>
    <m/>
    <m/>
  </r>
  <r>
    <x v="139"/>
    <x v="11"/>
    <s v="Series 1GP"/>
    <n v="180166.11750000066"/>
    <n v="145466.78214369336"/>
    <n v="0.28000000000000003"/>
    <n v="0"/>
    <n v="0"/>
    <n v="0"/>
    <m/>
    <n v="1.2385378630430623"/>
    <n v="0"/>
    <n v="0"/>
    <n v="0"/>
    <m/>
    <s v="Private Equity Fund"/>
    <n v="0"/>
    <n v="0"/>
    <n v="0"/>
    <n v="0"/>
    <s v="ARF"/>
    <n v="3.7592984700000001"/>
    <s v="HRF"/>
    <n v="3.7592984700000001"/>
    <m/>
    <m/>
    <m/>
    <m/>
  </r>
  <r>
    <x v="140"/>
    <x v="11"/>
    <s v="Series 1GP"/>
    <n v="274555.73599999992"/>
    <n v="161822.32369103763"/>
    <n v="0.28000000000000003"/>
    <n v="66640"/>
    <n v="0"/>
    <n v="0"/>
    <m/>
    <n v="1.6966493233912567"/>
    <n v="66640"/>
    <n v="0"/>
    <n v="66640"/>
    <m/>
    <s v="Private Equity Fund"/>
    <n v="0"/>
    <n v="0"/>
    <n v="0"/>
    <n v="0"/>
    <s v="ARF"/>
    <n v="6.1228298499999996"/>
    <s v="HRF"/>
    <n v="6.1228298499999996"/>
    <m/>
    <m/>
    <m/>
    <m/>
  </r>
  <r>
    <x v="141"/>
    <x v="11"/>
    <s v="Series 1GP"/>
    <n v="453702.02800000214"/>
    <n v="247472.60232396147"/>
    <n v="0.28000000000000003"/>
    <n v="22120"/>
    <n v="0"/>
    <n v="0"/>
    <m/>
    <n v="1.833342453828767"/>
    <n v="22120"/>
    <n v="0"/>
    <n v="22120"/>
    <m/>
    <s v="Private Equity Fund"/>
    <n v="0"/>
    <n v="0"/>
    <n v="0"/>
    <n v="0"/>
    <s v="ARF"/>
    <n v="6.9377578899999994"/>
    <s v="HRF"/>
    <n v="6.9377578899999994"/>
    <m/>
    <m/>
    <m/>
    <m/>
  </r>
  <r>
    <x v="142"/>
    <x v="11"/>
    <s v="Series 1GP"/>
    <n v="447615.38900000096"/>
    <n v="244152.63393110075"/>
    <n v="0.28000000000000003"/>
    <n v="0"/>
    <n v="0"/>
    <n v="0"/>
    <m/>
    <n v="1.833342453828767"/>
    <n v="0"/>
    <n v="0"/>
    <n v="0"/>
    <m/>
    <s v="Private Equity Fund"/>
    <n v="0"/>
    <n v="0"/>
    <n v="0"/>
    <n v="0"/>
    <s v="ARF"/>
    <n v="6.8517626199999997"/>
    <s v="HRF"/>
    <n v="6.8517626199999997"/>
    <m/>
    <m/>
    <m/>
    <m/>
  </r>
  <r>
    <x v="143"/>
    <x v="11"/>
    <s v="Series 1GP"/>
    <n v="556312.20900000143"/>
    <n v="288464.55682251754"/>
    <n v="0.28000000000000003"/>
    <n v="23240"/>
    <n v="0"/>
    <n v="0"/>
    <m/>
    <n v="1.9285288117468153"/>
    <n v="23240"/>
    <n v="0"/>
    <n v="23240"/>
    <m/>
    <s v="Private Equity Fund"/>
    <n v="0"/>
    <n v="0"/>
    <n v="0"/>
    <n v="0"/>
    <s v="ARF"/>
    <n v="7.7810005199999992"/>
    <s v="HRF"/>
    <n v="7.7810005199999992"/>
    <m/>
    <m/>
    <m/>
    <m/>
  </r>
  <r>
    <x v="144"/>
    <x v="11"/>
    <s v="Series 1GP"/>
    <n v="496611.30750000384"/>
    <n v="250081.53955085864"/>
    <n v="0.28000000000000003"/>
    <n v="16520"/>
    <n v="0"/>
    <n v="0"/>
    <m/>
    <n v="1.9857975458400794"/>
    <n v="16520"/>
    <n v="0"/>
    <n v="16520"/>
    <m/>
    <s v="Private Equity Fund"/>
    <n v="0"/>
    <n v="0"/>
    <n v="0"/>
    <n v="0"/>
    <s v="ARF"/>
    <n v="8.3696575899999992"/>
    <s v="HRF"/>
    <n v="8.3696575899999992"/>
    <m/>
    <m/>
    <m/>
    <m/>
  </r>
  <r>
    <x v="145"/>
    <x v="11"/>
    <s v="Series 1GP"/>
    <n v="311626.83450000017"/>
    <n v="154146.64040664549"/>
    <n v="0.28000000000000003"/>
    <n v="8960"/>
    <n v="0"/>
    <n v="0"/>
    <m/>
    <n v="2.0216258601414547"/>
    <n v="8960"/>
    <n v="0"/>
    <n v="8960"/>
    <m/>
    <s v="Private Equity Fund"/>
    <n v="0"/>
    <n v="0"/>
    <n v="0"/>
    <n v="0"/>
    <s v="ARF"/>
    <n v="8.59453274"/>
    <s v="HRF"/>
    <n v="8.59453274"/>
    <m/>
    <m/>
    <m/>
    <m/>
  </r>
  <r>
    <x v="146"/>
    <x v="11"/>
    <s v="Series 1GP"/>
    <n v="478102.50050000037"/>
    <n v="236494.05655433552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6422619300000001"/>
    <s v="HRF"/>
    <n v="8.6422619300000001"/>
    <m/>
    <m/>
    <m/>
    <m/>
  </r>
  <r>
    <x v="147"/>
    <x v="11"/>
    <s v="Series 1GP"/>
    <n v="485631.06199999951"/>
    <n v="240218.06980942533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7321381300000009"/>
    <s v="HRF"/>
    <n v="8.7321381300000009"/>
    <m/>
    <m/>
    <m/>
    <m/>
  </r>
  <r>
    <x v="148"/>
    <x v="11"/>
    <s v="Series 1GP"/>
    <n v="237291.91999999699"/>
    <n v="117376.77315989294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4747113299999999"/>
    <s v="HRF"/>
    <n v="8.4747113299999999"/>
    <m/>
    <m/>
    <m/>
    <m/>
  </r>
  <r>
    <x v="149"/>
    <x v="11"/>
    <s v="Series 1GP"/>
    <n v="233176.03999999649"/>
    <n v="115340.84748187826"/>
    <n v="0.28000000000000003"/>
    <n v="0"/>
    <n v="0"/>
    <n v="0"/>
    <m/>
    <n v="2.0216258601414547"/>
    <n v="0"/>
    <n v="0"/>
    <n v="0"/>
    <m/>
    <s v="Private Equity Fund"/>
    <n v="0"/>
    <n v="0"/>
    <n v="0"/>
    <n v="0"/>
    <s v="ARF"/>
    <n v="8.3277158300000007"/>
    <s v="HRF"/>
    <n v="8.3277158300000007"/>
    <m/>
    <m/>
    <m/>
    <m/>
  </r>
  <r>
    <x v="1"/>
    <x v="11"/>
    <s v="Series 1GP"/>
    <n v="270571.66999999894"/>
    <n v="115407.22851494822"/>
    <n v="0.28000000000000003"/>
    <n v="37240"/>
    <n v="0"/>
    <n v="0"/>
    <m/>
    <n v="2.3444949981183623"/>
    <n v="37240"/>
    <n v="0"/>
    <n v="37240"/>
    <m/>
    <s v="Private Equity Fund"/>
    <n v="0"/>
    <n v="0"/>
    <n v="0"/>
    <n v="0"/>
    <s v="ARF"/>
    <n v="9.6632740500000001"/>
    <s v="HRF"/>
    <n v="9.6632740500000001"/>
    <m/>
    <m/>
    <m/>
    <m/>
  </r>
  <r>
    <x v="2"/>
    <x v="11"/>
    <s v="Series 1GP"/>
    <n v="458784.08500000136"/>
    <n v="195685.67447071156"/>
    <n v="0.28000000000000003"/>
    <n v="0"/>
    <n v="0"/>
    <n v="-44524.800000000003"/>
    <m/>
    <n v="2.3444949981183623"/>
    <n v="-44524.800000000003"/>
    <n v="-18991.211342201448"/>
    <n v="-44524.800000000003"/>
    <m/>
    <s v="Private Equity Fund"/>
    <n v="0"/>
    <n v="0"/>
    <n v="0"/>
    <n v="0"/>
    <s v="ARF"/>
    <n v="8.2088611999999994"/>
    <s v="HRF"/>
    <n v="8.2088611999999994"/>
    <m/>
    <m/>
    <m/>
    <m/>
  </r>
  <r>
    <x v="3"/>
    <x v="11"/>
    <s v="Series 1GP"/>
    <n v="486693.02299999731"/>
    <n v="207589.7041327048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1837769800000011"/>
    <s v="HRF"/>
    <n v="8.1837769800000011"/>
    <m/>
    <m/>
    <m/>
    <m/>
  </r>
  <r>
    <x v="4"/>
    <x v="11"/>
    <s v="Series 1GP"/>
    <n v="877577.61050000123"/>
    <n v="374314.1321283793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3198602400000006"/>
    <s v="HRF"/>
    <n v="8.3198602400000006"/>
    <m/>
    <m/>
    <m/>
    <m/>
  </r>
  <r>
    <x v="5"/>
    <x v="11"/>
    <s v="Series 1GP"/>
    <n v="1182538.8305000039"/>
    <n v="504389.57278607221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4528007799999987"/>
    <s v="HRF"/>
    <n v="8.4528007799999987"/>
    <m/>
    <m/>
    <m/>
    <m/>
  </r>
  <r>
    <x v="6"/>
    <x v="11"/>
    <s v="Series 1GP"/>
    <n v="1330146.8225000051"/>
    <n v="567348.9700628708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5010478299999992"/>
    <s v="HRF"/>
    <n v="8.5010478299999992"/>
    <m/>
    <m/>
    <m/>
    <m/>
  </r>
  <r>
    <x v="7"/>
    <x v="11"/>
    <s v="Series 1GP"/>
    <n v="1477897.4325000008"/>
    <n v="630369.19835023209"/>
    <n v="0.28000000000000003"/>
    <n v="0"/>
    <n v="0"/>
    <n v="-12261.2"/>
    <m/>
    <n v="2.3444949981183623"/>
    <n v="-12261.2"/>
    <n v="-5229.7829638538606"/>
    <n v="-12261.2"/>
    <m/>
    <s v="Private Equity Fund"/>
    <n v="0"/>
    <n v="0"/>
    <n v="0"/>
    <n v="0"/>
    <s v="ARF"/>
    <n v="8.1605186799999991"/>
    <s v="HRF"/>
    <n v="8.1605186799999991"/>
    <m/>
    <m/>
    <m/>
    <m/>
  </r>
  <r>
    <x v="8"/>
    <x v="11"/>
    <s v="Series 1GP"/>
    <n v="1043442.6025000007"/>
    <n v="445060.7074604312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06774156"/>
    <s v="HRF"/>
    <n v="8.06774156"/>
    <m/>
    <m/>
    <m/>
    <m/>
  </r>
  <r>
    <x v="9"/>
    <x v="11"/>
    <s v="Series 1GP"/>
    <n v="1199680.2195000029"/>
    <n v="511700.908068833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1054132699999997"/>
    <s v="HRF"/>
    <n v="8.1054132699999997"/>
    <m/>
    <m/>
    <m/>
    <m/>
  </r>
  <r>
    <x v="10"/>
    <x v="11"/>
    <s v="Series 1GP"/>
    <n v="1277948.3784999996"/>
    <n v="545084.711004140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8.12117033"/>
    <s v="HRF"/>
    <n v="8.12117033"/>
    <m/>
    <m/>
    <m/>
    <m/>
  </r>
  <r>
    <x v="11"/>
    <x v="11"/>
    <s v="Series 1GP"/>
    <n v="1425943.6935000008"/>
    <n v="608209.31358114665"/>
    <n v="0.28000000000000003"/>
    <n v="0"/>
    <n v="0"/>
    <n v="-18384.8"/>
    <m/>
    <n v="2.3444949981183623"/>
    <n v="-18384.8"/>
    <n v="-7841.6887281718309"/>
    <n v="-18384.8"/>
    <m/>
    <s v="Private Equity Fund"/>
    <n v="0"/>
    <n v="0"/>
    <n v="0"/>
    <n v="0"/>
    <s v="ARF"/>
    <n v="7.4727359099999999"/>
    <s v="HRF"/>
    <n v="7.4727359099999999"/>
    <m/>
    <m/>
    <m/>
    <m/>
  </r>
  <r>
    <x v="12"/>
    <x v="11"/>
    <s v="Series 1GP"/>
    <n v="1766903.7620000001"/>
    <n v="753639.3822200842"/>
    <n v="0.28000000000000003"/>
    <n v="0"/>
    <n v="0"/>
    <n v="-51982"/>
    <m/>
    <n v="2.3444949981183623"/>
    <n v="-51982"/>
    <n v="-22171.938964134944"/>
    <n v="-51982"/>
    <m/>
    <s v="Private Equity Fund"/>
    <n v="0"/>
    <n v="0"/>
    <n v="0"/>
    <n v="0"/>
    <s v="ARF"/>
    <n v="5.7760622599999998"/>
    <s v="HRF"/>
    <n v="5.7760622599999998"/>
    <m/>
    <m/>
    <m/>
    <m/>
  </r>
  <r>
    <x v="13"/>
    <x v="11"/>
    <s v="Series 1GP"/>
    <n v="2143580.7110000001"/>
    <n v="914303.8107227308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5.96163826"/>
    <s v="HRF"/>
    <n v="5.96163826"/>
    <m/>
    <m/>
    <m/>
    <m/>
  </r>
  <r>
    <x v="150"/>
    <x v="11"/>
    <s v="Series 1GP"/>
    <n v="1484449.6634999996"/>
    <n v="633163.92856089887"/>
    <n v="0.28000000000000003"/>
    <n v="0"/>
    <n v="0"/>
    <n v="-26110"/>
    <m/>
    <n v="2.3444949981183623"/>
    <n v="-26110"/>
    <n v="-11136.726681419788"/>
    <n v="-26110"/>
    <m/>
    <s v="Private Equity Fund"/>
    <n v="0"/>
    <n v="0"/>
    <n v="0"/>
    <n v="0"/>
    <s v="ARF"/>
    <n v="4.8103352400000006"/>
    <s v="HRF"/>
    <n v="4.8103352400000006"/>
    <m/>
    <m/>
    <m/>
    <m/>
  </r>
  <r>
    <x v="151"/>
    <x v="11"/>
    <s v="Series 1GP"/>
    <n v="911188.46950000082"/>
    <n v="388650.20835245959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6213212800000001"/>
    <s v="HRF"/>
    <n v="4.6213212800000001"/>
    <m/>
    <m/>
    <m/>
    <m/>
  </r>
  <r>
    <x v="152"/>
    <x v="11"/>
    <s v="Series 1GP"/>
    <n v="751423.44400000025"/>
    <n v="320505.45836228074"/>
    <n v="0.28000000000000003"/>
    <n v="0"/>
    <n v="0"/>
    <n v="-16100"/>
    <m/>
    <n v="2.3444949981183623"/>
    <n v="-16100"/>
    <n v="-6867.1505006073758"/>
    <n v="-16100"/>
    <m/>
    <s v="Private Equity Fund"/>
    <n v="0"/>
    <n v="0"/>
    <n v="0"/>
    <n v="0"/>
    <s v="ARF"/>
    <n v="4.0515180400000004"/>
    <s v="HRF"/>
    <n v="4.0515180400000004"/>
    <m/>
    <m/>
    <m/>
    <m/>
  </r>
  <r>
    <x v="153"/>
    <x v="11"/>
    <s v="Series 1GP"/>
    <n v="955518.41900000058"/>
    <n v="407558.3098990945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1473120899999998"/>
    <s v="HRF"/>
    <n v="4.1473120899999998"/>
    <m/>
    <m/>
    <m/>
    <m/>
  </r>
  <r>
    <x v="154"/>
    <x v="11"/>
    <s v="Series 1GP"/>
    <n v="1309694.0205000003"/>
    <n v="558625.21419373073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2512621399999997"/>
    <s v="HRF"/>
    <n v="4.2512621399999997"/>
    <m/>
    <m/>
    <m/>
    <m/>
  </r>
  <r>
    <x v="155"/>
    <x v="11"/>
    <s v="Series 1GP"/>
    <n v="1255656.9985000009"/>
    <n v="535576.74446213886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2629718299999997"/>
    <s v="HRF"/>
    <n v="4.2629718299999997"/>
    <m/>
    <m/>
    <m/>
    <m/>
  </r>
  <r>
    <x v="156"/>
    <x v="11"/>
    <s v="Series 1GP"/>
    <n v="1636451.1004999985"/>
    <n v="697997.26670919603"/>
    <n v="0.28000000000000003"/>
    <n v="0"/>
    <n v="0"/>
    <n v="-9002"/>
    <m/>
    <n v="2.3444949981183623"/>
    <n v="-9002"/>
    <n v="-3839.6328451222112"/>
    <n v="-9002"/>
    <m/>
    <s v="Private Equity Fund"/>
    <n v="0"/>
    <n v="0"/>
    <n v="0"/>
    <n v="0"/>
    <s v="ARF"/>
    <n v="4.0180624800000002"/>
    <s v="HRF"/>
    <n v="4.0180624800000002"/>
    <m/>
    <m/>
    <m/>
    <m/>
  </r>
  <r>
    <x v="157"/>
    <x v="11"/>
    <s v="Series 1GP"/>
    <n v="1690735.1550000005"/>
    <n v="721151.10348153685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0415043099999997"/>
    <s v="HRF"/>
    <n v="4.0415043099999997"/>
    <m/>
    <m/>
    <m/>
    <m/>
  </r>
  <r>
    <x v="158"/>
    <x v="11"/>
    <s v="Series 1GP"/>
    <n v="1974023.0004999989"/>
    <n v="841982.1761549094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4.15470994"/>
    <s v="HRF"/>
    <n v="4.15470994"/>
    <m/>
    <m/>
    <m/>
    <m/>
  </r>
  <r>
    <x v="159"/>
    <x v="11"/>
    <s v="Series 1GP"/>
    <n v="1464244.7025000004"/>
    <n v="624545.88458289288"/>
    <n v="0.28000000000000003"/>
    <n v="0"/>
    <n v="0"/>
    <n v="-12692.4"/>
    <m/>
    <n v="2.3444949981183623"/>
    <n v="-12692.4"/>
    <n v="-5413.7031685657794"/>
    <n v="-12692.4"/>
    <m/>
    <s v="Private Equity Fund"/>
    <n v="0"/>
    <n v="0"/>
    <n v="0"/>
    <n v="0"/>
    <s v="ARF"/>
    <n v="3.5532569399999998"/>
    <s v="HRF"/>
    <n v="3.5532569399999998"/>
    <m/>
    <m/>
    <m/>
    <m/>
  </r>
  <r>
    <x v="160"/>
    <x v="11"/>
    <s v="Series 1GP"/>
    <n v="1288396.2585000007"/>
    <n v="549541.0566173261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3.5784120499999998"/>
    <s v="HRF"/>
    <n v="3.5784120499999998"/>
    <m/>
    <m/>
    <m/>
    <m/>
  </r>
  <r>
    <x v="161"/>
    <x v="11"/>
    <s v="Series 1GP"/>
    <n v="1135095.3690000002"/>
    <n v="484153.46158170589"/>
    <n v="0.28000000000000003"/>
    <n v="0"/>
    <n v="0"/>
    <n v="-7858.48"/>
    <m/>
    <n v="2.3444949981183623"/>
    <n v="-7858.48"/>
    <n v="-3351.8860165225497"/>
    <n v="-7858.48"/>
    <m/>
    <s v="Private Equity Fund"/>
    <n v="0"/>
    <n v="0"/>
    <n v="0"/>
    <n v="0"/>
    <s v="ARF"/>
    <n v="3.2870477899999999"/>
    <s v="HRF"/>
    <n v="3.2870477899999999"/>
    <m/>
    <m/>
    <m/>
    <m/>
  </r>
  <r>
    <x v="162"/>
    <x v="11"/>
    <s v="Series 1GP"/>
    <n v="1211974.8235000004"/>
    <n v="516944.9388771157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3.26958796"/>
    <s v="HRF"/>
    <n v="3.26958796"/>
    <m/>
    <m/>
    <m/>
    <m/>
  </r>
  <r>
    <x v="163"/>
    <x v="11"/>
    <s v="Series 1GP"/>
    <n v="1092034.5519999994"/>
    <n v="465786.68449983525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3.2606647500000001"/>
    <s v="HRF"/>
    <n v="3.2606647500000001"/>
    <m/>
    <m/>
    <m/>
    <m/>
  </r>
  <r>
    <x v="164"/>
    <x v="11"/>
    <s v="Series 1GP"/>
    <n v="213186.48549999963"/>
    <n v="90930.663392798102"/>
    <n v="0.28000000000000003"/>
    <n v="0"/>
    <n v="0"/>
    <n v="-17640"/>
    <m/>
    <n v="2.3444949981183623"/>
    <n v="-17640"/>
    <n v="-7524.0083745785159"/>
    <n v="-17640"/>
    <m/>
    <s v="Private Equity Fund"/>
    <n v="0"/>
    <n v="0"/>
    <n v="0"/>
    <n v="0"/>
    <s v="ARF"/>
    <n v="2.3473118900000003"/>
    <s v="HRF"/>
    <n v="2.3473118900000003"/>
    <m/>
    <m/>
    <m/>
    <m/>
  </r>
  <r>
    <x v="165"/>
    <x v="11"/>
    <s v="Series 1GP"/>
    <n v="82824.983499999231"/>
    <n v="35327.430242535236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2889029500000002"/>
    <s v="HRF"/>
    <n v="2.2889029500000002"/>
    <m/>
    <m/>
    <m/>
    <m/>
  </r>
  <r>
    <x v="166"/>
    <x v="11"/>
    <s v="Series 1GP"/>
    <n v="142656.46060000049"/>
    <n v="60847.4152064701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3116972499999999"/>
    <s v="HRF"/>
    <n v="2.3116972499999999"/>
    <m/>
    <m/>
    <m/>
    <m/>
  </r>
  <r>
    <x v="167"/>
    <x v="11"/>
    <s v="Series 1GP"/>
    <n v="86203.86000000035"/>
    <n v="36768.626108900033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3116972499999999"/>
    <s v="HRF"/>
    <n v="2.3116972499999999"/>
    <m/>
    <m/>
    <m/>
    <m/>
  </r>
  <r>
    <x v="168"/>
    <x v="11"/>
    <s v="Series 1GP"/>
    <n v="343408.91970000078"/>
    <n v="146474.57980316141"/>
    <n v="0.28000000000000003"/>
    <n v="0"/>
    <n v="-5.8207660913467407E-11"/>
    <n v="0"/>
    <m/>
    <n v="2.3444949981183623"/>
    <n v="-5.8207660913467407E-11"/>
    <n v="0"/>
    <n v="-5.8207660913467407E-11"/>
    <m/>
    <s v="Private Equity Fund"/>
    <n v="0"/>
    <n v="0"/>
    <n v="0"/>
    <n v="0"/>
    <s v="ARF"/>
    <n v="2.4206210699999997"/>
    <s v="HRF"/>
    <n v="2.4206210699999997"/>
    <m/>
    <m/>
    <m/>
    <m/>
  </r>
  <r>
    <x v="169"/>
    <x v="11"/>
    <s v="Series 1GP"/>
    <n v="295752.50579999946"/>
    <n v="126147.63778014609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053958900000003"/>
    <s v="HRF"/>
    <n v="2.4053958900000003"/>
    <m/>
    <m/>
    <m/>
    <m/>
  </r>
  <r>
    <x v="170"/>
    <x v="11"/>
    <s v="Series 1GP"/>
    <n v="303915.9249000001"/>
    <n v="129629.5898024589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359475499999999"/>
    <s v="HRF"/>
    <n v="2.4359475499999999"/>
    <m/>
    <m/>
    <m/>
    <m/>
  </r>
  <r>
    <x v="171"/>
    <x v="11"/>
    <s v="Series 1GP"/>
    <n v="396955.81309999997"/>
    <n v="169313.99445022811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702183500000001"/>
    <s v="HRF"/>
    <n v="2.4702183500000001"/>
    <m/>
    <m/>
    <m/>
    <m/>
  </r>
  <r>
    <x v="172"/>
    <x v="11"/>
    <s v="Series 1GP"/>
    <n v="412648.15890000062"/>
    <n v="176007.26776179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862185999999999"/>
    <s v="HRF"/>
    <n v="2.4862185999999999"/>
    <m/>
    <m/>
    <m/>
    <m/>
  </r>
  <r>
    <x v="173"/>
    <x v="11"/>
    <s v="Series 1GP"/>
    <n v="397240.21729999938"/>
    <n v="169435.30168279959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2.4564218700000002"/>
    <s v="HRF"/>
    <n v="2.4564218700000002"/>
    <m/>
    <m/>
    <m/>
    <m/>
  </r>
  <r>
    <x v="174"/>
    <x v="11"/>
    <s v="Series 1GP"/>
    <n v="482780.89309999929"/>
    <n v="205921.05911399605"/>
    <n v="0.28000000000000003"/>
    <n v="0"/>
    <n v="-5.8207660913467407E-11"/>
    <n v="0"/>
    <m/>
    <n v="2.3444949981183623"/>
    <n v="-5.8207660913467407E-11"/>
    <n v="0"/>
    <n v="-5.8207660913467407E-11"/>
    <m/>
    <s v="Private Equity Fund"/>
    <n v="0"/>
    <n v="0"/>
    <n v="0"/>
    <n v="0"/>
    <s v="ARF"/>
    <n v="2.4564218700000002"/>
    <s v="HRF"/>
    <n v="2.4564218700000002"/>
    <m/>
    <m/>
    <m/>
    <m/>
  </r>
  <r>
    <x v="175"/>
    <x v="11"/>
    <s v="Series 1GP"/>
    <n v="441943.6001000001"/>
    <n v="188502.68414080382"/>
    <n v="0.28000000000000003"/>
    <n v="0"/>
    <n v="0"/>
    <n v="-10470.879999999999"/>
    <m/>
    <n v="2.3444949981183623"/>
    <n v="-10470.879999999999"/>
    <n v="-4466.1558281863199"/>
    <n v="-10470.879999999999"/>
    <m/>
    <s v="Private Equity Fund"/>
    <n v="0"/>
    <n v="0"/>
    <n v="0"/>
    <n v="0"/>
    <s v="ARF"/>
    <n v="2.0625001300000001"/>
    <s v="HRF"/>
    <n v="2.0625001300000001"/>
    <m/>
    <m/>
    <m/>
    <m/>
  </r>
  <r>
    <x v="176"/>
    <x v="11"/>
    <s v="Series 1GP"/>
    <n v="202956.4299000004"/>
    <n v="86567.226657718857"/>
    <n v="0.28000000000000003"/>
    <n v="0"/>
    <n v="0"/>
    <n v="-2128"/>
    <m/>
    <n v="2.3444949981183623"/>
    <n v="-2128"/>
    <n v="-907.65815312375753"/>
    <n v="-2128"/>
    <m/>
    <s v="Private Equity Fund"/>
    <n v="0"/>
    <n v="0"/>
    <n v="0"/>
    <n v="0"/>
    <s v="ARF"/>
    <n v="1.9050024699999999"/>
    <s v="HRF"/>
    <n v="1.9050024699999999"/>
    <m/>
    <m/>
    <m/>
    <m/>
  </r>
  <r>
    <x v="177"/>
    <x v="11"/>
    <s v="Series 1GP"/>
    <n v="202956.4299000004"/>
    <n v="86567.22665771885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912115900000002"/>
    <s v="HRF"/>
    <n v="1.8912115900000002"/>
    <m/>
    <m/>
    <m/>
    <m/>
  </r>
  <r>
    <x v="178"/>
    <x v="11"/>
    <s v="Series 1GP"/>
    <n v="202956.4299000004"/>
    <n v="86567.22665771885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9211777400000001"/>
    <s v="HRF"/>
    <n v="1.9211777400000001"/>
    <m/>
    <m/>
    <m/>
    <m/>
  </r>
  <r>
    <x v="179"/>
    <x v="11"/>
    <s v="Series 1GP"/>
    <n v="462331.24970000004"/>
    <n v="197198.65048594962"/>
    <n v="0.28000000000000003"/>
    <n v="0"/>
    <n v="0"/>
    <n v="-3360"/>
    <m/>
    <n v="2.3444949981183623"/>
    <n v="-3360"/>
    <n v="-1433.1444523006696"/>
    <n v="-3360"/>
    <m/>
    <s v="Private Equity Fund"/>
    <n v="0"/>
    <n v="0"/>
    <n v="0"/>
    <n v="0"/>
    <s v="ARF"/>
    <n v="1.87651206"/>
    <s v="HRF"/>
    <n v="1.87651206"/>
    <m/>
    <m/>
    <m/>
    <m/>
  </r>
  <r>
    <x v="180"/>
    <x v="11"/>
    <s v="Series 1GP"/>
    <n v="514621.20499999961"/>
    <n v="219501.94195893902"/>
    <n v="0.28000000000000003"/>
    <n v="0"/>
    <n v="0"/>
    <n v="-3220"/>
    <m/>
    <n v="2.3444949981183623"/>
    <n v="-3220"/>
    <n v="-1373.4301001214751"/>
    <n v="-3220"/>
    <m/>
    <s v="Private Equity Fund"/>
    <n v="0"/>
    <n v="0"/>
    <n v="0"/>
    <n v="0"/>
    <s v="ARF"/>
    <n v="1.7890925600000001"/>
    <s v="HRF"/>
    <n v="1.7890925600000001"/>
    <m/>
    <m/>
    <m/>
    <m/>
  </r>
  <r>
    <x v="181"/>
    <x v="11"/>
    <s v="Series 1GP"/>
    <n v="299872.14609999978"/>
    <n v="127904.79243533054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68071142"/>
    <s v="HRF"/>
    <n v="1.68071142"/>
    <m/>
    <m/>
    <m/>
    <m/>
  </r>
  <r>
    <x v="182"/>
    <x v="11"/>
    <s v="Series 1GP"/>
    <n v="196940.84079999995"/>
    <n v="84001.390899984923"/>
    <n v="0.28000000000000003"/>
    <n v="0"/>
    <n v="-2.9103830456733704E-11"/>
    <n v="0"/>
    <m/>
    <n v="2.3444949981183623"/>
    <n v="-2.9103830456733704E-11"/>
    <n v="0"/>
    <n v="-2.9103830456733704E-11"/>
    <m/>
    <s v="Private Equity Fund"/>
    <n v="0"/>
    <n v="0"/>
    <n v="0"/>
    <n v="0"/>
    <s v="ARF"/>
    <n v="1.6191210600000001"/>
    <s v="HRF"/>
    <n v="1.6191210600000001"/>
    <m/>
    <m/>
    <m/>
    <m/>
  </r>
  <r>
    <x v="183"/>
    <x v="11"/>
    <s v="Series 1GP"/>
    <n v="351551.09100000013"/>
    <n v="149947.4689782434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6959900000000001"/>
    <s v="HRF"/>
    <n v="1.6959900000000001"/>
    <m/>
    <m/>
    <m/>
    <m/>
  </r>
  <r>
    <x v="184"/>
    <x v="11"/>
    <s v="Series 1GP"/>
    <n v="746300.00000000023"/>
    <n v="318320.15022380662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835"/>
    <s v="HRF"/>
    <n v="1.8835"/>
    <m/>
    <m/>
    <m/>
    <m/>
  </r>
  <r>
    <x v="185"/>
    <x v="11"/>
    <s v="Series 1GP"/>
    <n v="728300"/>
    <n v="310642.59065791004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512999999999999"/>
    <s v="HRF"/>
    <n v="1.8512999999999999"/>
    <m/>
    <m/>
    <m/>
    <m/>
  </r>
  <r>
    <x v="186"/>
    <x v="11"/>
    <s v="Series 1GP"/>
    <n v="697413.88"/>
    <n v="297468.7003212752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84738264"/>
    <s v="HRF"/>
    <n v="1.84738264"/>
    <m/>
    <m/>
    <m/>
    <m/>
  </r>
  <r>
    <x v="187"/>
    <x v="11"/>
    <s v="Series 1GP"/>
    <n v="553957.15"/>
    <n v="236279.94533773512"/>
    <n v="0.28000000000000003"/>
    <n v="0"/>
    <n v="0"/>
    <n v="-12110.33"/>
    <m/>
    <n v="2.3444949981183623"/>
    <n v="-12110.33"/>
    <n v="-5165.4322187590387"/>
    <n v="-12110.33"/>
    <m/>
    <s v="Private Equity Fund"/>
    <n v="0"/>
    <n v="0"/>
    <n v="0"/>
    <n v="0"/>
    <s v="ARF"/>
    <n v="1.3572"/>
    <s v="HRF"/>
    <n v="1.3572"/>
    <m/>
    <m/>
    <m/>
    <m/>
  </r>
  <r>
    <x v="188"/>
    <x v="11"/>
    <s v="Series 1GP"/>
    <n v="577042.43999999994"/>
    <n v="246126.5391750125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3572"/>
    <s v="HRF"/>
    <n v="1.3572"/>
    <m/>
    <m/>
    <m/>
    <m/>
  </r>
  <r>
    <x v="189"/>
    <x v="11"/>
    <s v="Series 1GP"/>
    <n v="631743.80000000005"/>
    <n v="269458.36971587618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4003000000000001"/>
    <s v="HRF"/>
    <n v="1.4003000000000001"/>
    <m/>
    <m/>
    <m/>
    <m/>
  </r>
  <r>
    <x v="190"/>
    <x v="11"/>
    <s v="Series 1GP"/>
    <n v="530800"/>
    <n v="226402.70097654627"/>
    <n v="0.28000000000000003"/>
    <n v="0"/>
    <n v="0"/>
    <n v="0"/>
    <m/>
    <n v="2.3444949981183623"/>
    <n v="0"/>
    <n v="0"/>
    <n v="0"/>
    <m/>
    <s v="Private Equity Fund"/>
    <n v="0"/>
    <n v="0"/>
    <n v="0"/>
    <n v="0"/>
    <s v="ARF"/>
    <n v="1.3563000000000001"/>
    <s v="HRF"/>
    <n v="1.3563000000000001"/>
    <m/>
    <m/>
    <m/>
    <m/>
  </r>
  <r>
    <x v="191"/>
    <x v="11"/>
    <s v="Series 1GP"/>
    <n v="540117.25379999995"/>
    <n v="230376.79936766153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</r>
  <r>
    <x v="192"/>
    <x v="11"/>
    <s v="Series 1GP"/>
    <n v="549072.00800000003"/>
    <n v="234196.28041035388"/>
    <n v="0.28000000000000003"/>
    <n v="0"/>
    <n v="0"/>
    <n v="-15941.98"/>
    <m/>
    <n v="2.3444949981183623"/>
    <n v="-15941.98"/>
    <n v="-6799.7500582405446"/>
    <n v="-15941.98"/>
    <m/>
    <s v="Private Equity Fund"/>
    <n v="0"/>
    <n v="0"/>
    <n v="0"/>
    <n v="0"/>
    <m/>
    <m/>
    <m/>
    <m/>
    <m/>
    <m/>
    <m/>
    <m/>
  </r>
  <r>
    <x v="193"/>
    <x v="11"/>
    <s v="Series 1GP"/>
    <n v="472435.87329999998"/>
    <n v="201508.5865737253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</r>
  <r>
    <x v="194"/>
    <x v="11"/>
    <s v="Series 1GP"/>
    <n v="410937.93"/>
    <n v="175277.80197006575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</r>
  <r>
    <x v="195"/>
    <x v="11"/>
    <s v="Series 1GP"/>
    <n v="400774.04690000002"/>
    <n v="170942.58986334031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</r>
  <r>
    <x v="196"/>
    <x v="11"/>
    <s v="Series 1GP"/>
    <n v="392029.68790000002"/>
    <n v="167212.84891400239"/>
    <n v="0.28000000000000003"/>
    <n v="0"/>
    <n v="0"/>
    <n v="0"/>
    <m/>
    <n v="2.3444949981183623"/>
    <n v="0"/>
    <n v="0"/>
    <n v="0"/>
    <m/>
    <s v="Private Equity Fund"/>
    <n v="0"/>
    <n v="0"/>
    <n v="0"/>
    <n v="0"/>
    <m/>
    <m/>
    <m/>
    <m/>
    <m/>
    <m/>
    <m/>
    <m/>
  </r>
  <r>
    <x v="197"/>
    <x v="11"/>
    <s v="Series 1GP"/>
    <n v="325627.59999999998"/>
    <m/>
    <n v="0.28000000000000003"/>
    <m/>
    <n v="0"/>
    <n v="0"/>
    <m/>
    <n v="0"/>
    <n v="0"/>
    <e v="#DIV/0!"/>
    <n v="0"/>
    <m/>
    <s v="Private Equity Fund"/>
    <n v="0"/>
    <m/>
    <m/>
    <m/>
    <m/>
    <m/>
    <m/>
    <m/>
    <m/>
    <m/>
    <m/>
    <m/>
  </r>
  <r>
    <x v="198"/>
    <x v="11"/>
    <s v="Series 1GP"/>
    <n v="312582.31"/>
    <m/>
    <n v="0.28000000000000003"/>
    <m/>
    <n v="0"/>
    <n v="1125.83"/>
    <m/>
    <n v="0"/>
    <n v="1125.83"/>
    <e v="#DIV/0!"/>
    <n v="-311456.48"/>
    <m/>
    <s v="Private Equity Fund"/>
    <n v="0"/>
    <m/>
    <m/>
    <m/>
    <m/>
    <m/>
    <m/>
    <m/>
    <m/>
    <m/>
    <m/>
    <m/>
  </r>
  <r>
    <x v="135"/>
    <x v="11"/>
    <s v="Series 2"/>
    <n v="21564486.290804401"/>
    <n v="21689695.381823272"/>
    <n v="107.2"/>
    <n v="21440000"/>
    <n v="0"/>
    <n v="0"/>
    <m/>
    <n v="0.99422725451811556"/>
    <n v="21440000"/>
    <n v="21689695.381823272"/>
    <n v="21440000"/>
    <n v="21440000"/>
    <s v="Private Equity Fund"/>
    <n v="0"/>
    <n v="0"/>
    <n v="0"/>
    <n v="0"/>
    <m/>
    <m/>
    <m/>
    <m/>
    <m/>
    <m/>
    <m/>
    <m/>
  </r>
  <r>
    <x v="136"/>
    <x v="11"/>
    <s v="Series 2"/>
    <n v="21465388.593513399"/>
    <n v="21590022.297183249"/>
    <n v="107.2"/>
    <n v="0"/>
    <n v="0"/>
    <n v="0"/>
    <m/>
    <n v="0.99422725451811556"/>
    <n v="0"/>
    <n v="0"/>
    <n v="0"/>
    <n v="0"/>
    <s v="Private Equity Fund"/>
    <n v="0"/>
    <n v="0"/>
    <n v="0"/>
    <n v="0"/>
    <m/>
    <m/>
    <m/>
    <m/>
    <m/>
    <m/>
    <m/>
    <m/>
  </r>
  <r>
    <x v="137"/>
    <x v="11"/>
    <s v="Series 2"/>
    <n v="34185331.941"/>
    <n v="21702736.619092535"/>
    <n v="107.2"/>
    <n v="12542400"/>
    <n v="0"/>
    <n v="0"/>
    <m/>
    <n v="1.5751622728963204"/>
    <n v="12542400"/>
    <n v="0"/>
    <n v="12542400"/>
    <n v="12542400"/>
    <s v="Private Equity Fund"/>
    <n v="0"/>
    <n v="0"/>
    <n v="0"/>
    <n v="0"/>
    <m/>
    <m/>
    <m/>
    <m/>
    <m/>
    <m/>
    <m/>
    <m/>
  </r>
  <r>
    <x v="138"/>
    <x v="11"/>
    <s v="Series 2"/>
    <n v="40248978.190000005"/>
    <n v="21449306.627039418"/>
    <n v="107.2"/>
    <n v="6539200"/>
    <n v="0"/>
    <n v="0"/>
    <m/>
    <n v="1.8764698966660931"/>
    <n v="6539200"/>
    <n v="0"/>
    <n v="6539200"/>
    <n v="6539200"/>
    <s v="Private Equity Fund"/>
    <n v="0"/>
    <n v="0"/>
    <n v="0"/>
    <n v="0"/>
    <m/>
    <m/>
    <m/>
    <m/>
    <m/>
    <m/>
    <m/>
    <m/>
  </r>
  <r>
    <x v="139"/>
    <x v="11"/>
    <s v="Series 2"/>
    <n v="40408338.159999996"/>
    <n v="21534232.03420056"/>
    <n v="107.2"/>
    <n v="0"/>
    <n v="0"/>
    <n v="0"/>
    <m/>
    <n v="1.8764698966660931"/>
    <n v="0"/>
    <n v="0"/>
    <n v="0"/>
    <n v="0"/>
    <s v="Private Equity Fund"/>
    <n v="0"/>
    <n v="0"/>
    <n v="0"/>
    <n v="0"/>
    <m/>
    <m/>
    <m/>
    <m/>
    <m/>
    <m/>
    <m/>
    <m/>
  </r>
  <r>
    <x v="140"/>
    <x v="11"/>
    <s v="Series 2"/>
    <n v="65702283.609999992"/>
    <n v="21462479.106736753"/>
    <n v="107.2"/>
    <n v="25513600"/>
    <n v="0"/>
    <n v="0"/>
    <m/>
    <n v="3.061262554211504"/>
    <n v="25513600"/>
    <n v="0"/>
    <n v="25513600"/>
    <n v="25513600"/>
    <s v="Private Equity Fund"/>
    <n v="0"/>
    <n v="0"/>
    <n v="0"/>
    <n v="0"/>
    <m/>
    <m/>
    <m/>
    <m/>
    <m/>
    <m/>
    <m/>
    <m/>
  </r>
  <r>
    <x v="141"/>
    <x v="11"/>
    <s v="Series 2"/>
    <n v="74387873.519999996"/>
    <n v="21525210.412354339"/>
    <n v="107.2"/>
    <n v="8468800"/>
    <n v="0"/>
    <n v="0"/>
    <m/>
    <n v="3.4558488439818116"/>
    <n v="8468800"/>
    <n v="0"/>
    <n v="8468800"/>
    <n v="8468800"/>
    <s v="Private Equity Fund"/>
    <n v="0"/>
    <n v="0"/>
    <n v="0"/>
    <n v="0"/>
    <m/>
    <m/>
    <m/>
    <m/>
    <m/>
    <m/>
    <m/>
    <m/>
  </r>
  <r>
    <x v="142"/>
    <x v="11"/>
    <s v="Series 2"/>
    <n v="73416224.450000003"/>
    <n v="21244049.657394797"/>
    <n v="107.2"/>
    <n v="0"/>
    <n v="0"/>
    <n v="0"/>
    <m/>
    <n v="3.4558488439818116"/>
    <n v="0"/>
    <n v="0"/>
    <n v="0"/>
    <n v="0"/>
    <s v="Private Equity Fund"/>
    <n v="0"/>
    <n v="0"/>
    <n v="0"/>
    <n v="0"/>
    <m/>
    <m/>
    <m/>
    <m/>
    <m/>
    <m/>
    <m/>
    <m/>
  </r>
  <r>
    <x v="143"/>
    <x v="11"/>
    <s v="Series 2"/>
    <n v="83755163.390000001"/>
    <n v="21504017.571929634"/>
    <n v="107.2"/>
    <n v="9326400"/>
    <n v="0"/>
    <n v="0"/>
    <m/>
    <n v="3.8948611862803806"/>
    <n v="9326400"/>
    <n v="0"/>
    <n v="9326400"/>
    <n v="9326400"/>
    <s v="Private Equity Fund"/>
    <n v="0"/>
    <n v="0"/>
    <n v="0"/>
    <n v="0"/>
    <m/>
    <m/>
    <m/>
    <m/>
    <m/>
    <m/>
    <m/>
    <m/>
  </r>
  <r>
    <x v="144"/>
    <x v="11"/>
    <s v="Series 2"/>
    <n v="90010294"/>
    <n v="21487385.995601173"/>
    <n v="107.2"/>
    <n v="6324800"/>
    <n v="0"/>
    <n v="0"/>
    <m/>
    <n v="4.1889829697491638"/>
    <n v="6324800"/>
    <n v="0"/>
    <n v="6324800"/>
    <n v="6324800"/>
    <s v="Private Equity Fund"/>
    <n v="0"/>
    <n v="0"/>
    <n v="0"/>
    <n v="0"/>
    <m/>
    <m/>
    <m/>
    <m/>
    <m/>
    <m/>
    <m/>
    <m/>
  </r>
  <r>
    <x v="145"/>
    <x v="11"/>
    <s v="Series 2"/>
    <n v="92354108.739999995"/>
    <n v="21237517.593524121"/>
    <n v="107.2"/>
    <n v="3430400"/>
    <n v="0"/>
    <n v="0"/>
    <m/>
    <n v="4.3486301227673234"/>
    <n v="3430400"/>
    <n v="0"/>
    <n v="3430400"/>
    <n v="3430400"/>
    <s v="Private Equity Fund"/>
    <n v="0"/>
    <n v="0"/>
    <n v="0"/>
    <n v="0"/>
    <m/>
    <m/>
    <m/>
    <m/>
    <m/>
    <m/>
    <m/>
    <m/>
  </r>
  <r>
    <x v="146"/>
    <x v="11"/>
    <s v="Series 2"/>
    <n v="92802667.760000005"/>
    <n v="21340667.092869118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</r>
  <r>
    <x v="147"/>
    <x v="11"/>
    <s v="Series 2"/>
    <n v="93690147.041999996"/>
    <n v="21544749.587113358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</r>
  <r>
    <x v="148"/>
    <x v="11"/>
    <s v="Series 2"/>
    <n v="90883198.959999993"/>
    <n v="20899270.895489488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</r>
  <r>
    <x v="149"/>
    <x v="11"/>
    <s v="Series 2"/>
    <n v="89248684.510000005"/>
    <n v="20523402.08074655"/>
    <n v="107.2"/>
    <n v="0"/>
    <n v="0"/>
    <n v="0"/>
    <m/>
    <n v="4.3486301227673234"/>
    <n v="0"/>
    <n v="0"/>
    <n v="0"/>
    <n v="0"/>
    <s v="Private Equity Fund"/>
    <n v="0"/>
    <n v="0"/>
    <n v="0"/>
    <n v="0"/>
    <m/>
    <m/>
    <m/>
    <m/>
    <m/>
    <m/>
    <m/>
    <m/>
  </r>
  <r>
    <x v="1"/>
    <x v="11"/>
    <s v="Series 2"/>
    <n v="102852261.5"/>
    <n v="20521242.657013416"/>
    <n v="107.2"/>
    <n v="13614400"/>
    <n v="0"/>
    <n v="0"/>
    <m/>
    <n v="5.0119899276591235"/>
    <n v="13614400"/>
    <n v="0"/>
    <n v="13614400"/>
    <n v="13614400"/>
    <s v="Private Equity Fund"/>
    <n v="0"/>
    <n v="0"/>
    <n v="0"/>
    <n v="0"/>
    <m/>
    <m/>
    <m/>
    <m/>
    <m/>
    <m/>
    <m/>
    <m/>
  </r>
  <r>
    <x v="2"/>
    <x v="11"/>
    <s v="Series 2"/>
    <n v="87194844.069999993"/>
    <n v="17397250.459105533"/>
    <n v="107.2"/>
    <n v="0"/>
    <n v="0"/>
    <n v="-17046636.449999999"/>
    <m/>
    <n v="5.0119899276591235"/>
    <n v="-17046636.449999999"/>
    <n v="-3401171.330358543"/>
    <n v="-17046636.449999999"/>
    <n v="-17046636.449999999"/>
    <s v="Private Equity Fund"/>
    <n v="0"/>
    <n v="0"/>
    <n v="0"/>
    <n v="0"/>
    <m/>
    <m/>
    <m/>
    <m/>
    <m/>
    <m/>
    <m/>
    <m/>
  </r>
  <r>
    <x v="3"/>
    <x v="11"/>
    <s v="Series 2"/>
    <n v="86864580.400000006"/>
    <n v="17331355.7396893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4"/>
    <x v="11"/>
    <s v="Series 2"/>
    <n v="88246023.480000004"/>
    <n v="17606983.40453684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5"/>
    <x v="11"/>
    <s v="Series 2"/>
    <n v="89604709.474648759"/>
    <n v="17878070.54043684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6"/>
    <x v="11"/>
    <s v="Series 2"/>
    <n v="90059351.859999999"/>
    <n v="17968781.49395298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7"/>
    <x v="11"/>
    <s v="Series 2"/>
    <n v="86346832.568000004"/>
    <n v="17228053.889631167"/>
    <n v="107.2"/>
    <n v="0"/>
    <n v="0"/>
    <n v="-4554928"/>
    <m/>
    <n v="5.0119899276591235"/>
    <n v="-4554928"/>
    <n v="-908806.29565179581"/>
    <n v="-4554928"/>
    <n v="-4554928"/>
    <s v="Private Equity Fund"/>
    <n v="0"/>
    <n v="0"/>
    <n v="0"/>
    <n v="0"/>
    <m/>
    <m/>
    <m/>
    <m/>
    <m/>
    <m/>
    <m/>
    <m/>
  </r>
  <r>
    <x v="8"/>
    <x v="11"/>
    <s v="Series 2"/>
    <n v="85418509.659999996"/>
    <n v="17042833.4639321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9"/>
    <x v="11"/>
    <s v="Series 2"/>
    <n v="85733877.635499999"/>
    <n v="17105756.17129032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0"/>
    <x v="11"/>
    <s v="Series 2"/>
    <n v="85824662.684499994"/>
    <n v="17123869.745002631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1"/>
    <x v="11"/>
    <s v="Series 2"/>
    <n v="78828553.246000007"/>
    <n v="15727995.144399123"/>
    <n v="107.2"/>
    <n v="0"/>
    <n v="0"/>
    <n v="-7017312"/>
    <m/>
    <n v="5.0119899276591235"/>
    <n v="-7017312"/>
    <n v="-1400104.9685423994"/>
    <n v="-7017312"/>
    <n v="-7017312"/>
    <s v="Private Equity Fund"/>
    <n v="0"/>
    <n v="0"/>
    <n v="0"/>
    <n v="0"/>
    <m/>
    <m/>
    <m/>
    <m/>
    <m/>
    <m/>
    <m/>
    <m/>
  </r>
  <r>
    <x v="12"/>
    <x v="11"/>
    <s v="Series 2"/>
    <n v="60936373.511"/>
    <n v="12158119.707048304"/>
    <n v="107.2"/>
    <n v="0"/>
    <n v="0"/>
    <n v="-19312080"/>
    <m/>
    <n v="5.0119899276591235"/>
    <n v="-19312080"/>
    <n v="-3853176.1393662277"/>
    <n v="-19312080"/>
    <n v="-19312080"/>
    <s v="Private Equity Fund"/>
    <n v="0"/>
    <n v="0"/>
    <n v="0"/>
    <n v="0"/>
    <m/>
    <m/>
    <m/>
    <m/>
    <m/>
    <m/>
    <m/>
    <m/>
  </r>
  <r>
    <x v="13"/>
    <x v="11"/>
    <s v="Series 2"/>
    <n v="62588137.243500002"/>
    <n v="12487682.16753622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50"/>
    <x v="11"/>
    <s v="Series 2"/>
    <n v="50842057.759000003"/>
    <n v="10144086.179907002"/>
    <n v="107.2"/>
    <n v="0"/>
    <n v="-7.4505805969238281E-9"/>
    <n v="-9728400"/>
    <m/>
    <n v="5.0119899276591235"/>
    <n v="-9728400.0000000075"/>
    <n v="-1941025.4490562596"/>
    <n v="-9728400.0000000075"/>
    <n v="-9728400.0000000075"/>
    <s v="Private Equity Fund"/>
    <n v="0"/>
    <n v="0"/>
    <n v="0"/>
    <n v="0"/>
    <m/>
    <m/>
    <m/>
    <m/>
    <m/>
    <m/>
    <m/>
    <m/>
  </r>
  <r>
    <x v="151"/>
    <x v="11"/>
    <s v="Series 2"/>
    <n v="49011244.07"/>
    <n v="9778799.394533293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52"/>
    <x v="11"/>
    <s v="Series 2"/>
    <n v="42873837.030000001"/>
    <n v="8554254.4276469555"/>
    <n v="107.2"/>
    <n v="0"/>
    <n v="0"/>
    <n v="-6164000"/>
    <m/>
    <n v="5.0119899276591235"/>
    <n v="-6164000"/>
    <n v="-1229850.8354901921"/>
    <n v="-6164000"/>
    <n v="-6164000"/>
    <s v="Private Equity Fund"/>
    <n v="0"/>
    <n v="0"/>
    <n v="0"/>
    <n v="0"/>
    <m/>
    <m/>
    <m/>
    <m/>
    <m/>
    <m/>
    <m/>
    <m/>
  </r>
  <r>
    <x v="153"/>
    <x v="11"/>
    <s v="Series 2"/>
    <n v="43795100.853500001"/>
    <n v="8738066.41386343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54"/>
    <x v="11"/>
    <s v="Series 2"/>
    <n v="44718811.365999997"/>
    <n v="8922366.567262068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55"/>
    <x v="11"/>
    <s v="Series 2"/>
    <n v="44798269.722999997"/>
    <n v="8938220.221827793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56"/>
    <x v="11"/>
    <s v="Series 2"/>
    <n v="42078711.987000003"/>
    <n v="8395609.846457351"/>
    <n v="107.2"/>
    <n v="0"/>
    <n v="0"/>
    <n v="-3392880"/>
    <m/>
    <n v="5.0119899276591235"/>
    <n v="-3392880"/>
    <n v="-676952.67727416649"/>
    <n v="-3392880"/>
    <n v="-3392880"/>
    <s v="Private Equity Fund"/>
    <n v="0"/>
    <n v="0"/>
    <n v="0"/>
    <n v="0"/>
    <m/>
    <m/>
    <m/>
    <m/>
    <m/>
    <m/>
    <m/>
    <m/>
  </r>
  <r>
    <x v="157"/>
    <x v="11"/>
    <s v="Series 2"/>
    <n v="42268326.825000003"/>
    <n v="8433442.092877797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58"/>
    <x v="11"/>
    <s v="Series 2"/>
    <n v="43273072.597499996"/>
    <n v="8633910.5269732475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59"/>
    <x v="11"/>
    <s v="Series 2"/>
    <n v="37054163.838"/>
    <n v="7393104.2106675468"/>
    <n v="107.2"/>
    <n v="0"/>
    <n v="0"/>
    <n v="-4848656"/>
    <m/>
    <n v="5.0119899276591235"/>
    <n v="-4848656"/>
    <n v="-967411.36155167629"/>
    <n v="-4848656"/>
    <n v="-4848656"/>
    <s v="Private Equity Fund"/>
    <n v="0"/>
    <n v="0"/>
    <n v="0"/>
    <n v="0"/>
    <m/>
    <m/>
    <m/>
    <m/>
    <m/>
    <m/>
    <m/>
    <m/>
  </r>
  <r>
    <x v="160"/>
    <x v="11"/>
    <s v="Series 2"/>
    <n v="37261751.645499997"/>
    <n v="7434522.451824498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61"/>
    <x v="11"/>
    <s v="Series 2"/>
    <n v="34137395.222000003"/>
    <n v="6811146.0148013616"/>
    <n v="107.2"/>
    <n v="0"/>
    <n v="0"/>
    <n v="-3006531.2"/>
    <m/>
    <n v="5.0119899276591235"/>
    <n v="-3006531.2"/>
    <n v="-599867.76577665959"/>
    <n v="-3006531.2"/>
    <n v="-3006531.2"/>
    <s v="Private Equity Fund"/>
    <n v="0"/>
    <n v="0"/>
    <n v="0"/>
    <n v="0"/>
    <m/>
    <m/>
    <m/>
    <m/>
    <m/>
    <m/>
    <m/>
    <m/>
  </r>
  <r>
    <x v="162"/>
    <x v="11"/>
    <s v="Series 2"/>
    <n v="33959257.593999997"/>
    <n v="6775603.719112190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63"/>
    <x v="11"/>
    <s v="Series 2"/>
    <n v="33858582.710000001"/>
    <n v="6755516.910189368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64"/>
    <x v="11"/>
    <s v="Series 2"/>
    <n v="24371097.879999999"/>
    <n v="4862559.2293204488"/>
    <n v="107.2"/>
    <n v="0"/>
    <n v="0"/>
    <n v="-6753600"/>
    <m/>
    <n v="5.0119899276591235"/>
    <n v="-6753600"/>
    <n v="-1347488.7414936016"/>
    <n v="-6753600"/>
    <n v="-6753600"/>
    <s v="Private Equity Fund"/>
    <n v="0"/>
    <n v="0"/>
    <n v="0"/>
    <n v="0"/>
    <m/>
    <m/>
    <m/>
    <m/>
    <m/>
    <m/>
    <m/>
    <m/>
  </r>
  <r>
    <x v="165"/>
    <x v="11"/>
    <s v="Series 2"/>
    <n v="23745565.359999999"/>
    <n v="4737752.01122371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66"/>
    <x v="11"/>
    <s v="Series 2"/>
    <n v="23989685.510000002"/>
    <n v="4786459.24198904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67"/>
    <x v="11"/>
    <s v="Series 2"/>
    <n v="24451655.23"/>
    <n v="4878632.156673203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68"/>
    <x v="11"/>
    <s v="Series 2"/>
    <n v="25156356.460000001"/>
    <n v="5019235.238517210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69"/>
    <x v="11"/>
    <s v="Series 2"/>
    <n v="24994116.350000001"/>
    <n v="4986864.84026388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70"/>
    <x v="11"/>
    <s v="Series 2"/>
    <n v="25321518.949999999"/>
    <n v="5052188.714558440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71"/>
    <x v="11"/>
    <s v="Series 2"/>
    <n v="25689342.75"/>
    <n v="5125577.4893383207"/>
    <n v="107.2"/>
    <n v="0"/>
    <n v="-3.7252902984619141E-9"/>
    <n v="0"/>
    <m/>
    <n v="5.0119899276591235"/>
    <n v="-3.7252902984619141E-9"/>
    <n v="0"/>
    <n v="-3.7252902984619141E-9"/>
    <n v="-3.7252902984619141E-9"/>
    <s v="Private Equity Fund"/>
    <n v="0"/>
    <n v="0"/>
    <n v="0"/>
    <n v="0"/>
    <m/>
    <m/>
    <m/>
    <m/>
    <m/>
    <m/>
    <m/>
    <m/>
  </r>
  <r>
    <x v="172"/>
    <x v="11"/>
    <s v="Series 2"/>
    <n v="25860682.059999999"/>
    <n v="5159763.3740813136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73"/>
    <x v="11"/>
    <s v="Series 2"/>
    <n v="25541955.66"/>
    <n v="5096170.588660680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74"/>
    <x v="11"/>
    <s v="Series 2"/>
    <n v="25710613.469999999"/>
    <n v="5129821.4563667886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75"/>
    <x v="11"/>
    <s v="Series 2"/>
    <n v="21332360.329999998"/>
    <n v="4256265.6026652055"/>
    <n v="107.2"/>
    <n v="0"/>
    <n v="0"/>
    <n v="-3995987.2"/>
    <m/>
    <n v="5.0119899276591235"/>
    <n v="-3995987.2"/>
    <n v="-797285.56076056347"/>
    <n v="-3995987.2"/>
    <n v="-3995987.2"/>
    <s v="Private Equity Fund"/>
    <n v="0"/>
    <n v="0"/>
    <n v="0"/>
    <n v="0"/>
    <m/>
    <m/>
    <m/>
    <m/>
    <m/>
    <m/>
    <m/>
    <m/>
  </r>
  <r>
    <x v="176"/>
    <x v="11"/>
    <s v="Series 2"/>
    <n v="19647440.100000001"/>
    <n v="3920087.7063965774"/>
    <n v="107.2"/>
    <n v="0"/>
    <n v="0"/>
    <n v="-814720"/>
    <m/>
    <n v="5.0119899276591235"/>
    <n v="-814720"/>
    <n v="-162554.19738652973"/>
    <n v="-814720"/>
    <n v="-814720"/>
    <s v="Private Equity Fund"/>
    <n v="0"/>
    <n v="0"/>
    <n v="0"/>
    <n v="0"/>
    <m/>
    <m/>
    <m/>
    <m/>
    <m/>
    <m/>
    <m/>
    <m/>
  </r>
  <r>
    <x v="177"/>
    <x v="11"/>
    <s v="Series 2"/>
    <n v="19500015.859999999"/>
    <n v="3890673.393493347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78"/>
    <x v="11"/>
    <s v="Series 2"/>
    <n v="19820782.879999999"/>
    <n v="3954673.326579768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79"/>
    <x v="11"/>
    <s v="Series 2"/>
    <n v="19340988.010000002"/>
    <n v="3858943.910334894"/>
    <n v="107.2"/>
    <n v="0"/>
    <n v="0"/>
    <n v="-1286400"/>
    <m/>
    <n v="5.0119899276591235"/>
    <n v="-1286400"/>
    <n v="-256664.52218925746"/>
    <n v="-1286400"/>
    <n v="-1286400"/>
    <s v="Private Equity Fund"/>
    <n v="0"/>
    <n v="0"/>
    <n v="0"/>
    <n v="0"/>
    <m/>
    <m/>
    <m/>
    <m/>
    <m/>
    <m/>
    <m/>
    <m/>
  </r>
  <r>
    <x v="180"/>
    <x v="11"/>
    <s v="Series 2"/>
    <n v="18403540.27"/>
    <n v="3671902.8840098786"/>
    <n v="107.2"/>
    <n v="0"/>
    <n v="0"/>
    <n v="-1232800"/>
    <m/>
    <n v="5.0119899276591235"/>
    <n v="-1232800"/>
    <n v="-245970.16709803839"/>
    <n v="-1232800"/>
    <n v="-1232800"/>
    <s v="Private Equity Fund"/>
    <n v="0"/>
    <n v="0"/>
    <n v="0"/>
    <n v="0"/>
    <m/>
    <m/>
    <m/>
    <m/>
    <m/>
    <m/>
    <m/>
    <m/>
  </r>
  <r>
    <x v="181"/>
    <x v="11"/>
    <s v="Series 2"/>
    <n v="17242492.890000001"/>
    <n v="3440248.910885820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82"/>
    <x v="11"/>
    <s v="Series 2"/>
    <n v="16583133.810000001"/>
    <n v="3308692.5650996352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83"/>
    <x v="11"/>
    <s v="Series 2"/>
    <n v="17403153.66"/>
    <n v="3472304.196774041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84"/>
    <x v="11"/>
    <s v="Series 2"/>
    <n v="19412700"/>
    <n v="3873251.9977482883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85"/>
    <x v="11"/>
    <s v="Series 2"/>
    <n v="19067100"/>
    <n v="3804297.349995950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86"/>
    <x v="11"/>
    <s v="Series 2"/>
    <n v="19025700"/>
    <n v="3796037.157817285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87"/>
    <x v="11"/>
    <s v="Series 2"/>
    <n v="13776900"/>
    <n v="2748788.4450786547"/>
    <n v="107.2"/>
    <n v="0"/>
    <n v="-1.862645149230957E-9"/>
    <n v="-4631546.51"/>
    <m/>
    <n v="5.0119899276591235"/>
    <n v="-4631546.5100000016"/>
    <n v="-924093.33954172337"/>
    <n v="-4631546.5100000016"/>
    <n v="-4631546.5100000016"/>
    <s v="Private Equity Fund"/>
    <n v="0"/>
    <n v="0"/>
    <n v="0"/>
    <n v="0"/>
    <m/>
    <m/>
    <m/>
    <m/>
    <m/>
    <m/>
    <m/>
    <m/>
  </r>
  <r>
    <x v="188"/>
    <x v="11"/>
    <s v="Series 2"/>
    <n v="13929100"/>
    <n v="2779155.6250205114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89"/>
    <x v="11"/>
    <s v="Series 2"/>
    <n v="14239200"/>
    <n v="2841027.257740418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90"/>
    <x v="11"/>
    <s v="Series 2"/>
    <n v="13767500"/>
    <n v="2746912.9425066868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91"/>
    <x v="11"/>
    <s v="Series 2"/>
    <n v="13848225.35"/>
    <n v="2763019.389479876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92"/>
    <x v="11"/>
    <s v="Series 2"/>
    <n v="7897241.4299999997"/>
    <n v="1575669.8524907946"/>
    <n v="107.2"/>
    <n v="0"/>
    <n v="0"/>
    <n v="-6091054.9299999997"/>
    <m/>
    <n v="5.0119899276591235"/>
    <n v="-6091054.9299999997"/>
    <n v="-1215296.7220436651"/>
    <n v="-6091054.9299999997"/>
    <n v="-6091054.9299999997"/>
    <s v="Private Equity Fund"/>
    <n v="0"/>
    <n v="0"/>
    <n v="0"/>
    <n v="0"/>
    <m/>
    <m/>
    <m/>
    <m/>
    <m/>
    <m/>
    <m/>
    <m/>
  </r>
  <r>
    <x v="193"/>
    <x v="11"/>
    <s v="Series 2"/>
    <n v="7528562.5099999998"/>
    <n v="1502110.4628429001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94"/>
    <x v="11"/>
    <s v="Series 2"/>
    <n v="7235291.2800000003"/>
    <n v="1443596.5324015089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95"/>
    <x v="11"/>
    <s v="Series 2"/>
    <n v="7199775.2790000001"/>
    <n v="1436510.3248247535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96"/>
    <x v="11"/>
    <s v="Series 2"/>
    <n v="7171311.2300000004"/>
    <n v="1430831.1336430397"/>
    <n v="107.2"/>
    <n v="0"/>
    <n v="0"/>
    <n v="0"/>
    <m/>
    <n v="5.0119899276591235"/>
    <n v="0"/>
    <n v="0"/>
    <n v="0"/>
    <n v="0"/>
    <s v="Private Equity Fund"/>
    <n v="0"/>
    <n v="0"/>
    <n v="0"/>
    <n v="0"/>
    <m/>
    <m/>
    <m/>
    <m/>
    <m/>
    <m/>
    <m/>
    <m/>
  </r>
  <r>
    <x v="197"/>
    <x v="11"/>
    <s v="Series 2"/>
    <n v="6836543.4900000002"/>
    <m/>
    <n v="107.2"/>
    <m/>
    <n v="0"/>
    <n v="0"/>
    <m/>
    <n v="0"/>
    <n v="0"/>
    <e v="#DIV/0!"/>
    <n v="0"/>
    <n v="0"/>
    <s v="Private Equity Fund"/>
    <n v="0"/>
    <n v="0"/>
    <m/>
    <m/>
    <m/>
    <m/>
    <m/>
    <m/>
    <m/>
    <m/>
    <m/>
    <m/>
  </r>
  <r>
    <x v="198"/>
    <x v="11"/>
    <s v="Series 2"/>
    <n v="6358835.0099999998"/>
    <m/>
    <n v="107.2"/>
    <m/>
    <n v="0"/>
    <n v="424807.02999999997"/>
    <n v="0"/>
    <m/>
    <n v="424807.02999999997"/>
    <e v="#DIV/0!"/>
    <n v="-5934027.9799999995"/>
    <n v="-5934027.9799999995"/>
    <s v="Private Equity Fund"/>
    <n v="0"/>
    <n v="0"/>
    <m/>
    <m/>
    <m/>
    <m/>
    <m/>
    <m/>
    <m/>
    <m/>
    <m/>
    <m/>
  </r>
  <r>
    <x v="136"/>
    <x v="11"/>
    <s v="Series 3"/>
    <n v="14625000"/>
    <n v="14625000"/>
    <n v="125"/>
    <n v="14625000"/>
    <n v="0"/>
    <n v="0"/>
    <m/>
    <n v="1"/>
    <n v="14625000"/>
    <n v="14625000"/>
    <n v="14625000"/>
    <n v="14625000"/>
    <s v="Private Equity Fund"/>
    <n v="0"/>
    <n v="0"/>
    <n v="0"/>
    <n v="0"/>
    <m/>
    <m/>
    <m/>
    <m/>
    <m/>
    <m/>
    <m/>
    <m/>
  </r>
  <r>
    <x v="137"/>
    <x v="11"/>
    <s v="Series 3"/>
    <n v="14649420.602"/>
    <n v="14649420.602"/>
    <n v="125"/>
    <n v="0"/>
    <n v="0"/>
    <n v="0"/>
    <m/>
    <n v="1"/>
    <n v="0"/>
    <n v="0"/>
    <n v="0"/>
    <n v="0"/>
    <s v="Private Equity Fund"/>
    <n v="0"/>
    <n v="0"/>
    <n v="0"/>
    <n v="0"/>
    <m/>
    <m/>
    <m/>
    <m/>
    <m/>
    <m/>
    <m/>
    <m/>
  </r>
  <r>
    <x v="138"/>
    <x v="11"/>
    <s v="Series 3"/>
    <n v="22130551.629999999"/>
    <n v="14554800.98786664"/>
    <n v="125"/>
    <n v="7625000"/>
    <n v="0"/>
    <n v="0"/>
    <m/>
    <n v="1.5204984010738967"/>
    <n v="7625000"/>
    <n v="0"/>
    <n v="7625000"/>
    <n v="7625000"/>
    <s v="Private Equity Fund"/>
    <n v="0"/>
    <n v="0"/>
    <n v="0"/>
    <n v="0"/>
    <m/>
    <m/>
    <m/>
    <m/>
    <m/>
    <m/>
    <m/>
    <m/>
  </r>
  <r>
    <x v="139"/>
    <x v="11"/>
    <s v="Series 3"/>
    <n v="22642503.828499999"/>
    <n v="14891501.242295332"/>
    <n v="125"/>
    <n v="0"/>
    <n v="0"/>
    <n v="0"/>
    <m/>
    <n v="1.5204984010738967"/>
    <n v="0"/>
    <n v="0"/>
    <n v="0"/>
    <n v="0"/>
    <s v="Private Equity Fund"/>
    <n v="0"/>
    <n v="0"/>
    <n v="0"/>
    <n v="0"/>
    <m/>
    <m/>
    <m/>
    <m/>
    <m/>
    <m/>
    <m/>
    <m/>
  </r>
  <r>
    <x v="140"/>
    <x v="11"/>
    <s v="Series 3"/>
    <n v="52540034.818000004"/>
    <n v="14933433.918782942"/>
    <n v="125"/>
    <n v="29750000"/>
    <n v="0"/>
    <n v="0"/>
    <m/>
    <n v="3.5182822051340992"/>
    <n v="29750000"/>
    <n v="0"/>
    <n v="29750000"/>
    <n v="29750000"/>
    <s v="Private Equity Fund"/>
    <n v="0"/>
    <n v="0"/>
    <n v="0"/>
    <n v="0"/>
    <m/>
    <m/>
    <m/>
    <m/>
    <m/>
    <m/>
    <m/>
    <m/>
  </r>
  <r>
    <x v="141"/>
    <x v="11"/>
    <s v="Series 3"/>
    <n v="63206583.82"/>
    <n v="15122820.093913885"/>
    <n v="125"/>
    <n v="9875000"/>
    <n v="0"/>
    <n v="0"/>
    <m/>
    <n v="4.1795500725051422"/>
    <n v="9875000"/>
    <n v="0"/>
    <n v="9875000"/>
    <n v="9875000"/>
    <s v="Private Equity Fund"/>
    <n v="0"/>
    <n v="0"/>
    <n v="0"/>
    <n v="0"/>
    <m/>
    <m/>
    <m/>
    <m/>
    <m/>
    <m/>
    <m/>
    <m/>
  </r>
  <r>
    <x v="142"/>
    <x v="11"/>
    <s v="Series 3"/>
    <n v="63194305.892999999"/>
    <n v="15119882.47460391"/>
    <n v="125"/>
    <n v="0"/>
    <n v="0"/>
    <n v="0"/>
    <m/>
    <n v="4.1795500725051422"/>
    <n v="0"/>
    <n v="0"/>
    <n v="0"/>
    <n v="0"/>
    <s v="Private Equity Fund"/>
    <n v="0"/>
    <n v="0"/>
    <n v="0"/>
    <n v="0"/>
    <m/>
    <m/>
    <m/>
    <m/>
    <m/>
    <m/>
    <m/>
    <m/>
  </r>
  <r>
    <x v="143"/>
    <x v="11"/>
    <s v="Series 3"/>
    <n v="74490460.731000006"/>
    <n v="15205853.465926142"/>
    <n v="125"/>
    <n v="10875000"/>
    <n v="0"/>
    <n v="0"/>
    <m/>
    <n v="4.8988016948815849"/>
    <n v="10875000"/>
    <n v="0"/>
    <n v="10875000"/>
    <n v="10875000"/>
    <s v="Private Equity Fund"/>
    <n v="0"/>
    <n v="0"/>
    <n v="0"/>
    <n v="0"/>
    <m/>
    <m/>
    <m/>
    <m/>
    <m/>
    <m/>
    <m/>
    <m/>
  </r>
  <r>
    <x v="144"/>
    <x v="11"/>
    <s v="Series 3"/>
    <n v="81488648.310499996"/>
    <n v="15135863.577649677"/>
    <n v="125"/>
    <n v="7375000"/>
    <n v="0"/>
    <n v="0"/>
    <m/>
    <n v="5.3838122874488601"/>
    <n v="7375000"/>
    <n v="0"/>
    <n v="7375000"/>
    <n v="7375000"/>
    <s v="Private Equity Fund"/>
    <n v="0"/>
    <n v="0"/>
    <n v="0"/>
    <n v="0"/>
    <m/>
    <m/>
    <m/>
    <m/>
    <m/>
    <m/>
    <m/>
    <m/>
  </r>
  <r>
    <x v="145"/>
    <x v="11"/>
    <s v="Series 3"/>
    <n v="84527219.515499994"/>
    <n v="14965641.502925906"/>
    <n v="125"/>
    <n v="4000000"/>
    <n v="0"/>
    <n v="0"/>
    <m/>
    <n v="5.6480852824768135"/>
    <n v="4000000"/>
    <n v="0"/>
    <n v="4000000"/>
    <n v="4000000"/>
    <s v="Private Equity Fund"/>
    <n v="0"/>
    <n v="0"/>
    <n v="0"/>
    <n v="0"/>
    <m/>
    <m/>
    <m/>
    <m/>
    <m/>
    <m/>
    <m/>
    <m/>
  </r>
  <r>
    <x v="146"/>
    <x v="11"/>
    <s v="Series 3"/>
    <n v="85370854.103499994"/>
    <n v="15115007.977723548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</r>
  <r>
    <x v="147"/>
    <x v="11"/>
    <s v="Series 3"/>
    <n v="85309280.282000005"/>
    <n v="15104106.261757782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</r>
  <r>
    <x v="148"/>
    <x v="11"/>
    <s v="Series 3"/>
    <n v="83127841.189999998"/>
    <n v="14717879.959763383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</r>
  <r>
    <x v="149"/>
    <x v="11"/>
    <s v="Series 3"/>
    <n v="82013250.579999998"/>
    <n v="14520540.409410272"/>
    <n v="125"/>
    <n v="0"/>
    <n v="0"/>
    <n v="0"/>
    <m/>
    <n v="5.6480852824768135"/>
    <n v="0"/>
    <n v="0"/>
    <n v="0"/>
    <n v="0"/>
    <s v="Private Equity Fund"/>
    <n v="0"/>
    <n v="0"/>
    <n v="0"/>
    <n v="0"/>
    <m/>
    <m/>
    <m/>
    <m/>
    <m/>
    <m/>
    <m/>
    <m/>
  </r>
  <r>
    <x v="1"/>
    <x v="11"/>
    <s v="Series 3"/>
    <n v="124195018.06"/>
    <n v="14674948.743075097"/>
    <n v="125"/>
    <n v="40875000"/>
    <n v="0"/>
    <n v="0"/>
    <m/>
    <n v="8.4630631584731013"/>
    <n v="40875000"/>
    <n v="0"/>
    <n v="40875000"/>
    <n v="40875000"/>
    <s v="Private Equity Fund"/>
    <n v="0"/>
    <n v="0"/>
    <n v="0"/>
    <n v="0"/>
    <m/>
    <m/>
    <m/>
    <m/>
    <m/>
    <m/>
    <m/>
    <m/>
  </r>
  <r>
    <x v="2"/>
    <x v="11"/>
    <s v="Series 3"/>
    <n v="110091599.789"/>
    <n v="13008481.412404187"/>
    <n v="125"/>
    <n v="0"/>
    <n v="0"/>
    <n v="-16151066.669999998"/>
    <m/>
    <n v="8.4630631584731013"/>
    <n v="-16151066.669999998"/>
    <n v="-1908418.543920445"/>
    <n v="-16151066.669999998"/>
    <n v="-16151066.669999998"/>
    <s v="Private Equity Fund"/>
    <n v="0"/>
    <n v="0"/>
    <n v="0"/>
    <n v="0"/>
    <m/>
    <m/>
    <m/>
    <m/>
    <m/>
    <m/>
    <m/>
    <m/>
  </r>
  <r>
    <x v="3"/>
    <x v="11"/>
    <s v="Series 3"/>
    <n v="110241771.193"/>
    <n v="13026225.74459077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4"/>
    <x v="11"/>
    <s v="Series 3"/>
    <n v="112194403.88349999"/>
    <n v="13256949.85168254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5"/>
    <x v="11"/>
    <s v="Series 3"/>
    <n v="113714706.19949999"/>
    <n v="13436589.57403034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6"/>
    <x v="11"/>
    <s v="Series 3"/>
    <n v="114456044.5795"/>
    <n v="13524186.50744774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7"/>
    <x v="11"/>
    <s v="Series 3"/>
    <n v="109278725.9515"/>
    <n v="12912431.811653404"/>
    <n v="125"/>
    <n v="0"/>
    <n v="0"/>
    <n v="-5311250"/>
    <m/>
    <n v="8.4630631584731013"/>
    <n v="-5311250"/>
    <n v="-627580.09724675759"/>
    <n v="-5311250"/>
    <n v="-5311250"/>
    <s v="Private Equity Fund"/>
    <n v="0"/>
    <n v="0"/>
    <n v="0"/>
    <n v="0"/>
    <m/>
    <m/>
    <m/>
    <m/>
    <m/>
    <m/>
    <m/>
    <m/>
  </r>
  <r>
    <x v="8"/>
    <x v="11"/>
    <s v="Series 3"/>
    <n v="107779562.5235"/>
    <n v="12735289.87144478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9"/>
    <x v="11"/>
    <s v="Series 3"/>
    <n v="108445817.233"/>
    <n v="12814014.87881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0"/>
    <x v="11"/>
    <s v="Series 3"/>
    <n v="108762817.355"/>
    <n v="12851471.78018022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1"/>
    <x v="11"/>
    <s v="Series 3"/>
    <n v="101152810.1225"/>
    <n v="11952269.317667471"/>
    <n v="125"/>
    <n v="0"/>
    <n v="0"/>
    <n v="-8432500"/>
    <m/>
    <n v="8.4630631584731013"/>
    <n v="-8432500"/>
    <n v="-996388.64109828812"/>
    <n v="-8432500"/>
    <n v="-8432500"/>
    <s v="Private Equity Fund"/>
    <n v="0"/>
    <n v="0"/>
    <n v="0"/>
    <n v="0"/>
    <m/>
    <m/>
    <m/>
    <m/>
    <m/>
    <m/>
    <m/>
    <m/>
  </r>
  <r>
    <x v="12"/>
    <x v="11"/>
    <s v="Series 3"/>
    <n v="72456057.649000004"/>
    <n v="8561445.9318382852"/>
    <n v="125"/>
    <n v="0"/>
    <n v="0"/>
    <n v="-29393750"/>
    <m/>
    <n v="8.4630631584731013"/>
    <n v="-29393750"/>
    <n v="-3473180.9806442703"/>
    <n v="-29393750"/>
    <n v="-29393750"/>
    <s v="Private Equity Fund"/>
    <n v="0"/>
    <n v="0"/>
    <n v="0"/>
    <n v="0"/>
    <m/>
    <m/>
    <m/>
    <m/>
    <m/>
    <m/>
    <m/>
    <m/>
  </r>
  <r>
    <x v="13"/>
    <x v="11"/>
    <s v="Series 3"/>
    <n v="72862376.221499994"/>
    <n v="8609456.7483584471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50"/>
    <x v="11"/>
    <s v="Series 3"/>
    <n v="57035648.439499997"/>
    <n v="6739362.2582618557"/>
    <n v="125"/>
    <n v="0"/>
    <n v="0"/>
    <n v="-14468750"/>
    <m/>
    <n v="8.4630631584731013"/>
    <n v="-14468750"/>
    <n v="-1709635.1201767989"/>
    <n v="-14468750"/>
    <n v="-14468750"/>
    <s v="Private Equity Fund"/>
    <n v="0"/>
    <n v="0"/>
    <n v="0"/>
    <n v="0"/>
    <m/>
    <m/>
    <m/>
    <m/>
    <m/>
    <m/>
    <m/>
    <m/>
  </r>
  <r>
    <x v="151"/>
    <x v="11"/>
    <s v="Series 3"/>
    <n v="55339365.846500002"/>
    <n v="6538928.61370117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52"/>
    <x v="11"/>
    <s v="Series 3"/>
    <n v="47432063.873999998"/>
    <n v="5604597.6481354358"/>
    <n v="125"/>
    <n v="0"/>
    <n v="0"/>
    <n v="-7187500"/>
    <m/>
    <n v="8.4630631584731013"/>
    <n v="-7187500"/>
    <n v="-849278.78540100157"/>
    <n v="-7187500"/>
    <n v="-7187500"/>
    <s v="Private Equity Fund"/>
    <n v="0"/>
    <n v="0"/>
    <n v="0"/>
    <n v="0"/>
    <m/>
    <m/>
    <m/>
    <m/>
    <m/>
    <m/>
    <m/>
    <m/>
  </r>
  <r>
    <x v="153"/>
    <x v="11"/>
    <s v="Series 3"/>
    <n v="48075837.681500003"/>
    <n v="5680666.300282438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54"/>
    <x v="11"/>
    <s v="Series 3"/>
    <n v="49024080.205499999"/>
    <n v="5792711.136323940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55"/>
    <x v="11"/>
    <s v="Series 3"/>
    <n v="48683406.614500001"/>
    <n v="5752456.96539069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56"/>
    <x v="11"/>
    <s v="Series 3"/>
    <n v="45455255.158500001"/>
    <n v="5371016.8891970078"/>
    <n v="125"/>
    <n v="0"/>
    <n v="0"/>
    <n v="-4581250"/>
    <m/>
    <n v="8.4630631584731013"/>
    <n v="-4581250"/>
    <n v="-541322.91278168187"/>
    <n v="-4581250"/>
    <n v="-4581250"/>
    <s v="Private Equity Fund"/>
    <n v="0"/>
    <n v="0"/>
    <n v="0"/>
    <n v="0"/>
    <m/>
    <m/>
    <m/>
    <m/>
    <m/>
    <m/>
    <m/>
    <m/>
  </r>
  <r>
    <x v="157"/>
    <x v="11"/>
    <s v="Series 3"/>
    <n v="45559086.968000002"/>
    <n v="5383285.710492054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58"/>
    <x v="11"/>
    <s v="Series 3"/>
    <n v="46078338.946000002"/>
    <n v="5444640.797684111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59"/>
    <x v="11"/>
    <s v="Series 3"/>
    <n v="39977600.859499998"/>
    <n v="4723774.3723411756"/>
    <n v="125"/>
    <n v="0"/>
    <n v="0"/>
    <n v="-4841250"/>
    <m/>
    <n v="8.4630631584731013"/>
    <n v="-4841250"/>
    <n v="-572044.64971444861"/>
    <n v="-4841250"/>
    <n v="-4841250"/>
    <s v="Private Equity Fund"/>
    <n v="0"/>
    <n v="0"/>
    <n v="0"/>
    <n v="0"/>
    <m/>
    <m/>
    <m/>
    <m/>
    <m/>
    <m/>
    <m/>
    <m/>
  </r>
  <r>
    <x v="160"/>
    <x v="11"/>
    <s v="Series 3"/>
    <n v="38908789.685999997"/>
    <n v="4597483.081175526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61"/>
    <x v="11"/>
    <s v="Series 3"/>
    <n v="36942954.142999999"/>
    <n v="4365198.9180788789"/>
    <n v="125"/>
    <n v="0"/>
    <n v="0"/>
    <n v="-1343250"/>
    <m/>
    <n v="8.4630631584731013"/>
    <n v="-1343250"/>
    <n v="-158719.12744207241"/>
    <n v="-1343250"/>
    <n v="-1343250"/>
    <s v="Private Equity Fund"/>
    <n v="0"/>
    <n v="0"/>
    <n v="0"/>
    <n v="0"/>
    <m/>
    <m/>
    <m/>
    <m/>
    <m/>
    <m/>
    <m/>
    <m/>
  </r>
  <r>
    <x v="162"/>
    <x v="11"/>
    <s v="Series 3"/>
    <n v="37491551.648500003"/>
    <n v="4430021.488255582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63"/>
    <x v="11"/>
    <s v="Series 3"/>
    <n v="36981524.983999997"/>
    <n v="4369756.468965330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64"/>
    <x v="11"/>
    <s v="Series 3"/>
    <n v="27250049.944499999"/>
    <n v="3219880.2530756998"/>
    <n v="125"/>
    <n v="0"/>
    <n v="0"/>
    <n v="-6875000"/>
    <m/>
    <n v="8.4630631584731013"/>
    <n v="-6875000"/>
    <n v="-812353.62081834942"/>
    <n v="-6875000"/>
    <n v="-6875000"/>
    <s v="Private Equity Fund"/>
    <n v="0"/>
    <n v="0"/>
    <n v="0"/>
    <n v="0"/>
    <m/>
    <m/>
    <m/>
    <m/>
    <m/>
    <m/>
    <m/>
    <m/>
  </r>
  <r>
    <x v="165"/>
    <x v="11"/>
    <s v="Series 3"/>
    <n v="26520602.316500001"/>
    <n v="3133688.337177058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66"/>
    <x v="11"/>
    <s v="Series 3"/>
    <n v="26933974.889400002"/>
    <n v="3182532.658099577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67"/>
    <x v="11"/>
    <s v="Series 3"/>
    <n v="27733729.631299999"/>
    <n v="3277032.099604901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68"/>
    <x v="11"/>
    <s v="Series 3"/>
    <n v="28227498.960299999"/>
    <n v="3335376.143570312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69"/>
    <x v="11"/>
    <s v="Series 3"/>
    <n v="28052239.994199999"/>
    <n v="3314667.451833262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0"/>
    <x v="11"/>
    <s v="Series 3"/>
    <n v="28180256.575100001"/>
    <n v="3329793.95845419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1"/>
    <x v="11"/>
    <s v="Series 3"/>
    <n v="28778298.642499998"/>
    <n v="3400458.9241056964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2"/>
    <x v="11"/>
    <s v="Series 3"/>
    <n v="28950560.492899999"/>
    <n v="3420813.475073159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3"/>
    <x v="11"/>
    <s v="Series 3"/>
    <n v="28964242.230799999"/>
    <n v="3422430.1164291091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4"/>
    <x v="11"/>
    <s v="Series 3"/>
    <n v="29323314.481199998"/>
    <n v="3464858.282646975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5"/>
    <x v="11"/>
    <s v="Series 3"/>
    <n v="24595750.854699999"/>
    <n v="2906246.8746998627"/>
    <n v="125"/>
    <n v="0"/>
    <n v="0"/>
    <n v="-4809500"/>
    <m/>
    <n v="8.4630631584731013"/>
    <n v="-4809500"/>
    <n v="-568293.05299285112"/>
    <n v="-4809500"/>
    <n v="-4809500"/>
    <s v="Private Equity Fund"/>
    <n v="0"/>
    <n v="0"/>
    <n v="0"/>
    <n v="0"/>
    <m/>
    <m/>
    <m/>
    <m/>
    <m/>
    <m/>
    <m/>
    <m/>
  </r>
  <r>
    <x v="176"/>
    <x v="11"/>
    <s v="Series 3"/>
    <n v="22426532.2502"/>
    <n v="2649930.861941739"/>
    <n v="125"/>
    <n v="0"/>
    <n v="0"/>
    <n v="-950000"/>
    <m/>
    <n v="8.4630631584731013"/>
    <n v="-950000"/>
    <n v="-112252.50033126283"/>
    <n v="-950000"/>
    <n v="-950000"/>
    <s v="Private Equity Fund"/>
    <n v="0"/>
    <n v="0"/>
    <n v="0"/>
    <n v="0"/>
    <m/>
    <m/>
    <m/>
    <m/>
    <m/>
    <m/>
    <m/>
    <m/>
  </r>
  <r>
    <x v="177"/>
    <x v="11"/>
    <s v="Series 3"/>
    <n v="22531804.418699998"/>
    <n v="2662369.8768148115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8"/>
    <x v="11"/>
    <s v="Series 3"/>
    <n v="22884848.463"/>
    <n v="2704085.74702506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79"/>
    <x v="11"/>
    <s v="Series 3"/>
    <n v="22544162.391100001"/>
    <n v="2663830.1013421007"/>
    <n v="125"/>
    <n v="0"/>
    <n v="0"/>
    <n v="-1500000"/>
    <m/>
    <n v="8.4630631584731013"/>
    <n v="-1500000"/>
    <n v="-177240.78999673077"/>
    <n v="-1500000"/>
    <n v="-1500000"/>
    <s v="Private Equity Fund"/>
    <n v="0"/>
    <n v="0"/>
    <n v="0"/>
    <n v="0"/>
    <m/>
    <m/>
    <m/>
    <m/>
    <m/>
    <m/>
    <m/>
    <m/>
  </r>
  <r>
    <x v="180"/>
    <x v="11"/>
    <s v="Series 3"/>
    <n v="21436383.200000003"/>
    <n v="2532934.3286937652"/>
    <n v="125"/>
    <n v="0"/>
    <n v="0"/>
    <n v="-1437500"/>
    <m/>
    <n v="8.4630631584731013"/>
    <n v="-1437500"/>
    <n v="-169855.75708020033"/>
    <n v="-1437500"/>
    <n v="-1437500"/>
    <s v="Private Equity Fund"/>
    <n v="0"/>
    <n v="0"/>
    <n v="0"/>
    <n v="0"/>
    <m/>
    <m/>
    <m/>
    <m/>
    <m/>
    <m/>
    <m/>
    <m/>
  </r>
  <r>
    <x v="181"/>
    <x v="11"/>
    <s v="Series 3"/>
    <n v="20393130.023899999"/>
    <n v="2409662.9839613899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82"/>
    <x v="11"/>
    <s v="Series 3"/>
    <n v="19877874.0592"/>
    <n v="2348780.067805419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83"/>
    <x v="11"/>
    <s v="Series 3"/>
    <n v="20801993.010000002"/>
    <n v="2457974.449732581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84"/>
    <x v="11"/>
    <s v="Series 3"/>
    <n v="22831500"/>
    <n v="2697782.0645402391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85"/>
    <x v="11"/>
    <s v="Series 3"/>
    <n v="22802400"/>
    <n v="2694343.5932143023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86"/>
    <x v="11"/>
    <s v="Series 3"/>
    <n v="22710200"/>
    <n v="2683449.1926558367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87"/>
    <x v="11"/>
    <s v="Series 3"/>
    <n v="16640400"/>
    <n v="1966238.4279077325"/>
    <n v="125"/>
    <n v="0"/>
    <n v="0"/>
    <n v="-5458677.6900000004"/>
    <m/>
    <n v="8.4630631584731013"/>
    <n v="-5458677.6900000004"/>
    <n v="-645000.23074208631"/>
    <n v="-5458677.6900000004"/>
    <n v="-5458677.6900000004"/>
    <s v="Private Equity Fund"/>
    <n v="0"/>
    <n v="0"/>
    <n v="0"/>
    <n v="0"/>
    <m/>
    <m/>
    <m/>
    <m/>
    <m/>
    <m/>
    <m/>
    <m/>
  </r>
  <r>
    <x v="188"/>
    <x v="11"/>
    <s v="Series 3"/>
    <n v="16793600"/>
    <n v="1984340.620592732"/>
    <n v="125"/>
    <n v="0"/>
    <n v="0"/>
    <n v="0"/>
    <m/>
    <n v="8.4630631584731013"/>
    <n v="0"/>
    <n v="0"/>
    <n v="0"/>
    <n v="0"/>
    <s v="Private Equity Fund"/>
    <n v="0"/>
    <n v="0"/>
    <n v="0"/>
    <n v="0"/>
    <m/>
    <m/>
    <m/>
    <m/>
    <m/>
    <m/>
    <m/>
    <m/>
  </r>
  <r>
    <x v="189"/>
    <x v="11"/>
    <s v="Series 3"/>
    <n v="17109100"/>
    <n v="2021620.2667553776"/>
    <n v="125"/>
    <n v="0"/>
    <n v="0"/>
    <n v="0"/>
    <m/>
    <n v="8.4630631584731013"/>
    <n v="0"/>
    <n v="0"/>
    <n v="0"/>
    <n v="0"/>
    <s v="Private Equity Fund"/>
    <n v="0"/>
    <n v="0.56233608145731195"/>
    <n v="0"/>
    <n v="1.1246721629146243E-2"/>
    <m/>
    <m/>
    <m/>
    <m/>
    <m/>
    <m/>
    <m/>
    <m/>
  </r>
  <r>
    <x v="190"/>
    <x v="11"/>
    <s v="Series 3"/>
    <n v="16645900.000000002"/>
    <n v="1966888.3108043873"/>
    <n v="125"/>
    <n v="0"/>
    <n v="0"/>
    <n v="0"/>
    <m/>
    <n v="8.4630631584731013"/>
    <n v="0"/>
    <n v="0"/>
    <n v="0"/>
    <n v="0"/>
    <s v="Private Equity Fund"/>
    <n v="0"/>
    <n v="0.47396744793871398"/>
    <n v="0"/>
    <n v="9.4793489587742825E-3"/>
    <m/>
    <m/>
    <m/>
    <m/>
    <m/>
    <m/>
    <m/>
    <m/>
  </r>
  <r>
    <x v="191"/>
    <x v="11"/>
    <s v="Series 3"/>
    <n v="16731182.0178"/>
    <n v="1976965.2789426453"/>
    <n v="125"/>
    <n v="0"/>
    <n v="0"/>
    <n v="0"/>
    <m/>
    <n v="8.4630631584731013"/>
    <n v="0"/>
    <n v="0"/>
    <n v="0"/>
    <n v="0"/>
    <s v="Private Equity Fund"/>
    <n v="0"/>
    <n v="0.48213380385148896"/>
    <n v="0"/>
    <n v="9.6426760770297812E-3"/>
    <m/>
    <m/>
    <m/>
    <m/>
    <m/>
    <m/>
    <m/>
    <m/>
  </r>
  <r>
    <x v="192"/>
    <x v="11"/>
    <s v="Series 3"/>
    <n v="9624722.6890999991"/>
    <n v="1137262.3019436952"/>
    <n v="125"/>
    <n v="0"/>
    <n v="0"/>
    <n v="-7247660.5"/>
    <m/>
    <n v="8.4630631584731013"/>
    <n v="-7247660.5"/>
    <n v="-856387.38176540053"/>
    <n v="-7247660.5"/>
    <n v="-7247660.5"/>
    <s v="Private Equity Fund"/>
    <n v="0"/>
    <n v="0.50395051347254383"/>
    <n v="0"/>
    <n v="1.0079010269450879E-2"/>
    <m/>
    <m/>
    <m/>
    <m/>
    <m/>
    <m/>
    <m/>
    <m/>
  </r>
  <r>
    <x v="193"/>
    <x v="11"/>
    <s v="Series 3"/>
    <n v="9261976.1404999997"/>
    <n v="1094399.9787153944"/>
    <n v="125"/>
    <n v="0"/>
    <n v="0"/>
    <n v="0"/>
    <m/>
    <n v="8.4630631584731013"/>
    <n v="0"/>
    <n v="0"/>
    <n v="0"/>
    <n v="0"/>
    <s v="Private Equity Fund"/>
    <n v="0"/>
    <n v="0.43693218251381599"/>
    <n v="0"/>
    <n v="8.7386436502763214E-3"/>
    <m/>
    <m/>
    <m/>
    <m/>
    <m/>
    <m/>
    <m/>
    <m/>
  </r>
  <r>
    <x v="194"/>
    <x v="11"/>
    <s v="Series 3"/>
    <n v="8973160.1423000004"/>
    <n v="1060273.3282589528"/>
    <n v="125"/>
    <n v="0"/>
    <n v="0"/>
    <n v="0"/>
    <m/>
    <n v="8.4630631584731013"/>
    <n v="0"/>
    <n v="0"/>
    <n v="0"/>
    <n v="0"/>
    <s v="Private Equity Fund"/>
    <n v="0"/>
    <n v="0.38315423954179501"/>
    <n v="0"/>
    <n v="7.6630847908359008E-3"/>
    <m/>
    <m/>
    <m/>
    <m/>
    <m/>
    <m/>
    <m/>
    <m/>
  </r>
  <r>
    <x v="195"/>
    <x v="11"/>
    <s v="Series 3"/>
    <n v="8940535.7721999995"/>
    <n v="1056418.4155058395"/>
    <n v="125"/>
    <n v="0"/>
    <n v="0"/>
    <n v="0"/>
    <m/>
    <n v="8.4630631584731013"/>
    <n v="0"/>
    <n v="0"/>
    <n v="0"/>
    <n v="0"/>
    <s v="Private Equity Fund"/>
    <n v="0"/>
    <n v="0.374295853226844"/>
    <n v="0"/>
    <n v="7.485917064536881E-3"/>
    <m/>
    <m/>
    <m/>
    <m/>
    <m/>
    <m/>
    <m/>
    <m/>
  </r>
  <r>
    <x v="196"/>
    <x v="11"/>
    <s v="Series 3"/>
    <n v="8914384.2567999996"/>
    <n v="1053328.338673101"/>
    <n v="125"/>
    <n v="0"/>
    <n v="0"/>
    <n v="0"/>
    <m/>
    <n v="8.4630631584731013"/>
    <n v="0"/>
    <n v="0"/>
    <n v="0"/>
    <n v="0"/>
    <s v="Private Equity Fund"/>
    <n v="0"/>
    <n v="0.36667664624437701"/>
    <n v="0"/>
    <n v="7.3335329248875418E-3"/>
    <m/>
    <m/>
    <m/>
    <m/>
    <m/>
    <m/>
    <m/>
    <m/>
  </r>
  <r>
    <x v="197"/>
    <x v="11"/>
    <s v="Series 3"/>
    <n v="8584717.2054999992"/>
    <m/>
    <n v="125"/>
    <m/>
    <n v="0"/>
    <n v="0"/>
    <m/>
    <n v="0"/>
    <n v="0"/>
    <e v="#DIV/0!"/>
    <n v="0"/>
    <n v="0"/>
    <s v="Private Equity Fund"/>
    <n v="0"/>
    <n v="0.30578660667896385"/>
    <m/>
    <n v="6.1157321335792783E-3"/>
    <m/>
    <m/>
    <m/>
    <m/>
    <m/>
    <m/>
    <m/>
    <m/>
  </r>
  <r>
    <x v="198"/>
    <x v="11"/>
    <s v="Series 3"/>
    <n v="8084163.6621000003"/>
    <m/>
    <n v="125"/>
    <m/>
    <n v="0"/>
    <n v="450287.31999999995"/>
    <n v="0"/>
    <m/>
    <n v="450287.31999999995"/>
    <e v="#DIV/0!"/>
    <n v="-7633876.3421"/>
    <n v="-7633876.3421"/>
    <s v="Private Equity Fund"/>
    <n v="0"/>
    <n v="0.29400541025999199"/>
    <m/>
    <n v="5.8801082051998408E-3"/>
    <m/>
    <m/>
    <m/>
    <m/>
    <m/>
    <m/>
    <m/>
    <m/>
  </r>
  <r>
    <x v="136"/>
    <x v="11"/>
    <s v="Series 4"/>
    <n v="1440000"/>
    <n v="1440000"/>
    <n v="12"/>
    <n v="1440000"/>
    <n v="0"/>
    <n v="0"/>
    <m/>
    <n v="1"/>
    <n v="1440000"/>
    <n v="1440000"/>
    <n v="1440000"/>
    <n v="1440000"/>
    <s v="Private Equity Fund"/>
    <n v="0"/>
    <n v="0"/>
    <n v="0"/>
    <n v="0"/>
    <m/>
    <m/>
    <m/>
    <m/>
    <m/>
    <m/>
    <m/>
    <m/>
  </r>
  <r>
    <x v="137"/>
    <x v="11"/>
    <s v="Series 4"/>
    <n v="1437405.52"/>
    <n v="1437405.52"/>
    <n v="12"/>
    <n v="0"/>
    <n v="0"/>
    <n v="0"/>
    <m/>
    <n v="1"/>
    <n v="0"/>
    <n v="0"/>
    <n v="0"/>
    <n v="0"/>
    <s v="Private Equity Fund"/>
    <n v="0"/>
    <n v="0"/>
    <n v="0"/>
    <n v="0"/>
    <m/>
    <m/>
    <m/>
    <m/>
    <m/>
    <m/>
    <m/>
    <m/>
  </r>
  <r>
    <x v="138"/>
    <x v="11"/>
    <s v="Series 4"/>
    <n v="2150247.52"/>
    <n v="1424711.8052019663"/>
    <n v="12"/>
    <n v="732000"/>
    <n v="0"/>
    <n v="0"/>
    <m/>
    <n v="1.5092508619279548"/>
    <n v="732000"/>
    <n v="0"/>
    <n v="732000"/>
    <n v="732000"/>
    <s v="Private Equity Fund"/>
    <n v="0"/>
    <n v="0"/>
    <n v="0"/>
    <n v="0"/>
    <m/>
    <m/>
    <m/>
    <m/>
    <m/>
    <m/>
    <m/>
    <m/>
  </r>
  <r>
    <x v="139"/>
    <x v="11"/>
    <s v="Series 4"/>
    <n v="2194561.5040000002"/>
    <n v="1454073.3812777901"/>
    <n v="12"/>
    <n v="0"/>
    <n v="0"/>
    <n v="0"/>
    <m/>
    <n v="1.5092508619279548"/>
    <n v="0"/>
    <n v="0"/>
    <n v="0"/>
    <n v="0"/>
    <s v="Private Equity Fund"/>
    <n v="0"/>
    <n v="0"/>
    <n v="0"/>
    <n v="0"/>
    <m/>
    <m/>
    <m/>
    <m/>
    <m/>
    <m/>
    <m/>
    <m/>
  </r>
  <r>
    <x v="140"/>
    <x v="11"/>
    <s v="Series 4"/>
    <n v="5059264.9359999998"/>
    <n v="1456579.1281708707"/>
    <n v="12"/>
    <n v="2856000"/>
    <n v="0"/>
    <n v="0"/>
    <m/>
    <n v="3.4733883234708136"/>
    <n v="2856000"/>
    <n v="0"/>
    <n v="2856000"/>
    <n v="2856000"/>
    <s v="Private Equity Fund"/>
    <n v="0"/>
    <n v="0"/>
    <n v="0"/>
    <n v="0"/>
    <m/>
    <m/>
    <m/>
    <m/>
    <m/>
    <m/>
    <m/>
    <m/>
  </r>
  <r>
    <x v="141"/>
    <x v="11"/>
    <s v="Series 4"/>
    <n v="6073837.7120000003"/>
    <n v="1472721.0025611424"/>
    <n v="12"/>
    <n v="948000"/>
    <n v="0"/>
    <n v="0"/>
    <m/>
    <n v="4.1242283510843292"/>
    <n v="948000"/>
    <n v="0"/>
    <n v="948000"/>
    <n v="948000"/>
    <s v="Private Equity Fund"/>
    <n v="0"/>
    <n v="0"/>
    <n v="0"/>
    <n v="0"/>
    <m/>
    <m/>
    <m/>
    <m/>
    <m/>
    <m/>
    <m/>
    <m/>
  </r>
  <r>
    <x v="142"/>
    <x v="11"/>
    <s v="Series 4"/>
    <n v="6067789.4079999998"/>
    <n v="1471254.4727075249"/>
    <n v="12"/>
    <n v="0"/>
    <n v="0"/>
    <n v="0"/>
    <m/>
    <n v="4.1242283510843292"/>
    <n v="0"/>
    <n v="0"/>
    <n v="0"/>
    <n v="0"/>
    <s v="Private Equity Fund"/>
    <n v="0"/>
    <n v="0"/>
    <n v="0"/>
    <n v="0"/>
    <m/>
    <m/>
    <m/>
    <m/>
    <m/>
    <m/>
    <m/>
    <m/>
  </r>
  <r>
    <x v="143"/>
    <x v="11"/>
    <s v="Series 4"/>
    <n v="7181216.2800000003"/>
    <n v="1478134.8425857392"/>
    <n v="12"/>
    <n v="1080000"/>
    <n v="0"/>
    <n v="0"/>
    <m/>
    <n v="4.8582957881147797"/>
    <n v="1080000"/>
    <n v="0"/>
    <n v="1080000"/>
    <n v="1080000"/>
    <s v="Private Equity Fund"/>
    <n v="0"/>
    <n v="0"/>
    <n v="0"/>
    <n v="0"/>
    <m/>
    <m/>
    <m/>
    <m/>
    <m/>
    <m/>
    <m/>
    <m/>
  </r>
  <r>
    <x v="144"/>
    <x v="11"/>
    <s v="Series 4"/>
    <n v="7850468.3119999999"/>
    <n v="1470874.9678976291"/>
    <n v="12"/>
    <n v="708000"/>
    <n v="0"/>
    <n v="0"/>
    <m/>
    <n v="5.3372777994998017"/>
    <n v="708000"/>
    <n v="0"/>
    <n v="708000"/>
    <n v="708000"/>
    <s v="Private Equity Fund"/>
    <n v="0"/>
    <n v="0"/>
    <n v="0"/>
    <n v="0"/>
    <m/>
    <m/>
    <m/>
    <m/>
    <m/>
    <m/>
    <m/>
    <m/>
  </r>
  <r>
    <x v="145"/>
    <x v="11"/>
    <s v="Series 4"/>
    <n v="8140580.2400000002"/>
    <n v="1454104.2901007733"/>
    <n v="12"/>
    <n v="384000"/>
    <n v="0"/>
    <n v="0"/>
    <m/>
    <n v="5.5983468967248804"/>
    <n v="384000"/>
    <n v="0"/>
    <n v="384000"/>
    <n v="384000"/>
    <s v="Private Equity Fund"/>
    <n v="0"/>
    <n v="0"/>
    <n v="0"/>
    <n v="0"/>
    <m/>
    <m/>
    <m/>
    <m/>
    <m/>
    <m/>
    <m/>
    <m/>
  </r>
  <r>
    <x v="146"/>
    <x v="11"/>
    <s v="Series 4"/>
    <n v="8213050.256000001"/>
    <n v="1467049.1856810022"/>
    <n v="12"/>
    <n v="0"/>
    <n v="-9.3132257461547852E-10"/>
    <n v="0"/>
    <m/>
    <n v="5.5983468967248804"/>
    <n v="-9.3132257461547852E-10"/>
    <n v="0"/>
    <n v="-9.3132257461547852E-10"/>
    <n v="-9.3132257461547852E-10"/>
    <s v="Private Equity Fund"/>
    <n v="0"/>
    <n v="0"/>
    <n v="0"/>
    <n v="0"/>
    <m/>
    <m/>
    <m/>
    <m/>
    <m/>
    <m/>
    <m/>
    <m/>
  </r>
  <r>
    <x v="147"/>
    <x v="11"/>
    <s v="Series 4"/>
    <n v="8202764.3039999986"/>
    <n v="1465211.8661669113"/>
    <n v="12"/>
    <n v="0"/>
    <n v="0"/>
    <n v="0"/>
    <m/>
    <n v="5.5983468967248804"/>
    <n v="0"/>
    <n v="0"/>
    <n v="0"/>
    <n v="0"/>
    <s v="Private Equity Fund"/>
    <n v="0"/>
    <n v="0"/>
    <n v="0"/>
    <n v="0"/>
    <m/>
    <m/>
    <m/>
    <m/>
    <m/>
    <m/>
    <m/>
    <m/>
  </r>
  <r>
    <x v="148"/>
    <x v="11"/>
    <s v="Series 4"/>
    <n v="7980169.54"/>
    <n v="1425451.0638968304"/>
    <n v="12"/>
    <n v="0"/>
    <n v="0"/>
    <n v="0"/>
    <m/>
    <n v="5.5983468967248804"/>
    <n v="0"/>
    <n v="0"/>
    <n v="0"/>
    <n v="0"/>
    <s v="Private Equity Fund"/>
    <n v="0"/>
    <n v="0"/>
    <n v="0"/>
    <n v="0"/>
    <m/>
    <m/>
    <m/>
    <m/>
    <m/>
    <m/>
    <m/>
    <m/>
  </r>
  <r>
    <x v="149"/>
    <x v="11"/>
    <s v="Series 4"/>
    <n v="7867053.1500000004"/>
    <n v="1405245.7439895959"/>
    <n v="12"/>
    <n v="0"/>
    <n v="0"/>
    <n v="0"/>
    <m/>
    <n v="5.5983468967248804"/>
    <n v="0"/>
    <n v="0"/>
    <n v="0"/>
    <n v="0"/>
    <s v="Private Equity Fund"/>
    <n v="0"/>
    <n v="0"/>
    <n v="0"/>
    <n v="0"/>
    <m/>
    <m/>
    <m/>
    <m/>
    <m/>
    <m/>
    <m/>
    <m/>
  </r>
  <r>
    <x v="1"/>
    <x v="11"/>
    <s v="Series 4"/>
    <n v="11837461.41"/>
    <n v="1419444.220717062"/>
    <n v="12"/>
    <n v="3852000"/>
    <n v="0"/>
    <n v="0"/>
    <m/>
    <n v="8.3395044604289268"/>
    <n v="3852000"/>
    <n v="0"/>
    <n v="3852000"/>
    <n v="3852000"/>
    <s v="Private Equity Fund"/>
    <n v="0"/>
    <n v="0"/>
    <n v="0"/>
    <n v="0"/>
    <m/>
    <m/>
    <m/>
    <m/>
    <m/>
    <m/>
    <m/>
    <m/>
  </r>
  <r>
    <x v="2"/>
    <x v="11"/>
    <s v="Series 4"/>
    <n v="10488065.176000001"/>
    <n v="1257636.4969604642"/>
    <n v="12"/>
    <n v="0"/>
    <n v="0"/>
    <n v="-1550502.4"/>
    <m/>
    <n v="8.3395044604289268"/>
    <n v="-1550502.4"/>
    <n v="-185922.605756392"/>
    <n v="-1550502.4"/>
    <n v="-1550502.4"/>
    <s v="Private Equity Fund"/>
    <n v="0"/>
    <n v="0"/>
    <n v="0"/>
    <n v="0"/>
    <m/>
    <m/>
    <m/>
    <m/>
    <m/>
    <m/>
    <m/>
    <m/>
  </r>
  <r>
    <x v="3"/>
    <x v="11"/>
    <s v="Series 4"/>
    <n v="10496507.024"/>
    <n v="1258648.7690972628"/>
    <n v="12"/>
    <n v="0"/>
    <n v="-1.862645149230957E-9"/>
    <n v="0"/>
    <m/>
    <n v="8.3395044604289268"/>
    <n v="-1.862645149230957E-9"/>
    <n v="0"/>
    <n v="-1.862645149230957E-9"/>
    <n v="-1.862645149230957E-9"/>
    <s v="Private Equity Fund"/>
    <n v="0"/>
    <n v="0"/>
    <n v="0"/>
    <n v="0"/>
    <m/>
    <m/>
    <m/>
    <m/>
    <m/>
    <m/>
    <m/>
    <m/>
  </r>
  <r>
    <x v="4"/>
    <x v="11"/>
    <s v="Series 4"/>
    <n v="10666475.096000001"/>
    <n v="1279029.84483221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5"/>
    <x v="11"/>
    <s v="Series 4"/>
    <n v="10798276.039999999"/>
    <n v="1294834.254389811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6"/>
    <x v="11"/>
    <s v="Series 4"/>
    <n v="10860006.648"/>
    <n v="1302236.445766159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7"/>
    <x v="11"/>
    <s v="Series 4"/>
    <n v="10370488.328"/>
    <n v="1243537.7158448829"/>
    <n v="12"/>
    <n v="0"/>
    <n v="0"/>
    <n v="-495840"/>
    <m/>
    <n v="8.3395044604289268"/>
    <n v="-495840"/>
    <n v="-59456.770165753638"/>
    <n v="-495840"/>
    <n v="-495840"/>
    <s v="Private Equity Fund"/>
    <n v="0"/>
    <n v="0"/>
    <n v="0"/>
    <n v="0"/>
    <m/>
    <m/>
    <m/>
    <m/>
    <m/>
    <m/>
    <m/>
    <m/>
  </r>
  <r>
    <x v="8"/>
    <x v="11"/>
    <s v="Series 4"/>
    <n v="10229573.304"/>
    <n v="1226640.426003664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9"/>
    <x v="11"/>
    <s v="Series 4"/>
    <n v="10284400.912"/>
    <n v="1233214.8703558631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0"/>
    <x v="11"/>
    <s v="Series 4"/>
    <n v="10307860.392000001"/>
    <n v="1236027.924789890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1"/>
    <x v="11"/>
    <s v="Series 4"/>
    <n v="9569556.6879999992"/>
    <n v="1147497.0405505134"/>
    <n v="12"/>
    <n v="0"/>
    <n v="0"/>
    <n v="-807360"/>
    <m/>
    <n v="8.3395044604289268"/>
    <n v="-807360"/>
    <n v="-96811.507665825382"/>
    <n v="-807360"/>
    <n v="-807360"/>
    <s v="Private Equity Fund"/>
    <n v="0"/>
    <n v="0"/>
    <n v="0"/>
    <n v="0"/>
    <m/>
    <m/>
    <m/>
    <m/>
    <m/>
    <m/>
    <m/>
    <m/>
  </r>
  <r>
    <x v="12"/>
    <x v="11"/>
    <s v="Series 4"/>
    <n v="6866743.608"/>
    <n v="823399.47662151884"/>
    <n v="12"/>
    <n v="0"/>
    <n v="0"/>
    <n v="-2762400"/>
    <m/>
    <n v="8.3395044604289268"/>
    <n v="-2762400"/>
    <n v="-331242.70310156071"/>
    <n v="-2762400"/>
    <n v="-2762400"/>
    <s v="Private Equity Fund"/>
    <n v="0"/>
    <n v="0"/>
    <n v="0"/>
    <n v="0"/>
    <m/>
    <m/>
    <m/>
    <m/>
    <m/>
    <m/>
    <m/>
    <m/>
  </r>
  <r>
    <x v="13"/>
    <x v="11"/>
    <s v="Series 4"/>
    <n v="6899902.9040000001"/>
    <n v="827375.6476467087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50"/>
    <x v="11"/>
    <s v="Series 4"/>
    <n v="5413141.5279999999"/>
    <n v="649096.30466479599"/>
    <n v="12"/>
    <n v="0"/>
    <n v="0"/>
    <n v="-1362000"/>
    <m/>
    <n v="8.3395044604289268"/>
    <n v="-1362000"/>
    <n v="-163319.05648143849"/>
    <n v="-1362000"/>
    <n v="-1362000"/>
    <s v="Private Equity Fund"/>
    <n v="0"/>
    <n v="0"/>
    <n v="0"/>
    <n v="0"/>
    <m/>
    <m/>
    <m/>
    <m/>
    <m/>
    <m/>
    <m/>
    <m/>
  </r>
  <r>
    <x v="151"/>
    <x v="11"/>
    <s v="Series 4"/>
    <n v="5257287.5839999998"/>
    <n v="630407.670976843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52"/>
    <x v="11"/>
    <s v="Series 4"/>
    <n v="4500140.9519999996"/>
    <n v="539617.30860067718"/>
    <n v="12"/>
    <n v="0"/>
    <n v="0"/>
    <n v="-690000"/>
    <m/>
    <n v="8.3395044604289268"/>
    <n v="-690000"/>
    <n v="-82738.729054473239"/>
    <n v="-690000"/>
    <n v="-690000"/>
    <s v="Private Equity Fund"/>
    <n v="0"/>
    <n v="0"/>
    <n v="0"/>
    <n v="0"/>
    <m/>
    <m/>
    <m/>
    <m/>
    <m/>
    <m/>
    <m/>
    <m/>
  </r>
  <r>
    <x v="153"/>
    <x v="11"/>
    <s v="Series 4"/>
    <n v="4555981.7359999996"/>
    <n v="546313.2441043950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54"/>
    <x v="11"/>
    <s v="Series 4"/>
    <n v="4639663.1279999996"/>
    <n v="556347.58036466921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55"/>
    <x v="11"/>
    <s v="Series 4"/>
    <n v="4606590.784"/>
    <n v="552381.835858274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56"/>
    <x v="11"/>
    <s v="Series 4"/>
    <n v="4292382.3439999996"/>
    <n v="514704.72428756621"/>
    <n v="12"/>
    <n v="0"/>
    <n v="0"/>
    <n v="-434400"/>
    <m/>
    <n v="8.3395044604289268"/>
    <n v="-434400"/>
    <n v="-52089.425943859671"/>
    <n v="-434400"/>
    <n v="-434400"/>
    <s v="Private Equity Fund"/>
    <n v="0"/>
    <n v="0"/>
    <n v="0"/>
    <n v="0"/>
    <m/>
    <m/>
    <m/>
    <m/>
    <m/>
    <m/>
    <m/>
    <m/>
  </r>
  <r>
    <x v="157"/>
    <x v="11"/>
    <s v="Series 4"/>
    <n v="4299754.2719999999"/>
    <n v="515588.7010316257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58"/>
    <x v="11"/>
    <s v="Series 4"/>
    <n v="4344463.4960000003"/>
    <n v="520949.8378008602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59"/>
    <x v="11"/>
    <s v="Series 4"/>
    <n v="3765320.72"/>
    <n v="451504.13167431031"/>
    <n v="12"/>
    <n v="0"/>
    <n v="0"/>
    <n v="-463680"/>
    <m/>
    <n v="8.3395044604289268"/>
    <n v="-463680"/>
    <n v="-55600.425924606017"/>
    <n v="-463680"/>
    <n v="-463680"/>
    <s v="Private Equity Fund"/>
    <n v="0"/>
    <n v="0"/>
    <n v="0"/>
    <n v="0"/>
    <m/>
    <m/>
    <m/>
    <m/>
    <m/>
    <m/>
    <m/>
    <m/>
  </r>
  <r>
    <x v="160"/>
    <x v="11"/>
    <s v="Series 4"/>
    <n v="3667031.92"/>
    <n v="439718.2035695431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61"/>
    <x v="11"/>
    <s v="Series 4"/>
    <n v="3480368.0559999999"/>
    <n v="417335.11535540252"/>
    <n v="12"/>
    <n v="0"/>
    <n v="0"/>
    <n v="-128735.99999999999"/>
    <m/>
    <n v="8.3395044604289268"/>
    <n v="-128735.99999999999"/>
    <n v="-15436.888439937196"/>
    <n v="-128735.99999999999"/>
    <n v="-128735.99999999999"/>
    <s v="Private Equity Fund"/>
    <n v="0"/>
    <n v="0"/>
    <n v="0"/>
    <n v="0"/>
    <m/>
    <m/>
    <m/>
    <m/>
    <m/>
    <m/>
    <m/>
    <m/>
  </r>
  <r>
    <x v="162"/>
    <x v="11"/>
    <s v="Series 4"/>
    <n v="3528340.304"/>
    <n v="423087.5252530923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63"/>
    <x v="11"/>
    <s v="Series 4"/>
    <n v="3480662.0639999998"/>
    <n v="417370.3702079413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64"/>
    <x v="11"/>
    <s v="Series 4"/>
    <n v="2540648.9300000002"/>
    <n v="304652.26585769182"/>
    <n v="12"/>
    <n v="0"/>
    <n v="0"/>
    <n v="-660000"/>
    <m/>
    <n v="8.3395044604289268"/>
    <n v="-660000"/>
    <n v="-79141.393008626575"/>
    <n v="-660000"/>
    <n v="-660000"/>
    <s v="Private Equity Fund"/>
    <n v="0"/>
    <n v="0"/>
    <n v="0"/>
    <n v="0"/>
    <m/>
    <m/>
    <m/>
    <m/>
    <m/>
    <m/>
    <m/>
    <m/>
  </r>
  <r>
    <x v="165"/>
    <x v="11"/>
    <s v="Series 4"/>
    <n v="2457018.16"/>
    <n v="294623.99974226143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66"/>
    <x v="11"/>
    <s v="Series 4"/>
    <n v="2502177.31"/>
    <n v="300039.0876787546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67"/>
    <x v="11"/>
    <s v="Series 4"/>
    <n v="2590978.1"/>
    <n v="310687.2971043099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68"/>
    <x v="11"/>
    <s v="Series 4"/>
    <n v="2645235.09"/>
    <n v="317193.31796651467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69"/>
    <x v="11"/>
    <s v="Series 4"/>
    <n v="2623974.2400000002"/>
    <n v="314643.9038975033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0"/>
    <x v="11"/>
    <s v="Series 4"/>
    <n v="2636954.2000000002"/>
    <n v="316200.3464968916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1"/>
    <x v="11"/>
    <s v="Series 4"/>
    <n v="2701806.6943999999"/>
    <n v="323976.88702249795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2"/>
    <x v="11"/>
    <s v="Series 4"/>
    <n v="2717973.0781999999"/>
    <n v="325915.41752832232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3"/>
    <x v="11"/>
    <s v="Series 4"/>
    <n v="2719825.9819"/>
    <n v="326137.60143730539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4"/>
    <x v="11"/>
    <s v="Series 4"/>
    <n v="2752826.8056000001"/>
    <n v="330094.76985859347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5"/>
    <x v="11"/>
    <s v="Series 4"/>
    <n v="2300339.1252000001"/>
    <n v="275836.42842511128"/>
    <n v="12"/>
    <n v="0"/>
    <n v="0"/>
    <n v="-460416"/>
    <m/>
    <n v="8.3395044604289268"/>
    <n v="-460416"/>
    <n v="-55209.035762817897"/>
    <n v="-460416"/>
    <n v="-460416"/>
    <s v="Private Equity Fund"/>
    <n v="0"/>
    <n v="0"/>
    <n v="0"/>
    <n v="0"/>
    <m/>
    <m/>
    <m/>
    <m/>
    <m/>
    <m/>
    <m/>
    <m/>
  </r>
  <r>
    <x v="176"/>
    <x v="11"/>
    <s v="Series 4"/>
    <n v="2078110.1500000001"/>
    <n v="249188.68499449384"/>
    <n v="12"/>
    <n v="0"/>
    <n v="0"/>
    <n v="-91200"/>
    <m/>
    <n v="8.3395044604289268"/>
    <n v="-91200"/>
    <n v="-10935.901579373854"/>
    <n v="-91200"/>
    <n v="-91200"/>
    <s v="Private Equity Fund"/>
    <n v="0"/>
    <n v="0"/>
    <n v="0"/>
    <n v="0"/>
    <m/>
    <m/>
    <m/>
    <m/>
    <m/>
    <m/>
    <m/>
    <m/>
  </r>
  <r>
    <x v="177"/>
    <x v="11"/>
    <s v="Series 4"/>
    <n v="2088967.8100000003"/>
    <n v="250490.6400508787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8"/>
    <x v="11"/>
    <s v="Series 4"/>
    <n v="2127566.54"/>
    <n v="255119.0601426421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79"/>
    <x v="11"/>
    <s v="Series 4"/>
    <n v="2103141.7192000002"/>
    <n v="252190.25053340266"/>
    <n v="12"/>
    <n v="0"/>
    <n v="0"/>
    <n v="-144000"/>
    <m/>
    <n v="8.3395044604289268"/>
    <n v="-144000"/>
    <n v="-17267.21302006398"/>
    <n v="-144000"/>
    <n v="-144000"/>
    <s v="Private Equity Fund"/>
    <n v="0"/>
    <n v="0"/>
    <n v="0"/>
    <n v="0"/>
    <m/>
    <m/>
    <m/>
    <m/>
    <m/>
    <m/>
    <m/>
    <m/>
  </r>
  <r>
    <x v="180"/>
    <x v="11"/>
    <s v="Series 4"/>
    <n v="1995282.7890000001"/>
    <n v="239256.75661757204"/>
    <n v="12"/>
    <n v="0"/>
    <n v="0"/>
    <n v="-138000"/>
    <m/>
    <n v="8.3395044604289268"/>
    <n v="-138000"/>
    <n v="-16547.745810894648"/>
    <n v="-138000"/>
    <n v="-138000"/>
    <s v="Private Equity Fund"/>
    <n v="0"/>
    <n v="0"/>
    <n v="0"/>
    <n v="0"/>
    <m/>
    <m/>
    <m/>
    <m/>
    <m/>
    <m/>
    <m/>
    <m/>
  </r>
  <r>
    <x v="181"/>
    <x v="11"/>
    <s v="Series 4"/>
    <n v="1892755.22"/>
    <n v="226962.55262901433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82"/>
    <x v="11"/>
    <s v="Series 4"/>
    <n v="1833664.41"/>
    <n v="219876.90260263844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83"/>
    <x v="11"/>
    <s v="Series 4"/>
    <n v="1936611.27"/>
    <n v="232221.38427879612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84"/>
    <x v="11"/>
    <s v="Series 4"/>
    <n v="2122800"/>
    <n v="254547.49860410983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85"/>
    <x v="11"/>
    <s v="Series 4"/>
    <n v="2120500"/>
    <n v="254271.70284059492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86"/>
    <x v="11"/>
    <s v="Series 4"/>
    <n v="2112600"/>
    <n v="253324.40434852196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87"/>
    <x v="11"/>
    <s v="Series 4"/>
    <n v="1534200"/>
    <n v="183967.76538459831"/>
    <n v="12"/>
    <n v="0"/>
    <n v="0"/>
    <n v="-523531.19000000006"/>
    <m/>
    <n v="8.3395044604289268"/>
    <n v="-523531.19000000006"/>
    <n v="-62777.254030399934"/>
    <n v="-523531.19000000006"/>
    <n v="-523531.19000000006"/>
    <s v="Private Equity Fund"/>
    <n v="0"/>
    <n v="0"/>
    <n v="0"/>
    <n v="0"/>
    <m/>
    <m/>
    <m/>
    <m/>
    <m/>
    <m/>
    <m/>
    <m/>
  </r>
  <r>
    <x v="188"/>
    <x v="11"/>
    <s v="Series 4"/>
    <n v="1548400"/>
    <n v="185670.50444629908"/>
    <n v="12"/>
    <n v="0"/>
    <n v="0"/>
    <n v="0"/>
    <m/>
    <n v="8.3395044604289268"/>
    <n v="0"/>
    <n v="0"/>
    <n v="0"/>
    <n v="0"/>
    <s v="Private Equity Fund"/>
    <n v="0"/>
    <n v="0"/>
    <n v="0"/>
    <n v="0"/>
    <m/>
    <m/>
    <m/>
    <m/>
    <m/>
    <m/>
    <m/>
    <m/>
  </r>
  <r>
    <x v="189"/>
    <x v="11"/>
    <s v="Series 4"/>
    <n v="1577200"/>
    <n v="189123.94705031186"/>
    <n v="12"/>
    <n v="0"/>
    <n v="0"/>
    <n v="0"/>
    <m/>
    <n v="8.3395044604289268"/>
    <n v="0"/>
    <n v="0"/>
    <n v="0"/>
    <n v="0"/>
    <s v="Private Equity Fund"/>
    <n v="0"/>
    <n v="3.0198217987922198E-2"/>
    <n v="0"/>
    <n v="4.1207984962685499E-3"/>
    <m/>
    <m/>
    <m/>
    <m/>
    <m/>
    <m/>
    <m/>
    <m/>
  </r>
  <r>
    <x v="190"/>
    <x v="11"/>
    <s v="Series 4"/>
    <n v="1535700"/>
    <n v="184147.63218689064"/>
    <n v="12"/>
    <n v="0"/>
    <n v="0"/>
    <n v="0"/>
    <m/>
    <n v="8.3395044604289268"/>
    <n v="0"/>
    <n v="0"/>
    <n v="0"/>
    <n v="0"/>
    <s v="Private Equity Fund"/>
    <n v="0"/>
    <n v="1.8820181377224399E-2"/>
    <n v="0"/>
    <n v="2.5681705837670792E-3"/>
    <m/>
    <m/>
    <m/>
    <m/>
    <m/>
    <m/>
    <m/>
    <m/>
  </r>
  <r>
    <x v="191"/>
    <x v="11"/>
    <s v="Series 4"/>
    <n v="1543673.3884000001"/>
    <n v="185103.73077018585"/>
    <n v="12"/>
    <n v="0"/>
    <n v="0"/>
    <n v="0"/>
    <m/>
    <n v="8.3395044604289268"/>
    <n v="0"/>
    <n v="0"/>
    <n v="0"/>
    <n v="0"/>
    <s v="Private Equity Fund"/>
    <n v="0"/>
    <n v="1.9795531925155301E-2"/>
    <n v="0"/>
    <n v="2.701265293953484E-3"/>
    <m/>
    <m/>
    <m/>
    <m/>
    <m/>
    <m/>
    <m/>
    <m/>
  </r>
  <r>
    <x v="192"/>
    <x v="11"/>
    <s v="Series 4"/>
    <n v="862090.60279999999"/>
    <n v="103374.32000793726"/>
    <n v="12"/>
    <n v="0"/>
    <n v="0"/>
    <n v="-694520.74"/>
    <m/>
    <n v="8.3395044604289268"/>
    <n v="-694520.74"/>
    <n v="-83280.816419669936"/>
    <n v="-694520.74"/>
    <n v="-694520.74"/>
    <s v="Private Equity Fund"/>
    <n v="0"/>
    <n v="2.2509767419219125E-2"/>
    <n v="0"/>
    <n v="3.0716453457476098E-3"/>
    <m/>
    <m/>
    <m/>
    <m/>
    <m/>
    <m/>
    <m/>
    <m/>
  </r>
  <r>
    <x v="193"/>
    <x v="11"/>
    <s v="Series 4"/>
    <n v="829487.16619999998"/>
    <n v="99464.802751282041"/>
    <n v="12"/>
    <n v="0"/>
    <n v="0"/>
    <n v="0"/>
    <m/>
    <n v="8.3395044604289268"/>
    <n v="0"/>
    <n v="0"/>
    <n v="0"/>
    <n v="0"/>
    <s v="Private Equity Fund"/>
    <n v="0"/>
    <n v="1.3854915124137763E-2"/>
    <n v="0"/>
    <n v="1.8906186263146323E-3"/>
    <m/>
    <m/>
    <m/>
    <m/>
    <m/>
    <m/>
    <m/>
    <m/>
  </r>
  <r>
    <x v="194"/>
    <x v="11"/>
    <s v="Series 4"/>
    <n v="803557.67760000005"/>
    <n v="96355.566618243713"/>
    <n v="12"/>
    <n v="0"/>
    <n v="0"/>
    <n v="0"/>
    <m/>
    <n v="8.3395044604289268"/>
    <n v="0"/>
    <n v="0"/>
    <n v="0"/>
    <n v="0"/>
    <s v="Private Equity Fund"/>
    <n v="0"/>
    <n v="6.9010626961802397E-3"/>
    <n v="0"/>
    <n v="9.4170751374959524E-4"/>
    <m/>
    <m/>
    <m/>
    <m/>
    <m/>
    <m/>
    <m/>
    <m/>
  </r>
  <r>
    <x v="195"/>
    <x v="11"/>
    <s v="Series 4"/>
    <n v="800787.73289999994"/>
    <n v="96023.419221099975"/>
    <n v="12"/>
    <n v="0"/>
    <n v="0"/>
    <n v="0"/>
    <m/>
    <n v="8.3395044604289268"/>
    <n v="0"/>
    <n v="0"/>
    <n v="0"/>
    <n v="0"/>
    <s v="Private Equity Fund"/>
    <n v="0"/>
    <n v="5.6883235348115105E-3"/>
    <n v="0"/>
    <n v="7.7621914902115412E-4"/>
    <m/>
    <m/>
    <m/>
    <m/>
    <m/>
    <m/>
    <m/>
    <m/>
  </r>
  <r>
    <x v="196"/>
    <x v="11"/>
    <s v="Series 4"/>
    <n v="798600.94819999998"/>
    <n v="95761.199240239439"/>
    <n v="12"/>
    <n v="0"/>
    <n v="0"/>
    <n v="0"/>
    <m/>
    <n v="8.3395044604289268"/>
    <n v="0"/>
    <n v="0"/>
    <n v="0"/>
    <n v="0"/>
    <s v="Private Equity Fund"/>
    <n v="0"/>
    <n v="4.6376313565586989E-3"/>
    <n v="0"/>
    <n v="6.3284344553040577E-4"/>
    <m/>
    <m/>
    <m/>
    <m/>
    <m/>
    <m/>
    <m/>
    <m/>
  </r>
  <r>
    <x v="197"/>
    <x v="11"/>
    <s v="Series 4"/>
    <n v="765745.94"/>
    <m/>
    <n v="12"/>
    <m/>
    <n v="0"/>
    <n v="0"/>
    <m/>
    <n v="0"/>
    <n v="0"/>
    <e v="#DIV/0!"/>
    <n v="0"/>
    <n v="0"/>
    <s v="Private Equity Fund"/>
    <n v="0"/>
    <n v="0"/>
    <m/>
    <n v="0"/>
    <m/>
    <m/>
    <m/>
    <m/>
    <m/>
    <m/>
    <m/>
    <m/>
  </r>
  <r>
    <x v="198"/>
    <x v="11"/>
    <s v="Series 4"/>
    <n v="717192.68"/>
    <m/>
    <n v="12"/>
    <m/>
    <n v="0"/>
    <n v="42600.24"/>
    <n v="0"/>
    <m/>
    <n v="42600.24"/>
    <e v="#DIV/0!"/>
    <n v="-674592.44000000006"/>
    <n v="-674592.44000000006"/>
    <s v="Private Equity Fund"/>
    <n v="0"/>
    <n v="0"/>
    <m/>
    <n v="0"/>
    <m/>
    <m/>
    <m/>
    <m/>
    <m/>
    <m/>
    <m/>
    <m/>
  </r>
  <r>
    <x v="136"/>
    <x v="11"/>
    <s v="Series 5GP"/>
    <n v="23966"/>
    <n v="23966"/>
    <n v="0.2084"/>
    <n v="23966"/>
    <n v="0"/>
    <n v="0"/>
    <m/>
    <n v="1"/>
    <n v="23966"/>
    <n v="23966"/>
    <n v="23966"/>
    <m/>
    <s v="Private Equity Fund"/>
    <n v="0"/>
    <n v="0"/>
    <n v="0"/>
    <n v="0"/>
    <m/>
    <m/>
    <m/>
    <m/>
    <m/>
    <m/>
    <m/>
    <m/>
  </r>
  <r>
    <x v="137"/>
    <x v="11"/>
    <s v="Series 5GP"/>
    <n v="24030.47"/>
    <n v="24030.47"/>
    <n v="0.2084"/>
    <n v="0"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8"/>
    <x v="11"/>
    <s v="Series 5GP"/>
    <n v="36518.019999999997"/>
    <n v="23883.6742350038"/>
    <n v="0.2084"/>
    <n v="12712"/>
    <n v="0"/>
    <n v="0"/>
    <m/>
    <n v="1.5289950633508207"/>
    <n v="12712"/>
    <n v="0"/>
    <n v="12712"/>
    <m/>
    <s v="Private Equity Fund"/>
    <n v="0"/>
    <n v="0"/>
    <n v="0"/>
    <n v="0"/>
    <m/>
    <m/>
    <m/>
    <m/>
    <m/>
    <m/>
    <m/>
    <m/>
  </r>
  <r>
    <x v="139"/>
    <x v="11"/>
    <s v="Series 5GP"/>
    <n v="37514.35"/>
    <n v="24535.298314035503"/>
    <n v="0.2084"/>
    <n v="0"/>
    <n v="0"/>
    <n v="0"/>
    <m/>
    <n v="1.5289950633508207"/>
    <n v="0"/>
    <n v="0"/>
    <n v="0"/>
    <m/>
    <s v="Private Equity Fund"/>
    <n v="0"/>
    <n v="0"/>
    <n v="0"/>
    <n v="0"/>
    <m/>
    <m/>
    <m/>
    <m/>
    <m/>
    <m/>
    <m/>
    <m/>
  </r>
  <r>
    <x v="140"/>
    <x v="11"/>
    <s v="Series 5GP"/>
    <n v="87460.31"/>
    <n v="24633.018894211076"/>
    <n v="0.2084"/>
    <n v="49599"/>
    <n v="0"/>
    <n v="0"/>
    <m/>
    <n v="3.5505315193239979"/>
    <n v="49599"/>
    <n v="0"/>
    <n v="49599"/>
    <m/>
    <s v="Private Equity Fund"/>
    <n v="0"/>
    <n v="0"/>
    <n v="0"/>
    <n v="0"/>
    <m/>
    <m/>
    <m/>
    <m/>
    <m/>
    <m/>
    <m/>
    <m/>
  </r>
  <r>
    <x v="141"/>
    <x v="11"/>
    <s v="Series 5GP"/>
    <n v="105548.58"/>
    <n v="25018.065253550394"/>
    <n v="0.2084"/>
    <n v="16463.8"/>
    <n v="0"/>
    <n v="0"/>
    <m/>
    <n v="4.2188945839855165"/>
    <n v="16463.8"/>
    <n v="0"/>
    <n v="16463.8"/>
    <m/>
    <s v="Private Equity Fund"/>
    <n v="0"/>
    <n v="0"/>
    <n v="0"/>
    <n v="0"/>
    <m/>
    <m/>
    <m/>
    <m/>
    <m/>
    <m/>
    <m/>
    <m/>
  </r>
  <r>
    <x v="142"/>
    <x v="11"/>
    <s v="Series 5GP"/>
    <n v="105596.19"/>
    <n v="25029.350200128752"/>
    <n v="0.2084"/>
    <n v="0"/>
    <n v="0"/>
    <n v="0"/>
    <m/>
    <n v="4.2188945839855165"/>
    <n v="0"/>
    <n v="0"/>
    <n v="0"/>
    <m/>
    <s v="Private Equity Fund"/>
    <n v="0"/>
    <n v="0"/>
    <n v="0"/>
    <n v="0"/>
    <m/>
    <m/>
    <m/>
    <m/>
    <m/>
    <m/>
    <m/>
    <m/>
  </r>
  <r>
    <x v="143"/>
    <x v="11"/>
    <s v="Series 5GP"/>
    <n v="123795.62"/>
    <n v="25213.145872623725"/>
    <n v="0.2084"/>
    <n v="17297"/>
    <n v="0"/>
    <n v="0"/>
    <m/>
    <n v="4.9099632638232782"/>
    <n v="17297"/>
    <n v="0"/>
    <n v="17297"/>
    <m/>
    <s v="Private Equity Fund"/>
    <n v="0"/>
    <n v="0"/>
    <n v="0"/>
    <n v="0"/>
    <m/>
    <m/>
    <m/>
    <m/>
    <m/>
    <m/>
    <m/>
    <m/>
  </r>
  <r>
    <x v="144"/>
    <x v="11"/>
    <s v="Series 5GP"/>
    <n v="135436.21"/>
    <n v="25091.720703782496"/>
    <n v="0.2084"/>
    <n v="12296"/>
    <n v="0"/>
    <n v="0"/>
    <m/>
    <n v="5.3976453667278159"/>
    <n v="12296"/>
    <n v="0"/>
    <n v="12296"/>
    <m/>
    <s v="Private Equity Fund"/>
    <n v="0"/>
    <n v="0"/>
    <n v="0"/>
    <n v="0"/>
    <m/>
    <m/>
    <m/>
    <m/>
    <m/>
    <m/>
    <m/>
    <m/>
  </r>
  <r>
    <x v="145"/>
    <x v="11"/>
    <s v="Series 5GP"/>
    <n v="140321.54"/>
    <n v="24776.775534159824"/>
    <n v="0.2084"/>
    <n v="6669"/>
    <n v="0"/>
    <n v="0"/>
    <m/>
    <n v="5.6634302476744089"/>
    <n v="6669"/>
    <n v="0"/>
    <n v="6669"/>
    <m/>
    <s v="Private Equity Fund"/>
    <n v="0"/>
    <n v="0"/>
    <n v="0"/>
    <n v="0"/>
    <m/>
    <m/>
    <m/>
    <m/>
    <m/>
    <m/>
    <m/>
    <m/>
  </r>
  <r>
    <x v="146"/>
    <x v="11"/>
    <s v="Series 5GP"/>
    <n v="142073.28"/>
    <n v="25086.082777895954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</r>
  <r>
    <x v="147"/>
    <x v="11"/>
    <s v="Series 5GP"/>
    <n v="142040.06"/>
    <n v="25080.217074859593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</r>
  <r>
    <x v="148"/>
    <x v="11"/>
    <s v="Series 5GP"/>
    <n v="138155.04999999999"/>
    <n v="24394.235288186166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</r>
  <r>
    <x v="149"/>
    <x v="11"/>
    <s v="Series 5GP"/>
    <n v="136386.76999999999"/>
    <n v="24082.007552932235"/>
    <n v="0.2084"/>
    <n v="0"/>
    <n v="0"/>
    <n v="0"/>
    <m/>
    <n v="5.6634302476744089"/>
    <n v="0"/>
    <n v="0"/>
    <n v="0"/>
    <m/>
    <s v="Private Equity Fund"/>
    <n v="0"/>
    <n v="0"/>
    <n v="0"/>
    <n v="0"/>
    <m/>
    <m/>
    <m/>
    <m/>
    <m/>
    <m/>
    <m/>
    <m/>
  </r>
  <r>
    <x v="1"/>
    <x v="11"/>
    <s v="Series 5GP"/>
    <n v="208104.12"/>
    <n v="24353.548336860171"/>
    <n v="0.2084"/>
    <n v="69397"/>
    <n v="0"/>
    <n v="0"/>
    <m/>
    <n v="8.5451252163129432"/>
    <n v="69397"/>
    <n v="0"/>
    <n v="69397"/>
    <m/>
    <s v="Private Equity Fund"/>
    <n v="0"/>
    <n v="0"/>
    <n v="0"/>
    <n v="0"/>
    <m/>
    <m/>
    <m/>
    <m/>
    <m/>
    <m/>
    <m/>
    <m/>
  </r>
  <r>
    <x v="2"/>
    <x v="11"/>
    <s v="Series 5GP"/>
    <n v="185094.82"/>
    <n v="21660.866905337738"/>
    <n v="0.2084"/>
    <n v="0"/>
    <n v="0"/>
    <n v="-26927.06"/>
    <m/>
    <n v="8.5451252163129432"/>
    <n v="-26927.06"/>
    <n v="-3151.1603772166263"/>
    <n v="-26927.06"/>
    <m/>
    <s v="Private Equity Fund"/>
    <n v="0"/>
    <n v="0"/>
    <n v="0"/>
    <n v="0"/>
    <m/>
    <m/>
    <m/>
    <m/>
    <m/>
    <m/>
    <m/>
    <m/>
  </r>
  <r>
    <x v="3"/>
    <x v="11"/>
    <s v="Series 5GP"/>
    <n v="185518.41"/>
    <n v="21710.43785828191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4"/>
    <x v="11"/>
    <s v="Series 5GP"/>
    <n v="189510.3"/>
    <n v="22177.591925536468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5"/>
    <x v="11"/>
    <s v="Series 5GP"/>
    <n v="192632.46"/>
    <n v="22542.96515541491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6"/>
    <x v="11"/>
    <s v="Series 5GP"/>
    <n v="194219.23"/>
    <n v="22728.65816281178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7"/>
    <x v="11"/>
    <s v="Series 5GP"/>
    <n v="185501.59"/>
    <n v="21708.469484551377"/>
    <n v="0.2084"/>
    <n v="0"/>
    <n v="0"/>
    <n v="-9125.8340000000007"/>
    <m/>
    <n v="8.5451252163129432"/>
    <n v="-9125.8340000000007"/>
    <n v="-1067.9579021941615"/>
    <n v="-9125.8340000000007"/>
    <m/>
    <s v="Private Equity Fund"/>
    <n v="0"/>
    <n v="0"/>
    <n v="0"/>
    <n v="0"/>
    <m/>
    <m/>
    <m/>
    <m/>
    <m/>
    <m/>
    <m/>
    <m/>
  </r>
  <r>
    <x v="8"/>
    <x v="11"/>
    <s v="Series 5GP"/>
    <n v="182698.87"/>
    <n v="21380.47897194314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9"/>
    <x v="11"/>
    <s v="Series 5GP"/>
    <n v="184141.42"/>
    <n v="21549.2945203971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0"/>
    <x v="11"/>
    <s v="Series 5GP"/>
    <n v="184894.77"/>
    <n v="21637.45589672921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1"/>
    <x v="11"/>
    <s v="Series 5GP"/>
    <n v="172540.97"/>
    <n v="20191.742734280037"/>
    <n v="0.2084"/>
    <n v="0"/>
    <n v="0"/>
    <n v="-14100.34"/>
    <m/>
    <n v="8.5451252163129432"/>
    <n v="-14100.34"/>
    <n v="-1650.1033797704868"/>
    <n v="-14100.34"/>
    <m/>
    <s v="Private Equity Fund"/>
    <n v="0"/>
    <n v="0"/>
    <n v="0"/>
    <n v="0"/>
    <m/>
    <m/>
    <m/>
    <m/>
    <m/>
    <m/>
    <m/>
    <m/>
  </r>
  <r>
    <x v="12"/>
    <x v="11"/>
    <s v="Series 5GP"/>
    <n v="123842.33"/>
    <n v="14492.746082126527"/>
    <n v="0.2084"/>
    <n v="0"/>
    <n v="0"/>
    <n v="-50151.46"/>
    <m/>
    <n v="8.5451252163129432"/>
    <n v="-50151.46"/>
    <n v="-5869.0140554358532"/>
    <n v="-50151.46"/>
    <m/>
    <s v="Private Equity Fund"/>
    <n v="0"/>
    <n v="0"/>
    <n v="0"/>
    <n v="0"/>
    <m/>
    <m/>
    <m/>
    <m/>
    <m/>
    <m/>
    <m/>
    <m/>
  </r>
  <r>
    <x v="13"/>
    <x v="11"/>
    <s v="Series 5GP"/>
    <n v="124729.49"/>
    <n v="14596.56667896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50"/>
    <x v="11"/>
    <s v="Series 5GP"/>
    <n v="97475.71"/>
    <n v="11407.171636749741"/>
    <n v="0.2084"/>
    <n v="0"/>
    <n v="0"/>
    <n v="-24643.3"/>
    <m/>
    <n v="8.5451252163129432"/>
    <n v="-24643.3"/>
    <n v="-2883.9015668202355"/>
    <n v="-24643.3"/>
    <m/>
    <s v="Private Equity Fund"/>
    <n v="0"/>
    <n v="0"/>
    <n v="0"/>
    <n v="0"/>
    <m/>
    <m/>
    <m/>
    <m/>
    <m/>
    <m/>
    <m/>
    <m/>
  </r>
  <r>
    <x v="151"/>
    <x v="11"/>
    <s v="Series 5GP"/>
    <n v="94214.06"/>
    <n v="11025.47447989902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52"/>
    <x v="11"/>
    <s v="Series 5GP"/>
    <n v="80873.47"/>
    <n v="9464.2814414948207"/>
    <n v="0.2084"/>
    <n v="0"/>
    <n v="0"/>
    <n v="-11983"/>
    <m/>
    <n v="8.5451252163129432"/>
    <n v="-11983"/>
    <n v="-1402.3200007793957"/>
    <n v="-11983"/>
    <m/>
    <s v="Private Equity Fund"/>
    <n v="0"/>
    <n v="0"/>
    <n v="0"/>
    <n v="0"/>
    <m/>
    <m/>
    <m/>
    <m/>
    <m/>
    <m/>
    <m/>
    <m/>
  </r>
  <r>
    <x v="153"/>
    <x v="11"/>
    <s v="Series 5GP"/>
    <n v="82195.399999999994"/>
    <n v="9618.981339569618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54"/>
    <x v="11"/>
    <s v="Series 5GP"/>
    <n v="84106.42"/>
    <n v="9842.619958270230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55"/>
    <x v="11"/>
    <s v="Series 5GP"/>
    <n v="83496.98"/>
    <n v="9771.29976288718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56"/>
    <x v="11"/>
    <s v="Series 5GP"/>
    <n v="78461.820000000007"/>
    <n v="9182.0562032506732"/>
    <n v="0.2084"/>
    <n v="0"/>
    <n v="0"/>
    <n v="-7742.06"/>
    <m/>
    <n v="8.5451252163129432"/>
    <n v="-7742.06"/>
    <n v="-906.02066137312261"/>
    <n v="-7742.06"/>
    <m/>
    <s v="Private Equity Fund"/>
    <n v="0"/>
    <n v="0"/>
    <n v="0"/>
    <n v="0"/>
    <m/>
    <m/>
    <m/>
    <m/>
    <m/>
    <m/>
    <m/>
    <m/>
  </r>
  <r>
    <x v="157"/>
    <x v="11"/>
    <s v="Series 5GP"/>
    <n v="78717.03"/>
    <n v="9211.922354247826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58"/>
    <x v="11"/>
    <s v="Series 5GP"/>
    <n v="79792.2"/>
    <n v="9337.744969222205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59"/>
    <x v="11"/>
    <s v="Series 5GP"/>
    <n v="69273"/>
    <n v="8106.727314861977"/>
    <n v="0.2084"/>
    <n v="0"/>
    <n v="0"/>
    <n v="-8092.1699999999992"/>
    <m/>
    <n v="8.5451252163129432"/>
    <n v="-8092.1699999999992"/>
    <n v="-946.9925595182342"/>
    <n v="-8092.1699999999992"/>
    <m/>
    <s v="Private Equity Fund"/>
    <n v="0"/>
    <n v="0"/>
    <n v="0"/>
    <n v="0"/>
    <m/>
    <m/>
    <m/>
    <m/>
    <m/>
    <m/>
    <m/>
    <m/>
  </r>
  <r>
    <x v="160"/>
    <x v="11"/>
    <s v="Series 5GP"/>
    <n v="67221.3"/>
    <n v="7866.625508503045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61"/>
    <x v="11"/>
    <s v="Series 5GP"/>
    <n v="63800.04"/>
    <n v="7466.2498658537488"/>
    <n v="0.2084"/>
    <n v="0"/>
    <n v="0"/>
    <n v="-2243.63"/>
    <m/>
    <n v="8.5451252163129432"/>
    <n v="-2243.63"/>
    <n v="-262.56256558029503"/>
    <n v="-2243.63"/>
    <m/>
    <s v="Private Equity Fund"/>
    <n v="0"/>
    <n v="0"/>
    <n v="0"/>
    <n v="0"/>
    <m/>
    <m/>
    <m/>
    <m/>
    <m/>
    <m/>
    <m/>
    <m/>
  </r>
  <r>
    <x v="162"/>
    <x v="11"/>
    <s v="Series 5GP"/>
    <n v="64917.710000000006"/>
    <n v="7597.046076758457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63"/>
    <x v="11"/>
    <s v="Series 5GP"/>
    <n v="63959.130000000005"/>
    <n v="7484.867498243301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64"/>
    <x v="11"/>
    <s v="Series 5GP"/>
    <n v="46922.41"/>
    <n v="5491.1319392281675"/>
    <n v="0.2084"/>
    <n v="0"/>
    <n v="0"/>
    <n v="-11462"/>
    <m/>
    <n v="8.5451252163129432"/>
    <n v="-11462"/>
    <n v="-1341.3495659629002"/>
    <n v="-11462"/>
    <m/>
    <s v="Private Equity Fund"/>
    <n v="0"/>
    <n v="0"/>
    <n v="0"/>
    <n v="0"/>
    <m/>
    <m/>
    <m/>
    <m/>
    <m/>
    <m/>
    <m/>
    <m/>
  </r>
  <r>
    <x v="165"/>
    <x v="11"/>
    <s v="Series 5GP"/>
    <n v="45518.54"/>
    <n v="5326.842948199695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66"/>
    <x v="11"/>
    <s v="Series 5GP"/>
    <n v="46310.8"/>
    <n v="5419.55779788821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67"/>
    <x v="11"/>
    <s v="Series 5GP"/>
    <n v="47853.279999999999"/>
    <n v="5600.0677331967481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68"/>
    <x v="11"/>
    <s v="Series 5GP"/>
    <n v="48798.9"/>
    <n v="5710.729657517620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69"/>
    <x v="11"/>
    <s v="Series 5GP"/>
    <n v="48426.07"/>
    <n v="5667.09893350104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0"/>
    <x v="11"/>
    <s v="Series 5GP"/>
    <n v="48651.9"/>
    <n v="5693.526866888014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1"/>
    <x v="11"/>
    <s v="Series 5GP"/>
    <n v="49799.42"/>
    <n v="5827.816297522611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2"/>
    <x v="11"/>
    <s v="Series 5GP"/>
    <n v="50109.63"/>
    <n v="5864.118866782543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3"/>
    <x v="11"/>
    <s v="Series 5GP"/>
    <n v="50109.63"/>
    <n v="5864.118866782543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4"/>
    <x v="11"/>
    <s v="Series 5GP"/>
    <n v="50788.12"/>
    <n v="5943.5196927300376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5"/>
    <x v="11"/>
    <s v="Series 5GP"/>
    <n v="42883.31"/>
    <n v="5018.4530845884219"/>
    <n v="0.2084"/>
    <n v="0"/>
    <n v="0"/>
    <n v="-8043.4099999999989"/>
    <m/>
    <n v="8.5451252163129432"/>
    <n v="-8043.4099999999989"/>
    <n v="-941.28638216381523"/>
    <n v="-8043.4099999999989"/>
    <m/>
    <s v="Private Equity Fund"/>
    <n v="0"/>
    <n v="0"/>
    <n v="0"/>
    <n v="0"/>
    <m/>
    <m/>
    <m/>
    <m/>
    <m/>
    <m/>
    <m/>
    <m/>
  </r>
  <r>
    <x v="176"/>
    <x v="11"/>
    <s v="Series 5GP"/>
    <n v="38881.440000000002"/>
    <n v="4550.131099983646"/>
    <n v="0.2084"/>
    <n v="0"/>
    <n v="0"/>
    <n v="-1583.84"/>
    <m/>
    <n v="8.5451252163129432"/>
    <n v="-1583.84"/>
    <n v="-185.35012184214619"/>
    <n v="-1583.84"/>
    <m/>
    <s v="Private Equity Fund"/>
    <n v="0"/>
    <n v="0"/>
    <n v="0"/>
    <n v="0"/>
    <m/>
    <m/>
    <m/>
    <m/>
    <m/>
    <m/>
    <m/>
    <m/>
  </r>
  <r>
    <x v="177"/>
    <x v="11"/>
    <s v="Series 5GP"/>
    <n v="39068.47"/>
    <n v="4572.018432850688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8"/>
    <x v="11"/>
    <s v="Series 5GP"/>
    <n v="39740.54"/>
    <n v="4650.6679532482358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79"/>
    <x v="11"/>
    <s v="Series 5GP"/>
    <n v="39496.39"/>
    <n v="4622.0961074508314"/>
    <n v="0.2084"/>
    <n v="0"/>
    <n v="0"/>
    <n v="-2500.8000000000002"/>
    <m/>
    <n v="8.5451252163129432"/>
    <n v="-2500.8000000000002"/>
    <n v="-292.65808711917822"/>
    <n v="-2500.8000000000002"/>
    <m/>
    <s v="Private Equity Fund"/>
    <n v="0"/>
    <n v="0"/>
    <n v="0"/>
    <n v="0"/>
    <m/>
    <m/>
    <m/>
    <m/>
    <m/>
    <m/>
    <m/>
    <m/>
  </r>
  <r>
    <x v="180"/>
    <x v="11"/>
    <s v="Series 5GP"/>
    <n v="37731.120000000003"/>
    <n v="4415.5139971465806"/>
    <n v="0.2084"/>
    <n v="0"/>
    <n v="0"/>
    <n v="-2396.6"/>
    <m/>
    <n v="8.5451252163129432"/>
    <n v="-2396.6"/>
    <n v="-280.46400015587915"/>
    <n v="-2396.6"/>
    <m/>
    <s v="Private Equity Fund"/>
    <n v="0"/>
    <n v="0"/>
    <n v="0"/>
    <n v="0"/>
    <m/>
    <m/>
    <m/>
    <m/>
    <m/>
    <m/>
    <m/>
    <m/>
  </r>
  <r>
    <x v="181"/>
    <x v="11"/>
    <s v="Series 5GP"/>
    <n v="35664.46"/>
    <n v="4173.661485020172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82"/>
    <x v="11"/>
    <s v="Series 5GP"/>
    <n v="34634.97"/>
    <n v="4053.1846079774969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83"/>
    <x v="11"/>
    <s v="Series 5GP"/>
    <n v="36437.64"/>
    <n v="4264.1434827004368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84"/>
    <x v="11"/>
    <s v="Series 5GP"/>
    <n v="40400"/>
    <n v="4727.8417784768071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85"/>
    <x v="11"/>
    <s v="Series 5GP"/>
    <n v="40300"/>
    <n v="4716.1391998172112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86"/>
    <x v="11"/>
    <s v="Series 5GP"/>
    <n v="40100"/>
    <n v="4692.7340424980193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87"/>
    <x v="11"/>
    <s v="Series 5GP"/>
    <n v="29800"/>
    <n v="3487.3684405596255"/>
    <n v="0.2084"/>
    <n v="0"/>
    <n v="0"/>
    <n v="-9110.3917249999995"/>
    <m/>
    <n v="8.5451252163129432"/>
    <n v="-9110.3917249999995"/>
    <n v="-1066.1507578154551"/>
    <n v="-9110.3917249999995"/>
    <m/>
    <s v="Private Equity Fund"/>
    <n v="0"/>
    <n v="0"/>
    <n v="0"/>
    <n v="0"/>
    <m/>
    <m/>
    <m/>
    <m/>
    <m/>
    <m/>
    <m/>
    <m/>
  </r>
  <r>
    <x v="188"/>
    <x v="11"/>
    <s v="Series 5GP"/>
    <n v="30100"/>
    <n v="3522.476176538413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89"/>
    <x v="11"/>
    <s v="Series 5GP"/>
    <n v="30700"/>
    <n v="3592.691648495989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90"/>
    <x v="11"/>
    <s v="Series 5GP"/>
    <n v="29800"/>
    <n v="3487.368440559625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91"/>
    <x v="11"/>
    <s v="Series 5GP"/>
    <n v="29936.85"/>
    <n v="3503.383419455282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92"/>
    <x v="11"/>
    <s v="Series 5GP"/>
    <n v="18101.07"/>
    <n v="2118.2919549785443"/>
    <n v="0.2084"/>
    <n v="0"/>
    <n v="0"/>
    <n v="-12107.51"/>
    <m/>
    <n v="8.5451252163129432"/>
    <n v="-12107.51"/>
    <n v="-1416.8908814684587"/>
    <n v="-12107.51"/>
    <m/>
    <s v="Private Equity Fund"/>
    <n v="0"/>
    <n v="0"/>
    <n v="0"/>
    <n v="0"/>
    <m/>
    <m/>
    <m/>
    <m/>
    <m/>
    <m/>
    <m/>
    <m/>
  </r>
  <r>
    <x v="193"/>
    <x v="11"/>
    <s v="Series 5GP"/>
    <n v="17384.580000000002"/>
    <n v="2034.4441491404045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94"/>
    <x v="11"/>
    <s v="Series 5GP"/>
    <n v="16813.3"/>
    <n v="1967.58965777386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95"/>
    <x v="11"/>
    <s v="Series 5GP"/>
    <n v="16744.148000000001"/>
    <n v="1959.4970905791804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96"/>
    <x v="11"/>
    <s v="Series 5GP"/>
    <n v="16687.759999999998"/>
    <n v="1952.898240524607"/>
    <n v="0.2084"/>
    <n v="0"/>
    <n v="0"/>
    <n v="0"/>
    <m/>
    <n v="8.5451252163129432"/>
    <n v="0"/>
    <n v="0"/>
    <n v="0"/>
    <m/>
    <s v="Private Equity Fund"/>
    <n v="0"/>
    <n v="0"/>
    <n v="0"/>
    <n v="0"/>
    <m/>
    <m/>
    <m/>
    <m/>
    <m/>
    <m/>
    <m/>
    <m/>
  </r>
  <r>
    <x v="197"/>
    <x v="11"/>
    <s v="Series 5GP"/>
    <n v="16036.61"/>
    <m/>
    <n v="0.2084"/>
    <m/>
    <n v="0"/>
    <n v="0"/>
    <m/>
    <n v="0"/>
    <n v="0"/>
    <e v="#DIV/0!"/>
    <n v="0"/>
    <m/>
    <s v="Private Equity Fund"/>
    <n v="0"/>
    <n v="0"/>
    <m/>
    <m/>
    <m/>
    <m/>
    <m/>
    <m/>
    <m/>
    <m/>
    <m/>
    <m/>
  </r>
  <r>
    <x v="198"/>
    <x v="11"/>
    <s v="Series 5GP"/>
    <n v="15170.27"/>
    <m/>
    <n v="0.2084"/>
    <m/>
    <n v="0"/>
    <n v="762.81999999999994"/>
    <n v="0"/>
    <m/>
    <n v="762.81999999999994"/>
    <e v="#DIV/0!"/>
    <n v="-14407.45"/>
    <m/>
    <s v="Private Equity Fund"/>
    <n v="0"/>
    <n v="0"/>
    <m/>
    <m/>
    <m/>
    <m/>
    <m/>
    <m/>
    <m/>
    <m/>
    <m/>
    <m/>
  </r>
  <r>
    <x v="230"/>
    <x v="12"/>
    <s v="NA"/>
    <n v="19979521.940000001"/>
    <n v="1000"/>
    <m/>
    <n v="19979521.940000001"/>
    <n v="0"/>
    <n v="0"/>
    <m/>
    <n v="19979.521940000002"/>
    <n v="19979521.940000001"/>
    <n v="1000"/>
    <n v="1000"/>
    <m/>
    <s v="Hedge Fund"/>
    <n v="0"/>
    <n v="0"/>
    <n v="0"/>
    <n v="0"/>
    <s v="ARF"/>
    <n v="4.9948800000000002"/>
    <s v="HRF"/>
    <n v="4.9948800000000002"/>
    <m/>
    <m/>
    <m/>
    <m/>
  </r>
  <r>
    <x v="96"/>
    <x v="12"/>
    <s v="NA"/>
    <n v="39674246.759999998"/>
    <n v="991.34800000000007"/>
    <m/>
    <n v="19715183.850466557"/>
    <n v="0"/>
    <n v="0"/>
    <m/>
    <n v="40020.504162009704"/>
    <n v="19715183.850466557"/>
    <n v="0"/>
    <n v="0"/>
    <m/>
    <s v="Hedge Fund"/>
    <n v="0"/>
    <n v="0"/>
    <n v="0"/>
    <n v="0"/>
    <s v="ARF"/>
    <n v="14.880381710000002"/>
    <s v="HRF"/>
    <n v="14.880381710000002"/>
    <m/>
    <m/>
    <m/>
    <m/>
  </r>
  <r>
    <x v="97"/>
    <x v="12"/>
    <s v="NA"/>
    <n v="39876208.07"/>
    <n v="996.39450000000011"/>
    <m/>
    <n v="0"/>
    <n v="-2.1642535850405693"/>
    <n v="0"/>
    <m/>
    <n v="40020.501989924669"/>
    <n v="-2.1642535850405693"/>
    <n v="0"/>
    <n v="0"/>
    <m/>
    <s v="Hedge Fund"/>
    <n v="0"/>
    <n v="0"/>
    <n v="0"/>
    <n v="0"/>
    <s v="ARF"/>
    <n v="14.95613094"/>
    <s v="HRF"/>
    <n v="14.95613094"/>
    <m/>
    <m/>
    <m/>
    <m/>
  </r>
  <r>
    <x v="98"/>
    <x v="12"/>
    <s v="NA"/>
    <n v="40149829.530000001"/>
    <n v="1003.2314999999999"/>
    <m/>
    <n v="1.2878948971629143"/>
    <n v="0"/>
    <n v="0"/>
    <m/>
    <n v="40020.503273671136"/>
    <n v="1.2878948971629143"/>
    <n v="0"/>
    <n v="0"/>
    <m/>
    <s v="Hedge Fund"/>
    <n v="0"/>
    <n v="0"/>
    <n v="0"/>
    <n v="0"/>
    <s v="ARF"/>
    <n v="15.058756019999999"/>
    <s v="HRF"/>
    <n v="15.058756019999999"/>
    <m/>
    <m/>
    <m/>
    <m/>
  </r>
  <r>
    <x v="99"/>
    <x v="12"/>
    <s v="NA"/>
    <n v="20132711.030000001"/>
    <n v="1002.3792999999999"/>
    <m/>
    <n v="0"/>
    <n v="-19983013.027110182"/>
    <n v="-348445.29468541307"/>
    <m/>
    <n v="20084.922972770888"/>
    <n v="-20331458.321795594"/>
    <n v="-17.348600000000001"/>
    <n v="-17.348600000000001"/>
    <m/>
    <s v="Hedge Fund"/>
    <n v="0"/>
    <n v="0"/>
    <n v="0"/>
    <n v="0"/>
    <s v="ARF"/>
    <n v="5.0544588299999997"/>
    <s v="HRF"/>
    <n v="5.0544588299999997"/>
    <m/>
    <m/>
    <m/>
    <m/>
  </r>
  <r>
    <x v="100"/>
    <x v="12"/>
    <s v="NA"/>
    <n v="26460241.32"/>
    <n v="1055.3257999999998"/>
    <m/>
    <n v="5264103.9158221893"/>
    <n v="0"/>
    <n v="0"/>
    <m/>
    <n v="25073.054520224941"/>
    <n v="5264103.9158221893"/>
    <n v="0"/>
    <n v="0"/>
    <m/>
    <s v="Hedge Fund"/>
    <n v="0"/>
    <n v="0"/>
    <n v="0"/>
    <n v="0"/>
    <s v="ARF"/>
    <n v="7.9534914900000002"/>
    <s v="HRF"/>
    <n v="7.9534914900000002"/>
    <m/>
    <m/>
    <m/>
    <m/>
  </r>
  <r>
    <x v="101"/>
    <x v="12"/>
    <s v="NA"/>
    <n v="41833139.82"/>
    <n v="1067.1639"/>
    <m/>
    <n v="15076081.173284121"/>
    <n v="0"/>
    <n v="0"/>
    <m/>
    <n v="39200.295118678587"/>
    <n v="15076081.173284121"/>
    <n v="0"/>
    <n v="0"/>
    <m/>
    <s v="Hedge Fund"/>
    <n v="0"/>
    <n v="0"/>
    <n v="0"/>
    <n v="0"/>
    <s v="ARF"/>
    <n v="15.592481599999999"/>
    <s v="HRF"/>
    <n v="15.592481599999999"/>
    <m/>
    <m/>
    <m/>
    <m/>
  </r>
  <r>
    <x v="102"/>
    <x v="12"/>
    <s v="NA"/>
    <n v="42577963.890000001"/>
    <n v="1083.7762"/>
    <m/>
    <n v="93617.007399968803"/>
    <n v="0"/>
    <n v="-350523.57619530486"/>
    <m/>
    <n v="39286.675505514882"/>
    <n v="-256906.56879533606"/>
    <n v="-8.9222000000000001"/>
    <n v="-8.9222000000000001"/>
    <m/>
    <s v="Hedge Fund"/>
    <n v="0"/>
    <n v="0"/>
    <n v="0"/>
    <n v="0"/>
    <s v="ARF"/>
    <n v="15.87010025"/>
    <s v="HRF"/>
    <n v="15.87010025"/>
    <m/>
    <m/>
    <m/>
    <m/>
  </r>
  <r>
    <x v="103"/>
    <x v="12"/>
    <s v="NA"/>
    <n v="42967687.509999998"/>
    <n v="1093.6962000000001"/>
    <m/>
    <n v="0"/>
    <n v="-0.20101471245288849"/>
    <n v="0"/>
    <m/>
    <n v="39286.675321720963"/>
    <n v="-0.20101471245288849"/>
    <n v="0"/>
    <n v="0"/>
    <m/>
    <s v="Hedge Fund"/>
    <n v="0"/>
    <n v="0"/>
    <n v="0"/>
    <n v="0"/>
    <s v="ARF"/>
    <n v="16.015362140000001"/>
    <s v="HRF"/>
    <n v="16.015362140000001"/>
    <m/>
    <m/>
    <m/>
    <m/>
  </r>
  <r>
    <x v="104"/>
    <x v="12"/>
    <s v="NA"/>
    <n v="43049081.469999999"/>
    <n v="1095.768"/>
    <m/>
    <n v="0"/>
    <n v="-0.1739315390586853"/>
    <n v="0"/>
    <m/>
    <n v="39286.675162990701"/>
    <n v="-0.1739315390586853"/>
    <n v="0"/>
    <n v="0"/>
    <m/>
    <s v="Hedge Fund"/>
    <n v="0"/>
    <n v="0"/>
    <n v="0"/>
    <n v="0"/>
    <s v="ARF"/>
    <n v="16.04570021"/>
    <s v="HRF"/>
    <n v="16.04570021"/>
    <m/>
    <m/>
    <m/>
    <m/>
  </r>
  <r>
    <x v="105"/>
    <x v="12"/>
    <s v="NA"/>
    <n v="42607957.950000003"/>
    <n v="1084.5396999999998"/>
    <m/>
    <n v="0"/>
    <n v="-0.94526737928390503"/>
    <n v="-397011.48705181101"/>
    <m/>
    <n v="39286.674291406765"/>
    <n v="-397012.43231919029"/>
    <n v="-10.105499999999999"/>
    <n v="-10.105499999999999"/>
    <m/>
    <s v="Hedge Fund"/>
    <n v="0"/>
    <n v="0"/>
    <n v="0"/>
    <n v="0"/>
    <s v="ARF"/>
    <n v="15.88128042"/>
    <s v="HRF"/>
    <n v="15.88128042"/>
    <m/>
    <m/>
    <m/>
    <m/>
  </r>
  <r>
    <x v="106"/>
    <x v="12"/>
    <s v="NA"/>
    <n v="43082944.210000001"/>
    <n v="1101.2674"/>
    <m/>
    <n v="0"/>
    <n v="-182189.44154436886"/>
    <n v="0"/>
    <m/>
    <n v="39121.23813889343"/>
    <n v="-182189.44154436886"/>
    <n v="0"/>
    <n v="0"/>
    <m/>
    <s v="Hedge Fund"/>
    <n v="0"/>
    <n v="0"/>
    <n v="0"/>
    <n v="0"/>
    <s v="ARF"/>
    <n v="16.126229779999999"/>
    <s v="HRF"/>
    <n v="16.126229779999999"/>
    <m/>
    <m/>
    <m/>
    <m/>
  </r>
  <r>
    <x v="107"/>
    <x v="12"/>
    <s v="NA"/>
    <n v="42543722.520000003"/>
    <n v="1087.4839999999999"/>
    <m/>
    <n v="1.9837636202573776"/>
    <n v="0"/>
    <n v="0"/>
    <m/>
    <n v="39121.23996307073"/>
    <n v="1.9837636202573776"/>
    <n v="0"/>
    <n v="0"/>
    <m/>
    <s v="Hedge Fund"/>
    <n v="0"/>
    <n v="0"/>
    <n v="0"/>
    <n v="0"/>
    <s v="ARF"/>
    <n v="15.9243948"/>
    <s v="HRF"/>
    <n v="15.9243948"/>
    <m/>
    <m/>
    <m/>
    <m/>
  </r>
  <r>
    <x v="108"/>
    <x v="12"/>
    <s v="NA"/>
    <n v="44934865.420000002"/>
    <n v="1148.6053999999999"/>
    <m/>
    <n v="0"/>
    <n v="-2.056278832256794"/>
    <n v="0"/>
    <m/>
    <n v="39121.238172831159"/>
    <n v="-2.056278832256794"/>
    <n v="0"/>
    <n v="0"/>
    <m/>
    <s v="Hedge Fund"/>
    <n v="0"/>
    <n v="0"/>
    <n v="0"/>
    <n v="0"/>
    <s v="ARF"/>
    <n v="16.819416069999999"/>
    <s v="HRF"/>
    <n v="16.819416069999999"/>
    <m/>
    <m/>
    <m/>
    <m/>
  </r>
  <r>
    <x v="109"/>
    <x v="12"/>
    <s v="NA"/>
    <n v="46216769.770000003"/>
    <n v="1181.3729000000001"/>
    <m/>
    <n v="0"/>
    <n v="-0.82182824611663818"/>
    <n v="0"/>
    <m/>
    <n v="39121.237477175921"/>
    <n v="-0.82182824611663818"/>
    <n v="0"/>
    <n v="0"/>
    <m/>
    <s v="Hedge Fund"/>
    <n v="0"/>
    <n v="0"/>
    <n v="0"/>
    <n v="0"/>
    <s v="ARF"/>
    <n v="17.299241609999999"/>
    <s v="HRF"/>
    <n v="17.299241609999999"/>
    <m/>
    <m/>
    <m/>
    <m/>
  </r>
  <r>
    <x v="110"/>
    <x v="12"/>
    <s v="NA"/>
    <n v="45710298.93"/>
    <n v="1168.4267"/>
    <m/>
    <n v="0.52462701499462128"/>
    <n v="0"/>
    <n v="0"/>
    <m/>
    <n v="39121.237926178852"/>
    <n v="0.52462701499462128"/>
    <n v="0"/>
    <n v="0"/>
    <m/>
    <s v="Hedge Fund"/>
    <n v="0"/>
    <n v="0"/>
    <n v="0"/>
    <n v="0"/>
    <s v="ARF"/>
    <n v="17.109666050000001"/>
    <s v="HRF"/>
    <n v="17.109666050000001"/>
    <m/>
    <m/>
    <m/>
    <m/>
  </r>
  <r>
    <x v="111"/>
    <x v="12"/>
    <s v="NA"/>
    <n v="45569820.68"/>
    <n v="1164.8358000000001"/>
    <m/>
    <n v="2.2032691165804863"/>
    <n v="0"/>
    <n v="-939715.65316416963"/>
    <m/>
    <n v="39121.239817663569"/>
    <n v="-939713.44989505305"/>
    <n v="-24.020600000000002"/>
    <n v="-24.020600000000002"/>
    <m/>
    <s v="Hedge Fund"/>
    <n v="0"/>
    <n v="0"/>
    <n v="0"/>
    <n v="0"/>
    <s v="ARF"/>
    <n v="17.057083280000001"/>
    <s v="HRF"/>
    <n v="17.057083280000001"/>
    <m/>
    <m/>
    <m/>
    <m/>
  </r>
  <r>
    <x v="112"/>
    <x v="12"/>
    <s v="NA"/>
    <n v="46933792.829999998"/>
    <n v="1188.8563999999997"/>
    <m/>
    <n v="424256.49683584273"/>
    <n v="0"/>
    <n v="0"/>
    <m/>
    <n v="39478.100828661904"/>
    <n v="424256.49683584273"/>
    <n v="0"/>
    <n v="0"/>
    <m/>
    <s v="Hedge Fund"/>
    <n v="0"/>
    <n v="0"/>
    <n v="0"/>
    <n v="0"/>
    <s v="ARF"/>
    <n v="17.56762762"/>
    <s v="HRF"/>
    <n v="17.56762762"/>
    <m/>
    <m/>
    <m/>
    <m/>
  </r>
  <r>
    <x v="113"/>
    <x v="12"/>
    <s v="NA"/>
    <n v="50006313.68"/>
    <n v="1213.5954999999997"/>
    <m/>
    <n v="2095868.1657896563"/>
    <n v="0"/>
    <n v="0"/>
    <m/>
    <n v="41205.091548213561"/>
    <n v="2095868.1657896563"/>
    <n v="0"/>
    <n v="0"/>
    <m/>
    <s v="Hedge Fund"/>
    <n v="0"/>
    <n v="0"/>
    <n v="0"/>
    <n v="0"/>
    <s v="ARF"/>
    <n v="17.77108801"/>
    <s v="HRF"/>
    <n v="17.77108801"/>
    <m/>
    <m/>
    <m/>
    <m/>
  </r>
  <r>
    <x v="114"/>
    <x v="12"/>
    <s v="NA"/>
    <n v="57583797.530000001"/>
    <n v="1214.5748000000001"/>
    <m/>
    <n v="7537131.7038468197"/>
    <n v="0"/>
    <n v="-1383343.6079445968"/>
    <m/>
    <n v="47410.663822433991"/>
    <n v="6153788.0959022231"/>
    <n v="-29.177900000000001"/>
    <n v="-29.177900000000001"/>
    <m/>
    <s v="Hedge Fund"/>
    <n v="0"/>
    <n v="0"/>
    <n v="0"/>
    <n v="0"/>
    <s v="ARF"/>
    <n v="21.553994769999999"/>
    <s v="HRF"/>
    <n v="21.553994769999999"/>
    <m/>
    <m/>
    <m/>
    <m/>
  </r>
  <r>
    <x v="115"/>
    <x v="12"/>
    <s v="NA"/>
    <n v="65773613.276856452"/>
    <n v="1242.0356999999999"/>
    <m/>
    <n v="6887876.2486949787"/>
    <n v="0"/>
    <n v="0"/>
    <m/>
    <n v="52956.298500000004"/>
    <n v="6887876.2486949787"/>
    <n v="0"/>
    <n v="0"/>
    <m/>
    <s v="Hedge Fund"/>
    <n v="0"/>
    <n v="0"/>
    <n v="0"/>
    <n v="0"/>
    <s v="ARF"/>
    <n v="22.57082097"/>
    <s v="HRF"/>
    <n v="22.57082097"/>
    <m/>
    <m/>
    <m/>
    <m/>
  </r>
  <r>
    <x v="116"/>
    <x v="12"/>
    <s v="NA"/>
    <n v="66222910.400219984"/>
    <n v="1250.52"/>
    <m/>
    <n v="0"/>
    <n v="-2.2351741790771484E-8"/>
    <n v="0"/>
    <m/>
    <n v="52956.29849999999"/>
    <n v="-2.2351741790771484E-8"/>
    <n v="0"/>
    <n v="0"/>
    <m/>
    <s v="Hedge Fund"/>
    <n v="0"/>
    <n v="0"/>
    <n v="0"/>
    <n v="0"/>
    <s v="ARF"/>
    <n v="22.725001410000001"/>
    <s v="HRF"/>
    <n v="22.725001410000001"/>
    <m/>
    <m/>
    <m/>
    <m/>
  </r>
  <r>
    <x v="117"/>
    <x v="12"/>
    <s v="NA"/>
    <n v="67377468.915746853"/>
    <n v="1272.3221000000003"/>
    <m/>
    <n v="0"/>
    <n v="0"/>
    <n v="0"/>
    <m/>
    <n v="52956.29849999999"/>
    <n v="0"/>
    <n v="0"/>
    <n v="0"/>
    <m/>
    <s v="Hedge Fund"/>
    <n v="0"/>
    <n v="0"/>
    <n v="0"/>
    <n v="0"/>
    <s v="ARF"/>
    <n v="23.121198809999999"/>
    <s v="HRF"/>
    <n v="23.121198809999999"/>
    <m/>
    <m/>
    <m/>
    <m/>
  </r>
  <r>
    <x v="118"/>
    <x v="12"/>
    <s v="NA"/>
    <n v="67885756.356959596"/>
    <n v="1284.8171"/>
    <m/>
    <n v="0"/>
    <n v="-153401.50854474306"/>
    <n v="0"/>
    <m/>
    <n v="52836.902900000001"/>
    <n v="-153401.50854474306"/>
    <n v="0"/>
    <n v="0"/>
    <m/>
    <s v="Hedge Fund"/>
    <n v="0"/>
    <n v="0"/>
    <n v="0"/>
    <n v="0"/>
    <s v="ARF"/>
    <n v="23.348263450000001"/>
    <s v="HRF"/>
    <n v="23.348263450000001"/>
    <m/>
    <m/>
    <m/>
    <m/>
  </r>
  <r>
    <x v="119"/>
    <x v="12"/>
    <s v="NA"/>
    <n v="68114799.04734081"/>
    <n v="1289.1520000000003"/>
    <m/>
    <n v="0"/>
    <n v="0"/>
    <n v="0"/>
    <m/>
    <n v="52836.902900000001"/>
    <n v="0"/>
    <n v="0"/>
    <n v="0"/>
    <m/>
    <s v="Hedge Fund"/>
    <n v="0"/>
    <n v="0"/>
    <n v="0"/>
    <n v="0"/>
    <s v="ARF"/>
    <n v="23.427039180000001"/>
    <s v="HRF"/>
    <n v="23.427039180000001"/>
    <m/>
    <m/>
    <m/>
    <m/>
  </r>
  <r>
    <x v="120"/>
    <x v="12"/>
    <s v="NA"/>
    <n v="60182122.25"/>
    <n v="1139.0168000000001"/>
    <m/>
    <n v="2.186931274831295"/>
    <n v="0"/>
    <n v="-8799986.4977737814"/>
    <m/>
    <n v="52836.904820016694"/>
    <n v="-8799984.3108425066"/>
    <n v="-166.55"/>
    <n v="-166.55"/>
    <m/>
    <s v="Hedge Fund"/>
    <n v="0"/>
    <n v="0"/>
    <n v="0"/>
    <n v="0"/>
    <s v="ARF"/>
    <n v="20.698716050000002"/>
    <s v="HRF"/>
    <n v="20.698716050000002"/>
    <m/>
    <m/>
    <m/>
    <m/>
  </r>
  <r>
    <x v="121"/>
    <x v="12"/>
    <s v="NA"/>
    <n v="66433785.296136305"/>
    <n v="1140.3630000000001"/>
    <m/>
    <n v="6180534.0048676059"/>
    <n v="0"/>
    <n v="0"/>
    <m/>
    <n v="58256.700100000002"/>
    <n v="6180534.0048676059"/>
    <n v="0"/>
    <n v="0"/>
    <m/>
    <s v="Hedge Fund"/>
    <n v="0"/>
    <n v="0"/>
    <n v="0"/>
    <n v="0"/>
    <s v="ARF"/>
    <n v="23.753377"/>
    <s v="HRF"/>
    <n v="23.753377"/>
    <m/>
    <m/>
    <m/>
    <m/>
  </r>
  <r>
    <x v="122"/>
    <x v="12"/>
    <s v="NA"/>
    <n v="67489973.196942776"/>
    <n v="1146.9009000000001"/>
    <m/>
    <n v="675311.42122267932"/>
    <n v="0"/>
    <n v="0"/>
    <m/>
    <n v="58845.514199999991"/>
    <n v="675311.42122267932"/>
    <n v="0"/>
    <n v="0"/>
    <m/>
    <s v="Hedge Fund"/>
    <n v="0"/>
    <n v="0"/>
    <n v="0"/>
    <n v="0"/>
    <s v="ARF"/>
    <n v="23.889559239999997"/>
    <s v="HRF"/>
    <n v="23.889559239999997"/>
    <m/>
    <m/>
    <m/>
    <m/>
  </r>
  <r>
    <x v="123"/>
    <x v="12"/>
    <s v="NA"/>
    <n v="49220600.577635519"/>
    <n v="827.85119999999995"/>
    <m/>
    <n v="505271.03254848719"/>
    <n v="0"/>
    <n v="-20000949.487440001"/>
    <m/>
    <n v="59455.854600000006"/>
    <n v="-19495678.454891514"/>
    <n v="-336.4"/>
    <n v="-336.4"/>
    <m/>
    <s v="Hedge Fund"/>
    <n v="0"/>
    <n v="0"/>
    <n v="0"/>
    <n v="0"/>
    <s v="ARF"/>
    <n v="17.243861519999999"/>
    <s v="HRF"/>
    <n v="17.243861519999999"/>
    <m/>
    <m/>
    <m/>
    <m/>
  </r>
  <r>
    <x v="124"/>
    <x v="12"/>
    <s v="NA"/>
    <n v="60018032.444239162"/>
    <n v="835.81129999999996"/>
    <m/>
    <n v="10324157.318402179"/>
    <n v="0"/>
    <n v="0"/>
    <m/>
    <n v="71808.113200000007"/>
    <n v="10324157.318402179"/>
    <n v="0"/>
    <n v="0"/>
    <m/>
    <s v="Hedge Fund"/>
    <n v="0"/>
    <n v="0"/>
    <n v="0"/>
    <n v="0"/>
    <s v="ARF"/>
    <n v="24.484142219999999"/>
    <s v="HRF"/>
    <n v="17.409667710000001"/>
    <m/>
    <m/>
    <m/>
    <m/>
  </r>
  <r>
    <x v="125"/>
    <x v="12"/>
    <s v="NA"/>
    <n v="59049183.019322127"/>
    <n v="822.31910000000005"/>
    <m/>
    <n v="0"/>
    <n v="0"/>
    <n v="0"/>
    <m/>
    <n v="71808.113200000007"/>
    <n v="0"/>
    <n v="0"/>
    <n v="0"/>
    <m/>
    <s v="Hedge Fund"/>
    <n v="0"/>
    <n v="0"/>
    <n v="0"/>
    <n v="0"/>
    <s v="ARF"/>
    <n v="24.088903550000001"/>
    <s v="HRF"/>
    <n v="17.12862973"/>
    <m/>
    <m/>
    <m/>
    <m/>
  </r>
  <r>
    <x v="126"/>
    <x v="12"/>
    <s v="NA"/>
    <n v="59709573.513177246"/>
    <n v="831.51570000000004"/>
    <m/>
    <n v="0"/>
    <n v="0"/>
    <n v="0"/>
    <m/>
    <n v="71808.113200000007"/>
    <n v="0"/>
    <n v="0"/>
    <n v="0"/>
    <m/>
    <s v="Hedge Fund"/>
    <n v="0"/>
    <n v="0"/>
    <n v="0"/>
    <n v="0"/>
    <s v="ARF"/>
    <n v="24.358307499999999"/>
    <s v="HRF"/>
    <n v="17.320191809999997"/>
    <m/>
    <m/>
    <m/>
    <m/>
  </r>
  <r>
    <x v="127"/>
    <x v="12"/>
    <s v="NA"/>
    <n v="48835268.805867329"/>
    <n v="680.08010000000002"/>
    <m/>
    <n v="0"/>
    <n v="0"/>
    <n v="-11008183.753560001"/>
    <m/>
    <n v="71808.113200000007"/>
    <n v="-11008183.753560001"/>
    <n v="-153.30000000000001"/>
    <n v="-153.30000000000001"/>
    <m/>
    <s v="Hedge Fund"/>
    <n v="0"/>
    <n v="0"/>
    <n v="0"/>
    <n v="0"/>
    <s v="ARF"/>
    <n v="19.922173699999998"/>
    <s v="HRF"/>
    <n v="14.165839310000001"/>
    <m/>
    <m/>
    <m/>
    <m/>
  </r>
  <r>
    <x v="128"/>
    <x v="12"/>
    <s v="NA"/>
    <n v="54901663.88568835"/>
    <n v="680.76589999999999"/>
    <m/>
    <n v="6017149.0757884681"/>
    <n v="0"/>
    <n v="0"/>
    <m/>
    <n v="80646.906499999997"/>
    <n v="6017149.0757884681"/>
    <n v="0"/>
    <n v="0"/>
    <m/>
    <s v="Hedge Fund"/>
    <n v="0"/>
    <n v="0"/>
    <n v="0"/>
    <n v="0"/>
    <s v="ARF"/>
    <n v="24.437541199999998"/>
    <s v="HRF"/>
    <n v="14.180124279999999"/>
    <m/>
    <m/>
    <m/>
    <m/>
  </r>
  <r>
    <x v="129"/>
    <x v="12"/>
    <s v="NA"/>
    <n v="54503703.66087345"/>
    <n v="675.83130000000006"/>
    <m/>
    <n v="0"/>
    <n v="0"/>
    <n v="0"/>
    <m/>
    <n v="80646.906499999997"/>
    <n v="0"/>
    <n v="0"/>
    <n v="0"/>
    <m/>
    <s v="Hedge Fund"/>
    <n v="0"/>
    <n v="0"/>
    <n v="0"/>
    <n v="0"/>
    <s v="ARF"/>
    <n v="24.26040321"/>
    <s v="HRF"/>
    <n v="14.077338220000001"/>
    <m/>
    <m/>
    <m/>
    <m/>
  </r>
  <r>
    <x v="130"/>
    <x v="12"/>
    <s v="NA"/>
    <n v="60818698.849999994"/>
    <n v="693.82360000000006"/>
    <m/>
    <n v="4863971.8533065915"/>
    <n v="0"/>
    <n v="0"/>
    <m/>
    <n v="87657.293366786587"/>
    <n v="4863971.8533065915"/>
    <n v="0"/>
    <n v="0"/>
    <m/>
    <s v="Hedge Fund"/>
    <n v="0"/>
    <n v="0"/>
    <n v="0"/>
    <n v="0"/>
    <s v="ARF"/>
    <n v="24.906275129999997"/>
    <s v="HRF"/>
    <n v="14.45211177"/>
    <m/>
    <m/>
    <m/>
    <m/>
  </r>
  <r>
    <x v="131"/>
    <x v="12"/>
    <s v="NA"/>
    <n v="53866852.88209974"/>
    <n v="669.56229999999994"/>
    <m/>
    <n v="0"/>
    <n v="-4825166.0763406232"/>
    <n v="0"/>
    <m/>
    <n v="80450.84510000002"/>
    <n v="-4825166.0763406232"/>
    <n v="0"/>
    <n v="0"/>
    <m/>
    <s v="Hedge Fund"/>
    <n v="0"/>
    <n v="0"/>
    <n v="0"/>
    <n v="0"/>
    <s v="ARF"/>
    <n v="24.035364120000001"/>
    <s v="HRF"/>
    <n v="9.1215947100000001"/>
    <m/>
    <m/>
    <m/>
    <m/>
  </r>
  <r>
    <x v="132"/>
    <x v="12"/>
    <s v="NA"/>
    <n v="52272194.220000006"/>
    <n v="649.74069999999995"/>
    <m/>
    <n v="5.8091344237327576"/>
    <n v="0"/>
    <n v="0"/>
    <m/>
    <n v="80450.854040696562"/>
    <n v="5.8091344237327576"/>
    <n v="0"/>
    <n v="0"/>
    <m/>
    <s v="Hedge Fund"/>
    <n v="0"/>
    <n v="0"/>
    <n v="0"/>
    <n v="0"/>
    <s v="ARF"/>
    <n v="23.323825589999998"/>
    <s v="HRF"/>
    <n v="8.8515606899999995"/>
    <m/>
    <m/>
    <m/>
    <m/>
  </r>
  <r>
    <x v="133"/>
    <x v="12"/>
    <s v="NA"/>
    <n v="52853941.723234795"/>
    <n v="656.97180000000003"/>
    <m/>
    <n v="0"/>
    <n v="-0.66741890460252762"/>
    <n v="0"/>
    <m/>
    <n v="80450.853024794662"/>
    <n v="-0.66741890460252762"/>
    <n v="0"/>
    <n v="0"/>
    <m/>
    <s v="Hedge Fund"/>
    <n v="0"/>
    <n v="0"/>
    <n v="2.485422E-2"/>
    <n v="0.45476652000000001"/>
    <s v="ARF"/>
    <n v="23.58340132"/>
    <s v="HRF"/>
    <n v="8.9500715599999996"/>
    <m/>
    <m/>
    <m/>
    <m/>
  </r>
  <r>
    <x v="134"/>
    <x v="12"/>
    <s v="NA"/>
    <n v="52741750.949999996"/>
    <n v="655.57730000000004"/>
    <m/>
    <n v="0"/>
    <n v="-2.0586917251348495"/>
    <n v="0"/>
    <m/>
    <n v="80450.849884521609"/>
    <n v="-2.0586917251348495"/>
    <n v="0"/>
    <n v="0"/>
    <m/>
    <s v="Hedge Fund"/>
    <n v="0"/>
    <n v="0"/>
    <n v="2.485422E-2"/>
    <n v="0.44952885500000006"/>
    <s v="ARF"/>
    <n v="23.533342780000002"/>
    <s v="HRF"/>
    <n v="8.9310739800000007"/>
    <m/>
    <m/>
    <m/>
    <m/>
  </r>
  <r>
    <x v="135"/>
    <x v="12"/>
    <s v="NA"/>
    <n v="52275733.001161598"/>
    <n v="649.78470000000004"/>
    <m/>
    <n v="1.6442026868462563"/>
    <n v="0"/>
    <n v="0"/>
    <m/>
    <n v="80450.852414902343"/>
    <n v="1.6442026868462563"/>
    <n v="0"/>
    <n v="0"/>
    <m/>
    <s v="Hedge Fund"/>
    <n v="0"/>
    <n v="0"/>
    <n v="2.3250699999999999E-2"/>
    <n v="0.43511365000000002"/>
    <s v="ARF"/>
    <n v="23.325405069999999"/>
    <s v="HRF"/>
    <n v="8.8521601099999998"/>
    <m/>
    <m/>
    <m/>
    <m/>
  </r>
  <r>
    <x v="136"/>
    <x v="12"/>
    <s v="NA"/>
    <n v="52353735.550000004"/>
    <n v="650.75429999999994"/>
    <m/>
    <n v="0"/>
    <n v="-2.5976630747318268"/>
    <n v="0"/>
    <m/>
    <n v="80450.848423129908"/>
    <n v="-2.5976630747318268"/>
    <n v="0"/>
    <n v="0"/>
    <m/>
    <s v="Hedge Fund"/>
    <n v="0"/>
    <n v="0"/>
    <n v="2.5655959999999998E-2"/>
    <n v="0.43469770000000002"/>
    <s v="ARF"/>
    <n v="23.360210924253799"/>
    <s v="HRF"/>
    <n v="8.8653691999999999"/>
    <m/>
    <m/>
    <m/>
    <m/>
  </r>
  <r>
    <x v="137"/>
    <x v="12"/>
    <s v="NA"/>
    <n v="51015870.414686196"/>
    <n v="634.12469999999996"/>
    <m/>
    <n v="0.29362346976995468"/>
    <n v="0"/>
    <n v="0"/>
    <m/>
    <n v="80450.84888616734"/>
    <n v="0.29362346976995468"/>
    <n v="0"/>
    <n v="0"/>
    <m/>
    <s v="Hedge Fund"/>
    <n v="0"/>
    <n v="0"/>
    <n v="2.485422E-2"/>
    <n v="0.39800190000000002"/>
    <s v="ARF"/>
    <n v="22.763256031161401"/>
    <s v="HRF"/>
    <n v="8.6388204857714097"/>
    <m/>
    <m/>
    <m/>
    <m/>
  </r>
  <r>
    <x v="138"/>
    <x v="12"/>
    <s v="NA"/>
    <n v="49034086.2249512"/>
    <n v="609.49120000000005"/>
    <m/>
    <n v="1.7963024005293846"/>
    <n v="0"/>
    <n v="0"/>
    <m/>
    <n v="80450.85183338364"/>
    <n v="1.7963024005293846"/>
    <n v="0"/>
    <n v="0"/>
    <m/>
    <s v="Hedge Fund"/>
    <n v="2.2448972543169399E-2"/>
    <n v="0.65236369000000005"/>
    <n v="2.244898E-2"/>
    <n v="0.34497265999999999"/>
    <s v="ARF"/>
    <n v="21.878984108866604"/>
    <s v="HRF"/>
    <n v="8.3032328885113618"/>
    <m/>
    <m/>
    <m/>
    <m/>
  </r>
  <r>
    <x v="139"/>
    <x v="12"/>
    <s v="NA"/>
    <n v="48636220.742568232"/>
    <n v="604.54579999999999"/>
    <m/>
    <n v="0"/>
    <n v="-3.8397261425852776"/>
    <n v="0"/>
    <m/>
    <n v="80450.845481960569"/>
    <n v="-3.8397261425852776"/>
    <n v="0"/>
    <n v="0"/>
    <m/>
    <s v="Hedge Fund"/>
    <n v="2.64577176401639E-2"/>
    <n v="0.63267748999999995"/>
    <n v="2.6457729999999999E-2"/>
    <n v="0.33227855000000001"/>
    <s v="ARF"/>
    <n v="21.701458448099078"/>
    <s v="HRF"/>
    <n v="8.2358606148397406"/>
    <m/>
    <m/>
    <m/>
    <m/>
  </r>
  <r>
    <x v="140"/>
    <x v="12"/>
    <s v="NA"/>
    <n v="48557147.744355425"/>
    <n v="603.56290000000013"/>
    <m/>
    <n v="2.1378113999962807"/>
    <n v="0"/>
    <n v="0"/>
    <m/>
    <n v="80450.849023946663"/>
    <n v="2.1378113999962807"/>
    <n v="0"/>
    <n v="0"/>
    <m/>
    <s v="Hedge Fund"/>
    <n v="2.40524705819672E-2"/>
    <n v="0.62600867999999998"/>
    <n v="2.40524705819672E-2"/>
    <n v="0.327960635"/>
    <s v="ARF"/>
    <n v="21.666175160201561"/>
    <s v="HRF"/>
    <n v="8.2224703516068711"/>
    <m/>
    <m/>
    <m/>
    <m/>
  </r>
  <r>
    <x v="141"/>
    <x v="12"/>
    <s v="NA"/>
    <n v="50045287.809339911"/>
    <n v="622.06039999999996"/>
    <m/>
    <n v="0.48516404628753662"/>
    <n v="0"/>
    <n v="0"/>
    <m/>
    <n v="80450.849803877427"/>
    <n v="0.48516404628753662"/>
    <n v="0"/>
    <n v="0"/>
    <m/>
    <s v="Hedge Fund"/>
    <n v="2.48542196013661E-2"/>
    <n v="0.68203915000000004"/>
    <n v="2.48542196013661E-2"/>
    <n v="0.36387192499999998"/>
    <s v="ARF"/>
    <n v="22.330182300179558"/>
    <s v="HRF"/>
    <n v="8.4744658691061208"/>
    <m/>
    <m/>
    <m/>
    <m/>
  </r>
  <r>
    <x v="142"/>
    <x v="12"/>
    <s v="NA"/>
    <n v="49458795.79398603"/>
    <n v="628.77359999999999"/>
    <m/>
    <n v="0"/>
    <n v="-1126574.6602572724"/>
    <n v="0"/>
    <m/>
    <n v="78659.148211671156"/>
    <n v="-1126574.6602572724"/>
    <n v="0"/>
    <n v="0"/>
    <m/>
    <s v="Hedge Fund"/>
    <n v="2.4922313353698631E-2"/>
    <n v="1.5319889999999999E-2"/>
    <n v="2.4922313353698631E-2"/>
    <n v="1.4320605E-2"/>
    <s v="ARF"/>
    <n v="22.571166905239721"/>
    <s v="HRF"/>
    <n v="8.5659212716240809"/>
    <m/>
    <m/>
    <m/>
    <m/>
  </r>
  <r>
    <x v="143"/>
    <x v="12"/>
    <s v="NA"/>
    <n v="48881722.736701936"/>
    <n v="621.43720000000008"/>
    <m/>
    <n v="1.9176559969782829"/>
    <n v="0"/>
    <n v="0"/>
    <m/>
    <n v="78659.151297511533"/>
    <n v="1.9176559969782829"/>
    <n v="0"/>
    <n v="0"/>
    <m/>
    <s v="Hedge Fund"/>
    <n v="2.25104765775343E-2"/>
    <n v="0"/>
    <n v="2.25104765775343E-2"/>
    <n v="0"/>
    <s v="ARF"/>
    <n v="22.307811209511399"/>
    <s v="HRF"/>
    <n v="8.4659758782151613"/>
    <m/>
    <m/>
    <m/>
    <m/>
  </r>
  <r>
    <x v="144"/>
    <x v="12"/>
    <s v="NA"/>
    <n v="47581388.588106476"/>
    <n v="602.44110000000001"/>
    <m/>
    <n v="193882.95536720008"/>
    <n v="0"/>
    <n v="0"/>
    <m/>
    <n v="78980.980195585056"/>
    <n v="193882.95536720008"/>
    <n v="0"/>
    <n v="0"/>
    <m/>
    <s v="Hedge Fund"/>
    <n v="2.26639012350685E-2"/>
    <n v="0"/>
    <n v="2.26639012350685E-2"/>
    <n v="0"/>
    <s v="ARF"/>
    <n v="21.625905761113721"/>
    <s v="HRF"/>
    <n v="8.2071878230743316"/>
    <m/>
    <m/>
    <m/>
    <m/>
  </r>
  <r>
    <x v="145"/>
    <x v="12"/>
    <s v="NA"/>
    <n v="47584161.415014409"/>
    <n v="602.47619999999995"/>
    <m/>
    <n v="0.59450306743383408"/>
    <n v="0"/>
    <n v="0"/>
    <m/>
    <n v="78980.981182351126"/>
    <n v="0.59450306743383408"/>
    <n v="0"/>
    <n v="0"/>
    <m/>
    <s v="Hedge Fund"/>
    <n v="2.6711024126849302E-2"/>
    <n v="0"/>
    <n v="2.6711024126849302E-2"/>
    <n v="0"/>
    <s v="ARF"/>
    <n v="21.627165750334598"/>
    <s v="HRF"/>
    <n v="8.2076659981068616"/>
    <m/>
    <m/>
    <m/>
    <m/>
  </r>
  <r>
    <x v="146"/>
    <x v="12"/>
    <s v="NA"/>
    <n v="48612375.418983497"/>
    <n v="615.49469999999997"/>
    <m/>
    <n v="0.10044664889574051"/>
    <n v="0"/>
    <n v="0"/>
    <m/>
    <n v="78980.981345547742"/>
    <n v="0.10044664889574051"/>
    <n v="0"/>
    <n v="0"/>
    <m/>
    <s v="Hedge Fund"/>
    <n v="2.50921884221918E-2"/>
    <n v="0"/>
    <n v="2.50921884221918E-2"/>
    <n v="0"/>
    <s v="ARF"/>
    <n v="22.094492521617401"/>
    <s v="HRF"/>
    <n v="8.3850198915824112"/>
    <m/>
    <m/>
    <m/>
    <m/>
  </r>
  <r>
    <x v="147"/>
    <x v="12"/>
    <s v="NA"/>
    <n v="48304948.170925021"/>
    <n v="611.60230000000001"/>
    <m/>
    <n v="0"/>
    <n v="-1.6762690767645836"/>
    <n v="0"/>
    <m/>
    <n v="78980.978604764925"/>
    <n v="-1.6762690767645836"/>
    <n v="0"/>
    <n v="0"/>
    <m/>
    <s v="Hedge Fund"/>
    <n v="2.2663899865205502E-2"/>
    <n v="0"/>
    <n v="2.2663899865205502E-2"/>
    <n v="0"/>
    <s v="ARF"/>
    <n v="21.954766537476281"/>
    <s v="HRF"/>
    <n v="8.331992868886692"/>
    <m/>
    <m/>
    <m/>
    <m/>
  </r>
  <r>
    <x v="148"/>
    <x v="12"/>
    <s v="NA"/>
    <n v="47924215.662898466"/>
    <n v="606.7817"/>
    <m/>
    <n v="3.1974355801939964"/>
    <n v="0"/>
    <n v="0"/>
    <m/>
    <n v="78980.983874263955"/>
    <n v="3.1974355801939964"/>
    <n v="0"/>
    <n v="0"/>
    <m/>
    <s v="Hedge Fund"/>
    <n v="2.6711024126849302E-2"/>
    <n v="0"/>
    <n v="2.6711024126849302E-2"/>
    <n v="0"/>
    <s v="ARF"/>
    <n v="21.781720838383002"/>
    <s v="HRF"/>
    <n v="8.2663207731085109"/>
    <m/>
    <m/>
    <m/>
    <m/>
  </r>
  <r>
    <x v="149"/>
    <x v="12"/>
    <s v="NA"/>
    <n v="47867935.315209247"/>
    <n v="606.06910000000016"/>
    <m/>
    <n v="1.5014195665717125"/>
    <n v="0"/>
    <n v="0"/>
    <m/>
    <n v="78980.986351571526"/>
    <n v="1.5014195665717125"/>
    <n v="0"/>
    <n v="0"/>
    <m/>
    <s v="Hedge Fund"/>
    <n v="2.4282755569863E-2"/>
    <n v="0"/>
    <n v="2.4282755569863E-2"/>
    <n v="0"/>
    <s v="ARF"/>
    <n v="21.756140544400122"/>
    <s v="HRF"/>
    <n v="8.2566128663227314"/>
    <m/>
    <m/>
    <m/>
    <m/>
  </r>
  <r>
    <x v="1"/>
    <x v="12"/>
    <s v="NA"/>
    <n v="48555486.880895033"/>
    <n v="614.77440000000001"/>
    <m/>
    <n v="0"/>
    <n v="-1.6148005425930023"/>
    <n v="0"/>
    <m/>
    <n v="78980.983724916048"/>
    <n v="-1.6148005425930023"/>
    <n v="0"/>
    <n v="0"/>
    <m/>
    <s v="Hedge Fund"/>
    <n v="2.509219E-2"/>
    <n v="0"/>
    <n v="2.509219E-2"/>
    <n v="0"/>
    <s v="ARF"/>
    <n v="22.068635819742763"/>
    <s v="HRF"/>
    <n v="8.3752070860003212"/>
    <m/>
    <m/>
    <m/>
    <m/>
  </r>
  <r>
    <x v="2"/>
    <x v="12"/>
    <s v="NA"/>
    <n v="49993123.76923421"/>
    <n v="632.97670000000005"/>
    <m/>
    <n v="1.3282831385731697"/>
    <n v="0"/>
    <n v="-1998218.9413316878"/>
    <m/>
    <n v="78980.985823386873"/>
    <n v="-1998217.6130485493"/>
    <n v="-25.3"/>
    <n v="-25.3"/>
    <m/>
    <s v="Hedge Fund"/>
    <n v="2.5092185479452099E-2"/>
    <n v="7.1199330000000005E-2"/>
    <n v="2.5092185479452099E-2"/>
    <n v="4.6838274999999999E-2"/>
    <s v="ARF"/>
    <n v="22.722046127299002"/>
    <s v="HRF"/>
    <n v="8.6231810288670125"/>
    <m/>
    <m/>
    <m/>
    <m/>
  </r>
  <r>
    <x v="3"/>
    <x v="12"/>
    <s v="NA"/>
    <n v="49504890.888494551"/>
    <n v="626.79510000000005"/>
    <m/>
    <n v="0"/>
    <n v="-4.0187738090753555"/>
    <n v="0"/>
    <m/>
    <n v="78980.979411763983"/>
    <n v="-4.0187738090753555"/>
    <n v="0"/>
    <n v="0"/>
    <m/>
    <s v="Hedge Fund"/>
    <n v="2.34733227175342E-2"/>
    <n v="4.9511660000000006E-2"/>
    <n v="2.3473310000000001E-2"/>
    <n v="3.2552474999999997E-2"/>
    <s v="ARF"/>
    <n v="22.500144435908922"/>
    <s v="HRF"/>
    <n v="8.5389677302605325"/>
    <m/>
    <m/>
    <m/>
    <m/>
  </r>
  <r>
    <x v="4"/>
    <x v="12"/>
    <s v="NA"/>
    <n v="49968254.353459559"/>
    <n v="632.66190000000006"/>
    <m/>
    <n v="0"/>
    <n v="-2.1450479328632355"/>
    <n v="0"/>
    <m/>
    <n v="78980.976021251729"/>
    <n v="-2.1450479328632355"/>
    <n v="0"/>
    <n v="0"/>
    <m/>
    <s v="Hedge Fund"/>
    <n v="2.5901601274520548E-2"/>
    <n v="6.3152489999999992E-2"/>
    <n v="2.5901599999999997E-2"/>
    <n v="4.1523875000000002E-2"/>
    <s v="ARF"/>
    <n v="22.710745711152761"/>
    <s v="HRF"/>
    <n v="8.6188924391165713"/>
    <m/>
    <m/>
    <m/>
    <m/>
  </r>
  <r>
    <x v="5"/>
    <x v="12"/>
    <s v="NA"/>
    <n v="49621002.863176726"/>
    <n v="633.66210000000001"/>
    <m/>
    <n v="0"/>
    <n v="-426248.26249928772"/>
    <n v="0"/>
    <m/>
    <n v="78308.301637697325"/>
    <n v="-426248.26249928772"/>
    <n v="0"/>
    <n v="0"/>
    <m/>
    <s v="Hedge Fund"/>
    <n v="2.4282735569863E-2"/>
    <n v="3.3000000000000002E-7"/>
    <n v="2.4282740000000001E-2"/>
    <n v="3.3000000000000002E-7"/>
    <s v="ARF"/>
    <n v="22.746650019378521"/>
    <s v="HRF"/>
    <n v="8.6325183840606314"/>
    <m/>
    <m/>
    <m/>
    <m/>
  </r>
  <r>
    <x v="6"/>
    <x v="12"/>
    <s v="NA"/>
    <n v="50549346.715868704"/>
    <n v="645.51710000000003"/>
    <m/>
    <n v="0"/>
    <n v="-1.0632229223847389"/>
    <n v="0"/>
    <m/>
    <n v="78308.299990610161"/>
    <n v="-1.0632229223847389"/>
    <n v="0"/>
    <n v="0"/>
    <m/>
    <s v="Hedge Fund"/>
    <n v="2.3473312717534202E-2"/>
    <n v="2.9430120000000001E-2"/>
    <n v="2.3473310000000001E-2"/>
    <n v="1.9358385000000002E-2"/>
    <s v="ARF"/>
    <n v="23.172210481302525"/>
    <s v="HRF"/>
    <n v="8.7940216607171315"/>
    <m/>
    <m/>
    <m/>
    <m/>
  </r>
  <r>
    <x v="7"/>
    <x v="12"/>
    <s v="NA"/>
    <n v="50602153.999588817"/>
    <n v="646.19140000000016"/>
    <m/>
    <n v="3.9970364347100258"/>
    <n v="0"/>
    <n v="0"/>
    <m/>
    <n v="78308.306176140395"/>
    <n v="3.9970364347100258"/>
    <n v="0"/>
    <n v="0"/>
    <m/>
    <s v="Hedge Fund"/>
    <n v="2.5092178422191799E-2"/>
    <n v="2.7750319999999998E-2"/>
    <n v="2.509219E-2"/>
    <n v="1.7554380000000001E-2"/>
    <s v="ARF"/>
    <n v="23.196415915252366"/>
    <s v="HRF"/>
    <n v="8.8032077981654222"/>
    <m/>
    <m/>
    <m/>
    <m/>
  </r>
  <r>
    <x v="8"/>
    <x v="12"/>
    <s v="NA"/>
    <n v="50555630.517183371"/>
    <n v="645.59730000000002"/>
    <m/>
    <n v="0"/>
    <n v="-0.51770619302988052"/>
    <n v="0"/>
    <m/>
    <n v="78308.305374237738"/>
    <n v="-0.51770619302988052"/>
    <n v="0"/>
    <n v="0"/>
    <m/>
    <s v="Hedge Fund"/>
    <n v="2.4282755569863E-2"/>
    <n v="2.2498919999999999E-2"/>
    <n v="2.4282755569863E-2"/>
    <n v="1.4778484999999999E-2"/>
    <s v="ARF"/>
    <n v="23.175089431032283"/>
    <s v="HRF"/>
    <n v="8.795114242985191"/>
    <m/>
    <m/>
    <m/>
    <m/>
  </r>
  <r>
    <x v="9"/>
    <x v="12"/>
    <s v="NA"/>
    <n v="50860236.393205814"/>
    <n v="648.76409999999987"/>
    <m/>
    <n v="56619.134563311934"/>
    <n v="0"/>
    <n v="0"/>
    <m/>
    <n v="78395.577673311185"/>
    <n v="56619.134563311934"/>
    <n v="0"/>
    <n v="0"/>
    <m/>
    <s v="Hedge Fund"/>
    <n v="2.28652198003035E-2"/>
    <n v="2.8312980000000001E-2"/>
    <n v="2.28652198003035E-2"/>
    <n v="1.8553730000000001E-2"/>
    <s v="ARF"/>
    <n v="23.288768458516124"/>
    <s v="HRF"/>
    <n v="8.8382562570312295"/>
    <m/>
    <m/>
    <m/>
    <m/>
  </r>
  <r>
    <x v="10"/>
    <x v="12"/>
    <s v="NA"/>
    <n v="47380646.734462"/>
    <n v="604.37910000000011"/>
    <m/>
    <n v="0"/>
    <n v="-1.9437139183282852"/>
    <n v="-4993798.0929274838"/>
    <m/>
    <n v="78395.574457260343"/>
    <n v="-4993800.0366414022"/>
    <n v="-63.7"/>
    <n v="-63.7"/>
    <m/>
    <s v="Hedge Fund"/>
    <n v="2.3767246915342499E-2"/>
    <n v="0.10250115999999999"/>
    <n v="2.3767259999999998E-2"/>
    <n v="6.3905804999999996E-2"/>
    <s v="ARF"/>
    <n v="21.69547439672812"/>
    <s v="HRF"/>
    <n v="8.23358962401573"/>
    <m/>
    <m/>
    <m/>
    <m/>
  </r>
  <r>
    <x v="11"/>
    <x v="12"/>
    <s v="NA"/>
    <n v="47924162.465852939"/>
    <n v="611.31200000000001"/>
    <m/>
    <n v="7.0532362014055252"/>
    <n v="0"/>
    <n v="0"/>
    <m/>
    <n v="78395.585995126778"/>
    <n v="7.0532362014055252"/>
    <n v="0"/>
    <n v="0"/>
    <m/>
    <s v="Hedge Fund"/>
    <n v="2.3767246915342499E-2"/>
    <n v="0.12653902"/>
    <n v="2.3767259999999998E-2"/>
    <n v="7.8599520000000006E-2"/>
    <s v="ARF"/>
    <n v="21.944345600985642"/>
    <s v="HRF"/>
    <n v="8.3280380480336014"/>
    <m/>
    <m/>
    <m/>
    <m/>
  </r>
  <r>
    <x v="12"/>
    <x v="12"/>
    <s v="NA"/>
    <n v="48205564.307471372"/>
    <n v="614.90160000000014"/>
    <m/>
    <n v="0"/>
    <n v="-6.9538696855306625"/>
    <n v="0"/>
    <m/>
    <n v="78395.574686212174"/>
    <n v="-6.9538696855306625"/>
    <n v="0"/>
    <n v="0"/>
    <m/>
    <s v="Hedge Fund"/>
    <n v="2.2233860662739701E-2"/>
    <n v="0.13796728"/>
    <n v="2.2233860662739701E-2"/>
    <n v="8.5698166334033571E-2"/>
    <s v="ARF"/>
    <n v="22.073201934526121"/>
    <s v="HRF"/>
    <n v="8.3769399596224812"/>
    <m/>
    <m/>
    <m/>
    <m/>
  </r>
  <r>
    <x v="13"/>
    <x v="12"/>
    <s v="NA"/>
    <n v="47792846.84105707"/>
    <n v="609.63699999999994"/>
    <m/>
    <n v="3.8760787397623062"/>
    <n v="0"/>
    <n v="0"/>
    <m/>
    <n v="78395.58104422316"/>
    <n v="3.8760787397623062"/>
    <n v="0"/>
    <n v="0"/>
    <m/>
    <s v="Hedge Fund"/>
    <n v="2.4533930178630099E-2"/>
    <n v="0.11115245"/>
    <n v="2.4533929999999999E-2"/>
    <n v="6.9176745000000012E-2"/>
    <s v="ARF"/>
    <n v="21.884217910245638"/>
    <s v="HRF"/>
    <n v="8.3052191540311"/>
    <m/>
    <m/>
    <m/>
    <m/>
  </r>
  <r>
    <x v="150"/>
    <x v="12"/>
    <s v="NA"/>
    <n v="25080401.97889575"/>
    <n v="319.92109999999997"/>
    <m/>
    <n v="1.4560887292027473"/>
    <n v="0"/>
    <n v="-22600004.84844305"/>
    <m/>
    <n v="78395.585595622644"/>
    <n v="-22600003.392354321"/>
    <n v="-288.28160000000003"/>
    <n v="-288.28160000000003"/>
    <m/>
    <s v="Hedge Fund"/>
    <n v="2.3767246915342499E-2"/>
    <n v="0.10107120999999999"/>
    <n v="2.3767259999999998E-2"/>
    <n v="6.2619480000000005E-2"/>
    <s v="ARF"/>
    <n v="11.484248932537701"/>
    <s v="HRF"/>
    <n v="4.3583556239183308"/>
    <m/>
    <m/>
    <m/>
    <m/>
  </r>
  <r>
    <x v="151"/>
    <x v="12"/>
    <s v="NA"/>
    <n v="24722933.687332001"/>
    <n v="315.36130000000003"/>
    <m/>
    <n v="0"/>
    <n v="-0.10036483407020569"/>
    <n v="0"/>
    <m/>
    <n v="78395.585277369159"/>
    <n v="-0.10036483407020569"/>
    <n v="0"/>
    <n v="0"/>
    <m/>
    <s v="Hedge Fund"/>
    <n v="2.1467187536438399E-2"/>
    <n v="7.8635160000000009E-2"/>
    <n v="2.1467179999999999E-2"/>
    <n v="4.8783809999999997E-2"/>
    <s v="ARF"/>
    <n v="11.320565204635463"/>
    <s v="HRF"/>
    <n v="4.2962364639943909"/>
    <m/>
    <m/>
    <m/>
    <m/>
  </r>
  <r>
    <x v="152"/>
    <x v="12"/>
    <s v="NA"/>
    <n v="24349114.725628544"/>
    <n v="310.59289999999999"/>
    <m/>
    <n v="2.5471331551671028"/>
    <n v="0"/>
    <n v="0"/>
    <m/>
    <n v="78395.593478242881"/>
    <n v="2.5471331551671028"/>
    <n v="0"/>
    <n v="0"/>
    <m/>
    <s v="Hedge Fund"/>
    <n v="2.5300613167945199E-2"/>
    <n v="5.503065E-2"/>
    <n v="2.5300613167945199E-2"/>
    <n v="3.4217160000000003E-2"/>
    <s v="ARF"/>
    <n v="11.14939333566554"/>
    <s v="HRF"/>
    <n v="4.2312755003158697"/>
    <m/>
    <m/>
    <m/>
    <m/>
  </r>
  <r>
    <x v="153"/>
    <x v="12"/>
    <s v="NA"/>
    <n v="38648777.320519373"/>
    <n v="316.32560000000001"/>
    <m/>
    <n v="13850244.176158104"/>
    <n v="0"/>
    <n v="0"/>
    <m/>
    <n v="122180.36516968394"/>
    <n v="13850244.176158104"/>
    <n v="0"/>
    <n v="0"/>
    <m/>
    <s v="Hedge Fund"/>
    <n v="3.4123851460274003E-2"/>
    <n v="6.5778420000000004E-2"/>
    <n v="2.3000549999999998E-2"/>
    <n v="1.090821E-2"/>
    <s v="ARF"/>
    <n v="11.355180805937302"/>
    <s v="HRF"/>
    <n v="4.3093733353296795"/>
    <m/>
    <m/>
    <m/>
    <m/>
  </r>
  <r>
    <x v="154"/>
    <x v="12"/>
    <s v="NA"/>
    <n v="39200325.015439585"/>
    <n v="320.83980000000008"/>
    <m/>
    <n v="1.0904712155461311"/>
    <n v="0"/>
    <n v="0"/>
    <m/>
    <n v="122180.36856848675"/>
    <n v="1.0904712155461311"/>
    <n v="0"/>
    <n v="0"/>
    <m/>
    <s v="Hedge Fund"/>
    <n v="3.22069135638356E-2"/>
    <n v="0.11770189"/>
    <n v="2.1467179999999999E-2"/>
    <n v="1.9349065000000002E-2"/>
    <s v="ARF"/>
    <n v="11.517227624766262"/>
    <s v="HRF"/>
    <n v="4.3708712764079394"/>
    <m/>
    <m/>
    <m/>
    <m/>
  </r>
  <r>
    <x v="155"/>
    <x v="12"/>
    <s v="NA"/>
    <n v="39923653.93330612"/>
    <n v="326.76"/>
    <m/>
    <n v="0"/>
    <n v="-3.3001326099038124"/>
    <n v="0"/>
    <m/>
    <n v="122180.35846892558"/>
    <n v="-3.3001326099038124"/>
    <n v="0"/>
    <n v="0"/>
    <m/>
    <s v="Hedge Fund"/>
    <n v="3.6807902644383599E-2"/>
    <n v="0.18698442000000001"/>
    <n v="2.4533929999999999E-2"/>
    <n v="3.0796849999999997E-2"/>
    <s v="ARF"/>
    <n v="11.729745806688021"/>
    <s v="HRF"/>
    <n v="4.4515234652279991"/>
    <m/>
    <m/>
    <m/>
    <m/>
  </r>
  <r>
    <x v="156"/>
    <x v="12"/>
    <s v="NA"/>
    <n v="44199557.442608364"/>
    <n v="337.36099999999993"/>
    <m/>
    <n v="2980669.529173173"/>
    <n v="0"/>
    <n v="0"/>
    <m/>
    <n v="131015.61070369239"/>
    <n v="2980669.529173173"/>
    <n v="0"/>
    <n v="0"/>
    <m/>
    <s v="Hedge Fund"/>
    <n v="3.68802898164384E-2"/>
    <n v="0.33741692000000001"/>
    <n v="2.5373429999999999E-2"/>
    <n v="7.3012880000000002E-2"/>
    <s v="ARF"/>
    <n v="12.110291269096821"/>
    <s v="HRF"/>
    <n v="4.5959432236282991"/>
    <m/>
    <m/>
    <m/>
    <m/>
  </r>
  <r>
    <x v="157"/>
    <x v="12"/>
    <s v="NA"/>
    <n v="44280514.292427242"/>
    <n v="337.97899999999998"/>
    <m/>
    <n v="0"/>
    <n v="-10.797596007585526"/>
    <n v="0"/>
    <m/>
    <n v="131015.57875615716"/>
    <n v="-10.797596007585526"/>
    <n v="0"/>
    <n v="0"/>
    <m/>
    <s v="Hedge Fund"/>
    <n v="3.5650939155890397E-2"/>
    <n v="0.33927230000000003"/>
    <n v="2.452764E-2"/>
    <n v="7.2598084999999993E-2"/>
    <s v="ARF"/>
    <n v="12.132475694695222"/>
    <s v="HRF"/>
    <n v="4.6043623737736992"/>
    <m/>
    <m/>
    <m/>
    <m/>
  </r>
  <r>
    <x v="158"/>
    <x v="12"/>
    <s v="NA"/>
    <n v="43511149.947448865"/>
    <n v="332.10669999999999"/>
    <m/>
    <n v="0"/>
    <n v="-1.5618485957384109"/>
    <n v="0"/>
    <m/>
    <n v="131015.57405330536"/>
    <n v="-1.5618485957384109"/>
    <n v="0"/>
    <n v="0"/>
    <m/>
    <s v="Hedge Fund"/>
    <n v="3.93389711375342E-2"/>
    <n v="0.24338242999999998"/>
    <n v="2.7064999999999999E-2"/>
    <n v="4.4324255000000007E-2"/>
    <s v="ARF"/>
    <n v="11.921676985242982"/>
    <s v="HRF"/>
    <n v="4.5243627372060091"/>
    <m/>
    <m/>
    <m/>
    <m/>
  </r>
  <r>
    <x v="159"/>
    <x v="12"/>
    <s v="NA"/>
    <n v="43024591.898314565"/>
    <n v="328.3929"/>
    <m/>
    <n v="7.5897848606109619"/>
    <n v="0"/>
    <n v="0"/>
    <m/>
    <n v="131015.59716520841"/>
    <n v="7.5897848606109619"/>
    <n v="0"/>
    <n v="0"/>
    <m/>
    <s v="Hedge Fund"/>
    <n v="3.8109640476986298E-2"/>
    <n v="0.18159025000000001"/>
    <n v="2.621923E-2"/>
    <n v="2.5589054999999999E-2"/>
    <s v="ARF"/>
    <n v="11.788362228305541"/>
    <s v="HRF"/>
    <n v="4.4737688216558693"/>
    <m/>
    <m/>
    <m/>
    <m/>
  </r>
  <r>
    <x v="160"/>
    <x v="12"/>
    <s v="NA"/>
    <n v="37212533.148588687"/>
    <n v="324.02699999999999"/>
    <m/>
    <n v="0"/>
    <n v="-5240057.754062295"/>
    <n v="0"/>
    <m/>
    <n v="114843.92704493357"/>
    <n v="-5240057.754062295"/>
    <n v="0"/>
    <n v="0"/>
    <m/>
    <s v="Hedge Fund"/>
    <n v="3.40251471420841E-2"/>
    <n v="8.5192309999999993E-2"/>
    <n v="2.621923E-2"/>
    <n v="1.255157E-2"/>
    <s v="ARF"/>
    <n v="11.631638953677621"/>
    <s v="HRF"/>
    <n v="4.4142912041480988"/>
    <m/>
    <m/>
    <m/>
    <m/>
  </r>
  <r>
    <x v="161"/>
    <x v="12"/>
    <s v="NA"/>
    <n v="36200515.604115196"/>
    <n v="315.2149"/>
    <m/>
    <n v="0"/>
    <n v="-1.3749608397483826"/>
    <n v="0"/>
    <m/>
    <n v="114843.92268295438"/>
    <n v="-1.3749608397483826"/>
    <n v="0"/>
    <n v="0"/>
    <m/>
    <s v="Hedge Fund"/>
    <n v="3.2927549761893202E-2"/>
    <n v="9.3275200000000006E-3"/>
    <n v="2.5373429999999999E-2"/>
    <n v="0"/>
    <s v="ARF"/>
    <n v="11.315309864979142"/>
    <s v="HRF"/>
    <n v="4.2942420245424691"/>
    <m/>
    <m/>
    <m/>
    <m/>
  </r>
  <r>
    <x v="162"/>
    <x v="12"/>
    <s v="NA"/>
    <n v="37114369.528997466"/>
    <n v="323.17230000000006"/>
    <m/>
    <n v="0"/>
    <n v="-5.1054750755429268"/>
    <n v="0"/>
    <m/>
    <n v="114843.90688495722"/>
    <n v="-5.1054750755429268"/>
    <n v="0"/>
    <n v="0"/>
    <m/>
    <s v="Hedge Fund"/>
    <n v="3.2927554008468501E-2"/>
    <n v="6.5405389999999994E-2"/>
    <n v="2.5373429999999999E-2"/>
    <n v="5.7687600000000004E-3"/>
    <s v="ARF"/>
    <n v="11.600957677692262"/>
    <s v="HRF"/>
    <n v="4.4026474377576896"/>
    <m/>
    <m/>
    <m/>
    <m/>
  </r>
  <r>
    <x v="163"/>
    <x v="12"/>
    <s v="NA"/>
    <n v="37012786.193273231"/>
    <n v="322.2878"/>
    <m/>
    <n v="0"/>
    <n v="-3.900084488093853"/>
    <n v="0"/>
    <m/>
    <n v="114843.89478370956"/>
    <n v="-3.900084488093853"/>
    <n v="0"/>
    <n v="0"/>
    <m/>
    <s v="Hedge Fund"/>
    <n v="3.4025157142084102E-2"/>
    <n v="5.4255879999999999E-2"/>
    <n v="2.621923E-2"/>
    <n v="3.7422750000000002E-3"/>
    <s v="ARF"/>
    <n v="11.569206667268661"/>
    <s v="HRF"/>
    <n v="4.3905976994023401"/>
    <m/>
    <m/>
    <m/>
    <m/>
  </r>
  <r>
    <x v="164"/>
    <x v="12"/>
    <s v="NA"/>
    <n v="34971483.686761446"/>
    <n v="304.51319999999998"/>
    <m/>
    <n v="1.7857107445597649"/>
    <n v="0"/>
    <n v="0"/>
    <m/>
    <n v="114843.90064785845"/>
    <n v="1.7857107445597649"/>
    <n v="0"/>
    <n v="0"/>
    <m/>
    <s v="Hedge Fund"/>
    <n v="3.4025157142084102E-2"/>
    <n v="0"/>
    <n v="2.621923E-2"/>
    <n v="0"/>
    <s v="ARF"/>
    <n v="10.931149561700179"/>
    <s v="HRF"/>
    <n v="4.1484504078579603"/>
    <m/>
    <m/>
    <m/>
    <m/>
  </r>
  <r>
    <x v="165"/>
    <x v="12"/>
    <s v="NA"/>
    <n v="34791574.441258118"/>
    <n v="305.05109999999996"/>
    <m/>
    <n v="0"/>
    <n v="-241683.77966181189"/>
    <n v="0"/>
    <m/>
    <n v="114051.6275511156"/>
    <n v="-241683.77966181189"/>
    <n v="0"/>
    <n v="0"/>
    <m/>
    <s v="Hedge Fund"/>
    <n v="3.1829970874852898E-2"/>
    <n v="0"/>
    <n v="2.4460619999999999E-2"/>
    <n v="0"/>
    <s v="ARF"/>
    <n v="10.950458627281701"/>
    <s v="HRF"/>
    <n v="4.1557783380573312"/>
    <m/>
    <m/>
    <m/>
    <m/>
  </r>
  <r>
    <x v="166"/>
    <x v="12"/>
    <s v="NA"/>
    <n v="35720133.833626002"/>
    <n v="313.1927"/>
    <m/>
    <n v="0"/>
    <n v="-3.3385022804141045"/>
    <n v="0"/>
    <m/>
    <n v="114051.61689153675"/>
    <n v="-3.3385022804141045"/>
    <n v="0"/>
    <n v="0"/>
    <m/>
    <s v="Hedge Fund"/>
    <n v="3.3932166822023796E-2"/>
    <n v="0"/>
    <n v="2.6147569999999998E-2"/>
    <n v="0"/>
    <s v="ARF"/>
    <n v="11.24271869111978"/>
    <s v="HRF"/>
    <n v="4.2666931484518109"/>
    <m/>
    <m/>
    <m/>
    <m/>
  </r>
  <r>
    <x v="167"/>
    <x v="12"/>
    <s v="NA"/>
    <n v="36103572.701761097"/>
    <n v="316.55470000000003"/>
    <m/>
    <n v="0"/>
    <n v="-2.6678542494773865"/>
    <n v="0"/>
    <m/>
    <n v="114051.60846375395"/>
    <n v="-2.6678542494773865"/>
    <n v="0"/>
    <n v="0"/>
    <m/>
    <s v="Hedge Fund"/>
    <n v="3.3932170210001902E-2"/>
    <n v="3.6494600000000002E-3"/>
    <n v="2.6147569999999998E-2"/>
    <n v="0"/>
    <s v="ARF"/>
    <n v="11.363404838145382"/>
    <s v="HRF"/>
    <n v="4.312494415100411"/>
    <m/>
    <m/>
    <m/>
    <m/>
  </r>
  <r>
    <x v="168"/>
    <x v="12"/>
    <s v="NA"/>
    <n v="36784900.021408923"/>
    <n v="322.52850000000001"/>
    <m/>
    <n v="5.8210070580244064"/>
    <n v="0"/>
    <n v="0"/>
    <m/>
    <n v="114051.62651179329"/>
    <n v="5.8210070580244064"/>
    <n v="0"/>
    <n v="0"/>
    <m/>
    <s v="Hedge Fund"/>
    <n v="3.1742994123828701E-2"/>
    <n v="3.8861680000000003E-2"/>
    <n v="2.4460620000000002E-2"/>
    <n v="1.1289650000000002E-3"/>
    <s v="ARF"/>
    <n v="11.577847106170822"/>
    <s v="HRF"/>
    <n v="4.3938768085285504"/>
    <m/>
    <m/>
    <m/>
    <m/>
  </r>
  <r>
    <x v="169"/>
    <x v="12"/>
    <s v="NA"/>
    <n v="37012590.620924376"/>
    <n v="324.52489999999995"/>
    <m/>
    <n v="0"/>
    <n v="-2.0676526874303818"/>
    <n v="0"/>
    <m/>
    <n v="114051.62014047113"/>
    <n v="-2.0676526874303818"/>
    <n v="0"/>
    <n v="0"/>
    <m/>
    <s v="Hedge Fund"/>
    <n v="3.5026773171121302E-2"/>
    <n v="5.0401090000000003E-2"/>
    <n v="2.6991049999999999E-2"/>
    <n v="2.1464699999999997E-3"/>
    <s v="ARF"/>
    <n v="11.649512134107141"/>
    <s v="HRF"/>
    <n v="4.4210742055354704"/>
    <m/>
    <m/>
    <m/>
    <m/>
  </r>
  <r>
    <x v="170"/>
    <x v="12"/>
    <s v="NA"/>
    <n v="38510896.825249612"/>
    <n v="337.66199999999998"/>
    <m/>
    <n v="0"/>
    <n v="-1.3346221521496773"/>
    <n v="0"/>
    <m/>
    <n v="114051.61618793235"/>
    <n v="-1.3346221521496773"/>
    <n v="0"/>
    <n v="0"/>
    <m/>
    <s v="Hedge Fund"/>
    <n v="3.2837580000000005E-2"/>
    <n v="0.16328613"/>
    <n v="2.53041E-2"/>
    <n v="2.7337265000000003E-2"/>
    <s v="ARF"/>
    <n v="12.121096304865622"/>
    <s v="HRF"/>
    <n v="4.6000438129386003"/>
    <m/>
    <m/>
    <m/>
    <m/>
  </r>
  <r>
    <x v="171"/>
    <x v="12"/>
    <s v="NA"/>
    <n v="38525017.988930903"/>
    <n v="339.91899999999993"/>
    <m/>
    <n v="0"/>
    <n v="-243293.33405486494"/>
    <n v="0"/>
    <m/>
    <n v="113335.87704403375"/>
    <n v="-243293.33405486494"/>
    <n v="0"/>
    <n v="0"/>
    <m/>
    <s v="Hedge Fund"/>
    <n v="3.1742994123828701E-2"/>
    <n v="0.18237504999999998"/>
    <n v="2.4460619999999999E-2"/>
    <n v="3.3373980000000004E-2"/>
    <s v="ARF"/>
    <n v="12.202116124567222"/>
    <s v="HRF"/>
    <n v="4.6307914211557009"/>
    <m/>
    <m/>
    <m/>
    <m/>
  </r>
  <r>
    <x v="172"/>
    <x v="12"/>
    <s v="NA"/>
    <n v="38278706.6967737"/>
    <n v="337.7457"/>
    <m/>
    <n v="1.5694225877523422"/>
    <n v="0"/>
    <n v="0"/>
    <m/>
    <n v="113335.88169079192"/>
    <n v="1.5694225877523422"/>
    <n v="0"/>
    <n v="0"/>
    <m/>
    <s v="Hedge Fund"/>
    <n v="3.6121359520218901E-2"/>
    <n v="0.15119221999999999"/>
    <n v="2.783453E-2"/>
    <n v="2.1504810000000003E-2"/>
    <s v="ARF"/>
    <n v="12.124100894546183"/>
    <s v="HRF"/>
    <n v="4.6011840764777112"/>
    <m/>
    <m/>
    <m/>
    <m/>
  </r>
  <r>
    <x v="173"/>
    <x v="12"/>
    <s v="NA"/>
    <n v="40167494.279139601"/>
    <n v="354.41109999999998"/>
    <m/>
    <n v="0"/>
    <n v="-0.22036382555961609"/>
    <n v="0"/>
    <m/>
    <n v="113335.88106901731"/>
    <n v="-0.22036382555961609"/>
    <n v="0"/>
    <n v="0"/>
    <m/>
    <s v="Hedge Fund"/>
    <n v="3.2837580000000005E-2"/>
    <n v="0.33582352000000004"/>
    <n v="2.53041E-2"/>
    <n v="8.7469094999999997E-2"/>
    <s v="ARF"/>
    <n v="12.722340904849704"/>
    <s v="HRF"/>
    <n v="4.8282204920653315"/>
    <m/>
    <m/>
    <m/>
    <m/>
  </r>
  <r>
    <x v="174"/>
    <x v="12"/>
    <s v="NA"/>
    <n v="40978146.452339955"/>
    <n v="361.56369999999998"/>
    <m/>
    <n v="5.9502661004662514"/>
    <n v="0"/>
    <n v="0"/>
    <m/>
    <n v="113335.89752605131"/>
    <n v="5.9502661004662514"/>
    <n v="0"/>
    <n v="0"/>
    <m/>
    <s v="Hedge Fund"/>
    <n v="3.3931999999999997E-2"/>
    <n v="0.416186"/>
    <n v="2.6147569999999998E-2"/>
    <n v="0.11862433999999999"/>
    <s v="ARF"/>
    <n v="12.979098708304583"/>
    <s v="HRF"/>
    <n v="4.9256619375831123"/>
    <m/>
    <m/>
    <m/>
    <m/>
  </r>
  <r>
    <x v="175"/>
    <x v="12"/>
    <s v="NA"/>
    <n v="40860433.568360403"/>
    <n v="360.52509999999995"/>
    <m/>
    <n v="0"/>
    <n v="-2.2208089902997017"/>
    <n v="0"/>
    <m/>
    <n v="113335.89136612238"/>
    <n v="-2.2208089902997017"/>
    <n v="0"/>
    <n v="0"/>
    <m/>
    <s v="Hedge Fund"/>
    <n v="5.5823913803974605E-2"/>
    <n v="0.38452260999999999"/>
    <n v="2.53041E-2"/>
    <n v="0.10904601"/>
    <s v="ARF"/>
    <n v="12.941815950332904"/>
    <s v="HRF"/>
    <n v="4.9115128609795331"/>
    <m/>
    <m/>
    <m/>
    <m/>
  </r>
  <r>
    <x v="176"/>
    <x v="12"/>
    <s v="NA"/>
    <n v="39606680.615125783"/>
    <n v="360.03649999999999"/>
    <m/>
    <n v="0"/>
    <n v="-1198377.0367131382"/>
    <n v="0"/>
    <m/>
    <n v="110007.40373580396"/>
    <n v="-1198377.0367131382"/>
    <n v="0"/>
    <n v="0"/>
    <m/>
    <s v="Hedge Fund"/>
    <n v="3.2837580472926203E-2"/>
    <n v="0.38246409000000003"/>
    <n v="2.53041E-2"/>
    <n v="0.10286745"/>
    <s v="ARF"/>
    <n v="12.924276613201224"/>
    <s v="HRF"/>
    <n v="0"/>
    <m/>
    <m/>
    <m/>
    <m/>
  </r>
  <r>
    <x v="177"/>
    <x v="12"/>
    <s v="NA"/>
    <n v="39296709.031208202"/>
    <n v="357.21870000000001"/>
    <m/>
    <n v="7.2783291637897491"/>
    <n v="0"/>
    <n v="0"/>
    <m/>
    <n v="110007.42411079879"/>
    <n v="7.2783291637897491"/>
    <n v="0"/>
    <n v="0"/>
    <m/>
    <s v="Hedge Fund"/>
    <n v="3.1742989999999999E-2"/>
    <n v="0"/>
    <n v="2.4460619999999999E-2"/>
    <n v="0"/>
    <s v="ARF"/>
    <n v="12.823125683668584"/>
    <s v="HRF"/>
    <n v="0"/>
    <m/>
    <m/>
    <m/>
    <m/>
  </r>
  <r>
    <x v="178"/>
    <x v="12"/>
    <s v="NA"/>
    <n v="39990175.47273083"/>
    <n v="369.30579999999992"/>
    <m/>
    <n v="0"/>
    <n v="-636204.29444699734"/>
    <n v="0"/>
    <m/>
    <n v="108284.72088099032"/>
    <n v="-636204.29444699734"/>
    <n v="0"/>
    <n v="0"/>
    <m/>
    <s v="Hedge Fund"/>
    <n v="3.5122730275699697E-2"/>
    <n v="9.6379080000000006E-2"/>
    <n v="2.7064999999999999E-2"/>
    <n v="3.8411020000000004E-2"/>
    <s v="ARF"/>
    <n v="13.257017869187063"/>
    <s v="HRF"/>
    <n v="0"/>
    <m/>
    <m/>
    <m/>
    <m/>
  </r>
  <r>
    <x v="179"/>
    <x v="12"/>
    <s v="NA"/>
    <n v="39677061.627127267"/>
    <n v="366.41419999999999"/>
    <m/>
    <n v="2.2532959058880806"/>
    <n v="0"/>
    <n v="0"/>
    <m/>
    <n v="108284.72703057705"/>
    <n v="2.2532959058880806"/>
    <n v="0"/>
    <n v="0"/>
    <m/>
    <s v="Hedge Fund"/>
    <n v="3.4025157142084102E-2"/>
    <n v="5.2839410000000003E-2"/>
    <n v="2.621923E-2"/>
    <n v="1.9086499999999999E-2"/>
    <s v="ARF"/>
    <n v="13.153217731548985"/>
    <s v="HRF"/>
    <n v="0"/>
    <m/>
    <m/>
    <m/>
    <m/>
  </r>
  <r>
    <x v="180"/>
    <x v="12"/>
    <s v="NA"/>
    <n v="39535342.370000005"/>
    <n v="365.10550000000006"/>
    <m/>
    <n v="0"/>
    <n v="-7.0348623543977737"/>
    <n v="0"/>
    <m/>
    <n v="108284.70776255082"/>
    <n v="-7.0348623543977737"/>
    <n v="0"/>
    <n v="0"/>
    <m/>
    <s v="Hedge Fund"/>
    <n v="3.073238E-2"/>
    <n v="3.0317409999999999E-2"/>
    <n v="2.3681859999999999E-2"/>
    <n v="9.0461199999999995E-3"/>
    <s v="ARF"/>
    <n v="13.106239159088425"/>
    <s v="HRF"/>
    <n v="0"/>
    <m/>
    <m/>
    <m/>
    <m/>
  </r>
  <r>
    <x v="181"/>
    <x v="12"/>
    <s v="NA"/>
    <n v="37875996.793296397"/>
    <n v="349.78149999999999"/>
    <m/>
    <n v="9.2850497290492058"/>
    <n v="0"/>
    <n v="0"/>
    <m/>
    <n v="108284.73430783617"/>
    <n v="9.2850497290492058"/>
    <n v="0"/>
    <n v="0"/>
    <m/>
    <s v="Hedge Fund"/>
    <n v="3.6220313409315301E-2"/>
    <n v="2.7910770000000001E-2"/>
    <n v="0"/>
    <n v="0"/>
    <s v="ARF"/>
    <n v="12.556151557357223"/>
    <s v="HRF"/>
    <n v="0"/>
    <m/>
    <m/>
    <m/>
    <m/>
  </r>
  <r>
    <x v="182"/>
    <x v="12"/>
    <s v="NA"/>
    <n v="37808882.209424123"/>
    <n v="349.16180000000003"/>
    <m/>
    <n v="0"/>
    <n v="-10.534021712839603"/>
    <n v="0"/>
    <m/>
    <n v="108284.70413837975"/>
    <n v="-10.534021712839603"/>
    <n v="0"/>
    <n v="0"/>
    <m/>
    <s v="Hedge Fund"/>
    <n v="3.2927554008468501E-2"/>
    <n v="2.537E-2"/>
    <n v="0"/>
    <n v="0"/>
    <s v="ARF"/>
    <n v="12.533906106639865"/>
    <s v="HRF"/>
    <n v="0"/>
    <m/>
    <m/>
    <m/>
    <m/>
  </r>
  <r>
    <x v="183"/>
    <x v="12"/>
    <s v="NA"/>
    <n v="36962039.780000001"/>
    <n v="341.34120000000001"/>
    <m/>
    <n v="8.9277604892849922"/>
    <n v="0"/>
    <n v="0"/>
    <m/>
    <n v="108284.73029332526"/>
    <n v="8.9277604892849922"/>
    <n v="0"/>
    <n v="0"/>
    <m/>
    <s v="Hedge Fund"/>
    <n v="3.4025146999999999E-2"/>
    <n v="0"/>
    <n v="2.6218999999999999E-2"/>
    <n v="0"/>
    <s v="ARF"/>
    <n v="12.253169021146583"/>
    <s v="HRF"/>
    <n v="0"/>
    <m/>
    <m/>
    <m/>
    <m/>
  </r>
  <r>
    <x v="184"/>
    <x v="12"/>
    <s v="NA"/>
    <n v="37670000"/>
    <n v="347.87959999999998"/>
    <m/>
    <n v="0"/>
    <n v="-48.660549871623516"/>
    <n v="0"/>
    <m/>
    <n v="108284.59041576454"/>
    <n v="-48.660549871623516"/>
    <n v="0"/>
    <n v="0"/>
    <m/>
    <s v="Hedge Fund"/>
    <n v="3.4025146999999999E-2"/>
    <n v="0"/>
    <n v="2.6218999999999999E-2"/>
    <n v="0"/>
    <s v="ARF"/>
    <n v="12.487878808092503"/>
    <s v="HRF"/>
    <n v="0"/>
    <m/>
    <m/>
    <m/>
    <m/>
  </r>
  <r>
    <x v="185"/>
    <x v="12"/>
    <s v="NA"/>
    <n v="36996300"/>
    <n v="341.65800000000002"/>
    <m/>
    <n v="3.4077307134866714"/>
    <n v="0"/>
    <n v="0"/>
    <m/>
    <n v="108284.60038986354"/>
    <n v="3.4077307134866714"/>
    <n v="0"/>
    <n v="0"/>
    <m/>
    <s v="Hedge Fund"/>
    <n v="3.1800000000000002E-2"/>
    <n v="0"/>
    <n v="2.4527630000000002E-2"/>
    <n v="0"/>
    <s v="ARF"/>
    <n v="12.264541231550423"/>
    <s v="HRF"/>
    <n v="0"/>
    <m/>
    <m/>
    <m/>
    <m/>
  </r>
  <r>
    <x v="186"/>
    <x v="12"/>
    <s v="NA"/>
    <n v="36253200"/>
    <n v="334.79489999999998"/>
    <m/>
    <n v="68.040935680270195"/>
    <n v="0"/>
    <n v="0"/>
    <m/>
    <n v="108284.80362156055"/>
    <n v="68.040935680270195"/>
    <n v="0"/>
    <n v="0"/>
    <m/>
    <s v="Hedge Fund"/>
    <n v="3.5099999999999999E-2"/>
    <n v="0"/>
    <n v="2.7064999999999999E-2"/>
    <n v="0"/>
    <s v="ARF"/>
    <n v="12.018175646883142"/>
    <s v="HRF"/>
    <n v="0"/>
    <m/>
    <m/>
    <m/>
    <m/>
  </r>
  <r>
    <x v="187"/>
    <x v="12"/>
    <s v="NA"/>
    <n v="36213318.939999998"/>
    <n v="334.42689999999993"/>
    <m/>
    <n v="0"/>
    <n v="-32.252267263829708"/>
    <n v="0"/>
    <m/>
    <n v="108284.70718115081"/>
    <n v="-32.252267263829708"/>
    <n v="0"/>
    <n v="0"/>
    <m/>
    <s v="Hedge Fund"/>
    <n v="3.2927600000000001E-2"/>
    <n v="0"/>
    <n v="2.5373429999999999E-2"/>
    <n v="0"/>
    <s v="ARF"/>
    <n v="12.004965503484742"/>
    <s v="HRF"/>
    <n v="0"/>
    <m/>
    <m/>
    <m/>
    <m/>
  </r>
  <r>
    <x v="188"/>
    <x v="12"/>
    <s v="NA"/>
    <n v="35787200"/>
    <n v="330.49180000000007"/>
    <m/>
    <n v="0"/>
    <n v="-7.788771465420723"/>
    <n v="0"/>
    <m/>
    <n v="108284.68361393534"/>
    <n v="-7.788771465420723"/>
    <n v="0"/>
    <n v="0"/>
    <m/>
    <s v="Hedge Fund"/>
    <n v="3.1829999999999997E-2"/>
    <n v="0"/>
    <n v="2.452764E-2"/>
    <n v="0"/>
    <s v="ARF"/>
    <n v="11.863706711943863"/>
    <s v="HRF"/>
    <n v="0"/>
    <m/>
    <m/>
    <m/>
    <m/>
  </r>
  <r>
    <x v="189"/>
    <x v="12"/>
    <s v="NA"/>
    <n v="35143700"/>
    <n v="330.08280000000002"/>
    <m/>
    <n v="0"/>
    <n v="-599211.56440189481"/>
    <n v="0"/>
    <m/>
    <n v="106469.34647912584"/>
    <n v="-599211.56440189481"/>
    <n v="0"/>
    <n v="0"/>
    <m/>
    <s v="Hedge Fund"/>
    <n v="3.6220299999999997E-2"/>
    <n v="0"/>
    <n v="2.7910770000000001E-2"/>
    <n v="0"/>
    <s v="ARF"/>
    <n v="11.849024786264662"/>
    <s v="HRF"/>
    <n v="0"/>
    <m/>
    <m/>
    <m/>
    <m/>
  </r>
  <r>
    <x v="190"/>
    <x v="12"/>
    <s v="NA"/>
    <n v="38372000"/>
    <n v="360.40450000000004"/>
    <m/>
    <n v="0"/>
    <n v="-31.583136111497879"/>
    <n v="0"/>
    <m/>
    <n v="106469.25884665702"/>
    <n v="-31.583136111497879"/>
    <n v="0"/>
    <n v="0"/>
    <m/>
    <s v="Hedge Fund"/>
    <n v="3.07324E-2"/>
    <n v="0"/>
    <n v="2.3681859999999999E-2"/>
    <n v="0"/>
    <s v="ARF"/>
    <n v="12.937486756599624"/>
    <s v="HRF"/>
    <n v="3.0559654789352"/>
    <m/>
    <m/>
    <m/>
    <m/>
  </r>
  <r>
    <x v="191"/>
    <x v="12"/>
    <s v="NA"/>
    <n v="39107903.892808802"/>
    <n v="367.31650000000002"/>
    <m/>
    <n v="0"/>
    <n v="0"/>
    <n v="0"/>
    <m/>
    <n v="106469.22719999999"/>
    <n v="0"/>
    <n v="0"/>
    <n v="0"/>
    <m/>
    <s v="Hedge Fund"/>
    <n v="3.1829974438904118E-2"/>
    <n v="1.29385E-2"/>
    <n v="2.4527640000000003E-2"/>
    <n v="2.7769500000000003E-3"/>
    <s v="ARF"/>
    <n v="13.185607710865199"/>
    <s v="HRF"/>
    <n v="3.1145741627624002"/>
    <m/>
    <m/>
    <m/>
    <m/>
  </r>
  <r>
    <x v="192"/>
    <x v="12"/>
    <s v="NA"/>
    <n v="39272814.07881888"/>
    <n v="368.86540000000002"/>
    <m/>
    <n v="0"/>
    <n v="0"/>
    <n v="0"/>
    <m/>
    <n v="106469.22719999999"/>
    <n v="0"/>
    <n v="0"/>
    <n v="0"/>
    <m/>
    <s v="Hedge Fund"/>
    <n v="3.1829974438904118E-2"/>
    <n v="2.1668300000000001E-2"/>
    <n v="2.7064999999999999E-2"/>
    <n v="4.78576E-3"/>
    <s v="ARF"/>
    <n v="13.241208773663521"/>
    <s v="HRF"/>
    <n v="3.1277076972502407"/>
    <m/>
    <m/>
    <m/>
    <m/>
  </r>
  <r>
    <x v="193"/>
    <x v="12"/>
    <s v="NA"/>
    <n v="39000157.034882396"/>
    <n v="366.30450000000002"/>
    <m/>
    <n v="0"/>
    <n v="0"/>
    <n v="0"/>
    <m/>
    <n v="106469.22719999999"/>
    <n v="0"/>
    <n v="0"/>
    <n v="0"/>
    <m/>
    <s v="Hedge Fund"/>
    <n v="3.4025199999999999E-2"/>
    <n v="1.8799999999999999E-4"/>
    <n v="2.6219230000000003E-2"/>
    <n v="0"/>
    <s v="ARF"/>
    <n v="13.149279816519599"/>
    <s v="HRF"/>
    <n v="3.1059931459752006"/>
    <m/>
    <m/>
    <m/>
    <m/>
  </r>
  <r>
    <x v="194"/>
    <x v="12"/>
    <s v="NA"/>
    <n v="39322567.148689434"/>
    <n v="369.33269999999999"/>
    <m/>
    <n v="0"/>
    <n v="0"/>
    <n v="0"/>
    <m/>
    <n v="106469.22719999999"/>
    <n v="0"/>
    <n v="0"/>
    <n v="0"/>
    <m/>
    <s v="Hedge Fund"/>
    <n v="3.1829959999999997E-2"/>
    <n v="1.9698029999999998E-2"/>
    <n v="2.4527640000000003E-2"/>
    <n v="4.3001899999999997E-3"/>
    <s v="ARF"/>
    <n v="13.25798350195176"/>
    <s v="HRF"/>
    <n v="3.13167005806512"/>
    <m/>
    <m/>
    <m/>
    <m/>
  </r>
  <r>
    <x v="195"/>
    <x v="12"/>
    <s v="NA"/>
    <n v="38565091.831775039"/>
    <n v="362.21820000000002"/>
    <m/>
    <n v="0"/>
    <n v="0"/>
    <n v="0"/>
    <m/>
    <n v="106469.22719999999"/>
    <n v="0"/>
    <n v="0"/>
    <n v="0"/>
    <m/>
    <s v="Hedge Fund"/>
    <n v="3.5122730275699732E-2"/>
    <n v="0"/>
    <n v="2.7064999999999999E-2"/>
    <n v="0"/>
    <s v="ARF"/>
    <n v="13.002593379104161"/>
    <s v="HRF"/>
    <n v="3.0713443229539203"/>
    <m/>
    <m/>
    <m/>
    <m/>
  </r>
  <r>
    <x v="196"/>
    <x v="12"/>
    <s v="NA"/>
    <n v="37760099.298761278"/>
    <n v="354.6574"/>
    <m/>
    <n v="0"/>
    <n v="0"/>
    <n v="0"/>
    <m/>
    <n v="106469.22719999999"/>
    <n v="0"/>
    <n v="0"/>
    <n v="0"/>
    <m/>
    <s v="Hedge Fund"/>
    <n v="3.4025157159070403E-2"/>
    <n v="0"/>
    <n v="2.6219230000000003E-2"/>
    <n v="0"/>
    <s v="ARF"/>
    <n v="12.731182367673119"/>
    <s v="HRF"/>
    <n v="3.0072342916054398"/>
    <m/>
    <m/>
    <m/>
    <m/>
  </r>
  <r>
    <x v="197"/>
    <x v="12"/>
    <s v="NA"/>
    <n v="37504777.0763437"/>
    <n v="352.2593"/>
    <n v="0"/>
    <n v="0"/>
    <n v="0"/>
    <n v="0"/>
    <m/>
    <n v="106469.22719999999"/>
    <n v="0"/>
    <n v="0"/>
    <n v="0"/>
    <m/>
    <s v="Hedge Fund"/>
    <n v="3.0732380111100278E-2"/>
    <n v="0"/>
    <n v="2.3681859999999999E-2"/>
    <m/>
    <s v="ARF"/>
    <n v="12.645097463097839"/>
    <s v="HRF"/>
    <n v="2.9869001647700801"/>
    <m/>
    <m/>
    <m/>
    <m/>
  </r>
  <r>
    <x v="198"/>
    <x v="12"/>
    <s v="NA"/>
    <n v="43122857.423479624"/>
    <n v="405.02640000000002"/>
    <n v="0"/>
    <n v="0"/>
    <n v="0"/>
    <n v="0"/>
    <m/>
    <n v="106469.22719999999"/>
    <n v="0"/>
    <n v="0"/>
    <n v="-405.02640000000002"/>
    <m/>
    <s v="Hedge Fund"/>
    <n v="3.6220311238082468E-2"/>
    <n v="0.38104188999999999"/>
    <n v="2.7910770000000001E-2"/>
    <n v="0.13629435499999998"/>
    <s v="ARF"/>
    <n v="14.539284848200321"/>
    <s v="HRF"/>
    <n v="3.4343264206118405"/>
    <m/>
    <m/>
    <m/>
    <m/>
  </r>
  <r>
    <x v="231"/>
    <x v="13"/>
    <s v="NA"/>
    <n v="56000000"/>
    <n v="103.70370370370371"/>
    <m/>
    <n v="56000000"/>
    <n v="0"/>
    <n v="0"/>
    <m/>
    <n v="540000"/>
    <n v="56000000"/>
    <n v="103.70370370370371"/>
    <n v="56000000"/>
    <m/>
    <s v="Private Equity Fund"/>
    <n v="0"/>
    <n v="0"/>
    <n v="0"/>
    <n v="0"/>
    <m/>
    <m/>
    <m/>
    <m/>
    <m/>
    <m/>
    <m/>
    <m/>
  </r>
  <r>
    <x v="13"/>
    <x v="13"/>
    <s v="NA"/>
    <n v="55978302.18"/>
    <n v="103.66352255555556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7564749499999999"/>
    <s v="HRF"/>
    <n v="0.25092499000000001"/>
    <m/>
    <m/>
    <m/>
    <m/>
  </r>
  <r>
    <x v="150"/>
    <x v="13"/>
    <s v="NA"/>
    <n v="55978302.18"/>
    <n v="103.66352255555556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7856961"/>
    <s v="HRF"/>
    <n v="0.25509944000000001"/>
    <m/>
    <m/>
    <m/>
    <m/>
  </r>
  <r>
    <x v="151"/>
    <x v="13"/>
    <s v="NA"/>
    <n v="55978302.18"/>
    <n v="103.66352255555556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8122402"/>
    <s v="HRF"/>
    <n v="0.24541923000000002"/>
    <m/>
    <m/>
    <m/>
    <m/>
  </r>
  <r>
    <x v="152"/>
    <x v="13"/>
    <s v="NA"/>
    <n v="55572933.236718029"/>
    <n v="102.91283932725561"/>
    <m/>
    <n v="0"/>
    <n v="0"/>
    <n v="0"/>
    <m/>
    <n v="540000"/>
    <n v="0"/>
    <n v="0"/>
    <n v="0"/>
    <m/>
    <s v="Private Equity Fund"/>
    <n v="4.5000000000000005E-2"/>
    <n v="0"/>
    <n v="3.5833333333333335E-2"/>
    <n v="0"/>
    <s v="CHFC3"/>
    <n v="1.7499584099999999"/>
    <s v="HRF"/>
    <n v="0.24999405999999999"/>
    <m/>
    <m/>
    <m/>
    <m/>
  </r>
  <r>
    <x v="153"/>
    <x v="13"/>
    <s v="NA"/>
    <n v="55572933.236717999"/>
    <n v="102.91283932725558"/>
    <m/>
    <n v="0"/>
    <n v="-1.4901161193847656E-8"/>
    <n v="0"/>
    <m/>
    <n v="539999.99999999988"/>
    <n v="-1.4901161193847656E-8"/>
    <n v="0"/>
    <n v="-1.4901161193847656E-8"/>
    <m/>
    <s v="Private Equity Fund"/>
    <n v="4.5000000000000005E-2"/>
    <n v="0"/>
    <n v="3.5833333333333335E-2"/>
    <n v="0"/>
    <s v="CHFC3"/>
    <n v="1.77869593"/>
    <s v="HRF"/>
    <n v="0.25409942000000002"/>
    <m/>
    <m/>
    <m/>
    <m/>
  </r>
  <r>
    <x v="154"/>
    <x v="13"/>
    <s v="NA"/>
    <n v="55572933.236717999"/>
    <n v="102.91283932725558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8054948500000001"/>
    <s v="HRF"/>
    <n v="0.25792784000000002"/>
    <m/>
    <m/>
    <m/>
    <m/>
  </r>
  <r>
    <x v="155"/>
    <x v="13"/>
    <s v="NA"/>
    <n v="55376503.040502302"/>
    <n v="102.54907970463391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8366406899999999"/>
    <s v="HRF"/>
    <n v="0.26237724000000001"/>
    <m/>
    <m/>
    <m/>
    <m/>
  </r>
  <r>
    <x v="156"/>
    <x v="13"/>
    <s v="NA"/>
    <n v="55376503.040502302"/>
    <n v="102.54907970463391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8649194599999999"/>
    <s v="HRF"/>
    <n v="0.26641707000000003"/>
    <m/>
    <m/>
    <m/>
    <m/>
  </r>
  <r>
    <x v="157"/>
    <x v="13"/>
    <s v="NA"/>
    <n v="55376503.040502302"/>
    <n v="102.54907970463391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7176623999999998"/>
    <s v="HRF"/>
    <n v="0.24538034"/>
    <m/>
    <m/>
    <m/>
    <m/>
  </r>
  <r>
    <x v="158"/>
    <x v="13"/>
    <s v="NA"/>
    <n v="54986154.609450459"/>
    <n v="101.82621223972309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74877598"/>
    <s v="HRF"/>
    <n v="0.24982514"/>
    <m/>
    <m/>
    <m/>
    <m/>
  </r>
  <r>
    <x v="159"/>
    <x v="13"/>
    <s v="NA"/>
    <n v="54986154.609450459"/>
    <n v="101.82621223972309"/>
    <m/>
    <n v="0"/>
    <n v="0"/>
    <n v="0"/>
    <m/>
    <n v="539999.99999999988"/>
    <n v="0"/>
    <n v="0"/>
    <n v="0"/>
    <m/>
    <s v="Private Equity Fund"/>
    <n v="4.5000000000000005E-2"/>
    <n v="0"/>
    <n v="3.5833333333333335E-2"/>
    <n v="0"/>
    <s v="CHFC3"/>
    <n v="1.7773161899999999"/>
    <s v="HRF"/>
    <n v="0.25390231000000002"/>
    <m/>
    <m/>
    <m/>
    <m/>
  </r>
  <r>
    <x v="160"/>
    <x v="13"/>
    <s v="NA"/>
    <n v="71186154.609450504"/>
    <n v="101.40477864594089"/>
    <m/>
    <n v="16200000"/>
    <n v="0"/>
    <n v="0"/>
    <m/>
    <n v="702000"/>
    <n v="16200000"/>
    <n v="0"/>
    <n v="16200000"/>
    <m/>
    <s v="Private Equity Fund"/>
    <n v="5.8500000000000003E-2"/>
    <n v="0"/>
    <n v="3.5833333333333335E-2"/>
    <n v="0"/>
    <s v="CHFC3"/>
    <n v="1.806983"/>
    <s v="HRF"/>
    <n v="0.25813999999999998"/>
    <m/>
    <m/>
    <m/>
    <m/>
  </r>
  <r>
    <x v="161"/>
    <x v="13"/>
    <s v="NA"/>
    <n v="70994040.009999931"/>
    <n v="101.13111112535601"/>
    <m/>
    <n v="1.4901161193847656E-8"/>
    <n v="0"/>
    <n v="0"/>
    <m/>
    <n v="702000.00000000012"/>
    <n v="1.4901161193847656E-8"/>
    <n v="0"/>
    <n v="1.4901161193847656E-8"/>
    <m/>
    <s v="Private Equity Fund"/>
    <n v="5.8500000000000003E-2"/>
    <n v="0"/>
    <n v="3.5833333333333335E-2"/>
    <n v="0"/>
    <s v="CHFC3"/>
    <n v="1.8354680000000001"/>
    <s v="HRF"/>
    <n v="0.26221"/>
    <m/>
    <m/>
    <m/>
    <m/>
  </r>
  <r>
    <x v="162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63734"/>
    <s v="HRF"/>
    <n v="0.26624799999999998"/>
    <m/>
    <m/>
    <m/>
    <m/>
  </r>
  <r>
    <x v="163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934120000000001"/>
    <s v="HRF"/>
    <n v="0.27048699999999998"/>
    <m/>
    <m/>
    <m/>
    <m/>
  </r>
  <r>
    <x v="164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92361"/>
    <s v="HRF"/>
    <n v="0.27480100000000002"/>
    <m/>
    <m/>
    <m/>
    <m/>
  </r>
  <r>
    <x v="165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950955"/>
    <s v="HRF"/>
    <n v="0.27870800000000001"/>
    <m/>
    <m/>
    <m/>
    <m/>
  </r>
  <r>
    <x v="166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05628"/>
    <s v="HRF"/>
    <n v="0.25794699999999998"/>
    <m/>
    <m/>
    <m/>
    <m/>
  </r>
  <r>
    <x v="167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358209999999999"/>
    <s v="HRF"/>
    <n v="0.26225999999999999"/>
    <m/>
    <m/>
    <m/>
    <m/>
  </r>
  <r>
    <x v="168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631351299999999"/>
    <s v="HRF"/>
    <n v="0.26616215999999998"/>
    <m/>
    <m/>
    <m/>
    <m/>
  </r>
  <r>
    <x v="169"/>
    <x v="13"/>
    <s v="NA"/>
    <n v="70994040.009999931"/>
    <n v="101.1311111253560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1.893769"/>
    <s v="HRF"/>
    <n v="0.270538"/>
    <m/>
    <m/>
    <m/>
    <m/>
  </r>
  <r>
    <x v="170"/>
    <x v="13"/>
    <s v="NA"/>
    <n v="279792593.61467302"/>
    <n v="398.5649481690499"/>
    <m/>
    <n v="0"/>
    <n v="-5.9604644775390625E-8"/>
    <n v="0"/>
    <m/>
    <n v="702000"/>
    <n v="-5.9604644775390625E-8"/>
    <n v="0"/>
    <n v="-5.9604644775390625E-8"/>
    <m/>
    <s v="Private Equity Fund"/>
    <n v="5.8500000000000003E-2"/>
    <n v="0"/>
    <n v="3.5833333333333335E-2"/>
    <n v="0"/>
    <s v="CHFC3"/>
    <n v="1.92299"/>
    <s v="HRF"/>
    <n v="0.27471299999999998"/>
    <m/>
    <m/>
    <m/>
    <m/>
  </r>
  <r>
    <x v="171"/>
    <x v="13"/>
    <s v="NA"/>
    <n v="279792593.61467302"/>
    <n v="398.5649481690499"/>
    <m/>
    <n v="0"/>
    <n v="0"/>
    <n v="0"/>
    <m/>
    <n v="702000"/>
    <n v="0"/>
    <n v="0"/>
    <n v="0"/>
    <m/>
    <s v="Private Equity Fund"/>
    <n v="5.8500000000000003E-2"/>
    <n v="0"/>
    <n v="3.5833333333333335E-2"/>
    <n v="0"/>
    <s v="CHFC3"/>
    <n v="1.950326"/>
    <s v="HRF"/>
    <n v="0.27861799999999998"/>
    <m/>
    <m/>
    <m/>
    <m/>
  </r>
  <r>
    <x v="172"/>
    <x v="13"/>
    <s v="NA"/>
    <n v="279792593.61467302"/>
    <n v="398.5649481690499"/>
    <m/>
    <n v="0"/>
    <n v="0"/>
    <n v="0"/>
    <m/>
    <n v="702000"/>
    <n v="0"/>
    <n v="0"/>
    <n v="0"/>
    <m/>
    <s v="Private Equity Fund"/>
    <n v="5.8500000000000003E-2"/>
    <n v="0"/>
    <n v="3.5833333333333335E-2"/>
    <n v="0"/>
    <s v="CHFC3"/>
    <n v="1.9819199999999999"/>
    <s v="HRF"/>
    <n v="0.28313100000000002"/>
    <m/>
    <m/>
    <m/>
    <m/>
  </r>
  <r>
    <x v="173"/>
    <x v="13"/>
    <s v="NA"/>
    <n v="279298972.78955799"/>
    <n v="397.86178460050991"/>
    <m/>
    <n v="5.9604644775390625E-8"/>
    <n v="0"/>
    <n v="0"/>
    <m/>
    <n v="702000.00000000012"/>
    <n v="5.9604644775390625E-8"/>
    <n v="0"/>
    <n v="5.9604644775390625E-8"/>
    <m/>
    <s v="Private Equity Fund"/>
    <n v="5.8500000000000003E-2"/>
    <n v="0"/>
    <n v="3.5833333333333335E-2"/>
    <n v="0"/>
    <s v="CHFC3"/>
    <n v="2.0111520000000001"/>
    <s v="HRF"/>
    <n v="0.28730699999999998"/>
    <m/>
    <m/>
    <m/>
    <m/>
  </r>
  <r>
    <x v="174"/>
    <x v="13"/>
    <s v="NA"/>
    <n v="279298972.78955799"/>
    <n v="397.86178460050991"/>
    <m/>
    <n v="0"/>
    <n v="0"/>
    <n v="0"/>
    <m/>
    <n v="702000.00000000012"/>
    <n v="0"/>
    <n v="0"/>
    <n v="0"/>
    <m/>
    <s v="Private Equity Fund"/>
    <n v="5.8500000000000003E-2"/>
    <n v="0"/>
    <n v="3.5833333333333335E-2"/>
    <n v="0"/>
    <s v="CHFC3"/>
    <n v="2.0403980000000002"/>
    <s v="HRF"/>
    <n v="0.29148499999999999"/>
    <m/>
    <m/>
    <m/>
    <m/>
  </r>
  <r>
    <x v="175"/>
    <x v="13"/>
    <s v="NA"/>
    <n v="278335423.63999999"/>
    <n v="388.87999999999994"/>
    <m/>
    <n v="0"/>
    <n v="0"/>
    <n v="0"/>
    <m/>
    <n v="715736.02046903933"/>
    <n v="0"/>
    <n v="0"/>
    <n v="0"/>
    <m/>
    <s v="Private Equity Fund"/>
    <n v="5.8500000000000003E-2"/>
    <n v="0"/>
    <n v="3.5833333333333335E-2"/>
    <n v="0"/>
    <s v="CHFC3"/>
    <n v="2.0689860000000002"/>
    <s v="HRF"/>
    <n v="0.29556900000000003"/>
    <m/>
    <m/>
    <m/>
    <m/>
  </r>
  <r>
    <x v="176"/>
    <x v="13"/>
    <s v="NA"/>
    <n v="297515423.63999999"/>
    <n v="388.88"/>
    <m/>
    <n v="19187000"/>
    <n v="0"/>
    <n v="0"/>
    <m/>
    <n v="765057.14780909277"/>
    <n v="19187000"/>
    <n v="0"/>
    <n v="19187000"/>
    <m/>
    <s v="Private Equity Fund"/>
    <n v="5.8500000000000003E-2"/>
    <n v="0"/>
    <n v="3.5833333333333335E-2"/>
    <n v="0"/>
    <s v="CHFC3"/>
    <n v="2.0991960000000001"/>
    <s v="HRF"/>
    <n v="0.29988500000000001"/>
    <m/>
    <m/>
    <m/>
    <m/>
  </r>
  <r>
    <x v="177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124657"/>
    <s v="HRF"/>
    <n v="0.30352200000000001"/>
    <m/>
    <m/>
    <m/>
    <m/>
  </r>
  <r>
    <x v="178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1552750000000001"/>
    <s v="HRF"/>
    <n v="0.307896"/>
    <m/>
    <m/>
    <m/>
    <m/>
  </r>
  <r>
    <x v="179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185492"/>
    <s v="HRF"/>
    <n v="0.31221300000000002"/>
    <m/>
    <m/>
    <m/>
    <m/>
  </r>
  <r>
    <x v="180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212866"/>
    <s v="HRF"/>
    <n v="0.31612400000000002"/>
    <m/>
    <m/>
    <m/>
    <m/>
  </r>
  <r>
    <x v="181"/>
    <x v="13"/>
    <s v="NA"/>
    <n v="297515423.63999999"/>
    <n v="388.88"/>
    <m/>
    <n v="0"/>
    <n v="0"/>
    <n v="0"/>
    <m/>
    <n v="765057.14780909277"/>
    <n v="0"/>
    <n v="0"/>
    <n v="0"/>
    <m/>
    <s v="Private Equity Fund"/>
    <n v="5.8500000000000003E-2"/>
    <n v="0"/>
    <n v="3.5833333333333335E-2"/>
    <n v="0"/>
    <s v="CHFC3"/>
    <n v="2.2435390000000002"/>
    <s v="HRF"/>
    <n v="0.32050600000000001"/>
    <m/>
    <m/>
    <m/>
    <m/>
  </r>
  <r>
    <x v="182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2468599999999997"/>
    <m/>
    <m/>
    <m/>
    <m/>
  </r>
  <r>
    <x v="183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2888200000000001"/>
    <m/>
    <m/>
    <m/>
    <m/>
  </r>
  <r>
    <x v="184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3302900000000002"/>
    <m/>
    <m/>
    <m/>
    <m/>
  </r>
  <r>
    <x v="185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3706399999999997"/>
    <m/>
    <m/>
    <m/>
    <m/>
  </r>
  <r>
    <x v="186"/>
    <x v="13"/>
    <s v="NA"/>
    <n v="365229912.22000003"/>
    <n v="388.88000000000005"/>
    <m/>
    <n v="0"/>
    <n v="0"/>
    <n v="0"/>
    <m/>
    <n v="939184.09848796541"/>
    <n v="0"/>
    <n v="0"/>
    <n v="0"/>
    <m/>
    <s v="Private Equity Fund"/>
    <n v="5.8500000000000003E-2"/>
    <n v="0"/>
    <n v="3.5833333333333335E-2"/>
    <n v="0"/>
    <s v="CHFC3"/>
    <n v="2.2728009999999998"/>
    <s v="HRF"/>
    <n v="0.341312"/>
    <m/>
    <m/>
    <m/>
    <m/>
  </r>
  <r>
    <x v="187"/>
    <x v="13"/>
    <s v="NA"/>
    <n v="365869890"/>
    <n v="388.8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4544000000000002"/>
    <m/>
    <m/>
    <m/>
    <m/>
  </r>
  <r>
    <x v="188"/>
    <x v="13"/>
    <s v="NA"/>
    <n v="365869890"/>
    <n v="388.8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4947400000000001"/>
    <m/>
    <m/>
    <m/>
    <m/>
  </r>
  <r>
    <x v="189"/>
    <x v="13"/>
    <s v="NA"/>
    <n v="365869890"/>
    <n v="388.8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2.2728009999999998"/>
    <s v="HRF"/>
    <n v="0.35399700000000001"/>
    <m/>
    <m/>
    <m/>
    <m/>
  </r>
  <r>
    <x v="190"/>
    <x v="13"/>
    <s v="NA"/>
    <n v="378493319.47299999"/>
    <n v="402.29733601926148"/>
    <m/>
    <n v="0"/>
    <n v="0"/>
    <n v="0"/>
    <m/>
    <n v="940829.79325241724"/>
    <n v="0"/>
    <n v="0"/>
    <n v="0"/>
    <m/>
    <s v="Private Equity Fund"/>
    <n v="5.8500000000000003E-2"/>
    <n v="0"/>
    <n v="3.5833333333333335E-2"/>
    <n v="0"/>
    <s v="CHFC3"/>
    <n v="11.678892614759938"/>
    <s v="HRF"/>
    <n v="1.8387259352400622"/>
    <m/>
    <m/>
    <m/>
    <m/>
  </r>
  <r>
    <x v="191"/>
    <x v="13"/>
    <s v="NA"/>
    <n v="365869789.18608689"/>
    <n v="472.06850535610829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1.9205309541926601"/>
    <s v="HRF"/>
    <n v="0.27436156488466501"/>
    <m/>
    <m/>
    <m/>
    <m/>
  </r>
  <r>
    <x v="192"/>
    <x v="13"/>
    <s v="NA"/>
    <n v="365869789.18608689"/>
    <n v="472.06850535610829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1.9205309541926601"/>
    <s v="HRF"/>
    <n v="0.27436156488466501"/>
    <m/>
    <m/>
    <m/>
    <m/>
  </r>
  <r>
    <x v="193"/>
    <x v="13"/>
    <s v="NA"/>
    <n v="555837653.47535658"/>
    <n v="717.17714348724417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1.9805220452168499"/>
    <s v="HRF"/>
    <n v="0.28293172074526501"/>
    <m/>
    <m/>
    <m/>
    <m/>
  </r>
  <r>
    <x v="194"/>
    <x v="13"/>
    <s v="NA"/>
    <n v="534131653.47850001"/>
    <n v="689.17067977082036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3.0646686131186698"/>
    <s v="HRF"/>
    <n v="0.43780980187409596"/>
    <m/>
    <m/>
    <m/>
    <m/>
  </r>
  <r>
    <x v="195"/>
    <x v="13"/>
    <s v="NA"/>
    <n v="534131653.47847652"/>
    <n v="689.17067977079012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2.88975180464239"/>
    <s v="HRF"/>
    <n v="0.41282168637748401"/>
    <m/>
    <m/>
    <m/>
    <m/>
  </r>
  <r>
    <x v="196"/>
    <x v="13"/>
    <s v="NA"/>
    <n v="534131653.47847652"/>
    <n v="689.17067977079012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2.88975180464239"/>
    <s v="HRF"/>
    <n v="0.41282168637748401"/>
    <m/>
    <m/>
    <m/>
    <m/>
  </r>
  <r>
    <x v="196"/>
    <x v="13"/>
    <s v="NA"/>
    <n v="534131653.47847652"/>
    <n v="689.17067977079012"/>
    <m/>
    <n v="0"/>
    <n v="0"/>
    <n v="0"/>
    <m/>
    <n v="775035.37100000004"/>
    <n v="0"/>
    <n v="689.17067977079012"/>
    <n v="0"/>
    <m/>
    <s v="Private Equity Fund"/>
    <n v="7.4489166666666676E-2"/>
    <m/>
    <n v="3.5833333333333335E-2"/>
    <n v="0"/>
    <s v="CHFC3"/>
    <n v="2.88975180464239"/>
    <s v="HRF"/>
    <n v="0.41282168637748401"/>
    <m/>
    <m/>
    <m/>
    <m/>
  </r>
  <r>
    <x v="197"/>
    <x v="13"/>
    <s v="NA"/>
    <n v="531954231.70863187"/>
    <n v="686.36123151678953"/>
    <m/>
    <n v="0"/>
    <n v="0"/>
    <n v="0"/>
    <m/>
    <n v="775035.37100000004"/>
    <n v="0"/>
    <n v="0"/>
    <n v="0"/>
    <m/>
    <s v="Private Equity Fund"/>
    <n v="7.4489166666666676E-2"/>
    <m/>
    <n v="3.5833333333333335E-2"/>
    <n v="0"/>
    <s v="CHFC3"/>
    <n v="2.0959033447373199"/>
    <s v="HRF"/>
    <n v="0.29941476353390301"/>
    <m/>
    <m/>
    <m/>
    <m/>
  </r>
  <r>
    <x v="198"/>
    <x v="13"/>
    <s v="NA"/>
    <n v="531954231.70863187"/>
    <n v="686.36123151678953"/>
    <m/>
    <n v="0"/>
    <n v="0"/>
    <n v="0"/>
    <m/>
    <n v="775035.37100000004"/>
    <n v="0"/>
    <n v="0"/>
    <n v="-531954231.70863187"/>
    <m/>
    <s v="Private Equity Fund"/>
    <n v="7.4489166666666676E-2"/>
    <m/>
    <n v="3.5833333333333335E-2"/>
    <n v="0"/>
    <s v="CHFC3"/>
    <n v="2.0959033447373199"/>
    <s v="HRF"/>
    <n v="0.29941476353390301"/>
    <m/>
    <m/>
    <m/>
    <m/>
  </r>
  <r>
    <x v="189"/>
    <x v="14"/>
    <s v="NA"/>
    <n v="10069896.939999999"/>
    <n v="10140282.438222136"/>
    <m/>
    <n v="10000000"/>
    <n v="0"/>
    <n v="0"/>
    <m/>
    <n v="0.99305882270528978"/>
    <n v="10000000"/>
    <n v="10140282.438222136"/>
    <n v="10000000"/>
    <m/>
    <s v="Private Equity Fund"/>
    <n v="0"/>
    <n v="0"/>
    <n v="0"/>
    <n v="0"/>
    <m/>
    <m/>
    <m/>
    <m/>
    <m/>
    <m/>
    <m/>
    <m/>
  </r>
  <r>
    <x v="190"/>
    <x v="14"/>
    <s v="NA"/>
    <n v="9921204.7799999993"/>
    <n v="9990550.9655235372"/>
    <m/>
    <m/>
    <n v="0"/>
    <n v="-404736.48"/>
    <m/>
    <n v="0.99305882270528978"/>
    <n v="-404736.48"/>
    <n v="-407565.46414583712"/>
    <n v="-404736.48"/>
    <m/>
    <s v="Private Equity Fund"/>
    <n v="0"/>
    <n v="0.21321399999999999"/>
    <n v="0"/>
    <n v="0"/>
    <m/>
    <m/>
    <m/>
    <m/>
    <m/>
    <m/>
    <m/>
    <m/>
  </r>
  <r>
    <x v="191"/>
    <x v="14"/>
    <s v="NA"/>
    <n v="9921204.7799999993"/>
    <n v="9990550.9655235372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</r>
  <r>
    <x v="192"/>
    <x v="14"/>
    <s v="NA"/>
    <n v="10514171.24"/>
    <n v="10587662.0796312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</r>
  <r>
    <x v="193"/>
    <x v="14"/>
    <s v="NA"/>
    <n v="10844675.633567419"/>
    <n v="10920476.597775312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</r>
  <r>
    <x v="194"/>
    <x v="14"/>
    <s v="NA"/>
    <n v="11158132.2975088"/>
    <n v="11236124.227879904"/>
    <m/>
    <m/>
    <n v="0"/>
    <n v="0"/>
    <m/>
    <n v="0.99305882270528978"/>
    <n v="0"/>
    <n v="0"/>
    <n v="0"/>
    <m/>
    <s v="Private Equity Fund"/>
    <n v="0"/>
    <n v="0.21321399999999999"/>
    <n v="0"/>
    <n v="0"/>
    <m/>
    <m/>
    <m/>
    <m/>
    <m/>
    <m/>
    <m/>
    <m/>
  </r>
  <r>
    <x v="195"/>
    <x v="14"/>
    <s v="NA"/>
    <n v="695644.66810481949"/>
    <n v="700507.01146760373"/>
    <m/>
    <m/>
    <n v="0"/>
    <n v="-10745000"/>
    <m/>
    <n v="0.99305882270528978"/>
    <n v="-10745000"/>
    <n v="-10820104.26203"/>
    <n v="-10745000"/>
    <m/>
    <s v="Private Equity Fund"/>
    <n v="0"/>
    <n v="0.21321399999999999"/>
    <n v="0"/>
    <n v="0"/>
    <m/>
    <m/>
    <m/>
    <m/>
    <m/>
    <m/>
    <m/>
    <m/>
  </r>
  <r>
    <x v="196"/>
    <x v="14"/>
    <s v="NA"/>
    <n v="0"/>
    <n v="0"/>
    <m/>
    <m/>
    <n v="0"/>
    <n v="-424810.54"/>
    <m/>
    <n v="0"/>
    <n v="-424810.54"/>
    <n v="0"/>
    <n v="-424810.54"/>
    <m/>
    <s v="Private Equity Fund"/>
    <n v="0"/>
    <n v="0"/>
    <n v="0"/>
    <n v="0"/>
    <m/>
    <m/>
    <m/>
    <m/>
    <m/>
    <m/>
    <m/>
    <m/>
  </r>
  <r>
    <x v="58"/>
    <x v="15"/>
    <s v="NA"/>
    <n v="24929000"/>
    <n v="998.58931883260755"/>
    <m/>
    <n v="24929000"/>
    <n v="0"/>
    <n v="0"/>
    <m/>
    <n v="24964.216550145997"/>
    <n v="24929000"/>
    <n v="998.58931883260755"/>
    <n v="998.58931883260755"/>
    <m/>
    <s v="Hedge Fund"/>
    <n v="0"/>
    <n v="0"/>
    <n v="0"/>
    <n v="0"/>
    <m/>
    <m/>
    <m/>
    <m/>
    <m/>
    <m/>
    <m/>
    <m/>
  </r>
  <r>
    <x v="59"/>
    <x v="15"/>
    <s v="NA"/>
    <n v="40220000"/>
    <n v="998.58931883260755"/>
    <m/>
    <n v="15291000"/>
    <n v="0"/>
    <n v="0"/>
    <m/>
    <n v="40276.817748279995"/>
    <n v="15291000"/>
    <n v="0"/>
    <n v="0"/>
    <m/>
    <s v="Hedge Fund"/>
    <n v="0"/>
    <n v="0"/>
    <n v="0"/>
    <n v="0"/>
    <m/>
    <m/>
    <m/>
    <m/>
    <m/>
    <m/>
    <m/>
    <m/>
  </r>
  <r>
    <x v="60"/>
    <x v="15"/>
    <s v="NA"/>
    <n v="50836000"/>
    <n v="998.58931883260755"/>
    <m/>
    <n v="10616000"/>
    <n v="0"/>
    <n v="0"/>
    <m/>
    <n v="50907.814695463996"/>
    <n v="10616000"/>
    <n v="0"/>
    <n v="0"/>
    <m/>
    <s v="Hedge Fund"/>
    <n v="0"/>
    <n v="0"/>
    <n v="0"/>
    <n v="0"/>
    <m/>
    <m/>
    <m/>
    <m/>
    <m/>
    <m/>
    <m/>
    <m/>
  </r>
  <r>
    <x v="61"/>
    <x v="15"/>
    <s v="NA"/>
    <n v="51139000"/>
    <n v="998.58931883260743"/>
    <m/>
    <n v="303000.00000000745"/>
    <n v="0"/>
    <n v="0"/>
    <m/>
    <n v="51211.242735685999"/>
    <n v="303000.00000000745"/>
    <n v="0"/>
    <n v="0"/>
    <m/>
    <s v="Hedge Fund"/>
    <n v="0"/>
    <n v="0"/>
    <n v="0"/>
    <n v="0"/>
    <m/>
    <m/>
    <m/>
    <m/>
    <m/>
    <m/>
    <m/>
    <m/>
  </r>
  <r>
    <x v="62"/>
    <x v="15"/>
    <s v="NA"/>
    <n v="51046000"/>
    <n v="998.58931883260755"/>
    <m/>
    <n v="0"/>
    <n v="-93000"/>
    <n v="0"/>
    <m/>
    <n v="51118.111357003996"/>
    <n v="-93000"/>
    <n v="0"/>
    <n v="0"/>
    <m/>
    <s v="Hedge Fund"/>
    <n v="0"/>
    <n v="0"/>
    <n v="0"/>
    <n v="0"/>
    <m/>
    <m/>
    <m/>
    <m/>
    <m/>
    <m/>
    <m/>
    <m/>
  </r>
  <r>
    <x v="63"/>
    <x v="15"/>
    <s v="NA"/>
    <n v="50620000"/>
    <n v="1010.9585771891899"/>
    <m/>
    <n v="0"/>
    <n v="-1058293.1260753274"/>
    <n v="0"/>
    <m/>
    <n v="50071.289904617937"/>
    <n v="-1058293.1260753274"/>
    <n v="0"/>
    <n v="0"/>
    <m/>
    <s v="Hedge Fund"/>
    <n v="0"/>
    <n v="0"/>
    <n v="0"/>
    <n v="0"/>
    <m/>
    <m/>
    <m/>
    <m/>
    <m/>
    <m/>
    <m/>
    <m/>
  </r>
  <r>
    <x v="64"/>
    <x v="15"/>
    <s v="NA"/>
    <n v="51400000"/>
    <n v="1024.7994000000001"/>
    <m/>
    <n v="86972.148521475494"/>
    <n v="0"/>
    <n v="0"/>
    <m/>
    <n v="50156.157390412205"/>
    <n v="86972.148521475494"/>
    <n v="0"/>
    <n v="0"/>
    <m/>
    <s v="Hedge Fund"/>
    <n v="0"/>
    <n v="0"/>
    <n v="0"/>
    <n v="0"/>
    <m/>
    <m/>
    <m/>
    <m/>
    <m/>
    <m/>
    <m/>
    <m/>
  </r>
  <r>
    <x v="65"/>
    <x v="15"/>
    <s v="NA"/>
    <n v="51500000"/>
    <n v="1028.0932"/>
    <m/>
    <n v="0"/>
    <n v="-65204.351212531328"/>
    <n v="0"/>
    <m/>
    <n v="50092.734783188913"/>
    <n v="-65204.351212531328"/>
    <n v="0"/>
    <n v="0"/>
    <m/>
    <s v="Hedge Fund"/>
    <n v="0"/>
    <n v="0"/>
    <n v="0"/>
    <n v="0"/>
    <m/>
    <m/>
    <m/>
    <m/>
    <m/>
    <m/>
    <m/>
    <m/>
  </r>
  <r>
    <x v="66"/>
    <x v="15"/>
    <s v="NA"/>
    <n v="53100000"/>
    <n v="1049.6315"/>
    <m/>
    <n v="521087.65041925013"/>
    <n v="0"/>
    <n v="0"/>
    <m/>
    <n v="50589.182965640801"/>
    <n v="521087.65041925013"/>
    <n v="0"/>
    <n v="0"/>
    <m/>
    <s v="Hedge Fund"/>
    <n v="0"/>
    <n v="0"/>
    <n v="0"/>
    <n v="0"/>
    <m/>
    <m/>
    <m/>
    <m/>
    <m/>
    <m/>
    <m/>
    <m/>
  </r>
  <r>
    <x v="67"/>
    <x v="15"/>
    <s v="NA"/>
    <n v="54270000"/>
    <n v="1083.8539000000001"/>
    <m/>
    <n v="0"/>
    <n v="-561283.25512335449"/>
    <n v="0"/>
    <m/>
    <n v="50071.324188619881"/>
    <n v="-561283.25512335449"/>
    <n v="0"/>
    <n v="0"/>
    <m/>
    <s v="Hedge Fund"/>
    <n v="0"/>
    <n v="0"/>
    <n v="0"/>
    <n v="0"/>
    <m/>
    <m/>
    <m/>
    <m/>
    <m/>
    <m/>
    <m/>
    <m/>
  </r>
  <r>
    <x v="68"/>
    <x v="15"/>
    <s v="NA"/>
    <n v="56200000"/>
    <n v="1122.4797000000001"/>
    <m/>
    <n v="0"/>
    <n v="-4044.9538447931409"/>
    <n v="0"/>
    <m/>
    <n v="50067.720601094166"/>
    <n v="-4044.9538447931409"/>
    <n v="0"/>
    <n v="0"/>
    <m/>
    <s v="Hedge Fund"/>
    <n v="0"/>
    <n v="0"/>
    <n v="0"/>
    <n v="0"/>
    <m/>
    <m/>
    <m/>
    <m/>
    <m/>
    <m/>
    <m/>
    <m/>
  </r>
  <r>
    <x v="69"/>
    <x v="15"/>
    <s v="NA"/>
    <n v="58560000"/>
    <n v="1169.4659999999999"/>
    <m/>
    <n v="7503.0595208182931"/>
    <n v="0"/>
    <n v="0"/>
    <m/>
    <n v="50074.136400716226"/>
    <n v="7503.0595208182931"/>
    <n v="0"/>
    <n v="0"/>
    <m/>
    <s v="Hedge Fund"/>
    <n v="0"/>
    <n v="0"/>
    <n v="0"/>
    <n v="0"/>
    <m/>
    <m/>
    <m/>
    <m/>
    <m/>
    <m/>
    <m/>
    <m/>
  </r>
  <r>
    <x v="70"/>
    <x v="15"/>
    <s v="NA"/>
    <n v="60720000"/>
    <n v="1212.6121490124165"/>
    <m/>
    <n v="0"/>
    <n v="-506.15081337094307"/>
    <n v="0"/>
    <m/>
    <n v="50073.718995353942"/>
    <n v="-506.15081337094307"/>
    <n v="0"/>
    <n v="0"/>
    <m/>
    <s v="Hedge Fund"/>
    <n v="0"/>
    <n v="0"/>
    <n v="0"/>
    <n v="0"/>
    <m/>
    <m/>
    <m/>
    <m/>
    <m/>
    <m/>
    <m/>
    <m/>
  </r>
  <r>
    <x v="71"/>
    <x v="15"/>
    <s v="NA"/>
    <n v="67050000"/>
    <n v="1237.8916999999999"/>
    <m/>
    <n v="5064158.867519021"/>
    <n v="0"/>
    <n v="0"/>
    <m/>
    <n v="54164.673694798992"/>
    <n v="5064158.867519021"/>
    <n v="0"/>
    <n v="0"/>
    <m/>
    <s v="Hedge Fund"/>
    <n v="0"/>
    <n v="0"/>
    <n v="0"/>
    <n v="0"/>
    <m/>
    <m/>
    <m/>
    <m/>
    <m/>
    <m/>
    <m/>
    <m/>
  </r>
  <r>
    <x v="72"/>
    <x v="15"/>
    <s v="NA"/>
    <n v="75020000"/>
    <n v="1289.7640000000001"/>
    <m/>
    <n v="5160353.7967012674"/>
    <n v="0"/>
    <n v="0"/>
    <m/>
    <n v="58165.679922838593"/>
    <n v="5160353.7967012674"/>
    <n v="0"/>
    <n v="0"/>
    <m/>
    <s v="Hedge Fund"/>
    <n v="0"/>
    <n v="0"/>
    <n v="0"/>
    <n v="0"/>
    <m/>
    <m/>
    <m/>
    <m/>
    <m/>
    <m/>
    <m/>
    <m/>
  </r>
  <r>
    <x v="73"/>
    <x v="15"/>
    <s v="NA"/>
    <n v="83477240.517945811"/>
    <n v="1346.7928092107445"/>
    <m/>
    <n v="5140121.0550130159"/>
    <n v="0"/>
    <n v="0"/>
    <m/>
    <n v="61982.243999999999"/>
    <n v="5140121.0550130159"/>
    <n v="0"/>
    <n v="0"/>
    <m/>
    <s v="Hedge Fund"/>
    <n v="0"/>
    <n v="0"/>
    <n v="0"/>
    <n v="0"/>
    <m/>
    <m/>
    <m/>
    <m/>
    <m/>
    <m/>
    <m/>
    <m/>
  </r>
  <r>
    <x v="74"/>
    <x v="15"/>
    <s v="NA"/>
    <n v="86187214.805608019"/>
    <n v="1390.5146"/>
    <m/>
    <n v="0"/>
    <n v="-0.41715437173843384"/>
    <n v="0"/>
    <m/>
    <n v="61982.243699999999"/>
    <n v="-0.41715437173843384"/>
    <n v="0"/>
    <n v="0"/>
    <m/>
    <s v="Hedge Fund"/>
    <n v="0"/>
    <n v="0"/>
    <n v="0"/>
    <n v="0"/>
    <m/>
    <m/>
    <m/>
    <m/>
    <m/>
    <m/>
    <m/>
    <m/>
  </r>
  <r>
    <x v="75"/>
    <x v="15"/>
    <s v="NA"/>
    <n v="90814746.693594009"/>
    <n v="1386.9100000000003"/>
    <m/>
    <n v="4850953.0836269855"/>
    <n v="0"/>
    <n v="0"/>
    <m/>
    <n v="65479.91339999999"/>
    <n v="4850953.0836269855"/>
    <n v="0"/>
    <n v="0"/>
    <m/>
    <s v="Hedge Fund"/>
    <n v="0"/>
    <n v="0"/>
    <n v="0"/>
    <n v="0"/>
    <m/>
    <m/>
    <m/>
    <m/>
    <m/>
    <m/>
    <m/>
    <m/>
  </r>
  <r>
    <x v="76"/>
    <x v="15"/>
    <s v="NA"/>
    <n v="92672791.620249718"/>
    <n v="1415.2858000000001"/>
    <m/>
    <n v="0"/>
    <n v="0"/>
    <n v="0"/>
    <m/>
    <n v="65479.91339999999"/>
    <n v="0"/>
    <n v="0"/>
    <n v="0"/>
    <m/>
    <s v="Hedge Fund"/>
    <n v="0"/>
    <n v="0"/>
    <n v="0"/>
    <n v="0"/>
    <m/>
    <m/>
    <m/>
    <m/>
    <m/>
    <m/>
    <m/>
    <m/>
  </r>
  <r>
    <x v="77"/>
    <x v="15"/>
    <s v="NA"/>
    <n v="97000000"/>
    <n v="1344.0094999999999"/>
    <m/>
    <n v="8994374.331222713"/>
    <n v="0"/>
    <n v="0"/>
    <m/>
    <n v="72172.108902504042"/>
    <n v="8994374.331222713"/>
    <n v="0"/>
    <n v="0"/>
    <m/>
    <s v="Hedge Fund"/>
    <n v="0"/>
    <n v="0"/>
    <n v="0"/>
    <n v="0"/>
    <m/>
    <m/>
    <m/>
    <m/>
    <m/>
    <m/>
    <m/>
    <m/>
  </r>
  <r>
    <x v="78"/>
    <x v="15"/>
    <s v="NA"/>
    <n v="98260000"/>
    <n v="1358.4600999999998"/>
    <m/>
    <n v="217069.72309347987"/>
    <n v="0"/>
    <n v="0"/>
    <m/>
    <n v="72331.899921094489"/>
    <n v="217069.72309347987"/>
    <n v="0"/>
    <n v="0"/>
    <m/>
    <s v="Hedge Fund"/>
    <n v="0"/>
    <n v="0"/>
    <n v="0"/>
    <n v="0"/>
    <m/>
    <m/>
    <m/>
    <m/>
    <m/>
    <m/>
    <m/>
    <m/>
  </r>
  <r>
    <x v="79"/>
    <x v="15"/>
    <s v="NA"/>
    <n v="99300000"/>
    <n v="1372.7299000000003"/>
    <m/>
    <n v="7838.2545059323311"/>
    <n v="0"/>
    <n v="0"/>
    <m/>
    <n v="72337.609896892303"/>
    <n v="7838.2545059323311"/>
    <n v="0"/>
    <n v="0"/>
    <m/>
    <s v="Hedge Fund"/>
    <n v="0"/>
    <n v="0"/>
    <n v="0"/>
    <n v="0"/>
    <m/>
    <m/>
    <m/>
    <m/>
    <m/>
    <m/>
    <m/>
    <m/>
  </r>
  <r>
    <x v="80"/>
    <x v="15"/>
    <s v="NA"/>
    <n v="100550000"/>
    <n v="1390.0980999999999"/>
    <m/>
    <n v="0"/>
    <n v="-6374.0762111842632"/>
    <n v="0"/>
    <m/>
    <n v="72333.024554166361"/>
    <n v="-6374.0762111842632"/>
    <n v="0"/>
    <n v="0"/>
    <m/>
    <s v="Hedge Fund"/>
    <n v="0"/>
    <n v="0"/>
    <n v="0"/>
    <n v="0"/>
    <m/>
    <m/>
    <m/>
    <m/>
    <m/>
    <m/>
    <m/>
    <m/>
  </r>
  <r>
    <x v="81"/>
    <x v="15"/>
    <s v="NA"/>
    <n v="105370000"/>
    <n v="1389.5148999999999"/>
    <m/>
    <n v="4862184.6199199855"/>
    <n v="0"/>
    <n v="0"/>
    <m/>
    <n v="75832.220295010877"/>
    <n v="4862184.6199199855"/>
    <n v="0"/>
    <n v="0"/>
    <m/>
    <s v="Hedge Fund"/>
    <n v="0"/>
    <n v="0"/>
    <n v="0"/>
    <n v="0"/>
    <m/>
    <m/>
    <m/>
    <m/>
    <m/>
    <m/>
    <m/>
    <m/>
  </r>
  <r>
    <x v="82"/>
    <x v="15"/>
    <s v="NA"/>
    <n v="104033198.98867595"/>
    <n v="1362.8155000000002"/>
    <m/>
    <n v="687873.77122054994"/>
    <n v="0"/>
    <n v="0"/>
    <m/>
    <n v="76336.964899999992"/>
    <n v="687873.77122054994"/>
    <n v="0"/>
    <n v="0"/>
    <m/>
    <s v="Hedge Fund"/>
    <n v="0"/>
    <n v="0"/>
    <n v="0"/>
    <n v="0"/>
    <m/>
    <m/>
    <m/>
    <m/>
    <m/>
    <m/>
    <m/>
    <m/>
  </r>
  <r>
    <x v="83"/>
    <x v="15"/>
    <s v="NA"/>
    <n v="105217953.83456975"/>
    <n v="1378.3355674724996"/>
    <m/>
    <n v="0"/>
    <n v="-2.9802322387695313E-8"/>
    <n v="0"/>
    <m/>
    <n v="76336.964899999977"/>
    <n v="-2.9802322387695313E-8"/>
    <n v="0"/>
    <n v="0"/>
    <m/>
    <s v="Hedge Fund"/>
    <n v="0"/>
    <n v="0"/>
    <n v="0"/>
    <n v="0"/>
    <m/>
    <m/>
    <m/>
    <m/>
    <m/>
    <m/>
    <m/>
    <m/>
  </r>
  <r>
    <x v="84"/>
    <x v="15"/>
    <s v="NA"/>
    <n v="101967651.478034"/>
    <n v="1335.7572129257455"/>
    <m/>
    <n v="0"/>
    <n v="-4.3213367462158203E-7"/>
    <n v="0"/>
    <m/>
    <n v="76336.964899999657"/>
    <n v="-4.3213367462158203E-7"/>
    <n v="0"/>
    <n v="0"/>
    <m/>
    <s v="Hedge Fund"/>
    <n v="0"/>
    <n v="0"/>
    <n v="0"/>
    <n v="0"/>
    <m/>
    <m/>
    <m/>
    <m/>
    <m/>
    <m/>
    <m/>
    <m/>
  </r>
  <r>
    <x v="85"/>
    <x v="15"/>
    <s v="NA"/>
    <n v="100177833.03881393"/>
    <n v="1312.3109252515483"/>
    <m/>
    <n v="4.1723251342773438E-7"/>
    <n v="0"/>
    <n v="0"/>
    <m/>
    <n v="76336.964899999977"/>
    <n v="4.1723251342773438E-7"/>
    <n v="0"/>
    <n v="0"/>
    <m/>
    <s v="Hedge Fund"/>
    <n v="0"/>
    <n v="0"/>
    <n v="0"/>
    <n v="0"/>
    <m/>
    <m/>
    <m/>
    <m/>
    <m/>
    <m/>
    <m/>
    <m/>
  </r>
  <r>
    <x v="86"/>
    <x v="15"/>
    <s v="NA"/>
    <n v="98649298.7052131"/>
    <n v="1292.28741062003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87"/>
    <x v="15"/>
    <s v="NA"/>
    <n v="100340000"/>
    <n v="1314.3789891435765"/>
    <m/>
    <n v="4297.2404493540525"/>
    <n v="0"/>
    <n v="0"/>
    <m/>
    <n v="76340.234307442457"/>
    <n v="4297.2404493540525"/>
    <n v="0"/>
    <n v="0"/>
    <m/>
    <s v="Hedge Fund"/>
    <n v="0"/>
    <n v="0"/>
    <n v="0"/>
    <n v="0"/>
    <m/>
    <m/>
    <m/>
    <m/>
    <m/>
    <m/>
    <m/>
    <m/>
  </r>
  <r>
    <x v="88"/>
    <x v="15"/>
    <s v="NA"/>
    <n v="97200000"/>
    <n v="1273.3309087439413"/>
    <m/>
    <n v="0"/>
    <n v="-6379.9244211167097"/>
    <n v="0"/>
    <m/>
    <n v="76335.223886052932"/>
    <n v="-6379.9244211167097"/>
    <n v="0"/>
    <n v="0"/>
    <m/>
    <s v="Hedge Fund"/>
    <n v="0"/>
    <n v="0"/>
    <n v="0"/>
    <n v="0"/>
    <m/>
    <m/>
    <m/>
    <m/>
    <m/>
    <m/>
    <m/>
    <m/>
  </r>
  <r>
    <x v="89"/>
    <x v="15"/>
    <s v="NA"/>
    <n v="91780000"/>
    <n v="1202.2570632626241"/>
    <m/>
    <n v="5437.9072590768337"/>
    <n v="0"/>
    <n v="0"/>
    <m/>
    <n v="76339.746968033694"/>
    <n v="5437.9072590768337"/>
    <n v="0"/>
    <n v="0"/>
    <m/>
    <s v="Hedge Fund"/>
    <n v="0"/>
    <n v="0"/>
    <n v="0"/>
    <n v="0"/>
    <m/>
    <m/>
    <m/>
    <m/>
    <m/>
    <m/>
    <m/>
    <m/>
  </r>
  <r>
    <x v="90"/>
    <x v="15"/>
    <s v="NA"/>
    <n v="89580000"/>
    <n v="1173.5172"/>
    <m/>
    <n v="0"/>
    <n v="-6006.1106353849173"/>
    <n v="0"/>
    <m/>
    <n v="76334.628925762649"/>
    <n v="-6006.1106353849173"/>
    <n v="0"/>
    <n v="0"/>
    <m/>
    <s v="Hedge Fund"/>
    <n v="0"/>
    <n v="0"/>
    <n v="0"/>
    <n v="0"/>
    <m/>
    <m/>
    <m/>
    <m/>
    <m/>
    <m/>
    <m/>
    <m/>
  </r>
  <r>
    <x v="91"/>
    <x v="15"/>
    <s v="NA"/>
    <n v="84960000"/>
    <n v="1112.9547132416715"/>
    <m/>
    <n v="3014.953518435359"/>
    <n v="0"/>
    <n v="0"/>
    <m/>
    <n v="76337.337889103714"/>
    <n v="3014.953518435359"/>
    <n v="0"/>
    <n v="0"/>
    <m/>
    <s v="Hedge Fund"/>
    <n v="0"/>
    <n v="0"/>
    <n v="0"/>
    <n v="0"/>
    <m/>
    <m/>
    <m/>
    <m/>
    <m/>
    <m/>
    <m/>
    <m/>
  </r>
  <r>
    <x v="92"/>
    <x v="15"/>
    <s v="NA"/>
    <n v="82270000"/>
    <n v="1077.7607641598856"/>
    <m/>
    <n v="0"/>
    <n v="-3387.6172918081284"/>
    <n v="0"/>
    <m/>
    <n v="76334.194689421129"/>
    <n v="-3387.6172918081284"/>
    <n v="0"/>
    <n v="0"/>
    <m/>
    <s v="Hedge Fund"/>
    <n v="0"/>
    <n v="0"/>
    <n v="0"/>
    <n v="0"/>
    <m/>
    <m/>
    <m/>
    <m/>
    <m/>
    <m/>
    <m/>
    <m/>
  </r>
  <r>
    <x v="93"/>
    <x v="15"/>
    <s v="NA"/>
    <n v="81210000"/>
    <n v="1063.8877000000002"/>
    <m/>
    <n v="0"/>
    <n v="-1010.8194804787636"/>
    <n v="0"/>
    <m/>
    <n v="76333.244570832045"/>
    <n v="-1010.8194804787636"/>
    <n v="0"/>
    <n v="0"/>
    <m/>
    <s v="Hedge Fund"/>
    <n v="0"/>
    <n v="0"/>
    <n v="0"/>
    <n v="0"/>
    <m/>
    <m/>
    <m/>
    <m/>
    <m/>
    <m/>
    <m/>
    <m/>
  </r>
  <r>
    <x v="94"/>
    <x v="15"/>
    <s v="NA"/>
    <n v="82490000"/>
    <n v="1080.6556"/>
    <m/>
    <n v="51.788360744714737"/>
    <n v="0"/>
    <n v="0"/>
    <m/>
    <n v="76333.292493926827"/>
    <n v="51.788360744714737"/>
    <n v="0"/>
    <n v="0"/>
    <m/>
    <s v="Hedge Fund"/>
    <n v="0"/>
    <n v="0"/>
    <n v="0"/>
    <n v="0"/>
    <m/>
    <m/>
    <m/>
    <m/>
    <m/>
    <m/>
    <m/>
    <m/>
  </r>
  <r>
    <x v="95"/>
    <x v="15"/>
    <s v="NA"/>
    <n v="81710000"/>
    <n v="1070.3797"/>
    <m/>
    <n v="4393.2803383618593"/>
    <n v="0"/>
    <n v="0"/>
    <m/>
    <n v="76337.396906910697"/>
    <n v="4393.2803383618593"/>
    <n v="0"/>
    <n v="0"/>
    <m/>
    <s v="Hedge Fund"/>
    <n v="0"/>
    <n v="0"/>
    <n v="0"/>
    <n v="0"/>
    <m/>
    <m/>
    <m/>
    <m/>
    <m/>
    <m/>
    <m/>
    <m/>
  </r>
  <r>
    <x v="96"/>
    <x v="15"/>
    <s v="NA"/>
    <n v="78530000"/>
    <n v="1028.6811737056728"/>
    <m/>
    <n v="3156.9521633088589"/>
    <n v="0"/>
    <n v="0"/>
    <m/>
    <n v="76340.465838513614"/>
    <n v="3156.9521633088589"/>
    <n v="0"/>
    <n v="0"/>
    <m/>
    <s v="Hedge Fund"/>
    <n v="0"/>
    <n v="0"/>
    <n v="0"/>
    <n v="0"/>
    <m/>
    <m/>
    <m/>
    <m/>
    <m/>
    <m/>
    <m/>
    <m/>
  </r>
  <r>
    <x v="97"/>
    <x v="15"/>
    <s v="NA"/>
    <n v="77300000"/>
    <n v="1012.6589000000001"/>
    <m/>
    <n v="0"/>
    <n v="-6852.1615167856216"/>
    <n v="0"/>
    <m/>
    <n v="76333.699333507058"/>
    <n v="-6852.1615167856216"/>
    <n v="0"/>
    <n v="0"/>
    <m/>
    <s v="Hedge Fund"/>
    <n v="0"/>
    <n v="0"/>
    <n v="0"/>
    <n v="0"/>
    <m/>
    <m/>
    <m/>
    <m/>
    <m/>
    <m/>
    <m/>
    <m/>
  </r>
  <r>
    <x v="98"/>
    <x v="15"/>
    <s v="NA"/>
    <n v="79820000"/>
    <n v="1045.5875000000001"/>
    <m/>
    <n v="6438.1481266766787"/>
    <n v="0"/>
    <n v="0"/>
    <m/>
    <n v="76339.856779083522"/>
    <n v="6438.1481266766787"/>
    <n v="0"/>
    <n v="0"/>
    <m/>
    <s v="Hedge Fund"/>
    <n v="0"/>
    <n v="0"/>
    <n v="0"/>
    <n v="0"/>
    <m/>
    <m/>
    <m/>
    <m/>
    <m/>
    <m/>
    <m/>
    <m/>
  </r>
  <r>
    <x v="99"/>
    <x v="15"/>
    <s v="NA"/>
    <n v="78841958.320000008"/>
    <n v="1032.8149000000001"/>
    <m/>
    <n v="0"/>
    <n v="-2983.2253034710884"/>
    <n v="0"/>
    <m/>
    <n v="76336.968337695362"/>
    <n v="-2983.2253034710884"/>
    <n v="0"/>
    <n v="0"/>
    <m/>
    <s v="Hedge Fund"/>
    <n v="0"/>
    <n v="0"/>
    <n v="0"/>
    <n v="0"/>
    <m/>
    <m/>
    <m/>
    <m/>
    <m/>
    <m/>
    <m/>
    <m/>
  </r>
  <r>
    <x v="100"/>
    <x v="15"/>
    <s v="NA"/>
    <n v="81210000"/>
    <n v="1063.8269000000003"/>
    <m/>
    <n v="679.61791136860847"/>
    <n v="0"/>
    <n v="0"/>
    <m/>
    <n v="76337.60718026587"/>
    <n v="679.61791136860847"/>
    <n v="0"/>
    <n v="0"/>
    <m/>
    <s v="Hedge Fund"/>
    <n v="0"/>
    <n v="0"/>
    <n v="0"/>
    <n v="0"/>
    <m/>
    <m/>
    <m/>
    <m/>
    <m/>
    <m/>
    <m/>
    <m/>
  </r>
  <r>
    <x v="101"/>
    <x v="15"/>
    <s v="NA"/>
    <n v="80580000"/>
    <n v="1055.6198999999999"/>
    <m/>
    <n v="0"/>
    <n v="-3497.2578715384007"/>
    <n v="0"/>
    <m/>
    <n v="76334.29419055098"/>
    <n v="-3497.2578715384007"/>
    <n v="0"/>
    <n v="0"/>
    <m/>
    <s v="Hedge Fund"/>
    <n v="0"/>
    <n v="0"/>
    <n v="0"/>
    <n v="0"/>
    <m/>
    <m/>
    <m/>
    <m/>
    <m/>
    <m/>
    <m/>
    <m/>
  </r>
  <r>
    <x v="102"/>
    <x v="15"/>
    <s v="NA"/>
    <n v="87323228.21447818"/>
    <n v="1143.9180000000001"/>
    <m/>
    <n v="3055.0726114809513"/>
    <n v="0"/>
    <n v="0"/>
    <m/>
    <n v="76336.964899999977"/>
    <n v="3055.0726114809513"/>
    <n v="0"/>
    <n v="0"/>
    <m/>
    <s v="Hedge Fund"/>
    <n v="0"/>
    <n v="0"/>
    <n v="0"/>
    <n v="0"/>
    <m/>
    <m/>
    <m/>
    <m/>
    <m/>
    <m/>
    <m/>
    <m/>
  </r>
  <r>
    <x v="103"/>
    <x v="15"/>
    <s v="NA"/>
    <n v="87635339.529168323"/>
    <n v="1148.00660000000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104"/>
    <x v="15"/>
    <s v="NA"/>
    <n v="92205431.659999996"/>
    <n v="1207.8739999999998"/>
    <m/>
    <n v="0"/>
    <n v="-3.4816225618124008"/>
    <n v="0"/>
    <m/>
    <n v="76336.96201756144"/>
    <n v="-3.4816225618124008"/>
    <n v="0"/>
    <n v="0"/>
    <m/>
    <s v="Hedge Fund"/>
    <n v="0"/>
    <n v="0"/>
    <n v="0"/>
    <n v="0"/>
    <m/>
    <m/>
    <m/>
    <m/>
    <m/>
    <m/>
    <m/>
    <m/>
  </r>
  <r>
    <x v="105"/>
    <x v="15"/>
    <s v="NA"/>
    <n v="91418042.249768555"/>
    <n v="1197.5592999999999"/>
    <m/>
    <n v="3.4518910944461823"/>
    <n v="0"/>
    <n v="0"/>
    <m/>
    <n v="76336.964899999992"/>
    <n v="3.4518910944461823"/>
    <n v="0"/>
    <n v="0"/>
    <m/>
    <s v="Hedge Fund"/>
    <n v="0"/>
    <n v="0"/>
    <n v="0"/>
    <n v="0"/>
    <m/>
    <m/>
    <m/>
    <m/>
    <m/>
    <m/>
    <m/>
    <m/>
  </r>
  <r>
    <x v="106"/>
    <x v="15"/>
    <s v="NA"/>
    <n v="93353398.053485274"/>
    <n v="1222.9121000000002"/>
    <m/>
    <n v="0"/>
    <n v="-2.9802322387695313E-8"/>
    <n v="0"/>
    <m/>
    <n v="76336.964899999977"/>
    <n v="-2.9802322387695313E-8"/>
    <n v="0"/>
    <n v="0"/>
    <m/>
    <s v="Hedge Fund"/>
    <n v="0"/>
    <n v="0"/>
    <n v="0"/>
    <n v="0"/>
    <m/>
    <m/>
    <m/>
    <m/>
    <m/>
    <m/>
    <m/>
    <m/>
  </r>
  <r>
    <x v="107"/>
    <x v="15"/>
    <s v="NA"/>
    <n v="94186318.31120567"/>
    <n v="1233.8232000000003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108"/>
    <x v="15"/>
    <s v="NA"/>
    <n v="99176603.113255486"/>
    <n v="1299.19500000000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109"/>
    <x v="15"/>
    <s v="NA"/>
    <n v="103222882.10626243"/>
    <n v="1352.2005000000001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110"/>
    <x v="15"/>
    <s v="NA"/>
    <n v="100230076.12996496"/>
    <n v="1312.9953000000003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111"/>
    <x v="15"/>
    <s v="NA"/>
    <n v="107482446.57919998"/>
    <n v="1408.0000000000002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112"/>
    <x v="15"/>
    <s v="NA"/>
    <n v="113564342.34562333"/>
    <n v="1485.1492273943418"/>
    <m/>
    <n v="192557.90275937319"/>
    <n v="0"/>
    <n v="0"/>
    <m/>
    <n v="76466.620492318616"/>
    <n v="192557.90275937319"/>
    <n v="0"/>
    <n v="0"/>
    <m/>
    <s v="Hedge Fund"/>
    <n v="0"/>
    <n v="0"/>
    <n v="0"/>
    <n v="0"/>
    <m/>
    <m/>
    <m/>
    <m/>
    <m/>
    <m/>
    <m/>
    <m/>
  </r>
  <r>
    <x v="113"/>
    <x v="15"/>
    <s v="NA"/>
    <n v="113727634.7472409"/>
    <n v="1489.8108000000002"/>
    <m/>
    <n v="0"/>
    <n v="-193162.3017167002"/>
    <n v="0"/>
    <m/>
    <n v="76336.964899999977"/>
    <n v="-193162.3017167002"/>
    <n v="0"/>
    <n v="0"/>
    <m/>
    <s v="Hedge Fund"/>
    <n v="0"/>
    <n v="0"/>
    <n v="0"/>
    <n v="0"/>
    <m/>
    <m/>
    <m/>
    <m/>
    <m/>
    <m/>
    <m/>
    <m/>
  </r>
  <r>
    <x v="114"/>
    <x v="15"/>
    <s v="NA"/>
    <n v="117979725.83131476"/>
    <n v="1545.5124000000001"/>
    <m/>
    <n v="2.9802322387695313E-8"/>
    <n v="0"/>
    <n v="0"/>
    <m/>
    <n v="76336.964899999992"/>
    <n v="2.9802322387695313E-8"/>
    <n v="0"/>
    <n v="0"/>
    <m/>
    <s v="Hedge Fund"/>
    <n v="0"/>
    <n v="0"/>
    <n v="0"/>
    <n v="0"/>
    <m/>
    <m/>
    <m/>
    <m/>
    <m/>
    <m/>
    <m/>
    <m/>
  </r>
  <r>
    <x v="115"/>
    <x v="15"/>
    <s v="NA"/>
    <n v="124157589.73"/>
    <n v="1626.4413"/>
    <m/>
    <n v="0"/>
    <n v="-2.7000103443861008"/>
    <n v="0"/>
    <m/>
    <n v="76336.963239927572"/>
    <n v="-2.7000103443861008"/>
    <n v="0"/>
    <n v="0"/>
    <m/>
    <s v="Hedge Fund"/>
    <n v="0"/>
    <n v="0"/>
    <n v="0"/>
    <n v="0"/>
    <m/>
    <m/>
    <m/>
    <m/>
    <m/>
    <m/>
    <m/>
    <m/>
  </r>
  <r>
    <x v="116"/>
    <x v="15"/>
    <s v="NA"/>
    <n v="127900569.39407663"/>
    <n v="1675.4736000000005"/>
    <m/>
    <n v="2.7814074754714966"/>
    <n v="0"/>
    <n v="0"/>
    <m/>
    <n v="76336.964899999977"/>
    <n v="2.7814074754714966"/>
    <n v="0"/>
    <n v="0"/>
    <m/>
    <s v="Hedge Fund"/>
    <n v="0"/>
    <n v="0"/>
    <n v="0"/>
    <n v="0"/>
    <m/>
    <m/>
    <m/>
    <m/>
    <m/>
    <m/>
    <m/>
    <m/>
  </r>
  <r>
    <x v="117"/>
    <x v="15"/>
    <s v="NA"/>
    <n v="130481056.52185972"/>
    <n v="1709.2775000000001"/>
    <m/>
    <n v="0"/>
    <n v="0"/>
    <n v="0"/>
    <m/>
    <n v="76336.964899999977"/>
    <n v="0"/>
    <n v="0"/>
    <n v="0"/>
    <m/>
    <s v="Hedge Fund"/>
    <n v="0"/>
    <n v="0"/>
    <n v="0"/>
    <n v="0"/>
    <m/>
    <m/>
    <m/>
    <m/>
    <m/>
    <m/>
    <m/>
    <m/>
  </r>
  <r>
    <x v="118"/>
    <x v="15"/>
    <s v="NA"/>
    <n v="132479426.32791139"/>
    <n v="1735.0281999999997"/>
    <m/>
    <n v="32639.524001270533"/>
    <n v="0"/>
    <n v="0"/>
    <m/>
    <n v="76355.777000000002"/>
    <n v="32639.524001270533"/>
    <n v="0"/>
    <n v="0"/>
    <m/>
    <s v="Hedge Fund"/>
    <n v="0"/>
    <n v="0"/>
    <n v="0"/>
    <n v="0"/>
    <m/>
    <m/>
    <m/>
    <m/>
    <m/>
    <m/>
    <m/>
    <m/>
  </r>
  <r>
    <x v="119"/>
    <x v="15"/>
    <s v="NA"/>
    <n v="132481465.02715729"/>
    <n v="1735.0548999999999"/>
    <m/>
    <n v="0"/>
    <n v="0"/>
    <n v="0"/>
    <m/>
    <n v="76355.777000000002"/>
    <n v="0"/>
    <n v="0"/>
    <n v="0"/>
    <m/>
    <s v="Hedge Fund"/>
    <n v="0"/>
    <n v="0"/>
    <n v="0"/>
    <n v="0"/>
    <m/>
    <m/>
    <m/>
    <m/>
    <m/>
    <m/>
    <m/>
    <m/>
  </r>
  <r>
    <x v="120"/>
    <x v="15"/>
    <s v="NA"/>
    <n v="136692982.4412578"/>
    <n v="1790.2113999999997"/>
    <m/>
    <n v="2.9802322387695313E-8"/>
    <n v="0"/>
    <n v="0"/>
    <m/>
    <n v="76355.777000000016"/>
    <n v="2.9802322387695313E-8"/>
    <n v="0"/>
    <n v="0"/>
    <m/>
    <s v="Hedge Fund"/>
    <n v="0"/>
    <n v="0"/>
    <n v="0"/>
    <n v="0"/>
    <m/>
    <m/>
    <m/>
    <m/>
    <m/>
    <m/>
    <m/>
    <m/>
  </r>
  <r>
    <x v="121"/>
    <x v="15"/>
    <s v="NA"/>
    <n v="139412439.252579"/>
    <n v="1825.827"/>
    <m/>
    <n v="0"/>
    <n v="-2.9802322387695313E-8"/>
    <n v="0"/>
    <m/>
    <n v="76355.777000000002"/>
    <n v="-2.9802322387695313E-8"/>
    <n v="0"/>
    <n v="0"/>
    <m/>
    <s v="Hedge Fund"/>
    <n v="0"/>
    <n v="0"/>
    <n v="0"/>
    <n v="0"/>
    <m/>
    <m/>
    <m/>
    <m/>
    <m/>
    <m/>
    <m/>
    <m/>
  </r>
  <r>
    <x v="122"/>
    <x v="15"/>
    <s v="NA"/>
    <n v="140520071.424896"/>
    <n v="1840.3332"/>
    <m/>
    <n v="0"/>
    <n v="-4.1723251342773438E-7"/>
    <n v="0"/>
    <m/>
    <n v="76355.776999999784"/>
    <n v="-4.1723251342773438E-7"/>
    <n v="0"/>
    <n v="0"/>
    <m/>
    <s v="Hedge Fund"/>
    <n v="0"/>
    <n v="0"/>
    <n v="0"/>
    <n v="0"/>
    <m/>
    <m/>
    <m/>
    <m/>
    <m/>
    <m/>
    <m/>
    <m/>
  </r>
  <r>
    <x v="123"/>
    <x v="15"/>
    <s v="NA"/>
    <n v="140794211.57105953"/>
    <n v="1843.9234999999999"/>
    <m/>
    <n v="4.4703483581542969E-7"/>
    <n v="0"/>
    <n v="0"/>
    <m/>
    <n v="76355.777000000016"/>
    <n v="4.4703483581542969E-7"/>
    <n v="0"/>
    <n v="0"/>
    <m/>
    <s v="Hedge Fund"/>
    <n v="0"/>
    <n v="0"/>
    <n v="0"/>
    <n v="0"/>
    <m/>
    <m/>
    <m/>
    <m/>
    <m/>
    <m/>
    <m/>
    <m/>
  </r>
  <r>
    <x v="124"/>
    <x v="15"/>
    <s v="NA"/>
    <n v="134609886.65266526"/>
    <n v="1897.7165000000002"/>
    <m/>
    <n v="0"/>
    <n v="-10291731.230555296"/>
    <n v="0"/>
    <m/>
    <n v="70932.558499999999"/>
    <n v="-10291731.230555296"/>
    <n v="0"/>
    <n v="0"/>
    <m/>
    <s v="Hedge Fund"/>
    <n v="0"/>
    <n v="0"/>
    <n v="0"/>
    <n v="0"/>
    <m/>
    <m/>
    <m/>
    <m/>
    <m/>
    <m/>
    <m/>
    <m/>
  </r>
  <r>
    <x v="125"/>
    <x v="15"/>
    <s v="NA"/>
    <n v="126560545.03315544"/>
    <n v="1784.2376999999999"/>
    <m/>
    <n v="0"/>
    <n v="0"/>
    <n v="0"/>
    <m/>
    <n v="70932.558499999999"/>
    <n v="0"/>
    <n v="0"/>
    <n v="0"/>
    <m/>
    <s v="Hedge Fund"/>
    <n v="0"/>
    <n v="0"/>
    <n v="0"/>
    <n v="0"/>
    <m/>
    <m/>
    <m/>
    <m/>
    <m/>
    <m/>
    <m/>
    <m/>
  </r>
  <r>
    <x v="126"/>
    <x v="15"/>
    <s v="NA"/>
    <n v="117352349.83240774"/>
    <n v="1654.4214999999999"/>
    <m/>
    <n v="0"/>
    <n v="0"/>
    <n v="0"/>
    <m/>
    <n v="70932.558499999999"/>
    <n v="0"/>
    <n v="0"/>
    <n v="0"/>
    <m/>
    <s v="Hedge Fund"/>
    <n v="0"/>
    <n v="0"/>
    <n v="0"/>
    <n v="0"/>
    <m/>
    <m/>
    <m/>
    <m/>
    <m/>
    <m/>
    <m/>
    <m/>
  </r>
  <r>
    <x v="127"/>
    <x v="15"/>
    <s v="NA"/>
    <n v="109107476.907912"/>
    <n v="1681.47"/>
    <m/>
    <n v="0"/>
    <n v="-10163492.233082995"/>
    <n v="0"/>
    <m/>
    <n v="64888.149599999997"/>
    <n v="-10163492.233082995"/>
    <n v="0"/>
    <n v="0"/>
    <m/>
    <s v="Hedge Fund"/>
    <n v="0"/>
    <n v="0"/>
    <n v="0"/>
    <n v="0"/>
    <m/>
    <m/>
    <m/>
    <m/>
    <m/>
    <m/>
    <m/>
    <m/>
  </r>
  <r>
    <x v="128"/>
    <x v="15"/>
    <s v="NA"/>
    <n v="105500941.64262432"/>
    <n v="1625.8892000000003"/>
    <m/>
    <n v="0"/>
    <n v="-1.4901161193847656E-8"/>
    <n v="0"/>
    <m/>
    <n v="64888.14959999999"/>
    <n v="-1.4901161193847656E-8"/>
    <n v="0"/>
    <n v="0"/>
    <m/>
    <s v="Hedge Fund"/>
    <n v="0"/>
    <n v="0"/>
    <n v="0"/>
    <n v="0"/>
    <m/>
    <m/>
    <m/>
    <m/>
    <m/>
    <m/>
    <m/>
    <m/>
  </r>
  <r>
    <x v="129"/>
    <x v="15"/>
    <s v="NA"/>
    <n v="106979768.52726816"/>
    <n v="1648.6795999999999"/>
    <m/>
    <n v="1.4901161193847656E-8"/>
    <n v="0"/>
    <n v="0"/>
    <m/>
    <n v="64888.149599999997"/>
    <n v="1.4901161193847656E-8"/>
    <n v="0"/>
    <n v="0"/>
    <m/>
    <s v="Hedge Fund"/>
    <n v="0"/>
    <n v="0"/>
    <n v="0"/>
    <n v="0"/>
    <m/>
    <m/>
    <m/>
    <m/>
    <m/>
    <m/>
    <m/>
    <m/>
  </r>
  <r>
    <x v="130"/>
    <x v="15"/>
    <s v="NA"/>
    <n v="89493725.005111426"/>
    <n v="1758.0934"/>
    <m/>
    <n v="0"/>
    <n v="-24585702.544861212"/>
    <n v="0"/>
    <m/>
    <n v="50903.851300000002"/>
    <n v="-24585702.544861212"/>
    <n v="0"/>
    <n v="0"/>
    <m/>
    <s v="Hedge Fund"/>
    <n v="0"/>
    <n v="0"/>
    <n v="0"/>
    <n v="0"/>
    <m/>
    <m/>
    <m/>
    <m/>
    <m/>
    <m/>
    <m/>
    <m/>
  </r>
  <r>
    <x v="131"/>
    <x v="15"/>
    <s v="NA"/>
    <n v="93715853.324257582"/>
    <n v="1841.0365999999999"/>
    <m/>
    <n v="0"/>
    <n v="0"/>
    <n v="0"/>
    <m/>
    <n v="50903.851300000002"/>
    <n v="0"/>
    <n v="0"/>
    <n v="0"/>
    <m/>
    <s v="Hedge Fund"/>
    <n v="0"/>
    <n v="0"/>
    <n v="0"/>
    <n v="0"/>
    <m/>
    <m/>
    <m/>
    <m/>
    <m/>
    <m/>
    <m/>
    <m/>
  </r>
  <r>
    <x v="132"/>
    <x v="15"/>
    <s v="NA"/>
    <n v="92777910.430000007"/>
    <n v="1822.6107999999999"/>
    <m/>
    <n v="1.2890259623527527"/>
    <n v="0"/>
    <n v="0"/>
    <m/>
    <n v="50903.852007241483"/>
    <n v="1.2890259623527527"/>
    <n v="0"/>
    <n v="0"/>
    <m/>
    <s v="Hedge Fund"/>
    <n v="0"/>
    <n v="0"/>
    <n v="0"/>
    <n v="0"/>
    <m/>
    <m/>
    <m/>
    <m/>
    <m/>
    <m/>
    <m/>
    <m/>
  </r>
  <r>
    <x v="133"/>
    <x v="15"/>
    <s v="NA"/>
    <n v="96447185.289999992"/>
    <n v="1894.6932999999999"/>
    <m/>
    <n v="0"/>
    <n v="-2.0523119866847992"/>
    <n v="0"/>
    <m/>
    <n v="50903.850924051927"/>
    <n v="-2.0523119866847992"/>
    <n v="0"/>
    <n v="0"/>
    <m/>
    <s v="Hedge Fund"/>
    <n v="0"/>
    <n v="0"/>
    <n v="0"/>
    <n v="0"/>
    <m/>
    <m/>
    <m/>
    <m/>
    <m/>
    <m/>
    <m/>
    <m/>
  </r>
  <r>
    <x v="134"/>
    <x v="15"/>
    <s v="NA"/>
    <n v="94895815.619658604"/>
    <n v="1864.2167999999999"/>
    <m/>
    <n v="1.5423454791307449"/>
    <n v="0"/>
    <n v="0"/>
    <m/>
    <n v="50903.851751394264"/>
    <n v="1.5423454791307449"/>
    <n v="0"/>
    <n v="0"/>
    <m/>
    <s v="Hedge Fund"/>
    <n v="0"/>
    <n v="0"/>
    <n v="0"/>
    <n v="0"/>
    <m/>
    <m/>
    <m/>
    <m/>
    <m/>
    <m/>
    <m/>
    <m/>
  </r>
  <r>
    <x v="135"/>
    <x v="15"/>
    <s v="NA"/>
    <n v="105226430.46118"/>
    <n v="1820.3407"/>
    <m/>
    <n v="12564077.331350744"/>
    <n v="0"/>
    <n v="0"/>
    <m/>
    <n v="57805.898896387916"/>
    <n v="12564077.331350744"/>
    <n v="0"/>
    <n v="0"/>
    <m/>
    <s v="Hedge Fund"/>
    <n v="0"/>
    <n v="0"/>
    <n v="0"/>
    <n v="0"/>
    <m/>
    <m/>
    <m/>
    <m/>
    <m/>
    <m/>
    <m/>
    <m/>
  </r>
  <r>
    <x v="136"/>
    <x v="15"/>
    <s v="NA"/>
    <n v="106367658.77000001"/>
    <n v="1840.0832"/>
    <m/>
    <n v="0"/>
    <n v="-4.6501419395208359"/>
    <n v="0"/>
    <m/>
    <n v="57805.896369251132"/>
    <n v="-4.6501419395208359"/>
    <n v="0"/>
    <n v="0"/>
    <m/>
    <s v="Hedge Fund"/>
    <n v="0"/>
    <n v="0"/>
    <n v="0"/>
    <n v="0"/>
    <m/>
    <m/>
    <m/>
    <m/>
    <m/>
    <m/>
    <m/>
    <m/>
  </r>
  <r>
    <x v="137"/>
    <x v="15"/>
    <s v="NA"/>
    <n v="111126878.56317499"/>
    <n v="1922.4141999999999"/>
    <m/>
    <n v="2.53919817507267"/>
    <n v="0"/>
    <n v="0"/>
    <m/>
    <n v="57805.897690089369"/>
    <n v="2.53919817507267"/>
    <n v="0"/>
    <n v="0"/>
    <m/>
    <s v="Hedge Fund"/>
    <n v="0"/>
    <n v="0"/>
    <n v="0"/>
    <n v="0"/>
    <m/>
    <m/>
    <m/>
    <m/>
    <m/>
    <m/>
    <m/>
    <m/>
  </r>
  <r>
    <x v="138"/>
    <x v="15"/>
    <s v="NA"/>
    <n v="117150698.33232999"/>
    <n v="2026.6219000000001"/>
    <m/>
    <n v="0.12443545460700989"/>
    <n v="0"/>
    <n v="0"/>
    <m/>
    <n v="57805.8977514898"/>
    <n v="0.12443545460700989"/>
    <n v="0"/>
    <n v="0"/>
    <m/>
    <s v="Hedge Fund"/>
    <n v="7.37319465841587E-2"/>
    <n v="3.2372435400000001"/>
    <n v="0"/>
    <n v="0"/>
    <m/>
    <m/>
    <m/>
    <m/>
    <m/>
    <m/>
    <m/>
    <m/>
  </r>
  <r>
    <x v="139"/>
    <x v="15"/>
    <s v="NA"/>
    <n v="115904530.12483177"/>
    <n v="2005.0642"/>
    <m/>
    <n v="0"/>
    <n v="-6.0055409371852875"/>
    <n v="0"/>
    <m/>
    <n v="57805.894756303445"/>
    <n v="-6.0055409371852875"/>
    <n v="0"/>
    <n v="0"/>
    <m/>
    <s v="Hedge Fund"/>
    <n v="8.5850917644022695E-2"/>
    <n v="3.0173316900000002"/>
    <n v="0"/>
    <n v="0"/>
    <m/>
    <m/>
    <m/>
    <m/>
    <m/>
    <m/>
    <m/>
    <m/>
  </r>
  <r>
    <x v="140"/>
    <x v="15"/>
    <s v="NA"/>
    <n v="115716603.81628507"/>
    <n v="2001.8132000000003"/>
    <m/>
    <n v="0.65530604124069214"/>
    <n v="0"/>
    <n v="0"/>
    <m/>
    <n v="57805.895083659685"/>
    <n v="0.65530604124069214"/>
    <n v="0"/>
    <n v="0"/>
    <m/>
    <s v="Hedge Fund"/>
    <n v="7.7895312521760698E-2"/>
    <n v="2.9841681700000002"/>
    <n v="0"/>
    <n v="0"/>
    <m/>
    <m/>
    <m/>
    <m/>
    <m/>
    <m/>
    <m/>
    <m/>
  </r>
  <r>
    <x v="141"/>
    <x v="15"/>
    <s v="NA"/>
    <n v="120184119.71912195"/>
    <n v="2079.0979000000002"/>
    <m/>
    <n v="4.6430647671222687"/>
    <n v="0"/>
    <n v="0"/>
    <m/>
    <n v="57805.897316870905"/>
    <n v="4.6430647671222687"/>
    <n v="0"/>
    <n v="0"/>
    <m/>
    <s v="Hedge Fund"/>
    <n v="8.4058000297997898E-2"/>
    <n v="3.7725527300000001"/>
    <n v="0"/>
    <n v="0"/>
    <m/>
    <m/>
    <m/>
    <m/>
    <m/>
    <m/>
    <m/>
    <m/>
  </r>
  <r>
    <x v="142"/>
    <x v="15"/>
    <s v="NA"/>
    <n v="124648786.45471448"/>
    <n v="2152.9526999999998"/>
    <m/>
    <n v="195423.75043451786"/>
    <n v="0"/>
    <n v="0"/>
    <m/>
    <n v="57896.667425491738"/>
    <n v="195423.75043451786"/>
    <n v="0"/>
    <n v="0"/>
    <m/>
    <s v="Hedge Fund"/>
    <n v="8.52722033506981E-2"/>
    <n v="0.75457882999999992"/>
    <n v="0"/>
    <n v="0"/>
    <m/>
    <m/>
    <m/>
    <m/>
    <m/>
    <m/>
    <m/>
    <m/>
  </r>
  <r>
    <x v="143"/>
    <x v="15"/>
    <s v="NA"/>
    <n v="126164865.61337222"/>
    <n v="2179.1387"/>
    <m/>
    <n v="0"/>
    <n v="-2.9745461940765381"/>
    <n v="0"/>
    <m/>
    <n v="57896.666060481708"/>
    <n v="-2.9745461940765381"/>
    <n v="0"/>
    <n v="0"/>
    <m/>
    <s v="Hedge Fund"/>
    <n v="7.8109606332895154E-2"/>
    <n v="1.0221222299999999"/>
    <n v="0"/>
    <n v="0"/>
    <m/>
    <m/>
    <m/>
    <m/>
    <m/>
    <m/>
    <m/>
    <m/>
  </r>
  <r>
    <x v="144"/>
    <x v="15"/>
    <s v="NA"/>
    <n v="126276143.44013076"/>
    <n v="2181.0607"/>
    <m/>
    <n v="0.43459028005599976"/>
    <n v="0"/>
    <n v="0"/>
    <m/>
    <n v="57896.6662597381"/>
    <n v="0.43459028005599976"/>
    <n v="0"/>
    <n v="0"/>
    <m/>
    <s v="Hedge Fund"/>
    <n v="7.8190005545692789E-2"/>
    <n v="1.0417595900000001"/>
    <n v="0"/>
    <n v="0"/>
    <m/>
    <m/>
    <m/>
    <m/>
    <m/>
    <m/>
    <m/>
    <m/>
  </r>
  <r>
    <x v="145"/>
    <x v="15"/>
    <s v="NA"/>
    <n v="126443760.47416349"/>
    <n v="2183.9559000000004"/>
    <m/>
    <n v="0"/>
    <n v="-5.3941224962472916"/>
    <n v="0"/>
    <m/>
    <n v="57896.663789851918"/>
    <n v="-5.3941224962472916"/>
    <n v="0"/>
    <n v="0"/>
    <m/>
    <s v="Hedge Fund"/>
    <n v="9.2306879095650968E-2"/>
    <n v="1.0713399099999998"/>
    <n v="0"/>
    <n v="0"/>
    <m/>
    <m/>
    <m/>
    <m/>
    <m/>
    <m/>
    <m/>
    <m/>
  </r>
  <r>
    <x v="146"/>
    <x v="15"/>
    <s v="NA"/>
    <n v="131705258.52871521"/>
    <n v="2274.8332"/>
    <m/>
    <n v="5.5703222453594208"/>
    <n v="0"/>
    <n v="0"/>
    <m/>
    <n v="57896.66623852474"/>
    <n v="5.5703222453594208"/>
    <n v="0"/>
    <n v="0"/>
    <m/>
    <s v="Hedge Fund"/>
    <n v="9.0917243137490902E-2"/>
    <n v="1.99983884"/>
    <n v="0"/>
    <n v="0"/>
    <m/>
    <m/>
    <m/>
    <m/>
    <m/>
    <m/>
    <m/>
    <m/>
  </r>
  <r>
    <x v="147"/>
    <x v="15"/>
    <s v="NA"/>
    <n v="126690978.86147915"/>
    <n v="2188.2258000000002"/>
    <m/>
    <n v="6.4350351691246033E-2"/>
    <n v="0"/>
    <n v="0"/>
    <m/>
    <n v="57896.666267932284"/>
    <n v="6.4350351691246033E-2"/>
    <n v="0"/>
    <n v="0"/>
    <m/>
    <s v="Hedge Fund"/>
    <n v="7.8489727967604894E-2"/>
    <n v="1.1149664699999999"/>
    <n v="0"/>
    <n v="0"/>
    <m/>
    <m/>
    <m/>
    <m/>
    <m/>
    <m/>
    <m/>
    <m/>
  </r>
  <r>
    <x v="148"/>
    <x v="15"/>
    <s v="NA"/>
    <n v="124642338.01894009"/>
    <n v="2152.8413999999998"/>
    <m/>
    <n v="0"/>
    <n v="-2.0446480065584183"/>
    <n v="0"/>
    <m/>
    <n v="57896.665318188374"/>
    <n v="-2.0446480065584183"/>
    <n v="0"/>
    <n v="0"/>
    <m/>
    <s v="Hedge Fund"/>
    <n v="9.0772724108601502E-2"/>
    <n v="0.75344115"/>
    <n v="0"/>
    <n v="0"/>
    <m/>
    <m/>
    <m/>
    <m/>
    <m/>
    <m/>
    <m/>
    <m/>
  </r>
  <r>
    <x v="149"/>
    <x v="15"/>
    <s v="NA"/>
    <n v="121467272.88111438"/>
    <n v="2098.0011"/>
    <m/>
    <n v="5.357223317027092"/>
    <n v="0"/>
    <n v="0"/>
    <m/>
    <n v="57896.667871677659"/>
    <n v="5.357223317027092"/>
    <n v="0"/>
    <n v="0"/>
    <m/>
    <s v="Hedge Fund"/>
    <n v="8.0056420730929292E-2"/>
    <n v="0.19313543"/>
    <n v="0"/>
    <n v="0"/>
    <m/>
    <m/>
    <m/>
    <m/>
    <m/>
    <m/>
    <m/>
    <m/>
  </r>
  <r>
    <x v="1"/>
    <x v="15"/>
    <s v="NA"/>
    <n v="120920211.13337706"/>
    <n v="2088.5522000000001"/>
    <m/>
    <n v="0"/>
    <n v="-1.9226846396923065"/>
    <n v="0"/>
    <m/>
    <n v="57896.666951095147"/>
    <n v="-1.9226846396923065"/>
    <n v="0"/>
    <n v="0"/>
    <m/>
    <s v="Hedge Fund"/>
    <n v="8.2289416122947337E-2"/>
    <n v="9.6595089999999995E-2"/>
    <n v="0"/>
    <n v="0"/>
    <m/>
    <m/>
    <m/>
    <m/>
    <m/>
    <m/>
    <m/>
    <m/>
  </r>
  <r>
    <x v="2"/>
    <x v="15"/>
    <s v="NA"/>
    <n v="122750712.71748152"/>
    <n v="2120.1690000000008"/>
    <m/>
    <n v="0"/>
    <n v="-5.7555549740791321"/>
    <n v="0"/>
    <m/>
    <n v="57896.664236427139"/>
    <n v="-5.7555549740791321"/>
    <n v="0"/>
    <n v="0"/>
    <m/>
    <s v="Hedge Fund"/>
    <n v="8.3753782066029209E-2"/>
    <n v="0.41962548999999999"/>
    <n v="0"/>
    <n v="0"/>
    <m/>
    <m/>
    <m/>
    <m/>
    <m/>
    <m/>
    <m/>
    <m/>
  </r>
  <r>
    <x v="3"/>
    <x v="15"/>
    <s v="NA"/>
    <n v="121394588.26288603"/>
    <n v="2096.7456999999999"/>
    <m/>
    <n v="6.4808136522769928"/>
    <n v="0"/>
    <n v="0"/>
    <m/>
    <n v="57896.667327318726"/>
    <n v="6.4808136522769928"/>
    <n v="0"/>
    <n v="0"/>
    <m/>
    <s v="Hedge Fund"/>
    <n v="8.0000151950221685E-2"/>
    <n v="0.18030932"/>
    <n v="0"/>
    <n v="0"/>
    <m/>
    <m/>
    <m/>
    <m/>
    <m/>
    <m/>
    <m/>
    <m/>
  </r>
  <r>
    <x v="4"/>
    <x v="15"/>
    <s v="NA"/>
    <n v="122373903.61101939"/>
    <n v="2113.6606000000002"/>
    <m/>
    <n v="0"/>
    <n v="-0.99004150927066803"/>
    <n v="0"/>
    <m/>
    <n v="57896.666858917357"/>
    <n v="-0.99004150927066803"/>
    <n v="0"/>
    <n v="0"/>
    <m/>
    <s v="Hedge Fund"/>
    <n v="8.6146525819238762E-2"/>
    <n v="0.35312915"/>
    <n v="0"/>
    <n v="0"/>
    <m/>
    <m/>
    <m/>
    <m/>
    <m/>
    <m/>
    <m/>
    <m/>
  </r>
  <r>
    <x v="5"/>
    <x v="15"/>
    <s v="NA"/>
    <n v="123348933.43208557"/>
    <n v="2130.5014999999999"/>
    <m/>
    <n v="0"/>
    <n v="-2.1558381319046021"/>
    <n v="0"/>
    <m/>
    <n v="57896.665847025019"/>
    <n v="-2.1558381319046021"/>
    <n v="0"/>
    <n v="0"/>
    <m/>
    <s v="Hedge Fund"/>
    <n v="8.1280747760225591E-2"/>
    <n v="0.17206426"/>
    <n v="0"/>
    <n v="0"/>
    <m/>
    <m/>
    <m/>
    <m/>
    <m/>
    <m/>
    <m/>
    <m/>
  </r>
  <r>
    <x v="6"/>
    <x v="15"/>
    <s v="NA"/>
    <n v="122559881.30965824"/>
    <n v="2116.8728000000001"/>
    <m/>
    <n v="4.1674020141363144"/>
    <n v="0"/>
    <n v="0"/>
    <m/>
    <n v="57896.667815684646"/>
    <n v="4.1674020141363144"/>
    <n v="0"/>
    <n v="0"/>
    <m/>
    <s v="Hedge Fund"/>
    <n v="7.797893532094341E-2"/>
    <n v="3.2819589999999996E-2"/>
    <n v="0"/>
    <n v="0"/>
    <m/>
    <m/>
    <m/>
    <m/>
    <m/>
    <m/>
    <m/>
    <m/>
  </r>
  <r>
    <x v="7"/>
    <x v="15"/>
    <s v="NA"/>
    <n v="122156170.99987981"/>
    <n v="2109.8998999999999"/>
    <m/>
    <n v="0"/>
    <n v="-2.6347664445638657"/>
    <n v="0"/>
    <m/>
    <n v="57896.666566920925"/>
    <n v="-2.6347664445638657"/>
    <n v="0"/>
    <n v="0"/>
    <m/>
    <s v="Hedge Fund"/>
    <n v="8.3064165227103998E-2"/>
    <n v="0"/>
    <n v="0"/>
    <n v="0"/>
    <m/>
    <m/>
    <m/>
    <m/>
    <m/>
    <m/>
    <m/>
    <m/>
  </r>
  <r>
    <x v="8"/>
    <x v="15"/>
    <s v="NA"/>
    <n v="125717462.65811197"/>
    <n v="2171.4110000000001"/>
    <m/>
    <n v="4.0113676339387894"/>
    <n v="0"/>
    <n v="0"/>
    <m/>
    <n v="57896.668414276231"/>
    <n v="4.0113676339387894"/>
    <n v="0"/>
    <n v="0"/>
    <m/>
    <s v="Hedge Fund"/>
    <n v="8.3114355706635307E-2"/>
    <n v="0.59003969000000001"/>
    <n v="0"/>
    <n v="0"/>
    <m/>
    <m/>
    <m/>
    <m/>
    <m/>
    <m/>
    <m/>
    <m/>
  </r>
  <r>
    <x v="9"/>
    <x v="15"/>
    <s v="NA"/>
    <n v="122579795.1965078"/>
    <n v="2117.2168000000001"/>
    <m/>
    <n v="0"/>
    <n v="-3.8342272043228149"/>
    <n v="0"/>
    <m/>
    <n v="57896.66660330099"/>
    <n v="-3.8342272043228149"/>
    <n v="0"/>
    <n v="0"/>
    <m/>
    <s v="Hedge Fund"/>
    <n v="8.0685315958263989E-2"/>
    <n v="3.6334209999999999E-2"/>
    <n v="0"/>
    <n v="0"/>
    <m/>
    <m/>
    <m/>
    <m/>
    <m/>
    <m/>
    <m/>
    <m/>
  </r>
  <r>
    <x v="10"/>
    <x v="15"/>
    <s v="NA"/>
    <n v="119781084.55260624"/>
    <n v="2068.8771000000002"/>
    <m/>
    <n v="0"/>
    <n v="-3.1492979675531387"/>
    <n v="0"/>
    <m/>
    <n v="57896.665081075247"/>
    <n v="-3.1492979675531387"/>
    <n v="0"/>
    <n v="0"/>
    <m/>
    <s v="Hedge Fund"/>
    <n v="8.14491459327846E-2"/>
    <n v="0"/>
    <n v="0"/>
    <n v="0"/>
    <m/>
    <m/>
    <m/>
    <m/>
    <m/>
    <m/>
    <m/>
    <m/>
  </r>
  <r>
    <x v="11"/>
    <x v="15"/>
    <s v="NA"/>
    <n v="116126136.83612441"/>
    <n v="2005.7483"/>
    <m/>
    <n v="0"/>
    <n v="-0.72591163218021393"/>
    <n v="0"/>
    <m/>
    <n v="57896.664719159628"/>
    <n v="-0.72591163218021393"/>
    <n v="0"/>
    <n v="0"/>
    <m/>
    <s v="Hedge Fund"/>
    <n v="7.8963842574852602E-2"/>
    <n v="0"/>
    <n v="0"/>
    <n v="0"/>
    <m/>
    <m/>
    <m/>
    <m/>
    <m/>
    <m/>
    <m/>
    <m/>
  </r>
  <r>
    <x v="12"/>
    <x v="15"/>
    <s v="NA"/>
    <n v="110904050.70862301"/>
    <n v="2001.7398000000001"/>
    <m/>
    <n v="0"/>
    <n v="-4990007.3469746411"/>
    <n v="0"/>
    <m/>
    <n v="55403.829562974672"/>
    <n v="-4990007.3469746411"/>
    <n v="0"/>
    <n v="0"/>
    <m/>
    <s v="Hedge Fund"/>
    <n v="7.0544002477428494E-2"/>
    <n v="0"/>
    <n v="0"/>
    <n v="0"/>
    <m/>
    <m/>
    <m/>
    <m/>
    <m/>
    <m/>
    <m/>
    <m/>
  </r>
  <r>
    <x v="13"/>
    <x v="15"/>
    <s v="NA"/>
    <n v="107843228.69521548"/>
    <n v="1946.4940999999999"/>
    <m/>
    <n v="1.3334797024726868"/>
    <n v="0"/>
    <n v="0"/>
    <m/>
    <n v="55403.830248042097"/>
    <n v="1.3334797024726868"/>
    <n v="0"/>
    <n v="0"/>
    <m/>
    <s v="Hedge Fund"/>
    <n v="7.5699048771543903E-2"/>
    <n v="0"/>
    <n v="0"/>
    <n v="0"/>
    <m/>
    <m/>
    <m/>
    <m/>
    <m/>
    <m/>
    <m/>
    <m/>
  </r>
  <r>
    <x v="150"/>
    <x v="15"/>
    <s v="NA"/>
    <n v="102714681.64907247"/>
    <n v="1944.0610999999997"/>
    <m/>
    <n v="0"/>
    <n v="-4993749.5271494985"/>
    <n v="0"/>
    <m/>
    <n v="52835.109785938563"/>
    <n v="-4993749.5271494985"/>
    <n v="0"/>
    <n v="0"/>
    <m/>
    <s v="Hedge Fund"/>
    <n v="6.9844275716175894E-2"/>
    <n v="0"/>
    <n v="0"/>
    <n v="0"/>
    <m/>
    <m/>
    <m/>
    <m/>
    <m/>
    <m/>
    <m/>
    <m/>
  </r>
  <r>
    <x v="151"/>
    <x v="15"/>
    <s v="NA"/>
    <n v="98615730.848852426"/>
    <n v="1866.481"/>
    <m/>
    <n v="2.3004840314388275"/>
    <n v="0"/>
    <n v="0"/>
    <m/>
    <n v="52835.111018463314"/>
    <n v="2.3004840314388275"/>
    <n v="0"/>
    <n v="0"/>
    <m/>
    <s v="Hedge Fund"/>
    <n v="6.0563082338611997E-2"/>
    <n v="0"/>
    <n v="0"/>
    <n v="0"/>
    <m/>
    <m/>
    <m/>
    <m/>
    <m/>
    <m/>
    <m/>
    <m/>
  </r>
  <r>
    <x v="152"/>
    <x v="15"/>
    <s v="NA"/>
    <n v="94474764.687180534"/>
    <n v="1788.1058"/>
    <m/>
    <n v="0"/>
    <n v="-3.7685776352882385"/>
    <n v="0"/>
    <m/>
    <n v="52835.108910882416"/>
    <n v="-3.7685776352882385"/>
    <n v="0"/>
    <n v="0"/>
    <m/>
    <s v="Hedge Fund"/>
    <n v="6.8389318158489296E-2"/>
    <n v="0"/>
    <n v="0"/>
    <n v="0"/>
    <m/>
    <m/>
    <m/>
    <m/>
    <m/>
    <m/>
    <m/>
    <m/>
  </r>
  <r>
    <x v="153"/>
    <x v="15"/>
    <s v="NA"/>
    <n v="91526561.361671776"/>
    <n v="1829.1098"/>
    <m/>
    <n v="0"/>
    <n v="-5114654.1312905699"/>
    <n v="0"/>
    <m/>
    <n v="50038.855710942982"/>
    <n v="-5114654.1312905699"/>
    <n v="0"/>
    <n v="0"/>
    <m/>
    <s v="Hedge Fund"/>
    <n v="6.0227390777985598E-2"/>
    <n v="0"/>
    <n v="0"/>
    <n v="0"/>
    <m/>
    <m/>
    <m/>
    <m/>
    <m/>
    <m/>
    <m/>
    <m/>
  </r>
  <r>
    <x v="154"/>
    <x v="15"/>
    <s v="NA"/>
    <n v="91224092.17975013"/>
    <n v="1823.0652"/>
    <m/>
    <n v="0"/>
    <n v="-4.3146912753582001"/>
    <n v="0"/>
    <m/>
    <n v="50038.853344219468"/>
    <n v="-4.3146912753582001"/>
    <n v="0"/>
    <n v="0"/>
    <m/>
    <s v="Hedge Fund"/>
    <n v="5.6023639570129603E-2"/>
    <n v="0"/>
    <n v="0"/>
    <n v="0"/>
    <m/>
    <m/>
    <m/>
    <m/>
    <m/>
    <m/>
    <m/>
    <m/>
  </r>
  <r>
    <x v="155"/>
    <x v="15"/>
    <s v="NA"/>
    <n v="85851590.800057724"/>
    <n v="1715.6985999999999"/>
    <m/>
    <n v="0.17177507281303406"/>
    <n v="0"/>
    <n v="0"/>
    <m/>
    <n v="50038.853444339074"/>
    <n v="0.17177507281303406"/>
    <n v="0"/>
    <n v="0"/>
    <m/>
    <s v="Hedge Fund"/>
    <n v="6.0262324899904997E-2"/>
    <n v="0"/>
    <n v="0"/>
    <n v="0"/>
    <m/>
    <m/>
    <m/>
    <m/>
    <m/>
    <m/>
    <m/>
    <m/>
  </r>
  <r>
    <x v="156"/>
    <x v="15"/>
    <s v="NA"/>
    <n v="83991517.084733859"/>
    <n v="1678.5260000000001"/>
    <m/>
    <n v="0.56822116672992706"/>
    <n v="0"/>
    <n v="0"/>
    <m/>
    <n v="50038.853782862971"/>
    <n v="0.56822116672992706"/>
    <n v="0"/>
    <n v="0"/>
    <m/>
    <s v="Hedge Fund"/>
    <n v="5.5269091752492602E-2"/>
    <n v="0"/>
    <n v="0"/>
    <n v="0"/>
    <m/>
    <m/>
    <m/>
    <m/>
    <m/>
    <m/>
    <m/>
    <m/>
  </r>
  <r>
    <x v="157"/>
    <x v="15"/>
    <s v="NA"/>
    <n v="79740760.0835087"/>
    <n v="1593.5768"/>
    <m/>
    <n v="3.5965460240840912"/>
    <n v="0"/>
    <n v="-5000000"/>
    <m/>
    <n v="50038.856039764571"/>
    <n v="-4999996.4034539759"/>
    <n v="-99.922348265248729"/>
    <n v="-99.922348265248729"/>
    <m/>
    <s v="Hedge Fund"/>
    <n v="5.0721614399605E-2"/>
    <n v="0"/>
    <n v="0"/>
    <n v="0"/>
    <m/>
    <m/>
    <m/>
    <m/>
    <m/>
    <m/>
    <m/>
    <m/>
  </r>
  <r>
    <x v="158"/>
    <x v="15"/>
    <s v="NA"/>
    <n v="76491035.622110069"/>
    <n v="1528.6327999999999"/>
    <m/>
    <n v="0"/>
    <n v="-0.99475215375423431"/>
    <n v="0"/>
    <m/>
    <n v="50038.855389018259"/>
    <n v="-0.99475215375423431"/>
    <n v="0"/>
    <n v="0"/>
    <m/>
    <s v="Hedge Fund"/>
    <n v="5.3691815718706203E-2"/>
    <n v="0"/>
    <n v="0"/>
    <n v="0"/>
    <m/>
    <m/>
    <m/>
    <m/>
    <m/>
    <m/>
    <m/>
    <m/>
  </r>
  <r>
    <x v="159"/>
    <x v="15"/>
    <s v="NA"/>
    <n v="72146129.890763551"/>
    <n v="1441.8022000000001"/>
    <m/>
    <n v="0"/>
    <n v="-1.8946048319339752"/>
    <n v="0"/>
    <m/>
    <n v="50038.854074965027"/>
    <n v="-1.8946048319339752"/>
    <n v="0"/>
    <n v="0"/>
    <m/>
    <s v="Hedge Fund"/>
    <n v="4.9058168978361599E-2"/>
    <n v="0"/>
    <n v="0"/>
    <n v="0"/>
    <m/>
    <m/>
    <m/>
    <m/>
    <m/>
    <m/>
    <m/>
    <m/>
  </r>
  <r>
    <x v="160"/>
    <x v="15"/>
    <s v="NA"/>
    <n v="63798897.999580681"/>
    <n v="1274.9872"/>
    <m/>
    <n v="0"/>
    <n v="-0.44866757094860077"/>
    <n v="-4999999.7685099747"/>
    <m/>
    <n v="50038.85372306536"/>
    <n v="-5000000.2171775457"/>
    <n v="-99.922348265248729"/>
    <n v="-99.922348265248729"/>
    <m/>
    <s v="Hedge Fund"/>
    <n v="4.3382191024372997E-2"/>
    <n v="0"/>
    <n v="0"/>
    <n v="0"/>
    <m/>
    <m/>
    <m/>
    <m/>
    <m/>
    <m/>
    <m/>
    <m/>
  </r>
  <r>
    <x v="161"/>
    <x v="15"/>
    <s v="NA"/>
    <n v="66392707.737291358"/>
    <n v="1326.8231000000001"/>
    <m/>
    <n v="0.72000723332166672"/>
    <n v="0"/>
    <n v="0"/>
    <m/>
    <n v="50038.854265720394"/>
    <n v="0.72000723332166672"/>
    <n v="0"/>
    <n v="0"/>
    <m/>
    <s v="Hedge Fund"/>
    <n v="4.36885145418177E-2"/>
    <n v="0"/>
    <n v="0"/>
    <n v="0"/>
    <m/>
    <m/>
    <m/>
    <m/>
    <m/>
    <m/>
    <m/>
    <m/>
  </r>
  <r>
    <x v="162"/>
    <x v="15"/>
    <s v="NA"/>
    <n v="60699761.078674696"/>
    <n v="1213.0526"/>
    <m/>
    <n v="0"/>
    <n v="-1.1893785148859024"/>
    <n v="-8000001.7000598162"/>
    <m/>
    <n v="50038.853285236517"/>
    <n v="-8000002.8894383311"/>
    <n v="-159.8758"/>
    <n v="-159.8758"/>
    <m/>
    <s v="Hedge Fund"/>
    <n v="3.9942375011465997E-2"/>
    <n v="0"/>
    <n v="0"/>
    <n v="0"/>
    <m/>
    <m/>
    <m/>
    <m/>
    <m/>
    <m/>
    <m/>
    <m/>
  </r>
  <r>
    <x v="163"/>
    <x v="15"/>
    <s v="NA"/>
    <n v="59083182.035678342"/>
    <n v="1180.7461000000001"/>
    <m/>
    <n v="1.170663133263588"/>
    <n v="0"/>
    <n v="0"/>
    <m/>
    <n v="50038.854276697028"/>
    <n v="1.170663133263588"/>
    <n v="0"/>
    <n v="0"/>
    <m/>
    <s v="Hedge Fund"/>
    <n v="4.0175582528069097E-2"/>
    <n v="0"/>
    <n v="0"/>
    <n v="0"/>
    <m/>
    <m/>
    <m/>
    <m/>
    <m/>
    <m/>
    <m/>
    <m/>
  </r>
  <r>
    <x v="164"/>
    <x v="15"/>
    <s v="NA"/>
    <n v="58532501.923675448"/>
    <n v="1169.741"/>
    <m/>
    <n v="2.4831975921988487"/>
    <n v="0"/>
    <n v="0"/>
    <m/>
    <n v="50038.856399558063"/>
    <n v="2.4831975921988487"/>
    <n v="0"/>
    <n v="0"/>
    <m/>
    <s v="Hedge Fund"/>
    <n v="3.9801128004324199E-2"/>
    <n v="0"/>
    <n v="0"/>
    <n v="0"/>
    <m/>
    <m/>
    <m/>
    <m/>
    <m/>
    <m/>
    <m/>
    <m/>
  </r>
  <r>
    <x v="165"/>
    <x v="15"/>
    <s v="NA"/>
    <n v="54823626.126298875"/>
    <n v="1095.6211000000001"/>
    <m/>
    <n v="0"/>
    <n v="-0.7649269700050354"/>
    <n v="0"/>
    <m/>
    <n v="50038.855701390625"/>
    <n v="-0.7649269700050354"/>
    <n v="0"/>
    <n v="0"/>
    <m/>
    <s v="Hedge Fund"/>
    <n v="3.4776939451439899E-2"/>
    <n v="0"/>
    <n v="0"/>
    <n v="0"/>
    <m/>
    <m/>
    <m/>
    <m/>
    <m/>
    <m/>
    <m/>
    <m/>
  </r>
  <r>
    <x v="166"/>
    <x v="15"/>
    <s v="NA"/>
    <n v="55962519.612347901"/>
    <n v="1118.3813"/>
    <m/>
    <n v="0"/>
    <n v="-0.87748575955629349"/>
    <n v="0"/>
    <m/>
    <n v="50038.854916787241"/>
    <n v="-0.87748575955629349"/>
    <n v="0"/>
    <n v="0"/>
    <m/>
    <s v="Hedge Fund"/>
    <n v="3.7949530733845799E-2"/>
    <n v="0"/>
    <n v="0"/>
    <n v="0"/>
    <m/>
    <m/>
    <m/>
    <m/>
    <m/>
    <m/>
    <m/>
    <m/>
  </r>
  <r>
    <x v="167"/>
    <x v="15"/>
    <s v="NA"/>
    <n v="59250891.208987646"/>
    <n v="1184.0977"/>
    <m/>
    <n v="0"/>
    <n v="-1.8086138218641281"/>
    <n v="0"/>
    <m/>
    <n v="50038.853389367825"/>
    <n v="-1.8086138218641281"/>
    <n v="0"/>
    <n v="0"/>
    <m/>
    <s v="Hedge Fund"/>
    <n v="4.0179454098737397E-2"/>
    <n v="0"/>
    <n v="0"/>
    <n v="0"/>
    <m/>
    <m/>
    <m/>
    <m/>
    <m/>
    <m/>
    <m/>
    <m/>
  </r>
  <r>
    <x v="168"/>
    <x v="15"/>
    <s v="NA"/>
    <n v="58879114.100439511"/>
    <n v="1176.6678999999999"/>
    <m/>
    <n v="1.5643641948699951"/>
    <n v="0"/>
    <n v="0"/>
    <m/>
    <n v="50038.854718854411"/>
    <n v="1.5643641948699951"/>
    <n v="0"/>
    <n v="0"/>
    <m/>
    <s v="Hedge Fund"/>
    <n v="3.7349506337685398E-2"/>
    <n v="0"/>
    <n v="0"/>
    <n v="0"/>
    <m/>
    <m/>
    <m/>
    <m/>
    <m/>
    <m/>
    <m/>
    <m/>
  </r>
  <r>
    <x v="169"/>
    <x v="15"/>
    <s v="NA"/>
    <n v="59265313.027914785"/>
    <n v="1184.3859"/>
    <m/>
    <n v="0"/>
    <n v="-0.95324484258890152"/>
    <n v="0"/>
    <m/>
    <n v="50038.853914011292"/>
    <n v="-0.95324484258890152"/>
    <n v="0"/>
    <n v="0"/>
    <m/>
    <s v="Hedge Fund"/>
    <n v="4.1486704428770498E-2"/>
    <n v="0"/>
    <n v="0"/>
    <n v="0"/>
    <m/>
    <m/>
    <m/>
    <m/>
    <m/>
    <m/>
    <m/>
    <m/>
  </r>
  <r>
    <x v="170"/>
    <x v="15"/>
    <s v="NA"/>
    <n v="50966114.59724196"/>
    <n v="1018.5308"/>
    <m/>
    <n v="0.68912091106176376"/>
    <n v="0"/>
    <n v="-9000003.3983207159"/>
    <m/>
    <n v="50038.854590594572"/>
    <n v="-9000002.7091998048"/>
    <n v="-179.86029999999997"/>
    <n v="-179.86029999999997"/>
    <m/>
    <s v="Hedge Fund"/>
    <n v="3.3445620000000002E-2"/>
    <n v="0"/>
    <n v="0"/>
    <n v="0"/>
    <m/>
    <m/>
    <m/>
    <m/>
    <m/>
    <m/>
    <m/>
    <m/>
  </r>
  <r>
    <x v="171"/>
    <x v="15"/>
    <s v="NA"/>
    <n v="51150445.813132003"/>
    <n v="1022.2146"/>
    <m/>
    <n v="0"/>
    <n v="-1.9166507944464684"/>
    <n v="0"/>
    <m/>
    <n v="50038.85271559612"/>
    <n v="-1.9166507944464684"/>
    <n v="0"/>
    <n v="0"/>
    <m/>
    <s v="Hedge Fund"/>
    <n v="3.2446885950322843E-2"/>
    <n v="0"/>
    <n v="0"/>
    <n v="0"/>
    <m/>
    <m/>
    <m/>
    <m/>
    <m/>
    <m/>
    <m/>
    <m/>
  </r>
  <r>
    <x v="172"/>
    <x v="15"/>
    <s v="NA"/>
    <n v="51397715.603005096"/>
    <n v="1027.1560999999999"/>
    <m/>
    <n v="2.7991789802908897"/>
    <n v="0"/>
    <n v="0"/>
    <m/>
    <n v="50038.855440770007"/>
    <n v="2.7991789802908897"/>
    <n v="0"/>
    <n v="0"/>
    <m/>
    <s v="Hedge Fund"/>
    <n v="3.71045405948578E-2"/>
    <n v="0"/>
    <n v="0"/>
    <n v="0"/>
    <m/>
    <m/>
    <m/>
    <m/>
    <m/>
    <m/>
    <m/>
    <m/>
  </r>
  <r>
    <x v="173"/>
    <x v="15"/>
    <s v="NA"/>
    <n v="52478673.193884797"/>
    <n v="1048.7584999999999"/>
    <m/>
    <n v="0"/>
    <n v="-1.7798939868807793"/>
    <n v="0"/>
    <m/>
    <n v="50038.853743626205"/>
    <n v="-1.7798939868807793"/>
    <n v="0"/>
    <n v="0"/>
    <m/>
    <s v="Hedge Fund"/>
    <n v="3.4438209999999997E-2"/>
    <n v="0"/>
    <n v="0"/>
    <n v="0"/>
    <m/>
    <m/>
    <m/>
    <m/>
    <m/>
    <m/>
    <m/>
    <m/>
  </r>
  <r>
    <x v="174"/>
    <x v="15"/>
    <s v="NA"/>
    <n v="53029646.579744205"/>
    <n v="1059.7693999999999"/>
    <m/>
    <n v="0.57117371261119843"/>
    <n v="0"/>
    <n v="0"/>
    <m/>
    <n v="50038.854282586581"/>
    <n v="0.57117371261119843"/>
    <n v="0"/>
    <n v="0"/>
    <m/>
    <s v="Hedge Fund"/>
    <n v="3.5960678517184874E-2"/>
    <n v="0"/>
    <n v="0"/>
    <n v="0"/>
    <m/>
    <m/>
    <m/>
    <m/>
    <m/>
    <m/>
    <m/>
    <m/>
  </r>
  <r>
    <x v="175"/>
    <x v="15"/>
    <s v="NA"/>
    <n v="48683225.941388197"/>
    <n v="972.90850000000012"/>
    <m/>
    <n v="0"/>
    <n v="-0.72040169686079025"/>
    <n v="-5000002.3391775973"/>
    <m/>
    <n v="50038.853542124663"/>
    <n v="-5000003.0595792942"/>
    <n v="-99.922399999999996"/>
    <n v="-99.922399999999996"/>
    <m/>
    <s v="Hedge Fund"/>
    <n v="3.5960678517184902E-2"/>
    <n v="0"/>
    <n v="0"/>
    <n v="0"/>
    <m/>
    <m/>
    <m/>
    <m/>
    <m/>
    <m/>
    <m/>
    <m/>
  </r>
  <r>
    <x v="176"/>
    <x v="15"/>
    <s v="NA"/>
    <n v="46799358.9920367"/>
    <n v="935.2604"/>
    <m/>
    <n v="0.81268776953220367"/>
    <n v="0"/>
    <n v="-2501942.7205533721"/>
    <m/>
    <n v="50038.854411067441"/>
    <n v="-2501941.9078656025"/>
    <n v="-50"/>
    <n v="-50"/>
    <m/>
    <s v="Hedge Fund"/>
    <n v="3.0711263570585498E-2"/>
    <n v="0"/>
    <n v="0"/>
    <n v="0"/>
    <m/>
    <m/>
    <m/>
    <m/>
    <m/>
    <m/>
    <m/>
    <m/>
  </r>
  <r>
    <x v="177"/>
    <x v="15"/>
    <s v="NA"/>
    <n v="47697202.9374841"/>
    <n v="953.20330000000001"/>
    <m/>
    <n v="1.7846350595355034"/>
    <n v="0"/>
    <n v="0"/>
    <m/>
    <n v="50038.856283317633"/>
    <n v="1.7846350595355034"/>
    <n v="0"/>
    <n v="0"/>
    <m/>
    <s v="Hedge Fund"/>
    <n v="2.92923813025204E-2"/>
    <n v="0"/>
    <n v="0"/>
    <n v="0"/>
    <m/>
    <m/>
    <m/>
    <m/>
    <m/>
    <m/>
    <m/>
    <m/>
  </r>
  <r>
    <x v="178"/>
    <x v="15"/>
    <s v="NA"/>
    <n v="52385174.57618285"/>
    <n v="1046.8900000000001"/>
    <m/>
    <n v="0"/>
    <n v="-3.678259551525116"/>
    <n v="0"/>
    <m/>
    <n v="50038.85276980661"/>
    <n v="-3.678259551525116"/>
    <n v="0"/>
    <n v="0"/>
    <m/>
    <s v="Hedge Fund"/>
    <n v="3.6771041331700997E-2"/>
    <n v="0"/>
    <n v="0"/>
    <n v="0"/>
    <m/>
    <m/>
    <m/>
    <m/>
    <m/>
    <m/>
    <m/>
    <m/>
  </r>
  <r>
    <x v="179"/>
    <x v="15"/>
    <s v="NA"/>
    <n v="55261929.882489793"/>
    <n v="1104.3804"/>
    <m/>
    <n v="1.6450296640396118"/>
    <n v="0"/>
    <n v="0"/>
    <m/>
    <n v="50038.854259356463"/>
    <n v="1.6450296640396118"/>
    <n v="0"/>
    <n v="0"/>
    <m/>
    <s v="Hedge Fund"/>
    <n v="3.75771934971037E-2"/>
    <n v="0"/>
    <n v="0"/>
    <n v="0"/>
    <m/>
    <m/>
    <m/>
    <m/>
    <m/>
    <m/>
    <m/>
    <m/>
  </r>
  <r>
    <x v="180"/>
    <x v="15"/>
    <s v="NA"/>
    <n v="54478214.1233273"/>
    <n v="1088.7182"/>
    <m/>
    <n v="2.7840183973312378"/>
    <n v="0"/>
    <n v="0"/>
    <m/>
    <n v="50038.856816508895"/>
    <n v="2.7840183973312378"/>
    <n v="0"/>
    <n v="0"/>
    <m/>
    <s v="Hedge Fund"/>
    <n v="3.3456817999999999E-2"/>
    <n v="0"/>
    <n v="0"/>
    <n v="0"/>
    <m/>
    <m/>
    <m/>
    <m/>
    <m/>
    <m/>
    <m/>
    <m/>
  </r>
  <r>
    <x v="181"/>
    <x v="15"/>
    <s v="NA"/>
    <n v="52826456.611245103"/>
    <n v="1055.7086999999999"/>
    <m/>
    <n v="0.13200236111879349"/>
    <n v="0"/>
    <n v="0"/>
    <m/>
    <n v="50038.856941545622"/>
    <n v="0.13200236111879349"/>
    <n v="0"/>
    <n v="0"/>
    <m/>
    <s v="Hedge Fund"/>
    <n v="3.8240534470668497E-2"/>
    <n v="0"/>
    <n v="0"/>
    <n v="0"/>
    <m/>
    <m/>
    <m/>
    <m/>
    <m/>
    <m/>
    <m/>
    <m/>
  </r>
  <r>
    <x v="182"/>
    <x v="15"/>
    <s v="NA"/>
    <n v="52909784.242713489"/>
    <n v="1057.374"/>
    <m/>
    <n v="0"/>
    <n v="-2.0769963711500168"/>
    <n v="0"/>
    <m/>
    <n v="50038.854977248819"/>
    <n v="-2.0769963711500168"/>
    <n v="0"/>
    <n v="0"/>
    <m/>
    <s v="Hedge Fund"/>
    <n v="3.4816321981145301E-2"/>
    <n v="0"/>
    <n v="0"/>
    <n v="0"/>
    <m/>
    <m/>
    <m/>
    <m/>
    <m/>
    <m/>
    <m/>
    <m/>
  </r>
  <r>
    <x v="183"/>
    <x v="15"/>
    <s v="NA"/>
    <n v="53972888.810000002"/>
    <n v="1078.6196"/>
    <m/>
    <n v="0"/>
    <n v="-0.93001812696456909"/>
    <n v="0"/>
    <m/>
    <n v="50038.854115018861"/>
    <n v="-0.93001812696456909"/>
    <n v="0"/>
    <n v="0"/>
    <m/>
    <s v="Hedge Fund"/>
    <n v="3.6700666999999999E-2"/>
    <n v="0"/>
    <n v="0"/>
    <n v="0"/>
    <m/>
    <m/>
    <m/>
    <m/>
    <m/>
    <m/>
    <m/>
    <m/>
  </r>
  <r>
    <x v="184"/>
    <x v="15"/>
    <s v="NA"/>
    <n v="54809300"/>
    <n v="1095.335"/>
    <m/>
    <n v="0"/>
    <n v="-8.2720741853117943"/>
    <n v="0"/>
    <m/>
    <n v="50038.846562923674"/>
    <n v="-8.2720741853117943"/>
    <n v="0"/>
    <n v="0"/>
    <m/>
    <s v="Hedge Fund"/>
    <n v="3.73E-2"/>
    <n v="0"/>
    <n v="0"/>
    <n v="0"/>
    <m/>
    <m/>
    <m/>
    <m/>
    <m/>
    <m/>
    <m/>
    <m/>
  </r>
  <r>
    <x v="185"/>
    <x v="15"/>
    <s v="NA"/>
    <n v="53853700"/>
    <n v="1076.2379999999998"/>
    <m/>
    <n v="0"/>
    <n v="-8.1471878439188004"/>
    <n v="0"/>
    <m/>
    <n v="50038.838992862176"/>
    <n v="-8.1471878439188004"/>
    <n v="0"/>
    <n v="0"/>
    <m/>
    <s v="Hedge Fund"/>
    <n v="3.4299999999999997E-2"/>
    <n v="0"/>
    <n v="0"/>
    <n v="0"/>
    <m/>
    <m/>
    <m/>
    <m/>
    <m/>
    <m/>
    <m/>
    <m/>
  </r>
  <r>
    <x v="186"/>
    <x v="15"/>
    <s v="NA"/>
    <n v="55842400"/>
    <n v="1115.9811000000002"/>
    <m/>
    <n v="1.4180227667093277"/>
    <n v="0"/>
    <n v="0"/>
    <m/>
    <n v="50038.840263513419"/>
    <n v="1.4180227667093277"/>
    <n v="0"/>
    <n v="0"/>
    <m/>
    <s v="Hedge Fund"/>
    <n v="3.9199999999999999E-2"/>
    <n v="0"/>
    <n v="0"/>
    <n v="0"/>
    <m/>
    <m/>
    <m/>
    <m/>
    <m/>
    <m/>
    <m/>
    <m/>
  </r>
  <r>
    <x v="187"/>
    <x v="15"/>
    <s v="NA"/>
    <n v="54286200"/>
    <n v="1084.8819000000001"/>
    <m/>
    <n v="0"/>
    <n v="-32.098876945674419"/>
    <n v="0"/>
    <m/>
    <n v="50038.810676074507"/>
    <n v="-32.098876945674419"/>
    <n v="0"/>
    <n v="0"/>
    <m/>
    <s v="Hedge Fund"/>
    <n v="3.5700000000000003E-2"/>
    <n v="0"/>
    <n v="0"/>
    <n v="0"/>
    <m/>
    <m/>
    <m/>
    <m/>
    <m/>
    <m/>
    <m/>
    <m/>
  </r>
  <r>
    <x v="188"/>
    <x v="15"/>
    <s v="NA"/>
    <n v="52643700"/>
    <n v="1052.0561"/>
    <m/>
    <n v="63.991490691900253"/>
    <n v="0"/>
    <n v="0"/>
    <m/>
    <n v="50038.871501244088"/>
    <n v="63.991490691900253"/>
    <n v="0"/>
    <n v="0"/>
    <m/>
    <s v="Hedge Fund"/>
    <n v="3.34857E-2"/>
    <n v="0"/>
    <n v="0"/>
    <m/>
    <m/>
    <m/>
    <m/>
    <m/>
    <m/>
    <m/>
    <m/>
    <m/>
  </r>
  <r>
    <x v="189"/>
    <x v="15"/>
    <s v="NA"/>
    <n v="37863400"/>
    <n v="1135.0195000000001"/>
    <m/>
    <n v="0"/>
    <n v="-18931694.911906317"/>
    <n v="0"/>
    <m/>
    <n v="33359.250656045995"/>
    <n v="-18931694.911906317"/>
    <n v="0"/>
    <n v="0"/>
    <m/>
    <s v="Hedge Fund"/>
    <n v="2.74089E-2"/>
    <n v="0"/>
    <n v="0"/>
    <m/>
    <m/>
    <m/>
    <m/>
    <m/>
    <m/>
    <m/>
    <m/>
    <m/>
  </r>
  <r>
    <x v="190"/>
    <x v="15"/>
    <s v="NA"/>
    <n v="37010885.307930604"/>
    <n v="1109.4644000000001"/>
    <m/>
    <n v="0"/>
    <n v="-1.0135596767067909"/>
    <n v="0"/>
    <m/>
    <n v="33359.236499999999"/>
    <n v="-1.0135596767067909"/>
    <n v="0"/>
    <n v="0"/>
    <m/>
    <s v="Hedge Fund"/>
    <n v="2.2729599999999999E-2"/>
    <n v="0"/>
    <n v="0"/>
    <m/>
    <m/>
    <m/>
    <m/>
    <m/>
    <m/>
    <m/>
    <m/>
    <m/>
  </r>
  <r>
    <x v="191"/>
    <x v="15"/>
    <s v="NA"/>
    <n v="36398236.2577608"/>
    <n v="1091.0992000000001"/>
    <m/>
    <n v="0"/>
    <n v="0"/>
    <n v="0"/>
    <m/>
    <n v="33359.236499999999"/>
    <n v="0"/>
    <n v="0"/>
    <n v="0"/>
    <m/>
    <s v="Hedge Fund"/>
    <n v="2.3135317292604124E-2"/>
    <n v="0"/>
    <n v="0"/>
    <m/>
    <m/>
    <m/>
    <m/>
    <m/>
    <m/>
    <m/>
    <m/>
    <m/>
  </r>
  <r>
    <x v="192"/>
    <x v="15"/>
    <s v="NA"/>
    <n v="35777330.796557248"/>
    <n v="1072.4865"/>
    <m/>
    <n v="0"/>
    <n v="0"/>
    <n v="0"/>
    <m/>
    <n v="33359.236499999999"/>
    <n v="0"/>
    <n v="0"/>
    <n v="0"/>
    <m/>
    <s v="Hedge Fund"/>
    <n v="2.2740659574798032E-2"/>
    <n v="0"/>
    <n v="0"/>
    <m/>
    <m/>
    <m/>
    <m/>
    <m/>
    <m/>
    <m/>
    <m/>
    <m/>
  </r>
  <r>
    <x v="193"/>
    <x v="15"/>
    <s v="NA"/>
    <n v="34776520.342320748"/>
    <n v="1042.4855"/>
    <m/>
    <n v="0"/>
    <n v="0"/>
    <n v="0"/>
    <m/>
    <n v="33359.236499999999"/>
    <n v="0"/>
    <n v="0"/>
    <n v="0"/>
    <m/>
    <s v="Hedge Fund"/>
    <n v="2.2104527998406617E-2"/>
    <n v="0"/>
    <n v="0"/>
    <m/>
    <m/>
    <m/>
    <m/>
    <m/>
    <m/>
    <m/>
    <m/>
    <m/>
  </r>
  <r>
    <x v="194"/>
    <x v="15"/>
    <s v="NA"/>
    <n v="34020593.371383451"/>
    <n v="1019.8253"/>
    <m/>
    <n v="0"/>
    <n v="0"/>
    <n v="0"/>
    <m/>
    <n v="33359.236499999999"/>
    <n v="0"/>
    <n v="0"/>
    <n v="0"/>
    <m/>
    <s v="Hedge Fund"/>
    <n v="2.16399E-2"/>
    <n v="0"/>
    <n v="0"/>
    <m/>
    <m/>
    <m/>
    <m/>
    <m/>
    <m/>
    <m/>
    <m/>
    <m/>
  </r>
  <r>
    <x v="195"/>
    <x v="15"/>
    <s v="NA"/>
    <n v="33833481.413854949"/>
    <n v="1014.2163"/>
    <m/>
    <n v="0"/>
    <n v="0"/>
    <n v="0"/>
    <m/>
    <n v="33359.236499999999"/>
    <n v="0"/>
    <n v="0"/>
    <n v="0"/>
    <m/>
    <s v="Hedge Fund"/>
    <n v="2.16399E-2"/>
    <n v="0"/>
    <n v="0"/>
    <m/>
    <m/>
    <m/>
    <m/>
    <m/>
    <m/>
    <m/>
    <m/>
    <m/>
  </r>
  <r>
    <x v="196"/>
    <x v="15"/>
    <s v="NA"/>
    <n v="32791375.5607551"/>
    <n v="982.97739999999999"/>
    <m/>
    <n v="0"/>
    <n v="0"/>
    <n v="0"/>
    <m/>
    <n v="33359.236499999999"/>
    <n v="0"/>
    <n v="0"/>
    <n v="0"/>
    <m/>
    <s v="Hedge Fund"/>
    <n v="2.22975892783518E-2"/>
    <n v="0"/>
    <n v="0"/>
    <m/>
    <m/>
    <m/>
    <m/>
    <m/>
    <m/>
    <m/>
    <m/>
    <m/>
  </r>
  <r>
    <x v="197"/>
    <x v="15"/>
    <s v="NA"/>
    <n v="33486021.614241902"/>
    <n v="1003.8006"/>
    <n v="0"/>
    <n v="0"/>
    <n v="0"/>
    <n v="0"/>
    <m/>
    <n v="33359.236499999999"/>
    <n v="0"/>
    <n v="0"/>
    <n v="0"/>
    <m/>
    <s v="Hedge Fund"/>
    <n v="2.0564838776789957E-2"/>
    <n v="0"/>
    <m/>
    <m/>
    <m/>
    <m/>
    <m/>
    <m/>
    <m/>
    <m/>
    <m/>
    <m/>
  </r>
  <r>
    <x v="198"/>
    <x v="15"/>
    <s v="NA"/>
    <n v="32927014.216364101"/>
    <n v="987.04340000000002"/>
    <n v="0"/>
    <n v="0"/>
    <n v="0"/>
    <n v="0"/>
    <m/>
    <n v="33359.236499999999"/>
    <n v="0"/>
    <n v="0"/>
    <n v="-987.04340000000002"/>
    <m/>
    <s v="Hedge Fund"/>
    <n v="2.3835529686139518E-2"/>
    <n v="0"/>
    <m/>
    <m/>
    <m/>
    <m/>
    <m/>
    <m/>
    <m/>
    <m/>
    <m/>
    <m/>
  </r>
  <r>
    <x v="232"/>
    <x v="16"/>
    <s v="NA"/>
    <n v="13000000"/>
    <s v=""/>
    <m/>
    <n v="13000000"/>
    <n v="0"/>
    <n v="0"/>
    <m/>
    <m/>
    <n v="13000000"/>
    <s v=""/>
    <n v="13000000"/>
    <m/>
    <s v="Private Equity Fund"/>
    <n v="0"/>
    <n v="0"/>
    <n v="0"/>
    <n v="0"/>
    <m/>
    <m/>
    <m/>
    <m/>
    <m/>
    <m/>
    <m/>
    <m/>
  </r>
  <r>
    <x v="163"/>
    <x v="16"/>
    <s v="NA"/>
    <n v="13000000"/>
    <s v=""/>
    <m/>
    <n v="0"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4"/>
    <x v="16"/>
    <s v="NA"/>
    <n v="12997581.6932059"/>
    <s v=""/>
    <m/>
    <m/>
    <n v="0"/>
    <n v="0"/>
    <m/>
    <m/>
    <n v="0"/>
    <e v="#DIV/0!"/>
    <n v="0"/>
    <m/>
    <s v="Private Equity Fund"/>
    <n v="0"/>
    <n v="0"/>
    <n v="0"/>
    <n v="0"/>
    <m/>
    <m/>
    <m/>
    <m/>
    <m/>
    <m/>
    <m/>
    <m/>
  </r>
  <r>
    <x v="165"/>
    <x v="16"/>
    <s v="NA"/>
    <n v="14392118.5008907"/>
    <s v=""/>
    <m/>
    <n v="1180000"/>
    <n v="0"/>
    <n v="0"/>
    <m/>
    <m/>
    <n v="1180000"/>
    <e v="#DIV/0!"/>
    <n v="1180000"/>
    <m/>
    <s v="Private Equity Fund"/>
    <n v="1.2677595628415299E-3"/>
    <n v="1.4704518320512587E-2"/>
    <n v="0"/>
    <n v="0"/>
    <m/>
    <m/>
    <m/>
    <m/>
    <m/>
    <m/>
    <m/>
    <m/>
  </r>
  <r>
    <x v="166"/>
    <x v="16"/>
    <s v="NA"/>
    <n v="14624251.249622401"/>
    <s v=""/>
    <m/>
    <m/>
    <n v="-1.862645149230957E-9"/>
    <n v="0"/>
    <m/>
    <m/>
    <n v="-1.862645149230957E-9"/>
    <e v="#DIV/0!"/>
    <n v="-1.862645149230957E-9"/>
    <m/>
    <s v="Private Equity Fund"/>
    <n v="1.3551912568306014E-3"/>
    <n v="1.5844797893259675E-2"/>
    <n v="0"/>
    <n v="0"/>
    <m/>
    <m/>
    <m/>
    <m/>
    <m/>
    <m/>
    <m/>
    <m/>
  </r>
  <r>
    <x v="167"/>
    <x v="16"/>
    <s v="NA"/>
    <n v="14860275.666844301"/>
    <s v=""/>
    <m/>
    <m/>
    <n v="0"/>
    <n v="0"/>
    <m/>
    <m/>
    <n v="0"/>
    <e v="#DIV/0!"/>
    <n v="0"/>
    <m/>
    <s v="Private Equity Fund"/>
    <n v="3.2786885245901635E-3"/>
    <n v="1.624156399874855E-2"/>
    <n v="0"/>
    <n v="0"/>
    <m/>
    <m/>
    <m/>
    <m/>
    <m/>
    <m/>
    <m/>
    <m/>
  </r>
  <r>
    <x v="168"/>
    <x v="16"/>
    <s v="NA"/>
    <n v="15085445.4692412"/>
    <s v=""/>
    <m/>
    <m/>
    <n v="0"/>
    <n v="0"/>
    <m/>
    <m/>
    <n v="0"/>
    <e v="#DIV/0!"/>
    <n v="0"/>
    <m/>
    <s v="Private Equity Fund"/>
    <n v="1.2677595628415301E-3"/>
    <n v="1.5363881212032028E-2"/>
    <n v="0"/>
    <n v="0"/>
    <m/>
    <m/>
    <m/>
    <m/>
    <m/>
    <m/>
    <m/>
    <m/>
  </r>
  <r>
    <x v="169"/>
    <x v="16"/>
    <s v="NA"/>
    <n v="15410306.2508354"/>
    <s v=""/>
    <m/>
    <m/>
    <n v="0"/>
    <n v="0"/>
    <m/>
    <m/>
    <n v="0"/>
    <e v="#DIV/0!"/>
    <n v="0"/>
    <m/>
    <s v="Private Equity Fund"/>
    <n v="1.3989071038251399E-3"/>
    <n v="1.6175559641474699E-2"/>
    <n v="0"/>
    <n v="0"/>
    <m/>
    <m/>
    <m/>
    <m/>
    <m/>
    <m/>
    <m/>
    <m/>
  </r>
  <r>
    <x v="170"/>
    <x v="16"/>
    <s v="NA"/>
    <n v="15662677.943044046"/>
    <s v=""/>
    <m/>
    <m/>
    <n v="0"/>
    <n v="0"/>
    <m/>
    <m/>
    <n v="0"/>
    <e v="#DIV/0!"/>
    <n v="0"/>
    <m/>
    <s v="Private Equity Fund"/>
    <n v="1.3114754098360699E-3"/>
    <n v="1.60219373061899E-2"/>
    <n v="0"/>
    <n v="0"/>
    <m/>
    <m/>
    <m/>
    <m/>
    <m/>
    <m/>
    <m/>
    <m/>
  </r>
  <r>
    <x v="171"/>
    <x v="16"/>
    <s v="NA"/>
    <n v="15845852.657091901"/>
    <s v=""/>
    <m/>
    <m/>
    <n v="0"/>
    <n v="0"/>
    <m/>
    <m/>
    <n v="0"/>
    <e v="#DIV/0!"/>
    <n v="0"/>
    <m/>
    <s v="Private Equity Fund"/>
    <n v="1.2677595628415299E-3"/>
    <n v="1.16289341283504E-2"/>
    <n v="0"/>
    <n v="0"/>
    <m/>
    <m/>
    <m/>
    <m/>
    <m/>
    <m/>
    <m/>
    <m/>
  </r>
  <r>
    <x v="172"/>
    <x v="16"/>
    <s v="NA"/>
    <n v="16094279.8045302"/>
    <s v=""/>
    <m/>
    <m/>
    <n v="0"/>
    <n v="0"/>
    <m/>
    <m/>
    <n v="0"/>
    <e v="#DIV/0!"/>
    <n v="0"/>
    <m/>
    <s v="Private Equity Fund"/>
    <n v="1.4426229508196699E-3"/>
    <n v="1.5771515999191299E-2"/>
    <n v="0"/>
    <n v="0"/>
    <m/>
    <m/>
    <m/>
    <m/>
    <m/>
    <m/>
    <m/>
    <m/>
  </r>
  <r>
    <x v="173"/>
    <x v="16"/>
    <s v="NA"/>
    <n v="16196350.337797198"/>
    <s v=""/>
    <m/>
    <m/>
    <n v="0"/>
    <n v="0"/>
    <m/>
    <m/>
    <n v="0"/>
    <e v="#DIV/0!"/>
    <n v="0"/>
    <m/>
    <s v="Private Equity Fund"/>
    <n v="1.5571214284043999E-3"/>
    <n v="0.13800385670985901"/>
    <n v="0"/>
    <n v="0"/>
    <m/>
    <m/>
    <m/>
    <m/>
    <m/>
    <m/>
    <m/>
    <m/>
  </r>
  <r>
    <x v="174"/>
    <x v="16"/>
    <s v="NA"/>
    <n v="16446407.960000003"/>
    <s v=""/>
    <m/>
    <m/>
    <n v="0"/>
    <n v="0"/>
    <m/>
    <m/>
    <n v="0"/>
    <e v="#DIV/0!"/>
    <n v="0"/>
    <m/>
    <s v="Private Equity Fund"/>
    <n v="1.60903E-3"/>
    <n v="0.155064112219397"/>
    <n v="0"/>
    <n v="0"/>
    <m/>
    <m/>
    <m/>
    <m/>
    <m/>
    <m/>
    <m/>
    <m/>
  </r>
  <r>
    <x v="175"/>
    <x v="16"/>
    <s v="NA"/>
    <n v="16689116.500442998"/>
    <s v=""/>
    <m/>
    <m/>
    <n v="0"/>
    <n v="0"/>
    <m/>
    <m/>
    <n v="0"/>
    <e v="#DIV/0!"/>
    <n v="0"/>
    <m/>
    <s v="Private Equity Fund"/>
    <n v="1.5571214284043999E-3"/>
    <n v="0.171622661920842"/>
    <n v="0"/>
    <n v="0"/>
    <m/>
    <m/>
    <m/>
    <m/>
    <m/>
    <m/>
    <m/>
    <m/>
  </r>
  <r>
    <x v="176"/>
    <x v="16"/>
    <s v="NA"/>
    <n v="16831161.48"/>
    <s v=""/>
    <m/>
    <m/>
    <n v="0"/>
    <n v="0"/>
    <m/>
    <m/>
    <n v="0"/>
    <e v="#DIV/0!"/>
    <n v="0"/>
    <m/>
    <s v="Private Equity Fund"/>
    <n v="1.5571214284043949E-3"/>
    <n v="0.18135731938164201"/>
    <n v="0"/>
    <n v="0"/>
    <m/>
    <m/>
    <m/>
    <m/>
    <m/>
    <m/>
    <m/>
    <m/>
  </r>
  <r>
    <x v="177"/>
    <x v="16"/>
    <s v="NA"/>
    <n v="17054304.030000001"/>
    <s v=""/>
    <m/>
    <m/>
    <n v="0"/>
    <n v="0"/>
    <m/>
    <m/>
    <n v="0"/>
    <e v="#DIV/0!"/>
    <n v="0"/>
    <m/>
    <s v="Private Equity Fund"/>
    <n v="1.40140928556396E-3"/>
    <n v="0.19658247065015202"/>
    <n v="0"/>
    <n v="0"/>
    <m/>
    <m/>
    <m/>
    <m/>
    <m/>
    <m/>
    <m/>
    <m/>
  </r>
  <r>
    <x v="178"/>
    <x v="16"/>
    <s v="NA"/>
    <n v="17312009.5158903"/>
    <s v=""/>
    <m/>
    <m/>
    <n v="0"/>
    <n v="0"/>
    <m/>
    <m/>
    <n v="0"/>
    <e v="#DIV/0!"/>
    <n v="0"/>
    <m/>
    <s v="Private Equity Fund"/>
    <n v="1.6609295236313579E-3"/>
    <n v="0.21416468677643466"/>
    <n v="0"/>
    <n v="0"/>
    <m/>
    <m/>
    <m/>
    <m/>
    <m/>
    <m/>
    <m/>
    <m/>
  </r>
  <r>
    <x v="179"/>
    <x v="16"/>
    <s v="NA"/>
    <n v="17562064.759999998"/>
    <s v=""/>
    <m/>
    <m/>
    <n v="0"/>
    <n v="0"/>
    <m/>
    <m/>
    <n v="0"/>
    <e v="#DIV/0!"/>
    <n v="0"/>
    <m/>
    <s v="Private Equity Fund"/>
    <n v="1.6090254760178745E-3"/>
    <n v="0.23122478093184501"/>
    <n v="0"/>
    <n v="0"/>
    <m/>
    <m/>
    <m/>
    <m/>
    <m/>
    <m/>
    <m/>
    <m/>
  </r>
  <r>
    <x v="180"/>
    <x v="16"/>
    <s v="NA"/>
    <n v="18066577.699999999"/>
    <s v=""/>
    <m/>
    <m/>
    <n v="0"/>
    <n v="0"/>
    <m/>
    <m/>
    <n v="0"/>
    <e v="#DIV/0!"/>
    <n v="0"/>
    <m/>
    <s v="Private Equity Fund"/>
    <n v="1.45331E-3"/>
    <n v="0.24696498"/>
    <n v="0"/>
    <n v="0"/>
    <m/>
    <m/>
    <m/>
    <m/>
    <m/>
    <m/>
    <m/>
    <m/>
  </r>
  <r>
    <x v="181"/>
    <x v="16"/>
    <s v="NA"/>
    <n v="18063548.181330498"/>
    <s v=""/>
    <m/>
    <m/>
    <n v="0"/>
    <n v="0"/>
    <m/>
    <m/>
    <n v="0"/>
    <e v="#DIV/0!"/>
    <n v="0"/>
    <m/>
    <s v="Private Equity Fund"/>
    <n v="1.71283357124484E-3"/>
    <n v="0.26543452159546799"/>
    <n v="0"/>
    <n v="0"/>
    <m/>
    <m/>
    <m/>
    <m/>
    <m/>
    <m/>
    <m/>
    <m/>
  </r>
  <r>
    <x v="182"/>
    <x v="16"/>
    <s v="NA"/>
    <n v="20065247.542996299"/>
    <s v=""/>
    <m/>
    <m/>
    <n v="0"/>
    <n v="0"/>
    <m/>
    <m/>
    <n v="0"/>
    <e v="#DIV/0!"/>
    <n v="0"/>
    <m/>
    <s v="Private Equity Fund"/>
    <n v="1.55712314123797E-3"/>
    <n v="0.40123347680743299"/>
    <n v="0"/>
    <n v="0"/>
    <m/>
    <m/>
    <m/>
    <m/>
    <m/>
    <m/>
    <m/>
    <m/>
  </r>
  <r>
    <x v="183"/>
    <x v="16"/>
    <s v="NA"/>
    <n v="19885442.300000001"/>
    <s v=""/>
    <m/>
    <m/>
    <n v="0"/>
    <n v="0"/>
    <m/>
    <m/>
    <n v="0"/>
    <e v="#DIV/0!"/>
    <n v="0"/>
    <m/>
    <s v="Private Equity Fund"/>
    <n v="1.35519E-3"/>
    <n v="0.42665674999999997"/>
    <n v="0"/>
    <n v="0"/>
    <m/>
    <m/>
    <m/>
    <m/>
    <m/>
    <m/>
    <m/>
    <m/>
  </r>
  <r>
    <x v="184"/>
    <x v="16"/>
    <s v="NA"/>
    <n v="19054129.857872475"/>
    <s v=""/>
    <m/>
    <m/>
    <n v="-3.7252902984619141E-9"/>
    <n v="0"/>
    <m/>
    <m/>
    <n v="-3.7252902984619141E-9"/>
    <e v="#DIV/0!"/>
    <n v="-3.7252902984619141E-9"/>
    <m/>
    <s v="Private Equity Fund"/>
    <n v="1.3551912568305997E-3"/>
    <n v="0.45243046903834011"/>
    <n v="0"/>
    <n v="0"/>
    <m/>
    <m/>
    <m/>
    <m/>
    <m/>
    <m/>
    <m/>
    <m/>
  </r>
  <r>
    <x v="185"/>
    <x v="16"/>
    <s v="NA"/>
    <n v="19380300"/>
    <s v=""/>
    <m/>
    <m/>
    <n v="0"/>
    <n v="0"/>
    <m/>
    <m/>
    <n v="0"/>
    <e v="#DIV/0!"/>
    <n v="0"/>
    <m/>
    <s v="Private Equity Fund"/>
    <n v="1.2677595628415299E-3"/>
    <n v="0.47679190564072399"/>
    <n v="0"/>
    <n v="0"/>
    <m/>
    <m/>
    <m/>
    <m/>
    <m/>
    <m/>
    <m/>
    <m/>
  </r>
  <r>
    <x v="186"/>
    <x v="16"/>
    <s v="NA"/>
    <n v="19745854.181028899"/>
    <s v=""/>
    <m/>
    <m/>
    <n v="0"/>
    <n v="0"/>
    <m/>
    <m/>
    <n v="0"/>
    <e v="#DIV/0!"/>
    <n v="0"/>
    <m/>
    <s v="Private Equity Fund"/>
    <n v="1.3989071038251399E-3"/>
    <n v="0.50407938563675503"/>
    <n v="0"/>
    <n v="0"/>
    <m/>
    <m/>
    <m/>
    <m/>
    <m/>
    <m/>
    <m/>
    <m/>
  </r>
  <r>
    <x v="187"/>
    <x v="16"/>
    <s v="NA"/>
    <n v="20088177.7783462"/>
    <s v=""/>
    <m/>
    <m/>
    <n v="0"/>
    <n v="0"/>
    <m/>
    <m/>
    <n v="0"/>
    <e v="#DIV/0!"/>
    <n v="0"/>
    <m/>
    <s v="Private Equity Fund"/>
    <n v="1.3114754098360599E-3"/>
    <n v="0.52963901914538203"/>
    <n v="0"/>
    <n v="0"/>
    <m/>
    <m/>
    <m/>
    <m/>
    <m/>
    <m/>
    <m/>
    <m/>
  </r>
  <r>
    <x v="188"/>
    <x v="16"/>
    <s v="NA"/>
    <n v="20378685.620000001"/>
    <s v=""/>
    <m/>
    <m/>
    <n v="0"/>
    <n v="0"/>
    <m/>
    <m/>
    <n v="0"/>
    <e v="#DIV/0!"/>
    <n v="0"/>
    <m/>
    <s v="Private Equity Fund"/>
    <n v="1.2677599999999999E-3"/>
    <n v="0.55134995999999992"/>
    <n v="0"/>
    <n v="0"/>
    <m/>
    <m/>
    <m/>
    <m/>
    <m/>
    <m/>
    <m/>
    <m/>
  </r>
  <r>
    <x v="189"/>
    <x v="16"/>
    <s v="NA"/>
    <n v="20794300"/>
    <s v=""/>
    <m/>
    <m/>
    <n v="0"/>
    <n v="0"/>
    <m/>
    <m/>
    <n v="0"/>
    <e v="#DIV/0!"/>
    <n v="0"/>
    <m/>
    <s v="Private Equity Fund"/>
    <n v="1.4426199999999999E-3"/>
    <n v="0.5801153"/>
    <n v="0"/>
    <n v="0"/>
    <m/>
    <m/>
    <m/>
    <m/>
    <m/>
    <m/>
    <m/>
    <m/>
  </r>
  <r>
    <x v="190"/>
    <x v="16"/>
    <s v="NA"/>
    <n v="23082670.170000002"/>
    <s v=""/>
    <m/>
    <m/>
    <n v="0"/>
    <n v="0"/>
    <m/>
    <m/>
    <n v="0"/>
    <e v="#DIV/0!"/>
    <n v="0"/>
    <m/>
    <s v="Private Equity Fund"/>
    <n v="1.22404E-3"/>
    <n v="0.60486085000000001"/>
    <n v="0"/>
    <n v="0"/>
    <m/>
    <m/>
    <m/>
    <m/>
    <m/>
    <m/>
    <m/>
    <m/>
  </r>
  <r>
    <x v="191"/>
    <x v="16"/>
    <s v="NA"/>
    <n v="23862699.629999999"/>
    <s v=""/>
    <m/>
    <m/>
    <n v="0"/>
    <n v="0"/>
    <m/>
    <m/>
    <n v="0"/>
    <e v="#DIV/0!"/>
    <n v="0"/>
    <m/>
    <s v="Private Equity Fund"/>
    <n v="1.50522E-3"/>
    <n v="0.65972897120560203"/>
    <n v="0"/>
    <n v="0"/>
    <m/>
    <m/>
    <m/>
    <m/>
    <m/>
    <m/>
    <m/>
    <m/>
  </r>
  <r>
    <x v="192"/>
    <x v="16"/>
    <s v="NA"/>
    <n v="24568284.989999998"/>
    <s v=""/>
    <m/>
    <m/>
    <n v="0"/>
    <n v="0"/>
    <m/>
    <m/>
    <n v="0"/>
    <e v="#DIV/0!"/>
    <n v="0"/>
    <m/>
    <s v="Private Equity Fund"/>
    <n v="1.6609300000000001E-3"/>
    <n v="0.65972897120560203"/>
    <n v="0"/>
    <n v="0"/>
    <m/>
    <m/>
    <m/>
    <m/>
    <m/>
    <m/>
    <m/>
    <m/>
  </r>
  <r>
    <x v="193"/>
    <x v="16"/>
    <s v="NA"/>
    <n v="24275756.48"/>
    <s v=""/>
    <m/>
    <m/>
    <n v="0"/>
    <n v="0"/>
    <m/>
    <m/>
    <n v="0"/>
    <e v="#DIV/0!"/>
    <n v="0"/>
    <m/>
    <s v="Private Equity Fund"/>
    <n v="1.6090200000000001E-3"/>
    <n v="0.68783880000000008"/>
    <n v="0"/>
    <n v="0"/>
    <m/>
    <m/>
    <m/>
    <m/>
    <m/>
    <m/>
    <m/>
    <m/>
  </r>
  <r>
    <x v="194"/>
    <x v="16"/>
    <s v="NA"/>
    <n v="24632705.91"/>
    <s v=""/>
    <m/>
    <m/>
    <n v="0"/>
    <n v="0"/>
    <m/>
    <m/>
    <n v="0"/>
    <e v="#DIV/0!"/>
    <n v="0"/>
    <m/>
    <s v="Private Equity Fund"/>
    <n v="1.50522E-3"/>
    <n v="0.71213811999999999"/>
    <n v="0"/>
    <n v="0"/>
    <m/>
    <m/>
    <m/>
    <m/>
    <m/>
    <m/>
    <m/>
    <m/>
  </r>
  <r>
    <x v="195"/>
    <x v="16"/>
    <s v="NA"/>
    <n v="25069335.77"/>
    <s v=""/>
    <m/>
    <m/>
    <n v="0"/>
    <n v="0"/>
    <m/>
    <m/>
    <n v="0"/>
    <e v="#DIV/0!"/>
    <n v="0"/>
    <m/>
    <s v="Private Equity Fund"/>
    <n v="1.6609300000000001E-3"/>
    <n v="0.74184944999999991"/>
    <n v="0"/>
    <n v="0"/>
    <m/>
    <m/>
    <m/>
    <m/>
    <m/>
    <m/>
    <m/>
    <m/>
  </r>
  <r>
    <x v="196"/>
    <x v="16"/>
    <s v="NA"/>
    <n v="25498318.460000001"/>
    <s v=""/>
    <m/>
    <m/>
    <n v="0"/>
    <n v="0"/>
    <m/>
    <m/>
    <n v="0"/>
    <e v="#DIV/0!"/>
    <n v="0"/>
    <m/>
    <s v="Private Equity Fund"/>
    <n v="1.6090254760178751E-3"/>
    <n v="0.77103887906604207"/>
    <n v="0"/>
    <n v="0"/>
    <m/>
    <m/>
    <m/>
    <m/>
    <m/>
    <m/>
    <m/>
    <m/>
  </r>
  <r>
    <x v="197"/>
    <x v="16"/>
    <s v="NA"/>
    <n v="25890189.059999999"/>
    <s v=""/>
    <m/>
    <m/>
    <n v="0"/>
    <n v="0"/>
    <m/>
    <m/>
    <n v="0"/>
    <e v="#DIV/0!"/>
    <n v="0"/>
    <m/>
    <s v="Private Equity Fund"/>
    <n v="1.6090254760178751E-3"/>
    <n v="0.77103887906604207"/>
    <n v="0"/>
    <n v="0"/>
    <m/>
    <m/>
    <m/>
    <m/>
    <m/>
    <m/>
    <m/>
    <m/>
  </r>
  <r>
    <x v="198"/>
    <x v="16"/>
    <s v="NA"/>
    <n v="26358870.579999998"/>
    <s v=""/>
    <m/>
    <m/>
    <n v="0"/>
    <n v="0"/>
    <m/>
    <m/>
    <n v="0"/>
    <e v="#DIV/0!"/>
    <n v="-26358870.579999998"/>
    <m/>
    <s v="Private Equity Fund"/>
    <n v="1.7128299999999998E-3"/>
    <n v="0.82958956000000006"/>
    <n v="0"/>
    <n v="0"/>
    <m/>
    <m/>
    <m/>
    <m/>
    <m/>
    <m/>
    <m/>
    <m/>
  </r>
  <r>
    <x v="198"/>
    <x v="16"/>
    <s v="NA"/>
    <n v="26358870.576288864"/>
    <m/>
    <m/>
    <m/>
    <m/>
    <m/>
    <m/>
    <m/>
    <n v="0"/>
    <n v="0"/>
    <n v="-26358870.576288864"/>
    <m/>
    <s v="Private Equity Fund"/>
    <m/>
    <m/>
    <m/>
    <m/>
    <m/>
    <m/>
    <m/>
    <m/>
    <m/>
    <m/>
    <m/>
    <m/>
  </r>
  <r>
    <x v="186"/>
    <x v="17"/>
    <s v="NA"/>
    <n v="5000000"/>
    <n v="5000000"/>
    <m/>
    <n v="5000000"/>
    <n v="0"/>
    <n v="0"/>
    <m/>
    <n v="1"/>
    <n v="5000000"/>
    <n v="5000000"/>
    <n v="5000000"/>
    <m/>
    <s v="Private Equity Fund"/>
    <n v="0"/>
    <n v="0"/>
    <n v="0"/>
    <n v="0"/>
    <m/>
    <m/>
    <m/>
    <m/>
    <m/>
    <m/>
    <m/>
    <m/>
  </r>
  <r>
    <x v="187"/>
    <x v="17"/>
    <s v="NA"/>
    <n v="4885734"/>
    <n v="488573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8"/>
    <x v="17"/>
    <s v="NA"/>
    <n v="4906550.93"/>
    <n v="4906550.93"/>
    <m/>
    <m/>
    <n v="0"/>
    <n v="0"/>
    <m/>
    <n v="1"/>
    <n v="0"/>
    <n v="0"/>
    <n v="0"/>
    <m/>
    <s v="Private Equity Fund"/>
    <n v="3.6111099999999998E-3"/>
    <n v="9.6480699999999999E-3"/>
    <n v="0"/>
    <n v="0"/>
    <m/>
    <m/>
    <m/>
    <m/>
    <m/>
    <m/>
    <m/>
    <m/>
  </r>
  <r>
    <x v="189"/>
    <x v="17"/>
    <s v="NA"/>
    <n v="4829312.1500000004"/>
    <n v="4829312.1500000004"/>
    <m/>
    <m/>
    <n v="0"/>
    <n v="-149722.22"/>
    <m/>
    <n v="1"/>
    <n v="-149722.22"/>
    <n v="-149722.22"/>
    <n v="-149722.22"/>
    <m/>
    <s v="Private Equity Fund"/>
    <n v="0"/>
    <n v="1.7195820000000001E-2"/>
    <n v="0"/>
    <n v="0"/>
    <m/>
    <m/>
    <m/>
    <m/>
    <m/>
    <m/>
    <m/>
    <m/>
  </r>
  <r>
    <x v="190"/>
    <x v="17"/>
    <s v="NA"/>
    <n v="4890910.379999999"/>
    <n v="4890910.379999999"/>
    <m/>
    <m/>
    <n v="0"/>
    <n v="0"/>
    <m/>
    <n v="1"/>
    <n v="0"/>
    <n v="0"/>
    <n v="0"/>
    <m/>
    <s v="Private Equity Fund"/>
    <n v="0"/>
    <n v="2.3631465000000001E-2"/>
    <n v="0"/>
    <n v="0"/>
    <m/>
    <m/>
    <m/>
    <m/>
    <m/>
    <m/>
    <m/>
    <m/>
  </r>
  <r>
    <x v="191"/>
    <x v="17"/>
    <s v="NA"/>
    <n v="4953556.8371344563"/>
    <n v="4953556.8371344563"/>
    <m/>
    <m/>
    <n v="0"/>
    <n v="0"/>
    <m/>
    <n v="1"/>
    <n v="0"/>
    <n v="0"/>
    <n v="0"/>
    <m/>
    <s v="Private Equity Fund"/>
    <n v="0"/>
    <n v="2.3631465000000001E-2"/>
    <n v="0"/>
    <n v="0"/>
    <m/>
    <m/>
    <m/>
    <m/>
    <m/>
    <m/>
    <m/>
    <m/>
  </r>
  <r>
    <x v="192"/>
    <x v="17"/>
    <s v="NA"/>
    <n v="4875922.16"/>
    <n v="4875922.16"/>
    <m/>
    <m/>
    <n v="0"/>
    <n v="-142777.78"/>
    <m/>
    <n v="1"/>
    <n v="-142777.78"/>
    <n v="-142777.78"/>
    <n v="-142777.78"/>
    <m/>
    <s v="Private Equity Fund"/>
    <n v="2.2222222222222222E-3"/>
    <n v="3.781019E-2"/>
    <n v="0"/>
    <n v="0"/>
    <m/>
    <m/>
    <m/>
    <m/>
    <m/>
    <m/>
    <m/>
    <m/>
  </r>
  <r>
    <x v="193"/>
    <x v="17"/>
    <s v="NA"/>
    <n v="4948624.4364909632"/>
    <n v="4948624.4364909632"/>
    <m/>
    <m/>
    <n v="0"/>
    <n v="0"/>
    <m/>
    <n v="1"/>
    <n v="0"/>
    <n v="0"/>
    <n v="0"/>
    <m/>
    <s v="Private Equity Fund"/>
    <n v="2.1527777777777778E-3"/>
    <n v="0"/>
    <n v="0"/>
    <n v="0"/>
    <m/>
    <m/>
    <m/>
    <m/>
    <m/>
    <m/>
    <m/>
    <m/>
  </r>
  <r>
    <x v="194"/>
    <x v="17"/>
    <s v="NA"/>
    <n v="5012195.6673057461"/>
    <n v="5012195.6673057461"/>
    <m/>
    <m/>
    <n v="0"/>
    <n v="0"/>
    <m/>
    <n v="1"/>
    <n v="0"/>
    <n v="0"/>
    <n v="0"/>
    <m/>
    <s v="Private Equity Fund"/>
    <n v="2.0138888888888888E-3"/>
    <n v="0"/>
    <n v="0"/>
    <n v="0"/>
    <m/>
    <m/>
    <m/>
    <m/>
    <m/>
    <m/>
    <m/>
    <m/>
  </r>
  <r>
    <x v="195"/>
    <x v="17"/>
    <s v="NA"/>
    <n v="4933516.9081749674"/>
    <n v="4933516.9081749674"/>
    <m/>
    <m/>
    <n v="0"/>
    <n v="-147013.89000000001"/>
    <m/>
    <n v="1"/>
    <n v="-147013.89000000001"/>
    <n v="-147013.89000000001"/>
    <n v="-147013.89000000001"/>
    <m/>
    <s v="Private Equity Fund"/>
    <n v="2.2222222222222222E-3"/>
    <n v="0"/>
    <n v="0"/>
    <n v="0"/>
    <m/>
    <m/>
    <m/>
    <m/>
    <m/>
    <m/>
    <m/>
    <m/>
  </r>
  <r>
    <x v="196"/>
    <x v="17"/>
    <s v="NA"/>
    <n v="5012637.1890421044"/>
    <n v="5012637.1890421044"/>
    <m/>
    <m/>
    <n v="0"/>
    <n v="0"/>
    <m/>
    <n v="1"/>
    <n v="0"/>
    <n v="0"/>
    <n v="0"/>
    <m/>
    <s v="Private Equity Fund"/>
    <n v="2.1527777777777778E-3"/>
    <n v="0"/>
    <n v="0"/>
    <n v="0"/>
    <m/>
    <m/>
    <m/>
    <m/>
    <m/>
    <m/>
    <m/>
    <m/>
  </r>
  <r>
    <x v="197"/>
    <x v="17"/>
    <s v="NA"/>
    <n v="5078776.5019233469"/>
    <n v="594347.81508266076"/>
    <m/>
    <m/>
    <n v="0"/>
    <n v="0"/>
    <m/>
    <n v="1"/>
    <n v="0"/>
    <n v="0"/>
    <n v="0"/>
    <m/>
    <s v="Private Equity Fund"/>
    <n v="1.9444444444444444E-3"/>
    <n v="0"/>
    <n v="0"/>
    <n v="0"/>
    <m/>
    <m/>
    <m/>
    <m/>
    <m/>
    <m/>
    <m/>
    <m/>
  </r>
  <r>
    <x v="198"/>
    <x v="17"/>
    <s v="NA"/>
    <n v="4840988.97"/>
    <m/>
    <m/>
    <m/>
    <m/>
    <n v="-171944.45"/>
    <m/>
    <m/>
    <n v="-171944.45"/>
    <e v="#DIV/0!"/>
    <n v="-5012933.42"/>
    <m/>
    <s v="Private Equity Fund"/>
    <n v="2.2916666666666667E-3"/>
    <m/>
    <m/>
    <m/>
    <m/>
    <m/>
    <m/>
    <m/>
    <m/>
    <m/>
    <m/>
    <m/>
  </r>
  <r>
    <x v="179"/>
    <x v="18"/>
    <s v="NA"/>
    <n v="10000000"/>
    <n v="10000000"/>
    <m/>
    <n v="10000000"/>
    <n v="0"/>
    <n v="0"/>
    <m/>
    <n v="1"/>
    <n v="10000000"/>
    <n v="10000000"/>
    <n v="10000000"/>
    <m/>
    <s v="Private Equity Fund"/>
    <n v="0"/>
    <n v="0"/>
    <n v="0"/>
    <n v="0"/>
    <m/>
    <m/>
    <m/>
    <m/>
    <m/>
    <m/>
    <m/>
    <m/>
  </r>
  <r>
    <x v="180"/>
    <x v="18"/>
    <s v="NA"/>
    <n v="10000000"/>
    <n v="10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1"/>
    <x v="18"/>
    <s v="NA"/>
    <n v="10055696.75"/>
    <n v="10055696.7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2"/>
    <x v="18"/>
    <s v="NA"/>
    <n v="10168024.49"/>
    <n v="10168024.4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3"/>
    <x v="18"/>
    <s v="NA"/>
    <n v="10283744.219999999"/>
    <n v="10283744.219999999"/>
    <m/>
    <m/>
    <n v="0"/>
    <n v="-183750"/>
    <m/>
    <n v="1"/>
    <n v="-183750"/>
    <n v="-183750"/>
    <n v="-183750"/>
    <m/>
    <s v="Private Equity Fund"/>
    <n v="0"/>
    <n v="0"/>
    <n v="0"/>
    <n v="0"/>
    <m/>
    <m/>
    <m/>
    <m/>
    <m/>
    <m/>
    <m/>
    <m/>
  </r>
  <r>
    <x v="184"/>
    <x v="18"/>
    <s v="NA"/>
    <n v="10216672.289999999"/>
    <n v="10216672.28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5"/>
    <x v="18"/>
    <s v="NA"/>
    <n v="10327045.119999999"/>
    <n v="10327045.11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6"/>
    <x v="18"/>
    <s v="NA"/>
    <n v="10109069.619999999"/>
    <n v="10109069.619999999"/>
    <m/>
    <m/>
    <n v="0"/>
    <n v="-351251.8"/>
    <m/>
    <n v="1"/>
    <n v="-351251.8"/>
    <n v="-351251.8"/>
    <n v="-351251.8"/>
    <m/>
    <s v="Private Equity Fund"/>
    <n v="0"/>
    <n v="0"/>
    <n v="0"/>
    <n v="0"/>
    <m/>
    <m/>
    <m/>
    <m/>
    <m/>
    <m/>
    <m/>
    <m/>
  </r>
  <r>
    <x v="187"/>
    <x v="18"/>
    <s v="NA"/>
    <n v="10112994.91"/>
    <n v="10112994.9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8"/>
    <x v="18"/>
    <s v="NA"/>
    <n v="10110400.57"/>
    <n v="10110400.5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9"/>
    <x v="18"/>
    <s v="NA"/>
    <n v="10117935.5"/>
    <n v="10117935.5"/>
    <m/>
    <m/>
    <n v="0"/>
    <n v="-337500"/>
    <m/>
    <n v="1"/>
    <n v="-337500"/>
    <n v="-337500"/>
    <n v="-337500"/>
    <m/>
    <s v="Private Equity Fund"/>
    <n v="0"/>
    <n v="0"/>
    <n v="0"/>
    <n v="0"/>
    <m/>
    <m/>
    <m/>
    <m/>
    <m/>
    <m/>
    <m/>
    <m/>
  </r>
  <r>
    <x v="190"/>
    <x v="18"/>
    <s v="NA"/>
    <n v="10203462.119999999"/>
    <n v="10203462.11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1"/>
    <x v="18"/>
    <s v="NA"/>
    <n v="10310951.2764144"/>
    <n v="10310951.276414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2"/>
    <x v="18"/>
    <s v="NA"/>
    <n v="10095913.02"/>
    <n v="10095913.02"/>
    <m/>
    <m/>
    <n v="0"/>
    <n v="-337500"/>
    <m/>
    <n v="1"/>
    <n v="-337500"/>
    <n v="-337500"/>
    <n v="-337500"/>
    <m/>
    <s v="Private Equity Fund"/>
    <n v="0"/>
    <n v="0"/>
    <n v="0"/>
    <n v="0"/>
    <m/>
    <m/>
    <m/>
    <m/>
    <m/>
    <m/>
    <m/>
    <m/>
  </r>
  <r>
    <x v="193"/>
    <x v="18"/>
    <s v="NA"/>
    <n v="10212787.85"/>
    <n v="10212787.8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4"/>
    <x v="18"/>
    <s v="NA"/>
    <n v="10323346.939999999"/>
    <n v="10323346.93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5"/>
    <x v="18"/>
    <s v="NA"/>
    <n v="10105198.85"/>
    <n v="10105198.85"/>
    <m/>
    <m/>
    <n v="0"/>
    <n v="-337500"/>
    <m/>
    <n v="1"/>
    <n v="-337500"/>
    <n v="-337500"/>
    <n v="-337500"/>
    <m/>
    <s v="Private Equity Fund"/>
    <n v="0"/>
    <n v="0"/>
    <n v="0"/>
    <n v="0"/>
    <m/>
    <m/>
    <m/>
    <m/>
    <m/>
    <m/>
    <m/>
    <m/>
  </r>
  <r>
    <x v="196"/>
    <x v="18"/>
    <s v="NA"/>
    <n v="10222181.18"/>
    <n v="10222181.1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7"/>
    <x v="18"/>
    <s v="NA"/>
    <n v="10328880.869999999"/>
    <n v="10328880.86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8"/>
    <x v="18"/>
    <s v="NA"/>
    <n v="10114553.65"/>
    <n v="10114553.65"/>
    <m/>
    <m/>
    <n v="0"/>
    <n v="-337500"/>
    <m/>
    <n v="1"/>
    <n v="-337500"/>
    <n v="-337500"/>
    <n v="-10452053.65"/>
    <m/>
    <s v="Private Equity Fund"/>
    <n v="0"/>
    <n v="0"/>
    <n v="0"/>
    <n v="0"/>
    <m/>
    <m/>
    <m/>
    <m/>
    <m/>
    <m/>
    <m/>
    <m/>
  </r>
  <r>
    <x v="198"/>
    <x v="18"/>
    <s v="NA"/>
    <n v="10314553.649999999"/>
    <m/>
    <m/>
    <m/>
    <m/>
    <n v="344250"/>
    <m/>
    <m/>
    <n v="344250"/>
    <n v="0"/>
    <n v="-9970303.6499999985"/>
    <m/>
    <s v="Private Equity Fund"/>
    <m/>
    <m/>
    <m/>
    <m/>
    <m/>
    <m/>
    <m/>
    <m/>
    <m/>
    <m/>
    <m/>
    <m/>
  </r>
  <r>
    <x v="233"/>
    <x v="19"/>
    <s v="NA"/>
    <n v="4000000"/>
    <n v="4000000"/>
    <m/>
    <n v="4000000"/>
    <n v="0"/>
    <n v="0"/>
    <m/>
    <n v="1"/>
    <n v="4000000"/>
    <n v="4000000"/>
    <n v="4000000"/>
    <m/>
    <s v="Private Equity Fund"/>
    <n v="0"/>
    <n v="0"/>
    <n v="0"/>
    <n v="0"/>
    <m/>
    <m/>
    <m/>
    <m/>
    <m/>
    <m/>
    <m/>
    <m/>
  </r>
  <r>
    <x v="175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76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77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78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79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0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1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82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3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4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85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6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7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88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89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0"/>
    <x v="19"/>
    <s v="NA"/>
    <n v="3932770.77"/>
    <n v="3932770.77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91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2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3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94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5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6"/>
    <x v="19"/>
    <s v="NA"/>
    <n v="4000000"/>
    <n v="4000000"/>
    <m/>
    <m/>
    <n v="0"/>
    <n v="-140000"/>
    <m/>
    <n v="1"/>
    <n v="-140000"/>
    <n v="-140000"/>
    <n v="-140000"/>
    <m/>
    <s v="Private Equity Fund"/>
    <n v="0"/>
    <n v="0"/>
    <n v="0"/>
    <n v="0"/>
    <m/>
    <m/>
    <m/>
    <m/>
    <m/>
    <m/>
    <m/>
    <m/>
  </r>
  <r>
    <x v="197"/>
    <x v="19"/>
    <s v="NA"/>
    <n v="4000000"/>
    <n v="4000000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98"/>
    <x v="19"/>
    <s v="NA"/>
    <n v="4414875"/>
    <m/>
    <m/>
    <m/>
    <m/>
    <m/>
    <m/>
    <m/>
    <n v="0"/>
    <n v="0"/>
    <n v="-4414875"/>
    <m/>
    <s v="Private Equity Fund"/>
    <m/>
    <m/>
    <m/>
    <m/>
    <m/>
    <m/>
    <m/>
    <m/>
    <m/>
    <m/>
    <m/>
    <m/>
  </r>
  <r>
    <x v="198"/>
    <x v="19"/>
    <s v="NA"/>
    <n v="4000000"/>
    <n v="4000000"/>
    <m/>
    <m/>
    <n v="0"/>
    <n v="0"/>
    <m/>
    <n v="1"/>
    <n v="0"/>
    <n v="0"/>
    <n v="-4000000"/>
    <m/>
    <s v="Private Equity Fund"/>
    <n v="0"/>
    <n v="0"/>
    <n v="0"/>
    <n v="0"/>
    <m/>
    <m/>
    <m/>
    <m/>
    <m/>
    <m/>
    <m/>
    <m/>
  </r>
  <r>
    <x v="234"/>
    <x v="20"/>
    <s v="NA"/>
    <n v="30000000"/>
    <n v="30000000"/>
    <m/>
    <n v="30000000"/>
    <n v="0"/>
    <n v="0"/>
    <m/>
    <n v="1"/>
    <n v="30000000"/>
    <n v="30000000"/>
    <n v="30000000"/>
    <m/>
    <s v="Private Equity Fund"/>
    <n v="0"/>
    <n v="0"/>
    <n v="0"/>
    <n v="0"/>
    <m/>
    <m/>
    <m/>
    <m/>
    <m/>
    <m/>
    <m/>
    <m/>
  </r>
  <r>
    <x v="168"/>
    <x v="20"/>
    <s v="NA"/>
    <n v="29999989.285714298"/>
    <n v="29999989.2857142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69"/>
    <x v="20"/>
    <s v="NA"/>
    <n v="29322203.8983973"/>
    <n v="29322203.8983973"/>
    <m/>
    <m/>
    <n v="0"/>
    <n v="-1049999.9999999998"/>
    <m/>
    <n v="1"/>
    <n v="-1049999.9999999998"/>
    <n v="-1049999.9999999998"/>
    <n v="-1049999.9999999998"/>
    <m/>
    <s v="Private Equity Fund"/>
    <n v="2.3249997892637903E-2"/>
    <n v="2.3249997892637927E-2"/>
    <n v="0"/>
    <n v="0"/>
    <m/>
    <m/>
    <m/>
    <m/>
    <m/>
    <m/>
    <m/>
    <m/>
  </r>
  <r>
    <x v="170"/>
    <x v="20"/>
    <s v="NA"/>
    <n v="29650291.704686102"/>
    <n v="29650291.704686102"/>
    <m/>
    <m/>
    <n v="0"/>
    <n v="0"/>
    <m/>
    <n v="1"/>
    <n v="0"/>
    <n v="0"/>
    <n v="0"/>
    <m/>
    <s v="Private Equity Fund"/>
    <n v="2.74057587912887E-2"/>
    <n v="5.0655756683926662E-2"/>
    <n v="0"/>
    <n v="0"/>
    <m/>
    <m/>
    <m/>
    <m/>
    <m/>
    <m/>
    <m/>
    <m/>
  </r>
  <r>
    <x v="171"/>
    <x v="20"/>
    <s v="NA"/>
    <n v="30003938.835981801"/>
    <n v="30003938.835981801"/>
    <m/>
    <m/>
    <n v="0"/>
    <n v="0"/>
    <m/>
    <n v="1"/>
    <n v="0"/>
    <n v="0"/>
    <n v="0"/>
    <m/>
    <s v="Private Equity Fund"/>
    <n v="2.55482077909641E-2"/>
    <n v="7.6203964474890765E-2"/>
    <n v="0"/>
    <n v="0"/>
    <m/>
    <m/>
    <m/>
    <m/>
    <m/>
    <m/>
    <m/>
    <m/>
  </r>
  <r>
    <x v="172"/>
    <x v="20"/>
    <s v="NA"/>
    <n v="29717264.358937398"/>
    <n v="29717264.358937398"/>
    <m/>
    <m/>
    <n v="0"/>
    <n v="-700000"/>
    <m/>
    <n v="1"/>
    <n v="-700000"/>
    <n v="-700000"/>
    <n v="-700000"/>
    <m/>
    <s v="Private Equity Fund"/>
    <n v="2.98506325920645E-2"/>
    <n v="0.10605459706695528"/>
    <n v="0"/>
    <n v="0"/>
    <m/>
    <m/>
    <m/>
    <m/>
    <m/>
    <m/>
    <m/>
    <m/>
  </r>
  <r>
    <x v="173"/>
    <x v="20"/>
    <s v="NA"/>
    <n v="29604490.160641208"/>
    <n v="29604490.160641208"/>
    <m/>
    <m/>
    <n v="0"/>
    <n v="-350000"/>
    <m/>
    <n v="1"/>
    <n v="-350000"/>
    <n v="-350000"/>
    <n v="-350000"/>
    <m/>
    <s v="Private Equity Fund"/>
    <n v="4.1666666666666701E-3"/>
    <n v="0.12329691623627545"/>
    <n v="0"/>
    <n v="0"/>
    <m/>
    <m/>
    <m/>
    <m/>
    <m/>
    <m/>
    <m/>
    <m/>
  </r>
  <r>
    <x v="174"/>
    <x v="20"/>
    <s v="NA"/>
    <n v="30011116.047060501"/>
    <n v="30011116.047060501"/>
    <m/>
    <m/>
    <n v="0"/>
    <n v="0"/>
    <m/>
    <n v="1"/>
    <n v="0"/>
    <n v="0"/>
    <n v="0"/>
    <m/>
    <s v="Private Equity Fund"/>
    <n v="4.3055555555555503E-3"/>
    <n v="0.15264916209162502"/>
    <n v="0"/>
    <n v="0"/>
    <m/>
    <m/>
    <m/>
    <m/>
    <m/>
    <m/>
    <m/>
    <m/>
  </r>
  <r>
    <x v="175"/>
    <x v="20"/>
    <s v="NA"/>
    <n v="29283663"/>
    <n v="29283663"/>
    <m/>
    <m/>
    <n v="0"/>
    <n v="-1050000"/>
    <m/>
    <n v="1"/>
    <n v="-1050000"/>
    <n v="-1050000"/>
    <n v="-1050000"/>
    <m/>
    <s v="Private Equity Fund"/>
    <n v="4.1666666666666701E-3"/>
    <n v="0.17598585617866802"/>
    <n v="0"/>
    <n v="0"/>
    <m/>
    <m/>
    <m/>
    <m/>
    <m/>
    <m/>
    <m/>
    <m/>
  </r>
  <r>
    <x v="176"/>
    <x v="20"/>
    <s v="NA"/>
    <n v="29571609.140000001"/>
    <n v="29571609.140000001"/>
    <m/>
    <m/>
    <n v="0"/>
    <n v="0"/>
    <m/>
    <n v="1"/>
    <n v="0"/>
    <n v="0"/>
    <n v="0"/>
    <m/>
    <s v="Private Equity Fund"/>
    <n v="4.1666666666666597E-3"/>
    <n v="0.19685104933018499"/>
    <n v="0"/>
    <n v="0"/>
    <m/>
    <m/>
    <m/>
    <m/>
    <m/>
    <m/>
    <m/>
    <m/>
  </r>
  <r>
    <x v="177"/>
    <x v="20"/>
    <s v="NA"/>
    <n v="29849244.050000001"/>
    <n v="29849244.050000001"/>
    <m/>
    <m/>
    <n v="0"/>
    <n v="0"/>
    <m/>
    <n v="1"/>
    <n v="0"/>
    <n v="0"/>
    <n v="0"/>
    <m/>
    <s v="Private Equity Fund"/>
    <n v="3.8888888888888901E-3"/>
    <n v="0.21695989226283702"/>
    <n v="0"/>
    <n v="0"/>
    <m/>
    <m/>
    <m/>
    <m/>
    <m/>
    <m/>
    <m/>
    <m/>
  </r>
  <r>
    <x v="178"/>
    <x v="20"/>
    <s v="NA"/>
    <n v="29173209.593673799"/>
    <n v="29173209.593673799"/>
    <m/>
    <m/>
    <n v="0"/>
    <n v="-1050000"/>
    <m/>
    <n v="1"/>
    <n v="-1050000"/>
    <n v="-1050000"/>
    <n v="-1050000"/>
    <m/>
    <s v="Private Equity Fund"/>
    <n v="4.4444444444444496E-3"/>
    <n v="0.243989177325909"/>
    <n v="0"/>
    <n v="0"/>
    <m/>
    <m/>
    <m/>
    <m/>
    <m/>
    <m/>
    <m/>
    <m/>
  </r>
  <r>
    <x v="179"/>
    <x v="20"/>
    <s v="NA"/>
    <n v="29669203.509999998"/>
    <n v="29669203.509999998"/>
    <m/>
    <m/>
    <n v="0"/>
    <n v="0"/>
    <m/>
    <n v="1"/>
    <n v="0"/>
    <n v="0"/>
    <n v="0"/>
    <m/>
    <s v="Private Equity Fund"/>
    <n v="4.3055555555555547E-3"/>
    <n v="0.27972485000000002"/>
    <n v="0"/>
    <n v="0"/>
    <m/>
    <m/>
    <m/>
    <m/>
    <m/>
    <m/>
    <m/>
    <m/>
  </r>
  <r>
    <x v="180"/>
    <x v="20"/>
    <s v="NA"/>
    <n v="30034146.32"/>
    <n v="30034146.32"/>
    <m/>
    <m/>
    <n v="0"/>
    <n v="0"/>
    <m/>
    <n v="1"/>
    <n v="0"/>
    <n v="0"/>
    <n v="0"/>
    <m/>
    <s v="Private Equity Fund"/>
    <n v="3.8888899999999999E-3"/>
    <n v="0.30606998000000002"/>
    <n v="0"/>
    <n v="0"/>
    <m/>
    <m/>
    <m/>
    <m/>
    <m/>
    <m/>
    <m/>
    <m/>
  </r>
  <r>
    <x v="181"/>
    <x v="20"/>
    <s v="NA"/>
    <n v="29388526.884210601"/>
    <n v="29388526.884210601"/>
    <m/>
    <m/>
    <n v="0"/>
    <n v="-1050000"/>
    <m/>
    <n v="1"/>
    <n v="-1050000"/>
    <n v="-1050000"/>
    <n v="-1050000"/>
    <m/>
    <s v="Private Equity Fund"/>
    <n v="1.07429130462531E-2"/>
    <n v="0.33572165218501199"/>
    <n v="0"/>
    <n v="0"/>
    <m/>
    <m/>
    <m/>
    <m/>
    <m/>
    <m/>
    <m/>
    <m/>
  </r>
  <r>
    <x v="182"/>
    <x v="20"/>
    <s v="NA"/>
    <n v="29725696.643229801"/>
    <n v="29725696.643229801"/>
    <m/>
    <m/>
    <n v="0"/>
    <n v="0"/>
    <m/>
    <n v="1"/>
    <n v="0"/>
    <n v="0"/>
    <n v="0"/>
    <m/>
    <s v="Private Equity Fund"/>
    <n v="5.9582999999999997E-2"/>
    <n v="0.37268499999999999"/>
    <n v="0"/>
    <n v="0"/>
    <m/>
    <m/>
    <m/>
    <m/>
    <m/>
    <m/>
    <m/>
    <m/>
  </r>
  <r>
    <x v="183"/>
    <x v="20"/>
    <s v="NA"/>
    <n v="30120000"/>
    <n v="30120000"/>
    <m/>
    <m/>
    <n v="0"/>
    <n v="0"/>
    <m/>
    <n v="1"/>
    <n v="0"/>
    <n v="0"/>
    <n v="0"/>
    <m/>
    <s v="Private Equity Fund"/>
    <n v="6.3889000000000001E-2"/>
    <n v="0.4091204"/>
    <n v="0"/>
    <n v="0"/>
    <m/>
    <m/>
    <m/>
    <m/>
    <m/>
    <m/>
    <m/>
    <m/>
  </r>
  <r>
    <x v="184"/>
    <x v="20"/>
    <s v="NA"/>
    <n v="29449328.25"/>
    <n v="29449328.25"/>
    <m/>
    <m/>
    <n v="0"/>
    <n v="-1050000"/>
    <m/>
    <n v="1"/>
    <n v="-1050000"/>
    <n v="-1050000"/>
    <n v="-1050000"/>
    <m/>
    <s v="Private Equity Fund"/>
    <n v="6.8199999999999997E-2"/>
    <n v="0.48299999999999998"/>
    <n v="0"/>
    <n v="0"/>
    <m/>
    <m/>
    <m/>
    <m/>
    <m/>
    <m/>
    <m/>
    <m/>
  </r>
  <r>
    <x v="185"/>
    <x v="20"/>
    <s v="NA"/>
    <n v="29702703"/>
    <n v="29702703"/>
    <m/>
    <m/>
    <n v="0"/>
    <n v="0"/>
    <m/>
    <n v="1"/>
    <n v="0"/>
    <n v="0"/>
    <n v="0"/>
    <m/>
    <s v="Private Equity Fund"/>
    <n v="4.0277777777777803E-3"/>
    <n v="0.46650838256895905"/>
    <n v="0"/>
    <n v="0"/>
    <m/>
    <m/>
    <m/>
    <m/>
    <m/>
    <m/>
    <m/>
    <m/>
  </r>
  <r>
    <x v="186"/>
    <x v="20"/>
    <s v="NA"/>
    <n v="28997985.784473099"/>
    <n v="28997985.784473099"/>
    <m/>
    <m/>
    <n v="0"/>
    <n v="0"/>
    <m/>
    <n v="1"/>
    <n v="0"/>
    <n v="0"/>
    <n v="0"/>
    <m/>
    <s v="Private Equity Fund"/>
    <n v="4.4444444444444696E-3"/>
    <n v="0.49805931373997997"/>
    <n v="0"/>
    <n v="0"/>
    <m/>
    <m/>
    <m/>
    <m/>
    <m/>
    <m/>
    <m/>
    <m/>
  </r>
  <r>
    <x v="187"/>
    <x v="20"/>
    <s v="NA"/>
    <n v="29359187.583866201"/>
    <n v="29359187.583866201"/>
    <m/>
    <m/>
    <n v="0"/>
    <n v="-1050000"/>
    <m/>
    <n v="1"/>
    <n v="-1050000"/>
    <n v="-1050000"/>
    <n v="-1050000"/>
    <m/>
    <s v="Private Equity Fund"/>
    <n v="4.1666666666666293E-3"/>
    <n v="0.53104735610904796"/>
    <n v="0"/>
    <n v="0"/>
    <m/>
    <m/>
    <m/>
    <m/>
    <m/>
    <m/>
    <m/>
    <m/>
  </r>
  <r>
    <x v="188"/>
    <x v="20"/>
    <s v="NA"/>
    <n v="29768504.07"/>
    <n v="29768504.07"/>
    <m/>
    <m/>
    <n v="0"/>
    <n v="0"/>
    <m/>
    <n v="1"/>
    <n v="0"/>
    <n v="0"/>
    <n v="0"/>
    <m/>
    <s v="Private Equity Fund"/>
    <n v="4.0280000000000003E-3"/>
    <n v="0.56840400000000002"/>
    <n v="0"/>
    <n v="0"/>
    <m/>
    <m/>
    <m/>
    <m/>
    <m/>
    <m/>
    <m/>
    <m/>
  </r>
  <r>
    <x v="189"/>
    <x v="20"/>
    <s v="NA"/>
    <n v="29846675.48"/>
    <n v="29846675.48"/>
    <m/>
    <m/>
    <n v="0"/>
    <n v="0"/>
    <m/>
    <n v="1"/>
    <n v="0"/>
    <n v="0"/>
    <n v="0"/>
    <m/>
    <s v="Private Equity Fund"/>
    <n v="4.5830000000000003E-3"/>
    <n v="0.60749600000000004"/>
    <n v="0"/>
    <n v="0"/>
    <m/>
    <m/>
    <m/>
    <m/>
    <m/>
    <m/>
    <m/>
    <m/>
  </r>
  <r>
    <x v="190"/>
    <x v="20"/>
    <s v="NA"/>
    <n v="30452765.579999998"/>
    <n v="30452765.579999998"/>
    <m/>
    <m/>
    <n v="0"/>
    <n v="-1050000"/>
    <m/>
    <n v="1"/>
    <n v="-1050000"/>
    <n v="-1050000"/>
    <n v="-1050000"/>
    <m/>
    <s v="Private Equity Fund"/>
    <n v="3.8890000000000001E-3"/>
    <n v="0.63493299999999997"/>
    <n v="0"/>
    <n v="0"/>
    <m/>
    <m/>
    <m/>
    <m/>
    <m/>
    <m/>
    <m/>
    <m/>
  </r>
  <r>
    <x v="191"/>
    <x v="20"/>
    <s v="NA"/>
    <n v="29849416.3667624"/>
    <n v="29849416.3667624"/>
    <m/>
    <m/>
    <n v="0"/>
    <n v="0"/>
    <m/>
    <n v="1"/>
    <n v="0"/>
    <n v="0"/>
    <n v="0"/>
    <m/>
    <s v="Private Equity Fund"/>
    <n v="3.8890000000000001E-3"/>
    <n v="0.59619800000000001"/>
    <n v="0"/>
    <n v="0"/>
    <m/>
    <m/>
    <m/>
    <m/>
    <m/>
    <m/>
    <m/>
    <m/>
  </r>
  <r>
    <x v="192"/>
    <x v="20"/>
    <s v="NA"/>
    <n v="30289645.559999999"/>
    <n v="30289645.559999999"/>
    <m/>
    <m/>
    <n v="0"/>
    <n v="0"/>
    <m/>
    <n v="1"/>
    <n v="0"/>
    <n v="0"/>
    <n v="0"/>
    <m/>
    <s v="Private Equity Fund"/>
    <n v="4.44444E-3"/>
    <n v="3.1762400000000003E-2"/>
    <n v="0"/>
    <n v="0"/>
    <m/>
    <m/>
    <m/>
    <m/>
    <m/>
    <m/>
    <m/>
    <m/>
  </r>
  <r>
    <x v="193"/>
    <x v="20"/>
    <s v="NA"/>
    <n v="30704653.75"/>
    <n v="30704653.75"/>
    <m/>
    <m/>
    <n v="0"/>
    <n v="0"/>
    <m/>
    <n v="1"/>
    <n v="0"/>
    <n v="0"/>
    <n v="0"/>
    <m/>
    <s v="Private Equity Fund"/>
    <n v="4.3055600000000008E-3"/>
    <n v="0.62796079420812501"/>
    <n v="0"/>
    <n v="0"/>
    <m/>
    <m/>
    <m/>
    <m/>
    <m/>
    <m/>
    <m/>
    <m/>
  </r>
  <r>
    <x v="194"/>
    <x v="20"/>
    <s v="NA"/>
    <n v="30088729.640000001"/>
    <n v="30088729.640000001"/>
    <m/>
    <m/>
    <n v="0"/>
    <n v="0"/>
    <m/>
    <n v="1"/>
    <n v="0"/>
    <n v="0"/>
    <n v="0"/>
    <m/>
    <s v="Private Equity Fund"/>
    <n v="4.0277799999999999E-3"/>
    <n v="0.68920489514777905"/>
    <n v="0"/>
    <n v="0"/>
    <m/>
    <m/>
    <m/>
    <m/>
    <m/>
    <m/>
    <m/>
    <m/>
  </r>
  <r>
    <x v="195"/>
    <x v="20"/>
    <s v="NA"/>
    <n v="29514207.190000001"/>
    <n v="29514207.190000001"/>
    <m/>
    <m/>
    <n v="0"/>
    <n v="-1049949.1200000001"/>
    <m/>
    <n v="1"/>
    <n v="-1049949.1200000001"/>
    <n v="-1049949.1200000001"/>
    <n v="-1049949.1200000001"/>
    <m/>
    <s v="Private Equity Fund"/>
    <n v="4.4444444444444401E-3"/>
    <n v="0.72348503702799494"/>
    <n v="0"/>
    <n v="0"/>
    <m/>
    <m/>
    <m/>
    <m/>
    <m/>
    <m/>
    <m/>
    <m/>
  </r>
  <r>
    <x v="196"/>
    <x v="20"/>
    <s v="NA"/>
    <n v="29881298.626140095"/>
    <n v="29881298.626140095"/>
    <m/>
    <m/>
    <n v="0"/>
    <n v="0"/>
    <m/>
    <n v="1"/>
    <n v="0"/>
    <n v="0"/>
    <n v="0"/>
    <m/>
    <s v="Private Equity Fund"/>
    <n v="4.3055555555555599E-3"/>
    <n v="0.75001339393064204"/>
    <n v="0"/>
    <n v="0"/>
    <m/>
    <m/>
    <m/>
    <m/>
    <m/>
    <m/>
    <m/>
    <m/>
  </r>
  <r>
    <x v="197"/>
    <x v="20"/>
    <s v="NA"/>
    <n v="30441498.859999999"/>
    <n v="30441498.859999999"/>
    <m/>
    <m/>
    <n v="0"/>
    <n v="0"/>
    <m/>
    <n v="1"/>
    <n v="0"/>
    <n v="0"/>
    <n v="0"/>
    <m/>
    <s v="Private Equity Fund"/>
    <n v="4.0292080061562298E-2"/>
    <n v="0.122777777777778"/>
    <n v="0"/>
    <n v="0"/>
    <m/>
    <m/>
    <m/>
    <m/>
    <m/>
    <m/>
    <m/>
    <m/>
  </r>
  <r>
    <x v="198"/>
    <x v="20"/>
    <s v="NA"/>
    <n v="29230085.91"/>
    <n v="29230085.91"/>
    <m/>
    <m/>
    <n v="0"/>
    <n v="0"/>
    <m/>
    <n v="1"/>
    <n v="0"/>
    <n v="0"/>
    <n v="-29230085.91"/>
    <m/>
    <s v="Private Equity Fund"/>
    <n v="-1.1202120000000001E-2"/>
    <n v="0.12736111111111098"/>
    <n v="0"/>
    <n v="0"/>
    <m/>
    <m/>
    <m/>
    <m/>
    <m/>
    <m/>
    <m/>
    <m/>
  </r>
  <r>
    <x v="198"/>
    <x v="21"/>
    <s v="NA"/>
    <n v="30234637.591206037"/>
    <m/>
    <m/>
    <m/>
    <m/>
    <n v="1085000"/>
    <m/>
    <m/>
    <n v="1085000"/>
    <n v="0"/>
    <n v="-29149637.591206037"/>
    <m/>
    <s v="Private Equity Fund"/>
    <m/>
    <m/>
    <m/>
    <m/>
    <m/>
    <m/>
    <m/>
    <m/>
    <m/>
    <m/>
    <m/>
    <m/>
  </r>
  <r>
    <x v="235"/>
    <x v="22"/>
    <s v="NA"/>
    <n v="64557926.877264522"/>
    <n v="64557926.877264522"/>
    <m/>
    <n v="64557926.877264522"/>
    <n v="0"/>
    <n v="0"/>
    <m/>
    <n v="1"/>
    <n v="64557926.877264522"/>
    <n v="64557926.877264522"/>
    <n v="64557926.877264522"/>
    <m/>
    <s v="Private Equity Fund"/>
    <n v="0"/>
    <n v="0"/>
    <n v="0"/>
    <n v="0"/>
    <m/>
    <m/>
    <m/>
    <m/>
    <m/>
    <m/>
    <m/>
    <m/>
  </r>
  <r>
    <x v="58"/>
    <x v="23"/>
    <s v="NA"/>
    <n v="9005953.0999999996"/>
    <n v="9005953.0999999996"/>
    <m/>
    <n v="9005953.0999999996"/>
    <m/>
    <n v="0"/>
    <m/>
    <n v="1"/>
    <n v="9005953.0999999996"/>
    <n v="9005953.0999999996"/>
    <n v="9005953.0999999996"/>
    <m/>
    <s v="Private Equity Fund"/>
    <n v="0"/>
    <n v="0"/>
    <n v="0"/>
    <n v="0"/>
    <m/>
    <m/>
    <m/>
    <m/>
    <m/>
    <m/>
    <m/>
    <m/>
  </r>
  <r>
    <x v="59"/>
    <x v="23"/>
    <s v="NA"/>
    <n v="9005953.0999999996"/>
    <n v="9005953.0999999996"/>
    <m/>
    <m/>
    <m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60"/>
    <x v="23"/>
    <s v="NA"/>
    <n v="8850861.3900000006"/>
    <n v="8850861.390000000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61"/>
    <x v="23"/>
    <s v="NA"/>
    <n v="9501453.4678000007"/>
    <n v="9501453.467800000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236"/>
    <x v="24"/>
    <s v="NA"/>
    <n v="5882317.2199999997"/>
    <n v="5882317.2199999997"/>
    <m/>
    <n v="5882317.2199999997"/>
    <m/>
    <n v="0"/>
    <m/>
    <n v="1"/>
    <n v="5882317.2199999997"/>
    <n v="0"/>
    <n v="5882317.2199999997"/>
    <m/>
    <s v="Private Equity Fund"/>
    <n v="0"/>
    <n v="0"/>
    <n v="0"/>
    <n v="0"/>
    <m/>
    <m/>
    <m/>
    <m/>
    <m/>
    <m/>
    <m/>
    <m/>
  </r>
  <r>
    <x v="168"/>
    <x v="24"/>
    <s v="NA"/>
    <n v="5882317.2199999997"/>
    <n v="5882317.2199999997"/>
    <m/>
    <n v="0"/>
    <m/>
    <n v="0"/>
    <m/>
    <n v="1"/>
    <n v="0"/>
    <n v="0"/>
    <n v="0"/>
    <m/>
    <s v="Private Equity Fund"/>
    <n v="0.01"/>
    <n v="0"/>
    <n v="0"/>
    <n v="0"/>
    <m/>
    <m/>
    <m/>
    <m/>
    <m/>
    <m/>
    <m/>
    <m/>
  </r>
  <r>
    <x v="169"/>
    <x v="24"/>
    <s v="NA"/>
    <n v="5882317.2199999997"/>
    <n v="5882317.2199999997"/>
    <m/>
    <n v="0"/>
    <m/>
    <n v="0"/>
    <m/>
    <n v="1"/>
    <n v="0"/>
    <n v="0"/>
    <n v="0"/>
    <m/>
    <s v="Private Equity Fund"/>
    <n v="0.01"/>
    <n v="0"/>
    <n v="0"/>
    <n v="0"/>
    <m/>
    <m/>
    <m/>
    <m/>
    <m/>
    <m/>
    <m/>
    <m/>
  </r>
  <r>
    <x v="170"/>
    <x v="24"/>
    <s v="NA"/>
    <n v="7165813.2800000003"/>
    <n v="5723736.7302228762"/>
    <m/>
    <n v="1482030.3800000001"/>
    <m/>
    <n v="0"/>
    <m/>
    <n v="1.2519466945714974"/>
    <n v="1482030.3800000001"/>
    <n v="0"/>
    <n v="1482030.3800000001"/>
    <m/>
    <s v="Private Equity Fund"/>
    <n v="0.01"/>
    <n v="0"/>
    <n v="0"/>
    <n v="0"/>
    <m/>
    <m/>
    <m/>
    <m/>
    <m/>
    <m/>
    <m/>
    <m/>
  </r>
  <r>
    <x v="171"/>
    <x v="24"/>
    <s v="NA"/>
    <n v="7165813.2800000003"/>
    <n v="4270671.7252963977"/>
    <m/>
    <n v="2438115.8699999996"/>
    <m/>
    <n v="0"/>
    <m/>
    <n v="1.6779124552128089"/>
    <n v="2438115.8699999996"/>
    <n v="0"/>
    <n v="2438115.8699999996"/>
    <m/>
    <s v="Private Equity Fund"/>
    <n v="0.01"/>
    <n v="0"/>
    <n v="0"/>
    <n v="0"/>
    <m/>
    <m/>
    <m/>
    <m/>
    <m/>
    <m/>
    <m/>
    <m/>
  </r>
  <r>
    <x v="172"/>
    <x v="24"/>
    <s v="NA"/>
    <n v="7165813.2800000003"/>
    <n v="4270671.7252963977"/>
    <m/>
    <n v="0"/>
    <m/>
    <n v="0"/>
    <m/>
    <n v="1.6779124552128089"/>
    <n v="0"/>
    <n v="0"/>
    <n v="0"/>
    <m/>
    <s v="Private Equity Fund"/>
    <n v="0.01"/>
    <n v="0"/>
    <n v="0"/>
    <n v="0"/>
    <m/>
    <m/>
    <m/>
    <m/>
    <m/>
    <m/>
    <m/>
    <m/>
  </r>
  <r>
    <x v="173"/>
    <x v="24"/>
    <s v="NA"/>
    <n v="9258070.5699999984"/>
    <n v="5517612.4005979812"/>
    <m/>
    <n v="0"/>
    <m/>
    <n v="0"/>
    <m/>
    <n v="1.6779124552128089"/>
    <n v="0"/>
    <n v="0"/>
    <n v="0"/>
    <m/>
    <s v="Private Equity Fund"/>
    <n v="0.01"/>
    <n v="0"/>
    <n v="0"/>
    <n v="0"/>
    <m/>
    <m/>
    <m/>
    <m/>
    <m/>
    <m/>
    <m/>
    <m/>
  </r>
  <r>
    <x v="174"/>
    <x v="24"/>
    <s v="NA"/>
    <n v="9258070.5699999984"/>
    <n v="5517612.4005979812"/>
    <m/>
    <n v="0"/>
    <m/>
    <n v="0"/>
    <m/>
    <n v="1.6779124552128089"/>
    <n v="0"/>
    <n v="0"/>
    <n v="0"/>
    <m/>
    <s v="Private Equity Fund"/>
    <n v="0.01"/>
    <n v="0"/>
    <n v="0"/>
    <n v="0"/>
    <m/>
    <m/>
    <m/>
    <m/>
    <m/>
    <m/>
    <m/>
    <m/>
  </r>
  <r>
    <x v="175"/>
    <x v="24"/>
    <s v="NA"/>
    <n v="17698070.57"/>
    <n v="5517612.4005979812"/>
    <m/>
    <n v="8440000"/>
    <m/>
    <n v="0"/>
    <m/>
    <n v="3.2075595901013161"/>
    <n v="8440000"/>
    <n v="0"/>
    <n v="8440000"/>
    <m/>
    <s v="Private Equity Fund"/>
    <n v="0.01"/>
    <n v="0"/>
    <n v="0"/>
    <n v="0"/>
    <m/>
    <m/>
    <m/>
    <m/>
    <m/>
    <m/>
    <m/>
    <m/>
  </r>
  <r>
    <x v="176"/>
    <x v="24"/>
    <s v="NA"/>
    <n v="20366787.039999999"/>
    <n v="6349620.784241355"/>
    <m/>
    <n v="0"/>
    <m/>
    <n v="0"/>
    <m/>
    <n v="3.2075595901013161"/>
    <n v="0"/>
    <n v="0"/>
    <n v="0"/>
    <m/>
    <s v="Private Equity Fund"/>
    <n v="0.01"/>
    <n v="0"/>
    <n v="0"/>
    <n v="0"/>
    <m/>
    <m/>
    <m/>
    <m/>
    <m/>
    <m/>
    <m/>
    <m/>
  </r>
  <r>
    <x v="177"/>
    <x v="24"/>
    <s v="NA"/>
    <n v="20366787.039999999"/>
    <n v="6349620.784241355"/>
    <m/>
    <n v="0"/>
    <m/>
    <n v="0"/>
    <m/>
    <n v="3.2075595901013161"/>
    <n v="0"/>
    <n v="0"/>
    <n v="0"/>
    <m/>
    <s v="Private Equity Fund"/>
    <n v="0.01"/>
    <n v="0"/>
    <n v="0"/>
    <n v="0"/>
    <m/>
    <m/>
    <m/>
    <m/>
    <m/>
    <m/>
    <m/>
    <m/>
  </r>
  <r>
    <x v="178"/>
    <x v="24"/>
    <s v="NA"/>
    <n v="20366787.039999999"/>
    <n v="6349620.784241355"/>
    <m/>
    <n v="0"/>
    <m/>
    <n v="0"/>
    <m/>
    <n v="3.2075595901013161"/>
    <n v="0"/>
    <n v="0"/>
    <n v="0"/>
    <m/>
    <s v="Private Equity Fund"/>
    <n v="0.01"/>
    <n v="0"/>
    <n v="0"/>
    <n v="0"/>
    <m/>
    <m/>
    <m/>
    <m/>
    <m/>
    <m/>
    <m/>
    <m/>
  </r>
  <r>
    <x v="179"/>
    <x v="24"/>
    <s v="NA"/>
    <n v="20166787.039999999"/>
    <n v="6287268.084507511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</r>
  <r>
    <x v="180"/>
    <x v="24"/>
    <s v="NA"/>
    <n v="20610000"/>
    <n v="6425445.707572653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</r>
  <r>
    <x v="181"/>
    <x v="24"/>
    <s v="NA"/>
    <n v="20610000"/>
    <n v="6425445.707572653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</r>
  <r>
    <x v="182"/>
    <x v="24"/>
    <s v="NA"/>
    <n v="20580000"/>
    <n v="6416092.8026125766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</r>
  <r>
    <x v="183"/>
    <x v="24"/>
    <s v="NA"/>
    <n v="20513333.333333332"/>
    <n v="6395308.569367961"/>
    <m/>
    <n v="0"/>
    <m/>
    <n v="0"/>
    <m/>
    <n v="3.2075595901013161"/>
    <n v="0"/>
    <n v="0"/>
    <n v="0"/>
    <m/>
    <s v="Private Equity Fund"/>
    <n v="6.6666666666666666E-2"/>
    <n v="0"/>
    <n v="0"/>
    <n v="0"/>
    <m/>
    <m/>
    <m/>
    <m/>
    <m/>
    <m/>
    <m/>
    <m/>
  </r>
  <r>
    <x v="184"/>
    <x v="24"/>
    <s v="NA"/>
    <n v="22863291.360000003"/>
    <n v="6358398.9127377104"/>
    <m/>
    <n v="2482676.38"/>
    <m/>
    <n v="0"/>
    <m/>
    <n v="3.5957623410821586"/>
    <n v="2482676.38"/>
    <n v="0"/>
    <n v="2482676.38"/>
    <m/>
    <s v="Private Equity Fund"/>
    <n v="6.6666666666666666E-2"/>
    <n v="0"/>
    <n v="0"/>
    <n v="0"/>
    <m/>
    <m/>
    <m/>
    <m/>
    <m/>
    <m/>
    <m/>
    <m/>
  </r>
  <r>
    <x v="185"/>
    <x v="24"/>
    <s v="NA"/>
    <n v="26280631.400000002"/>
    <n v="7308778.753183878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</r>
  <r>
    <x v="186"/>
    <x v="24"/>
    <s v="NA"/>
    <n v="29023668.82"/>
    <n v="8071631.5670810472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</r>
  <r>
    <x v="187"/>
    <x v="24"/>
    <s v="NA"/>
    <n v="28970000"/>
    <n v="8056705.992221212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</r>
  <r>
    <x v="188"/>
    <x v="24"/>
    <s v="NA"/>
    <n v="28920000"/>
    <n v="8042800.7350720549"/>
    <m/>
    <n v="0"/>
    <m/>
    <n v="0"/>
    <m/>
    <n v="3.5957623410821586"/>
    <n v="0"/>
    <n v="0"/>
    <n v="0"/>
    <m/>
    <s v="Private Equity Fund"/>
    <n v="6.6666666666666666E-2"/>
    <n v="0"/>
    <n v="0"/>
    <n v="0"/>
    <m/>
    <m/>
    <m/>
    <m/>
    <m/>
    <m/>
    <m/>
    <m/>
  </r>
  <r>
    <x v="189"/>
    <x v="24"/>
    <s v="NA"/>
    <n v="28920000"/>
    <n v="8042800.7350720549"/>
    <m/>
    <n v="3650000"/>
    <m/>
    <n v="0"/>
    <m/>
    <n v="3.5957623410821586"/>
    <n v="3650000"/>
    <n v="0"/>
    <n v="3650000"/>
    <m/>
    <s v="Private Equity Fund"/>
    <n v="6.6666666666666666E-2"/>
    <n v="0"/>
    <n v="0"/>
    <n v="0"/>
    <m/>
    <m/>
    <m/>
    <m/>
    <m/>
    <m/>
    <m/>
    <m/>
  </r>
  <r>
    <x v="190"/>
    <x v="24"/>
    <s v="NA"/>
    <n v="30915762.989999998"/>
    <n v="8597832.68676644"/>
    <m/>
    <n v="1000000"/>
    <m/>
    <n v="0"/>
    <m/>
    <n v="3.5957623410821586"/>
    <n v="1000000"/>
    <n v="0"/>
    <n v="1000000"/>
    <m/>
    <s v="Private Equity Fund"/>
    <n v="6.6666666666666666E-2"/>
    <n v="0"/>
    <n v="0"/>
    <n v="0"/>
    <m/>
    <m/>
    <m/>
    <m/>
    <m/>
    <m/>
    <m/>
    <m/>
  </r>
  <r>
    <x v="191"/>
    <x v="24"/>
    <s v="NA"/>
    <n v="28961664.705082446"/>
    <n v="1.3974170941520785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</r>
  <r>
    <x v="192"/>
    <x v="24"/>
    <s v="NA"/>
    <n v="28961664.705082446"/>
    <n v="1.3974170941520785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</r>
  <r>
    <x v="193"/>
    <x v="24"/>
    <s v="NA"/>
    <n v="31846892.637449495"/>
    <n v="1.5366310127673031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</r>
  <r>
    <x v="194"/>
    <x v="24"/>
    <s v="NA"/>
    <n v="32262811.969999999"/>
    <n v="1.5566993614279518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</r>
  <r>
    <x v="195"/>
    <x v="24"/>
    <s v="NA"/>
    <n v="32262811.970753297"/>
    <n v="1.5566993614642988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</r>
  <r>
    <x v="196"/>
    <x v="24"/>
    <s v="NA"/>
    <n v="32262423.420308426"/>
    <n v="1.5566806136803184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</r>
  <r>
    <x v="197"/>
    <x v="24"/>
    <s v="NA"/>
    <n v="32430250.136189248"/>
    <n v="1.5647783499125216"/>
    <m/>
    <n v="0"/>
    <m/>
    <n v="0"/>
    <m/>
    <n v="20725139.850000001"/>
    <n v="0"/>
    <n v="0"/>
    <n v="0"/>
    <m/>
    <s v="Private Equity Fund"/>
    <n v="6.6666666666666666E-2"/>
    <n v="0"/>
    <n v="0"/>
    <n v="0"/>
    <m/>
    <m/>
    <m/>
    <m/>
    <m/>
    <m/>
    <m/>
    <m/>
  </r>
  <r>
    <x v="198"/>
    <x v="24"/>
    <s v="NA"/>
    <n v="32430250.136189248"/>
    <n v="1.5647783499125216"/>
    <m/>
    <n v="0"/>
    <m/>
    <n v="0"/>
    <m/>
    <n v="20725139.850000001"/>
    <n v="0"/>
    <n v="0"/>
    <n v="-32430250.136189248"/>
    <m/>
    <s v="Private Equity Fund"/>
    <n v="6.6666666666666666E-2"/>
    <n v="0"/>
    <n v="0"/>
    <n v="0"/>
    <m/>
    <m/>
    <m/>
    <m/>
    <m/>
    <m/>
    <m/>
    <m/>
  </r>
  <r>
    <x v="237"/>
    <x v="25"/>
    <s v="NA"/>
    <n v="6000000"/>
    <n v="1"/>
    <m/>
    <n v="6000000"/>
    <n v="0"/>
    <n v="0"/>
    <m/>
    <n v="6000000"/>
    <n v="6000000"/>
    <n v="1"/>
    <n v="6000000"/>
    <m/>
    <s v="Private Equity Fund"/>
    <n v="0"/>
    <n v="0"/>
    <n v="0"/>
    <n v="0"/>
    <m/>
    <m/>
    <m/>
    <m/>
    <m/>
    <m/>
    <m/>
    <m/>
  </r>
  <r>
    <x v="158"/>
    <x v="25"/>
    <s v="NA"/>
    <n v="6029534.29"/>
    <n v="0.93397272517868668"/>
    <m/>
    <n v="0"/>
    <n v="0"/>
    <n v="0"/>
    <m/>
    <n v="6455792.688000001"/>
    <n v="0"/>
    <n v="0"/>
    <n v="0"/>
    <m/>
    <s v="Private Equity Fund"/>
    <n v="4.8571248447222218E-3"/>
    <n v="0"/>
    <n v="0"/>
    <n v="0"/>
    <m/>
    <m/>
    <m/>
    <m/>
    <m/>
    <m/>
    <m/>
    <m/>
  </r>
  <r>
    <x v="159"/>
    <x v="25"/>
    <s v="NA"/>
    <n v="6065516.9800000004"/>
    <n v="0.93954643111055236"/>
    <m/>
    <n v="0"/>
    <n v="0"/>
    <n v="0"/>
    <m/>
    <n v="6455792.688000001"/>
    <n v="0"/>
    <n v="0"/>
    <n v="0"/>
    <m/>
    <s v="Private Equity Fund"/>
    <n v="5.2230840661111116E-3"/>
    <n v="0"/>
    <n v="0"/>
    <n v="0"/>
    <m/>
    <m/>
    <m/>
    <m/>
    <m/>
    <m/>
    <m/>
    <m/>
  </r>
  <r>
    <x v="160"/>
    <x v="25"/>
    <s v="NA"/>
    <n v="6110664.9000000004"/>
    <n v="0.94653982792205804"/>
    <m/>
    <n v="0"/>
    <n v="-9.3132257461547852E-10"/>
    <n v="0"/>
    <m/>
    <n v="6455792.6880000001"/>
    <n v="-9.3132257461547852E-10"/>
    <n v="0"/>
    <n v="-9.3132257461547852E-10"/>
    <m/>
    <s v="Private Equity Fund"/>
    <n v="5.2619614416666675E-3"/>
    <n v="0"/>
    <n v="0"/>
    <n v="0"/>
    <m/>
    <m/>
    <m/>
    <m/>
    <m/>
    <m/>
    <m/>
    <m/>
  </r>
  <r>
    <x v="161"/>
    <x v="25"/>
    <s v="NA"/>
    <n v="43164193.439999998"/>
    <n v="6.6861182702216286"/>
    <m/>
    <n v="37000000"/>
    <n v="0"/>
    <n v="0"/>
    <m/>
    <n v="6455792.6880000001"/>
    <n v="37000000"/>
    <n v="0"/>
    <n v="37000000"/>
    <m/>
    <s v="Private Equity Fund"/>
    <n v="3.5970161200000003E-2"/>
    <n v="0"/>
    <n v="0"/>
    <n v="0"/>
    <m/>
    <m/>
    <m/>
    <m/>
    <m/>
    <m/>
    <m/>
    <m/>
  </r>
  <r>
    <x v="162"/>
    <x v="25"/>
    <s v="NA"/>
    <n v="43162911.119999997"/>
    <n v="6.6859196393079703"/>
    <m/>
    <n v="7.4505805969238281E-9"/>
    <n v="0"/>
    <n v="0"/>
    <m/>
    <n v="6455792.688000001"/>
    <n v="7.4505805969238281E-9"/>
    <n v="0"/>
    <n v="7.4505805969238281E-9"/>
    <m/>
    <s v="Private Equity Fund"/>
    <n v="3.5969092599999995E-2"/>
    <n v="0"/>
    <n v="0"/>
    <n v="0"/>
    <m/>
    <m/>
    <m/>
    <m/>
    <m/>
    <m/>
    <m/>
    <m/>
  </r>
  <r>
    <x v="163"/>
    <x v="25"/>
    <s v="NA"/>
    <n v="43509559.960000001"/>
    <n v="6.7396154218017843"/>
    <m/>
    <n v="0"/>
    <n v="0"/>
    <n v="0"/>
    <m/>
    <n v="6455792.688000001"/>
    <n v="0"/>
    <n v="0"/>
    <n v="0"/>
    <m/>
    <s v="Private Equity Fund"/>
    <n v="3.7466565521111113E-2"/>
    <n v="0"/>
    <n v="0"/>
    <n v="0"/>
    <m/>
    <m/>
    <m/>
    <m/>
    <m/>
    <m/>
    <m/>
    <m/>
  </r>
  <r>
    <x v="164"/>
    <x v="25"/>
    <s v="NA"/>
    <n v="43776643.130000003"/>
    <n v="6.7809865102037481"/>
    <m/>
    <n v="0"/>
    <n v="0"/>
    <n v="0"/>
    <m/>
    <n v="6455792.688000001"/>
    <n v="0"/>
    <n v="0"/>
    <n v="0"/>
    <m/>
    <s v="Private Equity Fund"/>
    <n v="3.7696553806388887E-2"/>
    <n v="0"/>
    <n v="0"/>
    <n v="0"/>
    <m/>
    <m/>
    <m/>
    <m/>
    <m/>
    <m/>
    <m/>
    <m/>
  </r>
  <r>
    <x v="165"/>
    <x v="25"/>
    <s v="NA"/>
    <n v="43879503.289999999"/>
    <n v="6.7969195125430577"/>
    <m/>
    <n v="0"/>
    <n v="-7.4505805969238281E-9"/>
    <n v="0"/>
    <m/>
    <n v="6455792.6880000001"/>
    <n v="-7.4505805969238281E-9"/>
    <n v="0"/>
    <n v="-7.4505805969238281E-9"/>
    <m/>
    <s v="Private Equity Fund"/>
    <n v="3.5347377650277782E-2"/>
    <n v="0"/>
    <n v="0"/>
    <n v="0"/>
    <m/>
    <m/>
    <m/>
    <m/>
    <m/>
    <m/>
    <m/>
    <m/>
  </r>
  <r>
    <x v="166"/>
    <x v="25"/>
    <s v="NA"/>
    <n v="44314968.920000002"/>
    <n v="6.864372984338929"/>
    <m/>
    <n v="7.4505805969238281E-9"/>
    <n v="0"/>
    <n v="0"/>
    <m/>
    <n v="6455792.688000001"/>
    <n v="7.4505805969238281E-9"/>
    <n v="0"/>
    <n v="7.4505805969238281E-9"/>
    <m/>
    <s v="Private Equity Fund"/>
    <n v="3.8160112125555555E-2"/>
    <n v="0"/>
    <n v="0"/>
    <n v="0"/>
    <m/>
    <m/>
    <m/>
    <m/>
    <m/>
    <m/>
    <m/>
    <m/>
  </r>
  <r>
    <x v="167"/>
    <x v="25"/>
    <s v="NA"/>
    <n v="44597788.93"/>
    <n v="6.9081817036811257"/>
    <m/>
    <n v="0"/>
    <n v="0"/>
    <n v="0"/>
    <m/>
    <n v="6455792.688000001"/>
    <n v="0"/>
    <n v="0"/>
    <n v="0"/>
    <m/>
    <s v="Private Equity Fund"/>
    <n v="3.8403651578611107E-2"/>
    <n v="0"/>
    <n v="0"/>
    <n v="0"/>
    <m/>
    <m/>
    <m/>
    <m/>
    <m/>
    <m/>
    <m/>
    <m/>
  </r>
  <r>
    <x v="168"/>
    <x v="25"/>
    <s v="NA"/>
    <n v="44872543.729999997"/>
    <n v="6.9507411248519304"/>
    <m/>
    <n v="0"/>
    <n v="0"/>
    <n v="0"/>
    <m/>
    <n v="6455792.688000001"/>
    <n v="0"/>
    <n v="0"/>
    <n v="0"/>
    <m/>
    <s v="Private Equity Fund"/>
    <n v="3.6147326893611109E-2"/>
    <n v="0"/>
    <n v="0"/>
    <n v="0"/>
    <m/>
    <m/>
    <m/>
    <m/>
    <m/>
    <m/>
    <m/>
    <m/>
  </r>
  <r>
    <x v="169"/>
    <x v="25"/>
    <s v="NA"/>
    <n v="45159838.82"/>
    <n v="6.9952430325005501"/>
    <m/>
    <n v="0"/>
    <n v="-7.4505805969238281E-9"/>
    <n v="0"/>
    <m/>
    <n v="6455792.6880000001"/>
    <n v="-7.4505805969238281E-9"/>
    <n v="0"/>
    <n v="-7.4505805969238281E-9"/>
    <m/>
    <s v="Private Equity Fund"/>
    <n v="4.0142078951111111E-2"/>
    <n v="0"/>
    <n v="0"/>
    <n v="0"/>
    <m/>
    <m/>
    <m/>
    <m/>
    <m/>
    <m/>
    <m/>
    <m/>
  </r>
  <r>
    <x v="170"/>
    <x v="25"/>
    <s v="NA"/>
    <n v="45431340.859999999"/>
    <n v="7.0372986022998498"/>
    <m/>
    <n v="7.4505805969238281E-9"/>
    <n v="0"/>
    <n v="0"/>
    <m/>
    <n v="6455792.688000001"/>
    <n v="7.4505805969238281E-9"/>
    <n v="0"/>
    <n v="7.4505805969238281E-9"/>
    <m/>
    <s v="Private Equity Fund"/>
    <n v="3.7859450716666666E-2"/>
    <n v="0"/>
    <n v="0"/>
    <n v="0"/>
    <m/>
    <m/>
    <m/>
    <m/>
    <m/>
    <m/>
    <m/>
    <m/>
  </r>
  <r>
    <x v="171"/>
    <x v="25"/>
    <s v="NA"/>
    <n v="45716828.810000002"/>
    <n v="7.0815205846027629"/>
    <m/>
    <n v="0"/>
    <n v="-7.4505805969238281E-9"/>
    <n v="0"/>
    <m/>
    <n v="6455792.6880000001"/>
    <n v="-7.4505805969238281E-9"/>
    <n v="0"/>
    <n v="-7.4505805969238281E-9"/>
    <m/>
    <s v="Private Equity Fund"/>
    <n v="3.6827445430277779E-2"/>
    <n v="0"/>
    <n v="0"/>
    <n v="0"/>
    <m/>
    <m/>
    <m/>
    <m/>
    <m/>
    <m/>
    <m/>
    <m/>
  </r>
  <r>
    <x v="172"/>
    <x v="25"/>
    <s v="NA"/>
    <n v="46004700.630000003"/>
    <n v="7.1261118275240367"/>
    <m/>
    <n v="7.4505805969238281E-9"/>
    <n v="0"/>
    <n v="0"/>
    <m/>
    <n v="6455792.688000001"/>
    <n v="7.4505805969238281E-9"/>
    <n v="0"/>
    <n v="7.4505805969238281E-9"/>
    <m/>
    <s v="Private Equity Fund"/>
    <n v="4.2170975577500006E-2"/>
    <n v="0"/>
    <n v="0"/>
    <n v="0"/>
    <m/>
    <m/>
    <m/>
    <m/>
    <m/>
    <m/>
    <m/>
    <m/>
  </r>
  <r>
    <x v="173"/>
    <x v="25"/>
    <s v="NA"/>
    <n v="43164193.439999998"/>
    <n v="6.6861182702216286"/>
    <m/>
    <n v="0"/>
    <n v="-7.4505805969238281E-9"/>
    <n v="0"/>
    <m/>
    <n v="6455792.6880000001"/>
    <n v="-7.4505805969238281E-9"/>
    <n v="0"/>
    <n v="-7.4505805969238281E-9"/>
    <m/>
    <s v="Private Equity Fund"/>
    <n v="3.5970161200000003E-2"/>
    <n v="0"/>
    <n v="0"/>
    <n v="0"/>
    <m/>
    <m/>
    <m/>
    <m/>
    <m/>
    <m/>
    <m/>
    <m/>
  </r>
  <r>
    <x v="174"/>
    <x v="25"/>
    <s v="NA"/>
    <n v="46568592.829999998"/>
    <n v="7.2134585295097056"/>
    <m/>
    <n v="7.4505805969238281E-9"/>
    <n v="0"/>
    <n v="0"/>
    <m/>
    <n v="6455792.688000001"/>
    <n v="7.4505805969238281E-9"/>
    <n v="0"/>
    <n v="7.4505805969238281E-9"/>
    <m/>
    <s v="Private Equity Fund"/>
    <n v="4.0100732714722219E-2"/>
    <n v="0"/>
    <n v="0"/>
    <n v="0"/>
    <m/>
    <m/>
    <m/>
    <m/>
    <m/>
    <m/>
    <m/>
    <m/>
  </r>
  <r>
    <x v="175"/>
    <x v="25"/>
    <s v="NA"/>
    <n v="46845538.100000001"/>
    <n v="7.2563572537074004"/>
    <m/>
    <n v="0"/>
    <n v="0"/>
    <n v="0"/>
    <m/>
    <n v="6455792.688000001"/>
    <n v="0"/>
    <n v="0"/>
    <n v="0"/>
    <m/>
    <s v="Private Equity Fund"/>
    <n v="3.9037948416666669E-2"/>
    <n v="0"/>
    <n v="0"/>
    <n v="0"/>
    <m/>
    <m/>
    <m/>
    <m/>
    <m/>
    <m/>
    <m/>
    <m/>
  </r>
  <r>
    <x v="176"/>
    <x v="25"/>
    <s v="NA"/>
    <n v="47131785.739999995"/>
    <n v="7.3006969117221425"/>
    <m/>
    <n v="0"/>
    <n v="0"/>
    <n v="0"/>
    <m/>
    <n v="6455792.688000001"/>
    <n v="0"/>
    <n v="0"/>
    <n v="0"/>
    <m/>
    <s v="Private Equity Fund"/>
    <n v="3.9276488116666668E-2"/>
    <n v="0"/>
    <n v="0"/>
    <n v="0"/>
    <m/>
    <m/>
    <m/>
    <m/>
    <m/>
    <m/>
    <m/>
    <m/>
  </r>
  <r>
    <x v="177"/>
    <x v="25"/>
    <s v="NA"/>
    <n v="47423009.82"/>
    <n v="7.3458074185296693"/>
    <m/>
    <n v="0"/>
    <n v="0"/>
    <n v="0"/>
    <m/>
    <n v="6455792.688000001"/>
    <n v="0"/>
    <n v="0"/>
    <n v="0"/>
    <m/>
    <s v="Private Equity Fund"/>
    <n v="3.6884563193333331E-2"/>
    <n v="0"/>
    <n v="0"/>
    <n v="0"/>
    <m/>
    <m/>
    <m/>
    <m/>
    <m/>
    <m/>
    <m/>
    <m/>
  </r>
  <r>
    <x v="178"/>
    <x v="25"/>
    <s v="NA"/>
    <n v="47683967.149999999"/>
    <n v="7.3862296164860988"/>
    <m/>
    <n v="0"/>
    <n v="-7.4505805969238281E-9"/>
    <n v="0"/>
    <m/>
    <n v="6455792.6880000001"/>
    <n v="-7.4505805969238281E-9"/>
    <n v="0"/>
    <n v="-7.4505805969238281E-9"/>
    <m/>
    <s v="Private Equity Fund"/>
    <n v="4.2385748577777778E-2"/>
    <n v="0"/>
    <n v="0"/>
    <n v="0"/>
    <m/>
    <m/>
    <m/>
    <m/>
    <m/>
    <m/>
    <m/>
    <m/>
  </r>
  <r>
    <x v="179"/>
    <x v="25"/>
    <s v="NA"/>
    <n v="47979602.689999998"/>
    <n v="7.4320234568845862"/>
    <m/>
    <n v="0"/>
    <n v="0"/>
    <n v="0"/>
    <m/>
    <n v="6455792.6880000001"/>
    <n v="0"/>
    <n v="0"/>
    <n v="0"/>
    <m/>
    <s v="Private Equity Fund"/>
    <n v="4.1315768983055556E-2"/>
    <n v="0"/>
    <n v="0"/>
    <n v="0"/>
    <m/>
    <m/>
    <m/>
    <m/>
    <m/>
    <m/>
    <m/>
    <m/>
  </r>
  <r>
    <x v="180"/>
    <x v="25"/>
    <s v="NA"/>
    <n v="48266683.539999999"/>
    <n v="7.4764921788331122"/>
    <m/>
    <n v="7.4505805969238281E-9"/>
    <n v="0"/>
    <n v="0"/>
    <m/>
    <n v="6455792.688000001"/>
    <n v="7.4505805969238281E-9"/>
    <n v="0"/>
    <n v="7.4505805969238281E-9"/>
    <m/>
    <s v="Private Equity Fund"/>
    <n v="3.754075386444445E-2"/>
    <n v="0"/>
    <n v="0"/>
    <n v="0"/>
    <m/>
    <m/>
    <m/>
    <m/>
    <m/>
    <m/>
    <m/>
    <m/>
  </r>
  <r>
    <x v="181"/>
    <x v="25"/>
    <s v="NA"/>
    <n v="48567053.369999997"/>
    <n v="7.523019359075179"/>
    <m/>
    <n v="0"/>
    <n v="0"/>
    <n v="0"/>
    <m/>
    <n v="6455792.688000001"/>
    <n v="0"/>
    <n v="0"/>
    <n v="0"/>
    <m/>
    <s v="Private Equity Fund"/>
    <n v="4.4519798922499992E-2"/>
    <n v="0"/>
    <n v="0"/>
    <n v="0"/>
    <m/>
    <m/>
    <m/>
    <m/>
    <m/>
    <m/>
    <m/>
    <m/>
  </r>
  <r>
    <x v="182"/>
    <x v="25"/>
    <s v="NA"/>
    <n v="48835531.810000002"/>
    <n v="7.5646065743057811"/>
    <m/>
    <n v="7.4505805969238281E-9"/>
    <n v="0"/>
    <n v="0"/>
    <m/>
    <n v="6455792.6880000019"/>
    <n v="7.4505805969238281E-9"/>
    <n v="0"/>
    <n v="7.4505805969238281E-9"/>
    <m/>
    <s v="Private Equity Fund"/>
    <n v="4.0696276508333337E-2"/>
    <n v="0"/>
    <n v="0"/>
    <n v="0"/>
    <m/>
    <m/>
    <m/>
    <m/>
    <m/>
    <m/>
    <m/>
    <m/>
  </r>
  <r>
    <x v="183"/>
    <x v="25"/>
    <s v="NA"/>
    <n v="49113008.232000001"/>
    <n v="7.6075875737600827"/>
    <m/>
    <n v="0"/>
    <n v="-1.4901161193847656E-8"/>
    <n v="0"/>
    <m/>
    <n v="6455792.6880000001"/>
    <n v="-1.4901161193847656E-8"/>
    <n v="0"/>
    <n v="-1.4901161193847656E-8"/>
    <m/>
    <s v="Private Equity Fund"/>
    <n v="4.2291757088666664E-2"/>
    <n v="0"/>
    <n v="0"/>
    <n v="0"/>
    <m/>
    <m/>
    <m/>
    <m/>
    <m/>
    <m/>
    <m/>
    <m/>
  </r>
  <r>
    <x v="184"/>
    <x v="25"/>
    <s v="NA"/>
    <n v="37218551.07"/>
    <n v="5.7651403737269442"/>
    <m/>
    <n v="7.4505805969238281E-9"/>
    <n v="0"/>
    <n v="0"/>
    <m/>
    <n v="6455792.688000001"/>
    <n v="7.4505805969238281E-9"/>
    <n v="0"/>
    <n v="7.4505805969238281E-9"/>
    <m/>
    <s v="Private Equity Fund"/>
    <n v="3.2049307865833335E-2"/>
    <n v="0"/>
    <n v="0"/>
    <n v="0"/>
    <m/>
    <m/>
    <m/>
    <m/>
    <m/>
    <m/>
    <m/>
    <m/>
  </r>
  <r>
    <x v="185"/>
    <x v="25"/>
    <s v="NA"/>
    <n v="37503984.410000004"/>
    <n v="5.8093538969602063"/>
    <m/>
    <n v="0"/>
    <n v="-7.4505805969238281E-9"/>
    <n v="0"/>
    <m/>
    <n v="6455792.6880000001"/>
    <n v="-7.4505805969238281E-9"/>
    <n v="0"/>
    <n v="-7.4505805969238281E-9"/>
    <m/>
    <s v="Private Equity Fund"/>
    <n v="3.0211542996944448E-2"/>
    <n v="0"/>
    <n v="0"/>
    <n v="0"/>
    <m/>
    <m/>
    <m/>
    <m/>
    <m/>
    <m/>
    <m/>
    <m/>
  </r>
  <r>
    <x v="186"/>
    <x v="25"/>
    <s v="NA"/>
    <n v="37000828.369999997"/>
    <n v="5.7314152046389246"/>
    <m/>
    <n v="0"/>
    <n v="0"/>
    <n v="0"/>
    <m/>
    <n v="6455792.688000001"/>
    <n v="0"/>
    <n v="0"/>
    <n v="0"/>
    <m/>
    <s v="Private Equity Fund"/>
    <n v="3.2889625217777781E-2"/>
    <n v="0"/>
    <n v="0"/>
    <n v="0"/>
    <m/>
    <m/>
    <m/>
    <m/>
    <m/>
    <m/>
    <m/>
    <m/>
  </r>
  <r>
    <x v="187"/>
    <x v="25"/>
    <s v="NA"/>
    <n v="36413162.460000001"/>
    <n v="5.6403859633975895"/>
    <m/>
    <n v="0"/>
    <n v="0"/>
    <n v="0"/>
    <m/>
    <n v="6455792.688000001"/>
    <n v="0"/>
    <n v="0"/>
    <n v="0"/>
    <m/>
    <s v="Private Equity Fund"/>
    <n v="3.0344302050000004E-2"/>
    <n v="0"/>
    <n v="0"/>
    <n v="0"/>
    <m/>
    <m/>
    <m/>
    <m/>
    <m/>
    <m/>
    <m/>
    <m/>
  </r>
  <r>
    <x v="188"/>
    <x v="25"/>
    <s v="NA"/>
    <n v="36282978.420000002"/>
    <n v="5.620220501727486"/>
    <m/>
    <n v="0"/>
    <n v="0"/>
    <n v="0"/>
    <m/>
    <n v="6455792.688000001"/>
    <n v="0"/>
    <n v="0"/>
    <n v="0"/>
    <m/>
    <s v="Private Equity Fund"/>
    <n v="2.9227954838333334E-2"/>
    <n v="0"/>
    <n v="0"/>
    <n v="0"/>
    <m/>
    <m/>
    <m/>
    <m/>
    <m/>
    <m/>
    <m/>
    <m/>
  </r>
  <r>
    <x v="189"/>
    <x v="25"/>
    <s v="NA"/>
    <n v="36114709.079999998"/>
    <n v="5.5941556405814978"/>
    <m/>
    <n v="0"/>
    <n v="0"/>
    <n v="0"/>
    <m/>
    <n v="6455792.688000001"/>
    <n v="0"/>
    <n v="0"/>
    <n v="0"/>
    <m/>
    <s v="Private Equity Fund"/>
    <n v="3.3105149989999992E-2"/>
    <n v="0"/>
    <n v="0"/>
    <n v="0"/>
    <m/>
    <m/>
    <m/>
    <m/>
    <m/>
    <m/>
    <m/>
    <m/>
  </r>
  <r>
    <x v="190"/>
    <x v="25"/>
    <s v="NA"/>
    <n v="35559287.539999999"/>
    <n v="5.5081210408285637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1"/>
    <x v="25"/>
    <s v="NA"/>
    <n v="58431109.219999999"/>
    <n v="9.0509581152770728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2"/>
    <x v="25"/>
    <s v="NA"/>
    <n v="58574142.509999998"/>
    <n v="9.0731139212195213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3"/>
    <x v="25"/>
    <s v="NA"/>
    <n v="58439031.590000004"/>
    <n v="9.0521852875830753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4"/>
    <x v="25"/>
    <s v="NA"/>
    <n v="62354903.359999999"/>
    <n v="9.6587524373118452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5"/>
    <x v="25"/>
    <s v="NA"/>
    <n v="62482244.009999998"/>
    <n v="9.6784774588783993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6"/>
    <x v="25"/>
    <s v="NA"/>
    <n v="63199695.780000001"/>
    <n v="9.789610483848918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7"/>
    <x v="25"/>
    <s v="NA"/>
    <n v="63801975.060000002"/>
    <n v="9.8829033309255472"/>
    <m/>
    <n v="0"/>
    <n v="0"/>
    <n v="0"/>
    <m/>
    <n v="6455792.688000001"/>
    <n v="0"/>
    <n v="0"/>
    <n v="0"/>
    <m/>
    <s v="Private Equity Fund"/>
    <n v="2.7657223642222225E-2"/>
    <n v="0"/>
    <n v="0"/>
    <n v="0"/>
    <m/>
    <m/>
    <m/>
    <m/>
    <m/>
    <m/>
    <m/>
    <m/>
  </r>
  <r>
    <x v="198"/>
    <x v="25"/>
    <s v="NA"/>
    <n v="61725396.090000004"/>
    <n v="9.5612419842314473"/>
    <m/>
    <n v="0"/>
    <n v="0"/>
    <n v="0"/>
    <m/>
    <n v="6455792.688000001"/>
    <n v="0"/>
    <n v="0"/>
    <n v="-61725396.090000004"/>
    <m/>
    <s v="Private Equity Fund"/>
    <n v="1.298443E-2"/>
    <n v="0"/>
    <n v="0"/>
    <n v="0"/>
    <m/>
    <m/>
    <m/>
    <m/>
    <m/>
    <m/>
    <m/>
    <m/>
  </r>
  <r>
    <x v="238"/>
    <x v="26"/>
    <s v="NA"/>
    <n v="50000000"/>
    <n v="1000"/>
    <m/>
    <n v="50000000"/>
    <n v="0"/>
    <n v="0"/>
    <m/>
    <n v="50000"/>
    <n v="50000000"/>
    <n v="1000"/>
    <n v="1000"/>
    <m/>
    <s v="Hedge Fund"/>
    <n v="0"/>
    <n v="0"/>
    <n v="0"/>
    <n v="0"/>
    <s v="ARF"/>
    <n v="2.6789999999999998"/>
    <s v="HRF"/>
    <n v="0.25"/>
    <s v="COP2"/>
    <n v="7.0709999999999997"/>
    <s v="COTT"/>
    <n v="0"/>
  </r>
  <r>
    <x v="141"/>
    <x v="26"/>
    <s v="NA"/>
    <n v="65719262.410500407"/>
    <n v="1314.3900000000003"/>
    <m/>
    <n v="65719262.410500407"/>
    <n v="0"/>
    <n v="0"/>
    <m/>
    <n v="49999.819239723671"/>
    <n v="65719262.410500407"/>
    <n v="0"/>
    <n v="0"/>
    <m/>
    <s v="Hedge Fund"/>
    <n v="1.5170961304347828E-2"/>
    <n v="0"/>
    <n v="3.0341922608695658E-3"/>
    <n v="0"/>
    <s v="ARF"/>
    <n v="3.5212508100000002"/>
    <s v="HRF"/>
    <n v="0.32859750000000004"/>
    <s v="COP2"/>
    <n v="9.2940516899999999"/>
    <s v="COTT"/>
    <n v="0"/>
  </r>
  <r>
    <x v="142"/>
    <x v="26"/>
    <s v="NA"/>
    <n v="62213438.039310001"/>
    <n v="1244.27"/>
    <m/>
    <n v="162.95389903336763"/>
    <n v="0"/>
    <n v="0"/>
    <m/>
    <n v="49999.950203179375"/>
    <n v="162.95389903336763"/>
    <n v="0"/>
    <n v="0"/>
    <m/>
    <s v="Hedge Fund"/>
    <n v="3.3333333333333333E-2"/>
    <n v="0"/>
    <n v="6.6666666666666671E-3"/>
    <n v="0"/>
    <s v="ARF"/>
    <n v="3.3333993299999998"/>
    <s v="HRF"/>
    <n v="0.3110675"/>
    <s v="COP2"/>
    <n v="8.7982331699999996"/>
    <s v="COTT"/>
    <n v="0"/>
  </r>
  <r>
    <x v="143"/>
    <x v="26"/>
    <s v="NA"/>
    <n v="57041331.74453"/>
    <n v="1140.83"/>
    <m/>
    <n v="0"/>
    <n v="-111.44576312601566"/>
    <n v="0"/>
    <m/>
    <n v="49999.852514861988"/>
    <n v="-111.44576312601566"/>
    <n v="0"/>
    <n v="0"/>
    <m/>
    <s v="Hedge Fund"/>
    <n v="3.3333333333333333E-2"/>
    <n v="0"/>
    <n v="6.6666666666666671E-3"/>
    <n v="0"/>
    <s v="ARF"/>
    <n v="3.0562835699999997"/>
    <s v="HRF"/>
    <n v="0.2852075"/>
    <s v="COP2"/>
    <n v="8.0668089299999988"/>
    <s v="COTT"/>
    <n v="0"/>
  </r>
  <r>
    <x v="144"/>
    <x v="26"/>
    <s v="NA"/>
    <n v="57321785.130564995"/>
    <n v="1146.44"/>
    <m/>
    <n v="0"/>
    <n v="-45.786573387682438"/>
    <n v="0"/>
    <m/>
    <n v="49999.812576816053"/>
    <n v="-45.786573387682438"/>
    <n v="0"/>
    <n v="0"/>
    <m/>
    <s v="Hedge Fund"/>
    <n v="3.3333333333333333E-2"/>
    <n v="0"/>
    <n v="6.6666666666666671E-3"/>
    <n v="0"/>
    <s v="ARF"/>
    <n v="3.0713127600000001"/>
    <s v="HRF"/>
    <n v="0.28661000000000003"/>
    <s v="COP2"/>
    <n v="8.1064772400000003"/>
    <s v="COTT"/>
    <n v="0"/>
  </r>
  <r>
    <x v="145"/>
    <x v="26"/>
    <s v="NA"/>
    <n v="56000990.289800003"/>
    <n v="1120.02"/>
    <m/>
    <n v="200.20751448720694"/>
    <n v="0"/>
    <n v="0"/>
    <m/>
    <n v="49999.991330333389"/>
    <n v="200.20751448720694"/>
    <n v="0"/>
    <n v="0"/>
    <m/>
    <s v="Hedge Fund"/>
    <n v="3.3333333333333333E-2"/>
    <n v="0"/>
    <n v="6.6666666666666671E-3"/>
    <n v="0"/>
    <s v="ARF"/>
    <n v="3.0005335799999999"/>
    <s v="HRF"/>
    <n v="0.280005"/>
    <s v="COP2"/>
    <n v="7.9196614199999997"/>
    <s v="COTT"/>
    <n v="0"/>
  </r>
  <r>
    <x v="146"/>
    <x v="26"/>
    <s v="NA"/>
    <n v="56809260.847825803"/>
    <n v="1136.19"/>
    <m/>
    <n v="0"/>
    <n v="-229.30178569257259"/>
    <n v="0"/>
    <m/>
    <n v="49999.789513924436"/>
    <n v="-229.30178569257259"/>
    <n v="0"/>
    <n v="0"/>
    <m/>
    <s v="Hedge Fund"/>
    <n v="3.3333333333333333E-2"/>
    <n v="0"/>
    <n v="6.6666666666666671E-3"/>
    <n v="0"/>
    <s v="ARF"/>
    <n v="3.0438530100000003"/>
    <s v="HRF"/>
    <n v="0.28404750000000001"/>
    <s v="COP2"/>
    <n v="8.0339994900000011"/>
    <s v="COTT"/>
    <n v="0"/>
  </r>
  <r>
    <x v="147"/>
    <x v="26"/>
    <s v="NA"/>
    <n v="55882347.575962074"/>
    <n v="1117.6500000000001"/>
    <m/>
    <n v="82.825724422931671"/>
    <n v="0"/>
    <n v="0"/>
    <m/>
    <n v="49999.863620956537"/>
    <n v="82.825724422931671"/>
    <n v="0"/>
    <n v="0"/>
    <m/>
    <s v="Hedge Fund"/>
    <n v="3.3333333333333333E-2"/>
    <n v="0"/>
    <n v="6.6666666666666671E-3"/>
    <n v="0"/>
    <s v="ARF"/>
    <n v="2.9941843500000003"/>
    <s v="HRF"/>
    <n v="0.27941250000000001"/>
    <s v="COP2"/>
    <n v="7.902903150000002"/>
    <s v="COTT"/>
    <n v="0"/>
  </r>
  <r>
    <x v="148"/>
    <x v="26"/>
    <s v="NA"/>
    <n v="51967128.741489731"/>
    <n v="1039.3399999999999"/>
    <m/>
    <n v="270.48568476736546"/>
    <n v="0"/>
    <n v="0"/>
    <m/>
    <n v="50000.123868502829"/>
    <n v="270.48568476736546"/>
    <n v="0"/>
    <n v="0"/>
    <m/>
    <s v="Hedge Fund"/>
    <n v="3.3333333333333333E-2"/>
    <n v="0"/>
    <n v="6.6666666666666671E-3"/>
    <n v="0"/>
    <s v="ARF"/>
    <n v="2.7843918599999999"/>
    <s v="HRF"/>
    <n v="0.25983499999999998"/>
    <s v="COP2"/>
    <n v="7.3491731400000004"/>
    <s v="COTT"/>
    <n v="0"/>
  </r>
  <r>
    <x v="149"/>
    <x v="26"/>
    <s v="NA"/>
    <n v="51496411.199453689"/>
    <n v="1029.9300000000003"/>
    <m/>
    <n v="0"/>
    <n v="-216.37643344700336"/>
    <n v="0"/>
    <m/>
    <n v="49999.913780017749"/>
    <n v="-216.37643344700336"/>
    <n v="0"/>
    <n v="0"/>
    <m/>
    <s v="Hedge Fund"/>
    <n v="3.3333333333333333E-2"/>
    <n v="0"/>
    <n v="6.6666666666666671E-3"/>
    <n v="0"/>
    <s v="ARF"/>
    <n v="2.7591824700000003"/>
    <s v="HRF"/>
    <n v="0.2574825"/>
    <s v="COP2"/>
    <n v="7.2826350300000016"/>
    <s v="COTT"/>
    <n v="0"/>
  </r>
  <r>
    <x v="1"/>
    <x v="26"/>
    <s v="NA"/>
    <n v="56652346.486825034"/>
    <n v="1133.05"/>
    <m/>
    <n v="0"/>
    <n v="-55.82162407040596"/>
    <n v="0"/>
    <m/>
    <n v="49999.864513326895"/>
    <n v="-55.82162407040596"/>
    <n v="0"/>
    <n v="0"/>
    <m/>
    <s v="Hedge Fund"/>
    <n v="3.3333333333333333E-2"/>
    <n v="0"/>
    <n v="6.6666666666666671E-3"/>
    <n v="0"/>
    <s v="ARF"/>
    <n v="3.0354409499999999"/>
    <s v="HRF"/>
    <n v="0.28326249999999997"/>
    <s v="COP2"/>
    <n v="8.0117965500000015"/>
    <s v="COTT"/>
    <n v="0"/>
  </r>
  <r>
    <x v="2"/>
    <x v="26"/>
    <s v="NA"/>
    <n v="59214739.683031447"/>
    <n v="1184.29"/>
    <m/>
    <n v="400.13854353874922"/>
    <n v="0"/>
    <n v="0"/>
    <m/>
    <n v="50000.202385422024"/>
    <n v="400.13854353874922"/>
    <n v="0"/>
    <n v="0"/>
    <m/>
    <s v="Hedge Fund"/>
    <n v="3.3333333333333333E-2"/>
    <n v="0"/>
    <n v="6.6666666666666671E-3"/>
    <n v="0"/>
    <s v="ARF"/>
    <n v="3.17271291"/>
    <s v="HRF"/>
    <n v="0.29607250000000002"/>
    <s v="COP2"/>
    <n v="8.3741145900000014"/>
    <s v="COTT"/>
    <n v="0"/>
  </r>
  <r>
    <x v="3"/>
    <x v="26"/>
    <s v="NA"/>
    <n v="57274374.746451333"/>
    <n v="1145.49"/>
    <m/>
    <n v="0"/>
    <n v="-357.08402574062347"/>
    <n v="0"/>
    <m/>
    <n v="49999.890655048352"/>
    <n v="-357.08402574062347"/>
    <n v="0"/>
    <n v="0"/>
    <m/>
    <s v="Hedge Fund"/>
    <n v="3.3333333333333333E-2"/>
    <n v="0"/>
    <n v="6.6666666666666671E-3"/>
    <n v="0"/>
    <s v="ARF"/>
    <n v="3.0687677099999999"/>
    <s v="HRF"/>
    <n v="0.28637250000000003"/>
    <s v="COP2"/>
    <n v="8.099759790000002"/>
    <s v="COTT"/>
    <n v="0"/>
  </r>
  <r>
    <x v="4"/>
    <x v="26"/>
    <s v="NA"/>
    <n v="62937256.873457022"/>
    <n v="1258.7499999999998"/>
    <m/>
    <n v="0"/>
    <n v="-105.48858507722616"/>
    <n v="0"/>
    <m/>
    <n v="49999.806850809953"/>
    <n v="-105.48858507722616"/>
    <n v="0"/>
    <n v="0"/>
    <m/>
    <s v="Hedge Fund"/>
    <n v="3.3333333333333333E-2"/>
    <n v="0"/>
    <n v="6.6666666666666671E-3"/>
    <n v="0"/>
    <s v="ARF"/>
    <n v="3.3721912499999998"/>
    <s v="HRF"/>
    <n v="0.31468750000000001"/>
    <s v="COP2"/>
    <n v="8.9006212500000021"/>
    <s v="COTT"/>
    <n v="0"/>
  </r>
  <r>
    <x v="5"/>
    <x v="26"/>
    <s v="NA"/>
    <n v="69559589.841135517"/>
    <n v="1391.19"/>
    <m/>
    <n v="358.54835721850395"/>
    <n v="0"/>
    <n v="0"/>
    <m/>
    <n v="50000.064578623707"/>
    <n v="358.54835721850395"/>
    <n v="0"/>
    <n v="0"/>
    <m/>
    <s v="Hedge Fund"/>
    <n v="3.3333333333333333E-2"/>
    <n v="0"/>
    <n v="6.6666666666666671E-3"/>
    <n v="0"/>
    <s v="ARF"/>
    <n v="3.72699801"/>
    <s v="HRF"/>
    <n v="0.34779750000000004"/>
    <s v="COP2"/>
    <n v="9.8371044900000033"/>
    <s v="COTT"/>
    <n v="0"/>
  </r>
  <r>
    <x v="6"/>
    <x v="26"/>
    <s v="NA"/>
    <n v="71305982.316969454"/>
    <n v="1426.1200000000001"/>
    <m/>
    <n v="0"/>
    <n v="-109.77989739179611"/>
    <n v="0"/>
    <m/>
    <n v="49999.987600601249"/>
    <n v="-109.77989739179611"/>
    <n v="0"/>
    <n v="0"/>
    <m/>
    <s v="Hedge Fund"/>
    <n v="3.3333333333333333E-2"/>
    <n v="0"/>
    <n v="6.6666666666666671E-3"/>
    <n v="0"/>
    <s v="ARF"/>
    <n v="3.8205754799999996"/>
    <s v="HRF"/>
    <n v="0.35652999999999996"/>
    <s v="COP2"/>
    <n v="10.084094520000003"/>
    <s v="COTT"/>
    <n v="0"/>
  </r>
  <r>
    <x v="7"/>
    <x v="26"/>
    <s v="NA"/>
    <n v="67879116.421086162"/>
    <n v="1357.58"/>
    <m/>
    <n v="133.25426192581654"/>
    <n v="0"/>
    <n v="0"/>
    <m/>
    <n v="50000.085756335662"/>
    <n v="133.25426192581654"/>
    <n v="0"/>
    <n v="0"/>
    <m/>
    <s v="Hedge Fund"/>
    <n v="3.3333333333333333E-2"/>
    <n v="0"/>
    <n v="6.6666666666666671E-3"/>
    <n v="0"/>
    <s v="ARF"/>
    <n v="3.6369568199999995"/>
    <s v="HRF"/>
    <n v="0.339395"/>
    <s v="COP2"/>
    <n v="9.5994481800000031"/>
    <s v="COTT"/>
    <n v="0"/>
  </r>
  <r>
    <x v="8"/>
    <x v="26"/>
    <s v="NA"/>
    <n v="63560487.165880002"/>
    <n v="1271.21"/>
    <m/>
    <n v="0"/>
    <n v="-121.84843145310879"/>
    <n v="0"/>
    <m/>
    <n v="49999.989904012713"/>
    <n v="-121.84843145310879"/>
    <n v="0"/>
    <n v="0"/>
    <m/>
    <s v="Hedge Fund"/>
    <n v="3.3333333333333333E-2"/>
    <n v="0"/>
    <n v="6.6666666666666671E-3"/>
    <n v="0"/>
    <s v="ARF"/>
    <n v="3.4055715900000001"/>
    <s v="HRF"/>
    <n v="0.31780250000000004"/>
    <s v="COP2"/>
    <n v="8.988725910000003"/>
    <s v="COTT"/>
    <n v="0"/>
  </r>
  <r>
    <x v="9"/>
    <x v="26"/>
    <s v="NA"/>
    <n v="62681149.760169737"/>
    <n v="1253.6199999999997"/>
    <m/>
    <n v="162.41670133918524"/>
    <n v="0"/>
    <n v="0"/>
    <m/>
    <n v="50000.119462173345"/>
    <n v="162.41670133918524"/>
    <n v="0"/>
    <n v="0"/>
    <m/>
    <s v="Hedge Fund"/>
    <n v="3.3333333333333333E-2"/>
    <n v="0"/>
    <n v="6.6666666666666671E-3"/>
    <n v="0"/>
    <s v="ARF"/>
    <n v="3.3584479799999998"/>
    <s v="HRF"/>
    <n v="0.31340499999999999"/>
    <s v="COP2"/>
    <n v="8.8643470200000021"/>
    <s v="COTT"/>
    <n v="0"/>
  </r>
  <r>
    <x v="10"/>
    <x v="26"/>
    <s v="NA"/>
    <n v="70171356.072159603"/>
    <n v="1403.4300000000003"/>
    <m/>
    <n v="0"/>
    <n v="-311.58463834226131"/>
    <n v="0"/>
    <m/>
    <n v="49999.897445657843"/>
    <n v="-311.58463834226131"/>
    <n v="0"/>
    <n v="0"/>
    <m/>
    <s v="Hedge Fund"/>
    <n v="3.3333333333333333E-2"/>
    <n v="0"/>
    <n v="6.6666666666666671E-3"/>
    <n v="0"/>
    <s v="ARF"/>
    <n v="3.7597889700000002"/>
    <s v="HRF"/>
    <n v="0.35085750000000004"/>
    <s v="COP2"/>
    <n v="9.9236535300000046"/>
    <s v="COTT"/>
    <n v="0"/>
  </r>
  <r>
    <x v="11"/>
    <x v="26"/>
    <s v="NA"/>
    <n v="74898465.341994569"/>
    <n v="1497.97"/>
    <m/>
    <n v="118.96532249450684"/>
    <n v="0"/>
    <n v="0"/>
    <m/>
    <n v="49999.976863351447"/>
    <n v="118.96532249450684"/>
    <n v="0"/>
    <n v="0"/>
    <m/>
    <s v="Hedge Fund"/>
    <n v="3.3333333333333333E-2"/>
    <n v="0"/>
    <n v="6.6666666666666671E-3"/>
    <n v="0"/>
    <s v="ARF"/>
    <n v="4.0130616300000002"/>
    <s v="HRF"/>
    <n v="0.37449250000000001"/>
    <s v="COP2"/>
    <n v="10.592145870000005"/>
    <s v="COTT"/>
    <n v="0"/>
  </r>
  <r>
    <x v="12"/>
    <x v="26"/>
    <s v="NA"/>
    <n v="73088746.202739105"/>
    <n v="1461.77"/>
    <m/>
    <n v="280.02319785952568"/>
    <n v="0"/>
    <n v="0"/>
    <m/>
    <n v="50000.168427823191"/>
    <n v="280.02319785952568"/>
    <n v="0"/>
    <n v="0"/>
    <m/>
    <s v="Hedge Fund"/>
    <n v="3.3333333333333333E-2"/>
    <n v="0"/>
    <n v="6.6666666666666671E-3"/>
    <n v="0"/>
    <s v="ARF"/>
    <n v="3.91608183"/>
    <s v="HRF"/>
    <n v="0.3654425"/>
    <s v="COP2"/>
    <n v="10.336175670000005"/>
    <s v="COTT"/>
    <n v="0"/>
  </r>
  <r>
    <x v="13"/>
    <x v="26"/>
    <s v="NA"/>
    <n v="68006387.162528455"/>
    <n v="1360.1300000000003"/>
    <m/>
    <n v="0"/>
    <n v="-341.92120671272278"/>
    <n v="0"/>
    <m/>
    <n v="49999.917039200991"/>
    <n v="-341.92120671272278"/>
    <n v="0"/>
    <n v="0"/>
    <m/>
    <s v="Hedge Fund"/>
    <n v="3.3333333333333333E-2"/>
    <n v="0"/>
    <n v="6.6666666666666671E-3"/>
    <n v="0"/>
    <s v="ARF"/>
    <n v="3.6437882700000004"/>
    <s v="HRF"/>
    <n v="0.34003250000000002"/>
    <s v="COP2"/>
    <n v="9.617479230000006"/>
    <s v="COTT"/>
    <n v="0"/>
  </r>
  <r>
    <x v="150"/>
    <x v="26"/>
    <s v="NA"/>
    <n v="70523903.345223695"/>
    <n v="1410.48"/>
    <m/>
    <n v="20.359771475195885"/>
    <n v="0"/>
    <n v="0"/>
    <m/>
    <n v="49999.931473841316"/>
    <n v="20.359771475195885"/>
    <n v="0"/>
    <n v="0"/>
    <m/>
    <s v="Hedge Fund"/>
    <n v="3.3333333333333333E-2"/>
    <n v="0"/>
    <n v="6.6666666666666671E-3"/>
    <n v="0"/>
    <s v="ARF"/>
    <n v="3.77867592"/>
    <s v="HRF"/>
    <n v="0.35261999999999999"/>
    <s v="COP2"/>
    <n v="9.973504080000005"/>
    <s v="COTT"/>
    <n v="0"/>
  </r>
  <r>
    <x v="151"/>
    <x v="26"/>
    <s v="NA"/>
    <n v="67412499.174794555"/>
    <n v="1348.25"/>
    <m/>
    <n v="91.565188005566597"/>
    <n v="0"/>
    <n v="0"/>
    <m/>
    <n v="49999.999387943302"/>
    <n v="91.565188005566597"/>
    <n v="0"/>
    <n v="0"/>
    <m/>
    <s v="Hedge Fund"/>
    <n v="3.3333333333333333E-2"/>
    <n v="0"/>
    <n v="6.6666666666666671E-3"/>
    <n v="0"/>
    <s v="ARF"/>
    <n v="3.6119617499999999"/>
    <s v="HRF"/>
    <n v="0.33706249999999999"/>
    <s v="COP2"/>
    <n v="9.5334757500000045"/>
    <s v="COTT"/>
    <n v="0"/>
  </r>
  <r>
    <x v="152"/>
    <x v="26"/>
    <s v="NA"/>
    <n v="74106782.462648049"/>
    <n v="1482.1399999999999"/>
    <m/>
    <n v="0"/>
    <n v="-216.63019822537899"/>
    <n v="0"/>
    <m/>
    <n v="49999.853227527798"/>
    <n v="-216.63019822537899"/>
    <n v="0"/>
    <n v="0"/>
    <m/>
    <s v="Hedge Fund"/>
    <n v="3.3333333333333333E-2"/>
    <n v="0"/>
    <n v="6.6666666666666671E-3"/>
    <n v="0"/>
    <s v="ARF"/>
    <n v="3.9706530600000001"/>
    <s v="HRF"/>
    <n v="0.37053500000000006"/>
    <s v="COP2"/>
    <n v="10.480211940000006"/>
    <s v="COTT"/>
    <n v="0"/>
  </r>
  <r>
    <x v="153"/>
    <x v="26"/>
    <s v="NA"/>
    <n v="74258043.618664622"/>
    <n v="1485.1600000000003"/>
    <m/>
    <n v="261.59926941990852"/>
    <n v="0"/>
    <n v="0"/>
    <m/>
    <n v="50000.029369673706"/>
    <n v="261.59926941990852"/>
    <n v="0"/>
    <n v="0"/>
    <m/>
    <s v="Hedge Fund"/>
    <n v="3.3333333333333333E-2"/>
    <n v="0"/>
    <n v="6.6666666666666671E-3"/>
    <n v="0"/>
    <s v="ARF"/>
    <n v="3.9787436400000002"/>
    <s v="HRF"/>
    <n v="0.37129000000000001"/>
    <s v="COP2"/>
    <n v="10.501566360000005"/>
    <s v="COTT"/>
    <n v="0"/>
  </r>
  <r>
    <x v="154"/>
    <x v="26"/>
    <s v="NA"/>
    <n v="72468164.967020229"/>
    <n v="1449.36"/>
    <m/>
    <n v="122.39978994429111"/>
    <n v="0"/>
    <n v="0"/>
    <m/>
    <n v="50000.113820596838"/>
    <n v="122.39978994429111"/>
    <n v="0"/>
    <n v="0"/>
    <m/>
    <s v="Hedge Fund"/>
    <n v="3.3333333333333333E-2"/>
    <n v="0"/>
    <n v="6.6666666666666671E-3"/>
    <n v="0"/>
    <s v="ARF"/>
    <n v="3.8828354399999996"/>
    <s v="HRF"/>
    <n v="0.36234"/>
    <s v="COP2"/>
    <n v="10.248424560000004"/>
    <s v="COTT"/>
    <n v="0"/>
  </r>
  <r>
    <x v="155"/>
    <x v="26"/>
    <s v="NA"/>
    <n v="72893499.448669106"/>
    <n v="1457.87"/>
    <m/>
    <n v="0"/>
    <n v="-166.48696440458298"/>
    <n v="0"/>
    <m/>
    <n v="49999.999621824383"/>
    <n v="-166.48696440458298"/>
    <n v="0"/>
    <n v="0"/>
    <m/>
    <s v="Hedge Fund"/>
    <n v="3.3333333333333333E-2"/>
    <n v="0"/>
    <n v="6.6666666666666671E-3"/>
    <n v="0"/>
    <s v="ARF"/>
    <n v="3.9056337299999995"/>
    <s v="HRF"/>
    <n v="0.3644675"/>
    <s v="COP2"/>
    <n v="10.308598770000003"/>
    <s v="COTT"/>
    <n v="0"/>
  </r>
  <r>
    <x v="156"/>
    <x v="26"/>
    <s v="NA"/>
    <n v="92115550.803931519"/>
    <n v="1842.31"/>
    <m/>
    <n v="51.500648245215416"/>
    <n v="0"/>
    <n v="0"/>
    <m/>
    <n v="50000.027576212211"/>
    <n v="51.500648245215416"/>
    <n v="0"/>
    <n v="0"/>
    <m/>
    <s v="Hedge Fund"/>
    <n v="3.3333333333333333E-2"/>
    <n v="0"/>
    <n v="6.6666666666666671E-3"/>
    <n v="0"/>
    <s v="ARF"/>
    <n v="4.9355484899999995"/>
    <s v="HRF"/>
    <n v="0.46057749999999997"/>
    <s v="COP2"/>
    <n v="13.026974010000005"/>
    <s v="COTT"/>
    <n v="0"/>
  </r>
  <r>
    <x v="157"/>
    <x v="26"/>
    <s v="NA"/>
    <n v="111374907.3837744"/>
    <n v="2227.5"/>
    <m/>
    <n v="0"/>
    <n v="-154.04223829507828"/>
    <n v="0"/>
    <m/>
    <n v="49999.95842144754"/>
    <n v="-154.04223829507828"/>
    <n v="0"/>
    <n v="0"/>
    <m/>
    <s v="Hedge Fund"/>
    <n v="3.3333333333333333E-2"/>
    <n v="0"/>
    <n v="6.6666666666666671E-3"/>
    <n v="0"/>
    <s v="ARF"/>
    <n v="5.9674724999999995"/>
    <s v="HRF"/>
    <n v="0.55687500000000001"/>
    <s v="COP2"/>
    <n v="15.750652500000008"/>
    <s v="COTT"/>
    <n v="0"/>
  </r>
  <r>
    <x v="158"/>
    <x v="26"/>
    <s v="NA"/>
    <n v="108181634.11686856"/>
    <n v="2163.6300000000006"/>
    <m/>
    <n v="224.077471986413"/>
    <n v="0"/>
    <n v="0"/>
    <m/>
    <n v="50000.061986970293"/>
    <n v="224.077471986413"/>
    <n v="0"/>
    <n v="0"/>
    <m/>
    <s v="Hedge Fund"/>
    <n v="3.3333333333333333E-2"/>
    <n v="0"/>
    <n v="6.6666666666666671E-3"/>
    <n v="0"/>
    <s v="ARF"/>
    <n v="5.7963647700000003"/>
    <s v="HRF"/>
    <n v="0.54090749999999999"/>
    <s v="COP2"/>
    <n v="15.299027730000008"/>
    <s v="COTT"/>
    <n v="0"/>
  </r>
  <r>
    <x v="159"/>
    <x v="26"/>
    <s v="NA"/>
    <n v="88780727.979023203"/>
    <n v="1775.61"/>
    <m/>
    <n v="117.91433888673782"/>
    <n v="0"/>
    <n v="0"/>
    <m/>
    <n v="50000.128394761916"/>
    <n v="117.91433888673782"/>
    <n v="0"/>
    <n v="0"/>
    <m/>
    <s v="Hedge Fund"/>
    <n v="3.3333333333333333E-2"/>
    <n v="0"/>
    <n v="6.6666666666666671E-3"/>
    <n v="0"/>
    <s v="ARF"/>
    <n v="4.7568591899999992"/>
    <s v="HRF"/>
    <n v="0.44390249999999998"/>
    <s v="COP2"/>
    <n v="12.555338310000005"/>
    <s v="COTT"/>
    <n v="0"/>
  </r>
  <r>
    <x v="160"/>
    <x v="26"/>
    <s v="NA"/>
    <n v="78704201.448774502"/>
    <n v="1574.0800000000002"/>
    <m/>
    <n v="0"/>
    <n v="-0.65485234558582306"/>
    <n v="0"/>
    <m/>
    <n v="50000.127978739642"/>
    <n v="-0.65485234558582306"/>
    <n v="0"/>
    <n v="0"/>
    <m/>
    <s v="Hedge Fund"/>
    <n v="3.3333333333333333E-2"/>
    <n v="0"/>
    <n v="6.6666666666666671E-3"/>
    <n v="0"/>
    <s v="ARF"/>
    <n v="4.2169603199999992"/>
    <s v="HRF"/>
    <n v="0.39351999999999998"/>
    <s v="COP2"/>
    <n v="11.130319680000005"/>
    <s v="COTT"/>
    <n v="0"/>
  </r>
  <r>
    <x v="161"/>
    <x v="26"/>
    <s v="NA"/>
    <n v="78829820.461431265"/>
    <n v="1576.6"/>
    <m/>
    <n v="0"/>
    <n v="-381.30984964966774"/>
    <n v="0"/>
    <m/>
    <n v="49999.886122942582"/>
    <n v="-381.30984964966774"/>
    <n v="0"/>
    <n v="0"/>
    <m/>
    <s v="Hedge Fund"/>
    <n v="3.3333333333333333E-2"/>
    <n v="0"/>
    <n v="6.6666666666666671E-3"/>
    <n v="0"/>
    <s v="ARF"/>
    <n v="4.2237113999999991"/>
    <s v="HRF"/>
    <n v="0.39415"/>
    <s v="COP2"/>
    <n v="11.148138600000005"/>
    <s v="COTT"/>
    <n v="0"/>
  </r>
  <r>
    <x v="162"/>
    <x v="26"/>
    <s v="NA"/>
    <n v="86709789.018429056"/>
    <n v="1734.2000000000003"/>
    <m/>
    <n v="0"/>
    <n v="-13.495977982878685"/>
    <n v="0"/>
    <m/>
    <n v="49999.878340692565"/>
    <n v="-13.495977982878685"/>
    <n v="0"/>
    <n v="0"/>
    <m/>
    <s v="Hedge Fund"/>
    <n v="3.3333333333333333E-2"/>
    <n v="0"/>
    <n v="6.6666666666666671E-3"/>
    <n v="0"/>
    <s v="ARF"/>
    <n v="4.6459217999999991"/>
    <s v="HRF"/>
    <n v="0.43355000000000005"/>
    <s v="COP2"/>
    <n v="12.262528200000006"/>
    <s v="COTT"/>
    <n v="0"/>
  </r>
  <r>
    <x v="163"/>
    <x v="26"/>
    <s v="NA"/>
    <n v="80853670.232222617"/>
    <n v="1617.0700000000002"/>
    <m/>
    <n v="366.96383887529373"/>
    <n v="0"/>
    <n v="0"/>
    <m/>
    <n v="50000.105272018285"/>
    <n v="366.96383887529373"/>
    <n v="0"/>
    <n v="0"/>
    <m/>
    <s v="Hedge Fund"/>
    <n v="3.3333333333333333E-2"/>
    <n v="0"/>
    <n v="6.6666666666666671E-3"/>
    <n v="0"/>
    <s v="ARF"/>
    <n v="4.3321305299999988"/>
    <s v="HRF"/>
    <n v="0.4042675"/>
    <s v="COP2"/>
    <n v="11.434301970000003"/>
    <s v="COTT"/>
    <n v="0"/>
  </r>
  <r>
    <x v="164"/>
    <x v="26"/>
    <s v="NA"/>
    <n v="78275984.417652145"/>
    <n v="1565.52"/>
    <m/>
    <n v="0"/>
    <n v="-180.38779792189598"/>
    <n v="0"/>
    <m/>
    <n v="49999.990046535429"/>
    <n v="-180.38779792189598"/>
    <n v="0"/>
    <n v="0"/>
    <m/>
    <s v="Hedge Fund"/>
    <n v="3.3333333333333333E-2"/>
    <n v="0"/>
    <n v="6.6666666666666671E-3"/>
    <n v="0"/>
    <s v="ARF"/>
    <n v="4.1940280799999989"/>
    <s v="HRF"/>
    <n v="0.39138000000000001"/>
    <s v="COP2"/>
    <n v="11.069791920000004"/>
    <s v="COTT"/>
    <n v="0"/>
  </r>
  <r>
    <x v="165"/>
    <x v="26"/>
    <s v="NA"/>
    <n v="63262715.536859512"/>
    <n v="1265.25"/>
    <m/>
    <n v="228.13048055768013"/>
    <n v="0"/>
    <n v="0"/>
    <m/>
    <n v="50000.170351202934"/>
    <n v="228.13048055768013"/>
    <n v="0"/>
    <n v="0"/>
    <m/>
    <s v="Hedge Fund"/>
    <n v="3.3333333333333333E-2"/>
    <n v="0"/>
    <n v="6.6666666666666671E-3"/>
    <n v="0"/>
    <s v="ARF"/>
    <n v="3.3896047499999993"/>
    <s v="HRF"/>
    <n v="0.3163125"/>
    <s v="COP2"/>
    <n v="8.9465827500000028"/>
    <s v="COTT"/>
    <n v="0"/>
  </r>
  <r>
    <x v="166"/>
    <x v="26"/>
    <s v="NA"/>
    <n v="66387548.122993052"/>
    <n v="1327.7499999999998"/>
    <m/>
    <n v="0"/>
    <n v="-178.06081663072109"/>
    <n v="0"/>
    <m/>
    <n v="50000.036244016614"/>
    <n v="-178.06081663072109"/>
    <n v="0"/>
    <n v="0"/>
    <m/>
    <s v="Hedge Fund"/>
    <n v="3.3333333333333333E-2"/>
    <n v="0"/>
    <n v="6.6666666666666671E-3"/>
    <n v="0"/>
    <s v="ARF"/>
    <n v="3.5570422499999994"/>
    <s v="HRF"/>
    <n v="0.3319375"/>
    <s v="COP2"/>
    <n v="9.3885202500000027"/>
    <s v="COTT"/>
    <n v="0"/>
  </r>
  <r>
    <x v="167"/>
    <x v="26"/>
    <s v="NA"/>
    <n v="74258403.319707036"/>
    <n v="1327.75"/>
    <m/>
    <n v="0"/>
    <n v="0"/>
    <n v="0"/>
    <m/>
    <n v="55928.000993942413"/>
    <n v="0"/>
    <n v="0"/>
    <n v="0"/>
    <m/>
    <s v="Hedge Fund"/>
    <n v="3.3333333333333333E-2"/>
    <n v="0"/>
    <n v="6.6666666666666671E-3"/>
    <n v="0"/>
    <s v="ARF"/>
    <n v="3.5570422499999994"/>
    <s v="HRF"/>
    <n v="0.3319375"/>
    <s v="COP2"/>
    <n v="9.3885202500000027"/>
    <s v="COTT"/>
    <n v="0"/>
  </r>
  <r>
    <x v="168"/>
    <x v="26"/>
    <s v="NA"/>
    <n v="87638884.141781285"/>
    <n v="1542.49"/>
    <m/>
    <n v="10000000"/>
    <n v="0"/>
    <n v="0"/>
    <m/>
    <n v="56816.500685113868"/>
    <n v="10000000"/>
    <n v="0"/>
    <n v="0"/>
    <m/>
    <s v="Hedge Fund"/>
    <n v="3.3333333333333333E-2"/>
    <n v="0"/>
    <n v="6.6666666666666671E-3"/>
    <n v="0"/>
    <s v="ARF"/>
    <n v="4.1323307099999997"/>
    <s v="HRF"/>
    <n v="0.85876588259999997"/>
    <s v="COP2"/>
    <n v="10.906946790000001"/>
    <s v="COTT"/>
    <n v="0.57829492589999998"/>
  </r>
  <r>
    <x v="169"/>
    <x v="26"/>
    <s v="NA"/>
    <n v="86791425.474924549"/>
    <n v="1527.58"/>
    <m/>
    <n v="0"/>
    <n v="-324.6416416913271"/>
    <n v="0"/>
    <m/>
    <n v="56816.288164891237"/>
    <n v="-324.6416416913271"/>
    <n v="0"/>
    <n v="0"/>
    <m/>
    <s v="Hedge Fund"/>
    <n v="3.3333333333333333E-2"/>
    <n v="0"/>
    <n v="6.6666666666666671E-3"/>
    <n v="0"/>
    <s v="ARF"/>
    <n v="4.0923868199999998"/>
    <s v="HRF"/>
    <n v="0.85046488919999996"/>
    <s v="COP2"/>
    <n v="10.80151818"/>
    <s v="COTT"/>
    <n v="0.57270501779999994"/>
  </r>
  <r>
    <x v="170"/>
    <x v="26"/>
    <s v="NA"/>
    <n v="86099971.131198362"/>
    <n v="1515.41"/>
    <m/>
    <n v="0"/>
    <n v="-0.11675947904586792"/>
    <n v="0"/>
    <m/>
    <n v="56816.288087843132"/>
    <n v="-0.11675947904586792"/>
    <n v="0"/>
    <n v="0"/>
    <m/>
    <s v="Hedge Fund"/>
    <n v="3.3333333333333333E-2"/>
    <n v="0"/>
    <n v="6.6666666666666671E-3"/>
    <n v="0"/>
    <s v="ARF"/>
    <n v="4.0597833899999998"/>
    <s v="HRF"/>
    <n v="0.84368936340000011"/>
    <s v="COP2"/>
    <n v="10.715464110000003"/>
    <s v="COTT"/>
    <n v="0.56814236309999999"/>
  </r>
  <r>
    <x v="171"/>
    <x v="26"/>
    <s v="NA"/>
    <n v="94231012.532591999"/>
    <n v="1658.5199999999998"/>
    <m/>
    <n v="62.413142427802086"/>
    <n v="0"/>
    <n v="0"/>
    <m/>
    <n v="56816.325719672968"/>
    <n v="62.413142427802086"/>
    <n v="0"/>
    <n v="0"/>
    <m/>
    <s v="Hedge Fund"/>
    <n v="3.3333333333333333E-2"/>
    <n v="0"/>
    <n v="6.6666666666666671E-3"/>
    <n v="0"/>
    <s v="ARF"/>
    <n v="4.4431750799999987"/>
    <s v="HRF"/>
    <n v="0.92336442480000003"/>
    <s v="COP2"/>
    <n v="11.727394920000004"/>
    <s v="COTT"/>
    <n v="0.62179573320000003"/>
  </r>
  <r>
    <x v="172"/>
    <x v="26"/>
    <s v="NA"/>
    <n v="97101597.688332304"/>
    <n v="1709.04"/>
    <m/>
    <n v="224.38038241863251"/>
    <n v="0"/>
    <n v="0"/>
    <m/>
    <n v="56816.457009977712"/>
    <n v="224.38038241863251"/>
    <n v="0"/>
    <n v="0"/>
    <m/>
    <s v="Hedge Fund"/>
    <n v="3.3333333333333333E-2"/>
    <n v="0"/>
    <n v="6.6666666666666671E-3"/>
    <n v="0"/>
    <s v="ARF"/>
    <n v="4.578518159999998"/>
    <s v="HRF"/>
    <n v="0.95149092960000003"/>
    <s v="COP2"/>
    <n v="12.084621840000004"/>
    <s v="COTT"/>
    <n v="0.64073618639999996"/>
  </r>
  <r>
    <x v="173"/>
    <x v="26"/>
    <s v="NA"/>
    <n v="95200452.512183696"/>
    <n v="1675.5799999999997"/>
    <m/>
    <n v="0"/>
    <n v="-66.524594739079475"/>
    <n v="0"/>
    <m/>
    <n v="56816.417307549455"/>
    <n v="-66.524594739079475"/>
    <n v="0"/>
    <n v="0"/>
    <m/>
    <s v="Hedge Fund"/>
    <n v="3.3333333333333333E-2"/>
    <n v="0"/>
    <n v="6.6666666666666671E-3"/>
    <n v="0"/>
    <s v="ARF"/>
    <n v="4.4888788199999983"/>
    <s v="HRF"/>
    <n v="0.93286240919999996"/>
    <s v="COP2"/>
    <n v="11.848026180000003"/>
    <s v="COTT"/>
    <n v="0.62819169779999995"/>
  </r>
  <r>
    <x v="174"/>
    <x v="26"/>
    <s v="NA"/>
    <n v="97927163.872442886"/>
    <n v="1723.57"/>
    <m/>
    <n v="91.493669882416725"/>
    <n v="0"/>
    <n v="0"/>
    <m/>
    <n v="56816.470391363793"/>
    <n v="91.493669882416725"/>
    <n v="0"/>
    <n v="0"/>
    <m/>
    <s v="Hedge Fund"/>
    <n v="3.3333333333333333E-2"/>
    <n v="0"/>
    <n v="6.6666666666666671E-3"/>
    <n v="0"/>
    <s v="ARF"/>
    <n v="4.6174440300000006"/>
    <s v="HRF"/>
    <n v="0"/>
    <s v="COP2"/>
    <n v="12.187363469999999"/>
    <s v="COTT"/>
    <n v="0.64616639299999989"/>
  </r>
  <r>
    <x v="175"/>
    <x v="26"/>
    <s v="NA"/>
    <n v="103433048.199292"/>
    <n v="1820.4799999999998"/>
    <m/>
    <n v="0"/>
    <n v="-199.81877794861794"/>
    <n v="0"/>
    <m/>
    <n v="56816.360629774572"/>
    <n v="-199.81877794861794"/>
    <n v="0"/>
    <n v="0"/>
    <m/>
    <s v="Hedge Fund"/>
    <n v="3.3333333333333333E-2"/>
    <n v="0"/>
    <n v="6.6666666666666671E-3"/>
    <n v="0"/>
    <s v="ARF"/>
    <n v="4.8770659199999997"/>
    <s v="HRF"/>
    <n v="0"/>
    <s v="COP2"/>
    <n v="12.87261408"/>
    <s v="COTT"/>
    <n v="0.68249795199999996"/>
  </r>
  <r>
    <x v="176"/>
    <x v="26"/>
    <s v="NA"/>
    <n v="105802499.43129019"/>
    <n v="1862.18"/>
    <m/>
    <n v="208.99373658001423"/>
    <n v="0"/>
    <n v="0"/>
    <m/>
    <n v="56816.472860459347"/>
    <n v="208.99373658001423"/>
    <n v="0"/>
    <n v="0"/>
    <m/>
    <s v="Hedge Fund"/>
    <n v="3.3333333333333333E-2"/>
    <n v="0"/>
    <n v="6.6666666666666671E-3"/>
    <n v="0"/>
    <s v="ARF"/>
    <n v="4.9887802199999998"/>
    <s v="HRF"/>
    <n v="0"/>
    <s v="COP2"/>
    <n v="13.167474780000001"/>
    <s v="COTT"/>
    <n v="0.69813128199999996"/>
  </r>
  <r>
    <x v="177"/>
    <x v="26"/>
    <s v="NA"/>
    <n v="105821795.07890099"/>
    <n v="1862.5199999999998"/>
    <m/>
    <n v="0"/>
    <n v="-21.953161731362343"/>
    <n v="0"/>
    <m/>
    <n v="56816.461073653438"/>
    <n v="-21.953161731362343"/>
    <n v="0"/>
    <n v="0"/>
    <m/>
    <s v="Hedge Fund"/>
    <n v="3.3333333333333333E-2"/>
    <n v="0"/>
    <n v="6.6666666666666671E-3"/>
    <n v="0"/>
    <s v="ARF"/>
    <n v="4.9896910800000001"/>
    <s v="HRF"/>
    <n v="0"/>
    <s v="COP2"/>
    <n v="13.16987892"/>
    <s v="COTT"/>
    <n v="0.69825874799999987"/>
  </r>
  <r>
    <x v="178"/>
    <x v="26"/>
    <s v="NA"/>
    <n v="113962660.29977046"/>
    <n v="2005.8"/>
    <m/>
    <n v="202.67823639512062"/>
    <n v="0"/>
    <n v="0"/>
    <m/>
    <n v="56816.562119737988"/>
    <n v="202.67823639512062"/>
    <n v="0"/>
    <n v="0"/>
    <m/>
    <s v="Hedge Fund"/>
    <n v="3.3333333333333333E-2"/>
    <n v="0"/>
    <n v="6.6666666666666671E-3"/>
    <n v="0"/>
    <s v="ARF"/>
    <n v="5.3735382000000005"/>
    <s v="HRF"/>
    <n v="0"/>
    <s v="COP2"/>
    <n v="14.183011799999999"/>
    <s v="COTT"/>
    <n v="0.75197441999999992"/>
  </r>
  <r>
    <x v="179"/>
    <x v="26"/>
    <s v="NA"/>
    <n v="134448281.32020485"/>
    <n v="2366.36"/>
    <m/>
    <n v="0"/>
    <n v="-158.61745834350586"/>
    <n v="0"/>
    <m/>
    <n v="56816.495089591117"/>
    <n v="-158.61745834350586"/>
    <n v="0"/>
    <n v="0"/>
    <m/>
    <s v="Hedge Fund"/>
    <n v="3.3333333333333333E-2"/>
    <n v="0"/>
    <n v="6.6666666666666671E-3"/>
    <n v="0"/>
    <s v="ARF"/>
    <n v="4.5698671048000001"/>
    <s v="HRF"/>
    <n v="0"/>
    <s v="COP2"/>
    <n v="16.732531560000002"/>
    <s v="COTT"/>
    <n v="1.4770109212"/>
  </r>
  <r>
    <x v="180"/>
    <x v="26"/>
    <s v="NA"/>
    <n v="138096674.5"/>
    <n v="2430.58"/>
    <m/>
    <n v="0"/>
    <n v="-362.13485836982727"/>
    <n v="0"/>
    <m/>
    <n v="56816.346098462098"/>
    <n v="-362.13485836982727"/>
    <n v="0"/>
    <n v="0"/>
    <m/>
    <s v="Hedge Fund"/>
    <n v="3.3333333333333333E-2"/>
    <n v="0"/>
    <n v="6.6666666666666671E-3"/>
    <n v="0"/>
    <s v="ARF"/>
    <n v="4.6938874843999994"/>
    <s v="HRF"/>
    <n v="0"/>
    <s v="COP2"/>
    <n v="17.186631179999999"/>
    <s v="COTT"/>
    <n v="1.5170951185999999"/>
  </r>
  <r>
    <x v="181"/>
    <x v="26"/>
    <s v="NA"/>
    <n v="126196955.430124"/>
    <n v="2221.13"/>
    <m/>
    <n v="464.62044687569141"/>
    <n v="0"/>
    <n v="0"/>
    <m/>
    <n v="56816.555280476154"/>
    <n v="464.62044687569141"/>
    <n v="0"/>
    <n v="0"/>
    <m/>
    <s v="Hedge Fund"/>
    <n v="3.3333333333333333E-2"/>
    <n v="0"/>
    <n v="6.6666666666666671E-3"/>
    <n v="0"/>
    <s v="ARF"/>
    <n v="4.2894018333999995"/>
    <s v="HRF"/>
    <n v="0"/>
    <s v="COP2"/>
    <n v="15.70561023"/>
    <s v="COTT"/>
    <n v="1.3863627120999999"/>
  </r>
  <r>
    <x v="182"/>
    <x v="26"/>
    <s v="NA"/>
    <n v="115215909.67337903"/>
    <n v="2027.86"/>
    <m/>
    <n v="0"/>
    <n v="-110.11768732964993"/>
    <n v="0"/>
    <m/>
    <n v="56816.500978065073"/>
    <n v="-110.11768732964993"/>
    <n v="0"/>
    <n v="0"/>
    <m/>
    <s v="Hedge Fund"/>
    <n v="3.3333333333333333E-2"/>
    <n v="0"/>
    <n v="6.6666666666666671E-3"/>
    <n v="0"/>
    <s v="ARF"/>
    <n v="3.9161626747999998"/>
    <s v="HRF"/>
    <n v="0"/>
    <s v="COP2"/>
    <n v="14.338998059999998"/>
    <s v="COTT"/>
    <n v="1.2657293761999999"/>
  </r>
  <r>
    <x v="183"/>
    <x v="26"/>
    <s v="NA"/>
    <n v="123246172.59999999"/>
    <n v="2169.1999999999998"/>
    <m/>
    <n v="0"/>
    <n v="-181.32161875069141"/>
    <n v="0"/>
    <m/>
    <n v="56816.417388899135"/>
    <n v="-181.32161875069141"/>
    <n v="0"/>
    <n v="0"/>
    <m/>
    <s v="Hedge Fund"/>
    <n v="3.3333333333333333E-2"/>
    <n v="0"/>
    <n v="6.6666666666666671E-3"/>
    <n v="0"/>
    <s v="ARF"/>
    <n v="4.1891156559999994"/>
    <s v="HRF"/>
    <n v="0"/>
    <s v="COP2"/>
    <n v="15.3384132"/>
    <s v="COTT"/>
    <n v="1.3539495639999999"/>
  </r>
  <r>
    <x v="184"/>
    <x v="26"/>
    <s v="NA"/>
    <n v="121613800"/>
    <n v="2140.4699999999998"/>
    <m/>
    <n v="0"/>
    <n v="-36.928416922688484"/>
    <n v="0"/>
    <m/>
    <n v="56816.400136418641"/>
    <n v="-36.928416922688484"/>
    <n v="0"/>
    <n v="0"/>
    <m/>
    <s v="Hedge Fund"/>
    <n v="3.3333333333333333E-2"/>
    <n v="0"/>
    <n v="6.6666666666666671E-3"/>
    <n v="0"/>
    <s v="ARF"/>
    <n v="4.1336328545999992"/>
    <s v="HRF"/>
    <n v="0"/>
    <s v="COP2"/>
    <n v="15.135263369999999"/>
    <s v="COTT"/>
    <n v="1.3360171598999999"/>
  </r>
  <r>
    <x v="185"/>
    <x v="26"/>
    <s v="NA"/>
    <n v="124489600"/>
    <n v="2191.0856671857964"/>
    <m/>
    <n v="0"/>
    <n v="-1.4901161193847656E-8"/>
    <n v="0"/>
    <m/>
    <n v="56816.400136418641"/>
    <n v="-1.4901161193847656E-8"/>
    <n v="0"/>
    <n v="0"/>
    <m/>
    <s v="Hedge Fund"/>
    <n v="3.3333333333333333E-2"/>
    <n v="0"/>
    <n v="6.6666666666666671E-3"/>
    <n v="0"/>
    <s v="ARF"/>
    <n v="4.1336328545999992"/>
    <s v="HRF"/>
    <n v="0"/>
    <s v="COP2"/>
    <n v="15.135263369999999"/>
    <s v="COTT"/>
    <n v="1.3360171598999999"/>
  </r>
  <r>
    <x v="186"/>
    <x v="26"/>
    <s v="NA"/>
    <n v="121116367.48999999"/>
    <n v="2131.71"/>
    <m/>
    <n v="279.15519501268864"/>
    <n v="0"/>
    <n v="0"/>
    <m/>
    <n v="56816.531090063843"/>
    <n v="279.15519501268864"/>
    <n v="0"/>
    <n v="0"/>
    <m/>
    <s v="Hedge Fund"/>
    <n v="3.3333333333333333E-2"/>
    <n v="0"/>
    <n v="6.6666666666666671E-3"/>
    <n v="0"/>
    <s v="ARF"/>
    <n v="4.1167157178"/>
    <s v="HRF"/>
    <n v="0"/>
    <s v="COP2"/>
    <n v="15.07332141"/>
    <s v="COTT"/>
    <n v="1.3305494306999999"/>
  </r>
  <r>
    <x v="187"/>
    <x v="26"/>
    <s v="NA"/>
    <n v="112134034.73999999"/>
    <n v="1973.62"/>
    <m/>
    <n v="0"/>
    <n v="-207.34997180104256"/>
    <n v="0"/>
    <m/>
    <n v="56816.426029326823"/>
    <n v="-207.34997180104256"/>
    <n v="0"/>
    <n v="0"/>
    <m/>
    <s v="Hedge Fund"/>
    <n v="3.3333333333333333E-2"/>
    <n v="0"/>
    <n v="6.6666666666666671E-3"/>
    <n v="0"/>
    <s v="ARF"/>
    <n v="3.8114154715999993"/>
    <s v="HRF"/>
    <n v="0"/>
    <s v="COP2"/>
    <n v="13.95546702"/>
    <s v="COTT"/>
    <n v="1.2318743953999998"/>
  </r>
  <r>
    <x v="188"/>
    <x v="26"/>
    <s v="NA"/>
    <n v="111686400"/>
    <n v="1965.7399999999998"/>
    <m/>
    <n v="78.69711109995842"/>
    <n v="0"/>
    <n v="0"/>
    <m/>
    <n v="56816.466063670683"/>
    <n v="78.69711109995842"/>
    <n v="0"/>
    <n v="0"/>
    <m/>
    <s v="Hedge Fund"/>
    <n v="3.3333333333333333E-2"/>
    <n v="0"/>
    <n v="6.6666666666666671E-3"/>
    <n v="0"/>
    <s v="ARF"/>
    <n v="3.7961977731999998"/>
    <s v="HRF"/>
    <n v="0"/>
    <s v="COP2"/>
    <n v="13.899747540000002"/>
    <s v="COTT"/>
    <n v="1.2269559358"/>
  </r>
  <r>
    <x v="189"/>
    <x v="26"/>
    <s v="NA"/>
    <n v="115981510.2"/>
    <n v="2041.34"/>
    <m/>
    <n v="0"/>
    <n v="-214.63441351056099"/>
    <n v="0"/>
    <m/>
    <n v="56816.360919787985"/>
    <n v="-214.63441351056099"/>
    <n v="0"/>
    <n v="0"/>
    <m/>
    <s v="Hedge Fund"/>
    <n v="3.3333333333333333E-2"/>
    <n v="0"/>
    <n v="6.6666666666666671E-3"/>
    <n v="0"/>
    <s v="ARF"/>
    <n v="3.9421949811999992"/>
    <s v="HRF"/>
    <n v="0"/>
    <s v="COP2"/>
    <n v="14.434315139999999"/>
    <s v="COTT"/>
    <n v="1.2741431878"/>
  </r>
  <r>
    <x v="190"/>
    <x v="26"/>
    <s v="NA"/>
    <n v="107170997.11216848"/>
    <n v="1886.27"/>
    <m/>
    <n v="0"/>
    <n v="0"/>
    <n v="0"/>
    <m/>
    <n v="56816.360919787985"/>
    <n v="0"/>
    <n v="0"/>
    <n v="0"/>
    <m/>
    <s v="Hedge Fund"/>
    <n v="3.3333333333333333E-2"/>
    <n v="0"/>
    <n v="6.6666666666666671E-3"/>
    <n v="0"/>
    <s v="ARF"/>
    <n v="3.6427269999999998"/>
    <s v="HRF"/>
    <n v="0"/>
    <s v="COP2"/>
    <n v="14.434315139999999"/>
    <s v="COTT"/>
    <n v="1.2741431878"/>
  </r>
  <r>
    <x v="191"/>
    <x v="26"/>
    <s v="NA"/>
    <n v="86433748.071999997"/>
    <n v="1901.6"/>
    <m/>
    <n v="0"/>
    <n v="0"/>
    <n v="0"/>
    <m/>
    <n v="45453.17"/>
    <n v="0"/>
    <n v="0"/>
    <n v="0"/>
    <m/>
    <s v="Hedge Fund"/>
    <n v="3.3333333333333333E-2"/>
    <n v="0"/>
    <n v="0"/>
    <n v="0"/>
    <s v="ARF"/>
    <n v="0"/>
    <s v="HRF"/>
    <n v="0"/>
    <s v="COP2"/>
    <n v="0"/>
    <s v="COTT"/>
    <n v="0"/>
  </r>
  <r>
    <x v="192"/>
    <x v="26"/>
    <s v="NA"/>
    <n v="87936884.403899997"/>
    <n v="1934.67"/>
    <m/>
    <n v="0"/>
    <n v="0"/>
    <n v="0"/>
    <m/>
    <n v="45453.17"/>
    <n v="0"/>
    <n v="0"/>
    <n v="0"/>
    <m/>
    <s v="Hedge Fund"/>
    <n v="3.3333333333333333E-2"/>
    <n v="0"/>
    <n v="0"/>
    <n v="0"/>
    <s v="ARF"/>
    <n v="0"/>
    <s v="HRF"/>
    <n v="0"/>
    <s v="COP2"/>
    <n v="0"/>
    <s v="COTT"/>
    <n v="0"/>
  </r>
  <r>
    <x v="193"/>
    <x v="26"/>
    <s v="NA"/>
    <n v="96242542.158000007"/>
    <n v="2117.4"/>
    <m/>
    <n v="0"/>
    <n v="0"/>
    <n v="0"/>
    <m/>
    <n v="45453.17"/>
    <n v="0"/>
    <n v="0"/>
    <n v="0"/>
    <m/>
    <s v="Hedge Fund"/>
    <n v="3.3333333333333333E-2"/>
    <n v="0"/>
    <n v="0"/>
    <n v="0"/>
    <m/>
    <m/>
    <m/>
    <m/>
    <m/>
    <m/>
    <m/>
    <m/>
  </r>
  <r>
    <x v="194"/>
    <x v="26"/>
    <s v="NA"/>
    <n v="87461898.777400002"/>
    <n v="1924.22"/>
    <m/>
    <n v="0"/>
    <n v="0"/>
    <n v="0"/>
    <m/>
    <n v="45453.17"/>
    <n v="0"/>
    <n v="0"/>
    <n v="0"/>
    <m/>
    <s v="Hedge Fund"/>
    <n v="3.3333333333333333E-2"/>
    <n v="0"/>
    <n v="0"/>
    <n v="0"/>
    <m/>
    <m/>
    <m/>
    <m/>
    <m/>
    <m/>
    <m/>
    <m/>
  </r>
  <r>
    <x v="195"/>
    <x v="26"/>
    <s v="NA"/>
    <n v="92901734.163000003"/>
    <n v="2043.9"/>
    <m/>
    <n v="0"/>
    <n v="0"/>
    <n v="0"/>
    <m/>
    <n v="45453.17"/>
    <n v="0"/>
    <n v="0"/>
    <n v="0"/>
    <m/>
    <s v="Hedge Fund"/>
    <n v="3.3333333333333333E-2"/>
    <n v="0"/>
    <n v="0"/>
    <n v="0"/>
    <m/>
    <m/>
    <m/>
    <m/>
    <m/>
    <m/>
    <m/>
    <m/>
  </r>
  <r>
    <x v="196"/>
    <x v="26"/>
    <s v="NA"/>
    <n v="89177301.413199991"/>
    <n v="1961.96"/>
    <m/>
    <n v="0"/>
    <n v="0"/>
    <n v="0"/>
    <n v="50000000"/>
    <n v="45453.17"/>
    <n v="0"/>
    <n v="0"/>
    <n v="0"/>
    <m/>
    <s v="Hedge Fund"/>
    <n v="3.3333333333333333E-2"/>
    <n v="0"/>
    <n v="0"/>
    <n v="0"/>
    <m/>
    <m/>
    <m/>
    <m/>
    <m/>
    <m/>
    <m/>
    <m/>
  </r>
  <r>
    <x v="197"/>
    <x v="26"/>
    <s v="NA"/>
    <n v="88272015.094042137"/>
    <n v="1942.04"/>
    <n v="0"/>
    <n v="0"/>
    <n v="0"/>
    <n v="0"/>
    <n v="50000000"/>
    <n v="45453.17"/>
    <n v="0"/>
    <n v="0"/>
    <n v="0"/>
    <m/>
    <s v="Hedge Fund"/>
    <n v="3.3333333333333333E-2"/>
    <n v="0"/>
    <m/>
    <m/>
    <m/>
    <m/>
    <m/>
    <m/>
    <m/>
    <m/>
    <m/>
    <m/>
  </r>
  <r>
    <x v="198"/>
    <x v="26"/>
    <s v="NA"/>
    <n v="83873806.972081661"/>
    <n v="1845.28"/>
    <n v="0"/>
    <n v="0"/>
    <n v="0"/>
    <n v="0"/>
    <n v="50000000"/>
    <n v="45453.17"/>
    <n v="0"/>
    <n v="0"/>
    <n v="-1845.28"/>
    <m/>
    <s v="Hedge Fund"/>
    <n v="3.3333333333333E-2"/>
    <n v="0"/>
    <m/>
    <m/>
    <m/>
    <m/>
    <m/>
    <m/>
    <m/>
    <m/>
    <m/>
    <m/>
  </r>
  <r>
    <x v="173"/>
    <x v="27"/>
    <s v="NA"/>
    <n v="496062.01360000001"/>
    <n v="1537984.5083555414"/>
    <n v="15"/>
    <n v="160000"/>
    <m/>
    <n v="0"/>
    <m/>
    <n v="0.32254031877759565"/>
    <n v="160000"/>
    <n v="1537984.5083555414"/>
    <n v="160000"/>
    <m/>
    <s v="Private Equity Fund"/>
    <n v="0"/>
    <n v="1.7687474500000001E-2"/>
    <n v="0"/>
    <n v="0"/>
    <m/>
    <m/>
    <m/>
    <m/>
    <m/>
    <m/>
    <m/>
    <m/>
  </r>
  <r>
    <x v="174"/>
    <x v="27"/>
    <s v="NA"/>
    <n v="674534.48360000004"/>
    <n v="2091318.3386078263"/>
    <n v="15"/>
    <n v="0"/>
    <m/>
    <n v="0"/>
    <m/>
    <n v="0.32254031877759565"/>
    <n v="0"/>
    <n v="0"/>
    <n v="0"/>
    <m/>
    <s v="Private Equity Fund"/>
    <n v="0"/>
    <n v="0"/>
    <n v="0"/>
    <n v="0"/>
    <m/>
    <m/>
    <m/>
    <m/>
    <m/>
    <m/>
    <m/>
    <m/>
  </r>
  <r>
    <x v="175"/>
    <x v="27"/>
    <s v="NA"/>
    <n v="3630475.2766999998"/>
    <n v="2127022.3215122861"/>
    <n v="15"/>
    <n v="2895000"/>
    <m/>
    <n v="0"/>
    <m/>
    <n v="1.706834592181796"/>
    <n v="2895000"/>
    <n v="0"/>
    <n v="2895000"/>
    <m/>
    <s v="Private Equity Fund"/>
    <n v="0"/>
    <n v="0"/>
    <n v="0"/>
    <n v="0"/>
    <m/>
    <m/>
    <m/>
    <m/>
    <m/>
    <m/>
    <m/>
    <m/>
  </r>
  <r>
    <x v="176"/>
    <x v="27"/>
    <s v="NA"/>
    <n v="3644232.1653875099"/>
    <n v="2135082.2054345617"/>
    <n v="15"/>
    <n v="0"/>
    <m/>
    <n v="0"/>
    <m/>
    <n v="1.706834592181796"/>
    <n v="0"/>
    <n v="0"/>
    <n v="0"/>
    <m/>
    <s v="Private Equity Fund"/>
    <n v="0"/>
    <n v="3.10122195E-2"/>
    <n v="0"/>
    <n v="0"/>
    <m/>
    <m/>
    <m/>
    <m/>
    <m/>
    <m/>
    <m/>
    <m/>
  </r>
  <r>
    <x v="177"/>
    <x v="27"/>
    <s v="NA"/>
    <n v="3745933.7941000001"/>
    <n v="2194667.1407167134"/>
    <n v="15"/>
    <n v="0"/>
    <m/>
    <n v="0"/>
    <m/>
    <n v="1.706834592181796"/>
    <n v="0"/>
    <n v="0"/>
    <n v="0"/>
    <m/>
    <s v="Private Equity Fund"/>
    <n v="0"/>
    <n v="3.4409200000000001E-2"/>
    <n v="0"/>
    <n v="0"/>
    <m/>
    <m/>
    <m/>
    <m/>
    <m/>
    <m/>
    <m/>
    <m/>
  </r>
  <r>
    <x v="178"/>
    <x v="27"/>
    <s v="NA"/>
    <n v="3968825.1388948201"/>
    <n v="1835307.9704590959"/>
    <n v="15"/>
    <n v="1000000"/>
    <m/>
    <n v="-797553.71"/>
    <m/>
    <n v="2.1624845545143208"/>
    <n v="202446.29000000004"/>
    <n v="-368813.59838388534"/>
    <n v="202446.29000000004"/>
    <m/>
    <s v="Private Equity Fund"/>
    <n v="0"/>
    <n v="3.4409200000000001E-2"/>
    <n v="0"/>
    <n v="0"/>
    <m/>
    <m/>
    <m/>
    <m/>
    <m/>
    <m/>
    <m/>
    <m/>
  </r>
  <r>
    <x v="179"/>
    <x v="27"/>
    <s v="NA"/>
    <n v="3969364.9099581363"/>
    <n v="1835557.5773578777"/>
    <n v="15"/>
    <n v="0"/>
    <m/>
    <n v="0"/>
    <m/>
    <n v="2.1624845545143208"/>
    <n v="0"/>
    <n v="0"/>
    <n v="0"/>
    <m/>
    <s v="Private Equity Fund"/>
    <n v="0"/>
    <n v="3.4409200000000001E-2"/>
    <n v="0"/>
    <n v="0"/>
    <m/>
    <m/>
    <m/>
    <m/>
    <m/>
    <m/>
    <m/>
    <m/>
  </r>
  <r>
    <x v="180"/>
    <x v="27"/>
    <s v="NA"/>
    <n v="4015699.8499999996"/>
    <n v="1856984.2922655686"/>
    <n v="15"/>
    <n v="0"/>
    <m/>
    <n v="0"/>
    <m/>
    <n v="2.1624845545143208"/>
    <n v="0"/>
    <n v="0"/>
    <n v="0"/>
    <m/>
    <s v="Private Equity Fund"/>
    <n v="0"/>
    <n v="3.9908079999999999E-2"/>
    <n v="0"/>
    <n v="0"/>
    <m/>
    <m/>
    <m/>
    <m/>
    <m/>
    <m/>
    <m/>
    <m/>
  </r>
  <r>
    <x v="181"/>
    <x v="27"/>
    <s v="NA"/>
    <n v="5558178.2314845603"/>
    <n v="1839929.0417435162"/>
    <n v="15"/>
    <n v="1594000"/>
    <m/>
    <n v="-105000"/>
    <m/>
    <n v="3.0208655363239618"/>
    <n v="1489000"/>
    <n v="-34758.250156269009"/>
    <n v="1489000"/>
    <m/>
    <s v="Private Equity Fund"/>
    <n v="0"/>
    <n v="4.2722732499999999E-2"/>
    <n v="0"/>
    <n v="0"/>
    <m/>
    <m/>
    <m/>
    <m/>
    <m/>
    <m/>
    <m/>
    <m/>
  </r>
  <r>
    <x v="182"/>
    <x v="27"/>
    <s v="NA"/>
    <n v="5618716.6995986504"/>
    <n v="1859969.1485891053"/>
    <n v="15"/>
    <n v="0"/>
    <m/>
    <n v="0"/>
    <m/>
    <n v="3.0208655363239618"/>
    <n v="0"/>
    <n v="0"/>
    <n v="0"/>
    <m/>
    <s v="Private Equity Fund"/>
    <n v="0"/>
    <n v="4.590897E-2"/>
    <n v="0"/>
    <n v="0"/>
    <m/>
    <m/>
    <m/>
    <m/>
    <m/>
    <m/>
    <m/>
    <m/>
  </r>
  <r>
    <x v="183"/>
    <x v="27"/>
    <s v="NA"/>
    <n v="5611088.6100000003"/>
    <n v="1857444.0148130644"/>
    <n v="15"/>
    <n v="0"/>
    <m/>
    <n v="-69730"/>
    <m/>
    <n v="3.0208655363239618"/>
    <n v="-69730"/>
    <n v="-23082.78841330131"/>
    <n v="-69730"/>
    <m/>
    <s v="Private Equity Fund"/>
    <n v="0"/>
    <n v="4.6735140000000001E-2"/>
    <n v="0"/>
    <n v="0"/>
    <m/>
    <m/>
    <m/>
    <m/>
    <m/>
    <m/>
    <m/>
    <m/>
  </r>
  <r>
    <x v="184"/>
    <x v="27"/>
    <s v="NA"/>
    <n v="5460800"/>
    <n v="1807693.8328890838"/>
    <n v="15"/>
    <n v="0"/>
    <m/>
    <n v="-52602"/>
    <m/>
    <n v="3.0208655363239618"/>
    <n v="-52602"/>
    <n v="-17412.890235429164"/>
    <n v="-52602"/>
    <m/>
    <s v="Private Equity Fund"/>
    <n v="0"/>
    <n v="4.944117E-2"/>
    <n v="0"/>
    <n v="0"/>
    <m/>
    <m/>
    <m/>
    <m/>
    <m/>
    <m/>
    <m/>
    <m/>
  </r>
  <r>
    <x v="185"/>
    <x v="27"/>
    <s v="NA"/>
    <n v="5480500"/>
    <n v="1814215.1426803074"/>
    <n v="15"/>
    <n v="0"/>
    <m/>
    <n v="-105000"/>
    <m/>
    <n v="3.0208655363239618"/>
    <n v="-105000"/>
    <n v="-34758.250156269009"/>
    <n v="-105000"/>
    <m/>
    <s v="Private Equity Fund"/>
    <n v="0"/>
    <n v="5.28E-2"/>
    <n v="0"/>
    <n v="0"/>
    <m/>
    <m/>
    <m/>
    <m/>
    <m/>
    <m/>
    <m/>
    <m/>
  </r>
  <r>
    <x v="186"/>
    <x v="27"/>
    <s v="NA"/>
    <n v="5538206.4699999997"/>
    <n v="1833317.7704888335"/>
    <n v="15"/>
    <n v="0"/>
    <m/>
    <n v="-41178.33"/>
    <m/>
    <n v="3.0208655363239618"/>
    <n v="-41178.33"/>
    <n v="-13631.301858641873"/>
    <n v="-41178.33"/>
    <m/>
    <s v="Private Equity Fund"/>
    <n v="0"/>
    <n v="5.6530030000000002E-2"/>
    <n v="0"/>
    <n v="0"/>
    <m/>
    <m/>
    <m/>
    <m/>
    <m/>
    <m/>
    <m/>
    <m/>
  </r>
  <r>
    <x v="187"/>
    <x v="27"/>
    <s v="NA"/>
    <n v="5482523.2199999997"/>
    <n v="1814884.8911267947"/>
    <n v="15"/>
    <n v="0"/>
    <m/>
    <n v="-13800"/>
    <m/>
    <n v="3.0208655363239618"/>
    <n v="-13800"/>
    <n v="-4568.2271633953551"/>
    <n v="-13800"/>
    <m/>
    <s v="Private Equity Fund"/>
    <n v="0"/>
    <n v="5.912564E-2"/>
    <n v="0"/>
    <n v="0"/>
    <m/>
    <m/>
    <m/>
    <m/>
    <m/>
    <m/>
    <m/>
    <m/>
  </r>
  <r>
    <x v="188"/>
    <x v="27"/>
    <s v="NA"/>
    <n v="5995971.9500000002"/>
    <n v="1817445.7951705558"/>
    <n v="15"/>
    <n v="505000"/>
    <m/>
    <n v="-53922"/>
    <m/>
    <n v="3.2991200980700039"/>
    <n v="451078"/>
    <n v="-16344.358009744643"/>
    <n v="451078"/>
    <m/>
    <s v="Private Equity Fund"/>
    <n v="0"/>
    <n v="6.2408319999999996E-2"/>
    <n v="0"/>
    <n v="0"/>
    <m/>
    <m/>
    <m/>
    <m/>
    <m/>
    <m/>
    <m/>
    <m/>
  </r>
  <r>
    <x v="189"/>
    <x v="27"/>
    <s v="NA"/>
    <n v="5480500"/>
    <n v="1661200.5131932332"/>
    <n v="15"/>
    <n v="0"/>
    <m/>
    <n v="-35000"/>
    <m/>
    <n v="3.2991200980700039"/>
    <n v="-35000"/>
    <n v="-10608.889327937808"/>
    <n v="-35000"/>
    <m/>
    <s v="Private Equity Fund"/>
    <n v="0"/>
    <n v="6.703524000000001E-2"/>
    <n v="0"/>
    <n v="0"/>
    <m/>
    <m/>
    <m/>
    <m/>
    <m/>
    <m/>
    <m/>
    <m/>
  </r>
  <r>
    <x v="190"/>
    <x v="27"/>
    <s v="NA"/>
    <n v="5995978.0199999996"/>
    <n v="1817447.6350550761"/>
    <n v="15"/>
    <n v="0"/>
    <m/>
    <n v="-104900"/>
    <m/>
    <n v="3.2991200980700039"/>
    <n v="-104900"/>
    <n v="-31796.35687144789"/>
    <n v="-104900"/>
    <m/>
    <s v="Private Equity Fund"/>
    <n v="0"/>
    <n v="6.977179E-2"/>
    <n v="0"/>
    <n v="0"/>
    <m/>
    <m/>
    <m/>
    <m/>
    <m/>
    <m/>
    <m/>
    <m/>
  </r>
  <r>
    <x v="191"/>
    <x v="27"/>
    <s v="NA"/>
    <n v="6056956.9890000001"/>
    <n v="1835931.0388680121"/>
    <n v="15"/>
    <n v="0"/>
    <m/>
    <n v="-76167.56"/>
    <m/>
    <n v="3.2991200980700039"/>
    <n v="-76167.56"/>
    <n v="-23087.234697687505"/>
    <n v="-76167.56"/>
    <m/>
    <s v="Private Equity Fund"/>
    <n v="0"/>
    <n v="7.6990031E-2"/>
    <n v="0"/>
    <n v="0"/>
    <m/>
    <m/>
    <m/>
    <m/>
    <m/>
    <m/>
    <m/>
    <m/>
  </r>
  <r>
    <x v="192"/>
    <x v="27"/>
    <s v="NA"/>
    <n v="6056956.9890000001"/>
    <n v="1835931.0388680121"/>
    <n v="15"/>
    <n v="0"/>
    <m/>
    <n v="-35000"/>
    <m/>
    <n v="3.2991200980700039"/>
    <n v="-35000"/>
    <n v="-10608.889327937808"/>
    <n v="-35000"/>
    <m/>
    <s v="Private Equity Fund"/>
    <n v="0"/>
    <n v="7.6990031E-2"/>
    <n v="0"/>
    <n v="0"/>
    <m/>
    <m/>
    <m/>
    <m/>
    <m/>
    <m/>
    <m/>
    <m/>
  </r>
  <r>
    <x v="193"/>
    <x v="27"/>
    <s v="NA"/>
    <n v="5984925.5465000002"/>
    <n v="1814097.5073933201"/>
    <n v="15"/>
    <n v="0"/>
    <m/>
    <n v="-105000"/>
    <m/>
    <n v="3.2991200980700039"/>
    <n v="-105000"/>
    <n v="-31826.667983813426"/>
    <n v="-105000"/>
    <m/>
    <s v="Private Equity Fund"/>
    <n v="0"/>
    <n v="8.0567323499999996E-2"/>
    <n v="0"/>
    <n v="0"/>
    <m/>
    <m/>
    <m/>
    <m/>
    <m/>
    <m/>
    <m/>
    <m/>
  </r>
  <r>
    <x v="194"/>
    <x v="27"/>
    <s v="NA"/>
    <n v="5208303.2494999999"/>
    <n v="1578694.6502938387"/>
    <n v="15"/>
    <n v="0"/>
    <m/>
    <n v="-839000"/>
    <m/>
    <n v="3.2991200980700039"/>
    <n v="-839000"/>
    <n v="-254310.23274685204"/>
    <n v="-839000"/>
    <m/>
    <s v="Private Equity Fund"/>
    <n v="0"/>
    <n v="8.0567323499999996E-2"/>
    <n v="0"/>
    <n v="0"/>
    <m/>
    <m/>
    <m/>
    <m/>
    <m/>
    <m/>
    <m/>
    <m/>
  </r>
  <r>
    <x v="195"/>
    <x v="27"/>
    <s v="NA"/>
    <n v="5208303.2494999999"/>
    <n v="1578694.6502938387"/>
    <n v="15"/>
    <n v="0"/>
    <m/>
    <n v="0"/>
    <m/>
    <n v="3.2991200980700039"/>
    <n v="0"/>
    <n v="0"/>
    <n v="0"/>
    <m/>
    <s v="Private Equity Fund"/>
    <n v="0"/>
    <n v="8.0567323499999996E-2"/>
    <n v="0"/>
    <n v="0"/>
    <m/>
    <m/>
    <m/>
    <m/>
    <m/>
    <m/>
    <m/>
    <m/>
  </r>
  <r>
    <x v="196"/>
    <x v="27"/>
    <s v="NA"/>
    <n v="5208303.2494999999"/>
    <n v="1578694.6502938387"/>
    <n v="15"/>
    <n v="0"/>
    <m/>
    <n v="0"/>
    <m/>
    <n v="3.2991200980700039"/>
    <n v="0"/>
    <n v="0"/>
    <n v="0"/>
    <m/>
    <s v="Private Equity Fund"/>
    <n v="0"/>
    <n v="8.0567323499999996E-2"/>
    <n v="0"/>
    <n v="0"/>
    <m/>
    <m/>
    <m/>
    <m/>
    <m/>
    <m/>
    <m/>
    <m/>
  </r>
  <r>
    <x v="197"/>
    <x v="27"/>
    <s v="NA"/>
    <n v="5736464.4972999981"/>
    <n v="1738786.1995857165"/>
    <n v="15"/>
    <n v="500000"/>
    <n v="0"/>
    <n v="-839000"/>
    <m/>
    <n v="3.2991200980700039"/>
    <n v="-339000"/>
    <n v="-254310.23274685204"/>
    <n v="-339000"/>
    <m/>
    <s v="Private Equity Fund"/>
    <n v="0"/>
    <n v="8.0567323499999996E-2"/>
    <n v="0"/>
    <n v="0"/>
    <m/>
    <m/>
    <m/>
    <m/>
    <m/>
    <m/>
    <m/>
    <m/>
  </r>
  <r>
    <x v="198"/>
    <x v="27"/>
    <s v="NA"/>
    <n v="5736464.4972999981"/>
    <n v="1738786.1995857165"/>
    <n v="15"/>
    <n v="500000"/>
    <n v="0"/>
    <n v="-839000"/>
    <m/>
    <n v="3.2991200980700039"/>
    <n v="-339000"/>
    <n v="-254310.23274685204"/>
    <n v="-6075464.4972999981"/>
    <m/>
    <s v="Private Equity Fund"/>
    <n v="0"/>
    <n v="8.0567323499999996E-2"/>
    <n v="0"/>
    <n v="0"/>
    <m/>
    <m/>
    <m/>
    <m/>
    <m/>
    <m/>
    <m/>
    <m/>
  </r>
  <r>
    <x v="222"/>
    <x v="28"/>
    <s v="NA"/>
    <n v="999999.5"/>
    <n v="1006989.190505153"/>
    <m/>
    <n v="1000000"/>
    <n v="0"/>
    <n v="0"/>
    <m/>
    <n v="0.99305882270528978"/>
    <n v="1000000"/>
    <n v="1006989.190505153"/>
    <n v="1000000"/>
    <m/>
    <s v="Private Equity Fund"/>
    <n v="0"/>
    <n v="0"/>
    <n v="0"/>
    <n v="0"/>
    <m/>
    <m/>
    <m/>
    <m/>
    <m/>
    <m/>
    <m/>
    <m/>
  </r>
  <r>
    <x v="189"/>
    <x v="28"/>
    <s v="NA"/>
    <n v="999946.76"/>
    <n v="1006936.0818686915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</r>
  <r>
    <x v="190"/>
    <x v="28"/>
    <s v="NA"/>
    <n v="989534.53"/>
    <n v="996451.07356713386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</r>
  <r>
    <x v="191"/>
    <x v="28"/>
    <s v="NA"/>
    <n v="978868.91578947369"/>
    <n v="985710.90997695387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</r>
  <r>
    <x v="192"/>
    <x v="28"/>
    <s v="NA"/>
    <n v="978596.59"/>
    <n v="985436.68071354344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</r>
  <r>
    <x v="193"/>
    <x v="28"/>
    <s v="NA"/>
    <n v="968896.22894736845"/>
    <n v="975668.51710546447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</r>
  <r>
    <x v="194"/>
    <x v="28"/>
    <s v="NA"/>
    <n v="945890.25263157894"/>
    <n v="952501.73605505633"/>
    <m/>
    <m/>
    <n v="0"/>
    <n v="0"/>
    <m/>
    <n v="0.99305882270528978"/>
    <n v="0"/>
    <n v="0"/>
    <n v="0"/>
    <m/>
    <s v="Private Equity Fund"/>
    <n v="0"/>
    <n v="0"/>
    <n v="0"/>
    <n v="0"/>
    <m/>
    <m/>
    <m/>
    <m/>
    <m/>
    <m/>
    <m/>
    <m/>
  </r>
  <r>
    <x v="62"/>
    <x v="29"/>
    <s v="NA"/>
    <n v="9883443.0380000006"/>
    <n v="9883443.0380000006"/>
    <m/>
    <m/>
    <n v="0"/>
    <n v="0"/>
    <m/>
    <n v="1"/>
    <n v="0"/>
    <n v="9883443.0380000006"/>
    <n v="0"/>
    <m/>
    <s v="Private Equity Fund"/>
    <n v="0"/>
    <n v="0"/>
    <n v="0"/>
    <n v="0"/>
    <m/>
    <m/>
    <m/>
    <m/>
    <m/>
    <m/>
    <m/>
    <m/>
  </r>
  <r>
    <x v="63"/>
    <x v="29"/>
    <s v="NA"/>
    <n v="9418784.0607000012"/>
    <n v="9418784.0607000012"/>
    <m/>
    <m/>
    <n v="0"/>
    <n v="-409619"/>
    <m/>
    <n v="1"/>
    <n v="-409619"/>
    <n v="-409619"/>
    <n v="-409619"/>
    <m/>
    <s v="Private Equity Fund"/>
    <n v="0"/>
    <n v="0"/>
    <n v="0"/>
    <n v="0"/>
    <m/>
    <m/>
    <m/>
    <m/>
    <m/>
    <m/>
    <m/>
    <m/>
  </r>
  <r>
    <x v="64"/>
    <x v="29"/>
    <s v="NA"/>
    <n v="9975706.5765000004"/>
    <n v="9975706.5765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65"/>
    <x v="29"/>
    <s v="NA"/>
    <n v="9352477.5504999999"/>
    <n v="9352477.5504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66"/>
    <x v="29"/>
    <s v="NA"/>
    <n v="10421864.596500002"/>
    <n v="10421864.5965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67"/>
    <x v="29"/>
    <s v="NA"/>
    <n v="12168472.222199999"/>
    <n v="12168472.2221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68"/>
    <x v="29"/>
    <s v="NA"/>
    <n v="11944091.729500001"/>
    <n v="11944091.729500001"/>
    <m/>
    <m/>
    <n v="0"/>
    <n v="-1648157.33"/>
    <m/>
    <n v="1"/>
    <n v="-1648157.33"/>
    <n v="-1648157.33"/>
    <n v="-1648157.33"/>
    <m/>
    <s v="Private Equity Fund"/>
    <n v="0"/>
    <n v="0"/>
    <n v="0"/>
    <n v="0"/>
    <m/>
    <m/>
    <m/>
    <m/>
    <m/>
    <m/>
    <m/>
    <m/>
  </r>
  <r>
    <x v="69"/>
    <x v="29"/>
    <s v="NA"/>
    <n v="13165898.005399998"/>
    <n v="13165898.0053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70"/>
    <x v="29"/>
    <s v="NA"/>
    <n v="13654606.895299999"/>
    <n v="13654606.8952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71"/>
    <x v="29"/>
    <s v="NA"/>
    <n v="13648686.7699"/>
    <n v="13648686.76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72"/>
    <x v="29"/>
    <s v="NA"/>
    <n v="16072364.949200001"/>
    <n v="16072364.949200001"/>
    <m/>
    <m/>
    <n v="0"/>
    <n v="-832219.91"/>
    <m/>
    <n v="1"/>
    <n v="-832219.91"/>
    <n v="-832219.91"/>
    <n v="-832219.91"/>
    <m/>
    <s v="Private Equity Fund"/>
    <n v="0"/>
    <n v="0"/>
    <n v="0"/>
    <n v="0"/>
    <m/>
    <m/>
    <m/>
    <m/>
    <m/>
    <m/>
    <m/>
    <m/>
  </r>
  <r>
    <x v="73"/>
    <x v="29"/>
    <s v="NA"/>
    <n v="18884341.082600001"/>
    <n v="18884341.0826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74"/>
    <x v="29"/>
    <s v="NA"/>
    <n v="20933279.1941"/>
    <n v="20933279.1941"/>
    <m/>
    <m/>
    <n v="0"/>
    <n v="-1571283.66"/>
    <m/>
    <n v="1"/>
    <n v="-1571283.66"/>
    <n v="-1571283.66"/>
    <n v="-1571283.66"/>
    <m/>
    <s v="Private Equity Fund"/>
    <n v="0"/>
    <n v="0"/>
    <n v="0"/>
    <n v="0"/>
    <m/>
    <m/>
    <m/>
    <m/>
    <m/>
    <m/>
    <m/>
    <m/>
  </r>
  <r>
    <x v="75"/>
    <x v="29"/>
    <s v="NA"/>
    <n v="17347487.535700001"/>
    <n v="17347487.535700001"/>
    <m/>
    <m/>
    <n v="0"/>
    <n v="-2328706.88"/>
    <m/>
    <n v="1"/>
    <n v="-2328706.88"/>
    <n v="-2328706.88"/>
    <n v="-2328706.88"/>
    <m/>
    <s v="Private Equity Fund"/>
    <n v="0"/>
    <n v="0"/>
    <n v="0"/>
    <n v="0"/>
    <m/>
    <m/>
    <m/>
    <m/>
    <m/>
    <m/>
    <m/>
    <m/>
  </r>
  <r>
    <x v="76"/>
    <x v="29"/>
    <s v="NA"/>
    <n v="16650986.466100002"/>
    <n v="16650986.4661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77"/>
    <x v="29"/>
    <s v="NA"/>
    <n v="17279581.752300002"/>
    <n v="17279581.752300002"/>
    <m/>
    <m/>
    <n v="0"/>
    <n v="-2134414.79"/>
    <m/>
    <n v="1"/>
    <n v="-2134414.79"/>
    <n v="-2134414.79"/>
    <n v="-2134414.79"/>
    <m/>
    <s v="Private Equity Fund"/>
    <n v="0"/>
    <n v="0"/>
    <n v="0"/>
    <n v="0"/>
    <m/>
    <m/>
    <m/>
    <m/>
    <m/>
    <m/>
    <m/>
    <m/>
  </r>
  <r>
    <x v="78"/>
    <x v="29"/>
    <s v="NA"/>
    <n v="17240114.835999999"/>
    <n v="17240114.835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79"/>
    <x v="29"/>
    <s v="NA"/>
    <n v="17627440.259099998"/>
    <n v="17627440.2590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0"/>
    <x v="29"/>
    <s v="NA"/>
    <n v="17281942.715799998"/>
    <n v="17281942.715799998"/>
    <m/>
    <m/>
    <n v="0"/>
    <n v="-3066750.1"/>
    <m/>
    <n v="1"/>
    <n v="-3066750.1"/>
    <n v="-3066750.1"/>
    <n v="-3066750.1"/>
    <m/>
    <s v="Private Equity Fund"/>
    <n v="0"/>
    <n v="0"/>
    <n v="0"/>
    <n v="0"/>
    <m/>
    <m/>
    <m/>
    <m/>
    <m/>
    <m/>
    <m/>
    <m/>
  </r>
  <r>
    <x v="81"/>
    <x v="29"/>
    <s v="NA"/>
    <n v="14607353.548899999"/>
    <n v="14607353.5488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2"/>
    <x v="29"/>
    <s v="NA"/>
    <n v="13312883.375400001"/>
    <n v="13312883.3754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3"/>
    <x v="29"/>
    <s v="NA"/>
    <n v="13858374.7568"/>
    <n v="13858374.756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4"/>
    <x v="29"/>
    <s v="NA"/>
    <n v="13198675.3157"/>
    <n v="13198675.315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5"/>
    <x v="29"/>
    <s v="NA"/>
    <n v="13212696.137141576"/>
    <n v="13212696.13714157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6"/>
    <x v="29"/>
    <s v="NA"/>
    <n v="12541219.000179252"/>
    <n v="12541219.00017925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7"/>
    <x v="29"/>
    <s v="NA"/>
    <n v="11973988.358993264"/>
    <n v="11973988.35899326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8"/>
    <x v="29"/>
    <s v="NA"/>
    <n v="10851614.452166066"/>
    <n v="10851614.45216606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89"/>
    <x v="29"/>
    <s v="NA"/>
    <n v="8959547.3835000005"/>
    <n v="8959547.383500000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0"/>
    <x v="29"/>
    <s v="NA"/>
    <n v="7731420.3601257904"/>
    <n v="7731420.36012579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1"/>
    <x v="29"/>
    <s v="NA"/>
    <n v="5292774.6245671185"/>
    <n v="5292774.624567118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2"/>
    <x v="29"/>
    <s v="NA"/>
    <n v="5177830.7596805431"/>
    <n v="5177830.759680543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3"/>
    <x v="29"/>
    <s v="NA"/>
    <n v="4669857.4962914446"/>
    <n v="4669857.496291444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4"/>
    <x v="29"/>
    <s v="NA"/>
    <n v="4318747.7726973919"/>
    <n v="4318747.772697391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5"/>
    <x v="29"/>
    <s v="NA"/>
    <n v="4224381.8455724195"/>
    <n v="4224381.845572419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6"/>
    <x v="29"/>
    <s v="NA"/>
    <n v="4152757.4557141424"/>
    <n v="4152757.455714142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7"/>
    <x v="29"/>
    <s v="NA"/>
    <n v="4184828.7385757361"/>
    <n v="4184828.738575736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8"/>
    <x v="29"/>
    <s v="NA"/>
    <n v="4284028.4058595886"/>
    <n v="4284028.405859588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99"/>
    <x v="29"/>
    <s v="NA"/>
    <n v="4039300.7496487615"/>
    <n v="4039300.749648761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0"/>
    <x v="29"/>
    <s v="NA"/>
    <n v="4199125.3059773697"/>
    <n v="4199125.305977369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1"/>
    <x v="29"/>
    <s v="NA"/>
    <n v="4518652.24"/>
    <n v="4518652.2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2"/>
    <x v="29"/>
    <s v="NA"/>
    <n v="6526871.8700000001"/>
    <n v="6526871.87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3"/>
    <x v="29"/>
    <s v="NA"/>
    <n v="6667129.0700000003"/>
    <n v="6667129.0700000003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4"/>
    <x v="29"/>
    <s v="NA"/>
    <n v="8278917.5700000012"/>
    <n v="8278917.570000001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5"/>
    <x v="29"/>
    <s v="NA"/>
    <n v="6543605.8300000001"/>
    <n v="6543605.8300000001"/>
    <m/>
    <m/>
    <n v="0"/>
    <n v="-1835991.59"/>
    <m/>
    <n v="1"/>
    <n v="-1835991.59"/>
    <n v="-1835991.59"/>
    <n v="-1835991.59"/>
    <m/>
    <s v="Private Equity Fund"/>
    <n v="0"/>
    <n v="0"/>
    <n v="0"/>
    <n v="0"/>
    <m/>
    <m/>
    <m/>
    <m/>
    <m/>
    <m/>
    <m/>
    <m/>
  </r>
  <r>
    <x v="106"/>
    <x v="29"/>
    <s v="NA"/>
    <n v="6530913.1100000003"/>
    <n v="6530913.1100000003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7"/>
    <x v="29"/>
    <s v="NA"/>
    <n v="6800882.0099999998"/>
    <n v="6800882.00999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8"/>
    <x v="29"/>
    <s v="NA"/>
    <n v="7315920.7999999998"/>
    <n v="7315920.79999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09"/>
    <x v="29"/>
    <s v="NA"/>
    <n v="7671479.3700000001"/>
    <n v="7671479.37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0"/>
    <x v="29"/>
    <s v="NA"/>
    <n v="6458096.7400000002"/>
    <n v="6458096.7400000002"/>
    <m/>
    <m/>
    <n v="0"/>
    <n v="-468343.73"/>
    <m/>
    <n v="1"/>
    <n v="-468343.73"/>
    <n v="-468343.73"/>
    <n v="-468343.73"/>
    <m/>
    <s v="Private Equity Fund"/>
    <n v="0"/>
    <n v="0"/>
    <n v="0"/>
    <n v="0"/>
    <m/>
    <m/>
    <m/>
    <m/>
    <m/>
    <m/>
    <m/>
    <m/>
  </r>
  <r>
    <x v="111"/>
    <x v="29"/>
    <s v="NA"/>
    <n v="7782077.1200000001"/>
    <n v="7782077.12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2"/>
    <x v="29"/>
    <s v="NA"/>
    <n v="8892084.9900000002"/>
    <n v="8892084.99000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3"/>
    <x v="29"/>
    <s v="NA"/>
    <n v="8548219.9499999993"/>
    <n v="8548219.9499999993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4"/>
    <x v="29"/>
    <s v="NA"/>
    <n v="9010054.2200000007"/>
    <n v="9010054.220000000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5"/>
    <x v="29"/>
    <s v="NA"/>
    <n v="9492515.5800000001"/>
    <n v="9492515.580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6"/>
    <x v="29"/>
    <s v="NA"/>
    <n v="10907065.949999999"/>
    <n v="10907065.94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7"/>
    <x v="29"/>
    <s v="NA"/>
    <n v="9254283.2300000004"/>
    <n v="9254283.2300000004"/>
    <m/>
    <m/>
    <n v="0"/>
    <n v="-2011987.9699999997"/>
    <m/>
    <n v="1"/>
    <n v="-2011987.9699999997"/>
    <n v="-2011987.9699999997"/>
    <n v="-2011987.9699999997"/>
    <m/>
    <s v="Private Equity Fund"/>
    <n v="0"/>
    <n v="0"/>
    <n v="0"/>
    <n v="0"/>
    <m/>
    <m/>
    <m/>
    <m/>
    <m/>
    <m/>
    <m/>
    <m/>
  </r>
  <r>
    <x v="118"/>
    <x v="29"/>
    <s v="NA"/>
    <n v="9927969.2599999998"/>
    <n v="9927969.2599999998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19"/>
    <x v="29"/>
    <s v="NA"/>
    <n v="10574605.560000001"/>
    <n v="10574605.56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0"/>
    <x v="29"/>
    <s v="NA"/>
    <n v="11518178.51"/>
    <n v="11518178.5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1"/>
    <x v="29"/>
    <s v="NA"/>
    <n v="12316067.75"/>
    <n v="12316067.75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2"/>
    <x v="29"/>
    <s v="NA"/>
    <n v="12753495.609999999"/>
    <n v="12753495.60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3"/>
    <x v="29"/>
    <s v="NA"/>
    <n v="10370453.630000001"/>
    <n v="10370453.630000001"/>
    <m/>
    <m/>
    <n v="0"/>
    <n v="-2978130.2"/>
    <m/>
    <n v="1"/>
    <n v="-2978130.2"/>
    <n v="-2978130.2"/>
    <n v="-2978130.2"/>
    <m/>
    <s v="Private Equity Fund"/>
    <n v="0"/>
    <n v="0"/>
    <n v="0"/>
    <n v="0"/>
    <m/>
    <m/>
    <m/>
    <m/>
    <m/>
    <m/>
    <m/>
    <m/>
  </r>
  <r>
    <x v="124"/>
    <x v="29"/>
    <s v="NA"/>
    <n v="10458301.76"/>
    <n v="10458301.76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5"/>
    <x v="29"/>
    <s v="NA"/>
    <n v="9288797.9000000004"/>
    <n v="9288797.9000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6"/>
    <x v="29"/>
    <s v="NA"/>
    <n v="8044249.4800000014"/>
    <n v="8044249.480000001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7"/>
    <x v="29"/>
    <s v="NA"/>
    <n v="9118415.7899999991"/>
    <n v="9118415.789999999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8"/>
    <x v="29"/>
    <s v="NA"/>
    <n v="8604088.0899999999"/>
    <n v="8604088.0899999999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29"/>
    <x v="29"/>
    <s v="NA"/>
    <n v="7934380.5999999996"/>
    <n v="7934380.5999999996"/>
    <m/>
    <m/>
    <n v="0"/>
    <n v="-600506.10366267851"/>
    <m/>
    <n v="1"/>
    <n v="-600506.10366267851"/>
    <n v="-600506.10366267851"/>
    <n v="-600506.10366267851"/>
    <m/>
    <s v="Private Equity Fund"/>
    <n v="0"/>
    <n v="0"/>
    <n v="0"/>
    <n v="0"/>
    <m/>
    <m/>
    <m/>
    <m/>
    <m/>
    <m/>
    <m/>
    <m/>
  </r>
  <r>
    <x v="130"/>
    <x v="29"/>
    <s v="NA"/>
    <n v="8635682.4299999997"/>
    <n v="8635682.4299999997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1"/>
    <x v="29"/>
    <s v="NA"/>
    <n v="9925296.3699999992"/>
    <n v="9925296.369999999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2"/>
    <x v="29"/>
    <s v="NA"/>
    <n v="9822358.0399999991"/>
    <n v="9822358.039999999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3"/>
    <x v="29"/>
    <s v="NA"/>
    <n v="10107152.790000001"/>
    <n v="10107152.790000001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4"/>
    <x v="29"/>
    <s v="NA"/>
    <n v="9913889.6500000004"/>
    <n v="9913889.6500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5"/>
    <x v="29"/>
    <s v="NA"/>
    <n v="9542944.9800000004"/>
    <n v="9542944.980000000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6"/>
    <x v="29"/>
    <s v="NA"/>
    <n v="9757848.9900000002"/>
    <n v="9757848.9900000002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7"/>
    <x v="29"/>
    <s v="NA"/>
    <n v="11299019.74"/>
    <n v="11299019.74"/>
    <m/>
    <m/>
    <n v="0"/>
    <n v="0"/>
    <m/>
    <n v="1"/>
    <n v="0"/>
    <n v="0"/>
    <n v="0"/>
    <m/>
    <s v="Private Equity Fund"/>
    <n v="0"/>
    <n v="0"/>
    <n v="0"/>
    <n v="0"/>
    <m/>
    <m/>
    <m/>
    <m/>
    <m/>
    <m/>
    <m/>
    <m/>
  </r>
  <r>
    <x v="138"/>
    <x v="29"/>
    <s v="NA"/>
    <n v="12259013.873834601"/>
    <n v="12259013.873834601"/>
    <m/>
    <m/>
    <n v="0"/>
    <n v="0"/>
    <m/>
    <n v="1"/>
    <n v="0"/>
    <n v="0"/>
    <n v="0"/>
    <m/>
    <s v="Private Equity Fund"/>
    <n v="0"/>
    <n v="1.2259013873834601"/>
    <n v="0"/>
    <n v="0"/>
    <m/>
    <m/>
    <m/>
    <m/>
    <m/>
    <m/>
    <m/>
    <m/>
  </r>
  <r>
    <x v="139"/>
    <x v="29"/>
    <s v="NA"/>
    <n v="12360190.223033275"/>
    <n v="12360190.223033275"/>
    <m/>
    <m/>
    <n v="0"/>
    <n v="0"/>
    <m/>
    <n v="1"/>
    <n v="0"/>
    <n v="0"/>
    <n v="0"/>
    <m/>
    <s v="Private Equity Fund"/>
    <n v="0"/>
    <n v="1.2360190223033276"/>
    <n v="0"/>
    <n v="0"/>
    <m/>
    <m/>
    <m/>
    <m/>
    <m/>
    <m/>
    <m/>
    <m/>
  </r>
  <r>
    <x v="140"/>
    <x v="29"/>
    <s v="NA"/>
    <n v="12522151.163343713"/>
    <n v="12522151.163343713"/>
    <m/>
    <m/>
    <n v="0"/>
    <n v="0"/>
    <m/>
    <n v="1"/>
    <n v="0"/>
    <n v="0"/>
    <n v="0"/>
    <m/>
    <s v="Private Equity Fund"/>
    <n v="0"/>
    <n v="1.2522151163343713"/>
    <n v="0"/>
    <n v="0"/>
    <m/>
    <m/>
    <m/>
    <m/>
    <m/>
    <m/>
    <m/>
    <m/>
  </r>
  <r>
    <x v="141"/>
    <x v="29"/>
    <s v="NA"/>
    <n v="11663643.111214403"/>
    <n v="11663643.111214403"/>
    <m/>
    <m/>
    <n v="0"/>
    <n v="-2477026.73"/>
    <m/>
    <n v="1"/>
    <n v="-2477026.73"/>
    <n v="-2477026.73"/>
    <n v="-2477026.73"/>
    <m/>
    <s v="Private Equity Fund"/>
    <n v="0"/>
    <n v="1.1663643111214403"/>
    <n v="0"/>
    <n v="0"/>
    <m/>
    <m/>
    <m/>
    <m/>
    <m/>
    <m/>
    <m/>
    <m/>
  </r>
  <r>
    <x v="142"/>
    <x v="29"/>
    <s v="NA"/>
    <n v="12249015.800824463"/>
    <n v="12249015.800824463"/>
    <m/>
    <m/>
    <n v="0"/>
    <n v="0"/>
    <m/>
    <n v="1"/>
    <n v="0"/>
    <n v="0"/>
    <n v="0"/>
    <m/>
    <s v="Private Equity Fund"/>
    <n v="0"/>
    <n v="1.2249015800824463"/>
    <n v="0"/>
    <n v="0"/>
    <m/>
    <m/>
    <m/>
    <m/>
    <m/>
    <m/>
    <m/>
    <m/>
  </r>
  <r>
    <x v="143"/>
    <x v="29"/>
    <s v="NA"/>
    <n v="12311712.423821142"/>
    <n v="12311712.423821142"/>
    <m/>
    <m/>
    <n v="0"/>
    <n v="0"/>
    <m/>
    <n v="1"/>
    <n v="0"/>
    <n v="0"/>
    <n v="0"/>
    <m/>
    <s v="Private Equity Fund"/>
    <n v="0"/>
    <n v="1.2311712423821142"/>
    <n v="0"/>
    <n v="0"/>
    <m/>
    <m/>
    <m/>
    <m/>
    <m/>
    <m/>
    <m/>
    <m/>
  </r>
  <r>
    <x v="144"/>
    <x v="29"/>
    <s v="NA"/>
    <n v="11729882.238661507"/>
    <n v="11729882.238661507"/>
    <m/>
    <m/>
    <n v="0"/>
    <n v="-662953.29"/>
    <m/>
    <n v="1"/>
    <n v="-662953.29"/>
    <n v="-662953.29"/>
    <n v="-662953.29"/>
    <m/>
    <s v="Private Equity Fund"/>
    <n v="0"/>
    <n v="1.1729882238661506"/>
    <n v="0"/>
    <n v="0"/>
    <m/>
    <m/>
    <m/>
    <m/>
    <m/>
    <m/>
    <m/>
    <m/>
  </r>
  <r>
    <x v="145"/>
    <x v="29"/>
    <s v="NA"/>
    <n v="11735901.6124679"/>
    <n v="11735901.6124679"/>
    <m/>
    <m/>
    <n v="0"/>
    <n v="0"/>
    <m/>
    <n v="1"/>
    <n v="0"/>
    <n v="0"/>
    <n v="0"/>
    <m/>
    <s v="Private Equity Fund"/>
    <n v="0"/>
    <n v="1.1735901612467901"/>
    <n v="0"/>
    <n v="0"/>
    <m/>
    <m/>
    <m/>
    <m/>
    <m/>
    <m/>
    <m/>
    <m/>
  </r>
  <r>
    <x v="146"/>
    <x v="29"/>
    <s v="NA"/>
    <n v="13266416.386573002"/>
    <n v="13266416.386573002"/>
    <m/>
    <m/>
    <n v="0"/>
    <n v="0"/>
    <m/>
    <n v="1"/>
    <n v="0"/>
    <n v="0"/>
    <n v="0"/>
    <m/>
    <s v="Private Equity Fund"/>
    <n v="0"/>
    <n v="1.3266416386573003"/>
    <n v="0"/>
    <n v="0"/>
    <m/>
    <m/>
    <m/>
    <m/>
    <m/>
    <m/>
    <m/>
    <m/>
  </r>
  <r>
    <x v="147"/>
    <x v="29"/>
    <s v="NA"/>
    <n v="11808721.390754219"/>
    <n v="11808721.390754219"/>
    <m/>
    <m/>
    <n v="0"/>
    <n v="0"/>
    <m/>
    <n v="1"/>
    <n v="0"/>
    <n v="0"/>
    <n v="0"/>
    <m/>
    <s v="Private Equity Fund"/>
    <n v="0"/>
    <n v="1.180872139075422"/>
    <n v="0"/>
    <n v="0"/>
    <m/>
    <m/>
    <m/>
    <m/>
    <m/>
    <m/>
    <m/>
    <m/>
  </r>
  <r>
    <x v="148"/>
    <x v="29"/>
    <s v="NA"/>
    <n v="11736773.782846084"/>
    <n v="11736773.782846084"/>
    <m/>
    <m/>
    <n v="0"/>
    <n v="0"/>
    <m/>
    <n v="1"/>
    <n v="0"/>
    <n v="0"/>
    <n v="0"/>
    <m/>
    <s v="Private Equity Fund"/>
    <n v="0"/>
    <n v="1.1736773782846084"/>
    <n v="0"/>
    <n v="0"/>
    <m/>
    <m/>
    <m/>
    <m/>
    <m/>
    <m/>
    <m/>
    <m/>
  </r>
  <r>
    <x v="149"/>
    <x v="29"/>
    <s v="NA"/>
    <n v="11566719.12818744"/>
    <n v="11566719.12818744"/>
    <m/>
    <m/>
    <n v="0"/>
    <n v="0"/>
    <m/>
    <n v="1"/>
    <n v="0"/>
    <n v="0"/>
    <n v="0"/>
    <m/>
    <s v="Private Equity Fund"/>
    <n v="0"/>
    <n v="1.1566719128187442"/>
    <n v="0"/>
    <n v="0"/>
    <m/>
    <m/>
    <m/>
    <m/>
    <m/>
    <m/>
    <m/>
    <m/>
  </r>
  <r>
    <x v="1"/>
    <x v="29"/>
    <s v="NA"/>
    <n v="11750427.537092499"/>
    <n v="11750427.537092499"/>
    <m/>
    <m/>
    <n v="0"/>
    <n v="0"/>
    <m/>
    <n v="1"/>
    <n v="0"/>
    <n v="0"/>
    <n v="0"/>
    <m/>
    <s v="Private Equity Fund"/>
    <n v="0"/>
    <n v="1.1750427537092498"/>
    <n v="0"/>
    <n v="0"/>
    <m/>
    <m/>
    <m/>
    <m/>
    <m/>
    <m/>
    <m/>
    <m/>
  </r>
  <r>
    <x v="2"/>
    <x v="29"/>
    <s v="NA"/>
    <n v="11887180.954927858"/>
    <n v="11887180.954927858"/>
    <m/>
    <m/>
    <n v="0"/>
    <n v="0"/>
    <m/>
    <n v="1"/>
    <n v="0"/>
    <n v="0"/>
    <n v="0"/>
    <m/>
    <s v="Private Equity Fund"/>
    <n v="0"/>
    <n v="1.1887180954927858"/>
    <n v="0"/>
    <n v="0"/>
    <m/>
    <m/>
    <m/>
    <m/>
    <m/>
    <m/>
    <m/>
    <m/>
  </r>
  <r>
    <x v="3"/>
    <x v="29"/>
    <s v="NA"/>
    <n v="11702406.115568081"/>
    <n v="11702406.115568081"/>
    <m/>
    <m/>
    <n v="0"/>
    <n v="0"/>
    <m/>
    <n v="1"/>
    <n v="0"/>
    <n v="0"/>
    <n v="0"/>
    <m/>
    <s v="Private Equity Fund"/>
    <n v="0"/>
    <n v="1.1702406115568083"/>
    <n v="0"/>
    <n v="0"/>
    <m/>
    <m/>
    <m/>
    <m/>
    <m/>
    <m/>
    <m/>
    <m/>
  </r>
  <r>
    <x v="4"/>
    <x v="29"/>
    <s v="NA"/>
    <n v="11764090.47267909"/>
    <n v="11764090.47267909"/>
    <m/>
    <m/>
    <n v="0"/>
    <n v="0"/>
    <m/>
    <n v="1"/>
    <n v="0"/>
    <n v="0"/>
    <n v="0"/>
    <m/>
    <s v="Private Equity Fund"/>
    <n v="0"/>
    <n v="1.176409047267909"/>
    <n v="0"/>
    <n v="0"/>
    <m/>
    <m/>
    <m/>
    <m/>
    <m/>
    <m/>
    <m/>
    <m/>
  </r>
  <r>
    <x v="5"/>
    <x v="29"/>
    <s v="NA"/>
    <n v="11676868.879779583"/>
    <n v="11676868.879779583"/>
    <m/>
    <m/>
    <n v="0"/>
    <n v="0"/>
    <m/>
    <n v="1"/>
    <n v="0"/>
    <n v="0"/>
    <n v="0"/>
    <m/>
    <s v="Private Equity Fund"/>
    <n v="0"/>
    <n v="1.1676868879779583"/>
    <n v="0"/>
    <n v="0"/>
    <m/>
    <m/>
    <m/>
    <m/>
    <m/>
    <m/>
    <m/>
    <m/>
  </r>
  <r>
    <x v="6"/>
    <x v="29"/>
    <s v="NA"/>
    <n v="11583844.626509063"/>
    <n v="11583844.626509063"/>
    <m/>
    <m/>
    <n v="0"/>
    <n v="0"/>
    <m/>
    <n v="1"/>
    <n v="0"/>
    <n v="0"/>
    <n v="0"/>
    <m/>
    <s v="Private Equity Fund"/>
    <n v="0"/>
    <n v="1.1583844626509063"/>
    <n v="0"/>
    <n v="0"/>
    <m/>
    <m/>
    <m/>
    <m/>
    <m/>
    <m/>
    <m/>
    <m/>
  </r>
  <r>
    <x v="7"/>
    <x v="29"/>
    <s v="NA"/>
    <n v="11430571.1"/>
    <n v="11430571.1"/>
    <m/>
    <m/>
    <n v="0"/>
    <n v="0"/>
    <m/>
    <n v="1"/>
    <n v="0"/>
    <n v="0"/>
    <n v="0"/>
    <m/>
    <s v="Private Equity Fund"/>
    <n v="0"/>
    <n v="1.14305711"/>
    <n v="0"/>
    <n v="0"/>
    <m/>
    <m/>
    <m/>
    <m/>
    <m/>
    <m/>
    <m/>
    <m/>
  </r>
  <r>
    <x v="8"/>
    <x v="29"/>
    <s v="NA"/>
    <n v="12077816.77"/>
    <n v="12077816.77"/>
    <m/>
    <m/>
    <n v="0"/>
    <n v="0"/>
    <m/>
    <n v="1"/>
    <n v="0"/>
    <n v="0"/>
    <n v="0"/>
    <m/>
    <s v="Private Equity Fund"/>
    <n v="0"/>
    <n v="1.2077816770000001"/>
    <n v="0"/>
    <n v="0"/>
    <m/>
    <m/>
    <m/>
    <m/>
    <m/>
    <m/>
    <m/>
    <m/>
  </r>
  <r>
    <x v="9"/>
    <x v="29"/>
    <s v="NA"/>
    <n v="10377040.9767846"/>
    <n v="10377040.9767846"/>
    <m/>
    <m/>
    <n v="0"/>
    <n v="-346558.62999999902"/>
    <m/>
    <n v="1"/>
    <n v="-346558.62999999902"/>
    <n v="-346558.62999999902"/>
    <n v="-346558.62999999902"/>
    <m/>
    <s v="Private Equity Fund"/>
    <n v="0"/>
    <n v="1.0377040976784602"/>
    <n v="0"/>
    <n v="0"/>
    <m/>
    <m/>
    <m/>
    <m/>
    <m/>
    <m/>
    <m/>
    <m/>
  </r>
  <r>
    <x v="10"/>
    <x v="29"/>
    <s v="NA"/>
    <n v="9796896.9100000001"/>
    <n v="9796896.9100000001"/>
    <m/>
    <m/>
    <n v="0"/>
    <n v="0"/>
    <m/>
    <n v="1"/>
    <n v="0"/>
    <n v="0"/>
    <n v="0"/>
    <m/>
    <s v="Private Equity Fund"/>
    <n v="0"/>
    <n v="0.97968969100000014"/>
    <n v="0"/>
    <n v="0"/>
    <m/>
    <m/>
    <m/>
    <m/>
    <m/>
    <m/>
    <m/>
    <m/>
  </r>
  <r>
    <x v="11"/>
    <x v="29"/>
    <s v="NA"/>
    <n v="9352044.7416898012"/>
    <n v="9352044.7416898012"/>
    <m/>
    <m/>
    <n v="0"/>
    <n v="0"/>
    <m/>
    <n v="1"/>
    <n v="0"/>
    <n v="0"/>
    <n v="0"/>
    <m/>
    <s v="Private Equity Fund"/>
    <n v="0"/>
    <n v="0.93520447416898012"/>
    <n v="0"/>
    <n v="0"/>
    <m/>
    <m/>
    <m/>
    <m/>
    <m/>
    <m/>
    <m/>
    <m/>
  </r>
  <r>
    <x v="12"/>
    <x v="29"/>
    <s v="NA"/>
    <n v="8890893.009968942"/>
    <n v="8890893.009968942"/>
    <m/>
    <m/>
    <n v="0"/>
    <n v="0"/>
    <m/>
    <n v="1"/>
    <n v="0"/>
    <n v="0"/>
    <n v="0"/>
    <m/>
    <s v="Private Equity Fund"/>
    <n v="0"/>
    <n v="0.88908930099689421"/>
    <n v="0"/>
    <n v="0"/>
    <m/>
    <m/>
    <m/>
    <m/>
    <m/>
    <m/>
    <m/>
    <m/>
  </r>
  <r>
    <x v="13"/>
    <x v="29"/>
    <s v="NA"/>
    <n v="8044295.8954608878"/>
    <n v="8044295.8954608878"/>
    <m/>
    <m/>
    <n v="0"/>
    <n v="0"/>
    <m/>
    <n v="1"/>
    <n v="0"/>
    <n v="0"/>
    <n v="0"/>
    <m/>
    <s v="Private Equity Fund"/>
    <n v="0"/>
    <n v="0.80442958954608879"/>
    <n v="0"/>
    <n v="0"/>
    <m/>
    <m/>
    <m/>
    <m/>
    <m/>
    <m/>
    <m/>
    <m/>
  </r>
  <r>
    <x v="150"/>
    <x v="29"/>
    <s v="NA"/>
    <n v="8771280.3446469381"/>
    <n v="8771280.3446469381"/>
    <m/>
    <m/>
    <n v="0"/>
    <n v="0"/>
    <m/>
    <n v="1"/>
    <n v="0"/>
    <n v="0"/>
    <n v="0"/>
    <m/>
    <s v="Private Equity Fund"/>
    <n v="0"/>
    <n v="0.87712803446469378"/>
    <n v="0"/>
    <n v="0"/>
    <m/>
    <m/>
    <m/>
    <m/>
    <m/>
    <m/>
    <m/>
    <m/>
  </r>
  <r>
    <x v="151"/>
    <x v="29"/>
    <s v="NA"/>
    <n v="8579195.0304291267"/>
    <n v="8579195.0304291267"/>
    <m/>
    <m/>
    <n v="0"/>
    <n v="0"/>
    <m/>
    <n v="1"/>
    <n v="0"/>
    <n v="0"/>
    <n v="0"/>
    <m/>
    <s v="Private Equity Fund"/>
    <n v="0"/>
    <n v="0.85791950304291265"/>
    <n v="0"/>
    <n v="0"/>
    <m/>
    <m/>
    <m/>
    <m/>
    <m/>
    <m/>
    <m/>
    <m/>
  </r>
  <r>
    <x v="152"/>
    <x v="29"/>
    <s v="NA"/>
    <n v="7981146.8548097275"/>
    <n v="7981146.8548097275"/>
    <m/>
    <m/>
    <n v="0"/>
    <n v="0"/>
    <m/>
    <n v="1"/>
    <n v="0"/>
    <n v="0"/>
    <n v="0"/>
    <m/>
    <s v="Private Equity Fund"/>
    <n v="0"/>
    <n v="0.79811468548097286"/>
    <n v="0"/>
    <n v="0"/>
    <m/>
    <m/>
    <m/>
    <m/>
    <m/>
    <m/>
    <m/>
    <m/>
  </r>
  <r>
    <x v="153"/>
    <x v="29"/>
    <s v="NA"/>
    <n v="7732859.4476359673"/>
    <n v="7732859.4476359673"/>
    <m/>
    <m/>
    <n v="0"/>
    <n v="0"/>
    <m/>
    <n v="1"/>
    <n v="0"/>
    <n v="0"/>
    <n v="0"/>
    <m/>
    <s v="Private Equity Fund"/>
    <n v="0"/>
    <n v="0.77328594476359669"/>
    <n v="0"/>
    <n v="0"/>
    <m/>
    <m/>
    <m/>
    <m/>
    <m/>
    <m/>
    <m/>
    <m/>
  </r>
  <r>
    <x v="154"/>
    <x v="29"/>
    <s v="NA"/>
    <n v="7482915.7060653726"/>
    <n v="7482915.7060653726"/>
    <m/>
    <m/>
    <n v="0"/>
    <n v="0"/>
    <m/>
    <n v="1"/>
    <n v="0"/>
    <n v="0"/>
    <n v="0"/>
    <m/>
    <s v="Private Equity Fund"/>
    <n v="0"/>
    <n v="0.74829157060653728"/>
    <n v="0"/>
    <n v="0"/>
    <m/>
    <m/>
    <m/>
    <m/>
    <m/>
    <m/>
    <m/>
    <m/>
  </r>
  <r>
    <x v="155"/>
    <x v="29"/>
    <s v="NA"/>
    <n v="6302512.1139103901"/>
    <n v="6302512.1139103901"/>
    <m/>
    <m/>
    <n v="0"/>
    <n v="0"/>
    <m/>
    <n v="1"/>
    <n v="0"/>
    <n v="0"/>
    <n v="0"/>
    <m/>
    <s v="Private Equity Fund"/>
    <n v="0"/>
    <n v="0.63025121139103901"/>
    <n v="0"/>
    <n v="0"/>
    <m/>
    <m/>
    <m/>
    <m/>
    <m/>
    <m/>
    <m/>
    <m/>
  </r>
  <r>
    <x v="156"/>
    <x v="29"/>
    <s v="NA"/>
    <n v="6469526.0955323968"/>
    <n v="6469526.0955323968"/>
    <m/>
    <m/>
    <n v="0"/>
    <n v="0"/>
    <m/>
    <n v="1"/>
    <n v="0"/>
    <n v="0"/>
    <n v="0"/>
    <m/>
    <s v="Private Equity Fund"/>
    <n v="0"/>
    <n v="0.64695260955323974"/>
    <n v="0"/>
    <n v="0"/>
    <m/>
    <m/>
    <m/>
    <m/>
    <m/>
    <m/>
    <m/>
    <m/>
  </r>
  <r>
    <x v="157"/>
    <x v="29"/>
    <s v="NA"/>
    <n v="6014644.6195175694"/>
    <n v="6014644.6195175694"/>
    <m/>
    <m/>
    <n v="0"/>
    <n v="0"/>
    <m/>
    <n v="1"/>
    <n v="0"/>
    <n v="0"/>
    <n v="0"/>
    <m/>
    <s v="Private Equity Fund"/>
    <n v="0"/>
    <n v="0.60146446195175696"/>
    <n v="0"/>
    <n v="0"/>
    <m/>
    <m/>
    <m/>
    <m/>
    <m/>
    <m/>
    <m/>
    <m/>
  </r>
  <r>
    <x v="158"/>
    <x v="29"/>
    <s v="NA"/>
    <n v="5053632.1086379457"/>
    <n v="5053632.1086379457"/>
    <m/>
    <m/>
    <n v="0"/>
    <n v="0"/>
    <m/>
    <n v="1"/>
    <n v="0"/>
    <n v="0"/>
    <n v="0"/>
    <m/>
    <s v="Private Equity Fund"/>
    <n v="0"/>
    <n v="0.50536321086379465"/>
    <n v="0"/>
    <n v="0"/>
    <m/>
    <m/>
    <m/>
    <m/>
    <m/>
    <m/>
    <m/>
    <m/>
  </r>
  <r>
    <x v="159"/>
    <x v="29"/>
    <s v="NA"/>
    <n v="4574254.4232739527"/>
    <n v="4574254.4232739527"/>
    <m/>
    <m/>
    <n v="0"/>
    <n v="0"/>
    <m/>
    <n v="1"/>
    <n v="0"/>
    <n v="0"/>
    <n v="0"/>
    <m/>
    <s v="Private Equity Fund"/>
    <n v="0"/>
    <n v="0.45742544232739529"/>
    <n v="0"/>
    <n v="0"/>
    <m/>
    <m/>
    <m/>
    <m/>
    <m/>
    <m/>
    <m/>
    <m/>
  </r>
  <r>
    <x v="160"/>
    <x v="29"/>
    <s v="NA"/>
    <n v="3346522.7698141458"/>
    <n v="3346522.7698141458"/>
    <m/>
    <m/>
    <n v="0"/>
    <n v="0"/>
    <m/>
    <n v="1"/>
    <n v="0"/>
    <n v="0"/>
    <n v="0"/>
    <m/>
    <s v="Private Equity Fund"/>
    <n v="0"/>
    <n v="0.33465227698141459"/>
    <n v="0"/>
    <n v="0"/>
    <m/>
    <m/>
    <m/>
    <m/>
    <m/>
    <m/>
    <m/>
    <m/>
  </r>
  <r>
    <x v="161"/>
    <x v="29"/>
    <s v="NA"/>
    <n v="3919614.6482686936"/>
    <n v="3919614.6482686936"/>
    <m/>
    <m/>
    <n v="0"/>
    <n v="0"/>
    <m/>
    <n v="1"/>
    <n v="0"/>
    <n v="0"/>
    <n v="0"/>
    <m/>
    <s v="Private Equity Fund"/>
    <n v="0"/>
    <n v="0.39196146482686939"/>
    <n v="0"/>
    <n v="0"/>
    <m/>
    <m/>
    <m/>
    <m/>
    <m/>
    <m/>
    <m/>
    <m/>
  </r>
  <r>
    <x v="162"/>
    <x v="29"/>
    <s v="NA"/>
    <n v="4174230.9565974711"/>
    <n v="4174230.9565974711"/>
    <m/>
    <m/>
    <n v="0"/>
    <n v="0"/>
    <m/>
    <n v="1"/>
    <n v="0"/>
    <n v="0"/>
    <n v="0"/>
    <m/>
    <s v="Private Equity Fund"/>
    <n v="0"/>
    <n v="0.41742309565974711"/>
    <n v="0"/>
    <n v="0"/>
    <m/>
    <m/>
    <m/>
    <m/>
    <m/>
    <m/>
    <m/>
    <m/>
  </r>
  <r>
    <x v="163"/>
    <x v="29"/>
    <s v="NA"/>
    <n v="3550027.1552387862"/>
    <n v="3550027.1552387862"/>
    <m/>
    <m/>
    <n v="0"/>
    <n v="0"/>
    <m/>
    <n v="1"/>
    <n v="0"/>
    <n v="0"/>
    <n v="0"/>
    <m/>
    <s v="Private Equity Fund"/>
    <n v="0"/>
    <n v="0.35500271552387863"/>
    <n v="0"/>
    <n v="0"/>
    <m/>
    <m/>
    <m/>
    <m/>
    <m/>
    <m/>
    <m/>
    <m/>
  </r>
  <r>
    <x v="164"/>
    <x v="29"/>
    <s v="NA"/>
    <n v="3542318.3312115283"/>
    <n v="3542318.3312115283"/>
    <m/>
    <m/>
    <n v="0"/>
    <n v="0"/>
    <m/>
    <n v="1"/>
    <n v="0"/>
    <n v="0"/>
    <n v="0"/>
    <m/>
    <s v="Private Equity Fund"/>
    <n v="0"/>
    <n v="0.35423183312115286"/>
    <n v="0"/>
    <n v="0"/>
    <m/>
    <m/>
    <m/>
    <m/>
    <m/>
    <m/>
    <m/>
    <m/>
  </r>
  <r>
    <x v="165"/>
    <x v="29"/>
    <s v="NA"/>
    <n v="2908506.6755012688"/>
    <n v="2908506.6755012688"/>
    <m/>
    <m/>
    <n v="0"/>
    <n v="0"/>
    <m/>
    <n v="1"/>
    <n v="0"/>
    <n v="0"/>
    <n v="0"/>
    <m/>
    <s v="Private Equity Fund"/>
    <n v="0"/>
    <n v="0.2908506675501269"/>
    <n v="0"/>
    <n v="0"/>
    <m/>
    <m/>
    <m/>
    <m/>
    <m/>
    <m/>
    <m/>
    <m/>
  </r>
  <r>
    <x v="166"/>
    <x v="29"/>
    <s v="NA"/>
    <n v="3186703.4429349126"/>
    <n v="3186703.4429349126"/>
    <m/>
    <m/>
    <n v="0"/>
    <n v="0"/>
    <m/>
    <n v="1"/>
    <n v="0"/>
    <n v="0"/>
    <n v="0"/>
    <m/>
    <s v="Private Equity Fund"/>
    <n v="0"/>
    <n v="0.31867034429349128"/>
    <n v="0"/>
    <n v="0"/>
    <m/>
    <m/>
    <m/>
    <m/>
    <m/>
    <m/>
    <m/>
    <m/>
  </r>
  <r>
    <x v="167"/>
    <x v="29"/>
    <s v="NA"/>
    <n v="3870898.4679717189"/>
    <n v="3870898.4679717189"/>
    <m/>
    <m/>
    <n v="0"/>
    <n v="0"/>
    <m/>
    <n v="1"/>
    <n v="0"/>
    <n v="0"/>
    <n v="0"/>
    <m/>
    <s v="Private Equity Fund"/>
    <n v="0"/>
    <n v="0.3870898467971719"/>
    <n v="0"/>
    <n v="0"/>
    <m/>
    <m/>
    <m/>
    <m/>
    <m/>
    <m/>
    <m/>
    <m/>
  </r>
  <r>
    <x v="168"/>
    <x v="29"/>
    <s v="NA"/>
    <n v="3469102.0631553303"/>
    <n v="3469102.0631553303"/>
    <m/>
    <m/>
    <n v="0"/>
    <n v="0"/>
    <m/>
    <n v="1"/>
    <n v="0"/>
    <n v="0"/>
    <n v="0"/>
    <m/>
    <s v="Private Equity Fund"/>
    <n v="0"/>
    <n v="0.34691020631553304"/>
    <n v="0"/>
    <n v="0"/>
    <m/>
    <m/>
    <m/>
    <m/>
    <m/>
    <m/>
    <m/>
    <m/>
  </r>
  <r>
    <x v="169"/>
    <x v="29"/>
    <s v="NA"/>
    <n v="3610901.9761490626"/>
    <n v="3610901.9761490626"/>
    <m/>
    <m/>
    <n v="0"/>
    <n v="0"/>
    <m/>
    <n v="1"/>
    <n v="0"/>
    <n v="0"/>
    <n v="0"/>
    <m/>
    <s v="Private Equity Fund"/>
    <n v="0"/>
    <n v="0.36109019761490629"/>
    <n v="0"/>
    <n v="0"/>
    <m/>
    <m/>
    <m/>
    <m/>
    <m/>
    <m/>
    <m/>
    <m/>
  </r>
  <r>
    <x v="170"/>
    <x v="29"/>
    <s v="NA"/>
    <n v="3561047.7545026601"/>
    <n v="3561047.7545026601"/>
    <m/>
    <m/>
    <n v="0"/>
    <n v="0"/>
    <m/>
    <n v="1"/>
    <n v="0"/>
    <n v="0"/>
    <n v="0"/>
    <m/>
    <s v="Private Equity Fund"/>
    <n v="0"/>
    <n v="0.35610477545026603"/>
    <n v="0"/>
    <n v="0"/>
    <m/>
    <m/>
    <m/>
    <m/>
    <m/>
    <m/>
    <m/>
    <m/>
  </r>
  <r>
    <x v="171"/>
    <x v="29"/>
    <s v="NA"/>
    <n v="3391406.3491183999"/>
    <n v="3391406.3491183999"/>
    <m/>
    <m/>
    <n v="0"/>
    <n v="0"/>
    <m/>
    <n v="1"/>
    <n v="0"/>
    <n v="0"/>
    <n v="0"/>
    <m/>
    <s v="Private Equity Fund"/>
    <n v="0"/>
    <n v="0.33914063491183999"/>
    <n v="0"/>
    <n v="0"/>
    <m/>
    <m/>
    <m/>
    <m/>
    <m/>
    <m/>
    <m/>
    <m/>
  </r>
  <r>
    <x v="172"/>
    <x v="29"/>
    <s v="NA"/>
    <n v="3201453.6413659099"/>
    <n v="3201453.6413659099"/>
    <m/>
    <m/>
    <n v="0"/>
    <n v="0"/>
    <m/>
    <n v="1"/>
    <n v="0"/>
    <n v="0"/>
    <n v="0"/>
    <m/>
    <s v="Private Equity Fund"/>
    <n v="0"/>
    <n v="0.320145364136591"/>
    <n v="0"/>
    <n v="0"/>
    <m/>
    <m/>
    <m/>
    <m/>
    <m/>
    <m/>
    <m/>
    <m/>
  </r>
  <r>
    <x v="173"/>
    <x v="29"/>
    <s v="NA"/>
    <n v="3074181.7027843199"/>
    <n v="3074181.7027843199"/>
    <m/>
    <m/>
    <n v="0"/>
    <n v="0"/>
    <m/>
    <n v="1"/>
    <n v="0"/>
    <n v="0"/>
    <n v="0"/>
    <m/>
    <s v="Private Equity Fund"/>
    <n v="0"/>
    <n v="0.30741817027843199"/>
    <n v="0"/>
    <n v="0"/>
    <m/>
    <m/>
    <m/>
    <m/>
    <m/>
    <m/>
    <m/>
    <m/>
  </r>
  <r>
    <x v="174"/>
    <x v="29"/>
    <s v="NA"/>
    <n v="2895554.0215577199"/>
    <n v="2895554.0215577199"/>
    <m/>
    <m/>
    <n v="0"/>
    <n v="0"/>
    <m/>
    <n v="1"/>
    <n v="0"/>
    <n v="0"/>
    <n v="0"/>
    <m/>
    <s v="Private Equity Fund"/>
    <n v="0"/>
    <n v="0.28955540215577197"/>
    <n v="0"/>
    <n v="0"/>
    <m/>
    <m/>
    <m/>
    <m/>
    <m/>
    <m/>
    <m/>
    <m/>
  </r>
  <r>
    <x v="175"/>
    <x v="29"/>
    <s v="NA"/>
    <n v="3051675.0085303402"/>
    <n v="3051675.0085303402"/>
    <m/>
    <m/>
    <n v="0"/>
    <n v="0"/>
    <m/>
    <n v="1"/>
    <n v="0"/>
    <n v="0"/>
    <n v="0"/>
    <m/>
    <s v="Private Equity Fund"/>
    <n v="0"/>
    <n v="0.30516750085303407"/>
    <n v="0"/>
    <n v="0"/>
    <m/>
    <m/>
    <m/>
    <m/>
    <m/>
    <m/>
    <m/>
    <m/>
  </r>
  <r>
    <x v="176"/>
    <x v="29"/>
    <s v="NA"/>
    <n v="2948636.4878177601"/>
    <n v="2948636.4878177601"/>
    <m/>
    <m/>
    <n v="0"/>
    <n v="0"/>
    <m/>
    <n v="1"/>
    <n v="0"/>
    <n v="0"/>
    <n v="0"/>
    <m/>
    <s v="Private Equity Fund"/>
    <n v="0"/>
    <n v="0.29486364878177601"/>
    <n v="0"/>
    <n v="0"/>
    <m/>
    <m/>
    <m/>
    <m/>
    <m/>
    <m/>
    <m/>
    <m/>
  </r>
  <r>
    <x v="177"/>
    <x v="29"/>
    <s v="NA"/>
    <n v="2926383.3195470301"/>
    <n v="2926383.3195470301"/>
    <m/>
    <m/>
    <n v="0"/>
    <n v="0"/>
    <m/>
    <n v="1"/>
    <n v="0"/>
    <n v="0"/>
    <n v="0"/>
    <m/>
    <s v="Private Equity Fund"/>
    <n v="0"/>
    <n v="0.29263833195470301"/>
    <n v="0"/>
    <n v="0"/>
    <m/>
    <m/>
    <m/>
    <m/>
    <m/>
    <m/>
    <m/>
    <m/>
  </r>
  <r>
    <x v="178"/>
    <x v="29"/>
    <s v="NA"/>
    <n v="3304077.6886254"/>
    <n v="3304077.6886254"/>
    <m/>
    <m/>
    <n v="0"/>
    <n v="0"/>
    <m/>
    <n v="1"/>
    <n v="0"/>
    <n v="0"/>
    <n v="0"/>
    <m/>
    <s v="Private Equity Fund"/>
    <n v="0"/>
    <n v="0.33040776886253997"/>
    <n v="0"/>
    <n v="0"/>
    <m/>
    <m/>
    <m/>
    <m/>
    <m/>
    <m/>
    <m/>
    <m/>
  </r>
  <r>
    <x v="179"/>
    <x v="29"/>
    <s v="NA"/>
    <n v="3941737.3756737304"/>
    <n v="3941737.3756737304"/>
    <m/>
    <m/>
    <n v="0"/>
    <n v="0"/>
    <m/>
    <n v="1"/>
    <n v="0"/>
    <n v="0"/>
    <n v="0"/>
    <m/>
    <s v="Private Equity Fund"/>
    <n v="0"/>
    <n v="0.39417373756737306"/>
    <n v="0"/>
    <n v="0"/>
    <m/>
    <m/>
    <m/>
    <m/>
    <m/>
    <m/>
    <m/>
    <m/>
  </r>
  <r>
    <x v="180"/>
    <x v="29"/>
    <s v="NA"/>
    <n v="3852310.14"/>
    <n v="3852310.14"/>
    <m/>
    <m/>
    <n v="0"/>
    <n v="0"/>
    <m/>
    <n v="1"/>
    <n v="0"/>
    <n v="0"/>
    <n v="0"/>
    <m/>
    <s v="Private Equity Fund"/>
    <n v="0"/>
    <n v="0.38523101400000004"/>
    <n v="0"/>
    <n v="0"/>
    <m/>
    <m/>
    <m/>
    <m/>
    <m/>
    <m/>
    <m/>
    <m/>
  </r>
  <r>
    <x v="181"/>
    <x v="29"/>
    <s v="NA"/>
    <n v="3847270.2890292201"/>
    <n v="3847270.2890292201"/>
    <m/>
    <m/>
    <n v="0"/>
    <n v="0"/>
    <m/>
    <n v="1"/>
    <n v="0"/>
    <n v="0"/>
    <n v="0"/>
    <m/>
    <s v="Private Equity Fund"/>
    <n v="0"/>
    <n v="0.38472702890292204"/>
    <n v="0"/>
    <n v="0"/>
    <m/>
    <m/>
    <m/>
    <m/>
    <m/>
    <m/>
    <m/>
    <m/>
  </r>
  <r>
    <x v="182"/>
    <x v="29"/>
    <s v="NA"/>
    <n v="3855230.38996726"/>
    <n v="3855230.38996726"/>
    <m/>
    <m/>
    <n v="0"/>
    <n v="0"/>
    <m/>
    <n v="1"/>
    <n v="0"/>
    <n v="0"/>
    <n v="0"/>
    <m/>
    <s v="Private Equity Fund"/>
    <n v="0"/>
    <n v="0.38552303899672602"/>
    <n v="0"/>
    <n v="0"/>
    <m/>
    <m/>
    <m/>
    <m/>
    <m/>
    <m/>
    <m/>
    <m/>
  </r>
  <r>
    <x v="183"/>
    <x v="29"/>
    <s v="NA"/>
    <n v="3879680.6239999998"/>
    <n v="3879680.6239999998"/>
    <m/>
    <m/>
    <n v="0"/>
    <n v="0"/>
    <m/>
    <n v="1"/>
    <n v="0"/>
    <n v="0"/>
    <n v="0"/>
    <m/>
    <s v="Private Equity Fund"/>
    <n v="0"/>
    <n v="0.38796806239999998"/>
    <n v="0"/>
    <n v="0"/>
    <m/>
    <m/>
    <m/>
    <m/>
    <m/>
    <m/>
    <m/>
    <m/>
  </r>
  <r>
    <x v="184"/>
    <x v="29"/>
    <s v="NA"/>
    <n v="3750376.31"/>
    <n v="3750376.31"/>
    <m/>
    <m/>
    <n v="0"/>
    <n v="0"/>
    <m/>
    <n v="1"/>
    <n v="0"/>
    <n v="0"/>
    <n v="0"/>
    <m/>
    <s v="Private Equity Fund"/>
    <n v="0"/>
    <n v="0.37503763100000004"/>
    <n v="0"/>
    <n v="0"/>
    <m/>
    <m/>
    <m/>
    <m/>
    <m/>
    <m/>
    <m/>
    <m/>
  </r>
  <r>
    <x v="185"/>
    <x v="29"/>
    <s v="NA"/>
    <n v="3493098"/>
    <n v="3493098"/>
    <m/>
    <m/>
    <n v="0"/>
    <n v="0"/>
    <m/>
    <n v="1"/>
    <n v="0"/>
    <n v="0"/>
    <n v="0"/>
    <m/>
    <s v="Private Equity Fund"/>
    <n v="0"/>
    <n v="0.3493098"/>
    <n v="0"/>
    <n v="0"/>
    <m/>
    <m/>
    <m/>
    <m/>
    <m/>
    <m/>
    <m/>
    <m/>
  </r>
  <r>
    <x v="186"/>
    <x v="29"/>
    <s v="NA"/>
    <n v="3538387.8279515295"/>
    <n v="3538387.8279515295"/>
    <m/>
    <m/>
    <n v="0"/>
    <n v="0"/>
    <m/>
    <n v="1"/>
    <n v="0"/>
    <n v="0"/>
    <n v="0"/>
    <m/>
    <s v="Private Equity Fund"/>
    <n v="0"/>
    <n v="0.35383878279515302"/>
    <n v="0"/>
    <n v="0"/>
    <m/>
    <m/>
    <m/>
    <m/>
    <m/>
    <m/>
    <m/>
    <m/>
  </r>
  <r>
    <x v="187"/>
    <x v="29"/>
    <s v="NA"/>
    <n v="3155560.26"/>
    <n v="3155560.26"/>
    <m/>
    <m/>
    <n v="0"/>
    <n v="0"/>
    <m/>
    <n v="1"/>
    <n v="0"/>
    <n v="0"/>
    <n v="0"/>
    <m/>
    <s v="Private Equity Fund"/>
    <n v="0"/>
    <n v="0.31555602599999999"/>
    <n v="0"/>
    <n v="0"/>
    <m/>
    <m/>
    <m/>
    <m/>
    <m/>
    <m/>
    <m/>
    <m/>
  </r>
  <r>
    <x v="188"/>
    <x v="29"/>
    <s v="NA"/>
    <n v="3205132.13"/>
    <n v="3205132.13"/>
    <m/>
    <m/>
    <n v="0"/>
    <n v="0"/>
    <m/>
    <n v="1"/>
    <n v="0"/>
    <n v="0"/>
    <n v="0"/>
    <m/>
    <s v="Private Equity Fund"/>
    <n v="0"/>
    <n v="0.32051321300000002"/>
    <n v="0"/>
    <n v="0"/>
    <m/>
    <m/>
    <m/>
    <m/>
    <m/>
    <m/>
    <m/>
    <m/>
  </r>
  <r>
    <x v="189"/>
    <x v="29"/>
    <s v="NA"/>
    <n v="3329627.1210000003"/>
    <n v="3329627.1210000003"/>
    <m/>
    <m/>
    <n v="0"/>
    <n v="0"/>
    <m/>
    <n v="1"/>
    <n v="0"/>
    <n v="0"/>
    <n v="0"/>
    <m/>
    <s v="Private Equity Fund"/>
    <n v="0"/>
    <n v="0.33296271210000006"/>
    <n v="0"/>
    <n v="0"/>
    <m/>
    <m/>
    <m/>
    <m/>
    <m/>
    <m/>
    <m/>
    <m/>
  </r>
  <r>
    <x v="190"/>
    <x v="29"/>
    <s v="NA"/>
    <n v="3847521.01"/>
    <n v="3847521.01"/>
    <m/>
    <m/>
    <n v="0"/>
    <n v="0"/>
    <m/>
    <n v="1"/>
    <n v="0"/>
    <n v="0"/>
    <n v="0"/>
    <m/>
    <s v="Private Equity Fund"/>
    <n v="0"/>
    <n v="0.34627689090000002"/>
    <n v="0"/>
    <n v="0"/>
    <m/>
    <m/>
    <m/>
    <m/>
    <m/>
    <m/>
    <m/>
    <m/>
  </r>
  <r>
    <x v="191"/>
    <x v="29"/>
    <s v="NA"/>
    <n v="3839160.035813387"/>
    <n v="3839160.035813387"/>
    <m/>
    <m/>
    <n v="0"/>
    <n v="0"/>
    <m/>
    <n v="1"/>
    <n v="0"/>
    <n v="0"/>
    <n v="0"/>
    <m/>
    <s v="Private Equity Fund"/>
    <n v="0"/>
    <n v="0.38391600358133871"/>
    <n v="0"/>
    <n v="0"/>
    <m/>
    <m/>
    <m/>
    <m/>
    <m/>
    <m/>
    <m/>
    <m/>
  </r>
  <r>
    <x v="192"/>
    <x v="29"/>
    <s v="NA"/>
    <n v="3716114.02"/>
    <n v="3716114.02"/>
    <m/>
    <m/>
    <n v="0"/>
    <n v="0"/>
    <m/>
    <n v="1"/>
    <n v="0"/>
    <n v="0"/>
    <n v="0"/>
    <m/>
    <s v="Private Equity Fund"/>
    <n v="0"/>
    <n v="0.37161140200000004"/>
    <n v="0"/>
    <n v="0"/>
    <m/>
    <m/>
    <m/>
    <m/>
    <m/>
    <m/>
    <m/>
    <m/>
  </r>
  <r>
    <x v="193"/>
    <x v="29"/>
    <s v="NA"/>
    <n v="3611732.0956333522"/>
    <n v="3611732.0956333522"/>
    <m/>
    <m/>
    <n v="0"/>
    <n v="0"/>
    <m/>
    <n v="1"/>
    <n v="0"/>
    <n v="0"/>
    <n v="0"/>
    <m/>
    <s v="Private Equity Fund"/>
    <n v="0"/>
    <n v="0.36117320956333526"/>
    <n v="0"/>
    <n v="0"/>
    <m/>
    <m/>
    <m/>
    <m/>
    <m/>
    <m/>
    <m/>
    <m/>
  </r>
  <r>
    <x v="194"/>
    <x v="29"/>
    <s v="NA"/>
    <n v="3649853.4114958849"/>
    <n v="3649853.4114958849"/>
    <m/>
    <m/>
    <n v="0"/>
    <n v="0"/>
    <m/>
    <n v="1"/>
    <n v="0"/>
    <n v="0"/>
    <n v="0"/>
    <m/>
    <s v="Private Equity Fund"/>
    <n v="0"/>
    <n v="0.36498534114958847"/>
    <n v="0"/>
    <n v="0"/>
    <m/>
    <m/>
    <m/>
    <m/>
    <m/>
    <m/>
    <m/>
    <m/>
  </r>
  <r>
    <x v="195"/>
    <x v="29"/>
    <s v="NA"/>
    <n v="3594298.138089078"/>
    <n v="3594298.138089078"/>
    <m/>
    <m/>
    <n v="0"/>
    <n v="0"/>
    <m/>
    <n v="1"/>
    <n v="0"/>
    <n v="0"/>
    <n v="0"/>
    <m/>
    <s v="Private Equity Fund"/>
    <n v="0"/>
    <n v="0.35942981380890782"/>
    <n v="0"/>
    <n v="0"/>
    <m/>
    <m/>
    <m/>
    <m/>
    <m/>
    <m/>
    <m/>
    <m/>
  </r>
  <r>
    <x v="196"/>
    <x v="29"/>
    <s v="NA"/>
    <n v="3491312.8513562307"/>
    <n v="3491312.8513562307"/>
    <m/>
    <m/>
    <n v="0"/>
    <n v="0"/>
    <m/>
    <n v="1"/>
    <n v="0"/>
    <n v="0"/>
    <n v="0"/>
    <m/>
    <s v="Private Equity Fund"/>
    <n v="0"/>
    <n v="0.34913128513562308"/>
    <n v="0"/>
    <n v="0"/>
    <m/>
    <m/>
    <m/>
    <m/>
    <m/>
    <m/>
    <m/>
    <m/>
  </r>
  <r>
    <x v="197"/>
    <x v="29"/>
    <s v="NA"/>
    <n v="3526984.3490090291"/>
    <n v="3526984.3490090291"/>
    <m/>
    <m/>
    <n v="0"/>
    <n v="0"/>
    <m/>
    <n v="1"/>
    <n v="0"/>
    <n v="0"/>
    <n v="0"/>
    <m/>
    <s v="Private Equity Fund"/>
    <n v="0"/>
    <n v="0.35269843490090291"/>
    <n v="0"/>
    <n v="0"/>
    <m/>
    <m/>
    <m/>
    <m/>
    <m/>
    <m/>
    <m/>
    <m/>
  </r>
  <r>
    <x v="198"/>
    <x v="29"/>
    <s v="NA"/>
    <n v="3394021.7517306046"/>
    <n v="3394021.7517306046"/>
    <m/>
    <m/>
    <n v="0"/>
    <n v="0"/>
    <m/>
    <n v="1"/>
    <n v="0"/>
    <n v="0"/>
    <n v="-3394021.7517306046"/>
    <m/>
    <s v="Private Equity Fund"/>
    <n v="0"/>
    <n v="0.33940217517306048"/>
    <n v="0"/>
    <n v="0"/>
    <m/>
    <m/>
    <m/>
    <m/>
    <m/>
    <m/>
    <m/>
    <m/>
  </r>
  <r>
    <x v="198"/>
    <x v="29"/>
    <s v="NA"/>
    <n v="4998760.1686245007"/>
    <m/>
    <m/>
    <m/>
    <m/>
    <m/>
    <m/>
    <m/>
    <n v="0"/>
    <n v="0"/>
    <n v="-4998760.1686245007"/>
    <m/>
    <s v="Private Equity Fund"/>
    <m/>
    <m/>
    <m/>
    <m/>
    <m/>
    <m/>
    <m/>
    <m/>
    <m/>
    <m/>
    <m/>
    <m/>
  </r>
  <r>
    <x v="239"/>
    <x v="30"/>
    <s v="NA"/>
    <n v="14696666.67"/>
    <n v="14696666.67"/>
    <m/>
    <n v="14696666.67"/>
    <n v="0"/>
    <n v="0"/>
    <m/>
    <n v="1"/>
    <n v="14696666.67"/>
    <n v="14696666.67"/>
    <n v="14696666.67"/>
    <m/>
    <s v="Private Equity Fund"/>
    <n v="0"/>
    <n v="0"/>
    <n v="0"/>
    <n v="0"/>
    <m/>
    <m/>
    <m/>
    <m/>
    <m/>
    <m/>
    <m/>
    <m/>
  </r>
  <r>
    <x v="159"/>
    <x v="30"/>
    <s v="NA"/>
    <n v="14645725.628252827"/>
    <n v="14645725.628252827"/>
    <m/>
    <m/>
    <n v="0"/>
    <n v="-153333.32999999999"/>
    <m/>
    <n v="1"/>
    <n v="-153333.32999999999"/>
    <n v="-153333.32999999999"/>
    <n v="-153333.32999999999"/>
    <m/>
    <s v="Private Equity Fund"/>
    <n v="3.0710641666666667E-3"/>
    <n v="0.56573334322244551"/>
    <n v="0"/>
    <n v="0"/>
    <m/>
    <m/>
    <m/>
    <m/>
    <m/>
    <m/>
    <m/>
    <m/>
  </r>
  <r>
    <x v="160"/>
    <x v="30"/>
    <s v="NA"/>
    <n v="14696851.377192808"/>
    <n v="14696851.377192808"/>
    <m/>
    <m/>
    <n v="0"/>
    <n v="-148541.66737316063"/>
    <m/>
    <n v="1"/>
    <n v="-148541.66737316063"/>
    <n v="-148541.66737316063"/>
    <n v="-148541.66737316063"/>
    <m/>
    <s v="Private Equity Fund"/>
    <n v="5.6001758333333327E-3"/>
    <n v="0.57084591811644381"/>
    <n v="0"/>
    <n v="0"/>
    <m/>
    <m/>
    <m/>
    <m/>
    <m/>
    <m/>
    <m/>
    <m/>
  </r>
  <r>
    <x v="161"/>
    <x v="30"/>
    <s v="NA"/>
    <n v="14747048.035198668"/>
    <n v="14747048.035198668"/>
    <m/>
    <m/>
    <n v="0"/>
    <n v="-143541.67000000001"/>
    <m/>
    <n v="1"/>
    <n v="-143541.67000000001"/>
    <n v="-143541.67000000001"/>
    <n v="-143541.67000000001"/>
    <m/>
    <s v="Private Equity Fund"/>
    <n v="5.4195249999999997E-3"/>
    <n v="0.57586558391702969"/>
    <n v="0"/>
    <n v="0"/>
    <m/>
    <m/>
    <m/>
    <m/>
    <m/>
    <m/>
    <m/>
    <m/>
  </r>
  <r>
    <x v="162"/>
    <x v="30"/>
    <s v="NA"/>
    <n v="14792962.810864134"/>
    <n v="14792962.810864134"/>
    <m/>
    <m/>
    <n v="0"/>
    <n v="-143541.67000000001"/>
    <m/>
    <n v="1"/>
    <n v="-143541.67000000001"/>
    <n v="-143541.67000000001"/>
    <n v="-143541.67000000001"/>
    <m/>
    <s v="Private Equity Fund"/>
    <n v="5.4195249999999997E-3"/>
    <n v="0.58045706148357634"/>
    <n v="0"/>
    <n v="0"/>
    <m/>
    <m/>
    <m/>
    <m/>
    <m/>
    <m/>
    <m/>
    <m/>
  </r>
  <r>
    <x v="163"/>
    <x v="30"/>
    <s v="NA"/>
    <n v="14851119.460035175"/>
    <n v="14851119.460035175"/>
    <m/>
    <m/>
    <n v="0"/>
    <n v="-143541.67000000001"/>
    <m/>
    <n v="1"/>
    <n v="-143541.67000000001"/>
    <n v="-143541.67000000001"/>
    <n v="-143541.67000000001"/>
    <m/>
    <s v="Private Equity Fund"/>
    <n v="5.6001758333333327E-3"/>
    <n v="0.5862727264006804"/>
    <n v="0"/>
    <n v="0"/>
    <m/>
    <m/>
    <m/>
    <m/>
    <m/>
    <m/>
    <m/>
    <m/>
  </r>
  <r>
    <x v="164"/>
    <x v="30"/>
    <s v="NA"/>
    <n v="14756596.616155753"/>
    <n v="14756596.616155753"/>
    <m/>
    <m/>
    <n v="0"/>
    <n v="-293750"/>
    <m/>
    <n v="1"/>
    <n v="-293750"/>
    <n v="-293750"/>
    <n v="-293750"/>
    <m/>
    <s v="Private Equity Fund"/>
    <n v="5.6001758333333327E-3"/>
    <n v="0.57682044201273808"/>
    <n v="0"/>
    <n v="0"/>
    <m/>
    <m/>
    <m/>
    <m/>
    <m/>
    <m/>
    <m/>
    <m/>
  </r>
  <r>
    <x v="165"/>
    <x v="30"/>
    <s v="NA"/>
    <n v="14794570.903602375"/>
    <n v="14794570.903602375"/>
    <m/>
    <m/>
    <n v="0"/>
    <n v="-152463.91"/>
    <m/>
    <n v="1"/>
    <n v="-152463.91"/>
    <n v="-152463.91"/>
    <n v="-152463.91"/>
    <m/>
    <s v="Private Equity Fund"/>
    <n v="5.2388741666666667E-3"/>
    <n v="0.58061787075740046"/>
    <n v="0"/>
    <n v="0"/>
    <m/>
    <m/>
    <m/>
    <m/>
    <m/>
    <m/>
    <m/>
    <m/>
  </r>
  <r>
    <x v="166"/>
    <x v="30"/>
    <s v="NA"/>
    <n v="14843893.495419782"/>
    <n v="14843893.495419782"/>
    <m/>
    <m/>
    <n v="0"/>
    <n v="-158922.24333333335"/>
    <m/>
    <n v="1"/>
    <n v="-158922.24333333335"/>
    <n v="-158922.24333333335"/>
    <n v="-158922.24333333335"/>
    <m/>
    <s v="Private Equity Fund"/>
    <n v="5.6001758333333327E-3"/>
    <n v="0.58555012993914102"/>
    <n v="0"/>
    <n v="0"/>
    <m/>
    <m/>
    <m/>
    <m/>
    <m/>
    <m/>
    <m/>
    <m/>
  </r>
  <r>
    <x v="167"/>
    <x v="30"/>
    <s v="NA"/>
    <n v="14904099.34772088"/>
    <n v="14904099.34772088"/>
    <m/>
    <m/>
    <n v="0"/>
    <n v="-148669.09666666665"/>
    <m/>
    <n v="1"/>
    <n v="-148669.09666666665"/>
    <n v="-148669.09666666665"/>
    <n v="-148669.09666666665"/>
    <m/>
    <s v="Private Equity Fund"/>
    <n v="5.6001758333333327E-3"/>
    <n v="0.59157071516925086"/>
    <n v="0"/>
    <n v="0"/>
    <m/>
    <m/>
    <m/>
    <m/>
    <m/>
    <m/>
    <m/>
    <m/>
  </r>
  <r>
    <x v="168"/>
    <x v="30"/>
    <s v="NA"/>
    <n v="14944913.319970088"/>
    <n v="14944913.319970088"/>
    <m/>
    <m/>
    <n v="0"/>
    <n v="-158327.3833333333"/>
    <m/>
    <n v="1"/>
    <n v="-158327.3833333333"/>
    <n v="-158327.3833333333"/>
    <n v="-158327.3833333333"/>
    <m/>
    <s v="Private Equity Fund"/>
    <n v="5.2388741666666667E-3"/>
    <n v="0.5956521123941716"/>
    <n v="0"/>
    <n v="0"/>
    <m/>
    <m/>
    <m/>
    <m/>
    <m/>
    <m/>
    <m/>
    <m/>
  </r>
  <r>
    <x v="169"/>
    <x v="30"/>
    <s v="NA"/>
    <n v="15008517.709309621"/>
    <n v="15008517.709309621"/>
    <m/>
    <m/>
    <n v="0"/>
    <n v="-147545.66"/>
    <m/>
    <n v="1"/>
    <n v="-147545.66"/>
    <n v="-147545.66"/>
    <n v="-147545.66"/>
    <m/>
    <s v="Private Equity Fund"/>
    <n v="5.7808266666666665E-3"/>
    <n v="0.60201255132812492"/>
    <n v="0"/>
    <n v="0"/>
    <m/>
    <m/>
    <m/>
    <m/>
    <m/>
    <m/>
    <m/>
    <m/>
  </r>
  <r>
    <x v="170"/>
    <x v="30"/>
    <s v="NA"/>
    <n v="14654670.005635561"/>
    <n v="14654670.005635561"/>
    <m/>
    <m/>
    <n v="0"/>
    <n v="-547875.67000000004"/>
    <m/>
    <n v="1"/>
    <n v="-547875.67000000004"/>
    <n v="-547875.67000000004"/>
    <n v="-547875.67000000004"/>
    <m/>
    <s v="Private Equity Fund"/>
    <n v="5.4195249999999997E-3"/>
    <n v="0.56662778096071897"/>
    <n v="0"/>
    <n v="0"/>
    <m/>
    <m/>
    <m/>
    <m/>
    <m/>
    <m/>
    <m/>
    <m/>
  </r>
  <r>
    <x v="171"/>
    <x v="30"/>
    <s v="NA"/>
    <n v="14848729.8660897"/>
    <n v="14848729.8660897"/>
    <m/>
    <m/>
    <n v="0"/>
    <n v="0"/>
    <m/>
    <n v="1"/>
    <n v="0"/>
    <n v="0"/>
    <n v="0"/>
    <m/>
    <s v="Private Equity Fund"/>
    <n v="5.2388741666666667E-3"/>
    <n v="0.58603376700613286"/>
    <n v="0"/>
    <n v="0"/>
    <m/>
    <m/>
    <m/>
    <m/>
    <m/>
    <m/>
    <m/>
    <m/>
  </r>
  <r>
    <x v="172"/>
    <x v="30"/>
    <s v="NA"/>
    <n v="14760472.054414799"/>
    <n v="14760472.054414799"/>
    <m/>
    <m/>
    <n v="0"/>
    <n v="-296317.45999999996"/>
    <m/>
    <n v="1"/>
    <n v="-296317.45999999996"/>
    <n v="-296317.45999999996"/>
    <n v="-296317.45999999996"/>
    <m/>
    <s v="Private Equity Fund"/>
    <n v="5.9614775000000004E-3"/>
    <n v="0.57720798583864286"/>
    <n v="0"/>
    <n v="0"/>
    <m/>
    <m/>
    <m/>
    <m/>
    <m/>
    <m/>
    <m/>
    <m/>
  </r>
  <r>
    <x v="173"/>
    <x v="30"/>
    <s v="NA"/>
    <n v="14434308.1285714"/>
    <n v="14434308.1285714"/>
    <m/>
    <m/>
    <n v="0"/>
    <n v="-524658.50268499996"/>
    <m/>
    <n v="1"/>
    <n v="-524658.50268499996"/>
    <n v="-524658.50268499996"/>
    <n v="-524658.50268499996"/>
    <m/>
    <s v="Private Equity Fund"/>
    <n v="5.4195249999999997E-3"/>
    <n v="0.34258568942631895"/>
    <n v="0"/>
    <n v="0"/>
    <m/>
    <m/>
    <m/>
    <m/>
    <m/>
    <m/>
    <m/>
    <m/>
  </r>
  <r>
    <x v="174"/>
    <x v="30"/>
    <s v="NA"/>
    <n v="14336357.077197701"/>
    <n v="14336357.077197701"/>
    <m/>
    <m/>
    <n v="0"/>
    <n v="-299100.94965416699"/>
    <m/>
    <n v="1"/>
    <n v="-299100.94965416699"/>
    <n v="-299100.94965416699"/>
    <n v="-299100.94965416699"/>
    <m/>
    <s v="Private Equity Fund"/>
    <n v="5.6001758333333327E-3"/>
    <n v="0.29304712999999999"/>
    <n v="0"/>
    <n v="0"/>
    <m/>
    <m/>
    <m/>
    <m/>
    <m/>
    <m/>
    <m/>
    <m/>
  </r>
  <r>
    <x v="175"/>
    <x v="30"/>
    <s v="NA"/>
    <n v="14385027.551208399"/>
    <n v="14385027.551208399"/>
    <m/>
    <m/>
    <n v="0"/>
    <n v="-145042.85230930601"/>
    <m/>
    <n v="1"/>
    <n v="-145042.85230930601"/>
    <n v="-145042.85230930601"/>
    <n v="-145042.85230930601"/>
    <m/>
    <s v="Private Equity Fund"/>
    <n v="5.4195249999999997E-3"/>
    <n v="0.34123275109635498"/>
    <n v="0"/>
    <n v="0"/>
    <m/>
    <m/>
    <m/>
    <m/>
    <m/>
    <m/>
    <m/>
    <m/>
  </r>
  <r>
    <x v="176"/>
    <x v="30"/>
    <s v="NA"/>
    <n v="14385501.470089899"/>
    <n v="14385501.470089899"/>
    <m/>
    <m/>
    <n v="0"/>
    <n v="-210672.019654167"/>
    <m/>
    <n v="1"/>
    <n v="-210672.019654167"/>
    <n v="-210672.019654167"/>
    <n v="-210672.019654167"/>
    <m/>
    <s v="Private Equity Fund"/>
    <n v="5.4195249999999997E-3"/>
    <n v="0.38213621990000801"/>
    <n v="0"/>
    <n v="0"/>
    <m/>
    <m/>
    <m/>
    <m/>
    <m/>
    <m/>
    <m/>
    <m/>
  </r>
  <r>
    <x v="177"/>
    <x v="30"/>
    <s v="NA"/>
    <n v="14358310.264785901"/>
    <n v="14358310.264785901"/>
    <m/>
    <m/>
    <n v="0"/>
    <n v="-210672.02230930599"/>
    <m/>
    <n v="1"/>
    <n v="-210672.02230930599"/>
    <n v="-210672.02230930599"/>
    <n v="-210672.02230930599"/>
    <m/>
    <s v="Private Equity Fund"/>
    <n v="5.0582233333333329E-3"/>
    <n v="0.38213621990000801"/>
    <n v="0"/>
    <n v="0"/>
    <m/>
    <m/>
    <m/>
    <m/>
    <m/>
    <m/>
    <m/>
    <m/>
  </r>
  <r>
    <x v="178"/>
    <x v="30"/>
    <s v="NA"/>
    <n v="14383894.4625721"/>
    <n v="14383894.4625721"/>
    <m/>
    <m/>
    <n v="0"/>
    <n v="-196142.95230930601"/>
    <m/>
    <n v="1"/>
    <n v="-196142.95230930601"/>
    <n v="-196142.95230930601"/>
    <n v="-196142.95230930601"/>
    <m/>
    <s v="Private Equity Fund"/>
    <n v="5.7808266666666665E-3"/>
    <n v="0.399850109003759"/>
    <n v="0"/>
    <n v="0"/>
    <m/>
    <m/>
    <m/>
    <m/>
    <m/>
    <m/>
    <m/>
    <m/>
  </r>
  <r>
    <x v="179"/>
    <x v="30"/>
    <s v="NA"/>
    <n v="14397196.8450264"/>
    <n v="14397196.8450264"/>
    <m/>
    <m/>
    <n v="0"/>
    <n v="-210671.54434388899"/>
    <m/>
    <n v="1"/>
    <n v="-210671.54434388899"/>
    <n v="-210671.54434388899"/>
    <n v="-210671.54434388899"/>
    <m/>
    <s v="Private Equity Fund"/>
    <n v="5.6001758333333327E-3"/>
    <n v="0.46256726999999997"/>
    <n v="0"/>
    <n v="0"/>
    <m/>
    <m/>
    <m/>
    <m/>
    <m/>
    <m/>
    <m/>
    <m/>
  </r>
  <r>
    <x v="180"/>
    <x v="30"/>
    <s v="NA"/>
    <n v="14577431.210000001"/>
    <n v="14577431.210000001"/>
    <m/>
    <m/>
    <n v="0"/>
    <n v="-6255.5700000000006"/>
    <m/>
    <n v="1"/>
    <n v="-6255.5700000000006"/>
    <n v="-6255.5700000000006"/>
    <n v="-6255.5700000000006"/>
    <m/>
    <s v="Private Equity Fund"/>
    <n v="5.0582233333333329E-3"/>
    <n v="0.46279136999999998"/>
    <n v="0"/>
    <n v="0"/>
    <m/>
    <m/>
    <m/>
    <m/>
    <m/>
    <m/>
    <m/>
    <m/>
  </r>
  <r>
    <x v="181"/>
    <x v="30"/>
    <s v="NA"/>
    <n v="14383072.065502601"/>
    <n v="14383072.065502601"/>
    <m/>
    <m/>
    <n v="0"/>
    <n v="-199392.41"/>
    <m/>
    <n v="1"/>
    <n v="-199392.41"/>
    <n v="-199392.41"/>
    <n v="-199392.41"/>
    <m/>
    <s v="Private Equity Fund"/>
    <n v="5.9614775000000004E-3"/>
    <n v="0.46279136600375897"/>
    <n v="0"/>
    <n v="0"/>
    <m/>
    <m/>
    <m/>
    <m/>
    <m/>
    <m/>
    <m/>
    <m/>
  </r>
  <r>
    <x v="182"/>
    <x v="30"/>
    <s v="NA"/>
    <n v="14498427.959645599"/>
    <n v="14498427.959645599"/>
    <m/>
    <m/>
    <n v="0"/>
    <n v="-207039.27"/>
    <m/>
    <n v="1"/>
    <n v="-207039.27"/>
    <n v="-207039.27"/>
    <n v="-207039.27"/>
    <m/>
    <s v="Private Equity Fund"/>
    <n v="5.4195249999999997E-3"/>
    <n v="0.5680182579874391"/>
    <n v="0"/>
    <n v="0"/>
    <m/>
    <m/>
    <m/>
    <m/>
    <m/>
    <m/>
    <m/>
    <m/>
  </r>
  <r>
    <x v="183"/>
    <x v="30"/>
    <s v="NA"/>
    <n v="14481671.02"/>
    <n v="14481671.02"/>
    <m/>
    <m/>
    <n v="0"/>
    <n v="-208683.48"/>
    <m/>
    <n v="1"/>
    <n v="-208683.48"/>
    <n v="-208683.48"/>
    <n v="-208683.48"/>
    <m/>
    <s v="Private Equity Fund"/>
    <n v="5.6001758333333327E-3"/>
    <n v="0.56839817000000004"/>
    <n v="0"/>
    <n v="0"/>
    <m/>
    <m/>
    <m/>
    <m/>
    <m/>
    <m/>
    <m/>
    <m/>
  </r>
  <r>
    <x v="184"/>
    <x v="30"/>
    <s v="NA"/>
    <n v="14380000"/>
    <n v="14380000"/>
    <m/>
    <m/>
    <n v="0"/>
    <n v="-297811.01"/>
    <m/>
    <n v="1"/>
    <n v="-297811.01"/>
    <n v="-297811.01"/>
    <n v="-297811.01"/>
    <m/>
    <s v="Private Equity Fund"/>
    <n v="5.6001758333333327E-3"/>
    <n v="0.56848243999999992"/>
    <n v="0"/>
    <n v="0"/>
    <m/>
    <m/>
    <m/>
    <m/>
    <m/>
    <m/>
    <m/>
    <m/>
  </r>
  <r>
    <x v="185"/>
    <x v="30"/>
    <s v="NA"/>
    <n v="14350536.189999999"/>
    <n v="14350536.189999999"/>
    <m/>
    <m/>
    <n v="0"/>
    <n v="-211680.5"/>
    <m/>
    <n v="1"/>
    <n v="-211680.5"/>
    <n v="-211680.5"/>
    <n v="-211680.5"/>
    <m/>
    <s v="Private Equity Fund"/>
    <n v="5.2388741666666667E-3"/>
    <n v="0.56834859999999998"/>
    <n v="0"/>
    <n v="0"/>
    <m/>
    <m/>
    <m/>
    <m/>
    <m/>
    <m/>
    <m/>
    <m/>
  </r>
  <r>
    <x v="186"/>
    <x v="30"/>
    <s v="NA"/>
    <n v="14407976.119999999"/>
    <n v="14407976.119999999"/>
    <m/>
    <m/>
    <n v="0"/>
    <n v="-144079.96"/>
    <m/>
    <n v="1"/>
    <n v="-144079.96"/>
    <n v="-144079.96"/>
    <n v="-144079.96"/>
    <m/>
    <s v="Private Equity Fund"/>
    <n v="5.7808266666666665E-3"/>
    <n v="0.56834859999999998"/>
    <n v="0"/>
    <n v="0"/>
    <m/>
    <m/>
    <m/>
    <m/>
    <m/>
    <m/>
    <m/>
    <m/>
  </r>
  <r>
    <x v="187"/>
    <x v="30"/>
    <s v="NA"/>
    <n v="14385290.359999999"/>
    <n v="14385290.359999999"/>
    <m/>
    <m/>
    <n v="0"/>
    <n v="-211680.49"/>
    <m/>
    <n v="1"/>
    <n v="-211680.49"/>
    <n v="-211680.49"/>
    <n v="-211680.49"/>
    <m/>
    <s v="Private Equity Fund"/>
    <n v="5.4195249999999997E-3"/>
    <n v="0.56834859999999998"/>
    <n v="0"/>
    <n v="0"/>
    <m/>
    <m/>
    <m/>
    <m/>
    <m/>
    <m/>
    <m/>
    <m/>
  </r>
  <r>
    <x v="188"/>
    <x v="30"/>
    <s v="NA"/>
    <n v="13793911.74"/>
    <n v="13793911.74"/>
    <m/>
    <m/>
    <n v="0"/>
    <n v="-704838.91"/>
    <m/>
    <n v="1"/>
    <n v="-704838.91"/>
    <n v="-704838.91"/>
    <n v="-704838.91"/>
    <m/>
    <s v="Private Equity Fund"/>
    <n v="5.2388741666666667E-3"/>
    <n v="0.67098701000000005"/>
    <n v="0"/>
    <n v="0"/>
    <m/>
    <m/>
    <m/>
    <m/>
    <m/>
    <m/>
    <m/>
    <m/>
  </r>
  <r>
    <x v="189"/>
    <x v="30"/>
    <s v="NA"/>
    <n v="13852986.49"/>
    <n v="13852986.49"/>
    <m/>
    <m/>
    <n v="0"/>
    <n v="-138969.21"/>
    <m/>
    <n v="1"/>
    <n v="-138969.21"/>
    <n v="-138969.21"/>
    <n v="-138969.21"/>
    <m/>
    <s v="Private Equity Fund"/>
    <n v="5.9614775000000004E-3"/>
    <n v="0.67098701000000005"/>
    <n v="0"/>
    <n v="0"/>
    <m/>
    <m/>
    <m/>
    <m/>
    <m/>
    <m/>
    <m/>
    <m/>
  </r>
  <r>
    <x v="190"/>
    <x v="30"/>
    <s v="NA"/>
    <n v="13825486.93"/>
    <n v="13825486.93"/>
    <m/>
    <m/>
    <n v="0"/>
    <n v="-139553.93"/>
    <m/>
    <n v="1"/>
    <n v="-139553.93"/>
    <n v="-139553.93"/>
    <n v="-139553.93"/>
    <m/>
    <s v="Private Equity Fund"/>
    <n v="5.0582233333333329E-3"/>
    <n v="0.67098701000000005"/>
    <n v="0"/>
    <n v="0"/>
    <m/>
    <m/>
    <m/>
    <m/>
    <m/>
    <m/>
    <m/>
    <m/>
  </r>
  <r>
    <x v="191"/>
    <x v="30"/>
    <s v="NA"/>
    <n v="14058249.32"/>
    <n v="14058249.32"/>
    <m/>
    <m/>
    <n v="0"/>
    <n v="-205021.35"/>
    <m/>
    <n v="1"/>
    <n v="-205021.35"/>
    <n v="-205021.35"/>
    <n v="-205021.35"/>
    <m/>
    <s v="Private Equity Fund"/>
    <n v="5.2388741666666667E-3"/>
    <n v="0.67098701000000005"/>
    <n v="0"/>
    <n v="0"/>
    <m/>
    <m/>
    <m/>
    <m/>
    <m/>
    <m/>
    <m/>
    <m/>
  </r>
  <r>
    <x v="192"/>
    <x v="30"/>
    <s v="NA"/>
    <n v="14058249.32"/>
    <n v="14058249.32"/>
    <m/>
    <m/>
    <n v="0"/>
    <n v="-139164.12"/>
    <m/>
    <n v="1"/>
    <n v="-139164.12"/>
    <n v="-139164.12"/>
    <n v="-139164.12"/>
    <m/>
    <s v="Private Equity Fund"/>
    <n v="5.2388741666666667E-3"/>
    <n v="0.67093743000000006"/>
    <n v="0"/>
    <n v="0"/>
    <m/>
    <m/>
    <m/>
    <m/>
    <m/>
    <m/>
    <m/>
    <m/>
  </r>
  <r>
    <x v="193"/>
    <x v="30"/>
    <s v="NA"/>
    <n v="13895942.915481418"/>
    <n v="13895942.915481418"/>
    <m/>
    <m/>
    <n v="0"/>
    <n v="-343126.61"/>
    <m/>
    <n v="1"/>
    <n v="-343126.61"/>
    <n v="-343126.61"/>
    <n v="-343126.61"/>
    <m/>
    <s v="Private Equity Fund"/>
    <n v="5.2388741666666667E-3"/>
    <n v="0.67093743000000006"/>
    <n v="0"/>
    <n v="0"/>
    <m/>
    <m/>
    <m/>
    <m/>
    <m/>
    <m/>
    <m/>
    <m/>
  </r>
  <r>
    <x v="194"/>
    <x v="30"/>
    <s v="NA"/>
    <n v="14025870.263168195"/>
    <n v="14025870.263168195"/>
    <m/>
    <m/>
    <n v="0"/>
    <m/>
    <m/>
    <n v="1"/>
    <n v="0"/>
    <n v="0"/>
    <n v="0"/>
    <m/>
    <s v="Private Equity Fund"/>
    <n v="5.2388741666666667E-3"/>
    <n v="0.774024130442449"/>
    <n v="0"/>
    <n v="0"/>
    <m/>
    <m/>
    <m/>
    <m/>
    <m/>
    <m/>
    <m/>
    <m/>
  </r>
  <r>
    <x v="195"/>
    <x v="30"/>
    <s v="NA"/>
    <n v="13868327.043732878"/>
    <n v="13868327.043732878"/>
    <m/>
    <m/>
    <n v="0"/>
    <n v="-343622.32"/>
    <m/>
    <n v="1"/>
    <n v="-343622.32"/>
    <n v="-343622.32"/>
    <n v="-343622.32"/>
    <m/>
    <s v="Private Equity Fund"/>
    <n v="5.2388741666666667E-3"/>
    <n v="0.774024130442449"/>
    <n v="0"/>
    <n v="0"/>
    <m/>
    <m/>
    <m/>
    <m/>
    <m/>
    <m/>
    <m/>
    <m/>
  </r>
  <r>
    <x v="196"/>
    <x v="30"/>
    <s v="NA"/>
    <n v="13835310.430643592"/>
    <n v="13835310.430643592"/>
    <m/>
    <m/>
    <n v="0"/>
    <n v="-209135.99"/>
    <m/>
    <n v="1"/>
    <n v="-209135.99"/>
    <n v="-209135.99"/>
    <n v="-209135.99"/>
    <m/>
    <s v="Private Equity Fund"/>
    <n v="5.2388741666666667E-3"/>
    <n v="0.77302444144244897"/>
    <n v="0"/>
    <n v="0"/>
    <m/>
    <m/>
    <m/>
    <m/>
    <m/>
    <m/>
    <m/>
    <m/>
  </r>
  <r>
    <x v="197"/>
    <x v="30"/>
    <s v="NA"/>
    <n v="13621237.322509421"/>
    <n v="13621237.322509421"/>
    <m/>
    <m/>
    <n v="0"/>
    <n v="-379670.12"/>
    <m/>
    <n v="1"/>
    <n v="-379670.12"/>
    <n v="-379670.12"/>
    <n v="-379670.12"/>
    <m/>
    <s v="Private Equity Fund"/>
    <n v="5.2388741666666667E-3"/>
    <n v="0.77302444144244897"/>
    <n v="0"/>
    <n v="0"/>
    <m/>
    <m/>
    <m/>
    <m/>
    <m/>
    <m/>
    <m/>
    <m/>
  </r>
  <r>
    <x v="198"/>
    <x v="30"/>
    <s v="NA"/>
    <n v="13608544.490167269"/>
    <m/>
    <m/>
    <m/>
    <m/>
    <n v="-206872.98"/>
    <m/>
    <n v="1"/>
    <n v="-206872.98"/>
    <n v="-206872.98"/>
    <n v="-13815417.47016727"/>
    <m/>
    <s v="Private Equity Fund"/>
    <n v="5.2388741666666667E-3"/>
    <n v="0.77305576784740704"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  <r>
    <x v="240"/>
    <x v="31"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483" dataOnRows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F3:Q120" firstHeaderRow="1" firstDataRow="2" firstDataCol="1"/>
  <pivotFields count="36">
    <pivotField showAll="0"/>
    <pivotField axis="axisRow" showAll="0">
      <items count="62">
        <item m="1" x="3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m="1" x="58"/>
        <item x="13"/>
        <item x="14"/>
        <item x="15"/>
        <item m="1" x="39"/>
        <item m="1" x="46"/>
        <item x="22"/>
        <item x="23"/>
        <item x="24"/>
        <item x="25"/>
        <item x="26"/>
        <item x="27"/>
        <item x="28"/>
        <item m="1" x="59"/>
        <item x="30"/>
        <item x="31"/>
        <item x="3"/>
        <item m="1" x="45"/>
        <item m="1" x="60"/>
        <item m="1" x="44"/>
        <item m="1" x="57"/>
        <item m="1" x="55"/>
        <item x="16"/>
        <item m="1" x="52"/>
        <item m="1" x="40"/>
        <item m="1" x="41"/>
        <item m="1" x="35"/>
        <item x="18"/>
        <item x="19"/>
        <item x="21"/>
        <item m="1" x="50"/>
        <item m="1" x="37"/>
        <item m="1" x="51"/>
        <item m="1" x="48"/>
        <item m="1" x="54"/>
        <item m="1" x="32"/>
        <item m="1" x="38"/>
        <item m="1" x="49"/>
        <item m="1" x="47"/>
        <item m="1" x="43"/>
        <item x="29"/>
        <item m="1" x="42"/>
        <item m="1" x="53"/>
        <item m="1" x="34"/>
        <item m="1" x="36"/>
        <item m="1" x="56"/>
        <item x="17"/>
        <item x="20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dataField="1" showAll="0" defaultSubtotal="0"/>
    <pivotField dataField="1" showAll="0"/>
    <pivotField showAll="0" defaultSubtota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5">
        <item x="1"/>
        <item x="2"/>
        <item x="3"/>
        <item x="4"/>
        <item x="0"/>
      </items>
    </pivotField>
    <pivotField showAll="0" defaultSubtotal="0"/>
    <pivotField axis="axisCol" showAll="0" defaultSubtotal="0">
      <items count="200"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x="188"/>
        <item x="189"/>
        <item x="190"/>
        <item x="191"/>
        <item x="192"/>
        <item x="193"/>
        <item x="194"/>
        <item x="195"/>
        <item x="196"/>
        <item x="197"/>
        <item h="1" x="199"/>
        <item h="1" x="198"/>
        <item h="1" x="13"/>
      </items>
    </pivotField>
  </pivotFields>
  <rowFields count="3">
    <field x="-2"/>
    <field x="33"/>
    <field x="1"/>
  </rowFields>
  <rowItems count="116">
    <i>
      <x/>
    </i>
    <i r="1">
      <x/>
    </i>
    <i r="2">
      <x v="2"/>
    </i>
    <i r="2">
      <x v="5"/>
    </i>
    <i r="2">
      <x v="6"/>
    </i>
    <i r="2">
      <x v="7"/>
    </i>
    <i r="2">
      <x v="10"/>
    </i>
    <i r="2">
      <x v="11"/>
    </i>
    <i r="2">
      <x v="12"/>
    </i>
    <i r="2">
      <x v="16"/>
    </i>
    <i r="2">
      <x v="35"/>
    </i>
    <i r="1">
      <x v="1"/>
    </i>
    <i r="2">
      <x v="21"/>
    </i>
    <i r="2">
      <x v="22"/>
    </i>
    <i r="2">
      <x v="23"/>
    </i>
    <i r="1">
      <x v="2"/>
    </i>
    <i r="2">
      <x v="14"/>
    </i>
    <i r="1">
      <x v="4"/>
    </i>
    <i r="2">
      <x v="4"/>
    </i>
    <i r="2">
      <x v="15"/>
    </i>
    <i r="2">
      <x v="24"/>
    </i>
    <i r="2">
      <x v="25"/>
    </i>
    <i r="2">
      <x v="27"/>
    </i>
    <i r="2">
      <x v="40"/>
    </i>
    <i r="2">
      <x v="41"/>
    </i>
    <i r="2">
      <x v="53"/>
    </i>
    <i r="2">
      <x v="59"/>
    </i>
    <i r="2">
      <x v="60"/>
    </i>
    <i i="1">
      <x v="1"/>
    </i>
    <i r="1" i="1">
      <x/>
    </i>
    <i r="2" i="1">
      <x v="2"/>
    </i>
    <i r="2" i="1">
      <x v="5"/>
    </i>
    <i r="2" i="1">
      <x v="6"/>
    </i>
    <i r="2" i="1">
      <x v="7"/>
    </i>
    <i r="2" i="1">
      <x v="10"/>
    </i>
    <i r="2" i="1">
      <x v="11"/>
    </i>
    <i r="2" i="1">
      <x v="12"/>
    </i>
    <i r="2" i="1">
      <x v="16"/>
    </i>
    <i r="2" i="1">
      <x v="35"/>
    </i>
    <i r="1" i="1">
      <x v="1"/>
    </i>
    <i r="2" i="1">
      <x v="21"/>
    </i>
    <i r="2" i="1">
      <x v="22"/>
    </i>
    <i r="2" i="1">
      <x v="23"/>
    </i>
    <i r="1" i="1">
      <x v="2"/>
    </i>
    <i r="2" i="1">
      <x v="14"/>
    </i>
    <i r="1" i="1">
      <x v="4"/>
    </i>
    <i r="2" i="1">
      <x v="4"/>
    </i>
    <i r="2" i="1">
      <x v="15"/>
    </i>
    <i r="2" i="1">
      <x v="24"/>
    </i>
    <i r="2" i="1">
      <x v="25"/>
    </i>
    <i r="2" i="1">
      <x v="27"/>
    </i>
    <i r="2" i="1">
      <x v="40"/>
    </i>
    <i r="2" i="1">
      <x v="41"/>
    </i>
    <i r="2" i="1">
      <x v="53"/>
    </i>
    <i r="2" i="1">
      <x v="59"/>
    </i>
    <i r="2" i="1">
      <x v="60"/>
    </i>
    <i i="2">
      <x v="2"/>
    </i>
    <i r="1" i="2">
      <x/>
    </i>
    <i r="2" i="2">
      <x v="2"/>
    </i>
    <i r="2" i="2">
      <x v="5"/>
    </i>
    <i r="2" i="2">
      <x v="6"/>
    </i>
    <i r="2" i="2">
      <x v="7"/>
    </i>
    <i r="2" i="2">
      <x v="10"/>
    </i>
    <i r="2" i="2">
      <x v="11"/>
    </i>
    <i r="2" i="2">
      <x v="12"/>
    </i>
    <i r="2" i="2">
      <x v="16"/>
    </i>
    <i r="2" i="2">
      <x v="35"/>
    </i>
    <i r="1" i="2">
      <x v="1"/>
    </i>
    <i r="2" i="2">
      <x v="21"/>
    </i>
    <i r="2" i="2">
      <x v="22"/>
    </i>
    <i r="2" i="2">
      <x v="23"/>
    </i>
    <i r="1" i="2">
      <x v="2"/>
    </i>
    <i r="2" i="2">
      <x v="14"/>
    </i>
    <i r="1" i="2">
      <x v="4"/>
    </i>
    <i r="2" i="2">
      <x v="4"/>
    </i>
    <i r="2" i="2">
      <x v="15"/>
    </i>
    <i r="2" i="2">
      <x v="24"/>
    </i>
    <i r="2" i="2">
      <x v="25"/>
    </i>
    <i r="2" i="2">
      <x v="27"/>
    </i>
    <i r="2" i="2">
      <x v="40"/>
    </i>
    <i r="2" i="2">
      <x v="41"/>
    </i>
    <i r="2" i="2">
      <x v="53"/>
    </i>
    <i r="2" i="2">
      <x v="59"/>
    </i>
    <i r="2" i="2">
      <x v="60"/>
    </i>
    <i i="3">
      <x v="3"/>
    </i>
    <i r="1" i="3">
      <x/>
    </i>
    <i r="2" i="3">
      <x v="2"/>
    </i>
    <i r="2" i="3">
      <x v="5"/>
    </i>
    <i r="2" i="3">
      <x v="6"/>
    </i>
    <i r="2" i="3">
      <x v="7"/>
    </i>
    <i r="2" i="3">
      <x v="10"/>
    </i>
    <i r="2" i="3">
      <x v="11"/>
    </i>
    <i r="2" i="3">
      <x v="12"/>
    </i>
    <i r="2" i="3">
      <x v="16"/>
    </i>
    <i r="2" i="3">
      <x v="35"/>
    </i>
    <i r="1" i="3">
      <x v="1"/>
    </i>
    <i r="2" i="3">
      <x v="21"/>
    </i>
    <i r="2" i="3">
      <x v="22"/>
    </i>
    <i r="2" i="3">
      <x v="23"/>
    </i>
    <i r="1" i="3">
      <x v="2"/>
    </i>
    <i r="2" i="3">
      <x v="14"/>
    </i>
    <i r="1" i="3">
      <x v="4"/>
    </i>
    <i r="2" i="3">
      <x v="4"/>
    </i>
    <i r="2" i="3">
      <x v="15"/>
    </i>
    <i r="2" i="3">
      <x v="24"/>
    </i>
    <i r="2" i="3">
      <x v="25"/>
    </i>
    <i r="2" i="3">
      <x v="27"/>
    </i>
    <i r="2" i="3">
      <x v="40"/>
    </i>
    <i r="2" i="3">
      <x v="41"/>
    </i>
    <i r="2" i="3">
      <x v="53"/>
    </i>
    <i r="2" i="3">
      <x v="59"/>
    </i>
    <i r="2" i="3">
      <x v="60"/>
    </i>
    <i t="grand">
      <x/>
    </i>
    <i t="grand" i="1">
      <x/>
    </i>
    <i t="grand" i="2">
      <x/>
    </i>
    <i t="grand" i="3">
      <x/>
    </i>
  </rowItems>
  <colFields count="1">
    <field x="35"/>
  </colFields>
  <colItems count="11"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 t="grand">
      <x/>
    </i>
  </colItems>
  <dataFields count="4">
    <dataField name="Sum of NAV" fld="3" baseField="1" baseItem="12" numFmtId="3"/>
    <dataField name="Sum of o/s accrued PF" fld="17" baseField="1" baseItem="0"/>
    <dataField name="Sum of monthly MF" fld="16" baseField="33" baseItem="2"/>
    <dataField name="Sum of PF Rebate" fld="19" baseField="1" baseItem="10"/>
  </dataFields>
  <formats count="6">
    <format dxfId="16">
      <pivotArea outline="0" collapsedLevelsAreSubtotals="1" fieldPosition="0"/>
    </format>
    <format dxfId="15">
      <pivotArea field="1" type="button" dataOnly="0" labelOnly="1" outline="0" axis="axisRow" fieldPosition="2"/>
    </format>
    <format dxfId="14">
      <pivotArea dataOnly="0" labelOnly="1" outline="0" fieldPosition="0">
        <references count="1">
          <reference field="4294967294" count="2">
            <x v="1"/>
            <x v="3"/>
          </reference>
        </references>
      </pivotArea>
    </format>
    <format dxfId="13">
      <pivotArea field="1" type="button" dataOnly="0" labelOnly="1" outline="0" axis="axisRow" fieldPosition="2"/>
    </format>
    <format dxfId="12">
      <pivotArea dataOnly="0" labelOnly="1" outline="0" fieldPosition="0">
        <references count="1">
          <reference field="4294967294" count="2">
            <x v="1"/>
            <x v="3"/>
          </reference>
        </references>
      </pivotArea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dateNewerThan" evalOrder="-1" id="2">
      <autoFilter ref="A1">
        <filterColumn colId="0">
          <customFilters>
            <customFilter operator="greaterThan" val="4309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9" cacheId="484" applyNumberFormats="0" applyBorderFormats="0" applyFontFormats="0" applyPatternFormats="0" applyAlignmentFormats="0" applyWidthHeightFormats="1" dataCaption="Values" updatedVersion="4" minRefreshableVersion="3" useAutoFormatting="1" rowGrandTotals="0" itemPrintTitles="1" createdVersion="4" indent="0" outline="1" outlineData="1" multipleFieldFilters="0">
  <location ref="B7:AH248" firstHeaderRow="1" firstDataRow="2" firstDataCol="1"/>
  <pivotFields count="28">
    <pivotField axis="axisRow" showAll="0" defaultSubtotal="0">
      <items count="241"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230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201"/>
        <item x="238"/>
        <item x="141"/>
        <item x="142"/>
        <item x="143"/>
        <item x="144"/>
        <item x="145"/>
        <item x="146"/>
        <item x="147"/>
        <item x="148"/>
        <item x="1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202"/>
        <item x="203"/>
        <item x="12"/>
        <item x="231"/>
        <item x="13"/>
        <item x="150"/>
        <item x="151"/>
        <item x="152"/>
        <item x="204"/>
        <item x="153"/>
        <item x="154"/>
        <item x="155"/>
        <item x="199"/>
        <item x="235"/>
        <item x="156"/>
        <item x="157"/>
        <item x="237"/>
        <item x="158"/>
        <item x="239"/>
        <item x="205"/>
        <item x="159"/>
        <item x="160"/>
        <item x="161"/>
        <item x="162"/>
        <item x="232"/>
        <item x="163"/>
        <item x="164"/>
        <item x="165"/>
        <item x="166"/>
        <item x="167"/>
        <item x="236"/>
        <item x="234"/>
        <item x="168"/>
        <item x="229"/>
        <item x="169"/>
        <item x="200"/>
        <item x="170"/>
        <item x="171"/>
        <item x="172"/>
        <item x="173"/>
        <item x="174"/>
        <item x="233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222"/>
        <item x="189"/>
        <item x="190"/>
        <item x="191"/>
        <item h="1" x="240"/>
        <item x="192"/>
        <item x="206"/>
        <item x="207"/>
        <item x="193"/>
        <item x="194"/>
        <item x="195"/>
        <item x="196"/>
        <item x="197"/>
        <item x="198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3"/>
        <item x="224"/>
        <item x="225"/>
        <item x="226"/>
        <item x="227"/>
        <item x="228"/>
      </items>
    </pivotField>
    <pivotField axis="axisCol" showAll="0" defaultSubtotal="0">
      <items count="64">
        <item m="1" x="33"/>
        <item x="0"/>
        <item x="1"/>
        <item x="2"/>
        <item x="4"/>
        <item x="5"/>
        <item x="6"/>
        <item x="8"/>
        <item x="9"/>
        <item m="1" x="62"/>
        <item m="1" x="58"/>
        <item m="1" x="60"/>
        <item x="13"/>
        <item x="14"/>
        <item x="15"/>
        <item m="1" x="40"/>
        <item m="1" x="47"/>
        <item x="22"/>
        <item x="23"/>
        <item x="24"/>
        <item x="25"/>
        <item x="26"/>
        <item x="27"/>
        <item x="28"/>
        <item m="1" x="61"/>
        <item m="1" x="37"/>
        <item x="30"/>
        <item x="31"/>
        <item x="12"/>
        <item x="10"/>
        <item x="11"/>
        <item x="7"/>
        <item x="16"/>
        <item x="3"/>
        <item m="1" x="46"/>
        <item m="1" x="63"/>
        <item m="1" x="45"/>
        <item m="1" x="59"/>
        <item x="18"/>
        <item m="1" x="56"/>
        <item m="1" x="53"/>
        <item m="1" x="41"/>
        <item x="17"/>
        <item m="1" x="42"/>
        <item m="1" x="35"/>
        <item x="19"/>
        <item x="21"/>
        <item m="1" x="51"/>
        <item m="1" x="38"/>
        <item x="29"/>
        <item m="1" x="52"/>
        <item m="1" x="49"/>
        <item m="1" x="55"/>
        <item m="1" x="32"/>
        <item m="1" x="39"/>
        <item m="1" x="50"/>
        <item m="1" x="48"/>
        <item m="1" x="44"/>
        <item m="1" x="43"/>
        <item m="1" x="54"/>
        <item m="1" x="34"/>
        <item m="1" x="36"/>
        <item m="1" x="57"/>
        <item x="20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</rowItems>
  <colFields count="1">
    <field x="1"/>
  </colFields>
  <colItems count="3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2"/>
    </i>
    <i>
      <x v="13"/>
    </i>
    <i>
      <x v="14"/>
    </i>
    <i>
      <x v="17"/>
    </i>
    <i>
      <x v="18"/>
    </i>
    <i>
      <x v="19"/>
    </i>
    <i>
      <x v="20"/>
    </i>
    <i>
      <x v="21"/>
    </i>
    <i>
      <x v="22"/>
    </i>
    <i>
      <x v="23"/>
    </i>
    <i>
      <x v="26"/>
    </i>
    <i>
      <x v="28"/>
    </i>
    <i>
      <x v="29"/>
    </i>
    <i>
      <x v="30"/>
    </i>
    <i>
      <x v="31"/>
    </i>
    <i>
      <x v="32"/>
    </i>
    <i>
      <x v="33"/>
    </i>
    <i>
      <x v="38"/>
    </i>
    <i>
      <x v="42"/>
    </i>
    <i>
      <x v="45"/>
    </i>
    <i>
      <x v="46"/>
    </i>
    <i>
      <x v="49"/>
    </i>
    <i>
      <x v="63"/>
    </i>
    <i t="grand">
      <x/>
    </i>
  </colItems>
  <dataFields count="1">
    <dataField name="Sum of NAV" fld="3" baseField="0" baseItem="0" numFmtId="3"/>
  </dataFields>
  <formats count="5">
    <format dxfId="10">
      <pivotArea outline="0" collapsedLevelsAreSubtotals="1" fieldPosition="0"/>
    </format>
    <format dxfId="9">
      <pivotArea field="1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labelOnly="1" fieldPosition="0">
        <references count="1">
          <reference field="1" count="0"/>
        </references>
      </pivotArea>
    </format>
    <format dxfId="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481" applyNumberFormats="0" applyBorderFormats="0" applyFontFormats="0" applyPatternFormats="0" applyAlignmentFormats="0" applyWidthHeightFormats="1" dataCaption="Values" updatedVersion="4" minRefreshableVersion="3" useAutoFormatting="1" rowGrandTotals="0" itemPrintTitles="1" createdVersion="4" indent="0" outline="1" outlineData="1" multipleFieldFilters="0">
  <location ref="A3:B195" firstHeaderRow="1" firstDataRow="1" firstDataCol="1" rowPageCount="1" colPageCount="1"/>
  <pivotFields count="13">
    <pivotField axis="axisRow" numFmtId="14" showAll="0">
      <items count="216"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204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96"/>
        <item x="210"/>
        <item x="172"/>
        <item x="173"/>
        <item x="174"/>
        <item x="175"/>
        <item x="176"/>
        <item x="177"/>
        <item x="178"/>
        <item x="179"/>
        <item x="18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197"/>
        <item x="198"/>
        <item x="43"/>
        <item x="205"/>
        <item x="44"/>
        <item x="181"/>
        <item x="182"/>
        <item x="183"/>
        <item x="199"/>
        <item x="184"/>
        <item x="185"/>
        <item x="186"/>
        <item x="194"/>
        <item x="207"/>
        <item x="187"/>
        <item x="188"/>
        <item x="209"/>
        <item x="189"/>
        <item x="213"/>
        <item x="200"/>
        <item x="190"/>
        <item x="191"/>
        <item x="192"/>
        <item x="193"/>
        <item x="0"/>
        <item x="1"/>
        <item x="2"/>
        <item x="3"/>
        <item x="4"/>
        <item x="5"/>
        <item x="208"/>
        <item x="212"/>
        <item x="6"/>
        <item x="203"/>
        <item x="7"/>
        <item x="195"/>
        <item x="8"/>
        <item x="9"/>
        <item x="10"/>
        <item x="11"/>
        <item x="12"/>
        <item x="206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201"/>
        <item x="202"/>
        <item x="211"/>
        <item x="214"/>
        <item t="default"/>
      </items>
    </pivotField>
    <pivotField showAll="0" defaultSubtotal="0"/>
    <pivotField axis="axisPage" showAll="0">
      <items count="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6"/>
        <item x="37"/>
        <item x="44"/>
        <item x="45"/>
        <item x="46"/>
        <item x="47"/>
        <item x="48"/>
        <item x="39"/>
        <item x="40"/>
        <item x="41"/>
        <item x="42"/>
        <item x="50"/>
        <item x="51"/>
        <item x="53"/>
        <item x="54"/>
        <item x="55"/>
        <item x="56"/>
        <item x="57"/>
        <item x="58"/>
        <item x="59"/>
        <item x="60"/>
        <item x="61"/>
        <item x="63"/>
        <item x="64"/>
        <item x="31"/>
        <item x="32"/>
        <item x="33"/>
        <item x="34"/>
        <item x="35"/>
        <item x="38"/>
        <item x="43"/>
        <item x="49"/>
        <item x="52"/>
        <item x="62"/>
        <item x="65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dataField="1" numFmtId="172" showAll="0"/>
  </pivotFields>
  <rowFields count="1">
    <field x="0"/>
  </rowFields>
  <rowItems count="19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3"/>
    </i>
    <i>
      <x v="155"/>
    </i>
    <i>
      <x v="156"/>
    </i>
    <i>
      <x v="157"/>
    </i>
    <i>
      <x v="158"/>
    </i>
    <i>
      <x v="160"/>
    </i>
    <i>
      <x v="161"/>
    </i>
    <i>
      <x v="162"/>
    </i>
    <i>
      <x v="165"/>
    </i>
    <i>
      <x v="166"/>
    </i>
    <i>
      <x v="168"/>
    </i>
    <i>
      <x v="171"/>
    </i>
    <i>
      <x v="172"/>
    </i>
    <i>
      <x v="173"/>
    </i>
    <i>
      <x v="174"/>
    </i>
    <i>
      <x v="176"/>
    </i>
    <i>
      <x v="177"/>
    </i>
    <i>
      <x v="178"/>
    </i>
    <i>
      <x v="179"/>
    </i>
    <i>
      <x v="180"/>
    </i>
    <i>
      <x v="183"/>
    </i>
    <i>
      <x v="185"/>
    </i>
    <i>
      <x v="187"/>
    </i>
    <i>
      <x v="188"/>
    </i>
    <i>
      <x v="189"/>
    </i>
    <i>
      <x v="190"/>
    </i>
    <i>
      <x v="191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</rowItems>
  <colItems count="1">
    <i/>
  </colItems>
  <pageFields count="1">
    <pageField fld="2" item="2" hier="-1"/>
  </pageFields>
  <dataFields count="1">
    <dataField name="Sum of Cashflow (IRR)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482" dataOnRows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F3:P120" firstHeaderRow="1" firstDataRow="2" firstDataCol="1"/>
  <pivotFields count="33">
    <pivotField axis="axisCol" showAll="0">
      <items count="219"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20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99"/>
        <item x="213"/>
        <item x="175"/>
        <item x="176"/>
        <item x="177"/>
        <item x="178"/>
        <item x="179"/>
        <item x="180"/>
        <item x="181"/>
        <item x="182"/>
        <item x="18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00"/>
        <item x="201"/>
        <item x="46"/>
        <item x="208"/>
        <item x="47"/>
        <item x="184"/>
        <item x="185"/>
        <item x="186"/>
        <item x="202"/>
        <item x="187"/>
        <item x="188"/>
        <item x="189"/>
        <item x="197"/>
        <item x="210"/>
        <item x="190"/>
        <item x="191"/>
        <item x="212"/>
        <item x="192"/>
        <item x="216"/>
        <item x="203"/>
        <item x="193"/>
        <item x="194"/>
        <item x="195"/>
        <item x="196"/>
        <item x="0"/>
        <item x="1"/>
        <item x="2"/>
        <item x="3"/>
        <item x="4"/>
        <item x="5"/>
        <item x="211"/>
        <item x="215"/>
        <item x="6"/>
        <item x="206"/>
        <item x="7"/>
        <item x="198"/>
        <item x="8"/>
        <item x="9"/>
        <item x="204"/>
        <item x="205"/>
        <item x="10"/>
        <item x="11"/>
        <item x="12"/>
        <item x="209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14"/>
        <item x="27"/>
        <item x="28"/>
        <item x="29"/>
        <item x="30"/>
        <item x="31"/>
        <item x="32"/>
        <item x="33"/>
        <item x="217"/>
        <item t="default"/>
      </items>
    </pivotField>
    <pivotField axis="axisRow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5">
        <item x="1"/>
        <item x="2"/>
        <item x="3"/>
        <item x="4"/>
        <item x="0"/>
      </items>
    </pivotField>
  </pivotFields>
  <rowFields count="3">
    <field x="-2"/>
    <field x="32"/>
    <field x="1"/>
  </rowFields>
  <rowItems count="116">
    <i>
      <x/>
    </i>
    <i r="1">
      <x/>
    </i>
    <i r="2">
      <x v="2"/>
    </i>
    <i r="2">
      <x v="5"/>
    </i>
    <i r="2">
      <x v="6"/>
    </i>
    <i r="2">
      <x v="7"/>
    </i>
    <i r="2">
      <x v="10"/>
    </i>
    <i r="2">
      <x v="11"/>
    </i>
    <i r="2">
      <x v="12"/>
    </i>
    <i r="2">
      <x v="16"/>
    </i>
    <i r="1">
      <x v="1"/>
    </i>
    <i r="2">
      <x v="21"/>
    </i>
    <i r="2">
      <x v="22"/>
    </i>
    <i r="2">
      <x v="23"/>
    </i>
    <i r="1">
      <x v="2"/>
    </i>
    <i r="2">
      <x v="14"/>
    </i>
    <i r="1">
      <x v="4"/>
    </i>
    <i r="2">
      <x/>
    </i>
    <i r="2">
      <x v="4"/>
    </i>
    <i r="2">
      <x v="13"/>
    </i>
    <i r="2">
      <x v="15"/>
    </i>
    <i r="2">
      <x v="17"/>
    </i>
    <i r="2">
      <x v="18"/>
    </i>
    <i r="2">
      <x v="20"/>
    </i>
    <i r="2">
      <x v="24"/>
    </i>
    <i r="2">
      <x v="25"/>
    </i>
    <i r="2">
      <x v="26"/>
    </i>
    <i r="2">
      <x v="27"/>
    </i>
    <i i="1">
      <x v="1"/>
    </i>
    <i r="1" i="1">
      <x/>
    </i>
    <i r="2" i="1">
      <x v="2"/>
    </i>
    <i r="2" i="1">
      <x v="5"/>
    </i>
    <i r="2" i="1">
      <x v="6"/>
    </i>
    <i r="2" i="1">
      <x v="7"/>
    </i>
    <i r="2" i="1">
      <x v="10"/>
    </i>
    <i r="2" i="1">
      <x v="11"/>
    </i>
    <i r="2" i="1">
      <x v="12"/>
    </i>
    <i r="2" i="1">
      <x v="16"/>
    </i>
    <i r="1" i="1">
      <x v="1"/>
    </i>
    <i r="2" i="1">
      <x v="21"/>
    </i>
    <i r="2" i="1">
      <x v="22"/>
    </i>
    <i r="2" i="1">
      <x v="23"/>
    </i>
    <i r="1" i="1">
      <x v="2"/>
    </i>
    <i r="2" i="1">
      <x v="14"/>
    </i>
    <i r="1" i="1">
      <x v="4"/>
    </i>
    <i r="2" i="1">
      <x/>
    </i>
    <i r="2" i="1">
      <x v="4"/>
    </i>
    <i r="2" i="1">
      <x v="13"/>
    </i>
    <i r="2" i="1">
      <x v="15"/>
    </i>
    <i r="2" i="1">
      <x v="17"/>
    </i>
    <i r="2" i="1">
      <x v="18"/>
    </i>
    <i r="2" i="1">
      <x v="20"/>
    </i>
    <i r="2" i="1">
      <x v="24"/>
    </i>
    <i r="2" i="1">
      <x v="25"/>
    </i>
    <i r="2" i="1">
      <x v="26"/>
    </i>
    <i r="2" i="1">
      <x v="27"/>
    </i>
    <i i="2">
      <x v="2"/>
    </i>
    <i r="1" i="2">
      <x/>
    </i>
    <i r="2" i="2">
      <x v="2"/>
    </i>
    <i r="2" i="2">
      <x v="5"/>
    </i>
    <i r="2" i="2">
      <x v="6"/>
    </i>
    <i r="2" i="2">
      <x v="7"/>
    </i>
    <i r="2" i="2">
      <x v="10"/>
    </i>
    <i r="2" i="2">
      <x v="11"/>
    </i>
    <i r="2" i="2">
      <x v="12"/>
    </i>
    <i r="2" i="2">
      <x v="16"/>
    </i>
    <i r="1" i="2">
      <x v="1"/>
    </i>
    <i r="2" i="2">
      <x v="21"/>
    </i>
    <i r="2" i="2">
      <x v="22"/>
    </i>
    <i r="2" i="2">
      <x v="23"/>
    </i>
    <i r="1" i="2">
      <x v="2"/>
    </i>
    <i r="2" i="2">
      <x v="14"/>
    </i>
    <i r="1" i="2">
      <x v="4"/>
    </i>
    <i r="2" i="2">
      <x/>
    </i>
    <i r="2" i="2">
      <x v="4"/>
    </i>
    <i r="2" i="2">
      <x v="13"/>
    </i>
    <i r="2" i="2">
      <x v="15"/>
    </i>
    <i r="2" i="2">
      <x v="17"/>
    </i>
    <i r="2" i="2">
      <x v="18"/>
    </i>
    <i r="2" i="2">
      <x v="20"/>
    </i>
    <i r="2" i="2">
      <x v="24"/>
    </i>
    <i r="2" i="2">
      <x v="25"/>
    </i>
    <i r="2" i="2">
      <x v="26"/>
    </i>
    <i r="2" i="2">
      <x v="27"/>
    </i>
    <i i="3">
      <x v="3"/>
    </i>
    <i r="1" i="3">
      <x/>
    </i>
    <i r="2" i="3">
      <x v="2"/>
    </i>
    <i r="2" i="3">
      <x v="5"/>
    </i>
    <i r="2" i="3">
      <x v="6"/>
    </i>
    <i r="2" i="3">
      <x v="7"/>
    </i>
    <i r="2" i="3">
      <x v="10"/>
    </i>
    <i r="2" i="3">
      <x v="11"/>
    </i>
    <i r="2" i="3">
      <x v="12"/>
    </i>
    <i r="2" i="3">
      <x v="16"/>
    </i>
    <i r="1" i="3">
      <x v="1"/>
    </i>
    <i r="2" i="3">
      <x v="21"/>
    </i>
    <i r="2" i="3">
      <x v="22"/>
    </i>
    <i r="2" i="3">
      <x v="23"/>
    </i>
    <i r="1" i="3">
      <x v="2"/>
    </i>
    <i r="2" i="3">
      <x v="14"/>
    </i>
    <i r="1" i="3">
      <x v="4"/>
    </i>
    <i r="2" i="3">
      <x/>
    </i>
    <i r="2" i="3">
      <x v="4"/>
    </i>
    <i r="2" i="3">
      <x v="13"/>
    </i>
    <i r="2" i="3">
      <x v="15"/>
    </i>
    <i r="2" i="3">
      <x v="17"/>
    </i>
    <i r="2" i="3">
      <x v="18"/>
    </i>
    <i r="2" i="3">
      <x v="20"/>
    </i>
    <i r="2" i="3">
      <x v="24"/>
    </i>
    <i r="2" i="3">
      <x v="25"/>
    </i>
    <i r="2" i="3">
      <x v="26"/>
    </i>
    <i r="2" i="3">
      <x v="27"/>
    </i>
    <i t="grand">
      <x/>
    </i>
    <i t="grand" i="1">
      <x/>
    </i>
    <i t="grand" i="2">
      <x/>
    </i>
    <i t="grand" i="3">
      <x/>
    </i>
  </rowItems>
  <colFields count="1">
    <field x="0"/>
  </colFields>
  <colItems count="10"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 t="grand">
      <x/>
    </i>
  </colItems>
  <dataFields count="4">
    <dataField name="Sum of o/s accrued MF" fld="15" baseField="1" baseItem="0"/>
    <dataField name="Sum of MF Rebate" fld="17" baseField="1" baseItem="10"/>
    <dataField name="Sum of o/s accrued PF" fld="16" baseField="1" baseItem="0"/>
    <dataField name="Sum of PF Rebate" fld="18" baseField="1" baseItem="10"/>
  </dataFields>
  <formats count="6">
    <format dxfId="5">
      <pivotArea outline="0" collapsedLevelsAreSubtotals="1" fieldPosition="0"/>
    </format>
    <format dxfId="4">
      <pivotArea dataOnly="0" labelOnly="1" outline="0" fieldPosition="0">
        <references count="1">
          <reference field="0" count="1">
            <x v="216"/>
          </reference>
        </references>
      </pivotArea>
    </format>
    <format dxfId="3">
      <pivotArea field="1" type="button" dataOnly="0" labelOnly="1" outline="0" axis="axisRow" fieldPosition="2"/>
    </format>
    <format dxfId="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">
      <pivotArea field="1" type="button" dataOnly="0" labelOnly="1" outline="0" axis="axisRow" fieldPosition="2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dateNewerThan" evalOrder="-1" id="2">
      <autoFilter ref="A1">
        <filterColumn colId="0">
          <customFilters>
            <customFilter operator="greaterThan" val="4309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fileserver2\bloomberg%20Share$\Adam\Fund%20Valuation%20Model\Data%20manager.xls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ASM/Investor%20Related/MARKETING%20&amp;%20REPORTS/Manager%20Reports/Monthly%20Reports_backup%20(check%20before%20use)/Calculation%20of%20Sharpe%20Ratio%20and%20Correlation.xlsx" TargetMode="Externa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62"/>
  <sheetViews>
    <sheetView topLeftCell="A34" zoomScale="70" zoomScaleNormal="70" workbookViewId="0">
      <selection activeCell="B42" sqref="B42:B45"/>
    </sheetView>
  </sheetViews>
  <sheetFormatPr defaultRowHeight="15"/>
  <cols>
    <col min="1" max="1" width="4" bestFit="1" customWidth="1"/>
    <col min="2" max="2" width="17.42578125" bestFit="1" customWidth="1"/>
    <col min="3" max="3" width="10" bestFit="1" customWidth="1"/>
    <col min="4" max="4" width="11.5703125" bestFit="1" customWidth="1"/>
    <col min="5" max="5" width="14.5703125" bestFit="1" customWidth="1"/>
    <col min="6" max="6" width="6" bestFit="1" customWidth="1"/>
    <col min="7" max="7" width="7.42578125" bestFit="1" customWidth="1"/>
    <col min="9" max="9" width="17.42578125" bestFit="1" customWidth="1"/>
    <col min="10" max="10" width="9.5703125" bestFit="1" customWidth="1"/>
    <col min="11" max="11" width="13" bestFit="1" customWidth="1"/>
    <col min="12" max="12" width="15" bestFit="1" customWidth="1"/>
    <col min="13" max="13" width="17.42578125" bestFit="1" customWidth="1"/>
    <col min="14" max="14" width="13.5703125" bestFit="1" customWidth="1"/>
    <col min="15" max="15" width="11.5703125" bestFit="1" customWidth="1"/>
    <col min="16" max="16" width="13.5703125" bestFit="1" customWidth="1"/>
    <col min="17" max="17" width="9.42578125" bestFit="1" customWidth="1"/>
    <col min="18" max="19" width="13.5703125" bestFit="1" customWidth="1"/>
    <col min="20" max="20" width="10.5703125" bestFit="1" customWidth="1"/>
    <col min="21" max="21" width="13" bestFit="1" customWidth="1"/>
    <col min="22" max="22" width="10" bestFit="1" customWidth="1"/>
    <col min="23" max="23" width="10.5703125" bestFit="1" customWidth="1"/>
    <col min="24" max="24" width="24.42578125" bestFit="1" customWidth="1"/>
    <col min="25" max="26" width="9.42578125" bestFit="1" customWidth="1"/>
    <col min="27" max="30" width="11.5703125" bestFit="1" customWidth="1"/>
    <col min="31" max="31" width="12.42578125" bestFit="1" customWidth="1"/>
    <col min="32" max="32" width="17.42578125" bestFit="1" customWidth="1"/>
    <col min="33" max="36" width="9.42578125" bestFit="1" customWidth="1"/>
    <col min="37" max="37" width="13.5703125" bestFit="1" customWidth="1"/>
    <col min="38" max="38" width="9.42578125" bestFit="1" customWidth="1"/>
    <col min="39" max="39" width="13" bestFit="1" customWidth="1"/>
    <col min="40" max="41" width="9.42578125" bestFit="1" customWidth="1"/>
    <col min="42" max="42" width="13.5703125" bestFit="1" customWidth="1"/>
    <col min="43" max="43" width="9.42578125" bestFit="1" customWidth="1"/>
    <col min="44" max="44" width="13" bestFit="1" customWidth="1"/>
    <col min="45" max="45" width="9.42578125" bestFit="1" customWidth="1"/>
  </cols>
  <sheetData>
    <row r="1" spans="1:45" ht="16.5">
      <c r="A1" s="1">
        <v>1</v>
      </c>
      <c r="B1" s="1" t="s">
        <v>0</v>
      </c>
      <c r="C1" s="2" t="s">
        <v>1</v>
      </c>
      <c r="D1" s="2" t="s">
        <v>2</v>
      </c>
      <c r="E1" s="2"/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/>
      <c r="M1" s="2" t="s">
        <v>9</v>
      </c>
      <c r="N1" s="2"/>
      <c r="O1" s="2"/>
      <c r="P1" s="2"/>
      <c r="Q1" s="2"/>
      <c r="R1" s="2"/>
      <c r="S1" s="2" t="s">
        <v>10</v>
      </c>
      <c r="T1" s="2" t="s">
        <v>11</v>
      </c>
      <c r="U1" s="2" t="s">
        <v>12</v>
      </c>
      <c r="V1" s="2" t="s">
        <v>13</v>
      </c>
      <c r="W1" s="2"/>
      <c r="X1" s="2" t="s">
        <v>14</v>
      </c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spans="1:45" ht="16.5">
      <c r="A2" s="1">
        <v>2</v>
      </c>
      <c r="B2" s="1" t="s">
        <v>15</v>
      </c>
      <c r="C2" s="2" t="s">
        <v>1</v>
      </c>
      <c r="D2" s="2" t="s">
        <v>2</v>
      </c>
      <c r="E2" s="2"/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16</v>
      </c>
      <c r="M2" s="2" t="s">
        <v>17</v>
      </c>
      <c r="N2" s="2"/>
      <c r="O2" s="2" t="s">
        <v>9</v>
      </c>
      <c r="P2" s="2" t="s">
        <v>18</v>
      </c>
      <c r="Q2" s="2"/>
      <c r="R2" s="2"/>
      <c r="S2" s="2" t="s">
        <v>10</v>
      </c>
      <c r="T2" s="2" t="s">
        <v>11</v>
      </c>
      <c r="U2" s="2"/>
      <c r="V2" s="2" t="s">
        <v>14</v>
      </c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1:45" ht="16.5">
      <c r="A3" s="1">
        <v>3</v>
      </c>
      <c r="B3" s="1" t="s">
        <v>19</v>
      </c>
      <c r="C3" s="2" t="s">
        <v>1</v>
      </c>
      <c r="D3" s="2" t="s">
        <v>2</v>
      </c>
      <c r="E3" s="2"/>
      <c r="F3" s="2" t="s">
        <v>3</v>
      </c>
      <c r="G3" s="2" t="s">
        <v>4</v>
      </c>
      <c r="H3" s="2"/>
      <c r="I3" s="2" t="s">
        <v>20</v>
      </c>
      <c r="J3" s="2" t="s">
        <v>21</v>
      </c>
      <c r="K3" s="2" t="s">
        <v>22</v>
      </c>
      <c r="L3" s="2" t="s">
        <v>23</v>
      </c>
      <c r="M3" s="2" t="s">
        <v>24</v>
      </c>
      <c r="N3" s="2"/>
      <c r="O3" s="2" t="s">
        <v>7</v>
      </c>
      <c r="P3" s="2" t="s">
        <v>8</v>
      </c>
      <c r="Q3" s="2" t="s">
        <v>25</v>
      </c>
      <c r="R3" s="2"/>
      <c r="S3" s="2" t="s">
        <v>10</v>
      </c>
      <c r="T3" s="2" t="s">
        <v>11</v>
      </c>
      <c r="U3" s="2" t="s">
        <v>12</v>
      </c>
      <c r="V3" s="2" t="s">
        <v>13</v>
      </c>
      <c r="W3" s="2"/>
      <c r="X3" s="2" t="s">
        <v>14</v>
      </c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spans="1:45" ht="16.5">
      <c r="A4" s="1">
        <v>4</v>
      </c>
      <c r="B4" s="1" t="s">
        <v>26</v>
      </c>
      <c r="C4" s="2" t="s">
        <v>1</v>
      </c>
      <c r="D4" s="2" t="s">
        <v>2</v>
      </c>
      <c r="E4" s="2" t="s">
        <v>27</v>
      </c>
      <c r="F4" s="2" t="s">
        <v>3</v>
      </c>
      <c r="G4" s="2" t="s">
        <v>4</v>
      </c>
      <c r="H4" s="2" t="s">
        <v>5</v>
      </c>
      <c r="I4" s="2" t="s">
        <v>28</v>
      </c>
      <c r="J4" s="2"/>
      <c r="K4" s="2"/>
      <c r="L4" s="2"/>
      <c r="M4" s="2"/>
      <c r="N4" s="2" t="s">
        <v>20</v>
      </c>
      <c r="O4" s="2" t="s">
        <v>21</v>
      </c>
      <c r="P4" s="2"/>
      <c r="Q4" s="2"/>
      <c r="R4" s="2" t="s">
        <v>29</v>
      </c>
      <c r="S4" s="2" t="s">
        <v>30</v>
      </c>
      <c r="T4" s="2"/>
      <c r="U4" s="2" t="s">
        <v>10</v>
      </c>
      <c r="V4" s="2" t="s">
        <v>11</v>
      </c>
      <c r="W4" s="2" t="s">
        <v>12</v>
      </c>
      <c r="X4" s="2" t="s">
        <v>13</v>
      </c>
      <c r="Y4" s="2"/>
      <c r="Z4" s="2"/>
      <c r="AA4" s="2"/>
      <c r="AB4" s="2"/>
      <c r="AC4" s="2"/>
      <c r="AD4" s="2"/>
      <c r="AE4" s="2"/>
      <c r="AF4" s="2" t="s">
        <v>31</v>
      </c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spans="1:45" ht="16.5">
      <c r="A5" s="1">
        <v>5</v>
      </c>
      <c r="B5" s="1" t="s">
        <v>32</v>
      </c>
      <c r="C5" s="2" t="s">
        <v>1</v>
      </c>
      <c r="D5" s="2" t="s">
        <v>2</v>
      </c>
      <c r="E5" s="2"/>
      <c r="F5" s="2" t="s">
        <v>3</v>
      </c>
      <c r="G5" s="2" t="s">
        <v>4</v>
      </c>
      <c r="H5" s="2"/>
      <c r="I5" s="2" t="s">
        <v>24</v>
      </c>
      <c r="J5" s="2"/>
      <c r="K5" s="2"/>
      <c r="L5" s="2"/>
      <c r="M5" s="2"/>
      <c r="N5" s="2" t="s">
        <v>7</v>
      </c>
      <c r="O5" s="2" t="s">
        <v>8</v>
      </c>
      <c r="P5" s="2" t="s">
        <v>25</v>
      </c>
      <c r="Q5" s="2"/>
      <c r="R5" s="2" t="s">
        <v>10</v>
      </c>
      <c r="S5" s="2" t="s">
        <v>11</v>
      </c>
      <c r="T5" s="2" t="s">
        <v>12</v>
      </c>
      <c r="U5" s="2" t="s">
        <v>13</v>
      </c>
      <c r="V5" s="2"/>
      <c r="W5" s="2" t="s">
        <v>14</v>
      </c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spans="1:45" ht="16.5">
      <c r="A6" s="1">
        <v>6</v>
      </c>
      <c r="B6" s="1" t="s">
        <v>33</v>
      </c>
      <c r="C6" s="2" t="s">
        <v>1</v>
      </c>
      <c r="D6" s="2" t="s">
        <v>2</v>
      </c>
      <c r="E6" s="2"/>
      <c r="F6" s="2" t="s">
        <v>3</v>
      </c>
      <c r="G6" s="2"/>
      <c r="H6" s="2"/>
      <c r="I6" s="2" t="s">
        <v>24</v>
      </c>
      <c r="J6" s="2"/>
      <c r="K6" s="2"/>
      <c r="L6" s="2"/>
      <c r="M6" s="2"/>
      <c r="N6" s="2" t="s">
        <v>7</v>
      </c>
      <c r="O6" s="2" t="s">
        <v>8</v>
      </c>
      <c r="P6" s="2" t="s">
        <v>25</v>
      </c>
      <c r="Q6" s="2"/>
      <c r="R6" s="2" t="s">
        <v>10</v>
      </c>
      <c r="S6" s="2" t="s">
        <v>11</v>
      </c>
      <c r="T6" s="2" t="s">
        <v>12</v>
      </c>
      <c r="U6" s="2" t="s">
        <v>13</v>
      </c>
      <c r="V6" s="2"/>
      <c r="W6" s="2" t="s">
        <v>14</v>
      </c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spans="1:45" ht="16.5">
      <c r="A7" s="1">
        <v>7</v>
      </c>
      <c r="B7" s="1" t="s">
        <v>34</v>
      </c>
      <c r="C7" s="2" t="s">
        <v>1</v>
      </c>
      <c r="D7" s="2" t="s">
        <v>2</v>
      </c>
      <c r="E7" s="2"/>
      <c r="F7" s="2" t="s">
        <v>3</v>
      </c>
      <c r="G7" s="2"/>
      <c r="H7" s="2"/>
      <c r="I7" s="2" t="s">
        <v>6</v>
      </c>
      <c r="J7" s="2" t="s">
        <v>7</v>
      </c>
      <c r="K7" s="2"/>
      <c r="L7" s="2" t="s">
        <v>8</v>
      </c>
      <c r="M7" s="2"/>
      <c r="N7" s="2"/>
      <c r="O7" s="2" t="s">
        <v>25</v>
      </c>
      <c r="P7" s="2"/>
      <c r="Q7" s="2"/>
      <c r="R7" s="2"/>
      <c r="S7" s="2" t="s">
        <v>10</v>
      </c>
      <c r="T7" s="2" t="s">
        <v>11</v>
      </c>
      <c r="U7" s="2" t="s">
        <v>12</v>
      </c>
      <c r="V7" s="2" t="s">
        <v>13</v>
      </c>
      <c r="W7" s="2"/>
      <c r="X7" s="2" t="s">
        <v>14</v>
      </c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spans="1:45" ht="16.5">
      <c r="A8" s="1">
        <v>8</v>
      </c>
      <c r="B8" s="1" t="s">
        <v>35</v>
      </c>
      <c r="C8" s="2" t="s">
        <v>1</v>
      </c>
      <c r="D8" s="2" t="s">
        <v>2</v>
      </c>
      <c r="E8" s="2"/>
      <c r="F8" s="2" t="s">
        <v>3</v>
      </c>
      <c r="G8" s="2"/>
      <c r="H8" s="2"/>
      <c r="I8" s="2" t="s">
        <v>6</v>
      </c>
      <c r="J8" s="2" t="s">
        <v>7</v>
      </c>
      <c r="K8" s="2"/>
      <c r="L8" s="2" t="s">
        <v>8</v>
      </c>
      <c r="M8" s="2"/>
      <c r="N8" s="2"/>
      <c r="O8" s="2" t="s">
        <v>25</v>
      </c>
      <c r="P8" s="2"/>
      <c r="Q8" s="2"/>
      <c r="R8" s="2"/>
      <c r="S8" s="2" t="s">
        <v>10</v>
      </c>
      <c r="T8" s="2" t="s">
        <v>11</v>
      </c>
      <c r="U8" s="2" t="s">
        <v>12</v>
      </c>
      <c r="V8" s="2" t="s">
        <v>13</v>
      </c>
      <c r="W8" s="2"/>
      <c r="X8" s="2" t="s">
        <v>14</v>
      </c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spans="1:45" ht="16.5">
      <c r="A9" s="1">
        <v>9</v>
      </c>
      <c r="B9" s="1" t="s">
        <v>36</v>
      </c>
      <c r="C9" s="2" t="s">
        <v>1</v>
      </c>
      <c r="D9" s="2" t="s">
        <v>2</v>
      </c>
      <c r="E9" s="2"/>
      <c r="F9" s="2" t="s">
        <v>3</v>
      </c>
      <c r="G9" s="2"/>
      <c r="H9" s="2"/>
      <c r="I9" s="2" t="s">
        <v>6</v>
      </c>
      <c r="J9" s="2" t="s">
        <v>7</v>
      </c>
      <c r="K9" s="2"/>
      <c r="L9" s="2" t="s">
        <v>8</v>
      </c>
      <c r="M9" s="2"/>
      <c r="N9" s="2"/>
      <c r="O9" s="2" t="s">
        <v>25</v>
      </c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spans="1:45" ht="16.5">
      <c r="A10" s="1">
        <v>10</v>
      </c>
      <c r="B10" s="1" t="s">
        <v>37</v>
      </c>
      <c r="C10" s="2" t="s">
        <v>1</v>
      </c>
      <c r="D10" s="2" t="s">
        <v>2</v>
      </c>
      <c r="E10" s="2"/>
      <c r="F10" s="2" t="s">
        <v>3</v>
      </c>
      <c r="G10" s="2" t="s">
        <v>4</v>
      </c>
      <c r="H10" s="2"/>
      <c r="I10" s="2" t="s">
        <v>6</v>
      </c>
      <c r="J10" s="2" t="s">
        <v>7</v>
      </c>
      <c r="K10" s="2"/>
      <c r="L10" s="2" t="s">
        <v>8</v>
      </c>
      <c r="M10" s="2"/>
      <c r="N10" s="2"/>
      <c r="O10" s="2" t="s">
        <v>25</v>
      </c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spans="1:45" ht="16.5">
      <c r="A11" s="1">
        <v>11</v>
      </c>
      <c r="B11" s="1" t="s">
        <v>38</v>
      </c>
      <c r="C11" s="2" t="s">
        <v>1</v>
      </c>
      <c r="D11" s="2" t="s">
        <v>2</v>
      </c>
      <c r="E11" s="2"/>
      <c r="F11" s="2" t="s">
        <v>3</v>
      </c>
      <c r="G11" s="2" t="s">
        <v>4</v>
      </c>
      <c r="H11" s="2" t="s">
        <v>5</v>
      </c>
      <c r="I11" s="2" t="s">
        <v>6</v>
      </c>
      <c r="J11" s="2" t="s">
        <v>7</v>
      </c>
      <c r="K11" s="2"/>
      <c r="L11" s="2" t="s">
        <v>8</v>
      </c>
      <c r="M11" s="2"/>
      <c r="N11" s="2"/>
      <c r="O11" s="2" t="s">
        <v>25</v>
      </c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spans="1:45" ht="16.5">
      <c r="A12" s="1">
        <v>12</v>
      </c>
      <c r="B12" s="1" t="s">
        <v>39</v>
      </c>
      <c r="C12" s="2" t="s">
        <v>1</v>
      </c>
      <c r="D12" s="2" t="s">
        <v>2</v>
      </c>
      <c r="E12" s="2"/>
      <c r="F12" s="2" t="s">
        <v>3</v>
      </c>
      <c r="G12" s="2"/>
      <c r="H12" s="2"/>
      <c r="I12" s="2" t="s">
        <v>6</v>
      </c>
      <c r="J12" s="2" t="s">
        <v>7</v>
      </c>
      <c r="K12" s="2"/>
      <c r="L12" s="2" t="s">
        <v>8</v>
      </c>
      <c r="M12" s="2"/>
      <c r="N12" s="2"/>
      <c r="O12" s="2" t="s">
        <v>25</v>
      </c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1:45" ht="16.5">
      <c r="A13" s="1">
        <v>13</v>
      </c>
      <c r="B13" s="1" t="s">
        <v>40</v>
      </c>
      <c r="C13" s="2" t="s">
        <v>1</v>
      </c>
      <c r="D13" s="2" t="s">
        <v>2</v>
      </c>
      <c r="E13" s="2"/>
      <c r="F13" s="2" t="s">
        <v>3</v>
      </c>
      <c r="G13" s="2"/>
      <c r="H13" s="2"/>
      <c r="I13" s="2" t="s">
        <v>6</v>
      </c>
      <c r="J13" s="2" t="s">
        <v>7</v>
      </c>
      <c r="K13" s="2"/>
      <c r="L13" s="2" t="s">
        <v>8</v>
      </c>
      <c r="M13" s="2"/>
      <c r="N13" s="2"/>
      <c r="O13" s="2" t="s">
        <v>25</v>
      </c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spans="1:45" ht="16.5">
      <c r="A14" s="1">
        <v>14</v>
      </c>
      <c r="B14" s="1" t="s">
        <v>41</v>
      </c>
      <c r="C14" s="2" t="s">
        <v>1</v>
      </c>
      <c r="D14" s="2" t="s">
        <v>2</v>
      </c>
      <c r="E14" s="2"/>
      <c r="F14" s="2" t="s">
        <v>3</v>
      </c>
      <c r="G14" s="2"/>
      <c r="H14" s="2"/>
      <c r="I14" s="2" t="s">
        <v>6</v>
      </c>
      <c r="J14" s="2" t="s">
        <v>7</v>
      </c>
      <c r="K14" s="2"/>
      <c r="L14" s="2" t="s">
        <v>8</v>
      </c>
      <c r="M14" s="2"/>
      <c r="N14" s="2"/>
      <c r="O14" s="2" t="s">
        <v>25</v>
      </c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spans="1:45" ht="16.5">
      <c r="A15" s="1">
        <v>15</v>
      </c>
      <c r="B15" s="1" t="s">
        <v>42</v>
      </c>
      <c r="C15" s="2" t="s">
        <v>1</v>
      </c>
      <c r="D15" s="2" t="s">
        <v>2</v>
      </c>
      <c r="E15" s="2"/>
      <c r="F15" s="2" t="s">
        <v>3</v>
      </c>
      <c r="G15" s="2"/>
      <c r="H15" s="2"/>
      <c r="I15" s="2" t="s">
        <v>6</v>
      </c>
      <c r="J15" s="2" t="s">
        <v>7</v>
      </c>
      <c r="K15" s="2"/>
      <c r="L15" s="2" t="s">
        <v>8</v>
      </c>
      <c r="M15" s="2"/>
      <c r="N15" s="2"/>
      <c r="O15" s="2" t="s">
        <v>25</v>
      </c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spans="1:45" ht="16.5">
      <c r="A16" s="1">
        <v>16</v>
      </c>
      <c r="B16" s="1" t="s">
        <v>43</v>
      </c>
      <c r="C16" s="2" t="s">
        <v>1</v>
      </c>
      <c r="D16" s="2" t="s">
        <v>2</v>
      </c>
      <c r="E16" s="2"/>
      <c r="F16" s="2" t="s">
        <v>3</v>
      </c>
      <c r="G16" s="2"/>
      <c r="H16" s="2"/>
      <c r="I16" s="2" t="s">
        <v>6</v>
      </c>
      <c r="J16" s="2" t="s">
        <v>7</v>
      </c>
      <c r="K16" s="2"/>
      <c r="L16" s="2" t="s">
        <v>8</v>
      </c>
      <c r="M16" s="2"/>
      <c r="N16" s="2"/>
      <c r="O16" s="2" t="s">
        <v>25</v>
      </c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  <row r="17" spans="1:45" ht="16.5">
      <c r="A17" s="1">
        <v>17</v>
      </c>
      <c r="B17" s="1" t="s">
        <v>44</v>
      </c>
      <c r="C17" s="2" t="s">
        <v>1</v>
      </c>
      <c r="D17" s="2" t="s">
        <v>2</v>
      </c>
      <c r="E17" s="2"/>
      <c r="F17" s="2" t="s">
        <v>3</v>
      </c>
      <c r="G17" s="2"/>
      <c r="H17" s="2"/>
      <c r="I17" s="2" t="s">
        <v>6</v>
      </c>
      <c r="J17" s="2" t="s">
        <v>7</v>
      </c>
      <c r="K17" s="2"/>
      <c r="L17" s="2" t="s">
        <v>8</v>
      </c>
      <c r="M17" s="2"/>
      <c r="N17" s="2"/>
      <c r="O17" s="2" t="s">
        <v>25</v>
      </c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</row>
    <row r="18" spans="1:45" ht="16.5">
      <c r="A18" s="1">
        <v>18</v>
      </c>
      <c r="B18" s="1" t="s">
        <v>45</v>
      </c>
      <c r="C18" s="2" t="s">
        <v>1</v>
      </c>
      <c r="D18" s="2" t="s">
        <v>2</v>
      </c>
      <c r="E18" s="2"/>
      <c r="F18" s="2" t="s">
        <v>3</v>
      </c>
      <c r="G18" s="2"/>
      <c r="H18" s="2"/>
      <c r="I18" s="2" t="s">
        <v>6</v>
      </c>
      <c r="J18" s="2" t="s">
        <v>7</v>
      </c>
      <c r="K18" s="2"/>
      <c r="L18" s="2" t="s">
        <v>8</v>
      </c>
      <c r="M18" s="2"/>
      <c r="N18" s="2"/>
      <c r="O18" s="2" t="s">
        <v>25</v>
      </c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</row>
    <row r="19" spans="1:45" ht="16.5">
      <c r="A19" s="1">
        <v>19</v>
      </c>
      <c r="B19" s="1" t="s">
        <v>46</v>
      </c>
      <c r="C19" s="2" t="s">
        <v>1</v>
      </c>
      <c r="D19" s="2" t="s">
        <v>2</v>
      </c>
      <c r="E19" s="2"/>
      <c r="F19" s="2" t="s">
        <v>3</v>
      </c>
      <c r="G19" s="2"/>
      <c r="H19" s="2"/>
      <c r="I19" s="2" t="s">
        <v>6</v>
      </c>
      <c r="J19" s="2" t="s">
        <v>7</v>
      </c>
      <c r="K19" s="2"/>
      <c r="L19" s="2" t="s">
        <v>8</v>
      </c>
      <c r="M19" s="2"/>
      <c r="N19" s="2"/>
      <c r="O19" s="2" t="s">
        <v>25</v>
      </c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</row>
    <row r="20" spans="1:45" ht="16.5">
      <c r="A20" s="1">
        <v>20</v>
      </c>
      <c r="B20" s="1" t="s">
        <v>47</v>
      </c>
      <c r="C20" s="2" t="s">
        <v>1</v>
      </c>
      <c r="D20" s="2" t="s">
        <v>2</v>
      </c>
      <c r="E20" s="2"/>
      <c r="F20" s="2" t="s">
        <v>3</v>
      </c>
      <c r="G20" s="2"/>
      <c r="H20" s="2"/>
      <c r="I20" s="2" t="s">
        <v>6</v>
      </c>
      <c r="J20" s="2" t="s">
        <v>7</v>
      </c>
      <c r="K20" s="2"/>
      <c r="L20" s="2" t="s">
        <v>8</v>
      </c>
      <c r="M20" s="2"/>
      <c r="N20" s="2"/>
      <c r="O20" s="2" t="s">
        <v>25</v>
      </c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</row>
    <row r="21" spans="1:45" ht="16.5">
      <c r="A21" s="1">
        <v>21</v>
      </c>
      <c r="B21" s="1" t="s">
        <v>48</v>
      </c>
      <c r="C21" s="2" t="s">
        <v>1</v>
      </c>
      <c r="D21" s="2" t="s">
        <v>2</v>
      </c>
      <c r="E21" s="2"/>
      <c r="F21" s="2" t="s">
        <v>3</v>
      </c>
      <c r="G21" s="2"/>
      <c r="H21" s="2"/>
      <c r="I21" s="2" t="s">
        <v>6</v>
      </c>
      <c r="J21" s="2" t="s">
        <v>7</v>
      </c>
      <c r="K21" s="2"/>
      <c r="L21" s="2" t="s">
        <v>8</v>
      </c>
      <c r="M21" s="2"/>
      <c r="N21" s="2"/>
      <c r="O21" s="2" t="s">
        <v>25</v>
      </c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</row>
    <row r="22" spans="1:45" ht="16.5">
      <c r="A22" s="1">
        <v>22</v>
      </c>
      <c r="B22" s="1" t="s">
        <v>49</v>
      </c>
      <c r="C22" s="2" t="s">
        <v>1</v>
      </c>
      <c r="D22" s="2" t="s">
        <v>2</v>
      </c>
      <c r="E22" s="2"/>
      <c r="F22" s="2" t="s">
        <v>3</v>
      </c>
      <c r="G22" s="2"/>
      <c r="H22" s="2"/>
      <c r="I22" s="2" t="s">
        <v>6</v>
      </c>
      <c r="J22" s="2" t="s">
        <v>7</v>
      </c>
      <c r="K22" s="2"/>
      <c r="L22" s="2" t="s">
        <v>8</v>
      </c>
      <c r="M22" s="2"/>
      <c r="N22" s="2"/>
      <c r="O22" s="2" t="s">
        <v>25</v>
      </c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</row>
    <row r="23" spans="1:45" ht="16.5">
      <c r="A23" s="1">
        <v>23</v>
      </c>
      <c r="B23" s="1" t="s">
        <v>50</v>
      </c>
      <c r="C23" s="2" t="s">
        <v>1</v>
      </c>
      <c r="D23" s="2" t="s">
        <v>2</v>
      </c>
      <c r="E23" s="2"/>
      <c r="F23" s="2" t="s">
        <v>3</v>
      </c>
      <c r="G23" s="2"/>
      <c r="H23" s="2"/>
      <c r="I23" s="2" t="s">
        <v>6</v>
      </c>
      <c r="J23" s="2" t="s">
        <v>7</v>
      </c>
      <c r="K23" s="2"/>
      <c r="L23" s="2" t="s">
        <v>8</v>
      </c>
      <c r="M23" s="2"/>
      <c r="N23" s="2"/>
      <c r="O23" s="2" t="s">
        <v>25</v>
      </c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</row>
    <row r="24" spans="1:45" ht="16.5">
      <c r="A24" s="1">
        <v>24</v>
      </c>
      <c r="B24" s="1" t="s">
        <v>51</v>
      </c>
      <c r="C24" s="2" t="s">
        <v>1</v>
      </c>
      <c r="D24" s="2" t="s">
        <v>2</v>
      </c>
      <c r="E24" s="2"/>
      <c r="F24" s="2" t="s">
        <v>3</v>
      </c>
      <c r="G24" s="2"/>
      <c r="H24" s="2"/>
      <c r="I24" s="2" t="s">
        <v>6</v>
      </c>
      <c r="J24" s="2" t="s">
        <v>7</v>
      </c>
      <c r="K24" s="2"/>
      <c r="L24" s="2" t="s">
        <v>8</v>
      </c>
      <c r="M24" s="2"/>
      <c r="N24" s="2"/>
      <c r="O24" s="2" t="s">
        <v>25</v>
      </c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</row>
    <row r="25" spans="1:45" ht="16.5">
      <c r="A25" s="1">
        <v>25</v>
      </c>
      <c r="B25" s="1" t="s">
        <v>52</v>
      </c>
      <c r="C25" s="2" t="s">
        <v>1</v>
      </c>
      <c r="D25" s="2" t="s">
        <v>2</v>
      </c>
      <c r="E25" s="2"/>
      <c r="F25" s="2" t="s">
        <v>3</v>
      </c>
      <c r="G25" s="2"/>
      <c r="H25" s="2"/>
      <c r="I25" s="2" t="s">
        <v>6</v>
      </c>
      <c r="J25" s="2" t="s">
        <v>7</v>
      </c>
      <c r="K25" s="2"/>
      <c r="L25" s="2" t="s">
        <v>8</v>
      </c>
      <c r="M25" s="2"/>
      <c r="N25" s="2"/>
      <c r="O25" s="2" t="s">
        <v>25</v>
      </c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</row>
    <row r="26" spans="1:45" ht="16.5">
      <c r="A26" s="1">
        <v>26</v>
      </c>
      <c r="B26" s="1" t="s">
        <v>53</v>
      </c>
      <c r="C26" s="2" t="s">
        <v>1</v>
      </c>
      <c r="D26" s="2" t="s">
        <v>2</v>
      </c>
      <c r="E26" s="2"/>
      <c r="F26" s="2" t="s">
        <v>3</v>
      </c>
      <c r="G26" s="2"/>
      <c r="H26" s="2"/>
      <c r="I26" s="2" t="s">
        <v>6</v>
      </c>
      <c r="J26" s="2" t="s">
        <v>7</v>
      </c>
      <c r="K26" s="2"/>
      <c r="L26" s="2" t="s">
        <v>8</v>
      </c>
      <c r="M26" s="2"/>
      <c r="N26" s="2"/>
      <c r="O26" s="2" t="s">
        <v>25</v>
      </c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</row>
    <row r="27" spans="1:45" ht="16.5">
      <c r="A27" s="1">
        <v>27</v>
      </c>
      <c r="B27" s="1" t="s">
        <v>54</v>
      </c>
      <c r="C27" s="2" t="s">
        <v>1</v>
      </c>
      <c r="D27" s="2" t="s">
        <v>2</v>
      </c>
      <c r="E27" s="2"/>
      <c r="F27" s="2" t="s">
        <v>3</v>
      </c>
      <c r="G27" s="2"/>
      <c r="H27" s="2"/>
      <c r="I27" s="2" t="s">
        <v>6</v>
      </c>
      <c r="J27" s="2" t="s">
        <v>7</v>
      </c>
      <c r="K27" s="2"/>
      <c r="L27" s="2" t="s">
        <v>8</v>
      </c>
      <c r="M27" s="2"/>
      <c r="N27" s="2"/>
      <c r="O27" s="2" t="s">
        <v>25</v>
      </c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</row>
    <row r="28" spans="1:45" ht="16.5">
      <c r="A28" s="1">
        <v>28</v>
      </c>
      <c r="B28" s="1" t="s">
        <v>55</v>
      </c>
      <c r="C28" s="2" t="s">
        <v>1</v>
      </c>
      <c r="D28" s="2" t="s">
        <v>2</v>
      </c>
      <c r="E28" s="2"/>
      <c r="F28" s="2" t="s">
        <v>3</v>
      </c>
      <c r="G28" s="2"/>
      <c r="H28" s="2"/>
      <c r="I28" s="2" t="s">
        <v>6</v>
      </c>
      <c r="J28" s="2" t="s">
        <v>7</v>
      </c>
      <c r="K28" s="2"/>
      <c r="L28" s="2" t="s">
        <v>8</v>
      </c>
      <c r="M28" s="2"/>
      <c r="N28" s="2"/>
      <c r="O28" s="2" t="s">
        <v>25</v>
      </c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</row>
    <row r="29" spans="1:45" ht="16.5">
      <c r="A29" s="1">
        <v>29</v>
      </c>
      <c r="B29" s="1" t="s">
        <v>56</v>
      </c>
      <c r="C29" s="2" t="s">
        <v>1</v>
      </c>
      <c r="D29" s="2" t="s">
        <v>2</v>
      </c>
      <c r="E29" s="2"/>
      <c r="F29" s="2" t="s">
        <v>3</v>
      </c>
      <c r="G29" s="2"/>
      <c r="H29" s="2"/>
      <c r="I29" s="2" t="s">
        <v>6</v>
      </c>
      <c r="J29" s="2" t="s">
        <v>7</v>
      </c>
      <c r="K29" s="2"/>
      <c r="L29" s="2" t="s">
        <v>8</v>
      </c>
      <c r="M29" s="2"/>
      <c r="N29" s="2"/>
      <c r="O29" s="2" t="s">
        <v>25</v>
      </c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</row>
    <row r="30" spans="1:45" ht="16.5">
      <c r="A30" s="1">
        <v>30</v>
      </c>
      <c r="B30" s="1" t="s">
        <v>57</v>
      </c>
      <c r="C30" s="2" t="s">
        <v>1</v>
      </c>
      <c r="D30" s="2" t="s">
        <v>2</v>
      </c>
      <c r="E30" s="2"/>
      <c r="F30" s="2" t="s">
        <v>3</v>
      </c>
      <c r="G30" s="2"/>
      <c r="H30" s="2"/>
      <c r="I30" s="2" t="s">
        <v>6</v>
      </c>
      <c r="J30" s="2" t="s">
        <v>7</v>
      </c>
      <c r="K30" s="2"/>
      <c r="L30" s="2" t="s">
        <v>8</v>
      </c>
      <c r="M30" s="2"/>
      <c r="N30" s="2"/>
      <c r="O30" s="2" t="s">
        <v>25</v>
      </c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</row>
    <row r="31" spans="1:45" ht="16.5">
      <c r="A31" s="1">
        <v>31</v>
      </c>
      <c r="B31" s="1" t="s">
        <v>58</v>
      </c>
      <c r="C31" s="2" t="s">
        <v>1</v>
      </c>
      <c r="D31" s="2" t="s">
        <v>2</v>
      </c>
      <c r="E31" s="2"/>
      <c r="F31" s="2" t="s">
        <v>3</v>
      </c>
      <c r="G31" s="2"/>
      <c r="H31" s="2"/>
      <c r="I31" s="2" t="s">
        <v>6</v>
      </c>
      <c r="J31" s="2" t="s">
        <v>7</v>
      </c>
      <c r="K31" s="2"/>
      <c r="L31" s="2" t="s">
        <v>8</v>
      </c>
      <c r="M31" s="2"/>
      <c r="N31" s="2"/>
      <c r="O31" s="2" t="s">
        <v>25</v>
      </c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</row>
    <row r="32" spans="1:45" ht="16.5">
      <c r="A32" s="1">
        <v>32</v>
      </c>
      <c r="B32" s="1" t="s">
        <v>59</v>
      </c>
      <c r="C32" s="2" t="s">
        <v>1</v>
      </c>
      <c r="D32" s="2" t="s">
        <v>2</v>
      </c>
      <c r="E32" s="2"/>
      <c r="F32" s="2" t="s">
        <v>3</v>
      </c>
      <c r="G32" s="2"/>
      <c r="H32" s="2"/>
      <c r="I32" s="2" t="s">
        <v>6</v>
      </c>
      <c r="J32" s="2" t="s">
        <v>7</v>
      </c>
      <c r="K32" s="2"/>
      <c r="L32" s="2" t="s">
        <v>8</v>
      </c>
      <c r="M32" s="2"/>
      <c r="N32" s="2"/>
      <c r="O32" s="2" t="s">
        <v>25</v>
      </c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</row>
    <row r="33" spans="1:45" ht="16.5">
      <c r="A33" s="1">
        <v>33</v>
      </c>
      <c r="B33" s="1" t="s">
        <v>60</v>
      </c>
      <c r="C33" s="2" t="s">
        <v>1</v>
      </c>
      <c r="D33" s="2" t="s">
        <v>2</v>
      </c>
      <c r="E33" s="2"/>
      <c r="F33" s="2" t="s">
        <v>3</v>
      </c>
      <c r="G33" s="2"/>
      <c r="H33" s="2"/>
      <c r="I33" s="2" t="s">
        <v>6</v>
      </c>
      <c r="J33" s="2" t="s">
        <v>7</v>
      </c>
      <c r="K33" s="2"/>
      <c r="L33" s="2" t="s">
        <v>8</v>
      </c>
      <c r="M33" s="2"/>
      <c r="N33" s="2"/>
      <c r="O33" s="2" t="s">
        <v>25</v>
      </c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</row>
    <row r="34" spans="1:45" ht="16.5">
      <c r="A34" s="1">
        <v>34</v>
      </c>
      <c r="B34" s="1" t="s">
        <v>61</v>
      </c>
      <c r="C34" s="2" t="s">
        <v>1</v>
      </c>
      <c r="D34" s="2" t="s">
        <v>2</v>
      </c>
      <c r="E34" s="2"/>
      <c r="F34" s="2" t="s">
        <v>3</v>
      </c>
      <c r="G34" s="2"/>
      <c r="H34" s="2"/>
      <c r="I34" s="2" t="s">
        <v>6</v>
      </c>
      <c r="J34" s="2" t="s">
        <v>7</v>
      </c>
      <c r="K34" s="2"/>
      <c r="L34" s="2" t="s">
        <v>8</v>
      </c>
      <c r="M34" s="2"/>
      <c r="N34" s="2"/>
      <c r="O34" s="2" t="s">
        <v>25</v>
      </c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</row>
    <row r="35" spans="1:45" ht="16.5">
      <c r="A35" s="1">
        <v>35</v>
      </c>
      <c r="B35" s="11" t="s">
        <v>62</v>
      </c>
      <c r="C35" s="2" t="s">
        <v>1</v>
      </c>
      <c r="D35" s="2" t="s">
        <v>2</v>
      </c>
      <c r="E35" s="2"/>
      <c r="F35" s="2" t="s">
        <v>3</v>
      </c>
      <c r="G35" s="2"/>
      <c r="H35" s="2"/>
      <c r="I35" s="2" t="s">
        <v>6</v>
      </c>
      <c r="J35" s="2" t="s">
        <v>7</v>
      </c>
      <c r="K35" s="2"/>
      <c r="L35" s="2" t="s">
        <v>8</v>
      </c>
      <c r="M35" s="2"/>
      <c r="N35" s="2"/>
      <c r="O35" s="2" t="s">
        <v>25</v>
      </c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</row>
    <row r="36" spans="1:45" ht="16.5">
      <c r="A36" s="1">
        <v>36</v>
      </c>
      <c r="B36" s="11" t="s">
        <v>63</v>
      </c>
      <c r="C36" s="2" t="s">
        <v>1</v>
      </c>
      <c r="D36" s="2" t="s">
        <v>2</v>
      </c>
      <c r="E36" s="2"/>
      <c r="F36" s="2" t="s">
        <v>3</v>
      </c>
      <c r="G36" s="2"/>
      <c r="H36" s="2"/>
      <c r="I36" s="2" t="s">
        <v>6</v>
      </c>
      <c r="J36" s="2" t="s">
        <v>7</v>
      </c>
      <c r="K36" s="2"/>
      <c r="L36" s="2" t="s">
        <v>8</v>
      </c>
      <c r="M36" s="2"/>
      <c r="N36" s="2"/>
      <c r="O36" s="2" t="s">
        <v>25</v>
      </c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</row>
    <row r="37" spans="1:45" s="5" customFormat="1" ht="16.5">
      <c r="A37" s="3">
        <v>37</v>
      </c>
      <c r="B37" s="12" t="s">
        <v>64</v>
      </c>
      <c r="C37" s="4" t="s">
        <v>1</v>
      </c>
      <c r="D37" s="4" t="s">
        <v>2</v>
      </c>
      <c r="E37" s="4"/>
      <c r="F37" s="4" t="s">
        <v>3</v>
      </c>
      <c r="G37" s="4"/>
      <c r="H37" s="4"/>
      <c r="I37" s="4" t="s">
        <v>6</v>
      </c>
      <c r="J37" s="4" t="s">
        <v>7</v>
      </c>
      <c r="K37" s="4" t="s">
        <v>8</v>
      </c>
      <c r="L37" s="4"/>
      <c r="M37" s="4"/>
      <c r="N37" s="4"/>
      <c r="O37" s="4"/>
      <c r="P37" s="4" t="s">
        <v>25</v>
      </c>
      <c r="Q37" s="4" t="s">
        <v>25</v>
      </c>
      <c r="R37" s="4" t="s">
        <v>25</v>
      </c>
      <c r="S37" s="4" t="s">
        <v>25</v>
      </c>
      <c r="T37" s="4" t="s">
        <v>25</v>
      </c>
      <c r="U37" s="4" t="s">
        <v>25</v>
      </c>
      <c r="V37" s="4" t="s">
        <v>25</v>
      </c>
      <c r="W37" s="4" t="s">
        <v>25</v>
      </c>
      <c r="X37" s="4" t="s">
        <v>25</v>
      </c>
      <c r="Y37" s="4" t="s">
        <v>25</v>
      </c>
      <c r="Z37" s="4" t="s">
        <v>25</v>
      </c>
      <c r="AA37" s="4" t="s">
        <v>25</v>
      </c>
      <c r="AB37" s="4" t="s">
        <v>25</v>
      </c>
      <c r="AC37" s="4" t="s">
        <v>25</v>
      </c>
      <c r="AD37" s="4" t="s">
        <v>25</v>
      </c>
      <c r="AE37" s="4" t="s">
        <v>25</v>
      </c>
      <c r="AF37" s="4" t="s">
        <v>25</v>
      </c>
      <c r="AG37" s="4" t="s">
        <v>25</v>
      </c>
      <c r="AH37" s="4" t="s">
        <v>25</v>
      </c>
      <c r="AI37" s="4" t="s">
        <v>25</v>
      </c>
      <c r="AJ37" s="4" t="s">
        <v>25</v>
      </c>
      <c r="AK37" s="4" t="s">
        <v>25</v>
      </c>
      <c r="AL37" s="4" t="s">
        <v>25</v>
      </c>
      <c r="AM37" s="4" t="s">
        <v>25</v>
      </c>
      <c r="AN37" s="4" t="s">
        <v>25</v>
      </c>
      <c r="AO37" s="4" t="s">
        <v>25</v>
      </c>
      <c r="AP37" s="4" t="s">
        <v>25</v>
      </c>
      <c r="AQ37" s="4" t="s">
        <v>25</v>
      </c>
      <c r="AR37" s="4"/>
      <c r="AS37" s="4" t="s">
        <v>25</v>
      </c>
    </row>
    <row r="38" spans="1:45" ht="16.5">
      <c r="A38" s="1">
        <v>38</v>
      </c>
      <c r="B38" s="1" t="s">
        <v>65</v>
      </c>
      <c r="C38" s="2" t="s">
        <v>1</v>
      </c>
      <c r="D38" s="2" t="s">
        <v>2</v>
      </c>
      <c r="E38" s="2"/>
      <c r="F38" s="2" t="s">
        <v>3</v>
      </c>
      <c r="G38" s="2"/>
      <c r="H38" s="2"/>
      <c r="I38" s="2" t="s">
        <v>6</v>
      </c>
      <c r="J38" s="2" t="s">
        <v>7</v>
      </c>
      <c r="K38" s="2"/>
      <c r="L38" s="2" t="s">
        <v>8</v>
      </c>
      <c r="M38" s="2"/>
      <c r="N38" s="2"/>
      <c r="O38" s="2" t="s">
        <v>25</v>
      </c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</row>
    <row r="39" spans="1:45" ht="16.5">
      <c r="A39" s="1">
        <v>39</v>
      </c>
      <c r="B39" s="1" t="s">
        <v>66</v>
      </c>
      <c r="C39" s="2" t="s">
        <v>1</v>
      </c>
      <c r="D39" s="2" t="s">
        <v>2</v>
      </c>
      <c r="E39" s="2"/>
      <c r="F39" s="2" t="s">
        <v>3</v>
      </c>
      <c r="G39" s="2" t="s">
        <v>4</v>
      </c>
      <c r="H39" s="2"/>
      <c r="I39" s="2" t="s">
        <v>6</v>
      </c>
      <c r="J39" s="2" t="s">
        <v>7</v>
      </c>
      <c r="K39" s="2"/>
      <c r="L39" s="2" t="s">
        <v>8</v>
      </c>
      <c r="M39" s="2"/>
      <c r="N39" s="2"/>
      <c r="O39" s="2" t="s">
        <v>25</v>
      </c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</row>
    <row r="40" spans="1:45" ht="16.5">
      <c r="A40" s="1">
        <v>40</v>
      </c>
      <c r="B40" s="1" t="s">
        <v>67</v>
      </c>
      <c r="C40" s="2" t="s">
        <v>1</v>
      </c>
      <c r="D40" s="2" t="s">
        <v>2</v>
      </c>
      <c r="E40" s="2"/>
      <c r="F40" s="2" t="s">
        <v>3</v>
      </c>
      <c r="G40" s="2" t="s">
        <v>4</v>
      </c>
      <c r="H40" s="2" t="s">
        <v>5</v>
      </c>
      <c r="I40" s="2" t="s">
        <v>6</v>
      </c>
      <c r="J40" s="2" t="s">
        <v>7</v>
      </c>
      <c r="K40" s="2"/>
      <c r="L40" s="2" t="s">
        <v>8</v>
      </c>
      <c r="M40" s="2"/>
      <c r="N40" s="2"/>
      <c r="O40" s="2" t="s">
        <v>25</v>
      </c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</row>
    <row r="41" spans="1:45" s="5" customFormat="1" ht="16.5">
      <c r="A41" s="3">
        <v>41</v>
      </c>
      <c r="B41" s="3" t="s">
        <v>68</v>
      </c>
      <c r="C41" s="4" t="s">
        <v>1</v>
      </c>
      <c r="D41" s="4" t="s">
        <v>2</v>
      </c>
      <c r="E41" s="4" t="s">
        <v>27</v>
      </c>
      <c r="F41" s="4" t="s">
        <v>3</v>
      </c>
      <c r="G41" s="4"/>
      <c r="H41" s="4"/>
      <c r="I41" s="4" t="s">
        <v>6</v>
      </c>
      <c r="J41" s="4" t="s">
        <v>7</v>
      </c>
      <c r="K41" s="4" t="s">
        <v>8</v>
      </c>
      <c r="L41" s="4" t="s">
        <v>20</v>
      </c>
      <c r="M41" s="4" t="s">
        <v>21</v>
      </c>
      <c r="N41" s="4" t="s">
        <v>29</v>
      </c>
      <c r="O41" s="4"/>
      <c r="P41" s="4" t="s">
        <v>25</v>
      </c>
      <c r="Q41" s="4" t="s">
        <v>25</v>
      </c>
      <c r="R41" s="4" t="s">
        <v>25</v>
      </c>
      <c r="S41" s="4" t="s">
        <v>25</v>
      </c>
      <c r="T41" s="4" t="s">
        <v>25</v>
      </c>
      <c r="U41" s="4" t="s">
        <v>7</v>
      </c>
      <c r="V41" s="4" t="s">
        <v>7</v>
      </c>
      <c r="W41" s="4" t="s">
        <v>7</v>
      </c>
      <c r="X41" s="4" t="s">
        <v>7</v>
      </c>
      <c r="Y41" s="4" t="s">
        <v>69</v>
      </c>
      <c r="Z41" s="4"/>
      <c r="AA41" s="4" t="s">
        <v>8</v>
      </c>
      <c r="AB41" s="4" t="s">
        <v>8</v>
      </c>
      <c r="AC41" s="4" t="s">
        <v>8</v>
      </c>
      <c r="AD41" s="4" t="s">
        <v>8</v>
      </c>
      <c r="AE41" s="4" t="s">
        <v>70</v>
      </c>
      <c r="AF41" s="4" t="s">
        <v>3</v>
      </c>
      <c r="AG41" s="4" t="s">
        <v>3</v>
      </c>
      <c r="AH41" s="4" t="s">
        <v>3</v>
      </c>
      <c r="AI41" s="4" t="s">
        <v>3</v>
      </c>
      <c r="AJ41" s="4" t="s">
        <v>3</v>
      </c>
      <c r="AK41" s="4">
        <v>-3.949178894879779E-3</v>
      </c>
      <c r="AL41" s="4">
        <v>43039</v>
      </c>
      <c r="AM41" s="4">
        <v>0.33042678855875596</v>
      </c>
      <c r="AN41" s="4">
        <v>42734</v>
      </c>
      <c r="AO41" s="4"/>
      <c r="AP41" s="4">
        <v>-3.124158759089779E-3</v>
      </c>
      <c r="AQ41" s="4">
        <v>43039</v>
      </c>
      <c r="AR41" s="4">
        <v>0.26008782646896389</v>
      </c>
      <c r="AS41" s="4">
        <v>42734</v>
      </c>
    </row>
    <row r="42" spans="1:45" ht="16.5">
      <c r="A42" s="1">
        <v>42</v>
      </c>
      <c r="B42" s="1" t="s">
        <v>71</v>
      </c>
      <c r="C42" s="2" t="s">
        <v>1</v>
      </c>
      <c r="D42" s="2" t="s">
        <v>2</v>
      </c>
      <c r="E42" s="2" t="s">
        <v>27</v>
      </c>
      <c r="F42" s="2" t="s">
        <v>3</v>
      </c>
      <c r="G42" s="2"/>
      <c r="H42" s="2"/>
      <c r="I42" s="2" t="s">
        <v>6</v>
      </c>
      <c r="J42" s="2" t="s">
        <v>7</v>
      </c>
      <c r="K42" s="2"/>
      <c r="L42" s="2" t="s">
        <v>8</v>
      </c>
      <c r="M42" s="2"/>
      <c r="N42" s="2" t="s">
        <v>20</v>
      </c>
      <c r="O42" s="2" t="s">
        <v>21</v>
      </c>
      <c r="P42" s="2" t="s">
        <v>29</v>
      </c>
      <c r="Q42" s="2"/>
      <c r="R42" s="2" t="s">
        <v>25</v>
      </c>
      <c r="S42" s="2">
        <v>-4.1825916236433169E-3</v>
      </c>
      <c r="T42" s="2">
        <v>43039</v>
      </c>
      <c r="U42" s="2">
        <v>0.46975910783983088</v>
      </c>
      <c r="V42" s="2">
        <v>42734</v>
      </c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</row>
    <row r="43" spans="1:45" ht="16.5">
      <c r="A43" s="1">
        <v>43</v>
      </c>
      <c r="B43" s="1" t="s">
        <v>72</v>
      </c>
      <c r="C43" s="2" t="s">
        <v>1</v>
      </c>
      <c r="D43" s="2" t="s">
        <v>2</v>
      </c>
      <c r="E43" s="2"/>
      <c r="F43" s="2" t="s">
        <v>3</v>
      </c>
      <c r="G43" s="2"/>
      <c r="H43" s="2"/>
      <c r="I43" s="2" t="s">
        <v>6</v>
      </c>
      <c r="J43" s="2" t="s">
        <v>7</v>
      </c>
      <c r="K43" s="2"/>
      <c r="L43" s="2" t="s">
        <v>8</v>
      </c>
      <c r="M43" s="2"/>
      <c r="N43" s="2"/>
      <c r="O43" s="2" t="s">
        <v>25</v>
      </c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</row>
    <row r="44" spans="1:45" ht="16.5">
      <c r="A44" s="1">
        <v>44</v>
      </c>
      <c r="B44" s="1" t="s">
        <v>73</v>
      </c>
      <c r="C44" s="2" t="s">
        <v>1</v>
      </c>
      <c r="D44" s="2" t="s">
        <v>2</v>
      </c>
      <c r="E44" s="2"/>
      <c r="F44" s="2" t="s">
        <v>3</v>
      </c>
      <c r="G44" s="2"/>
      <c r="H44" s="2"/>
      <c r="I44" s="2" t="s">
        <v>6</v>
      </c>
      <c r="J44" s="2" t="s">
        <v>7</v>
      </c>
      <c r="K44" s="2"/>
      <c r="L44" s="2" t="s">
        <v>8</v>
      </c>
      <c r="M44" s="2"/>
      <c r="N44" s="2"/>
      <c r="O44" s="2" t="s">
        <v>25</v>
      </c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</row>
    <row r="45" spans="1:45" ht="16.5">
      <c r="A45" s="1">
        <v>45</v>
      </c>
      <c r="B45" s="1" t="s">
        <v>74</v>
      </c>
      <c r="C45" s="2" t="s">
        <v>1</v>
      </c>
      <c r="D45" s="2" t="s">
        <v>2</v>
      </c>
      <c r="E45" s="2"/>
      <c r="F45" s="2" t="s">
        <v>3</v>
      </c>
      <c r="G45" s="2"/>
      <c r="H45" s="2"/>
      <c r="I45" s="2" t="s">
        <v>6</v>
      </c>
      <c r="J45" s="2" t="s">
        <v>7</v>
      </c>
      <c r="K45" s="2"/>
      <c r="L45" s="2" t="s">
        <v>8</v>
      </c>
      <c r="M45" s="2"/>
      <c r="N45" s="2"/>
      <c r="O45" s="2" t="s">
        <v>25</v>
      </c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</row>
    <row r="46" spans="1:45" s="5" customFormat="1" ht="16.5">
      <c r="A46" s="3">
        <v>46</v>
      </c>
      <c r="B46" s="3" t="s">
        <v>75</v>
      </c>
      <c r="C46" s="4" t="s">
        <v>1</v>
      </c>
      <c r="D46" s="4" t="s">
        <v>2</v>
      </c>
      <c r="E46" s="4" t="s">
        <v>27</v>
      </c>
      <c r="F46" s="4" t="s">
        <v>3</v>
      </c>
      <c r="G46" s="4"/>
      <c r="H46" s="4"/>
      <c r="I46" s="4" t="s">
        <v>6</v>
      </c>
      <c r="J46" s="4" t="s">
        <v>7</v>
      </c>
      <c r="K46" s="4" t="s">
        <v>8</v>
      </c>
      <c r="L46" s="4" t="s">
        <v>20</v>
      </c>
      <c r="M46" s="4" t="s">
        <v>21</v>
      </c>
      <c r="N46" s="4" t="s">
        <v>29</v>
      </c>
      <c r="O46" s="4"/>
      <c r="P46" s="4" t="s">
        <v>25</v>
      </c>
      <c r="Q46" s="4" t="s">
        <v>25</v>
      </c>
      <c r="R46" s="4" t="s">
        <v>25</v>
      </c>
      <c r="S46" s="4" t="s">
        <v>25</v>
      </c>
      <c r="T46" s="4" t="s">
        <v>25</v>
      </c>
      <c r="U46" s="4" t="s">
        <v>7</v>
      </c>
      <c r="V46" s="4" t="s">
        <v>7</v>
      </c>
      <c r="W46" s="4" t="s">
        <v>7</v>
      </c>
      <c r="X46" s="4" t="s">
        <v>7</v>
      </c>
      <c r="Y46" s="4" t="s">
        <v>69</v>
      </c>
      <c r="Z46" s="4"/>
      <c r="AA46" s="4" t="s">
        <v>8</v>
      </c>
      <c r="AB46" s="4" t="s">
        <v>8</v>
      </c>
      <c r="AC46" s="4" t="s">
        <v>8</v>
      </c>
      <c r="AD46" s="4" t="s">
        <v>8</v>
      </c>
      <c r="AE46" s="4" t="s">
        <v>70</v>
      </c>
      <c r="AF46" s="4" t="s">
        <v>3</v>
      </c>
      <c r="AG46" s="4" t="s">
        <v>3</v>
      </c>
      <c r="AH46" s="4" t="s">
        <v>3</v>
      </c>
      <c r="AI46" s="4" t="s">
        <v>3</v>
      </c>
      <c r="AJ46" s="4" t="s">
        <v>3</v>
      </c>
      <c r="AK46" s="4">
        <v>-2.7939812728780544E-2</v>
      </c>
      <c r="AL46" s="4">
        <v>43039</v>
      </c>
      <c r="AM46" s="4">
        <v>6.774513263491988E-2</v>
      </c>
      <c r="AN46" s="4">
        <v>42734</v>
      </c>
      <c r="AO46" s="4"/>
      <c r="AP46" s="4">
        <v>-2.9162398750580798E-2</v>
      </c>
      <c r="AQ46" s="4">
        <v>43039</v>
      </c>
      <c r="AR46" s="4">
        <v>9.1947252823356251E-2</v>
      </c>
      <c r="AS46" s="4">
        <v>42734</v>
      </c>
    </row>
    <row r="47" spans="1:45" ht="16.5">
      <c r="A47" s="1">
        <v>47</v>
      </c>
      <c r="B47" s="1" t="s">
        <v>76</v>
      </c>
      <c r="C47" s="2" t="s">
        <v>1</v>
      </c>
      <c r="D47" s="2" t="s">
        <v>2</v>
      </c>
      <c r="E47" s="2" t="s">
        <v>27</v>
      </c>
      <c r="F47" s="2" t="s">
        <v>3</v>
      </c>
      <c r="G47" s="2"/>
      <c r="H47" s="2"/>
      <c r="I47" s="2" t="s">
        <v>6</v>
      </c>
      <c r="J47" s="2" t="s">
        <v>7</v>
      </c>
      <c r="K47" s="2"/>
      <c r="L47" s="2" t="s">
        <v>8</v>
      </c>
      <c r="M47" s="2"/>
      <c r="N47" s="2" t="s">
        <v>20</v>
      </c>
      <c r="O47" s="2" t="s">
        <v>21</v>
      </c>
      <c r="P47" s="2" t="s">
        <v>29</v>
      </c>
      <c r="Q47" s="2"/>
      <c r="R47" s="2" t="s">
        <v>25</v>
      </c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</row>
    <row r="48" spans="1:45" ht="16.5">
      <c r="A48" s="1">
        <v>48</v>
      </c>
      <c r="B48" s="1" t="s">
        <v>77</v>
      </c>
      <c r="C48" s="2" t="s">
        <v>1</v>
      </c>
      <c r="D48" s="2" t="s">
        <v>2</v>
      </c>
      <c r="E48" s="2"/>
      <c r="F48" s="2" t="s">
        <v>3</v>
      </c>
      <c r="G48" s="2"/>
      <c r="H48" s="2"/>
      <c r="I48" s="2" t="s">
        <v>6</v>
      </c>
      <c r="J48" s="2" t="s">
        <v>7</v>
      </c>
      <c r="K48" s="2"/>
      <c r="L48" s="2" t="s">
        <v>8</v>
      </c>
      <c r="M48" s="2"/>
      <c r="N48" s="2"/>
      <c r="O48" s="2" t="s">
        <v>25</v>
      </c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</row>
    <row r="49" spans="1:45" ht="16.5">
      <c r="A49" s="1">
        <v>49</v>
      </c>
      <c r="B49" s="1" t="s">
        <v>78</v>
      </c>
      <c r="C49" s="2" t="s">
        <v>1</v>
      </c>
      <c r="D49" s="2" t="s">
        <v>2</v>
      </c>
      <c r="E49" s="2"/>
      <c r="F49" s="2" t="s">
        <v>3</v>
      </c>
      <c r="G49" s="2" t="s">
        <v>4</v>
      </c>
      <c r="H49" s="2"/>
      <c r="I49" s="2" t="s">
        <v>24</v>
      </c>
      <c r="J49" s="2"/>
      <c r="K49" s="2"/>
      <c r="L49" s="2"/>
      <c r="M49" s="2"/>
      <c r="N49" s="2" t="s">
        <v>7</v>
      </c>
      <c r="O49" s="2" t="s">
        <v>8</v>
      </c>
      <c r="P49" s="2" t="s">
        <v>25</v>
      </c>
      <c r="Q49" s="2"/>
      <c r="R49" s="2" t="s">
        <v>10</v>
      </c>
      <c r="S49" s="2" t="s">
        <v>11</v>
      </c>
      <c r="T49" s="2" t="s">
        <v>12</v>
      </c>
      <c r="U49" s="2" t="s">
        <v>13</v>
      </c>
      <c r="V49" s="2"/>
      <c r="W49" s="2" t="s">
        <v>14</v>
      </c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</row>
    <row r="50" spans="1:45" ht="16.5">
      <c r="A50" s="1">
        <v>50</v>
      </c>
      <c r="B50" s="1" t="s">
        <v>79</v>
      </c>
      <c r="C50" s="2" t="s">
        <v>1</v>
      </c>
      <c r="D50" s="2" t="s">
        <v>2</v>
      </c>
      <c r="E50" s="2"/>
      <c r="F50" s="2" t="s">
        <v>3</v>
      </c>
      <c r="G50" s="2"/>
      <c r="H50" s="2"/>
      <c r="I50" s="2"/>
      <c r="J50" s="2"/>
      <c r="K50" s="2" t="s">
        <v>7</v>
      </c>
      <c r="L50" s="2" t="s">
        <v>8</v>
      </c>
      <c r="M50" s="2" t="s">
        <v>25</v>
      </c>
      <c r="N50" s="2"/>
      <c r="O50" s="2"/>
      <c r="P50" s="2" t="s">
        <v>80</v>
      </c>
      <c r="Q50" s="2" t="s">
        <v>10</v>
      </c>
      <c r="R50" s="2" t="s">
        <v>11</v>
      </c>
      <c r="S50" s="2" t="s">
        <v>81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</row>
    <row r="51" spans="1:45" ht="16.5">
      <c r="A51" s="1">
        <v>51</v>
      </c>
      <c r="B51" s="1" t="s">
        <v>82</v>
      </c>
      <c r="C51" s="2" t="s">
        <v>1</v>
      </c>
      <c r="D51" s="2" t="s">
        <v>2</v>
      </c>
      <c r="E51" s="2"/>
      <c r="F51" s="2" t="s">
        <v>3</v>
      </c>
      <c r="G51" s="2"/>
      <c r="H51" s="2"/>
      <c r="I51" s="2"/>
      <c r="J51" s="2"/>
      <c r="K51" s="2" t="s">
        <v>7</v>
      </c>
      <c r="L51" s="2" t="s">
        <v>8</v>
      </c>
      <c r="M51" s="2" t="s">
        <v>25</v>
      </c>
      <c r="N51" s="2"/>
      <c r="O51" s="2"/>
      <c r="P51" s="2" t="s">
        <v>80</v>
      </c>
      <c r="Q51" s="2" t="s">
        <v>10</v>
      </c>
      <c r="R51" s="2" t="s">
        <v>11</v>
      </c>
      <c r="S51" s="2" t="s">
        <v>81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</row>
    <row r="52" spans="1:45" ht="16.5">
      <c r="A52" s="1">
        <v>52</v>
      </c>
      <c r="B52" s="1" t="s">
        <v>83</v>
      </c>
      <c r="C52" s="2" t="s">
        <v>1</v>
      </c>
      <c r="D52" s="2" t="s">
        <v>2</v>
      </c>
      <c r="E52" s="2"/>
      <c r="F52" s="2" t="s">
        <v>3</v>
      </c>
      <c r="G52" s="2"/>
      <c r="H52" s="2"/>
      <c r="I52" s="2"/>
      <c r="J52" s="2"/>
      <c r="K52" s="2" t="s">
        <v>7</v>
      </c>
      <c r="L52" s="2" t="s">
        <v>8</v>
      </c>
      <c r="M52" s="2" t="s">
        <v>25</v>
      </c>
      <c r="N52" s="2"/>
      <c r="O52" s="2"/>
      <c r="P52" s="2"/>
      <c r="Q52" s="2" t="s">
        <v>10</v>
      </c>
      <c r="R52" s="2" t="s">
        <v>11</v>
      </c>
      <c r="S52" s="2" t="s">
        <v>81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</row>
    <row r="53" spans="1:45" ht="16.5">
      <c r="A53" s="1">
        <v>53</v>
      </c>
      <c r="B53" s="1" t="s">
        <v>84</v>
      </c>
      <c r="C53" s="2" t="s">
        <v>1</v>
      </c>
      <c r="D53" s="2" t="s">
        <v>2</v>
      </c>
      <c r="E53" s="2"/>
      <c r="F53" s="2" t="s">
        <v>3</v>
      </c>
      <c r="G53" s="2"/>
      <c r="H53" s="2" t="s">
        <v>85</v>
      </c>
      <c r="I53" s="2" t="s">
        <v>86</v>
      </c>
      <c r="J53" s="2"/>
      <c r="K53" s="2"/>
      <c r="L53" s="2"/>
      <c r="M53" s="2"/>
      <c r="N53" s="2"/>
      <c r="O53" s="2"/>
      <c r="P53" s="2"/>
      <c r="Q53" s="2"/>
      <c r="R53" s="2" t="s">
        <v>25</v>
      </c>
      <c r="S53" s="2"/>
      <c r="T53" s="2"/>
      <c r="U53" s="2"/>
      <c r="V53" s="2" t="s">
        <v>10</v>
      </c>
      <c r="W53" s="2" t="s">
        <v>11</v>
      </c>
      <c r="X53" s="2" t="s">
        <v>87</v>
      </c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</row>
    <row r="54" spans="1:45" ht="16.5">
      <c r="A54" s="1">
        <v>54</v>
      </c>
      <c r="B54" s="1" t="s">
        <v>88</v>
      </c>
      <c r="C54" s="2" t="s">
        <v>1</v>
      </c>
      <c r="D54" s="2" t="s">
        <v>2</v>
      </c>
      <c r="E54" s="2"/>
      <c r="F54" s="2" t="s">
        <v>3</v>
      </c>
      <c r="G54" s="2"/>
      <c r="H54" s="2"/>
      <c r="I54" s="2"/>
      <c r="J54" s="2"/>
      <c r="K54" s="2" t="s">
        <v>7</v>
      </c>
      <c r="L54" s="2" t="s">
        <v>8</v>
      </c>
      <c r="M54" s="2" t="s">
        <v>25</v>
      </c>
      <c r="N54" s="2"/>
      <c r="O54" s="2"/>
      <c r="P54" s="2"/>
      <c r="Q54" s="2" t="s">
        <v>10</v>
      </c>
      <c r="R54" s="2" t="s">
        <v>11</v>
      </c>
      <c r="S54" s="2" t="s">
        <v>81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</row>
    <row r="55" spans="1:45" ht="16.5">
      <c r="A55" s="1">
        <v>55</v>
      </c>
      <c r="B55" s="1" t="s">
        <v>89</v>
      </c>
      <c r="C55" s="2" t="s">
        <v>1</v>
      </c>
      <c r="D55" s="2" t="s">
        <v>2</v>
      </c>
      <c r="E55" s="2"/>
      <c r="F55" s="2" t="s">
        <v>3</v>
      </c>
      <c r="G55" s="2"/>
      <c r="H55" s="2"/>
      <c r="I55" s="2"/>
      <c r="J55" s="2"/>
      <c r="K55" s="2" t="s">
        <v>7</v>
      </c>
      <c r="L55" s="2" t="s">
        <v>8</v>
      </c>
      <c r="M55" s="2" t="s">
        <v>25</v>
      </c>
      <c r="N55" s="2"/>
      <c r="O55" s="2"/>
      <c r="P55" s="2"/>
      <c r="Q55" s="2" t="s">
        <v>10</v>
      </c>
      <c r="R55" s="2" t="s">
        <v>11</v>
      </c>
      <c r="S55" s="2" t="s">
        <v>81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</row>
    <row r="56" spans="1:45" ht="16.5">
      <c r="A56" s="1">
        <v>56</v>
      </c>
      <c r="B56" s="1" t="s">
        <v>90</v>
      </c>
      <c r="C56" s="2" t="s">
        <v>1</v>
      </c>
      <c r="D56" s="2" t="s">
        <v>2</v>
      </c>
      <c r="E56" s="2"/>
      <c r="F56" s="2" t="s">
        <v>3</v>
      </c>
      <c r="G56" s="2"/>
      <c r="H56" s="2"/>
      <c r="I56" s="2"/>
      <c r="J56" s="2"/>
      <c r="K56" s="2" t="s">
        <v>7</v>
      </c>
      <c r="L56" s="2" t="s">
        <v>8</v>
      </c>
      <c r="M56" s="2" t="s">
        <v>25</v>
      </c>
      <c r="N56" s="2"/>
      <c r="O56" s="2"/>
      <c r="P56" s="2"/>
      <c r="Q56" s="2" t="s">
        <v>10</v>
      </c>
      <c r="R56" s="2" t="s">
        <v>11</v>
      </c>
      <c r="S56" s="2" t="s">
        <v>81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</row>
    <row r="57" spans="1:45" ht="16.5">
      <c r="A57" s="1">
        <v>57</v>
      </c>
      <c r="B57" s="1" t="s">
        <v>91</v>
      </c>
      <c r="C57" s="2" t="s">
        <v>1</v>
      </c>
      <c r="D57" s="2" t="s">
        <v>2</v>
      </c>
      <c r="E57" s="2"/>
      <c r="F57" s="2" t="s">
        <v>3</v>
      </c>
      <c r="G57" s="2"/>
      <c r="H57" s="2"/>
      <c r="I57" s="2"/>
      <c r="J57" s="2"/>
      <c r="K57" s="2" t="s">
        <v>7</v>
      </c>
      <c r="L57" s="2" t="s">
        <v>8</v>
      </c>
      <c r="M57" s="2" t="s">
        <v>25</v>
      </c>
      <c r="N57" s="2"/>
      <c r="O57" s="2"/>
      <c r="P57" s="2"/>
      <c r="Q57" s="2" t="s">
        <v>10</v>
      </c>
      <c r="R57" s="2" t="s">
        <v>11</v>
      </c>
      <c r="S57" s="2" t="s">
        <v>81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</row>
    <row r="58" spans="1:45" ht="16.5">
      <c r="A58" s="1">
        <v>58</v>
      </c>
      <c r="B58" s="1" t="s">
        <v>92</v>
      </c>
      <c r="C58" s="2" t="s">
        <v>1</v>
      </c>
      <c r="D58" s="2" t="s">
        <v>2</v>
      </c>
      <c r="E58" s="2"/>
      <c r="F58" s="2" t="s">
        <v>3</v>
      </c>
      <c r="G58" s="2"/>
      <c r="H58" s="2"/>
      <c r="I58" s="2"/>
      <c r="J58" s="2"/>
      <c r="K58" s="2" t="s">
        <v>7</v>
      </c>
      <c r="L58" s="2" t="s">
        <v>8</v>
      </c>
      <c r="M58" s="2" t="s">
        <v>25</v>
      </c>
      <c r="N58" s="2"/>
      <c r="O58" s="2"/>
      <c r="P58" s="2"/>
      <c r="Q58" s="2" t="s">
        <v>10</v>
      </c>
      <c r="R58" s="2" t="s">
        <v>11</v>
      </c>
      <c r="S58" s="2" t="s">
        <v>81</v>
      </c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</row>
    <row r="59" spans="1:45" ht="16.5">
      <c r="A59" s="1">
        <v>59</v>
      </c>
      <c r="B59" s="1" t="s">
        <v>93</v>
      </c>
      <c r="C59" s="2" t="s">
        <v>1</v>
      </c>
      <c r="D59" s="2" t="s">
        <v>2</v>
      </c>
      <c r="E59" s="2"/>
      <c r="F59" s="2" t="s">
        <v>3</v>
      </c>
      <c r="G59" s="2"/>
      <c r="H59" s="2"/>
      <c r="I59" s="2"/>
      <c r="J59" s="2"/>
      <c r="K59" s="2" t="s">
        <v>7</v>
      </c>
      <c r="L59" s="2" t="s">
        <v>8</v>
      </c>
      <c r="M59" s="2" t="s">
        <v>25</v>
      </c>
      <c r="N59" s="2"/>
      <c r="O59" s="2"/>
      <c r="P59" s="2"/>
      <c r="Q59" s="2" t="s">
        <v>10</v>
      </c>
      <c r="R59" s="2" t="s">
        <v>11</v>
      </c>
      <c r="S59" s="2" t="s">
        <v>81</v>
      </c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</row>
    <row r="60" spans="1:45" ht="16.5">
      <c r="A60" s="1">
        <v>60</v>
      </c>
      <c r="B60" s="1" t="s">
        <v>94</v>
      </c>
      <c r="C60" s="2" t="s">
        <v>1</v>
      </c>
      <c r="D60" s="2" t="s">
        <v>2</v>
      </c>
      <c r="E60" s="2"/>
      <c r="F60" s="2" t="s">
        <v>3</v>
      </c>
      <c r="G60" s="2"/>
      <c r="H60" s="2"/>
      <c r="I60" s="2"/>
      <c r="J60" s="2"/>
      <c r="K60" s="2" t="s">
        <v>7</v>
      </c>
      <c r="L60" s="2" t="s">
        <v>8</v>
      </c>
      <c r="M60" s="2" t="s">
        <v>25</v>
      </c>
      <c r="N60" s="2"/>
      <c r="O60" s="2"/>
      <c r="P60" s="2"/>
      <c r="Q60" s="2" t="s">
        <v>10</v>
      </c>
      <c r="R60" s="2" t="s">
        <v>11</v>
      </c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</row>
    <row r="61" spans="1:45" ht="16.5">
      <c r="A61" s="1">
        <v>61</v>
      </c>
      <c r="B61" s="1" t="s">
        <v>95</v>
      </c>
      <c r="C61" s="2" t="s">
        <v>1</v>
      </c>
      <c r="D61" s="2" t="s">
        <v>2</v>
      </c>
      <c r="E61" s="2"/>
      <c r="F61" s="2" t="s">
        <v>3</v>
      </c>
      <c r="G61" s="2"/>
      <c r="H61" s="2"/>
      <c r="I61" s="2"/>
      <c r="J61" s="2"/>
      <c r="K61" s="2" t="s">
        <v>7</v>
      </c>
      <c r="L61" s="2" t="s">
        <v>8</v>
      </c>
      <c r="M61" s="2" t="s">
        <v>25</v>
      </c>
      <c r="N61" s="2"/>
      <c r="O61" s="2"/>
      <c r="P61" s="2"/>
      <c r="Q61" s="2" t="s">
        <v>10</v>
      </c>
      <c r="R61" s="2" t="s">
        <v>11</v>
      </c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</row>
    <row r="62" spans="1:45" ht="16.5">
      <c r="A62" s="1">
        <v>62</v>
      </c>
      <c r="B62" s="1" t="s">
        <v>96</v>
      </c>
      <c r="C62" s="2" t="s">
        <v>1</v>
      </c>
      <c r="D62" s="2" t="s">
        <v>2</v>
      </c>
      <c r="E62" s="2"/>
      <c r="F62" s="2" t="s">
        <v>3</v>
      </c>
      <c r="G62" s="2" t="s">
        <v>4</v>
      </c>
      <c r="H62" s="2"/>
      <c r="I62" s="2" t="s">
        <v>24</v>
      </c>
      <c r="J62" s="2"/>
      <c r="K62" s="2"/>
      <c r="L62" s="2"/>
      <c r="M62" s="2"/>
      <c r="N62" s="2" t="s">
        <v>7</v>
      </c>
      <c r="O62" s="2" t="s">
        <v>8</v>
      </c>
      <c r="P62" s="2" t="s">
        <v>25</v>
      </c>
      <c r="Q62" s="2"/>
      <c r="R62" s="2" t="s">
        <v>10</v>
      </c>
      <c r="S62" s="2" t="s">
        <v>11</v>
      </c>
      <c r="T62" s="2" t="s">
        <v>12</v>
      </c>
      <c r="U62" s="2" t="s">
        <v>13</v>
      </c>
      <c r="V62" s="2"/>
      <c r="W62" s="2" t="s">
        <v>14</v>
      </c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176"/>
  <sheetViews>
    <sheetView topLeftCell="A61" zoomScaleNormal="100" workbookViewId="0">
      <selection activeCell="B85" sqref="B85"/>
    </sheetView>
  </sheetViews>
  <sheetFormatPr defaultRowHeight="15" outlineLevelCol="1"/>
  <cols>
    <col min="2" max="2" width="11.5703125" bestFit="1" customWidth="1"/>
    <col min="3" max="4" width="9.42578125" customWidth="1"/>
    <col min="6" max="6" width="24.7109375" customWidth="1"/>
    <col min="7" max="7" width="16.28515625" hidden="1" customWidth="1" outlineLevel="1"/>
    <col min="8" max="15" width="13.85546875" hidden="1" customWidth="1" outlineLevel="1"/>
    <col min="16" max="16" width="12.7109375" customWidth="1" collapsed="1"/>
    <col min="17" max="17" width="13.7109375" customWidth="1"/>
    <col min="18" max="22" width="9.42578125" customWidth="1"/>
    <col min="23" max="25" width="10.42578125" customWidth="1"/>
    <col min="26" max="34" width="9.42578125" customWidth="1"/>
    <col min="35" max="37" width="10.42578125" customWidth="1"/>
    <col min="38" max="46" width="9.42578125" customWidth="1"/>
    <col min="47" max="49" width="10.42578125" customWidth="1"/>
    <col min="50" max="58" width="9.42578125" customWidth="1"/>
    <col min="59" max="61" width="10.42578125" customWidth="1"/>
    <col min="62" max="70" width="9.42578125" customWidth="1"/>
    <col min="71" max="73" width="10.42578125" customWidth="1"/>
    <col min="74" max="82" width="9.42578125" customWidth="1"/>
    <col min="83" max="85" width="10.42578125" customWidth="1"/>
    <col min="86" max="94" width="9.42578125" customWidth="1"/>
    <col min="95" max="97" width="10.42578125" customWidth="1"/>
    <col min="98" max="106" width="9.42578125" customWidth="1"/>
    <col min="107" max="109" width="10.42578125" customWidth="1"/>
    <col min="110" max="118" width="9.42578125" customWidth="1"/>
    <col min="119" max="119" width="10.42578125" bestFit="1" customWidth="1"/>
    <col min="120" max="121" width="10.42578125" customWidth="1"/>
    <col min="122" max="130" width="9.42578125" customWidth="1"/>
    <col min="131" max="133" width="10.42578125" customWidth="1"/>
    <col min="134" max="138" width="9.42578125" customWidth="1"/>
    <col min="139" max="139" width="9.42578125" bestFit="1" customWidth="1"/>
    <col min="140" max="142" width="9.42578125" customWidth="1"/>
    <col min="143" max="145" width="10.42578125" customWidth="1"/>
    <col min="146" max="147" width="9.42578125" customWidth="1"/>
    <col min="148" max="148" width="9.42578125" bestFit="1" customWidth="1"/>
    <col min="149" max="154" width="9.42578125" customWidth="1"/>
    <col min="155" max="156" width="10.42578125" customWidth="1"/>
    <col min="157" max="157" width="10.42578125" bestFit="1" customWidth="1"/>
    <col min="158" max="166" width="9.42578125" customWidth="1"/>
    <col min="167" max="169" width="10.42578125" bestFit="1" customWidth="1"/>
    <col min="170" max="178" width="9.42578125" customWidth="1"/>
    <col min="179" max="180" width="10.42578125" customWidth="1"/>
    <col min="181" max="181" width="10.42578125" bestFit="1" customWidth="1"/>
    <col min="182" max="190" width="9.42578125" customWidth="1"/>
    <col min="191" max="193" width="10.42578125" customWidth="1"/>
    <col min="194" max="202" width="9.42578125" customWidth="1"/>
    <col min="203" max="203" width="10.42578125" customWidth="1"/>
    <col min="204" max="204" width="6.7109375" customWidth="1"/>
    <col min="205" max="205" width="10.7109375" customWidth="1"/>
    <col min="206" max="206" width="8.28515625" customWidth="1"/>
    <col min="207" max="207" width="11.85546875" bestFit="1" customWidth="1"/>
    <col min="208" max="208" width="10.7109375" bestFit="1" customWidth="1"/>
    <col min="209" max="214" width="10.42578125" bestFit="1" customWidth="1"/>
    <col min="216" max="223" width="10.42578125" bestFit="1" customWidth="1"/>
    <col min="224" max="224" width="8.85546875" bestFit="1" customWidth="1"/>
    <col min="225" max="232" width="10.42578125" bestFit="1" customWidth="1"/>
    <col min="233" max="233" width="9.85546875" bestFit="1" customWidth="1"/>
    <col min="234" max="236" width="9.42578125" bestFit="1" customWidth="1"/>
    <col min="237" max="237" width="9.85546875" bestFit="1" customWidth="1"/>
    <col min="238" max="245" width="10.42578125" bestFit="1" customWidth="1"/>
    <col min="246" max="246" width="11.140625" bestFit="1" customWidth="1"/>
    <col min="247" max="254" width="10.42578125" bestFit="1" customWidth="1"/>
    <col min="255" max="255" width="11.140625" bestFit="1" customWidth="1"/>
    <col min="256" max="263" width="10.42578125" bestFit="1" customWidth="1"/>
    <col min="264" max="264" width="10" bestFit="1" customWidth="1"/>
    <col min="265" max="272" width="10.42578125" bestFit="1" customWidth="1"/>
    <col min="273" max="273" width="8.85546875" bestFit="1" customWidth="1"/>
    <col min="274" max="281" width="10.42578125" bestFit="1" customWidth="1"/>
    <col min="282" max="282" width="7.7109375" customWidth="1"/>
    <col min="283" max="290" width="10.42578125" bestFit="1" customWidth="1"/>
    <col min="291" max="291" width="12.140625" bestFit="1" customWidth="1"/>
    <col min="292" max="299" width="10.42578125" bestFit="1" customWidth="1"/>
    <col min="300" max="300" width="8.5703125" customWidth="1"/>
    <col min="301" max="308" width="10.42578125" bestFit="1" customWidth="1"/>
    <col min="309" max="309" width="7.7109375" customWidth="1"/>
    <col min="310" max="317" width="10.42578125" bestFit="1" customWidth="1"/>
    <col min="318" max="318" width="12.140625" bestFit="1" customWidth="1"/>
    <col min="319" max="326" width="10.42578125" bestFit="1" customWidth="1"/>
    <col min="327" max="327" width="8.5703125" customWidth="1"/>
    <col min="328" max="335" width="10.42578125" bestFit="1" customWidth="1"/>
    <col min="336" max="336" width="7.7109375" customWidth="1"/>
    <col min="337" max="344" width="10.42578125" bestFit="1" customWidth="1"/>
    <col min="345" max="345" width="12.140625" bestFit="1" customWidth="1"/>
    <col min="346" max="353" width="10.42578125" bestFit="1" customWidth="1"/>
    <col min="354" max="354" width="8.5703125" customWidth="1"/>
    <col min="355" max="362" width="10.42578125" bestFit="1" customWidth="1"/>
    <col min="363" max="363" width="7.7109375" customWidth="1"/>
    <col min="364" max="371" width="10.42578125" bestFit="1" customWidth="1"/>
    <col min="372" max="372" width="12.140625" bestFit="1" customWidth="1"/>
    <col min="373" max="380" width="10.42578125" bestFit="1" customWidth="1"/>
    <col min="381" max="381" width="8.5703125" customWidth="1"/>
    <col min="382" max="389" width="11.42578125" bestFit="1" customWidth="1"/>
    <col min="390" max="390" width="8.85546875" bestFit="1" customWidth="1"/>
    <col min="391" max="398" width="10.42578125" bestFit="1" customWidth="1"/>
    <col min="399" max="399" width="8.85546875" bestFit="1" customWidth="1"/>
    <col min="400" max="407" width="10.42578125" bestFit="1" customWidth="1"/>
    <col min="408" max="408" width="8.85546875" bestFit="1" customWidth="1"/>
    <col min="409" max="416" width="10.42578125" bestFit="1" customWidth="1"/>
    <col min="417" max="417" width="8.85546875" bestFit="1" customWidth="1"/>
    <col min="418" max="425" width="10.42578125" bestFit="1" customWidth="1"/>
    <col min="426" max="426" width="9.140625" bestFit="1" customWidth="1"/>
    <col min="427" max="434" width="10.42578125" bestFit="1" customWidth="1"/>
    <col min="435" max="435" width="11.42578125" bestFit="1" customWidth="1"/>
    <col min="436" max="443" width="10.42578125" bestFit="1" customWidth="1"/>
    <col min="444" max="444" width="11.5703125" bestFit="1" customWidth="1"/>
    <col min="445" max="451" width="9.42578125" bestFit="1" customWidth="1"/>
    <col min="452" max="452" width="11.140625" bestFit="1" customWidth="1"/>
    <col min="453" max="460" width="10.85546875" bestFit="1" customWidth="1"/>
    <col min="461" max="461" width="13.85546875" bestFit="1" customWidth="1"/>
    <col min="462" max="469" width="10.42578125" bestFit="1" customWidth="1"/>
    <col min="470" max="470" width="12.5703125" bestFit="1" customWidth="1"/>
    <col min="471" max="478" width="10.42578125" bestFit="1" customWidth="1"/>
    <col min="479" max="479" width="8.85546875" bestFit="1" customWidth="1"/>
    <col min="480" max="487" width="10.42578125" bestFit="1" customWidth="1"/>
    <col min="488" max="488" width="11.5703125" bestFit="1" customWidth="1"/>
    <col min="489" max="496" width="10.42578125" bestFit="1" customWidth="1"/>
    <col min="497" max="497" width="11.42578125" bestFit="1" customWidth="1"/>
    <col min="498" max="505" width="10.42578125" bestFit="1" customWidth="1"/>
    <col min="506" max="506" width="11.5703125" bestFit="1" customWidth="1"/>
    <col min="507" max="514" width="10.42578125" bestFit="1" customWidth="1"/>
    <col min="515" max="515" width="11.85546875" bestFit="1" customWidth="1"/>
    <col min="516" max="523" width="10.42578125" bestFit="1" customWidth="1"/>
    <col min="524" max="524" width="9.140625" bestFit="1" customWidth="1"/>
    <col min="525" max="532" width="10.42578125" bestFit="1" customWidth="1"/>
    <col min="533" max="533" width="11.42578125" bestFit="1" customWidth="1"/>
    <col min="534" max="541" width="10.42578125" bestFit="1" customWidth="1"/>
    <col min="542" max="542" width="11.5703125" bestFit="1" customWidth="1"/>
    <col min="543" max="549" width="9.42578125" bestFit="1" customWidth="1"/>
    <col min="550" max="550" width="11.140625" bestFit="1" customWidth="1"/>
    <col min="551" max="558" width="10.85546875" bestFit="1" customWidth="1"/>
    <col min="559" max="559" width="13.85546875" bestFit="1" customWidth="1"/>
    <col min="560" max="567" width="10.42578125" bestFit="1" customWidth="1"/>
    <col min="568" max="568" width="12.5703125" bestFit="1" customWidth="1"/>
    <col min="569" max="576" width="10.42578125" bestFit="1" customWidth="1"/>
    <col min="577" max="577" width="8.85546875" bestFit="1" customWidth="1"/>
    <col min="578" max="585" width="10.42578125" bestFit="1" customWidth="1"/>
    <col min="586" max="586" width="11.5703125" bestFit="1" customWidth="1"/>
    <col min="587" max="594" width="10.42578125" bestFit="1" customWidth="1"/>
    <col min="595" max="595" width="11.42578125" bestFit="1" customWidth="1"/>
    <col min="596" max="603" width="10.42578125" bestFit="1" customWidth="1"/>
    <col min="604" max="604" width="11.5703125" bestFit="1" customWidth="1"/>
    <col min="605" max="612" width="10.42578125" bestFit="1" customWidth="1"/>
    <col min="613" max="613" width="11.85546875" bestFit="1" customWidth="1"/>
    <col min="614" max="621" width="10.42578125" bestFit="1" customWidth="1"/>
    <col min="622" max="622" width="9.140625" bestFit="1" customWidth="1"/>
    <col min="623" max="630" width="10.42578125" bestFit="1" customWidth="1"/>
    <col min="631" max="631" width="11.42578125" bestFit="1" customWidth="1"/>
    <col min="632" max="639" width="10.42578125" bestFit="1" customWidth="1"/>
    <col min="640" max="640" width="11.5703125" bestFit="1" customWidth="1"/>
    <col min="641" max="647" width="9.42578125" bestFit="1" customWidth="1"/>
    <col min="648" max="648" width="11.140625" bestFit="1" customWidth="1"/>
    <col min="649" max="656" width="10.85546875" bestFit="1" customWidth="1"/>
    <col min="657" max="657" width="13.85546875" bestFit="1" customWidth="1"/>
    <col min="658" max="665" width="10.42578125" bestFit="1" customWidth="1"/>
    <col min="666" max="666" width="12.5703125" bestFit="1" customWidth="1"/>
    <col min="667" max="674" width="10.42578125" bestFit="1" customWidth="1"/>
    <col min="675" max="675" width="8.85546875" bestFit="1" customWidth="1"/>
    <col min="676" max="683" width="10.42578125" bestFit="1" customWidth="1"/>
    <col min="684" max="684" width="11.5703125" bestFit="1" customWidth="1"/>
    <col min="685" max="692" width="10.42578125" bestFit="1" customWidth="1"/>
    <col min="693" max="693" width="11.42578125" bestFit="1" customWidth="1"/>
    <col min="694" max="701" width="10.42578125" bestFit="1" customWidth="1"/>
    <col min="702" max="702" width="11.5703125" bestFit="1" customWidth="1"/>
    <col min="703" max="710" width="10.42578125" bestFit="1" customWidth="1"/>
    <col min="711" max="711" width="11.85546875" bestFit="1" customWidth="1"/>
    <col min="712" max="719" width="10.42578125" bestFit="1" customWidth="1"/>
    <col min="720" max="720" width="9.140625" bestFit="1" customWidth="1"/>
    <col min="721" max="728" width="10.42578125" bestFit="1" customWidth="1"/>
    <col min="729" max="729" width="11.42578125" bestFit="1" customWidth="1"/>
    <col min="730" max="737" width="10.42578125" bestFit="1" customWidth="1"/>
    <col min="738" max="738" width="11.5703125" bestFit="1" customWidth="1"/>
    <col min="739" max="745" width="9.42578125" bestFit="1" customWidth="1"/>
    <col min="746" max="746" width="11.140625" bestFit="1" customWidth="1"/>
    <col min="747" max="754" width="10.85546875" bestFit="1" customWidth="1"/>
    <col min="755" max="755" width="13.85546875" bestFit="1" customWidth="1"/>
    <col min="756" max="763" width="10.42578125" bestFit="1" customWidth="1"/>
    <col min="764" max="764" width="12.5703125" bestFit="1" customWidth="1"/>
    <col min="765" max="772" width="10.42578125" bestFit="1" customWidth="1"/>
    <col min="773" max="773" width="8.85546875" bestFit="1" customWidth="1"/>
    <col min="774" max="781" width="10.42578125" bestFit="1" customWidth="1"/>
    <col min="782" max="782" width="11.5703125" bestFit="1" customWidth="1"/>
    <col min="783" max="790" width="10.42578125" bestFit="1" customWidth="1"/>
    <col min="791" max="791" width="11.42578125" bestFit="1" customWidth="1"/>
    <col min="792" max="799" width="10.42578125" bestFit="1" customWidth="1"/>
    <col min="800" max="800" width="11.5703125" bestFit="1" customWidth="1"/>
    <col min="801" max="808" width="10.42578125" bestFit="1" customWidth="1"/>
    <col min="809" max="809" width="11.85546875" bestFit="1" customWidth="1"/>
    <col min="810" max="810" width="24.85546875" bestFit="1" customWidth="1"/>
    <col min="811" max="811" width="21.140625" bestFit="1" customWidth="1"/>
    <col min="812" max="812" width="24.28515625" bestFit="1" customWidth="1"/>
    <col min="813" max="813" width="20.42578125" bestFit="1" customWidth="1"/>
  </cols>
  <sheetData>
    <row r="1" spans="1:17">
      <c r="A1" s="5" t="s">
        <v>113</v>
      </c>
      <c r="B1" s="5" t="s">
        <v>295</v>
      </c>
      <c r="C1" s="5" t="s">
        <v>10</v>
      </c>
    </row>
    <row r="2" spans="1:17">
      <c r="A2" s="24" t="s">
        <v>393</v>
      </c>
      <c r="B2" t="s">
        <v>288</v>
      </c>
    </row>
    <row r="3" spans="1:17">
      <c r="A3" s="24" t="s">
        <v>95</v>
      </c>
      <c r="B3" t="s">
        <v>288</v>
      </c>
      <c r="G3" s="13" t="s">
        <v>183</v>
      </c>
    </row>
    <row r="4" spans="1:17">
      <c r="A4" s="24" t="s">
        <v>0</v>
      </c>
      <c r="B4" t="s">
        <v>286</v>
      </c>
      <c r="F4" s="336" t="s">
        <v>102</v>
      </c>
      <c r="G4" s="356">
        <v>43131</v>
      </c>
      <c r="H4" s="356">
        <v>43159</v>
      </c>
      <c r="I4" s="356">
        <v>43190</v>
      </c>
      <c r="J4" s="356">
        <v>43220</v>
      </c>
      <c r="K4" s="356">
        <v>43251</v>
      </c>
      <c r="L4" s="356">
        <v>43281</v>
      </c>
      <c r="M4" s="356">
        <v>43312</v>
      </c>
      <c r="N4" s="356">
        <v>43343</v>
      </c>
      <c r="O4" s="356">
        <v>43373</v>
      </c>
      <c r="P4" s="356">
        <v>43404</v>
      </c>
      <c r="Q4" t="s">
        <v>182</v>
      </c>
    </row>
    <row r="5" spans="1:17">
      <c r="A5" s="24" t="s">
        <v>96</v>
      </c>
      <c r="B5" t="s">
        <v>287</v>
      </c>
      <c r="F5" s="24" t="s">
        <v>184</v>
      </c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</row>
    <row r="6" spans="1:17">
      <c r="A6" s="24" t="s">
        <v>83</v>
      </c>
      <c r="B6" t="s">
        <v>288</v>
      </c>
      <c r="F6" s="338" t="s">
        <v>286</v>
      </c>
      <c r="G6" s="129"/>
      <c r="H6" s="129"/>
      <c r="I6" s="129"/>
      <c r="J6" s="129"/>
      <c r="K6" s="129"/>
      <c r="L6" s="129"/>
      <c r="M6" s="129"/>
      <c r="N6" s="129"/>
      <c r="O6" s="129"/>
      <c r="P6" s="129"/>
      <c r="Q6" s="129"/>
    </row>
    <row r="7" spans="1:17">
      <c r="A7" s="24" t="s">
        <v>136</v>
      </c>
      <c r="B7" t="s">
        <v>286</v>
      </c>
      <c r="F7" s="357" t="s">
        <v>0</v>
      </c>
      <c r="G7" s="129">
        <v>197800300</v>
      </c>
      <c r="H7" s="129">
        <v>197016054.0312115</v>
      </c>
      <c r="I7" s="129">
        <v>193826539.85326615</v>
      </c>
      <c r="J7" s="129">
        <v>192484024.09938771</v>
      </c>
      <c r="K7" s="129">
        <v>175269750.77325788</v>
      </c>
      <c r="L7" s="129">
        <v>176066401.24685147</v>
      </c>
      <c r="M7" s="129">
        <v>121348961.37462108</v>
      </c>
      <c r="N7" s="129">
        <v>118937637.55021498</v>
      </c>
      <c r="O7" s="129">
        <v>121056603.11353731</v>
      </c>
      <c r="P7" s="129">
        <v>120878631.41458665</v>
      </c>
      <c r="Q7" s="129">
        <v>1614684903.4569347</v>
      </c>
    </row>
    <row r="8" spans="1:17">
      <c r="A8" s="24" t="s">
        <v>175</v>
      </c>
      <c r="B8" t="s">
        <v>286</v>
      </c>
      <c r="F8" s="357" t="s">
        <v>136</v>
      </c>
      <c r="G8" s="129">
        <v>244106300</v>
      </c>
      <c r="H8" s="129">
        <v>246524522.34999993</v>
      </c>
      <c r="I8" s="129">
        <v>249092855.30999997</v>
      </c>
      <c r="J8" s="129">
        <v>251616606.13999999</v>
      </c>
      <c r="K8" s="129">
        <v>253446043.38009998</v>
      </c>
      <c r="L8" s="129">
        <v>254738478.11009997</v>
      </c>
      <c r="M8" s="129">
        <v>254736828.88250872</v>
      </c>
      <c r="N8" s="129">
        <v>242036700.01010004</v>
      </c>
      <c r="O8" s="129">
        <v>238790797.12010005</v>
      </c>
      <c r="P8" s="129">
        <v>237058363.47060004</v>
      </c>
      <c r="Q8" s="129">
        <v>2472147494.773509</v>
      </c>
    </row>
    <row r="9" spans="1:17">
      <c r="A9" s="24" t="s">
        <v>273</v>
      </c>
      <c r="B9" t="s">
        <v>286</v>
      </c>
      <c r="F9" s="357" t="s">
        <v>175</v>
      </c>
      <c r="G9" s="129">
        <v>118293501.97999999</v>
      </c>
      <c r="H9" s="129">
        <v>118753646.19999999</v>
      </c>
      <c r="I9" s="129">
        <v>119730722.75</v>
      </c>
      <c r="J9" s="129">
        <v>118882223.47</v>
      </c>
      <c r="K9" s="129">
        <v>120481124.22000001</v>
      </c>
      <c r="L9" s="129">
        <v>119686328.99000001</v>
      </c>
      <c r="M9" s="129">
        <v>118604506.75</v>
      </c>
      <c r="N9" s="129">
        <v>117413969.38999997</v>
      </c>
      <c r="O9" s="129">
        <v>112675660.84999999</v>
      </c>
      <c r="P9" s="129">
        <v>111446506.56999999</v>
      </c>
      <c r="Q9" s="129">
        <v>1175968191.1700001</v>
      </c>
    </row>
    <row r="10" spans="1:17">
      <c r="A10" s="24" t="s">
        <v>94</v>
      </c>
      <c r="B10" t="s">
        <v>287</v>
      </c>
      <c r="F10" s="357" t="s">
        <v>273</v>
      </c>
      <c r="G10" s="129"/>
      <c r="H10" s="129"/>
      <c r="I10" s="129"/>
      <c r="J10" s="129"/>
      <c r="K10" s="129"/>
      <c r="L10" s="129">
        <v>22307965.509999998</v>
      </c>
      <c r="M10" s="129">
        <v>22359968.030000005</v>
      </c>
      <c r="N10" s="129">
        <v>39704028.509999998</v>
      </c>
      <c r="O10" s="129">
        <v>48083713.330000006</v>
      </c>
      <c r="P10" s="129">
        <v>82687116.159999996</v>
      </c>
      <c r="Q10" s="129">
        <v>215142791.54000002</v>
      </c>
    </row>
    <row r="11" spans="1:17">
      <c r="A11" s="24" t="s">
        <v>92</v>
      </c>
      <c r="B11" t="s">
        <v>287</v>
      </c>
      <c r="F11" s="357" t="s">
        <v>188</v>
      </c>
      <c r="G11" s="129">
        <v>9868700</v>
      </c>
      <c r="H11" s="129">
        <v>10047000</v>
      </c>
      <c r="I11" s="129">
        <v>5625991.1900000004</v>
      </c>
      <c r="J11" s="129">
        <v>5675416.4499999993</v>
      </c>
      <c r="K11" s="129">
        <v>4537768.09</v>
      </c>
      <c r="L11" s="129">
        <v>4528052.25</v>
      </c>
      <c r="M11" s="129">
        <v>4548135.3991</v>
      </c>
      <c r="N11" s="129">
        <v>4531297.3930000002</v>
      </c>
      <c r="O11" s="129">
        <v>4544311.4879999999</v>
      </c>
      <c r="P11" s="129">
        <v>3194680.9945</v>
      </c>
      <c r="Q11" s="129">
        <v>57101353.254600003</v>
      </c>
    </row>
    <row r="12" spans="1:17">
      <c r="A12" s="24" t="s">
        <v>188</v>
      </c>
      <c r="B12" t="s">
        <v>286</v>
      </c>
      <c r="F12" s="357" t="s">
        <v>189</v>
      </c>
      <c r="G12" s="129">
        <v>36388600</v>
      </c>
      <c r="H12" s="129">
        <v>35222300</v>
      </c>
      <c r="I12" s="129">
        <v>35420843.560000002</v>
      </c>
      <c r="J12" s="129">
        <v>20566350.219900005</v>
      </c>
      <c r="K12" s="129">
        <v>19656186.890000004</v>
      </c>
      <c r="L12" s="129">
        <v>18931375.6699</v>
      </c>
      <c r="M12" s="129">
        <v>18843606.822999999</v>
      </c>
      <c r="N12" s="129">
        <v>18772684.922899999</v>
      </c>
      <c r="O12" s="129">
        <v>17945883.649999999</v>
      </c>
      <c r="P12" s="129">
        <v>16814863.752099998</v>
      </c>
      <c r="Q12" s="129">
        <v>238562695.4878</v>
      </c>
    </row>
    <row r="13" spans="1:17">
      <c r="A13" s="24" t="s">
        <v>189</v>
      </c>
      <c r="B13" t="s">
        <v>286</v>
      </c>
      <c r="F13" s="357" t="s">
        <v>149</v>
      </c>
      <c r="G13" s="129">
        <v>35143700</v>
      </c>
      <c r="H13" s="129">
        <v>38372000</v>
      </c>
      <c r="I13" s="129">
        <v>39107903.892808802</v>
      </c>
      <c r="J13" s="129">
        <v>39272814.07881888</v>
      </c>
      <c r="K13" s="129">
        <v>39000157.034882396</v>
      </c>
      <c r="L13" s="129">
        <v>39322567.148689434</v>
      </c>
      <c r="M13" s="129">
        <v>38565091.831775039</v>
      </c>
      <c r="N13" s="129">
        <v>37760099.298761278</v>
      </c>
      <c r="O13" s="129">
        <v>37504777.0763437</v>
      </c>
      <c r="P13" s="129">
        <v>43122857.423479624</v>
      </c>
      <c r="Q13" s="129">
        <v>387171967.78555918</v>
      </c>
    </row>
    <row r="14" spans="1:17">
      <c r="A14" s="24" t="s">
        <v>149</v>
      </c>
      <c r="B14" t="s">
        <v>286</v>
      </c>
      <c r="F14" s="357" t="s">
        <v>15</v>
      </c>
      <c r="G14" s="129">
        <v>37863400</v>
      </c>
      <c r="H14" s="129">
        <v>37010885.307930604</v>
      </c>
      <c r="I14" s="129">
        <v>36398236.2577608</v>
      </c>
      <c r="J14" s="129">
        <v>35777330.796557248</v>
      </c>
      <c r="K14" s="129">
        <v>34776520.342320748</v>
      </c>
      <c r="L14" s="129">
        <v>34020593.371383451</v>
      </c>
      <c r="M14" s="129">
        <v>33833481.413854949</v>
      </c>
      <c r="N14" s="129">
        <v>32791375.5607551</v>
      </c>
      <c r="O14" s="129">
        <v>33486021.614241902</v>
      </c>
      <c r="P14" s="129">
        <v>32927014.216364101</v>
      </c>
      <c r="Q14" s="129">
        <v>348884858.8811689</v>
      </c>
    </row>
    <row r="15" spans="1:17">
      <c r="A15" s="24" t="s">
        <v>394</v>
      </c>
      <c r="B15" t="s">
        <v>288</v>
      </c>
      <c r="F15" s="357" t="s">
        <v>393</v>
      </c>
      <c r="G15" s="129">
        <v>20794300</v>
      </c>
      <c r="H15" s="129">
        <v>23082670.170000002</v>
      </c>
      <c r="I15" s="129">
        <v>23862699.629999999</v>
      </c>
      <c r="J15" s="129">
        <v>24568284.989999998</v>
      </c>
      <c r="K15" s="129">
        <v>24275756.48</v>
      </c>
      <c r="L15" s="129">
        <v>24632705.91</v>
      </c>
      <c r="M15" s="129">
        <v>25069335.77</v>
      </c>
      <c r="N15" s="129">
        <v>25498318.460000001</v>
      </c>
      <c r="O15" s="129">
        <v>25890189.059999999</v>
      </c>
      <c r="P15" s="129"/>
      <c r="Q15" s="129">
        <v>217674260.47000003</v>
      </c>
    </row>
    <row r="16" spans="1:17">
      <c r="A16" s="24" t="s">
        <v>32</v>
      </c>
      <c r="B16" t="s">
        <v>289</v>
      </c>
      <c r="F16" s="338" t="s">
        <v>287</v>
      </c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</row>
    <row r="17" spans="1:17">
      <c r="A17" s="24" t="s">
        <v>163</v>
      </c>
      <c r="B17" t="s">
        <v>288</v>
      </c>
      <c r="F17" s="357" t="s">
        <v>33</v>
      </c>
      <c r="G17" s="129">
        <v>28920000</v>
      </c>
      <c r="H17" s="129">
        <v>30915762.989999998</v>
      </c>
      <c r="I17" s="129">
        <v>28961664.705082446</v>
      </c>
      <c r="J17" s="129">
        <v>28961664.705082446</v>
      </c>
      <c r="K17" s="129">
        <v>31846892.637449495</v>
      </c>
      <c r="L17" s="129">
        <v>32262811.969999999</v>
      </c>
      <c r="M17" s="129">
        <v>32262811.970753297</v>
      </c>
      <c r="N17" s="129">
        <v>32262423.420308426</v>
      </c>
      <c r="O17" s="129">
        <v>32430250.136189248</v>
      </c>
      <c r="P17" s="129"/>
      <c r="Q17" s="129">
        <v>278824282.53486532</v>
      </c>
    </row>
    <row r="18" spans="1:17">
      <c r="A18" s="24" t="s">
        <v>15</v>
      </c>
      <c r="B18" t="s">
        <v>286</v>
      </c>
      <c r="F18" s="357" t="s">
        <v>78</v>
      </c>
      <c r="G18" s="129">
        <v>36114709.079999998</v>
      </c>
      <c r="H18" s="129">
        <v>35559287.539999999</v>
      </c>
      <c r="I18" s="129">
        <v>58431109.219999999</v>
      </c>
      <c r="J18" s="129">
        <v>58574142.509999998</v>
      </c>
      <c r="K18" s="129">
        <v>58439031.590000004</v>
      </c>
      <c r="L18" s="129">
        <v>62354903.359999999</v>
      </c>
      <c r="M18" s="129">
        <v>62482244.009999998</v>
      </c>
      <c r="N18" s="129">
        <v>63199695.780000001</v>
      </c>
      <c r="O18" s="129">
        <v>63801975.060000002</v>
      </c>
      <c r="P18" s="129"/>
      <c r="Q18" s="129">
        <v>498957098.15000004</v>
      </c>
    </row>
    <row r="19" spans="1:17">
      <c r="A19" s="24" t="s">
        <v>407</v>
      </c>
      <c r="B19" t="s">
        <v>288</v>
      </c>
      <c r="F19" s="357" t="s">
        <v>19</v>
      </c>
      <c r="G19" s="129">
        <v>115981510.2</v>
      </c>
      <c r="H19" s="129">
        <v>107170997.11216848</v>
      </c>
      <c r="I19" s="129">
        <v>86433748.071999997</v>
      </c>
      <c r="J19" s="129">
        <v>87936884.403899997</v>
      </c>
      <c r="K19" s="129">
        <v>96242542.158000007</v>
      </c>
      <c r="L19" s="129">
        <v>87461898.777400002</v>
      </c>
      <c r="M19" s="129">
        <v>92901734.163000003</v>
      </c>
      <c r="N19" s="129">
        <v>89177301.413199991</v>
      </c>
      <c r="O19" s="129">
        <v>88272015.094042137</v>
      </c>
      <c r="P19" s="129">
        <v>83873806.972081661</v>
      </c>
      <c r="Q19" s="129">
        <v>935452438.36579239</v>
      </c>
    </row>
    <row r="20" spans="1:17">
      <c r="A20" s="24" t="s">
        <v>395</v>
      </c>
      <c r="B20" t="s">
        <v>288</v>
      </c>
      <c r="F20" s="338" t="s">
        <v>289</v>
      </c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</row>
    <row r="21" spans="1:17">
      <c r="A21" s="24" t="s">
        <v>93</v>
      </c>
      <c r="B21" t="s">
        <v>288</v>
      </c>
      <c r="F21" s="357" t="s">
        <v>32</v>
      </c>
      <c r="G21" s="129">
        <v>365869890</v>
      </c>
      <c r="H21" s="129">
        <v>378493319.47299999</v>
      </c>
      <c r="I21" s="129">
        <v>365869789.18608689</v>
      </c>
      <c r="J21" s="129">
        <v>365869789.18608689</v>
      </c>
      <c r="K21" s="129">
        <v>555837653.47535658</v>
      </c>
      <c r="L21" s="129">
        <v>534131653.47850001</v>
      </c>
      <c r="M21" s="129">
        <v>534131653.47847652</v>
      </c>
      <c r="N21" s="129">
        <v>1068263306.956953</v>
      </c>
      <c r="O21" s="129">
        <v>531954231.70863187</v>
      </c>
      <c r="P21" s="129">
        <v>531954231.70863187</v>
      </c>
      <c r="Q21" s="129">
        <v>5232375518.6517229</v>
      </c>
    </row>
    <row r="22" spans="1:17">
      <c r="A22" s="24" t="s">
        <v>397</v>
      </c>
      <c r="B22" t="s">
        <v>288</v>
      </c>
      <c r="F22" s="338" t="s">
        <v>288</v>
      </c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</row>
    <row r="23" spans="1:17">
      <c r="A23" s="24" t="s">
        <v>33</v>
      </c>
      <c r="B23" t="s">
        <v>287</v>
      </c>
      <c r="F23" s="357" t="s">
        <v>83</v>
      </c>
      <c r="G23" s="129">
        <v>2507823.14</v>
      </c>
      <c r="H23" s="129">
        <v>2536423.0499999998</v>
      </c>
      <c r="I23" s="129">
        <v>2566070.87</v>
      </c>
      <c r="J23" s="129">
        <v>2514085.81</v>
      </c>
      <c r="K23" s="129">
        <v>2545874.9087597281</v>
      </c>
      <c r="L23" s="129">
        <v>2575928.85</v>
      </c>
      <c r="M23" s="129">
        <v>2524083.7422295436</v>
      </c>
      <c r="N23" s="129">
        <v>2555998.4625278935</v>
      </c>
      <c r="O23" s="129">
        <v>2587230.6109355227</v>
      </c>
      <c r="P23" s="129"/>
      <c r="Q23" s="129">
        <v>22913519.444452688</v>
      </c>
    </row>
    <row r="24" spans="1:17">
      <c r="A24" s="24" t="s">
        <v>78</v>
      </c>
      <c r="B24" t="s">
        <v>287</v>
      </c>
      <c r="F24" s="357" t="s">
        <v>163</v>
      </c>
      <c r="G24" s="129">
        <v>10069896.939999999</v>
      </c>
      <c r="H24" s="129">
        <v>9921204.7799999993</v>
      </c>
      <c r="I24" s="129">
        <v>9921204.7799999993</v>
      </c>
      <c r="J24" s="129">
        <v>10514171.24</v>
      </c>
      <c r="K24" s="129">
        <v>10844675.633567419</v>
      </c>
      <c r="L24" s="129">
        <v>11158132.2975088</v>
      </c>
      <c r="M24" s="129">
        <v>695644.66810481949</v>
      </c>
      <c r="N24" s="129">
        <v>0</v>
      </c>
      <c r="O24" s="129"/>
      <c r="P24" s="129"/>
      <c r="Q24" s="129">
        <v>63124930.339181036</v>
      </c>
    </row>
    <row r="25" spans="1:17">
      <c r="A25" s="24" t="s">
        <v>19</v>
      </c>
      <c r="B25" t="s">
        <v>287</v>
      </c>
      <c r="F25" s="357" t="s">
        <v>35</v>
      </c>
      <c r="G25" s="129">
        <v>5480500</v>
      </c>
      <c r="H25" s="129">
        <v>5995978.0199999996</v>
      </c>
      <c r="I25" s="129">
        <v>6056956.9890000001</v>
      </c>
      <c r="J25" s="129">
        <v>6056956.9890000001</v>
      </c>
      <c r="K25" s="129">
        <v>5984925.5465000002</v>
      </c>
      <c r="L25" s="129">
        <v>5208303.2494999999</v>
      </c>
      <c r="M25" s="129">
        <v>5208303.2494999999</v>
      </c>
      <c r="N25" s="129">
        <v>5208303.2494999999</v>
      </c>
      <c r="O25" s="129">
        <v>5736464.4972999981</v>
      </c>
      <c r="P25" s="129">
        <v>5736464.4972999981</v>
      </c>
      <c r="Q25" s="129">
        <v>56673156.287599996</v>
      </c>
    </row>
    <row r="26" spans="1:17">
      <c r="A26" s="24" t="s">
        <v>35</v>
      </c>
      <c r="B26" t="s">
        <v>288</v>
      </c>
      <c r="F26" s="357" t="s">
        <v>165</v>
      </c>
      <c r="G26" s="129">
        <v>999946.76</v>
      </c>
      <c r="H26" s="129">
        <v>989534.53</v>
      </c>
      <c r="I26" s="129">
        <v>978868.91578947369</v>
      </c>
      <c r="J26" s="129">
        <v>978596.59</v>
      </c>
      <c r="K26" s="129">
        <v>968896.22894736845</v>
      </c>
      <c r="L26" s="129">
        <v>945890.25263157894</v>
      </c>
      <c r="M26" s="129"/>
      <c r="N26" s="129"/>
      <c r="O26" s="129"/>
      <c r="P26" s="129"/>
      <c r="Q26" s="129">
        <v>5861733.2773684207</v>
      </c>
    </row>
    <row r="27" spans="1:17">
      <c r="A27" s="24" t="s">
        <v>165</v>
      </c>
      <c r="B27" t="s">
        <v>288</v>
      </c>
      <c r="F27" s="357" t="s">
        <v>82</v>
      </c>
      <c r="G27" s="129">
        <v>13852986.49</v>
      </c>
      <c r="H27" s="129">
        <v>13825486.93</v>
      </c>
      <c r="I27" s="129">
        <v>14058249.32</v>
      </c>
      <c r="J27" s="129">
        <v>14058249.32</v>
      </c>
      <c r="K27" s="129">
        <v>13895942.915481418</v>
      </c>
      <c r="L27" s="129">
        <v>14025870.263168195</v>
      </c>
      <c r="M27" s="129">
        <v>13868327.043732878</v>
      </c>
      <c r="N27" s="129">
        <v>13835310.430643592</v>
      </c>
      <c r="O27" s="129">
        <v>13621237.322509421</v>
      </c>
      <c r="P27" s="129"/>
      <c r="Q27" s="129">
        <v>125041660.03553551</v>
      </c>
    </row>
    <row r="28" spans="1:17">
      <c r="A28" s="24" t="s">
        <v>408</v>
      </c>
      <c r="B28" t="s">
        <v>288</v>
      </c>
      <c r="F28" s="357" t="s">
        <v>394</v>
      </c>
      <c r="G28" s="129">
        <v>10117935.5</v>
      </c>
      <c r="H28" s="129">
        <v>10203462.119999999</v>
      </c>
      <c r="I28" s="129">
        <v>10310951.2764144</v>
      </c>
      <c r="J28" s="129">
        <v>10095913.02</v>
      </c>
      <c r="K28" s="129">
        <v>10212787.85</v>
      </c>
      <c r="L28" s="129">
        <v>10323346.939999999</v>
      </c>
      <c r="M28" s="129">
        <v>10105198.85</v>
      </c>
      <c r="N28" s="129">
        <v>10222181.18</v>
      </c>
      <c r="O28" s="129">
        <v>10328880.869999999</v>
      </c>
      <c r="P28" s="129"/>
      <c r="Q28" s="129">
        <v>91920657.606414407</v>
      </c>
    </row>
    <row r="29" spans="1:17">
      <c r="A29" s="24" t="s">
        <v>82</v>
      </c>
      <c r="B29" t="s">
        <v>288</v>
      </c>
      <c r="F29" s="357" t="s">
        <v>395</v>
      </c>
      <c r="G29" s="129">
        <v>4000000</v>
      </c>
      <c r="H29" s="129">
        <v>3932770.77</v>
      </c>
      <c r="I29" s="129">
        <v>4000000</v>
      </c>
      <c r="J29" s="129">
        <v>4000000</v>
      </c>
      <c r="K29" s="129">
        <v>4000000</v>
      </c>
      <c r="L29" s="129">
        <v>4000000</v>
      </c>
      <c r="M29" s="129">
        <v>4000000</v>
      </c>
      <c r="N29" s="129">
        <v>4000000</v>
      </c>
      <c r="O29" s="129">
        <v>4000000</v>
      </c>
      <c r="P29" s="129"/>
      <c r="Q29" s="129">
        <v>35932770.769999996</v>
      </c>
    </row>
    <row r="30" spans="1:17">
      <c r="F30" s="357" t="s">
        <v>397</v>
      </c>
      <c r="G30" s="129">
        <v>3329627.1210000003</v>
      </c>
      <c r="H30" s="129">
        <v>3847521.01</v>
      </c>
      <c r="I30" s="129">
        <v>3839160.035813387</v>
      </c>
      <c r="J30" s="129">
        <v>3716114.02</v>
      </c>
      <c r="K30" s="129">
        <v>3611732.0956333522</v>
      </c>
      <c r="L30" s="129">
        <v>3649853.4114958849</v>
      </c>
      <c r="M30" s="129">
        <v>3594298.138089078</v>
      </c>
      <c r="N30" s="129">
        <v>3491312.8513562307</v>
      </c>
      <c r="O30" s="129">
        <v>3526984.3490090291</v>
      </c>
      <c r="P30" s="129"/>
      <c r="Q30" s="129">
        <v>32606603.032396961</v>
      </c>
    </row>
    <row r="31" spans="1:17">
      <c r="F31" s="357" t="s">
        <v>407</v>
      </c>
      <c r="G31" s="129">
        <v>4829312.1500000004</v>
      </c>
      <c r="H31" s="129">
        <v>4890910.379999999</v>
      </c>
      <c r="I31" s="129">
        <v>4953556.8371344563</v>
      </c>
      <c r="J31" s="129">
        <v>4875922.16</v>
      </c>
      <c r="K31" s="129">
        <v>4948624.4364909632</v>
      </c>
      <c r="L31" s="129">
        <v>5012195.6673057461</v>
      </c>
      <c r="M31" s="129">
        <v>4933516.9081749674</v>
      </c>
      <c r="N31" s="129">
        <v>5012637.1890421044</v>
      </c>
      <c r="O31" s="129">
        <v>5078776.5019233469</v>
      </c>
      <c r="P31" s="129"/>
      <c r="Q31" s="129">
        <v>44535452.230071582</v>
      </c>
    </row>
    <row r="32" spans="1:17">
      <c r="F32" s="357" t="s">
        <v>408</v>
      </c>
      <c r="G32" s="129">
        <v>29846675.48</v>
      </c>
      <c r="H32" s="129">
        <v>30452765.579999998</v>
      </c>
      <c r="I32" s="129">
        <v>29849416.3667624</v>
      </c>
      <c r="J32" s="129">
        <v>30289645.559999999</v>
      </c>
      <c r="K32" s="129">
        <v>30704653.75</v>
      </c>
      <c r="L32" s="129">
        <v>30088729.640000001</v>
      </c>
      <c r="M32" s="129">
        <v>29514207.190000001</v>
      </c>
      <c r="N32" s="129">
        <v>29881298.626140095</v>
      </c>
      <c r="O32" s="129">
        <v>30441498.859999999</v>
      </c>
      <c r="P32" s="129"/>
      <c r="Q32" s="129">
        <v>271068891.05290246</v>
      </c>
    </row>
    <row r="33" spans="6:17">
      <c r="F33" s="337" t="s">
        <v>283</v>
      </c>
      <c r="G33" s="127"/>
      <c r="H33" s="127"/>
      <c r="I33" s="127"/>
      <c r="J33" s="127"/>
      <c r="K33" s="127"/>
      <c r="L33" s="127"/>
      <c r="M33" s="127"/>
      <c r="N33" s="127"/>
      <c r="O33" s="127"/>
      <c r="P33" s="127"/>
      <c r="Q33" s="127"/>
    </row>
    <row r="34" spans="6:17">
      <c r="F34" s="337" t="s">
        <v>286</v>
      </c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</row>
    <row r="35" spans="6:17">
      <c r="F35" s="337" t="s">
        <v>0</v>
      </c>
      <c r="G35" s="127">
        <v>0</v>
      </c>
      <c r="H35" s="127">
        <v>0</v>
      </c>
      <c r="I35" s="127">
        <v>0</v>
      </c>
      <c r="J35" s="127">
        <v>0</v>
      </c>
      <c r="K35" s="127">
        <v>0</v>
      </c>
      <c r="L35" s="127">
        <v>0</v>
      </c>
      <c r="M35" s="127">
        <v>0</v>
      </c>
      <c r="N35" s="127">
        <v>0</v>
      </c>
      <c r="O35" s="127">
        <v>0</v>
      </c>
      <c r="P35" s="127"/>
      <c r="Q35" s="127">
        <v>0</v>
      </c>
    </row>
    <row r="36" spans="6:17">
      <c r="F36" s="337" t="s">
        <v>136</v>
      </c>
      <c r="G36" s="127">
        <v>0</v>
      </c>
      <c r="H36" s="127">
        <v>0</v>
      </c>
      <c r="I36" s="127">
        <v>6.2854203006000002</v>
      </c>
      <c r="J36" s="127">
        <v>6.5382740840000011</v>
      </c>
      <c r="K36" s="127">
        <v>6.6947589000000001</v>
      </c>
      <c r="L36" s="127">
        <v>6.7351042718999992</v>
      </c>
      <c r="M36" s="127">
        <v>6.5884461445000007</v>
      </c>
      <c r="N36" s="127">
        <v>6.6026761872500002</v>
      </c>
      <c r="O36" s="127">
        <v>6.4421681514499989</v>
      </c>
      <c r="P36" s="127">
        <v>6.3755663755500001</v>
      </c>
      <c r="Q36" s="127">
        <v>52.262414415249992</v>
      </c>
    </row>
    <row r="37" spans="6:17">
      <c r="F37" s="337" t="s">
        <v>175</v>
      </c>
      <c r="G37" s="127">
        <v>-1.1102230246251565E-16</v>
      </c>
      <c r="H37" s="127">
        <v>1.1102230246251565E-16</v>
      </c>
      <c r="I37" s="127">
        <v>1.37092999</v>
      </c>
      <c r="J37" s="127">
        <v>1.1102230246251565E-16</v>
      </c>
      <c r="K37" s="127">
        <v>9.9999998282029878E-9</v>
      </c>
      <c r="L37" s="127">
        <v>1.3540526800000001</v>
      </c>
      <c r="M37" s="127">
        <v>1.2982873400000001</v>
      </c>
      <c r="N37" s="127">
        <v>1.2442093800000003</v>
      </c>
      <c r="O37" s="127">
        <v>0.96300126999999991</v>
      </c>
      <c r="P37" s="127">
        <v>0.9143056877000002</v>
      </c>
      <c r="Q37" s="127">
        <v>7.144786357700001</v>
      </c>
    </row>
    <row r="38" spans="6:17">
      <c r="F38" s="337" t="s">
        <v>273</v>
      </c>
      <c r="G38" s="127"/>
      <c r="H38" s="127"/>
      <c r="I38" s="127"/>
      <c r="J38" s="127"/>
      <c r="K38" s="127"/>
      <c r="L38" s="127">
        <v>3.0815799999999996E-3</v>
      </c>
      <c r="M38" s="127">
        <v>8.6736173798840355E-19</v>
      </c>
      <c r="N38" s="127">
        <v>-9.9999999999406119E-9</v>
      </c>
      <c r="O38" s="127">
        <v>3.3502789999999998E-2</v>
      </c>
      <c r="P38" s="127">
        <v>0.12925937227360271</v>
      </c>
      <c r="Q38" s="127">
        <v>0.16584373227360272</v>
      </c>
    </row>
    <row r="39" spans="6:17">
      <c r="F39" s="337" t="s">
        <v>188</v>
      </c>
      <c r="G39" s="127">
        <v>1.3859999999999999</v>
      </c>
      <c r="H39" s="127">
        <v>1.4112</v>
      </c>
      <c r="I39" s="127">
        <v>0.81069999999999998</v>
      </c>
      <c r="J39" s="127">
        <v>0.81770000000000009</v>
      </c>
      <c r="K39" s="127">
        <v>0.66480000000000006</v>
      </c>
      <c r="L39" s="127">
        <v>0.66349999999999998</v>
      </c>
      <c r="M39" s="127">
        <v>0.66639999999999999</v>
      </c>
      <c r="N39" s="127">
        <v>0.66390000000000005</v>
      </c>
      <c r="O39" s="127">
        <v>0.66579999999999995</v>
      </c>
      <c r="P39" s="127">
        <v>0.47620000000000001</v>
      </c>
      <c r="Q39" s="127">
        <v>8.2262000000000004</v>
      </c>
    </row>
    <row r="40" spans="6:17">
      <c r="F40" s="337" t="s">
        <v>189</v>
      </c>
      <c r="G40" s="127">
        <v>0.59253429944523417</v>
      </c>
      <c r="H40" s="127">
        <v>0.49278762931593839</v>
      </c>
      <c r="I40" s="127">
        <v>0.50192933577664423</v>
      </c>
      <c r="J40" s="127">
        <v>0.526460280891763</v>
      </c>
      <c r="K40" s="127">
        <v>0.45078709763795377</v>
      </c>
      <c r="L40" s="127">
        <v>0.39005530223797524</v>
      </c>
      <c r="M40" s="127">
        <v>0.37998417676165552</v>
      </c>
      <c r="N40" s="127">
        <v>0.37131427760093572</v>
      </c>
      <c r="O40" s="127">
        <v>0.30578660667896385</v>
      </c>
      <c r="P40" s="127">
        <v>0.29400541025999199</v>
      </c>
      <c r="Q40" s="127">
        <v>4.3056444166070555</v>
      </c>
    </row>
    <row r="41" spans="6:17">
      <c r="F41" s="337" t="s">
        <v>149</v>
      </c>
      <c r="G41" s="127">
        <v>0</v>
      </c>
      <c r="H41" s="127">
        <v>0</v>
      </c>
      <c r="I41" s="127">
        <v>1.29385E-2</v>
      </c>
      <c r="J41" s="127">
        <v>2.1668300000000001E-2</v>
      </c>
      <c r="K41" s="127">
        <v>1.8799999999999999E-4</v>
      </c>
      <c r="L41" s="127">
        <v>1.9698029999999998E-2</v>
      </c>
      <c r="M41" s="127">
        <v>0</v>
      </c>
      <c r="N41" s="127">
        <v>0</v>
      </c>
      <c r="O41" s="127">
        <v>0</v>
      </c>
      <c r="P41" s="127">
        <v>0.38104188999999999</v>
      </c>
      <c r="Q41" s="127">
        <v>0.43553471999999999</v>
      </c>
    </row>
    <row r="42" spans="6:17">
      <c r="F42" s="337" t="s">
        <v>15</v>
      </c>
      <c r="G42" s="127">
        <v>0</v>
      </c>
      <c r="H42" s="127">
        <v>0</v>
      </c>
      <c r="I42" s="127">
        <v>0</v>
      </c>
      <c r="J42" s="127">
        <v>0</v>
      </c>
      <c r="K42" s="127">
        <v>0</v>
      </c>
      <c r="L42" s="127">
        <v>0</v>
      </c>
      <c r="M42" s="127">
        <v>0</v>
      </c>
      <c r="N42" s="127">
        <v>0</v>
      </c>
      <c r="O42" s="127">
        <v>0</v>
      </c>
      <c r="P42" s="127">
        <v>0</v>
      </c>
      <c r="Q42" s="127">
        <v>0</v>
      </c>
    </row>
    <row r="43" spans="6:17">
      <c r="F43" s="337" t="s">
        <v>393</v>
      </c>
      <c r="G43" s="127">
        <v>0.5801153</v>
      </c>
      <c r="H43" s="127">
        <v>0.60486085000000001</v>
      </c>
      <c r="I43" s="127">
        <v>0.65972897120560203</v>
      </c>
      <c r="J43" s="127">
        <v>0.65972897120560203</v>
      </c>
      <c r="K43" s="127">
        <v>0.68783880000000008</v>
      </c>
      <c r="L43" s="127">
        <v>0.71213811999999999</v>
      </c>
      <c r="M43" s="127">
        <v>0.74184944999999991</v>
      </c>
      <c r="N43" s="127">
        <v>0.77103887906604207</v>
      </c>
      <c r="O43" s="127">
        <v>0.77103887906604207</v>
      </c>
      <c r="P43" s="127"/>
      <c r="Q43" s="127">
        <v>6.1883382205432884</v>
      </c>
    </row>
    <row r="44" spans="6:17">
      <c r="F44" s="337" t="s">
        <v>287</v>
      </c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</row>
    <row r="45" spans="6:17">
      <c r="F45" s="337" t="s">
        <v>33</v>
      </c>
      <c r="G45" s="127">
        <v>0</v>
      </c>
      <c r="H45" s="127">
        <v>0</v>
      </c>
      <c r="I45" s="127">
        <v>0</v>
      </c>
      <c r="J45" s="127">
        <v>0</v>
      </c>
      <c r="K45" s="127">
        <v>0</v>
      </c>
      <c r="L45" s="127">
        <v>0</v>
      </c>
      <c r="M45" s="127">
        <v>0</v>
      </c>
      <c r="N45" s="127">
        <v>0</v>
      </c>
      <c r="O45" s="127">
        <v>0</v>
      </c>
      <c r="P45" s="127"/>
      <c r="Q45" s="127">
        <v>0</v>
      </c>
    </row>
    <row r="46" spans="6:17">
      <c r="F46" s="337" t="s">
        <v>78</v>
      </c>
      <c r="G46" s="127">
        <v>0</v>
      </c>
      <c r="H46" s="127">
        <v>0</v>
      </c>
      <c r="I46" s="127">
        <v>0</v>
      </c>
      <c r="J46" s="127">
        <v>0</v>
      </c>
      <c r="K46" s="127">
        <v>0</v>
      </c>
      <c r="L46" s="127">
        <v>0</v>
      </c>
      <c r="M46" s="127">
        <v>0</v>
      </c>
      <c r="N46" s="127">
        <v>0</v>
      </c>
      <c r="O46" s="127">
        <v>0</v>
      </c>
      <c r="P46" s="127"/>
      <c r="Q46" s="127">
        <v>0</v>
      </c>
    </row>
    <row r="47" spans="6:17">
      <c r="F47" s="337" t="s">
        <v>19</v>
      </c>
      <c r="G47" s="127">
        <v>0</v>
      </c>
      <c r="H47" s="127">
        <v>0</v>
      </c>
      <c r="I47" s="127">
        <v>0</v>
      </c>
      <c r="J47" s="127">
        <v>0</v>
      </c>
      <c r="K47" s="127">
        <v>0</v>
      </c>
      <c r="L47" s="127">
        <v>0</v>
      </c>
      <c r="M47" s="127">
        <v>0</v>
      </c>
      <c r="N47" s="127">
        <v>0</v>
      </c>
      <c r="O47" s="127">
        <v>0</v>
      </c>
      <c r="P47" s="127">
        <v>0</v>
      </c>
      <c r="Q47" s="127">
        <v>0</v>
      </c>
    </row>
    <row r="48" spans="6:17">
      <c r="F48" s="337" t="s">
        <v>289</v>
      </c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</row>
    <row r="49" spans="6:22">
      <c r="F49" s="337" t="s">
        <v>32</v>
      </c>
      <c r="G49" s="127">
        <v>0</v>
      </c>
      <c r="H49" s="127">
        <v>0</v>
      </c>
      <c r="I49" s="127"/>
      <c r="J49" s="127"/>
      <c r="K49" s="127"/>
      <c r="L49" s="127"/>
      <c r="M49" s="127"/>
      <c r="N49" s="127"/>
      <c r="O49" s="127"/>
      <c r="P49" s="127"/>
      <c r="Q49" s="127">
        <v>0</v>
      </c>
    </row>
    <row r="50" spans="6:22">
      <c r="F50" s="337" t="s">
        <v>288</v>
      </c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</row>
    <row r="51" spans="6:22">
      <c r="F51" s="337" t="s">
        <v>83</v>
      </c>
      <c r="G51" s="127">
        <v>0.58442529650000008</v>
      </c>
      <c r="H51" s="127">
        <v>0.58585529200000008</v>
      </c>
      <c r="I51" s="127">
        <v>0.587337683</v>
      </c>
      <c r="J51" s="127">
        <v>0.58473843000000003</v>
      </c>
      <c r="K51" s="127">
        <v>0.58632788493798649</v>
      </c>
      <c r="L51" s="127">
        <v>0.58783058200000005</v>
      </c>
      <c r="M51" s="127">
        <v>0.58523832661147723</v>
      </c>
      <c r="N51" s="127">
        <v>0.5868340626263947</v>
      </c>
      <c r="O51" s="127">
        <v>0.58839567004677618</v>
      </c>
      <c r="P51" s="127"/>
      <c r="Q51" s="127">
        <v>5.276983227722635</v>
      </c>
    </row>
    <row r="52" spans="6:22">
      <c r="F52" s="337" t="s">
        <v>163</v>
      </c>
      <c r="G52" s="127">
        <v>0</v>
      </c>
      <c r="H52" s="127">
        <v>0.21321399999999999</v>
      </c>
      <c r="I52" s="127">
        <v>0.21321399999999999</v>
      </c>
      <c r="J52" s="127">
        <v>0.21321399999999999</v>
      </c>
      <c r="K52" s="127">
        <v>0.21321399999999999</v>
      </c>
      <c r="L52" s="127">
        <v>0.21321399999999999</v>
      </c>
      <c r="M52" s="127">
        <v>0.21321399999999999</v>
      </c>
      <c r="N52" s="127">
        <v>0</v>
      </c>
      <c r="O52" s="127"/>
      <c r="P52" s="127"/>
      <c r="Q52" s="127">
        <v>1.2792839999999999</v>
      </c>
    </row>
    <row r="53" spans="6:22">
      <c r="F53" s="337" t="s">
        <v>35</v>
      </c>
      <c r="G53" s="127">
        <v>6.703524000000001E-2</v>
      </c>
      <c r="H53" s="127">
        <v>6.977179E-2</v>
      </c>
      <c r="I53" s="127">
        <v>7.6990031E-2</v>
      </c>
      <c r="J53" s="127">
        <v>7.6990031E-2</v>
      </c>
      <c r="K53" s="127">
        <v>8.0567323499999996E-2</v>
      </c>
      <c r="L53" s="127">
        <v>8.0567323499999996E-2</v>
      </c>
      <c r="M53" s="127">
        <v>8.0567323499999996E-2</v>
      </c>
      <c r="N53" s="127">
        <v>8.0567323499999996E-2</v>
      </c>
      <c r="O53" s="127">
        <v>8.0567323499999996E-2</v>
      </c>
      <c r="P53" s="127">
        <v>8.0567323499999996E-2</v>
      </c>
      <c r="Q53" s="127">
        <v>0.77419103299999992</v>
      </c>
    </row>
    <row r="54" spans="6:22">
      <c r="F54" s="337" t="s">
        <v>165</v>
      </c>
      <c r="G54" s="127">
        <v>0</v>
      </c>
      <c r="H54" s="127">
        <v>0</v>
      </c>
      <c r="I54" s="127">
        <v>0</v>
      </c>
      <c r="J54" s="127">
        <v>0</v>
      </c>
      <c r="K54" s="127">
        <v>0</v>
      </c>
      <c r="L54" s="127">
        <v>0</v>
      </c>
      <c r="M54" s="127"/>
      <c r="N54" s="127"/>
      <c r="O54" s="127"/>
      <c r="P54" s="127"/>
      <c r="Q54" s="127">
        <v>0</v>
      </c>
    </row>
    <row r="55" spans="6:22">
      <c r="F55" s="337" t="s">
        <v>82</v>
      </c>
      <c r="G55" s="127">
        <v>0.67098701000000005</v>
      </c>
      <c r="H55" s="127">
        <v>0.67098701000000005</v>
      </c>
      <c r="I55" s="127">
        <v>0.67098701000000005</v>
      </c>
      <c r="J55" s="127">
        <v>0.67093743000000006</v>
      </c>
      <c r="K55" s="127">
        <v>0.67093743000000006</v>
      </c>
      <c r="L55" s="127">
        <v>0.774024130442449</v>
      </c>
      <c r="M55" s="127">
        <v>0.774024130442449</v>
      </c>
      <c r="N55" s="127">
        <v>0.77302444144244897</v>
      </c>
      <c r="O55" s="127">
        <v>0.77302444144244897</v>
      </c>
      <c r="P55" s="127"/>
      <c r="Q55" s="127">
        <v>6.4489330337697961</v>
      </c>
    </row>
    <row r="56" spans="6:22">
      <c r="F56" s="337" t="s">
        <v>394</v>
      </c>
      <c r="G56" s="127">
        <v>0</v>
      </c>
      <c r="H56" s="127">
        <v>0</v>
      </c>
      <c r="I56" s="127">
        <v>0</v>
      </c>
      <c r="J56" s="127">
        <v>0</v>
      </c>
      <c r="K56" s="127">
        <v>0</v>
      </c>
      <c r="L56" s="127">
        <v>0</v>
      </c>
      <c r="M56" s="127">
        <v>0</v>
      </c>
      <c r="N56" s="127">
        <v>0</v>
      </c>
      <c r="O56" s="127">
        <v>0</v>
      </c>
      <c r="P56" s="127"/>
      <c r="Q56" s="127">
        <v>0</v>
      </c>
    </row>
    <row r="57" spans="6:22">
      <c r="F57" s="337" t="s">
        <v>395</v>
      </c>
      <c r="G57" s="127">
        <v>0</v>
      </c>
      <c r="H57" s="127">
        <v>0</v>
      </c>
      <c r="I57" s="127">
        <v>0</v>
      </c>
      <c r="J57" s="127">
        <v>0</v>
      </c>
      <c r="K57" s="127">
        <v>0</v>
      </c>
      <c r="L57" s="127">
        <v>0</v>
      </c>
      <c r="M57" s="127">
        <v>0</v>
      </c>
      <c r="N57" s="127">
        <v>0</v>
      </c>
      <c r="O57" s="127">
        <v>0</v>
      </c>
      <c r="P57" s="127"/>
      <c r="Q57" s="127">
        <v>0</v>
      </c>
    </row>
    <row r="58" spans="6:22">
      <c r="F58" s="337" t="s">
        <v>397</v>
      </c>
      <c r="G58" s="127">
        <v>0.33296271210000006</v>
      </c>
      <c r="H58" s="127">
        <v>0.34627689090000002</v>
      </c>
      <c r="I58" s="127">
        <v>0.38391600358133871</v>
      </c>
      <c r="J58" s="127">
        <v>0.37161140200000004</v>
      </c>
      <c r="K58" s="127">
        <v>0.36117320956333526</v>
      </c>
      <c r="L58" s="127">
        <v>0.36498534114958847</v>
      </c>
      <c r="M58" s="127">
        <v>0.35942981380890782</v>
      </c>
      <c r="N58" s="127">
        <v>0.34913128513562308</v>
      </c>
      <c r="O58" s="127">
        <v>0.35269843490090291</v>
      </c>
      <c r="P58" s="127"/>
      <c r="Q58" s="127">
        <v>3.2221850931396965</v>
      </c>
    </row>
    <row r="59" spans="6:22">
      <c r="F59" s="337" t="s">
        <v>407</v>
      </c>
      <c r="G59" s="127">
        <v>1.7195820000000001E-2</v>
      </c>
      <c r="H59" s="127">
        <v>2.3631465000000001E-2</v>
      </c>
      <c r="I59" s="127">
        <v>2.3631465000000001E-2</v>
      </c>
      <c r="J59" s="127">
        <v>3.781019E-2</v>
      </c>
      <c r="K59" s="127">
        <v>0</v>
      </c>
      <c r="L59" s="127">
        <v>0</v>
      </c>
      <c r="M59" s="127">
        <v>0</v>
      </c>
      <c r="N59" s="127">
        <v>0</v>
      </c>
      <c r="O59" s="127">
        <v>0</v>
      </c>
      <c r="P59" s="127"/>
      <c r="Q59" s="127">
        <v>0.10226894</v>
      </c>
    </row>
    <row r="60" spans="6:22">
      <c r="F60" s="337" t="s">
        <v>408</v>
      </c>
      <c r="G60" s="127">
        <v>0.60749600000000004</v>
      </c>
      <c r="H60" s="127">
        <v>0.63493299999999997</v>
      </c>
      <c r="I60" s="127">
        <v>0.59619800000000001</v>
      </c>
      <c r="J60" s="127">
        <v>3.1762400000000003E-2</v>
      </c>
      <c r="K60" s="127">
        <v>0.62796079420812501</v>
      </c>
      <c r="L60" s="127">
        <v>0.68920489514777905</v>
      </c>
      <c r="M60" s="127">
        <v>0.72348503702799494</v>
      </c>
      <c r="N60" s="127">
        <v>0.75001339393064204</v>
      </c>
      <c r="O60" s="127">
        <v>0.122777777777778</v>
      </c>
      <c r="P60" s="127"/>
      <c r="Q60" s="127">
        <v>4.7838312980923199</v>
      </c>
    </row>
    <row r="61" spans="6:22">
      <c r="F61" s="24" t="s">
        <v>390</v>
      </c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27"/>
    </row>
    <row r="62" spans="6:22">
      <c r="F62" s="338" t="s">
        <v>286</v>
      </c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27"/>
      <c r="R62" t="s">
        <v>406</v>
      </c>
      <c r="T62" t="s">
        <v>405</v>
      </c>
    </row>
    <row r="63" spans="6:22">
      <c r="F63" s="357" t="s">
        <v>0</v>
      </c>
      <c r="G63" s="127">
        <v>0</v>
      </c>
      <c r="H63" s="127">
        <v>0</v>
      </c>
      <c r="I63" s="127">
        <v>0</v>
      </c>
      <c r="J63" s="127">
        <v>0</v>
      </c>
      <c r="K63" s="127">
        <v>0</v>
      </c>
      <c r="L63" s="127">
        <v>0</v>
      </c>
      <c r="M63" s="127">
        <v>0</v>
      </c>
      <c r="N63" s="127">
        <v>0</v>
      </c>
      <c r="O63" s="127">
        <v>0</v>
      </c>
      <c r="P63" s="127">
        <v>0</v>
      </c>
      <c r="Q63" s="127">
        <v>0</v>
      </c>
      <c r="R63" s="5">
        <v>0</v>
      </c>
    </row>
    <row r="64" spans="6:22">
      <c r="F64" s="357" t="s">
        <v>136</v>
      </c>
      <c r="G64" s="127">
        <v>0</v>
      </c>
      <c r="H64" s="127">
        <v>0</v>
      </c>
      <c r="I64" s="127">
        <v>0.52270699369849016</v>
      </c>
      <c r="J64" s="127">
        <v>0</v>
      </c>
      <c r="K64" s="127">
        <v>0</v>
      </c>
      <c r="L64" s="127">
        <v>0.54522127999999992</v>
      </c>
      <c r="M64" s="127">
        <v>0</v>
      </c>
      <c r="N64" s="127">
        <v>0</v>
      </c>
      <c r="O64" s="127">
        <v>0.51234188358564259</v>
      </c>
      <c r="P64" s="127">
        <v>0.18481050573744415</v>
      </c>
      <c r="Q64" s="127">
        <v>1.7650806630215767</v>
      </c>
      <c r="R64" s="359">
        <v>1.58</v>
      </c>
      <c r="S64" s="300">
        <f>Q64/R64-1</f>
        <v>0.11713966014023836</v>
      </c>
      <c r="T64" s="127">
        <v>0.18479999999999999</v>
      </c>
      <c r="U64" s="127">
        <f>R64+T64</f>
        <v>1.7648000000000001</v>
      </c>
      <c r="V64" s="300">
        <f>Q64/U64-1</f>
        <v>1.5903389708560312E-4</v>
      </c>
    </row>
    <row r="65" spans="6:22">
      <c r="F65" s="357" t="s">
        <v>175</v>
      </c>
      <c r="G65" s="127"/>
      <c r="H65" s="127"/>
      <c r="I65" s="127">
        <v>0.16159655000000001</v>
      </c>
      <c r="J65" s="127"/>
      <c r="K65" s="127"/>
      <c r="L65" s="127">
        <v>0.16476917999999999</v>
      </c>
      <c r="M65" s="127">
        <v>0</v>
      </c>
      <c r="N65" s="127">
        <v>0</v>
      </c>
      <c r="O65" s="127">
        <v>0.15299297000000001</v>
      </c>
      <c r="P65" s="127">
        <v>0.20789022384045586</v>
      </c>
      <c r="Q65" s="127">
        <v>0.68724892384045588</v>
      </c>
      <c r="R65" s="359">
        <v>0.48</v>
      </c>
      <c r="S65" s="300">
        <f t="shared" ref="S65:S66" si="0">Q65/R65-1</f>
        <v>0.43176859133428325</v>
      </c>
      <c r="T65" s="127">
        <v>0.2079</v>
      </c>
      <c r="U65" s="127">
        <f t="shared" ref="U65:U66" si="1">R65+T65</f>
        <v>0.68789999999999996</v>
      </c>
      <c r="V65" s="300">
        <f t="shared" ref="V65:V66" si="2">Q65/U65-1</f>
        <v>-9.4646919544127961E-4</v>
      </c>
    </row>
    <row r="66" spans="6:22">
      <c r="F66" s="357" t="s">
        <v>273</v>
      </c>
      <c r="G66" s="127"/>
      <c r="H66" s="127"/>
      <c r="I66" s="127"/>
      <c r="J66" s="127"/>
      <c r="K66" s="127"/>
      <c r="L66" s="127">
        <v>1.5512979999999999E-2</v>
      </c>
      <c r="M66" s="127">
        <v>0</v>
      </c>
      <c r="N66" s="127">
        <v>0</v>
      </c>
      <c r="O66" s="127">
        <v>0.14097756000000003</v>
      </c>
      <c r="P66" s="127">
        <v>0.23770672666768364</v>
      </c>
      <c r="Q66" s="127">
        <v>0.39419726666768368</v>
      </c>
      <c r="R66" s="359">
        <v>0.14000000000000001</v>
      </c>
      <c r="S66" s="300">
        <f t="shared" si="0"/>
        <v>1.8156947619120261</v>
      </c>
      <c r="T66" s="127">
        <v>0.23769999999999999</v>
      </c>
      <c r="U66" s="127">
        <f t="shared" si="1"/>
        <v>0.37770000000000004</v>
      </c>
      <c r="V66" s="300">
        <f t="shared" si="2"/>
        <v>4.3678227873136466E-2</v>
      </c>
    </row>
    <row r="67" spans="6:22">
      <c r="F67" s="357" t="s">
        <v>188</v>
      </c>
      <c r="G67" s="127">
        <v>0</v>
      </c>
      <c r="H67" s="127">
        <v>0</v>
      </c>
      <c r="I67" s="127">
        <v>0</v>
      </c>
      <c r="J67" s="127">
        <v>0</v>
      </c>
      <c r="K67" s="127">
        <v>0</v>
      </c>
      <c r="L67" s="127">
        <v>0</v>
      </c>
      <c r="M67" s="127">
        <v>0</v>
      </c>
      <c r="N67" s="127">
        <v>0</v>
      </c>
      <c r="O67" s="127">
        <v>0</v>
      </c>
      <c r="P67" s="127">
        <v>0</v>
      </c>
      <c r="Q67" s="127">
        <v>0</v>
      </c>
      <c r="R67" s="5">
        <v>0</v>
      </c>
      <c r="V67" s="300"/>
    </row>
    <row r="68" spans="6:22">
      <c r="F68" s="357" t="s">
        <v>189</v>
      </c>
      <c r="G68" s="127">
        <v>0</v>
      </c>
      <c r="H68" s="127">
        <v>0</v>
      </c>
      <c r="I68" s="127">
        <v>0</v>
      </c>
      <c r="J68" s="127">
        <v>0</v>
      </c>
      <c r="K68" s="127">
        <v>0</v>
      </c>
      <c r="L68" s="127">
        <v>0</v>
      </c>
      <c r="M68" s="127">
        <v>0</v>
      </c>
      <c r="N68" s="127">
        <v>0</v>
      </c>
      <c r="O68" s="127">
        <v>0</v>
      </c>
      <c r="P68" s="127">
        <v>0</v>
      </c>
      <c r="Q68" s="127">
        <v>0</v>
      </c>
      <c r="R68" s="5">
        <v>0</v>
      </c>
      <c r="V68" s="300"/>
    </row>
    <row r="69" spans="6:22">
      <c r="F69" s="357" t="s">
        <v>149</v>
      </c>
      <c r="G69" s="127">
        <v>3.6220299999999997E-2</v>
      </c>
      <c r="H69" s="127">
        <v>3.07324E-2</v>
      </c>
      <c r="I69" s="127">
        <v>3.1829974438904118E-2</v>
      </c>
      <c r="J69" s="127">
        <v>3.1829974438904118E-2</v>
      </c>
      <c r="K69" s="127">
        <v>3.4025199999999999E-2</v>
      </c>
      <c r="L69" s="127">
        <v>3.1829959999999997E-2</v>
      </c>
      <c r="M69" s="127">
        <v>3.5122730275699732E-2</v>
      </c>
      <c r="N69" s="127">
        <v>3.4025157159070403E-2</v>
      </c>
      <c r="O69" s="127">
        <v>3.0732380111100278E-2</v>
      </c>
      <c r="P69" s="127">
        <v>3.6220311238082468E-2</v>
      </c>
      <c r="Q69" s="127">
        <v>0.33256838766176111</v>
      </c>
      <c r="R69" s="5">
        <v>0.3</v>
      </c>
      <c r="T69" s="127">
        <v>3.6200000000000003E-2</v>
      </c>
      <c r="U69" s="127">
        <f t="shared" ref="U69:U70" si="3">R69+T69</f>
        <v>0.3362</v>
      </c>
      <c r="V69" s="300">
        <f>Q69/U69-1</f>
        <v>-1.080194032789672E-2</v>
      </c>
    </row>
    <row r="70" spans="6:22">
      <c r="F70" s="357" t="s">
        <v>15</v>
      </c>
      <c r="G70" s="127">
        <v>2.74089E-2</v>
      </c>
      <c r="H70" s="127">
        <v>2.2729599999999999E-2</v>
      </c>
      <c r="I70" s="127">
        <v>2.3135317292604124E-2</v>
      </c>
      <c r="J70" s="127">
        <v>2.2740659574798032E-2</v>
      </c>
      <c r="K70" s="127">
        <v>2.2104527998406617E-2</v>
      </c>
      <c r="L70" s="127">
        <v>2.16399E-2</v>
      </c>
      <c r="M70" s="127">
        <v>2.16399E-2</v>
      </c>
      <c r="N70" s="127">
        <v>2.22975892783518E-2</v>
      </c>
      <c r="O70" s="127">
        <v>2.0564838776789957E-2</v>
      </c>
      <c r="P70" s="127">
        <v>2.3835529686139518E-2</v>
      </c>
      <c r="Q70" s="127">
        <v>0.22809676260709005</v>
      </c>
      <c r="R70" s="5">
        <v>0.21</v>
      </c>
      <c r="T70" s="127">
        <v>2.3800000000000002E-2</v>
      </c>
      <c r="U70" s="127">
        <f t="shared" si="3"/>
        <v>0.23380000000000001</v>
      </c>
      <c r="V70" s="300">
        <f>Q70/U70-1</f>
        <v>-2.4393658652309469E-2</v>
      </c>
    </row>
    <row r="71" spans="6:22">
      <c r="F71" s="357" t="s">
        <v>393</v>
      </c>
      <c r="G71" s="127">
        <v>1.4426199999999999E-3</v>
      </c>
      <c r="H71" s="127">
        <v>1.22404E-3</v>
      </c>
      <c r="I71" s="127">
        <v>1.50522E-3</v>
      </c>
      <c r="J71" s="127">
        <v>1.6609300000000001E-3</v>
      </c>
      <c r="K71" s="127">
        <v>1.6090200000000001E-3</v>
      </c>
      <c r="L71" s="127">
        <v>1.50522E-3</v>
      </c>
      <c r="M71" s="127">
        <v>1.6609300000000001E-3</v>
      </c>
      <c r="N71" s="127">
        <v>1.6090254760178751E-3</v>
      </c>
      <c r="O71" s="127">
        <v>1.6090254760178751E-3</v>
      </c>
      <c r="P71" s="127"/>
      <c r="Q71" s="127">
        <v>1.382603095203575E-2</v>
      </c>
      <c r="R71" s="5"/>
    </row>
    <row r="72" spans="6:22">
      <c r="F72" s="338" t="s">
        <v>287</v>
      </c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359"/>
    </row>
    <row r="73" spans="6:22">
      <c r="F73" s="357" t="s">
        <v>33</v>
      </c>
      <c r="G73" s="127">
        <v>6.6666666666666666E-2</v>
      </c>
      <c r="H73" s="127">
        <v>6.6666666666666666E-2</v>
      </c>
      <c r="I73" s="127">
        <v>6.6666666666666666E-2</v>
      </c>
      <c r="J73" s="127">
        <v>6.6666666666666666E-2</v>
      </c>
      <c r="K73" s="127">
        <v>6.6666666666666666E-2</v>
      </c>
      <c r="L73" s="127">
        <v>6.6666666666666666E-2</v>
      </c>
      <c r="M73" s="127">
        <v>6.6666666666666666E-2</v>
      </c>
      <c r="N73" s="127">
        <v>6.6666666666666666E-2</v>
      </c>
      <c r="O73" s="127">
        <v>6.6666666666666666E-2</v>
      </c>
      <c r="P73" s="127"/>
      <c r="Q73" s="127">
        <v>0.6</v>
      </c>
      <c r="R73" s="359"/>
    </row>
    <row r="74" spans="6:22">
      <c r="F74" s="357" t="s">
        <v>78</v>
      </c>
      <c r="G74" s="127">
        <v>3.3105149989999992E-2</v>
      </c>
      <c r="H74" s="127">
        <v>2.7657223642222225E-2</v>
      </c>
      <c r="I74" s="127">
        <v>2.7657223642222225E-2</v>
      </c>
      <c r="J74" s="127">
        <v>2.7657223642222225E-2</v>
      </c>
      <c r="K74" s="127">
        <v>2.7657223642222225E-2</v>
      </c>
      <c r="L74" s="127">
        <v>2.7657223642222225E-2</v>
      </c>
      <c r="M74" s="127">
        <v>2.7657223642222225E-2</v>
      </c>
      <c r="N74" s="127">
        <v>2.7657223642222225E-2</v>
      </c>
      <c r="O74" s="127">
        <v>2.7657223642222225E-2</v>
      </c>
      <c r="P74" s="127"/>
      <c r="Q74" s="127">
        <v>0.2543629391277778</v>
      </c>
      <c r="R74" s="5">
        <v>0.3</v>
      </c>
    </row>
    <row r="75" spans="6:22">
      <c r="F75" s="357" t="s">
        <v>19</v>
      </c>
      <c r="G75" s="127">
        <v>3.3333333333333333E-2</v>
      </c>
      <c r="H75" s="127">
        <v>3.3333333333333333E-2</v>
      </c>
      <c r="I75" s="127">
        <v>3.3333333333333333E-2</v>
      </c>
      <c r="J75" s="127">
        <v>3.3333333333333333E-2</v>
      </c>
      <c r="K75" s="127">
        <v>3.3333333333333333E-2</v>
      </c>
      <c r="L75" s="127">
        <v>3.3333333333333333E-2</v>
      </c>
      <c r="M75" s="127">
        <v>3.3333333333333333E-2</v>
      </c>
      <c r="N75" s="127">
        <v>3.3333333333333333E-2</v>
      </c>
      <c r="O75" s="127">
        <v>3.3333333333333333E-2</v>
      </c>
      <c r="P75" s="127">
        <v>3.3333333333333E-2</v>
      </c>
      <c r="Q75" s="127">
        <v>0.33333333333333298</v>
      </c>
      <c r="R75" s="5"/>
    </row>
    <row r="76" spans="6:22">
      <c r="F76" s="338" t="s">
        <v>289</v>
      </c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127"/>
      <c r="R76" s="5">
        <v>0.67</v>
      </c>
    </row>
    <row r="77" spans="6:22">
      <c r="F77" s="357" t="s">
        <v>32</v>
      </c>
      <c r="G77" s="127">
        <v>5.8500000000000003E-2</v>
      </c>
      <c r="H77" s="127">
        <v>5.8500000000000003E-2</v>
      </c>
      <c r="I77" s="127">
        <v>7.4489166666666676E-2</v>
      </c>
      <c r="J77" s="127">
        <v>7.4489166666666676E-2</v>
      </c>
      <c r="K77" s="127">
        <v>7.4489166666666676E-2</v>
      </c>
      <c r="L77" s="127">
        <v>7.4489166666666676E-2</v>
      </c>
      <c r="M77" s="127">
        <v>7.4489166666666676E-2</v>
      </c>
      <c r="N77" s="127">
        <v>0.14897833333333335</v>
      </c>
      <c r="O77" s="127">
        <v>7.4489166666666676E-2</v>
      </c>
      <c r="P77" s="127">
        <v>7.4489166666666676E-2</v>
      </c>
      <c r="Q77" s="127">
        <v>0.78740250000000012</v>
      </c>
      <c r="R77" s="5"/>
    </row>
    <row r="78" spans="6:22">
      <c r="F78" s="338" t="s">
        <v>288</v>
      </c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5"/>
    </row>
    <row r="79" spans="6:22">
      <c r="F79" s="357" t="s">
        <v>83</v>
      </c>
      <c r="G79" s="127">
        <v>4.1666666666666666E-3</v>
      </c>
      <c r="H79" s="127">
        <v>4.1666666666666666E-3</v>
      </c>
      <c r="I79" s="127">
        <v>4.1666666666666666E-3</v>
      </c>
      <c r="J79" s="127">
        <v>4.1666666666666666E-3</v>
      </c>
      <c r="K79" s="127">
        <v>4.1666666666666666E-3</v>
      </c>
      <c r="L79" s="127">
        <v>4.1666666666666666E-3</v>
      </c>
      <c r="M79" s="127">
        <v>4.1666666666666666E-3</v>
      </c>
      <c r="N79" s="127">
        <v>4.1666666666666666E-3</v>
      </c>
      <c r="O79" s="127">
        <v>4.1666666666666666E-3</v>
      </c>
      <c r="P79" s="127"/>
      <c r="Q79" s="127">
        <v>3.7499999999999999E-2</v>
      </c>
      <c r="R79" s="5"/>
    </row>
    <row r="80" spans="6:22">
      <c r="F80" s="357" t="s">
        <v>163</v>
      </c>
      <c r="G80" s="127">
        <v>0</v>
      </c>
      <c r="H80" s="127">
        <v>0</v>
      </c>
      <c r="I80" s="127">
        <v>0</v>
      </c>
      <c r="J80" s="127">
        <v>0</v>
      </c>
      <c r="K80" s="127">
        <v>0</v>
      </c>
      <c r="L80" s="127">
        <v>0</v>
      </c>
      <c r="M80" s="127">
        <v>0</v>
      </c>
      <c r="N80" s="127">
        <v>0</v>
      </c>
      <c r="O80" s="127"/>
      <c r="P80" s="127"/>
      <c r="Q80" s="127">
        <v>0</v>
      </c>
      <c r="R80" s="5"/>
    </row>
    <row r="81" spans="6:18">
      <c r="F81" s="357" t="s">
        <v>35</v>
      </c>
      <c r="G81" s="127">
        <v>0</v>
      </c>
      <c r="H81" s="127">
        <v>0</v>
      </c>
      <c r="I81" s="127">
        <v>0</v>
      </c>
      <c r="J81" s="127">
        <v>0</v>
      </c>
      <c r="K81" s="127">
        <v>0</v>
      </c>
      <c r="L81" s="127">
        <v>0</v>
      </c>
      <c r="M81" s="127">
        <v>0</v>
      </c>
      <c r="N81" s="127">
        <v>0</v>
      </c>
      <c r="O81" s="127">
        <v>0</v>
      </c>
      <c r="P81" s="127">
        <v>0</v>
      </c>
      <c r="Q81" s="127">
        <v>0</v>
      </c>
      <c r="R81" s="5"/>
    </row>
    <row r="82" spans="6:18">
      <c r="F82" s="357" t="s">
        <v>165</v>
      </c>
      <c r="G82" s="127">
        <v>0</v>
      </c>
      <c r="H82" s="127">
        <v>0</v>
      </c>
      <c r="I82" s="127">
        <v>0</v>
      </c>
      <c r="J82" s="127">
        <v>0</v>
      </c>
      <c r="K82" s="127">
        <v>0</v>
      </c>
      <c r="L82" s="127">
        <v>0</v>
      </c>
      <c r="M82" s="127"/>
      <c r="N82" s="127"/>
      <c r="O82" s="127"/>
      <c r="P82" s="127"/>
      <c r="Q82" s="127">
        <v>0</v>
      </c>
    </row>
    <row r="83" spans="6:18">
      <c r="F83" s="357" t="s">
        <v>82</v>
      </c>
      <c r="G83" s="127">
        <v>5.9614775000000004E-3</v>
      </c>
      <c r="H83" s="127">
        <v>5.0582233333333329E-3</v>
      </c>
      <c r="I83" s="127">
        <v>5.2388741666666667E-3</v>
      </c>
      <c r="J83" s="127">
        <v>5.2388741666666667E-3</v>
      </c>
      <c r="K83" s="127">
        <v>5.2388741666666667E-3</v>
      </c>
      <c r="L83" s="127">
        <v>5.2388741666666667E-3</v>
      </c>
      <c r="M83" s="127">
        <v>5.2388741666666667E-3</v>
      </c>
      <c r="N83" s="127">
        <v>5.2388741666666667E-3</v>
      </c>
      <c r="O83" s="127">
        <v>5.2388741666666667E-3</v>
      </c>
      <c r="P83" s="127"/>
      <c r="Q83" s="127">
        <v>4.7691819999999996E-2</v>
      </c>
    </row>
    <row r="84" spans="6:18">
      <c r="F84" s="357" t="s">
        <v>394</v>
      </c>
      <c r="G84" s="127">
        <v>0</v>
      </c>
      <c r="H84" s="127">
        <v>0</v>
      </c>
      <c r="I84" s="127">
        <v>0</v>
      </c>
      <c r="J84" s="127">
        <v>0</v>
      </c>
      <c r="K84" s="127">
        <v>0</v>
      </c>
      <c r="L84" s="127">
        <v>0</v>
      </c>
      <c r="M84" s="127">
        <v>0</v>
      </c>
      <c r="N84" s="127">
        <v>0</v>
      </c>
      <c r="O84" s="127">
        <v>0</v>
      </c>
      <c r="P84" s="127"/>
      <c r="Q84" s="127">
        <v>0</v>
      </c>
      <c r="R84" s="5"/>
    </row>
    <row r="85" spans="6:18">
      <c r="F85" s="357" t="s">
        <v>395</v>
      </c>
      <c r="G85" s="127">
        <v>0</v>
      </c>
      <c r="H85" s="127">
        <v>0</v>
      </c>
      <c r="I85" s="127">
        <v>0</v>
      </c>
      <c r="J85" s="127">
        <v>0</v>
      </c>
      <c r="K85" s="127">
        <v>0</v>
      </c>
      <c r="L85" s="127">
        <v>0</v>
      </c>
      <c r="M85" s="127">
        <v>0</v>
      </c>
      <c r="N85" s="127">
        <v>0</v>
      </c>
      <c r="O85" s="127">
        <v>0</v>
      </c>
      <c r="P85" s="127"/>
      <c r="Q85" s="127">
        <v>0</v>
      </c>
      <c r="R85" s="5"/>
    </row>
    <row r="86" spans="6:18">
      <c r="F86" s="357" t="s">
        <v>397</v>
      </c>
      <c r="G86" s="127">
        <v>0</v>
      </c>
      <c r="H86" s="127">
        <v>0</v>
      </c>
      <c r="I86" s="127">
        <v>0</v>
      </c>
      <c r="J86" s="127">
        <v>0</v>
      </c>
      <c r="K86" s="127">
        <v>0</v>
      </c>
      <c r="L86" s="127">
        <v>0</v>
      </c>
      <c r="M86" s="127">
        <v>0</v>
      </c>
      <c r="N86" s="127">
        <v>0</v>
      </c>
      <c r="O86" s="127">
        <v>0</v>
      </c>
      <c r="P86" s="127"/>
      <c r="Q86" s="127">
        <v>0</v>
      </c>
      <c r="R86" s="5"/>
    </row>
    <row r="87" spans="6:18">
      <c r="F87" s="357" t="s">
        <v>407</v>
      </c>
      <c r="G87" s="127">
        <v>0</v>
      </c>
      <c r="H87" s="127">
        <v>0</v>
      </c>
      <c r="I87" s="127">
        <v>0</v>
      </c>
      <c r="J87" s="127">
        <v>2.2222222222222222E-3</v>
      </c>
      <c r="K87" s="127">
        <v>2.1527777777777778E-3</v>
      </c>
      <c r="L87" s="127">
        <v>2.0138888888888888E-3</v>
      </c>
      <c r="M87" s="127">
        <v>2.2222222222222222E-3</v>
      </c>
      <c r="N87" s="127">
        <v>2.1527777777777778E-3</v>
      </c>
      <c r="O87" s="127">
        <v>1.9444444444444444E-3</v>
      </c>
      <c r="P87" s="127"/>
      <c r="Q87" s="127">
        <v>1.2708333333333334E-2</v>
      </c>
      <c r="R87" s="5"/>
    </row>
    <row r="88" spans="6:18">
      <c r="F88" s="357" t="s">
        <v>408</v>
      </c>
      <c r="G88" s="127">
        <v>4.5830000000000003E-3</v>
      </c>
      <c r="H88" s="127">
        <v>3.8890000000000001E-3</v>
      </c>
      <c r="I88" s="127">
        <v>3.8890000000000001E-3</v>
      </c>
      <c r="J88" s="127">
        <v>4.44444E-3</v>
      </c>
      <c r="K88" s="127">
        <v>4.3055600000000008E-3</v>
      </c>
      <c r="L88" s="127">
        <v>4.0277799999999999E-3</v>
      </c>
      <c r="M88" s="127">
        <v>4.4444444444444401E-3</v>
      </c>
      <c r="N88" s="127">
        <v>4.3055555555555599E-3</v>
      </c>
      <c r="O88" s="127">
        <v>4.0292080061562298E-2</v>
      </c>
      <c r="P88" s="127"/>
      <c r="Q88" s="127">
        <v>7.4180860061562298E-2</v>
      </c>
      <c r="R88" s="5"/>
    </row>
    <row r="89" spans="6:18">
      <c r="F89" s="337" t="s">
        <v>285</v>
      </c>
      <c r="G89" s="127"/>
      <c r="H89" s="127"/>
      <c r="I89" s="127"/>
      <c r="J89" s="127"/>
      <c r="K89" s="127"/>
      <c r="L89" s="127"/>
      <c r="M89" s="127"/>
      <c r="N89" s="127"/>
      <c r="O89" s="127"/>
      <c r="P89" s="127"/>
      <c r="Q89" s="127"/>
      <c r="R89" s="5"/>
    </row>
    <row r="90" spans="6:18">
      <c r="F90" s="337" t="s">
        <v>286</v>
      </c>
      <c r="G90" s="127"/>
      <c r="H90" s="127"/>
      <c r="I90" s="127"/>
      <c r="J90" s="127"/>
      <c r="K90" s="127"/>
      <c r="L90" s="127"/>
      <c r="M90" s="127"/>
      <c r="N90" s="127"/>
      <c r="O90" s="127"/>
      <c r="P90" s="127"/>
      <c r="Q90" s="127"/>
      <c r="R90" s="5"/>
    </row>
    <row r="91" spans="6:18">
      <c r="F91" s="337" t="s">
        <v>0</v>
      </c>
      <c r="G91" s="127">
        <v>0</v>
      </c>
      <c r="H91" s="127">
        <v>0</v>
      </c>
      <c r="I91" s="127">
        <v>0</v>
      </c>
      <c r="J91" s="127">
        <v>0</v>
      </c>
      <c r="K91" s="127">
        <v>0</v>
      </c>
      <c r="L91" s="127">
        <v>0</v>
      </c>
      <c r="M91" s="127">
        <v>0</v>
      </c>
      <c r="N91" s="127">
        <v>0</v>
      </c>
      <c r="O91" s="127"/>
      <c r="P91" s="127"/>
      <c r="Q91" s="127">
        <v>0</v>
      </c>
      <c r="R91" s="5"/>
    </row>
    <row r="92" spans="6:18">
      <c r="F92" s="337" t="s">
        <v>136</v>
      </c>
      <c r="G92" s="127">
        <v>0</v>
      </c>
      <c r="H92" s="127">
        <v>0</v>
      </c>
      <c r="I92" s="127">
        <v>0.15827866451289832</v>
      </c>
      <c r="J92" s="127">
        <v>0</v>
      </c>
      <c r="K92" s="127">
        <v>0</v>
      </c>
      <c r="L92" s="127">
        <v>0.16679153256962242</v>
      </c>
      <c r="M92" s="127">
        <v>0</v>
      </c>
      <c r="N92" s="127">
        <v>0</v>
      </c>
      <c r="O92" s="127">
        <v>0.15452050279867394</v>
      </c>
      <c r="P92" s="127"/>
      <c r="Q92" s="127">
        <v>0.47959069988119463</v>
      </c>
      <c r="R92" s="5"/>
    </row>
    <row r="93" spans="6:18">
      <c r="F93" s="337" t="s">
        <v>175</v>
      </c>
      <c r="G93" s="127"/>
      <c r="H93" s="127"/>
      <c r="I93" s="127"/>
      <c r="J93" s="127"/>
      <c r="K93" s="127"/>
      <c r="L93" s="127"/>
      <c r="M93" s="127"/>
      <c r="N93" s="127"/>
      <c r="O93" s="127"/>
      <c r="P93" s="127"/>
      <c r="Q93" s="127"/>
    </row>
    <row r="94" spans="6:18">
      <c r="F94" s="337" t="s">
        <v>273</v>
      </c>
      <c r="G94" s="127"/>
      <c r="H94" s="127"/>
      <c r="I94" s="127"/>
      <c r="J94" s="127"/>
      <c r="K94" s="127"/>
      <c r="L94" s="127"/>
      <c r="M94" s="127"/>
      <c r="N94" s="127"/>
      <c r="O94" s="127"/>
      <c r="P94" s="127"/>
      <c r="Q94" s="127"/>
      <c r="R94" s="5">
        <v>0</v>
      </c>
    </row>
    <row r="95" spans="6:18">
      <c r="F95" s="337" t="s">
        <v>188</v>
      </c>
      <c r="G95" s="127">
        <v>0.15086717999999999</v>
      </c>
      <c r="H95" s="127">
        <v>0.15216589999999999</v>
      </c>
      <c r="I95" s="127">
        <v>0.04</v>
      </c>
      <c r="J95" s="127">
        <v>0.04</v>
      </c>
      <c r="K95" s="127">
        <v>0.04</v>
      </c>
      <c r="L95" s="127">
        <v>0.04</v>
      </c>
      <c r="M95" s="127">
        <v>0.04</v>
      </c>
      <c r="N95" s="127">
        <v>0.04</v>
      </c>
      <c r="O95" s="127">
        <v>0.04</v>
      </c>
      <c r="P95" s="127">
        <v>0.03</v>
      </c>
      <c r="Q95" s="127">
        <v>0.61303308000000001</v>
      </c>
      <c r="R95" s="359">
        <v>0.06</v>
      </c>
    </row>
    <row r="96" spans="6:18">
      <c r="F96" s="337" t="s">
        <v>189</v>
      </c>
      <c r="G96" s="127">
        <v>1.5367520125414792E-2</v>
      </c>
      <c r="H96" s="127">
        <v>1.2047519542541362E-2</v>
      </c>
      <c r="I96" s="127">
        <v>1.2343941370983266E-2</v>
      </c>
      <c r="J96" s="127">
        <v>1.315065561519849E-2</v>
      </c>
      <c r="K96" s="127">
        <v>1.0629262276590954E-2</v>
      </c>
      <c r="L96" s="127">
        <v>8.6047923045854957E-3</v>
      </c>
      <c r="M96" s="127">
        <v>8.2621362135580356E-3</v>
      </c>
      <c r="N96" s="127">
        <v>7.966376370417947E-3</v>
      </c>
      <c r="O96" s="127">
        <v>6.1157321335792783E-3</v>
      </c>
      <c r="P96" s="127">
        <v>5.8801082051998408E-3</v>
      </c>
      <c r="Q96" s="127">
        <v>0.10036804415806945</v>
      </c>
      <c r="R96" s="5">
        <v>0</v>
      </c>
    </row>
    <row r="97" spans="6:18">
      <c r="F97" s="337" t="s">
        <v>149</v>
      </c>
      <c r="G97" s="127">
        <v>0</v>
      </c>
      <c r="H97" s="127">
        <v>0</v>
      </c>
      <c r="I97" s="127">
        <v>2.7769500000000003E-3</v>
      </c>
      <c r="J97" s="127">
        <v>4.78576E-3</v>
      </c>
      <c r="K97" s="127">
        <v>0</v>
      </c>
      <c r="L97" s="127">
        <v>4.3001899999999997E-3</v>
      </c>
      <c r="M97" s="127">
        <v>0</v>
      </c>
      <c r="N97" s="127">
        <v>0</v>
      </c>
      <c r="O97" s="127"/>
      <c r="P97" s="127">
        <v>0.13629435499999998</v>
      </c>
      <c r="Q97" s="127">
        <v>0.14815725499999999</v>
      </c>
      <c r="R97" s="5">
        <v>0</v>
      </c>
    </row>
    <row r="98" spans="6:18">
      <c r="F98" s="337" t="s">
        <v>15</v>
      </c>
      <c r="G98" s="127"/>
      <c r="H98" s="127"/>
      <c r="I98" s="127"/>
      <c r="J98" s="127"/>
      <c r="K98" s="127"/>
      <c r="L98" s="127"/>
      <c r="M98" s="127"/>
      <c r="N98" s="127"/>
      <c r="O98" s="127"/>
      <c r="P98" s="127"/>
      <c r="Q98" s="127"/>
      <c r="R98" s="5">
        <v>0</v>
      </c>
    </row>
    <row r="99" spans="6:18">
      <c r="F99" s="337" t="s">
        <v>393</v>
      </c>
      <c r="G99" s="127">
        <v>0</v>
      </c>
      <c r="H99" s="127">
        <v>0</v>
      </c>
      <c r="I99" s="127">
        <v>0</v>
      </c>
      <c r="J99" s="127">
        <v>0</v>
      </c>
      <c r="K99" s="127">
        <v>0</v>
      </c>
      <c r="L99" s="127">
        <v>0</v>
      </c>
      <c r="M99" s="127">
        <v>0</v>
      </c>
      <c r="N99" s="127">
        <v>0</v>
      </c>
      <c r="O99" s="127">
        <v>0</v>
      </c>
      <c r="P99" s="127"/>
      <c r="Q99" s="127">
        <v>0</v>
      </c>
      <c r="R99" s="5">
        <v>0</v>
      </c>
    </row>
    <row r="100" spans="6:18">
      <c r="F100" s="337" t="s">
        <v>287</v>
      </c>
      <c r="G100" s="127"/>
      <c r="H100" s="127"/>
      <c r="I100" s="127"/>
      <c r="J100" s="127"/>
      <c r="K100" s="127"/>
      <c r="L100" s="127"/>
      <c r="M100" s="127"/>
      <c r="N100" s="127"/>
      <c r="O100" s="127"/>
      <c r="P100" s="127"/>
      <c r="Q100" s="127"/>
      <c r="R100" s="359">
        <v>0.23</v>
      </c>
    </row>
    <row r="101" spans="6:18">
      <c r="F101" s="337" t="s">
        <v>33</v>
      </c>
      <c r="G101" s="127">
        <v>0</v>
      </c>
      <c r="H101" s="127">
        <v>0</v>
      </c>
      <c r="I101" s="127">
        <v>0</v>
      </c>
      <c r="J101" s="127">
        <v>0</v>
      </c>
      <c r="K101" s="127">
        <v>0</v>
      </c>
      <c r="L101" s="127">
        <v>0</v>
      </c>
      <c r="M101" s="127">
        <v>0</v>
      </c>
      <c r="N101" s="127">
        <v>0</v>
      </c>
      <c r="O101" s="127">
        <v>0</v>
      </c>
      <c r="P101" s="127"/>
      <c r="Q101" s="127">
        <v>0</v>
      </c>
      <c r="R101" s="5">
        <v>0</v>
      </c>
    </row>
    <row r="102" spans="6:18">
      <c r="F102" s="337" t="s">
        <v>78</v>
      </c>
      <c r="G102" s="127">
        <v>0</v>
      </c>
      <c r="H102" s="127">
        <v>0</v>
      </c>
      <c r="I102" s="127">
        <v>0</v>
      </c>
      <c r="J102" s="127">
        <v>0</v>
      </c>
      <c r="K102" s="127">
        <v>0</v>
      </c>
      <c r="L102" s="127">
        <v>0</v>
      </c>
      <c r="M102" s="127">
        <v>0</v>
      </c>
      <c r="N102" s="127">
        <v>0</v>
      </c>
      <c r="O102" s="127">
        <v>0</v>
      </c>
      <c r="P102" s="127"/>
      <c r="Q102" s="127">
        <v>0</v>
      </c>
      <c r="R102" s="5"/>
    </row>
    <row r="103" spans="6:18">
      <c r="F103" s="337" t="s">
        <v>19</v>
      </c>
      <c r="G103" s="127">
        <v>0</v>
      </c>
      <c r="H103" s="127">
        <v>0</v>
      </c>
      <c r="I103" s="127">
        <v>0</v>
      </c>
      <c r="J103" s="127">
        <v>0</v>
      </c>
      <c r="K103" s="127">
        <v>0</v>
      </c>
      <c r="L103" s="127">
        <v>0</v>
      </c>
      <c r="M103" s="127">
        <v>0</v>
      </c>
      <c r="N103" s="127">
        <v>0</v>
      </c>
      <c r="O103" s="127"/>
      <c r="P103" s="127"/>
      <c r="Q103" s="127">
        <v>0</v>
      </c>
      <c r="R103" s="5"/>
    </row>
    <row r="104" spans="6:18">
      <c r="F104" s="337" t="s">
        <v>289</v>
      </c>
      <c r="G104" s="127"/>
      <c r="H104" s="127"/>
      <c r="I104" s="127"/>
      <c r="J104" s="127"/>
      <c r="K104" s="127"/>
      <c r="L104" s="127"/>
      <c r="M104" s="127"/>
      <c r="N104" s="127"/>
      <c r="O104" s="127"/>
      <c r="P104" s="127"/>
      <c r="Q104" s="127"/>
      <c r="R104" s="5"/>
    </row>
    <row r="105" spans="6:18">
      <c r="F105" s="337" t="s">
        <v>32</v>
      </c>
      <c r="G105" s="127">
        <v>0</v>
      </c>
      <c r="H105" s="127">
        <v>0</v>
      </c>
      <c r="I105" s="127">
        <v>0</v>
      </c>
      <c r="J105" s="127">
        <v>0</v>
      </c>
      <c r="K105" s="127">
        <v>0</v>
      </c>
      <c r="L105" s="127">
        <v>0</v>
      </c>
      <c r="M105" s="127">
        <v>0</v>
      </c>
      <c r="N105" s="127">
        <v>0</v>
      </c>
      <c r="O105" s="127">
        <v>0</v>
      </c>
      <c r="P105" s="127">
        <v>0</v>
      </c>
      <c r="Q105" s="127">
        <v>0</v>
      </c>
      <c r="R105" s="5">
        <v>0.01</v>
      </c>
    </row>
    <row r="106" spans="6:18">
      <c r="F106" s="337" t="s">
        <v>288</v>
      </c>
      <c r="G106" s="127"/>
      <c r="H106" s="127"/>
      <c r="I106" s="127"/>
      <c r="J106" s="127"/>
      <c r="K106" s="127"/>
      <c r="L106" s="127"/>
      <c r="M106" s="127"/>
      <c r="N106" s="127"/>
      <c r="O106" s="127"/>
      <c r="P106" s="127"/>
      <c r="Q106" s="127"/>
      <c r="R106" s="5"/>
    </row>
    <row r="107" spans="6:18">
      <c r="F107" s="337" t="s">
        <v>83</v>
      </c>
      <c r="G107" s="127">
        <v>0</v>
      </c>
      <c r="H107" s="127">
        <v>0</v>
      </c>
      <c r="I107" s="127">
        <v>0</v>
      </c>
      <c r="J107" s="127">
        <v>0</v>
      </c>
      <c r="K107" s="127">
        <v>0</v>
      </c>
      <c r="L107" s="127">
        <v>0</v>
      </c>
      <c r="M107" s="127">
        <v>0</v>
      </c>
      <c r="N107" s="127">
        <v>0</v>
      </c>
      <c r="O107" s="127">
        <v>0</v>
      </c>
      <c r="P107" s="127"/>
      <c r="Q107" s="127">
        <v>0</v>
      </c>
      <c r="R107" s="359">
        <v>0</v>
      </c>
    </row>
    <row r="108" spans="6:18">
      <c r="F108" s="337" t="s">
        <v>163</v>
      </c>
      <c r="G108" s="127">
        <v>0</v>
      </c>
      <c r="H108" s="127">
        <v>0</v>
      </c>
      <c r="I108" s="127">
        <v>0</v>
      </c>
      <c r="J108" s="127">
        <v>0</v>
      </c>
      <c r="K108" s="127">
        <v>0</v>
      </c>
      <c r="L108" s="127">
        <v>0</v>
      </c>
      <c r="M108" s="127">
        <v>0</v>
      </c>
      <c r="N108" s="127">
        <v>0</v>
      </c>
      <c r="O108" s="127"/>
      <c r="P108" s="127"/>
      <c r="Q108" s="127">
        <v>0</v>
      </c>
      <c r="R108" s="5"/>
    </row>
    <row r="109" spans="6:18">
      <c r="F109" s="337" t="s">
        <v>35</v>
      </c>
      <c r="G109" s="127">
        <v>0</v>
      </c>
      <c r="H109" s="127">
        <v>0</v>
      </c>
      <c r="I109" s="127">
        <v>0</v>
      </c>
      <c r="J109" s="127">
        <v>0</v>
      </c>
      <c r="K109" s="127">
        <v>0</v>
      </c>
      <c r="L109" s="127">
        <v>0</v>
      </c>
      <c r="M109" s="127">
        <v>0</v>
      </c>
      <c r="N109" s="127">
        <v>0</v>
      </c>
      <c r="O109" s="127">
        <v>0</v>
      </c>
      <c r="P109" s="127">
        <v>0</v>
      </c>
      <c r="Q109" s="127">
        <v>0</v>
      </c>
      <c r="R109" s="5"/>
    </row>
    <row r="110" spans="6:18">
      <c r="F110" s="337" t="s">
        <v>165</v>
      </c>
      <c r="G110" s="127">
        <v>0</v>
      </c>
      <c r="H110" s="127">
        <v>0</v>
      </c>
      <c r="I110" s="127">
        <v>0</v>
      </c>
      <c r="J110" s="127">
        <v>0</v>
      </c>
      <c r="K110" s="127">
        <v>0</v>
      </c>
      <c r="L110" s="127">
        <v>0</v>
      </c>
      <c r="M110" s="127"/>
      <c r="N110" s="127"/>
      <c r="O110" s="127"/>
      <c r="P110" s="127"/>
      <c r="Q110" s="127">
        <v>0</v>
      </c>
      <c r="R110" s="5"/>
    </row>
    <row r="111" spans="6:18">
      <c r="F111" s="337" t="s">
        <v>82</v>
      </c>
      <c r="G111" s="127">
        <v>0</v>
      </c>
      <c r="H111" s="127">
        <v>0</v>
      </c>
      <c r="I111" s="127">
        <v>0</v>
      </c>
      <c r="J111" s="127">
        <v>0</v>
      </c>
      <c r="K111" s="127">
        <v>0</v>
      </c>
      <c r="L111" s="127">
        <v>0</v>
      </c>
      <c r="M111" s="127">
        <v>0</v>
      </c>
      <c r="N111" s="127">
        <v>0</v>
      </c>
      <c r="O111" s="127">
        <v>0</v>
      </c>
      <c r="P111" s="127"/>
      <c r="Q111" s="127">
        <v>0</v>
      </c>
      <c r="R111" s="5"/>
    </row>
    <row r="112" spans="6:18">
      <c r="F112" s="337" t="s">
        <v>394</v>
      </c>
      <c r="G112" s="127">
        <v>0</v>
      </c>
      <c r="H112" s="127">
        <v>0</v>
      </c>
      <c r="I112" s="127">
        <v>0</v>
      </c>
      <c r="J112" s="127">
        <v>0</v>
      </c>
      <c r="K112" s="127">
        <v>0</v>
      </c>
      <c r="L112" s="127">
        <v>0</v>
      </c>
      <c r="M112" s="127">
        <v>0</v>
      </c>
      <c r="N112" s="127">
        <v>0</v>
      </c>
      <c r="O112" s="127">
        <v>0</v>
      </c>
      <c r="P112" s="127"/>
      <c r="Q112" s="127">
        <v>0</v>
      </c>
      <c r="R112" s="5"/>
    </row>
    <row r="113" spans="6:18">
      <c r="F113" s="337" t="s">
        <v>395</v>
      </c>
      <c r="G113" s="127">
        <v>0</v>
      </c>
      <c r="H113" s="127">
        <v>0</v>
      </c>
      <c r="I113" s="127">
        <v>0</v>
      </c>
      <c r="J113" s="127">
        <v>0</v>
      </c>
      <c r="K113" s="127">
        <v>0</v>
      </c>
      <c r="L113" s="127">
        <v>0</v>
      </c>
      <c r="M113" s="127">
        <v>0</v>
      </c>
      <c r="N113" s="127">
        <v>0</v>
      </c>
      <c r="O113" s="127">
        <v>0</v>
      </c>
      <c r="P113" s="127"/>
      <c r="Q113" s="127">
        <v>0</v>
      </c>
      <c r="R113" s="5"/>
    </row>
    <row r="114" spans="6:18">
      <c r="F114" s="337" t="s">
        <v>397</v>
      </c>
      <c r="G114" s="127">
        <v>0</v>
      </c>
      <c r="H114" s="127">
        <v>0</v>
      </c>
      <c r="I114" s="127">
        <v>0</v>
      </c>
      <c r="J114" s="127">
        <v>0</v>
      </c>
      <c r="K114" s="127">
        <v>0</v>
      </c>
      <c r="L114" s="127">
        <v>0</v>
      </c>
      <c r="M114" s="127">
        <v>0</v>
      </c>
      <c r="N114" s="127">
        <v>0</v>
      </c>
      <c r="O114" s="127">
        <v>0</v>
      </c>
      <c r="P114" s="127"/>
      <c r="Q114" s="127">
        <v>0</v>
      </c>
      <c r="R114" s="5"/>
    </row>
    <row r="115" spans="6:18">
      <c r="F115" s="337" t="s">
        <v>407</v>
      </c>
      <c r="G115" s="127">
        <v>0</v>
      </c>
      <c r="H115" s="127">
        <v>0</v>
      </c>
      <c r="I115" s="127">
        <v>0</v>
      </c>
      <c r="J115" s="127">
        <v>0</v>
      </c>
      <c r="K115" s="127">
        <v>0</v>
      </c>
      <c r="L115" s="127">
        <v>0</v>
      </c>
      <c r="M115" s="127">
        <v>0</v>
      </c>
      <c r="N115" s="127">
        <v>0</v>
      </c>
      <c r="O115" s="127">
        <v>0</v>
      </c>
      <c r="P115" s="127"/>
      <c r="Q115" s="127">
        <v>0</v>
      </c>
      <c r="R115" s="5"/>
    </row>
    <row r="116" spans="6:18">
      <c r="F116" s="337" t="s">
        <v>408</v>
      </c>
      <c r="G116" s="127">
        <v>0</v>
      </c>
      <c r="H116" s="127">
        <v>0</v>
      </c>
      <c r="I116" s="127">
        <v>0</v>
      </c>
      <c r="J116" s="127">
        <v>0</v>
      </c>
      <c r="K116" s="127">
        <v>0</v>
      </c>
      <c r="L116" s="127">
        <v>0</v>
      </c>
      <c r="M116" s="127">
        <v>0</v>
      </c>
      <c r="N116" s="127">
        <v>0</v>
      </c>
      <c r="O116" s="127">
        <v>0</v>
      </c>
      <c r="P116" s="127"/>
      <c r="Q116" s="127">
        <v>0</v>
      </c>
      <c r="R116" s="5"/>
    </row>
    <row r="117" spans="6:18">
      <c r="F117" s="24" t="s">
        <v>357</v>
      </c>
      <c r="G117" s="129">
        <v>1332179614.8410006</v>
      </c>
      <c r="H117" s="129">
        <v>1344764502.34431</v>
      </c>
      <c r="I117" s="129">
        <v>1329296539.0179188</v>
      </c>
      <c r="J117" s="129">
        <v>1317285185.758733</v>
      </c>
      <c r="K117" s="129">
        <v>1501527540.4367473</v>
      </c>
      <c r="L117" s="129">
        <v>1497433986.3644345</v>
      </c>
      <c r="M117" s="129">
        <v>1434131939.6869209</v>
      </c>
      <c r="N117" s="129">
        <v>1964555880.6554031</v>
      </c>
      <c r="O117" s="129">
        <v>1431757502.3127632</v>
      </c>
      <c r="P117" s="129">
        <v>1269694537.1796439</v>
      </c>
      <c r="Q117" s="129">
        <v>14422627228.597878</v>
      </c>
      <c r="R117" s="5"/>
    </row>
    <row r="118" spans="6:18">
      <c r="F118" s="24" t="s">
        <v>353</v>
      </c>
      <c r="G118" s="127">
        <v>4.8387516780452344</v>
      </c>
      <c r="H118" s="127">
        <v>5.0535179272159381</v>
      </c>
      <c r="I118" s="127">
        <v>12.193921290163585</v>
      </c>
      <c r="J118" s="127">
        <v>10.550895519097367</v>
      </c>
      <c r="K118" s="127">
        <v>11.038553449847402</v>
      </c>
      <c r="L118" s="127">
        <v>12.587456256377795</v>
      </c>
      <c r="M118" s="127">
        <v>12.410925742652488</v>
      </c>
      <c r="N118" s="127">
        <v>12.192709220552088</v>
      </c>
      <c r="O118" s="127">
        <v>11.098761344862909</v>
      </c>
      <c r="P118" s="127">
        <v>8.6509460592835961</v>
      </c>
      <c r="Q118" s="127">
        <v>100.6164384880984</v>
      </c>
      <c r="R118" s="5"/>
    </row>
    <row r="119" spans="6:18">
      <c r="F119" s="24" t="s">
        <v>391</v>
      </c>
      <c r="G119" s="127">
        <v>0.27138811415666664</v>
      </c>
      <c r="H119" s="127">
        <v>0.25395715364222221</v>
      </c>
      <c r="I119" s="127">
        <v>0.95621498657222059</v>
      </c>
      <c r="J119" s="127">
        <v>0.2744501573781466</v>
      </c>
      <c r="K119" s="127">
        <v>0.27574901691840659</v>
      </c>
      <c r="L119" s="127">
        <v>0.99807212003111112</v>
      </c>
      <c r="M119" s="127">
        <v>0.27664215808458864</v>
      </c>
      <c r="N119" s="127">
        <v>0.35043120305566233</v>
      </c>
      <c r="O119" s="127">
        <v>1.1130071135977797</v>
      </c>
      <c r="P119" s="127">
        <v>0.79828579716980541</v>
      </c>
      <c r="Q119" s="127">
        <v>5.5681978206066089</v>
      </c>
      <c r="R119" s="5"/>
    </row>
    <row r="120" spans="6:18">
      <c r="F120" s="24" t="s">
        <v>354</v>
      </c>
      <c r="G120" s="127">
        <v>0.16623470012541477</v>
      </c>
      <c r="H120" s="127">
        <v>0.16421341954254134</v>
      </c>
      <c r="I120" s="127">
        <v>0.2133995558838816</v>
      </c>
      <c r="J120" s="127">
        <v>5.7936415615198494E-2</v>
      </c>
      <c r="K120" s="127">
        <v>5.0629262276590953E-2</v>
      </c>
      <c r="L120" s="127">
        <v>0.21969651487420794</v>
      </c>
      <c r="M120" s="127">
        <v>4.8262136213558036E-2</v>
      </c>
      <c r="N120" s="127">
        <v>4.7966376370417951E-2</v>
      </c>
      <c r="O120" s="127">
        <v>0.20063623493225322</v>
      </c>
      <c r="P120" s="127">
        <v>0.1721744632051998</v>
      </c>
      <c r="Q120" s="127">
        <v>1.3411490790392642</v>
      </c>
      <c r="R120" s="5"/>
    </row>
    <row r="121" spans="6:18">
      <c r="R121" s="5"/>
    </row>
    <row r="122" spans="6:18">
      <c r="R122" s="5"/>
    </row>
    <row r="123" spans="6:18">
      <c r="R123" s="5">
        <v>0</v>
      </c>
    </row>
    <row r="124" spans="6:18">
      <c r="R124" s="5">
        <v>6.44</v>
      </c>
    </row>
    <row r="125" spans="6:18">
      <c r="R125" s="359">
        <v>0.96</v>
      </c>
    </row>
    <row r="126" spans="6:18">
      <c r="R126" s="359">
        <v>0.03</v>
      </c>
    </row>
    <row r="127" spans="6:18">
      <c r="R127" s="5">
        <v>0.67</v>
      </c>
    </row>
    <row r="128" spans="6:18">
      <c r="R128" s="5">
        <v>0.31</v>
      </c>
    </row>
    <row r="129" spans="18:18">
      <c r="R129" s="5">
        <v>0</v>
      </c>
    </row>
    <row r="130" spans="18:18">
      <c r="R130" s="5">
        <v>0</v>
      </c>
    </row>
    <row r="131" spans="18:18">
      <c r="R131" s="5"/>
    </row>
    <row r="132" spans="18:18">
      <c r="R132" s="5"/>
    </row>
    <row r="133" spans="18:18">
      <c r="R133" s="5"/>
    </row>
    <row r="134" spans="18:18">
      <c r="R134" s="5">
        <v>0</v>
      </c>
    </row>
    <row r="135" spans="18:18">
      <c r="R135" s="5"/>
    </row>
    <row r="136" spans="18:18">
      <c r="R136" s="5">
        <v>0</v>
      </c>
    </row>
    <row r="137" spans="18:18">
      <c r="R137" s="5"/>
    </row>
    <row r="138" spans="18:18">
      <c r="R138" s="5"/>
    </row>
    <row r="139" spans="18:18">
      <c r="R139" s="5"/>
    </row>
    <row r="140" spans="18:18">
      <c r="R140" s="5"/>
    </row>
    <row r="141" spans="18:18">
      <c r="R141" s="5"/>
    </row>
    <row r="142" spans="18:18">
      <c r="R142" s="5"/>
    </row>
    <row r="143" spans="18:18">
      <c r="R143" s="5"/>
    </row>
    <row r="144" spans="18:18">
      <c r="R144" s="5"/>
    </row>
    <row r="145" spans="18:18">
      <c r="R145" s="5"/>
    </row>
    <row r="146" spans="18:18">
      <c r="R146" s="5"/>
    </row>
    <row r="147" spans="18:18">
      <c r="R147" s="5"/>
    </row>
    <row r="148" spans="18:18">
      <c r="R148" s="5"/>
    </row>
    <row r="149" spans="18:18">
      <c r="R149" s="5"/>
    </row>
    <row r="150" spans="18:18">
      <c r="R150" s="5"/>
    </row>
    <row r="151" spans="18:18">
      <c r="R151" s="5">
        <v>0</v>
      </c>
    </row>
    <row r="152" spans="18:18">
      <c r="R152" s="5">
        <v>0</v>
      </c>
    </row>
    <row r="153" spans="18:18">
      <c r="R153" s="5">
        <v>0</v>
      </c>
    </row>
    <row r="154" spans="18:18">
      <c r="R154" s="5">
        <v>0</v>
      </c>
    </row>
    <row r="155" spans="18:18">
      <c r="R155" s="359">
        <v>0.04</v>
      </c>
    </row>
    <row r="156" spans="18:18">
      <c r="R156" s="359">
        <v>0.01</v>
      </c>
    </row>
    <row r="157" spans="18:18">
      <c r="R157" s="5">
        <v>0</v>
      </c>
    </row>
    <row r="158" spans="18:18">
      <c r="R158" s="5">
        <v>0</v>
      </c>
    </row>
    <row r="159" spans="18:18">
      <c r="R159" s="5"/>
    </row>
    <row r="160" spans="18:18">
      <c r="R160" s="5"/>
    </row>
    <row r="161" spans="18:18">
      <c r="R161" s="5"/>
    </row>
    <row r="162" spans="18:18">
      <c r="R162" s="5">
        <v>0</v>
      </c>
    </row>
    <row r="163" spans="18:18">
      <c r="R163" s="5"/>
    </row>
    <row r="164" spans="18:18">
      <c r="R164" s="5">
        <v>0</v>
      </c>
    </row>
    <row r="165" spans="18:18">
      <c r="R165" s="5"/>
    </row>
    <row r="166" spans="18:18">
      <c r="R166" s="5"/>
    </row>
    <row r="167" spans="18:18">
      <c r="R167" s="5"/>
    </row>
    <row r="168" spans="18:18">
      <c r="R168" s="5"/>
    </row>
    <row r="169" spans="18:18">
      <c r="R169" s="5"/>
    </row>
    <row r="170" spans="18:18">
      <c r="R170" s="5"/>
    </row>
    <row r="171" spans="18:18">
      <c r="R171" s="5"/>
    </row>
    <row r="172" spans="18:18">
      <c r="R172" s="5"/>
    </row>
    <row r="173" spans="18:18">
      <c r="R173" s="5"/>
    </row>
    <row r="174" spans="18:18">
      <c r="R174" s="5"/>
    </row>
    <row r="175" spans="18:18">
      <c r="R175" s="5"/>
    </row>
    <row r="176" spans="18:18">
      <c r="R176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G201"/>
  <sheetViews>
    <sheetView view="pageBreakPreview" zoomScaleNormal="100" zoomScaleSheetLayoutView="100" workbookViewId="0">
      <pane xSplit="2" ySplit="6" topLeftCell="C32" activePane="bottomRight" state="frozen"/>
      <selection pane="topRight" activeCell="C1" sqref="C1"/>
      <selection pane="bottomLeft" activeCell="A7" sqref="A7"/>
      <selection pane="bottomRight" activeCell="X46" sqref="X46"/>
    </sheetView>
  </sheetViews>
  <sheetFormatPr defaultColWidth="9.42578125" defaultRowHeight="12.75" outlineLevelCol="1"/>
  <cols>
    <col min="1" max="1" width="16.42578125" style="36" hidden="1" customWidth="1" outlineLevel="1"/>
    <col min="2" max="2" width="36.5703125" style="36" customWidth="1" collapsed="1"/>
    <col min="3" max="3" width="9.5703125" style="36" customWidth="1"/>
    <col min="4" max="4" width="9.42578125" style="36" hidden="1" customWidth="1" outlineLevel="1"/>
    <col min="5" max="5" width="9.42578125" style="36" hidden="1" customWidth="1" outlineLevel="1" collapsed="1"/>
    <col min="6" max="6" width="8.5703125" style="36" hidden="1" customWidth="1" outlineLevel="1"/>
    <col min="7" max="7" width="12.42578125" style="36" customWidth="1" collapsed="1"/>
    <col min="8" max="8" width="1.5703125" style="36" customWidth="1"/>
    <col min="9" max="9" width="12.42578125" style="36" customWidth="1"/>
    <col min="10" max="10" width="8.42578125" style="36" customWidth="1"/>
    <col min="11" max="11" width="2" style="36" customWidth="1"/>
    <col min="12" max="12" width="10.5703125" style="36" hidden="1" customWidth="1" outlineLevel="1"/>
    <col min="13" max="13" width="8.5703125" style="36" hidden="1" customWidth="1" outlineLevel="1"/>
    <col min="14" max="14" width="1.5703125" style="36" hidden="1" customWidth="1" outlineLevel="1"/>
    <col min="15" max="16" width="8.5703125" style="36" hidden="1" customWidth="1" outlineLevel="1"/>
    <col min="17" max="17" width="1.5703125" style="36" hidden="1" customWidth="1" outlineLevel="1"/>
    <col min="18" max="19" width="8.5703125" style="36" hidden="1" customWidth="1" outlineLevel="1"/>
    <col min="20" max="20" width="1.5703125" style="36" hidden="1" customWidth="1" outlineLevel="1"/>
    <col min="21" max="22" width="8.5703125" style="36" hidden="1" customWidth="1" outlineLevel="1"/>
    <col min="23" max="23" width="1.5703125" style="36" hidden="1" customWidth="1" outlineLevel="1"/>
    <col min="24" max="24" width="12.5703125" style="36" customWidth="1" collapsed="1"/>
    <col min="25" max="26" width="8.5703125" style="36" customWidth="1"/>
    <col min="27" max="27" width="9.140625" style="36" customWidth="1"/>
    <col min="28" max="28" width="8.5703125" style="36" hidden="1" customWidth="1" outlineLevel="1"/>
    <col min="29" max="29" width="10.42578125" style="36" customWidth="1" collapsed="1"/>
    <col min="30" max="30" width="11.5703125" style="36" customWidth="1"/>
    <col min="31" max="31" width="1.5703125" style="36" hidden="1" customWidth="1" outlineLevel="1"/>
    <col min="32" max="32" width="8.5703125" style="332" hidden="1" customWidth="1" outlineLevel="1"/>
    <col min="33" max="33" width="21.42578125" style="332" hidden="1" customWidth="1" outlineLevel="1"/>
    <col min="34" max="34" width="1.5703125" style="36" customWidth="1" collapsed="1"/>
    <col min="35" max="38" width="9.42578125" style="36"/>
    <col min="39" max="41" width="11" style="36" bestFit="1" customWidth="1"/>
    <col min="42" max="47" width="12" style="36" customWidth="1"/>
    <col min="48" max="48" width="12" style="85" customWidth="1"/>
    <col min="49" max="51" width="12" style="36" customWidth="1"/>
    <col min="52" max="53" width="9.5703125" style="36" customWidth="1"/>
    <col min="54" max="16384" width="9.42578125" style="36"/>
  </cols>
  <sheetData>
    <row r="1" spans="1:59" s="34" customFormat="1" ht="61.5" customHeight="1">
      <c r="A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7"/>
      <c r="Y1" s="207"/>
      <c r="Z1" s="207"/>
      <c r="AA1" s="207"/>
      <c r="AB1" s="204"/>
      <c r="AC1" s="204"/>
      <c r="AD1" s="204"/>
      <c r="AE1" s="204"/>
      <c r="AF1" s="204"/>
      <c r="AG1" s="204"/>
      <c r="AH1" s="204"/>
      <c r="AI1" s="124"/>
      <c r="AV1" s="83"/>
    </row>
    <row r="2" spans="1:59" s="34" customFormat="1" ht="8.25" customHeight="1">
      <c r="A2" s="204"/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7"/>
      <c r="Y2" s="207"/>
      <c r="Z2" s="207"/>
      <c r="AA2" s="207"/>
      <c r="AB2" s="204"/>
      <c r="AC2" s="204"/>
      <c r="AD2" s="204"/>
      <c r="AE2" s="204"/>
      <c r="AF2" s="204"/>
      <c r="AG2" s="204"/>
      <c r="AH2" s="204"/>
      <c r="AI2" s="122"/>
      <c r="AV2" s="83"/>
    </row>
    <row r="3" spans="1:59" s="35" customFormat="1">
      <c r="A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364" t="s">
        <v>416</v>
      </c>
      <c r="P3" s="203"/>
      <c r="Q3" s="203"/>
      <c r="R3" s="203"/>
      <c r="S3" s="203"/>
      <c r="T3" s="203"/>
      <c r="U3" s="203"/>
      <c r="V3" s="203"/>
      <c r="W3" s="203"/>
      <c r="X3" s="208"/>
      <c r="Y3" s="208"/>
      <c r="Z3" s="208"/>
      <c r="AA3" s="208"/>
      <c r="AB3" s="203"/>
      <c r="AC3" s="204" t="s">
        <v>226</v>
      </c>
      <c r="AD3" s="213">
        <v>43496</v>
      </c>
      <c r="AE3" s="203"/>
      <c r="AF3" s="203"/>
      <c r="AG3" s="203"/>
      <c r="AH3" s="203"/>
      <c r="AI3" s="118"/>
      <c r="AV3" s="84"/>
    </row>
    <row r="4" spans="1:59" ht="8.25" customHeight="1">
      <c r="A4" s="195"/>
      <c r="B4" s="204"/>
      <c r="C4" s="206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P4" s="203"/>
      <c r="Q4" s="203"/>
      <c r="R4" s="203"/>
      <c r="S4" s="203"/>
      <c r="T4" s="203"/>
      <c r="U4" s="203"/>
      <c r="V4" s="203"/>
      <c r="W4" s="203"/>
      <c r="X4" s="208"/>
      <c r="Y4" s="208"/>
      <c r="Z4" s="208"/>
      <c r="AA4" s="208"/>
      <c r="AB4" s="195"/>
      <c r="AC4" s="195"/>
      <c r="AD4" s="195"/>
      <c r="AE4" s="203"/>
      <c r="AF4" s="329"/>
      <c r="AG4" s="329"/>
      <c r="AH4" s="195"/>
      <c r="AI4" s="119"/>
    </row>
    <row r="5" spans="1:59" ht="22.5" customHeight="1">
      <c r="A5" s="259"/>
      <c r="B5" s="260"/>
      <c r="C5" s="265" t="s">
        <v>225</v>
      </c>
      <c r="D5" s="265"/>
      <c r="E5" s="265"/>
      <c r="F5" s="265"/>
      <c r="G5" s="265"/>
      <c r="H5" s="265"/>
      <c r="I5" s="265"/>
      <c r="J5" s="265"/>
      <c r="K5" s="265"/>
      <c r="L5" s="265"/>
      <c r="M5" s="266"/>
      <c r="N5" s="266"/>
      <c r="O5" s="265" t="s">
        <v>110</v>
      </c>
      <c r="P5" s="265"/>
      <c r="Q5" s="266"/>
      <c r="R5" s="265" t="s">
        <v>111</v>
      </c>
      <c r="S5" s="265"/>
      <c r="T5" s="267"/>
      <c r="U5" s="268" t="s">
        <v>112</v>
      </c>
      <c r="V5" s="268"/>
      <c r="W5" s="267"/>
      <c r="X5" s="265" t="s">
        <v>254</v>
      </c>
      <c r="Y5" s="265"/>
      <c r="Z5" s="265"/>
      <c r="AA5" s="265"/>
      <c r="AB5" s="265"/>
      <c r="AC5" s="265"/>
      <c r="AD5" s="265"/>
      <c r="AE5" s="62"/>
      <c r="AF5" s="61" t="s">
        <v>152</v>
      </c>
      <c r="AG5" s="61"/>
      <c r="AH5" s="195"/>
      <c r="AM5" s="52" t="s">
        <v>130</v>
      </c>
      <c r="AN5" s="36" t="s">
        <v>131</v>
      </c>
      <c r="AO5" s="36" t="s">
        <v>132</v>
      </c>
      <c r="AP5" s="60"/>
      <c r="AQ5" s="60"/>
      <c r="AR5" s="60"/>
      <c r="AS5" s="126" t="s">
        <v>181</v>
      </c>
      <c r="AT5" s="60"/>
      <c r="AU5" s="60"/>
      <c r="AV5" s="60"/>
    </row>
    <row r="6" spans="1:59" s="180" customFormat="1" ht="51.75" customHeight="1">
      <c r="A6" s="261" t="s">
        <v>113</v>
      </c>
      <c r="B6" s="262" t="s">
        <v>243</v>
      </c>
      <c r="C6" s="263" t="s">
        <v>114</v>
      </c>
      <c r="D6" s="263" t="s">
        <v>119</v>
      </c>
      <c r="E6" s="263" t="s">
        <v>242</v>
      </c>
      <c r="F6" s="263" t="s">
        <v>253</v>
      </c>
      <c r="G6" s="263" t="s">
        <v>252</v>
      </c>
      <c r="H6" s="263"/>
      <c r="I6" s="263" t="s">
        <v>345</v>
      </c>
      <c r="J6" s="263" t="s">
        <v>346</v>
      </c>
      <c r="K6" s="263"/>
      <c r="L6" s="263" t="s">
        <v>185</v>
      </c>
      <c r="M6" s="263" t="s">
        <v>186</v>
      </c>
      <c r="N6" s="263"/>
      <c r="O6" s="263" t="s">
        <v>116</v>
      </c>
      <c r="P6" s="263" t="s">
        <v>117</v>
      </c>
      <c r="Q6" s="263"/>
      <c r="R6" s="263" t="s">
        <v>10</v>
      </c>
      <c r="S6" s="263" t="s">
        <v>11</v>
      </c>
      <c r="T6" s="263"/>
      <c r="U6" s="263" t="s">
        <v>10</v>
      </c>
      <c r="V6" s="263" t="s">
        <v>11</v>
      </c>
      <c r="W6" s="263"/>
      <c r="X6" s="263" t="s">
        <v>244</v>
      </c>
      <c r="Y6" s="263" t="s">
        <v>248</v>
      </c>
      <c r="Z6" s="263" t="s">
        <v>249</v>
      </c>
      <c r="AA6" s="263" t="s">
        <v>245</v>
      </c>
      <c r="AB6" s="263" t="s">
        <v>118</v>
      </c>
      <c r="AC6" s="263" t="s">
        <v>246</v>
      </c>
      <c r="AD6" s="264" t="s">
        <v>247</v>
      </c>
      <c r="AE6" s="39"/>
      <c r="AF6" s="39" t="s">
        <v>10</v>
      </c>
      <c r="AG6" s="39" t="s">
        <v>11</v>
      </c>
      <c r="AH6" s="209"/>
      <c r="AI6" s="181" t="s">
        <v>127</v>
      </c>
      <c r="AJ6" s="182" t="s">
        <v>128</v>
      </c>
      <c r="AK6" s="67" t="s">
        <v>129</v>
      </c>
      <c r="AM6" s="183">
        <f>AD3</f>
        <v>43496</v>
      </c>
      <c r="AN6" s="183">
        <f>EOMONTH(AM6,-1)</f>
        <v>43465</v>
      </c>
      <c r="AO6" s="183">
        <f>EOMONTH(AM6,-MONTH(AM6))</f>
        <v>43465</v>
      </c>
      <c r="AP6" s="81" t="s">
        <v>133</v>
      </c>
      <c r="AQ6" s="81" t="s">
        <v>134</v>
      </c>
      <c r="AR6" s="81" t="s">
        <v>135</v>
      </c>
      <c r="AS6" s="81" t="s">
        <v>158</v>
      </c>
      <c r="AT6" s="81" t="s">
        <v>159</v>
      </c>
      <c r="AU6" s="81" t="s">
        <v>156</v>
      </c>
      <c r="AV6" s="86" t="s">
        <v>157</v>
      </c>
      <c r="AW6" s="81" t="s">
        <v>167</v>
      </c>
      <c r="AX6" s="81" t="s">
        <v>168</v>
      </c>
      <c r="AY6" s="81" t="s">
        <v>169</v>
      </c>
      <c r="AZ6" s="81" t="s">
        <v>170</v>
      </c>
      <c r="BA6" s="86" t="s">
        <v>171</v>
      </c>
    </row>
    <row r="7" spans="1:59" ht="15">
      <c r="A7" s="205"/>
      <c r="B7" s="239" t="s">
        <v>241</v>
      </c>
      <c r="C7" s="240"/>
      <c r="D7" s="241"/>
      <c r="E7" s="242">
        <f ca="1">SUM(E8:E10)</f>
        <v>444.265742424</v>
      </c>
      <c r="F7" s="243"/>
      <c r="G7" s="294">
        <f ca="1">SUM(G8:G10)</f>
        <v>444.265742424</v>
      </c>
      <c r="H7" s="294"/>
      <c r="I7" s="294"/>
      <c r="J7" s="244"/>
      <c r="K7" s="244"/>
      <c r="L7" s="241"/>
      <c r="M7" s="241"/>
      <c r="N7" s="245"/>
      <c r="O7" s="246"/>
      <c r="P7" s="246"/>
      <c r="Q7" s="241"/>
      <c r="R7" s="246"/>
      <c r="S7" s="246"/>
      <c r="T7" s="247"/>
      <c r="U7" s="248"/>
      <c r="V7" s="247"/>
      <c r="W7" s="245"/>
      <c r="X7" s="249"/>
      <c r="Y7" s="249"/>
      <c r="Z7" s="249"/>
      <c r="AA7" s="250"/>
      <c r="AB7" s="251"/>
      <c r="AC7" s="251"/>
      <c r="AD7" s="252"/>
      <c r="AE7" s="195"/>
      <c r="AF7" s="330"/>
      <c r="AG7" s="330"/>
      <c r="AH7" s="195"/>
      <c r="AI7" s="115"/>
      <c r="AJ7" s="69"/>
      <c r="AK7" s="70"/>
      <c r="AL7" s="55"/>
      <c r="AM7" s="55"/>
      <c r="AN7" s="55"/>
      <c r="AO7" s="55"/>
      <c r="AP7" s="58"/>
      <c r="AQ7" s="58"/>
      <c r="AR7" s="58"/>
      <c r="AS7" s="58"/>
      <c r="AT7" s="55"/>
      <c r="AU7" s="58"/>
      <c r="AV7" s="58"/>
      <c r="AX7" s="58" t="s">
        <v>178</v>
      </c>
      <c r="AY7" s="58"/>
      <c r="AZ7" s="58"/>
      <c r="BA7" s="58"/>
      <c r="BB7" s="42"/>
      <c r="BC7" s="42"/>
      <c r="BD7" s="42"/>
      <c r="BE7" s="43"/>
      <c r="BF7" s="50"/>
      <c r="BG7" s="43"/>
    </row>
    <row r="8" spans="1:59" ht="15">
      <c r="A8" s="211" t="s">
        <v>136</v>
      </c>
      <c r="B8" s="215" t="s">
        <v>216</v>
      </c>
      <c r="C8" s="216">
        <f ca="1">INDIRECT($C$46&amp;$AI8)</f>
        <v>41578</v>
      </c>
      <c r="D8" s="217">
        <f ca="1">E8+O8+P8</f>
        <v>234.27002613410002</v>
      </c>
      <c r="E8" s="218">
        <f ca="1">AX8/1000000</f>
        <v>234.27002613410002</v>
      </c>
      <c r="F8" s="219">
        <f ca="1">SUMIF($G$58:$G$106,$A8,F$58:F$106)</f>
        <v>0</v>
      </c>
      <c r="G8" s="295">
        <f ca="1">E8-F8</f>
        <v>234.27002613410002</v>
      </c>
      <c r="H8" s="295" t="s">
        <v>430</v>
      </c>
      <c r="I8" s="218">
        <f>SUMIF(Data!$B$3:$B$3990,Summary!A8,Data!$G$3:$G$3990)/1000000</f>
        <v>172.74100000000001</v>
      </c>
      <c r="J8" s="218">
        <v>0</v>
      </c>
      <c r="K8" s="218"/>
      <c r="L8" s="217">
        <f ca="1">HLOOKUP(A8,'Peak NAV'!$C$2:$AZ$3,2,0)/1000000</f>
        <v>254.7384781101</v>
      </c>
      <c r="M8" s="220">
        <f ca="1">HLOOKUP(A8,'Peak NAV'!$C$2:$AZ$4,3,0)</f>
        <v>43100</v>
      </c>
      <c r="N8" s="221"/>
      <c r="O8" s="222">
        <f t="shared" ref="O8:P9" ca="1" si="0">SUMIF($G$58:$G$172,$A8,O$58:O$172)</f>
        <v>0</v>
      </c>
      <c r="P8" s="222">
        <f t="shared" ca="1" si="0"/>
        <v>0</v>
      </c>
      <c r="Q8" s="217"/>
      <c r="R8" s="222">
        <f ca="1">SUMIF($G$58:$G$125,$A8,R$58:R$125)</f>
        <v>0</v>
      </c>
      <c r="S8" s="222">
        <f ca="1">SUMIF($G$58:$G$172,$A8,S$58:S$172)</f>
        <v>0</v>
      </c>
      <c r="T8" s="223"/>
      <c r="U8" s="224" t="str">
        <f t="shared" ref="U8:V10" ca="1" si="1">IF(ISERROR((O8-R8)/O8),"",(O8-R8)/O8*AF8)</f>
        <v/>
      </c>
      <c r="V8" s="224" t="str">
        <f t="shared" ca="1" si="1"/>
        <v/>
      </c>
      <c r="W8" s="221"/>
      <c r="X8" s="225">
        <f ca="1">XIRR(INDIRECT($X$48&amp;$AI8):INDIRECT($X$48&amp;$AJ8),INDIRECT($X$47&amp;$AI8):INDIRECT($X$47&amp;$AJ8),0.1)</f>
        <v>9.0758308768272414E-2</v>
      </c>
      <c r="Y8" s="225">
        <f t="shared" ref="Y8:Z9" ca="1" si="2">($AP8-AU8)/(AQ8+AS8)-1</f>
        <v>-6.5531178657847855E-2</v>
      </c>
      <c r="Z8" s="225">
        <f ca="1">($AP8-AV8)/(AR8+AT8)-1</f>
        <v>4.2665365307203995E-3</v>
      </c>
      <c r="AA8" s="226">
        <f ca="1">SUMIFS($AC$59:$AC$105,$G$59:$G$105,$A8,$J$59:$J$105,"non-GP")/SUMIFS($AD$59:$AD$105,$G$59:$G$105,$A8,$J$59:$J$105,"non-GP")</f>
        <v>1.3232562099400897</v>
      </c>
      <c r="AB8" s="227">
        <f t="shared" ref="AB8:AB9" ca="1" si="3">AA8-1</f>
        <v>0.32325620994008974</v>
      </c>
      <c r="AC8" s="228">
        <f>HLOOKUP($A8,SharpR!$A$207:$AH$221,14,0)</f>
        <v>1.0880785900532883</v>
      </c>
      <c r="AD8" s="228">
        <f>HLOOKUP($A8,SharpR!$A$207:$AH$221,3,0)</f>
        <v>0.13541315109446292</v>
      </c>
      <c r="AE8" s="195"/>
      <c r="AF8" s="330">
        <f ca="1">SUMPRODUCT($E$59:$E$87,U$59:U$87)/SUM($E$59:$E$87)</f>
        <v>1.1166843620808435E-2</v>
      </c>
      <c r="AG8" s="330">
        <f ca="1">SUMPRODUCT($E$59:$E$87,V$59:V$87)/SUM($E$59:$E$87)</f>
        <v>5.9344325768691912E-2</v>
      </c>
      <c r="AH8" s="195"/>
      <c r="AI8" s="115">
        <f ca="1">MATCH(A8,INDIRECT($AI$47),0)</f>
        <v>321</v>
      </c>
      <c r="AJ8" s="69">
        <f ca="1">AI8+AK8-1</f>
        <v>1974</v>
      </c>
      <c r="AK8" s="70">
        <f ca="1">COUNTIF(INDIRECT($AK$46),Summary!A8)</f>
        <v>1654</v>
      </c>
      <c r="AL8" s="55"/>
      <c r="AM8" s="55">
        <f ca="1">MATCH(AM$6,INDIRECT($AM$46&amp;$AI8):INDIRECT($AM$46&amp;$AJ8),1)+$AI8-1</f>
        <v>1974</v>
      </c>
      <c r="AN8" s="55">
        <f ca="1">MATCH(AN$6,INDIRECT($AM$46&amp;$AI8):INDIRECT($AM$46&amp;$AJ8),1)+$AI8-1</f>
        <v>1561</v>
      </c>
      <c r="AO8" s="55">
        <f ca="1">IF(ISNA(MATCH(AO$6,INDIRECT($AM$46&amp;$AI8):INDIRECT($AM$46&amp;$AJ8),1)+$AI8-1),AI8,MATCH(AO$6,INDIRECT($AM$46&amp;$AI8):INDIRECT($AM$46&amp;$AJ8),1)+$AI8-1)</f>
        <v>1561</v>
      </c>
      <c r="AP8" s="113">
        <f t="shared" ref="AP8:AV8" ca="1" si="4">SUMIFS(AP$58:AP$106,$G$58:$G$106,$A8,$J$58:$J$106,"non-GP")</f>
        <v>223645669.08410001</v>
      </c>
      <c r="AQ8" s="113">
        <f t="shared" ca="1" si="4"/>
        <v>228345814.69079998</v>
      </c>
      <c r="AR8" s="113">
        <f t="shared" ca="1" si="4"/>
        <v>228345814.69079998</v>
      </c>
      <c r="AS8" s="113">
        <f t="shared" ca="1" si="4"/>
        <v>17055696</v>
      </c>
      <c r="AT8" s="113">
        <f t="shared" ca="1" si="4"/>
        <v>0</v>
      </c>
      <c r="AU8" s="383">
        <f ca="1">AV8</f>
        <v>-5674391.3667154051</v>
      </c>
      <c r="AV8" s="113">
        <f t="shared" ca="1" si="4"/>
        <v>-5674391.3667154051</v>
      </c>
      <c r="AX8" s="125">
        <f ca="1">SUMIF($G$58:$G$108,A8,$AP$58:$AP$108)</f>
        <v>234270026.13410002</v>
      </c>
      <c r="AY8" s="58"/>
      <c r="BA8" s="44"/>
      <c r="BB8" s="42"/>
      <c r="BC8" s="42"/>
      <c r="BD8" s="42"/>
      <c r="BE8" s="48"/>
      <c r="BF8" s="50"/>
      <c r="BG8" s="43"/>
    </row>
    <row r="9" spans="1:59" s="318" customFormat="1" ht="15">
      <c r="A9" s="317" t="s">
        <v>175</v>
      </c>
      <c r="B9" s="283" t="s">
        <v>215</v>
      </c>
      <c r="C9" s="270">
        <f ca="1">INDIRECT($C$46&amp;$AI9)</f>
        <v>42597</v>
      </c>
      <c r="D9" s="271">
        <f ca="1">E9+O9+P9</f>
        <v>116.62698377999999</v>
      </c>
      <c r="E9" s="272">
        <f ca="1">AX9/1000000</f>
        <v>116.61993686999999</v>
      </c>
      <c r="F9" s="273">
        <f ca="1">SUMIF($G$58:$G$106,$A9,F$58:F$106)</f>
        <v>0</v>
      </c>
      <c r="G9" s="296">
        <f ca="1">E9-F9</f>
        <v>116.61993686999999</v>
      </c>
      <c r="H9" s="296" t="s">
        <v>430</v>
      </c>
      <c r="I9" s="272">
        <f>SUMIF(Data!$B$3:$B$4204,Summary!A9,Data!$G$3:$G$4204)/1000000*0+93.428</f>
        <v>93.427999999999997</v>
      </c>
      <c r="J9" s="272">
        <v>0</v>
      </c>
      <c r="K9" s="272"/>
      <c r="L9" s="271">
        <f ca="1">HLOOKUP(A9,'Peak NAV'!$C$2:$AZ$3,2,0)/1000000</f>
        <v>120.48112422000003</v>
      </c>
      <c r="M9" s="274">
        <f ca="1">HLOOKUP(A9,'Peak NAV'!$C$2:$AZ$4,3,0)</f>
        <v>43098</v>
      </c>
      <c r="N9" s="275"/>
      <c r="O9" s="276">
        <f t="shared" ca="1" si="0"/>
        <v>7.04691E-3</v>
      </c>
      <c r="P9" s="276">
        <f t="shared" ca="1" si="0"/>
        <v>0</v>
      </c>
      <c r="Q9" s="271"/>
      <c r="R9" s="276">
        <f ca="1">SUMIF($G$58:$G$172,$A9,R$58:R$172)</f>
        <v>0</v>
      </c>
      <c r="S9" s="276">
        <f ca="1">SUMIF($G$58:$G$172,$A9,S$58:S$172)</f>
        <v>0</v>
      </c>
      <c r="T9" s="277"/>
      <c r="U9" s="278">
        <f t="shared" ca="1" si="1"/>
        <v>0.01</v>
      </c>
      <c r="V9" s="278" t="str">
        <f t="shared" ca="1" si="1"/>
        <v/>
      </c>
      <c r="W9" s="275"/>
      <c r="X9" s="279">
        <f ca="1">XIRR(INDIRECT($X$48&amp;$AI9):INDIRECT($X$48&amp;$AJ9),INDIRECT($X$47&amp;$AI9):INDIRECT($X$47&amp;$AJ9),0.1)</f>
        <v>9.9726289510726929E-2</v>
      </c>
      <c r="Y9" s="279">
        <f t="shared" ca="1" si="2"/>
        <v>-7.5910740945389965E-2</v>
      </c>
      <c r="Z9" s="279">
        <f t="shared" ca="1" si="2"/>
        <v>2.7565265344611234E-2</v>
      </c>
      <c r="AA9" s="280">
        <f ca="1">SUMIFS($AC$59:$AC$172,$G$59:$G$172,$A9,$J$59:$J$172,"non-GP")/SUMIFS($AD$59:$AD$172,$G$59:$G$172,$A9,$J$59:$J$172,"non-GP")</f>
        <v>1.0546463604886884</v>
      </c>
      <c r="AB9" s="281">
        <f t="shared" ca="1" si="3"/>
        <v>5.4646360488688428E-2</v>
      </c>
      <c r="AC9" s="282">
        <f>HLOOKUP($A9,SharpR!$A$207:$AH$221,14,0)</f>
        <v>0.70992544011737946</v>
      </c>
      <c r="AD9" s="282">
        <f>HLOOKUP($A9,SharpR!$A$207:$AH$221,3,0)</f>
        <v>9.8762429949737898E-2</v>
      </c>
      <c r="AF9" s="331">
        <v>0.01</v>
      </c>
      <c r="AG9" s="331"/>
      <c r="AI9" s="319">
        <f ca="1">MATCH(A9,INDIRECT($AI$47),0)</f>
        <v>1946</v>
      </c>
      <c r="AJ9" s="320">
        <f ca="1">AI9+AK9-1</f>
        <v>2585</v>
      </c>
      <c r="AK9" s="321">
        <f ca="1">COUNTIF(INDIRECT($AK$46),Summary!A9)</f>
        <v>640</v>
      </c>
      <c r="AL9" s="322"/>
      <c r="AM9" s="322">
        <f ca="1">MATCH(AM$6,INDIRECT($AM$46&amp;$AI9):INDIRECT($AM$46&amp;$AJ9),1)+$AI9-1</f>
        <v>2585</v>
      </c>
      <c r="AN9" s="322">
        <f ca="1">MATCH(AN$6,INDIRECT($AM$46&amp;$AI9):INDIRECT($AM$46&amp;$AJ9),1)+$AI9-1</f>
        <v>2545</v>
      </c>
      <c r="AO9" s="322">
        <f ca="1">IF(ISNA(MATCH(AO$6,INDIRECT($AM$46&amp;$AI9):INDIRECT($AM$46&amp;$AJ9),1)+$AI9-1),AI9,MATCH(AO$6,INDIRECT($AM$46&amp;$AI9):INDIRECT($AM$46&amp;$AJ9),1)+$AI9-1)</f>
        <v>2545</v>
      </c>
      <c r="AP9" s="323">
        <f t="shared" ref="AP9:AV10" ca="1" si="5">SUMIFS(AP$58:AP$152,$G$58:$G$152,$A9,$J$58:$J$152,"non-GP")</f>
        <v>48773766.45700001</v>
      </c>
      <c r="AQ9" s="323">
        <f t="shared" ca="1" si="5"/>
        <v>47465370.913100012</v>
      </c>
      <c r="AR9" s="323">
        <f t="shared" ca="1" si="5"/>
        <v>47465370.913100012</v>
      </c>
      <c r="AS9" s="323">
        <f t="shared" ca="1" si="5"/>
        <v>5314992</v>
      </c>
      <c r="AT9" s="323">
        <f t="shared" ca="1" si="5"/>
        <v>0</v>
      </c>
      <c r="AU9" s="323">
        <f t="shared" ca="1" si="5"/>
        <v>0</v>
      </c>
      <c r="AV9" s="323">
        <f t="shared" ca="1" si="5"/>
        <v>0</v>
      </c>
      <c r="AX9" s="324">
        <f ca="1">SUMIF($G$58:$G$152,A9,$AP$58:$AP$152)</f>
        <v>116619936.86999999</v>
      </c>
      <c r="AY9" s="325"/>
      <c r="BA9" s="326"/>
      <c r="BB9" s="326"/>
      <c r="BC9" s="326"/>
      <c r="BD9" s="326"/>
      <c r="BE9" s="327"/>
      <c r="BF9" s="328"/>
      <c r="BG9" s="327"/>
    </row>
    <row r="10" spans="1:59" ht="15">
      <c r="A10" s="211" t="s">
        <v>273</v>
      </c>
      <c r="B10" s="215" t="s">
        <v>276</v>
      </c>
      <c r="C10" s="216">
        <f ca="1">INDIRECT($C$46&amp;$AI10)</f>
        <v>43252</v>
      </c>
      <c r="D10" s="217">
        <f ca="1">E10+O10+P10</f>
        <v>93.438026610512878</v>
      </c>
      <c r="E10" s="218">
        <f ca="1">AX10/1000000</f>
        <v>93.37577941989997</v>
      </c>
      <c r="F10" s="219">
        <f>SUMIF($G$58:$G$106,$A10,F$58:F$106)</f>
        <v>0</v>
      </c>
      <c r="G10" s="295">
        <f ca="1">E10-F10</f>
        <v>93.37577941989997</v>
      </c>
      <c r="H10" s="295" t="s">
        <v>430</v>
      </c>
      <c r="I10" s="218">
        <f>SUMIF(Data!$B$3:$B$3990,Summary!A10,Data!$G$3:$G$3990)/1000000</f>
        <v>90.456364137108679</v>
      </c>
      <c r="J10" s="378">
        <f>(91.079-SUMIF(Data!B5:B18629,A10,Data!G5:G18629)/1000000+9.7)*0</f>
        <v>0</v>
      </c>
      <c r="K10" s="378"/>
      <c r="L10" s="217">
        <f ca="1">HLOOKUP(A10,'Peak NAV'!$C$2:$AZ$3,2,0)/1000000</f>
        <v>82.687116160000059</v>
      </c>
      <c r="M10" s="220">
        <f ca="1">HLOOKUP(A10,'Peak NAV'!$C$2:$AZ$4,3,0)</f>
        <v>43220</v>
      </c>
      <c r="N10" s="221"/>
      <c r="O10" s="222">
        <f ca="1">SUMIF($G$58:$G$177,$A10,O$58:O$177)</f>
        <v>6.2247190612904901E-2</v>
      </c>
      <c r="P10" s="222">
        <f ca="1">SUMIF($G$58:$G$177,$A10,P$58:P$177)</f>
        <v>0</v>
      </c>
      <c r="Q10" s="217"/>
      <c r="R10" s="222">
        <f ca="1">SUMIF($G$58:$G$177,$A10,R$58:R$177)</f>
        <v>0</v>
      </c>
      <c r="S10" s="276">
        <f ca="1">SUMIF($G$58:$G$177,$A10,S$58:S$177)</f>
        <v>0</v>
      </c>
      <c r="T10" s="223"/>
      <c r="U10" s="224">
        <f t="shared" ca="1" si="1"/>
        <v>0.01</v>
      </c>
      <c r="V10" s="224" t="str">
        <f t="shared" ca="1" si="1"/>
        <v/>
      </c>
      <c r="W10" s="221"/>
      <c r="X10" s="225">
        <f ca="1">XIRR(INDIRECT($X$48&amp;($AI10)):INDIRECT($X$48&amp;$AJ10),INDIRECT($X$47&amp;(AI10)):INDIRECT($X$47&amp;$AJ10),0.1)</f>
        <v>9.0266853570938124E-3</v>
      </c>
      <c r="Y10" s="225">
        <f ca="1">($AP10-AU10)/(AQ10+AS10)-1</f>
        <v>-0.34574953151955767</v>
      </c>
      <c r="Z10" s="225">
        <f ca="1">($AP10-AV10)/(AR10+AT10)-1</f>
        <v>1.6319918163351099E-2</v>
      </c>
      <c r="AA10" s="226">
        <f ca="1">SUMIFS($AC$59:$AC$177,$G$59:$G$177,$A10,$J$59:$J$177,"non-GP")/SUMIFS($AD$59:$AD$177,$G$59:$G$177,$A10,$J$59:$J$177,"non-GP")</f>
        <v>0.67566543598853002</v>
      </c>
      <c r="AB10" s="227">
        <f t="shared" ref="AB10" ca="1" si="6">AA10-1</f>
        <v>-0.32433456401146998</v>
      </c>
      <c r="AC10" s="228">
        <f>HLOOKUP($A10,SharpR!$A$207:$AH$221,14,0)</f>
        <v>0.88607982851307987</v>
      </c>
      <c r="AD10" s="228">
        <f>HLOOKUP($A10,SharpR!$A$207:$AH$221,3,0)</f>
        <v>0.49032682560480295</v>
      </c>
      <c r="AE10" s="195"/>
      <c r="AF10" s="330">
        <v>0.01</v>
      </c>
      <c r="AG10" s="330"/>
      <c r="AH10" s="195"/>
      <c r="AI10" s="115">
        <f ca="1">MATCH(A10,INDIRECT($AI$47),0)</f>
        <v>2563</v>
      </c>
      <c r="AJ10" s="69">
        <f ca="1">AI10+AK10-1</f>
        <v>3124</v>
      </c>
      <c r="AK10" s="70">
        <f ca="1">COUNTIF(INDIRECT($AK$46),Summary!A10)</f>
        <v>562</v>
      </c>
      <c r="AL10" s="55"/>
      <c r="AM10" s="55">
        <f ca="1">MATCH(AM$6,INDIRECT($AM$46&amp;$AI10):INDIRECT($AM$46&amp;$AJ10),1)+$AI10-1</f>
        <v>3124</v>
      </c>
      <c r="AN10" s="55">
        <f ca="1">MATCH(AN$6,INDIRECT($AM$46&amp;$AI10):INDIRECT($AM$46&amp;$AJ10),1)+$AI10-1</f>
        <v>3124</v>
      </c>
      <c r="AO10" s="55">
        <f ca="1">IF(ISNA(MATCH(AO$6,INDIRECT($AM$46&amp;$AI10):INDIRECT($AM$46&amp;$AJ10),1)+$AI10-1),AI10,MATCH(AO$6,INDIRECT($AM$46&amp;$AI10):INDIRECT($AM$46&amp;$AJ10),1)+$AI10-1)</f>
        <v>3124</v>
      </c>
      <c r="AP10" s="113">
        <f t="shared" ref="AP10:AV10" ca="1" si="7">SUMIFS(AP$58:AP$177,$G$58:$G$177,$A10,$J$58:$J$177,"non-GP")</f>
        <v>93051919.406999975</v>
      </c>
      <c r="AQ10" s="113">
        <f t="shared" ca="1" si="7"/>
        <v>91557705.151700005</v>
      </c>
      <c r="AR10" s="113">
        <f t="shared" ca="1" si="7"/>
        <v>91557705.151700005</v>
      </c>
      <c r="AS10" s="113">
        <f t="shared" ca="1" si="7"/>
        <v>50669047.277108699</v>
      </c>
      <c r="AT10" s="323">
        <f t="shared" ca="1" si="5"/>
        <v>0</v>
      </c>
      <c r="AU10" s="113">
        <f t="shared" ca="1" si="7"/>
        <v>0</v>
      </c>
      <c r="AV10" s="113">
        <f t="shared" ca="1" si="7"/>
        <v>0</v>
      </c>
      <c r="AW10" s="362"/>
      <c r="AX10" s="125">
        <f ca="1">SUMIF($G$58:$G$177,A10,$AP$58:$AP$177)</f>
        <v>93375779.41989997</v>
      </c>
      <c r="AY10" s="58"/>
      <c r="BA10" s="44"/>
      <c r="BB10" s="42"/>
      <c r="BC10" s="42"/>
      <c r="BD10" s="42"/>
      <c r="BE10" s="43"/>
      <c r="BF10" s="50"/>
      <c r="BG10" s="43"/>
    </row>
    <row r="11" spans="1:59">
      <c r="A11" s="205"/>
      <c r="B11" s="239" t="s">
        <v>240</v>
      </c>
      <c r="C11" s="245"/>
      <c r="D11" s="245"/>
      <c r="E11" s="253">
        <f ca="1">SUM(E12:E14)</f>
        <v>163.41416452935889</v>
      </c>
      <c r="F11" s="244"/>
      <c r="G11" s="297">
        <f ca="1">SUM(G12:G14)</f>
        <v>163.41416452935889</v>
      </c>
      <c r="H11" s="297"/>
      <c r="I11" s="297"/>
      <c r="J11" s="244"/>
      <c r="K11" s="244"/>
      <c r="L11" s="245"/>
      <c r="M11" s="245"/>
      <c r="N11" s="245"/>
      <c r="O11" s="247"/>
      <c r="P11" s="247"/>
      <c r="Q11" s="247"/>
      <c r="R11" s="247"/>
      <c r="S11" s="247"/>
      <c r="T11" s="247"/>
      <c r="U11" s="247"/>
      <c r="V11" s="247"/>
      <c r="W11" s="245"/>
      <c r="X11" s="254"/>
      <c r="Y11" s="254"/>
      <c r="Z11" s="254"/>
      <c r="AA11" s="255"/>
      <c r="AB11" s="255"/>
      <c r="AC11" s="255"/>
      <c r="AD11" s="256"/>
      <c r="AE11" s="195"/>
      <c r="AF11" s="329"/>
      <c r="AG11" s="329"/>
      <c r="AH11" s="195"/>
      <c r="AI11" s="319"/>
      <c r="AJ11" s="320"/>
      <c r="AK11" s="68"/>
    </row>
    <row r="12" spans="1:59" ht="15">
      <c r="A12" s="211" t="s">
        <v>0</v>
      </c>
      <c r="B12" s="215" t="s">
        <v>218</v>
      </c>
      <c r="C12" s="216">
        <f ca="1">INDIRECT(C$46&amp;$AI12)</f>
        <v>37407</v>
      </c>
      <c r="D12" s="217">
        <f ca="1">E12+O12+P12</f>
        <v>118.49376002054287</v>
      </c>
      <c r="E12" s="218">
        <f ca="1">AP12/1000000</f>
        <v>118.49376002054287</v>
      </c>
      <c r="F12" s="219">
        <f ca="1">INDIRECT($F$46&amp;AJ12)+INDIRECT($F$47&amp;AJ12)+INDIRECT($F$48&amp;AJ12)+INDIRECT($F$49&amp;AJ12)</f>
        <v>0</v>
      </c>
      <c r="G12" s="295">
        <f ca="1">E12-F12</f>
        <v>118.49376002054287</v>
      </c>
      <c r="H12" s="295"/>
      <c r="I12" s="218">
        <v>0</v>
      </c>
      <c r="J12" s="218">
        <v>0</v>
      </c>
      <c r="K12" s="218"/>
      <c r="L12" s="217">
        <f ca="1">HLOOKUP(A12,'Peak NAV'!$C$2:$AZ$3,2,0)/1000000</f>
        <v>631.69977397302432</v>
      </c>
      <c r="M12" s="220">
        <f ca="1">HLOOKUP(A12,'Peak NAV'!$C$2:$AZ$4,3,0)</f>
        <v>41243</v>
      </c>
      <c r="N12" s="221"/>
      <c r="O12" s="222">
        <f t="shared" ref="O12:P14" ca="1" si="8">INDIRECT(O$47&amp;$AJ12)</f>
        <v>0</v>
      </c>
      <c r="P12" s="222">
        <f t="shared" ca="1" si="8"/>
        <v>0</v>
      </c>
      <c r="Q12" s="217"/>
      <c r="R12" s="222">
        <f t="shared" ref="R12:S14" ca="1" si="9">INDIRECT(R$47&amp;$AJ12)</f>
        <v>0</v>
      </c>
      <c r="S12" s="222">
        <f t="shared" ca="1" si="9"/>
        <v>0</v>
      </c>
      <c r="T12" s="223"/>
      <c r="U12" s="223"/>
      <c r="V12" s="223"/>
      <c r="W12" s="221"/>
      <c r="X12" s="225">
        <f ca="1">XIRR(INDIRECT($X$46&amp;$AI12):INDIRECT($X$46&amp;$AJ12),INDIRECT($X$47&amp;$AI12):INDIRECT($X$47&amp;$AJ12),0.1)</f>
        <v>2.9802322387695314E-9</v>
      </c>
      <c r="Y12" s="225">
        <f ca="1">($AW12-AZ12)/AX12-1</f>
        <v>1.62765097075106E-2</v>
      </c>
      <c r="Z12" s="225">
        <f ca="1">($AW12-BA12)/AY12-1</f>
        <v>1.62765097075106E-2</v>
      </c>
      <c r="AA12" s="226">
        <f ca="1">ABS(SUMIF(INDIRECT($AA$46&amp;$AI12):INDIRECT($AA$46&amp;$AJ12),"&lt;0"))/SUMIF(INDIRECT($AA$46&amp;$AI12):INDIRECT($AA$46&amp;$AJ12),"&gt;0")</f>
        <v>3.4772594698773454E-5</v>
      </c>
      <c r="AB12" s="227">
        <f ca="1">AA12-1</f>
        <v>-0.99996522740530125</v>
      </c>
      <c r="AC12" s="228">
        <f>HLOOKUP($A12,SharpR!$A$207:$AH$221,14,0)</f>
        <v>0.62092475845941875</v>
      </c>
      <c r="AD12" s="228">
        <f>HLOOKUP($A12,SharpR!$A$207:$AH$221,3,0)</f>
        <v>0.1206114149596574</v>
      </c>
      <c r="AE12" s="195"/>
      <c r="AF12" s="330">
        <v>1.4999999999999999E-2</v>
      </c>
      <c r="AG12" s="330">
        <v>0.2</v>
      </c>
      <c r="AH12" s="195"/>
      <c r="AI12" s="115">
        <f ca="1">MATCH(A12,INDIRECT($AI$47),0)</f>
        <v>17</v>
      </c>
      <c r="AJ12" s="69">
        <f ca="1">AI12+AK12-1</f>
        <v>218</v>
      </c>
      <c r="AK12" s="70">
        <f ca="1">COUNTIF(INDIRECT($AK$46),Summary!A12)</f>
        <v>202</v>
      </c>
      <c r="AL12" s="55"/>
      <c r="AM12" s="55">
        <f ca="1">MATCH(AM$6,INDIRECT($AM$46&amp;$AI12):INDIRECT($AM$46&amp;$AJ12),1)+$AI12-1</f>
        <v>217</v>
      </c>
      <c r="AN12" s="55">
        <f ca="1">MATCH(AN$6,INDIRECT($AM$46&amp;$AI12):INDIRECT($AM$46&amp;$AJ12),1)+$AI12-1</f>
        <v>216</v>
      </c>
      <c r="AO12" s="55">
        <f ca="1">IF(ISNA(MATCH(AO$6,INDIRECT($AM$46&amp;$AI12):INDIRECT($AM$46&amp;$AJ12),1)+$AI12-1),AI12,MATCH(AO$6,INDIRECT($AM$46&amp;$AI12):INDIRECT($AM$46&amp;$AJ12),1)+$AI12-1)</f>
        <v>216</v>
      </c>
      <c r="AP12" s="58">
        <f t="shared" ref="AP12:AR14" ca="1" si="10">INDIRECT($AP$46&amp;AM12)</f>
        <v>118493760.02054286</v>
      </c>
      <c r="AQ12" s="58">
        <f t="shared" ca="1" si="10"/>
        <v>116595976.57779402</v>
      </c>
      <c r="AR12" s="58">
        <f t="shared" ca="1" si="10"/>
        <v>116595976.57779402</v>
      </c>
      <c r="AS12" s="58">
        <f ca="1">INDIRECT($AS$47&amp;AJ12)</f>
        <v>64551461.088312</v>
      </c>
      <c r="AT12" s="58">
        <f ca="1">SUM(INDIRECT(AT$47&amp;AO12+1&amp;":"&amp;LEFT(AT$46,LEN(AT$46)-1)&amp;$AM12))</f>
        <v>0</v>
      </c>
      <c r="AU12" s="58">
        <f ca="1">INDIRECT($AU$47&amp;AM12)</f>
        <v>0</v>
      </c>
      <c r="AV12" s="58">
        <f ca="1">SUM(INDIRECT(AV$47&amp;AO12+1&amp;":"&amp;LEFT(AV$46,LEN(AV$46)-1)&amp;$AM12))</f>
        <v>0</v>
      </c>
      <c r="AW12" s="58">
        <f t="shared" ref="AW12:AY14" ca="1" si="11">INDIRECT($AX$46&amp;AM12)</f>
        <v>504.52589999999998</v>
      </c>
      <c r="AX12" s="58">
        <f t="shared" ca="1" si="11"/>
        <v>496.44549999999998</v>
      </c>
      <c r="AY12" s="58">
        <f t="shared" ca="1" si="11"/>
        <v>496.44549999999998</v>
      </c>
      <c r="AZ12" s="36">
        <f ca="1">INDIRECT($BA$46&amp;AM12)</f>
        <v>0</v>
      </c>
      <c r="BA12" s="42">
        <f ca="1">SUM(INDIRECT(BA$46&amp;AO12+1&amp;":"&amp;LEFT(AZ$46,LEN(AZ$46)-1)&amp;$AM12))</f>
        <v>0</v>
      </c>
      <c r="BB12" s="42"/>
      <c r="BC12" s="42"/>
      <c r="BD12" s="42"/>
      <c r="BE12" s="43"/>
      <c r="BF12" s="50"/>
      <c r="BG12" s="43"/>
    </row>
    <row r="13" spans="1:59" ht="15">
      <c r="A13" s="211" t="s">
        <v>15</v>
      </c>
      <c r="B13" s="283" t="s">
        <v>219</v>
      </c>
      <c r="C13" s="270">
        <f ca="1">INDIRECT($C$46&amp;$AI13)</f>
        <v>38747</v>
      </c>
      <c r="D13" s="271">
        <f ca="1">E13+O13+P13</f>
        <v>17.30551552</v>
      </c>
      <c r="E13" s="272">
        <f t="shared" ref="E13" ca="1" si="12">AP13/1000000</f>
        <v>17.30551552</v>
      </c>
      <c r="F13" s="273">
        <f ca="1">INDIRECT($F$46&amp;AJ13)+INDIRECT($F$47&amp;AJ13)+INDIRECT($F$48&amp;AJ13)+INDIRECT($F$49&amp;AJ13)</f>
        <v>0</v>
      </c>
      <c r="G13" s="296">
        <f ca="1">E13-F13</f>
        <v>17.30551552</v>
      </c>
      <c r="H13" s="296"/>
      <c r="I13" s="272">
        <v>0</v>
      </c>
      <c r="J13" s="272">
        <v>0</v>
      </c>
      <c r="K13" s="272"/>
      <c r="L13" s="271">
        <f ca="1">HLOOKUP(A13,'Peak NAV'!$C$2:$AZ$3,2,0)/1000000</f>
        <v>140.79421157105952</v>
      </c>
      <c r="M13" s="274">
        <f ca="1">HLOOKUP(A13,'Peak NAV'!$C$2:$AZ$4,3,0)</f>
        <v>40480</v>
      </c>
      <c r="N13" s="275"/>
      <c r="O13" s="276">
        <f t="shared" ca="1" si="8"/>
        <v>0</v>
      </c>
      <c r="P13" s="276">
        <f t="shared" ca="1" si="8"/>
        <v>0</v>
      </c>
      <c r="Q13" s="271"/>
      <c r="R13" s="276">
        <f t="shared" ca="1" si="9"/>
        <v>0</v>
      </c>
      <c r="S13" s="276">
        <f t="shared" ca="1" si="9"/>
        <v>0</v>
      </c>
      <c r="T13" s="277"/>
      <c r="U13" s="278" t="str">
        <f ca="1">IF(ISERROR((O13-R13)/O13),"",(O13-R13)/O13*AF13)</f>
        <v/>
      </c>
      <c r="V13" s="277"/>
      <c r="W13" s="275"/>
      <c r="X13" s="279">
        <f ca="1">XIRR(INDIRECT($X$46&amp;$AI13):INDIRECT($X$46&amp;$AJ13),INDIRECT($X$47&amp;$AI13):INDIRECT($X$47&amp;$AJ13),0.1)</f>
        <v>2.9802322387695314E-9</v>
      </c>
      <c r="Y13" s="279">
        <f t="shared" ref="Y13:Z14" ca="1" si="13">($AW13-AZ13)/AX13-1</f>
        <v>6.7497027541693511E-2</v>
      </c>
      <c r="Z13" s="279">
        <f t="shared" ca="1" si="13"/>
        <v>6.7497027541693511E-2</v>
      </c>
      <c r="AA13" s="280">
        <f ca="1">ABS(SUMIF(INDIRECT($AA$46&amp;$AI13):INDIRECT($AA$46&amp;$AJ13),"&lt;0"))/SUMIF(INDIRECT($AA$46&amp;$AI13):INDIRECT($AA$46&amp;$AJ13),"&gt;0")</f>
        <v>1.3283809583283576E-4</v>
      </c>
      <c r="AB13" s="281">
        <f t="shared" ref="AB13:AB14" ca="1" si="14">AA13-1</f>
        <v>-0.99986716190416713</v>
      </c>
      <c r="AC13" s="282">
        <f>HLOOKUP($A13,SharpR!$A$207:$AH$221,14,0)</f>
        <v>0.15722426794850897</v>
      </c>
      <c r="AD13" s="282">
        <f>HLOOKUP($A13,SharpR!$A$207:$AH$221,3,0)</f>
        <v>0.35591960937169154</v>
      </c>
      <c r="AE13" s="195"/>
      <c r="AF13" s="330">
        <v>8.0000000000000002E-3</v>
      </c>
      <c r="AG13" s="330">
        <v>0.15</v>
      </c>
      <c r="AH13" s="195"/>
      <c r="AI13" s="115">
        <f ca="1">MATCH(A13,INDIRECT($AI$47),0)</f>
        <v>4208</v>
      </c>
      <c r="AJ13" s="69">
        <f ca="1">AI13+AK13-1</f>
        <v>4365</v>
      </c>
      <c r="AK13" s="70">
        <f ca="1">COUNTIF(INDIRECT($AK$46),Summary!A13)</f>
        <v>158</v>
      </c>
      <c r="AL13" s="55"/>
      <c r="AM13" s="55">
        <f ca="1">MATCH(AM$6,INDIRECT($AM$46&amp;$AI13):INDIRECT($AM$46&amp;$AJ13),1)+$AI13-1</f>
        <v>4364</v>
      </c>
      <c r="AN13" s="55">
        <f ca="1">MATCH(AN$6,INDIRECT($AM$46&amp;$AI13):INDIRECT($AM$46&amp;$AJ13),1)+$AI13-1</f>
        <v>4363</v>
      </c>
      <c r="AO13" s="55">
        <f ca="1">IF(ISNA(MATCH(AO$6,INDIRECT($AM$46&amp;$AI13):INDIRECT($AM$46&amp;$AJ13),1)+$AI13-1),AI13,MATCH(AO$6,INDIRECT($AM$46&amp;$AI13):INDIRECT($AM$46&amp;$AJ13),1)+$AI13-1)</f>
        <v>4363</v>
      </c>
      <c r="AP13" s="58">
        <f t="shared" ca="1" si="10"/>
        <v>17305515.52</v>
      </c>
      <c r="AQ13" s="58">
        <f t="shared" ca="1" si="10"/>
        <v>32422602.872333396</v>
      </c>
      <c r="AR13" s="58">
        <f t="shared" ca="1" si="10"/>
        <v>32422602.872333396</v>
      </c>
      <c r="AS13" s="58">
        <f ca="1">INDIRECT($AS$47&amp;AJ13)</f>
        <v>13000000</v>
      </c>
      <c r="AT13" s="58">
        <f ca="1">SUM(INDIRECT(AT$47&amp;AO13+1&amp;":"&amp;LEFT(AT$46,LEN(AT$46)-1)&amp;$AM13))</f>
        <v>0</v>
      </c>
      <c r="AU13" s="58">
        <f ca="1">INDIRECT($AU$47&amp;AM13)</f>
        <v>0</v>
      </c>
      <c r="AV13" s="58">
        <f ca="1">SUM(INDIRECT(AV$47&amp;AO13+1&amp;":"&amp;LEFT(AV$46,LEN(AV$46)-1)&amp;$AM13))</f>
        <v>0</v>
      </c>
      <c r="AW13" s="58">
        <f t="shared" ca="1" si="11"/>
        <v>1037.5246999999999</v>
      </c>
      <c r="AX13" s="58">
        <f t="shared" ca="1" si="11"/>
        <v>971.92280000000005</v>
      </c>
      <c r="AY13" s="58">
        <f t="shared" ca="1" si="11"/>
        <v>971.92280000000005</v>
      </c>
      <c r="AZ13" s="36">
        <f ca="1">INDIRECT($BA$46&amp;AM13)</f>
        <v>0</v>
      </c>
      <c r="BA13" s="42">
        <f ca="1">SUM(INDIRECT(BA$46&amp;AO13+1&amp;":"&amp;LEFT(AZ$46,LEN(AZ$46)-1)&amp;$AM13))</f>
        <v>0</v>
      </c>
      <c r="BB13" s="42"/>
      <c r="BC13" s="42"/>
      <c r="BD13" s="42"/>
      <c r="BE13" s="43"/>
      <c r="BF13" s="50"/>
      <c r="BG13" s="43"/>
    </row>
    <row r="14" spans="1:59" ht="15">
      <c r="A14" s="212" t="s">
        <v>149</v>
      </c>
      <c r="B14" s="229" t="s">
        <v>220</v>
      </c>
      <c r="C14" s="216">
        <f ca="1">INDIRECT($C$46&amp;$AI14)</f>
        <v>39846</v>
      </c>
      <c r="D14" s="217">
        <f ca="1">E14+O14+P14</f>
        <v>27.61488898881603</v>
      </c>
      <c r="E14" s="218">
        <f t="shared" ref="E14:E31" ca="1" si="15">AP14/1000000</f>
        <v>27.61488898881603</v>
      </c>
      <c r="F14" s="219">
        <f ca="1">INDIRECT($F$46&amp;AJ14)+INDIRECT($F$47&amp;AJ14)+INDIRECT($F$48&amp;AJ14)+INDIRECT($F$49&amp;AJ14)</f>
        <v>0</v>
      </c>
      <c r="G14" s="295">
        <f ca="1">E14-F14</f>
        <v>27.61488898881603</v>
      </c>
      <c r="H14" s="295"/>
      <c r="I14" s="218">
        <v>0</v>
      </c>
      <c r="J14" s="218">
        <v>0</v>
      </c>
      <c r="K14" s="218"/>
      <c r="L14" s="217">
        <f ca="1">HLOOKUP(A14,'Peak NAV'!$C$2:$AZ$3,2,0)/1000000</f>
        <v>68.11479904734081</v>
      </c>
      <c r="M14" s="220">
        <f ca="1">HLOOKUP(A14,'Peak NAV'!$C$2:$AZ$4,3,0)</f>
        <v>40359</v>
      </c>
      <c r="N14" s="221"/>
      <c r="O14" s="222">
        <f t="shared" ca="1" si="8"/>
        <v>0</v>
      </c>
      <c r="P14" s="222">
        <f t="shared" ca="1" si="8"/>
        <v>0</v>
      </c>
      <c r="Q14" s="217"/>
      <c r="R14" s="222">
        <f t="shared" ca="1" si="9"/>
        <v>0</v>
      </c>
      <c r="S14" s="222">
        <f t="shared" ca="1" si="9"/>
        <v>0</v>
      </c>
      <c r="T14" s="223"/>
      <c r="U14" s="224" t="str">
        <f ca="1">IF(ISERROR((O14-R14)/O14),"",(O14-R14)/O14*AF14)</f>
        <v/>
      </c>
      <c r="V14" s="223"/>
      <c r="W14" s="221"/>
      <c r="X14" s="225">
        <f ca="1">XIRR(INDIRECT($X$46&amp;$AI37):INDIRECT($X$46&amp;$AJ37),INDIRECT($X$47&amp;$AI37):INDIRECT($X$47&amp;$AJ37),0.1)</f>
        <v>5.8242622017860415E-2</v>
      </c>
      <c r="Y14" s="225">
        <f t="shared" ca="1" si="13"/>
        <v>-5.7455993196249278E-2</v>
      </c>
      <c r="Z14" s="225">
        <f t="shared" ca="1" si="13"/>
        <v>-5.7455993196249278E-2</v>
      </c>
      <c r="AA14" s="226">
        <f ca="1">ABS(SUMIF(INDIRECT($AA$46&amp;$AI14):INDIRECT($AA$46&amp;$AJ14),"&lt;0"))/SUMIF(INDIRECT($AA$46&amp;$AI14):INDIRECT($AA$46&amp;$AJ14),"&gt;0")</f>
        <v>2.7183498508955199E-5</v>
      </c>
      <c r="AB14" s="227">
        <f t="shared" ca="1" si="14"/>
        <v>-0.99997281650149106</v>
      </c>
      <c r="AC14" s="228">
        <f>HLOOKUP($A14,SharpR!$A$207:$AH$221,14,0)</f>
        <v>0.7977245017741903</v>
      </c>
      <c r="AD14" s="228">
        <f>HLOOKUP($A14,SharpR!$A$207:$AH$221,3,0)</f>
        <v>-4.2847795817667185E-2</v>
      </c>
      <c r="AE14" s="195"/>
      <c r="AF14" s="330">
        <v>0.01</v>
      </c>
      <c r="AG14" s="330">
        <v>0.2</v>
      </c>
      <c r="AH14" s="195"/>
      <c r="AI14" s="115">
        <f ca="1">MATCH(A14,INDIRECT($AI$47),0)</f>
        <v>4026</v>
      </c>
      <c r="AJ14" s="69">
        <f t="shared" ref="AJ14:AJ31" ca="1" si="16">AI14+AK14-1</f>
        <v>4146</v>
      </c>
      <c r="AK14" s="70">
        <f ca="1">COUNTIF(INDIRECT($AK$46),Summary!A14)</f>
        <v>121</v>
      </c>
      <c r="AL14" s="55"/>
      <c r="AM14" s="55">
        <f ca="1">MATCH(AM$6,INDIRECT($AM$46&amp;$AI14):INDIRECT($AM$46&amp;$AJ14),1)+$AI14-1</f>
        <v>4145</v>
      </c>
      <c r="AN14" s="55">
        <f ca="1">MATCH(AN$6,INDIRECT($AM$46&amp;$AI14):INDIRECT($AM$46&amp;$AJ14),1)+$AI14-1</f>
        <v>4144</v>
      </c>
      <c r="AO14" s="55">
        <f ca="1">IF(ISNA(MATCH(AO$6,INDIRECT($AM$46&amp;$AI14):INDIRECT($AM$46&amp;$AJ14),1)+$AI14-1),AI14,MATCH(AO$6,INDIRECT($AM$46&amp;$AI14):INDIRECT($AM$46&amp;$AJ14),1)+$AI14-1)</f>
        <v>4144</v>
      </c>
      <c r="AP14" s="58">
        <f t="shared" ca="1" si="10"/>
        <v>27614888.98881603</v>
      </c>
      <c r="AQ14" s="58">
        <f t="shared" ca="1" si="10"/>
        <v>45093034.945577875</v>
      </c>
      <c r="AR14" s="58">
        <f t="shared" ca="1" si="10"/>
        <v>45093034.945577875</v>
      </c>
      <c r="AS14" s="58">
        <f ca="1">INDIRECT($AS$47&amp;AJ14)</f>
        <v>56000000</v>
      </c>
      <c r="AT14" s="58">
        <f ca="1">SUM(INDIRECT(AT$47&amp;AO14+1&amp;":"&amp;LEFT(AT$46,LEN(AT$46)-1)&amp;$AM14))</f>
        <v>3000000</v>
      </c>
      <c r="AU14" s="58">
        <f ca="1">INDIRECT($AU$47&amp;AM14)</f>
        <v>0</v>
      </c>
      <c r="AV14" s="58">
        <f ca="1">SUM(INDIRECT(AV$47&amp;AO14+1&amp;":"&amp;LEFT(AV$46,LEN(AV$46)-1)&amp;$AM14))</f>
        <v>0</v>
      </c>
      <c r="AW14" s="58">
        <f t="shared" ca="1" si="11"/>
        <v>399.19670000000002</v>
      </c>
      <c r="AX14" s="58">
        <f t="shared" ca="1" si="11"/>
        <v>423.53109999999998</v>
      </c>
      <c r="AY14" s="58">
        <f t="shared" ca="1" si="11"/>
        <v>423.53109999999998</v>
      </c>
      <c r="AZ14" s="36">
        <f ca="1">INDIRECT($BA$46&amp;AM14)</f>
        <v>0</v>
      </c>
      <c r="BA14" s="42">
        <f ca="1">SUM(INDIRECT(BA$46&amp;AO14+1&amp;":"&amp;LEFT(AZ$46,LEN(AZ$46)-1)&amp;$AM14))</f>
        <v>0</v>
      </c>
      <c r="BB14" s="42"/>
      <c r="BC14" s="42"/>
      <c r="BD14" s="42"/>
      <c r="BE14" s="43"/>
      <c r="BF14" s="50"/>
      <c r="BG14" s="43"/>
    </row>
    <row r="15" spans="1:59" ht="15">
      <c r="A15" s="205"/>
      <c r="B15" s="239" t="s">
        <v>239</v>
      </c>
      <c r="C15" s="240"/>
      <c r="D15" s="241"/>
      <c r="E15" s="253">
        <f ca="1">SUM(E16:E18)</f>
        <v>702.78554502995269</v>
      </c>
      <c r="F15" s="243"/>
      <c r="G15" s="297">
        <f ca="1">SUM(G16:G18)</f>
        <v>702.78554502995269</v>
      </c>
      <c r="H15" s="297"/>
      <c r="I15" s="297"/>
      <c r="J15" s="244"/>
      <c r="K15" s="244"/>
      <c r="L15" s="241"/>
      <c r="M15" s="241"/>
      <c r="N15" s="245"/>
      <c r="O15" s="246"/>
      <c r="P15" s="246"/>
      <c r="Q15" s="241"/>
      <c r="R15" s="246"/>
      <c r="S15" s="246"/>
      <c r="T15" s="247"/>
      <c r="U15" s="247"/>
      <c r="V15" s="247"/>
      <c r="W15" s="245"/>
      <c r="X15" s="254"/>
      <c r="Y15" s="254"/>
      <c r="Z15" s="254"/>
      <c r="AA15" s="257"/>
      <c r="AB15" s="249"/>
      <c r="AC15" s="249"/>
      <c r="AD15" s="258"/>
      <c r="AE15" s="195"/>
      <c r="AF15" s="330"/>
      <c r="AG15" s="330"/>
      <c r="AH15" s="195"/>
      <c r="AI15" s="115"/>
      <c r="AJ15" s="69"/>
      <c r="AK15" s="70"/>
      <c r="AL15" s="55"/>
      <c r="AM15" s="55"/>
      <c r="AN15" s="55"/>
      <c r="AO15" s="55"/>
      <c r="AP15" s="58"/>
      <c r="AQ15" s="58"/>
      <c r="AR15" s="58"/>
      <c r="AS15" s="58"/>
      <c r="AT15" s="82"/>
      <c r="AU15" s="58"/>
      <c r="AV15" s="58"/>
      <c r="AW15" s="58"/>
      <c r="AX15" s="58"/>
      <c r="AY15" s="58"/>
      <c r="BA15" s="49"/>
      <c r="BB15" s="42"/>
      <c r="BC15" s="42"/>
      <c r="BD15" s="42"/>
      <c r="BE15" s="51"/>
      <c r="BF15" s="50"/>
      <c r="BG15" s="43"/>
    </row>
    <row r="16" spans="1:59" ht="15">
      <c r="A16" s="211" t="s">
        <v>19</v>
      </c>
      <c r="B16" s="215" t="s">
        <v>222</v>
      </c>
      <c r="C16" s="216">
        <f ca="1">INDIRECT($C$46&amp;$AI16)</f>
        <v>41262</v>
      </c>
      <c r="D16" s="217">
        <f ca="1">E16+O16+P16</f>
        <v>88.4010631799528</v>
      </c>
      <c r="E16" s="218">
        <f ca="1">AP16/1000000</f>
        <v>88.4010631799528</v>
      </c>
      <c r="F16" s="219">
        <f ca="1">INDIRECT($F$46&amp;AJ16)+INDIRECT($F$47&amp;AJ16)+INDIRECT($F$48&amp;AJ16)+INDIRECT($F$49&amp;AJ16)</f>
        <v>0</v>
      </c>
      <c r="G16" s="295">
        <f ca="1">E16-F16</f>
        <v>88.4010631799528</v>
      </c>
      <c r="H16" s="295"/>
      <c r="I16" s="295">
        <f ca="1">INDIRECT("Data!J" &amp; AJ16)/1000000</f>
        <v>0</v>
      </c>
      <c r="J16" s="218">
        <v>0</v>
      </c>
      <c r="K16" s="218"/>
      <c r="L16" s="217">
        <f ca="1">HLOOKUP(A16,'Peak NAV'!$C$2:$AZ$3,2,0)/1000000</f>
        <v>138.09667450000001</v>
      </c>
      <c r="M16" s="220">
        <f ca="1">HLOOKUP(A16,'Peak NAV'!$C$2:$AZ$4,3,0)</f>
        <v>42643</v>
      </c>
      <c r="N16" s="221"/>
      <c r="O16" s="222">
        <f t="shared" ref="O16:P18" ca="1" si="17">INDIRECT(O$47&amp;$AJ16)</f>
        <v>0</v>
      </c>
      <c r="P16" s="222">
        <f t="shared" ca="1" si="17"/>
        <v>0</v>
      </c>
      <c r="Q16" s="217"/>
      <c r="R16" s="222">
        <f t="shared" ref="R16:S18" ca="1" si="18">INDIRECT(R$47&amp;$AJ16)</f>
        <v>0</v>
      </c>
      <c r="S16" s="222">
        <f t="shared" ca="1" si="18"/>
        <v>0</v>
      </c>
      <c r="T16" s="223"/>
      <c r="U16" s="224" t="str">
        <f ca="1">IF(ISERROR((O16-R16)/O16),"",(O16-R16)/O16*AF16)</f>
        <v/>
      </c>
      <c r="V16" s="223"/>
      <c r="W16" s="221"/>
      <c r="X16" s="225">
        <f ca="1">XIRR(INDIRECT($X$46&amp;$AI16):INDIRECT($X$46&amp;$AJ16),INDIRECT($X$47&amp;$AI16):INDIRECT($X$47&amp;$AJ16),0.1)</f>
        <v>2.9802322387695314E-9</v>
      </c>
      <c r="Y16" s="225">
        <f ca="1">($AW16-AZ16)/AX16-1</f>
        <v>4.4544937001192331E-2</v>
      </c>
      <c r="Z16" s="225">
        <f ca="1">($AW16-BA16)/AY16-1</f>
        <v>4.4544937001192331E-2</v>
      </c>
      <c r="AA16" s="226">
        <f ca="1">ABS(SUMIF(INDIRECT($AA$46&amp;$AI16):INDIRECT($AA$46&amp;$AJ16),"&lt;0"))/SUMIF(INDIRECT($AA$46&amp;$AI16):INDIRECT($AA$46&amp;$AJ16),"&gt;0")</f>
        <v>1.944296710986704E-4</v>
      </c>
      <c r="AB16" s="227">
        <f ca="1">AA16-1</f>
        <v>-0.99980557032890138</v>
      </c>
      <c r="AC16" s="228">
        <f>HLOOKUP($A16,SharpR!$A$207:$AH$221,14,0)</f>
        <v>0.28154924984031299</v>
      </c>
      <c r="AD16" s="228">
        <f>HLOOKUP($A16,SharpR!$A$207:$AH$221,3,0)</f>
        <v>0.22333454232022212</v>
      </c>
      <c r="AE16" s="195"/>
      <c r="AF16" s="330">
        <v>4.0000000000000001E-3</v>
      </c>
      <c r="AG16" s="330">
        <v>0</v>
      </c>
      <c r="AH16" s="195"/>
      <c r="AI16" s="115">
        <f ca="1">MATCH(A16,INDIRECT($AI$47),0)</f>
        <v>4588</v>
      </c>
      <c r="AJ16" s="69">
        <f ca="1">AI16+AK16-1</f>
        <v>4663</v>
      </c>
      <c r="AK16" s="70">
        <f ca="1">COUNTIF(INDIRECT($AK$46),Summary!A16)</f>
        <v>76</v>
      </c>
      <c r="AL16" s="55"/>
      <c r="AM16" s="55">
        <f ca="1">MATCH(AM$6,INDIRECT($AM$46&amp;$AI16):INDIRECT($AM$46&amp;$AJ16),1)+$AI16-1</f>
        <v>4662</v>
      </c>
      <c r="AN16" s="55">
        <f ca="1">MATCH(AN$6,INDIRECT($AM$46&amp;$AI16):INDIRECT($AM$46&amp;$AJ16),1)+$AI16-1</f>
        <v>4661</v>
      </c>
      <c r="AO16" s="55">
        <f ca="1">IF(ISNA(MATCH(AO$6,INDIRECT($AM$46&amp;$AI16):INDIRECT($AM$46&amp;$AJ16),1)+$AI16-1),AI16,MATCH(AO$6,INDIRECT($AM$46&amp;$AI16):INDIRECT($AM$46&amp;$AJ16),1)+$AI16-1)</f>
        <v>4661</v>
      </c>
      <c r="AP16" s="58">
        <f t="shared" ref="AP16:AR18" ca="1" si="19">INDIRECT($AP$46&amp;AM16)</f>
        <v>88401063.1799528</v>
      </c>
      <c r="AQ16" s="58">
        <f t="shared" ca="1" si="19"/>
        <v>84631052.115302578</v>
      </c>
      <c r="AR16" s="58">
        <f t="shared" ca="1" si="19"/>
        <v>84631052.115302578</v>
      </c>
      <c r="AS16" s="58">
        <f ca="1">INDIRECT($AS$47&amp;AJ16)</f>
        <v>10002000</v>
      </c>
      <c r="AT16" s="58">
        <f ca="1">SUM(INDIRECT(AT$47&amp;AO16+1&amp;":"&amp;LEFT(AT$46,LEN(AT$46)-1)&amp;$AM16))</f>
        <v>0</v>
      </c>
      <c r="AU16" s="58">
        <f ca="1">INDIRECT($AU$47&amp;AM16)</f>
        <v>0</v>
      </c>
      <c r="AV16" s="58">
        <f ca="1">SUM(INDIRECT(AV$47&amp;AO16+1&amp;":"&amp;LEFT(AV$46,LEN(AV$46)-1)&amp;$AM16))</f>
        <v>0</v>
      </c>
      <c r="AW16" s="58">
        <f ca="1">INDIRECT($AX$46&amp;AM16)</f>
        <v>1944.88</v>
      </c>
      <c r="AX16" s="58">
        <f ca="1">INDIRECT($AX$46&amp;AN16)</f>
        <v>1861.94</v>
      </c>
      <c r="AY16" s="58">
        <f ca="1">INDIRECT($AX$46&amp;AO16)</f>
        <v>1861.94</v>
      </c>
      <c r="AZ16" s="36">
        <f ca="1">INDIRECT($BA$46&amp;AM16)</f>
        <v>0</v>
      </c>
      <c r="BA16" s="42">
        <f ca="1">SUM(INDIRECT(BA$46&amp;AO16+1&amp;":"&amp;LEFT(AZ$46,LEN(AZ$46)-1)&amp;$AM16))</f>
        <v>0</v>
      </c>
      <c r="BB16" s="42"/>
      <c r="BC16" s="42"/>
      <c r="BD16" s="42"/>
      <c r="BE16" s="43"/>
      <c r="BF16" s="50"/>
      <c r="BG16" s="43"/>
    </row>
    <row r="17" spans="1:59" ht="15">
      <c r="A17" s="212" t="s">
        <v>32</v>
      </c>
      <c r="B17" s="269" t="s">
        <v>223</v>
      </c>
      <c r="C17" s="270">
        <f ca="1">INDIRECT($C$46&amp;$AI17)</f>
        <v>41906</v>
      </c>
      <c r="D17" s="271">
        <f ca="1">E17+O17+P17</f>
        <v>532.02872087666663</v>
      </c>
      <c r="E17" s="272">
        <f ca="1">AP17/1000000</f>
        <v>531.95423170999993</v>
      </c>
      <c r="F17" s="273">
        <f ca="1">INDIRECT($F$46&amp;AJ17)+INDIRECT($F$47&amp;AJ17)+INDIRECT($F$48&amp;AJ17)+INDIRECT($F$49&amp;AJ17)</f>
        <v>0</v>
      </c>
      <c r="G17" s="296">
        <f ca="1">E17-F17</f>
        <v>531.95423170999993</v>
      </c>
      <c r="H17" s="296"/>
      <c r="I17" s="272">
        <f>SUMIF(Data!$B$3:$B$4204,Summary!A17,Data!$G$3:$G$4204)/1000000</f>
        <v>91.387000000000072</v>
      </c>
      <c r="J17" s="272">
        <v>0</v>
      </c>
      <c r="K17" s="272"/>
      <c r="L17" s="271">
        <f ca="1">HLOOKUP(A17,'Peak NAV'!$C$2:$AZ$3,2,0)/1000000</f>
        <v>1068.2633069569531</v>
      </c>
      <c r="M17" s="274">
        <f ca="1">HLOOKUP(A17,'Peak NAV'!$C$2:$AZ$4,3,0)</f>
        <v>43159</v>
      </c>
      <c r="N17" s="275"/>
      <c r="O17" s="276">
        <f t="shared" ca="1" si="17"/>
        <v>7.4489166666666676E-2</v>
      </c>
      <c r="P17" s="276">
        <f t="shared" ca="1" si="17"/>
        <v>0</v>
      </c>
      <c r="Q17" s="271"/>
      <c r="R17" s="276">
        <f t="shared" ca="1" si="18"/>
        <v>3.5833333333333335E-2</v>
      </c>
      <c r="S17" s="276">
        <f t="shared" ca="1" si="18"/>
        <v>0</v>
      </c>
      <c r="T17" s="277"/>
      <c r="U17" s="278">
        <f ca="1">IF(ISERROR((O17-R17)/O17),"",(O17-R17)/O17*AF17)</f>
        <v>5.1894570798885755E-3</v>
      </c>
      <c r="V17" s="277"/>
      <c r="W17" s="275"/>
      <c r="X17" s="279">
        <f ca="1">XIRR(INDIRECT($X$46&amp;$AI17):INDIRECT($X$46&amp;$AJ17),INDIRECT($X$47&amp;$AI17):INDIRECT($X$47&amp;$AJ17),0.1)</f>
        <v>0.57547954916954047</v>
      </c>
      <c r="Y17" s="279">
        <f t="shared" ref="Y17:Z18" ca="1" si="20">($AP17-AU17)/(AQ17+AS17)-1</f>
        <v>0</v>
      </c>
      <c r="Z17" s="279">
        <f t="shared" ca="1" si="20"/>
        <v>0</v>
      </c>
      <c r="AA17" s="280">
        <f ca="1">ABS(SUMIF(INDIRECT($AA$46&amp;$AI17):INDIRECT($AA$46&amp;$AJ17),"&lt;0"))/SUMIF(INDIRECT($AA$46&amp;$AI17):INDIRECT($AA$46&amp;$AJ17),"&gt;0")</f>
        <v>5.8208960980226907</v>
      </c>
      <c r="AB17" s="281">
        <f t="shared" ref="AB17:AB18" ca="1" si="21">AA17-1</f>
        <v>4.8208960980226907</v>
      </c>
      <c r="AC17" s="282">
        <f>HLOOKUP($A17,SharpR!$A$207:$AH$221,14,0)</f>
        <v>0.64132129761052448</v>
      </c>
      <c r="AD17" s="282">
        <f>HLOOKUP($A17,SharpR!$A$207:$AH$221,3,0)</f>
        <v>-0.22712466077686405</v>
      </c>
      <c r="AE17" s="195"/>
      <c r="AF17" s="330">
        <v>0.01</v>
      </c>
      <c r="AG17" s="330">
        <v>0</v>
      </c>
      <c r="AH17" s="195"/>
      <c r="AI17" s="115">
        <f ca="1">MATCH(A17,INDIRECT($AI$47),0)</f>
        <v>4146</v>
      </c>
      <c r="AJ17" s="69">
        <f ca="1">AI17+AK17-1</f>
        <v>4199</v>
      </c>
      <c r="AK17" s="70">
        <f ca="1">COUNTIF(INDIRECT($AK$46),Summary!A17)</f>
        <v>54</v>
      </c>
      <c r="AL17" s="55"/>
      <c r="AM17" s="55">
        <f ca="1">MATCH(AM$6,INDIRECT($AM$46&amp;$AI17):INDIRECT($AM$46&amp;$AJ17),1)+$AI17-1</f>
        <v>4199</v>
      </c>
      <c r="AN17" s="55">
        <f ca="1">MATCH(AN$6,INDIRECT($AM$46&amp;$AI17):INDIRECT($AM$46&amp;$AJ17),1)+$AI17-1</f>
        <v>4198</v>
      </c>
      <c r="AO17" s="55">
        <f ca="1">IF(ISNA(MATCH(AO$6,INDIRECT($AM$46&amp;$AI17):INDIRECT($AM$46&amp;$AJ17),1)+$AI17-1),AI17,MATCH(AO$6,INDIRECT($AM$46&amp;$AI17):INDIRECT($AM$46&amp;$AJ17),1)+$AI17-1)</f>
        <v>4198</v>
      </c>
      <c r="AP17" s="58">
        <f t="shared" ca="1" si="19"/>
        <v>531954231.70999998</v>
      </c>
      <c r="AQ17" s="58">
        <f t="shared" ca="1" si="19"/>
        <v>531954231.70999998</v>
      </c>
      <c r="AR17" s="58">
        <f t="shared" ca="1" si="19"/>
        <v>531954231.70999998</v>
      </c>
      <c r="AS17" s="58">
        <f ca="1">INDIRECT($AS$47&amp;AJ17)</f>
        <v>0</v>
      </c>
      <c r="AT17" s="58">
        <f ca="1">SUM(INDIRECT(AT$47&amp;AO17+1&amp;":"&amp;LEFT(AT$46,LEN(AT$46)-1)&amp;$AM17))</f>
        <v>0</v>
      </c>
      <c r="AU17" s="58">
        <f ca="1">INDIRECT($AU$47&amp;AM17)</f>
        <v>0</v>
      </c>
      <c r="AV17" s="58">
        <f ca="1">SUM(INDIRECT(AV$47&amp;AO17+1&amp;":"&amp;LEFT(AV$46,LEN(AV$46)-1)&amp;$AM17))</f>
        <v>0</v>
      </c>
      <c r="AW17" s="58"/>
      <c r="AX17" s="58"/>
      <c r="AY17" s="58"/>
      <c r="BA17" s="42"/>
      <c r="BB17" s="42"/>
      <c r="BC17" s="42"/>
      <c r="BD17" s="42"/>
      <c r="BE17" s="43"/>
      <c r="BF17" s="50"/>
      <c r="BG17" s="43"/>
    </row>
    <row r="18" spans="1:59" ht="15">
      <c r="A18" s="211" t="s">
        <v>33</v>
      </c>
      <c r="B18" s="215" t="s">
        <v>224</v>
      </c>
      <c r="C18" s="216">
        <f ca="1">INDIRECT($C$46&amp;$AI18)</f>
        <v>42466</v>
      </c>
      <c r="D18" s="217">
        <f ca="1">E18+O18+P18</f>
        <v>82.496916806666661</v>
      </c>
      <c r="E18" s="218">
        <f ca="1">AP18/1000000</f>
        <v>82.430250139999998</v>
      </c>
      <c r="F18" s="219">
        <f ca="1">INDIRECT($F$46&amp;AJ18)+INDIRECT($F$47&amp;AJ18)+INDIRECT($F$48&amp;AJ18)+INDIRECT($F$49&amp;AJ18)</f>
        <v>0</v>
      </c>
      <c r="G18" s="295">
        <f ca="1">E18-F18</f>
        <v>82.430250139999998</v>
      </c>
      <c r="H18" s="295" t="s">
        <v>430</v>
      </c>
      <c r="I18" s="295">
        <f>SUMIF(Data!$B$3:$B$3990,Summary!A18,Data!$G$3:$G$3990)/1000000</f>
        <v>0</v>
      </c>
      <c r="J18" s="218">
        <v>0</v>
      </c>
      <c r="K18" s="218"/>
      <c r="L18" s="217">
        <f ca="1">HLOOKUP(A18,'Peak NAV'!$C$2:$AZ$3,2,0)/1000000</f>
        <v>32.430250136189251</v>
      </c>
      <c r="M18" s="220">
        <f ca="1">HLOOKUP(A18,'Peak NAV'!$C$2:$AZ$4,3,0)</f>
        <v>43188</v>
      </c>
      <c r="N18" s="221"/>
      <c r="O18" s="222">
        <f t="shared" ca="1" si="17"/>
        <v>6.6666666666666666E-2</v>
      </c>
      <c r="P18" s="222">
        <f t="shared" ca="1" si="17"/>
        <v>0</v>
      </c>
      <c r="Q18" s="217"/>
      <c r="R18" s="222">
        <f t="shared" ca="1" si="18"/>
        <v>0</v>
      </c>
      <c r="S18" s="222">
        <f t="shared" ca="1" si="18"/>
        <v>0</v>
      </c>
      <c r="T18" s="223"/>
      <c r="U18" s="224">
        <f ca="1">IF(ISERROR((O18-R18)/O18),"",(O18-R18)/O18*AF18)</f>
        <v>0.01</v>
      </c>
      <c r="V18" s="223"/>
      <c r="W18" s="221"/>
      <c r="X18" s="225">
        <f ca="1">XIRR(INDIRECT($X$46&amp;$AI18):INDIRECT($X$46&amp;$AJ18),INDIRECT($X$47&amp;$AI18):INDIRECT($X$47&amp;$AJ18),0.1)</f>
        <v>0.12319173216819762</v>
      </c>
      <c r="Y18" s="225">
        <f t="shared" ca="1" si="20"/>
        <v>4.6229908789996443E-11</v>
      </c>
      <c r="Z18" s="225">
        <f t="shared" ca="1" si="20"/>
        <v>4.6229908789996443E-11</v>
      </c>
      <c r="AA18" s="226">
        <f ca="1">ABS(SUMIF(INDIRECT($AA$46&amp;$AI18):INDIRECT($AA$46&amp;$AJ18),"&lt;0"))/SUMIF(INDIRECT($AA$46&amp;$AI18):INDIRECT($AA$46&amp;$AJ18),"&gt;0")</f>
        <v>1.2780323707260279</v>
      </c>
      <c r="AB18" s="227">
        <f t="shared" ca="1" si="21"/>
        <v>0.27803237072602793</v>
      </c>
      <c r="AC18" s="228">
        <f ca="1">HLOOKUP($A18,SharpR!$A$207:$AH$221,14,0)</f>
        <v>0.65168307515795598</v>
      </c>
      <c r="AD18" s="228">
        <f ca="1">HLOOKUP($A18,SharpR!$A$207:$AH$221,3,0)</f>
        <v>-0.10770223622352947</v>
      </c>
      <c r="AE18" s="195"/>
      <c r="AF18" s="330">
        <v>0.01</v>
      </c>
      <c r="AG18" s="330">
        <v>0</v>
      </c>
      <c r="AH18" s="195"/>
      <c r="AI18" s="115">
        <f ca="1">MATCH(A18,INDIRECT($AI$47),0)</f>
        <v>4508</v>
      </c>
      <c r="AJ18" s="69">
        <f ca="1">AI18+AK18-1</f>
        <v>4542</v>
      </c>
      <c r="AK18" s="70">
        <f ca="1">COUNTIF(INDIRECT($AK$46),Summary!A18)</f>
        <v>35</v>
      </c>
      <c r="AL18" s="55"/>
      <c r="AM18" s="55">
        <f ca="1">MATCH(AM$6,INDIRECT($AM$46&amp;$AI18):INDIRECT($AM$46&amp;$AJ18),1)+$AI18-1</f>
        <v>4542</v>
      </c>
      <c r="AN18" s="55">
        <f ca="1">MATCH(AN$6,INDIRECT($AM$46&amp;$AI18):INDIRECT($AM$46&amp;$AJ18),1)+$AI18-1</f>
        <v>4541</v>
      </c>
      <c r="AO18" s="55">
        <f ca="1">IF(ISNA(MATCH(AO$6,INDIRECT($AM$46&amp;$AI18):INDIRECT($AM$46&amp;$AJ18),1)+$AI18-1),AI18,MATCH(AO$6,INDIRECT($AM$46&amp;$AI18):INDIRECT($AM$46&amp;$AJ18),1)+$AI18-1)</f>
        <v>4541</v>
      </c>
      <c r="AP18" s="58">
        <f t="shared" ca="1" si="19"/>
        <v>82430250.140000001</v>
      </c>
      <c r="AQ18" s="58">
        <f t="shared" ca="1" si="19"/>
        <v>32430250.136189248</v>
      </c>
      <c r="AR18" s="58">
        <f t="shared" ca="1" si="19"/>
        <v>32430250.136189248</v>
      </c>
      <c r="AS18" s="58">
        <f ca="1">INDIRECT($AS$47&amp;AJ18)</f>
        <v>50000000</v>
      </c>
      <c r="AT18" s="58">
        <f ca="1">SUM(INDIRECT(AT$47&amp;AO18+1&amp;":"&amp;LEFT(AT$46,LEN(AT$46)-1)&amp;$AM18))</f>
        <v>50000000</v>
      </c>
      <c r="AU18" s="58">
        <f ca="1">INDIRECT($AU$47&amp;AM18)</f>
        <v>0</v>
      </c>
      <c r="AV18" s="58">
        <f ca="1">SUM(INDIRECT(AV$47&amp;AO18+1&amp;":"&amp;LEFT(AV$46,LEN(AV$46)-1)&amp;$AM18))</f>
        <v>0</v>
      </c>
      <c r="AW18" s="58"/>
      <c r="AX18" s="58"/>
      <c r="AY18" s="58"/>
      <c r="BA18" s="42"/>
      <c r="BB18" s="42"/>
      <c r="BC18" s="42"/>
      <c r="BD18" s="42"/>
      <c r="BE18" s="43"/>
      <c r="BF18" s="50"/>
      <c r="BG18" s="43"/>
    </row>
    <row r="19" spans="1:59" ht="15">
      <c r="A19" s="214" t="s">
        <v>214</v>
      </c>
      <c r="B19" s="239" t="s">
        <v>238</v>
      </c>
      <c r="C19" s="240"/>
      <c r="D19" s="241"/>
      <c r="E19" s="253">
        <f ca="1">SUM(E20:E34)</f>
        <v>232.54995899981932</v>
      </c>
      <c r="F19" s="243"/>
      <c r="G19" s="297">
        <f ca="1">SUM(G20:G34)</f>
        <v>214.5004428798193</v>
      </c>
      <c r="H19" s="297"/>
      <c r="I19" s="297"/>
      <c r="J19" s="244"/>
      <c r="K19" s="244"/>
      <c r="L19" s="241"/>
      <c r="M19" s="241"/>
      <c r="N19" s="245"/>
      <c r="O19" s="246"/>
      <c r="P19" s="246"/>
      <c r="Q19" s="241"/>
      <c r="R19" s="246"/>
      <c r="S19" s="246"/>
      <c r="T19" s="247"/>
      <c r="U19" s="248"/>
      <c r="V19" s="247"/>
      <c r="W19" s="245"/>
      <c r="X19" s="254"/>
      <c r="Y19" s="254"/>
      <c r="Z19" s="254"/>
      <c r="AA19" s="257"/>
      <c r="AB19" s="249"/>
      <c r="AC19" s="249"/>
      <c r="AD19" s="258"/>
      <c r="AE19" s="195"/>
      <c r="AF19" s="330"/>
      <c r="AG19" s="330"/>
      <c r="AH19" s="195"/>
      <c r="AI19" s="115"/>
      <c r="AJ19" s="69"/>
      <c r="AK19" s="70"/>
      <c r="AL19" s="55"/>
      <c r="AM19" s="55"/>
      <c r="AN19" s="55"/>
      <c r="AO19" s="55"/>
      <c r="AP19" s="58"/>
      <c r="AQ19" s="58"/>
      <c r="AR19" s="58"/>
      <c r="AS19" s="58"/>
      <c r="AT19" s="55"/>
      <c r="AU19" s="58"/>
      <c r="AV19" s="58"/>
      <c r="AW19" s="58"/>
      <c r="AX19" s="58"/>
      <c r="AY19" s="58"/>
      <c r="BA19" s="42"/>
      <c r="BB19" s="42"/>
      <c r="BC19" s="42"/>
      <c r="BD19" s="42"/>
      <c r="BE19" s="43"/>
      <c r="BF19" s="50"/>
      <c r="BG19" s="43"/>
    </row>
    <row r="20" spans="1:59" ht="15">
      <c r="A20" s="211" t="s">
        <v>397</v>
      </c>
      <c r="B20" s="215" t="s">
        <v>221</v>
      </c>
      <c r="C20" s="216">
        <f t="shared" ref="C20:C34" ca="1" si="22">INDIRECT($C$46&amp;$AI20)</f>
        <v>38747</v>
      </c>
      <c r="D20" s="217">
        <f ca="1">E20+O20+P20</f>
        <v>3.3755597545447222</v>
      </c>
      <c r="E20" s="218">
        <f ca="1">AP20/1000000</f>
        <v>3.3755597545447222</v>
      </c>
      <c r="F20" s="219">
        <f ca="1">INDIRECT($F$46&amp;AJ20)+INDIRECT($F$47&amp;AJ20)+INDIRECT($F$48&amp;AJ20)+INDIRECT($F$49&amp;AJ20)</f>
        <v>0</v>
      </c>
      <c r="G20" s="295">
        <f ca="1">E20-F20</f>
        <v>3.3755597545447222</v>
      </c>
      <c r="H20" s="295"/>
      <c r="I20" s="218">
        <v>0</v>
      </c>
      <c r="J20" s="218">
        <v>0</v>
      </c>
      <c r="K20" s="218"/>
      <c r="L20" s="217">
        <f ca="1">HLOOKUP(A20,'Peak NAV'!$C$2:$AZ$3,2,0)/1000000</f>
        <v>20.933279194099999</v>
      </c>
      <c r="M20" s="220">
        <f ca="1">HLOOKUP(A20,'Peak NAV'!$C$2:$AZ$4,3,0)</f>
        <v>38990</v>
      </c>
      <c r="N20" s="221"/>
      <c r="O20" s="222">
        <f ca="1">INDIRECT(O$47&amp;$AJ20)</f>
        <v>0</v>
      </c>
      <c r="P20" s="222">
        <f ca="1">INDIRECT(P$47&amp;$AJ20)</f>
        <v>0</v>
      </c>
      <c r="Q20" s="217"/>
      <c r="R20" s="222">
        <f ca="1">INDIRECT(R$47&amp;$AJ20)</f>
        <v>0</v>
      </c>
      <c r="S20" s="222">
        <f ca="1">INDIRECT(S$47&amp;$AJ20)</f>
        <v>0</v>
      </c>
      <c r="T20" s="223"/>
      <c r="U20" s="223"/>
      <c r="V20" s="223"/>
      <c r="W20" s="221"/>
      <c r="X20" s="225" t="e">
        <f ca="1">XIRR(INDIRECT($X$46&amp;$AI20):INDIRECT($X$46&amp;$AJ20),INDIRECT($X$47&amp;$AI20):INDIRECT($X$47&amp;$AJ20),0.1)</f>
        <v>#NUM!</v>
      </c>
      <c r="Y20" s="225">
        <f t="shared" ref="Y20:Z22" ca="1" si="23">($AP20-AU20)/(AQ20+AS20)-1</f>
        <v>-0.88882817500450317</v>
      </c>
      <c r="Z20" s="225">
        <f t="shared" ca="1" si="23"/>
        <v>3.6014572643432441E-3</v>
      </c>
      <c r="AA20" s="226">
        <f ca="1">ABS(SUMIF(INDIRECT($AA$46&amp;$AI20):INDIRECT($AA$46&amp;$AJ20),"&lt;0"))/SUMIF(INDIRECT($AA$46&amp;$AI20):INDIRECT($AA$46&amp;$AJ20),"&gt;0")</f>
        <v>0.74288297809862447</v>
      </c>
      <c r="AB20" s="227">
        <f ca="1">AA20-1</f>
        <v>-0.25711702190137553</v>
      </c>
      <c r="AC20" s="228" t="s">
        <v>250</v>
      </c>
      <c r="AD20" s="228" t="e">
        <f ca="1">HLOOKUP($A20,SharpR!$A$207:$AH$221,3,0)</f>
        <v>#REF!</v>
      </c>
      <c r="AE20" s="195"/>
      <c r="AF20" s="330"/>
      <c r="AG20" s="330"/>
      <c r="AH20" s="195"/>
      <c r="AI20" s="115">
        <f t="shared" ref="AI20:AI34" ca="1" si="24">MATCH(A20,INDIRECT($AI$47),0)</f>
        <v>4703</v>
      </c>
      <c r="AJ20" s="69">
        <f ca="1">AI20+AK20-1</f>
        <v>4860</v>
      </c>
      <c r="AK20" s="70">
        <f ca="1">COUNTIF(INDIRECT($AK$46),Summary!A20)</f>
        <v>158</v>
      </c>
      <c r="AL20" s="55"/>
      <c r="AM20" s="55">
        <f ca="1">MATCH(AM$6,INDIRECT($AM$46&amp;$AI20):INDIRECT($AM$46&amp;$AJ20),1)+$AI20-1</f>
        <v>4859</v>
      </c>
      <c r="AN20" s="55">
        <f ca="1">MATCH(AN$6,INDIRECT($AM$46&amp;$AI20):INDIRECT($AM$46&amp;$AJ20),1)+$AI20-1</f>
        <v>4858</v>
      </c>
      <c r="AO20" s="55">
        <f ca="1">IF(ISNA(MATCH(AO$6,INDIRECT($AM$46&amp;$AI20):INDIRECT($AM$46&amp;$AJ20),1)+$AI20-1),AI20,MATCH(AO$6,INDIRECT($AM$46&amp;$AI20):INDIRECT($AM$46&amp;$AJ20),1)+$AI20-1)</f>
        <v>4858</v>
      </c>
      <c r="AP20" s="58">
        <f ca="1">INDIRECT($AP$46&amp;AM20)</f>
        <v>3375559.7545447224</v>
      </c>
      <c r="AQ20" s="58">
        <f ca="1">INDIRECT($AP$46&amp;AN20)</f>
        <v>3363446.4459088747</v>
      </c>
      <c r="AR20" s="58">
        <f ca="1">INDIRECT($AP$46&amp;AO20)</f>
        <v>3363446.4459088747</v>
      </c>
      <c r="AS20" s="58">
        <f ca="1">INDIRECT($AS$47&amp;AJ20)</f>
        <v>27000000</v>
      </c>
      <c r="AT20" s="58">
        <f ca="1">SUM(INDIRECT(AT$47&amp;AO20+1&amp;":"&amp;LEFT(AT$46,LEN(AT$46)-1)&amp;$AM20))</f>
        <v>0</v>
      </c>
      <c r="AU20" s="58">
        <f ca="1">INDIRECT($AU$47&amp;AM20)</f>
        <v>0</v>
      </c>
      <c r="AV20" s="58">
        <f ca="1">SUM(INDIRECT(AV$47&amp;AO20+1&amp;":"&amp;LEFT(AV$46,LEN(AV$46)-1)&amp;$AM20))</f>
        <v>0</v>
      </c>
      <c r="AW20" s="58"/>
      <c r="AX20" s="58"/>
      <c r="AY20" s="58"/>
      <c r="BA20" s="42"/>
      <c r="BB20" s="42"/>
      <c r="BC20" s="42"/>
      <c r="BD20" s="42"/>
      <c r="BE20" s="48"/>
      <c r="BF20" s="50"/>
      <c r="BG20" s="43"/>
    </row>
    <row r="21" spans="1:59" s="318" customFormat="1" ht="15">
      <c r="A21" s="317" t="s">
        <v>188</v>
      </c>
      <c r="B21" s="283" t="s">
        <v>227</v>
      </c>
      <c r="C21" s="270">
        <f t="shared" ca="1" si="22"/>
        <v>40633</v>
      </c>
      <c r="D21" s="271">
        <f ca="1">E21+O21+P21</f>
        <v>0</v>
      </c>
      <c r="E21" s="272">
        <f ca="1">AX21/1000000</f>
        <v>0</v>
      </c>
      <c r="F21" s="273">
        <f ca="1">SUMIF($G$58:$G$106,$A21,F$58:F$106)</f>
        <v>4.0298780599999997</v>
      </c>
      <c r="G21" s="296">
        <f ca="1">E21-F21</f>
        <v>-4.0298780599999997</v>
      </c>
      <c r="H21" s="296"/>
      <c r="I21" s="272">
        <f>SUMIF(Data!$B$3:$B$3990,Summary!A21,Data!$G$3:$G$3990)/1000000</f>
        <v>210.43700000000001</v>
      </c>
      <c r="J21" s="272">
        <v>0</v>
      </c>
      <c r="K21" s="272"/>
      <c r="L21" s="271">
        <f ca="1">HLOOKUP(A21,'Peak NAV'!$C$2:$AZ$3,2,0)/1000000</f>
        <v>225.42145513020151</v>
      </c>
      <c r="M21" s="274">
        <f ca="1">HLOOKUP(A21,'Peak NAV'!$C$2:$AZ$4,3,0)</f>
        <v>40816</v>
      </c>
      <c r="N21" s="275"/>
      <c r="O21" s="284">
        <f ca="1">SUMIF($G$58:$G$106,$A21,O$58:O$106)</f>
        <v>0</v>
      </c>
      <c r="P21" s="276">
        <f ca="1">SUMIF($G$58:$G$106,$A21,P$58:P$106)</f>
        <v>0</v>
      </c>
      <c r="Q21" s="271"/>
      <c r="R21" s="276">
        <f ca="1">SUMIF($G$58:$G$106,$A21,R$58:R$106)</f>
        <v>1.65255955E-2</v>
      </c>
      <c r="S21" s="276">
        <f ca="1">SUMIF($G$58:$G$106,$A21,S$58:S$106)</f>
        <v>0.13086940950000001</v>
      </c>
      <c r="T21" s="277"/>
      <c r="U21" s="278" t="str">
        <f ca="1">IF(ISERROR((O21-R21)/O21),"",(O21-R21)/O21*AF21)</f>
        <v/>
      </c>
      <c r="V21" s="278" t="str">
        <f ca="1">IF(ISERROR((P21-S21)/P21),"",(P21-S21)/P21*AG21)</f>
        <v/>
      </c>
      <c r="W21" s="275"/>
      <c r="X21" s="279">
        <f ca="1">XIRR(INDIRECT($X$48&amp;$AI21):INDIRECT($X$48&amp;$AJ21),INDIRECT($X$47&amp;$AI21):INDIRECT($X$47&amp;$AJ21),0.1)</f>
        <v>1.3442310690879825E-2</v>
      </c>
      <c r="Y21" s="279">
        <f t="shared" ca="1" si="23"/>
        <v>-0.95164447005802377</v>
      </c>
      <c r="Z21" s="279">
        <f t="shared" ca="1" si="23"/>
        <v>0</v>
      </c>
      <c r="AA21" s="280">
        <f ca="1">SUMIFS($AC$59:$AC$105,$G$59:$G$105,$A21,$J$59:$J$105,"non-GP")/SUMIFS($AD$59:$AD$105,$G$59:$G$105,$A21,$J$59:$J$105,"non-GP")</f>
        <v>0.82935068634510145</v>
      </c>
      <c r="AB21" s="281">
        <f ca="1">AA21-1</f>
        <v>-0.17064931365489855</v>
      </c>
      <c r="AC21" s="282" t="s">
        <v>250</v>
      </c>
      <c r="AD21" s="282">
        <f>HLOOKUP($A21,SharpR!$A$207:$AH$221,3,0)</f>
        <v>1.8498498280706686E-2</v>
      </c>
      <c r="AF21" s="331" t="e">
        <f ca="1">SUMPRODUCT($E$92:$E$94,U$92:U$94)/SUM($E$92:$E$94)</f>
        <v>#DIV/0!</v>
      </c>
      <c r="AG21" s="331" t="e">
        <f ca="1">SUMPRODUCT($E$92:$E$94,V$92:V$94)/SUM($E$92:$E$94)</f>
        <v>#DIV/0!</v>
      </c>
      <c r="AI21" s="319">
        <f t="shared" ca="1" si="24"/>
        <v>3075</v>
      </c>
      <c r="AJ21" s="320">
        <f ca="1">AI21+AK21-1</f>
        <v>3553</v>
      </c>
      <c r="AK21" s="321">
        <f ca="1">COUNTIF(INDIRECT($AK$46),Summary!A21)</f>
        <v>479</v>
      </c>
      <c r="AL21" s="322"/>
      <c r="AM21" s="322">
        <f ca="1">MATCH(AM$6,INDIRECT($AM$46&amp;$AI21):INDIRECT($AM$46&amp;$AJ21),1)+$AI21-1</f>
        <v>3553</v>
      </c>
      <c r="AN21" s="322">
        <f ca="1">MATCH(AN$6,INDIRECT($AM$46&amp;$AI21):INDIRECT($AM$46&amp;$AJ21),1)+$AI21-1</f>
        <v>3553</v>
      </c>
      <c r="AO21" s="322">
        <f ca="1">IF(ISNA(MATCH(AO$6,INDIRECT($AM$46&amp;$AI21):INDIRECT($AM$46&amp;$AJ21),1)+$AI21-1),AI21,MATCH(AO$6,INDIRECT($AM$46&amp;$AI21):INDIRECT($AM$46&amp;$AJ21),1)+$AI21-1)</f>
        <v>3553</v>
      </c>
      <c r="AP21" s="323">
        <f t="shared" ref="AP21:AV22" ca="1" si="25">SUMIFS(AP$58:AP$106,$G$58:$G$106,$A21,$J$58:$J$106,"non-GP")</f>
        <v>0</v>
      </c>
      <c r="AQ21" s="323">
        <f t="shared" ca="1" si="25"/>
        <v>2846318.61</v>
      </c>
      <c r="AR21" s="323">
        <f t="shared" ca="1" si="25"/>
        <v>2846318.61</v>
      </c>
      <c r="AS21" s="323">
        <f t="shared" ca="1" si="25"/>
        <v>56016000</v>
      </c>
      <c r="AT21" s="323">
        <f t="shared" ca="1" si="25"/>
        <v>0</v>
      </c>
      <c r="AU21" s="323">
        <f t="shared" ca="1" si="25"/>
        <v>-2846318.61</v>
      </c>
      <c r="AV21" s="323">
        <f t="shared" ca="1" si="25"/>
        <v>-2846318.61</v>
      </c>
      <c r="AX21" s="324">
        <f ca="1">SUMIF($G$58:$G$108,A21,$AP$58:$AP$108)</f>
        <v>0</v>
      </c>
      <c r="AY21" s="325"/>
      <c r="BA21" s="326"/>
      <c r="BB21" s="326"/>
      <c r="BC21" s="326"/>
      <c r="BD21" s="326"/>
      <c r="BE21" s="327"/>
      <c r="BF21" s="328"/>
      <c r="BG21" s="327"/>
    </row>
    <row r="22" spans="1:59" ht="15">
      <c r="A22" s="211" t="s">
        <v>189</v>
      </c>
      <c r="B22" s="215" t="s">
        <v>228</v>
      </c>
      <c r="C22" s="216">
        <f t="shared" ca="1" si="22"/>
        <v>41089</v>
      </c>
      <c r="D22" s="217">
        <f ca="1">E22+O22+P22</f>
        <v>14.409555520000001</v>
      </c>
      <c r="E22" s="218">
        <f ca="1">AX22/1000000</f>
        <v>14.409555520000001</v>
      </c>
      <c r="F22" s="219">
        <f ca="1">SUMIF($G$58:$G$106,$A22,F$58:F$106)</f>
        <v>14.01963806</v>
      </c>
      <c r="G22" s="295">
        <f ca="1">E22-F22</f>
        <v>0.38991746000000127</v>
      </c>
      <c r="H22" s="295"/>
      <c r="I22" s="218">
        <f>SUMIF(Data!$B$3:$B$3990,Summary!A22,Data!$G$3:$G$3990)/1000000</f>
        <v>264.69735980000002</v>
      </c>
      <c r="J22" s="218">
        <v>0</v>
      </c>
      <c r="K22" s="218"/>
      <c r="L22" s="217">
        <f ca="1">HLOOKUP(A22,'Peak NAV'!$C$2:$AZ$3,2,0)/1000000</f>
        <v>258.68996485999998</v>
      </c>
      <c r="M22" s="220">
        <f ca="1">HLOOKUP(A22,'Peak NAV'!$C$2:$AZ$4,3,0)</f>
        <v>41333</v>
      </c>
      <c r="N22" s="221"/>
      <c r="O22" s="222">
        <f ca="1">SUMIF($G$58:$G$106,$A22,O$58:O$106)</f>
        <v>0</v>
      </c>
      <c r="P22" s="222">
        <f ca="1">SUMIF($G$58:$G$106,$A22,P$58:P$106)</f>
        <v>0</v>
      </c>
      <c r="Q22" s="217"/>
      <c r="R22" s="222">
        <f ca="1">SUMIF($G$58:$G$106,$A22,R$58:R$106)</f>
        <v>0</v>
      </c>
      <c r="S22" s="222">
        <f ca="1">SUMIF($G$58:$G$106,$A22,S$58:S$106)</f>
        <v>0</v>
      </c>
      <c r="T22" s="223"/>
      <c r="U22" s="224" t="str">
        <f ca="1">IF(ISERROR((O22-R22)/O22),"",(O22-R22)/O22*AF22)</f>
        <v/>
      </c>
      <c r="V22" s="224" t="str">
        <f ca="1">IF(ISERROR((P22-S22)/P22),"",(P22-S22)/P22*AG22)</f>
        <v/>
      </c>
      <c r="W22" s="221"/>
      <c r="X22" s="225">
        <f ca="1">XIRR(INDIRECT($X$48&amp;$AI22):INDIRECT($X$48&amp;$AJ22),INDIRECT($X$47&amp;$AI22):INDIRECT($X$47&amp;$AJ22),0.1)</f>
        <v>1.596084237098694E-3</v>
      </c>
      <c r="Y22" s="225">
        <f t="shared" ca="1" si="23"/>
        <v>-0.52004761812815326</v>
      </c>
      <c r="Z22" s="225">
        <f t="shared" ca="1" si="23"/>
        <v>5.072967740491463E-2</v>
      </c>
      <c r="AA22" s="226">
        <f ca="1">SUMIFS($AC$59:$AC$105,$G$59:$G$105,$A22,$J$59:$J$105,"non-GP")/SUMIFS($AD$59:$AD$105,$G$59:$G$105,$A22,$J$59:$J$105,"non-GP")</f>
        <v>0.94551061940149184</v>
      </c>
      <c r="AB22" s="227">
        <f ca="1">AA22-1</f>
        <v>-5.4489380598508164E-2</v>
      </c>
      <c r="AC22" s="228" t="s">
        <v>250</v>
      </c>
      <c r="AD22" s="228">
        <f>HLOOKUP($A22,SharpR!$A$207:$AH$221,3,0)</f>
        <v>7.6139195533249063E-2</v>
      </c>
      <c r="AE22" s="195"/>
      <c r="AF22" s="330">
        <f ca="1">SUMPRODUCT($E$97:$E$99,U$97:U$99)/SUM($E$97:$E$99)</f>
        <v>8.3242089395706917E-3</v>
      </c>
      <c r="AG22" s="330">
        <f ca="1">SUMPRODUCT($E$97:$E$99,V$97:V$99)/SUM($E$97:$E$99)</f>
        <v>0.15231577813979066</v>
      </c>
      <c r="AH22" s="195"/>
      <c r="AI22" s="115">
        <f t="shared" ca="1" si="24"/>
        <v>3549</v>
      </c>
      <c r="AJ22" s="69">
        <f ca="1">AI22+AK22-1</f>
        <v>4031</v>
      </c>
      <c r="AK22" s="70">
        <f ca="1">COUNTIF(INDIRECT($AK$46),Summary!A22)</f>
        <v>483</v>
      </c>
      <c r="AL22" s="55"/>
      <c r="AM22" s="55">
        <f ca="1">MATCH(AM$6,INDIRECT($AM$46&amp;$AI22):INDIRECT($AM$46&amp;$AJ22),1)+$AI22-1</f>
        <v>4031</v>
      </c>
      <c r="AN22" s="55">
        <f ca="1">MATCH(AN$6,INDIRECT($AM$46&amp;$AI22):INDIRECT($AM$46&amp;$AJ22),1)+$AI22-1</f>
        <v>4024</v>
      </c>
      <c r="AO22" s="55">
        <f ca="1">IF(ISNA(MATCH(AO$6,INDIRECT($AM$46&amp;$AI22):INDIRECT($AM$46&amp;$AJ22),1)+$AI22-1),AI22,MATCH(AO$6,INDIRECT($AM$46&amp;$AI22):INDIRECT($AM$46&amp;$AJ22),1)+$AI22-1)</f>
        <v>4024</v>
      </c>
      <c r="AP22" s="113">
        <f t="shared" ca="1" si="25"/>
        <v>14264599.923900001</v>
      </c>
      <c r="AQ22" s="113">
        <f t="shared" ca="1" si="25"/>
        <v>13575898.949700002</v>
      </c>
      <c r="AR22" s="113">
        <f t="shared" ca="1" si="25"/>
        <v>13575898.949700002</v>
      </c>
      <c r="AS22" s="113">
        <f t="shared" ca="1" si="25"/>
        <v>16144966</v>
      </c>
      <c r="AT22" s="113">
        <f t="shared" ca="1" si="25"/>
        <v>0</v>
      </c>
      <c r="AU22" s="113">
        <f t="shared" ca="1" si="25"/>
        <v>0</v>
      </c>
      <c r="AV22" s="113">
        <f t="shared" ca="1" si="25"/>
        <v>0</v>
      </c>
      <c r="AX22" s="125">
        <f ca="1">SUMIF($G$58:$G$108,A22,$AP$58:$AP$108)</f>
        <v>14409555.520000001</v>
      </c>
      <c r="AY22" s="58"/>
      <c r="BA22" s="44"/>
      <c r="BB22" s="44"/>
      <c r="BC22" s="44"/>
      <c r="BD22" s="44"/>
      <c r="BE22" s="43"/>
      <c r="BF22" s="50"/>
      <c r="BG22" s="43"/>
    </row>
    <row r="23" spans="1:59" ht="15" hidden="1">
      <c r="A23" s="211" t="s">
        <v>83</v>
      </c>
      <c r="B23" s="283" t="s">
        <v>229</v>
      </c>
      <c r="C23" s="270">
        <f t="shared" ca="1" si="22"/>
        <v>41257</v>
      </c>
      <c r="D23" s="271">
        <f t="shared" ref="D23:D34" ca="1" si="26">E23+O23+P23</f>
        <v>1.57</v>
      </c>
      <c r="E23" s="272">
        <f t="shared" ca="1" si="15"/>
        <v>1.57</v>
      </c>
      <c r="F23" s="273">
        <f t="shared" ref="F23:F34" ca="1" si="27">INDIRECT($F$46&amp;AJ23)+INDIRECT($F$47&amp;AJ23)+INDIRECT($F$48&amp;AJ23)+INDIRECT($F$49&amp;AJ23)</f>
        <v>0</v>
      </c>
      <c r="G23" s="296">
        <f t="shared" ref="G23:G34" ca="1" si="28">E23-F23</f>
        <v>1.57</v>
      </c>
      <c r="H23" s="296"/>
      <c r="I23" s="272">
        <v>0</v>
      </c>
      <c r="J23" s="272">
        <v>0</v>
      </c>
      <c r="K23" s="272"/>
      <c r="L23" s="271">
        <f ca="1">HLOOKUP(A23,'Peak NAV'!$C$2:$AZ$3,2,0)/1000000</f>
        <v>27.294238825214499</v>
      </c>
      <c r="M23" s="274">
        <f ca="1">HLOOKUP(A23,'Peak NAV'!$C$2:$AZ$4,3,0)</f>
        <v>41820</v>
      </c>
      <c r="N23" s="275"/>
      <c r="O23" s="276">
        <f t="shared" ref="O23:P34" ca="1" si="29">INDIRECT(O$47&amp;$AJ23)</f>
        <v>0</v>
      </c>
      <c r="P23" s="276">
        <f t="shared" ca="1" si="29"/>
        <v>0</v>
      </c>
      <c r="Q23" s="271"/>
      <c r="R23" s="276">
        <f t="shared" ref="R23:S34" ca="1" si="30">INDIRECT(R$47&amp;$AJ23)</f>
        <v>0</v>
      </c>
      <c r="S23" s="276">
        <f t="shared" ca="1" si="30"/>
        <v>0</v>
      </c>
      <c r="T23" s="277"/>
      <c r="U23" s="277"/>
      <c r="V23" s="277"/>
      <c r="W23" s="275"/>
      <c r="X23" s="279">
        <f ca="1">XIRR(INDIRECT($X$46&amp;$AI23):INDIRECT($X$46&amp;$AJ23),INDIRECT($X$47&amp;$AI23):INDIRECT($X$47&amp;$AJ23),0.1)</f>
        <v>0.12712554335594176</v>
      </c>
      <c r="Y23" s="279">
        <f t="shared" ref="Y23:Y34" ca="1" si="31">($AP23-AU23)/(AQ23+AS23)-1</f>
        <v>-0.5</v>
      </c>
      <c r="Z23" s="279">
        <f t="shared" ref="Z23:Z34" ca="1" si="32">($AP23-AV23)/(AR23+AT23)-1</f>
        <v>-0.5</v>
      </c>
      <c r="AA23" s="280">
        <f ca="1">ABS(SUMIF(INDIRECT($AA$46&amp;$AI23):INDIRECT($AA$46&amp;$AJ23),"&lt;0"))/SUMIF(INDIRECT($AA$46&amp;$AI23):INDIRECT($AA$46&amp;$AJ23),"&gt;0")</f>
        <v>1.3902015351900638</v>
      </c>
      <c r="AB23" s="281">
        <f t="shared" ref="AB23:AB31" ca="1" si="33">AA23-1</f>
        <v>0.39020153519006384</v>
      </c>
      <c r="AC23" s="282" t="s">
        <v>250</v>
      </c>
      <c r="AD23" s="282">
        <f>HLOOKUP($A23,SharpR!$A$207:$AH$221,3,0)</f>
        <v>2.9546688765376836E-2</v>
      </c>
      <c r="AE23" s="195"/>
      <c r="AF23" s="330"/>
      <c r="AG23" s="330"/>
      <c r="AH23" s="195"/>
      <c r="AI23" s="115">
        <f t="shared" ca="1" si="24"/>
        <v>248</v>
      </c>
      <c r="AJ23" s="69">
        <f t="shared" ca="1" si="16"/>
        <v>321</v>
      </c>
      <c r="AK23" s="70">
        <f ca="1">COUNTIF(INDIRECT($AK$46),Summary!A23)</f>
        <v>74</v>
      </c>
      <c r="AL23" s="55"/>
      <c r="AM23" s="55">
        <f ca="1">MATCH(AM$6,INDIRECT($AM$46&amp;$AI23):INDIRECT($AM$46&amp;$AJ23),1)+$AI23-1</f>
        <v>321</v>
      </c>
      <c r="AN23" s="55">
        <f ca="1">MATCH(AN$6,INDIRECT($AM$46&amp;$AI23):INDIRECT($AM$46&amp;$AJ23),1)+$AI23-1</f>
        <v>321</v>
      </c>
      <c r="AO23" s="55">
        <f ca="1">IF(ISNA(MATCH(AO$6,INDIRECT($AM$46&amp;$AI23):INDIRECT($AM$46&amp;$AJ23),1)+$AI23-1),AI23,MATCH(AO$6,INDIRECT($AM$46&amp;$AI23):INDIRECT($AM$46&amp;$AJ23),1)+$AI23-1)</f>
        <v>321</v>
      </c>
      <c r="AP23" s="58">
        <f t="shared" ref="AP23:AP34" ca="1" si="34">INDIRECT($AP$46&amp;AM23)</f>
        <v>1570000</v>
      </c>
      <c r="AQ23" s="58">
        <f t="shared" ref="AQ23:AQ34" ca="1" si="35">INDIRECT($AP$46&amp;AN23)</f>
        <v>1570000</v>
      </c>
      <c r="AR23" s="58">
        <f t="shared" ref="AR23:AR34" ca="1" si="36">INDIRECT($AP$46&amp;AO23)</f>
        <v>1570000</v>
      </c>
      <c r="AS23" s="58">
        <f t="shared" ref="AS23:AS34" ca="1" si="37">INDIRECT($AS$47&amp;AJ23)</f>
        <v>1570000</v>
      </c>
      <c r="AT23" s="58">
        <f t="shared" ref="AT23:AT34" ca="1" si="38">SUM(INDIRECT(AT$47&amp;AO23+1&amp;":"&amp;LEFT(AT$46,LEN(AT$46)-1)&amp;$AM23))</f>
        <v>1570000</v>
      </c>
      <c r="AU23" s="58">
        <f t="shared" ref="AU23:AU34" ca="1" si="39">INDIRECT($AU$47&amp;AM23)</f>
        <v>0</v>
      </c>
      <c r="AV23" s="58">
        <f t="shared" ref="AV23:AV34" ca="1" si="40">SUM(INDIRECT(AV$47&amp;AO23+1&amp;":"&amp;LEFT(AV$46,LEN(AV$46)-1)&amp;$AM23))</f>
        <v>0</v>
      </c>
      <c r="AW23" s="58"/>
      <c r="AX23" s="58"/>
      <c r="AY23" s="58"/>
      <c r="BA23" s="42"/>
      <c r="BB23" s="42"/>
      <c r="BC23" s="42"/>
      <c r="BD23" s="42"/>
      <c r="BE23" s="48"/>
      <c r="BF23" s="50"/>
      <c r="BG23" s="43"/>
    </row>
    <row r="24" spans="1:59" ht="15">
      <c r="A24" s="211" t="s">
        <v>78</v>
      </c>
      <c r="B24" s="283" t="s">
        <v>233</v>
      </c>
      <c r="C24" s="270">
        <f t="shared" ca="1" si="22"/>
        <v>42156</v>
      </c>
      <c r="D24" s="271">
        <f t="shared" ca="1" si="26"/>
        <v>65.73287762999999</v>
      </c>
      <c r="E24" s="272">
        <f t="shared" ca="1" si="15"/>
        <v>65.719920649999992</v>
      </c>
      <c r="F24" s="273">
        <f t="shared" ca="1" si="27"/>
        <v>0</v>
      </c>
      <c r="G24" s="296">
        <f t="shared" ca="1" si="28"/>
        <v>65.719920649999992</v>
      </c>
      <c r="H24" s="296"/>
      <c r="I24" s="272">
        <v>0</v>
      </c>
      <c r="J24" s="272">
        <v>0</v>
      </c>
      <c r="K24" s="272"/>
      <c r="L24" s="271">
        <f ca="1">HLOOKUP(A24,'Peak NAV'!$C$2:$AZ$3,2,0)/1000000</f>
        <v>63.801975060000004</v>
      </c>
      <c r="M24" s="274">
        <f ca="1">HLOOKUP(A24,'Peak NAV'!$C$2:$AZ$4,3,0)</f>
        <v>43188</v>
      </c>
      <c r="N24" s="275"/>
      <c r="O24" s="276">
        <f t="shared" ca="1" si="29"/>
        <v>1.2956979999999996E-2</v>
      </c>
      <c r="P24" s="276">
        <f t="shared" ca="1" si="29"/>
        <v>0</v>
      </c>
      <c r="Q24" s="271"/>
      <c r="R24" s="276">
        <f t="shared" ca="1" si="30"/>
        <v>0</v>
      </c>
      <c r="S24" s="276">
        <f t="shared" ca="1" si="30"/>
        <v>0</v>
      </c>
      <c r="T24" s="277"/>
      <c r="U24" s="277"/>
      <c r="V24" s="277"/>
      <c r="W24" s="275"/>
      <c r="X24" s="279">
        <f ca="1">XIRR(INDIRECT($X$46&amp;$AI24):INDIRECT($X$46&amp;$AJ24),INDIRECT($X$47&amp;$AI24):INDIRECT($X$47&amp;$AJ24),0.1)</f>
        <v>0.13343281149864197</v>
      </c>
      <c r="Y24" s="279">
        <f t="shared" ca="1" si="31"/>
        <v>4.8310263955116284E-2</v>
      </c>
      <c r="Z24" s="279">
        <f t="shared" ca="1" si="32"/>
        <v>4.8310263955116284E-2</v>
      </c>
      <c r="AA24" s="280">
        <f ca="1">ABS(SUMIF(INDIRECT($AA$46&amp;$AI24):INDIRECT($AA$46&amp;$AJ24),"&lt;0"))/SUMIF(INDIRECT($AA$46&amp;$AI24):INDIRECT($AA$46&amp;$AJ24),"&gt;0")</f>
        <v>1.5283702476744179</v>
      </c>
      <c r="AB24" s="281">
        <f t="shared" ca="1" si="33"/>
        <v>0.52837024767441787</v>
      </c>
      <c r="AC24" s="282" t="s">
        <v>250</v>
      </c>
      <c r="AD24" s="282">
        <f ca="1">HLOOKUP($A24,SharpR!$A$207:$AH$221,3,0)</f>
        <v>-8.4668202739307336E-2</v>
      </c>
      <c r="AE24" s="195"/>
      <c r="AF24" s="330"/>
      <c r="AG24" s="330"/>
      <c r="AH24" s="195"/>
      <c r="AI24" s="115">
        <f t="shared" ca="1" si="24"/>
        <v>4543</v>
      </c>
      <c r="AJ24" s="69">
        <f t="shared" ca="1" si="16"/>
        <v>4587</v>
      </c>
      <c r="AK24" s="70">
        <f ca="1">COUNTIF(INDIRECT($AK$46),Summary!A24)</f>
        <v>45</v>
      </c>
      <c r="AL24" s="55"/>
      <c r="AM24" s="55">
        <f ca="1">MATCH(AM$6,INDIRECT($AM$46&amp;$AI24):INDIRECT($AM$46&amp;$AJ24),1)+$AI24-1</f>
        <v>4587</v>
      </c>
      <c r="AN24" s="55">
        <f ca="1">MATCH(AN$6,INDIRECT($AM$46&amp;$AI24):INDIRECT($AM$46&amp;$AJ24),1)+$AI24-1</f>
        <v>4586</v>
      </c>
      <c r="AO24" s="55">
        <f ca="1">IF(ISNA(MATCH(AO$6,INDIRECT($AM$46&amp;$AI24):INDIRECT($AM$46&amp;$AJ24),1)+$AI24-1),AI24,MATCH(AO$6,INDIRECT($AM$46&amp;$AI24):INDIRECT($AM$46&amp;$AJ24),1)+$AI24-1)</f>
        <v>4586</v>
      </c>
      <c r="AP24" s="58">
        <f t="shared" ca="1" si="34"/>
        <v>65719920.649999999</v>
      </c>
      <c r="AQ24" s="58">
        <f t="shared" ca="1" si="35"/>
        <v>62691287.979999997</v>
      </c>
      <c r="AR24" s="58">
        <f t="shared" ca="1" si="36"/>
        <v>62691287.979999997</v>
      </c>
      <c r="AS24" s="58">
        <f t="shared" ca="1" si="37"/>
        <v>0</v>
      </c>
      <c r="AT24" s="58">
        <f t="shared" ca="1" si="38"/>
        <v>0</v>
      </c>
      <c r="AU24" s="58">
        <f t="shared" ca="1" si="39"/>
        <v>0</v>
      </c>
      <c r="AV24" s="58">
        <f t="shared" ca="1" si="40"/>
        <v>0</v>
      </c>
      <c r="AW24" s="58"/>
      <c r="AX24" s="58"/>
      <c r="AY24" s="58"/>
      <c r="BA24" s="42"/>
      <c r="BB24" s="42"/>
      <c r="BC24" s="42"/>
      <c r="BD24" s="42"/>
      <c r="BE24" s="43"/>
      <c r="BF24" s="50"/>
      <c r="BG24" s="43"/>
    </row>
    <row r="25" spans="1:59" ht="15">
      <c r="A25" s="211" t="s">
        <v>82</v>
      </c>
      <c r="B25" s="215" t="s">
        <v>230</v>
      </c>
      <c r="C25" s="216">
        <f t="shared" ca="1" si="22"/>
        <v>42199</v>
      </c>
      <c r="D25" s="217">
        <f t="shared" ca="1" si="26"/>
        <v>13.636236025671066</v>
      </c>
      <c r="E25" s="218">
        <f t="shared" ca="1" si="15"/>
        <v>13.636236025671066</v>
      </c>
      <c r="F25" s="219">
        <f t="shared" ca="1" si="27"/>
        <v>0</v>
      </c>
      <c r="G25" s="295">
        <f t="shared" ca="1" si="28"/>
        <v>13.636236025671066</v>
      </c>
      <c r="H25" s="295"/>
      <c r="I25" s="218">
        <v>0</v>
      </c>
      <c r="J25" s="218">
        <v>0</v>
      </c>
      <c r="K25" s="218"/>
      <c r="L25" s="217">
        <f ca="1">HLOOKUP(A25,'Peak NAV'!$C$2:$AZ$3,2,0)/1000000</f>
        <v>15.00851770930962</v>
      </c>
      <c r="M25" s="220">
        <f ca="1">HLOOKUP(A25,'Peak NAV'!$C$2:$AZ$4,3,0)</f>
        <v>42369</v>
      </c>
      <c r="N25" s="221"/>
      <c r="O25" s="222">
        <f t="shared" ca="1" si="29"/>
        <v>0</v>
      </c>
      <c r="P25" s="222">
        <f t="shared" ca="1" si="29"/>
        <v>0</v>
      </c>
      <c r="Q25" s="217"/>
      <c r="R25" s="222">
        <f t="shared" ca="1" si="30"/>
        <v>0</v>
      </c>
      <c r="S25" s="222">
        <f t="shared" ca="1" si="30"/>
        <v>0</v>
      </c>
      <c r="T25" s="223"/>
      <c r="U25" s="223"/>
      <c r="V25" s="223"/>
      <c r="W25" s="221"/>
      <c r="X25" s="225">
        <f ca="1">XIRR(INDIRECT($X$46&amp;$AI25):INDIRECT($X$46&amp;$AJ25),INDIRECT($X$47&amp;$AI25):INDIRECT($X$47&amp;$AJ25),0.1)</f>
        <v>0.17231870293617249</v>
      </c>
      <c r="Y25" s="225">
        <f t="shared" ca="1" si="31"/>
        <v>1.3286476049468643E-2</v>
      </c>
      <c r="Z25" s="225">
        <f t="shared" ca="1" si="32"/>
        <v>1.3286476049468643E-2</v>
      </c>
      <c r="AA25" s="226">
        <f ca="1">ABS(SUMIF(INDIRECT($AA$46&amp;$AI25):INDIRECT($AA$46&amp;$AJ25),"&lt;0"))/SUMIF(INDIRECT($AA$46&amp;$AI25):INDIRECT($AA$46&amp;$AJ25),"&gt;0")</f>
        <v>1.5549179295391002</v>
      </c>
      <c r="AB25" s="227">
        <f t="shared" ca="1" si="33"/>
        <v>0.55491792953910024</v>
      </c>
      <c r="AC25" s="228" t="s">
        <v>250</v>
      </c>
      <c r="AD25" s="228">
        <f ca="1">HLOOKUP($A25,SharpR!$A$207:$AH$221,3,0)</f>
        <v>-5.0858904985062459E-2</v>
      </c>
      <c r="AE25" s="195"/>
      <c r="AF25" s="330"/>
      <c r="AG25" s="330"/>
      <c r="AH25" s="195"/>
      <c r="AI25" s="115">
        <f t="shared" ca="1" si="24"/>
        <v>4866</v>
      </c>
      <c r="AJ25" s="69">
        <f t="shared" ca="1" si="16"/>
        <v>4910</v>
      </c>
      <c r="AK25" s="70">
        <f ca="1">COUNTIF(INDIRECT($AK$46),Summary!A25)</f>
        <v>45</v>
      </c>
      <c r="AL25" s="55"/>
      <c r="AM25" s="55">
        <f ca="1">MATCH(AM$6,INDIRECT($AM$46&amp;$AI25):INDIRECT($AM$46&amp;$AJ25),1)+$AI25-1</f>
        <v>4909</v>
      </c>
      <c r="AN25" s="55">
        <f ca="1">MATCH(AN$6,INDIRECT($AM$46&amp;$AI25):INDIRECT($AM$46&amp;$AJ25),1)+$AI25-1</f>
        <v>4908</v>
      </c>
      <c r="AO25" s="55">
        <f ca="1">IF(ISNA(MATCH(AO$6,INDIRECT($AM$46&amp;$AI25):INDIRECT($AM$46&amp;$AJ25),1)+$AI25-1),AI25,MATCH(AO$6,INDIRECT($AM$46&amp;$AI25):INDIRECT($AM$46&amp;$AJ25),1)+$AI25-1)</f>
        <v>4908</v>
      </c>
      <c r="AP25" s="58">
        <f t="shared" ca="1" si="34"/>
        <v>13636236.025671065</v>
      </c>
      <c r="AQ25" s="58">
        <f t="shared" ca="1" si="35"/>
        <v>13736298.593401488</v>
      </c>
      <c r="AR25" s="58">
        <f t="shared" ca="1" si="36"/>
        <v>13736298.593401488</v>
      </c>
      <c r="AS25" s="58">
        <f t="shared" ca="1" si="37"/>
        <v>0</v>
      </c>
      <c r="AT25" s="58">
        <f t="shared" ca="1" si="38"/>
        <v>0</v>
      </c>
      <c r="AU25" s="58">
        <f t="shared" ca="1" si="39"/>
        <v>-282569.57</v>
      </c>
      <c r="AV25" s="58">
        <f t="shared" ca="1" si="40"/>
        <v>-282569.57</v>
      </c>
      <c r="AW25" s="58"/>
      <c r="AX25" s="58"/>
      <c r="AY25" s="58"/>
      <c r="BA25" s="42"/>
      <c r="BB25" s="42"/>
      <c r="BC25" s="42"/>
      <c r="BD25" s="42"/>
      <c r="BE25" s="43"/>
      <c r="BF25" s="50"/>
      <c r="BG25" s="43"/>
    </row>
    <row r="26" spans="1:59" ht="15">
      <c r="A26" s="211" t="s">
        <v>393</v>
      </c>
      <c r="B26" s="283" t="s">
        <v>234</v>
      </c>
      <c r="C26" s="270">
        <f t="shared" ca="1" si="22"/>
        <v>42325</v>
      </c>
      <c r="D26" s="271">
        <f t="shared" ca="1" si="26"/>
        <v>27.446804090000001</v>
      </c>
      <c r="E26" s="272">
        <f t="shared" ca="1" si="15"/>
        <v>27.446804090000001</v>
      </c>
      <c r="F26" s="273">
        <f t="shared" ca="1" si="27"/>
        <v>0</v>
      </c>
      <c r="G26" s="296">
        <f t="shared" ca="1" si="28"/>
        <v>27.446804090000001</v>
      </c>
      <c r="H26" s="296"/>
      <c r="I26" s="272">
        <v>0</v>
      </c>
      <c r="J26" s="272">
        <v>0</v>
      </c>
      <c r="K26" s="272"/>
      <c r="L26" s="271">
        <f ca="1">HLOOKUP(A26,'Peak NAV'!$C$2:$AZ$3,2,0)/1000000</f>
        <v>52.717741156288859</v>
      </c>
      <c r="M26" s="274">
        <f ca="1">HLOOKUP(A26,'Peak NAV'!$C$2:$AZ$4,3,0)</f>
        <v>43220</v>
      </c>
      <c r="N26" s="275"/>
      <c r="O26" s="276">
        <f t="shared" ca="1" si="29"/>
        <v>0</v>
      </c>
      <c r="P26" s="276">
        <f t="shared" ca="1" si="29"/>
        <v>0</v>
      </c>
      <c r="Q26" s="271"/>
      <c r="R26" s="276">
        <f t="shared" ca="1" si="30"/>
        <v>0</v>
      </c>
      <c r="S26" s="276">
        <f t="shared" ca="1" si="30"/>
        <v>0</v>
      </c>
      <c r="T26" s="277"/>
      <c r="U26" s="277"/>
      <c r="V26" s="277"/>
      <c r="W26" s="275"/>
      <c r="X26" s="279">
        <f ca="1">XIRR(INDIRECT($X$46&amp;$AI26):INDIRECT($X$46&amp;$AJ26),INDIRECT($X$47&amp;$AI26):INDIRECT($X$47&amp;$AJ26),0.1)</f>
        <v>0.1401876509189606</v>
      </c>
      <c r="Y26" s="279">
        <f t="shared" ca="1" si="31"/>
        <v>-0.14245633160464244</v>
      </c>
      <c r="Z26" s="279">
        <f t="shared" ca="1" si="32"/>
        <v>1.6310977089254663E-2</v>
      </c>
      <c r="AA26" s="280">
        <f ca="1">ABS(SUMIF(INDIRECT($AA$46&amp;$AI26):INDIRECT($AA$46&amp;$AJ26),"&lt;0"))/SUMIF(INDIRECT($AA$46&amp;$AI26):INDIRECT($AA$46&amp;$AJ26),"&gt;0")</f>
        <v>1.4310116835245048</v>
      </c>
      <c r="AB26" s="281">
        <f t="shared" ca="1" si="33"/>
        <v>0.43101168352450481</v>
      </c>
      <c r="AC26" s="282" t="s">
        <v>250</v>
      </c>
      <c r="AD26" s="282">
        <f ca="1">HLOOKUP($A26,SharpR!$A$207:$AH$221,3,0)</f>
        <v>-0.55116501259284123</v>
      </c>
      <c r="AE26" s="195"/>
      <c r="AF26" s="330"/>
      <c r="AG26" s="330"/>
      <c r="AH26" s="195"/>
      <c r="AI26" s="115">
        <f t="shared" ca="1" si="24"/>
        <v>4365</v>
      </c>
      <c r="AJ26" s="69">
        <f t="shared" ca="1" si="16"/>
        <v>4405</v>
      </c>
      <c r="AK26" s="70">
        <f ca="1">COUNTIF(INDIRECT($AK$46),Summary!A26)</f>
        <v>41</v>
      </c>
      <c r="AL26" s="55"/>
      <c r="AM26" s="55">
        <f ca="1">MATCH(AM$6,INDIRECT($AM$46&amp;$AI26):INDIRECT($AM$46&amp;$AJ26),1)+$AI26-1</f>
        <v>4404</v>
      </c>
      <c r="AN26" s="55">
        <f ca="1">MATCH(AN$6,INDIRECT($AM$46&amp;$AI26):INDIRECT($AM$46&amp;$AJ26),1)+$AI26-1</f>
        <v>4403</v>
      </c>
      <c r="AO26" s="55">
        <f ca="1">IF(ISNA(MATCH(AO$6,INDIRECT($AM$46&amp;$AI26):INDIRECT($AM$46&amp;$AJ26),1)+$AI26-1),AI26,MATCH(AO$6,INDIRECT($AM$46&amp;$AI26):INDIRECT($AM$46&amp;$AJ26),1)+$AI26-1)</f>
        <v>4403</v>
      </c>
      <c r="AP26" s="58">
        <f t="shared" ca="1" si="34"/>
        <v>27446804.09</v>
      </c>
      <c r="AQ26" s="58">
        <f t="shared" ca="1" si="35"/>
        <v>27006304.870000001</v>
      </c>
      <c r="AR26" s="58">
        <f t="shared" ca="1" si="36"/>
        <v>27006304.870000001</v>
      </c>
      <c r="AS26" s="58">
        <f t="shared" ca="1" si="37"/>
        <v>5000000</v>
      </c>
      <c r="AT26" s="58">
        <f t="shared" ca="1" si="38"/>
        <v>0</v>
      </c>
      <c r="AU26" s="58">
        <f t="shared" ca="1" si="39"/>
        <v>0</v>
      </c>
      <c r="AV26" s="58">
        <f t="shared" ca="1" si="40"/>
        <v>0</v>
      </c>
      <c r="AW26" s="58"/>
      <c r="AX26" s="58"/>
      <c r="AY26" s="58"/>
      <c r="BA26" s="42"/>
      <c r="BB26" s="42"/>
      <c r="BC26" s="42"/>
      <c r="BD26" s="42"/>
      <c r="BE26" s="43"/>
      <c r="BF26" s="50"/>
      <c r="BG26" s="43"/>
    </row>
    <row r="27" spans="1:59" ht="15">
      <c r="A27" s="211" t="s">
        <v>408</v>
      </c>
      <c r="B27" s="215" t="s">
        <v>231</v>
      </c>
      <c r="C27" s="216">
        <f t="shared" ca="1" si="22"/>
        <v>42487</v>
      </c>
      <c r="D27" s="217">
        <f t="shared" ca="1" si="26"/>
        <v>30.349740875555554</v>
      </c>
      <c r="E27" s="218">
        <f t="shared" ca="1" si="15"/>
        <v>29.473063710000002</v>
      </c>
      <c r="F27" s="219">
        <f t="shared" ca="1" si="27"/>
        <v>0</v>
      </c>
      <c r="G27" s="295">
        <f t="shared" ca="1" si="28"/>
        <v>29.473063710000002</v>
      </c>
      <c r="H27" s="295"/>
      <c r="I27" s="218">
        <v>0</v>
      </c>
      <c r="J27" s="218">
        <v>0</v>
      </c>
      <c r="K27" s="218"/>
      <c r="L27" s="217">
        <f ca="1">HLOOKUP(A27,'Peak NAV'!$C$2:$AZ$3,2,0)/1000000</f>
        <v>30.704653749999999</v>
      </c>
      <c r="M27" s="220">
        <f ca="1">HLOOKUP(A27,'Peak NAV'!$C$2:$AZ$4,3,0)</f>
        <v>43098</v>
      </c>
      <c r="N27" s="221"/>
      <c r="O27" s="222">
        <f t="shared" ca="1" si="29"/>
        <v>4.3055555555555599E-3</v>
      </c>
      <c r="P27" s="222">
        <f t="shared" ca="1" si="29"/>
        <v>0.87237160999999996</v>
      </c>
      <c r="Q27" s="217"/>
      <c r="R27" s="222">
        <f t="shared" ca="1" si="30"/>
        <v>0</v>
      </c>
      <c r="S27" s="222">
        <f t="shared" ca="1" si="30"/>
        <v>0</v>
      </c>
      <c r="T27" s="223"/>
      <c r="U27" s="223"/>
      <c r="V27" s="223"/>
      <c r="W27" s="221"/>
      <c r="X27" s="225">
        <f ca="1">XIRR(INDIRECT($X$46&amp;$AI27):INDIRECT($X$46&amp;$AJ27),INDIRECT($X$47&amp;$AI27):INDIRECT($X$47&amp;$AJ27),0.1)</f>
        <v>0.13075111508369447</v>
      </c>
      <c r="Y27" s="225">
        <f t="shared" ca="1" si="31"/>
        <v>1.4912953672766571E-2</v>
      </c>
      <c r="Z27" s="225">
        <f t="shared" ca="1" si="32"/>
        <v>1.4912953672766571E-2</v>
      </c>
      <c r="AA27" s="226">
        <f ca="1">ABS(SUMIF(INDIRECT($AA$46&amp;$AI27):INDIRECT($AA$46&amp;$AJ27),"&lt;0"))/SUMIF(INDIRECT($AA$46&amp;$AI27):INDIRECT($AA$46&amp;$AJ27),"&gt;0")</f>
        <v>1.3324337609999999</v>
      </c>
      <c r="AB27" s="227">
        <f t="shared" ca="1" si="33"/>
        <v>0.33243376099999988</v>
      </c>
      <c r="AC27" s="228" t="s">
        <v>250</v>
      </c>
      <c r="AD27" s="228">
        <f ca="1">HLOOKUP($A27,SharpR!$A$207:$AH$221,3,0)</f>
        <v>0.16152452390710167</v>
      </c>
      <c r="AE27" s="195"/>
      <c r="AF27" s="330"/>
      <c r="AG27" s="330"/>
      <c r="AH27" s="195"/>
      <c r="AI27" s="115">
        <f t="shared" ca="1" si="24"/>
        <v>4472</v>
      </c>
      <c r="AJ27" s="69">
        <f t="shared" ca="1" si="16"/>
        <v>4506</v>
      </c>
      <c r="AK27" s="70">
        <f ca="1">COUNTIF(INDIRECT($AK$46),Summary!A27)</f>
        <v>35</v>
      </c>
      <c r="AL27" s="55"/>
      <c r="AM27" s="55">
        <f ca="1">MATCH(AM$6,INDIRECT($AM$46&amp;$AI27):INDIRECT($AM$46&amp;$AJ27),1)+$AI27-1</f>
        <v>4506</v>
      </c>
      <c r="AN27" s="55">
        <f ca="1">MATCH(AN$6,INDIRECT($AM$46&amp;$AI27):INDIRECT($AM$46&amp;$AJ27),1)+$AI27-1</f>
        <v>4505</v>
      </c>
      <c r="AO27" s="55">
        <f ca="1">IF(ISNA(MATCH(AO$6,INDIRECT($AM$46&amp;$AI27):INDIRECT($AM$46&amp;$AJ27),1)+$AI27-1),AI27,MATCH(AO$6,INDIRECT($AM$46&amp;$AI27):INDIRECT($AM$46&amp;$AJ27),1)+$AI27-1)</f>
        <v>4505</v>
      </c>
      <c r="AP27" s="58">
        <f t="shared" ca="1" si="34"/>
        <v>29473063.710000001</v>
      </c>
      <c r="AQ27" s="58">
        <f t="shared" ca="1" si="35"/>
        <v>30074563.143117987</v>
      </c>
      <c r="AR27" s="58">
        <f t="shared" ca="1" si="36"/>
        <v>30074563.143117987</v>
      </c>
      <c r="AS27" s="58">
        <f t="shared" ca="1" si="37"/>
        <v>0</v>
      </c>
      <c r="AT27" s="58">
        <f t="shared" ca="1" si="38"/>
        <v>0</v>
      </c>
      <c r="AU27" s="58">
        <f t="shared" ca="1" si="39"/>
        <v>-1050000</v>
      </c>
      <c r="AV27" s="58">
        <f t="shared" ca="1" si="40"/>
        <v>-1050000</v>
      </c>
      <c r="AW27" s="58"/>
      <c r="AX27" s="58"/>
      <c r="AY27" s="58"/>
      <c r="BA27" s="42"/>
      <c r="BB27" s="42"/>
      <c r="BC27" s="42"/>
      <c r="BD27" s="42"/>
      <c r="BE27" s="43"/>
      <c r="BF27" s="50"/>
      <c r="BG27" s="43"/>
    </row>
    <row r="28" spans="1:59" ht="15">
      <c r="A28" s="211" t="s">
        <v>35</v>
      </c>
      <c r="B28" s="283" t="s">
        <v>217</v>
      </c>
      <c r="C28" s="270">
        <f t="shared" ca="1" si="22"/>
        <v>42643</v>
      </c>
      <c r="D28" s="271">
        <f ca="1">E28+O28+P28</f>
        <v>4.5357379974303029</v>
      </c>
      <c r="E28" s="272">
        <f ca="1">AP28/1000000</f>
        <v>4.4551706739303025</v>
      </c>
      <c r="F28" s="273">
        <f t="shared" ca="1" si="27"/>
        <v>0</v>
      </c>
      <c r="G28" s="296">
        <f ca="1">E28-F28</f>
        <v>4.4551706739303025</v>
      </c>
      <c r="H28" s="296"/>
      <c r="I28" s="272">
        <f>SUMIF(Data!$B$3:$B$3990,Summary!A28,Data!$G$3:$G$3990)/1000000</f>
        <v>0</v>
      </c>
      <c r="J28" s="272">
        <f ca="1">INDIRECT($J$46&amp;AJ28)-SUMIF(INDIRECT($J$46&amp;"5:"&amp;RIGHT($J$46,1)&amp;20000),A28,$J$48)-SUMIF(INDIRECT($J$47),A28,INDIRECT($J$48))/1000000</f>
        <v>8.3460000000000001</v>
      </c>
      <c r="K28" s="272"/>
      <c r="L28" s="271">
        <f ca="1">HLOOKUP(A28,'Peak NAV'!$C$2:$AZ$3,2,0)/1000000</f>
        <v>6.0569569889999997</v>
      </c>
      <c r="M28" s="274">
        <f ca="1">HLOOKUP(A28,'Peak NAV'!$C$2:$AZ$4,3,0)</f>
        <v>42978</v>
      </c>
      <c r="N28" s="275"/>
      <c r="O28" s="276">
        <f t="shared" ca="1" si="29"/>
        <v>0</v>
      </c>
      <c r="P28" s="276">
        <f t="shared" ca="1" si="29"/>
        <v>8.0567323499999996E-2</v>
      </c>
      <c r="Q28" s="271"/>
      <c r="R28" s="276">
        <f t="shared" ca="1" si="30"/>
        <v>0</v>
      </c>
      <c r="S28" s="276">
        <f t="shared" ca="1" si="30"/>
        <v>0</v>
      </c>
      <c r="T28" s="277"/>
      <c r="U28" s="277"/>
      <c r="V28" s="277"/>
      <c r="W28" s="275"/>
      <c r="X28" s="279">
        <f ca="1">XIRR(INDIRECT($X$46&amp;$AI28):INDIRECT($X$46&amp;$AJ28),INDIRECT($X$47&amp;$AI28):INDIRECT($X$47&amp;$AJ28),0.1)</f>
        <v>0.25416476130485532</v>
      </c>
      <c r="Y28" s="279">
        <f ca="1">($AP28-AU28)/(AQ28+AS28)-1</f>
        <v>3.3384007993153553E-2</v>
      </c>
      <c r="Z28" s="279">
        <f ca="1">($AP28-AV28)/(AR28+AT28)-1</f>
        <v>3.3384007993153553E-2</v>
      </c>
      <c r="AA28" s="280">
        <f ca="1">ABS(SUMIF(INDIRECT($AA$46&amp;$AI28):INDIRECT($AA$46&amp;$AJ28),"&lt;0"))/SUMIF(INDIRECT($AA$46&amp;$AI28):INDIRECT($AA$46&amp;$AJ28),"&gt;0")</f>
        <v>1.4900071903137373</v>
      </c>
      <c r="AB28" s="281">
        <f ca="1">AA28-1</f>
        <v>0.4900071903137373</v>
      </c>
      <c r="AC28" s="282" t="s">
        <v>250</v>
      </c>
      <c r="AD28" s="282">
        <f>HLOOKUP($A28,SharpR!$A$207:$AH$221,3,0)</f>
        <v>-0.2274559195413634</v>
      </c>
      <c r="AE28" s="195"/>
      <c r="AF28" s="330">
        <v>0.01</v>
      </c>
      <c r="AG28" s="330"/>
      <c r="AH28" s="195"/>
      <c r="AI28" s="115">
        <f t="shared" ca="1" si="24"/>
        <v>4667</v>
      </c>
      <c r="AJ28" s="69">
        <f ca="1">AI28+AK28-1</f>
        <v>4695</v>
      </c>
      <c r="AK28" s="70">
        <f ca="1">COUNTIF(INDIRECT($AK$46),Summary!A28)</f>
        <v>29</v>
      </c>
      <c r="AL28" s="55"/>
      <c r="AM28" s="55">
        <f ca="1">MATCH(AM$6,INDIRECT($AM$46&amp;$AI28):INDIRECT($AM$46&amp;$AJ28),1)+$AI28-1</f>
        <v>4695</v>
      </c>
      <c r="AN28" s="55">
        <f ca="1">MATCH(AN$6,INDIRECT($AM$46&amp;$AI28):INDIRECT($AM$46&amp;$AJ28),1)+$AI28-1</f>
        <v>4694</v>
      </c>
      <c r="AO28" s="55">
        <f ca="1">IF(ISNA(MATCH(AO$6,INDIRECT($AM$46&amp;$AI28):INDIRECT($AM$46&amp;$AJ28),1)+$AI28-1),AI28,MATCH(AO$6,INDIRECT($AM$46&amp;$AI28):INDIRECT($AM$46&amp;$AJ28),1)+$AI28-1)</f>
        <v>4694</v>
      </c>
      <c r="AP28" s="58">
        <f t="shared" ca="1" si="34"/>
        <v>4455170.6739303023</v>
      </c>
      <c r="AQ28" s="58">
        <f t="shared" ca="1" si="35"/>
        <v>5736464.4972999981</v>
      </c>
      <c r="AR28" s="58">
        <f t="shared" ca="1" si="36"/>
        <v>5736464.4972999981</v>
      </c>
      <c r="AS28" s="58">
        <f t="shared" ca="1" si="37"/>
        <v>0</v>
      </c>
      <c r="AT28" s="58">
        <f t="shared" ca="1" si="38"/>
        <v>0</v>
      </c>
      <c r="AU28" s="58">
        <f t="shared" ca="1" si="39"/>
        <v>-1472800</v>
      </c>
      <c r="AV28" s="58">
        <f t="shared" ca="1" si="40"/>
        <v>-1472800</v>
      </c>
      <c r="AW28" s="58"/>
      <c r="AX28" s="58"/>
      <c r="AY28" s="58"/>
      <c r="BA28" s="49"/>
      <c r="BB28" s="42"/>
      <c r="BC28" s="42"/>
      <c r="BD28" s="42"/>
      <c r="BE28" s="51"/>
      <c r="BF28" s="50"/>
      <c r="BG28" s="43"/>
    </row>
    <row r="29" spans="1:59" ht="15">
      <c r="A29" s="211" t="s">
        <v>395</v>
      </c>
      <c r="B29" s="215" t="s">
        <v>232</v>
      </c>
      <c r="C29" s="216">
        <f t="shared" ca="1" si="22"/>
        <v>42675</v>
      </c>
      <c r="D29" s="217">
        <f t="shared" ca="1" si="26"/>
        <v>4</v>
      </c>
      <c r="E29" s="218">
        <f t="shared" ca="1" si="15"/>
        <v>4</v>
      </c>
      <c r="F29" s="219">
        <f t="shared" ca="1" si="27"/>
        <v>0</v>
      </c>
      <c r="G29" s="295">
        <f t="shared" ca="1" si="28"/>
        <v>4</v>
      </c>
      <c r="H29" s="295"/>
      <c r="I29" s="218">
        <v>0</v>
      </c>
      <c r="J29" s="218">
        <v>0</v>
      </c>
      <c r="K29" s="218"/>
      <c r="L29" s="217">
        <f ca="1">HLOOKUP(A29,'Peak NAV'!$C$2:$AZ$3,2,0)/1000000</f>
        <v>8.4148750000000003</v>
      </c>
      <c r="M29" s="220">
        <f ca="1">HLOOKUP(A29,'Peak NAV'!$C$2:$AZ$4,3,0)</f>
        <v>43220</v>
      </c>
      <c r="N29" s="221"/>
      <c r="O29" s="222">
        <f t="shared" ca="1" si="29"/>
        <v>0</v>
      </c>
      <c r="P29" s="222">
        <f t="shared" ca="1" si="29"/>
        <v>0</v>
      </c>
      <c r="Q29" s="217"/>
      <c r="R29" s="222">
        <f t="shared" ca="1" si="30"/>
        <v>0</v>
      </c>
      <c r="S29" s="222">
        <f t="shared" ca="1" si="30"/>
        <v>0</v>
      </c>
      <c r="T29" s="223"/>
      <c r="U29" s="223"/>
      <c r="V29" s="223"/>
      <c r="W29" s="221"/>
      <c r="X29" s="225">
        <f ca="1">XIRR(INDIRECT($X$46&amp;$AI29):INDIRECT($X$46&amp;$AJ29),INDIRECT($X$47&amp;$AI29):INDIRECT($X$47&amp;$AJ29),0.1)</f>
        <v>2.9802322387695314E-9</v>
      </c>
      <c r="Y29" s="225">
        <f t="shared" ca="1" si="31"/>
        <v>-0.878235294117647</v>
      </c>
      <c r="Z29" s="225">
        <f t="shared" ca="1" si="32"/>
        <v>3.499999999999992E-2</v>
      </c>
      <c r="AA29" s="226">
        <f ca="1">ABS(SUMIF(INDIRECT($AA$46&amp;$AI29):INDIRECT($AA$46&amp;$AJ29),"&lt;0"))/SUMIF(INDIRECT($AA$46&amp;$AI29):INDIRECT($AA$46&amp;$AJ29),"&gt;0")</f>
        <v>0.1588235294117647</v>
      </c>
      <c r="AB29" s="227">
        <f t="shared" ca="1" si="33"/>
        <v>-0.8411764705882353</v>
      </c>
      <c r="AC29" s="228" t="s">
        <v>250</v>
      </c>
      <c r="AD29" s="228">
        <f ca="1">HLOOKUP($A29,SharpR!$A$207:$AH$221,3,0)</f>
        <v>-0.57502268056574413</v>
      </c>
      <c r="AE29" s="195"/>
      <c r="AF29" s="330"/>
      <c r="AG29" s="330"/>
      <c r="AH29" s="195"/>
      <c r="AI29" s="115">
        <f t="shared" ca="1" si="24"/>
        <v>4444</v>
      </c>
      <c r="AJ29" s="69">
        <f t="shared" ca="1" si="16"/>
        <v>4472</v>
      </c>
      <c r="AK29" s="70">
        <f ca="1">COUNTIF(INDIRECT($AK$46),Summary!A29)</f>
        <v>29</v>
      </c>
      <c r="AL29" s="55"/>
      <c r="AM29" s="55">
        <f ca="1">MATCH(AM$6,INDIRECT($AM$46&amp;$AI29):INDIRECT($AM$46&amp;$AJ29),1)+$AI29-1</f>
        <v>4471</v>
      </c>
      <c r="AN29" s="55">
        <f ca="1">MATCH(AN$6,INDIRECT($AM$46&amp;$AI29):INDIRECT($AM$46&amp;$AJ29),1)+$AI29-1</f>
        <v>4470</v>
      </c>
      <c r="AO29" s="55">
        <f ca="1">IF(ISNA(MATCH(AO$6,INDIRECT($AM$46&amp;$AI29):INDIRECT($AM$46&amp;$AJ29),1)+$AI29-1),AI29,MATCH(AO$6,INDIRECT($AM$46&amp;$AI29):INDIRECT($AM$46&amp;$AJ29),1)+$AI29-1)</f>
        <v>4470</v>
      </c>
      <c r="AP29" s="58">
        <f t="shared" ca="1" si="34"/>
        <v>4000000</v>
      </c>
      <c r="AQ29" s="58">
        <f t="shared" ca="1" si="35"/>
        <v>4000000</v>
      </c>
      <c r="AR29" s="58">
        <f t="shared" ca="1" si="36"/>
        <v>4000000</v>
      </c>
      <c r="AS29" s="58">
        <f t="shared" ca="1" si="37"/>
        <v>30000000</v>
      </c>
      <c r="AT29" s="58">
        <f t="shared" ca="1" si="38"/>
        <v>0</v>
      </c>
      <c r="AU29" s="58">
        <f t="shared" ca="1" si="39"/>
        <v>-140000</v>
      </c>
      <c r="AV29" s="58">
        <f t="shared" ca="1" si="40"/>
        <v>-140000</v>
      </c>
      <c r="AW29" s="58"/>
      <c r="AX29" s="58"/>
      <c r="AY29" s="58"/>
      <c r="BA29" s="42"/>
      <c r="BB29" s="42"/>
      <c r="BC29" s="42"/>
      <c r="BD29" s="42"/>
      <c r="BE29" s="43"/>
      <c r="BF29" s="50"/>
      <c r="BG29" s="43"/>
    </row>
    <row r="30" spans="1:59" ht="15">
      <c r="A30" s="211" t="s">
        <v>394</v>
      </c>
      <c r="B30" s="283" t="s">
        <v>235</v>
      </c>
      <c r="C30" s="270">
        <f t="shared" ca="1" si="22"/>
        <v>42825</v>
      </c>
      <c r="D30" s="271">
        <f t="shared" ca="1" si="26"/>
        <v>10.123979609999999</v>
      </c>
      <c r="E30" s="272">
        <f t="shared" ca="1" si="15"/>
        <v>10.123979609999999</v>
      </c>
      <c r="F30" s="273">
        <f t="shared" ca="1" si="27"/>
        <v>0</v>
      </c>
      <c r="G30" s="296">
        <f t="shared" ca="1" si="28"/>
        <v>10.123979609999999</v>
      </c>
      <c r="H30" s="296"/>
      <c r="I30" s="272">
        <v>0</v>
      </c>
      <c r="J30" s="272">
        <v>0</v>
      </c>
      <c r="K30" s="272"/>
      <c r="L30" s="271">
        <f ca="1">HLOOKUP(A30,'Peak NAV'!$C$2:$AZ$3,2,0)/1000000</f>
        <v>20.429107299999998</v>
      </c>
      <c r="M30" s="274">
        <f ca="1">HLOOKUP(A30,'Peak NAV'!$C$2:$AZ$4,3,0)</f>
        <v>43220</v>
      </c>
      <c r="N30" s="275"/>
      <c r="O30" s="276">
        <f t="shared" ca="1" si="29"/>
        <v>0</v>
      </c>
      <c r="P30" s="276">
        <f t="shared" ca="1" si="29"/>
        <v>0</v>
      </c>
      <c r="Q30" s="271"/>
      <c r="R30" s="276">
        <f t="shared" ca="1" si="30"/>
        <v>0</v>
      </c>
      <c r="S30" s="276">
        <f t="shared" ca="1" si="30"/>
        <v>0</v>
      </c>
      <c r="T30" s="277"/>
      <c r="U30" s="277"/>
      <c r="V30" s="277"/>
      <c r="W30" s="275"/>
      <c r="X30" s="279">
        <f ca="1">XIRR(INDIRECT($X$46&amp;$AI30):INDIRECT($X$46&amp;$AJ30),INDIRECT($X$47&amp;$AI30):INDIRECT($X$47&amp;$AJ30),0.1)</f>
        <v>-6.6314652562141418E-2</v>
      </c>
      <c r="Y30" s="279">
        <f t="shared" ca="1" si="31"/>
        <v>-0.27075450152520764</v>
      </c>
      <c r="Z30" s="279">
        <f t="shared" ca="1" si="32"/>
        <v>1.1198796948014955E-2</v>
      </c>
      <c r="AA30" s="280">
        <f ca="1">ABS(SUMIF(INDIRECT($AA$46&amp;$AI30):INDIRECT($AA$46&amp;$AJ30),"&lt;0"))/SUMIF(INDIRECT($AA$46&amp;$AI30):INDIRECT($AA$46&amp;$AJ30),"&gt;0")</f>
        <v>0.88189152928571435</v>
      </c>
      <c r="AB30" s="281">
        <f t="shared" ca="1" si="33"/>
        <v>-0.11810847071428565</v>
      </c>
      <c r="AC30" s="282" t="s">
        <v>250</v>
      </c>
      <c r="AD30" s="282">
        <f ca="1">HLOOKUP($A30,SharpR!$A$207:$AH$221,3,0)</f>
        <v>-0.60842956456236752</v>
      </c>
      <c r="AE30" s="195"/>
      <c r="AF30" s="330"/>
      <c r="AG30" s="330"/>
      <c r="AH30" s="195"/>
      <c r="AI30" s="115">
        <f t="shared" ca="1" si="24"/>
        <v>4421</v>
      </c>
      <c r="AJ30" s="69">
        <f t="shared" ca="1" si="16"/>
        <v>4444</v>
      </c>
      <c r="AK30" s="70">
        <f ca="1">COUNTIF(INDIRECT($AK$46),Summary!A30)</f>
        <v>24</v>
      </c>
      <c r="AL30" s="55"/>
      <c r="AM30" s="55">
        <f ca="1">MATCH(AM$6,INDIRECT($AM$46&amp;$AI30):INDIRECT($AM$46&amp;$AJ30),1)+$AI30-1</f>
        <v>4443</v>
      </c>
      <c r="AN30" s="55">
        <f ca="1">MATCH(AN$6,INDIRECT($AM$46&amp;$AI30):INDIRECT($AM$46&amp;$AJ30),1)+$AI30-1</f>
        <v>4442</v>
      </c>
      <c r="AO30" s="55">
        <f ca="1">IF(ISNA(MATCH(AO$6,INDIRECT($AM$46&amp;$AI30):INDIRECT($AM$46&amp;$AJ30),1)+$AI30-1),AI30,MATCH(AO$6,INDIRECT($AM$46&amp;$AI30):INDIRECT($AM$46&amp;$AJ30),1)+$AI30-1)</f>
        <v>4442</v>
      </c>
      <c r="AP30" s="58">
        <f t="shared" ca="1" si="34"/>
        <v>10123979.609999999</v>
      </c>
      <c r="AQ30" s="58">
        <f t="shared" ca="1" si="35"/>
        <v>10345621.1</v>
      </c>
      <c r="AR30" s="58">
        <f t="shared" ca="1" si="36"/>
        <v>10345621.1</v>
      </c>
      <c r="AS30" s="58">
        <f t="shared" ca="1" si="37"/>
        <v>4000000</v>
      </c>
      <c r="AT30" s="58">
        <f t="shared" ca="1" si="38"/>
        <v>0</v>
      </c>
      <c r="AU30" s="58">
        <f t="shared" ca="1" si="39"/>
        <v>-337500</v>
      </c>
      <c r="AV30" s="58">
        <f t="shared" ca="1" si="40"/>
        <v>-337500</v>
      </c>
      <c r="AW30" s="58"/>
      <c r="AX30" s="58"/>
      <c r="AY30" s="58"/>
      <c r="BA30" s="42"/>
      <c r="BB30" s="42"/>
      <c r="BC30" s="42"/>
      <c r="BD30" s="42"/>
      <c r="BE30" s="43"/>
      <c r="BF30" s="50"/>
      <c r="BG30" s="43"/>
    </row>
    <row r="31" spans="1:59" ht="15">
      <c r="A31" s="211" t="s">
        <v>407</v>
      </c>
      <c r="B31" s="215" t="s">
        <v>237</v>
      </c>
      <c r="C31" s="216">
        <f t="shared" ca="1" si="22"/>
        <v>43039</v>
      </c>
      <c r="D31" s="217">
        <f t="shared" ca="1" si="26"/>
        <v>4.5646938156732322</v>
      </c>
      <c r="E31" s="218">
        <f t="shared" ca="1" si="15"/>
        <v>4.5646938156732322</v>
      </c>
      <c r="F31" s="219">
        <f t="shared" ca="1" si="27"/>
        <v>0</v>
      </c>
      <c r="G31" s="295">
        <f t="shared" ca="1" si="28"/>
        <v>4.5646938156732322</v>
      </c>
      <c r="H31" s="295"/>
      <c r="I31" s="218">
        <v>0</v>
      </c>
      <c r="J31" s="218">
        <v>0</v>
      </c>
      <c r="K31" s="218"/>
      <c r="L31" s="217">
        <f ca="1">HLOOKUP(A31,'Peak NAV'!$C$2:$AZ$3,2,0)/1000000</f>
        <v>5.0787765019233468</v>
      </c>
      <c r="M31" s="220">
        <f ca="1">HLOOKUP(A31,'Peak NAV'!$C$2:$AZ$4,3,0)</f>
        <v>43188</v>
      </c>
      <c r="N31" s="221"/>
      <c r="O31" s="222">
        <f t="shared" ca="1" si="29"/>
        <v>0</v>
      </c>
      <c r="P31" s="222">
        <f t="shared" ca="1" si="29"/>
        <v>0</v>
      </c>
      <c r="Q31" s="217"/>
      <c r="R31" s="222">
        <f t="shared" ca="1" si="30"/>
        <v>0</v>
      </c>
      <c r="S31" s="222">
        <f t="shared" ca="1" si="30"/>
        <v>0</v>
      </c>
      <c r="T31" s="223"/>
      <c r="U31" s="223"/>
      <c r="V31" s="223"/>
      <c r="W31" s="221"/>
      <c r="X31" s="225">
        <f ca="1">XIRR(INDIRECT($X$46&amp;$AI31):INDIRECT($X$46&amp;$AJ31),INDIRECT($X$47&amp;$AI31):INDIRECT($X$47&amp;$AJ31),0.1)</f>
        <v>-0.46498475335538392</v>
      </c>
      <c r="Y31" s="225">
        <f t="shared" ca="1" si="31"/>
        <v>-0.6659478510886272</v>
      </c>
      <c r="Z31" s="225">
        <f t="shared" ca="1" si="32"/>
        <v>1.367725535516251E-2</v>
      </c>
      <c r="AA31" s="226">
        <f ca="1">ABS(SUMIF(INDIRECT($AA$46&amp;$AI31):INDIRECT($AA$46&amp;$AJ31),"&lt;0"))/SUMIF(INDIRECT($AA$46&amp;$AI31):INDIRECT($AA$46&amp;$AJ31),"&gt;0")</f>
        <v>0.37626178637821545</v>
      </c>
      <c r="AB31" s="227">
        <f t="shared" ca="1" si="33"/>
        <v>-0.62373821362178461</v>
      </c>
      <c r="AC31" s="228" t="s">
        <v>250</v>
      </c>
      <c r="AD31" s="228">
        <f ca="1">HLOOKUP($A31,SharpR!$A$207:$AH$221,3,0)</f>
        <v>-0.60907693929933993</v>
      </c>
      <c r="AE31" s="195"/>
      <c r="AF31" s="330"/>
      <c r="AG31" s="330"/>
      <c r="AH31" s="195"/>
      <c r="AI31" s="115">
        <f t="shared" ca="1" si="24"/>
        <v>4405</v>
      </c>
      <c r="AJ31" s="69">
        <f t="shared" ca="1" si="16"/>
        <v>4421</v>
      </c>
      <c r="AK31" s="70">
        <f ca="1">COUNTIF(INDIRECT($AK$46),Summary!A31)</f>
        <v>17</v>
      </c>
      <c r="AL31" s="55"/>
      <c r="AM31" s="55">
        <f ca="1">MATCH(AM$6,INDIRECT($AM$46&amp;$AI31):INDIRECT($AM$46&amp;$AJ31),1)+$AI31-1</f>
        <v>4420</v>
      </c>
      <c r="AN31" s="55">
        <f ca="1">MATCH(AN$6,INDIRECT($AM$46&amp;$AI31):INDIRECT($AM$46&amp;$AJ31),1)+$AI31-1</f>
        <v>4419</v>
      </c>
      <c r="AO31" s="55">
        <f ca="1">IF(ISNA(MATCH(AO$6,INDIRECT($AM$46&amp;$AI31):INDIRECT($AM$46&amp;$AJ31),1)+$AI31-1),AI31,MATCH(AO$6,INDIRECT($AM$46&amp;$AI31):INDIRECT($AM$46&amp;$AJ31),1)+$AI31-1)</f>
        <v>4419</v>
      </c>
      <c r="AP31" s="58">
        <f t="shared" ca="1" si="34"/>
        <v>4564693.8156732321</v>
      </c>
      <c r="AQ31" s="58">
        <f t="shared" ca="1" si="35"/>
        <v>4915241.4433206581</v>
      </c>
      <c r="AR31" s="58">
        <f t="shared" ca="1" si="36"/>
        <v>4915241.4433206581</v>
      </c>
      <c r="AS31" s="58">
        <f t="shared" ca="1" si="37"/>
        <v>10000000</v>
      </c>
      <c r="AT31" s="58">
        <f t="shared" ca="1" si="38"/>
        <v>0</v>
      </c>
      <c r="AU31" s="58">
        <f t="shared" ca="1" si="39"/>
        <v>-417774.64</v>
      </c>
      <c r="AV31" s="58">
        <f t="shared" ca="1" si="40"/>
        <v>-417774.64</v>
      </c>
      <c r="AW31" s="58"/>
      <c r="AX31" s="58"/>
      <c r="AY31" s="58"/>
      <c r="BA31" s="42"/>
      <c r="BB31" s="42"/>
      <c r="BC31" s="42"/>
      <c r="BD31" s="42"/>
      <c r="BE31" s="43"/>
      <c r="BF31" s="50"/>
      <c r="BG31" s="43"/>
    </row>
    <row r="32" spans="1:59" ht="15">
      <c r="A32" s="211" t="s">
        <v>424</v>
      </c>
      <c r="B32" s="283" t="s">
        <v>426</v>
      </c>
      <c r="C32" s="270">
        <f t="shared" ca="1" si="22"/>
        <v>43201</v>
      </c>
      <c r="D32" s="271">
        <f t="shared" ref="D32:D33" ca="1" si="41">E32+O32+P32</f>
        <v>28.333728000000001</v>
      </c>
      <c r="E32" s="272">
        <f t="shared" ref="E32:E33" ca="1" si="42">AP32/1000000</f>
        <v>28.333728000000001</v>
      </c>
      <c r="F32" s="273">
        <f t="shared" ref="F32:F33" ca="1" si="43">INDIRECT($F$46&amp;AJ32)+INDIRECT($F$47&amp;AJ32)+INDIRECT($F$48&amp;AJ32)+INDIRECT($F$49&amp;AJ32)</f>
        <v>0</v>
      </c>
      <c r="G32" s="296">
        <f ca="1">E32-F32</f>
        <v>28.333728000000001</v>
      </c>
      <c r="H32" s="296"/>
      <c r="I32" s="272">
        <v>0</v>
      </c>
      <c r="J32" s="272">
        <v>0</v>
      </c>
      <c r="K32" s="272"/>
      <c r="L32" s="271" t="e">
        <f ca="1">HLOOKUP(A32,'Peak NAV'!$C$2:$AZ$3,2,0)/1000000</f>
        <v>#N/A</v>
      </c>
      <c r="M32" s="274" t="e">
        <f ca="1">HLOOKUP(A32,'Peak NAV'!$C$2:$AZ$4,3,0)</f>
        <v>#N/A</v>
      </c>
      <c r="N32" s="275"/>
      <c r="O32" s="276">
        <f t="shared" ca="1" si="29"/>
        <v>0</v>
      </c>
      <c r="P32" s="276">
        <f t="shared" ca="1" si="29"/>
        <v>0</v>
      </c>
      <c r="Q32" s="271"/>
      <c r="R32" s="276">
        <f t="shared" ca="1" si="30"/>
        <v>0</v>
      </c>
      <c r="S32" s="276">
        <f t="shared" ca="1" si="30"/>
        <v>0</v>
      </c>
      <c r="T32" s="277"/>
      <c r="U32" s="277"/>
      <c r="V32" s="277"/>
      <c r="W32" s="275"/>
      <c r="X32" s="279">
        <f ca="1">XIRR(INDIRECT($X$46&amp;$AI32):INDIRECT($X$46&amp;$AJ32),INDIRECT($X$47&amp;$AI32):INDIRECT($X$47&amp;$AJ32),0.1)</f>
        <v>-0.15215444453060625</v>
      </c>
      <c r="Y32" s="279">
        <f t="shared" ref="Y32:Y33" ca="1" si="44">($AP32-AU32)/(AQ32+AS32)-1</f>
        <v>-0.31797346373048485</v>
      </c>
      <c r="Z32" s="279">
        <f t="shared" ref="Z32:Z33" ca="1" si="45">($AP32-AV32)/(AR32+AT32)-1</f>
        <v>3.215357118767348E-2</v>
      </c>
      <c r="AA32" s="280">
        <f ca="1">ABS(SUMIF(INDIRECT($AA$46&amp;$AI32):INDIRECT($AA$46&amp;$AJ32),"&lt;0"))/SUMIF(INDIRECT($AA$46&amp;$AI32):INDIRECT($AA$46&amp;$AJ32),"&gt;0")</f>
        <v>0.76693727709913362</v>
      </c>
      <c r="AB32" s="281">
        <f t="shared" ref="AB32:AB33" ca="1" si="46">AA32-1</f>
        <v>-0.23306272290086638</v>
      </c>
      <c r="AC32" s="282" t="s">
        <v>250</v>
      </c>
      <c r="AD32" s="282" t="e">
        <f ca="1">HLOOKUP($A32,SharpR!$A$207:$AH$221,3,0)</f>
        <v>#DIV/0!</v>
      </c>
      <c r="AE32" s="195"/>
      <c r="AF32" s="330"/>
      <c r="AG32" s="330"/>
      <c r="AH32" s="195"/>
      <c r="AI32" s="115">
        <f t="shared" ref="AI32:AI33" ca="1" si="47">MATCH(A32,INDIRECT($AI$47),0)</f>
        <v>4860</v>
      </c>
      <c r="AJ32" s="69">
        <f t="shared" ref="AJ32:AJ33" ca="1" si="48">AI32+AK32-1</f>
        <v>4866</v>
      </c>
      <c r="AK32" s="70">
        <f ca="1">COUNTIF(INDIRECT($AK$46),Summary!A32)</f>
        <v>7</v>
      </c>
      <c r="AL32" s="55"/>
      <c r="AM32" s="55">
        <f ca="1">MATCH(AM$6,INDIRECT($AM$46&amp;$AI32):INDIRECT($AM$46&amp;$AJ32),1)+$AI32-1</f>
        <v>4865</v>
      </c>
      <c r="AN32" s="55">
        <f ca="1">MATCH(AN$6,INDIRECT($AM$46&amp;$AI32):INDIRECT($AM$46&amp;$AJ32),1)+$AI32-1</f>
        <v>4863</v>
      </c>
      <c r="AO32" s="55">
        <f ca="1">IF(ISNA(MATCH(AO$6,INDIRECT($AM$46&amp;$AI32):INDIRECT($AM$46&amp;$AJ32),1)+$AI32-1),AI32,MATCH(AO$6,INDIRECT($AM$46&amp;$AI32):INDIRECT($AM$46&amp;$AJ32),1)+$AI32-1)</f>
        <v>4863</v>
      </c>
      <c r="AP32" s="58">
        <f t="shared" ref="AP32:AP33" ca="1" si="49">INDIRECT($AP$46&amp;AM32)</f>
        <v>28333728</v>
      </c>
      <c r="AQ32" s="383">
        <v>28628228.225765876</v>
      </c>
      <c r="AR32" s="383">
        <v>28628228.225765876</v>
      </c>
      <c r="AS32" s="58">
        <f t="shared" ref="AS32:AS33" ca="1" si="50">INDIRECT($AS$47&amp;AJ32)</f>
        <v>14696666.67</v>
      </c>
      <c r="AT32" s="58">
        <f t="shared" ref="AT32:AT33" ca="1" si="51">SUM(INDIRECT(AT$47&amp;AO32+1&amp;":"&amp;LEFT(AT$46,LEN(AT$46)-1)&amp;$AM32))</f>
        <v>0</v>
      </c>
      <c r="AU32" s="383">
        <f ca="1">AV32</f>
        <v>-1215000</v>
      </c>
      <c r="AV32" s="58">
        <f t="shared" ref="AV32:AV33" ca="1" si="52">SUM(INDIRECT(AV$47&amp;AO32+1&amp;":"&amp;LEFT(AV$46,LEN(AV$46)-1)&amp;$AM32))</f>
        <v>-1215000</v>
      </c>
      <c r="AW32" s="58"/>
      <c r="AX32" s="58"/>
      <c r="AY32" s="58"/>
      <c r="BA32" s="42"/>
      <c r="BB32" s="42"/>
      <c r="BC32" s="42"/>
      <c r="BD32" s="42"/>
      <c r="BE32" s="43"/>
      <c r="BF32" s="50"/>
      <c r="BG32" s="43"/>
    </row>
    <row r="33" spans="1:59" ht="15">
      <c r="A33" s="211" t="s">
        <v>425</v>
      </c>
      <c r="B33" s="215" t="s">
        <v>427</v>
      </c>
      <c r="C33" s="216">
        <f t="shared" ca="1" si="22"/>
        <v>43451</v>
      </c>
      <c r="D33" s="217">
        <f t="shared" ca="1" si="41"/>
        <v>25.458934624499999</v>
      </c>
      <c r="E33" s="218">
        <f t="shared" ca="1" si="42"/>
        <v>25.441247149999999</v>
      </c>
      <c r="F33" s="219">
        <f t="shared" ca="1" si="43"/>
        <v>0</v>
      </c>
      <c r="G33" s="295">
        <f t="shared" ref="G33" ca="1" si="53">E33-F33</f>
        <v>25.441247149999999</v>
      </c>
      <c r="H33" s="295"/>
      <c r="I33" s="218">
        <v>0</v>
      </c>
      <c r="J33" s="218">
        <v>0</v>
      </c>
      <c r="K33" s="218"/>
      <c r="L33" s="217" t="e">
        <f ca="1">HLOOKUP(A33,'Peak NAV'!$C$2:$AZ$3,2,0)/1000000</f>
        <v>#N/A</v>
      </c>
      <c r="M33" s="220" t="e">
        <f ca="1">HLOOKUP(A33,'Peak NAV'!$C$2:$AZ$4,3,0)</f>
        <v>#N/A</v>
      </c>
      <c r="N33" s="221"/>
      <c r="O33" s="222">
        <f t="shared" ca="1" si="29"/>
        <v>0</v>
      </c>
      <c r="P33" s="222">
        <f t="shared" ca="1" si="29"/>
        <v>1.7687474500000001E-2</v>
      </c>
      <c r="Q33" s="217"/>
      <c r="R33" s="222">
        <f t="shared" ca="1" si="30"/>
        <v>0</v>
      </c>
      <c r="S33" s="222">
        <f t="shared" ca="1" si="30"/>
        <v>0</v>
      </c>
      <c r="T33" s="223"/>
      <c r="U33" s="223"/>
      <c r="V33" s="223"/>
      <c r="W33" s="221"/>
      <c r="X33" s="225">
        <f ca="1">XIRR(INDIRECT($X$46&amp;$AI33):INDIRECT($X$46&amp;$AJ33),INDIRECT($X$47&amp;$AI33):INDIRECT($X$47&amp;$AJ33),0.1)</f>
        <v>8.5010978579521182E-2</v>
      </c>
      <c r="Y33" s="225">
        <f t="shared" ca="1" si="44"/>
        <v>7.2106320655129785E-3</v>
      </c>
      <c r="Z33" s="225">
        <f t="shared" ca="1" si="45"/>
        <v>1.3631325149722651E-2</v>
      </c>
      <c r="AA33" s="226">
        <f ca="1">ABS(SUMIF(INDIRECT($AA$46&amp;$AI33):INDIRECT($AA$46&amp;$AJ33),"&lt;0"))/SUMIF(INDIRECT($AA$46&amp;$AI33):INDIRECT($AA$46&amp;$AJ33),"&gt;0")</f>
        <v>1.0109774349294656</v>
      </c>
      <c r="AB33" s="227">
        <f t="shared" ca="1" si="46"/>
        <v>1.0977434929465568E-2</v>
      </c>
      <c r="AC33" s="228" t="s">
        <v>250</v>
      </c>
      <c r="AD33" s="228" t="e">
        <f ca="1">HLOOKUP($A33,SharpR!$A$207:$AH$221,3,0)</f>
        <v>#DIV/0!</v>
      </c>
      <c r="AE33" s="195"/>
      <c r="AF33" s="330"/>
      <c r="AG33" s="330"/>
      <c r="AH33" s="195"/>
      <c r="AI33" s="115">
        <f t="shared" ca="1" si="47"/>
        <v>4663</v>
      </c>
      <c r="AJ33" s="69">
        <f t="shared" ca="1" si="48"/>
        <v>4667</v>
      </c>
      <c r="AK33" s="70">
        <f ca="1">COUNTIF(INDIRECT($AK$46),Summary!A33)</f>
        <v>5</v>
      </c>
      <c r="AL33" s="55"/>
      <c r="AM33" s="55">
        <f ca="1">MATCH(AM$6,INDIRECT($AM$46&amp;$AI33):INDIRECT($AM$46&amp;$AJ33),1)+$AI33-1</f>
        <v>4666</v>
      </c>
      <c r="AN33" s="55">
        <f ca="1">MATCH(AN$6,INDIRECT($AM$46&amp;$AI33):INDIRECT($AM$46&amp;$AJ33),1)+$AI33-1</f>
        <v>4665</v>
      </c>
      <c r="AO33" s="55">
        <f ca="1">IF(ISNA(MATCH(AO$6,INDIRECT($AM$46&amp;$AI33):INDIRECT($AM$46&amp;$AJ33),1)+$AI33-1),AI33,MATCH(AO$6,INDIRECT($AM$46&amp;$AI33):INDIRECT($AM$46&amp;$AJ33),1)+$AI33-1)</f>
        <v>4665</v>
      </c>
      <c r="AP33" s="58">
        <f t="shared" ca="1" si="49"/>
        <v>25441247.149999999</v>
      </c>
      <c r="AQ33" s="383">
        <f>10039645.19+15059467.79</f>
        <v>25099112.979999997</v>
      </c>
      <c r="AR33" s="383">
        <f>10039645.19+15059467.79</f>
        <v>25099112.979999997</v>
      </c>
      <c r="AS33" s="58">
        <f t="shared" ca="1" si="50"/>
        <v>160000</v>
      </c>
      <c r="AT33" s="58">
        <f t="shared" ca="1" si="51"/>
        <v>0</v>
      </c>
      <c r="AU33" s="58">
        <f t="shared" ref="AU33" ca="1" si="54">INDIRECT($AU$47&amp;AM33)</f>
        <v>0</v>
      </c>
      <c r="AV33" s="58">
        <f t="shared" ca="1" si="52"/>
        <v>0</v>
      </c>
      <c r="AW33" s="58"/>
      <c r="AX33" s="58"/>
      <c r="AY33" s="58"/>
      <c r="BA33" s="42"/>
      <c r="BB33" s="42"/>
      <c r="BC33" s="42"/>
      <c r="BD33" s="42"/>
      <c r="BE33" s="43"/>
      <c r="BF33" s="50"/>
      <c r="BG33" s="43"/>
    </row>
    <row r="34" spans="1:59" ht="15" hidden="1">
      <c r="A34" s="211" t="s">
        <v>163</v>
      </c>
      <c r="B34" s="215" t="s">
        <v>236</v>
      </c>
      <c r="C34" s="216">
        <f t="shared" ca="1" si="22"/>
        <v>43131</v>
      </c>
      <c r="D34" s="217">
        <f t="shared" ca="1" si="26"/>
        <v>0</v>
      </c>
      <c r="E34" s="218">
        <f t="shared" ref="E34:E35" ca="1" si="55">AP34/1000000</f>
        <v>0</v>
      </c>
      <c r="F34" s="219">
        <f t="shared" ca="1" si="27"/>
        <v>0</v>
      </c>
      <c r="G34" s="295">
        <f t="shared" ca="1" si="28"/>
        <v>0</v>
      </c>
      <c r="H34" s="295"/>
      <c r="I34" s="218">
        <v>0</v>
      </c>
      <c r="J34" s="218">
        <v>0</v>
      </c>
      <c r="K34" s="218"/>
      <c r="L34" s="217">
        <f ca="1">HLOOKUP(A34,'Peak NAV'!$C$2:$AZ$3,2,0)/1000000</f>
        <v>11.1581322975088</v>
      </c>
      <c r="M34" s="220">
        <f ca="1">HLOOKUP(A34,'Peak NAV'!$C$2:$AZ$4,3,0)</f>
        <v>43100</v>
      </c>
      <c r="N34" s="221"/>
      <c r="O34" s="222">
        <f t="shared" ca="1" si="29"/>
        <v>0</v>
      </c>
      <c r="P34" s="222">
        <f t="shared" ca="1" si="29"/>
        <v>0</v>
      </c>
      <c r="Q34" s="217"/>
      <c r="R34" s="222">
        <f t="shared" ca="1" si="30"/>
        <v>0</v>
      </c>
      <c r="S34" s="222">
        <f t="shared" ca="1" si="30"/>
        <v>0</v>
      </c>
      <c r="T34" s="223"/>
      <c r="U34" s="223"/>
      <c r="V34" s="223"/>
      <c r="W34" s="221"/>
      <c r="X34" s="225">
        <f ca="1">XIRR(INDIRECT($X$46&amp;$AI34):INDIRECT($X$46&amp;$AJ34),INDIRECT($X$47&amp;$AI34):INDIRECT($X$47&amp;$AJ34),0.1)</f>
        <v>0.3532538115978241</v>
      </c>
      <c r="Y34" s="225" t="e">
        <f t="shared" ca="1" si="31"/>
        <v>#DIV/0!</v>
      </c>
      <c r="Z34" s="225">
        <f t="shared" ca="1" si="32"/>
        <v>-0.98295918247823821</v>
      </c>
      <c r="AA34" s="226">
        <f ca="1">ABS(SUMIF(INDIRECT($AA$46&amp;$AI34):INDIRECT($AA$46&amp;$AJ34),"&lt;0"))/SUMIF(INDIRECT($AA$46&amp;$AI34):INDIRECT($AA$46&amp;$AJ34),"&gt;0")</f>
        <v>1.1574547019999999</v>
      </c>
      <c r="AB34" s="227">
        <f t="shared" ref="AB34" ca="1" si="56">AA34-1</f>
        <v>0.15745470199999989</v>
      </c>
      <c r="AC34" s="228" t="s">
        <v>250</v>
      </c>
      <c r="AD34" s="228">
        <f>HLOOKUP($A34,SharpR!$A$207:$AH$221,3,0)</f>
        <v>-0.24806026551445043</v>
      </c>
      <c r="AE34" s="195"/>
      <c r="AF34" s="330"/>
      <c r="AG34" s="330"/>
      <c r="AH34" s="195"/>
      <c r="AI34" s="115">
        <f t="shared" ca="1" si="24"/>
        <v>4200</v>
      </c>
      <c r="AJ34" s="69">
        <f t="shared" ref="AJ34" ca="1" si="57">AI34+AK34-1</f>
        <v>4207</v>
      </c>
      <c r="AK34" s="70">
        <f ca="1">COUNTIF(INDIRECT($AK$46),Summary!A34)</f>
        <v>8</v>
      </c>
      <c r="AL34" s="55"/>
      <c r="AM34" s="55">
        <f ca="1">MATCH(AM$6,INDIRECT($AM$46&amp;$AI34):INDIRECT($AM$46&amp;$AJ34),1)+$AI34-1</f>
        <v>4207</v>
      </c>
      <c r="AN34" s="55">
        <f ca="1">MATCH(AN$6,INDIRECT($AM$46&amp;$AI34):INDIRECT($AM$46&amp;$AJ34),1)+$AI34-1</f>
        <v>4207</v>
      </c>
      <c r="AO34" s="55">
        <f ca="1">IF(ISNA(MATCH(AO$6,INDIRECT($AM$46&amp;$AI34):INDIRECT($AM$46&amp;$AJ34),1)+$AI34-1),AI34,MATCH(AO$6,INDIRECT($AM$46&amp;$AI34):INDIRECT($AM$46&amp;$AJ34),1)+$AI34-1)</f>
        <v>4207</v>
      </c>
      <c r="AP34" s="58">
        <f t="shared" ca="1" si="34"/>
        <v>0</v>
      </c>
      <c r="AQ34" s="58">
        <f t="shared" ca="1" si="35"/>
        <v>0</v>
      </c>
      <c r="AR34" s="58">
        <f t="shared" ca="1" si="36"/>
        <v>0</v>
      </c>
      <c r="AS34" s="58">
        <f t="shared" ca="1" si="37"/>
        <v>0</v>
      </c>
      <c r="AT34" s="58">
        <f t="shared" ca="1" si="38"/>
        <v>24929000</v>
      </c>
      <c r="AU34" s="58">
        <f t="shared" ca="1" si="39"/>
        <v>-424810.54</v>
      </c>
      <c r="AV34" s="58">
        <f t="shared" ca="1" si="40"/>
        <v>-424810.54</v>
      </c>
      <c r="AW34" s="58"/>
      <c r="AX34" s="58"/>
      <c r="AY34" s="58"/>
      <c r="BA34" s="42"/>
      <c r="BB34" s="42"/>
      <c r="BC34" s="42"/>
      <c r="BD34" s="42"/>
      <c r="BE34" s="43"/>
      <c r="BF34" s="50"/>
      <c r="BG34" s="43"/>
    </row>
    <row r="35" spans="1:59" ht="15">
      <c r="A35" s="198"/>
      <c r="B35" s="230"/>
      <c r="C35" s="231"/>
      <c r="D35" s="232"/>
      <c r="E35" s="233">
        <f t="shared" si="55"/>
        <v>0</v>
      </c>
      <c r="F35" s="233"/>
      <c r="G35" s="298"/>
      <c r="H35" s="298"/>
      <c r="I35" s="298"/>
      <c r="J35" s="233"/>
      <c r="K35" s="233"/>
      <c r="L35" s="232"/>
      <c r="M35" s="232"/>
      <c r="N35" s="234"/>
      <c r="O35" s="235"/>
      <c r="P35" s="235"/>
      <c r="Q35" s="232"/>
      <c r="R35" s="235"/>
      <c r="S35" s="235"/>
      <c r="T35" s="236"/>
      <c r="U35" s="236"/>
      <c r="V35" s="236"/>
      <c r="W35" s="234"/>
      <c r="X35" s="237"/>
      <c r="Y35" s="237"/>
      <c r="Z35" s="237"/>
      <c r="AA35" s="238"/>
      <c r="AB35" s="237"/>
      <c r="AC35" s="237"/>
      <c r="AD35" s="237"/>
      <c r="AE35" s="195"/>
      <c r="AF35" s="330"/>
      <c r="AG35" s="330"/>
      <c r="AH35" s="195"/>
      <c r="AI35" s="115"/>
      <c r="AJ35" s="69"/>
      <c r="AK35" s="70"/>
      <c r="AL35" s="55"/>
      <c r="AM35" s="55"/>
      <c r="AN35" s="55"/>
      <c r="AO35" s="55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BA35" s="42"/>
      <c r="BB35" s="42"/>
      <c r="BC35" s="42"/>
      <c r="BD35" s="42"/>
      <c r="BE35" s="43"/>
      <c r="BF35" s="50"/>
      <c r="BG35" s="43"/>
    </row>
    <row r="36" spans="1:59" ht="15.75">
      <c r="A36" s="210" t="s">
        <v>28</v>
      </c>
      <c r="B36" s="285" t="s">
        <v>251</v>
      </c>
      <c r="C36" s="286"/>
      <c r="D36" s="287"/>
      <c r="E36" s="288"/>
      <c r="F36" s="288"/>
      <c r="G36" s="299">
        <f ca="1">G19+G15+G7+G11</f>
        <v>1524.9658948631309</v>
      </c>
      <c r="H36" s="299"/>
      <c r="I36" s="299"/>
      <c r="J36" s="288"/>
      <c r="K36" s="288"/>
      <c r="L36" s="287" t="e">
        <f ca="1">SUM(L11:L34)</f>
        <v>#N/A</v>
      </c>
      <c r="M36" s="287"/>
      <c r="N36" s="289"/>
      <c r="O36" s="287">
        <f ca="1">SUM(O11:O34)</f>
        <v>0.15841836888888891</v>
      </c>
      <c r="P36" s="287">
        <f ca="1">SUM(P11:P34)</f>
        <v>0.97062640799999989</v>
      </c>
      <c r="Q36" s="287"/>
      <c r="R36" s="287">
        <f ca="1">SUM(R11:R34)</f>
        <v>5.2358928833333332E-2</v>
      </c>
      <c r="S36" s="287">
        <f ca="1">SUM(S11:S34)</f>
        <v>0.13086940950000001</v>
      </c>
      <c r="T36" s="290"/>
      <c r="U36" s="290"/>
      <c r="V36" s="290"/>
      <c r="W36" s="289"/>
      <c r="X36" s="291"/>
      <c r="Y36" s="291"/>
      <c r="Z36" s="291"/>
      <c r="AA36" s="292"/>
      <c r="AB36" s="291"/>
      <c r="AC36" s="291"/>
      <c r="AD36" s="293"/>
      <c r="AE36" s="195"/>
      <c r="AF36" s="330"/>
      <c r="AG36" s="330"/>
      <c r="AH36" s="195"/>
      <c r="AI36" s="115"/>
      <c r="AJ36" s="69"/>
      <c r="AK36" s="70"/>
      <c r="AL36" s="55"/>
      <c r="AM36" s="55"/>
      <c r="AN36" s="55"/>
      <c r="AO36" s="55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BA36" s="42"/>
      <c r="BB36" s="42"/>
      <c r="BC36" s="42"/>
      <c r="BD36" s="42"/>
      <c r="BE36" s="43"/>
      <c r="BF36" s="50"/>
      <c r="BG36" s="43"/>
    </row>
    <row r="37" spans="1:59" ht="15">
      <c r="A37" s="198"/>
      <c r="B37" s="198"/>
      <c r="C37" s="202"/>
      <c r="D37" s="196"/>
      <c r="E37" s="196"/>
      <c r="F37" s="201"/>
      <c r="G37" s="196"/>
      <c r="H37" s="196"/>
      <c r="I37" s="196"/>
      <c r="J37" s="196"/>
      <c r="K37" s="196"/>
      <c r="L37" s="196"/>
      <c r="M37" s="196"/>
      <c r="N37" s="195"/>
      <c r="O37" s="201"/>
      <c r="P37" s="201"/>
      <c r="Q37" s="196"/>
      <c r="R37" s="201"/>
      <c r="S37" s="201"/>
      <c r="T37" s="197"/>
      <c r="U37" s="197"/>
      <c r="V37" s="197"/>
      <c r="W37" s="195"/>
      <c r="X37" s="200"/>
      <c r="Y37" s="200"/>
      <c r="Z37" s="200"/>
      <c r="AA37" s="199"/>
      <c r="AB37" s="200"/>
      <c r="AC37" s="200"/>
      <c r="AD37" s="200"/>
      <c r="AE37" s="195"/>
      <c r="AF37" s="330"/>
      <c r="AG37" s="330"/>
      <c r="AH37" s="195"/>
      <c r="AI37" s="375">
        <f ca="1">MATCH("ATTI",INDIRECT($AI$47),0)</f>
        <v>234</v>
      </c>
      <c r="AJ37" s="376">
        <f t="shared" ref="AJ37" ca="1" si="58">AI37+AK37-1</f>
        <v>247</v>
      </c>
      <c r="AK37" s="376">
        <f ca="1">COUNTIF(INDIRECT($AK$46),"ATTI")</f>
        <v>14</v>
      </c>
      <c r="AL37" s="377" t="s">
        <v>421</v>
      </c>
      <c r="AM37" s="55"/>
      <c r="AN37" s="55"/>
      <c r="AO37" s="55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BA37" s="42"/>
      <c r="BB37" s="42"/>
      <c r="BC37" s="42"/>
      <c r="BD37" s="42"/>
      <c r="BE37" s="48"/>
      <c r="BF37" s="50"/>
      <c r="BG37" s="43"/>
    </row>
    <row r="38" spans="1:59">
      <c r="A38" s="203"/>
      <c r="B38" s="203" t="s">
        <v>296</v>
      </c>
      <c r="C38" s="195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195"/>
      <c r="Q38" s="195"/>
      <c r="R38" s="195"/>
      <c r="S38" s="195"/>
      <c r="T38" s="195"/>
      <c r="U38" s="195"/>
      <c r="V38" s="195"/>
      <c r="W38" s="195"/>
      <c r="X38" s="195"/>
      <c r="Y38" s="195"/>
      <c r="Z38" s="195"/>
      <c r="AA38" s="195"/>
      <c r="AB38" s="195"/>
      <c r="AC38" s="195"/>
      <c r="AD38" s="195"/>
      <c r="AE38" s="195"/>
      <c r="AF38" s="329"/>
      <c r="AG38" s="329"/>
      <c r="AH38" s="195"/>
    </row>
    <row r="39" spans="1:59">
      <c r="A39" s="203"/>
      <c r="B39" s="203" t="s">
        <v>422</v>
      </c>
      <c r="C39" s="195"/>
      <c r="D39" s="195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329"/>
      <c r="AG39" s="329"/>
      <c r="AH39" s="195"/>
    </row>
    <row r="40" spans="1:59">
      <c r="A40" s="203"/>
      <c r="B40" s="203" t="s">
        <v>431</v>
      </c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329"/>
      <c r="AG40" s="329"/>
      <c r="AH40" s="195"/>
    </row>
    <row r="41" spans="1:59">
      <c r="A41" s="35"/>
      <c r="B41" s="35"/>
    </row>
    <row r="42" spans="1:59" ht="15">
      <c r="A42" s="35"/>
      <c r="B42" s="285" t="s">
        <v>432</v>
      </c>
      <c r="G42" s="299">
        <f ca="1">SUM($G$8:$G$10)+SUM($G$12:$G$14)+$G$17+$G$22</f>
        <v>1140.0240561233591</v>
      </c>
    </row>
    <row r="43" spans="1:59">
      <c r="A43" s="35"/>
      <c r="B43" s="35"/>
      <c r="J43" s="40"/>
      <c r="K43" s="40"/>
    </row>
    <row r="44" spans="1:59">
      <c r="A44" s="35"/>
      <c r="B44" s="387" t="s">
        <v>423</v>
      </c>
    </row>
    <row r="45" spans="1:59">
      <c r="A45" s="53"/>
      <c r="B45" s="53"/>
      <c r="AA45" s="36" t="s">
        <v>126</v>
      </c>
    </row>
    <row r="46" spans="1:59">
      <c r="A46" s="56"/>
      <c r="B46" s="56"/>
      <c r="C46" s="57" t="s">
        <v>140</v>
      </c>
      <c r="D46" s="57"/>
      <c r="E46" s="57" t="str">
        <f>ADDRESS(1,MATCH("Overlap_NAV1",Data!$A$2:$AB$2,0),4)</f>
        <v>V1</v>
      </c>
      <c r="F46" s="57" t="str">
        <f>"Data!"&amp;LEFT(E46,LEN(E46)-1)</f>
        <v>Data!V</v>
      </c>
      <c r="G46" s="57" t="str">
        <f>ADDRESS(1,MATCH("Commitment",Data!$A$2:$AB$2,0),4)</f>
        <v>F1</v>
      </c>
      <c r="H46" s="57"/>
      <c r="I46" s="57"/>
      <c r="J46" s="57" t="str">
        <f>"Data!"&amp;LEFT(G46,LEN(G46)-1)</f>
        <v>Data!F</v>
      </c>
      <c r="K46" s="57"/>
      <c r="L46" s="57"/>
      <c r="M46" s="57"/>
      <c r="N46" s="57"/>
      <c r="O46" s="57" t="str">
        <f>ADDRESS(1,MATCH("Monthly MF",Data!$A$2:$AB$2,0),4)</f>
        <v>Q1</v>
      </c>
      <c r="P46" s="57" t="str">
        <f>ADDRESS(1,MATCH("o/s accrued PF",Data!$A$2:$AB$2,0),4)</f>
        <v>R1</v>
      </c>
      <c r="Q46" s="57"/>
      <c r="R46" s="57" t="str">
        <f>ADDRESS(1,MATCH("MF Rebate",Data!$A$2:$AB$2,0),4)</f>
        <v>S1</v>
      </c>
      <c r="S46" s="57" t="str">
        <f>ADDRESS(1,MATCH("PF Rebate",Data!$A$2:$AB$2,0),4)</f>
        <v>T1</v>
      </c>
      <c r="T46" s="57"/>
      <c r="U46" s="57"/>
      <c r="V46" s="57"/>
      <c r="W46" s="57" t="str">
        <f>ADDRESS(1,MATCH("Cashflow (IRR)",Data!$A$2:$AB$2,0),4)</f>
        <v>N1</v>
      </c>
      <c r="X46" s="57" t="str">
        <f>"Data!"&amp;LEFT(W46,LEN(W46)-1)</f>
        <v>Data!N</v>
      </c>
      <c r="Y46" s="57"/>
      <c r="Z46" s="57"/>
      <c r="AA46" s="57" t="str">
        <f>"Data!"&amp;LEFT(W46,LEN(W46)-1)</f>
        <v>Data!N</v>
      </c>
      <c r="AB46" s="57"/>
      <c r="AC46" s="57"/>
      <c r="AD46" s="57"/>
      <c r="AE46" s="57"/>
      <c r="AF46" s="333"/>
      <c r="AG46" s="333"/>
      <c r="AH46" s="57"/>
      <c r="AI46" s="57" t="str">
        <f>ADDRESS(1,MATCH("Fund",Data!$A$2:$AB$2,0),4)</f>
        <v>B1</v>
      </c>
      <c r="AJ46" s="57" t="str">
        <f>ADDRESS(1,MATCH("Fund",Data!$A$2:$AB$2,0),4)</f>
        <v>B1</v>
      </c>
      <c r="AK46" s="57" t="str">
        <f>"Data!"&amp;LEFT(AJ46,LEN(AJ46)-1)&amp;"3:"&amp;LEFT(AJ46,LEN(AJ46)-1)&amp;20000</f>
        <v>Data!B3:B20000</v>
      </c>
      <c r="AL46" s="57" t="str">
        <f>ADDRESS(1,MATCH("Monthend",Data!$A$2:$AB$2,0),4)</f>
        <v>A1</v>
      </c>
      <c r="AM46" s="57" t="str">
        <f>"Data!"&amp;LEFT(AL46,LEN(AL46)-1)</f>
        <v>Data!A</v>
      </c>
      <c r="AN46" s="57"/>
      <c r="AO46" s="57" t="str">
        <f>ADDRESS(1,MATCH("NAV",Data!$A$2:$AB$2,0),4)</f>
        <v>D1</v>
      </c>
      <c r="AP46" s="57" t="str">
        <f>"Data!"&amp;LEFT(AO46,LEN(AO46)-1)</f>
        <v>Data!D</v>
      </c>
      <c r="AQ46" s="57"/>
      <c r="AR46" s="57" t="e">
        <f>ADDRESS(1,MATCH("Cashflow_ps (IRR)",Data!$A$2:$AB$2,0),4)</f>
        <v>#N/A</v>
      </c>
      <c r="AS46" s="57" t="str">
        <f>ADDRESS(1,MATCH("Subscription / Drawdown",Data!$A$2:$AB$2,0),4)</f>
        <v>G1</v>
      </c>
      <c r="AT46" s="57" t="str">
        <f>ADDRESS(1,MATCH("Subscription / Drawdown",Data!$A$2:$AB$2,0),4)</f>
        <v>G1</v>
      </c>
      <c r="AU46" s="57" t="str">
        <f>ADDRESS(1,MATCH("Distribution",Data!$A$2:$AB$2,0),4)</f>
        <v>I1</v>
      </c>
      <c r="AV46" s="87" t="str">
        <f>ADDRESS(1,MATCH("Distribution",Data!$A$2:$AB$2,0),4)</f>
        <v>I1</v>
      </c>
      <c r="AW46" s="57" t="str">
        <f>ADDRESS(1,MATCH("NAV_ps",Data!$A$2:$AB$2,0),4)</f>
        <v>E1</v>
      </c>
      <c r="AX46" s="57" t="str">
        <f>"Data!"&amp;LEFT(AW46,LEN(AW46)-1)</f>
        <v>Data!E</v>
      </c>
      <c r="AY46" s="57"/>
      <c r="AZ46" s="57" t="str">
        <f>ADDRESS(1,MATCH("Cashflow_ps",Data!$A$2:$AB$2,0),4)</f>
        <v>M1</v>
      </c>
      <c r="BA46" s="57" t="str">
        <f>"Data!"&amp;LEFT(AZ46,LEN(AZ46)-1)</f>
        <v>Data!M</v>
      </c>
    </row>
    <row r="47" spans="1:59">
      <c r="A47" s="56"/>
      <c r="B47" s="56"/>
      <c r="C47" s="57"/>
      <c r="D47" s="57"/>
      <c r="E47" s="57" t="str">
        <f>ADDRESS(1,MATCH("Overlap_NAV2",Data!$A$2:$AB$2,0),4)</f>
        <v>X1</v>
      </c>
      <c r="F47" s="57" t="str">
        <f>"Data!"&amp;LEFT(E47,LEN(E47)-1)</f>
        <v>Data!X</v>
      </c>
      <c r="G47" s="57" t="str">
        <f>ADDRESS(1,MATCH("Fund",Data!$A$2:$AB$2,0),4)</f>
        <v>B1</v>
      </c>
      <c r="H47" s="57"/>
      <c r="I47" s="57"/>
      <c r="J47" s="57" t="str">
        <f>"Data!"&amp;LEFT(G47,LEN(G47)-1)&amp;"5:"&amp;LEFT(G47,LEN(G47)-1)&amp;20000</f>
        <v>Data!B5:B20000</v>
      </c>
      <c r="K47" s="57"/>
      <c r="L47" s="57"/>
      <c r="M47" s="57"/>
      <c r="N47" s="57"/>
      <c r="O47" s="57" t="str">
        <f>"Data!"&amp;LEFT(O46,LEN(O46)-1)</f>
        <v>Data!Q</v>
      </c>
      <c r="P47" s="57" t="str">
        <f>"Data!"&amp;LEFT(P46,LEN(P46)-1)</f>
        <v>Data!R</v>
      </c>
      <c r="Q47" s="57"/>
      <c r="R47" s="57" t="str">
        <f>"Data!"&amp;LEFT(R46,LEN(R46)-1)</f>
        <v>Data!S</v>
      </c>
      <c r="S47" s="57" t="str">
        <f>"Data!"&amp;LEFT(S46,LEN(S46)-1)</f>
        <v>Data!T</v>
      </c>
      <c r="T47" s="57"/>
      <c r="U47" s="57"/>
      <c r="V47" s="57"/>
      <c r="W47" s="57" t="str">
        <f>ADDRESS(1,MATCH("Monthend",Data!$A$2:$AB$2,0),4)</f>
        <v>A1</v>
      </c>
      <c r="X47" s="57" t="str">
        <f>"Data!"&amp;LEFT(W47,LEN(W47)-1)</f>
        <v>Data!A</v>
      </c>
      <c r="Y47" s="57"/>
      <c r="Z47" s="57"/>
      <c r="AA47" s="57"/>
      <c r="AB47" s="57"/>
      <c r="AC47" s="57"/>
      <c r="AD47" s="57"/>
      <c r="AE47" s="57"/>
      <c r="AF47" s="333"/>
      <c r="AG47" s="333"/>
      <c r="AH47" s="57"/>
      <c r="AI47" s="57" t="str">
        <f>"Data!"&amp;LEFT(AI46,LEN(AI46)-1)&amp;"1:"&amp;LEFT(AI46,LEN(AI46)-1)&amp;20000</f>
        <v>Data!B1:B20000</v>
      </c>
      <c r="AJ47" s="57" t="str">
        <f>ADDRESS(1,MATCH("Fund_series",Data!$A$2:$AB$2,0),4)</f>
        <v>C1</v>
      </c>
      <c r="AK47" s="57" t="str">
        <f>"Data!"&amp;LEFT(AJ47,LEN(AJ47)-1)&amp;"3:"&amp;LEFT(AJ47,LEN(AJ47)-1)&amp;20000</f>
        <v>Data!C3:C20000</v>
      </c>
      <c r="AL47" s="57"/>
      <c r="AM47" s="57"/>
      <c r="AN47" s="57"/>
      <c r="AO47" s="57"/>
      <c r="AP47" s="57"/>
      <c r="AQ47" s="57"/>
      <c r="AR47" s="57" t="e">
        <f>"Data!"&amp;LEFT(AR46,LEN(AR46)-1)</f>
        <v>#N/A</v>
      </c>
      <c r="AS47" s="57" t="str">
        <f>"Data!"&amp;LEFT(AS46,LEN(AS46)-1)</f>
        <v>Data!G</v>
      </c>
      <c r="AT47" s="57" t="str">
        <f>"Data!"&amp;LEFT(AT46,LEN(AT46)-1)</f>
        <v>Data!G</v>
      </c>
      <c r="AU47" s="57" t="str">
        <f>"Data!"&amp;LEFT(AU46,LEN(AU46)-1)</f>
        <v>Data!I</v>
      </c>
      <c r="AV47" s="87" t="str">
        <f>"Data!"&amp;LEFT(AV46,LEN(AV46)-1)</f>
        <v>Data!I</v>
      </c>
      <c r="AW47" s="57"/>
      <c r="AX47" s="57"/>
      <c r="AY47" s="57"/>
      <c r="AZ47" s="57"/>
      <c r="BA47" s="57"/>
    </row>
    <row r="48" spans="1:59">
      <c r="A48" s="56"/>
      <c r="B48" s="56"/>
      <c r="C48" s="57"/>
      <c r="D48" s="57"/>
      <c r="E48" s="57" t="str">
        <f>ADDRESS(1,MATCH("Overlap_NAV3",Data!$A$2:$AB$2,0),4)</f>
        <v>Z1</v>
      </c>
      <c r="F48" s="57" t="str">
        <f>"Data!"&amp;LEFT(E48,LEN(E48)-1)</f>
        <v>Data!Z</v>
      </c>
      <c r="G48" s="57" t="str">
        <f>ADDRESS(1,MATCH("Subscription / Drawdown",Data!$A$2:$AB$2,0),4)</f>
        <v>G1</v>
      </c>
      <c r="H48" s="57"/>
      <c r="I48" s="57"/>
      <c r="J48" s="57" t="str">
        <f>"Data!"&amp;LEFT(G48,LEN(G48)-1)&amp;"5:"&amp;LEFT(G48,LEN(G48)-1)&amp;20000</f>
        <v>Data!G5:G20000</v>
      </c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 t="str">
        <f>ADDRESS(1,MATCH("Cashflow_ex-GP (IRR)",Data!$A$2:$AB$2,0),4)</f>
        <v>O1</v>
      </c>
      <c r="X48" s="57" t="str">
        <f>"Data!"&amp;LEFT(W48,LEN(W48)-1)</f>
        <v>Data!O</v>
      </c>
      <c r="Y48" s="57"/>
      <c r="Z48" s="57"/>
      <c r="AA48" s="57"/>
      <c r="AB48" s="57"/>
      <c r="AC48" s="57"/>
      <c r="AD48" s="57"/>
      <c r="AE48" s="57"/>
      <c r="AF48" s="333"/>
      <c r="AG48" s="333"/>
      <c r="AH48" s="57"/>
      <c r="AI48" s="57" t="str">
        <f>ADDRESS(1,MATCH("Fund_Series",Data!$A$2:$AB$2,0),4)</f>
        <v>C1</v>
      </c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87"/>
      <c r="AW48" s="57"/>
      <c r="AX48" s="57"/>
      <c r="AY48" s="57"/>
      <c r="AZ48" s="57"/>
      <c r="BA48" s="57"/>
    </row>
    <row r="49" spans="1:53">
      <c r="A49" s="56"/>
      <c r="B49" s="56"/>
      <c r="C49" s="57"/>
      <c r="D49" s="57"/>
      <c r="E49" s="57" t="str">
        <f>ADDRESS(1,MATCH("Overlap_NAV4",Data!$A$2:$AB$2,0),4)</f>
        <v>AB1</v>
      </c>
      <c r="F49" s="57" t="str">
        <f>"Data!"&amp;LEFT(E49,LEN(E49)-1)</f>
        <v>Data!AB</v>
      </c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Y49" s="57"/>
      <c r="Z49" s="57"/>
      <c r="AA49" s="57"/>
      <c r="AB49" s="57"/>
      <c r="AC49" s="57"/>
      <c r="AD49" s="57"/>
      <c r="AE49" s="57"/>
      <c r="AF49" s="333"/>
      <c r="AG49" s="333"/>
      <c r="AH49" s="57"/>
      <c r="AI49" s="57" t="str">
        <f>"Data!"&amp;LEFT(AI48,LEN(AI48)-1)&amp;"1:"&amp;LEFT(AI48,LEN(AI48)-1)&amp;20000</f>
        <v>Data!C1:C20000</v>
      </c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87"/>
      <c r="AW49" s="57"/>
      <c r="AX49" s="57"/>
      <c r="AY49" s="57"/>
      <c r="AZ49" s="57"/>
      <c r="BA49" s="57"/>
    </row>
    <row r="50" spans="1:53">
      <c r="A50" s="35"/>
      <c r="B50" s="35"/>
    </row>
    <row r="51" spans="1:53">
      <c r="A51" s="35"/>
      <c r="B51" s="35"/>
    </row>
    <row r="52" spans="1:53">
      <c r="A52" s="35"/>
      <c r="B52" s="35"/>
    </row>
    <row r="53" spans="1:53">
      <c r="A53" s="53"/>
      <c r="B53" s="53"/>
    </row>
    <row r="57" spans="1:53">
      <c r="A57" s="64" t="s">
        <v>153</v>
      </c>
      <c r="B57" s="64"/>
      <c r="C57" s="64"/>
      <c r="D57" s="64"/>
      <c r="O57" s="57" t="str">
        <f>ADDRESS(1,MATCH("Fund_Series",Data!$A$2:$AB$2,0),4)</f>
        <v>C1</v>
      </c>
      <c r="P57" s="57" t="str">
        <f>"Data!"&amp;LEFT(O57,LEN(O57)-1)&amp;"1:"&amp;LEFT(O57,LEN(O57)-1)&amp;20000</f>
        <v>Data!C1:C20000</v>
      </c>
      <c r="Q57" s="57" t="str">
        <f>ADDRESS(1,MATCH("Fund_series",Data!$A$2:$AB$2,0),4)</f>
        <v>C1</v>
      </c>
      <c r="R57" s="57" t="str">
        <f>"Data!"&amp;LEFT(Q57,LEN(Q57)-1)&amp;"3:"&amp;LEFT(Q57,LEN(Q57)-1)&amp;20000</f>
        <v>Data!C3:C20000</v>
      </c>
    </row>
    <row r="58" spans="1:53" ht="15">
      <c r="A58" s="37" t="s">
        <v>113</v>
      </c>
      <c r="B58" s="37"/>
      <c r="C58" s="38" t="s">
        <v>114</v>
      </c>
      <c r="D58" s="38" t="s">
        <v>119</v>
      </c>
      <c r="E58" s="38" t="s">
        <v>120</v>
      </c>
      <c r="F58" s="38" t="s">
        <v>115</v>
      </c>
      <c r="G58" s="38" t="s">
        <v>113</v>
      </c>
      <c r="H58" s="38"/>
      <c r="I58" s="38"/>
      <c r="J58" s="38" t="s">
        <v>179</v>
      </c>
      <c r="K58" s="38"/>
      <c r="L58" s="38"/>
      <c r="M58" s="38"/>
      <c r="U58" s="38" t="s">
        <v>10</v>
      </c>
      <c r="V58" s="39" t="s">
        <v>11</v>
      </c>
      <c r="AC58" s="36" t="s">
        <v>279</v>
      </c>
      <c r="AD58" s="36" t="s">
        <v>280</v>
      </c>
    </row>
    <row r="59" spans="1:53" ht="15.75">
      <c r="A59" s="15" t="s">
        <v>136</v>
      </c>
      <c r="B59" s="2" t="s">
        <v>343</v>
      </c>
      <c r="C59" s="72">
        <f t="shared" ref="C59:C87" ca="1" si="59">INDIRECT($C$46&amp;$AI59)</f>
        <v>41578</v>
      </c>
      <c r="D59" s="73"/>
      <c r="E59" s="74">
        <f t="shared" ref="E59:E122" ca="1" si="60">AP59/1000000</f>
        <v>7.2613109900000001</v>
      </c>
      <c r="F59" s="120">
        <f t="shared" ref="F59:F87" ca="1" si="61">INDIRECT($F$46&amp;AJ59)+INDIRECT($F$47&amp;AJ59)+INDIRECT($F$48&amp;AJ59)+INDIRECT($F$49&amp;AJ59)</f>
        <v>0</v>
      </c>
      <c r="G59" s="117" t="s">
        <v>136</v>
      </c>
      <c r="H59" s="117"/>
      <c r="I59" s="117"/>
      <c r="J59" s="117" t="s">
        <v>179</v>
      </c>
      <c r="K59" s="117"/>
      <c r="L59" s="74"/>
      <c r="M59" s="74"/>
      <c r="N59" s="73"/>
      <c r="O59" s="114">
        <f t="shared" ref="O59:P87" ca="1" si="62">INDIRECT(O$47&amp;$AJ59)</f>
        <v>0</v>
      </c>
      <c r="P59" s="114">
        <f t="shared" ca="1" si="62"/>
        <v>0</v>
      </c>
      <c r="Q59" s="74"/>
      <c r="R59" s="114">
        <f t="shared" ref="R59:S87" ca="1" si="63">INDIRECT(R$47&amp;$AJ59)</f>
        <v>0</v>
      </c>
      <c r="S59" s="114">
        <f t="shared" ca="1" si="63"/>
        <v>0</v>
      </c>
      <c r="T59" s="73"/>
      <c r="U59" s="121">
        <v>0</v>
      </c>
      <c r="V59" s="121">
        <v>0</v>
      </c>
      <c r="W59" s="73"/>
      <c r="X59" s="123">
        <f ca="1">XIRR(INDIRECT($X$46&amp;$AI59):INDIRECT($X$46&amp;$AJ59),INDIRECT($X$47&amp;$AI59):INDIRECT($X$47&amp;$AJ59),0.1)</f>
        <v>0.21372032761573795</v>
      </c>
      <c r="Y59" s="123">
        <f t="shared" ref="Y59:Y68" ca="1" si="64">($AP59-AU59)/(AQ59+AS59)-1</f>
        <v>1.6680684383286293E-2</v>
      </c>
      <c r="Z59" s="123">
        <f t="shared" ref="Z59:Z68" ca="1" si="65">($AP59-AV59)/(AR59+AT59)-1</f>
        <v>1.8230840914460478E-2</v>
      </c>
      <c r="AA59" s="123">
        <f ca="1">ABS(SUMIF(INDIRECT($AA$46&amp;$AI59):INDIRECT($AA$46&amp;$AJ59),"&lt;0"))/SUMIF(INDIRECT($AA$46&amp;$AI59):INDIRECT($AA$46&amp;$AJ59),"&gt;0")</f>
        <v>2.4364823987110809</v>
      </c>
      <c r="AB59" s="123">
        <f t="shared" ref="AB59:AB68" ca="1" si="66">AA59-1</f>
        <v>1.4364823987110809</v>
      </c>
      <c r="AC59" s="316">
        <f ca="1">ABS(SUMIF(INDIRECT($AA$46&amp;$AI59):INDIRECT($AA$46&amp;$AJ59),"&lt;0"))</f>
        <v>7309447.196133242</v>
      </c>
      <c r="AD59" s="316">
        <f ca="1">SUMIF(INDIRECT($AA$46&amp;$AI59):INDIRECT($AA$46&amp;$AJ59),"&gt;0")</f>
        <v>3000000</v>
      </c>
      <c r="AE59" s="73"/>
      <c r="AF59" s="334"/>
      <c r="AG59" s="334"/>
      <c r="AH59" s="73"/>
      <c r="AI59" s="77">
        <f t="array" aca="1" ref="AI59" ca="1">MATCH(A59&amp;B59,INDIRECT($AI$47) &amp; INDIRECT($AI$49),0)</f>
        <v>453</v>
      </c>
      <c r="AJ59" s="77">
        <f t="shared" ref="AJ59:AJ122" ca="1" si="67">AI59+AK59-1</f>
        <v>519</v>
      </c>
      <c r="AK59" s="78">
        <f ca="1">COUNTIFS(INDIRECT($AK$46),Summary!A59,INDIRECT($AK$47),Summary!B59)</f>
        <v>67</v>
      </c>
      <c r="AL59" s="73"/>
      <c r="AM59" s="79">
        <f ca="1">MATCH(AM$6,INDIRECT($AM$46&amp;$AI59):INDIRECT($AM$46&amp;$AJ59),1)+$AI59-1</f>
        <v>518</v>
      </c>
      <c r="AN59" s="73">
        <f ca="1">MATCH(AN$6,INDIRECT($AM$46&amp;$AI59):INDIRECT($AM$46&amp;$AJ59),1)+$AI59-1</f>
        <v>516</v>
      </c>
      <c r="AO59" s="73">
        <f ca="1">MATCH(AO$6,INDIRECT($AM$46&amp;$AI59):INDIRECT($AM$46&amp;$AJ59),1)+$AI59-1</f>
        <v>516</v>
      </c>
      <c r="AP59" s="80">
        <f t="shared" ref="AP59" ca="1" si="68">INDIRECT($AP$46&amp;AM59)</f>
        <v>7261310.9900000002</v>
      </c>
      <c r="AQ59" s="80">
        <f t="shared" ref="AQ59:AQ94" ca="1" si="69">INDIRECT($AP$46&amp;AN59)</f>
        <v>7142174.6292000003</v>
      </c>
      <c r="AR59" s="80">
        <f t="shared" ref="AR59:AR94" ca="1" si="70">INDIRECT($AP$46&amp;AO59)</f>
        <v>7142174.6292000003</v>
      </c>
      <c r="AS59" s="80">
        <f t="shared" ref="AS59:AS94" ca="1" si="71">INDIRECT($AS$47&amp;AJ59)</f>
        <v>0</v>
      </c>
      <c r="AT59" s="80">
        <f t="shared" ref="AT59:AT94" ca="1" si="72">SUM(INDIRECT(AT$47&amp;AO59+1&amp;":"&amp;LEFT(AT$46,LEN(AT$46)-1)&amp;$AM59))</f>
        <v>0</v>
      </c>
      <c r="AU59" s="80">
        <f t="shared" ref="AU59:AU94" ca="1" si="73">INDIRECT($AU$47&amp;AM59)</f>
        <v>0</v>
      </c>
      <c r="AV59" s="80">
        <f t="shared" ref="AV59:AV94" ca="1" si="74">SUM(INDIRECT(AV$47&amp;AO59+1&amp;":"&amp;LEFT(AV$46,LEN(AV$46)-1)&amp;$AM59))</f>
        <v>-11071.488648240056</v>
      </c>
      <c r="AW59" s="80"/>
      <c r="AX59" s="80"/>
      <c r="AY59" s="80"/>
      <c r="AZ59" s="73"/>
      <c r="BA59" s="73"/>
    </row>
    <row r="60" spans="1:53" ht="15.75">
      <c r="A60" s="15" t="s">
        <v>136</v>
      </c>
      <c r="B60" s="2" t="s">
        <v>301</v>
      </c>
      <c r="C60" s="72">
        <f t="shared" ca="1" si="59"/>
        <v>41578</v>
      </c>
      <c r="D60" s="73"/>
      <c r="E60" s="74">
        <f t="shared" ca="1" si="60"/>
        <v>12.1415448193</v>
      </c>
      <c r="F60" s="120">
        <f t="shared" ca="1" si="61"/>
        <v>0</v>
      </c>
      <c r="G60" s="117" t="s">
        <v>136</v>
      </c>
      <c r="H60" s="117"/>
      <c r="I60" s="117"/>
      <c r="J60" s="117" t="s">
        <v>180</v>
      </c>
      <c r="K60" s="117"/>
      <c r="L60" s="74"/>
      <c r="M60" s="74"/>
      <c r="N60" s="73"/>
      <c r="O60" s="114">
        <f t="shared" ca="1" si="62"/>
        <v>0</v>
      </c>
      <c r="P60" s="114">
        <f t="shared" ca="1" si="62"/>
        <v>0</v>
      </c>
      <c r="Q60" s="74"/>
      <c r="R60" s="114">
        <f t="shared" ca="1" si="63"/>
        <v>0</v>
      </c>
      <c r="S60" s="114">
        <f t="shared" ca="1" si="63"/>
        <v>0</v>
      </c>
      <c r="T60" s="73"/>
      <c r="U60" s="121">
        <v>0</v>
      </c>
      <c r="V60" s="121">
        <v>0</v>
      </c>
      <c r="W60" s="73"/>
      <c r="X60" s="123">
        <f ca="1">XIRR(INDIRECT($X$46&amp;$AI60):INDIRECT($X$46&amp;$AJ60),INDIRECT($X$47&amp;$AI60):INDIRECT($X$47&amp;$AJ60),0.1)</f>
        <v>7.2805944085121158E-2</v>
      </c>
      <c r="Y60" s="123">
        <f t="shared" ca="1" si="64"/>
        <v>-9.3842695865726466E-2</v>
      </c>
      <c r="Z60" s="123">
        <f t="shared" ca="1" si="65"/>
        <v>1.0541144184539109E-2</v>
      </c>
      <c r="AA60" s="123">
        <f ca="1">ABS(SUMIF(INDIRECT($AA$46&amp;$AI60):INDIRECT($AA$46&amp;$AJ60),"&lt;0"))/SUMIF(INDIRECT($AA$46&amp;$AI60):INDIRECT($AA$46&amp;$AJ60),"&gt;0")</f>
        <v>1.378750258179094</v>
      </c>
      <c r="AB60" s="123">
        <f t="shared" ca="1" si="66"/>
        <v>0.37875025817909402</v>
      </c>
      <c r="AC60" s="316">
        <f ca="1">ABS(SUMIF(INDIRECT($AA$46&amp;$AI60):INDIRECT($AA$46&amp;$AJ60),"&lt;0"))</f>
        <v>15476471.648060329</v>
      </c>
      <c r="AD60" s="316">
        <f ca="1">SUMIF(INDIRECT($AA$46&amp;$AI60):INDIRECT($AA$46&amp;$AJ60),"&gt;0")</f>
        <v>11225000</v>
      </c>
      <c r="AE60" s="73"/>
      <c r="AF60" s="334"/>
      <c r="AG60" s="334"/>
      <c r="AH60" s="73"/>
      <c r="AI60" s="77">
        <f t="array" aca="1" ref="AI60" ca="1">MATCH(A60&amp;B60,INDIRECT($AI$47) &amp; INDIRECT($AI$49),0)</f>
        <v>526</v>
      </c>
      <c r="AJ60" s="77">
        <f t="shared" ca="1" si="67"/>
        <v>592</v>
      </c>
      <c r="AK60" s="78">
        <f ca="1">COUNTIFS(INDIRECT($AK$46),Summary!A60,INDIRECT($AK$47),Summary!B60)</f>
        <v>67</v>
      </c>
      <c r="AL60" s="73"/>
      <c r="AM60" s="79">
        <f ca="1">MATCH(AM$6,INDIRECT($AM$46&amp;$AI60):INDIRECT($AM$46&amp;$AJ60),1)+$AI60-1</f>
        <v>591</v>
      </c>
      <c r="AN60" s="73">
        <f ca="1">MATCH(AN$6,INDIRECT($AM$46&amp;$AI60):INDIRECT($AM$46&amp;$AJ60),1)+$AI60-1</f>
        <v>589</v>
      </c>
      <c r="AO60" s="73">
        <f ca="1">MATCH(AO$6,INDIRECT($AM$46&amp;$AI60):INDIRECT($AM$46&amp;$AJ60),1)+$AI60-1</f>
        <v>589</v>
      </c>
      <c r="AP60" s="80">
        <f t="shared" ref="AP60:AR123" ca="1" si="75">INDIRECT($AP$46&amp;AM60)</f>
        <v>12141544.8193</v>
      </c>
      <c r="AQ60" s="80">
        <f t="shared" ca="1" si="69"/>
        <v>12773937.208699999</v>
      </c>
      <c r="AR60" s="80">
        <f t="shared" ca="1" si="70"/>
        <v>12773937.208699999</v>
      </c>
      <c r="AS60" s="80">
        <f t="shared" ca="1" si="71"/>
        <v>625000</v>
      </c>
      <c r="AT60" s="73">
        <f t="shared" ca="1" si="72"/>
        <v>0</v>
      </c>
      <c r="AU60" s="80">
        <f t="shared" ca="1" si="73"/>
        <v>0</v>
      </c>
      <c r="AV60" s="88">
        <f t="shared" ca="1" si="74"/>
        <v>-767044.30332115735</v>
      </c>
      <c r="AW60" s="80"/>
      <c r="AX60" s="80"/>
      <c r="AY60" s="80"/>
      <c r="AZ60" s="73"/>
      <c r="BA60" s="73"/>
    </row>
    <row r="61" spans="1:53" ht="15.75">
      <c r="A61" s="15" t="s">
        <v>136</v>
      </c>
      <c r="B61" s="2" t="s">
        <v>302</v>
      </c>
      <c r="C61" s="72">
        <f t="shared" ca="1" si="59"/>
        <v>41578</v>
      </c>
      <c r="D61" s="73"/>
      <c r="E61" s="74">
        <f t="shared" ca="1" si="60"/>
        <v>14.6506299239</v>
      </c>
      <c r="F61" s="120">
        <f t="shared" ca="1" si="61"/>
        <v>0</v>
      </c>
      <c r="G61" s="117" t="s">
        <v>136</v>
      </c>
      <c r="H61" s="117"/>
      <c r="I61" s="117"/>
      <c r="J61" s="117" t="s">
        <v>180</v>
      </c>
      <c r="K61" s="117"/>
      <c r="L61" s="74"/>
      <c r="M61" s="74"/>
      <c r="N61" s="73"/>
      <c r="O61" s="114">
        <f t="shared" ca="1" si="62"/>
        <v>0</v>
      </c>
      <c r="P61" s="114">
        <f t="shared" ca="1" si="62"/>
        <v>0</v>
      </c>
      <c r="Q61" s="74"/>
      <c r="R61" s="114">
        <f t="shared" ca="1" si="63"/>
        <v>0</v>
      </c>
      <c r="S61" s="114">
        <f t="shared" ca="1" si="63"/>
        <v>0</v>
      </c>
      <c r="T61" s="73"/>
      <c r="U61" s="75">
        <v>1.4999999999999999E-2</v>
      </c>
      <c r="V61" s="76">
        <v>0.15</v>
      </c>
      <c r="W61" s="73"/>
      <c r="X61" s="123">
        <f ca="1">XIRR(INDIRECT($X$46&amp;$AI61):INDIRECT($X$46&amp;$AJ61),INDIRECT($X$47&amp;$AI61):INDIRECT($X$47&amp;$AJ61),0.1)</f>
        <v>8.6358979344367981E-2</v>
      </c>
      <c r="Y61" s="123">
        <f t="shared" ca="1" si="64"/>
        <v>-6.6163324956130642E-2</v>
      </c>
      <c r="Z61" s="123">
        <f t="shared" ca="1" si="65"/>
        <v>7.5473352555162077E-3</v>
      </c>
      <c r="AA61" s="123">
        <f ca="1">ABS(SUMIF(INDIRECT($AA$46&amp;$AI61):INDIRECT($AA$46&amp;$AJ61),"&lt;0"))/SUMIF(INDIRECT($AA$46&amp;$AI61):INDIRECT($AA$46&amp;$AJ61),"&gt;0")</f>
        <v>1.4575158164102417</v>
      </c>
      <c r="AB61" s="123">
        <f t="shared" ca="1" si="66"/>
        <v>0.45751581641024175</v>
      </c>
      <c r="AC61" s="316">
        <f ca="1">ABS(SUMIF(INDIRECT($AA$46&amp;$AI61):INDIRECT($AA$46&amp;$AJ61),"&lt;0"))</f>
        <v>18583326.659230582</v>
      </c>
      <c r="AD61" s="316">
        <f ca="1">SUMIF(INDIRECT($AA$46&amp;$AI61):INDIRECT($AA$46&amp;$AJ61),"&gt;0")</f>
        <v>12750000</v>
      </c>
      <c r="AE61" s="73"/>
      <c r="AF61" s="334"/>
      <c r="AG61" s="334"/>
      <c r="AH61" s="73"/>
      <c r="AI61" s="77">
        <f t="array" aca="1" ref="AI61" ca="1">MATCH(A61&amp;B61,INDIRECT($AI$47) &amp; INDIRECT($AI$49),0)</f>
        <v>592</v>
      </c>
      <c r="AJ61" s="77">
        <f t="shared" ca="1" si="67"/>
        <v>658</v>
      </c>
      <c r="AK61" s="78">
        <f ca="1">COUNTIFS(INDIRECT($AK$46),Summary!A61,INDIRECT($AK$47),Summary!B61)</f>
        <v>67</v>
      </c>
      <c r="AL61" s="73"/>
      <c r="AM61" s="79">
        <f ca="1">MATCH(AM$6,INDIRECT($AM$46&amp;$AI61):INDIRECT($AM$46&amp;$AJ61),1)+$AI61-1</f>
        <v>657</v>
      </c>
      <c r="AN61" s="73">
        <f ca="1">MATCH(AN$6,INDIRECT($AM$46&amp;$AI61):INDIRECT($AM$46&amp;$AJ61),1)+$AI61-1</f>
        <v>655</v>
      </c>
      <c r="AO61" s="73">
        <f ca="1">MATCH(AO$6,INDIRECT($AM$46&amp;$AI61):INDIRECT($AM$46&amp;$AJ61),1)+$AI61-1</f>
        <v>655</v>
      </c>
      <c r="AP61" s="80">
        <f t="shared" ca="1" si="75"/>
        <v>14650629.923900001</v>
      </c>
      <c r="AQ61" s="80">
        <f t="shared" ca="1" si="69"/>
        <v>15438642.688200001</v>
      </c>
      <c r="AR61" s="80">
        <f t="shared" ca="1" si="70"/>
        <v>15438642.688200001</v>
      </c>
      <c r="AS61" s="80">
        <f t="shared" ca="1" si="71"/>
        <v>250000</v>
      </c>
      <c r="AT61" s="73">
        <f t="shared" ca="1" si="72"/>
        <v>0</v>
      </c>
      <c r="AU61" s="80">
        <f t="shared" ca="1" si="73"/>
        <v>0</v>
      </c>
      <c r="AV61" s="88">
        <f t="shared" ca="1" si="74"/>
        <v>-904533.37655796844</v>
      </c>
      <c r="AW61" s="80"/>
      <c r="AX61" s="80"/>
      <c r="AY61" s="80"/>
      <c r="AZ61" s="73"/>
      <c r="BA61" s="73"/>
    </row>
    <row r="62" spans="1:53" ht="15.75">
      <c r="A62" s="15" t="s">
        <v>136</v>
      </c>
      <c r="B62" s="2" t="s">
        <v>303</v>
      </c>
      <c r="C62" s="72">
        <f t="shared" ca="1" si="59"/>
        <v>41578</v>
      </c>
      <c r="D62" s="73"/>
      <c r="E62" s="74">
        <f t="shared" ca="1" si="60"/>
        <v>5.9956502101</v>
      </c>
      <c r="F62" s="120">
        <f t="shared" ca="1" si="61"/>
        <v>0</v>
      </c>
      <c r="G62" s="117" t="s">
        <v>136</v>
      </c>
      <c r="H62" s="117"/>
      <c r="I62" s="117"/>
      <c r="J62" s="117" t="s">
        <v>180</v>
      </c>
      <c r="K62" s="117"/>
      <c r="L62" s="74"/>
      <c r="M62" s="74"/>
      <c r="N62" s="73"/>
      <c r="O62" s="114">
        <f t="shared" ca="1" si="62"/>
        <v>0</v>
      </c>
      <c r="P62" s="114">
        <f t="shared" ca="1" si="62"/>
        <v>0</v>
      </c>
      <c r="Q62" s="74"/>
      <c r="R62" s="114">
        <f t="shared" ca="1" si="63"/>
        <v>0</v>
      </c>
      <c r="S62" s="114">
        <f t="shared" ca="1" si="63"/>
        <v>0</v>
      </c>
      <c r="T62" s="73"/>
      <c r="U62" s="75">
        <v>1.2E-2</v>
      </c>
      <c r="V62" s="76">
        <v>0.12</v>
      </c>
      <c r="W62" s="73"/>
      <c r="X62" s="123">
        <f ca="1">XIRR(INDIRECT($X$46&amp;$AI62):INDIRECT($X$46&amp;$AJ62),INDIRECT($X$47&amp;$AI62):INDIRECT($X$47&amp;$AJ62),0.1)</f>
        <v>7.3067668080329912E-2</v>
      </c>
      <c r="Y62" s="123">
        <f t="shared" ca="1" si="64"/>
        <v>-0.11841810020755539</v>
      </c>
      <c r="Z62" s="123">
        <f t="shared" ca="1" si="65"/>
        <v>5.5851664212140939E-3</v>
      </c>
      <c r="AA62" s="123">
        <f ca="1">ABS(SUMIF(INDIRECT($AA$46&amp;$AI62):INDIRECT($AA$46&amp;$AJ62),"&lt;0"))/SUMIF(INDIRECT($AA$46&amp;$AI62):INDIRECT($AA$46&amp;$AJ62),"&gt;0")</f>
        <v>1.3814422898618022</v>
      </c>
      <c r="AB62" s="123">
        <f t="shared" ca="1" si="66"/>
        <v>0.38144228986180218</v>
      </c>
      <c r="AC62" s="316">
        <f ca="1">ABS(SUMIF(INDIRECT($AA$46&amp;$AI62):INDIRECT($AA$46&amp;$AJ62),"&lt;0"))</f>
        <v>7568728.9042322338</v>
      </c>
      <c r="AD62" s="316">
        <f ca="1">SUMIF(INDIRECT($AA$46&amp;$AI62):INDIRECT($AA$46&amp;$AJ62),"&gt;0")</f>
        <v>5478860</v>
      </c>
      <c r="AE62" s="73"/>
      <c r="AF62" s="334"/>
      <c r="AG62" s="334"/>
      <c r="AH62" s="73"/>
      <c r="AI62" s="77">
        <f t="array" aca="1" ref="AI62" ca="1">MATCH(A62&amp;B62,INDIRECT($AI$47) &amp; INDIRECT($AI$49),0)</f>
        <v>658</v>
      </c>
      <c r="AJ62" s="77">
        <f t="shared" ca="1" si="67"/>
        <v>724</v>
      </c>
      <c r="AK62" s="78">
        <f ca="1">COUNTIFS(INDIRECT($AK$46),Summary!A62,INDIRECT($AK$47),Summary!B62)</f>
        <v>67</v>
      </c>
      <c r="AL62" s="73"/>
      <c r="AM62" s="79">
        <f ca="1">MATCH(AM$6,INDIRECT($AM$46&amp;$AI62):INDIRECT($AM$46&amp;$AJ62),1)+$AI62-1</f>
        <v>723</v>
      </c>
      <c r="AN62" s="73">
        <f ca="1">MATCH(AN$6,INDIRECT($AM$46&amp;$AI62):INDIRECT($AM$46&amp;$AJ62),1)+$AI62-1</f>
        <v>721</v>
      </c>
      <c r="AO62" s="73">
        <f ca="1">MATCH(AO$6,INDIRECT($AM$46&amp;$AI62):INDIRECT($AM$46&amp;$AJ62),1)+$AI62-1</f>
        <v>721</v>
      </c>
      <c r="AP62" s="80">
        <f t="shared" ca="1" si="75"/>
        <v>5995650.2100999998</v>
      </c>
      <c r="AQ62" s="80">
        <f t="shared" ca="1" si="69"/>
        <v>6322153.2824999997</v>
      </c>
      <c r="AR62" s="80">
        <f t="shared" ca="1" si="70"/>
        <v>6322153.2824999997</v>
      </c>
      <c r="AS62" s="80">
        <f t="shared" ca="1" si="71"/>
        <v>478860</v>
      </c>
      <c r="AT62" s="73">
        <f t="shared" ca="1" si="72"/>
        <v>0</v>
      </c>
      <c r="AU62" s="80">
        <f t="shared" ca="1" si="73"/>
        <v>0</v>
      </c>
      <c r="AV62" s="88">
        <f t="shared" ca="1" si="74"/>
        <v>-361813.35062318738</v>
      </c>
      <c r="AW62" s="80"/>
      <c r="AX62" s="80"/>
      <c r="AY62" s="80"/>
      <c r="AZ62" s="73"/>
      <c r="BA62" s="73"/>
    </row>
    <row r="63" spans="1:53" ht="15.75">
      <c r="A63" s="15" t="s">
        <v>136</v>
      </c>
      <c r="B63" s="2" t="s">
        <v>300</v>
      </c>
      <c r="C63" s="72">
        <f t="shared" ca="1" si="59"/>
        <v>41639</v>
      </c>
      <c r="D63" s="73"/>
      <c r="E63" s="74">
        <f t="shared" ca="1" si="60"/>
        <v>7.7627385199999992</v>
      </c>
      <c r="F63" s="120">
        <f t="shared" ca="1" si="61"/>
        <v>0</v>
      </c>
      <c r="G63" s="117" t="s">
        <v>136</v>
      </c>
      <c r="H63" s="117"/>
      <c r="I63" s="117"/>
      <c r="J63" s="117" t="s">
        <v>180</v>
      </c>
      <c r="K63" s="117"/>
      <c r="L63" s="74"/>
      <c r="M63" s="74"/>
      <c r="N63" s="73"/>
      <c r="O63" s="114">
        <f t="shared" ca="1" si="62"/>
        <v>0</v>
      </c>
      <c r="P63" s="114">
        <f t="shared" ca="1" si="62"/>
        <v>0</v>
      </c>
      <c r="Q63" s="74"/>
      <c r="R63" s="114">
        <f t="shared" ca="1" si="63"/>
        <v>0</v>
      </c>
      <c r="S63" s="114">
        <f t="shared" ca="1" si="63"/>
        <v>0</v>
      </c>
      <c r="T63" s="73"/>
      <c r="U63" s="75">
        <v>0.01</v>
      </c>
      <c r="V63" s="76">
        <v>0.08</v>
      </c>
      <c r="W63" s="73"/>
      <c r="X63" s="123">
        <f ca="1">XIRR(INDIRECT($X$46&amp;$AI63):INDIRECT($X$46&amp;$AJ63),INDIRECT($X$47&amp;$AI63):INDIRECT($X$47&amp;$AJ63),0.1)</f>
        <v>0.11013107895851135</v>
      </c>
      <c r="Y63" s="123">
        <f t="shared" ca="1" si="64"/>
        <v>-6.2409824109695089E-2</v>
      </c>
      <c r="Z63" s="123">
        <f t="shared" ca="1" si="65"/>
        <v>-6.0350509870066293E-4</v>
      </c>
      <c r="AA63" s="123">
        <f ca="1">ABS(SUMIF(INDIRECT($AA$46&amp;$AI63):INDIRECT($AA$46&amp;$AJ63),"&lt;0"))/SUMIF(INDIRECT($AA$46&amp;$AI63):INDIRECT($AA$46&amp;$AJ63),"&gt;0")</f>
        <v>1.5997642279868411</v>
      </c>
      <c r="AB63" s="123">
        <f t="shared" ca="1" si="66"/>
        <v>0.59976422798684115</v>
      </c>
      <c r="AC63" s="316">
        <f ca="1">ABS(SUMIF(INDIRECT($AA$46&amp;$AI63):INDIRECT($AA$46&amp;$AJ63),"&lt;0"))</f>
        <v>8238785.7741322322</v>
      </c>
      <c r="AD63" s="316">
        <f ca="1">SUMIF(INDIRECT($AA$46&amp;$AI63):INDIRECT($AA$46&amp;$AJ63),"&gt;0")</f>
        <v>5150000</v>
      </c>
      <c r="AE63" s="73"/>
      <c r="AF63" s="334"/>
      <c r="AG63" s="334"/>
      <c r="AH63" s="73"/>
      <c r="AI63" s="77">
        <f t="array" aca="1" ref="AI63" ca="1">MATCH(A63&amp;B63,INDIRECT($AI$47) &amp; INDIRECT($AI$49),0)</f>
        <v>389</v>
      </c>
      <c r="AJ63" s="77">
        <f t="shared" ca="1" si="67"/>
        <v>453</v>
      </c>
      <c r="AK63" s="78">
        <f ca="1">COUNTIFS(INDIRECT($AK$46),Summary!A63,INDIRECT($AK$47),Summary!B63)</f>
        <v>65</v>
      </c>
      <c r="AL63" s="73"/>
      <c r="AM63" s="79">
        <f ca="1">MATCH(AM$6,INDIRECT($AM$46&amp;$AI63):INDIRECT($AM$46&amp;$AJ63),1)+$AI63-1</f>
        <v>452</v>
      </c>
      <c r="AN63" s="73">
        <f ca="1">MATCH(AN$6,INDIRECT($AM$46&amp;$AI63):INDIRECT($AM$46&amp;$AJ63),1)+$AI63-1</f>
        <v>450</v>
      </c>
      <c r="AO63" s="73">
        <f ca="1">MATCH(AO$6,INDIRECT($AM$46&amp;$AI63):INDIRECT($AM$46&amp;$AJ63),1)+$AI63-1</f>
        <v>450</v>
      </c>
      <c r="AP63" s="80">
        <f t="shared" ca="1" si="75"/>
        <v>7762738.5199999996</v>
      </c>
      <c r="AQ63" s="80">
        <f t="shared" ca="1" si="69"/>
        <v>8129458.04</v>
      </c>
      <c r="AR63" s="80">
        <f t="shared" ca="1" si="70"/>
        <v>8129458.04</v>
      </c>
      <c r="AS63" s="80">
        <f t="shared" ca="1" si="71"/>
        <v>150000</v>
      </c>
      <c r="AT63" s="73">
        <f t="shared" ca="1" si="72"/>
        <v>0</v>
      </c>
      <c r="AU63" s="80">
        <f t="shared" ca="1" si="73"/>
        <v>0</v>
      </c>
      <c r="AV63" s="88">
        <f t="shared" ca="1" si="74"/>
        <v>-361813.35062318738</v>
      </c>
      <c r="AW63" s="80"/>
      <c r="AX63" s="80"/>
      <c r="AY63" s="80"/>
      <c r="AZ63" s="73"/>
      <c r="BA63" s="73"/>
    </row>
    <row r="64" spans="1:53" ht="15.75">
      <c r="A64" s="15" t="s">
        <v>136</v>
      </c>
      <c r="B64" s="2" t="s">
        <v>304</v>
      </c>
      <c r="C64" s="72">
        <f t="shared" ca="1" si="59"/>
        <v>41639</v>
      </c>
      <c r="D64" s="73"/>
      <c r="E64" s="74">
        <f t="shared" ca="1" si="60"/>
        <v>1.9507221013</v>
      </c>
      <c r="F64" s="120">
        <f t="shared" ca="1" si="61"/>
        <v>0</v>
      </c>
      <c r="G64" s="117" t="s">
        <v>136</v>
      </c>
      <c r="H64" s="117"/>
      <c r="I64" s="117"/>
      <c r="J64" s="117" t="s">
        <v>180</v>
      </c>
      <c r="K64" s="117"/>
      <c r="L64" s="74"/>
      <c r="M64" s="74"/>
      <c r="N64" s="73"/>
      <c r="O64" s="114">
        <f t="shared" ca="1" si="62"/>
        <v>0</v>
      </c>
      <c r="P64" s="114">
        <f t="shared" ca="1" si="62"/>
        <v>0</v>
      </c>
      <c r="Q64" s="74"/>
      <c r="R64" s="114">
        <f t="shared" ca="1" si="63"/>
        <v>0</v>
      </c>
      <c r="S64" s="114">
        <f t="shared" ca="1" si="63"/>
        <v>0</v>
      </c>
      <c r="T64" s="73"/>
      <c r="U64" s="75">
        <v>0</v>
      </c>
      <c r="V64" s="76">
        <v>0</v>
      </c>
      <c r="W64" s="73"/>
      <c r="X64" s="123">
        <f ca="1">XIRR(INDIRECT($X$46&amp;$AI64):INDIRECT($X$46&amp;$AJ64),INDIRECT($X$47&amp;$AI64):INDIRECT($X$47&amp;$AJ64),0.1)</f>
        <v>9.2232733964920099E-3</v>
      </c>
      <c r="Y64" s="123">
        <f t="shared" ca="1" si="64"/>
        <v>-0.25865108718344854</v>
      </c>
      <c r="Z64" s="123">
        <f t="shared" ca="1" si="65"/>
        <v>1.5288539112164656E-2</v>
      </c>
      <c r="AA64" s="123">
        <f ca="1">ABS(SUMIF(INDIRECT($AA$46&amp;$AI64):INDIRECT($AA$46&amp;$AJ64),"&lt;0"))/SUMIF(INDIRECT($AA$46&amp;$AI64):INDIRECT($AA$46&amp;$AJ64),"&gt;0")</f>
        <v>1.0419365390623039</v>
      </c>
      <c r="AB64" s="123">
        <f t="shared" ca="1" si="66"/>
        <v>4.1936539062303879E-2</v>
      </c>
      <c r="AC64" s="316">
        <f ca="1">ABS(SUMIF(INDIRECT($AA$46&amp;$AI64):INDIRECT($AA$46&amp;$AJ64),"&lt;0"))</f>
        <v>2082872.8190471078</v>
      </c>
      <c r="AD64" s="316">
        <f ca="1">SUMIF(INDIRECT($AA$46&amp;$AI64):INDIRECT($AA$46&amp;$AJ64),"&gt;0")</f>
        <v>1999040</v>
      </c>
      <c r="AE64" s="73"/>
      <c r="AF64" s="334"/>
      <c r="AG64" s="334"/>
      <c r="AH64" s="73"/>
      <c r="AI64" s="77">
        <f t="array" aca="1" ref="AI64" ca="1">MATCH(A64&amp;B64,INDIRECT($AI$47) &amp; INDIRECT($AI$49),0)</f>
        <v>724</v>
      </c>
      <c r="AJ64" s="77">
        <f t="shared" ca="1" si="67"/>
        <v>788</v>
      </c>
      <c r="AK64" s="78">
        <f ca="1">COUNTIFS(INDIRECT($AK$46),Summary!A64,INDIRECT($AK$47),Summary!B64)</f>
        <v>65</v>
      </c>
      <c r="AL64" s="73"/>
      <c r="AM64" s="79">
        <f ca="1">MATCH(AM$6,INDIRECT($AM$46&amp;$AI64):INDIRECT($AM$46&amp;$AJ64),1)+$AI64-1</f>
        <v>787</v>
      </c>
      <c r="AN64" s="73">
        <f ca="1">MATCH(AN$6,INDIRECT($AM$46&amp;$AI64):INDIRECT($AM$46&amp;$AJ64),1)+$AI64-1</f>
        <v>785</v>
      </c>
      <c r="AO64" s="73">
        <f ca="1">MATCH(AO$6,INDIRECT($AM$46&amp;$AI64):INDIRECT($AM$46&amp;$AJ64),1)+$AI64-1</f>
        <v>785</v>
      </c>
      <c r="AP64" s="80">
        <f t="shared" ca="1" si="75"/>
        <v>1950722.1013</v>
      </c>
      <c r="AQ64" s="80">
        <f t="shared" ca="1" si="69"/>
        <v>2020274.4426</v>
      </c>
      <c r="AR64" s="80">
        <f t="shared" ca="1" si="70"/>
        <v>2020274.4426</v>
      </c>
      <c r="AS64" s="80">
        <f t="shared" ca="1" si="71"/>
        <v>611040</v>
      </c>
      <c r="AT64" s="73">
        <f t="shared" ca="1" si="72"/>
        <v>0</v>
      </c>
      <c r="AU64" s="80">
        <f t="shared" ca="1" si="73"/>
        <v>0</v>
      </c>
      <c r="AV64" s="88">
        <f t="shared" ca="1" si="74"/>
        <v>-100439.38613299682</v>
      </c>
      <c r="AW64" s="80"/>
      <c r="AX64" s="80"/>
      <c r="AY64" s="80"/>
      <c r="AZ64" s="73"/>
      <c r="BA64" s="73"/>
    </row>
    <row r="65" spans="1:53" ht="15.75">
      <c r="A65" s="15" t="s">
        <v>136</v>
      </c>
      <c r="B65" s="2" t="s">
        <v>320</v>
      </c>
      <c r="C65" s="72">
        <f t="shared" ca="1" si="59"/>
        <v>41639</v>
      </c>
      <c r="D65" s="73"/>
      <c r="E65" s="74">
        <f t="shared" ca="1" si="60"/>
        <v>3.0583639999999999E-2</v>
      </c>
      <c r="F65" s="120">
        <f t="shared" ca="1" si="61"/>
        <v>0</v>
      </c>
      <c r="G65" s="117" t="s">
        <v>136</v>
      </c>
      <c r="H65" s="117"/>
      <c r="I65" s="117"/>
      <c r="J65" s="117" t="s">
        <v>180</v>
      </c>
      <c r="K65" s="117"/>
      <c r="L65" s="74"/>
      <c r="M65" s="74"/>
      <c r="N65" s="73"/>
      <c r="O65" s="114">
        <f t="shared" ca="1" si="62"/>
        <v>0</v>
      </c>
      <c r="P65" s="114">
        <f t="shared" ca="1" si="62"/>
        <v>0</v>
      </c>
      <c r="Q65" s="74"/>
      <c r="R65" s="114">
        <f t="shared" ca="1" si="63"/>
        <v>0</v>
      </c>
      <c r="S65" s="114">
        <f t="shared" ca="1" si="63"/>
        <v>0</v>
      </c>
      <c r="T65" s="73"/>
      <c r="U65" s="75">
        <v>1.4999999999999999E-2</v>
      </c>
      <c r="V65" s="76">
        <v>0.15</v>
      </c>
      <c r="W65" s="73"/>
      <c r="X65" s="123">
        <f ca="1">XIRR(INDIRECT($X$46&amp;$AI65):INDIRECT($X$46&amp;$AJ65),INDIRECT($X$47&amp;$AI65):INDIRECT($X$47&amp;$AJ65),0.1)</f>
        <v>2.9802322387695314E-9</v>
      </c>
      <c r="Y65" s="123">
        <f t="shared" ca="1" si="64"/>
        <v>-0.96571410608949937</v>
      </c>
      <c r="Z65" s="123">
        <f t="shared" ca="1" si="65"/>
        <v>3.9769313704307585E-4</v>
      </c>
      <c r="AA65" s="123">
        <f ca="1">ABS(SUMIF(INDIRECT($AA$46&amp;$AI65):INDIRECT($AA$46&amp;$AJ65),"&lt;0"))/SUMIF(INDIRECT($AA$46&amp;$AI65):INDIRECT($AA$46&amp;$AJ65),"&gt;0")</f>
        <v>3.6917987518782863E-2</v>
      </c>
      <c r="AB65" s="123">
        <f t="shared" ca="1" si="66"/>
        <v>-0.96308201248121716</v>
      </c>
      <c r="AC65" s="316">
        <f ca="1">ABS(SUMIF(INDIRECT($AA$46&amp;$AI65):INDIRECT($AA$46&amp;$AJ65),"&lt;0"))</f>
        <v>32487.829016528922</v>
      </c>
      <c r="AD65" s="316">
        <f ca="1">SUMIF(INDIRECT($AA$46&amp;$AI65):INDIRECT($AA$46&amp;$AJ65),"&gt;0")</f>
        <v>880000</v>
      </c>
      <c r="AE65" s="73"/>
      <c r="AF65" s="334"/>
      <c r="AG65" s="334"/>
      <c r="AH65" s="73"/>
      <c r="AI65" s="77">
        <f t="array" aca="1" ref="AI65" ca="1">MATCH(A65&amp;B65,INDIRECT($AI$47) &amp; INDIRECT($AI$49),0)</f>
        <v>1656</v>
      </c>
      <c r="AJ65" s="77">
        <f t="shared" ca="1" si="67"/>
        <v>1720</v>
      </c>
      <c r="AK65" s="78">
        <f ca="1">COUNTIFS(INDIRECT($AK$46),Summary!A65,INDIRECT($AK$47),Summary!B65)</f>
        <v>65</v>
      </c>
      <c r="AL65" s="73"/>
      <c r="AM65" s="79">
        <f ca="1">MATCH(AM$6,INDIRECT($AM$46&amp;$AI65):INDIRECT($AM$46&amp;$AJ65),1)+$AI65-1</f>
        <v>1719</v>
      </c>
      <c r="AN65" s="73">
        <f ca="1">MATCH(AN$6,INDIRECT($AM$46&amp;$AI65):INDIRECT($AM$46&amp;$AJ65),1)+$AI65-1</f>
        <v>1717</v>
      </c>
      <c r="AO65" s="73">
        <f ca="1">MATCH(AO$6,INDIRECT($AM$46&amp;$AI65):INDIRECT($AM$46&amp;$AJ65),1)+$AI65-1</f>
        <v>1717</v>
      </c>
      <c r="AP65" s="80">
        <f t="shared" ca="1" si="75"/>
        <v>30583.64</v>
      </c>
      <c r="AQ65" s="80">
        <f t="shared" ca="1" si="69"/>
        <v>32018.16</v>
      </c>
      <c r="AR65" s="80">
        <f t="shared" ca="1" si="70"/>
        <v>32018.16</v>
      </c>
      <c r="AS65" s="80">
        <f t="shared" ca="1" si="71"/>
        <v>860000</v>
      </c>
      <c r="AT65" s="73">
        <f t="shared" ca="1" si="72"/>
        <v>0</v>
      </c>
      <c r="AU65" s="80">
        <f t="shared" ca="1" si="73"/>
        <v>0</v>
      </c>
      <c r="AV65" s="88">
        <f t="shared" ca="1" si="74"/>
        <v>-1447.2534024927495</v>
      </c>
      <c r="AW65" s="80"/>
      <c r="AX65" s="80"/>
      <c r="AY65" s="80"/>
      <c r="AZ65" s="73"/>
      <c r="BA65" s="73"/>
    </row>
    <row r="66" spans="1:53" ht="15.75">
      <c r="A66" s="15" t="s">
        <v>136</v>
      </c>
      <c r="B66" s="2" t="s">
        <v>321</v>
      </c>
      <c r="C66" s="72">
        <f t="shared" ca="1" si="59"/>
        <v>41639</v>
      </c>
      <c r="D66" s="73"/>
      <c r="E66" s="74">
        <f t="shared" ca="1" si="60"/>
        <v>3.6383943774</v>
      </c>
      <c r="F66" s="120">
        <f t="shared" ca="1" si="61"/>
        <v>0</v>
      </c>
      <c r="G66" s="117" t="s">
        <v>136</v>
      </c>
      <c r="H66" s="117"/>
      <c r="I66" s="117"/>
      <c r="J66" s="117" t="s">
        <v>180</v>
      </c>
      <c r="K66" s="117"/>
      <c r="L66" s="74"/>
      <c r="M66" s="74"/>
      <c r="N66" s="73"/>
      <c r="O66" s="114">
        <f t="shared" ca="1" si="62"/>
        <v>0</v>
      </c>
      <c r="P66" s="114">
        <f t="shared" ca="1" si="62"/>
        <v>0</v>
      </c>
      <c r="Q66" s="74"/>
      <c r="R66" s="114">
        <f t="shared" ca="1" si="63"/>
        <v>0</v>
      </c>
      <c r="S66" s="114">
        <f t="shared" ca="1" si="63"/>
        <v>0</v>
      </c>
      <c r="T66" s="73"/>
      <c r="U66" s="75">
        <v>0</v>
      </c>
      <c r="V66" s="76">
        <v>0</v>
      </c>
      <c r="W66" s="73"/>
      <c r="X66" s="123">
        <f ca="1">XIRR(INDIRECT($X$46&amp;$AI66):INDIRECT($X$46&amp;$AJ66),INDIRECT($X$47&amp;$AI66):INDIRECT($X$47&amp;$AJ66),0.1)</f>
        <v>0.1001519501209259</v>
      </c>
      <c r="Y66" s="123">
        <f t="shared" ca="1" si="64"/>
        <v>-4.6227970999760726E-2</v>
      </c>
      <c r="Z66" s="123">
        <f t="shared" ca="1" si="65"/>
        <v>8.7313181638553061E-3</v>
      </c>
      <c r="AA66" s="123">
        <f ca="1">ABS(SUMIF(INDIRECT($AA$46&amp;$AI66):INDIRECT($AA$46&amp;$AJ66),"&lt;0"))/SUMIF(INDIRECT($AA$46&amp;$AI66):INDIRECT($AA$46&amp;$AJ66),"&gt;0")</f>
        <v>1.5330899760593695</v>
      </c>
      <c r="AB66" s="123">
        <f t="shared" ca="1" si="66"/>
        <v>0.53308997605936947</v>
      </c>
      <c r="AC66" s="316">
        <f ca="1">ABS(SUMIF(INDIRECT($AA$46&amp;$AI66):INDIRECT($AA$46&amp;$AJ66),"&lt;0"))</f>
        <v>3876418.0044661155</v>
      </c>
      <c r="AD66" s="316">
        <f ca="1">SUMIF(INDIRECT($AA$46&amp;$AI66):INDIRECT($AA$46&amp;$AJ66),"&gt;0")</f>
        <v>2528500</v>
      </c>
      <c r="AE66" s="73"/>
      <c r="AF66" s="334"/>
      <c r="AG66" s="334"/>
      <c r="AH66" s="73"/>
      <c r="AI66" s="77">
        <f t="array" aca="1" ref="AI66" ca="1">MATCH(A66&amp;B66,INDIRECT($AI$47) &amp; INDIRECT($AI$49),0)</f>
        <v>1720</v>
      </c>
      <c r="AJ66" s="77">
        <f t="shared" ca="1" si="67"/>
        <v>1784</v>
      </c>
      <c r="AK66" s="78">
        <f ca="1">COUNTIFS(INDIRECT($AK$46),Summary!A66,INDIRECT($AK$47),Summary!B66)</f>
        <v>65</v>
      </c>
      <c r="AL66" s="73"/>
      <c r="AM66" s="79">
        <f ca="1">MATCH(AM$6,INDIRECT($AM$46&amp;$AI66):INDIRECT($AM$46&amp;$AJ66),1)+$AI66-1</f>
        <v>1783</v>
      </c>
      <c r="AN66" s="73">
        <f ca="1">MATCH(AN$6,INDIRECT($AM$46&amp;$AI66):INDIRECT($AM$46&amp;$AJ66),1)+$AI66-1</f>
        <v>1781</v>
      </c>
      <c r="AO66" s="73">
        <f ca="1">MATCH(AO$6,INDIRECT($AM$46&amp;$AI66):INDIRECT($AM$46&amp;$AJ66),1)+$AI66-1</f>
        <v>1781</v>
      </c>
      <c r="AP66" s="80">
        <f t="shared" ca="1" si="75"/>
        <v>3638394.3774000001</v>
      </c>
      <c r="AQ66" s="80">
        <f t="shared" ca="1" si="69"/>
        <v>3786242.1677000001</v>
      </c>
      <c r="AR66" s="80">
        <f t="shared" ca="1" si="70"/>
        <v>3786242.1677000001</v>
      </c>
      <c r="AS66" s="80">
        <f t="shared" ca="1" si="71"/>
        <v>28500</v>
      </c>
      <c r="AT66" s="73">
        <f t="shared" ca="1" si="72"/>
        <v>0</v>
      </c>
      <c r="AU66" s="80">
        <f t="shared" ca="1" si="73"/>
        <v>0</v>
      </c>
      <c r="AV66" s="88">
        <f t="shared" ca="1" si="74"/>
        <v>-180906.67531159369</v>
      </c>
      <c r="AW66" s="80"/>
      <c r="AX66" s="80"/>
      <c r="AY66" s="80"/>
      <c r="AZ66" s="73"/>
      <c r="BA66" s="73"/>
    </row>
    <row r="67" spans="1:53" ht="15.75">
      <c r="A67" s="15" t="s">
        <v>136</v>
      </c>
      <c r="B67" s="2" t="s">
        <v>305</v>
      </c>
      <c r="C67" s="72">
        <f t="shared" ca="1" si="59"/>
        <v>41856</v>
      </c>
      <c r="D67" s="73"/>
      <c r="E67" s="74">
        <f t="shared" ca="1" si="60"/>
        <v>8.7284064200000007</v>
      </c>
      <c r="F67" s="120">
        <f t="shared" ca="1" si="61"/>
        <v>0</v>
      </c>
      <c r="G67" s="117" t="s">
        <v>136</v>
      </c>
      <c r="H67" s="117"/>
      <c r="I67" s="117"/>
      <c r="J67" s="117" t="s">
        <v>180</v>
      </c>
      <c r="K67" s="117"/>
      <c r="L67" s="74"/>
      <c r="M67" s="74"/>
      <c r="N67" s="73"/>
      <c r="O67" s="114">
        <f t="shared" ca="1" si="62"/>
        <v>0</v>
      </c>
      <c r="P67" s="114">
        <f t="shared" ca="1" si="62"/>
        <v>0</v>
      </c>
      <c r="Q67" s="74"/>
      <c r="R67" s="114">
        <f t="shared" ca="1" si="63"/>
        <v>0</v>
      </c>
      <c r="S67" s="114">
        <f t="shared" ca="1" si="63"/>
        <v>0</v>
      </c>
      <c r="T67" s="73"/>
      <c r="U67" s="75">
        <v>7.4999999999999997E-3</v>
      </c>
      <c r="V67" s="76">
        <v>7.4999999999999997E-2</v>
      </c>
      <c r="W67" s="73"/>
      <c r="X67" s="123">
        <f ca="1">XIRR(INDIRECT($X$46&amp;$AI67):INDIRECT($X$46&amp;$AJ67),INDIRECT($X$47&amp;$AI67):INDIRECT($X$47&amp;$AJ67),0.1)</f>
        <v>0.12035329937934874</v>
      </c>
      <c r="Y67" s="123">
        <f t="shared" ca="1" si="64"/>
        <v>-4.637536533591935E-2</v>
      </c>
      <c r="Z67" s="123">
        <f t="shared" ca="1" si="65"/>
        <v>-5.115189549332877E-3</v>
      </c>
      <c r="AA67" s="123">
        <f ca="1">ABS(SUMIF(INDIRECT($AA$46&amp;$AI67):INDIRECT($AA$46&amp;$AJ67),"&lt;0"))/SUMIF(INDIRECT($AA$46&amp;$AI67):INDIRECT($AA$46&amp;$AJ67),"&gt;0")</f>
        <v>1.5560752832226921</v>
      </c>
      <c r="AB67" s="123">
        <f t="shared" ca="1" si="66"/>
        <v>0.55607528322269206</v>
      </c>
      <c r="AC67" s="316">
        <f ca="1">ABS(SUMIF(INDIRECT($AA$46&amp;$AI67):INDIRECT($AA$46&amp;$AJ67),"&lt;0"))</f>
        <v>8807510.5890630949</v>
      </c>
      <c r="AD67" s="316">
        <f ca="1">SUMIF(INDIRECT($AA$46&amp;$AI67):INDIRECT($AA$46&amp;$AJ67),"&gt;0")</f>
        <v>5660080</v>
      </c>
      <c r="AE67" s="73"/>
      <c r="AF67" s="334"/>
      <c r="AG67" s="334"/>
      <c r="AH67" s="73"/>
      <c r="AI67" s="77">
        <f t="array" aca="1" ref="AI67" ca="1">MATCH(A67&amp;B67,INDIRECT($AI$47) &amp; INDIRECT($AI$49),0)</f>
        <v>788</v>
      </c>
      <c r="AJ67" s="77">
        <f t="shared" ca="1" si="67"/>
        <v>846</v>
      </c>
      <c r="AK67" s="78">
        <f ca="1">COUNTIFS(INDIRECT($AK$46),Summary!A67,INDIRECT($AK$47),Summary!B67)</f>
        <v>59</v>
      </c>
      <c r="AL67" s="73"/>
      <c r="AM67" s="79">
        <f ca="1">MATCH(AM$6,INDIRECT($AM$46&amp;$AI67):INDIRECT($AM$46&amp;$AJ67),1)+$AI67-1</f>
        <v>845</v>
      </c>
      <c r="AN67" s="73">
        <f ca="1">MATCH(AN$6,INDIRECT($AM$46&amp;$AI67):INDIRECT($AM$46&amp;$AJ67),1)+$AI67-1</f>
        <v>843</v>
      </c>
      <c r="AO67" s="73">
        <f ca="1">MATCH(AO$6,INDIRECT($AM$46&amp;$AI67):INDIRECT($AM$46&amp;$AJ67),1)+$AI67-1</f>
        <v>843</v>
      </c>
      <c r="AP67" s="80">
        <f t="shared" ca="1" si="75"/>
        <v>8728406.4199999999</v>
      </c>
      <c r="AQ67" s="80">
        <f t="shared" ca="1" si="69"/>
        <v>8852794.3100000005</v>
      </c>
      <c r="AR67" s="80">
        <f t="shared" ca="1" si="70"/>
        <v>8852794.3100000005</v>
      </c>
      <c r="AS67" s="80">
        <f t="shared" ca="1" si="71"/>
        <v>300080</v>
      </c>
      <c r="AT67" s="73">
        <f t="shared" ca="1" si="72"/>
        <v>0</v>
      </c>
      <c r="AU67" s="80">
        <f t="shared" ca="1" si="73"/>
        <v>0</v>
      </c>
      <c r="AV67" s="88">
        <f t="shared" ca="1" si="74"/>
        <v>-79104.169063094756</v>
      </c>
      <c r="AW67" s="80"/>
      <c r="AX67" s="80"/>
      <c r="AY67" s="80"/>
      <c r="AZ67" s="73"/>
      <c r="BA67" s="73"/>
    </row>
    <row r="68" spans="1:53" ht="15.75">
      <c r="A68" s="15" t="s">
        <v>136</v>
      </c>
      <c r="B68" s="2" t="s">
        <v>306</v>
      </c>
      <c r="C68" s="72">
        <f t="shared" ca="1" si="59"/>
        <v>41856</v>
      </c>
      <c r="D68" s="73"/>
      <c r="E68" s="74">
        <f t="shared" ca="1" si="60"/>
        <v>3.9182487374999999</v>
      </c>
      <c r="F68" s="120">
        <f t="shared" ca="1" si="61"/>
        <v>0</v>
      </c>
      <c r="G68" s="117" t="s">
        <v>136</v>
      </c>
      <c r="H68" s="117"/>
      <c r="I68" s="117"/>
      <c r="J68" s="117" t="s">
        <v>180</v>
      </c>
      <c r="K68" s="117"/>
      <c r="L68" s="74"/>
      <c r="M68" s="74"/>
      <c r="N68" s="73"/>
      <c r="O68" s="114">
        <f t="shared" ca="1" si="62"/>
        <v>0</v>
      </c>
      <c r="P68" s="114">
        <f t="shared" ca="1" si="62"/>
        <v>0</v>
      </c>
      <c r="Q68" s="74"/>
      <c r="R68" s="114">
        <f t="shared" ca="1" si="63"/>
        <v>0</v>
      </c>
      <c r="S68" s="114">
        <f t="shared" ca="1" si="63"/>
        <v>0</v>
      </c>
      <c r="T68" s="73"/>
      <c r="U68" s="75">
        <v>0</v>
      </c>
      <c r="V68" s="76">
        <v>0</v>
      </c>
      <c r="W68" s="73"/>
      <c r="X68" s="123">
        <f ca="1">XIRR(INDIRECT($X$46&amp;$AI68):INDIRECT($X$46&amp;$AJ68),INDIRECT($X$47&amp;$AI68):INDIRECT($X$47&amp;$AJ68),0.1)</f>
        <v>7.7942833304405226E-2</v>
      </c>
      <c r="Y68" s="123">
        <f t="shared" ca="1" si="64"/>
        <v>-7.3958328182952338E-2</v>
      </c>
      <c r="Z68" s="123">
        <f t="shared" ca="1" si="65"/>
        <v>1.2058275866535739E-2</v>
      </c>
      <c r="AA68" s="123">
        <f ca="1">ABS(SUMIF(INDIRECT($AA$46&amp;$AI68):INDIRECT($AA$46&amp;$AJ68),"&lt;0"))/SUMIF(INDIRECT($AA$46&amp;$AI68):INDIRECT($AA$46&amp;$AJ68),"&gt;0")</f>
        <v>1.342449290008745</v>
      </c>
      <c r="AB68" s="123">
        <f t="shared" ca="1" si="66"/>
        <v>0.34244929000874502</v>
      </c>
      <c r="AC68" s="316">
        <f ca="1">ABS(SUMIF(INDIRECT($AA$46&amp;$AI68):INDIRECT($AA$46&amp;$AJ68),"&lt;0"))</f>
        <v>3959151.4460937907</v>
      </c>
      <c r="AD68" s="316">
        <f ca="1">SUMIF(INDIRECT($AA$46&amp;$AI68):INDIRECT($AA$46&amp;$AJ68),"&gt;0")</f>
        <v>2949200</v>
      </c>
      <c r="AE68" s="73"/>
      <c r="AF68" s="334"/>
      <c r="AG68" s="334"/>
      <c r="AH68" s="73"/>
      <c r="AI68" s="77">
        <f t="array" aca="1" ref="AI68" ca="1">MATCH(A68&amp;B68,INDIRECT($AI$47) &amp; INDIRECT($AI$49),0)</f>
        <v>846</v>
      </c>
      <c r="AJ68" s="77">
        <f t="shared" ca="1" si="67"/>
        <v>904</v>
      </c>
      <c r="AK68" s="78">
        <f ca="1">COUNTIFS(INDIRECT($AK$46),Summary!A68,INDIRECT($AK$47),Summary!B68)</f>
        <v>59</v>
      </c>
      <c r="AL68" s="73"/>
      <c r="AM68" s="79">
        <f ca="1">MATCH(AM$6,INDIRECT($AM$46&amp;$AI68):INDIRECT($AM$46&amp;$AJ68),1)+$AI68-1</f>
        <v>903</v>
      </c>
      <c r="AN68" s="73">
        <f ca="1">MATCH(AN$6,INDIRECT($AM$46&amp;$AI68):INDIRECT($AM$46&amp;$AJ68),1)+$AI68-1</f>
        <v>901</v>
      </c>
      <c r="AO68" s="73">
        <f ca="1">MATCH(AO$6,INDIRECT($AM$46&amp;$AI68):INDIRECT($AM$46&amp;$AJ68),1)+$AI68-1</f>
        <v>901</v>
      </c>
      <c r="AP68" s="80">
        <f t="shared" ca="1" si="75"/>
        <v>3918248.7374999998</v>
      </c>
      <c r="AQ68" s="80">
        <f t="shared" ca="1" si="69"/>
        <v>3911979.7154999999</v>
      </c>
      <c r="AR68" s="80">
        <f t="shared" ca="1" si="70"/>
        <v>3911979.7154999999</v>
      </c>
      <c r="AS68" s="80">
        <f t="shared" ca="1" si="71"/>
        <v>319200</v>
      </c>
      <c r="AT68" s="73">
        <f t="shared" ca="1" si="72"/>
        <v>0</v>
      </c>
      <c r="AU68" s="80">
        <f t="shared" ca="1" si="73"/>
        <v>0</v>
      </c>
      <c r="AV68" s="88">
        <f t="shared" ca="1" si="74"/>
        <v>-40902.708593790703</v>
      </c>
      <c r="AW68" s="80"/>
      <c r="AX68" s="80"/>
      <c r="AY68" s="80"/>
      <c r="AZ68" s="73"/>
      <c r="BA68" s="73"/>
    </row>
    <row r="69" spans="1:53" ht="15.75">
      <c r="A69" s="15" t="s">
        <v>136</v>
      </c>
      <c r="B69" s="2" t="s">
        <v>307</v>
      </c>
      <c r="C69" s="72">
        <f t="shared" ca="1" si="59"/>
        <v>41856</v>
      </c>
      <c r="D69" s="73"/>
      <c r="E69" s="74">
        <f t="shared" ca="1" si="60"/>
        <v>4.1633687455000006</v>
      </c>
      <c r="F69" s="120">
        <f t="shared" ca="1" si="61"/>
        <v>0</v>
      </c>
      <c r="G69" s="117" t="s">
        <v>136</v>
      </c>
      <c r="H69" s="117"/>
      <c r="I69" s="117"/>
      <c r="J69" s="117" t="s">
        <v>180</v>
      </c>
      <c r="K69" s="117"/>
      <c r="L69" s="74"/>
      <c r="M69" s="74"/>
      <c r="N69" s="73"/>
      <c r="O69" s="114">
        <f t="shared" ca="1" si="62"/>
        <v>0</v>
      </c>
      <c r="P69" s="114">
        <f t="shared" ca="1" si="62"/>
        <v>0</v>
      </c>
      <c r="Q69" s="74"/>
      <c r="R69" s="114">
        <f t="shared" ca="1" si="63"/>
        <v>0</v>
      </c>
      <c r="S69" s="114">
        <f t="shared" ca="1" si="63"/>
        <v>0</v>
      </c>
      <c r="T69" s="73"/>
      <c r="U69" s="75">
        <v>1.4999999999999999E-2</v>
      </c>
      <c r="V69" s="76">
        <v>0.15</v>
      </c>
      <c r="W69" s="73"/>
      <c r="X69" s="123">
        <f ca="1">XIRR(INDIRECT($X$46&amp;$AI69):INDIRECT($X$46&amp;$AJ69),INDIRECT($X$47&amp;$AI69):INDIRECT($X$47&amp;$AJ69),0.1)</f>
        <v>5.5783018469810486E-2</v>
      </c>
      <c r="Y69" s="123">
        <f t="shared" ref="Y69:Y92" ca="1" si="76">($AP69-AU69)/(AQ69+AS69)-1</f>
        <v>-0.12349216267351704</v>
      </c>
      <c r="Z69" s="123">
        <f t="shared" ref="Z69:Z92" ca="1" si="77">($AP69-AV69)/(AR69+AT69)-1</f>
        <v>1.2073157828326408E-2</v>
      </c>
      <c r="AA69" s="123">
        <f ca="1">ABS(SUMIF(INDIRECT($AA$46&amp;$AI69):INDIRECT($AA$46&amp;$AJ69),"&lt;0"))/SUMIF(INDIRECT($AA$46&amp;$AI69):INDIRECT($AA$46&amp;$AJ69),"&gt;0")</f>
        <v>1.2400790865358127</v>
      </c>
      <c r="AB69" s="123">
        <f t="shared" ref="AB69:AB92" ca="1" si="78">AA69-1</f>
        <v>0.24007908653581267</v>
      </c>
      <c r="AC69" s="316">
        <f ca="1">ABS(SUMIF(INDIRECT($AA$46&amp;$AI69):INDIRECT($AA$46&amp;$AJ69),"&lt;0"))</f>
        <v>4207340.3247987051</v>
      </c>
      <c r="AD69" s="316">
        <f ca="1">SUMIF(INDIRECT($AA$46&amp;$AI69):INDIRECT($AA$46&amp;$AJ69),"&gt;0")</f>
        <v>3392800</v>
      </c>
      <c r="AE69" s="73"/>
      <c r="AF69" s="334"/>
      <c r="AG69" s="334"/>
      <c r="AH69" s="73"/>
      <c r="AI69" s="77">
        <f t="array" aca="1" ref="AI69" ca="1">MATCH(A69&amp;B69,INDIRECT($AI$47) &amp; INDIRECT($AI$49),0)</f>
        <v>904</v>
      </c>
      <c r="AJ69" s="77">
        <f t="shared" ca="1" si="67"/>
        <v>962</v>
      </c>
      <c r="AK69" s="78">
        <f ca="1">COUNTIFS(INDIRECT($AK$46),Summary!A69,INDIRECT($AK$47),Summary!B69)</f>
        <v>59</v>
      </c>
      <c r="AL69" s="73"/>
      <c r="AM69" s="79">
        <f ca="1">MATCH(AM$6,INDIRECT($AM$46&amp;$AI69):INDIRECT($AM$46&amp;$AJ69),1)+$AI69-1</f>
        <v>961</v>
      </c>
      <c r="AN69" s="73">
        <f ca="1">MATCH(AN$6,INDIRECT($AM$46&amp;$AI69):INDIRECT($AM$46&amp;$AJ69),1)+$AI69-1</f>
        <v>959</v>
      </c>
      <c r="AO69" s="73">
        <f ca="1">MATCH(AO$6,INDIRECT($AM$46&amp;$AI69):INDIRECT($AM$46&amp;$AJ69),1)+$AI69-1</f>
        <v>959</v>
      </c>
      <c r="AP69" s="80">
        <f t="shared" ca="1" si="75"/>
        <v>4163368.7455000002</v>
      </c>
      <c r="AQ69" s="80">
        <f t="shared" ca="1" si="69"/>
        <v>4157150.392</v>
      </c>
      <c r="AR69" s="80">
        <f t="shared" ca="1" si="70"/>
        <v>4157150.392</v>
      </c>
      <c r="AS69" s="80">
        <f t="shared" ca="1" si="71"/>
        <v>592800</v>
      </c>
      <c r="AT69" s="73">
        <f t="shared" ca="1" si="72"/>
        <v>0</v>
      </c>
      <c r="AU69" s="80">
        <f t="shared" ca="1" si="73"/>
        <v>0</v>
      </c>
      <c r="AV69" s="88">
        <f t="shared" ca="1" si="74"/>
        <v>-43971.579298705001</v>
      </c>
      <c r="AW69" s="80"/>
      <c r="AX69" s="80"/>
      <c r="AY69" s="80"/>
      <c r="AZ69" s="73"/>
      <c r="BA69" s="73"/>
    </row>
    <row r="70" spans="1:53" ht="15.75">
      <c r="A70" s="15" t="s">
        <v>136</v>
      </c>
      <c r="B70" s="2" t="s">
        <v>308</v>
      </c>
      <c r="C70" s="72">
        <f t="shared" ca="1" si="59"/>
        <v>41856</v>
      </c>
      <c r="D70" s="73"/>
      <c r="E70" s="74">
        <f t="shared" ca="1" si="60"/>
        <v>7.8543808499999992</v>
      </c>
      <c r="F70" s="120">
        <f t="shared" ca="1" si="61"/>
        <v>0</v>
      </c>
      <c r="G70" s="117" t="s">
        <v>136</v>
      </c>
      <c r="H70" s="117"/>
      <c r="I70" s="117"/>
      <c r="J70" s="117" t="s">
        <v>180</v>
      </c>
      <c r="K70" s="117"/>
      <c r="L70" s="74"/>
      <c r="M70" s="74"/>
      <c r="N70" s="73"/>
      <c r="O70" s="114">
        <f t="shared" ca="1" si="62"/>
        <v>0</v>
      </c>
      <c r="P70" s="114">
        <f t="shared" ca="1" si="62"/>
        <v>0</v>
      </c>
      <c r="Q70" s="74"/>
      <c r="R70" s="114">
        <f t="shared" ca="1" si="63"/>
        <v>0</v>
      </c>
      <c r="S70" s="114">
        <f t="shared" ca="1" si="63"/>
        <v>0</v>
      </c>
      <c r="T70" s="73"/>
      <c r="U70" s="75">
        <v>1.4999999999999999E-2</v>
      </c>
      <c r="V70" s="76">
        <v>0.15</v>
      </c>
      <c r="W70" s="73"/>
      <c r="X70" s="123">
        <f ca="1">XIRR(INDIRECT($X$46&amp;$AI70):INDIRECT($X$46&amp;$AJ70),INDIRECT($X$47&amp;$AI70):INDIRECT($X$47&amp;$AJ70),0.1)</f>
        <v>7.192973792552948E-2</v>
      </c>
      <c r="Y70" s="123">
        <f t="shared" ca="1" si="76"/>
        <v>-0.10277406297577596</v>
      </c>
      <c r="Z70" s="123">
        <f t="shared" ca="1" si="77"/>
        <v>4.9160541059412033E-3</v>
      </c>
      <c r="AA70" s="123">
        <f ca="1">ABS(SUMIF(INDIRECT($AA$46&amp;$AI70):INDIRECT($AA$46&amp;$AJ70),"&lt;0"))/SUMIF(INDIRECT($AA$46&amp;$AI70):INDIRECT($AA$46&amp;$AJ70),"&gt;0")</f>
        <v>1.3091363169540382</v>
      </c>
      <c r="AB70" s="123">
        <f t="shared" ca="1" si="78"/>
        <v>0.3091363169540382</v>
      </c>
      <c r="AC70" s="316">
        <f ca="1">ABS(SUMIF(INDIRECT($AA$46&amp;$AI70):INDIRECT($AA$46&amp;$AJ70),"&lt;0"))</f>
        <v>7933091.1621149117</v>
      </c>
      <c r="AD70" s="316">
        <f ca="1">SUMIF(INDIRECT($AA$46&amp;$AI70):INDIRECT($AA$46&amp;$AJ70),"&gt;0")</f>
        <v>6059790</v>
      </c>
      <c r="AE70" s="73"/>
      <c r="AF70" s="334"/>
      <c r="AG70" s="334"/>
      <c r="AH70" s="73"/>
      <c r="AI70" s="77">
        <f t="array" aca="1" ref="AI70" ca="1">MATCH(A70&amp;B70,INDIRECT($AI$47) &amp; INDIRECT($AI$49),0)</f>
        <v>962</v>
      </c>
      <c r="AJ70" s="77">
        <f t="shared" ca="1" si="67"/>
        <v>1020</v>
      </c>
      <c r="AK70" s="78">
        <f ca="1">COUNTIFS(INDIRECT($AK$46),Summary!A70,INDIRECT($AK$47),Summary!B70)</f>
        <v>59</v>
      </c>
      <c r="AL70" s="73"/>
      <c r="AM70" s="79">
        <f ca="1">MATCH(AM$6,INDIRECT($AM$46&amp;$AI70):INDIRECT($AM$46&amp;$AJ70),1)+$AI70-1</f>
        <v>1019</v>
      </c>
      <c r="AN70" s="73">
        <f ca="1">MATCH(AN$6,INDIRECT($AM$46&amp;$AI70):INDIRECT($AM$46&amp;$AJ70),1)+$AI70-1</f>
        <v>1017</v>
      </c>
      <c r="AO70" s="73">
        <f ca="1">MATCH(AO$6,INDIRECT($AM$46&amp;$AI70):INDIRECT($AM$46&amp;$AJ70),1)+$AI70-1</f>
        <v>1017</v>
      </c>
      <c r="AP70" s="80">
        <f t="shared" ca="1" si="75"/>
        <v>7854380.8499999996</v>
      </c>
      <c r="AQ70" s="80">
        <f t="shared" ca="1" si="69"/>
        <v>7894282.4424999999</v>
      </c>
      <c r="AR70" s="80">
        <f t="shared" ca="1" si="70"/>
        <v>7894282.4424999999</v>
      </c>
      <c r="AS70" s="80">
        <f t="shared" ca="1" si="71"/>
        <v>859790</v>
      </c>
      <c r="AT70" s="73">
        <f t="shared" ca="1" si="72"/>
        <v>0</v>
      </c>
      <c r="AU70" s="80">
        <f t="shared" ca="1" si="73"/>
        <v>0</v>
      </c>
      <c r="AV70" s="88">
        <f t="shared" ca="1" si="74"/>
        <v>-78710.312114911911</v>
      </c>
      <c r="AW70" s="80"/>
      <c r="AX70" s="80"/>
      <c r="AY70" s="80"/>
      <c r="AZ70" s="73"/>
      <c r="BA70" s="73"/>
    </row>
    <row r="71" spans="1:53" ht="15.75">
      <c r="A71" s="15" t="s">
        <v>136</v>
      </c>
      <c r="B71" s="2" t="s">
        <v>322</v>
      </c>
      <c r="C71" s="72">
        <f t="shared" ca="1" si="59"/>
        <v>41856</v>
      </c>
      <c r="D71" s="73"/>
      <c r="E71" s="74">
        <f t="shared" ca="1" si="60"/>
        <v>0.40283336999999997</v>
      </c>
      <c r="F71" s="120">
        <f t="shared" ca="1" si="61"/>
        <v>0</v>
      </c>
      <c r="G71" s="117" t="s">
        <v>136</v>
      </c>
      <c r="H71" s="117"/>
      <c r="I71" s="117"/>
      <c r="J71" s="117" t="s">
        <v>180</v>
      </c>
      <c r="K71" s="117"/>
      <c r="L71" s="74"/>
      <c r="M71" s="74"/>
      <c r="N71" s="73"/>
      <c r="O71" s="114">
        <f t="shared" ca="1" si="62"/>
        <v>0</v>
      </c>
      <c r="P71" s="114">
        <f t="shared" ca="1" si="62"/>
        <v>0</v>
      </c>
      <c r="Q71" s="74"/>
      <c r="R71" s="114">
        <f t="shared" ca="1" si="63"/>
        <v>0</v>
      </c>
      <c r="S71" s="114">
        <f t="shared" ca="1" si="63"/>
        <v>0</v>
      </c>
      <c r="T71" s="73"/>
      <c r="U71" s="75">
        <v>8.0000000000000002E-3</v>
      </c>
      <c r="V71" s="76">
        <v>0.15</v>
      </c>
      <c r="W71" s="73"/>
      <c r="X71" s="123">
        <f ca="1">XIRR(INDIRECT($X$46&amp;$AI71):INDIRECT($X$46&amp;$AJ71),INDIRECT($X$47&amp;$AI71):INDIRECT($X$47&amp;$AJ71),0.1)</f>
        <v>-8.4952801465988173E-3</v>
      </c>
      <c r="Y71" s="123">
        <f t="shared" ca="1" si="76"/>
        <v>-0.30453446194287759</v>
      </c>
      <c r="Z71" s="123">
        <f t="shared" ca="1" si="77"/>
        <v>-4.1776613315445132E-3</v>
      </c>
      <c r="AA71" s="123">
        <f ca="1">ABS(SUMIF(INDIRECT($AA$46&amp;$AI71):INDIRECT($AA$46&amp;$AJ71),"&lt;0"))/SUMIF(INDIRECT($AA$46&amp;$AI71):INDIRECT($AA$46&amp;$AJ71),"&gt;0")</f>
        <v>0.96561266062758089</v>
      </c>
      <c r="AB71" s="123">
        <f t="shared" ca="1" si="78"/>
        <v>-3.4387339372419112E-2</v>
      </c>
      <c r="AC71" s="316">
        <f ca="1">ABS(SUMIF(INDIRECT($AA$46&amp;$AI71):INDIRECT($AA$46&amp;$AJ71),"&lt;0"))</f>
        <v>406522.93012421153</v>
      </c>
      <c r="AD71" s="316">
        <f ca="1">SUMIF(INDIRECT($AA$46&amp;$AI71):INDIRECT($AA$46&amp;$AJ71),"&gt;0")</f>
        <v>421000</v>
      </c>
      <c r="AE71" s="73"/>
      <c r="AF71" s="334"/>
      <c r="AG71" s="334"/>
      <c r="AH71" s="73"/>
      <c r="AI71" s="77">
        <f t="array" aca="1" ref="AI71" ca="1">MATCH(A71&amp;B71,INDIRECT($AI$47) &amp; INDIRECT($AI$49),0)</f>
        <v>1784</v>
      </c>
      <c r="AJ71" s="77">
        <f t="shared" ca="1" si="67"/>
        <v>1842</v>
      </c>
      <c r="AK71" s="78">
        <f ca="1">COUNTIFS(INDIRECT($AK$46),Summary!A71,INDIRECT($AK$47),Summary!B71)</f>
        <v>59</v>
      </c>
      <c r="AL71" s="73"/>
      <c r="AM71" s="79">
        <f ca="1">MATCH(AM$6,INDIRECT($AM$46&amp;$AI71):INDIRECT($AM$46&amp;$AJ71),1)+$AI71-1</f>
        <v>1841</v>
      </c>
      <c r="AN71" s="73">
        <f ca="1">MATCH(AN$6,INDIRECT($AM$46&amp;$AI71):INDIRECT($AM$46&amp;$AJ71),1)+$AI71-1</f>
        <v>1839</v>
      </c>
      <c r="AO71" s="73">
        <f ca="1">MATCH(AO$6,INDIRECT($AM$46&amp;$AI71):INDIRECT($AM$46&amp;$AJ71),1)+$AI71-1</f>
        <v>1839</v>
      </c>
      <c r="AP71" s="80">
        <f t="shared" ca="1" si="75"/>
        <v>402833.37</v>
      </c>
      <c r="AQ71" s="80">
        <f t="shared" ca="1" si="69"/>
        <v>408228.37</v>
      </c>
      <c r="AR71" s="80">
        <f t="shared" ca="1" si="70"/>
        <v>408228.37</v>
      </c>
      <c r="AS71" s="80">
        <f t="shared" ca="1" si="71"/>
        <v>171000</v>
      </c>
      <c r="AT71" s="73">
        <f t="shared" ca="1" si="72"/>
        <v>0</v>
      </c>
      <c r="AU71" s="80">
        <f t="shared" ca="1" si="73"/>
        <v>0</v>
      </c>
      <c r="AV71" s="88">
        <f t="shared" ca="1" si="74"/>
        <v>-3689.5601242115135</v>
      </c>
      <c r="AW71" s="80"/>
      <c r="AX71" s="80"/>
      <c r="AY71" s="80"/>
      <c r="AZ71" s="73"/>
      <c r="BA71" s="73"/>
    </row>
    <row r="72" spans="1:53" ht="15.75">
      <c r="A72" s="15" t="s">
        <v>136</v>
      </c>
      <c r="B72" s="2" t="s">
        <v>323</v>
      </c>
      <c r="C72" s="72">
        <f t="shared" ca="1" si="59"/>
        <v>41856</v>
      </c>
      <c r="D72" s="73"/>
      <c r="E72" s="74">
        <f t="shared" ca="1" si="60"/>
        <v>2.209400225</v>
      </c>
      <c r="F72" s="120">
        <f t="shared" ca="1" si="61"/>
        <v>0</v>
      </c>
      <c r="G72" s="117" t="s">
        <v>136</v>
      </c>
      <c r="H72" s="117"/>
      <c r="I72" s="117"/>
      <c r="J72" s="117" t="s">
        <v>180</v>
      </c>
      <c r="K72" s="117"/>
      <c r="L72" s="74"/>
      <c r="M72" s="74"/>
      <c r="N72" s="73"/>
      <c r="O72" s="114">
        <f t="shared" ca="1" si="62"/>
        <v>0</v>
      </c>
      <c r="P72" s="114">
        <f t="shared" ca="1" si="62"/>
        <v>0</v>
      </c>
      <c r="Q72" s="74"/>
      <c r="R72" s="114">
        <f t="shared" ca="1" si="63"/>
        <v>0</v>
      </c>
      <c r="S72" s="114">
        <f t="shared" ca="1" si="63"/>
        <v>0</v>
      </c>
      <c r="T72" s="73"/>
      <c r="U72" s="75">
        <v>0</v>
      </c>
      <c r="V72" s="76">
        <v>0</v>
      </c>
      <c r="W72" s="73"/>
      <c r="X72" s="123">
        <f ca="1">XIRR(INDIRECT($X$46&amp;$AI72):INDIRECT($X$46&amp;$AJ72),INDIRECT($X$47&amp;$AI72):INDIRECT($X$47&amp;$AJ72),0.1)</f>
        <v>2.9802322387695314E-9</v>
      </c>
      <c r="Y72" s="123">
        <f t="shared" ca="1" si="76"/>
        <v>-0.45254042043030052</v>
      </c>
      <c r="Z72" s="123">
        <f t="shared" ca="1" si="77"/>
        <v>1.2962489385817122E-2</v>
      </c>
      <c r="AA72" s="123">
        <f ca="1">ABS(SUMIF(INDIRECT($AA$46&amp;$AI72):INDIRECT($AA$46&amp;$AJ72),"&lt;0"))/SUMIF(INDIRECT($AA$46&amp;$AI72):INDIRECT($AA$46&amp;$AJ72),"&gt;0")</f>
        <v>0.67028574847906552</v>
      </c>
      <c r="AB72" s="123">
        <f t="shared" ca="1" si="78"/>
        <v>-0.32971425152093448</v>
      </c>
      <c r="AC72" s="316">
        <f ca="1">ABS(SUMIF(INDIRECT($AA$46&amp;$AI72):INDIRECT($AA$46&amp;$AJ72),"&lt;0"))</f>
        <v>2232956.428195735</v>
      </c>
      <c r="AD72" s="316">
        <f ca="1">SUMIF(INDIRECT($AA$46&amp;$AI72):INDIRECT($AA$46&amp;$AJ72),"&gt;0")</f>
        <v>3331350</v>
      </c>
      <c r="AE72" s="73"/>
      <c r="AF72" s="334"/>
      <c r="AG72" s="334"/>
      <c r="AH72" s="73"/>
      <c r="AI72" s="77">
        <f t="array" aca="1" ref="AI72" ca="1">MATCH(A72&amp;B72,INDIRECT($AI$47) &amp; INDIRECT($AI$49),0)</f>
        <v>1842</v>
      </c>
      <c r="AJ72" s="77">
        <f t="shared" ca="1" si="67"/>
        <v>1900</v>
      </c>
      <c r="AK72" s="78">
        <f ca="1">COUNTIFS(INDIRECT($AK$46),Summary!A72,INDIRECT($AK$47),Summary!B72)</f>
        <v>59</v>
      </c>
      <c r="AL72" s="73"/>
      <c r="AM72" s="79">
        <f ca="1">MATCH(AM$6,INDIRECT($AM$46&amp;$AI72):INDIRECT($AM$46&amp;$AJ72),1)+$AI72-1</f>
        <v>1899</v>
      </c>
      <c r="AN72" s="73">
        <f ca="1">MATCH(AN$6,INDIRECT($AM$46&amp;$AI72):INDIRECT($AM$46&amp;$AJ72),1)+$AI72-1</f>
        <v>1897</v>
      </c>
      <c r="AO72" s="73">
        <f ca="1">MATCH(AO$6,INDIRECT($AM$46&amp;$AI72):INDIRECT($AM$46&amp;$AJ72),1)+$AI72-1</f>
        <v>1897</v>
      </c>
      <c r="AP72" s="80">
        <f t="shared" ca="1" si="75"/>
        <v>2209400.2250000001</v>
      </c>
      <c r="AQ72" s="80">
        <f t="shared" ca="1" si="69"/>
        <v>2204382.148</v>
      </c>
      <c r="AR72" s="80">
        <f t="shared" ca="1" si="70"/>
        <v>2204382.148</v>
      </c>
      <c r="AS72" s="80">
        <f t="shared" ca="1" si="71"/>
        <v>1831350</v>
      </c>
      <c r="AT72" s="73">
        <f t="shared" ca="1" si="72"/>
        <v>0</v>
      </c>
      <c r="AU72" s="80">
        <f t="shared" ca="1" si="73"/>
        <v>0</v>
      </c>
      <c r="AV72" s="88">
        <f t="shared" ca="1" si="74"/>
        <v>-23556.203195734823</v>
      </c>
      <c r="AW72" s="80"/>
      <c r="AX72" s="80"/>
      <c r="AY72" s="80"/>
      <c r="AZ72" s="73"/>
      <c r="BA72" s="73"/>
    </row>
    <row r="73" spans="1:53" ht="15.75">
      <c r="A73" s="15" t="s">
        <v>136</v>
      </c>
      <c r="B73" s="2" t="s">
        <v>309</v>
      </c>
      <c r="C73" s="72">
        <f t="shared" ca="1" si="59"/>
        <v>42019</v>
      </c>
      <c r="D73" s="73"/>
      <c r="E73" s="74">
        <f t="shared" ca="1" si="60"/>
        <v>10.13841291</v>
      </c>
      <c r="F73" s="120">
        <f t="shared" ca="1" si="61"/>
        <v>0</v>
      </c>
      <c r="G73" s="117" t="s">
        <v>136</v>
      </c>
      <c r="H73" s="117"/>
      <c r="I73" s="117"/>
      <c r="J73" s="117" t="s">
        <v>180</v>
      </c>
      <c r="K73" s="117"/>
      <c r="L73" s="74"/>
      <c r="M73" s="74"/>
      <c r="N73" s="73"/>
      <c r="O73" s="114">
        <f t="shared" ca="1" si="62"/>
        <v>0</v>
      </c>
      <c r="P73" s="114">
        <f t="shared" ca="1" si="62"/>
        <v>0</v>
      </c>
      <c r="Q73" s="74"/>
      <c r="R73" s="114">
        <f t="shared" ca="1" si="63"/>
        <v>0</v>
      </c>
      <c r="S73" s="114">
        <f t="shared" ca="1" si="63"/>
        <v>0</v>
      </c>
      <c r="T73" s="73"/>
      <c r="U73" s="75">
        <v>1.4999999999999999E-2</v>
      </c>
      <c r="V73" s="76">
        <v>0.15</v>
      </c>
      <c r="W73" s="73"/>
      <c r="X73" s="123">
        <f ca="1">XIRR(INDIRECT($X$46&amp;$AI73):INDIRECT($X$46&amp;$AJ73),INDIRECT($X$47&amp;$AI73):INDIRECT($X$47&amp;$AJ73),0.1)</f>
        <v>0.11085242629051209</v>
      </c>
      <c r="Y73" s="123">
        <f t="shared" ca="1" si="76"/>
        <v>-4.6968080920090194E-2</v>
      </c>
      <c r="Z73" s="123">
        <f t="shared" ca="1" si="77"/>
        <v>-7.8620592690711311E-3</v>
      </c>
      <c r="AA73" s="123">
        <f ca="1">ABS(SUMIF(INDIRECT($AA$46&amp;$AI73):INDIRECT($AA$46&amp;$AJ73),"&lt;0"))/SUMIF(INDIRECT($AA$46&amp;$AI73):INDIRECT($AA$46&amp;$AJ73),"&gt;0")</f>
        <v>1.4373149235027436</v>
      </c>
      <c r="AB73" s="123">
        <f t="shared" ca="1" si="78"/>
        <v>0.43731492350274359</v>
      </c>
      <c r="AC73" s="316">
        <f ca="1">ABS(SUMIF(INDIRECT($AA$46&amp;$AI73):INDIRECT($AA$46&amp;$AJ73),"&lt;0"))</f>
        <v>10218001.149524119</v>
      </c>
      <c r="AD73" s="316">
        <f ca="1">SUMIF(INDIRECT($AA$46&amp;$AI73):INDIRECT($AA$46&amp;$AJ73),"&gt;0")</f>
        <v>7109090</v>
      </c>
      <c r="AE73" s="73"/>
      <c r="AF73" s="334"/>
      <c r="AG73" s="334"/>
      <c r="AH73" s="73"/>
      <c r="AI73" s="77">
        <f t="array" aca="1" ref="AI73" ca="1">MATCH(A73&amp;B73,INDIRECT($AI$47) &amp; INDIRECT($AI$49),0)</f>
        <v>1020</v>
      </c>
      <c r="AJ73" s="77">
        <f t="shared" ca="1" si="67"/>
        <v>1072</v>
      </c>
      <c r="AK73" s="78">
        <f ca="1">COUNTIFS(INDIRECT($AK$46),Summary!A73,INDIRECT($AK$47),Summary!B73)</f>
        <v>53</v>
      </c>
      <c r="AL73" s="73"/>
      <c r="AM73" s="79">
        <f ca="1">MATCH(AM$6,INDIRECT($AM$46&amp;$AI73):INDIRECT($AM$46&amp;$AJ73),1)+$AI73-1</f>
        <v>1071</v>
      </c>
      <c r="AN73" s="73">
        <f ca="1">MATCH(AN$6,INDIRECT($AM$46&amp;$AI73):INDIRECT($AM$46&amp;$AJ73),1)+$AI73-1</f>
        <v>1069</v>
      </c>
      <c r="AO73" s="73">
        <f ca="1">MATCH(AO$6,INDIRECT($AM$46&amp;$AI73):INDIRECT($AM$46&amp;$AJ73),1)+$AI73-1</f>
        <v>1069</v>
      </c>
      <c r="AP73" s="80">
        <f t="shared" ca="1" si="75"/>
        <v>10138412.91</v>
      </c>
      <c r="AQ73" s="80">
        <f t="shared" ca="1" si="69"/>
        <v>10298972.279999999</v>
      </c>
      <c r="AR73" s="80">
        <f t="shared" ca="1" si="70"/>
        <v>10298972.279999999</v>
      </c>
      <c r="AS73" s="80">
        <f t="shared" ca="1" si="71"/>
        <v>339090</v>
      </c>
      <c r="AT73" s="73">
        <f t="shared" ca="1" si="72"/>
        <v>0</v>
      </c>
      <c r="AU73" s="80">
        <f t="shared" ca="1" si="73"/>
        <v>0</v>
      </c>
      <c r="AV73" s="88">
        <f t="shared" ca="1" si="74"/>
        <v>-79588.239524118282</v>
      </c>
      <c r="AW73" s="80"/>
      <c r="AX73" s="80"/>
      <c r="AY73" s="80"/>
      <c r="AZ73" s="73"/>
      <c r="BA73" s="73"/>
    </row>
    <row r="74" spans="1:53" ht="15.75">
      <c r="A74" s="15" t="s">
        <v>136</v>
      </c>
      <c r="B74" s="2" t="s">
        <v>310</v>
      </c>
      <c r="C74" s="72">
        <f t="shared" ca="1" si="59"/>
        <v>42019</v>
      </c>
      <c r="D74" s="73"/>
      <c r="E74" s="74">
        <f t="shared" ca="1" si="60"/>
        <v>3.7074203505000001</v>
      </c>
      <c r="F74" s="120">
        <f t="shared" ca="1" si="61"/>
        <v>0</v>
      </c>
      <c r="G74" s="117" t="s">
        <v>136</v>
      </c>
      <c r="H74" s="117"/>
      <c r="I74" s="117"/>
      <c r="J74" s="117" t="s">
        <v>180</v>
      </c>
      <c r="K74" s="117"/>
      <c r="L74" s="74"/>
      <c r="M74" s="74"/>
      <c r="N74" s="73"/>
      <c r="O74" s="114">
        <f t="shared" ca="1" si="62"/>
        <v>0</v>
      </c>
      <c r="P74" s="114">
        <f t="shared" ca="1" si="62"/>
        <v>0</v>
      </c>
      <c r="Q74" s="74"/>
      <c r="R74" s="114">
        <f t="shared" ca="1" si="63"/>
        <v>0</v>
      </c>
      <c r="S74" s="114">
        <f t="shared" ca="1" si="63"/>
        <v>0</v>
      </c>
      <c r="T74" s="73"/>
      <c r="U74" s="75">
        <v>0</v>
      </c>
      <c r="V74" s="76">
        <v>0</v>
      </c>
      <c r="W74" s="73"/>
      <c r="X74" s="123">
        <f ca="1">XIRR(INDIRECT($X$46&amp;$AI74):INDIRECT($X$46&amp;$AJ74),INDIRECT($X$47&amp;$AI74):INDIRECT($X$47&amp;$AJ74),0.1)</f>
        <v>-6.6321495920419696E-3</v>
      </c>
      <c r="Y74" s="123">
        <f t="shared" ca="1" si="76"/>
        <v>-0.2380249895072245</v>
      </c>
      <c r="Z74" s="123">
        <f t="shared" ca="1" si="77"/>
        <v>9.1143042777646066E-3</v>
      </c>
      <c r="AA74" s="123">
        <f ca="1">ABS(SUMIF(INDIRECT($AA$46&amp;$AI74):INDIRECT($AA$46&amp;$AJ74),"&lt;0"))/SUMIF(INDIRECT($AA$46&amp;$AI74):INDIRECT($AA$46&amp;$AJ74),"&gt;0")</f>
        <v>0.97632219988280011</v>
      </c>
      <c r="AB74" s="123">
        <f t="shared" ca="1" si="78"/>
        <v>-2.3677800117199888E-2</v>
      </c>
      <c r="AC74" s="316">
        <f ca="1">ABS(SUMIF(INDIRECT($AA$46&amp;$AI74):INDIRECT($AA$46&amp;$AJ74),"&lt;0"))</f>
        <v>3739314.0255511245</v>
      </c>
      <c r="AD74" s="316">
        <f ca="1">SUMIF(INDIRECT($AA$46&amp;$AI74):INDIRECT($AA$46&amp;$AJ74),"&gt;0")</f>
        <v>3830000</v>
      </c>
      <c r="AE74" s="73"/>
      <c r="AF74" s="334"/>
      <c r="AG74" s="334"/>
      <c r="AH74" s="73"/>
      <c r="AI74" s="77">
        <f t="array" aca="1" ref="AI74" ca="1">MATCH(A74&amp;B74,INDIRECT($AI$47) &amp; INDIRECT($AI$49),0)</f>
        <v>1072</v>
      </c>
      <c r="AJ74" s="77">
        <f t="shared" ca="1" si="67"/>
        <v>1124</v>
      </c>
      <c r="AK74" s="78">
        <f ca="1">COUNTIFS(INDIRECT($AK$46),Summary!A74,INDIRECT($AK$47),Summary!B74)</f>
        <v>53</v>
      </c>
      <c r="AL74" s="73"/>
      <c r="AM74" s="79">
        <f ca="1">MATCH(AM$6,INDIRECT($AM$46&amp;$AI74):INDIRECT($AM$46&amp;$AJ74),1)+$AI74-1</f>
        <v>1123</v>
      </c>
      <c r="AN74" s="73">
        <f ca="1">MATCH(AN$6,INDIRECT($AM$46&amp;$AI74):INDIRECT($AM$46&amp;$AJ74),1)+$AI74-1</f>
        <v>1121</v>
      </c>
      <c r="AO74" s="73">
        <f ca="1">MATCH(AO$6,INDIRECT($AM$46&amp;$AI74):INDIRECT($AM$46&amp;$AJ74),1)+$AI74-1</f>
        <v>1121</v>
      </c>
      <c r="AP74" s="80">
        <f t="shared" ca="1" si="75"/>
        <v>3707420.3505000002</v>
      </c>
      <c r="AQ74" s="80">
        <f t="shared" ca="1" si="69"/>
        <v>3705540.6009999998</v>
      </c>
      <c r="AR74" s="80">
        <f t="shared" ca="1" si="70"/>
        <v>3705540.6009999998</v>
      </c>
      <c r="AS74" s="80">
        <f t="shared" ca="1" si="71"/>
        <v>1160000</v>
      </c>
      <c r="AT74" s="73">
        <f t="shared" ca="1" si="72"/>
        <v>0</v>
      </c>
      <c r="AU74" s="80">
        <f t="shared" ca="1" si="73"/>
        <v>0</v>
      </c>
      <c r="AV74" s="88">
        <f t="shared" ca="1" si="74"/>
        <v>-31893.675051124424</v>
      </c>
      <c r="AW74" s="80"/>
      <c r="AX74" s="80"/>
      <c r="AY74" s="80"/>
      <c r="AZ74" s="73"/>
      <c r="BA74" s="73"/>
    </row>
    <row r="75" spans="1:53" ht="15.75">
      <c r="A75" s="15" t="s">
        <v>136</v>
      </c>
      <c r="B75" s="2" t="s">
        <v>313</v>
      </c>
      <c r="C75" s="72">
        <f t="shared" ca="1" si="59"/>
        <v>42019</v>
      </c>
      <c r="D75" s="73"/>
      <c r="E75" s="74">
        <f t="shared" ca="1" si="60"/>
        <v>7.0155438339999998</v>
      </c>
      <c r="F75" s="120">
        <f t="shared" ca="1" si="61"/>
        <v>0</v>
      </c>
      <c r="G75" s="117" t="s">
        <v>136</v>
      </c>
      <c r="H75" s="117"/>
      <c r="I75" s="117"/>
      <c r="J75" s="117" t="s">
        <v>180</v>
      </c>
      <c r="K75" s="117"/>
      <c r="L75" s="74"/>
      <c r="M75" s="74"/>
      <c r="N75" s="73"/>
      <c r="O75" s="114">
        <f t="shared" ca="1" si="62"/>
        <v>0</v>
      </c>
      <c r="P75" s="114">
        <f t="shared" ca="1" si="62"/>
        <v>0</v>
      </c>
      <c r="Q75" s="74"/>
      <c r="R75" s="114">
        <f t="shared" ca="1" si="63"/>
        <v>0</v>
      </c>
      <c r="S75" s="114">
        <f t="shared" ca="1" si="63"/>
        <v>0</v>
      </c>
      <c r="T75" s="73"/>
      <c r="U75" s="75">
        <v>1.4999999999999999E-2</v>
      </c>
      <c r="V75" s="76">
        <v>0.15</v>
      </c>
      <c r="W75" s="73"/>
      <c r="X75" s="123">
        <f ca="1">XIRR(INDIRECT($X$46&amp;$AI75):INDIRECT($X$46&amp;$AJ75),INDIRECT($X$47&amp;$AI75):INDIRECT($X$47&amp;$AJ75),0.1)</f>
        <v>9.8281341791152943E-2</v>
      </c>
      <c r="Y75" s="123">
        <f t="shared" ca="1" si="76"/>
        <v>-2.3881419447554841E-2</v>
      </c>
      <c r="Z75" s="123">
        <f t="shared" ca="1" si="77"/>
        <v>2.1367471108744152E-3</v>
      </c>
      <c r="AA75" s="123">
        <f ca="1">ABS(SUMIF(INDIRECT($AA$46&amp;$AI75):INDIRECT($AA$46&amp;$AJ75),"&lt;0"))/SUMIF(INDIRECT($AA$46&amp;$AI75):INDIRECT($AA$46&amp;$AJ75),"&gt;0")</f>
        <v>1.380001914812133</v>
      </c>
      <c r="AB75" s="123">
        <f t="shared" ca="1" si="78"/>
        <v>0.38000191481213297</v>
      </c>
      <c r="AC75" s="316">
        <f ca="1">ABS(SUMIF(INDIRECT($AA$46&amp;$AI75):INDIRECT($AA$46&amp;$AJ75),"&lt;0"))</f>
        <v>7075269.8172418056</v>
      </c>
      <c r="AD75" s="316">
        <f ca="1">SUMIF(INDIRECT($AA$46&amp;$AI75):INDIRECT($AA$46&amp;$AJ75),"&gt;0")</f>
        <v>5127000</v>
      </c>
      <c r="AE75" s="73"/>
      <c r="AF75" s="334"/>
      <c r="AG75" s="334"/>
      <c r="AH75" s="73"/>
      <c r="AI75" s="77">
        <f t="array" aca="1" ref="AI75" ca="1">MATCH(A75&amp;B75,INDIRECT($AI$47) &amp; INDIRECT($AI$49),0)</f>
        <v>1230</v>
      </c>
      <c r="AJ75" s="77">
        <f t="shared" ca="1" si="67"/>
        <v>1282</v>
      </c>
      <c r="AK75" s="78">
        <f ca="1">COUNTIFS(INDIRECT($AK$46),Summary!A75,INDIRECT($AK$47),Summary!B75)</f>
        <v>53</v>
      </c>
      <c r="AL75" s="73"/>
      <c r="AM75" s="79">
        <f ca="1">MATCH(AM$6,INDIRECT($AM$46&amp;$AI75):INDIRECT($AM$46&amp;$AJ75),1)+$AI75-1</f>
        <v>1281</v>
      </c>
      <c r="AN75" s="73">
        <f ca="1">MATCH(AN$6,INDIRECT($AM$46&amp;$AI75):INDIRECT($AM$46&amp;$AJ75),1)+$AI75-1</f>
        <v>1279</v>
      </c>
      <c r="AO75" s="73">
        <f ca="1">MATCH(AO$6,INDIRECT($AM$46&amp;$AI75):INDIRECT($AM$46&amp;$AJ75),1)+$AI75-1</f>
        <v>1279</v>
      </c>
      <c r="AP75" s="80">
        <f t="shared" ca="1" si="75"/>
        <v>7015543.8339999998</v>
      </c>
      <c r="AQ75" s="80">
        <f t="shared" ca="1" si="69"/>
        <v>7060183.9895000001</v>
      </c>
      <c r="AR75" s="80">
        <f t="shared" ca="1" si="70"/>
        <v>7060183.9895000001</v>
      </c>
      <c r="AS75" s="80">
        <f t="shared" ca="1" si="71"/>
        <v>127000</v>
      </c>
      <c r="AT75" s="73">
        <f t="shared" ca="1" si="72"/>
        <v>0</v>
      </c>
      <c r="AU75" s="80">
        <f t="shared" ca="1" si="73"/>
        <v>0</v>
      </c>
      <c r="AV75" s="88">
        <f t="shared" ca="1" si="74"/>
        <v>-59725.98324180604</v>
      </c>
      <c r="AW75" s="80"/>
      <c r="AX75" s="80"/>
      <c r="AY75" s="80"/>
      <c r="AZ75" s="73"/>
      <c r="BA75" s="73"/>
    </row>
    <row r="76" spans="1:53" ht="15.75">
      <c r="A76" s="15" t="s">
        <v>136</v>
      </c>
      <c r="B76" s="2" t="s">
        <v>314</v>
      </c>
      <c r="C76" s="72">
        <f t="shared" ca="1" si="59"/>
        <v>42019</v>
      </c>
      <c r="D76" s="73"/>
      <c r="E76" s="74">
        <f t="shared" ca="1" si="60"/>
        <v>1.3907745545000001</v>
      </c>
      <c r="F76" s="120">
        <f t="shared" ca="1" si="61"/>
        <v>0</v>
      </c>
      <c r="G76" s="117" t="s">
        <v>136</v>
      </c>
      <c r="H76" s="117"/>
      <c r="I76" s="117"/>
      <c r="J76" s="117" t="s">
        <v>180</v>
      </c>
      <c r="K76" s="117"/>
      <c r="L76" s="74"/>
      <c r="M76" s="74"/>
      <c r="N76" s="73"/>
      <c r="O76" s="114">
        <f t="shared" ca="1" si="62"/>
        <v>0</v>
      </c>
      <c r="P76" s="114">
        <f t="shared" ca="1" si="62"/>
        <v>0</v>
      </c>
      <c r="Q76" s="74"/>
      <c r="R76" s="114">
        <f t="shared" ca="1" si="63"/>
        <v>0</v>
      </c>
      <c r="S76" s="114">
        <f t="shared" ca="1" si="63"/>
        <v>0</v>
      </c>
      <c r="T76" s="73"/>
      <c r="U76" s="75">
        <v>8.0000000000000002E-3</v>
      </c>
      <c r="V76" s="76">
        <v>0.15</v>
      </c>
      <c r="W76" s="73"/>
      <c r="X76" s="123">
        <f ca="1">XIRR(INDIRECT($X$46&amp;$AI76):INDIRECT($X$46&amp;$AJ76),INDIRECT($X$47&amp;$AI76):INDIRECT($X$47&amp;$AJ76),0.1)</f>
        <v>-2.0094761252403261E-2</v>
      </c>
      <c r="Y76" s="123">
        <f t="shared" ca="1" si="76"/>
        <v>-0.26641184819794261</v>
      </c>
      <c r="Z76" s="123">
        <f t="shared" ca="1" si="77"/>
        <v>8.1166840794946182E-3</v>
      </c>
      <c r="AA76" s="123">
        <f ca="1">ABS(SUMIF(INDIRECT($AA$46&amp;$AI76):INDIRECT($AA$46&amp;$AJ76),"&lt;0"))/SUMIF(INDIRECT($AA$46&amp;$AI76):INDIRECT($AA$46&amp;$AJ76),"&gt;0")</f>
        <v>0.93239531299536249</v>
      </c>
      <c r="AB76" s="123">
        <f t="shared" ca="1" si="78"/>
        <v>-6.7604687004637509E-2</v>
      </c>
      <c r="AC76" s="316">
        <f ca="1">ABS(SUMIF(INDIRECT($AA$46&amp;$AI76):INDIRECT($AA$46&amp;$AJ76),"&lt;0"))</f>
        <v>1402719.7511483612</v>
      </c>
      <c r="AD76" s="316">
        <f ca="1">SUMIF(INDIRECT($AA$46&amp;$AI76):INDIRECT($AA$46&amp;$AJ76),"&gt;0")</f>
        <v>1504426</v>
      </c>
      <c r="AE76" s="73"/>
      <c r="AF76" s="334"/>
      <c r="AG76" s="334"/>
      <c r="AH76" s="73"/>
      <c r="AI76" s="77">
        <f t="array" aca="1" ref="AI76" ca="1">MATCH(A76&amp;B76,INDIRECT($AI$47) &amp; INDIRECT($AI$49),0)</f>
        <v>1282</v>
      </c>
      <c r="AJ76" s="77">
        <f t="shared" ca="1" si="67"/>
        <v>1334</v>
      </c>
      <c r="AK76" s="78">
        <f ca="1">COUNTIFS(INDIRECT($AK$46),Summary!A76,INDIRECT($AK$47),Summary!B76)</f>
        <v>53</v>
      </c>
      <c r="AL76" s="73"/>
      <c r="AM76" s="79">
        <f ca="1">MATCH(AM$6,INDIRECT($AM$46&amp;$AI76):INDIRECT($AM$46&amp;$AJ76),1)+$AI76-1</f>
        <v>1333</v>
      </c>
      <c r="AN76" s="73">
        <f ca="1">MATCH(AN$6,INDIRECT($AM$46&amp;$AI76):INDIRECT($AM$46&amp;$AJ76),1)+$AI76-1</f>
        <v>1331</v>
      </c>
      <c r="AO76" s="73">
        <f ca="1">MATCH(AO$6,INDIRECT($AM$46&amp;$AI76):INDIRECT($AM$46&amp;$AJ76),1)+$AI76-1</f>
        <v>1331</v>
      </c>
      <c r="AP76" s="80">
        <f t="shared" ca="1" si="75"/>
        <v>1390774.5545000001</v>
      </c>
      <c r="AQ76" s="80">
        <f t="shared" ca="1" si="69"/>
        <v>1391425.986</v>
      </c>
      <c r="AR76" s="80">
        <f t="shared" ca="1" si="70"/>
        <v>1391425.986</v>
      </c>
      <c r="AS76" s="80">
        <f t="shared" ca="1" si="71"/>
        <v>504426.00000000006</v>
      </c>
      <c r="AT76" s="73">
        <f t="shared" ca="1" si="72"/>
        <v>0</v>
      </c>
      <c r="AU76" s="80">
        <f t="shared" ca="1" si="73"/>
        <v>0</v>
      </c>
      <c r="AV76" s="88">
        <f t="shared" ca="1" si="74"/>
        <v>-11945.196648361212</v>
      </c>
      <c r="AW76" s="80"/>
      <c r="AX76" s="80"/>
      <c r="AY76" s="80"/>
      <c r="AZ76" s="73"/>
      <c r="BA76" s="73"/>
    </row>
    <row r="77" spans="1:53" ht="15.75">
      <c r="A77" s="15" t="s">
        <v>136</v>
      </c>
      <c r="B77" s="2" t="s">
        <v>312</v>
      </c>
      <c r="C77" s="72">
        <f t="shared" ca="1" si="59"/>
        <v>42019</v>
      </c>
      <c r="D77" s="73"/>
      <c r="E77" s="74">
        <f t="shared" ca="1" si="60"/>
        <v>30.474555122500004</v>
      </c>
      <c r="F77" s="120">
        <f t="shared" ca="1" si="61"/>
        <v>0</v>
      </c>
      <c r="G77" s="117" t="s">
        <v>136</v>
      </c>
      <c r="H77" s="117"/>
      <c r="I77" s="117"/>
      <c r="J77" s="117" t="s">
        <v>180</v>
      </c>
      <c r="K77" s="117"/>
      <c r="L77" s="74"/>
      <c r="M77" s="74"/>
      <c r="N77" s="73"/>
      <c r="O77" s="114">
        <f t="shared" ca="1" si="62"/>
        <v>0</v>
      </c>
      <c r="P77" s="114">
        <f t="shared" ca="1" si="62"/>
        <v>0</v>
      </c>
      <c r="Q77" s="74"/>
      <c r="R77" s="114">
        <f t="shared" ca="1" si="63"/>
        <v>0</v>
      </c>
      <c r="S77" s="114">
        <f t="shared" ca="1" si="63"/>
        <v>0</v>
      </c>
      <c r="T77" s="73"/>
      <c r="U77" s="75">
        <v>1.4E-2</v>
      </c>
      <c r="V77" s="76">
        <v>0.15</v>
      </c>
      <c r="W77" s="73"/>
      <c r="X77" s="123">
        <f ca="1">XIRR(INDIRECT($X$46&amp;$AI77):INDIRECT($X$46&amp;$AJ77),INDIRECT($X$47&amp;$AI77):INDIRECT($X$47&amp;$AJ77),0.1)</f>
        <v>9.3128833174705522E-2</v>
      </c>
      <c r="Y77" s="123">
        <f t="shared" ca="1" si="76"/>
        <v>-2.0157841840033219E-2</v>
      </c>
      <c r="Z77" s="123">
        <f t="shared" ca="1" si="77"/>
        <v>9.1634830497857589E-3</v>
      </c>
      <c r="AA77" s="123">
        <f ca="1">ABS(SUMIF(INDIRECT($AA$46&amp;$AI77):INDIRECT($AA$46&amp;$AJ77),"&lt;0"))/SUMIF(INDIRECT($AA$46&amp;$AI77):INDIRECT($AA$46&amp;$AJ77),"&gt;0")</f>
        <v>1.3583244234359773</v>
      </c>
      <c r="AB77" s="123">
        <f t="shared" ca="1" si="78"/>
        <v>0.35832442343597726</v>
      </c>
      <c r="AC77" s="316">
        <f ca="1">ABS(SUMIF(INDIRECT($AA$46&amp;$AI77):INDIRECT($AA$46&amp;$AJ77),"&lt;0"))</f>
        <v>30745673.324473348</v>
      </c>
      <c r="AD77" s="316">
        <f ca="1">SUMIF(INDIRECT($AA$46&amp;$AI77):INDIRECT($AA$46&amp;$AJ77),"&gt;0")</f>
        <v>22635000</v>
      </c>
      <c r="AE77" s="73"/>
      <c r="AF77" s="334"/>
      <c r="AG77" s="334"/>
      <c r="AH77" s="73"/>
      <c r="AI77" s="77">
        <f t="array" aca="1" ref="AI77" ca="1">MATCH(A77&amp;B77,INDIRECT($AI$47) &amp; INDIRECT($AI$49),0)</f>
        <v>1176</v>
      </c>
      <c r="AJ77" s="77">
        <f t="shared" ca="1" si="67"/>
        <v>1230</v>
      </c>
      <c r="AK77" s="78">
        <f ca="1">COUNTIFS(INDIRECT($AK$46),Summary!A77,INDIRECT($AK$47),Summary!B77)</f>
        <v>55</v>
      </c>
      <c r="AL77" s="73"/>
      <c r="AM77" s="79">
        <f ca="1">MATCH(AM$6,INDIRECT($AM$46&amp;$AI77):INDIRECT($AM$46&amp;$AJ77),1)+$AI77-1</f>
        <v>1229</v>
      </c>
      <c r="AN77" s="73">
        <f ca="1">MATCH(AN$6,INDIRECT($AM$46&amp;$AI77):INDIRECT($AM$46&amp;$AJ77),1)+$AI77-1</f>
        <v>1226</v>
      </c>
      <c r="AO77" s="73">
        <f ca="1">MATCH(AO$6,INDIRECT($AM$46&amp;$AI77):INDIRECT($AM$46&amp;$AJ77),1)+$AI77-1</f>
        <v>1226</v>
      </c>
      <c r="AP77" s="80">
        <f t="shared" ca="1" si="75"/>
        <v>30474555.122500002</v>
      </c>
      <c r="AQ77" s="80">
        <f t="shared" ca="1" si="69"/>
        <v>30466494.122000001</v>
      </c>
      <c r="AR77" s="80">
        <f t="shared" ca="1" si="70"/>
        <v>30466494.122000001</v>
      </c>
      <c r="AS77" s="80">
        <f t="shared" ca="1" si="71"/>
        <v>635000</v>
      </c>
      <c r="AT77" s="73">
        <f t="shared" ca="1" si="72"/>
        <v>0</v>
      </c>
      <c r="AU77" s="80">
        <f t="shared" ca="1" si="73"/>
        <v>0</v>
      </c>
      <c r="AV77" s="88">
        <f t="shared" ca="1" si="74"/>
        <v>-271118.20197334577</v>
      </c>
      <c r="AW77" s="80"/>
      <c r="AX77" s="80"/>
      <c r="AY77" s="80"/>
      <c r="AZ77" s="73"/>
      <c r="BA77" s="73"/>
    </row>
    <row r="78" spans="1:53" ht="15.75">
      <c r="A78" s="15" t="s">
        <v>136</v>
      </c>
      <c r="B78" s="2" t="s">
        <v>311</v>
      </c>
      <c r="C78" s="72">
        <f t="shared" ca="1" si="59"/>
        <v>42019</v>
      </c>
      <c r="D78" s="73"/>
      <c r="E78" s="74">
        <f t="shared" ca="1" si="60"/>
        <v>3.02391956</v>
      </c>
      <c r="F78" s="120">
        <f t="shared" ca="1" si="61"/>
        <v>0</v>
      </c>
      <c r="G78" s="117" t="s">
        <v>136</v>
      </c>
      <c r="H78" s="117"/>
      <c r="I78" s="117"/>
      <c r="J78" s="117" t="s">
        <v>180</v>
      </c>
      <c r="K78" s="117"/>
      <c r="L78" s="74"/>
      <c r="M78" s="74"/>
      <c r="N78" s="73"/>
      <c r="O78" s="114">
        <f t="shared" ca="1" si="62"/>
        <v>0</v>
      </c>
      <c r="P78" s="114">
        <f t="shared" ca="1" si="62"/>
        <v>0</v>
      </c>
      <c r="Q78" s="74"/>
      <c r="R78" s="114">
        <f t="shared" ca="1" si="63"/>
        <v>0</v>
      </c>
      <c r="S78" s="114">
        <f t="shared" ca="1" si="63"/>
        <v>0</v>
      </c>
      <c r="T78" s="73"/>
      <c r="U78" s="75">
        <v>1.4999999999999999E-2</v>
      </c>
      <c r="V78" s="76">
        <v>0.15</v>
      </c>
      <c r="W78" s="73"/>
      <c r="X78" s="123">
        <f ca="1">XIRR(INDIRECT($X$46&amp;$AI78):INDIRECT($X$46&amp;$AJ78),INDIRECT($X$47&amp;$AI78):INDIRECT($X$47&amp;$AJ78),0.1)</f>
        <v>-8.3522976934909815E-2</v>
      </c>
      <c r="Y78" s="123">
        <f t="shared" ca="1" si="76"/>
        <v>-0.49180230267745806</v>
      </c>
      <c r="Z78" s="123">
        <f t="shared" ca="1" si="77"/>
        <v>-1.8146881246203783E-3</v>
      </c>
      <c r="AA78" s="123">
        <f ca="1">ABS(SUMIF(INDIRECT($AA$46&amp;$AI78):INDIRECT($AA$46&amp;$AJ78),"&lt;0"))/SUMIF(INDIRECT($AA$46&amp;$AI78):INDIRECT($AA$46&amp;$AJ78),"&gt;0")</f>
        <v>0.70462002304357074</v>
      </c>
      <c r="AB78" s="123">
        <f t="shared" ca="1" si="78"/>
        <v>-0.29537997695642926</v>
      </c>
      <c r="AC78" s="316">
        <f ca="1">ABS(SUMIF(INDIRECT($AA$46&amp;$AI78):INDIRECT($AA$46&amp;$AJ78),"&lt;0"))</f>
        <v>3201793.3847099855</v>
      </c>
      <c r="AD78" s="316">
        <f ca="1">SUMIF(INDIRECT($AA$46&amp;$AI78):INDIRECT($AA$46&amp;$AJ78),"&gt;0")</f>
        <v>4544000</v>
      </c>
      <c r="AE78" s="73"/>
      <c r="AF78" s="334"/>
      <c r="AG78" s="334"/>
      <c r="AH78" s="73"/>
      <c r="AI78" s="77">
        <f t="array" aca="1" ref="AI78" ca="1">MATCH(A78&amp;B78,INDIRECT($AI$47) &amp; INDIRECT($AI$49),0)</f>
        <v>1124</v>
      </c>
      <c r="AJ78" s="77">
        <f t="shared" ca="1" si="67"/>
        <v>1176</v>
      </c>
      <c r="AK78" s="78">
        <f ca="1">COUNTIFS(INDIRECT($AK$46),Summary!A78,INDIRECT($AK$47),Summary!B78)</f>
        <v>53</v>
      </c>
      <c r="AL78" s="73"/>
      <c r="AM78" s="79">
        <f ca="1">MATCH(AM$6,INDIRECT($AM$46&amp;$AI78):INDIRECT($AM$46&amp;$AJ78),1)+$AI78-1</f>
        <v>1175</v>
      </c>
      <c r="AN78" s="73">
        <f ca="1">MATCH(AN$6,INDIRECT($AM$46&amp;$AI78):INDIRECT($AM$46&amp;$AJ78),1)+$AI78-1</f>
        <v>1173</v>
      </c>
      <c r="AO78" s="73">
        <f ca="1">MATCH(AO$6,INDIRECT($AM$46&amp;$AI78):INDIRECT($AM$46&amp;$AJ78),1)+$AI78-1</f>
        <v>1173</v>
      </c>
      <c r="AP78" s="80">
        <f t="shared" ca="1" si="75"/>
        <v>3023919.56</v>
      </c>
      <c r="AQ78" s="80">
        <f t="shared" ca="1" si="69"/>
        <v>3156281.9</v>
      </c>
      <c r="AR78" s="80">
        <f t="shared" ca="1" si="70"/>
        <v>3156281.9</v>
      </c>
      <c r="AS78" s="80">
        <f t="shared" ca="1" si="71"/>
        <v>2794000</v>
      </c>
      <c r="AT78" s="73">
        <f t="shared" ca="1" si="72"/>
        <v>0</v>
      </c>
      <c r="AU78" s="80">
        <f t="shared" ca="1" si="73"/>
        <v>0</v>
      </c>
      <c r="AV78" s="88">
        <f t="shared" ca="1" si="74"/>
        <v>-126634.67271811557</v>
      </c>
      <c r="AW78" s="80"/>
      <c r="AX78" s="80"/>
      <c r="AY78" s="80"/>
      <c r="AZ78" s="73"/>
      <c r="BA78" s="73"/>
    </row>
    <row r="79" spans="1:53" ht="15.75">
      <c r="A79" s="15" t="s">
        <v>136</v>
      </c>
      <c r="B79" s="2" t="s">
        <v>350</v>
      </c>
      <c r="C79" s="72">
        <f t="shared" ca="1" si="59"/>
        <v>42207</v>
      </c>
      <c r="D79" s="73"/>
      <c r="E79" s="74">
        <f t="shared" ca="1" si="60"/>
        <v>3.3630460599999998</v>
      </c>
      <c r="F79" s="120">
        <f t="shared" ca="1" si="61"/>
        <v>0</v>
      </c>
      <c r="G79" s="117" t="s">
        <v>136</v>
      </c>
      <c r="H79" s="117"/>
      <c r="I79" s="117"/>
      <c r="J79" s="117" t="s">
        <v>179</v>
      </c>
      <c r="K79" s="117"/>
      <c r="L79" s="74"/>
      <c r="M79" s="74"/>
      <c r="N79" s="73"/>
      <c r="O79" s="114">
        <f t="shared" ca="1" si="62"/>
        <v>0</v>
      </c>
      <c r="P79" s="114">
        <f t="shared" ca="1" si="62"/>
        <v>0</v>
      </c>
      <c r="Q79" s="74"/>
      <c r="R79" s="114">
        <f t="shared" ca="1" si="63"/>
        <v>0</v>
      </c>
      <c r="S79" s="114">
        <f t="shared" ca="1" si="63"/>
        <v>0</v>
      </c>
      <c r="T79" s="73"/>
      <c r="U79" s="75">
        <v>0</v>
      </c>
      <c r="V79" s="76">
        <v>0</v>
      </c>
      <c r="W79" s="73"/>
      <c r="X79" s="123">
        <f ca="1">XIRR(INDIRECT($X$46&amp;$AI79):INDIRECT($X$46&amp;$AJ79),INDIRECT($X$47&amp;$AI79):INDIRECT($X$47&amp;$AJ79),0.1)</f>
        <v>2.9802322387695314E-9</v>
      </c>
      <c r="Y79" s="123">
        <f t="shared" ca="1" si="76"/>
        <v>0</v>
      </c>
      <c r="Z79" s="123">
        <f t="shared" ca="1" si="77"/>
        <v>0</v>
      </c>
      <c r="AA79" s="123">
        <f ca="1">ABS(SUMIF(INDIRECT($AA$46&amp;$AI79):INDIRECT($AA$46&amp;$AJ79),"&lt;0"))/SUMIF(INDIRECT($AA$46&amp;$AI79):INDIRECT($AA$46&amp;$AJ79),"&gt;0")</f>
        <v>1.8626451492309569E-16</v>
      </c>
      <c r="AB79" s="123">
        <f t="shared" ca="1" si="78"/>
        <v>-0.99999999999999978</v>
      </c>
      <c r="AC79" s="316">
        <f ca="1">ABS(SUMIF(INDIRECT($AA$46&amp;$AI79):INDIRECT($AA$46&amp;$AJ79),"&lt;0"))</f>
        <v>4.6566128730773926E-10</v>
      </c>
      <c r="AD79" s="316">
        <f ca="1">SUMIF(INDIRECT($AA$46&amp;$AI79):INDIRECT($AA$46&amp;$AJ79),"&gt;0")</f>
        <v>2500000</v>
      </c>
      <c r="AE79" s="73"/>
      <c r="AF79" s="334"/>
      <c r="AG79" s="334"/>
      <c r="AH79" s="73"/>
      <c r="AI79" s="77">
        <f t="array" aca="1" ref="AI79" ca="1">MATCH(A79&amp;B79,INDIRECT($AI$47) &amp; INDIRECT($AI$49),0)</f>
        <v>1380</v>
      </c>
      <c r="AJ79" s="77">
        <f t="shared" ca="1" si="67"/>
        <v>1419</v>
      </c>
      <c r="AK79" s="78">
        <f ca="1">COUNTIFS(INDIRECT($AK$46),Summary!A79,INDIRECT($AK$47),Summary!B79)</f>
        <v>40</v>
      </c>
      <c r="AL79" s="73"/>
      <c r="AM79" s="79">
        <f ca="1">MATCH(AM$6,INDIRECT($AM$46&amp;$AI79):INDIRECT($AM$46&amp;$AJ79),1)+$AI79-1</f>
        <v>1419</v>
      </c>
      <c r="AN79" s="73">
        <f ca="1">MATCH(AN$6,INDIRECT($AM$46&amp;$AI79):INDIRECT($AM$46&amp;$AJ79),1)+$AI79-1</f>
        <v>1419</v>
      </c>
      <c r="AO79" s="73">
        <f ca="1">MATCH(AO$6,INDIRECT($AM$46&amp;$AI79):INDIRECT($AM$46&amp;$AJ79),1)+$AI79-1</f>
        <v>1419</v>
      </c>
      <c r="AP79" s="80">
        <f t="shared" ca="1" si="75"/>
        <v>3363046.06</v>
      </c>
      <c r="AQ79" s="80">
        <f t="shared" ca="1" si="69"/>
        <v>3363046.06</v>
      </c>
      <c r="AR79" s="80">
        <f t="shared" ca="1" si="70"/>
        <v>3363046.06</v>
      </c>
      <c r="AS79" s="80">
        <f t="shared" ca="1" si="71"/>
        <v>0</v>
      </c>
      <c r="AT79" s="73">
        <f t="shared" ca="1" si="72"/>
        <v>0</v>
      </c>
      <c r="AU79" s="80">
        <f t="shared" ca="1" si="73"/>
        <v>0</v>
      </c>
      <c r="AV79" s="88">
        <f t="shared" ca="1" si="74"/>
        <v>0</v>
      </c>
      <c r="AW79" s="80"/>
      <c r="AX79" s="80"/>
      <c r="AY79" s="80"/>
      <c r="AZ79" s="73"/>
      <c r="BA79" s="73"/>
    </row>
    <row r="80" spans="1:53" ht="15.75">
      <c r="A80" s="15" t="s">
        <v>136</v>
      </c>
      <c r="B80" s="2" t="s">
        <v>315</v>
      </c>
      <c r="C80" s="72">
        <f t="shared" ca="1" si="59"/>
        <v>42207</v>
      </c>
      <c r="D80" s="73"/>
      <c r="E80" s="74">
        <f t="shared" ca="1" si="60"/>
        <v>7.8430583399999998</v>
      </c>
      <c r="F80" s="120">
        <f t="shared" ca="1" si="61"/>
        <v>0</v>
      </c>
      <c r="G80" s="117" t="s">
        <v>136</v>
      </c>
      <c r="H80" s="117"/>
      <c r="I80" s="117"/>
      <c r="J80" s="117" t="s">
        <v>180</v>
      </c>
      <c r="K80" s="117"/>
      <c r="L80" s="74"/>
      <c r="M80" s="74"/>
      <c r="N80" s="73"/>
      <c r="O80" s="114">
        <f t="shared" ca="1" si="62"/>
        <v>0</v>
      </c>
      <c r="P80" s="114">
        <f t="shared" ca="1" si="62"/>
        <v>0</v>
      </c>
      <c r="Q80" s="74"/>
      <c r="R80" s="114">
        <f t="shared" ca="1" si="63"/>
        <v>0</v>
      </c>
      <c r="S80" s="114">
        <f t="shared" ca="1" si="63"/>
        <v>0</v>
      </c>
      <c r="T80" s="73"/>
      <c r="U80" s="75">
        <v>0</v>
      </c>
      <c r="V80" s="76">
        <v>0</v>
      </c>
      <c r="W80" s="73"/>
      <c r="X80" s="123">
        <f ca="1">XIRR(INDIRECT($X$46&amp;$AI80):INDIRECT($X$46&amp;$AJ80),INDIRECT($X$47&amp;$AI80):INDIRECT($X$47&amp;$AJ80),0.1)</f>
        <v>0.10518869757652285</v>
      </c>
      <c r="Y80" s="123">
        <f t="shared" ca="1" si="76"/>
        <v>-3.1669257787118599E-2</v>
      </c>
      <c r="Z80" s="123">
        <f t="shared" ca="1" si="77"/>
        <v>-4.9488588560422375E-3</v>
      </c>
      <c r="AA80" s="123">
        <f ca="1">ABS(SUMIF(INDIRECT($AA$46&amp;$AI80):INDIRECT($AA$46&amp;$AJ80),"&lt;0"))/SUMIF(INDIRECT($AA$46&amp;$AI80):INDIRECT($AA$46&amp;$AJ80),"&gt;0")</f>
        <v>1.3038082187681825</v>
      </c>
      <c r="AB80" s="123">
        <f t="shared" ca="1" si="78"/>
        <v>0.30380821876818254</v>
      </c>
      <c r="AC80" s="316">
        <f ca="1">ABS(SUMIF(INDIRECT($AA$46&amp;$AI80):INDIRECT($AA$46&amp;$AJ80),"&lt;0"))</f>
        <v>7843058.3400000026</v>
      </c>
      <c r="AD80" s="316">
        <f ca="1">SUMIF(INDIRECT($AA$46&amp;$AI80):INDIRECT($AA$46&amp;$AJ80),"&gt;0")</f>
        <v>6015500</v>
      </c>
      <c r="AE80" s="73"/>
      <c r="AF80" s="334"/>
      <c r="AG80" s="334"/>
      <c r="AH80" s="73"/>
      <c r="AI80" s="77">
        <f t="array" aca="1" ref="AI80" ca="1">MATCH(A80&amp;B80,INDIRECT($AI$47) &amp; INDIRECT($AI$49),0)</f>
        <v>1334</v>
      </c>
      <c r="AJ80" s="77">
        <f t="shared" ca="1" si="67"/>
        <v>1380</v>
      </c>
      <c r="AK80" s="78">
        <f ca="1">COUNTIFS(INDIRECT($AK$46),Summary!A80,INDIRECT($AK$47),Summary!B80)</f>
        <v>47</v>
      </c>
      <c r="AL80" s="73"/>
      <c r="AM80" s="79">
        <f ca="1">MATCH(AM$6,INDIRECT($AM$46&amp;$AI80):INDIRECT($AM$46&amp;$AJ80),1)+$AI80-1</f>
        <v>1379</v>
      </c>
      <c r="AN80" s="73">
        <f ca="1">MATCH(AN$6,INDIRECT($AM$46&amp;$AI80):INDIRECT($AM$46&amp;$AJ80),1)+$AI80-1</f>
        <v>1377</v>
      </c>
      <c r="AO80" s="73">
        <f ca="1">MATCH(AO$6,INDIRECT($AM$46&amp;$AI80):INDIRECT($AM$46&amp;$AJ80),1)+$AI80-1</f>
        <v>1377</v>
      </c>
      <c r="AP80" s="80">
        <f t="shared" ca="1" si="75"/>
        <v>7843058.3399999999</v>
      </c>
      <c r="AQ80" s="80">
        <f t="shared" ca="1" si="69"/>
        <v>7882065.5700000003</v>
      </c>
      <c r="AR80" s="80">
        <f t="shared" ca="1" si="70"/>
        <v>7882065.5700000003</v>
      </c>
      <c r="AS80" s="80">
        <f t="shared" ca="1" si="71"/>
        <v>217500</v>
      </c>
      <c r="AT80" s="73">
        <f t="shared" ca="1" si="72"/>
        <v>0</v>
      </c>
      <c r="AU80" s="80">
        <f t="shared" ca="1" si="73"/>
        <v>0</v>
      </c>
      <c r="AV80" s="88">
        <f t="shared" ca="1" si="74"/>
        <v>0</v>
      </c>
      <c r="AW80" s="80"/>
      <c r="AX80" s="80"/>
      <c r="AY80" s="80"/>
      <c r="AZ80" s="73"/>
      <c r="BA80" s="73"/>
    </row>
    <row r="81" spans="1:53" ht="15.75">
      <c r="A81" s="15" t="s">
        <v>136</v>
      </c>
      <c r="B81" s="2" t="s">
        <v>316</v>
      </c>
      <c r="C81" s="72">
        <f t="shared" ca="1" si="59"/>
        <v>42207</v>
      </c>
      <c r="D81" s="73"/>
      <c r="E81" s="74">
        <f t="shared" ca="1" si="60"/>
        <v>0.26209250249999999</v>
      </c>
      <c r="F81" s="120">
        <f t="shared" ca="1" si="61"/>
        <v>0</v>
      </c>
      <c r="G81" s="117" t="s">
        <v>136</v>
      </c>
      <c r="H81" s="117"/>
      <c r="I81" s="117"/>
      <c r="J81" s="117" t="s">
        <v>180</v>
      </c>
      <c r="K81" s="117"/>
      <c r="L81" s="74"/>
      <c r="M81" s="74"/>
      <c r="N81" s="73"/>
      <c r="O81" s="114">
        <f t="shared" ca="1" si="62"/>
        <v>0</v>
      </c>
      <c r="P81" s="114">
        <f t="shared" ca="1" si="62"/>
        <v>0</v>
      </c>
      <c r="Q81" s="74"/>
      <c r="R81" s="114">
        <f t="shared" ca="1" si="63"/>
        <v>0</v>
      </c>
      <c r="S81" s="114">
        <f t="shared" ca="1" si="63"/>
        <v>0</v>
      </c>
      <c r="T81" s="73"/>
      <c r="U81" s="75">
        <v>0</v>
      </c>
      <c r="V81" s="76">
        <v>0</v>
      </c>
      <c r="W81" s="73"/>
      <c r="X81" s="123">
        <f ca="1">XIRR(INDIRECT($X$46&amp;$AI81):INDIRECT($X$46&amp;$AJ81),INDIRECT($X$47&amp;$AI81):INDIRECT($X$47&amp;$AJ81),0.1)</f>
        <v>2.9802322387695314E-9</v>
      </c>
      <c r="Y81" s="123">
        <f t="shared" ca="1" si="76"/>
        <v>-0.62249562278102843</v>
      </c>
      <c r="Z81" s="123">
        <f t="shared" ca="1" si="77"/>
        <v>1.086012639750078E-2</v>
      </c>
      <c r="AA81" s="123">
        <f ca="1">ABS(SUMIF(INDIRECT($AA$46&amp;$AI81):INDIRECT($AA$46&amp;$AJ81),"&lt;0"))/SUMIF(INDIRECT($AA$46&amp;$AI81):INDIRECT($AA$46&amp;$AJ81),"&gt;0")</f>
        <v>0.40951953515625011</v>
      </c>
      <c r="AB81" s="123">
        <f t="shared" ca="1" si="78"/>
        <v>-0.59048046484374983</v>
      </c>
      <c r="AC81" s="316">
        <f ca="1">ABS(SUMIF(INDIRECT($AA$46&amp;$AI81):INDIRECT($AA$46&amp;$AJ81),"&lt;0"))</f>
        <v>262092.50250000009</v>
      </c>
      <c r="AD81" s="316">
        <f ca="1">SUMIF(INDIRECT($AA$46&amp;$AI81):INDIRECT($AA$46&amp;$AJ81),"&gt;0")</f>
        <v>640000</v>
      </c>
      <c r="AE81" s="73"/>
      <c r="AF81" s="334"/>
      <c r="AG81" s="334"/>
      <c r="AH81" s="73"/>
      <c r="AI81" s="77">
        <f t="array" aca="1" ref="AI81" ca="1">MATCH(A81&amp;B81,INDIRECT($AI$47) &amp; INDIRECT($AI$49),0)</f>
        <v>1426</v>
      </c>
      <c r="AJ81" s="77">
        <f t="shared" ca="1" si="67"/>
        <v>1472</v>
      </c>
      <c r="AK81" s="78">
        <f ca="1">COUNTIFS(INDIRECT($AK$46),Summary!A81,INDIRECT($AK$47),Summary!B81)</f>
        <v>47</v>
      </c>
      <c r="AL81" s="73"/>
      <c r="AM81" s="79">
        <f ca="1">MATCH(AM$6,INDIRECT($AM$46&amp;$AI81):INDIRECT($AM$46&amp;$AJ81),1)+$AI81-1</f>
        <v>1471</v>
      </c>
      <c r="AN81" s="73">
        <f ca="1">MATCH(AN$6,INDIRECT($AM$46&amp;$AI81):INDIRECT($AM$46&amp;$AJ81),1)+$AI81-1</f>
        <v>1469</v>
      </c>
      <c r="AO81" s="73">
        <f ca="1">MATCH(AO$6,INDIRECT($AM$46&amp;$AI81):INDIRECT($AM$46&amp;$AJ81),1)+$AI81-1</f>
        <v>1469</v>
      </c>
      <c r="AP81" s="80">
        <f t="shared" ca="1" si="75"/>
        <v>262092.5025</v>
      </c>
      <c r="AQ81" s="80">
        <f t="shared" ca="1" si="69"/>
        <v>259276.72450000001</v>
      </c>
      <c r="AR81" s="80">
        <f t="shared" ca="1" si="70"/>
        <v>259276.72450000001</v>
      </c>
      <c r="AS81" s="80">
        <f t="shared" ca="1" si="71"/>
        <v>435000</v>
      </c>
      <c r="AT81" s="73">
        <f t="shared" ca="1" si="72"/>
        <v>0</v>
      </c>
      <c r="AU81" s="80">
        <f t="shared" ca="1" si="73"/>
        <v>0</v>
      </c>
      <c r="AV81" s="88">
        <f t="shared" ca="1" si="74"/>
        <v>0</v>
      </c>
      <c r="AW81" s="80"/>
      <c r="AX81" s="80"/>
      <c r="AY81" s="80"/>
      <c r="AZ81" s="73"/>
      <c r="BA81" s="73"/>
    </row>
    <row r="82" spans="1:53" ht="15.75">
      <c r="A82" s="15" t="s">
        <v>136</v>
      </c>
      <c r="B82" s="2" t="s">
        <v>317</v>
      </c>
      <c r="C82" s="72">
        <f t="shared" ca="1" si="59"/>
        <v>42207</v>
      </c>
      <c r="D82" s="73"/>
      <c r="E82" s="74">
        <f t="shared" ca="1" si="60"/>
        <v>6.5271388475999998</v>
      </c>
      <c r="F82" s="120">
        <f t="shared" ca="1" si="61"/>
        <v>0</v>
      </c>
      <c r="G82" s="117" t="s">
        <v>136</v>
      </c>
      <c r="H82" s="117"/>
      <c r="I82" s="117"/>
      <c r="J82" s="117" t="s">
        <v>180</v>
      </c>
      <c r="K82" s="117"/>
      <c r="L82" s="74"/>
      <c r="M82" s="74"/>
      <c r="N82" s="73"/>
      <c r="O82" s="114">
        <f t="shared" ca="1" si="62"/>
        <v>0</v>
      </c>
      <c r="P82" s="114">
        <f t="shared" ca="1" si="62"/>
        <v>0</v>
      </c>
      <c r="Q82" s="74"/>
      <c r="R82" s="114">
        <f t="shared" ca="1" si="63"/>
        <v>0</v>
      </c>
      <c r="S82" s="114">
        <f t="shared" ca="1" si="63"/>
        <v>0</v>
      </c>
      <c r="T82" s="73"/>
      <c r="U82" s="75">
        <v>1.4999999999999999E-2</v>
      </c>
      <c r="V82" s="76">
        <v>0</v>
      </c>
      <c r="W82" s="73"/>
      <c r="X82" s="123">
        <f ca="1">XIRR(INDIRECT($X$46&amp;$AI82):INDIRECT($X$46&amp;$AJ82),INDIRECT($X$47&amp;$AI82):INDIRECT($X$47&amp;$AJ82),0.1)</f>
        <v>7.0452955365180994E-2</v>
      </c>
      <c r="Y82" s="123">
        <f t="shared" ca="1" si="76"/>
        <v>-5.7113835220126252E-2</v>
      </c>
      <c r="Z82" s="123">
        <f t="shared" ca="1" si="77"/>
        <v>6.1084928376144987E-3</v>
      </c>
      <c r="AA82" s="123">
        <f ca="1">ABS(SUMIF(INDIRECT($AA$46&amp;$AI82):INDIRECT($AA$46&amp;$AJ82),"&lt;0"))/SUMIF(INDIRECT($AA$46&amp;$AI82):INDIRECT($AA$46&amp;$AJ82),"&gt;0")</f>
        <v>1.2009455101379944</v>
      </c>
      <c r="AB82" s="123">
        <f t="shared" ca="1" si="78"/>
        <v>0.20094551013799444</v>
      </c>
      <c r="AC82" s="316">
        <f ca="1">ABS(SUMIF(INDIRECT($AA$46&amp;$AI82):INDIRECT($AA$46&amp;$AJ82),"&lt;0"))</f>
        <v>6527138.8476</v>
      </c>
      <c r="AD82" s="316">
        <f ca="1">SUMIF(INDIRECT($AA$46&amp;$AI82):INDIRECT($AA$46&amp;$AJ82),"&gt;0")</f>
        <v>5435000</v>
      </c>
      <c r="AE82" s="73"/>
      <c r="AF82" s="334"/>
      <c r="AG82" s="334"/>
      <c r="AH82" s="73"/>
      <c r="AI82" s="77">
        <f t="array" aca="1" ref="AI82" ca="1">MATCH(A82&amp;B82,INDIRECT($AI$47) &amp; INDIRECT($AI$49),0)</f>
        <v>1472</v>
      </c>
      <c r="AJ82" s="77">
        <f t="shared" ca="1" si="67"/>
        <v>1518</v>
      </c>
      <c r="AK82" s="78">
        <f ca="1">COUNTIFS(INDIRECT($AK$46),Summary!A82,INDIRECT($AK$47),Summary!B82)</f>
        <v>47</v>
      </c>
      <c r="AL82" s="73"/>
      <c r="AM82" s="79">
        <f ca="1">MATCH(AM$6,INDIRECT($AM$46&amp;$AI82):INDIRECT($AM$46&amp;$AJ82),1)+$AI82-1</f>
        <v>1517</v>
      </c>
      <c r="AN82" s="73">
        <f ca="1">MATCH(AN$6,INDIRECT($AM$46&amp;$AI82):INDIRECT($AM$46&amp;$AJ82),1)+$AI82-1</f>
        <v>1515</v>
      </c>
      <c r="AO82" s="73">
        <f ca="1">MATCH(AO$6,INDIRECT($AM$46&amp;$AI82):INDIRECT($AM$46&amp;$AJ82),1)+$AI82-1</f>
        <v>1515</v>
      </c>
      <c r="AP82" s="80">
        <f t="shared" ca="1" si="75"/>
        <v>6527138.8476</v>
      </c>
      <c r="AQ82" s="80">
        <f t="shared" ca="1" si="69"/>
        <v>6487509.9396000002</v>
      </c>
      <c r="AR82" s="80">
        <f t="shared" ca="1" si="70"/>
        <v>6487509.9396000002</v>
      </c>
      <c r="AS82" s="80">
        <f t="shared" ca="1" si="71"/>
        <v>435000</v>
      </c>
      <c r="AT82" s="73">
        <f t="shared" ca="1" si="72"/>
        <v>0</v>
      </c>
      <c r="AU82" s="80">
        <f t="shared" ca="1" si="73"/>
        <v>0</v>
      </c>
      <c r="AV82" s="88">
        <f t="shared" ca="1" si="74"/>
        <v>0</v>
      </c>
      <c r="AW82" s="80"/>
      <c r="AX82" s="80"/>
      <c r="AY82" s="80"/>
      <c r="AZ82" s="73"/>
      <c r="BA82" s="73"/>
    </row>
    <row r="83" spans="1:53" ht="15.75">
      <c r="A83" s="15" t="s">
        <v>136</v>
      </c>
      <c r="B83" s="2" t="s">
        <v>318</v>
      </c>
      <c r="C83" s="72">
        <f t="shared" ca="1" si="59"/>
        <v>42207</v>
      </c>
      <c r="D83" s="73"/>
      <c r="E83" s="74">
        <f t="shared" ca="1" si="60"/>
        <v>6.3758110795</v>
      </c>
      <c r="F83" s="120">
        <f t="shared" ca="1" si="61"/>
        <v>0</v>
      </c>
      <c r="G83" s="117" t="s">
        <v>136</v>
      </c>
      <c r="H83" s="117"/>
      <c r="I83" s="117"/>
      <c r="J83" s="117" t="s">
        <v>180</v>
      </c>
      <c r="K83" s="117"/>
      <c r="L83" s="74"/>
      <c r="M83" s="74"/>
      <c r="N83" s="73"/>
      <c r="O83" s="114">
        <f t="shared" ca="1" si="62"/>
        <v>0</v>
      </c>
      <c r="P83" s="114">
        <f t="shared" ca="1" si="62"/>
        <v>0</v>
      </c>
      <c r="Q83" s="74"/>
      <c r="R83" s="114">
        <f t="shared" ca="1" si="63"/>
        <v>0</v>
      </c>
      <c r="S83" s="114">
        <f t="shared" ca="1" si="63"/>
        <v>0</v>
      </c>
      <c r="T83" s="73"/>
      <c r="U83" s="75">
        <v>0.01</v>
      </c>
      <c r="V83" s="76">
        <v>5.0000000000000001E-3</v>
      </c>
      <c r="W83" s="73"/>
      <c r="X83" s="123">
        <f ca="1">XIRR(INDIRECT($X$46&amp;$AI83):INDIRECT($X$46&amp;$AJ83),INDIRECT($X$47&amp;$AI83):INDIRECT($X$47&amp;$AJ83),0.1)</f>
        <v>9.264027178287508E-2</v>
      </c>
      <c r="Y83" s="123">
        <f t="shared" ca="1" si="76"/>
        <v>2.5451845608532864E-3</v>
      </c>
      <c r="Z83" s="123">
        <f t="shared" ca="1" si="77"/>
        <v>1.0842209328768559E-2</v>
      </c>
      <c r="AA83" s="123">
        <f ca="1">ABS(SUMIF(INDIRECT($AA$46&amp;$AI83):INDIRECT($AA$46&amp;$AJ83),"&lt;0"))/SUMIF(INDIRECT($AA$46&amp;$AI83):INDIRECT($AA$46&amp;$AJ83),"&gt;0")</f>
        <v>1.2619870708800129</v>
      </c>
      <c r="AB83" s="123">
        <f t="shared" ca="1" si="78"/>
        <v>0.26198707088001294</v>
      </c>
      <c r="AC83" s="316">
        <f ca="1">ABS(SUMIF(INDIRECT($AA$46&amp;$AI83):INDIRECT($AA$46&amp;$AJ83),"&lt;0"))</f>
        <v>6375811.0795000009</v>
      </c>
      <c r="AD83" s="316">
        <f ca="1">SUMIF(INDIRECT($AA$46&amp;$AI83):INDIRECT($AA$46&amp;$AJ83),"&gt;0")</f>
        <v>5052200</v>
      </c>
      <c r="AE83" s="73"/>
      <c r="AF83" s="334"/>
      <c r="AG83" s="334"/>
      <c r="AH83" s="73"/>
      <c r="AI83" s="77">
        <f t="array" aca="1" ref="AI83" ca="1">MATCH(A83&amp;B83,INDIRECT($AI$47) &amp; INDIRECT($AI$49),0)</f>
        <v>1518</v>
      </c>
      <c r="AJ83" s="77">
        <f t="shared" ca="1" si="67"/>
        <v>1564</v>
      </c>
      <c r="AK83" s="78">
        <f ca="1">COUNTIFS(INDIRECT($AK$46),Summary!A83,INDIRECT($AK$47),Summary!B83)</f>
        <v>47</v>
      </c>
      <c r="AL83" s="73"/>
      <c r="AM83" s="79">
        <f ca="1">MATCH(AM$6,INDIRECT($AM$46&amp;$AI83):INDIRECT($AM$46&amp;$AJ83),1)+$AI83-1</f>
        <v>1563</v>
      </c>
      <c r="AN83" s="73">
        <f ca="1">MATCH(AN$6,INDIRECT($AM$46&amp;$AI83):INDIRECT($AM$46&amp;$AJ83),1)+$AI83-1</f>
        <v>1561</v>
      </c>
      <c r="AO83" s="73">
        <f ca="1">MATCH(AO$6,INDIRECT($AM$46&amp;$AI83):INDIRECT($AM$46&amp;$AJ83),1)+$AI83-1</f>
        <v>1561</v>
      </c>
      <c r="AP83" s="80">
        <f t="shared" ca="1" si="75"/>
        <v>6375811.0795</v>
      </c>
      <c r="AQ83" s="80">
        <f t="shared" ca="1" si="69"/>
        <v>6307424.6610000003</v>
      </c>
      <c r="AR83" s="80">
        <f t="shared" ca="1" si="70"/>
        <v>6307424.6610000003</v>
      </c>
      <c r="AS83" s="80">
        <f t="shared" ca="1" si="71"/>
        <v>52200</v>
      </c>
      <c r="AT83" s="73">
        <f t="shared" ca="1" si="72"/>
        <v>0</v>
      </c>
      <c r="AU83" s="80">
        <f t="shared" ca="1" si="73"/>
        <v>0</v>
      </c>
      <c r="AV83" s="88">
        <f t="shared" ca="1" si="74"/>
        <v>0</v>
      </c>
      <c r="AW83" s="80"/>
      <c r="AX83" s="80"/>
      <c r="AY83" s="80"/>
      <c r="AZ83" s="73"/>
      <c r="BA83" s="73"/>
    </row>
    <row r="84" spans="1:53" ht="15.75">
      <c r="A84" s="15" t="s">
        <v>136</v>
      </c>
      <c r="B84" s="2" t="s">
        <v>319</v>
      </c>
      <c r="C84" s="72">
        <f t="shared" ca="1" si="59"/>
        <v>42207</v>
      </c>
      <c r="D84" s="73"/>
      <c r="E84" s="74">
        <f t="shared" ca="1" si="60"/>
        <v>0.76794569449999994</v>
      </c>
      <c r="F84" s="120">
        <f t="shared" ca="1" si="61"/>
        <v>0</v>
      </c>
      <c r="G84" s="117" t="s">
        <v>136</v>
      </c>
      <c r="H84" s="117"/>
      <c r="I84" s="117"/>
      <c r="J84" s="117" t="s">
        <v>180</v>
      </c>
      <c r="K84" s="117"/>
      <c r="L84" s="74"/>
      <c r="M84" s="74"/>
      <c r="N84" s="73"/>
      <c r="O84" s="114">
        <f t="shared" ca="1" si="62"/>
        <v>0</v>
      </c>
      <c r="P84" s="114">
        <f t="shared" ca="1" si="62"/>
        <v>0</v>
      </c>
      <c r="Q84" s="74"/>
      <c r="R84" s="114">
        <f t="shared" ca="1" si="63"/>
        <v>0</v>
      </c>
      <c r="S84" s="114">
        <f t="shared" ca="1" si="63"/>
        <v>0</v>
      </c>
      <c r="T84" s="73"/>
      <c r="U84" s="75">
        <v>1.4999999999999999E-2</v>
      </c>
      <c r="V84" s="76">
        <v>5.0000000000000001E-3</v>
      </c>
      <c r="W84" s="73"/>
      <c r="X84" s="123">
        <f ca="1">XIRR(INDIRECT($X$46&amp;$AI84):INDIRECT($X$46&amp;$AJ84),INDIRECT($X$47&amp;$AI84):INDIRECT($X$47&amp;$AJ84),0.1)</f>
        <v>2.9802322387695314E-9</v>
      </c>
      <c r="Y84" s="123">
        <f t="shared" ca="1" si="76"/>
        <v>-0.40119510314314089</v>
      </c>
      <c r="Z84" s="123">
        <f t="shared" ca="1" si="77"/>
        <v>9.8383920504359068E-3</v>
      </c>
      <c r="AA84" s="123">
        <f ca="1">ABS(SUMIF(INDIRECT($AA$46&amp;$AI84):INDIRECT($AA$46&amp;$AJ84),"&lt;0"))/SUMIF(INDIRECT($AA$46&amp;$AI84):INDIRECT($AA$46&amp;$AJ84),"&gt;0")</f>
        <v>0.68444357798573974</v>
      </c>
      <c r="AB84" s="123">
        <f t="shared" ca="1" si="78"/>
        <v>-0.31555642201426026</v>
      </c>
      <c r="AC84" s="316">
        <f ca="1">ABS(SUMIF(INDIRECT($AA$46&amp;$AI84):INDIRECT($AA$46&amp;$AJ84),"&lt;0"))</f>
        <v>767945.69449999998</v>
      </c>
      <c r="AD84" s="316">
        <f ca="1">SUMIF(INDIRECT($AA$46&amp;$AI84):INDIRECT($AA$46&amp;$AJ84),"&gt;0")</f>
        <v>1122000</v>
      </c>
      <c r="AE84" s="73"/>
      <c r="AF84" s="334"/>
      <c r="AG84" s="334"/>
      <c r="AH84" s="73"/>
      <c r="AI84" s="77">
        <f t="array" aca="1" ref="AI84" ca="1">MATCH(A84&amp;B84,INDIRECT($AI$47) &amp; INDIRECT($AI$49),0)</f>
        <v>1564</v>
      </c>
      <c r="AJ84" s="77">
        <f t="shared" ca="1" si="67"/>
        <v>1610</v>
      </c>
      <c r="AK84" s="78">
        <f ca="1">COUNTIFS(INDIRECT($AK$46),Summary!A84,INDIRECT($AK$47),Summary!B84)</f>
        <v>47</v>
      </c>
      <c r="AL84" s="73"/>
      <c r="AM84" s="79">
        <f ca="1">MATCH(AM$6,INDIRECT($AM$46&amp;$AI84):INDIRECT($AM$46&amp;$AJ84),1)+$AI84-1</f>
        <v>1609</v>
      </c>
      <c r="AN84" s="73">
        <f ca="1">MATCH(AN$6,INDIRECT($AM$46&amp;$AI84):INDIRECT($AM$46&amp;$AJ84),1)+$AI84-1</f>
        <v>1607</v>
      </c>
      <c r="AO84" s="73">
        <f ca="1">MATCH(AO$6,INDIRECT($AM$46&amp;$AI84):INDIRECT($AM$46&amp;$AJ84),1)+$AI84-1</f>
        <v>1607</v>
      </c>
      <c r="AP84" s="80">
        <f t="shared" ca="1" si="75"/>
        <v>767945.69449999998</v>
      </c>
      <c r="AQ84" s="80">
        <f t="shared" ca="1" si="69"/>
        <v>760463.95200000005</v>
      </c>
      <c r="AR84" s="80">
        <f t="shared" ca="1" si="70"/>
        <v>760463.95200000005</v>
      </c>
      <c r="AS84" s="80">
        <f t="shared" ca="1" si="71"/>
        <v>522000</v>
      </c>
      <c r="AT84" s="73">
        <f t="shared" ca="1" si="72"/>
        <v>0</v>
      </c>
      <c r="AU84" s="80">
        <f t="shared" ca="1" si="73"/>
        <v>0</v>
      </c>
      <c r="AV84" s="88">
        <f t="shared" ca="1" si="74"/>
        <v>0</v>
      </c>
      <c r="AW84" s="80"/>
      <c r="AX84" s="80"/>
      <c r="AY84" s="80"/>
      <c r="AZ84" s="73"/>
      <c r="BA84" s="73"/>
    </row>
    <row r="85" spans="1:53" ht="15.75">
      <c r="A85" s="15" t="s">
        <v>136</v>
      </c>
      <c r="B85" s="2" t="s">
        <v>340</v>
      </c>
      <c r="C85" s="72">
        <f t="shared" ca="1" si="59"/>
        <v>42207</v>
      </c>
      <c r="D85" s="73"/>
      <c r="E85" s="74">
        <f t="shared" ca="1" si="60"/>
        <v>6.3925102049999998</v>
      </c>
      <c r="F85" s="120">
        <f t="shared" ca="1" si="61"/>
        <v>0</v>
      </c>
      <c r="G85" s="117" t="s">
        <v>136</v>
      </c>
      <c r="H85" s="117"/>
      <c r="I85" s="117"/>
      <c r="J85" s="117" t="s">
        <v>180</v>
      </c>
      <c r="K85" s="117"/>
      <c r="L85" s="74"/>
      <c r="M85" s="74"/>
      <c r="N85" s="73"/>
      <c r="O85" s="114">
        <f t="shared" ca="1" si="62"/>
        <v>0</v>
      </c>
      <c r="P85" s="114">
        <f t="shared" ca="1" si="62"/>
        <v>0</v>
      </c>
      <c r="Q85" s="74"/>
      <c r="R85" s="114">
        <f t="shared" ca="1" si="63"/>
        <v>0</v>
      </c>
      <c r="S85" s="114">
        <f t="shared" ca="1" si="63"/>
        <v>0</v>
      </c>
      <c r="T85" s="73"/>
      <c r="U85" s="75">
        <v>1.4E-2</v>
      </c>
      <c r="V85" s="76">
        <v>0</v>
      </c>
      <c r="W85" s="73"/>
      <c r="X85" s="123">
        <f ca="1">XIRR(INDIRECT($X$46&amp;$AI85):INDIRECT($X$46&amp;$AJ85),INDIRECT($X$47&amp;$AI85):INDIRECT($X$47&amp;$AJ85),0.1)</f>
        <v>5.33786326646805E-2</v>
      </c>
      <c r="Y85" s="123">
        <f t="shared" ca="1" si="76"/>
        <v>9.7647225944075267E-3</v>
      </c>
      <c r="Z85" s="123">
        <f t="shared" ca="1" si="77"/>
        <v>1.0860100393706551E-2</v>
      </c>
      <c r="AA85" s="123">
        <f ca="1">ABS(SUMIF(INDIRECT($AA$46&amp;$AI85):INDIRECT($AA$46&amp;$AJ85),"&lt;0"))/SUMIF(INDIRECT($AA$46&amp;$AI85):INDIRECT($AA$46&amp;$AJ85),"&gt;0")</f>
        <v>1.1481090050755587</v>
      </c>
      <c r="AB85" s="123">
        <f t="shared" ca="1" si="78"/>
        <v>0.14810900507555869</v>
      </c>
      <c r="AC85" s="316">
        <f ca="1">ABS(SUMIF(INDIRECT($AA$46&amp;$AI85):INDIRECT($AA$46&amp;$AJ85),"&lt;0"))</f>
        <v>6392510.2050000001</v>
      </c>
      <c r="AD85" s="316">
        <f ca="1">SUMIF(INDIRECT($AA$46&amp;$AI85):INDIRECT($AA$46&amp;$AJ85),"&gt;0")</f>
        <v>5567860</v>
      </c>
      <c r="AE85" s="73"/>
      <c r="AF85" s="334"/>
      <c r="AG85" s="334"/>
      <c r="AH85" s="73"/>
      <c r="AI85" s="77">
        <f t="array" aca="1" ref="AI85" ca="1">MATCH(A85&amp;B85,INDIRECT($AI$47) &amp; INDIRECT($AI$49),0)</f>
        <v>1610</v>
      </c>
      <c r="AJ85" s="77">
        <f t="shared" ca="1" si="67"/>
        <v>1656</v>
      </c>
      <c r="AK85" s="78">
        <f ca="1">COUNTIFS(INDIRECT($AK$46),Summary!A85,INDIRECT($AK$47),Summary!B85)</f>
        <v>47</v>
      </c>
      <c r="AL85" s="73"/>
      <c r="AM85" s="79">
        <f ca="1">MATCH(AM$6,INDIRECT($AM$46&amp;$AI85):INDIRECT($AM$46&amp;$AJ85),1)+$AI85-1</f>
        <v>1655</v>
      </c>
      <c r="AN85" s="73">
        <f ca="1">MATCH(AN$6,INDIRECT($AM$46&amp;$AI85):INDIRECT($AM$46&amp;$AJ85),1)+$AI85-1</f>
        <v>1653</v>
      </c>
      <c r="AO85" s="73">
        <f ca="1">MATCH(AO$6,INDIRECT($AM$46&amp;$AI85):INDIRECT($AM$46&amp;$AJ85),1)+$AI85-1</f>
        <v>1653</v>
      </c>
      <c r="AP85" s="80">
        <f t="shared" ca="1" si="75"/>
        <v>6392510.2050000001</v>
      </c>
      <c r="AQ85" s="80">
        <f t="shared" ca="1" si="69"/>
        <v>6323832.7465000004</v>
      </c>
      <c r="AR85" s="80">
        <f t="shared" ca="1" si="70"/>
        <v>6323832.7465000004</v>
      </c>
      <c r="AS85" s="80">
        <f t="shared" ca="1" si="71"/>
        <v>6860</v>
      </c>
      <c r="AT85" s="73">
        <f t="shared" ca="1" si="72"/>
        <v>0</v>
      </c>
      <c r="AU85" s="80">
        <f t="shared" ca="1" si="73"/>
        <v>0</v>
      </c>
      <c r="AV85" s="88">
        <f t="shared" ca="1" si="74"/>
        <v>0</v>
      </c>
      <c r="AW85" s="80"/>
      <c r="AX85" s="80"/>
      <c r="AY85" s="80"/>
      <c r="AZ85" s="73"/>
      <c r="BA85" s="73"/>
    </row>
    <row r="86" spans="1:53" ht="15.75">
      <c r="A86" s="15" t="s">
        <v>136</v>
      </c>
      <c r="B86" s="2" t="s">
        <v>324</v>
      </c>
      <c r="C86" s="72">
        <f t="shared" ca="1" si="59"/>
        <v>42207</v>
      </c>
      <c r="D86" s="73"/>
      <c r="E86" s="74">
        <f t="shared" ca="1" si="60"/>
        <v>28.1074139135</v>
      </c>
      <c r="F86" s="120">
        <f t="shared" ca="1" si="61"/>
        <v>0</v>
      </c>
      <c r="G86" s="117" t="s">
        <v>136</v>
      </c>
      <c r="H86" s="117"/>
      <c r="I86" s="117"/>
      <c r="J86" s="117" t="s">
        <v>180</v>
      </c>
      <c r="K86" s="117"/>
      <c r="L86" s="74"/>
      <c r="M86" s="74"/>
      <c r="N86" s="73"/>
      <c r="O86" s="114">
        <f t="shared" ca="1" si="62"/>
        <v>0</v>
      </c>
      <c r="P86" s="114">
        <f t="shared" ca="1" si="62"/>
        <v>0</v>
      </c>
      <c r="Q86" s="74"/>
      <c r="R86" s="114">
        <f t="shared" ca="1" si="63"/>
        <v>0</v>
      </c>
      <c r="S86" s="114">
        <f t="shared" ca="1" si="63"/>
        <v>0</v>
      </c>
      <c r="T86" s="73"/>
      <c r="U86" s="75">
        <v>1.4999999999999999E-2</v>
      </c>
      <c r="V86" s="76">
        <v>0</v>
      </c>
      <c r="W86" s="73"/>
      <c r="X86" s="123">
        <f ca="1">XIRR(INDIRECT($X$46&amp;$AI86):INDIRECT($X$46&amp;$AJ86),INDIRECT($X$47&amp;$AI86):INDIRECT($X$47&amp;$AJ86),0.1)</f>
        <v>8.8941302895545971E-2</v>
      </c>
      <c r="Y86" s="123">
        <f t="shared" ca="1" si="76"/>
        <v>-2.4414950387214751E-2</v>
      </c>
      <c r="Z86" s="123">
        <f t="shared" ca="1" si="77"/>
        <v>1.1937899100688876E-2</v>
      </c>
      <c r="AA86" s="123">
        <f ca="1">ABS(SUMIF(INDIRECT($AA$46&amp;$AI86):INDIRECT($AA$46&amp;$AJ86),"&lt;0"))/SUMIF(INDIRECT($AA$46&amp;$AI86):INDIRECT($AA$46&amp;$AJ86),"&gt;0")</f>
        <v>1.2478873163514479</v>
      </c>
      <c r="AB86" s="123">
        <f t="shared" ca="1" si="78"/>
        <v>0.2478873163514479</v>
      </c>
      <c r="AC86" s="316">
        <f ca="1">ABS(SUMIF(INDIRECT($AA$46&amp;$AI86):INDIRECT($AA$46&amp;$AJ86),"&lt;0"))</f>
        <v>28107413.913500011</v>
      </c>
      <c r="AD86" s="316">
        <f ca="1">SUMIF(INDIRECT($AA$46&amp;$AI86):INDIRECT($AA$46&amp;$AJ86),"&gt;0")</f>
        <v>22524000</v>
      </c>
      <c r="AE86" s="73"/>
      <c r="AF86" s="334"/>
      <c r="AG86" s="334"/>
      <c r="AH86" s="73"/>
      <c r="AI86" s="77">
        <f t="array" aca="1" ref="AI86" ca="1">MATCH(A86&amp;B86,INDIRECT($AI$47) &amp; INDIRECT($AI$49),0)</f>
        <v>1900</v>
      </c>
      <c r="AJ86" s="77">
        <f t="shared" ca="1" si="67"/>
        <v>1946</v>
      </c>
      <c r="AK86" s="78">
        <f ca="1">COUNTIFS(INDIRECT($AK$46),Summary!A86,INDIRECT($AK$47),Summary!B86)</f>
        <v>47</v>
      </c>
      <c r="AL86" s="73"/>
      <c r="AM86" s="79">
        <f ca="1">MATCH(AM$6,INDIRECT($AM$46&amp;$AI86):INDIRECT($AM$46&amp;$AJ86),1)+$AI86-1</f>
        <v>1945</v>
      </c>
      <c r="AN86" s="73">
        <f ca="1">MATCH(AN$6,INDIRECT($AM$46&amp;$AI86):INDIRECT($AM$46&amp;$AJ86),1)+$AI86-1</f>
        <v>1943</v>
      </c>
      <c r="AO86" s="73">
        <f ca="1">MATCH(AO$6,INDIRECT($AM$46&amp;$AI86):INDIRECT($AM$46&amp;$AJ86),1)+$AI86-1</f>
        <v>1943</v>
      </c>
      <c r="AP86" s="80">
        <f t="shared" ca="1" si="75"/>
        <v>28107413.9135</v>
      </c>
      <c r="AQ86" s="80">
        <f t="shared" ca="1" si="69"/>
        <v>27775828.870999999</v>
      </c>
      <c r="AR86" s="80">
        <f t="shared" ca="1" si="70"/>
        <v>27775828.870999999</v>
      </c>
      <c r="AS86" s="80">
        <f t="shared" ca="1" si="71"/>
        <v>1035000</v>
      </c>
      <c r="AT86" s="73">
        <f t="shared" ca="1" si="72"/>
        <v>0</v>
      </c>
      <c r="AU86" s="80">
        <f t="shared" ca="1" si="73"/>
        <v>0</v>
      </c>
      <c r="AV86" s="88">
        <f t="shared" ca="1" si="74"/>
        <v>0</v>
      </c>
      <c r="AW86" s="80"/>
      <c r="AX86" s="80"/>
      <c r="AY86" s="80"/>
      <c r="AZ86" s="73"/>
      <c r="BA86" s="73"/>
    </row>
    <row r="87" spans="1:53" ht="15.75">
      <c r="A87" s="15" t="s">
        <v>136</v>
      </c>
      <c r="B87" s="2" t="s">
        <v>299</v>
      </c>
      <c r="C87" s="72">
        <f t="shared" ca="1" si="59"/>
        <v>41578</v>
      </c>
      <c r="D87" s="73"/>
      <c r="E87" s="74">
        <f t="shared" ca="1" si="60"/>
        <v>38.172170229999999</v>
      </c>
      <c r="F87" s="120">
        <f t="shared" ca="1" si="61"/>
        <v>0</v>
      </c>
      <c r="G87" s="117" t="s">
        <v>136</v>
      </c>
      <c r="H87" s="117"/>
      <c r="I87" s="117"/>
      <c r="J87" s="117" t="s">
        <v>180</v>
      </c>
      <c r="K87" s="117"/>
      <c r="L87" s="74"/>
      <c r="M87" s="74"/>
      <c r="N87" s="73"/>
      <c r="O87" s="114">
        <f t="shared" ca="1" si="62"/>
        <v>0</v>
      </c>
      <c r="P87" s="114">
        <f t="shared" ca="1" si="62"/>
        <v>0</v>
      </c>
      <c r="Q87" s="74"/>
      <c r="R87" s="114">
        <f t="shared" ca="1" si="63"/>
        <v>0</v>
      </c>
      <c r="S87" s="114">
        <f t="shared" ca="1" si="63"/>
        <v>0</v>
      </c>
      <c r="T87" s="73"/>
      <c r="U87" s="75">
        <v>1.4999999999999999E-2</v>
      </c>
      <c r="V87" s="76">
        <v>0</v>
      </c>
      <c r="W87" s="73"/>
      <c r="X87" s="123">
        <f ca="1">XIRR(INDIRECT($X$46&amp;$AI87):INDIRECT($X$46&amp;$AJ87),INDIRECT($X$47&amp;$AI87):INDIRECT($X$47&amp;$AJ87),0.1)</f>
        <v>9.6087700128555303E-2</v>
      </c>
      <c r="Y87" s="123">
        <f t="shared" ca="1" si="76"/>
        <v>-9.6601567898401797E-2</v>
      </c>
      <c r="Z87" s="123">
        <f t="shared" ca="1" si="77"/>
        <v>-5.4576270910101643E-3</v>
      </c>
      <c r="AA87" s="123">
        <f ca="1">ABS(SUMIF(INDIRECT($AA$46&amp;$AI87):INDIRECT($AA$46&amp;$AJ87),"&lt;0"))/SUMIF(INDIRECT($AA$46&amp;$AI87):INDIRECT($AA$46&amp;$AJ87),"&gt;0")</f>
        <v>1.5242257579982965</v>
      </c>
      <c r="AB87" s="123">
        <f t="shared" ca="1" si="78"/>
        <v>0.52422575799829652</v>
      </c>
      <c r="AC87" s="316">
        <f ca="1">ABS(SUMIF(INDIRECT($AA$46&amp;$AI87):INDIRECT($AA$46&amp;$AJ87),"&lt;0"))</f>
        <v>47807340.899616569</v>
      </c>
      <c r="AD87" s="316">
        <f ca="1">SUMIF(INDIRECT($AA$46&amp;$AI87):INDIRECT($AA$46&amp;$AJ87),"&gt;0")</f>
        <v>31365000</v>
      </c>
      <c r="AE87" s="73"/>
      <c r="AF87" s="334"/>
      <c r="AG87" s="334"/>
      <c r="AH87" s="73"/>
      <c r="AI87" s="77">
        <f t="array" aca="1" ref="AI87" ca="1">MATCH(A87&amp;B87,INDIRECT($AI$47) &amp; INDIRECT($AI$49),0)</f>
        <v>321</v>
      </c>
      <c r="AJ87" s="77">
        <f t="shared" ca="1" si="67"/>
        <v>389</v>
      </c>
      <c r="AK87" s="78">
        <f ca="1">COUNTIFS(INDIRECT($AK$46),Summary!A87,INDIRECT($AK$47),Summary!B87)</f>
        <v>69</v>
      </c>
      <c r="AL87" s="73"/>
      <c r="AM87" s="79">
        <f ca="1">MATCH(AM$6,INDIRECT($AM$46&amp;$AI87):INDIRECT($AM$46&amp;$AJ87),1)+$AI87-1</f>
        <v>388</v>
      </c>
      <c r="AN87" s="73">
        <f ca="1">MATCH(AN$6,INDIRECT($AM$46&amp;$AI87):INDIRECT($AM$46&amp;$AJ87),1)+$AI87-1</f>
        <v>385</v>
      </c>
      <c r="AO87" s="73">
        <f ca="1">MATCH(AO$6,INDIRECT($AM$46&amp;$AI87):INDIRECT($AM$46&amp;$AJ87),1)+$AI87-1</f>
        <v>385</v>
      </c>
      <c r="AP87" s="80">
        <f t="shared" ca="1" si="75"/>
        <v>38172170.229999997</v>
      </c>
      <c r="AQ87" s="80">
        <f t="shared" ca="1" si="69"/>
        <v>40538969.979999997</v>
      </c>
      <c r="AR87" s="80">
        <f t="shared" ca="1" si="70"/>
        <v>40538969.979999997</v>
      </c>
      <c r="AS87" s="80">
        <f t="shared" ca="1" si="71"/>
        <v>1715000</v>
      </c>
      <c r="AT87" s="73">
        <f t="shared" ca="1" si="72"/>
        <v>0</v>
      </c>
      <c r="AU87" s="80">
        <f t="shared" ca="1" si="73"/>
        <v>0</v>
      </c>
      <c r="AV87" s="88">
        <f t="shared" ca="1" si="74"/>
        <v>-2145553.1691955011</v>
      </c>
      <c r="AW87" s="80"/>
      <c r="AX87" s="80"/>
      <c r="AY87" s="80"/>
      <c r="AZ87" s="73"/>
      <c r="BA87" s="73"/>
    </row>
    <row r="88" spans="1:53" ht="14.25">
      <c r="A88" s="92" t="s">
        <v>176</v>
      </c>
      <c r="B88" s="92"/>
      <c r="C88" s="46"/>
      <c r="E88" s="40"/>
      <c r="F88" s="112"/>
      <c r="G88" s="116"/>
      <c r="H88" s="116"/>
      <c r="I88" s="116"/>
      <c r="J88" s="116"/>
      <c r="K88" s="116"/>
      <c r="L88" s="40"/>
      <c r="M88" s="40"/>
      <c r="O88" s="59"/>
      <c r="P88" s="59"/>
      <c r="Q88" s="40"/>
      <c r="R88" s="59"/>
      <c r="S88" s="59"/>
      <c r="U88" s="65"/>
      <c r="V88" s="66"/>
      <c r="X88" s="63"/>
      <c r="Y88" s="63"/>
      <c r="Z88" s="63"/>
      <c r="AA88" s="63"/>
      <c r="AB88" s="63"/>
      <c r="AC88" s="316"/>
      <c r="AD88" s="316"/>
      <c r="AI88" s="77"/>
      <c r="AJ88" s="54"/>
      <c r="AK88" s="78"/>
      <c r="AM88" s="55"/>
      <c r="AP88" s="58"/>
      <c r="AQ88" s="58"/>
      <c r="AR88" s="58"/>
      <c r="AS88" s="58"/>
      <c r="AU88" s="58"/>
      <c r="AW88" s="58"/>
      <c r="AX88" s="58"/>
      <c r="AY88" s="58"/>
    </row>
    <row r="89" spans="1:53" ht="14.25">
      <c r="A89" s="92" t="s">
        <v>177</v>
      </c>
      <c r="B89" s="92"/>
      <c r="C89" s="46"/>
      <c r="E89" s="40"/>
      <c r="F89" s="112"/>
      <c r="G89" s="116"/>
      <c r="H89" s="116"/>
      <c r="I89" s="116"/>
      <c r="J89" s="116"/>
      <c r="K89" s="116"/>
      <c r="L89" s="40"/>
      <c r="M89" s="40"/>
      <c r="O89" s="59"/>
      <c r="P89" s="59"/>
      <c r="Q89" s="40"/>
      <c r="R89" s="59"/>
      <c r="S89" s="59"/>
      <c r="U89" s="65"/>
      <c r="V89" s="66"/>
      <c r="X89" s="63"/>
      <c r="Y89" s="63"/>
      <c r="Z89" s="63"/>
      <c r="AA89" s="63"/>
      <c r="AB89" s="63"/>
      <c r="AC89" s="316"/>
      <c r="AD89" s="316"/>
      <c r="AI89" s="77"/>
      <c r="AJ89" s="54"/>
      <c r="AK89" s="78"/>
      <c r="AM89" s="55"/>
      <c r="AP89" s="58"/>
      <c r="AQ89" s="58"/>
      <c r="AR89" s="58"/>
      <c r="AS89" s="58"/>
      <c r="AU89" s="58"/>
      <c r="AW89" s="58"/>
      <c r="AX89" s="58"/>
      <c r="AY89" s="58"/>
    </row>
    <row r="90" spans="1:53" ht="14.25">
      <c r="A90" s="92" t="s">
        <v>275</v>
      </c>
      <c r="B90" s="92"/>
      <c r="C90" s="46"/>
      <c r="E90" s="40"/>
      <c r="F90" s="112"/>
      <c r="G90" s="116"/>
      <c r="H90" s="116"/>
      <c r="I90" s="116"/>
      <c r="J90" s="116"/>
      <c r="K90" s="116"/>
      <c r="L90" s="40"/>
      <c r="M90" s="40"/>
      <c r="O90" s="59"/>
      <c r="P90" s="59"/>
      <c r="Q90" s="40"/>
      <c r="R90" s="59"/>
      <c r="S90" s="59"/>
      <c r="U90" s="65"/>
      <c r="V90" s="66"/>
      <c r="X90" s="63"/>
      <c r="Y90" s="63"/>
      <c r="Z90" s="63"/>
      <c r="AA90" s="63"/>
      <c r="AB90" s="63"/>
      <c r="AC90" s="316"/>
      <c r="AD90" s="316"/>
      <c r="AI90" s="77"/>
      <c r="AJ90" s="54"/>
      <c r="AK90" s="78"/>
      <c r="AM90" s="55"/>
      <c r="AP90" s="58"/>
      <c r="AQ90" s="58"/>
      <c r="AR90" s="58"/>
      <c r="AS90" s="58"/>
      <c r="AU90" s="58"/>
      <c r="AW90" s="58"/>
      <c r="AX90" s="58"/>
      <c r="AY90" s="58"/>
    </row>
    <row r="91" spans="1:53" ht="14.25">
      <c r="A91" s="92" t="s">
        <v>274</v>
      </c>
      <c r="B91" s="92"/>
      <c r="C91" s="46"/>
      <c r="E91" s="40"/>
      <c r="F91" s="112"/>
      <c r="G91" s="116"/>
      <c r="H91" s="116"/>
      <c r="I91" s="116"/>
      <c r="J91" s="116"/>
      <c r="K91" s="116"/>
      <c r="L91" s="40"/>
      <c r="M91" s="40"/>
      <c r="O91" s="59"/>
      <c r="P91" s="59"/>
      <c r="Q91" s="40"/>
      <c r="R91" s="59"/>
      <c r="S91" s="59"/>
      <c r="U91" s="65"/>
      <c r="V91" s="66"/>
      <c r="X91" s="63"/>
      <c r="Y91" s="63"/>
      <c r="Z91" s="63"/>
      <c r="AA91" s="63"/>
      <c r="AB91" s="63"/>
      <c r="AC91" s="316"/>
      <c r="AD91" s="316"/>
      <c r="AI91" s="77"/>
      <c r="AJ91" s="54"/>
      <c r="AK91" s="78"/>
      <c r="AM91" s="55"/>
      <c r="AP91" s="58"/>
      <c r="AQ91" s="58"/>
      <c r="AR91" s="58"/>
      <c r="AS91" s="58"/>
      <c r="AU91" s="58"/>
      <c r="AW91" s="58"/>
      <c r="AX91" s="58"/>
      <c r="AY91" s="58"/>
    </row>
    <row r="92" spans="1:53" ht="15.75">
      <c r="A92" s="15" t="s">
        <v>188</v>
      </c>
      <c r="B92" s="2" t="s">
        <v>301</v>
      </c>
      <c r="C92" s="72">
        <f t="shared" ref="C92:C123" ca="1" si="79">INDIRECT($C$46&amp;$AI92)</f>
        <v>40633</v>
      </c>
      <c r="D92" s="73"/>
      <c r="E92" s="74">
        <f t="shared" ca="1" si="60"/>
        <v>0</v>
      </c>
      <c r="F92" s="74">
        <f t="shared" ref="F92:F123" ca="1" si="80">INDIRECT($F$46&amp;AJ92)+INDIRECT($F$47&amp;AJ92)+INDIRECT($F$48&amp;AJ92)+INDIRECT($F$49&amp;AJ92)</f>
        <v>0</v>
      </c>
      <c r="G92" s="117" t="s">
        <v>188</v>
      </c>
      <c r="H92" s="117"/>
      <c r="I92" s="117"/>
      <c r="J92" s="117" t="s">
        <v>180</v>
      </c>
      <c r="K92" s="117"/>
      <c r="L92" s="74"/>
      <c r="M92" s="74"/>
      <c r="N92" s="73"/>
      <c r="O92" s="114">
        <f t="shared" ref="O92:P111" ca="1" si="81">INDIRECT(O$47&amp;$AJ92)</f>
        <v>0</v>
      </c>
      <c r="P92" s="114">
        <f t="shared" ca="1" si="81"/>
        <v>0</v>
      </c>
      <c r="Q92" s="114"/>
      <c r="R92" s="114">
        <f t="shared" ref="R92:S111" ca="1" si="82">INDIRECT(R$47&amp;$AJ92)</f>
        <v>0</v>
      </c>
      <c r="S92" s="114">
        <f t="shared" ca="1" si="82"/>
        <v>0</v>
      </c>
      <c r="T92" s="73"/>
      <c r="U92" s="75">
        <v>8.0000000000000002E-3</v>
      </c>
      <c r="V92" s="76">
        <v>0.15</v>
      </c>
      <c r="W92" s="73"/>
      <c r="X92" s="123">
        <f ca="1">XIRR(INDIRECT($X$46&amp;$AI92):INDIRECT($X$46&amp;$AJ92),INDIRECT($X$47&amp;$AI92):INDIRECT($X$47&amp;$AJ92),0.1)</f>
        <v>2.7627000212669374E-2</v>
      </c>
      <c r="Y92" s="123">
        <f t="shared" ca="1" si="76"/>
        <v>-0.25766823515990112</v>
      </c>
      <c r="Z92" s="123">
        <f t="shared" ca="1" si="77"/>
        <v>0</v>
      </c>
      <c r="AA92" s="123">
        <f ca="1">ABS(SUMIF(INDIRECT($AA$46&amp;$AI92):INDIRECT($AA$46&amp;$AJ92),"&lt;0"))/SUMIF(INDIRECT($AA$46&amp;$AI92):INDIRECT($AA$46&amp;$AJ92),"&gt;0")</f>
        <v>1.0625118824565085</v>
      </c>
      <c r="AB92" s="123">
        <f t="shared" ca="1" si="78"/>
        <v>6.2511882456508516E-2</v>
      </c>
      <c r="AC92" s="316">
        <f ca="1">ABS(SUMIF(INDIRECT($AA$46&amp;$AI92):INDIRECT($AA$46&amp;$AJ92),"&lt;0"))</f>
        <v>177120730.80549997</v>
      </c>
      <c r="AD92" s="316">
        <f ca="1">SUMIF(INDIRECT($AA$46&amp;$AI92):INDIRECT($AA$46&amp;$AJ92),"&gt;0")</f>
        <v>166700000</v>
      </c>
      <c r="AE92" s="73"/>
      <c r="AF92" s="334"/>
      <c r="AG92" s="334"/>
      <c r="AH92" s="73"/>
      <c r="AI92" s="77">
        <f t="array" aca="1" ref="AI92" ca="1">MATCH(A92&amp;B92,INDIRECT($AI$47) &amp; INDIRECT($AI$49),0)</f>
        <v>3265</v>
      </c>
      <c r="AJ92" s="77">
        <f t="shared" ca="1" si="67"/>
        <v>3360</v>
      </c>
      <c r="AK92" s="78">
        <f ca="1">COUNTIFS(INDIRECT($AK$46),Summary!A92,INDIRECT($AK$47),Summary!B92)</f>
        <v>96</v>
      </c>
      <c r="AL92" s="73"/>
      <c r="AM92" s="79">
        <f ca="1">MATCH(AM$6,INDIRECT($AM$46&amp;$AI92):INDIRECT($AM$46&amp;$AJ92),1)+$AI92-1</f>
        <v>3359</v>
      </c>
      <c r="AN92" s="73">
        <f ca="1">MATCH(AN$6,INDIRECT($AM$46&amp;$AI92):INDIRECT($AM$46&amp;$AJ92),1)+$AI92-1</f>
        <v>3358</v>
      </c>
      <c r="AO92" s="73">
        <f ca="1">MATCH(AO$6,INDIRECT($AM$46&amp;$AI92):INDIRECT($AM$46&amp;$AJ92),1)+$AI92-1</f>
        <v>3358</v>
      </c>
      <c r="AP92" s="80">
        <f t="shared" ca="1" si="75"/>
        <v>0</v>
      </c>
      <c r="AQ92" s="80">
        <f t="shared" ca="1" si="69"/>
        <v>2016671.6905</v>
      </c>
      <c r="AR92" s="80">
        <f t="shared" ca="1" si="70"/>
        <v>2016671.6905</v>
      </c>
      <c r="AS92" s="80">
        <f t="shared" ca="1" si="71"/>
        <v>700000</v>
      </c>
      <c r="AT92" s="73">
        <f t="shared" ca="1" si="72"/>
        <v>0</v>
      </c>
      <c r="AU92" s="80">
        <f t="shared" ca="1" si="73"/>
        <v>-2016671.6905</v>
      </c>
      <c r="AV92" s="88">
        <f t="shared" ca="1" si="74"/>
        <v>-2016671.6905</v>
      </c>
      <c r="AW92" s="80"/>
      <c r="AX92" s="80"/>
      <c r="AY92" s="80"/>
    </row>
    <row r="93" spans="1:53" ht="15.75">
      <c r="A93" s="15" t="s">
        <v>188</v>
      </c>
      <c r="B93" s="2" t="s">
        <v>304</v>
      </c>
      <c r="C93" s="72">
        <f t="shared" ca="1" si="79"/>
        <v>40633</v>
      </c>
      <c r="D93" s="73"/>
      <c r="E93" s="74">
        <f t="shared" ca="1" si="60"/>
        <v>0</v>
      </c>
      <c r="F93" s="74">
        <f t="shared" ca="1" si="80"/>
        <v>0</v>
      </c>
      <c r="G93" s="117" t="s">
        <v>188</v>
      </c>
      <c r="H93" s="117"/>
      <c r="I93" s="117"/>
      <c r="J93" s="117" t="s">
        <v>180</v>
      </c>
      <c r="K93" s="117"/>
      <c r="L93" s="74"/>
      <c r="M93" s="74"/>
      <c r="N93" s="73"/>
      <c r="O93" s="114">
        <f t="shared" ca="1" si="81"/>
        <v>0</v>
      </c>
      <c r="P93" s="114">
        <f t="shared" ca="1" si="81"/>
        <v>0</v>
      </c>
      <c r="Q93" s="114"/>
      <c r="R93" s="114">
        <f t="shared" ca="1" si="82"/>
        <v>0</v>
      </c>
      <c r="S93" s="114">
        <f t="shared" ca="1" si="82"/>
        <v>0</v>
      </c>
      <c r="T93" s="73"/>
      <c r="U93" s="75">
        <v>1.4999999999999999E-2</v>
      </c>
      <c r="V93" s="76">
        <v>0.2</v>
      </c>
      <c r="W93" s="73"/>
      <c r="X93" s="123">
        <f ca="1">XIRR(INDIRECT($X$46&amp;$AI93):INDIRECT($X$46&amp;$AJ93),INDIRECT($X$47&amp;$AI93):INDIRECT($X$47&amp;$AJ93),0.1)</f>
        <v>2.9802322387695314E-9</v>
      </c>
      <c r="Y93" s="123">
        <f t="shared" ref="Y93:Y102" ca="1" si="83">($AP93-AU93)/(AQ93+AS93)-1</f>
        <v>-0.99878967653456485</v>
      </c>
      <c r="Z93" s="123">
        <f t="shared" ref="Z93:Z102" ca="1" si="84">($AP93-AV93)/(AR93+AT93)-1</f>
        <v>0</v>
      </c>
      <c r="AA93" s="123">
        <f ca="1">ABS(SUMIF(INDIRECT($AA$46&amp;$AI93):INDIRECT($AA$46&amp;$AJ93),"&lt;0"))/SUMIF(INDIRECT($AA$46&amp;$AI93):INDIRECT($AA$46&amp;$AJ93),"&gt;0")</f>
        <v>0.31561758281325009</v>
      </c>
      <c r="AB93" s="123">
        <f t="shared" ref="AB93:AB102" ca="1" si="85">AA93-1</f>
        <v>-0.68438241718674986</v>
      </c>
      <c r="AC93" s="316">
        <f ca="1">ABS(SUMIF(INDIRECT($AA$46&amp;$AI93):INDIRECT($AA$46&amp;$AJ93),"&lt;0"))</f>
        <v>2629725.6999999997</v>
      </c>
      <c r="AD93" s="316">
        <f ca="1">SUMIF(INDIRECT($AA$46&amp;$AI93):INDIRECT($AA$46&amp;$AJ93),"&gt;0")</f>
        <v>8332000</v>
      </c>
      <c r="AE93" s="73"/>
      <c r="AF93" s="334"/>
      <c r="AG93" s="334"/>
      <c r="AH93" s="73"/>
      <c r="AI93" s="77">
        <f t="array" aca="1" ref="AI93" ca="1">MATCH(A93&amp;B93,INDIRECT($AI$47) &amp; INDIRECT($AI$49),0)</f>
        <v>3360</v>
      </c>
      <c r="AJ93" s="77">
        <f t="shared" ca="1" si="67"/>
        <v>3455</v>
      </c>
      <c r="AK93" s="78">
        <f ca="1">COUNTIFS(INDIRECT($AK$46),Summary!A93,INDIRECT($AK$47),Summary!B93)</f>
        <v>96</v>
      </c>
      <c r="AL93" s="73"/>
      <c r="AM93" s="79">
        <f ca="1">MATCH(AM$6,INDIRECT($AM$46&amp;$AI93):INDIRECT($AM$46&amp;$AJ93),1)+$AI93-1</f>
        <v>3454</v>
      </c>
      <c r="AN93" s="73">
        <f ca="1">MATCH(AN$6,INDIRECT($AM$46&amp;$AI93):INDIRECT($AM$46&amp;$AJ93),1)+$AI93-1</f>
        <v>3453</v>
      </c>
      <c r="AO93" s="73">
        <f ca="1">MATCH(AO$6,INDIRECT($AM$46&amp;$AI93):INDIRECT($AM$46&amp;$AJ93),1)+$AI93-1</f>
        <v>3453</v>
      </c>
      <c r="AP93" s="80">
        <f t="shared" ca="1" si="75"/>
        <v>0</v>
      </c>
      <c r="AQ93" s="80">
        <f t="shared" ca="1" si="69"/>
        <v>7067.16</v>
      </c>
      <c r="AR93" s="80">
        <f t="shared" ca="1" si="70"/>
        <v>7067.16</v>
      </c>
      <c r="AS93" s="80">
        <f t="shared" ca="1" si="71"/>
        <v>5832000</v>
      </c>
      <c r="AT93" s="73">
        <f t="shared" ca="1" si="72"/>
        <v>0</v>
      </c>
      <c r="AU93" s="80">
        <f t="shared" ca="1" si="73"/>
        <v>-7067.16</v>
      </c>
      <c r="AV93" s="88">
        <f t="shared" ca="1" si="74"/>
        <v>-7067.16</v>
      </c>
      <c r="AW93" s="80"/>
      <c r="AX93" s="80"/>
      <c r="AY93" s="80"/>
    </row>
    <row r="94" spans="1:53" ht="15.75">
      <c r="A94" s="15" t="s">
        <v>188</v>
      </c>
      <c r="B94" s="2" t="s">
        <v>305</v>
      </c>
      <c r="C94" s="72">
        <f t="shared" ca="1" si="79"/>
        <v>40662</v>
      </c>
      <c r="D94" s="73"/>
      <c r="E94" s="74">
        <f t="shared" ca="1" si="60"/>
        <v>0</v>
      </c>
      <c r="F94" s="74">
        <f t="shared" ca="1" si="80"/>
        <v>4.0298780599999997</v>
      </c>
      <c r="G94" s="117" t="s">
        <v>188</v>
      </c>
      <c r="H94" s="117"/>
      <c r="I94" s="117"/>
      <c r="J94" s="117" t="s">
        <v>180</v>
      </c>
      <c r="K94" s="117"/>
      <c r="L94" s="74"/>
      <c r="M94" s="74"/>
      <c r="N94" s="73"/>
      <c r="O94" s="114">
        <f t="shared" ca="1" si="81"/>
        <v>0</v>
      </c>
      <c r="P94" s="114">
        <f t="shared" ca="1" si="81"/>
        <v>0</v>
      </c>
      <c r="Q94" s="114"/>
      <c r="R94" s="114">
        <f t="shared" ca="1" si="82"/>
        <v>6.8459550000000014E-4</v>
      </c>
      <c r="S94" s="114">
        <f t="shared" ca="1" si="82"/>
        <v>1.0984095000000002E-3</v>
      </c>
      <c r="T94" s="73"/>
      <c r="U94" s="75">
        <v>1.4999999999999999E-2</v>
      </c>
      <c r="V94" s="76">
        <v>0.2</v>
      </c>
      <c r="W94" s="73"/>
      <c r="X94" s="123">
        <f ca="1">XIRR(INDIRECT($X$46&amp;$AI94):INDIRECT($X$46&amp;$AJ94),INDIRECT($X$47&amp;$AI94):INDIRECT($X$47&amp;$AJ94),0.1)</f>
        <v>-6.2954977154731764E-2</v>
      </c>
      <c r="Y94" s="123">
        <f t="shared" ca="1" si="83"/>
        <v>-0.91538427249574972</v>
      </c>
      <c r="Z94" s="123">
        <f t="shared" ca="1" si="84"/>
        <v>0</v>
      </c>
      <c r="AA94" s="123">
        <f ca="1">ABS(SUMIF(INDIRECT($AA$46&amp;$AI94):INDIRECT($AA$46&amp;$AJ94),"&lt;0"))/SUMIF(INDIRECT($AA$46&amp;$AI94):INDIRECT($AA$46&amp;$AJ94),"&gt;0")</f>
        <v>0.87548156312499981</v>
      </c>
      <c r="AB94" s="123">
        <f t="shared" ca="1" si="85"/>
        <v>-0.12451843687500019</v>
      </c>
      <c r="AC94" s="316">
        <f ca="1">ABS(SUMIF(INDIRECT($AA$46&amp;$AI94):INDIRECT($AA$46&amp;$AJ94),"&lt;0"))</f>
        <v>22412328.015999995</v>
      </c>
      <c r="AD94" s="316">
        <f ca="1">SUMIF(INDIRECT($AA$46&amp;$AI94):INDIRECT($AA$46&amp;$AJ94),"&gt;0")</f>
        <v>25600000</v>
      </c>
      <c r="AE94" s="73"/>
      <c r="AF94" s="334"/>
      <c r="AG94" s="334"/>
      <c r="AH94" s="73"/>
      <c r="AI94" s="77">
        <f t="array" aca="1" ref="AI94" ca="1">MATCH(A94&amp;B94,INDIRECT($AI$47) &amp; INDIRECT($AI$49),0)</f>
        <v>3455</v>
      </c>
      <c r="AJ94" s="77">
        <f t="shared" ca="1" si="67"/>
        <v>3549</v>
      </c>
      <c r="AK94" s="78">
        <f ca="1">COUNTIFS(INDIRECT($AK$46),Summary!A94,INDIRECT($AK$47),Summary!B94)</f>
        <v>95</v>
      </c>
      <c r="AL94" s="73"/>
      <c r="AM94" s="79">
        <f ca="1">MATCH(AM$6,INDIRECT($AM$46&amp;$AI94):INDIRECT($AM$46&amp;$AJ94),1)+$AI94-1</f>
        <v>3548</v>
      </c>
      <c r="AN94" s="73">
        <f ca="1">MATCH(AN$6,INDIRECT($AM$46&amp;$AI94):INDIRECT($AM$46&amp;$AJ94),1)+$AI94-1</f>
        <v>3547</v>
      </c>
      <c r="AO94" s="73">
        <f ca="1">MATCH(AO$6,INDIRECT($AM$46&amp;$AI94):INDIRECT($AM$46&amp;$AJ94),1)+$AI94-1</f>
        <v>3547</v>
      </c>
      <c r="AP94" s="80">
        <f t="shared" ca="1" si="75"/>
        <v>0</v>
      </c>
      <c r="AQ94" s="80">
        <f t="shared" ca="1" si="69"/>
        <v>369749.53600000002</v>
      </c>
      <c r="AR94" s="80">
        <f t="shared" ca="1" si="70"/>
        <v>369749.53600000002</v>
      </c>
      <c r="AS94" s="80">
        <f t="shared" ca="1" si="71"/>
        <v>4000000</v>
      </c>
      <c r="AT94" s="73">
        <f t="shared" ca="1" si="72"/>
        <v>0</v>
      </c>
      <c r="AU94" s="80">
        <f t="shared" ca="1" si="73"/>
        <v>-369749.53600000002</v>
      </c>
      <c r="AV94" s="88">
        <f t="shared" ca="1" si="74"/>
        <v>-369749.53600000002</v>
      </c>
      <c r="AW94" s="80"/>
      <c r="AX94" s="80"/>
      <c r="AY94" s="80"/>
    </row>
    <row r="95" spans="1:53" ht="15.75">
      <c r="A95" s="15" t="s">
        <v>188</v>
      </c>
      <c r="B95" s="2" t="s">
        <v>343</v>
      </c>
      <c r="C95" s="72">
        <f t="shared" ca="1" si="79"/>
        <v>40633</v>
      </c>
      <c r="D95" s="73"/>
      <c r="E95" s="74">
        <f ca="1">AP95/1000000</f>
        <v>0</v>
      </c>
      <c r="F95" s="74">
        <f t="shared" ca="1" si="80"/>
        <v>0</v>
      </c>
      <c r="G95" s="117" t="s">
        <v>188</v>
      </c>
      <c r="H95" s="117"/>
      <c r="I95" s="117"/>
      <c r="J95" s="117" t="s">
        <v>180</v>
      </c>
      <c r="K95" s="117"/>
      <c r="L95" s="74"/>
      <c r="M95" s="74"/>
      <c r="N95" s="73"/>
      <c r="O95" s="114">
        <f t="shared" ca="1" si="81"/>
        <v>0</v>
      </c>
      <c r="P95" s="114">
        <f t="shared" ca="1" si="81"/>
        <v>0</v>
      </c>
      <c r="Q95" s="114"/>
      <c r="R95" s="114">
        <f t="shared" ca="1" si="82"/>
        <v>1.5841000000000001E-2</v>
      </c>
      <c r="S95" s="114">
        <f t="shared" ca="1" si="82"/>
        <v>0.129771</v>
      </c>
      <c r="T95" s="73"/>
      <c r="U95" s="75"/>
      <c r="V95" s="73"/>
      <c r="W95" s="73"/>
      <c r="X95" s="123">
        <f ca="1">XIRR(INDIRECT($X$46&amp;$AI95):INDIRECT($X$46&amp;$AJ95),INDIRECT($X$47&amp;$AI95):INDIRECT($X$47&amp;$AJ95),0.1)</f>
        <v>2.9802322387695314E-9</v>
      </c>
      <c r="Y95" s="123">
        <f t="shared" ca="1" si="83"/>
        <v>-0.9901423275986434</v>
      </c>
      <c r="Z95" s="123">
        <f t="shared" ca="1" si="84"/>
        <v>0</v>
      </c>
      <c r="AA95" s="123">
        <f ca="1">ABS(SUMIF(INDIRECT($AA$46&amp;$AI95):INDIRECT($AA$46&amp;$AJ95),"&lt;0"))/SUMIF(INDIRECT($AA$46&amp;$AI95):INDIRECT($AA$46&amp;$AJ95),"&gt;0")</f>
        <v>4.8591581148998718E-2</v>
      </c>
      <c r="AB95" s="123">
        <f t="shared" ca="1" si="85"/>
        <v>-0.95140841885100125</v>
      </c>
      <c r="AC95" s="316">
        <f ca="1">ABS(SUMIF(INDIRECT($AA$46&amp;$AI95):INDIRECT($AA$46&amp;$AJ95),"&lt;0"))</f>
        <v>2226100.0135000013</v>
      </c>
      <c r="AD95" s="316">
        <f ca="1">SUMIF(INDIRECT($AA$46&amp;$AI95):INDIRECT($AA$46&amp;$AJ95),"&gt;0")</f>
        <v>45812463</v>
      </c>
      <c r="AE95" s="73"/>
      <c r="AF95" s="334"/>
      <c r="AG95" s="334"/>
      <c r="AH95" s="73"/>
      <c r="AI95" s="77">
        <f t="array" aca="1" ref="AI95" ca="1">MATCH(A95&amp;B95,INDIRECT($AI$47) &amp; INDIRECT($AI$49),0)</f>
        <v>3170</v>
      </c>
      <c r="AJ95" s="77">
        <f ca="1">AI95+AK95-1</f>
        <v>3265</v>
      </c>
      <c r="AK95" s="78">
        <f ca="1">COUNTIFS(INDIRECT($AK$46),Summary!A95,INDIRECT($AK$47),Summary!B95)</f>
        <v>96</v>
      </c>
      <c r="AL95" s="73"/>
      <c r="AM95" s="79">
        <f ca="1">MATCH(AM$6,INDIRECT($AM$46&amp;$AI95):INDIRECT($AM$46&amp;$AJ95),1)+$AI95-1</f>
        <v>3264</v>
      </c>
      <c r="AN95" s="73">
        <f ca="1">MATCH(AN$6,INDIRECT($AM$46&amp;$AI95):INDIRECT($AM$46&amp;$AJ95),1)+$AI95-1</f>
        <v>3263</v>
      </c>
      <c r="AO95" s="73">
        <f ca="1">MATCH(AO$6,INDIRECT($AM$46&amp;$AI95):INDIRECT($AM$46&amp;$AJ95),1)+$AI95-1</f>
        <v>3263</v>
      </c>
      <c r="AP95" s="80">
        <f ca="1">INDIRECT($AP$46&amp;AM95)</f>
        <v>0</v>
      </c>
      <c r="AQ95" s="80">
        <f ca="1">INDIRECT($AP$46&amp;AN95)</f>
        <v>452830.22350000002</v>
      </c>
      <c r="AR95" s="80">
        <f ca="1">INDIRECT($AP$46&amp;AO95)</f>
        <v>452830.22350000002</v>
      </c>
      <c r="AS95" s="80">
        <f t="shared" ref="AS95:AS158" ca="1" si="86">INDIRECT($AS$47&amp;AJ95)</f>
        <v>45484000</v>
      </c>
      <c r="AT95" s="73">
        <f t="shared" ref="AT95:AT124" ca="1" si="87">SUM(INDIRECT(AT$47&amp;AO95+1&amp;":"&amp;LEFT(AT$46,LEN(AT$46)-1)&amp;$AM95))</f>
        <v>0</v>
      </c>
      <c r="AU95" s="80">
        <f t="shared" ref="AU95:AU158" ca="1" si="88">INDIRECT($AU$47&amp;AM95)</f>
        <v>-452830.22350000002</v>
      </c>
      <c r="AV95" s="88">
        <f t="shared" ref="AV95:AV158" ca="1" si="89">SUM(INDIRECT(AV$47&amp;AO95+1&amp;":"&amp;LEFT(AV$46,LEN(AV$46)-1)&amp;$AM95))</f>
        <v>-452830.22350000002</v>
      </c>
      <c r="AW95" s="80"/>
      <c r="AX95" s="80"/>
      <c r="AY95" s="80"/>
    </row>
    <row r="96" spans="1:53" ht="15">
      <c r="A96" s="15" t="s">
        <v>188</v>
      </c>
      <c r="B96" s="2" t="s">
        <v>298</v>
      </c>
      <c r="C96" s="72">
        <f t="shared" ca="1" si="79"/>
        <v>40633</v>
      </c>
      <c r="D96" s="73"/>
      <c r="E96" s="74">
        <f t="shared" ca="1" si="60"/>
        <v>0</v>
      </c>
      <c r="F96" s="74">
        <f t="shared" ca="1" si="80"/>
        <v>0</v>
      </c>
      <c r="G96" s="117" t="s">
        <v>188</v>
      </c>
      <c r="H96" s="117"/>
      <c r="I96" s="117"/>
      <c r="J96" s="117" t="s">
        <v>179</v>
      </c>
      <c r="K96" s="117"/>
      <c r="L96" s="74"/>
      <c r="M96" s="74"/>
      <c r="N96" s="73"/>
      <c r="O96" s="114">
        <f t="shared" ca="1" si="81"/>
        <v>0</v>
      </c>
      <c r="P96" s="114">
        <f t="shared" ca="1" si="81"/>
        <v>0</v>
      </c>
      <c r="Q96" s="114"/>
      <c r="R96" s="114">
        <f t="shared" ca="1" si="82"/>
        <v>0</v>
      </c>
      <c r="S96" s="114">
        <f t="shared" ca="1" si="82"/>
        <v>0</v>
      </c>
      <c r="T96" s="73"/>
      <c r="U96" s="73"/>
      <c r="V96" s="73"/>
      <c r="W96" s="73"/>
      <c r="X96" s="123">
        <f ca="1">XIRR(INDIRECT($X$46&amp;$AI96):INDIRECT($X$46&amp;$AJ96),INDIRECT($X$47&amp;$AI96):INDIRECT($X$47&amp;$AJ96),0.1)</f>
        <v>4.0576705336570748E-2</v>
      </c>
      <c r="Y96" s="123">
        <f t="shared" ca="1" si="83"/>
        <v>-0.36028966716952771</v>
      </c>
      <c r="Z96" s="123">
        <f t="shared" ca="1" si="84"/>
        <v>0</v>
      </c>
      <c r="AA96" s="123">
        <f ca="1">ABS(SUMIF(INDIRECT($AA$46&amp;$AI96):INDIRECT($AA$46&amp;$AJ96),"&lt;0"))/SUMIF(INDIRECT($AA$46&amp;$AI96):INDIRECT($AA$46&amp;$AJ96),"&gt;0")</f>
        <v>1.0929139095604663</v>
      </c>
      <c r="AB96" s="123">
        <f t="shared" ca="1" si="85"/>
        <v>9.2913909560466301E-2</v>
      </c>
      <c r="AC96" s="316">
        <f ca="1">ABS(SUMIF(INDIRECT($AA$46&amp;$AI96):INDIRECT($AA$46&amp;$AJ96),"&lt;0"))</f>
        <v>21404715.640000004</v>
      </c>
      <c r="AD96" s="316">
        <f ca="1">SUMIF(INDIRECT($AA$46&amp;$AI96):INDIRECT($AA$46&amp;$AJ96),"&gt;0")</f>
        <v>19584997</v>
      </c>
      <c r="AE96" s="73"/>
      <c r="AF96" s="334"/>
      <c r="AG96" s="334"/>
      <c r="AH96" s="73"/>
      <c r="AI96" s="77">
        <f t="array" aca="1" ref="AI96" ca="1">MATCH(A96&amp;B96,INDIRECT($AI$47) &amp; INDIRECT($AI$49),0)</f>
        <v>3075</v>
      </c>
      <c r="AJ96" s="77">
        <f t="shared" ca="1" si="67"/>
        <v>3170</v>
      </c>
      <c r="AK96" s="78">
        <f ca="1">COUNTIFS(INDIRECT($AK$46),Summary!A96,INDIRECT($AK$47),Summary!B96)</f>
        <v>96</v>
      </c>
      <c r="AL96" s="73"/>
      <c r="AM96" s="79">
        <f ca="1">MATCH(AM$6,INDIRECT($AM$46&amp;$AI96):INDIRECT($AM$46&amp;$AJ96),1)+$AI96-1</f>
        <v>3169</v>
      </c>
      <c r="AN96" s="73">
        <f ca="1">MATCH(AN$6,INDIRECT($AM$46&amp;$AI96):INDIRECT($AM$46&amp;$AJ96),1)+$AI96-1</f>
        <v>3168</v>
      </c>
      <c r="AO96" s="73">
        <f ca="1">MATCH(AO$6,INDIRECT($AM$46&amp;$AI96):INDIRECT($AM$46&amp;$AJ96),1)+$AI96-1</f>
        <v>3168</v>
      </c>
      <c r="AP96" s="80">
        <f t="shared" ca="1" si="75"/>
        <v>0</v>
      </c>
      <c r="AQ96" s="80">
        <f t="shared" ref="AQ96:AR99" ca="1" si="90">INDIRECT($AP$46&amp;AN96)</f>
        <v>162753.51</v>
      </c>
      <c r="AR96" s="80">
        <f t="shared" ca="1" si="90"/>
        <v>162753.51</v>
      </c>
      <c r="AS96" s="80">
        <f t="shared" ca="1" si="86"/>
        <v>91664</v>
      </c>
      <c r="AT96" s="73">
        <f t="shared" ca="1" si="87"/>
        <v>0</v>
      </c>
      <c r="AU96" s="80">
        <f t="shared" ca="1" si="88"/>
        <v>-162753.51</v>
      </c>
      <c r="AV96" s="88">
        <f t="shared" ca="1" si="89"/>
        <v>-162753.51</v>
      </c>
      <c r="AW96" s="80"/>
      <c r="AX96" s="80"/>
      <c r="AY96" s="80"/>
    </row>
    <row r="97" spans="1:51" ht="15.75">
      <c r="A97" s="6" t="s">
        <v>189</v>
      </c>
      <c r="B97" s="2" t="s">
        <v>301</v>
      </c>
      <c r="C97" s="46">
        <f t="shared" ca="1" si="79"/>
        <v>41089</v>
      </c>
      <c r="E97" s="40">
        <f t="shared" ca="1" si="60"/>
        <v>5.3913793499999993</v>
      </c>
      <c r="F97" s="40">
        <f t="shared" ca="1" si="80"/>
        <v>0</v>
      </c>
      <c r="G97" s="116" t="s">
        <v>189</v>
      </c>
      <c r="H97" s="116"/>
      <c r="I97" s="116"/>
      <c r="J97" s="116" t="s">
        <v>180</v>
      </c>
      <c r="K97" s="116"/>
      <c r="L97" s="40"/>
      <c r="M97" s="40"/>
      <c r="O97" s="59">
        <f t="shared" ca="1" si="81"/>
        <v>0</v>
      </c>
      <c r="P97" s="59">
        <f t="shared" ca="1" si="81"/>
        <v>0</v>
      </c>
      <c r="Q97" s="59"/>
      <c r="R97" s="59">
        <f t="shared" ca="1" si="82"/>
        <v>0</v>
      </c>
      <c r="S97" s="59">
        <f t="shared" ca="1" si="82"/>
        <v>0</v>
      </c>
      <c r="U97" s="65">
        <v>8.0000000000000002E-3</v>
      </c>
      <c r="V97" s="66">
        <v>0.15</v>
      </c>
      <c r="X97" s="63">
        <f ca="1">XIRR(INDIRECT($X$46&amp;$AI97):INDIRECT($X$46&amp;$AJ97),INDIRECT($X$47&amp;$AI97):INDIRECT($X$47&amp;$AJ97),0.1)</f>
        <v>-5.2532131969928758E-2</v>
      </c>
      <c r="Y97" s="63">
        <f t="shared" ca="1" si="83"/>
        <v>-0.72655678248815903</v>
      </c>
      <c r="Z97" s="63">
        <f t="shared" ca="1" si="84"/>
        <v>5.8870540454845521E-2</v>
      </c>
      <c r="AA97" s="63">
        <f ca="1">ABS(SUMIF(INDIRECT($AA$46&amp;$AI97):INDIRECT($AA$46&amp;$AJ97),"&lt;0"))/SUMIF(INDIRECT($AA$46&amp;$AI97):INDIRECT($AA$46&amp;$AJ97),"&gt;0")</f>
        <v>0.867586445064642</v>
      </c>
      <c r="AB97" s="63">
        <f t="shared" ca="1" si="85"/>
        <v>-0.132413554935358</v>
      </c>
      <c r="AC97" s="316">
        <f ca="1">ABS(SUMIF(INDIRECT($AA$46&amp;$AI97):INDIRECT($AA$46&amp;$AJ97),"&lt;0"))</f>
        <v>105693718.67000002</v>
      </c>
      <c r="AD97" s="316">
        <f ca="1">SUMIF(INDIRECT($AA$46&amp;$AI97):INDIRECT($AA$46&amp;$AJ97),"&gt;0")</f>
        <v>121825000</v>
      </c>
      <c r="AI97" s="77">
        <f t="array" aca="1" ref="AI97" ca="1">MATCH(A97&amp;B97,INDIRECT($AI$47) &amp; INDIRECT($AI$49),0)</f>
        <v>3709</v>
      </c>
      <c r="AJ97" s="54">
        <f t="shared" ca="1" si="67"/>
        <v>3789</v>
      </c>
      <c r="AK97" s="78">
        <f ca="1">COUNTIFS(INDIRECT($AK$46),Summary!A97,INDIRECT($AK$47),Summary!B97)</f>
        <v>81</v>
      </c>
      <c r="AM97" s="79">
        <f ca="1">MATCH(AM$6,INDIRECT($AM$46&amp;$AI97):INDIRECT($AM$46&amp;$AJ97),1)+$AI97-1</f>
        <v>3788</v>
      </c>
      <c r="AN97" s="73">
        <f ca="1">MATCH(AN$6,INDIRECT($AM$46&amp;$AI97):INDIRECT($AM$46&amp;$AJ97),1)+$AI97-1</f>
        <v>3787</v>
      </c>
      <c r="AO97" s="73">
        <f ca="1">MATCH(AO$6,INDIRECT($AM$46&amp;$AI97):INDIRECT($AM$46&amp;$AJ97),1)+$AI97-1</f>
        <v>3787</v>
      </c>
      <c r="AP97" s="58">
        <f t="shared" ca="1" si="75"/>
        <v>5391379.3499999996</v>
      </c>
      <c r="AQ97" s="58">
        <f t="shared" ca="1" si="90"/>
        <v>5091632.21</v>
      </c>
      <c r="AR97" s="58">
        <f t="shared" ca="1" si="90"/>
        <v>5091632.21</v>
      </c>
      <c r="AS97" s="58">
        <f t="shared" ca="1" si="86"/>
        <v>14625000</v>
      </c>
      <c r="AT97" s="36">
        <f t="shared" ca="1" si="87"/>
        <v>0</v>
      </c>
      <c r="AU97" s="58">
        <f t="shared" ca="1" si="88"/>
        <v>0</v>
      </c>
      <c r="AV97" s="85">
        <f t="shared" ca="1" si="89"/>
        <v>0</v>
      </c>
      <c r="AW97" s="58"/>
      <c r="AX97" s="58"/>
      <c r="AY97" s="58"/>
    </row>
    <row r="98" spans="1:51" ht="15.75">
      <c r="A98" s="6" t="s">
        <v>189</v>
      </c>
      <c r="B98" s="2" t="s">
        <v>304</v>
      </c>
      <c r="C98" s="46">
        <f t="shared" ca="1" si="79"/>
        <v>41121</v>
      </c>
      <c r="E98" s="40">
        <f t="shared" ca="1" si="60"/>
        <v>7.1194485938999996</v>
      </c>
      <c r="F98" s="40">
        <f t="shared" ca="1" si="80"/>
        <v>0</v>
      </c>
      <c r="G98" s="116" t="s">
        <v>189</v>
      </c>
      <c r="H98" s="116"/>
      <c r="I98" s="116"/>
      <c r="J98" s="116" t="s">
        <v>180</v>
      </c>
      <c r="K98" s="116"/>
      <c r="L98" s="40"/>
      <c r="M98" s="40"/>
      <c r="O98" s="59">
        <f t="shared" ca="1" si="81"/>
        <v>0</v>
      </c>
      <c r="P98" s="59">
        <f t="shared" ca="1" si="81"/>
        <v>0</v>
      </c>
      <c r="Q98" s="59"/>
      <c r="R98" s="59">
        <f t="shared" ca="1" si="82"/>
        <v>0</v>
      </c>
      <c r="S98" s="59">
        <f t="shared" ca="1" si="82"/>
        <v>0</v>
      </c>
      <c r="U98" s="65">
        <v>8.0000000000000002E-3</v>
      </c>
      <c r="V98" s="66">
        <v>0.15</v>
      </c>
      <c r="X98" s="63">
        <f ca="1">XIRR(INDIRECT($X$46&amp;$AI98):INDIRECT($X$46&amp;$AJ98),INDIRECT($X$47&amp;$AI98):INDIRECT($X$47&amp;$AJ98),0.1)</f>
        <v>3.850695490837097E-3</v>
      </c>
      <c r="Y98" s="63">
        <f t="shared" ca="1" si="83"/>
        <v>-0.1380790217184763</v>
      </c>
      <c r="Z98" s="63">
        <f t="shared" ca="1" si="84"/>
        <v>4.3910736979171583E-2</v>
      </c>
      <c r="AA98" s="63">
        <f ca="1">ABS(SUMIF(INDIRECT($AA$46&amp;$AI98):INDIRECT($AA$46&amp;$AJ98),"&lt;0"))/SUMIF(INDIRECT($AA$46&amp;$AI98):INDIRECT($AA$46&amp;$AJ98),"&gt;0")</f>
        <v>1.0088472063737741</v>
      </c>
      <c r="AB98" s="63">
        <f t="shared" ca="1" si="85"/>
        <v>8.8472063737741191E-3</v>
      </c>
      <c r="AC98" s="316">
        <f ca="1">ABS(SUMIF(INDIRECT($AA$46&amp;$AI98):INDIRECT($AA$46&amp;$AJ98),"&lt;0"))</f>
        <v>127558640.77389999</v>
      </c>
      <c r="AD98" s="316">
        <f ca="1">SUMIF(INDIRECT($AA$46&amp;$AI98):INDIRECT($AA$46&amp;$AJ98),"&gt;0")</f>
        <v>126440000</v>
      </c>
      <c r="AI98" s="77">
        <f t="array" aca="1" ref="AI98" ca="1">MATCH(A98&amp;B98,INDIRECT($AI$47) &amp; INDIRECT($AI$49),0)</f>
        <v>3789</v>
      </c>
      <c r="AJ98" s="54">
        <f t="shared" ca="1" si="67"/>
        <v>3868</v>
      </c>
      <c r="AK98" s="78">
        <f ca="1">COUNTIFS(INDIRECT($AK$46),Summary!A98,INDIRECT($AK$47),Summary!B98)</f>
        <v>80</v>
      </c>
      <c r="AM98" s="79">
        <f ca="1">MATCH(AM$6,INDIRECT($AM$46&amp;$AI98):INDIRECT($AM$46&amp;$AJ98),1)+$AI98-1</f>
        <v>3867</v>
      </c>
      <c r="AN98" s="73">
        <f ca="1">MATCH(AN$6,INDIRECT($AM$46&amp;$AI98):INDIRECT($AM$46&amp;$AJ98),1)+$AI98-1</f>
        <v>3866</v>
      </c>
      <c r="AO98" s="73">
        <f ca="1">MATCH(AO$6,INDIRECT($AM$46&amp;$AI98):INDIRECT($AM$46&amp;$AJ98),1)+$AI98-1</f>
        <v>3866</v>
      </c>
      <c r="AP98" s="58">
        <f t="shared" ca="1" si="75"/>
        <v>7119448.5938999997</v>
      </c>
      <c r="AQ98" s="58">
        <f t="shared" ca="1" si="90"/>
        <v>6819978.3196999999</v>
      </c>
      <c r="AR98" s="58">
        <f t="shared" ca="1" si="90"/>
        <v>6819978.3196999999</v>
      </c>
      <c r="AS98" s="58">
        <f t="shared" ca="1" si="86"/>
        <v>1440000</v>
      </c>
      <c r="AT98" s="36">
        <f t="shared" ca="1" si="87"/>
        <v>0</v>
      </c>
      <c r="AU98" s="58">
        <f t="shared" ca="1" si="88"/>
        <v>0</v>
      </c>
      <c r="AV98" s="85">
        <f t="shared" ca="1" si="89"/>
        <v>0</v>
      </c>
      <c r="AW98" s="58"/>
      <c r="AX98" s="58"/>
      <c r="AY98" s="58"/>
    </row>
    <row r="99" spans="1:51" ht="15.75">
      <c r="A99" s="92" t="s">
        <v>189</v>
      </c>
      <c r="B99" s="2" t="s">
        <v>305</v>
      </c>
      <c r="C99" s="46">
        <f t="shared" ca="1" si="79"/>
        <v>41121</v>
      </c>
      <c r="E99" s="40">
        <f t="shared" ca="1" si="60"/>
        <v>0.60758676</v>
      </c>
      <c r="F99" s="40">
        <f t="shared" ca="1" si="80"/>
        <v>0</v>
      </c>
      <c r="G99" s="116" t="s">
        <v>189</v>
      </c>
      <c r="H99" s="116"/>
      <c r="I99" s="116"/>
      <c r="J99" s="116" t="s">
        <v>180</v>
      </c>
      <c r="K99" s="116"/>
      <c r="L99" s="40"/>
      <c r="M99" s="40"/>
      <c r="O99" s="59">
        <f t="shared" ca="1" si="81"/>
        <v>0</v>
      </c>
      <c r="P99" s="59">
        <f t="shared" ca="1" si="81"/>
        <v>0</v>
      </c>
      <c r="Q99" s="59"/>
      <c r="R99" s="59">
        <f t="shared" ca="1" si="82"/>
        <v>0</v>
      </c>
      <c r="S99" s="59">
        <f t="shared" ca="1" si="82"/>
        <v>0</v>
      </c>
      <c r="U99" s="65">
        <v>1.4999999999999999E-2</v>
      </c>
      <c r="V99" s="66">
        <v>0.2</v>
      </c>
      <c r="X99" s="63">
        <f ca="1">XIRR(INDIRECT($X$46&amp;$AI99):INDIRECT($X$46&amp;$AJ99),INDIRECT($X$47&amp;$AI99):INDIRECT($X$47&amp;$AJ99),0.1)</f>
        <v>1.1968344449996948E-3</v>
      </c>
      <c r="Y99" s="63">
        <f t="shared" ca="1" si="83"/>
        <v>1.6042619067120789E-2</v>
      </c>
      <c r="Z99" s="63">
        <f t="shared" ca="1" si="84"/>
        <v>5.8463030108424352E-2</v>
      </c>
      <c r="AA99" s="63">
        <f ca="1">ABS(SUMIF(INDIRECT($AA$46&amp;$AI99):INDIRECT($AA$46&amp;$AJ99),"&lt;0"))/SUMIF(INDIRECT($AA$46&amp;$AI99):INDIRECT($AA$46&amp;$AJ99),"&gt;0")</f>
        <v>1.0027284949075872</v>
      </c>
      <c r="AB99" s="63">
        <f t="shared" ca="1" si="85"/>
        <v>2.7284949075871978E-3</v>
      </c>
      <c r="AC99" s="316">
        <f ca="1">ABS(SUMIF(INDIRECT($AA$46&amp;$AI99):INDIRECT($AA$46&amp;$AJ99),"&lt;0"))</f>
        <v>12056773.330000002</v>
      </c>
      <c r="AD99" s="316">
        <f ca="1">SUMIF(INDIRECT($AA$46&amp;$AI99):INDIRECT($AA$46&amp;$AJ99),"&gt;0")</f>
        <v>12023966</v>
      </c>
      <c r="AI99" s="77">
        <f t="array" aca="1" ref="AI99" ca="1">MATCH(A99&amp;B99,INDIRECT($AI$47) &amp; INDIRECT($AI$49),0)</f>
        <v>3868</v>
      </c>
      <c r="AJ99" s="54">
        <f t="shared" ca="1" si="67"/>
        <v>3947</v>
      </c>
      <c r="AK99" s="78">
        <f ca="1">COUNTIFS(INDIRECT($AK$46),Summary!A99,INDIRECT($AK$47),Summary!B99)</f>
        <v>80</v>
      </c>
      <c r="AM99" s="79">
        <f ca="1">MATCH(AM$6,INDIRECT($AM$46&amp;$AI99):INDIRECT($AM$46&amp;$AJ99),1)+$AI99-1</f>
        <v>3946</v>
      </c>
      <c r="AN99" s="73">
        <f ca="1">MATCH(AN$6,INDIRECT($AM$46&amp;$AI99):INDIRECT($AM$46&amp;$AJ99),1)+$AI99-1</f>
        <v>3945</v>
      </c>
      <c r="AO99" s="73">
        <f ca="1">MATCH(AO$6,INDIRECT($AM$46&amp;$AI99):INDIRECT($AM$46&amp;$AJ99),1)+$AI99-1</f>
        <v>3945</v>
      </c>
      <c r="AP99" s="58">
        <f t="shared" ca="1" si="75"/>
        <v>607586.76</v>
      </c>
      <c r="AQ99" s="58">
        <f t="shared" ca="1" si="90"/>
        <v>574027.38</v>
      </c>
      <c r="AR99" s="58">
        <f t="shared" ca="1" si="90"/>
        <v>574027.38</v>
      </c>
      <c r="AS99" s="58">
        <f t="shared" ca="1" si="86"/>
        <v>23966</v>
      </c>
      <c r="AT99" s="36">
        <f t="shared" ca="1" si="87"/>
        <v>0</v>
      </c>
      <c r="AU99" s="58">
        <f t="shared" ca="1" si="88"/>
        <v>0</v>
      </c>
      <c r="AV99" s="85">
        <f t="shared" ca="1" si="89"/>
        <v>0</v>
      </c>
      <c r="AW99" s="58"/>
      <c r="AX99" s="58"/>
      <c r="AY99" s="58"/>
    </row>
    <row r="100" spans="1:51" ht="15">
      <c r="A100" s="92" t="s">
        <v>189</v>
      </c>
      <c r="B100" s="2" t="s">
        <v>298</v>
      </c>
      <c r="C100" s="46">
        <f t="shared" ca="1" si="79"/>
        <v>41089</v>
      </c>
      <c r="E100" s="40">
        <f t="shared" ref="E100" ca="1" si="91">AP100/1000000</f>
        <v>1.14618522</v>
      </c>
      <c r="F100" s="40">
        <f t="shared" ca="1" si="80"/>
        <v>4.0298780599999997</v>
      </c>
      <c r="G100" s="116" t="s">
        <v>189</v>
      </c>
      <c r="H100" s="116"/>
      <c r="I100" s="116"/>
      <c r="J100" s="116" t="s">
        <v>180</v>
      </c>
      <c r="K100" s="116"/>
      <c r="L100" s="40"/>
      <c r="M100" s="40"/>
      <c r="O100" s="59">
        <f t="shared" ca="1" si="81"/>
        <v>0</v>
      </c>
      <c r="P100" s="59">
        <f t="shared" ca="1" si="81"/>
        <v>0</v>
      </c>
      <c r="Q100" s="59"/>
      <c r="R100" s="59">
        <f t="shared" ca="1" si="82"/>
        <v>0</v>
      </c>
      <c r="S100" s="59">
        <f t="shared" ca="1" si="82"/>
        <v>0</v>
      </c>
      <c r="X100" s="63">
        <f ca="1">XIRR(INDIRECT($X$46&amp;$AI100):INDIRECT($X$46&amp;$AJ100),INDIRECT($X$47&amp;$AI100):INDIRECT($X$47&amp;$AJ100),0.1)</f>
        <v>-5.9088245034217834E-3</v>
      </c>
      <c r="Y100" s="63">
        <f t="shared" ca="1" si="83"/>
        <v>-6.6145491606439677E-5</v>
      </c>
      <c r="Z100" s="63">
        <f t="shared" ca="1" si="84"/>
        <v>5.1294302876309317E-2</v>
      </c>
      <c r="AA100" s="63">
        <f ca="1">ABS(SUMIF(INDIRECT($AA$46&amp;$AI100):INDIRECT($AA$46&amp;$AJ100),"&lt;0"))/SUMIF(INDIRECT($AA$46&amp;$AI100):INDIRECT($AA$46&amp;$AJ100),"&gt;0")</f>
        <v>0.98522406473773194</v>
      </c>
      <c r="AB100" s="63">
        <f t="shared" ca="1" si="85"/>
        <v>-1.4775935262268058E-2</v>
      </c>
      <c r="AC100" s="316">
        <f ca="1">ABS(SUMIF(INDIRECT($AA$46&amp;$AI100):INDIRECT($AA$46&amp;$AJ100),"&lt;0"))</f>
        <v>19768481.450000003</v>
      </c>
      <c r="AD100" s="316">
        <f ca="1">SUMIF(INDIRECT($AA$46&amp;$AI100):INDIRECT($AA$46&amp;$AJ100),"&gt;0")</f>
        <v>20064960</v>
      </c>
      <c r="AI100" s="77">
        <f t="array" aca="1" ref="AI100" ca="1">MATCH(A100&amp;B100,INDIRECT($AI$47) &amp; INDIRECT($AI$49),0)</f>
        <v>3549</v>
      </c>
      <c r="AJ100" s="54">
        <f t="shared" ref="AJ100" ca="1" si="92">AI100+AK100-1</f>
        <v>3629</v>
      </c>
      <c r="AK100" s="78">
        <f ca="1">COUNTIFS(INDIRECT($AK$46),Summary!A100,INDIRECT($AK$47),Summary!B100)</f>
        <v>81</v>
      </c>
      <c r="AM100" s="79">
        <f ca="1">MATCH(AM$6,INDIRECT($AM$46&amp;$AI100):INDIRECT($AM$46&amp;$AJ100),1)+$AI100-1</f>
        <v>3628</v>
      </c>
      <c r="AN100" s="73">
        <f ca="1">MATCH(AN$6,INDIRECT($AM$46&amp;$AI100):INDIRECT($AM$46&amp;$AJ100),1)+$AI100-1</f>
        <v>3627</v>
      </c>
      <c r="AO100" s="73">
        <f ca="1">MATCH(AO$6,INDIRECT($AM$46&amp;$AI100):INDIRECT($AM$46&amp;$AJ100),1)+$AI100-1</f>
        <v>3627</v>
      </c>
      <c r="AP100" s="58">
        <f t="shared" ref="AP100" ca="1" si="93">INDIRECT($AP$46&amp;AM100)</f>
        <v>1146185.22</v>
      </c>
      <c r="AQ100" s="58">
        <f t="shared" ref="AQ100:AR115" ca="1" si="94">INDIRECT($AP$46&amp;AN100)</f>
        <v>1090261.04</v>
      </c>
      <c r="AR100" s="58">
        <f t="shared" ca="1" si="94"/>
        <v>1090261.04</v>
      </c>
      <c r="AS100" s="58">
        <f t="shared" ca="1" si="86"/>
        <v>56000</v>
      </c>
      <c r="AT100" s="36">
        <f t="shared" ca="1" si="87"/>
        <v>0</v>
      </c>
      <c r="AU100" s="58">
        <f t="shared" ca="1" si="88"/>
        <v>0</v>
      </c>
      <c r="AV100" s="85">
        <f t="shared" ca="1" si="89"/>
        <v>0</v>
      </c>
      <c r="AW100" s="58"/>
      <c r="AX100" s="58"/>
      <c r="AY100" s="58"/>
    </row>
    <row r="101" spans="1:51" ht="15">
      <c r="A101" s="92" t="s">
        <v>189</v>
      </c>
      <c r="B101" s="2" t="s">
        <v>343</v>
      </c>
      <c r="C101" s="46">
        <f t="shared" ca="1" si="79"/>
        <v>41089</v>
      </c>
      <c r="E101" s="40">
        <f t="shared" ca="1" si="60"/>
        <v>0.1316935461</v>
      </c>
      <c r="F101" s="40">
        <f t="shared" ca="1" si="80"/>
        <v>0</v>
      </c>
      <c r="G101" s="116" t="s">
        <v>189</v>
      </c>
      <c r="H101" s="116"/>
      <c r="I101" s="116"/>
      <c r="J101" s="116" t="s">
        <v>179</v>
      </c>
      <c r="K101" s="116"/>
      <c r="L101" s="40"/>
      <c r="M101" s="40"/>
      <c r="O101" s="59">
        <f t="shared" ca="1" si="81"/>
        <v>0</v>
      </c>
      <c r="P101" s="59">
        <f t="shared" ca="1" si="81"/>
        <v>0</v>
      </c>
      <c r="Q101" s="59"/>
      <c r="R101" s="59">
        <f t="shared" ca="1" si="82"/>
        <v>0</v>
      </c>
      <c r="S101" s="59">
        <f t="shared" ca="1" si="82"/>
        <v>0</v>
      </c>
      <c r="X101" s="63">
        <f ca="1">XIRR(INDIRECT($X$46&amp;$AI101):INDIRECT($X$46&amp;$AJ101),INDIRECT($X$47&amp;$AI101):INDIRECT($X$47&amp;$AJ101),0.1)</f>
        <v>2.9802322387695314E-9</v>
      </c>
      <c r="Y101" s="63">
        <f t="shared" ca="1" si="83"/>
        <v>-0.99388063811319416</v>
      </c>
      <c r="Z101" s="63">
        <f t="shared" ca="1" si="84"/>
        <v>0.629927298350621</v>
      </c>
      <c r="AA101" s="63">
        <f ca="1">ABS(SUMIF(INDIRECT($AA$46&amp;$AI101):INDIRECT($AA$46&amp;$AJ101),"&lt;0"))/SUMIF(INDIRECT($AA$46&amp;$AI101):INDIRECT($AA$46&amp;$AJ101),"&gt;0")</f>
        <v>1.8259956081952123E-2</v>
      </c>
      <c r="AB101" s="63">
        <f t="shared" ca="1" si="85"/>
        <v>-0.98174004391804792</v>
      </c>
      <c r="AC101" s="316">
        <f ca="1">ABS(SUMIF(INDIRECT($AA$46&amp;$AI101):INDIRECT($AA$46&amp;$AJ101),"&lt;0"))</f>
        <v>396606.24610000011</v>
      </c>
      <c r="AD101" s="316">
        <f ca="1">SUMIF(INDIRECT($AA$46&amp;$AI101):INDIRECT($AA$46&amp;$AJ101),"&gt;0")</f>
        <v>21720000</v>
      </c>
      <c r="AI101" s="77">
        <f t="array" aca="1" ref="AI101" ca="1">MATCH(A101&amp;B101,INDIRECT($AI$47) &amp; INDIRECT($AI$49),0)</f>
        <v>3629</v>
      </c>
      <c r="AJ101" s="54">
        <f t="shared" ca="1" si="67"/>
        <v>3709</v>
      </c>
      <c r="AK101" s="78">
        <f ca="1">COUNTIFS(INDIRECT($AK$46),Summary!A101,INDIRECT($AK$47),Summary!B101)</f>
        <v>81</v>
      </c>
      <c r="AM101" s="79">
        <f ca="1">MATCH(AM$6,INDIRECT($AM$46&amp;$AI101):INDIRECT($AM$46&amp;$AJ101),1)+$AI101-1</f>
        <v>3708</v>
      </c>
      <c r="AN101" s="73">
        <f ca="1">MATCH(AN$6,INDIRECT($AM$46&amp;$AI101):INDIRECT($AM$46&amp;$AJ101),1)+$AI101-1</f>
        <v>3707</v>
      </c>
      <c r="AO101" s="73">
        <f ca="1">MATCH(AO$6,INDIRECT($AM$46&amp;$AI101):INDIRECT($AM$46&amp;$AJ101),1)+$AI101-1</f>
        <v>3707</v>
      </c>
      <c r="AP101" s="58">
        <f t="shared" ca="1" si="75"/>
        <v>131693.54610000001</v>
      </c>
      <c r="AQ101" s="58">
        <f t="shared" ca="1" si="94"/>
        <v>80797.190300000002</v>
      </c>
      <c r="AR101" s="58">
        <f t="shared" ca="1" si="94"/>
        <v>80797.190300000002</v>
      </c>
      <c r="AS101" s="58">
        <f t="shared" ca="1" si="86"/>
        <v>21440000</v>
      </c>
      <c r="AT101" s="36">
        <f t="shared" ca="1" si="87"/>
        <v>0</v>
      </c>
      <c r="AU101" s="58">
        <f t="shared" ca="1" si="88"/>
        <v>0</v>
      </c>
      <c r="AV101" s="85">
        <f t="shared" ca="1" si="89"/>
        <v>0</v>
      </c>
      <c r="AW101" s="58"/>
      <c r="AX101" s="58"/>
      <c r="AY101" s="58"/>
    </row>
    <row r="102" spans="1:51" ht="15.75">
      <c r="A102" s="92" t="s">
        <v>189</v>
      </c>
      <c r="B102" s="2" t="s">
        <v>344</v>
      </c>
      <c r="C102" s="46">
        <f t="shared" ca="1" si="79"/>
        <v>41121</v>
      </c>
      <c r="E102" s="40">
        <f t="shared" ca="1" si="60"/>
        <v>1.3262049999999999E-2</v>
      </c>
      <c r="F102" s="40">
        <f t="shared" ca="1" si="80"/>
        <v>9.9897600000000004</v>
      </c>
      <c r="G102" s="116" t="s">
        <v>189</v>
      </c>
      <c r="H102" s="116"/>
      <c r="I102" s="116"/>
      <c r="J102" s="116" t="s">
        <v>179</v>
      </c>
      <c r="K102" s="116"/>
      <c r="L102" s="40"/>
      <c r="M102" s="40"/>
      <c r="O102" s="59">
        <f t="shared" ca="1" si="81"/>
        <v>0</v>
      </c>
      <c r="P102" s="59">
        <f t="shared" ca="1" si="81"/>
        <v>0</v>
      </c>
      <c r="Q102" s="59"/>
      <c r="R102" s="59">
        <f t="shared" ca="1" si="82"/>
        <v>0</v>
      </c>
      <c r="S102" s="59">
        <f t="shared" ca="1" si="82"/>
        <v>0</v>
      </c>
      <c r="U102" s="65">
        <v>1.4999999999999999E-2</v>
      </c>
      <c r="V102" s="66">
        <v>0.2</v>
      </c>
      <c r="X102" s="63">
        <f ca="1">XIRR(INDIRECT($X$46&amp;$AI102):INDIRECT($X$46&amp;$AJ102),INDIRECT($X$47&amp;$AI102):INDIRECT($X$47&amp;$AJ102),0.1)</f>
        <v>1.4036861062049863E-2</v>
      </c>
      <c r="Y102" s="63">
        <f t="shared" ca="1" si="83"/>
        <v>-0.99933663882728596</v>
      </c>
      <c r="Z102" s="63">
        <f t="shared" ca="1" si="84"/>
        <v>4.5968163631645798E-2</v>
      </c>
      <c r="AA102" s="63">
        <f ca="1">ABS(SUMIF(INDIRECT($AA$46&amp;$AI102):INDIRECT($AA$46&amp;$AJ102),"&lt;0"))/SUMIF(INDIRECT($AA$46&amp;$AI102):INDIRECT($AA$46&amp;$AJ102),"&gt;0")</f>
        <v>1.0326575083882603</v>
      </c>
      <c r="AB102" s="63">
        <f t="shared" ca="1" si="85"/>
        <v>3.2657508388260315E-2</v>
      </c>
      <c r="AC102" s="316">
        <f ca="1">ABS(SUMIF(INDIRECT($AA$46&amp;$AI102):INDIRECT($AA$46&amp;$AJ102),"&lt;0"))</f>
        <v>216238.27572500001</v>
      </c>
      <c r="AD102" s="316">
        <f ca="1">SUMIF(INDIRECT($AA$46&amp;$AI102):INDIRECT($AA$46&amp;$AJ102),"&gt;0")</f>
        <v>209399.8</v>
      </c>
      <c r="AI102" s="77">
        <f t="array" aca="1" ref="AI102" ca="1">MATCH(A102&amp;B102,INDIRECT($AI$47) &amp; INDIRECT($AI$49),0)</f>
        <v>3947</v>
      </c>
      <c r="AJ102" s="54">
        <f t="shared" ca="1" si="67"/>
        <v>4026</v>
      </c>
      <c r="AK102" s="78">
        <f ca="1">COUNTIFS(INDIRECT($AK$46),Summary!A102,INDIRECT($AK$47),Summary!B102)</f>
        <v>80</v>
      </c>
      <c r="AM102" s="79">
        <f ca="1">MATCH(AM$6,INDIRECT($AM$46&amp;$AI102):INDIRECT($AM$46&amp;$AJ102),1)+$AI102-1</f>
        <v>4025</v>
      </c>
      <c r="AN102" s="73">
        <f ca="1">MATCH(AN$6,INDIRECT($AM$46&amp;$AI102):INDIRECT($AM$46&amp;$AJ102),1)+$AI102-1</f>
        <v>4024</v>
      </c>
      <c r="AO102" s="73">
        <f ca="1">MATCH(AO$6,INDIRECT($AM$46&amp;$AI102):INDIRECT($AM$46&amp;$AJ102),1)+$AI102-1</f>
        <v>4024</v>
      </c>
      <c r="AP102" s="58">
        <f t="shared" ca="1" si="75"/>
        <v>13262.05</v>
      </c>
      <c r="AQ102" s="58">
        <f t="shared" ca="1" si="94"/>
        <v>12679.21</v>
      </c>
      <c r="AR102" s="58">
        <f t="shared" ca="1" si="94"/>
        <v>12679.21</v>
      </c>
      <c r="AS102" s="58">
        <f t="shared" ca="1" si="86"/>
        <v>19979521.940000001</v>
      </c>
      <c r="AT102" s="36">
        <f t="shared" ca="1" si="87"/>
        <v>0</v>
      </c>
      <c r="AU102" s="58">
        <f t="shared" ca="1" si="88"/>
        <v>0</v>
      </c>
      <c r="AV102" s="85">
        <f t="shared" ca="1" si="89"/>
        <v>0</v>
      </c>
      <c r="AW102" s="58"/>
      <c r="AX102" s="58"/>
      <c r="AY102" s="58"/>
    </row>
    <row r="103" spans="1:51" ht="13.5">
      <c r="A103" s="92" t="s">
        <v>175</v>
      </c>
      <c r="B103" s="355" t="s">
        <v>299</v>
      </c>
      <c r="C103" s="46">
        <f t="shared" ca="1" si="79"/>
        <v>42597</v>
      </c>
      <c r="E103" s="40">
        <f t="shared" ca="1" si="60"/>
        <v>18.547514618500003</v>
      </c>
      <c r="F103" s="40">
        <f t="shared" ca="1" si="80"/>
        <v>0</v>
      </c>
      <c r="G103" s="116" t="s">
        <v>175</v>
      </c>
      <c r="H103" s="116"/>
      <c r="J103" s="116" t="s">
        <v>180</v>
      </c>
      <c r="K103" s="116"/>
      <c r="O103" s="59">
        <f t="shared" ca="1" si="81"/>
        <v>0</v>
      </c>
      <c r="P103" s="59">
        <f t="shared" ca="1" si="81"/>
        <v>0</v>
      </c>
      <c r="Q103" s="59"/>
      <c r="R103" s="59">
        <f t="shared" ca="1" si="82"/>
        <v>0</v>
      </c>
      <c r="S103" s="59">
        <f t="shared" ca="1" si="82"/>
        <v>0</v>
      </c>
      <c r="X103" s="63">
        <f ca="1">XIRR(INDIRECT($X$46&amp;$AI103):INDIRECT($X$46&amp;$AJ103),INDIRECT($X$47&amp;$AI103):INDIRECT($X$47&amp;$AJ103),0.1)</f>
        <v>9.7895151376724249E-2</v>
      </c>
      <c r="Y103" s="63">
        <f t="shared" ref="Y103:Y166" ca="1" si="95">($AP103-AU103)/(AQ103+AS103)-1</f>
        <v>2.5939847896512269E-2</v>
      </c>
      <c r="Z103" s="63">
        <f t="shared" ref="Z103:Z166" ca="1" si="96">($AP103-AV103)/(AR103+AT103)-1</f>
        <v>3.1359480498495129E-2</v>
      </c>
      <c r="AA103" s="63">
        <f ca="1">ABS(SUMIF(INDIRECT($AA$46&amp;$AI103):INDIRECT($AA$46&amp;$AJ103),"&lt;0"))/SUMIF(INDIRECT($AA$46&amp;$AI103):INDIRECT($AA$46&amp;$AJ103),"&gt;0")</f>
        <v>1.1881209572224851</v>
      </c>
      <c r="AB103" s="63">
        <f t="shared" ref="AB103:AB166" ca="1" si="97">AA103-1</f>
        <v>0.18812095722248512</v>
      </c>
      <c r="AC103" s="316">
        <f ca="1">ABS(SUMIF(INDIRECT($AA$46&amp;$AI103):INDIRECT($AA$46&amp;$AJ103),"&lt;0"))</f>
        <v>21805146.188500002</v>
      </c>
      <c r="AD103" s="316">
        <f ca="1">SUMIF(INDIRECT($AA$46&amp;$AI103):INDIRECT($AA$46&amp;$AJ103),"&gt;0")</f>
        <v>18352631.57</v>
      </c>
      <c r="AI103" s="77">
        <f t="array" aca="1" ref="AI103" ca="1">MATCH(A103&amp;B103,INDIRECT($AI$47) &amp; INDIRECT($AI$49),0)</f>
        <v>1946</v>
      </c>
      <c r="AJ103" s="54">
        <f t="shared" ca="1" si="67"/>
        <v>1990</v>
      </c>
      <c r="AK103" s="78">
        <f ca="1">COUNTIFS(INDIRECT($AK$46),Summary!A103,INDIRECT($AK$47),Summary!B103)</f>
        <v>45</v>
      </c>
      <c r="AM103" s="79">
        <f ca="1">MATCH(AM$6,INDIRECT($AM$46&amp;$AI103):INDIRECT($AM$46&amp;$AJ103),1)+$AI103-1</f>
        <v>1989</v>
      </c>
      <c r="AN103" s="73">
        <f ca="1">MATCH(AN$6,INDIRECT($AM$46&amp;$AI103):INDIRECT($AM$46&amp;$AJ103),1)+$AI103-1</f>
        <v>1988</v>
      </c>
      <c r="AO103" s="73">
        <f ca="1">MATCH(AO$6,INDIRECT($AM$46&amp;$AI103):INDIRECT($AM$46&amp;$AJ103),1)+$AI103-1</f>
        <v>1988</v>
      </c>
      <c r="AP103" s="58">
        <f t="shared" ca="1" si="75"/>
        <v>18547514.618500002</v>
      </c>
      <c r="AQ103" s="58">
        <f t="shared" ca="1" si="94"/>
        <v>17983559.534000002</v>
      </c>
      <c r="AR103" s="58">
        <f t="shared" ca="1" si="94"/>
        <v>17983559.534000002</v>
      </c>
      <c r="AS103" s="58">
        <f t="shared" ca="1" si="86"/>
        <v>95000</v>
      </c>
      <c r="AT103" s="36">
        <f t="shared" ca="1" si="87"/>
        <v>0</v>
      </c>
      <c r="AU103" s="58">
        <f t="shared" ca="1" si="88"/>
        <v>0</v>
      </c>
      <c r="AV103" s="85">
        <f t="shared" ca="1" si="89"/>
        <v>0</v>
      </c>
    </row>
    <row r="104" spans="1:51" ht="13.5">
      <c r="A104" s="355" t="s">
        <v>175</v>
      </c>
      <c r="B104" s="355" t="s">
        <v>300</v>
      </c>
      <c r="C104" s="46">
        <f t="shared" ca="1" si="79"/>
        <v>42597</v>
      </c>
      <c r="E104" s="40">
        <f t="shared" ca="1" si="60"/>
        <v>1.2355455995</v>
      </c>
      <c r="F104" s="40">
        <f t="shared" ca="1" si="80"/>
        <v>0</v>
      </c>
      <c r="G104" s="116" t="s">
        <v>175</v>
      </c>
      <c r="H104" s="116"/>
      <c r="J104" s="116" t="s">
        <v>180</v>
      </c>
      <c r="K104" s="116"/>
      <c r="O104" s="59">
        <f t="shared" ca="1" si="81"/>
        <v>0</v>
      </c>
      <c r="P104" s="59">
        <f t="shared" ca="1" si="81"/>
        <v>0</v>
      </c>
      <c r="Q104" s="59"/>
      <c r="R104" s="59">
        <f t="shared" ca="1" si="82"/>
        <v>0</v>
      </c>
      <c r="S104" s="59">
        <f t="shared" ca="1" si="82"/>
        <v>0</v>
      </c>
      <c r="X104" s="63">
        <f ca="1">XIRR(INDIRECT($X$46&amp;$AI104):INDIRECT($X$46&amp;$AJ104),INDIRECT($X$47&amp;$AI104):INDIRECT($X$47&amp;$AJ104),0.1)</f>
        <v>2.9802322387695314E-9</v>
      </c>
      <c r="Y104" s="63">
        <f t="shared" ca="1" si="95"/>
        <v>-0.41106973152545123</v>
      </c>
      <c r="Z104" s="63">
        <f t="shared" ca="1" si="96"/>
        <v>3.1384240180985845E-2</v>
      </c>
      <c r="AA104" s="63">
        <f ca="1">ABS(SUMIF(INDIRECT($AA$46&amp;$AI104):INDIRECT($AA$46&amp;$AJ104),"&lt;0"))/SUMIF(INDIRECT($AA$46&amp;$AI104):INDIRECT($AA$46&amp;$AJ104),"&gt;0")</f>
        <v>0.68615997146651198</v>
      </c>
      <c r="AB104" s="63">
        <f t="shared" ca="1" si="97"/>
        <v>-0.31384002853348802</v>
      </c>
      <c r="AC104" s="316">
        <f ca="1">ABS(SUMIF(INDIRECT($AA$46&amp;$AI104):INDIRECT($AA$46&amp;$AJ104),"&lt;0"))</f>
        <v>1452721.0395</v>
      </c>
      <c r="AD104" s="316">
        <f ca="1">SUMIF(INDIRECT($AA$46&amp;$AI104):INDIRECT($AA$46&amp;$AJ104),"&gt;0")</f>
        <v>2117175.44</v>
      </c>
      <c r="AI104" s="77">
        <f t="array" aca="1" ref="AI104" ca="1">MATCH(A104&amp;B104,INDIRECT($AI$47) &amp; INDIRECT($AI$49),0)</f>
        <v>1990</v>
      </c>
      <c r="AJ104" s="54">
        <f t="shared" ca="1" si="67"/>
        <v>2034</v>
      </c>
      <c r="AK104" s="78">
        <f ca="1">COUNTIFS(INDIRECT($AK$46),Summary!A104,INDIRECT($AK$47),Summary!B104)</f>
        <v>45</v>
      </c>
      <c r="AM104" s="79">
        <f ca="1">MATCH(AM$6,INDIRECT($AM$46&amp;$AI104):INDIRECT($AM$46&amp;$AJ104),1)+$AI104-1</f>
        <v>2033</v>
      </c>
      <c r="AN104" s="73">
        <f ca="1">MATCH(AN$6,INDIRECT($AM$46&amp;$AI104):INDIRECT($AM$46&amp;$AJ104),1)+$AI104-1</f>
        <v>2032</v>
      </c>
      <c r="AO104" s="73">
        <f ca="1">MATCH(AO$6,INDIRECT($AM$46&amp;$AI104):INDIRECT($AM$46&amp;$AJ104),1)+$AI104-1</f>
        <v>2032</v>
      </c>
      <c r="AP104" s="58">
        <f t="shared" ca="1" si="75"/>
        <v>1235545.5995</v>
      </c>
      <c r="AQ104" s="58">
        <f t="shared" ca="1" si="94"/>
        <v>1197948.8840000001</v>
      </c>
      <c r="AR104" s="58">
        <f t="shared" ca="1" si="94"/>
        <v>1197948.8840000001</v>
      </c>
      <c r="AS104" s="58">
        <f t="shared" ca="1" si="86"/>
        <v>900000</v>
      </c>
      <c r="AT104" s="36">
        <f t="shared" ca="1" si="87"/>
        <v>0</v>
      </c>
      <c r="AU104" s="58">
        <f t="shared" ca="1" si="88"/>
        <v>0</v>
      </c>
      <c r="AV104" s="85">
        <f t="shared" ca="1" si="89"/>
        <v>0</v>
      </c>
    </row>
    <row r="105" spans="1:51" ht="13.5">
      <c r="A105" s="355" t="s">
        <v>175</v>
      </c>
      <c r="B105" s="355" t="s">
        <v>343</v>
      </c>
      <c r="C105" s="46">
        <f t="shared" ca="1" si="79"/>
        <v>42597</v>
      </c>
      <c r="E105" s="40">
        <f t="shared" ca="1" si="60"/>
        <v>25.307492193000002</v>
      </c>
      <c r="F105" s="40">
        <f t="shared" ca="1" si="80"/>
        <v>0</v>
      </c>
      <c r="G105" s="116" t="s">
        <v>175</v>
      </c>
      <c r="H105" s="116"/>
      <c r="J105" s="116" t="s">
        <v>179</v>
      </c>
      <c r="K105" s="116"/>
      <c r="O105" s="59">
        <f t="shared" ca="1" si="81"/>
        <v>0</v>
      </c>
      <c r="P105" s="59">
        <f t="shared" ca="1" si="81"/>
        <v>0</v>
      </c>
      <c r="Q105" s="59"/>
      <c r="R105" s="59">
        <f t="shared" ca="1" si="82"/>
        <v>0</v>
      </c>
      <c r="S105" s="59">
        <f t="shared" ca="1" si="82"/>
        <v>0</v>
      </c>
      <c r="X105" s="63">
        <f ca="1">XIRR(INDIRECT($X$46&amp;$AI105):INDIRECT($X$46&amp;$AJ105),INDIRECT($X$47&amp;$AI105):INDIRECT($X$47&amp;$AJ105),0.1)</f>
        <v>0.15419152379035952</v>
      </c>
      <c r="Y105" s="63">
        <f t="shared" ca="1" si="95"/>
        <v>3.5972380260524073E-2</v>
      </c>
      <c r="Z105" s="63">
        <f t="shared" ca="1" si="96"/>
        <v>3.5972380260524073E-2</v>
      </c>
      <c r="AA105" s="63">
        <f ca="1">ABS(SUMIF(INDIRECT($AA$46&amp;$AI105):INDIRECT($AA$46&amp;$AJ105),"&lt;0"))/SUMIF(INDIRECT($AA$46&amp;$AI105):INDIRECT($AA$46&amp;$AJ105),"&gt;0")</f>
        <v>1.2930689229971846</v>
      </c>
      <c r="AB105" s="63">
        <f t="shared" ca="1" si="97"/>
        <v>0.29306892299718457</v>
      </c>
      <c r="AC105" s="316">
        <f ca="1">ABS(SUMIF(INDIRECT($AA$46&amp;$AI105):INDIRECT($AA$46&amp;$AJ105),"&lt;0"))</f>
        <v>30559351.971097209</v>
      </c>
      <c r="AD105" s="316">
        <f ca="1">SUMIF(INDIRECT($AA$46&amp;$AI105):INDIRECT($AA$46&amp;$AJ105),"&gt;0")</f>
        <v>23633196.52</v>
      </c>
      <c r="AI105" s="77">
        <f t="array" aca="1" ref="AI105" ca="1">MATCH(A105&amp;B105,INDIRECT($AI$47) &amp; INDIRECT($AI$49),0)</f>
        <v>2034</v>
      </c>
      <c r="AJ105" s="54">
        <f t="shared" ca="1" si="67"/>
        <v>2078</v>
      </c>
      <c r="AK105" s="78">
        <f ca="1">COUNTIFS(INDIRECT($AK$46),Summary!A105,INDIRECT($AK$47),Summary!B105)</f>
        <v>45</v>
      </c>
      <c r="AM105" s="79">
        <f ca="1">MATCH(AM$6,INDIRECT($AM$46&amp;$AI105):INDIRECT($AM$46&amp;$AJ105),1)+$AI105-1</f>
        <v>2078</v>
      </c>
      <c r="AN105" s="73">
        <f ca="1">MATCH(AN$6,INDIRECT($AM$46&amp;$AI105):INDIRECT($AM$46&amp;$AJ105),1)+$AI105-1</f>
        <v>2077</v>
      </c>
      <c r="AO105" s="73">
        <f ca="1">MATCH(AO$6,INDIRECT($AM$46&amp;$AI105):INDIRECT($AM$46&amp;$AJ105),1)+$AI105-1</f>
        <v>2077</v>
      </c>
      <c r="AP105" s="58">
        <f t="shared" ca="1" si="75"/>
        <v>25307492.193</v>
      </c>
      <c r="AQ105" s="58">
        <f t="shared" ca="1" si="94"/>
        <v>24428732.536899999</v>
      </c>
      <c r="AR105" s="58">
        <f t="shared" ca="1" si="94"/>
        <v>24428732.536899999</v>
      </c>
      <c r="AS105" s="58">
        <f t="shared" ca="1" si="86"/>
        <v>0</v>
      </c>
      <c r="AT105" s="36">
        <f t="shared" ca="1" si="87"/>
        <v>0</v>
      </c>
      <c r="AU105" s="58">
        <f t="shared" ca="1" si="88"/>
        <v>0</v>
      </c>
      <c r="AV105" s="85">
        <f t="shared" ca="1" si="89"/>
        <v>0</v>
      </c>
    </row>
    <row r="106" spans="1:51" ht="13.5">
      <c r="A106" s="355" t="s">
        <v>175</v>
      </c>
      <c r="B106" s="355" t="s">
        <v>302</v>
      </c>
      <c r="C106" s="46">
        <f t="shared" ca="1" si="79"/>
        <v>42695</v>
      </c>
      <c r="E106" s="40">
        <f t="shared" ca="1" si="60"/>
        <v>0.33877642450000001</v>
      </c>
      <c r="F106" s="40">
        <f t="shared" ca="1" si="80"/>
        <v>0</v>
      </c>
      <c r="G106" s="116" t="s">
        <v>175</v>
      </c>
      <c r="H106" s="116"/>
      <c r="J106" s="116" t="s">
        <v>180</v>
      </c>
      <c r="K106" s="116"/>
      <c r="O106" s="59">
        <f t="shared" ca="1" si="81"/>
        <v>0</v>
      </c>
      <c r="P106" s="59">
        <f t="shared" ca="1" si="81"/>
        <v>0</v>
      </c>
      <c r="Q106" s="59"/>
      <c r="R106" s="59">
        <f t="shared" ca="1" si="82"/>
        <v>0</v>
      </c>
      <c r="S106" s="59">
        <f t="shared" ca="1" si="82"/>
        <v>0</v>
      </c>
      <c r="X106" s="63">
        <f ca="1">XIRR(INDIRECT($X$46&amp;$AI106):INDIRECT($X$46&amp;$AJ106),INDIRECT($X$47&amp;$AI106):INDIRECT($X$47&amp;$AJ106),0.1)</f>
        <v>-2.375311404466629E-2</v>
      </c>
      <c r="Y106" s="63">
        <f t="shared" ca="1" si="95"/>
        <v>-0.1483851540558242</v>
      </c>
      <c r="Z106" s="63">
        <f t="shared" ca="1" si="96"/>
        <v>2.7203010884538914E-2</v>
      </c>
      <c r="AA106" s="63">
        <f ca="1">ABS(SUMIF(INDIRECT($AA$46&amp;$AI106):INDIRECT($AA$46&amp;$AJ106),"&lt;0"))/SUMIF(INDIRECT($AA$46&amp;$AI106):INDIRECT($AA$46&amp;$AJ106),"&gt;0")</f>
        <v>0.95884903893389251</v>
      </c>
      <c r="AB106" s="63">
        <f t="shared" ca="1" si="97"/>
        <v>-4.1150961066107494E-2</v>
      </c>
      <c r="AC106" s="316">
        <f ca="1">ABS(SUMIF(INDIRECT($AA$46&amp;$AI106):INDIRECT($AA$46&amp;$AJ106),"&lt;0"))</f>
        <v>401322.55450000003</v>
      </c>
      <c r="AD106" s="316">
        <f ca="1">SUMIF(INDIRECT($AA$46&amp;$AI106):INDIRECT($AA$46&amp;$AJ106),"&gt;0")</f>
        <v>418546.13</v>
      </c>
      <c r="AI106" s="77">
        <f t="array" aca="1" ref="AI106" ca="1">MATCH(A106&amp;B106,INDIRECT($AI$47) &amp; INDIRECT($AI$49),0)</f>
        <v>2079</v>
      </c>
      <c r="AJ106" s="54">
        <f t="shared" ca="1" si="67"/>
        <v>2116</v>
      </c>
      <c r="AK106" s="78">
        <f ca="1">COUNTIFS(INDIRECT($AK$46),Summary!A106,INDIRECT($AK$47),Summary!B106)</f>
        <v>38</v>
      </c>
      <c r="AM106" s="79">
        <f ca="1">MATCH(AM$6,INDIRECT($AM$46&amp;$AI106):INDIRECT($AM$46&amp;$AJ106),1)+$AI106-1</f>
        <v>2115</v>
      </c>
      <c r="AN106" s="73">
        <f ca="1">MATCH(AN$6,INDIRECT($AM$46&amp;$AI106):INDIRECT($AM$46&amp;$AJ106),1)+$AI106-1</f>
        <v>2114</v>
      </c>
      <c r="AO106" s="73">
        <f ca="1">MATCH(AO$6,INDIRECT($AM$46&amp;$AI106):INDIRECT($AM$46&amp;$AJ106),1)+$AI106-1</f>
        <v>2114</v>
      </c>
      <c r="AP106" s="58">
        <f t="shared" ca="1" si="75"/>
        <v>338776.42450000002</v>
      </c>
      <c r="AQ106" s="58">
        <f t="shared" ca="1" si="94"/>
        <v>329804.74249999999</v>
      </c>
      <c r="AR106" s="58">
        <f t="shared" ca="1" si="94"/>
        <v>329804.74249999999</v>
      </c>
      <c r="AS106" s="58">
        <f t="shared" ca="1" si="86"/>
        <v>68000</v>
      </c>
      <c r="AT106" s="36">
        <f t="shared" ca="1" si="87"/>
        <v>0</v>
      </c>
      <c r="AU106" s="58">
        <f t="shared" ca="1" si="88"/>
        <v>0</v>
      </c>
      <c r="AV106" s="85">
        <f t="shared" ca="1" si="89"/>
        <v>0</v>
      </c>
    </row>
    <row r="107" spans="1:51" ht="13.5">
      <c r="A107" s="355" t="s">
        <v>175</v>
      </c>
      <c r="B107" s="355" t="s">
        <v>303</v>
      </c>
      <c r="C107" s="46">
        <f t="shared" ca="1" si="79"/>
        <v>42695</v>
      </c>
      <c r="E107" s="40">
        <f t="shared" ca="1" si="60"/>
        <v>1.1763116495000001</v>
      </c>
      <c r="F107" s="40">
        <f t="shared" ca="1" si="80"/>
        <v>0</v>
      </c>
      <c r="G107" s="116" t="s">
        <v>175</v>
      </c>
      <c r="H107" s="116"/>
      <c r="J107" s="116" t="s">
        <v>180</v>
      </c>
      <c r="K107" s="116"/>
      <c r="O107" s="59">
        <f t="shared" ca="1" si="81"/>
        <v>0</v>
      </c>
      <c r="P107" s="59">
        <f t="shared" ca="1" si="81"/>
        <v>0</v>
      </c>
      <c r="Q107" s="59"/>
      <c r="R107" s="59">
        <f t="shared" ca="1" si="82"/>
        <v>0</v>
      </c>
      <c r="S107" s="59">
        <f t="shared" ca="1" si="82"/>
        <v>0</v>
      </c>
      <c r="X107" s="63">
        <f ca="1">XIRR(INDIRECT($X$46&amp;$AI107):INDIRECT($X$46&amp;$AJ107),INDIRECT($X$47&amp;$AI107):INDIRECT($X$47&amp;$AJ107),0.1)</f>
        <v>2.9802322387695314E-9</v>
      </c>
      <c r="Y107" s="63">
        <f t="shared" ca="1" si="95"/>
        <v>-0.20795391005890551</v>
      </c>
      <c r="Z107" s="63">
        <f t="shared" ca="1" si="96"/>
        <v>2.7206867565871429E-2</v>
      </c>
      <c r="AA107" s="63">
        <f ca="1">ABS(SUMIF(INDIRECT($AA$46&amp;$AI107):INDIRECT($AA$46&amp;$AJ107),"&lt;0"))/SUMIF(INDIRECT($AA$46&amp;$AI107):INDIRECT($AA$46&amp;$AJ107),"&gt;0")</f>
        <v>0.89488124054923446</v>
      </c>
      <c r="AB107" s="63">
        <f t="shared" ca="1" si="97"/>
        <v>-0.10511875945076554</v>
      </c>
      <c r="AC107" s="316">
        <f ca="1">ABS(SUMIF(INDIRECT($AA$46&amp;$AI107):INDIRECT($AA$46&amp;$AJ107),"&lt;0"))</f>
        <v>1393487.0895</v>
      </c>
      <c r="AD107" s="316">
        <f ca="1">SUMIF(INDIRECT($AA$46&amp;$AI107):INDIRECT($AA$46&amp;$AJ107),"&gt;0")</f>
        <v>1557175.44</v>
      </c>
      <c r="AI107" s="77">
        <f t="array" aca="1" ref="AI107" ca="1">MATCH(A107&amp;B107,INDIRECT($AI$47) &amp; INDIRECT($AI$49),0)</f>
        <v>2116</v>
      </c>
      <c r="AJ107" s="54">
        <f t="shared" ca="1" si="67"/>
        <v>2153</v>
      </c>
      <c r="AK107" s="78">
        <f ca="1">COUNTIFS(INDIRECT($AK$46),Summary!A107,INDIRECT($AK$47),Summary!B107)</f>
        <v>38</v>
      </c>
      <c r="AM107" s="79">
        <f ca="1">MATCH(AM$6,INDIRECT($AM$46&amp;$AI107):INDIRECT($AM$46&amp;$AJ107),1)+$AI107-1</f>
        <v>2152</v>
      </c>
      <c r="AN107" s="73">
        <f ca="1">MATCH(AN$6,INDIRECT($AM$46&amp;$AI107):INDIRECT($AM$46&amp;$AJ107),1)+$AI107-1</f>
        <v>2151</v>
      </c>
      <c r="AO107" s="73">
        <f ca="1">MATCH(AO$6,INDIRECT($AM$46&amp;$AI107):INDIRECT($AM$46&amp;$AJ107),1)+$AI107-1</f>
        <v>2151</v>
      </c>
      <c r="AP107" s="58">
        <f t="shared" ca="1" si="75"/>
        <v>1176311.6495000001</v>
      </c>
      <c r="AQ107" s="58">
        <f t="shared" ca="1" si="94"/>
        <v>1145155.554</v>
      </c>
      <c r="AR107" s="58">
        <f t="shared" ca="1" si="94"/>
        <v>1145155.554</v>
      </c>
      <c r="AS107" s="58">
        <f t="shared" ca="1" si="86"/>
        <v>340000</v>
      </c>
      <c r="AT107" s="36">
        <f t="shared" ca="1" si="87"/>
        <v>0</v>
      </c>
      <c r="AU107" s="58">
        <f t="shared" ca="1" si="88"/>
        <v>0</v>
      </c>
      <c r="AV107" s="85">
        <f t="shared" ca="1" si="89"/>
        <v>0</v>
      </c>
    </row>
    <row r="108" spans="1:51" ht="13.5">
      <c r="A108" s="355" t="s">
        <v>175</v>
      </c>
      <c r="B108" s="355" t="s">
        <v>325</v>
      </c>
      <c r="C108" s="46">
        <f t="shared" ca="1" si="79"/>
        <v>42695</v>
      </c>
      <c r="E108" s="40">
        <f t="shared" ca="1" si="60"/>
        <v>5.9939694719999999</v>
      </c>
      <c r="F108" s="40">
        <f t="shared" ca="1" si="80"/>
        <v>0</v>
      </c>
      <c r="G108" s="116" t="s">
        <v>175</v>
      </c>
      <c r="H108" s="116"/>
      <c r="J108" s="116" t="s">
        <v>180</v>
      </c>
      <c r="K108" s="116"/>
      <c r="O108" s="59">
        <f t="shared" ca="1" si="81"/>
        <v>0</v>
      </c>
      <c r="P108" s="59">
        <f t="shared" ca="1" si="81"/>
        <v>0</v>
      </c>
      <c r="Q108" s="59"/>
      <c r="R108" s="59">
        <f t="shared" ca="1" si="82"/>
        <v>0</v>
      </c>
      <c r="S108" s="59">
        <f t="shared" ca="1" si="82"/>
        <v>0</v>
      </c>
      <c r="X108" s="63">
        <f ca="1">XIRR(INDIRECT($X$46&amp;$AI108):INDIRECT($X$46&amp;$AJ108),INDIRECT($X$47&amp;$AI108):INDIRECT($X$47&amp;$AJ108),0.1)</f>
        <v>8.5899659991264324E-2</v>
      </c>
      <c r="Y108" s="63">
        <f t="shared" ca="1" si="95"/>
        <v>1.509400969933572E-2</v>
      </c>
      <c r="Z108" s="63">
        <f t="shared" ca="1" si="96"/>
        <v>2.6919992963915451E-2</v>
      </c>
      <c r="AA108" s="63">
        <f ca="1">ABS(SUMIF(INDIRECT($AA$46&amp;$AI108):INDIRECT($AA$46&amp;$AJ108),"&lt;0"))/SUMIF(INDIRECT($AA$46&amp;$AI108):INDIRECT($AA$46&amp;$AJ108),"&gt;0")</f>
        <v>1.1504692803269936</v>
      </c>
      <c r="AB108" s="63">
        <f t="shared" ca="1" si="97"/>
        <v>0.15046928032699358</v>
      </c>
      <c r="AC108" s="316">
        <f ca="1">ABS(SUMIF(INDIRECT($AA$46&amp;$AI108):INDIRECT($AA$46&amp;$AJ108),"&lt;0"))</f>
        <v>7079846.6620000005</v>
      </c>
      <c r="AD108" s="316">
        <f ca="1">SUMIF(INDIRECT($AA$46&amp;$AI108):INDIRECT($AA$46&amp;$AJ108),"&gt;0")</f>
        <v>6153877.1899999995</v>
      </c>
      <c r="AI108" s="77">
        <f t="array" aca="1" ref="AI108" ca="1">MATCH(A108&amp;B108,INDIRECT($AI$47) &amp; INDIRECT($AI$49),0)</f>
        <v>2153</v>
      </c>
      <c r="AJ108" s="54">
        <f t="shared" ca="1" si="67"/>
        <v>2190</v>
      </c>
      <c r="AK108" s="78">
        <f ca="1">COUNTIFS(INDIRECT($AK$46),Summary!A108,INDIRECT($AK$47),Summary!B108)</f>
        <v>38</v>
      </c>
      <c r="AM108" s="79">
        <f ca="1">MATCH(AM$6,INDIRECT($AM$46&amp;$AI108):INDIRECT($AM$46&amp;$AJ108),1)+$AI108-1</f>
        <v>2189</v>
      </c>
      <c r="AN108" s="73">
        <f ca="1">MATCH(AN$6,INDIRECT($AM$46&amp;$AI108):INDIRECT($AM$46&amp;$AJ108),1)+$AI108-1</f>
        <v>2188</v>
      </c>
      <c r="AO108" s="73">
        <f ca="1">MATCH(AO$6,INDIRECT($AM$46&amp;$AI108):INDIRECT($AM$46&amp;$AJ108),1)+$AI108-1</f>
        <v>2188</v>
      </c>
      <c r="AP108" s="58">
        <f t="shared" ca="1" si="75"/>
        <v>5993969.4720000001</v>
      </c>
      <c r="AQ108" s="58">
        <f t="shared" ca="1" si="94"/>
        <v>5836841.7335999999</v>
      </c>
      <c r="AR108" s="58">
        <f t="shared" ca="1" si="94"/>
        <v>5836841.7335999999</v>
      </c>
      <c r="AS108" s="58">
        <f t="shared" ca="1" si="86"/>
        <v>68000</v>
      </c>
      <c r="AT108" s="36">
        <f t="shared" ca="1" si="87"/>
        <v>0</v>
      </c>
      <c r="AU108" s="58">
        <f t="shared" ca="1" si="88"/>
        <v>0</v>
      </c>
      <c r="AV108" s="85">
        <f t="shared" ca="1" si="89"/>
        <v>0</v>
      </c>
    </row>
    <row r="109" spans="1:51" ht="13.5">
      <c r="A109" s="355" t="s">
        <v>175</v>
      </c>
      <c r="B109" s="355" t="s">
        <v>326</v>
      </c>
      <c r="C109" s="46">
        <f t="shared" ca="1" si="79"/>
        <v>42695</v>
      </c>
      <c r="E109" s="40">
        <f t="shared" ca="1" si="60"/>
        <v>3.1270473700000001</v>
      </c>
      <c r="F109" s="40">
        <f t="shared" ca="1" si="80"/>
        <v>0</v>
      </c>
      <c r="G109" s="116" t="s">
        <v>175</v>
      </c>
      <c r="H109" s="116"/>
      <c r="J109" s="116" t="s">
        <v>180</v>
      </c>
      <c r="K109" s="116"/>
      <c r="O109" s="59">
        <f t="shared" ca="1" si="81"/>
        <v>0</v>
      </c>
      <c r="P109" s="59">
        <f t="shared" ca="1" si="81"/>
        <v>0</v>
      </c>
      <c r="Q109" s="59"/>
      <c r="R109" s="59">
        <f t="shared" ca="1" si="82"/>
        <v>0</v>
      </c>
      <c r="S109" s="59">
        <f t="shared" ca="1" si="82"/>
        <v>0</v>
      </c>
      <c r="X109" s="63">
        <f ca="1">XIRR(INDIRECT($X$46&amp;$AI109):INDIRECT($X$46&amp;$AJ109),INDIRECT($X$47&amp;$AI109):INDIRECT($X$47&amp;$AJ109),0.1)</f>
        <v>5.0158986449241647E-2</v>
      </c>
      <c r="Y109" s="63">
        <f t="shared" ca="1" si="95"/>
        <v>-6.8918249461814907E-2</v>
      </c>
      <c r="Z109" s="63">
        <f t="shared" ca="1" si="96"/>
        <v>2.3864612900236892E-2</v>
      </c>
      <c r="AA109" s="63">
        <f ca="1">ABS(SUMIF(INDIRECT($AA$46&amp;$AI109):INDIRECT($AA$46&amp;$AJ109),"&lt;0"))/SUMIF(INDIRECT($AA$46&amp;$AI109):INDIRECT($AA$46&amp;$AJ109),"&gt;0")</f>
        <v>1.0777387400198026</v>
      </c>
      <c r="AB109" s="63">
        <f t="shared" ca="1" si="97"/>
        <v>7.7738740019802632E-2</v>
      </c>
      <c r="AC109" s="316">
        <f ca="1">ABS(SUMIF(INDIRECT($AA$46&amp;$AI109):INDIRECT($AA$46&amp;$AJ109),"&lt;0"))</f>
        <v>3669986.47</v>
      </c>
      <c r="AD109" s="316">
        <f ca="1">SUMIF(INDIRECT($AA$46&amp;$AI109):INDIRECT($AA$46&amp;$AJ109),"&gt;0")</f>
        <v>3405265.4263245352</v>
      </c>
      <c r="AI109" s="77">
        <f t="array" aca="1" ref="AI109" ca="1">MATCH(A109&amp;B109,INDIRECT($AI$47) &amp; INDIRECT($AI$49),0)</f>
        <v>2190</v>
      </c>
      <c r="AJ109" s="54">
        <f t="shared" ca="1" si="67"/>
        <v>2228</v>
      </c>
      <c r="AK109" s="78">
        <f ca="1">COUNTIFS(INDIRECT($AK$46),Summary!A109,INDIRECT($AK$47),Summary!B109)</f>
        <v>39</v>
      </c>
      <c r="AM109" s="79">
        <f ca="1">MATCH(AM$6,INDIRECT($AM$46&amp;$AI109):INDIRECT($AM$46&amp;$AJ109),1)+$AI109-1</f>
        <v>2227</v>
      </c>
      <c r="AN109" s="73">
        <f ca="1">MATCH(AN$6,INDIRECT($AM$46&amp;$AI109):INDIRECT($AM$46&amp;$AJ109),1)+$AI109-1</f>
        <v>2226</v>
      </c>
      <c r="AO109" s="73">
        <f ca="1">MATCH(AO$6,INDIRECT($AM$46&amp;$AI109):INDIRECT($AM$46&amp;$AJ109),1)+$AI109-1</f>
        <v>2226</v>
      </c>
      <c r="AP109" s="58">
        <f t="shared" ca="1" si="75"/>
        <v>3127047.37</v>
      </c>
      <c r="AQ109" s="58">
        <f t="shared" ca="1" si="94"/>
        <v>3054161</v>
      </c>
      <c r="AR109" s="58">
        <f t="shared" ca="1" si="94"/>
        <v>3054161</v>
      </c>
      <c r="AS109" s="58">
        <f t="shared" ca="1" si="86"/>
        <v>304349</v>
      </c>
      <c r="AT109" s="36">
        <f t="shared" ca="1" si="87"/>
        <v>0</v>
      </c>
      <c r="AU109" s="58">
        <f t="shared" ca="1" si="88"/>
        <v>0</v>
      </c>
      <c r="AV109" s="85">
        <f t="shared" ca="1" si="89"/>
        <v>0</v>
      </c>
    </row>
    <row r="110" spans="1:51" ht="13.5">
      <c r="A110" s="355" t="s">
        <v>175</v>
      </c>
      <c r="B110" s="355" t="s">
        <v>327</v>
      </c>
      <c r="C110" s="46">
        <f t="shared" ca="1" si="79"/>
        <v>42881</v>
      </c>
      <c r="E110" s="40">
        <f t="shared" ca="1" si="60"/>
        <v>1.83953181</v>
      </c>
      <c r="F110" s="40">
        <f t="shared" ca="1" si="80"/>
        <v>0</v>
      </c>
      <c r="G110" s="116" t="s">
        <v>175</v>
      </c>
      <c r="H110" s="116"/>
      <c r="J110" s="116" t="s">
        <v>180</v>
      </c>
      <c r="K110" s="116"/>
      <c r="O110" s="59">
        <f t="shared" ca="1" si="81"/>
        <v>0</v>
      </c>
      <c r="P110" s="59">
        <f t="shared" ca="1" si="81"/>
        <v>0</v>
      </c>
      <c r="Q110" s="59"/>
      <c r="R110" s="59">
        <f t="shared" ca="1" si="82"/>
        <v>0</v>
      </c>
      <c r="S110" s="59">
        <f t="shared" ca="1" si="82"/>
        <v>0</v>
      </c>
      <c r="X110" s="63">
        <f ca="1">XIRR(INDIRECT($X$46&amp;$AI110):INDIRECT($X$46&amp;$AJ110),INDIRECT($X$47&amp;$AI110):INDIRECT($X$47&amp;$AJ110),0.1)</f>
        <v>2.627437412738801E-2</v>
      </c>
      <c r="Y110" s="63">
        <f t="shared" ca="1" si="95"/>
        <v>-0.10289259684269103</v>
      </c>
      <c r="Z110" s="63">
        <f t="shared" ca="1" si="96"/>
        <v>-4.374705681311486E-3</v>
      </c>
      <c r="AA110" s="63">
        <f ca="1">ABS(SUMIF(INDIRECT($AA$46&amp;$AI110):INDIRECT($AA$46&amp;$AJ110),"&lt;0"))/SUMIF(INDIRECT($AA$46&amp;$AI110):INDIRECT($AA$46&amp;$AJ110),"&gt;0")</f>
        <v>1.0388342264531001</v>
      </c>
      <c r="AB110" s="63">
        <f t="shared" ca="1" si="97"/>
        <v>3.8834226453100085E-2</v>
      </c>
      <c r="AC110" s="316">
        <f ca="1">ABS(SUMIF(INDIRECT($AA$46&amp;$AI110):INDIRECT($AA$46&amp;$AJ110),"&lt;0"))</f>
        <v>2104045.25</v>
      </c>
      <c r="AD110" s="316">
        <f ca="1">SUMIF(INDIRECT($AA$46&amp;$AI110):INDIRECT($AA$46&amp;$AJ110),"&gt;0")</f>
        <v>2025390.766324535</v>
      </c>
      <c r="AI110" s="77">
        <f t="array" aca="1" ref="AI110" ca="1">MATCH(A110&amp;B110,INDIRECT($AI$47) &amp; INDIRECT($AI$49),0)</f>
        <v>2228</v>
      </c>
      <c r="AJ110" s="54">
        <f t="shared" ca="1" si="67"/>
        <v>2255</v>
      </c>
      <c r="AK110" s="78">
        <f ca="1">COUNTIFS(INDIRECT($AK$46),Summary!A110,INDIRECT($AK$47),Summary!B110)</f>
        <v>28</v>
      </c>
      <c r="AM110" s="79">
        <f ca="1">MATCH(AM$6,INDIRECT($AM$46&amp;$AI110):INDIRECT($AM$46&amp;$AJ110),1)+$AI110-1</f>
        <v>2254</v>
      </c>
      <c r="AN110" s="73">
        <f ca="1">MATCH(AN$6,INDIRECT($AM$46&amp;$AI110):INDIRECT($AM$46&amp;$AJ110),1)+$AI110-1</f>
        <v>2253</v>
      </c>
      <c r="AO110" s="73">
        <f ca="1">MATCH(AO$6,INDIRECT($AM$46&amp;$AI110):INDIRECT($AM$46&amp;$AJ110),1)+$AI110-1</f>
        <v>2253</v>
      </c>
      <c r="AP110" s="58">
        <f t="shared" ca="1" si="75"/>
        <v>1839531.81</v>
      </c>
      <c r="AQ110" s="58">
        <f t="shared" ca="1" si="94"/>
        <v>1847614.58</v>
      </c>
      <c r="AR110" s="58">
        <f t="shared" ca="1" si="94"/>
        <v>1847614.58</v>
      </c>
      <c r="AS110" s="58">
        <f t="shared" ca="1" si="86"/>
        <v>202900</v>
      </c>
      <c r="AT110" s="36">
        <f t="shared" ca="1" si="87"/>
        <v>0</v>
      </c>
      <c r="AU110" s="58">
        <f t="shared" ca="1" si="88"/>
        <v>0</v>
      </c>
      <c r="AV110" s="85">
        <f t="shared" ca="1" si="89"/>
        <v>0</v>
      </c>
    </row>
    <row r="111" spans="1:51" ht="13.5">
      <c r="A111" s="355" t="s">
        <v>175</v>
      </c>
      <c r="B111" s="355" t="s">
        <v>328</v>
      </c>
      <c r="C111" s="46">
        <f t="shared" ca="1" si="79"/>
        <v>42881</v>
      </c>
      <c r="E111" s="40">
        <f t="shared" ca="1" si="60"/>
        <v>1.2415743349999999</v>
      </c>
      <c r="F111" s="40">
        <f t="shared" ca="1" si="80"/>
        <v>0</v>
      </c>
      <c r="G111" s="116" t="s">
        <v>175</v>
      </c>
      <c r="H111" s="116"/>
      <c r="J111" s="116" t="s">
        <v>180</v>
      </c>
      <c r="K111" s="116"/>
      <c r="O111" s="59">
        <f t="shared" ca="1" si="81"/>
        <v>0</v>
      </c>
      <c r="P111" s="59">
        <f t="shared" ca="1" si="81"/>
        <v>0</v>
      </c>
      <c r="Q111" s="59"/>
      <c r="R111" s="59">
        <f t="shared" ca="1" si="82"/>
        <v>0</v>
      </c>
      <c r="S111" s="59">
        <f t="shared" ca="1" si="82"/>
        <v>0</v>
      </c>
      <c r="X111" s="63">
        <f ca="1">XIRR(INDIRECT($X$46&amp;$AI111):INDIRECT($X$46&amp;$AJ111),INDIRECT($X$47&amp;$AI111):INDIRECT($X$47&amp;$AJ111),0.1)</f>
        <v>2.9802322387695314E-9</v>
      </c>
      <c r="Y111" s="63">
        <f t="shared" ca="1" si="95"/>
        <v>-0.62275142076640155</v>
      </c>
      <c r="Z111" s="63">
        <f t="shared" ca="1" si="96"/>
        <v>6.469580453391055E-2</v>
      </c>
      <c r="AA111" s="63">
        <f ca="1">ABS(SUMIF(INDIRECT($AA$46&amp;$AI111):INDIRECT($AA$46&amp;$AJ111),"&lt;0"))/SUMIF(INDIRECT($AA$46&amp;$AI111):INDIRECT($AA$46&amp;$AJ111),"&gt;0")</f>
        <v>0.44159381563825234</v>
      </c>
      <c r="AB111" s="63">
        <f t="shared" ca="1" si="97"/>
        <v>-0.5584061843617476</v>
      </c>
      <c r="AC111" s="316">
        <f ca="1">ABS(SUMIF(INDIRECT($AA$46&amp;$AI111):INDIRECT($AA$46&amp;$AJ111),"&lt;0"))</f>
        <v>1519999.9950000001</v>
      </c>
      <c r="AD111" s="316">
        <f ca="1">SUMIF(INDIRECT($AA$46&amp;$AI111):INDIRECT($AA$46&amp;$AJ111),"&gt;0")</f>
        <v>3442077.1785562402</v>
      </c>
      <c r="AI111" s="77">
        <f t="array" aca="1" ref="AI111" ca="1">MATCH(A111&amp;B111,INDIRECT($AI$47) &amp; INDIRECT($AI$49),0)</f>
        <v>2255</v>
      </c>
      <c r="AJ111" s="54">
        <f t="shared" ca="1" si="67"/>
        <v>2282</v>
      </c>
      <c r="AK111" s="78">
        <f ca="1">COUNTIFS(INDIRECT($AK$46),Summary!A111,INDIRECT($AK$47),Summary!B111)</f>
        <v>28</v>
      </c>
      <c r="AM111" s="79">
        <f ca="1">MATCH(AM$6,INDIRECT($AM$46&amp;$AI111):INDIRECT($AM$46&amp;$AJ111),1)+$AI111-1</f>
        <v>2281</v>
      </c>
      <c r="AN111" s="73">
        <f ca="1">MATCH(AN$6,INDIRECT($AM$46&amp;$AI111):INDIRECT($AM$46&amp;$AJ111),1)+$AI111-1</f>
        <v>2280</v>
      </c>
      <c r="AO111" s="73">
        <f ca="1">MATCH(AO$6,INDIRECT($AM$46&amp;$AI111):INDIRECT($AM$46&amp;$AJ111),1)+$AI111-1</f>
        <v>2280</v>
      </c>
      <c r="AP111" s="58">
        <f t="shared" ca="1" si="75"/>
        <v>1241574.335</v>
      </c>
      <c r="AQ111" s="58">
        <f t="shared" ca="1" si="94"/>
        <v>1166130.5789999999</v>
      </c>
      <c r="AR111" s="58">
        <f t="shared" ca="1" si="94"/>
        <v>1166130.5789999999</v>
      </c>
      <c r="AS111" s="58">
        <f t="shared" ca="1" si="86"/>
        <v>2125000</v>
      </c>
      <c r="AT111" s="36">
        <f t="shared" ca="1" si="87"/>
        <v>0</v>
      </c>
      <c r="AU111" s="58">
        <f t="shared" ca="1" si="88"/>
        <v>0</v>
      </c>
      <c r="AV111" s="85">
        <f t="shared" ca="1" si="89"/>
        <v>0</v>
      </c>
    </row>
    <row r="112" spans="1:51" ht="13.5">
      <c r="A112" s="355" t="s">
        <v>175</v>
      </c>
      <c r="B112" s="355" t="s">
        <v>347</v>
      </c>
      <c r="C112" s="46">
        <f t="shared" ca="1" si="79"/>
        <v>42695</v>
      </c>
      <c r="E112" s="40">
        <f t="shared" ca="1" si="60"/>
        <v>35.603596240000002</v>
      </c>
      <c r="F112" s="40">
        <f t="shared" ca="1" si="80"/>
        <v>0</v>
      </c>
      <c r="G112" s="116" t="s">
        <v>175</v>
      </c>
      <c r="H112" s="116"/>
      <c r="J112" s="116" t="s">
        <v>179</v>
      </c>
      <c r="K112" s="116"/>
      <c r="O112" s="59">
        <f t="shared" ref="O112:P131" ca="1" si="98">INDIRECT(O$47&amp;$AJ112)</f>
        <v>0</v>
      </c>
      <c r="P112" s="59">
        <f t="shared" ca="1" si="98"/>
        <v>0</v>
      </c>
      <c r="Q112" s="59"/>
      <c r="R112" s="59">
        <f t="shared" ref="R112:S131" ca="1" si="99">INDIRECT(R$47&amp;$AJ112)</f>
        <v>0</v>
      </c>
      <c r="S112" s="59">
        <f t="shared" ca="1" si="99"/>
        <v>0</v>
      </c>
      <c r="X112" s="63">
        <f ca="1">XIRR(INDIRECT($X$46&amp;$AI112):INDIRECT($X$46&amp;$AJ112),INDIRECT($X$47&amp;$AI112):INDIRECT($X$47&amp;$AJ112),0.1)</f>
        <v>0.10976946949958802</v>
      </c>
      <c r="Y112" s="63">
        <f t="shared" ca="1" si="95"/>
        <v>2.4216741163625599E-2</v>
      </c>
      <c r="Z112" s="63">
        <f t="shared" ca="1" si="96"/>
        <v>2.4216741163625599E-2</v>
      </c>
      <c r="AA112" s="63">
        <f ca="1">ABS(SUMIF(INDIRECT($AA$46&amp;$AI112):INDIRECT($AA$46&amp;$AJ112),"&lt;0"))/SUMIF(INDIRECT($AA$46&amp;$AI112):INDIRECT($AA$46&amp;$AJ112),"&gt;0")</f>
        <v>1.1858684632795418</v>
      </c>
      <c r="AB112" s="63">
        <f t="shared" ca="1" si="97"/>
        <v>0.18586846327954176</v>
      </c>
      <c r="AC112" s="316">
        <f ca="1">ABS(SUMIF(INDIRECT($AA$46&amp;$AI112):INDIRECT($AA$46&amp;$AJ112),"&lt;0"))</f>
        <v>43956285.343108103</v>
      </c>
      <c r="AD112" s="316">
        <f ca="1">SUMIF(INDIRECT($AA$46&amp;$AI112):INDIRECT($AA$46&amp;$AJ112),"&gt;0")</f>
        <v>37066746.189999998</v>
      </c>
      <c r="AI112" s="77">
        <f t="array" aca="1" ref="AI112" ca="1">MATCH(A112&amp;B112,INDIRECT($AI$47) &amp; INDIRECT($AI$49),0)</f>
        <v>2282</v>
      </c>
      <c r="AJ112" s="54">
        <f t="shared" ca="1" si="67"/>
        <v>2319</v>
      </c>
      <c r="AK112" s="78">
        <f ca="1">COUNTIFS(INDIRECT($AK$46),Summary!A112,INDIRECT($AK$47),Summary!B112)</f>
        <v>38</v>
      </c>
      <c r="AM112" s="79">
        <f ca="1">MATCH(AM$6,INDIRECT($AM$46&amp;$AI112):INDIRECT($AM$46&amp;$AJ112),1)+$AI112-1</f>
        <v>2319</v>
      </c>
      <c r="AN112" s="73">
        <f ca="1">MATCH(AN$6,INDIRECT($AM$46&amp;$AI112):INDIRECT($AM$46&amp;$AJ112),1)+$AI112-1</f>
        <v>2318</v>
      </c>
      <c r="AO112" s="73">
        <f ca="1">MATCH(AO$6,INDIRECT($AM$46&amp;$AI112):INDIRECT($AM$46&amp;$AJ112),1)+$AI112-1</f>
        <v>2318</v>
      </c>
      <c r="AP112" s="58">
        <f t="shared" ca="1" si="75"/>
        <v>35603596.240000002</v>
      </c>
      <c r="AQ112" s="58">
        <f t="shared" ca="1" si="94"/>
        <v>34761779.229999997</v>
      </c>
      <c r="AR112" s="58">
        <f t="shared" ca="1" si="94"/>
        <v>34761779.229999997</v>
      </c>
      <c r="AS112" s="58">
        <f t="shared" ca="1" si="86"/>
        <v>0</v>
      </c>
      <c r="AT112" s="36">
        <f t="shared" ca="1" si="87"/>
        <v>0</v>
      </c>
      <c r="AU112" s="58">
        <f t="shared" ca="1" si="88"/>
        <v>0</v>
      </c>
      <c r="AV112" s="85">
        <f t="shared" ca="1" si="89"/>
        <v>0</v>
      </c>
    </row>
    <row r="113" spans="1:48" ht="13.5">
      <c r="A113" s="355" t="s">
        <v>175</v>
      </c>
      <c r="B113" s="355" t="s">
        <v>329</v>
      </c>
      <c r="C113" s="46">
        <f t="shared" ca="1" si="79"/>
        <v>42947</v>
      </c>
      <c r="E113" s="40">
        <f t="shared" ca="1" si="60"/>
        <v>0.57923660900000007</v>
      </c>
      <c r="F113" s="40">
        <f t="shared" ca="1" si="80"/>
        <v>0</v>
      </c>
      <c r="G113" s="116" t="s">
        <v>175</v>
      </c>
      <c r="H113" s="116"/>
      <c r="J113" s="116" t="s">
        <v>180</v>
      </c>
      <c r="K113" s="116"/>
      <c r="O113" s="59">
        <f t="shared" ca="1" si="98"/>
        <v>1.1551999999999999E-4</v>
      </c>
      <c r="P113" s="59">
        <f t="shared" ca="1" si="98"/>
        <v>0</v>
      </c>
      <c r="Q113" s="59"/>
      <c r="R113" s="59">
        <f t="shared" ca="1" si="99"/>
        <v>0</v>
      </c>
      <c r="S113" s="59">
        <f t="shared" ca="1" si="99"/>
        <v>0</v>
      </c>
      <c r="X113" s="63">
        <f ca="1">XIRR(INDIRECT($X$46&amp;$AI113):INDIRECT($X$46&amp;$AJ113),INDIRECT($X$47&amp;$AI113):INDIRECT($X$47&amp;$AJ113),0.1)</f>
        <v>2.9802322387695314E-9</v>
      </c>
      <c r="Y113" s="63">
        <f t="shared" ca="1" si="95"/>
        <v>2.4756540877212352E-2</v>
      </c>
      <c r="Z113" s="63">
        <f t="shared" ca="1" si="96"/>
        <v>2.4756540877212352E-2</v>
      </c>
      <c r="AA113" s="63">
        <f ca="1">ABS(SUMIF(INDIRECT($AA$46&amp;$AI113):INDIRECT($AA$46&amp;$AJ113),"&lt;0"))/SUMIF(INDIRECT($AA$46&amp;$AI113):INDIRECT($AA$46&amp;$AJ113),"&gt;0")</f>
        <v>1.1411787580234714</v>
      </c>
      <c r="AB113" s="63">
        <f t="shared" ca="1" si="97"/>
        <v>0.14117875802347135</v>
      </c>
      <c r="AC113" s="316">
        <f ca="1">ABS(SUMIF(INDIRECT($AA$46&amp;$AI113):INDIRECT($AA$46&amp;$AJ113),"&lt;0"))</f>
        <v>640486.82900000003</v>
      </c>
      <c r="AD113" s="316">
        <f ca="1">SUMIF(INDIRECT($AA$46&amp;$AI113):INDIRECT($AA$46&amp;$AJ113),"&gt;0")</f>
        <v>561250.22</v>
      </c>
      <c r="AI113" s="77">
        <f t="array" aca="1" ref="AI113" ca="1">MATCH(A113&amp;B113,INDIRECT($AI$47) &amp; INDIRECT($AI$49),0)</f>
        <v>2320</v>
      </c>
      <c r="AJ113" s="54">
        <f t="shared" ca="1" si="67"/>
        <v>2343</v>
      </c>
      <c r="AK113" s="78">
        <f ca="1">COUNTIFS(INDIRECT($AK$46),Summary!A113,INDIRECT($AK$47),Summary!B113)</f>
        <v>24</v>
      </c>
      <c r="AM113" s="79">
        <f ca="1">MATCH(AM$6,INDIRECT($AM$46&amp;$AI113):INDIRECT($AM$46&amp;$AJ113),1)+$AI113-1</f>
        <v>2342</v>
      </c>
      <c r="AN113" s="73">
        <f ca="1">MATCH(AN$6,INDIRECT($AM$46&amp;$AI113):INDIRECT($AM$46&amp;$AJ113),1)+$AI113-1</f>
        <v>2341</v>
      </c>
      <c r="AO113" s="73">
        <f ca="1">MATCH(AO$6,INDIRECT($AM$46&amp;$AI113):INDIRECT($AM$46&amp;$AJ113),1)+$AI113-1</f>
        <v>2341</v>
      </c>
      <c r="AP113" s="58">
        <f t="shared" ca="1" si="75"/>
        <v>579236.60900000005</v>
      </c>
      <c r="AQ113" s="58">
        <f t="shared" ca="1" si="94"/>
        <v>565243.14399999997</v>
      </c>
      <c r="AR113" s="58">
        <f t="shared" ca="1" si="94"/>
        <v>565243.14399999997</v>
      </c>
      <c r="AS113" s="58">
        <f t="shared" ca="1" si="86"/>
        <v>0</v>
      </c>
      <c r="AT113" s="36">
        <f t="shared" ca="1" si="87"/>
        <v>0</v>
      </c>
      <c r="AU113" s="58">
        <f t="shared" ca="1" si="88"/>
        <v>0</v>
      </c>
      <c r="AV113" s="85">
        <f t="shared" ca="1" si="89"/>
        <v>0</v>
      </c>
    </row>
    <row r="114" spans="1:48" ht="13.5">
      <c r="A114" s="355" t="s">
        <v>175</v>
      </c>
      <c r="B114" s="355" t="s">
        <v>330</v>
      </c>
      <c r="C114" s="46">
        <f t="shared" ca="1" si="79"/>
        <v>42947</v>
      </c>
      <c r="E114" s="40">
        <f t="shared" ca="1" si="60"/>
        <v>0.115847519</v>
      </c>
      <c r="F114" s="40">
        <f t="shared" ca="1" si="80"/>
        <v>0</v>
      </c>
      <c r="G114" s="116" t="s">
        <v>175</v>
      </c>
      <c r="H114" s="116"/>
      <c r="J114" s="116" t="s">
        <v>180</v>
      </c>
      <c r="K114" s="116"/>
      <c r="O114" s="59">
        <f t="shared" ca="1" si="98"/>
        <v>5.7761599999999998E-3</v>
      </c>
      <c r="P114" s="59">
        <f t="shared" ca="1" si="98"/>
        <v>0</v>
      </c>
      <c r="Q114" s="59"/>
      <c r="R114" s="59">
        <f t="shared" ca="1" si="99"/>
        <v>0</v>
      </c>
      <c r="S114" s="59">
        <f t="shared" ca="1" si="99"/>
        <v>0</v>
      </c>
      <c r="X114" s="63">
        <f ca="1">XIRR(INDIRECT($X$46&amp;$AI114):INDIRECT($X$46&amp;$AJ114),INDIRECT($X$47&amp;$AI114):INDIRECT($X$47&amp;$AJ114),0.1)</f>
        <v>2.9802322387695314E-9</v>
      </c>
      <c r="Y114" s="63">
        <f t="shared" ca="1" si="95"/>
        <v>2.4758501000520905E-2</v>
      </c>
      <c r="Z114" s="63">
        <f t="shared" ca="1" si="96"/>
        <v>2.4758501000520905E-2</v>
      </c>
      <c r="AA114" s="63">
        <f ca="1">ABS(SUMIF(INDIRECT($AA$46&amp;$AI114):INDIRECT($AA$46&amp;$AJ114),"&lt;0"))/SUMIF(INDIRECT($AA$46&amp;$AI114):INDIRECT($AA$46&amp;$AJ114),"&gt;0")</f>
        <v>1.1411805198465854</v>
      </c>
      <c r="AB114" s="63">
        <f t="shared" ca="1" si="97"/>
        <v>0.14118051984658542</v>
      </c>
      <c r="AC114" s="316">
        <f ca="1">ABS(SUMIF(INDIRECT($AA$46&amp;$AI114):INDIRECT($AA$46&amp;$AJ114),"&lt;0"))</f>
        <v>128097.55900000001</v>
      </c>
      <c r="AD114" s="316">
        <f ca="1">SUMIF(INDIRECT($AA$46&amp;$AI114):INDIRECT($AA$46&amp;$AJ114),"&gt;0")</f>
        <v>112250.04000000001</v>
      </c>
      <c r="AI114" s="77">
        <f t="array" aca="1" ref="AI114" ca="1">MATCH(A114&amp;B114,INDIRECT($AI$47) &amp; INDIRECT($AI$49),0)</f>
        <v>2343</v>
      </c>
      <c r="AJ114" s="54">
        <f t="shared" ca="1" si="67"/>
        <v>2366</v>
      </c>
      <c r="AK114" s="78">
        <f ca="1">COUNTIFS(INDIRECT($AK$46),Summary!A114,INDIRECT($AK$47),Summary!B114)</f>
        <v>24</v>
      </c>
      <c r="AM114" s="79">
        <f ca="1">MATCH(AM$6,INDIRECT($AM$46&amp;$AI114):INDIRECT($AM$46&amp;$AJ114),1)+$AI114-1</f>
        <v>2365</v>
      </c>
      <c r="AN114" s="73">
        <f ca="1">MATCH(AN$6,INDIRECT($AM$46&amp;$AI114):INDIRECT($AM$46&amp;$AJ114),1)+$AI114-1</f>
        <v>2364</v>
      </c>
      <c r="AO114" s="73">
        <f ca="1">MATCH(AO$6,INDIRECT($AM$46&amp;$AI114):INDIRECT($AM$46&amp;$AJ114),1)+$AI114-1</f>
        <v>2364</v>
      </c>
      <c r="AP114" s="58">
        <f t="shared" ca="1" si="75"/>
        <v>115847.519</v>
      </c>
      <c r="AQ114" s="58">
        <f t="shared" ca="1" si="94"/>
        <v>113048.605</v>
      </c>
      <c r="AR114" s="58">
        <f t="shared" ca="1" si="94"/>
        <v>113048.605</v>
      </c>
      <c r="AS114" s="58">
        <f t="shared" ca="1" si="86"/>
        <v>0</v>
      </c>
      <c r="AT114" s="36">
        <f t="shared" ca="1" si="87"/>
        <v>0</v>
      </c>
      <c r="AU114" s="58">
        <f t="shared" ca="1" si="88"/>
        <v>0</v>
      </c>
      <c r="AV114" s="85">
        <f t="shared" ca="1" si="89"/>
        <v>0</v>
      </c>
    </row>
    <row r="115" spans="1:48" ht="13.5">
      <c r="A115" s="355" t="s">
        <v>175</v>
      </c>
      <c r="B115" s="355" t="s">
        <v>331</v>
      </c>
      <c r="C115" s="46">
        <f t="shared" ca="1" si="79"/>
        <v>42947</v>
      </c>
      <c r="E115" s="40">
        <f t="shared" ca="1" si="60"/>
        <v>5.7923702889999999</v>
      </c>
      <c r="F115" s="40">
        <f t="shared" ca="1" si="80"/>
        <v>0</v>
      </c>
      <c r="G115" s="116" t="s">
        <v>175</v>
      </c>
      <c r="H115" s="116"/>
      <c r="J115" s="116" t="s">
        <v>180</v>
      </c>
      <c r="K115" s="116"/>
      <c r="O115" s="59">
        <f t="shared" ca="1" si="98"/>
        <v>1.1552299999999999E-3</v>
      </c>
      <c r="P115" s="59">
        <f t="shared" ca="1" si="98"/>
        <v>0</v>
      </c>
      <c r="Q115" s="59"/>
      <c r="R115" s="59">
        <f t="shared" ca="1" si="99"/>
        <v>0</v>
      </c>
      <c r="S115" s="59">
        <f t="shared" ca="1" si="99"/>
        <v>0</v>
      </c>
      <c r="X115" s="63">
        <f ca="1">XIRR(INDIRECT($X$46&amp;$AI115):INDIRECT($X$46&amp;$AJ115),INDIRECT($X$47&amp;$AI115):INDIRECT($X$47&amp;$AJ115),0.1)</f>
        <v>2.9802322387695314E-9</v>
      </c>
      <c r="Y115" s="63">
        <f t="shared" ca="1" si="95"/>
        <v>2.4757242136175917E-2</v>
      </c>
      <c r="Z115" s="63">
        <f t="shared" ca="1" si="96"/>
        <v>2.4757242136175917E-2</v>
      </c>
      <c r="AA115" s="63">
        <f ca="1">ABS(SUMIF(INDIRECT($AA$46&amp;$AI115):INDIRECT($AA$46&amp;$AJ115),"&lt;0"))/SUMIF(INDIRECT($AA$46&amp;$AI115):INDIRECT($AA$46&amp;$AJ115),"&gt;0")</f>
        <v>1.1411795064261705</v>
      </c>
      <c r="AB115" s="63">
        <f t="shared" ca="1" si="97"/>
        <v>0.1411795064261705</v>
      </c>
      <c r="AC115" s="316">
        <f ca="1">ABS(SUMIF(INDIRECT($AA$46&amp;$AI115):INDIRECT($AA$46&amp;$AJ115),"&lt;0"))</f>
        <v>6404872.4790000003</v>
      </c>
      <c r="AD115" s="316">
        <f ca="1">SUMIF(INDIRECT($AA$46&amp;$AI115):INDIRECT($AA$46&amp;$AJ115),"&gt;0")</f>
        <v>5612502.1899999995</v>
      </c>
      <c r="AI115" s="77">
        <f t="array" aca="1" ref="AI115" ca="1">MATCH(A115&amp;B115,INDIRECT($AI$47) &amp; INDIRECT($AI$49),0)</f>
        <v>2366</v>
      </c>
      <c r="AJ115" s="54">
        <f t="shared" ca="1" si="67"/>
        <v>2389</v>
      </c>
      <c r="AK115" s="78">
        <f ca="1">COUNTIFS(INDIRECT($AK$46),Summary!A115,INDIRECT($AK$47),Summary!B115)</f>
        <v>24</v>
      </c>
      <c r="AM115" s="79">
        <f ca="1">MATCH(AM$6,INDIRECT($AM$46&amp;$AI115):INDIRECT($AM$46&amp;$AJ115),1)+$AI115-1</f>
        <v>2388</v>
      </c>
      <c r="AN115" s="73">
        <f ca="1">MATCH(AN$6,INDIRECT($AM$46&amp;$AI115):INDIRECT($AM$46&amp;$AJ115),1)+$AI115-1</f>
        <v>2387</v>
      </c>
      <c r="AO115" s="73">
        <f ca="1">MATCH(AO$6,INDIRECT($AM$46&amp;$AI115):INDIRECT($AM$46&amp;$AJ115),1)+$AI115-1</f>
        <v>2387</v>
      </c>
      <c r="AP115" s="58">
        <f t="shared" ca="1" si="75"/>
        <v>5792370.2889999999</v>
      </c>
      <c r="AQ115" s="58">
        <f t="shared" ca="1" si="94"/>
        <v>5652431.6694999998</v>
      </c>
      <c r="AR115" s="58">
        <f t="shared" ca="1" si="94"/>
        <v>5652431.6694999998</v>
      </c>
      <c r="AS115" s="58">
        <f t="shared" ca="1" si="86"/>
        <v>0</v>
      </c>
      <c r="AT115" s="36">
        <f t="shared" ca="1" si="87"/>
        <v>0</v>
      </c>
      <c r="AU115" s="58">
        <f t="shared" ca="1" si="88"/>
        <v>0</v>
      </c>
      <c r="AV115" s="85">
        <f t="shared" ca="1" si="89"/>
        <v>0</v>
      </c>
    </row>
    <row r="116" spans="1:48" ht="13.5">
      <c r="A116" s="355" t="s">
        <v>175</v>
      </c>
      <c r="B116" s="355" t="s">
        <v>332</v>
      </c>
      <c r="C116" s="46">
        <f t="shared" ca="1" si="79"/>
        <v>42947</v>
      </c>
      <c r="E116" s="40">
        <f t="shared" ca="1" si="60"/>
        <v>1.1584732350000002</v>
      </c>
      <c r="F116" s="40">
        <f t="shared" ca="1" si="80"/>
        <v>0</v>
      </c>
      <c r="G116" s="116" t="s">
        <v>175</v>
      </c>
      <c r="H116" s="116"/>
      <c r="J116" s="116" t="s">
        <v>180</v>
      </c>
      <c r="K116" s="116"/>
      <c r="O116" s="59">
        <f t="shared" ca="1" si="98"/>
        <v>0</v>
      </c>
      <c r="P116" s="59">
        <f t="shared" ca="1" si="98"/>
        <v>0</v>
      </c>
      <c r="Q116" s="59"/>
      <c r="R116" s="59">
        <f t="shared" ca="1" si="99"/>
        <v>0</v>
      </c>
      <c r="S116" s="59">
        <f t="shared" ca="1" si="99"/>
        <v>0</v>
      </c>
      <c r="X116" s="63">
        <f ca="1">XIRR(INDIRECT($X$46&amp;$AI116):INDIRECT($X$46&amp;$AJ116),INDIRECT($X$47&amp;$AI116):INDIRECT($X$47&amp;$AJ116),0.1)</f>
        <v>2.9802322387695314E-9</v>
      </c>
      <c r="Y116" s="63">
        <f t="shared" ca="1" si="95"/>
        <v>2.4756555914988931E-2</v>
      </c>
      <c r="Z116" s="63">
        <f t="shared" ca="1" si="96"/>
        <v>2.4756555914988931E-2</v>
      </c>
      <c r="AA116" s="63">
        <f ca="1">ABS(SUMIF(INDIRECT($AA$46&amp;$AI116):INDIRECT($AA$46&amp;$AJ116),"&lt;0"))/SUMIF(INDIRECT($AA$46&amp;$AI116):INDIRECT($AA$46&amp;$AJ116),"&gt;0")</f>
        <v>1.1411787731682315</v>
      </c>
      <c r="AB116" s="63">
        <f t="shared" ca="1" si="97"/>
        <v>0.14117877316823146</v>
      </c>
      <c r="AC116" s="316">
        <f ca="1">ABS(SUMIF(INDIRECT($AA$46&amp;$AI116):INDIRECT($AA$46&amp;$AJ116),"&lt;0"))</f>
        <v>1280973.675</v>
      </c>
      <c r="AD116" s="316">
        <f ca="1">SUMIF(INDIRECT($AA$46&amp;$AI116):INDIRECT($AA$46&amp;$AJ116),"&gt;0")</f>
        <v>1122500.44</v>
      </c>
      <c r="AI116" s="77">
        <f t="array" aca="1" ref="AI116" ca="1">MATCH(A116&amp;B116,INDIRECT($AI$47) &amp; INDIRECT($AI$49),0)</f>
        <v>2389</v>
      </c>
      <c r="AJ116" s="54">
        <f t="shared" ca="1" si="67"/>
        <v>2412</v>
      </c>
      <c r="AK116" s="78">
        <f ca="1">COUNTIFS(INDIRECT($AK$46),Summary!A116,INDIRECT($AK$47),Summary!B116)</f>
        <v>24</v>
      </c>
      <c r="AM116" s="79">
        <f ca="1">MATCH(AM$6,INDIRECT($AM$46&amp;$AI116):INDIRECT($AM$46&amp;$AJ116),1)+$AI116-1</f>
        <v>2411</v>
      </c>
      <c r="AN116" s="73">
        <f ca="1">MATCH(AN$6,INDIRECT($AM$46&amp;$AI116):INDIRECT($AM$46&amp;$AJ116),1)+$AI116-1</f>
        <v>2410</v>
      </c>
      <c r="AO116" s="73">
        <f ca="1">MATCH(AO$6,INDIRECT($AM$46&amp;$AI116):INDIRECT($AM$46&amp;$AJ116),1)+$AI116-1</f>
        <v>2410</v>
      </c>
      <c r="AP116" s="58">
        <f t="shared" ca="1" si="75"/>
        <v>1158473.2350000001</v>
      </c>
      <c r="AQ116" s="58">
        <f t="shared" ca="1" si="75"/>
        <v>1130486.2879999999</v>
      </c>
      <c r="AR116" s="58">
        <f t="shared" ca="1" si="75"/>
        <v>1130486.2879999999</v>
      </c>
      <c r="AS116" s="58">
        <f t="shared" ca="1" si="86"/>
        <v>0</v>
      </c>
      <c r="AT116" s="36">
        <f t="shared" ca="1" si="87"/>
        <v>0</v>
      </c>
      <c r="AU116" s="58">
        <f t="shared" ca="1" si="88"/>
        <v>0</v>
      </c>
      <c r="AV116" s="85">
        <f t="shared" ca="1" si="89"/>
        <v>0</v>
      </c>
    </row>
    <row r="117" spans="1:48" ht="13.5">
      <c r="A117" s="355" t="s">
        <v>175</v>
      </c>
      <c r="B117" s="355" t="s">
        <v>348</v>
      </c>
      <c r="C117" s="46">
        <f t="shared" ca="1" si="79"/>
        <v>42947</v>
      </c>
      <c r="E117" s="40">
        <f t="shared" ca="1" si="60"/>
        <v>1.20501185</v>
      </c>
      <c r="F117" s="40">
        <f t="shared" ca="1" si="80"/>
        <v>0</v>
      </c>
      <c r="G117" s="116" t="s">
        <v>175</v>
      </c>
      <c r="H117" s="116"/>
      <c r="J117" s="116" t="s">
        <v>179</v>
      </c>
      <c r="K117" s="116"/>
      <c r="O117" s="59">
        <f t="shared" ca="1" si="98"/>
        <v>0</v>
      </c>
      <c r="P117" s="59">
        <f t="shared" ca="1" si="98"/>
        <v>0</v>
      </c>
      <c r="Q117" s="59"/>
      <c r="R117" s="59">
        <f t="shared" ca="1" si="99"/>
        <v>0</v>
      </c>
      <c r="S117" s="59">
        <f t="shared" ca="1" si="99"/>
        <v>0</v>
      </c>
      <c r="X117" s="63">
        <f ca="1">XIRR(INDIRECT($X$46&amp;$AI117):INDIRECT($X$46&amp;$AJ117),INDIRECT($X$47&amp;$AI117):INDIRECT($X$47&amp;$AJ117),0.1)</f>
        <v>2.9802322387695314E-9</v>
      </c>
      <c r="Y117" s="63">
        <f t="shared" ca="1" si="95"/>
        <v>2.1565025619835865E-2</v>
      </c>
      <c r="Z117" s="63">
        <f t="shared" ca="1" si="96"/>
        <v>2.1565025619835865E-2</v>
      </c>
      <c r="AA117" s="63">
        <f ca="1">ABS(SUMIF(INDIRECT($AA$46&amp;$AI117):INDIRECT($AA$46&amp;$AJ117),"&lt;0"))/SUMIF(INDIRECT($AA$46&amp;$AI117):INDIRECT($AA$46&amp;$AJ117),"&gt;0")</f>
        <v>1.1826385475626184</v>
      </c>
      <c r="AB117" s="63">
        <f t="shared" ca="1" si="97"/>
        <v>0.18263854756261844</v>
      </c>
      <c r="AC117" s="316">
        <f ca="1">ABS(SUMIF(INDIRECT($AA$46&amp;$AI117):INDIRECT($AA$46&amp;$AJ117),"&lt;0"))</f>
        <v>1327512.29</v>
      </c>
      <c r="AD117" s="316">
        <f ca="1">SUMIF(INDIRECT($AA$46&amp;$AI117):INDIRECT($AA$46&amp;$AJ117),"&gt;0")</f>
        <v>1122500.44</v>
      </c>
      <c r="AI117" s="77">
        <f t="array" aca="1" ref="AI117" ca="1">MATCH(A117&amp;B117,INDIRECT($AI$47) &amp; INDIRECT($AI$49),0)</f>
        <v>2412</v>
      </c>
      <c r="AJ117" s="54">
        <f t="shared" ca="1" si="67"/>
        <v>2434</v>
      </c>
      <c r="AK117" s="78">
        <f ca="1">COUNTIFS(INDIRECT($AK$46),Summary!A117,INDIRECT($AK$47),Summary!B117)</f>
        <v>23</v>
      </c>
      <c r="AM117" s="79">
        <f ca="1">MATCH(AM$6,INDIRECT($AM$46&amp;$AI117):INDIRECT($AM$46&amp;$AJ117),1)+$AI117-1</f>
        <v>2434</v>
      </c>
      <c r="AN117" s="73">
        <f ca="1">MATCH(AN$6,INDIRECT($AM$46&amp;$AI117):INDIRECT($AM$46&amp;$AJ117),1)+$AI117-1</f>
        <v>2433</v>
      </c>
      <c r="AO117" s="73">
        <f ca="1">MATCH(AO$6,INDIRECT($AM$46&amp;$AI117):INDIRECT($AM$46&amp;$AJ117),1)+$AI117-1</f>
        <v>2433</v>
      </c>
      <c r="AP117" s="58">
        <f t="shared" ca="1" si="75"/>
        <v>1205011.8500000001</v>
      </c>
      <c r="AQ117" s="58">
        <f t="shared" ca="1" si="75"/>
        <v>1179574.3</v>
      </c>
      <c r="AR117" s="58">
        <f t="shared" ca="1" si="75"/>
        <v>1179574.3</v>
      </c>
      <c r="AS117" s="58">
        <f t="shared" ca="1" si="86"/>
        <v>0</v>
      </c>
      <c r="AT117" s="36">
        <f t="shared" ca="1" si="87"/>
        <v>0</v>
      </c>
      <c r="AU117" s="58">
        <f t="shared" ca="1" si="88"/>
        <v>0</v>
      </c>
      <c r="AV117" s="85">
        <f t="shared" ca="1" si="89"/>
        <v>0</v>
      </c>
    </row>
    <row r="118" spans="1:48" ht="13.5">
      <c r="A118" s="355" t="s">
        <v>175</v>
      </c>
      <c r="B118" s="355" t="s">
        <v>333</v>
      </c>
      <c r="C118" s="46">
        <f t="shared" ca="1" si="79"/>
        <v>43087</v>
      </c>
      <c r="E118" s="40">
        <f t="shared" ca="1" si="60"/>
        <v>0.1744038315</v>
      </c>
      <c r="F118" s="40">
        <f t="shared" ca="1" si="80"/>
        <v>0</v>
      </c>
      <c r="G118" s="116" t="s">
        <v>175</v>
      </c>
      <c r="H118" s="116"/>
      <c r="J118" s="116" t="s">
        <v>180</v>
      </c>
      <c r="K118" s="116"/>
      <c r="O118" s="59">
        <f t="shared" ca="1" si="98"/>
        <v>0</v>
      </c>
      <c r="P118" s="59">
        <f t="shared" ca="1" si="98"/>
        <v>0</v>
      </c>
      <c r="Q118" s="59"/>
      <c r="R118" s="59">
        <f t="shared" ca="1" si="99"/>
        <v>0</v>
      </c>
      <c r="S118" s="59">
        <f t="shared" ca="1" si="99"/>
        <v>0</v>
      </c>
      <c r="X118" s="63">
        <f ca="1">XIRR(INDIRECT($X$46&amp;$AI118):INDIRECT($X$46&amp;$AJ118),INDIRECT($X$47&amp;$AI118):INDIRECT($X$47&amp;$AJ118),0.1)</f>
        <v>7.4707069993019112E-2</v>
      </c>
      <c r="Y118" s="63">
        <f t="shared" ca="1" si="95"/>
        <v>-3.6524554472003423E-2</v>
      </c>
      <c r="Z118" s="63">
        <f t="shared" ca="1" si="96"/>
        <v>2.5070748899295614E-2</v>
      </c>
      <c r="AA118" s="63">
        <f ca="1">ABS(SUMIF(INDIRECT($AA$46&amp;$AI118):INDIRECT($AA$46&amp;$AJ118),"&lt;0"))/SUMIF(INDIRECT($AA$46&amp;$AI118):INDIRECT($AA$46&amp;$AJ118),"&gt;0")</f>
        <v>1.0840818233805951</v>
      </c>
      <c r="AB118" s="63">
        <f t="shared" ca="1" si="97"/>
        <v>8.4081823380595111E-2</v>
      </c>
      <c r="AC118" s="316">
        <f ca="1">ABS(SUMIF(INDIRECT($AA$46&amp;$AI118):INDIRECT($AA$46&amp;$AJ118),"&lt;0"))</f>
        <v>174403.8315</v>
      </c>
      <c r="AD118" s="316">
        <f ca="1">SUMIF(INDIRECT($AA$46&amp;$AI118):INDIRECT($AA$46&amp;$AJ118),"&gt;0")</f>
        <v>160877</v>
      </c>
      <c r="AI118" s="77">
        <f t="array" aca="1" ref="AI118" ca="1">MATCH(A118&amp;B118,INDIRECT($AI$47) &amp; INDIRECT($AI$49),0)</f>
        <v>2435</v>
      </c>
      <c r="AJ118" s="54">
        <f t="shared" ca="1" si="67"/>
        <v>2451</v>
      </c>
      <c r="AK118" s="78">
        <f ca="1">COUNTIFS(INDIRECT($AK$46),Summary!A118,INDIRECT($AK$47),Summary!B118)</f>
        <v>17</v>
      </c>
      <c r="AM118" s="79">
        <f ca="1">MATCH(AM$6,INDIRECT($AM$46&amp;$AI118):INDIRECT($AM$46&amp;$AJ118),1)+$AI118-1</f>
        <v>2450</v>
      </c>
      <c r="AN118" s="73">
        <f ca="1">MATCH(AN$6,INDIRECT($AM$46&amp;$AI118):INDIRECT($AM$46&amp;$AJ118),1)+$AI118-1</f>
        <v>2449</v>
      </c>
      <c r="AO118" s="73">
        <f ca="1">MATCH(AO$6,INDIRECT($AM$46&amp;$AI118):INDIRECT($AM$46&amp;$AJ118),1)+$AI118-1</f>
        <v>2449</v>
      </c>
      <c r="AP118" s="58">
        <f t="shared" ca="1" si="75"/>
        <v>174403.8315</v>
      </c>
      <c r="AQ118" s="58">
        <f t="shared" ca="1" si="75"/>
        <v>170138.33600000001</v>
      </c>
      <c r="AR118" s="58">
        <f t="shared" ca="1" si="75"/>
        <v>170138.33600000001</v>
      </c>
      <c r="AS118" s="58">
        <f t="shared" ca="1" si="86"/>
        <v>10877</v>
      </c>
      <c r="AT118" s="36">
        <f t="shared" ca="1" si="87"/>
        <v>0</v>
      </c>
      <c r="AU118" s="58">
        <f t="shared" ca="1" si="88"/>
        <v>0</v>
      </c>
      <c r="AV118" s="85">
        <f t="shared" ca="1" si="89"/>
        <v>0</v>
      </c>
    </row>
    <row r="119" spans="1:48" ht="13.5">
      <c r="A119" s="355" t="s">
        <v>175</v>
      </c>
      <c r="B119" s="355" t="s">
        <v>334</v>
      </c>
      <c r="C119" s="46">
        <f t="shared" ca="1" si="79"/>
        <v>43087</v>
      </c>
      <c r="E119" s="40">
        <f t="shared" ca="1" si="60"/>
        <v>0.1162688725</v>
      </c>
      <c r="F119" s="40">
        <f t="shared" ca="1" si="80"/>
        <v>0</v>
      </c>
      <c r="G119" s="116" t="s">
        <v>175</v>
      </c>
      <c r="H119" s="116"/>
      <c r="J119" s="116" t="s">
        <v>180</v>
      </c>
      <c r="K119" s="116"/>
      <c r="O119" s="59">
        <f t="shared" ca="1" si="98"/>
        <v>0</v>
      </c>
      <c r="P119" s="59">
        <f t="shared" ca="1" si="98"/>
        <v>0</v>
      </c>
      <c r="Q119" s="59"/>
      <c r="R119" s="59">
        <f t="shared" ca="1" si="99"/>
        <v>0</v>
      </c>
      <c r="S119" s="59">
        <f t="shared" ca="1" si="99"/>
        <v>0</v>
      </c>
      <c r="X119" s="63">
        <f ca="1">XIRR(INDIRECT($X$46&amp;$AI119):INDIRECT($X$46&amp;$AJ119),INDIRECT($X$47&amp;$AI119):INDIRECT($X$47&amp;$AJ119),0.1)</f>
        <v>-7.7018968760967255E-2</v>
      </c>
      <c r="Y119" s="63">
        <f t="shared" ca="1" si="95"/>
        <v>-0.17316736087645035</v>
      </c>
      <c r="Z119" s="63">
        <f t="shared" ca="1" si="96"/>
        <v>2.5067317917665477E-2</v>
      </c>
      <c r="AA119" s="63">
        <f ca="1">ABS(SUMIF(INDIRECT($AA$46&amp;$AI119):INDIRECT($AA$46&amp;$AJ119),"&lt;0"))/SUMIF(INDIRECT($AA$46&amp;$AI119):INDIRECT($AA$46&amp;$AJ119),"&gt;0")</f>
        <v>0.91410658128528077</v>
      </c>
      <c r="AB119" s="63">
        <f t="shared" ca="1" si="97"/>
        <v>-8.5893418714719227E-2</v>
      </c>
      <c r="AC119" s="316">
        <f ca="1">ABS(SUMIF(INDIRECT($AA$46&amp;$AI119):INDIRECT($AA$46&amp;$AJ119),"&lt;0"))</f>
        <v>116268.8725</v>
      </c>
      <c r="AD119" s="316">
        <f ca="1">SUMIF(INDIRECT($AA$46&amp;$AI119):INDIRECT($AA$46&amp;$AJ119),"&gt;0")</f>
        <v>127194</v>
      </c>
      <c r="AI119" s="77">
        <f t="array" aca="1" ref="AI119" ca="1">MATCH(A119&amp;B119,INDIRECT($AI$47) &amp; INDIRECT($AI$49),0)</f>
        <v>2451</v>
      </c>
      <c r="AJ119" s="54">
        <f t="shared" ca="1" si="67"/>
        <v>2467</v>
      </c>
      <c r="AK119" s="78">
        <f ca="1">COUNTIFS(INDIRECT($AK$46),Summary!A119,INDIRECT($AK$47),Summary!B119)</f>
        <v>17</v>
      </c>
      <c r="AM119" s="79">
        <f ca="1">MATCH(AM$6,INDIRECT($AM$46&amp;$AI119):INDIRECT($AM$46&amp;$AJ119),1)+$AI119-1</f>
        <v>2466</v>
      </c>
      <c r="AN119" s="73">
        <f ca="1">MATCH(AN$6,INDIRECT($AM$46&amp;$AI119):INDIRECT($AM$46&amp;$AJ119),1)+$AI119-1</f>
        <v>2465</v>
      </c>
      <c r="AO119" s="73">
        <f ca="1">MATCH(AO$6,INDIRECT($AM$46&amp;$AI119):INDIRECT($AM$46&amp;$AJ119),1)+$AI119-1</f>
        <v>2465</v>
      </c>
      <c r="AP119" s="58">
        <f t="shared" ca="1" si="75"/>
        <v>116268.8725</v>
      </c>
      <c r="AQ119" s="58">
        <f t="shared" ca="1" si="75"/>
        <v>113425.59699999999</v>
      </c>
      <c r="AR119" s="58">
        <f t="shared" ca="1" si="75"/>
        <v>113425.59699999999</v>
      </c>
      <c r="AS119" s="58">
        <f t="shared" ca="1" si="86"/>
        <v>27194</v>
      </c>
      <c r="AT119" s="36">
        <f t="shared" ca="1" si="87"/>
        <v>0</v>
      </c>
      <c r="AU119" s="58">
        <f t="shared" ca="1" si="88"/>
        <v>0</v>
      </c>
      <c r="AV119" s="85">
        <f t="shared" ca="1" si="89"/>
        <v>0</v>
      </c>
    </row>
    <row r="120" spans="1:48" ht="13.5">
      <c r="A120" s="355" t="s">
        <v>175</v>
      </c>
      <c r="B120" s="355" t="s">
        <v>335</v>
      </c>
      <c r="C120" s="46">
        <f t="shared" ca="1" si="79"/>
        <v>43087</v>
      </c>
      <c r="E120" s="40">
        <f t="shared" ca="1" si="60"/>
        <v>0.290672704</v>
      </c>
      <c r="F120" s="40">
        <f t="shared" ca="1" si="80"/>
        <v>0</v>
      </c>
      <c r="G120" s="116" t="s">
        <v>175</v>
      </c>
      <c r="H120" s="116"/>
      <c r="J120" s="116" t="s">
        <v>180</v>
      </c>
      <c r="K120" s="116"/>
      <c r="O120" s="59">
        <f t="shared" ca="1" si="98"/>
        <v>0</v>
      </c>
      <c r="P120" s="59">
        <f t="shared" ca="1" si="98"/>
        <v>0</v>
      </c>
      <c r="Q120" s="59"/>
      <c r="R120" s="59">
        <f t="shared" ca="1" si="99"/>
        <v>0</v>
      </c>
      <c r="S120" s="59">
        <f t="shared" ca="1" si="99"/>
        <v>0</v>
      </c>
      <c r="X120" s="63">
        <f ca="1">XIRR(INDIRECT($X$46&amp;$AI120):INDIRECT($X$46&amp;$AJ120),INDIRECT($X$47&amp;$AI120):INDIRECT($X$47&amp;$AJ120),0.1)</f>
        <v>6.1897292733192458E-2</v>
      </c>
      <c r="Y120" s="63">
        <f t="shared" ca="1" si="95"/>
        <v>-4.7969916758079933E-2</v>
      </c>
      <c r="Z120" s="63">
        <f t="shared" ca="1" si="96"/>
        <v>2.5069775958461715E-2</v>
      </c>
      <c r="AA120" s="63">
        <f ca="1">ABS(SUMIF(INDIRECT($AA$46&amp;$AI120):INDIRECT($AA$46&amp;$AJ120),"&lt;0"))/SUMIF(INDIRECT($AA$46&amp;$AI120):INDIRECT($AA$46&amp;$AJ120),"&gt;0")</f>
        <v>1.0696130853158177</v>
      </c>
      <c r="AB120" s="63">
        <f t="shared" ca="1" si="97"/>
        <v>6.9613085315817669E-2</v>
      </c>
      <c r="AC120" s="316">
        <f ca="1">ABS(SUMIF(INDIRECT($AA$46&amp;$AI120):INDIRECT($AA$46&amp;$AJ120),"&lt;0"))</f>
        <v>290672.70400000003</v>
      </c>
      <c r="AD120" s="316">
        <f ca="1">SUMIF(INDIRECT($AA$46&amp;$AI120):INDIRECT($AA$46&amp;$AJ120),"&gt;0")</f>
        <v>271755</v>
      </c>
      <c r="AI120" s="77">
        <f t="array" aca="1" ref="AI120" ca="1">MATCH(A120&amp;B120,INDIRECT($AI$47) &amp; INDIRECT($AI$49),0)</f>
        <v>2467</v>
      </c>
      <c r="AJ120" s="54">
        <f t="shared" ca="1" si="67"/>
        <v>2483</v>
      </c>
      <c r="AK120" s="78">
        <f ca="1">COUNTIFS(INDIRECT($AK$46),Summary!A120,INDIRECT($AK$47),Summary!B120)</f>
        <v>17</v>
      </c>
      <c r="AM120" s="79">
        <f ca="1">MATCH(AM$6,INDIRECT($AM$46&amp;$AI120):INDIRECT($AM$46&amp;$AJ120),1)+$AI120-1</f>
        <v>2482</v>
      </c>
      <c r="AN120" s="73">
        <f ca="1">MATCH(AN$6,INDIRECT($AM$46&amp;$AI120):INDIRECT($AM$46&amp;$AJ120),1)+$AI120-1</f>
        <v>2481</v>
      </c>
      <c r="AO120" s="73">
        <f ca="1">MATCH(AO$6,INDIRECT($AM$46&amp;$AI120):INDIRECT($AM$46&amp;$AJ120),1)+$AI120-1</f>
        <v>2481</v>
      </c>
      <c r="AP120" s="58">
        <f t="shared" ca="1" si="75"/>
        <v>290672.70400000003</v>
      </c>
      <c r="AQ120" s="58">
        <f t="shared" ca="1" si="75"/>
        <v>283563.82250000001</v>
      </c>
      <c r="AR120" s="58">
        <f t="shared" ca="1" si="75"/>
        <v>283563.82250000001</v>
      </c>
      <c r="AS120" s="58">
        <f t="shared" ca="1" si="86"/>
        <v>21755</v>
      </c>
      <c r="AT120" s="36">
        <f t="shared" ca="1" si="87"/>
        <v>0</v>
      </c>
      <c r="AU120" s="58">
        <f t="shared" ca="1" si="88"/>
        <v>0</v>
      </c>
      <c r="AV120" s="85">
        <f t="shared" ca="1" si="89"/>
        <v>0</v>
      </c>
    </row>
    <row r="121" spans="1:48" ht="13.5">
      <c r="A121" s="355" t="s">
        <v>175</v>
      </c>
      <c r="B121" s="355" t="s">
        <v>336</v>
      </c>
      <c r="C121" s="46">
        <f t="shared" ca="1" si="79"/>
        <v>43087</v>
      </c>
      <c r="E121" s="40">
        <f t="shared" ca="1" si="60"/>
        <v>0.24126673999999998</v>
      </c>
      <c r="F121" s="40">
        <f t="shared" ca="1" si="80"/>
        <v>0</v>
      </c>
      <c r="G121" s="116" t="s">
        <v>175</v>
      </c>
      <c r="H121" s="116"/>
      <c r="J121" s="116" t="s">
        <v>180</v>
      </c>
      <c r="K121" s="116"/>
      <c r="O121" s="59">
        <f t="shared" ca="1" si="98"/>
        <v>0</v>
      </c>
      <c r="P121" s="59">
        <f t="shared" ca="1" si="98"/>
        <v>0</v>
      </c>
      <c r="Q121" s="59"/>
      <c r="R121" s="59">
        <f t="shared" ca="1" si="99"/>
        <v>0</v>
      </c>
      <c r="S121" s="59">
        <f t="shared" ca="1" si="99"/>
        <v>0</v>
      </c>
      <c r="X121" s="63">
        <f ca="1">XIRR(INDIRECT($X$46&amp;$AI121):INDIRECT($X$46&amp;$AJ121),INDIRECT($X$47&amp;$AI121):INDIRECT($X$47&amp;$AJ121),0.1)</f>
        <v>1.6115942597389223E-2</v>
      </c>
      <c r="Y121" s="63">
        <f t="shared" ca="1" si="95"/>
        <v>-0.11643770349362481</v>
      </c>
      <c r="Z121" s="63">
        <f t="shared" ca="1" si="96"/>
        <v>2.1977277207679835E-2</v>
      </c>
      <c r="AA121" s="63">
        <f ca="1">ABS(SUMIF(INDIRECT($AA$46&amp;$AI121):INDIRECT($AA$46&amp;$AJ121),"&lt;0"))/SUMIF(INDIRECT($AA$46&amp;$AI121):INDIRECT($AA$46&amp;$AJ121),"&gt;0")</f>
        <v>1.0180761489220744</v>
      </c>
      <c r="AB121" s="63">
        <f t="shared" ca="1" si="97"/>
        <v>1.8076148922074431E-2</v>
      </c>
      <c r="AC121" s="316">
        <f ca="1">ABS(SUMIF(INDIRECT($AA$46&amp;$AI121):INDIRECT($AA$46&amp;$AJ121),"&lt;0"))</f>
        <v>241266.74</v>
      </c>
      <c r="AD121" s="316">
        <f ca="1">SUMIF(INDIRECT($AA$46&amp;$AI121):INDIRECT($AA$46&amp;$AJ121),"&gt;0")</f>
        <v>236983</v>
      </c>
      <c r="AI121" s="77">
        <f t="array" aca="1" ref="AI121" ca="1">MATCH(A121&amp;B121,INDIRECT($AI$47) &amp; INDIRECT($AI$49),0)</f>
        <v>2483</v>
      </c>
      <c r="AJ121" s="54">
        <f t="shared" ca="1" si="67"/>
        <v>2499</v>
      </c>
      <c r="AK121" s="78">
        <f ca="1">COUNTIFS(INDIRECT($AK$46),Summary!A121,INDIRECT($AK$47),Summary!B121)</f>
        <v>17</v>
      </c>
      <c r="AM121" s="79">
        <f ca="1">MATCH(AM$6,INDIRECT($AM$46&amp;$AI121):INDIRECT($AM$46&amp;$AJ121),1)+$AI121-1</f>
        <v>2498</v>
      </c>
      <c r="AN121" s="73">
        <f ca="1">MATCH(AN$6,INDIRECT($AM$46&amp;$AI121):INDIRECT($AM$46&amp;$AJ121),1)+$AI121-1</f>
        <v>2497</v>
      </c>
      <c r="AO121" s="73">
        <f ca="1">MATCH(AO$6,INDIRECT($AM$46&amp;$AI121):INDIRECT($AM$46&amp;$AJ121),1)+$AI121-1</f>
        <v>2497</v>
      </c>
      <c r="AP121" s="58">
        <f t="shared" ca="1" si="75"/>
        <v>241266.74</v>
      </c>
      <c r="AQ121" s="58">
        <f t="shared" ca="1" si="75"/>
        <v>236078.38</v>
      </c>
      <c r="AR121" s="58">
        <f t="shared" ca="1" si="75"/>
        <v>236078.38</v>
      </c>
      <c r="AS121" s="58">
        <f t="shared" ca="1" si="86"/>
        <v>36983</v>
      </c>
      <c r="AT121" s="36">
        <f t="shared" ca="1" si="87"/>
        <v>0</v>
      </c>
      <c r="AU121" s="58">
        <f t="shared" ca="1" si="88"/>
        <v>0</v>
      </c>
      <c r="AV121" s="85">
        <f t="shared" ca="1" si="89"/>
        <v>0</v>
      </c>
    </row>
    <row r="122" spans="1:48" ht="13.5">
      <c r="A122" s="355" t="s">
        <v>175</v>
      </c>
      <c r="B122" s="355" t="s">
        <v>337</v>
      </c>
      <c r="C122" s="46">
        <f t="shared" ca="1" si="79"/>
        <v>43087</v>
      </c>
      <c r="E122" s="40">
        <f t="shared" ca="1" si="60"/>
        <v>0.41015283000000002</v>
      </c>
      <c r="F122" s="40">
        <f t="shared" ca="1" si="80"/>
        <v>0</v>
      </c>
      <c r="G122" s="116" t="s">
        <v>175</v>
      </c>
      <c r="H122" s="116"/>
      <c r="J122" s="116" t="s">
        <v>180</v>
      </c>
      <c r="K122" s="116"/>
      <c r="O122" s="59">
        <f t="shared" ca="1" si="98"/>
        <v>0</v>
      </c>
      <c r="P122" s="59">
        <f t="shared" ca="1" si="98"/>
        <v>0</v>
      </c>
      <c r="Q122" s="59"/>
      <c r="R122" s="59">
        <f t="shared" ca="1" si="99"/>
        <v>0</v>
      </c>
      <c r="S122" s="59">
        <f t="shared" ca="1" si="99"/>
        <v>0</v>
      </c>
      <c r="X122" s="63">
        <f ca="1">XIRR(INDIRECT($X$46&amp;$AI122):INDIRECT($X$46&amp;$AJ122),INDIRECT($X$47&amp;$AI122):INDIRECT($X$47&amp;$AJ122),0.1)</f>
        <v>3.5599383711814883E-2</v>
      </c>
      <c r="Y122" s="63">
        <f t="shared" ca="1" si="95"/>
        <v>-9.9989855618215495E-2</v>
      </c>
      <c r="Z122" s="63">
        <f t="shared" ca="1" si="96"/>
        <v>2.1975753166514567E-2</v>
      </c>
      <c r="AA122" s="63">
        <f ca="1">ABS(SUMIF(INDIRECT($AA$46&amp;$AI122):INDIRECT($AA$46&amp;$AJ122),"&lt;0"))/SUMIF(INDIRECT($AA$46&amp;$AI122):INDIRECT($AA$46&amp;$AJ122),"&gt;0")</f>
        <v>1.0399755316478485</v>
      </c>
      <c r="AB122" s="63">
        <f t="shared" ca="1" si="97"/>
        <v>3.9975531647848506E-2</v>
      </c>
      <c r="AC122" s="316">
        <f ca="1">ABS(SUMIF(INDIRECT($AA$46&amp;$AI122):INDIRECT($AA$46&amp;$AJ122),"&lt;0"))</f>
        <v>410152.83</v>
      </c>
      <c r="AD122" s="316">
        <f ca="1">SUMIF(INDIRECT($AA$46&amp;$AI122):INDIRECT($AA$46&amp;$AJ122),"&gt;0")</f>
        <v>394387</v>
      </c>
      <c r="AI122" s="77">
        <f t="array" aca="1" ref="AI122" ca="1">MATCH(A122&amp;B122,INDIRECT($AI$47) &amp; INDIRECT($AI$49),0)</f>
        <v>2499</v>
      </c>
      <c r="AJ122" s="54">
        <f t="shared" ca="1" si="67"/>
        <v>2515</v>
      </c>
      <c r="AK122" s="78">
        <f ca="1">COUNTIFS(INDIRECT($AK$46),Summary!A122,INDIRECT($AK$47),Summary!B122)</f>
        <v>17</v>
      </c>
      <c r="AM122" s="79">
        <f ca="1">MATCH(AM$6,INDIRECT($AM$46&amp;$AI122):INDIRECT($AM$46&amp;$AJ122),1)+$AI122-1</f>
        <v>2514</v>
      </c>
      <c r="AN122" s="73">
        <f ca="1">MATCH(AN$6,INDIRECT($AM$46&amp;$AI122):INDIRECT($AM$46&amp;$AJ122),1)+$AI122-1</f>
        <v>2513</v>
      </c>
      <c r="AO122" s="73">
        <f ca="1">MATCH(AO$6,INDIRECT($AM$46&amp;$AI122):INDIRECT($AM$46&amp;$AJ122),1)+$AI122-1</f>
        <v>2513</v>
      </c>
      <c r="AP122" s="58">
        <f t="shared" ca="1" si="75"/>
        <v>410152.83</v>
      </c>
      <c r="AQ122" s="58">
        <f t="shared" ca="1" si="75"/>
        <v>401333.23</v>
      </c>
      <c r="AR122" s="58">
        <f t="shared" ca="1" si="75"/>
        <v>401333.23</v>
      </c>
      <c r="AS122" s="58">
        <f t="shared" ca="1" si="86"/>
        <v>54387</v>
      </c>
      <c r="AT122" s="36">
        <f t="shared" ca="1" si="87"/>
        <v>0</v>
      </c>
      <c r="AU122" s="58">
        <f t="shared" ca="1" si="88"/>
        <v>0</v>
      </c>
      <c r="AV122" s="85">
        <f t="shared" ca="1" si="89"/>
        <v>0</v>
      </c>
    </row>
    <row r="123" spans="1:48" ht="13.5">
      <c r="A123" s="355" t="s">
        <v>175</v>
      </c>
      <c r="B123" s="355" t="s">
        <v>338</v>
      </c>
      <c r="C123" s="46">
        <f t="shared" ca="1" si="79"/>
        <v>43087</v>
      </c>
      <c r="E123" s="40">
        <f t="shared" ref="E123:E176" ca="1" si="100">AP123/1000000</f>
        <v>0.58134541650000005</v>
      </c>
      <c r="F123" s="40">
        <f t="shared" ca="1" si="80"/>
        <v>0</v>
      </c>
      <c r="G123" s="116" t="s">
        <v>175</v>
      </c>
      <c r="H123" s="116"/>
      <c r="J123" s="116" t="s">
        <v>180</v>
      </c>
      <c r="K123" s="116"/>
      <c r="O123" s="59">
        <f t="shared" ca="1" si="98"/>
        <v>0</v>
      </c>
      <c r="P123" s="59">
        <f t="shared" ca="1" si="98"/>
        <v>0</v>
      </c>
      <c r="Q123" s="59"/>
      <c r="R123" s="59">
        <f t="shared" ca="1" si="99"/>
        <v>0</v>
      </c>
      <c r="S123" s="59">
        <f t="shared" ca="1" si="99"/>
        <v>0</v>
      </c>
      <c r="X123" s="63">
        <f ca="1">XIRR(INDIRECT($X$46&amp;$AI123):INDIRECT($X$46&amp;$AJ123),INDIRECT($X$47&amp;$AI123):INDIRECT($X$47&amp;$AJ123),0.1)</f>
        <v>2.9802322387695314E-9</v>
      </c>
      <c r="Y123" s="63">
        <f t="shared" ca="1" si="95"/>
        <v>-0.47673574170420541</v>
      </c>
      <c r="Z123" s="63">
        <f t="shared" ca="1" si="96"/>
        <v>2.5069591220174603E-2</v>
      </c>
      <c r="AA123" s="63">
        <f ca="1">ABS(SUMIF(INDIRECT($AA$46&amp;$AI123):INDIRECT($AA$46&amp;$AJ123),"&lt;0"))/SUMIF(INDIRECT($AA$46&amp;$AI123):INDIRECT($AA$46&amp;$AJ123),"&gt;0")</f>
        <v>0.55691361615910029</v>
      </c>
      <c r="AB123" s="63">
        <f t="shared" ca="1" si="97"/>
        <v>-0.44308638384089971</v>
      </c>
      <c r="AC123" s="316">
        <f ca="1">ABS(SUMIF(INDIRECT($AA$46&amp;$AI123):INDIRECT($AA$46&amp;$AJ123),"&lt;0"))</f>
        <v>581345.41650000005</v>
      </c>
      <c r="AD123" s="316">
        <f ca="1">SUMIF(INDIRECT($AA$46&amp;$AI123):INDIRECT($AA$46&amp;$AJ123),"&gt;0")</f>
        <v>1043870</v>
      </c>
      <c r="AI123" s="77">
        <f t="array" aca="1" ref="AI123" ca="1">MATCH(A123&amp;B123,INDIRECT($AI$47) &amp; INDIRECT($AI$49),0)</f>
        <v>2515</v>
      </c>
      <c r="AJ123" s="54">
        <f t="shared" ref="AJ123:AJ173" ca="1" si="101">AI123+AK123-1</f>
        <v>2531</v>
      </c>
      <c r="AK123" s="78">
        <f ca="1">COUNTIFS(INDIRECT($AK$46),Summary!A123,INDIRECT($AK$47),Summary!B123)</f>
        <v>17</v>
      </c>
      <c r="AM123" s="79">
        <f ca="1">MATCH(AM$6,INDIRECT($AM$46&amp;$AI123):INDIRECT($AM$46&amp;$AJ123),1)+$AI123-1</f>
        <v>2530</v>
      </c>
      <c r="AN123" s="73">
        <f ca="1">MATCH(AN$6,INDIRECT($AM$46&amp;$AI123):INDIRECT($AM$46&amp;$AJ123),1)+$AI123-1</f>
        <v>2529</v>
      </c>
      <c r="AO123" s="73">
        <f ca="1">MATCH(AO$6,INDIRECT($AM$46&amp;$AI123):INDIRECT($AM$46&amp;$AJ123),1)+$AI123-1</f>
        <v>2529</v>
      </c>
      <c r="AP123" s="58">
        <f t="shared" ca="1" si="75"/>
        <v>581345.41650000005</v>
      </c>
      <c r="AQ123" s="58">
        <f t="shared" ca="1" si="75"/>
        <v>567127.75549999997</v>
      </c>
      <c r="AR123" s="58">
        <f t="shared" ca="1" si="75"/>
        <v>567127.75549999997</v>
      </c>
      <c r="AS123" s="58">
        <f t="shared" ca="1" si="86"/>
        <v>543870</v>
      </c>
      <c r="AT123" s="36">
        <f t="shared" ca="1" si="87"/>
        <v>0</v>
      </c>
      <c r="AU123" s="58">
        <f t="shared" ca="1" si="88"/>
        <v>0</v>
      </c>
      <c r="AV123" s="85">
        <f t="shared" ca="1" si="89"/>
        <v>0</v>
      </c>
    </row>
    <row r="124" spans="1:48" ht="13.5">
      <c r="A124" s="355" t="s">
        <v>175</v>
      </c>
      <c r="B124" s="355" t="s">
        <v>339</v>
      </c>
      <c r="C124" s="46">
        <f t="shared" ref="C124:C155" ca="1" si="102">INDIRECT($C$46&amp;$AI124)</f>
        <v>43087</v>
      </c>
      <c r="E124" s="40">
        <f t="shared" ca="1" si="100"/>
        <v>5.8134571314999999</v>
      </c>
      <c r="F124" s="40">
        <f t="shared" ref="F124:F155" ca="1" si="103">INDIRECT($F$46&amp;AJ124)+INDIRECT($F$47&amp;AJ124)+INDIRECT($F$48&amp;AJ124)+INDIRECT($F$49&amp;AJ124)</f>
        <v>0</v>
      </c>
      <c r="G124" s="116" t="s">
        <v>175</v>
      </c>
      <c r="H124" s="116"/>
      <c r="J124" s="116" t="s">
        <v>180</v>
      </c>
      <c r="K124" s="116"/>
      <c r="O124" s="59">
        <f t="shared" ca="1" si="98"/>
        <v>0</v>
      </c>
      <c r="P124" s="59">
        <f t="shared" ca="1" si="98"/>
        <v>0</v>
      </c>
      <c r="Q124" s="59"/>
      <c r="R124" s="59">
        <f t="shared" ca="1" si="99"/>
        <v>0</v>
      </c>
      <c r="S124" s="59">
        <f t="shared" ca="1" si="99"/>
        <v>0</v>
      </c>
      <c r="X124" s="63">
        <f ca="1">XIRR(INDIRECT($X$46&amp;$AI124):INDIRECT($X$46&amp;$AJ124),INDIRECT($X$47&amp;$AI124):INDIRECT($X$47&amp;$AJ124),0.1)</f>
        <v>4.787321984767913E-2</v>
      </c>
      <c r="Y124" s="63">
        <f t="shared" ca="1" si="95"/>
        <v>-6.0520378470977465E-2</v>
      </c>
      <c r="Z124" s="63">
        <f t="shared" ca="1" si="96"/>
        <v>2.50701281217518E-2</v>
      </c>
      <c r="AA124" s="63">
        <f ca="1">ABS(SUMIF(INDIRECT($AA$46&amp;$AI124):INDIRECT($AA$46&amp;$AJ124),"&lt;0"))/SUMIF(INDIRECT($AA$46&amp;$AI124):INDIRECT($AA$46&amp;$AJ124),"&gt;0")</f>
        <v>1.053796901921211</v>
      </c>
      <c r="AB124" s="63">
        <f t="shared" ca="1" si="97"/>
        <v>5.3796901921211004E-2</v>
      </c>
      <c r="AC124" s="316">
        <f ca="1">ABS(SUMIF(INDIRECT($AA$46&amp;$AI124):INDIRECT($AA$46&amp;$AJ124),"&lt;0"))</f>
        <v>5813457.1315000001</v>
      </c>
      <c r="AD124" s="316">
        <f ca="1">SUMIF(INDIRECT($AA$46&amp;$AI124):INDIRECT($AA$46&amp;$AJ124),"&gt;0")</f>
        <v>5516677</v>
      </c>
      <c r="AI124" s="77">
        <f t="array" aca="1" ref="AI124" ca="1">MATCH(A124&amp;B124,INDIRECT($AI$47) &amp; INDIRECT($AI$49),0)</f>
        <v>2531</v>
      </c>
      <c r="AJ124" s="54">
        <f t="shared" ca="1" si="101"/>
        <v>2547</v>
      </c>
      <c r="AK124" s="78">
        <f ca="1">COUNTIFS(INDIRECT($AK$46),Summary!A124,INDIRECT($AK$47),Summary!B124)</f>
        <v>17</v>
      </c>
      <c r="AM124" s="79">
        <f ca="1">MATCH(AM$6,INDIRECT($AM$46&amp;$AI124):INDIRECT($AM$46&amp;$AJ124),1)+$AI124-1</f>
        <v>2546</v>
      </c>
      <c r="AN124" s="73">
        <f ca="1">MATCH(AN$6,INDIRECT($AM$46&amp;$AI124):INDIRECT($AM$46&amp;$AJ124),1)+$AI124-1</f>
        <v>2545</v>
      </c>
      <c r="AO124" s="73">
        <f ca="1">MATCH(AO$6,INDIRECT($AM$46&amp;$AI124):INDIRECT($AM$46&amp;$AJ124),1)+$AI124-1</f>
        <v>2545</v>
      </c>
      <c r="AP124" s="58">
        <f t="shared" ref="AP124:AR139" ca="1" si="104">INDIRECT($AP$46&amp;AM124)</f>
        <v>5813457.1315000001</v>
      </c>
      <c r="AQ124" s="58">
        <f t="shared" ca="1" si="104"/>
        <v>5671277.4785000002</v>
      </c>
      <c r="AR124" s="58">
        <f t="shared" ca="1" si="104"/>
        <v>5671277.4785000002</v>
      </c>
      <c r="AS124" s="58">
        <f t="shared" ca="1" si="86"/>
        <v>516677</v>
      </c>
      <c r="AT124" s="36">
        <f t="shared" ca="1" si="87"/>
        <v>0</v>
      </c>
      <c r="AU124" s="58">
        <f t="shared" ca="1" si="88"/>
        <v>0</v>
      </c>
      <c r="AV124" s="85">
        <f t="shared" ca="1" si="89"/>
        <v>0</v>
      </c>
    </row>
    <row r="125" spans="1:48" ht="13.5">
      <c r="A125" s="355" t="s">
        <v>175</v>
      </c>
      <c r="B125" s="355" t="s">
        <v>349</v>
      </c>
      <c r="C125" s="46">
        <f t="shared" ca="1" si="102"/>
        <v>43087</v>
      </c>
      <c r="E125" s="40">
        <f t="shared" ca="1" si="100"/>
        <v>5.7300701299999997</v>
      </c>
      <c r="F125" s="40">
        <f t="shared" ca="1" si="103"/>
        <v>0</v>
      </c>
      <c r="G125" s="116" t="s">
        <v>175</v>
      </c>
      <c r="H125" s="116"/>
      <c r="J125" s="116" t="s">
        <v>179</v>
      </c>
      <c r="K125" s="116"/>
      <c r="O125" s="59">
        <f t="shared" ca="1" si="98"/>
        <v>0</v>
      </c>
      <c r="P125" s="59">
        <f t="shared" ca="1" si="98"/>
        <v>0</v>
      </c>
      <c r="Q125" s="59"/>
      <c r="R125" s="59">
        <f t="shared" ca="1" si="99"/>
        <v>0</v>
      </c>
      <c r="S125" s="59">
        <f t="shared" ca="1" si="99"/>
        <v>0</v>
      </c>
      <c r="X125" s="63">
        <f ca="1">XIRR(INDIRECT($X$46&amp;$AI125):INDIRECT($X$46&amp;$AJ125),INDIRECT($X$47&amp;$AI125):INDIRECT($X$47&amp;$AJ125),0.1)</f>
        <v>0.18223068118095398</v>
      </c>
      <c r="Y125" s="63">
        <f t="shared" ca="1" si="95"/>
        <v>2.1974514208041862E-2</v>
      </c>
      <c r="Z125" s="63">
        <f t="shared" ca="1" si="96"/>
        <v>2.1974514208041862E-2</v>
      </c>
      <c r="AA125" s="63">
        <f ca="1">ABS(SUMIF(INDIRECT($AA$46&amp;$AI125):INDIRECT($AA$46&amp;$AJ125),"&lt;0"))/SUMIF(INDIRECT($AA$46&amp;$AI125):INDIRECT($AA$46&amp;$AJ125),"&gt;0")</f>
        <v>1.2063305536842106</v>
      </c>
      <c r="AB125" s="63">
        <f t="shared" ca="1" si="97"/>
        <v>0.2063305536842106</v>
      </c>
      <c r="AC125" s="316">
        <f ca="1">ABS(SUMIF(INDIRECT($AA$46&amp;$AI125):INDIRECT($AA$46&amp;$AJ125),"&lt;0"))</f>
        <v>5730070.1299999999</v>
      </c>
      <c r="AD125" s="316">
        <f ca="1">SUMIF(INDIRECT($AA$46&amp;$AI125):INDIRECT($AA$46&amp;$AJ125),"&gt;0")</f>
        <v>4750000</v>
      </c>
      <c r="AI125" s="77">
        <f t="array" aca="1" ref="AI125" ca="1">MATCH(A125&amp;B125,INDIRECT($AI$47) &amp; INDIRECT($AI$49),0)</f>
        <v>2547</v>
      </c>
      <c r="AJ125" s="54">
        <f t="shared" ca="1" si="101"/>
        <v>2562</v>
      </c>
      <c r="AK125" s="78">
        <f ca="1">COUNTIFS(INDIRECT($AK$46),Summary!A125,INDIRECT($AK$47),Summary!B125)</f>
        <v>16</v>
      </c>
      <c r="AM125" s="79">
        <f ca="1">MATCH(AM$6,INDIRECT($AM$46&amp;$AI125):INDIRECT($AM$46&amp;$AJ125),1)+$AI125-1</f>
        <v>2562</v>
      </c>
      <c r="AN125" s="73">
        <f ca="1">MATCH(AN$6,INDIRECT($AM$46&amp;$AI125):INDIRECT($AM$46&amp;$AJ125),1)+$AI125-1</f>
        <v>2561</v>
      </c>
      <c r="AO125" s="73">
        <f ca="1">MATCH(AO$6,INDIRECT($AM$46&amp;$AI125):INDIRECT($AM$46&amp;$AJ125),1)+$AI125-1</f>
        <v>2561</v>
      </c>
      <c r="AP125" s="58">
        <f t="shared" ca="1" si="104"/>
        <v>5730070.1299999999</v>
      </c>
      <c r="AQ125" s="58">
        <f t="shared" ca="1" si="104"/>
        <v>5606862.0599999996</v>
      </c>
      <c r="AR125" s="58">
        <f t="shared" ca="1" si="104"/>
        <v>5606862.0599999996</v>
      </c>
      <c r="AS125" s="58">
        <f t="shared" ca="1" si="86"/>
        <v>0</v>
      </c>
      <c r="AT125" s="36">
        <f ca="1">SUM(INDIRECT(AT$47&amp;AO125+1&amp;":"&amp;LEFT(AT$46,LEN(AT$46)-1)&amp;$AM125))</f>
        <v>0</v>
      </c>
      <c r="AU125" s="58">
        <f t="shared" ca="1" si="88"/>
        <v>0</v>
      </c>
      <c r="AV125" s="85">
        <f t="shared" ca="1" si="89"/>
        <v>0</v>
      </c>
    </row>
    <row r="126" spans="1:48" ht="13.5">
      <c r="A126" s="358" t="s">
        <v>273</v>
      </c>
      <c r="B126" s="358" t="s">
        <v>299</v>
      </c>
      <c r="C126" s="46">
        <f t="shared" ca="1" si="102"/>
        <v>43252</v>
      </c>
      <c r="E126" s="40">
        <f t="shared" ca="1" si="100"/>
        <v>3.15631627</v>
      </c>
      <c r="F126" s="40">
        <f t="shared" ca="1" si="103"/>
        <v>0</v>
      </c>
      <c r="G126" s="116" t="s">
        <v>273</v>
      </c>
      <c r="H126" s="116"/>
      <c r="J126" s="116" t="s">
        <v>180</v>
      </c>
      <c r="K126" s="116"/>
      <c r="L126" s="40"/>
      <c r="O126" s="59">
        <f t="shared" ca="1" si="98"/>
        <v>0</v>
      </c>
      <c r="P126" s="59">
        <f t="shared" ca="1" si="98"/>
        <v>0</v>
      </c>
      <c r="Q126" s="59"/>
      <c r="R126" s="59">
        <f t="shared" ca="1" si="99"/>
        <v>0</v>
      </c>
      <c r="S126" s="59">
        <f t="shared" ca="1" si="99"/>
        <v>0</v>
      </c>
      <c r="X126" s="63">
        <f ca="1">XIRR(INDIRECT($X$46&amp;$AI126):INDIRECT($X$46&amp;$AJ126),INDIRECT($X$47&amp;$AI126):INDIRECT($X$47&amp;$AJ126),0.1)</f>
        <v>-0.11803141497075559</v>
      </c>
      <c r="Y126" s="63">
        <f t="shared" ca="1" si="95"/>
        <v>-9.4467826551492329E-2</v>
      </c>
      <c r="Z126" s="63">
        <f t="shared" ca="1" si="96"/>
        <v>1.3548803820446986E-2</v>
      </c>
      <c r="AA126" s="63">
        <f ca="1">ABS(SUMIF(INDIRECT($AA$46&amp;$AI126):INDIRECT($AA$46&amp;$AJ126),"&lt;0"))/SUMIF(INDIRECT($AA$46&amp;$AI126):INDIRECT($AA$46&amp;$AJ126),"&gt;0")</f>
        <v>0.94197463446117835</v>
      </c>
      <c r="AB126" s="63">
        <f t="shared" ca="1" si="97"/>
        <v>-5.8025365538821649E-2</v>
      </c>
      <c r="AC126" s="316">
        <f ca="1">ABS(SUMIF(INDIRECT($AA$46&amp;$AI126):INDIRECT($AA$46&amp;$AJ126),"&lt;0"))</f>
        <v>4137343.8436635304</v>
      </c>
      <c r="AD126" s="316">
        <f ca="1">SUMIF(INDIRECT($AA$46&amp;$AI126):INDIRECT($AA$46&amp;$AJ126),"&gt;0")</f>
        <v>4392203.03</v>
      </c>
      <c r="AI126" s="77">
        <f t="array" aca="1" ref="AI126" ca="1">MATCH(A126&amp;B126,INDIRECT($AI$47) &amp; INDIRECT($AI$49),0)</f>
        <v>2563</v>
      </c>
      <c r="AJ126" s="54">
        <f t="shared" ca="1" si="101"/>
        <v>2575</v>
      </c>
      <c r="AK126" s="78">
        <f ca="1">COUNTIFS(INDIRECT($AK$46),Summary!A126,INDIRECT($AK$47),Summary!B126)</f>
        <v>13</v>
      </c>
      <c r="AM126" s="79">
        <f ca="1">MATCH(AM$6,INDIRECT($AM$46&amp;$AI126):INDIRECT($AM$46&amp;$AJ126),1)+$AI126-1</f>
        <v>2574</v>
      </c>
      <c r="AN126" s="73">
        <f ca="1">MATCH(AN$6,INDIRECT($AM$46&amp;$AI126):INDIRECT($AM$46&amp;$AJ126),1)+$AI126-1</f>
        <v>2573</v>
      </c>
      <c r="AO126" s="73">
        <f ca="1">MATCH(AO$6,INDIRECT($AM$46&amp;$AI126):INDIRECT($AM$46&amp;$AJ126),1)+$AI126-1</f>
        <v>2573</v>
      </c>
      <c r="AP126" s="58">
        <f t="shared" ca="1" si="104"/>
        <v>3156316.27</v>
      </c>
      <c r="AQ126" s="58">
        <f t="shared" ca="1" si="104"/>
        <v>3114123.62</v>
      </c>
      <c r="AR126" s="58">
        <f ca="1">INDIRECT($AP$46&amp;AO126)</f>
        <v>3114123.62</v>
      </c>
      <c r="AS126" s="58">
        <f t="shared" ca="1" si="86"/>
        <v>371469.01</v>
      </c>
      <c r="AT126" s="36">
        <f ca="1">SUM(INDIRECT(AT$47&amp;AO126&amp;":"&amp;LEFT(AT$46,LEN(AT$46)-1)&amp;$AM126))</f>
        <v>0</v>
      </c>
      <c r="AU126" s="58">
        <f t="shared" ca="1" si="88"/>
        <v>0</v>
      </c>
      <c r="AV126" s="85">
        <f t="shared" ca="1" si="89"/>
        <v>0</v>
      </c>
    </row>
    <row r="127" spans="1:48" ht="13.5">
      <c r="A127" s="358" t="s">
        <v>273</v>
      </c>
      <c r="B127" s="358" t="s">
        <v>300</v>
      </c>
      <c r="C127" s="46">
        <f t="shared" ca="1" si="102"/>
        <v>43252</v>
      </c>
      <c r="E127" s="40">
        <f t="shared" ca="1" si="100"/>
        <v>0.38077369999999999</v>
      </c>
      <c r="F127" s="40">
        <f t="shared" ca="1" si="103"/>
        <v>0</v>
      </c>
      <c r="G127" s="116" t="s">
        <v>273</v>
      </c>
      <c r="H127" s="116"/>
      <c r="J127" s="116" t="s">
        <v>180</v>
      </c>
      <c r="K127" s="116"/>
      <c r="L127" s="40"/>
      <c r="O127" s="59">
        <f t="shared" ca="1" si="98"/>
        <v>0</v>
      </c>
      <c r="P127" s="59">
        <f t="shared" ca="1" si="98"/>
        <v>0</v>
      </c>
      <c r="Q127" s="59"/>
      <c r="R127" s="59">
        <f t="shared" ca="1" si="99"/>
        <v>0</v>
      </c>
      <c r="S127" s="59">
        <f t="shared" ca="1" si="99"/>
        <v>0</v>
      </c>
      <c r="X127" s="63">
        <f ca="1">XIRR(INDIRECT($X$46&amp;$AI127):INDIRECT($X$46&amp;$AJ127),INDIRECT($X$47&amp;$AI127):INDIRECT($X$47&amp;$AJ127),0.1)</f>
        <v>2.9802322387695314E-9</v>
      </c>
      <c r="Y127" s="63">
        <f t="shared" ca="1" si="95"/>
        <v>-0.66541365913210471</v>
      </c>
      <c r="Z127" s="63">
        <f t="shared" ca="1" si="96"/>
        <v>1.3548820319905897E-2</v>
      </c>
      <c r="AA127" s="63">
        <f ca="1">ABS(SUMIF(INDIRECT($AA$46&amp;$AI127):INDIRECT($AA$46&amp;$AJ127),"&lt;0"))/SUMIF(INDIRECT($AA$46&amp;$AI127):INDIRECT($AA$46&amp;$AJ127),"&gt;0")</f>
        <v>0.40012615233068355</v>
      </c>
      <c r="AB127" s="63">
        <f t="shared" ca="1" si="97"/>
        <v>-0.5998738476693164</v>
      </c>
      <c r="AC127" s="316">
        <f ca="1">ABS(SUMIF(INDIRECT($AA$46&amp;$AI127):INDIRECT($AA$46&amp;$AJ127),"&lt;0"))</f>
        <v>499123.53236256354</v>
      </c>
      <c r="AD127" s="316">
        <f ca="1">SUMIF(INDIRECT($AA$46&amp;$AI127):INDIRECT($AA$46&amp;$AJ127),"&gt;0")</f>
        <v>1247415.42</v>
      </c>
      <c r="AI127" s="77">
        <f t="array" aca="1" ref="AI127" ca="1">MATCH(A127&amp;B127,INDIRECT($AI$47) &amp; INDIRECT($AI$49),0)</f>
        <v>2575</v>
      </c>
      <c r="AJ127" s="54">
        <f t="shared" ca="1" si="101"/>
        <v>2587</v>
      </c>
      <c r="AK127" s="78">
        <f ca="1">COUNTIFS(INDIRECT($AK$46),Summary!A127,INDIRECT($AK$47),Summary!B127)</f>
        <v>13</v>
      </c>
      <c r="AM127" s="79">
        <f ca="1">MATCH(AM$6,INDIRECT($AM$46&amp;$AI127):INDIRECT($AM$46&amp;$AJ127),1)+$AI127-1</f>
        <v>2586</v>
      </c>
      <c r="AN127" s="73">
        <f ca="1">MATCH(AN$6,INDIRECT($AM$46&amp;$AI127):INDIRECT($AM$46&amp;$AJ127),1)+$AI127-1</f>
        <v>2585</v>
      </c>
      <c r="AO127" s="73">
        <f ca="1">MATCH(AO$6,INDIRECT($AM$46&amp;$AI127):INDIRECT($AM$46&amp;$AJ127),1)+$AI127-1</f>
        <v>2585</v>
      </c>
      <c r="AP127" s="58">
        <f t="shared" ca="1" si="104"/>
        <v>380773.7</v>
      </c>
      <c r="AQ127" s="58">
        <f t="shared" ca="1" si="104"/>
        <v>375683.63</v>
      </c>
      <c r="AR127" s="58">
        <f t="shared" ref="AR127:AR177" ca="1" si="105">INDIRECT($AP$46&amp;AO127)</f>
        <v>375683.63</v>
      </c>
      <c r="AS127" s="58">
        <f t="shared" ca="1" si="86"/>
        <v>762359.54</v>
      </c>
      <c r="AT127" s="36">
        <f t="shared" ref="AT127:AT145" ca="1" si="106">SUM(INDIRECT(AT$47&amp;AO127&amp;":"&amp;LEFT(AT$46,LEN(AT$46)-1)&amp;$AM127))</f>
        <v>0</v>
      </c>
      <c r="AU127" s="58">
        <f t="shared" ca="1" si="88"/>
        <v>0</v>
      </c>
      <c r="AV127" s="85">
        <f t="shared" ca="1" si="89"/>
        <v>0</v>
      </c>
    </row>
    <row r="128" spans="1:48" ht="13.5">
      <c r="A128" s="358" t="s">
        <v>273</v>
      </c>
      <c r="B128" s="358" t="s">
        <v>358</v>
      </c>
      <c r="C128" s="46">
        <f t="shared" ca="1" si="102"/>
        <v>43252</v>
      </c>
      <c r="E128" s="40">
        <f t="shared" ca="1" si="100"/>
        <v>0.78145540000000002</v>
      </c>
      <c r="F128" s="40">
        <f t="shared" ca="1" si="103"/>
        <v>0</v>
      </c>
      <c r="G128" s="116" t="s">
        <v>273</v>
      </c>
      <c r="H128" s="116"/>
      <c r="J128" s="116" t="s">
        <v>180</v>
      </c>
      <c r="K128" s="116"/>
      <c r="L128" s="40"/>
      <c r="O128" s="59">
        <f t="shared" ca="1" si="98"/>
        <v>0</v>
      </c>
      <c r="P128" s="59">
        <f t="shared" ca="1" si="98"/>
        <v>0</v>
      </c>
      <c r="Q128" s="59"/>
      <c r="R128" s="59">
        <f t="shared" ca="1" si="99"/>
        <v>0</v>
      </c>
      <c r="S128" s="59">
        <f t="shared" ca="1" si="99"/>
        <v>0</v>
      </c>
      <c r="X128" s="63">
        <f ca="1">XIRR(INDIRECT($X$46&amp;$AI128):INDIRECT($X$46&amp;$AJ128),INDIRECT($X$47&amp;$AI128):INDIRECT($X$47&amp;$AJ128),0.1)</f>
        <v>-0.6258157290518287</v>
      </c>
      <c r="Y128" s="63">
        <f t="shared" ca="1" si="95"/>
        <v>-0.4685835815990953</v>
      </c>
      <c r="Z128" s="63">
        <f t="shared" ca="1" si="96"/>
        <v>1.3548801593340265E-2</v>
      </c>
      <c r="AA128" s="63">
        <f ca="1">ABS(SUMIF(INDIRECT($AA$46&amp;$AI128):INDIRECT($AA$46&amp;$AJ128),"&lt;0"))/SUMIF(INDIRECT($AA$46&amp;$AI128):INDIRECT($AA$46&amp;$AJ128),"&gt;0")</f>
        <v>0.60434019915104442</v>
      </c>
      <c r="AB128" s="63">
        <f t="shared" ca="1" si="97"/>
        <v>-0.39565980084895558</v>
      </c>
      <c r="AC128" s="316">
        <f ca="1">ABS(SUMIF(INDIRECT($AA$46&amp;$AI128):INDIRECT($AA$46&amp;$AJ128),"&lt;0"))</f>
        <v>1024342.7498232438</v>
      </c>
      <c r="AD128" s="316">
        <f ca="1">SUMIF(INDIRECT($AA$46&amp;$AI128):INDIRECT($AA$46&amp;$AJ128),"&gt;0")</f>
        <v>1694977.02</v>
      </c>
      <c r="AI128" s="77">
        <f t="array" aca="1" ref="AI128" ca="1">MATCH(A128&amp;B128,INDIRECT($AI$47) &amp; INDIRECT($AI$49),0)</f>
        <v>2587</v>
      </c>
      <c r="AJ128" s="54">
        <f t="shared" ca="1" si="101"/>
        <v>2599</v>
      </c>
      <c r="AK128" s="78">
        <f ca="1">COUNTIFS(INDIRECT($AK$46),Summary!A128,INDIRECT($AK$47),Summary!B128)</f>
        <v>13</v>
      </c>
      <c r="AM128" s="79">
        <f ca="1">MATCH(AM$6,INDIRECT($AM$46&amp;$AI128):INDIRECT($AM$46&amp;$AJ128),1)+$AI128-1</f>
        <v>2598</v>
      </c>
      <c r="AN128" s="73">
        <f ca="1">MATCH(AN$6,INDIRECT($AM$46&amp;$AI128):INDIRECT($AM$46&amp;$AJ128),1)+$AI128-1</f>
        <v>2597</v>
      </c>
      <c r="AO128" s="73">
        <f ca="1">MATCH(AO$6,INDIRECT($AM$46&amp;$AI128):INDIRECT($AM$46&amp;$AJ128),1)+$AI128-1</f>
        <v>2597</v>
      </c>
      <c r="AP128" s="58">
        <f t="shared" ca="1" si="104"/>
        <v>781455.4</v>
      </c>
      <c r="AQ128" s="58">
        <f t="shared" ca="1" si="104"/>
        <v>771009.15</v>
      </c>
      <c r="AR128" s="58">
        <f t="shared" ca="1" si="105"/>
        <v>771009.15</v>
      </c>
      <c r="AS128" s="58">
        <f t="shared" ca="1" si="86"/>
        <v>699505.07</v>
      </c>
      <c r="AT128" s="36">
        <f t="shared" ca="1" si="106"/>
        <v>0</v>
      </c>
      <c r="AU128" s="58">
        <f t="shared" ca="1" si="88"/>
        <v>0</v>
      </c>
      <c r="AV128" s="85">
        <f t="shared" ca="1" si="89"/>
        <v>0</v>
      </c>
    </row>
    <row r="129" spans="1:48" ht="13.5">
      <c r="A129" s="358" t="s">
        <v>273</v>
      </c>
      <c r="B129" s="358" t="s">
        <v>359</v>
      </c>
      <c r="C129" s="46">
        <f t="shared" ca="1" si="102"/>
        <v>43252</v>
      </c>
      <c r="E129" s="40">
        <f t="shared" ca="1" si="100"/>
        <v>0.71702652</v>
      </c>
      <c r="F129" s="40">
        <f t="shared" ca="1" si="103"/>
        <v>0</v>
      </c>
      <c r="G129" s="116" t="s">
        <v>273</v>
      </c>
      <c r="H129" s="116"/>
      <c r="J129" s="116" t="s">
        <v>180</v>
      </c>
      <c r="K129" s="116"/>
      <c r="L129" s="40"/>
      <c r="O129" s="59">
        <f t="shared" ca="1" si="98"/>
        <v>0</v>
      </c>
      <c r="P129" s="59">
        <f t="shared" ca="1" si="98"/>
        <v>0</v>
      </c>
      <c r="Q129" s="59"/>
      <c r="R129" s="59">
        <f t="shared" ca="1" si="99"/>
        <v>0</v>
      </c>
      <c r="S129" s="59">
        <f t="shared" ca="1" si="99"/>
        <v>0</v>
      </c>
      <c r="X129" s="63">
        <f ca="1">XIRR(INDIRECT($X$46&amp;$AI129):INDIRECT($X$46&amp;$AJ129),INDIRECT($X$47&amp;$AI129):INDIRECT($X$47&amp;$AJ129),0.1)</f>
        <v>-0.29431743994355208</v>
      </c>
      <c r="Y129" s="63">
        <f t="shared" ca="1" si="95"/>
        <v>-0.2098372309471308</v>
      </c>
      <c r="Z129" s="63">
        <f t="shared" ca="1" si="96"/>
        <v>1.354879443466106E-2</v>
      </c>
      <c r="AA129" s="63">
        <f ca="1">ABS(SUMIF(INDIRECT($AA$46&amp;$AI129):INDIRECT($AA$46&amp;$AJ129),"&lt;0"))/SUMIF(INDIRECT($AA$46&amp;$AI129):INDIRECT($AA$46&amp;$AJ129),"&gt;0")</f>
        <v>0.84416217321510678</v>
      </c>
      <c r="AB129" s="63">
        <f t="shared" ca="1" si="97"/>
        <v>-0.15583782678489322</v>
      </c>
      <c r="AC129" s="316">
        <f ca="1">ABS(SUMIF(INDIRECT($AA$46&amp;$AI129):INDIRECT($AA$46&amp;$AJ129),"&lt;0"))</f>
        <v>939888.46689173148</v>
      </c>
      <c r="AD129" s="316">
        <f ca="1">SUMIF(INDIRECT($AA$46&amp;$AI129):INDIRECT($AA$46&amp;$AJ129),"&gt;0")</f>
        <v>1113397.9899999998</v>
      </c>
      <c r="AI129" s="77">
        <f t="array" aca="1" ref="AI129" ca="1">MATCH(A129&amp;B129,INDIRECT($AI$47) &amp; INDIRECT($AI$49),0)</f>
        <v>2599</v>
      </c>
      <c r="AJ129" s="54">
        <f t="shared" ca="1" si="101"/>
        <v>2611</v>
      </c>
      <c r="AK129" s="78">
        <f ca="1">COUNTIFS(INDIRECT($AK$46),Summary!A129,INDIRECT($AK$47),Summary!B129)</f>
        <v>13</v>
      </c>
      <c r="AM129" s="79">
        <f ca="1">MATCH(AM$6,INDIRECT($AM$46&amp;$AI129):INDIRECT($AM$46&amp;$AJ129),1)+$AI129-1</f>
        <v>2610</v>
      </c>
      <c r="AN129" s="73">
        <f ca="1">MATCH(AN$6,INDIRECT($AM$46&amp;$AI129):INDIRECT($AM$46&amp;$AJ129),1)+$AI129-1</f>
        <v>2609</v>
      </c>
      <c r="AO129" s="73">
        <f ca="1">MATCH(AO$6,INDIRECT($AM$46&amp;$AI129):INDIRECT($AM$46&amp;$AJ129),1)+$AI129-1</f>
        <v>2609</v>
      </c>
      <c r="AP129" s="58">
        <f t="shared" ca="1" si="104"/>
        <v>717026.52</v>
      </c>
      <c r="AQ129" s="58">
        <f t="shared" ca="1" si="104"/>
        <v>707441.54</v>
      </c>
      <c r="AR129" s="58">
        <f t="shared" ca="1" si="105"/>
        <v>707441.54</v>
      </c>
      <c r="AS129" s="58">
        <f t="shared" ca="1" si="86"/>
        <v>200000</v>
      </c>
      <c r="AT129" s="36">
        <f t="shared" ca="1" si="106"/>
        <v>0</v>
      </c>
      <c r="AU129" s="58">
        <f t="shared" ca="1" si="88"/>
        <v>0</v>
      </c>
      <c r="AV129" s="85">
        <f t="shared" ca="1" si="89"/>
        <v>0</v>
      </c>
    </row>
    <row r="130" spans="1:48" ht="13.5">
      <c r="A130" s="358" t="s">
        <v>273</v>
      </c>
      <c r="B130" s="358" t="s">
        <v>360</v>
      </c>
      <c r="C130" s="46">
        <f t="shared" ca="1" si="102"/>
        <v>43252</v>
      </c>
      <c r="E130" s="40">
        <f t="shared" ca="1" si="100"/>
        <v>0.20500967</v>
      </c>
      <c r="F130" s="40">
        <f t="shared" ca="1" si="103"/>
        <v>0</v>
      </c>
      <c r="G130" s="116" t="s">
        <v>273</v>
      </c>
      <c r="H130" s="116"/>
      <c r="J130" s="116" t="s">
        <v>180</v>
      </c>
      <c r="K130" s="116"/>
      <c r="L130" s="40"/>
      <c r="O130" s="59">
        <f t="shared" ca="1" si="98"/>
        <v>0</v>
      </c>
      <c r="P130" s="59">
        <f t="shared" ca="1" si="98"/>
        <v>0</v>
      </c>
      <c r="Q130" s="59"/>
      <c r="R130" s="59">
        <f t="shared" ca="1" si="99"/>
        <v>0</v>
      </c>
      <c r="S130" s="59">
        <f t="shared" ca="1" si="99"/>
        <v>0</v>
      </c>
      <c r="X130" s="63">
        <f ca="1">XIRR(INDIRECT($X$46&amp;$AI130):INDIRECT($X$46&amp;$AJ130),INDIRECT($X$47&amp;$AI130):INDIRECT($X$47&amp;$AJ130),0.1)</f>
        <v>-0.7084169205278158</v>
      </c>
      <c r="Y130" s="63">
        <f t="shared" ca="1" si="95"/>
        <v>-0.54670872215322563</v>
      </c>
      <c r="Z130" s="63">
        <f t="shared" ca="1" si="96"/>
        <v>1.3548777601648299E-2</v>
      </c>
      <c r="AA130" s="63">
        <f ca="1">ABS(SUMIF(INDIRECT($AA$46&amp;$AI130):INDIRECT($AA$46&amp;$AJ130),"&lt;0"))/SUMIF(INDIRECT($AA$46&amp;$AI130):INDIRECT($AA$46&amp;$AJ130),"&gt;0")</f>
        <v>0.52572957262301001</v>
      </c>
      <c r="AB130" s="63">
        <f t="shared" ca="1" si="97"/>
        <v>-0.47427042737698999</v>
      </c>
      <c r="AC130" s="316">
        <f ca="1">ABS(SUMIF(INDIRECT($AA$46&amp;$AI130):INDIRECT($AA$46&amp;$AJ130),"&lt;0"))</f>
        <v>268729.56255890097</v>
      </c>
      <c r="AD130" s="316">
        <f ca="1">SUMIF(INDIRECT($AA$46&amp;$AI130):INDIRECT($AA$46&amp;$AJ130),"&gt;0")</f>
        <v>511155.5</v>
      </c>
      <c r="AI130" s="77">
        <f t="array" aca="1" ref="AI130" ca="1">MATCH(A130&amp;B130,INDIRECT($AI$47) &amp; INDIRECT($AI$49),0)</f>
        <v>2611</v>
      </c>
      <c r="AJ130" s="54">
        <f t="shared" ca="1" si="101"/>
        <v>2623</v>
      </c>
      <c r="AK130" s="78">
        <f ca="1">COUNTIFS(INDIRECT($AK$46),Summary!A130,INDIRECT($AK$47),Summary!B130)</f>
        <v>13</v>
      </c>
      <c r="AM130" s="79">
        <f ca="1">MATCH(AM$6,INDIRECT($AM$46&amp;$AI130):INDIRECT($AM$46&amp;$AJ130),1)+$AI130-1</f>
        <v>2622</v>
      </c>
      <c r="AN130" s="73">
        <f ca="1">MATCH(AN$6,INDIRECT($AM$46&amp;$AI130):INDIRECT($AM$46&amp;$AJ130),1)+$AI130-1</f>
        <v>2621</v>
      </c>
      <c r="AO130" s="73">
        <f ca="1">MATCH(AO$6,INDIRECT($AM$46&amp;$AI130):INDIRECT($AM$46&amp;$AJ130),1)+$AI130-1</f>
        <v>2621</v>
      </c>
      <c r="AP130" s="58">
        <f t="shared" ca="1" si="104"/>
        <v>205009.67</v>
      </c>
      <c r="AQ130" s="58">
        <f t="shared" ca="1" si="104"/>
        <v>202269.17</v>
      </c>
      <c r="AR130" s="58">
        <f t="shared" ca="1" si="105"/>
        <v>202269.17</v>
      </c>
      <c r="AS130" s="58">
        <f t="shared" ca="1" si="86"/>
        <v>250000</v>
      </c>
      <c r="AT130" s="36">
        <f t="shared" ca="1" si="106"/>
        <v>0</v>
      </c>
      <c r="AU130" s="58">
        <f t="shared" ca="1" si="88"/>
        <v>0</v>
      </c>
      <c r="AV130" s="85">
        <f t="shared" ca="1" si="89"/>
        <v>0</v>
      </c>
    </row>
    <row r="131" spans="1:48" ht="13.5">
      <c r="A131" s="358" t="s">
        <v>273</v>
      </c>
      <c r="B131" s="358" t="s">
        <v>361</v>
      </c>
      <c r="C131" s="46">
        <f t="shared" ca="1" si="102"/>
        <v>43252</v>
      </c>
      <c r="E131" s="40">
        <f t="shared" ca="1" si="100"/>
        <v>0.25626209</v>
      </c>
      <c r="F131" s="40">
        <f t="shared" ca="1" si="103"/>
        <v>0</v>
      </c>
      <c r="G131" s="116" t="s">
        <v>273</v>
      </c>
      <c r="H131" s="116"/>
      <c r="J131" s="116" t="s">
        <v>180</v>
      </c>
      <c r="K131" s="116"/>
      <c r="L131" s="40"/>
      <c r="O131" s="59">
        <f t="shared" ca="1" si="98"/>
        <v>0</v>
      </c>
      <c r="P131" s="59">
        <f t="shared" ca="1" si="98"/>
        <v>0</v>
      </c>
      <c r="Q131" s="59"/>
      <c r="R131" s="59">
        <f t="shared" ca="1" si="99"/>
        <v>0</v>
      </c>
      <c r="S131" s="59">
        <f t="shared" ca="1" si="99"/>
        <v>0</v>
      </c>
      <c r="X131" s="63">
        <f ca="1">XIRR(INDIRECT($X$46&amp;$AI131):INDIRECT($X$46&amp;$AJ131),INDIRECT($X$47&amp;$AI131):INDIRECT($X$47&amp;$AJ131),0.1)</f>
        <v>-0.58674452677369127</v>
      </c>
      <c r="Y131" s="63">
        <f t="shared" ca="1" si="95"/>
        <v>-0.43409572188599832</v>
      </c>
      <c r="Z131" s="63">
        <f t="shared" ca="1" si="96"/>
        <v>1.3548797511244937E-2</v>
      </c>
      <c r="AA131" s="63">
        <f ca="1">ABS(SUMIF(INDIRECT($AA$46&amp;$AI131):INDIRECT($AA$46&amp;$AJ131),"&lt;0"))/SUMIF(INDIRECT($AA$46&amp;$AI131):INDIRECT($AA$46&amp;$AJ131),"&gt;0")</f>
        <v>0.63807682912034536</v>
      </c>
      <c r="AB131" s="63">
        <f t="shared" ca="1" si="97"/>
        <v>-0.36192317087965464</v>
      </c>
      <c r="AC131" s="316">
        <f ca="1">ABS(SUMIF(INDIRECT($AA$46&amp;$AI131):INDIRECT($AA$46&amp;$AJ131),"&lt;0"))</f>
        <v>335911.96069862618</v>
      </c>
      <c r="AD131" s="316">
        <f ca="1">SUMIF(INDIRECT($AA$46&amp;$AI131):INDIRECT($AA$46&amp;$AJ131),"&gt;0")</f>
        <v>526444.38</v>
      </c>
      <c r="AI131" s="77">
        <f t="array" aca="1" ref="AI131" ca="1">MATCH(A131&amp;B131,INDIRECT($AI$47) &amp; INDIRECT($AI$49),0)</f>
        <v>2623</v>
      </c>
      <c r="AJ131" s="54">
        <f t="shared" ca="1" si="101"/>
        <v>2635</v>
      </c>
      <c r="AK131" s="78">
        <f ca="1">COUNTIFS(INDIRECT($AK$46),Summary!A131,INDIRECT($AK$47),Summary!B131)</f>
        <v>13</v>
      </c>
      <c r="AM131" s="79">
        <f ca="1">MATCH(AM$6,INDIRECT($AM$46&amp;$AI131):INDIRECT($AM$46&amp;$AJ131),1)+$AI131-1</f>
        <v>2634</v>
      </c>
      <c r="AN131" s="73">
        <f ca="1">MATCH(AN$6,INDIRECT($AM$46&amp;$AI131):INDIRECT($AM$46&amp;$AJ131),1)+$AI131-1</f>
        <v>2633</v>
      </c>
      <c r="AO131" s="73">
        <f ca="1">MATCH(AO$6,INDIRECT($AM$46&amp;$AI131):INDIRECT($AM$46&amp;$AJ131),1)+$AI131-1</f>
        <v>2633</v>
      </c>
      <c r="AP131" s="58">
        <f t="shared" ca="1" si="104"/>
        <v>256262.09</v>
      </c>
      <c r="AQ131" s="58">
        <f t="shared" ca="1" si="104"/>
        <v>252836.46</v>
      </c>
      <c r="AR131" s="58">
        <f t="shared" ca="1" si="105"/>
        <v>252836.46</v>
      </c>
      <c r="AS131" s="58">
        <f t="shared" ca="1" si="86"/>
        <v>200000</v>
      </c>
      <c r="AT131" s="36">
        <f t="shared" ca="1" si="106"/>
        <v>0</v>
      </c>
      <c r="AU131" s="58">
        <f t="shared" ca="1" si="88"/>
        <v>0</v>
      </c>
      <c r="AV131" s="85">
        <f t="shared" ca="1" si="89"/>
        <v>0</v>
      </c>
    </row>
    <row r="132" spans="1:48" ht="13.5">
      <c r="A132" s="358" t="s">
        <v>273</v>
      </c>
      <c r="B132" s="358" t="s">
        <v>362</v>
      </c>
      <c r="C132" s="46">
        <f t="shared" ca="1" si="102"/>
        <v>43252</v>
      </c>
      <c r="E132" s="40">
        <f t="shared" ca="1" si="100"/>
        <v>0.20500967</v>
      </c>
      <c r="F132" s="40">
        <f t="shared" ca="1" si="103"/>
        <v>0</v>
      </c>
      <c r="G132" s="116" t="s">
        <v>273</v>
      </c>
      <c r="H132" s="116"/>
      <c r="J132" s="116" t="s">
        <v>180</v>
      </c>
      <c r="K132" s="116"/>
      <c r="L132" s="40"/>
      <c r="O132" s="59">
        <f t="shared" ref="O132:P151" ca="1" si="107">INDIRECT(O$47&amp;$AJ132)</f>
        <v>0</v>
      </c>
      <c r="P132" s="59">
        <f t="shared" ca="1" si="107"/>
        <v>0</v>
      </c>
      <c r="Q132" s="59"/>
      <c r="R132" s="59">
        <f t="shared" ref="R132:S151" ca="1" si="108">INDIRECT(R$47&amp;$AJ132)</f>
        <v>0</v>
      </c>
      <c r="S132" s="59">
        <f t="shared" ca="1" si="108"/>
        <v>0</v>
      </c>
      <c r="X132" s="63">
        <f ca="1">XIRR(INDIRECT($X$46&amp;$AI132):INDIRECT($X$46&amp;$AJ132),INDIRECT($X$47&amp;$AI132):INDIRECT($X$47&amp;$AJ132),0.1)</f>
        <v>5.4393956065177912E-2</v>
      </c>
      <c r="Y132" s="63">
        <f t="shared" ca="1" si="95"/>
        <v>8.5625380376177507E-3</v>
      </c>
      <c r="Z132" s="63">
        <f t="shared" ca="1" si="96"/>
        <v>1.3548777601648299E-2</v>
      </c>
      <c r="AA132" s="63">
        <f ca="1">ABS(SUMIF(INDIRECT($AA$46&amp;$AI132):INDIRECT($AA$46&amp;$AJ132),"&lt;0"))/SUMIF(INDIRECT($AA$46&amp;$AI132):INDIRECT($AA$46&amp;$AJ132),"&gt;0")</f>
        <v>1.0250769583659354</v>
      </c>
      <c r="AB132" s="63">
        <f t="shared" ca="1" si="97"/>
        <v>2.5076958365935376E-2</v>
      </c>
      <c r="AC132" s="316">
        <f ca="1">ABS(SUMIF(INDIRECT($AA$46&amp;$AI132):INDIRECT($AA$46&amp;$AJ132),"&lt;0"))</f>
        <v>268729.56255890097</v>
      </c>
      <c r="AD132" s="316">
        <f ca="1">SUMIF(INDIRECT($AA$46&amp;$AI132):INDIRECT($AA$46&amp;$AJ132),"&gt;0")</f>
        <v>262155.5</v>
      </c>
      <c r="AI132" s="77">
        <f t="array" aca="1" ref="AI132" ca="1">MATCH(A132&amp;B132,INDIRECT($AI$47) &amp; INDIRECT($AI$49),0)</f>
        <v>2635</v>
      </c>
      <c r="AJ132" s="54">
        <f t="shared" ca="1" si="101"/>
        <v>2647</v>
      </c>
      <c r="AK132" s="78">
        <f ca="1">COUNTIFS(INDIRECT($AK$46),Summary!A132,INDIRECT($AK$47),Summary!B132)</f>
        <v>13</v>
      </c>
      <c r="AM132" s="79">
        <f ca="1">MATCH(AM$6,INDIRECT($AM$46&amp;$AI132):INDIRECT($AM$46&amp;$AJ132),1)+$AI132-1</f>
        <v>2646</v>
      </c>
      <c r="AN132" s="73">
        <f ca="1">MATCH(AN$6,INDIRECT($AM$46&amp;$AI132):INDIRECT($AM$46&amp;$AJ132),1)+$AI132-1</f>
        <v>2645</v>
      </c>
      <c r="AO132" s="73">
        <f ca="1">MATCH(AO$6,INDIRECT($AM$46&amp;$AI132):INDIRECT($AM$46&amp;$AJ132),1)+$AI132-1</f>
        <v>2645</v>
      </c>
      <c r="AP132" s="58">
        <f t="shared" ca="1" si="104"/>
        <v>205009.67</v>
      </c>
      <c r="AQ132" s="58">
        <f t="shared" ca="1" si="104"/>
        <v>202269.17</v>
      </c>
      <c r="AR132" s="58">
        <f t="shared" ca="1" si="105"/>
        <v>202269.17</v>
      </c>
      <c r="AS132" s="58">
        <f t="shared" ca="1" si="86"/>
        <v>1000</v>
      </c>
      <c r="AT132" s="36">
        <f t="shared" ca="1" si="106"/>
        <v>0</v>
      </c>
      <c r="AU132" s="58">
        <f t="shared" ca="1" si="88"/>
        <v>0</v>
      </c>
      <c r="AV132" s="85">
        <f t="shared" ca="1" si="89"/>
        <v>0</v>
      </c>
    </row>
    <row r="133" spans="1:48" ht="13.5">
      <c r="A133" s="358" t="s">
        <v>273</v>
      </c>
      <c r="B133" s="358" t="s">
        <v>343</v>
      </c>
      <c r="C133" s="46">
        <f t="shared" ca="1" si="102"/>
        <v>43252</v>
      </c>
      <c r="E133" s="40">
        <f t="shared" ca="1" si="100"/>
        <v>0.32283160290000001</v>
      </c>
      <c r="F133" s="40">
        <f t="shared" ca="1" si="103"/>
        <v>0</v>
      </c>
      <c r="G133" s="116" t="s">
        <v>273</v>
      </c>
      <c r="H133" s="116"/>
      <c r="J133" s="116" t="s">
        <v>179</v>
      </c>
      <c r="K133" s="116"/>
      <c r="L133" s="40"/>
      <c r="O133" s="59">
        <f t="shared" ca="1" si="107"/>
        <v>0</v>
      </c>
      <c r="P133" s="59">
        <f t="shared" ca="1" si="107"/>
        <v>0</v>
      </c>
      <c r="Q133" s="59"/>
      <c r="R133" s="59">
        <f t="shared" ca="1" si="108"/>
        <v>0</v>
      </c>
      <c r="S133" s="59">
        <f t="shared" ca="1" si="108"/>
        <v>0</v>
      </c>
      <c r="X133" s="63">
        <f ca="1">XIRR(INDIRECT($X$46&amp;$AI133):INDIRECT($X$46&amp;$AJ133),INDIRECT($X$47&amp;$AI133):INDIRECT($X$47&amp;$AJ133),0.1)</f>
        <v>6011.0342285156257</v>
      </c>
      <c r="Y133" s="63">
        <f t="shared" ca="1" si="95"/>
        <v>1.8051562457232722</v>
      </c>
      <c r="Z133" s="63">
        <f t="shared" ca="1" si="96"/>
        <v>1.8051562457232722</v>
      </c>
      <c r="AA133" s="63">
        <f ca="1">ABS(SUMIF(INDIRECT($AA$46&amp;$AI133):INDIRECT($AA$46&amp;$AJ133),"&lt;0"))/SUMIF(INDIRECT($AA$46&amp;$AI133):INDIRECT($AA$46&amp;$AJ133),"&gt;0")</f>
        <v>247.47675570371311</v>
      </c>
      <c r="AB133" s="63">
        <f t="shared" ca="1" si="97"/>
        <v>246.47675570371311</v>
      </c>
      <c r="AC133" s="316">
        <f ca="1">ABS(SUMIF(INDIRECT($AA$46&amp;$AI133):INDIRECT($AA$46&amp;$AJ133),"&lt;0"))</f>
        <v>323150.19806279452</v>
      </c>
      <c r="AD133" s="316">
        <f ca="1">SUMIF(INDIRECT($AA$46&amp;$AI133):INDIRECT($AA$46&amp;$AJ133),"&gt;0")</f>
        <v>1305.78</v>
      </c>
      <c r="AI133" s="77">
        <f t="array" aca="1" ref="AI133" ca="1">MATCH(A133&amp;B133,INDIRECT($AI$47) &amp; INDIRECT($AI$49),0)</f>
        <v>2647</v>
      </c>
      <c r="AJ133" s="54">
        <f t="shared" ca="1" si="101"/>
        <v>2658</v>
      </c>
      <c r="AK133" s="78">
        <f ca="1">COUNTIFS(INDIRECT($AK$46),Summary!A133,INDIRECT($AK$47),Summary!B133)</f>
        <v>12</v>
      </c>
      <c r="AM133" s="79">
        <f ca="1">MATCH(AM$6,INDIRECT($AM$46&amp;$AI133):INDIRECT($AM$46&amp;$AJ133),1)+$AI133-1</f>
        <v>2658</v>
      </c>
      <c r="AN133" s="73">
        <f ca="1">MATCH(AN$6,INDIRECT($AM$46&amp;$AI133):INDIRECT($AM$46&amp;$AJ133),1)+$AI133-1</f>
        <v>2657</v>
      </c>
      <c r="AO133" s="73">
        <f ca="1">MATCH(AO$6,INDIRECT($AM$46&amp;$AI133):INDIRECT($AM$46&amp;$AJ133),1)+$AI133-1</f>
        <v>2657</v>
      </c>
      <c r="AP133" s="58">
        <f t="shared" ca="1" si="104"/>
        <v>322831.6029</v>
      </c>
      <c r="AQ133" s="58">
        <f t="shared" ca="1" si="104"/>
        <v>115085.07</v>
      </c>
      <c r="AR133" s="58">
        <f t="shared" ca="1" si="105"/>
        <v>115085.07</v>
      </c>
      <c r="AS133" s="58">
        <f t="shared" ca="1" si="86"/>
        <v>0</v>
      </c>
      <c r="AT133" s="36">
        <f t="shared" ca="1" si="106"/>
        <v>0</v>
      </c>
      <c r="AU133" s="58">
        <f t="shared" ca="1" si="88"/>
        <v>0</v>
      </c>
      <c r="AV133" s="85">
        <f t="shared" ca="1" si="89"/>
        <v>0</v>
      </c>
    </row>
    <row r="134" spans="1:48" ht="13.5">
      <c r="A134" s="358" t="s">
        <v>273</v>
      </c>
      <c r="B134" s="358" t="s">
        <v>363</v>
      </c>
      <c r="C134" s="46">
        <f t="shared" ca="1" si="102"/>
        <v>43252</v>
      </c>
      <c r="E134" s="40">
        <f t="shared" ca="1" si="100"/>
        <v>3.0457014527999999</v>
      </c>
      <c r="F134" s="40">
        <f t="shared" ca="1" si="103"/>
        <v>0</v>
      </c>
      <c r="G134" s="116" t="s">
        <v>273</v>
      </c>
      <c r="H134" s="116"/>
      <c r="J134" s="116" t="s">
        <v>180</v>
      </c>
      <c r="K134" s="116"/>
      <c r="L134" s="40"/>
      <c r="O134" s="59">
        <f t="shared" ca="1" si="107"/>
        <v>0</v>
      </c>
      <c r="P134" s="59">
        <f t="shared" ca="1" si="107"/>
        <v>0</v>
      </c>
      <c r="Q134" s="59"/>
      <c r="R134" s="59">
        <f t="shared" ca="1" si="108"/>
        <v>0</v>
      </c>
      <c r="S134" s="59">
        <f t="shared" ca="1" si="108"/>
        <v>0</v>
      </c>
      <c r="X134" s="63">
        <f ca="1">XIRR(INDIRECT($X$46&amp;$AI134):INDIRECT($X$46&amp;$AJ134),INDIRECT($X$47&amp;$AI134):INDIRECT($X$47&amp;$AJ134),0.1)</f>
        <v>1.3204243779182435E-2</v>
      </c>
      <c r="Y134" s="63">
        <f t="shared" ca="1" si="95"/>
        <v>-6.8218679504872259E-3</v>
      </c>
      <c r="Z134" s="63">
        <f t="shared" ca="1" si="96"/>
        <v>1.0694203728417451E-2</v>
      </c>
      <c r="AA134" s="63">
        <f ca="1">ABS(SUMIF(INDIRECT($AA$46&amp;$AI134):INDIRECT($AA$46&amp;$AJ134),"&lt;0"))/SUMIF(INDIRECT($AA$46&amp;$AI134):INDIRECT($AA$46&amp;$AJ134),"&gt;0")</f>
        <v>1.0061539640175154</v>
      </c>
      <c r="AB134" s="63">
        <f t="shared" ca="1" si="97"/>
        <v>6.1539640175154453E-3</v>
      </c>
      <c r="AC134" s="316">
        <f ca="1">ABS(SUMIF(INDIRECT($AA$46&amp;$AI134):INDIRECT($AA$46&amp;$AJ134),"&lt;0"))</f>
        <v>4003608.36745534</v>
      </c>
      <c r="AD134" s="316">
        <f ca="1">SUMIF(INDIRECT($AA$46&amp;$AI134):INDIRECT($AA$46&amp;$AJ134),"&gt;0")</f>
        <v>3979121</v>
      </c>
      <c r="AI134" s="77">
        <f t="array" aca="1" ref="AI134" ca="1">MATCH(A134&amp;B134,INDIRECT($AI$47) &amp; INDIRECT($AI$49),0)</f>
        <v>2659</v>
      </c>
      <c r="AJ134" s="54">
        <f t="shared" ca="1" si="101"/>
        <v>2671</v>
      </c>
      <c r="AK134" s="78">
        <f ca="1">COUNTIFS(INDIRECT($AK$46),Summary!A134,INDIRECT($AK$47),Summary!B134)</f>
        <v>13</v>
      </c>
      <c r="AM134" s="79">
        <f ca="1">MATCH(AM$6,INDIRECT($AM$46&amp;$AI134):INDIRECT($AM$46&amp;$AJ134),1)+$AI134-1</f>
        <v>2670</v>
      </c>
      <c r="AN134" s="73">
        <f ca="1">MATCH(AN$6,INDIRECT($AM$46&amp;$AI134):INDIRECT($AM$46&amp;$AJ134),1)+$AI134-1</f>
        <v>2669</v>
      </c>
      <c r="AO134" s="73">
        <f ca="1">MATCH(AO$6,INDIRECT($AM$46&amp;$AI134):INDIRECT($AM$46&amp;$AJ134),1)+$AI134-1</f>
        <v>2669</v>
      </c>
      <c r="AP134" s="58">
        <f t="shared" ca="1" si="104"/>
        <v>3045701.4528000001</v>
      </c>
      <c r="AQ134" s="58">
        <f t="shared" ca="1" si="104"/>
        <v>3013474.74</v>
      </c>
      <c r="AR134" s="58">
        <f t="shared" ca="1" si="105"/>
        <v>3013474.74</v>
      </c>
      <c r="AS134" s="58">
        <f t="shared" ca="1" si="86"/>
        <v>53146.8</v>
      </c>
      <c r="AT134" s="36">
        <f t="shared" ca="1" si="106"/>
        <v>0</v>
      </c>
      <c r="AU134" s="58">
        <f t="shared" ca="1" si="88"/>
        <v>0</v>
      </c>
      <c r="AV134" s="85">
        <f t="shared" ca="1" si="89"/>
        <v>0</v>
      </c>
    </row>
    <row r="135" spans="1:48" ht="13.5">
      <c r="A135" s="358" t="s">
        <v>273</v>
      </c>
      <c r="B135" s="358" t="s">
        <v>364</v>
      </c>
      <c r="C135" s="46">
        <f t="shared" ca="1" si="102"/>
        <v>43252</v>
      </c>
      <c r="E135" s="40">
        <f t="shared" ca="1" si="100"/>
        <v>5.3837667800000003E-2</v>
      </c>
      <c r="F135" s="40">
        <f t="shared" ca="1" si="103"/>
        <v>0</v>
      </c>
      <c r="G135" s="116" t="s">
        <v>273</v>
      </c>
      <c r="H135" s="116"/>
      <c r="J135" s="116" t="s">
        <v>180</v>
      </c>
      <c r="K135" s="116"/>
      <c r="L135" s="40"/>
      <c r="O135" s="59">
        <f t="shared" ca="1" si="107"/>
        <v>0</v>
      </c>
      <c r="P135" s="59">
        <f t="shared" ca="1" si="107"/>
        <v>0</v>
      </c>
      <c r="Q135" s="59"/>
      <c r="R135" s="59">
        <f t="shared" ca="1" si="108"/>
        <v>0</v>
      </c>
      <c r="S135" s="59">
        <f t="shared" ca="1" si="108"/>
        <v>0</v>
      </c>
      <c r="X135" s="63">
        <f ca="1">XIRR(INDIRECT($X$46&amp;$AI135):INDIRECT($X$46&amp;$AJ135),INDIRECT($X$47&amp;$AI135):INDIRECT($X$47&amp;$AJ135),0.1)</f>
        <v>2.9802322387695314E-9</v>
      </c>
      <c r="Y135" s="63">
        <f t="shared" ca="1" si="95"/>
        <v>-0.68320344268740796</v>
      </c>
      <c r="Z135" s="63">
        <f t="shared" ca="1" si="96"/>
        <v>1.069418211793538E-2</v>
      </c>
      <c r="AA135" s="63">
        <f ca="1">ABS(SUMIF(INDIRECT($AA$46&amp;$AI135):INDIRECT($AA$46&amp;$AJ135),"&lt;0"))/SUMIF(INDIRECT($AA$46&amp;$AI135):INDIRECT($AA$46&amp;$AJ135),"&gt;0")</f>
        <v>0.38033394574964768</v>
      </c>
      <c r="AB135" s="63">
        <f t="shared" ca="1" si="97"/>
        <v>-0.61966605425035226</v>
      </c>
      <c r="AC135" s="316">
        <f ca="1">ABS(SUMIF(INDIRECT($AA$46&amp;$AI135):INDIRECT($AA$46&amp;$AJ135),"&lt;0"))</f>
        <v>70770.20917800699</v>
      </c>
      <c r="AD135" s="316">
        <f ca="1">SUMIF(INDIRECT($AA$46&amp;$AI135):INDIRECT($AA$46&amp;$AJ135),"&gt;0")</f>
        <v>186073.87</v>
      </c>
      <c r="AI135" s="77">
        <f t="array" aca="1" ref="AI135" ca="1">MATCH(A135&amp;B135,INDIRECT($AI$47) &amp; INDIRECT($AI$49),0)</f>
        <v>2671</v>
      </c>
      <c r="AJ135" s="54">
        <f t="shared" ca="1" si="101"/>
        <v>2683</v>
      </c>
      <c r="AK135" s="78">
        <f ca="1">COUNTIFS(INDIRECT($AK$46),Summary!A135,INDIRECT($AK$47),Summary!B135)</f>
        <v>13</v>
      </c>
      <c r="AM135" s="79">
        <f ca="1">MATCH(AM$6,INDIRECT($AM$46&amp;$AI135):INDIRECT($AM$46&amp;$AJ135),1)+$AI135-1</f>
        <v>2682</v>
      </c>
      <c r="AN135" s="73">
        <f ca="1">MATCH(AN$6,INDIRECT($AM$46&amp;$AI135):INDIRECT($AM$46&amp;$AJ135),1)+$AI135-1</f>
        <v>2681</v>
      </c>
      <c r="AO135" s="73">
        <f ca="1">MATCH(AO$6,INDIRECT($AM$46&amp;$AI135):INDIRECT($AM$46&amp;$AJ135),1)+$AI135-1</f>
        <v>2681</v>
      </c>
      <c r="AP135" s="58">
        <f t="shared" ca="1" si="104"/>
        <v>53837.667800000003</v>
      </c>
      <c r="AQ135" s="58">
        <f t="shared" ca="1" si="104"/>
        <v>53268.01</v>
      </c>
      <c r="AR135" s="58">
        <f t="shared" ca="1" si="105"/>
        <v>53268.01</v>
      </c>
      <c r="AS135" s="58">
        <f t="shared" ca="1" si="86"/>
        <v>116675.97</v>
      </c>
      <c r="AT135" s="36">
        <f t="shared" ca="1" si="106"/>
        <v>0</v>
      </c>
      <c r="AU135" s="58">
        <f t="shared" ca="1" si="88"/>
        <v>0</v>
      </c>
      <c r="AV135" s="85">
        <f t="shared" ca="1" si="89"/>
        <v>0</v>
      </c>
    </row>
    <row r="136" spans="1:48" ht="13.5">
      <c r="A136" s="358" t="s">
        <v>273</v>
      </c>
      <c r="B136" s="358" t="s">
        <v>365</v>
      </c>
      <c r="C136" s="46">
        <f t="shared" ca="1" si="102"/>
        <v>43252</v>
      </c>
      <c r="E136" s="40">
        <f t="shared" ca="1" si="100"/>
        <v>0.11819264759999999</v>
      </c>
      <c r="F136" s="40">
        <f t="shared" ca="1" si="103"/>
        <v>0</v>
      </c>
      <c r="G136" s="116" t="s">
        <v>273</v>
      </c>
      <c r="H136" s="116"/>
      <c r="J136" s="116" t="s">
        <v>180</v>
      </c>
      <c r="K136" s="116"/>
      <c r="L136" s="40"/>
      <c r="O136" s="59">
        <f t="shared" ca="1" si="107"/>
        <v>0</v>
      </c>
      <c r="P136" s="59">
        <f t="shared" ca="1" si="107"/>
        <v>0</v>
      </c>
      <c r="Q136" s="59"/>
      <c r="R136" s="59">
        <f t="shared" ca="1" si="108"/>
        <v>0</v>
      </c>
      <c r="S136" s="59">
        <f t="shared" ca="1" si="108"/>
        <v>0</v>
      </c>
      <c r="X136" s="63">
        <f ca="1">XIRR(INDIRECT($X$46&amp;$AI136):INDIRECT($X$46&amp;$AJ136),INDIRECT($X$47&amp;$AI136):INDIRECT($X$47&amp;$AJ136),0.1)</f>
        <v>-0.51626012399792653</v>
      </c>
      <c r="Y136" s="63">
        <f t="shared" ca="1" si="95"/>
        <v>-0.37148206091834424</v>
      </c>
      <c r="Z136" s="63">
        <f t="shared" ca="1" si="96"/>
        <v>1.0694165186944993E-2</v>
      </c>
      <c r="AA136" s="63">
        <f ca="1">ABS(SUMIF(INDIRECT($AA$46&amp;$AI136):INDIRECT($AA$46&amp;$AJ136),"&lt;0"))/SUMIF(INDIRECT($AA$46&amp;$AI136):INDIRECT($AA$46&amp;$AJ136),"&gt;0")</f>
        <v>0.69527055181843611</v>
      </c>
      <c r="AB136" s="63">
        <f t="shared" ca="1" si="97"/>
        <v>-0.30472944818156389</v>
      </c>
      <c r="AC136" s="316">
        <f ca="1">ABS(SUMIF(INDIRECT($AA$46&amp;$AI136):INDIRECT($AA$46&amp;$AJ136),"&lt;0"))</f>
        <v>155365.54686085676</v>
      </c>
      <c r="AD136" s="316">
        <f ca="1">SUMIF(INDIRECT($AA$46&amp;$AI136):INDIRECT($AA$46&amp;$AJ136),"&gt;0")</f>
        <v>223460.56</v>
      </c>
      <c r="AI136" s="77">
        <f t="array" aca="1" ref="AI136" ca="1">MATCH(A136&amp;B136,INDIRECT($AI$47) &amp; INDIRECT($AI$49),0)</f>
        <v>2683</v>
      </c>
      <c r="AJ136" s="54">
        <f t="shared" ca="1" si="101"/>
        <v>2695</v>
      </c>
      <c r="AK136" s="78">
        <f ca="1">COUNTIFS(INDIRECT($AK$46),Summary!A136,INDIRECT($AK$47),Summary!B136)</f>
        <v>13</v>
      </c>
      <c r="AM136" s="79">
        <f ca="1">MATCH(AM$6,INDIRECT($AM$46&amp;$AI136):INDIRECT($AM$46&amp;$AJ136),1)+$AI136-1</f>
        <v>2694</v>
      </c>
      <c r="AN136" s="73">
        <f ca="1">MATCH(AN$6,INDIRECT($AM$46&amp;$AI136):INDIRECT($AM$46&amp;$AJ136),1)+$AI136-1</f>
        <v>2693</v>
      </c>
      <c r="AO136" s="73">
        <f ca="1">MATCH(AO$6,INDIRECT($AM$46&amp;$AI136):INDIRECT($AM$46&amp;$AJ136),1)+$AI136-1</f>
        <v>2693</v>
      </c>
      <c r="AP136" s="58">
        <f t="shared" ca="1" si="104"/>
        <v>118192.6476</v>
      </c>
      <c r="AQ136" s="58">
        <f t="shared" ca="1" si="104"/>
        <v>116942.05</v>
      </c>
      <c r="AR136" s="58">
        <f t="shared" ca="1" si="105"/>
        <v>116942.05</v>
      </c>
      <c r="AS136" s="58">
        <f t="shared" ca="1" si="86"/>
        <v>71107.710000000006</v>
      </c>
      <c r="AT136" s="36">
        <f t="shared" ca="1" si="106"/>
        <v>0</v>
      </c>
      <c r="AU136" s="58">
        <f t="shared" ca="1" si="88"/>
        <v>0</v>
      </c>
      <c r="AV136" s="85">
        <f t="shared" ca="1" si="89"/>
        <v>0</v>
      </c>
    </row>
    <row r="137" spans="1:48" ht="13.5">
      <c r="A137" s="358" t="s">
        <v>273</v>
      </c>
      <c r="B137" s="358" t="s">
        <v>366</v>
      </c>
      <c r="C137" s="46">
        <f t="shared" ca="1" si="102"/>
        <v>43252</v>
      </c>
      <c r="E137" s="40">
        <f t="shared" ca="1" si="100"/>
        <v>7.2032046599999996E-2</v>
      </c>
      <c r="F137" s="40">
        <f t="shared" ca="1" si="103"/>
        <v>0</v>
      </c>
      <c r="G137" s="116" t="s">
        <v>273</v>
      </c>
      <c r="H137" s="116"/>
      <c r="J137" s="116" t="s">
        <v>180</v>
      </c>
      <c r="K137" s="116"/>
      <c r="L137" s="40"/>
      <c r="O137" s="59">
        <f t="shared" ca="1" si="107"/>
        <v>0</v>
      </c>
      <c r="P137" s="59">
        <f t="shared" ca="1" si="107"/>
        <v>0</v>
      </c>
      <c r="Q137" s="59"/>
      <c r="R137" s="59">
        <f t="shared" ca="1" si="108"/>
        <v>0</v>
      </c>
      <c r="S137" s="59">
        <f t="shared" ca="1" si="108"/>
        <v>0</v>
      </c>
      <c r="X137" s="63">
        <f ca="1">XIRR(INDIRECT($X$46&amp;$AI137):INDIRECT($X$46&amp;$AJ137),INDIRECT($X$47&amp;$AI137):INDIRECT($X$47&amp;$AJ137),0.1)</f>
        <v>-0.76604523397982127</v>
      </c>
      <c r="Y137" s="63">
        <f t="shared" ca="1" si="95"/>
        <v>-0.60496897616604195</v>
      </c>
      <c r="Z137" s="63">
        <f t="shared" ca="1" si="96"/>
        <v>1.0694091248645288E-2</v>
      </c>
      <c r="AA137" s="63">
        <f ca="1">ABS(SUMIF(INDIRECT($AA$46&amp;$AI137):INDIRECT($AA$46&amp;$AJ137),"&lt;0"))/SUMIF(INDIRECT($AA$46&amp;$AI137):INDIRECT($AA$46&amp;$AJ137),"&gt;0")</f>
        <v>0.46431943530418518</v>
      </c>
      <c r="AB137" s="63">
        <f t="shared" ca="1" si="97"/>
        <v>-0.53568056469581482</v>
      </c>
      <c r="AC137" s="316">
        <f ca="1">ABS(SUMIF(INDIRECT($AA$46&amp;$AI137):INDIRECT($AA$46&amp;$AJ137),"&lt;0"))</f>
        <v>94686.925886894445</v>
      </c>
      <c r="AD137" s="316">
        <f ca="1">SUMIF(INDIRECT($AA$46&amp;$AI137):INDIRECT($AA$46&amp;$AJ137),"&gt;0")</f>
        <v>203926.26</v>
      </c>
      <c r="AI137" s="77">
        <f t="array" aca="1" ref="AI137" ca="1">MATCH(A137&amp;B137,INDIRECT($AI$47) &amp; INDIRECT($AI$49),0)</f>
        <v>2695</v>
      </c>
      <c r="AJ137" s="54">
        <f t="shared" ca="1" si="101"/>
        <v>2707</v>
      </c>
      <c r="AK137" s="78">
        <f ca="1">COUNTIFS(INDIRECT($AK$46),Summary!A137,INDIRECT($AK$47),Summary!B137)</f>
        <v>13</v>
      </c>
      <c r="AM137" s="79">
        <f ca="1">MATCH(AM$6,INDIRECT($AM$46&amp;$AI137):INDIRECT($AM$46&amp;$AJ137),1)+$AI137-1</f>
        <v>2706</v>
      </c>
      <c r="AN137" s="73">
        <f ca="1">MATCH(AN$6,INDIRECT($AM$46&amp;$AI137):INDIRECT($AM$46&amp;$AJ137),1)+$AI137-1</f>
        <v>2705</v>
      </c>
      <c r="AO137" s="73">
        <f ca="1">MATCH(AO$6,INDIRECT($AM$46&amp;$AI137):INDIRECT($AM$46&amp;$AJ137),1)+$AI137-1</f>
        <v>2705</v>
      </c>
      <c r="AP137" s="58">
        <f t="shared" ca="1" si="104"/>
        <v>72032.046600000001</v>
      </c>
      <c r="AQ137" s="58">
        <f t="shared" ca="1" si="104"/>
        <v>71269.88</v>
      </c>
      <c r="AR137" s="58">
        <f t="shared" ca="1" si="105"/>
        <v>71269.88</v>
      </c>
      <c r="AS137" s="58">
        <f t="shared" ca="1" si="86"/>
        <v>111075.41</v>
      </c>
      <c r="AT137" s="36">
        <f t="shared" ca="1" si="106"/>
        <v>0</v>
      </c>
      <c r="AU137" s="58">
        <f t="shared" ca="1" si="88"/>
        <v>0</v>
      </c>
      <c r="AV137" s="85">
        <f t="shared" ca="1" si="89"/>
        <v>0</v>
      </c>
    </row>
    <row r="138" spans="1:48" ht="13.5">
      <c r="A138" s="358" t="s">
        <v>273</v>
      </c>
      <c r="B138" s="358" t="s">
        <v>367</v>
      </c>
      <c r="C138" s="46">
        <f t="shared" ca="1" si="102"/>
        <v>43252</v>
      </c>
      <c r="E138" s="40">
        <f t="shared" ca="1" si="100"/>
        <v>0.11385766999999999</v>
      </c>
      <c r="F138" s="40">
        <f t="shared" ca="1" si="103"/>
        <v>0</v>
      </c>
      <c r="G138" s="116" t="s">
        <v>273</v>
      </c>
      <c r="H138" s="116"/>
      <c r="J138" s="116" t="s">
        <v>180</v>
      </c>
      <c r="K138" s="116"/>
      <c r="L138" s="40"/>
      <c r="O138" s="59">
        <f t="shared" ca="1" si="107"/>
        <v>0</v>
      </c>
      <c r="P138" s="59">
        <f t="shared" ca="1" si="107"/>
        <v>0</v>
      </c>
      <c r="Q138" s="59"/>
      <c r="R138" s="59">
        <f t="shared" ca="1" si="108"/>
        <v>0</v>
      </c>
      <c r="S138" s="59">
        <f t="shared" ca="1" si="108"/>
        <v>0</v>
      </c>
      <c r="X138" s="63">
        <f ca="1">XIRR(INDIRECT($X$46&amp;$AI138):INDIRECT($X$46&amp;$AJ138),INDIRECT($X$47&amp;$AI138):INDIRECT($X$47&amp;$AJ138),0.1)</f>
        <v>2.9802322387695314E-9</v>
      </c>
      <c r="Y138" s="63">
        <f t="shared" ca="1" si="95"/>
        <v>-0.92938339526646707</v>
      </c>
      <c r="Z138" s="63">
        <f t="shared" ca="1" si="96"/>
        <v>1.3548769820731943E-2</v>
      </c>
      <c r="AA138" s="63">
        <f ca="1">ABS(SUMIF(INDIRECT($AA$46&amp;$AI138):INDIRECT($AA$46&amp;$AJ138),"&lt;0"))/SUMIF(INDIRECT($AA$46&amp;$AI138):INDIRECT($AA$46&amp;$AJ138),"&gt;0")</f>
        <v>9.0725003634815657E-2</v>
      </c>
      <c r="AB138" s="63">
        <f t="shared" ca="1" si="97"/>
        <v>-0.90927499636518438</v>
      </c>
      <c r="AC138" s="316">
        <f ca="1">ABS(SUMIF(INDIRECT($AA$46&amp;$AI138):INDIRECT($AA$46&amp;$AJ138),"&lt;0"))</f>
        <v>149246.24001991635</v>
      </c>
      <c r="AD138" s="316">
        <f ca="1">SUMIF(INDIRECT($AA$46&amp;$AI138):INDIRECT($AA$46&amp;$AJ138),"&gt;0")</f>
        <v>1645039.78</v>
      </c>
      <c r="AI138" s="77">
        <f t="array" aca="1" ref="AI138" ca="1">MATCH(A138&amp;B138,INDIRECT($AI$47) &amp; INDIRECT($AI$49),0)</f>
        <v>2707</v>
      </c>
      <c r="AJ138" s="54">
        <f t="shared" ca="1" si="101"/>
        <v>2719</v>
      </c>
      <c r="AK138" s="78">
        <f ca="1">COUNTIFS(INDIRECT($AK$46),Summary!A138,INDIRECT($AK$47),Summary!B138)</f>
        <v>13</v>
      </c>
      <c r="AM138" s="79">
        <f ca="1">MATCH(AM$6,INDIRECT($AM$46&amp;$AI138):INDIRECT($AM$46&amp;$AJ138),1)+$AI138-1</f>
        <v>2718</v>
      </c>
      <c r="AN138" s="73">
        <f ca="1">MATCH(AN$6,INDIRECT($AM$46&amp;$AI138):INDIRECT($AM$46&amp;$AJ138),1)+$AI138-1</f>
        <v>2717</v>
      </c>
      <c r="AO138" s="73">
        <f ca="1">MATCH(AO$6,INDIRECT($AM$46&amp;$AI138):INDIRECT($AM$46&amp;$AJ138),1)+$AI138-1</f>
        <v>2717</v>
      </c>
      <c r="AP138" s="58">
        <f t="shared" ca="1" si="104"/>
        <v>113857.67</v>
      </c>
      <c r="AQ138" s="58">
        <f t="shared" ca="1" si="104"/>
        <v>112335.66</v>
      </c>
      <c r="AR138" s="58">
        <f t="shared" ca="1" si="105"/>
        <v>112335.66</v>
      </c>
      <c r="AS138" s="58">
        <f t="shared" ca="1" si="86"/>
        <v>1500000</v>
      </c>
      <c r="AT138" s="36">
        <f t="shared" ca="1" si="106"/>
        <v>0</v>
      </c>
      <c r="AU138" s="58">
        <f t="shared" ca="1" si="88"/>
        <v>0</v>
      </c>
      <c r="AV138" s="85">
        <f t="shared" ca="1" si="89"/>
        <v>0</v>
      </c>
    </row>
    <row r="139" spans="1:48" ht="13.5">
      <c r="A139" s="358" t="s">
        <v>273</v>
      </c>
      <c r="B139" s="358" t="s">
        <v>368</v>
      </c>
      <c r="C139" s="46">
        <f t="shared" ca="1" si="102"/>
        <v>43252</v>
      </c>
      <c r="E139" s="40">
        <f t="shared" ca="1" si="100"/>
        <v>1.5375725500000001</v>
      </c>
      <c r="F139" s="40">
        <f t="shared" ca="1" si="103"/>
        <v>0</v>
      </c>
      <c r="G139" s="116" t="s">
        <v>273</v>
      </c>
      <c r="H139" s="116"/>
      <c r="J139" s="116" t="s">
        <v>180</v>
      </c>
      <c r="K139" s="116"/>
      <c r="L139" s="40"/>
      <c r="O139" s="59">
        <f t="shared" ca="1" si="107"/>
        <v>0</v>
      </c>
      <c r="P139" s="59">
        <f t="shared" ca="1" si="107"/>
        <v>0</v>
      </c>
      <c r="Q139" s="59"/>
      <c r="R139" s="59">
        <f t="shared" ca="1" si="108"/>
        <v>0</v>
      </c>
      <c r="S139" s="59">
        <f t="shared" ca="1" si="108"/>
        <v>0</v>
      </c>
      <c r="X139" s="63">
        <f ca="1">XIRR(INDIRECT($X$46&amp;$AI139):INDIRECT($X$46&amp;$AJ139),INDIRECT($X$47&amp;$AI139):INDIRECT($X$47&amp;$AJ139),0.1)</f>
        <v>2.9802322387695314E-9</v>
      </c>
      <c r="Y139" s="63">
        <f t="shared" ca="1" si="95"/>
        <v>-0.82948105233841174</v>
      </c>
      <c r="Z139" s="63">
        <f t="shared" ca="1" si="96"/>
        <v>1.3548804103121315E-2</v>
      </c>
      <c r="AA139" s="63">
        <f ca="1">ABS(SUMIF(INDIRECT($AA$46&amp;$AI139):INDIRECT($AA$46&amp;$AJ139),"&lt;0"))/SUMIF(INDIRECT($AA$46&amp;$AI139):INDIRECT($AA$46&amp;$AJ139),"&gt;0")</f>
        <v>0.21308202494186709</v>
      </c>
      <c r="AB139" s="63">
        <f t="shared" ca="1" si="97"/>
        <v>-0.78691797505813288</v>
      </c>
      <c r="AC139" s="316">
        <f ca="1">ABS(SUMIF(INDIRECT($AA$46&amp;$AI139):INDIRECT($AA$46&amp;$AJ139),"&lt;0"))</f>
        <v>2015471.7641917572</v>
      </c>
      <c r="AD139" s="316">
        <f ca="1">SUMIF(INDIRECT($AA$46&amp;$AI139):INDIRECT($AA$46&amp;$AJ139),"&gt;0")</f>
        <v>9458666.2799999993</v>
      </c>
      <c r="AI139" s="77">
        <f t="array" aca="1" ref="AI139" ca="1">MATCH(A139&amp;B139,INDIRECT($AI$47) &amp; INDIRECT($AI$49),0)</f>
        <v>2719</v>
      </c>
      <c r="AJ139" s="54">
        <f t="shared" ca="1" si="101"/>
        <v>2731</v>
      </c>
      <c r="AK139" s="78">
        <f ca="1">COUNTIFS(INDIRECT($AK$46),Summary!A139,INDIRECT($AK$47),Summary!B139)</f>
        <v>13</v>
      </c>
      <c r="AM139" s="79">
        <f ca="1">MATCH(AM$6,INDIRECT($AM$46&amp;$AI139):INDIRECT($AM$46&amp;$AJ139),1)+$AI139-1</f>
        <v>2730</v>
      </c>
      <c r="AN139" s="73">
        <f ca="1">MATCH(AN$6,INDIRECT($AM$46&amp;$AI139):INDIRECT($AM$46&amp;$AJ139),1)+$AI139-1</f>
        <v>2729</v>
      </c>
      <c r="AO139" s="73">
        <f ca="1">MATCH(AO$6,INDIRECT($AM$46&amp;$AI139):INDIRECT($AM$46&amp;$AJ139),1)+$AI139-1</f>
        <v>2729</v>
      </c>
      <c r="AP139" s="58">
        <f t="shared" ca="1" si="104"/>
        <v>1537572.55</v>
      </c>
      <c r="AQ139" s="58">
        <f t="shared" ca="1" si="104"/>
        <v>1517018.76</v>
      </c>
      <c r="AR139" s="58">
        <f t="shared" ca="1" si="105"/>
        <v>1517018.76</v>
      </c>
      <c r="AS139" s="58">
        <f t="shared" ca="1" si="86"/>
        <v>7500000</v>
      </c>
      <c r="AT139" s="36">
        <f t="shared" ca="1" si="106"/>
        <v>0</v>
      </c>
      <c r="AU139" s="58">
        <f t="shared" ca="1" si="88"/>
        <v>0</v>
      </c>
      <c r="AV139" s="85">
        <f t="shared" ca="1" si="89"/>
        <v>0</v>
      </c>
    </row>
    <row r="140" spans="1:48" ht="13.5">
      <c r="A140" s="358" t="s">
        <v>273</v>
      </c>
      <c r="B140" s="358" t="s">
        <v>369</v>
      </c>
      <c r="C140" s="46">
        <f t="shared" ca="1" si="102"/>
        <v>43252</v>
      </c>
      <c r="E140" s="40">
        <f t="shared" ca="1" si="100"/>
        <v>7.5974935144</v>
      </c>
      <c r="F140" s="40">
        <f t="shared" ca="1" si="103"/>
        <v>0</v>
      </c>
      <c r="G140" s="116" t="s">
        <v>273</v>
      </c>
      <c r="H140" s="116"/>
      <c r="J140" s="116" t="s">
        <v>180</v>
      </c>
      <c r="K140" s="116"/>
      <c r="L140" s="40"/>
      <c r="O140" s="59">
        <f t="shared" ca="1" si="107"/>
        <v>0</v>
      </c>
      <c r="P140" s="59">
        <f t="shared" ca="1" si="107"/>
        <v>0</v>
      </c>
      <c r="Q140" s="59"/>
      <c r="R140" s="59">
        <f t="shared" ca="1" si="108"/>
        <v>0</v>
      </c>
      <c r="S140" s="59">
        <f t="shared" ca="1" si="108"/>
        <v>0</v>
      </c>
      <c r="X140" s="63">
        <f ca="1">XIRR(INDIRECT($X$46&amp;$AI140):INDIRECT($X$46&amp;$AJ140),INDIRECT($X$47&amp;$AI140):INDIRECT($X$47&amp;$AJ140),0.1)</f>
        <v>-0.29068469628691684</v>
      </c>
      <c r="Y140" s="63">
        <f t="shared" ca="1" si="95"/>
        <v>-0.20170112141927954</v>
      </c>
      <c r="Z140" s="63">
        <f t="shared" ca="1" si="96"/>
        <v>1.0694202653636742E-2</v>
      </c>
      <c r="AA140" s="63">
        <f ca="1">ABS(SUMIF(INDIRECT($AA$46&amp;$AI140):INDIRECT($AA$46&amp;$AJ140),"&lt;0"))/SUMIF(INDIRECT($AA$46&amp;$AI140):INDIRECT($AA$46&amp;$AJ140),"&gt;0")</f>
        <v>0.84683362601812917</v>
      </c>
      <c r="AB140" s="63">
        <f t="shared" ca="1" si="97"/>
        <v>-0.15316637398187083</v>
      </c>
      <c r="AC140" s="316">
        <f ca="1">ABS(SUMIF(INDIRECT($AA$46&amp;$AI140):INDIRECT($AA$46&amp;$AJ140),"&lt;0"))</f>
        <v>9986989.5753587857</v>
      </c>
      <c r="AD140" s="316">
        <f ca="1">SUMIF(INDIRECT($AA$46&amp;$AI140):INDIRECT($AA$46&amp;$AJ140),"&gt;0")</f>
        <v>11793331.379999999</v>
      </c>
      <c r="AI140" s="77">
        <f t="array" aca="1" ref="AI140" ca="1">MATCH(A140&amp;B140,INDIRECT($AI$47) &amp; INDIRECT($AI$49),0)</f>
        <v>2731</v>
      </c>
      <c r="AJ140" s="54">
        <f t="shared" ca="1" si="101"/>
        <v>2743</v>
      </c>
      <c r="AK140" s="78">
        <f ca="1">COUNTIFS(INDIRECT($AK$46),Summary!A140,INDIRECT($AK$47),Summary!B140)</f>
        <v>13</v>
      </c>
      <c r="AM140" s="79">
        <f ca="1">MATCH(AM$6,INDIRECT($AM$46&amp;$AI140):INDIRECT($AM$46&amp;$AJ140),1)+$AI140-1</f>
        <v>2742</v>
      </c>
      <c r="AN140" s="73">
        <f ca="1">MATCH(AN$6,INDIRECT($AM$46&amp;$AI140):INDIRECT($AM$46&amp;$AJ140),1)+$AI140-1</f>
        <v>2741</v>
      </c>
      <c r="AO140" s="73">
        <f ca="1">MATCH(AO$6,INDIRECT($AM$46&amp;$AI140):INDIRECT($AM$46&amp;$AJ140),1)+$AI140-1</f>
        <v>2741</v>
      </c>
      <c r="AP140" s="58">
        <f t="shared" ref="AP140:AQ177" ca="1" si="109">INDIRECT($AP$46&amp;AM140)</f>
        <v>7597493.5143999998</v>
      </c>
      <c r="AQ140" s="58">
        <f t="shared" ca="1" si="109"/>
        <v>7517104.0800000001</v>
      </c>
      <c r="AR140" s="58">
        <f t="shared" ca="1" si="105"/>
        <v>7517104.0800000001</v>
      </c>
      <c r="AS140" s="58">
        <f t="shared" ca="1" si="86"/>
        <v>2000000</v>
      </c>
      <c r="AT140" s="36">
        <f t="shared" ca="1" si="106"/>
        <v>0</v>
      </c>
      <c r="AU140" s="58">
        <f t="shared" ca="1" si="88"/>
        <v>0</v>
      </c>
      <c r="AV140" s="85">
        <f t="shared" ca="1" si="89"/>
        <v>0</v>
      </c>
    </row>
    <row r="141" spans="1:48" ht="13.5">
      <c r="A141" s="358" t="s">
        <v>273</v>
      </c>
      <c r="B141" s="358" t="s">
        <v>370</v>
      </c>
      <c r="C141" s="46">
        <f t="shared" ca="1" si="102"/>
        <v>43252</v>
      </c>
      <c r="E141" s="40">
        <f t="shared" ca="1" si="100"/>
        <v>2.05009672</v>
      </c>
      <c r="F141" s="40">
        <f t="shared" ca="1" si="103"/>
        <v>0</v>
      </c>
      <c r="G141" s="116" t="s">
        <v>273</v>
      </c>
      <c r="H141" s="116"/>
      <c r="J141" s="116" t="s">
        <v>180</v>
      </c>
      <c r="K141" s="116"/>
      <c r="L141" s="40"/>
      <c r="O141" s="59">
        <f t="shared" ca="1" si="107"/>
        <v>0</v>
      </c>
      <c r="P141" s="59">
        <f t="shared" ca="1" si="107"/>
        <v>0</v>
      </c>
      <c r="Q141" s="59"/>
      <c r="R141" s="59">
        <f t="shared" ca="1" si="108"/>
        <v>0</v>
      </c>
      <c r="S141" s="59">
        <f t="shared" ca="1" si="108"/>
        <v>0</v>
      </c>
      <c r="X141" s="63">
        <f ca="1">XIRR(INDIRECT($X$46&amp;$AI141):INDIRECT($X$46&amp;$AJ141),INDIRECT($X$47&amp;$AI141):INDIRECT($X$47&amp;$AJ141),0.1)</f>
        <v>-0.15441745109856125</v>
      </c>
      <c r="Y141" s="63">
        <f t="shared" ca="1" si="95"/>
        <v>-0.11736166377450485</v>
      </c>
      <c r="Z141" s="63">
        <f t="shared" ca="1" si="96"/>
        <v>1.3548797511244937E-2</v>
      </c>
      <c r="AA141" s="63">
        <f ca="1">ABS(SUMIF(INDIRECT($AA$46&amp;$AI141):INDIRECT($AA$46&amp;$AJ141),"&lt;0"))/SUMIF(INDIRECT($AA$46&amp;$AI141):INDIRECT($AA$46&amp;$AJ141),"&gt;0")</f>
        <v>0.92297608594023695</v>
      </c>
      <c r="AB141" s="63">
        <f t="shared" ca="1" si="97"/>
        <v>-7.7023914059763054E-2</v>
      </c>
      <c r="AC141" s="316">
        <f ca="1">ABS(SUMIF(INDIRECT($AA$46&amp;$AI141):INDIRECT($AA$46&amp;$AJ141),"&lt;0"))</f>
        <v>2687295.6655890094</v>
      </c>
      <c r="AD141" s="316">
        <f ca="1">SUMIF(INDIRECT($AA$46&amp;$AI141):INDIRECT($AA$46&amp;$AJ141),"&gt;0")</f>
        <v>2911555.0300000003</v>
      </c>
      <c r="AI141" s="77">
        <f t="array" aca="1" ref="AI141" ca="1">MATCH(A141&amp;B141,INDIRECT($AI$47) &amp; INDIRECT($AI$49),0)</f>
        <v>2743</v>
      </c>
      <c r="AJ141" s="54">
        <f t="shared" ca="1" si="101"/>
        <v>2755</v>
      </c>
      <c r="AK141" s="78">
        <f ca="1">COUNTIFS(INDIRECT($AK$46),Summary!A141,INDIRECT($AK$47),Summary!B141)</f>
        <v>13</v>
      </c>
      <c r="AM141" s="79">
        <f ca="1">MATCH(AM$6,INDIRECT($AM$46&amp;$AI141):INDIRECT($AM$46&amp;$AJ141),1)+$AI141-1</f>
        <v>2754</v>
      </c>
      <c r="AN141" s="73">
        <f ca="1">MATCH(AN$6,INDIRECT($AM$46&amp;$AI141):INDIRECT($AM$46&amp;$AJ141),1)+$AI141-1</f>
        <v>2753</v>
      </c>
      <c r="AO141" s="73">
        <f ca="1">MATCH(AO$6,INDIRECT($AM$46&amp;$AI141):INDIRECT($AM$46&amp;$AJ141),1)+$AI141-1</f>
        <v>2753</v>
      </c>
      <c r="AP141" s="58">
        <f t="shared" ca="1" si="109"/>
        <v>2050096.72</v>
      </c>
      <c r="AQ141" s="58">
        <f t="shared" ca="1" si="109"/>
        <v>2022691.68</v>
      </c>
      <c r="AR141" s="58">
        <f t="shared" ca="1" si="105"/>
        <v>2022691.68</v>
      </c>
      <c r="AS141" s="58">
        <f t="shared" ca="1" si="86"/>
        <v>300000</v>
      </c>
      <c r="AT141" s="36">
        <f t="shared" ca="1" si="106"/>
        <v>0</v>
      </c>
      <c r="AU141" s="58">
        <f t="shared" ca="1" si="88"/>
        <v>0</v>
      </c>
      <c r="AV141" s="85">
        <f t="shared" ca="1" si="89"/>
        <v>0</v>
      </c>
    </row>
    <row r="142" spans="1:48" ht="13.5">
      <c r="A142" s="358" t="s">
        <v>273</v>
      </c>
      <c r="B142" s="358" t="s">
        <v>371</v>
      </c>
      <c r="C142" s="46">
        <f t="shared" ca="1" si="102"/>
        <v>43252</v>
      </c>
      <c r="E142" s="40">
        <f t="shared" ca="1" si="100"/>
        <v>0.34827128769999999</v>
      </c>
      <c r="F142" s="40">
        <f t="shared" ca="1" si="103"/>
        <v>0</v>
      </c>
      <c r="G142" s="116" t="s">
        <v>273</v>
      </c>
      <c r="H142" s="116"/>
      <c r="J142" s="116" t="s">
        <v>180</v>
      </c>
      <c r="K142" s="116"/>
      <c r="L142" s="40"/>
      <c r="O142" s="59">
        <f t="shared" ca="1" si="107"/>
        <v>0</v>
      </c>
      <c r="P142" s="59">
        <f t="shared" ca="1" si="107"/>
        <v>0</v>
      </c>
      <c r="Q142" s="59"/>
      <c r="R142" s="59">
        <f t="shared" ca="1" si="108"/>
        <v>0</v>
      </c>
      <c r="S142" s="59">
        <f t="shared" ca="1" si="108"/>
        <v>0</v>
      </c>
      <c r="X142" s="63">
        <f ca="1">XIRR(INDIRECT($X$46&amp;$AI142):INDIRECT($X$46&amp;$AJ142),INDIRECT($X$47&amp;$AI142):INDIRECT($X$47&amp;$AJ142),0.1)</f>
        <v>2.9802322387695314E-9</v>
      </c>
      <c r="Y142" s="63">
        <f t="shared" ca="1" si="95"/>
        <v>-0.73223992746832622</v>
      </c>
      <c r="Z142" s="63">
        <f t="shared" ca="1" si="96"/>
        <v>0.15826279680769373</v>
      </c>
      <c r="AA142" s="63">
        <f ca="1">ABS(SUMIF(INDIRECT($AA$46&amp;$AI142):INDIRECT($AA$46&amp;$AJ142),"&lt;0"))/SUMIF(INDIRECT($AA$46&amp;$AI142):INDIRECT($AA$46&amp;$AJ142),"&gt;0")</f>
        <v>0.31891968273255772</v>
      </c>
      <c r="AB142" s="63">
        <f t="shared" ca="1" si="97"/>
        <v>-0.68108031726744223</v>
      </c>
      <c r="AC142" s="316">
        <f ca="1">ABS(SUMIF(INDIRECT($AA$46&amp;$AI142):INDIRECT($AA$46&amp;$AJ142),"&lt;0"))</f>
        <v>443851.12653835141</v>
      </c>
      <c r="AD142" s="316">
        <f ca="1">SUMIF(INDIRECT($AA$46&amp;$AI142):INDIRECT($AA$46&amp;$AJ142),"&gt;0")</f>
        <v>1391733.25</v>
      </c>
      <c r="AI142" s="77">
        <f t="array" aca="1" ref="AI142" ca="1">MATCH(A142&amp;B142,INDIRECT($AI$47) &amp; INDIRECT($AI$49),0)</f>
        <v>2755</v>
      </c>
      <c r="AJ142" s="54">
        <f t="shared" ca="1" si="101"/>
        <v>2767</v>
      </c>
      <c r="AK142" s="78">
        <f ca="1">COUNTIFS(INDIRECT($AK$46),Summary!A142,INDIRECT($AK$47),Summary!B142)</f>
        <v>13</v>
      </c>
      <c r="AM142" s="79">
        <f ca="1">MATCH(AM$6,INDIRECT($AM$46&amp;$AI142):INDIRECT($AM$46&amp;$AJ142),1)+$AI142-1</f>
        <v>2766</v>
      </c>
      <c r="AN142" s="73">
        <f ca="1">MATCH(AN$6,INDIRECT($AM$46&amp;$AI142):INDIRECT($AM$46&amp;$AJ142),1)+$AI142-1</f>
        <v>2765</v>
      </c>
      <c r="AO142" s="73">
        <f ca="1">MATCH(AO$6,INDIRECT($AM$46&amp;$AI142):INDIRECT($AM$46&amp;$AJ142),1)+$AI142-1</f>
        <v>2765</v>
      </c>
      <c r="AP142" s="58">
        <f t="shared" ca="1" si="109"/>
        <v>348271.28769999999</v>
      </c>
      <c r="AQ142" s="58">
        <f t="shared" ca="1" si="109"/>
        <v>300684.17</v>
      </c>
      <c r="AR142" s="58">
        <f t="shared" ca="1" si="105"/>
        <v>300684.17</v>
      </c>
      <c r="AS142" s="58">
        <f t="shared" ca="1" si="86"/>
        <v>1000000</v>
      </c>
      <c r="AT142" s="36">
        <f t="shared" ca="1" si="106"/>
        <v>0</v>
      </c>
      <c r="AU142" s="58">
        <f t="shared" ca="1" si="88"/>
        <v>0</v>
      </c>
      <c r="AV142" s="85">
        <f t="shared" ca="1" si="89"/>
        <v>0</v>
      </c>
    </row>
    <row r="143" spans="1:48" ht="13.5">
      <c r="A143" s="358" t="s">
        <v>273</v>
      </c>
      <c r="B143" s="358" t="s">
        <v>372</v>
      </c>
      <c r="C143" s="46">
        <f t="shared" ca="1" si="102"/>
        <v>43252</v>
      </c>
      <c r="E143" s="40">
        <f t="shared" ca="1" si="100"/>
        <v>1.0129991456</v>
      </c>
      <c r="F143" s="40">
        <f t="shared" ca="1" si="103"/>
        <v>0</v>
      </c>
      <c r="G143" s="116" t="s">
        <v>273</v>
      </c>
      <c r="H143" s="116"/>
      <c r="J143" s="116" t="s">
        <v>180</v>
      </c>
      <c r="K143" s="116"/>
      <c r="L143" s="40"/>
      <c r="O143" s="59">
        <f t="shared" ca="1" si="107"/>
        <v>0</v>
      </c>
      <c r="P143" s="59">
        <f t="shared" ca="1" si="107"/>
        <v>0</v>
      </c>
      <c r="Q143" s="59"/>
      <c r="R143" s="59">
        <f t="shared" ca="1" si="108"/>
        <v>0</v>
      </c>
      <c r="S143" s="59">
        <f t="shared" ca="1" si="108"/>
        <v>0</v>
      </c>
      <c r="X143" s="63">
        <f ca="1">XIRR(INDIRECT($X$46&amp;$AI143):INDIRECT($X$46&amp;$AJ143),INDIRECT($X$47&amp;$AI143):INDIRECT($X$47&amp;$AJ143),0.1)</f>
        <v>-2.2313049435615542E-2</v>
      </c>
      <c r="Y143" s="63">
        <f t="shared" ca="1" si="95"/>
        <v>-2.8093591883682323E-2</v>
      </c>
      <c r="Z143" s="63">
        <f t="shared" ca="1" si="96"/>
        <v>1.0694206926394001E-2</v>
      </c>
      <c r="AA143" s="63">
        <f ca="1">ABS(SUMIF(INDIRECT($AA$46&amp;$AI143):INDIRECT($AA$46&amp;$AJ143),"&lt;0"))/SUMIF(INDIRECT($AA$46&amp;$AI143):INDIRECT($AA$46&amp;$AJ143),"&gt;0")</f>
        <v>0.98946415630014739</v>
      </c>
      <c r="AB143" s="63">
        <f t="shared" ca="1" si="97"/>
        <v>-1.0535843699852609E-2</v>
      </c>
      <c r="AC143" s="316">
        <f ca="1">ABS(SUMIF(INDIRECT($AA$46&amp;$AI143):INDIRECT($AA$46&amp;$AJ143),"&lt;0"))</f>
        <v>1331598.6183945048</v>
      </c>
      <c r="AD143" s="316">
        <f ca="1">SUMIF(INDIRECT($AA$46&amp;$AI143):INDIRECT($AA$46&amp;$AJ143),"&gt;0")</f>
        <v>1345777.52</v>
      </c>
      <c r="AI143" s="77">
        <f t="array" aca="1" ref="AI143" ca="1">MATCH(A143&amp;B143,INDIRECT($AI$47) &amp; INDIRECT($AI$49),0)</f>
        <v>2767</v>
      </c>
      <c r="AJ143" s="54">
        <f t="shared" ca="1" si="101"/>
        <v>2779</v>
      </c>
      <c r="AK143" s="78">
        <f ca="1">COUNTIFS(INDIRECT($AK$46),Summary!A143,INDIRECT($AK$47),Summary!B143)</f>
        <v>13</v>
      </c>
      <c r="AM143" s="79">
        <f ca="1">MATCH(AM$6,INDIRECT($AM$46&amp;$AI143):INDIRECT($AM$46&amp;$AJ143),1)+$AI143-1</f>
        <v>2778</v>
      </c>
      <c r="AN143" s="73">
        <f ca="1">MATCH(AN$6,INDIRECT($AM$46&amp;$AI143):INDIRECT($AM$46&amp;$AJ143),1)+$AI143-1</f>
        <v>2777</v>
      </c>
      <c r="AO143" s="73">
        <f ca="1">MATCH(AO$6,INDIRECT($AM$46&amp;$AI143):INDIRECT($AM$46&amp;$AJ143),1)+$AI143-1</f>
        <v>2777</v>
      </c>
      <c r="AP143" s="58">
        <f t="shared" ca="1" si="109"/>
        <v>1012999.1456</v>
      </c>
      <c r="AQ143" s="58">
        <f t="shared" ca="1" si="109"/>
        <v>1002280.55</v>
      </c>
      <c r="AR143" s="58">
        <f t="shared" ca="1" si="105"/>
        <v>1002280.55</v>
      </c>
      <c r="AS143" s="58">
        <f t="shared" ca="1" si="86"/>
        <v>40000</v>
      </c>
      <c r="AT143" s="36">
        <f t="shared" ca="1" si="106"/>
        <v>0</v>
      </c>
      <c r="AU143" s="58">
        <f t="shared" ca="1" si="88"/>
        <v>0</v>
      </c>
      <c r="AV143" s="85">
        <f t="shared" ca="1" si="89"/>
        <v>0</v>
      </c>
    </row>
    <row r="144" spans="1:48" ht="13.5">
      <c r="A144" s="358" t="s">
        <v>273</v>
      </c>
      <c r="B144" s="358" t="s">
        <v>373</v>
      </c>
      <c r="C144" s="46">
        <f t="shared" ca="1" si="102"/>
        <v>43252</v>
      </c>
      <c r="E144" s="40">
        <f t="shared" ca="1" si="100"/>
        <v>4.0774708999999999E-2</v>
      </c>
      <c r="F144" s="40">
        <f t="shared" ca="1" si="103"/>
        <v>0</v>
      </c>
      <c r="G144" s="116" t="s">
        <v>273</v>
      </c>
      <c r="H144" s="116"/>
      <c r="J144" s="116" t="s">
        <v>180</v>
      </c>
      <c r="K144" s="116"/>
      <c r="L144" s="40"/>
      <c r="O144" s="59">
        <f t="shared" ca="1" si="107"/>
        <v>0</v>
      </c>
      <c r="P144" s="59">
        <f t="shared" ca="1" si="107"/>
        <v>0</v>
      </c>
      <c r="Q144" s="59"/>
      <c r="R144" s="59">
        <f t="shared" ca="1" si="108"/>
        <v>0</v>
      </c>
      <c r="S144" s="59">
        <f t="shared" ca="1" si="108"/>
        <v>0</v>
      </c>
      <c r="X144" s="63">
        <f ca="1">XIRR(INDIRECT($X$46&amp;$AI144):INDIRECT($X$46&amp;$AJ144),INDIRECT($X$47&amp;$AI144):INDIRECT($X$47&amp;$AJ144),0.1)</f>
        <v>2.9802322387695314E-9</v>
      </c>
      <c r="Y144" s="63">
        <f t="shared" ca="1" si="95"/>
        <v>-0.96080518801325565</v>
      </c>
      <c r="Z144" s="63">
        <f t="shared" ca="1" si="96"/>
        <v>1.1557740574459796E-2</v>
      </c>
      <c r="AA144" s="63">
        <f ca="1">ABS(SUMIF(INDIRECT($AA$46&amp;$AI144):INDIRECT($AA$46&amp;$AJ144),"&lt;0"))/SUMIF(INDIRECT($AA$46&amp;$AI144):INDIRECT($AA$46&amp;$AJ144),"&gt;0")</f>
        <v>5.0862101977198919E-2</v>
      </c>
      <c r="AB144" s="63">
        <f t="shared" ca="1" si="97"/>
        <v>-0.94913789802280113</v>
      </c>
      <c r="AC144" s="316">
        <f ca="1">ABS(SUMIF(INDIRECT($AA$46&amp;$AI144):INDIRECT($AA$46&amp;$AJ144),"&lt;0"))</f>
        <v>53518.685511780197</v>
      </c>
      <c r="AD144" s="316">
        <f ca="1">SUMIF(INDIRECT($AA$46&amp;$AI144):INDIRECT($AA$46&amp;$AJ144),"&gt;0")</f>
        <v>1052231.1000000001</v>
      </c>
      <c r="AI144" s="77">
        <f t="array" aca="1" ref="AI144" ca="1">MATCH(A144&amp;B144,INDIRECT($AI$47) &amp; INDIRECT($AI$49),0)</f>
        <v>2779</v>
      </c>
      <c r="AJ144" s="54">
        <f t="shared" ca="1" si="101"/>
        <v>2791</v>
      </c>
      <c r="AK144" s="78">
        <f ca="1">COUNTIFS(INDIRECT($AK$46),Summary!A144,INDIRECT($AK$47),Summary!B144)</f>
        <v>13</v>
      </c>
      <c r="AM144" s="79">
        <f ca="1">MATCH(AM$6,INDIRECT($AM$46&amp;$AI144):INDIRECT($AM$46&amp;$AJ144),1)+$AI144-1</f>
        <v>2790</v>
      </c>
      <c r="AN144" s="73">
        <f ca="1">MATCH(AN$6,INDIRECT($AM$46&amp;$AI144):INDIRECT($AM$46&amp;$AJ144),1)+$AI144-1</f>
        <v>2789</v>
      </c>
      <c r="AO144" s="73">
        <f ca="1">MATCH(AO$6,INDIRECT($AM$46&amp;$AI144):INDIRECT($AM$46&amp;$AJ144),1)+$AI144-1</f>
        <v>2789</v>
      </c>
      <c r="AP144" s="58">
        <f t="shared" ca="1" si="109"/>
        <v>40774.709000000003</v>
      </c>
      <c r="AQ144" s="58">
        <f t="shared" ca="1" si="109"/>
        <v>40308.83</v>
      </c>
      <c r="AR144" s="58">
        <f t="shared" ca="1" si="105"/>
        <v>40308.83</v>
      </c>
      <c r="AS144" s="58">
        <f t="shared" ca="1" si="86"/>
        <v>1000000</v>
      </c>
      <c r="AT144" s="36">
        <f t="shared" ca="1" si="106"/>
        <v>0</v>
      </c>
      <c r="AU144" s="58">
        <f t="shared" ca="1" si="88"/>
        <v>0</v>
      </c>
      <c r="AV144" s="85">
        <f t="shared" ca="1" si="89"/>
        <v>0</v>
      </c>
    </row>
    <row r="145" spans="1:48" ht="13.5">
      <c r="A145" s="358" t="s">
        <v>273</v>
      </c>
      <c r="B145" s="358" t="s">
        <v>374</v>
      </c>
      <c r="C145" s="46">
        <f t="shared" ca="1" si="102"/>
        <v>43252</v>
      </c>
      <c r="E145" s="40">
        <f t="shared" ca="1" si="100"/>
        <v>1.0134237206000001</v>
      </c>
      <c r="F145" s="40">
        <f t="shared" ca="1" si="103"/>
        <v>0</v>
      </c>
      <c r="G145" s="116" t="s">
        <v>273</v>
      </c>
      <c r="H145" s="116"/>
      <c r="J145" s="116" t="s">
        <v>180</v>
      </c>
      <c r="K145" s="116"/>
      <c r="L145" s="40"/>
      <c r="O145" s="59">
        <f t="shared" ca="1" si="107"/>
        <v>0</v>
      </c>
      <c r="P145" s="59">
        <f t="shared" ca="1" si="107"/>
        <v>0</v>
      </c>
      <c r="Q145" s="59"/>
      <c r="R145" s="59">
        <f t="shared" ca="1" si="108"/>
        <v>0</v>
      </c>
      <c r="S145" s="59">
        <f t="shared" ca="1" si="108"/>
        <v>0</v>
      </c>
      <c r="X145" s="63">
        <f ca="1">XIRR(INDIRECT($X$46&amp;$AI145):INDIRECT($X$46&amp;$AJ145),INDIRECT($X$47&amp;$AI145):INDIRECT($X$47&amp;$AJ145),0.1)</f>
        <v>-0.57025402411818504</v>
      </c>
      <c r="Y145" s="63">
        <f t="shared" ca="1" si="95"/>
        <v>-0.37372345066829449</v>
      </c>
      <c r="Z145" s="63">
        <f t="shared" ca="1" si="96"/>
        <v>1.0575282790667773E-2</v>
      </c>
      <c r="AA145" s="63">
        <f ca="1">ABS(SUMIF(INDIRECT($AA$46&amp;$AI145):INDIRECT($AA$46&amp;$AJ145),"&lt;0"))/SUMIF(INDIRECT($AA$46&amp;$AI145):INDIRECT($AA$46&amp;$AJ145),"&gt;0")</f>
        <v>0.69335337733912272</v>
      </c>
      <c r="AB145" s="63">
        <f t="shared" ca="1" si="97"/>
        <v>-0.30664662266087728</v>
      </c>
      <c r="AC145" s="316">
        <f ca="1">ABS(SUMIF(INDIRECT($AA$46&amp;$AI145):INDIRECT($AA$46&amp;$AJ145),"&lt;0"))</f>
        <v>1332023.1933945047</v>
      </c>
      <c r="AD145" s="316">
        <f ca="1">SUMIF(INDIRECT($AA$46&amp;$AI145):INDIRECT($AA$46&amp;$AJ145),"&gt;0")</f>
        <v>1921131.7589688543</v>
      </c>
      <c r="AI145" s="77">
        <f t="array" aca="1" ref="AI145" ca="1">MATCH(A145&amp;B145,INDIRECT($AI$47) &amp; INDIRECT($AI$49),0)</f>
        <v>2791</v>
      </c>
      <c r="AJ145" s="54">
        <f t="shared" ca="1" si="101"/>
        <v>2803</v>
      </c>
      <c r="AK145" s="78">
        <f ca="1">COUNTIFS(INDIRECT($AK$46),Summary!A145,INDIRECT($AK$47),Summary!B145)</f>
        <v>13</v>
      </c>
      <c r="AM145" s="79">
        <f ca="1">MATCH(AM$6,INDIRECT($AM$46&amp;$AI145):INDIRECT($AM$46&amp;$AJ145),1)+$AI145-1</f>
        <v>2802</v>
      </c>
      <c r="AN145" s="73">
        <f ca="1">MATCH(AN$6,INDIRECT($AM$46&amp;$AI145):INDIRECT($AM$46&amp;$AJ145),1)+$AI145-1</f>
        <v>2801</v>
      </c>
      <c r="AO145" s="73">
        <f ca="1">MATCH(AO$6,INDIRECT($AM$46&amp;$AI145):INDIRECT($AM$46&amp;$AJ145),1)+$AI145-1</f>
        <v>2801</v>
      </c>
      <c r="AP145" s="58">
        <f t="shared" ca="1" si="109"/>
        <v>1013423.7206</v>
      </c>
      <c r="AQ145" s="58">
        <f t="shared" ca="1" si="109"/>
        <v>1002818.63</v>
      </c>
      <c r="AR145" s="58">
        <f t="shared" ca="1" si="105"/>
        <v>1002818.63</v>
      </c>
      <c r="AS145" s="58">
        <f t="shared" ca="1" si="86"/>
        <v>615354.2389688543</v>
      </c>
      <c r="AT145" s="36">
        <f t="shared" ca="1" si="106"/>
        <v>0</v>
      </c>
      <c r="AU145" s="58">
        <f t="shared" ca="1" si="88"/>
        <v>0</v>
      </c>
      <c r="AV145" s="85">
        <f t="shared" ca="1" si="89"/>
        <v>0</v>
      </c>
    </row>
    <row r="146" spans="1:48" ht="13.5">
      <c r="A146" s="358" t="s">
        <v>273</v>
      </c>
      <c r="B146" s="358" t="s">
        <v>302</v>
      </c>
      <c r="C146" s="46">
        <f t="shared" ca="1" si="102"/>
        <v>43329</v>
      </c>
      <c r="E146" s="40">
        <f t="shared" ca="1" si="100"/>
        <v>0.92416471</v>
      </c>
      <c r="F146" s="40">
        <f t="shared" ca="1" si="103"/>
        <v>0</v>
      </c>
      <c r="G146" s="116" t="s">
        <v>273</v>
      </c>
      <c r="H146" s="116"/>
      <c r="J146" s="116" t="s">
        <v>180</v>
      </c>
      <c r="K146" s="116"/>
      <c r="L146" s="40"/>
      <c r="O146" s="59">
        <f t="shared" ca="1" si="107"/>
        <v>0</v>
      </c>
      <c r="P146" s="59">
        <f t="shared" ca="1" si="107"/>
        <v>0</v>
      </c>
      <c r="Q146" s="59"/>
      <c r="R146" s="59">
        <f t="shared" ca="1" si="108"/>
        <v>0</v>
      </c>
      <c r="S146" s="59">
        <f t="shared" ca="1" si="108"/>
        <v>0</v>
      </c>
      <c r="X146" s="63">
        <f ca="1">XIRR(INDIRECT($X$46&amp;$AI146):INDIRECT($X$46&amp;$AJ146),INDIRECT($X$47&amp;$AI146):INDIRECT($X$47&amp;$AJ146),0.1)</f>
        <v>2.9802322387695314E-9</v>
      </c>
      <c r="Y146" s="63">
        <f t="shared" ca="1" si="95"/>
        <v>-0.58457263647094226</v>
      </c>
      <c r="Z146" s="63">
        <f t="shared" ca="1" si="96"/>
        <v>1.6881941121079436E-2</v>
      </c>
      <c r="AA146" s="63">
        <f ca="1">ABS(SUMIF(INDIRECT($AA$46&amp;$AI146):INDIRECT($AA$46&amp;$AJ146),"&lt;0"))/SUMIF(INDIRECT($AA$46&amp;$AI146):INDIRECT($AA$46&amp;$AJ146),"&gt;0")</f>
        <v>0.4189468655966313</v>
      </c>
      <c r="AB146" s="63">
        <f t="shared" ca="1" si="97"/>
        <v>-0.5810531344033687</v>
      </c>
      <c r="AC146" s="316">
        <f ca="1">ABS(SUMIF(INDIRECT($AA$46&amp;$AI146):INDIRECT($AA$46&amp;$AJ146),"&lt;0"))</f>
        <v>924164.71</v>
      </c>
      <c r="AD146" s="316">
        <f ca="1">SUMIF(INDIRECT($AA$46&amp;$AI146):INDIRECT($AA$46&amp;$AJ146),"&gt;0")</f>
        <v>2205923.4377702693</v>
      </c>
      <c r="AI146" s="77">
        <f t="array" aca="1" ref="AI146" ca="1">MATCH(A146&amp;B146,INDIRECT($AI$47) &amp; INDIRECT($AI$49),0)</f>
        <v>2803</v>
      </c>
      <c r="AJ146" s="54">
        <f t="shared" ca="1" si="101"/>
        <v>2812</v>
      </c>
      <c r="AK146" s="78">
        <f ca="1">COUNTIFS(INDIRECT($AK$46),Summary!A146,INDIRECT($AK$47),Summary!B146)</f>
        <v>10</v>
      </c>
      <c r="AM146" s="79">
        <f ca="1">MATCH(AM$6,INDIRECT($AM$46&amp;$AI146):INDIRECT($AM$46&amp;$AJ146),1)+$AI146-1</f>
        <v>2811</v>
      </c>
      <c r="AN146" s="73">
        <f ca="1">MATCH(AN$6,INDIRECT($AM$46&amp;$AI146):INDIRECT($AM$46&amp;$AJ146),1)+$AI146-1</f>
        <v>2810</v>
      </c>
      <c r="AO146" s="73">
        <f ca="1">MATCH(AO$6,INDIRECT($AM$46&amp;$AI146):INDIRECT($AM$46&amp;$AJ146),1)+$AI146-1</f>
        <v>2810</v>
      </c>
      <c r="AP146" s="58">
        <f t="shared" ca="1" si="109"/>
        <v>924164.71</v>
      </c>
      <c r="AQ146" s="58">
        <f t="shared" ca="1" si="109"/>
        <v>908822.03</v>
      </c>
      <c r="AR146" s="58">
        <f t="shared" ca="1" si="105"/>
        <v>908822.03</v>
      </c>
      <c r="AS146" s="58">
        <f t="shared" ca="1" si="86"/>
        <v>1315789.9988014151</v>
      </c>
      <c r="AT146" s="36">
        <f ca="1">SUM(INDIRECT(AT$47&amp;AO146&amp;":"&amp;LEFT(AT$46,LEN(AT$46)-1)&amp;$AM146))</f>
        <v>0</v>
      </c>
      <c r="AU146" s="58">
        <f t="shared" ca="1" si="88"/>
        <v>0</v>
      </c>
      <c r="AV146" s="85">
        <f t="shared" ca="1" si="89"/>
        <v>0</v>
      </c>
    </row>
    <row r="147" spans="1:48" ht="13.5">
      <c r="A147" s="358" t="s">
        <v>273</v>
      </c>
      <c r="B147" s="358" t="s">
        <v>303</v>
      </c>
      <c r="C147" s="46">
        <f t="shared" ca="1" si="102"/>
        <v>43329</v>
      </c>
      <c r="E147" s="40">
        <f t="shared" ca="1" si="100"/>
        <v>1.97610946</v>
      </c>
      <c r="F147" s="40">
        <f t="shared" ca="1" si="103"/>
        <v>0</v>
      </c>
      <c r="G147" s="116" t="s">
        <v>273</v>
      </c>
      <c r="H147" s="116"/>
      <c r="J147" s="116" t="s">
        <v>180</v>
      </c>
      <c r="K147" s="116"/>
      <c r="L147" s="40"/>
      <c r="O147" s="59">
        <f t="shared" ca="1" si="107"/>
        <v>0</v>
      </c>
      <c r="P147" s="59">
        <f t="shared" ca="1" si="107"/>
        <v>0</v>
      </c>
      <c r="Q147" s="59"/>
      <c r="R147" s="59">
        <f t="shared" ca="1" si="108"/>
        <v>0</v>
      </c>
      <c r="S147" s="59">
        <f t="shared" ca="1" si="108"/>
        <v>0</v>
      </c>
      <c r="X147" s="63">
        <f ca="1">XIRR(INDIRECT($X$46&amp;$AI147):INDIRECT($X$46&amp;$AJ147),INDIRECT($X$47&amp;$AI147):INDIRECT($X$47&amp;$AJ147),0.1)</f>
        <v>-0.751449929922819</v>
      </c>
      <c r="Y147" s="63">
        <f t="shared" ca="1" si="95"/>
        <v>-0.4511676084823556</v>
      </c>
      <c r="Z147" s="63">
        <f t="shared" ca="1" si="96"/>
        <v>1.6881939866971063E-2</v>
      </c>
      <c r="AA147" s="63">
        <f ca="1">ABS(SUMIF(INDIRECT($AA$46&amp;$AI147):INDIRECT($AA$46&amp;$AJ147),"&lt;0"))/SUMIF(INDIRECT($AA$46&amp;$AI147):INDIRECT($AA$46&amp;$AJ147),"&gt;0")</f>
        <v>0.55499200648266023</v>
      </c>
      <c r="AB147" s="63">
        <f t="shared" ca="1" si="97"/>
        <v>-0.44500799351733977</v>
      </c>
      <c r="AC147" s="316">
        <f ca="1">ABS(SUMIF(INDIRECT($AA$46&amp;$AI147):INDIRECT($AA$46&amp;$AJ147),"&lt;0"))</f>
        <v>1976109.46</v>
      </c>
      <c r="AD147" s="316">
        <f ca="1">SUMIF(INDIRECT($AA$46&amp;$AI147):INDIRECT($AA$46&amp;$AJ147),"&gt;0")</f>
        <v>3560608.8680877965</v>
      </c>
      <c r="AI147" s="77">
        <f t="array" aca="1" ref="AI147" ca="1">MATCH(A147&amp;B147,INDIRECT($AI$47) &amp; INDIRECT($AI$49),0)</f>
        <v>2812</v>
      </c>
      <c r="AJ147" s="54">
        <f t="shared" ca="1" si="101"/>
        <v>2821</v>
      </c>
      <c r="AK147" s="78">
        <f ca="1">COUNTIFS(INDIRECT($AK$46),Summary!A147,INDIRECT($AK$47),Summary!B147)</f>
        <v>10</v>
      </c>
      <c r="AM147" s="79">
        <f ca="1">MATCH(AM$6,INDIRECT($AM$46&amp;$AI147):INDIRECT($AM$46&amp;$AJ147),1)+$AI147-1</f>
        <v>2820</v>
      </c>
      <c r="AN147" s="73">
        <f ca="1">MATCH(AN$6,INDIRECT($AM$46&amp;$AI147):INDIRECT($AM$46&amp;$AJ147),1)+$AI147-1</f>
        <v>2819</v>
      </c>
      <c r="AO147" s="73">
        <f ca="1">MATCH(AO$6,INDIRECT($AM$46&amp;$AI147):INDIRECT($AM$46&amp;$AJ147),1)+$AI147-1</f>
        <v>2819</v>
      </c>
      <c r="AP147" s="58">
        <f t="shared" ca="1" si="109"/>
        <v>1976109.46</v>
      </c>
      <c r="AQ147" s="58">
        <f t="shared" ca="1" si="109"/>
        <v>1943302.74</v>
      </c>
      <c r="AR147" s="58">
        <f t="shared" ca="1" si="105"/>
        <v>1943302.74</v>
      </c>
      <c r="AS147" s="58">
        <f t="shared" ca="1" si="86"/>
        <v>1657267.2892863816</v>
      </c>
      <c r="AT147" s="36">
        <f ca="1">SUM(INDIRECT(AT$47&amp;AO147&amp;":"&amp;LEFT(AT$46,LEN(AT$46)-1)&amp;$AM147))</f>
        <v>0</v>
      </c>
      <c r="AU147" s="58">
        <f t="shared" ca="1" si="88"/>
        <v>0</v>
      </c>
      <c r="AV147" s="85">
        <f t="shared" ca="1" si="89"/>
        <v>0</v>
      </c>
    </row>
    <row r="148" spans="1:48" ht="13.5">
      <c r="A148" s="358" t="s">
        <v>273</v>
      </c>
      <c r="B148" s="358" t="s">
        <v>325</v>
      </c>
      <c r="C148" s="46">
        <f t="shared" ca="1" si="102"/>
        <v>43329</v>
      </c>
      <c r="E148" s="40">
        <f t="shared" ca="1" si="100"/>
        <v>2.4889555800000003</v>
      </c>
      <c r="F148" s="40">
        <f t="shared" ca="1" si="103"/>
        <v>0</v>
      </c>
      <c r="G148" s="116" t="s">
        <v>273</v>
      </c>
      <c r="H148" s="116"/>
      <c r="J148" s="116" t="s">
        <v>180</v>
      </c>
      <c r="K148" s="116"/>
      <c r="L148" s="40"/>
      <c r="O148" s="59">
        <f t="shared" ca="1" si="107"/>
        <v>0</v>
      </c>
      <c r="P148" s="59">
        <f t="shared" ca="1" si="107"/>
        <v>0</v>
      </c>
      <c r="Q148" s="59"/>
      <c r="R148" s="59">
        <f t="shared" ca="1" si="108"/>
        <v>0</v>
      </c>
      <c r="S148" s="59">
        <f t="shared" ca="1" si="108"/>
        <v>0</v>
      </c>
      <c r="X148" s="63">
        <f ca="1">XIRR(INDIRECT($X$46&amp;$AI148):INDIRECT($X$46&amp;$AJ148),INDIRECT($X$47&amp;$AI148):INDIRECT($X$47&amp;$AJ148),0.1)</f>
        <v>-0.71181942000985132</v>
      </c>
      <c r="Y148" s="63">
        <f t="shared" ca="1" si="95"/>
        <v>-0.41488894995141556</v>
      </c>
      <c r="Z148" s="63">
        <f t="shared" ca="1" si="96"/>
        <v>1.6881934554312528E-2</v>
      </c>
      <c r="AA148" s="63">
        <f ca="1">ABS(SUMIF(INDIRECT($AA$46&amp;$AI148):INDIRECT($AA$46&amp;$AJ148),"&lt;0"))/SUMIF(INDIRECT($AA$46&amp;$AI148):INDIRECT($AA$46&amp;$AJ148),"&gt;0")</f>
        <v>0.59211709828271308</v>
      </c>
      <c r="AB148" s="63">
        <f t="shared" ca="1" si="97"/>
        <v>-0.40788290171728692</v>
      </c>
      <c r="AC148" s="316">
        <f ca="1">ABS(SUMIF(INDIRECT($AA$46&amp;$AI148):INDIRECT($AA$46&amp;$AJ148),"&lt;0"))</f>
        <v>2488955.58</v>
      </c>
      <c r="AD148" s="316">
        <f ca="1">SUMIF(INDIRECT($AA$46&amp;$AI148):INDIRECT($AA$46&amp;$AJ148),"&gt;0")</f>
        <v>4203485.4038476348</v>
      </c>
      <c r="AI148" s="77">
        <f t="array" aca="1" ref="AI148" ca="1">MATCH(A148&amp;B148,INDIRECT($AI$47) &amp; INDIRECT($AI$49),0)</f>
        <v>2821</v>
      </c>
      <c r="AJ148" s="54">
        <f t="shared" ca="1" si="101"/>
        <v>2830</v>
      </c>
      <c r="AK148" s="78">
        <f ca="1">COUNTIFS(INDIRECT($AK$46),Summary!A148,INDIRECT($AK$47),Summary!B148)</f>
        <v>10</v>
      </c>
      <c r="AM148" s="79">
        <f ca="1">MATCH(AM$6,INDIRECT($AM$46&amp;$AI148):INDIRECT($AM$46&amp;$AJ148),1)+$AI148-1</f>
        <v>2829</v>
      </c>
      <c r="AN148" s="73">
        <f ca="1">MATCH(AN$6,INDIRECT($AM$46&amp;$AI148):INDIRECT($AM$46&amp;$AJ148),1)+$AI148-1</f>
        <v>2828</v>
      </c>
      <c r="AO148" s="73">
        <f ca="1">MATCH(AO$6,INDIRECT($AM$46&amp;$AI148):INDIRECT($AM$46&amp;$AJ148),1)+$AI148-1</f>
        <v>2828</v>
      </c>
      <c r="AP148" s="58">
        <f t="shared" ca="1" si="109"/>
        <v>2488955.58</v>
      </c>
      <c r="AQ148" s="58">
        <f t="shared" ca="1" si="109"/>
        <v>2447634.77</v>
      </c>
      <c r="AR148" s="58">
        <f t="shared" ca="1" si="105"/>
        <v>2447634.77</v>
      </c>
      <c r="AS148" s="58">
        <f t="shared" ca="1" si="86"/>
        <v>1806182.6545612537</v>
      </c>
      <c r="AT148" s="36">
        <f t="shared" ref="AT148:AT177" ca="1" si="110">SUM(INDIRECT(AT$47&amp;AO148&amp;":"&amp;LEFT(AT$46,LEN(AT$46)-1)&amp;$AM148))</f>
        <v>0</v>
      </c>
      <c r="AU148" s="58">
        <f t="shared" ca="1" si="88"/>
        <v>0</v>
      </c>
      <c r="AV148" s="85">
        <f t="shared" ca="1" si="89"/>
        <v>0</v>
      </c>
    </row>
    <row r="149" spans="1:48" ht="13.5">
      <c r="A149" s="358" t="s">
        <v>273</v>
      </c>
      <c r="B149" s="358" t="s">
        <v>326</v>
      </c>
      <c r="C149" s="46">
        <f t="shared" ca="1" si="102"/>
        <v>43329</v>
      </c>
      <c r="E149" s="40">
        <f t="shared" ca="1" si="100"/>
        <v>2.7126022299999999</v>
      </c>
      <c r="F149" s="40">
        <f t="shared" ca="1" si="103"/>
        <v>0</v>
      </c>
      <c r="G149" s="116" t="s">
        <v>273</v>
      </c>
      <c r="H149" s="116"/>
      <c r="J149" s="116" t="s">
        <v>180</v>
      </c>
      <c r="K149" s="116"/>
      <c r="L149" s="40"/>
      <c r="O149" s="59">
        <f t="shared" ca="1" si="107"/>
        <v>0</v>
      </c>
      <c r="P149" s="59">
        <f t="shared" ca="1" si="107"/>
        <v>0</v>
      </c>
      <c r="Q149" s="59"/>
      <c r="R149" s="59">
        <f t="shared" ca="1" si="108"/>
        <v>0</v>
      </c>
      <c r="S149" s="59">
        <f t="shared" ca="1" si="108"/>
        <v>0</v>
      </c>
      <c r="X149" s="63">
        <f ca="1">XIRR(INDIRECT($X$46&amp;$AI149):INDIRECT($X$46&amp;$AJ149),INDIRECT($X$47&amp;$AI149):INDIRECT($X$47&amp;$AJ149),0.1)</f>
        <v>-0.66849025115370742</v>
      </c>
      <c r="Y149" s="63">
        <f t="shared" ca="1" si="95"/>
        <v>-0.37860120989860113</v>
      </c>
      <c r="Z149" s="63">
        <f t="shared" ca="1" si="96"/>
        <v>1.688193567707108E-2</v>
      </c>
      <c r="AA149" s="63">
        <f ca="1">ABS(SUMIF(INDIRECT($AA$46&amp;$AI149):INDIRECT($AA$46&amp;$AJ149),"&lt;0"))/SUMIF(INDIRECT($AA$46&amp;$AI149):INDIRECT($AA$46&amp;$AJ149),"&gt;0")</f>
        <v>0.62930666654861422</v>
      </c>
      <c r="AB149" s="63">
        <f t="shared" ca="1" si="97"/>
        <v>-0.37069333345138578</v>
      </c>
      <c r="AC149" s="316">
        <f ca="1">ABS(SUMIF(INDIRECT($AA$46&amp;$AI149):INDIRECT($AA$46&amp;$AJ149),"&lt;0"))</f>
        <v>2712602.23</v>
      </c>
      <c r="AD149" s="316">
        <f ca="1">SUMIF(INDIRECT($AA$46&amp;$AI149):INDIRECT($AA$46&amp;$AJ149),"&gt;0")</f>
        <v>4310461.6146481745</v>
      </c>
      <c r="AI149" s="77">
        <f t="array" aca="1" ref="AI149" ca="1">MATCH(A149&amp;B149,INDIRECT($AI$47) &amp; INDIRECT($AI$49),0)</f>
        <v>2830</v>
      </c>
      <c r="AJ149" s="54">
        <f t="shared" ca="1" si="101"/>
        <v>2839</v>
      </c>
      <c r="AK149" s="78">
        <f ca="1">COUNTIFS(INDIRECT($AK$46),Summary!A149,INDIRECT($AK$47),Summary!B149)</f>
        <v>10</v>
      </c>
      <c r="AM149" s="79">
        <f ca="1">MATCH(AM$6,INDIRECT($AM$46&amp;$AI149):INDIRECT($AM$46&amp;$AJ149),1)+$AI149-1</f>
        <v>2838</v>
      </c>
      <c r="AN149" s="73">
        <f ca="1">MATCH(AN$6,INDIRECT($AM$46&amp;$AI149):INDIRECT($AM$46&amp;$AJ149),1)+$AI149-1</f>
        <v>2837</v>
      </c>
      <c r="AO149" s="73">
        <f ca="1">MATCH(AO$6,INDIRECT($AM$46&amp;$AI149):INDIRECT($AM$46&amp;$AJ149),1)+$AI149-1</f>
        <v>2837</v>
      </c>
      <c r="AP149" s="58">
        <f t="shared" ca="1" si="109"/>
        <v>2712602.23</v>
      </c>
      <c r="AQ149" s="58">
        <f t="shared" ca="1" si="109"/>
        <v>2667568.5099999998</v>
      </c>
      <c r="AR149" s="58">
        <f t="shared" ca="1" si="105"/>
        <v>2667568.5099999998</v>
      </c>
      <c r="AS149" s="58">
        <f t="shared" ca="1" si="86"/>
        <v>1697747.7300869208</v>
      </c>
      <c r="AT149" s="36">
        <f t="shared" ca="1" si="110"/>
        <v>0</v>
      </c>
      <c r="AU149" s="58">
        <f t="shared" ca="1" si="88"/>
        <v>0</v>
      </c>
      <c r="AV149" s="85">
        <f t="shared" ca="1" si="89"/>
        <v>0</v>
      </c>
    </row>
    <row r="150" spans="1:48" ht="13.5">
      <c r="A150" s="358" t="s">
        <v>273</v>
      </c>
      <c r="B150" s="358" t="s">
        <v>327</v>
      </c>
      <c r="C150" s="46">
        <f t="shared" ca="1" si="102"/>
        <v>43329</v>
      </c>
      <c r="E150" s="40">
        <f t="shared" ca="1" si="100"/>
        <v>2.5497508099999999</v>
      </c>
      <c r="F150" s="40">
        <f t="shared" ca="1" si="103"/>
        <v>0</v>
      </c>
      <c r="G150" s="116" t="s">
        <v>273</v>
      </c>
      <c r="H150" s="116"/>
      <c r="J150" s="116" t="s">
        <v>180</v>
      </c>
      <c r="K150" s="116"/>
      <c r="L150" s="40"/>
      <c r="O150" s="59">
        <f t="shared" ca="1" si="107"/>
        <v>0</v>
      </c>
      <c r="P150" s="59">
        <f t="shared" ca="1" si="107"/>
        <v>0</v>
      </c>
      <c r="Q150" s="59"/>
      <c r="R150" s="59">
        <f t="shared" ca="1" si="108"/>
        <v>0</v>
      </c>
      <c r="S150" s="59">
        <f t="shared" ca="1" si="108"/>
        <v>0</v>
      </c>
      <c r="X150" s="63">
        <f ca="1">XIRR(INDIRECT($X$46&amp;$AI150):INDIRECT($X$46&amp;$AJ150),INDIRECT($X$47&amp;$AI150):INDIRECT($X$47&amp;$AJ150),0.1)</f>
        <v>1.2663617730140686E-2</v>
      </c>
      <c r="Y150" s="63">
        <f t="shared" ca="1" si="95"/>
        <v>-1.4942182203388166E-2</v>
      </c>
      <c r="Z150" s="63">
        <f t="shared" ca="1" si="96"/>
        <v>1.6881933693855045E-2</v>
      </c>
      <c r="AA150" s="63">
        <f ca="1">ABS(SUMIF(INDIRECT($AA$46&amp;$AI150):INDIRECT($AA$46&amp;$AJ150),"&lt;0"))/SUMIF(INDIRECT($AA$46&amp;$AI150):INDIRECT($AA$46&amp;$AJ150),"&gt;0")</f>
        <v>1.005078972600099</v>
      </c>
      <c r="AB150" s="63">
        <f t="shared" ca="1" si="97"/>
        <v>5.0789726000990409E-3</v>
      </c>
      <c r="AC150" s="316">
        <f ca="1">ABS(SUMIF(INDIRECT($AA$46&amp;$AI150):INDIRECT($AA$46&amp;$AJ150),"&lt;0"))</f>
        <v>2549750.81</v>
      </c>
      <c r="AD150" s="316">
        <f ca="1">SUMIF(INDIRECT($AA$46&amp;$AI150):INDIRECT($AA$46&amp;$AJ150),"&gt;0")</f>
        <v>2536866.1364030894</v>
      </c>
      <c r="AI150" s="77">
        <f t="array" aca="1" ref="AI150" ca="1">MATCH(A150&amp;B150,INDIRECT($AI$47) &amp; INDIRECT($AI$49),0)</f>
        <v>2839</v>
      </c>
      <c r="AJ150" s="54">
        <f t="shared" ca="1" si="101"/>
        <v>2848</v>
      </c>
      <c r="AK150" s="78">
        <f ca="1">COUNTIFS(INDIRECT($AK$46),Summary!A150,INDIRECT($AK$47),Summary!B150)</f>
        <v>10</v>
      </c>
      <c r="AM150" s="79">
        <f ca="1">MATCH(AM$6,INDIRECT($AM$46&amp;$AI150):INDIRECT($AM$46&amp;$AJ150),1)+$AI150-1</f>
        <v>2847</v>
      </c>
      <c r="AN150" s="73">
        <f ca="1">MATCH(AN$6,INDIRECT($AM$46&amp;$AI150):INDIRECT($AM$46&amp;$AJ150),1)+$AI150-1</f>
        <v>2846</v>
      </c>
      <c r="AO150" s="73">
        <f ca="1">MATCH(AO$6,INDIRECT($AM$46&amp;$AI150):INDIRECT($AM$46&amp;$AJ150),1)+$AI150-1</f>
        <v>2846</v>
      </c>
      <c r="AP150" s="58">
        <f t="shared" ca="1" si="109"/>
        <v>2549750.81</v>
      </c>
      <c r="AQ150" s="58">
        <f t="shared" ca="1" si="109"/>
        <v>2507420.7000000002</v>
      </c>
      <c r="AR150" s="58">
        <f t="shared" ca="1" si="105"/>
        <v>2507420.7000000002</v>
      </c>
      <c r="AS150" s="58">
        <f t="shared" ca="1" si="86"/>
        <v>81006.866316168715</v>
      </c>
      <c r="AT150" s="36">
        <f t="shared" ca="1" si="110"/>
        <v>0</v>
      </c>
      <c r="AU150" s="58">
        <f t="shared" ca="1" si="88"/>
        <v>0</v>
      </c>
      <c r="AV150" s="85">
        <f t="shared" ca="1" si="89"/>
        <v>0</v>
      </c>
    </row>
    <row r="151" spans="1:48" ht="13.5">
      <c r="A151" s="358" t="s">
        <v>273</v>
      </c>
      <c r="B151" s="358" t="s">
        <v>328</v>
      </c>
      <c r="C151" s="46">
        <f t="shared" ca="1" si="102"/>
        <v>43329</v>
      </c>
      <c r="E151" s="40">
        <f t="shared" ca="1" si="100"/>
        <v>0.12165899000000001</v>
      </c>
      <c r="F151" s="40">
        <f t="shared" ca="1" si="103"/>
        <v>0</v>
      </c>
      <c r="G151" s="116" t="s">
        <v>273</v>
      </c>
      <c r="H151" s="116"/>
      <c r="J151" s="116" t="s">
        <v>180</v>
      </c>
      <c r="K151" s="116"/>
      <c r="L151" s="40"/>
      <c r="O151" s="59">
        <f t="shared" ca="1" si="107"/>
        <v>0</v>
      </c>
      <c r="P151" s="59">
        <f t="shared" ca="1" si="107"/>
        <v>0</v>
      </c>
      <c r="Q151" s="59"/>
      <c r="R151" s="59">
        <f t="shared" ca="1" si="108"/>
        <v>0</v>
      </c>
      <c r="S151" s="59">
        <f t="shared" ca="1" si="108"/>
        <v>0</v>
      </c>
      <c r="X151" s="63">
        <f ca="1">XIRR(INDIRECT($X$46&amp;$AI151):INDIRECT($X$46&amp;$AJ151),INDIRECT($X$47&amp;$AI151):INDIRECT($X$47&amp;$AJ151),0.1)</f>
        <v>2.9802322387695314E-9</v>
      </c>
      <c r="Y151" s="63">
        <f t="shared" ca="1" si="95"/>
        <v>-0.69283283386317263</v>
      </c>
      <c r="Z151" s="63">
        <f t="shared" ca="1" si="96"/>
        <v>1.6884722797564589E-2</v>
      </c>
      <c r="AA151" s="63">
        <f ca="1">ABS(SUMIF(INDIRECT($AA$46&amp;$AI151):INDIRECT($AA$46&amp;$AJ151),"&lt;0"))/SUMIF(INDIRECT($AA$46&amp;$AI151):INDIRECT($AA$46&amp;$AJ151),"&gt;0")</f>
        <v>0.30908682422488726</v>
      </c>
      <c r="AB151" s="63">
        <f t="shared" ca="1" si="97"/>
        <v>-0.6909131757751128</v>
      </c>
      <c r="AC151" s="316">
        <f ca="1">ABS(SUMIF(INDIRECT($AA$46&amp;$AI151):INDIRECT($AA$46&amp;$AJ151),"&lt;0"))</f>
        <v>121658.99</v>
      </c>
      <c r="AD151" s="316">
        <f ca="1">SUMIF(INDIRECT($AA$46&amp;$AI151):INDIRECT($AA$46&amp;$AJ151),"&gt;0")</f>
        <v>393607.81652563304</v>
      </c>
      <c r="AI151" s="77">
        <f t="array" aca="1" ref="AI151" ca="1">MATCH(A151&amp;B151,INDIRECT($AI$47) &amp; INDIRECT($AI$49),0)</f>
        <v>2848</v>
      </c>
      <c r="AJ151" s="54">
        <f t="shared" ca="1" si="101"/>
        <v>2857</v>
      </c>
      <c r="AK151" s="78">
        <f ca="1">COUNTIFS(INDIRECT($AK$46),Summary!A151,INDIRECT($AK$47),Summary!B151)</f>
        <v>10</v>
      </c>
      <c r="AM151" s="79">
        <f ca="1">MATCH(AM$6,INDIRECT($AM$46&amp;$AI151):INDIRECT($AM$46&amp;$AJ151),1)+$AI151-1</f>
        <v>2856</v>
      </c>
      <c r="AN151" s="73">
        <f ca="1">MATCH(AN$6,INDIRECT($AM$46&amp;$AI151):INDIRECT($AM$46&amp;$AJ151),1)+$AI151-1</f>
        <v>2855</v>
      </c>
      <c r="AO151" s="73">
        <f ca="1">MATCH(AO$6,INDIRECT($AM$46&amp;$AI151):INDIRECT($AM$46&amp;$AJ151),1)+$AI151-1</f>
        <v>2855</v>
      </c>
      <c r="AP151" s="58">
        <f t="shared" ca="1" si="109"/>
        <v>121658.99</v>
      </c>
      <c r="AQ151" s="58">
        <f t="shared" ca="1" si="109"/>
        <v>119638.92</v>
      </c>
      <c r="AR151" s="58">
        <f t="shared" ca="1" si="105"/>
        <v>119638.92</v>
      </c>
      <c r="AS151" s="58">
        <f t="shared" ca="1" si="86"/>
        <v>276428.7702094643</v>
      </c>
      <c r="AT151" s="36">
        <f t="shared" ca="1" si="110"/>
        <v>0</v>
      </c>
      <c r="AU151" s="58">
        <f t="shared" ca="1" si="88"/>
        <v>0</v>
      </c>
      <c r="AV151" s="85">
        <f t="shared" ca="1" si="89"/>
        <v>0</v>
      </c>
    </row>
    <row r="152" spans="1:48" ht="13.5">
      <c r="A152" s="358" t="s">
        <v>273</v>
      </c>
      <c r="B152" s="358" t="s">
        <v>375</v>
      </c>
      <c r="C152" s="46">
        <f t="shared" ca="1" si="102"/>
        <v>43329</v>
      </c>
      <c r="E152" s="40">
        <f t="shared" ca="1" si="100"/>
        <v>0.41028849499999998</v>
      </c>
      <c r="F152" s="40">
        <f t="shared" ca="1" si="103"/>
        <v>0</v>
      </c>
      <c r="G152" s="116" t="s">
        <v>273</v>
      </c>
      <c r="H152" s="116"/>
      <c r="J152" s="116" t="s">
        <v>180</v>
      </c>
      <c r="K152" s="116"/>
      <c r="L152" s="40"/>
      <c r="O152" s="59">
        <f t="shared" ref="O152:P176" ca="1" si="111">INDIRECT(O$47&amp;$AJ152)</f>
        <v>0</v>
      </c>
      <c r="P152" s="59">
        <f t="shared" ca="1" si="111"/>
        <v>0</v>
      </c>
      <c r="Q152" s="59"/>
      <c r="R152" s="59">
        <f t="shared" ref="R152:S176" ca="1" si="112">INDIRECT(R$47&amp;$AJ152)</f>
        <v>0</v>
      </c>
      <c r="S152" s="59">
        <f t="shared" ca="1" si="112"/>
        <v>0</v>
      </c>
      <c r="X152" s="63">
        <f ca="1">XIRR(INDIRECT($X$46&amp;$AI152):INDIRECT($X$46&amp;$AJ152),INDIRECT($X$47&amp;$AI152):INDIRECT($X$47&amp;$AJ152),0.1)</f>
        <v>-0.67638383135199542</v>
      </c>
      <c r="Y152" s="63">
        <f t="shared" ca="1" si="95"/>
        <v>-0.38155467705119128</v>
      </c>
      <c r="Z152" s="63">
        <f t="shared" ca="1" si="96"/>
        <v>1.3546163706534387E-2</v>
      </c>
      <c r="AA152" s="63">
        <f ca="1">ABS(SUMIF(INDIRECT($AA$46&amp;$AI152):INDIRECT($AA$46&amp;$AJ152),"&lt;0"))/SUMIF(INDIRECT($AA$46&amp;$AI152):INDIRECT($AA$46&amp;$AJ152),"&gt;0")</f>
        <v>0.62308489904820274</v>
      </c>
      <c r="AB152" s="63">
        <f t="shared" ca="1" si="97"/>
        <v>-0.37691510095179726</v>
      </c>
      <c r="AC152" s="316">
        <f ca="1">ABS(SUMIF(INDIRECT($AA$46&amp;$AI152):INDIRECT($AA$46&amp;$AJ152),"&lt;0"))</f>
        <v>410288.495</v>
      </c>
      <c r="AD152" s="316">
        <f ca="1">SUMIF(INDIRECT($AA$46&amp;$AI152):INDIRECT($AA$46&amp;$AJ152),"&gt;0")</f>
        <v>658479.27886992414</v>
      </c>
      <c r="AI152" s="77">
        <f t="array" aca="1" ref="AI152" ca="1">MATCH(A152&amp;B152,INDIRECT($AI$47) &amp; INDIRECT($AI$49),0)</f>
        <v>2857</v>
      </c>
      <c r="AJ152" s="54">
        <f t="shared" ca="1" si="101"/>
        <v>2866</v>
      </c>
      <c r="AK152" s="78">
        <f ca="1">COUNTIFS(INDIRECT($AK$46),Summary!A152,INDIRECT($AK$47),Summary!B152)</f>
        <v>10</v>
      </c>
      <c r="AM152" s="79">
        <f ca="1">MATCH(AM$6,INDIRECT($AM$46&amp;$AI152):INDIRECT($AM$46&amp;$AJ152),1)+$AI152-1</f>
        <v>2865</v>
      </c>
      <c r="AN152" s="73">
        <f ca="1">MATCH(AN$6,INDIRECT($AM$46&amp;$AI152):INDIRECT($AM$46&amp;$AJ152),1)+$AI152-1</f>
        <v>2864</v>
      </c>
      <c r="AO152" s="73">
        <f ca="1">MATCH(AO$6,INDIRECT($AM$46&amp;$AI152):INDIRECT($AM$46&amp;$AJ152),1)+$AI152-1</f>
        <v>2864</v>
      </c>
      <c r="AP152" s="58">
        <f t="shared" ca="1" si="109"/>
        <v>410288.495</v>
      </c>
      <c r="AQ152" s="58">
        <f t="shared" ca="1" si="109"/>
        <v>404804.94099999999</v>
      </c>
      <c r="AR152" s="58">
        <f t="shared" ca="1" si="105"/>
        <v>404804.94099999999</v>
      </c>
      <c r="AS152" s="58">
        <f t="shared" ca="1" si="86"/>
        <v>258614.24866045982</v>
      </c>
      <c r="AT152" s="36">
        <f t="shared" ca="1" si="110"/>
        <v>0</v>
      </c>
      <c r="AU152" s="58">
        <f t="shared" ca="1" si="88"/>
        <v>0</v>
      </c>
      <c r="AV152" s="85">
        <f t="shared" ca="1" si="89"/>
        <v>0</v>
      </c>
    </row>
    <row r="153" spans="1:48" ht="13.5">
      <c r="A153" s="358" t="s">
        <v>273</v>
      </c>
      <c r="B153" s="358" t="s">
        <v>376</v>
      </c>
      <c r="C153" s="46">
        <f t="shared" ca="1" si="102"/>
        <v>43329</v>
      </c>
      <c r="E153" s="40">
        <f t="shared" ca="1" si="100"/>
        <v>0.38384750679999996</v>
      </c>
      <c r="F153" s="40">
        <f t="shared" ca="1" si="103"/>
        <v>0</v>
      </c>
      <c r="G153" s="116" t="s">
        <v>273</v>
      </c>
      <c r="H153" s="116"/>
      <c r="J153" s="116" t="s">
        <v>180</v>
      </c>
      <c r="K153" s="116"/>
      <c r="L153" s="40"/>
      <c r="O153" s="59">
        <f t="shared" ca="1" si="111"/>
        <v>0</v>
      </c>
      <c r="P153" s="59">
        <f t="shared" ca="1" si="111"/>
        <v>0</v>
      </c>
      <c r="Q153" s="59"/>
      <c r="R153" s="59">
        <f t="shared" ca="1" si="112"/>
        <v>0</v>
      </c>
      <c r="S153" s="59">
        <f t="shared" ca="1" si="112"/>
        <v>0</v>
      </c>
      <c r="X153" s="63">
        <f ca="1">XIRR(INDIRECT($X$46&amp;$AI153):INDIRECT($X$46&amp;$AJ153),INDIRECT($X$47&amp;$AI153):INDIRECT($X$47&amp;$AJ153),0.1)</f>
        <v>2.9802322387695314E-9</v>
      </c>
      <c r="Y153" s="63">
        <f t="shared" ca="1" si="95"/>
        <v>-0.87434311603516579</v>
      </c>
      <c r="Z153" s="63">
        <f t="shared" ca="1" si="96"/>
        <v>1.3546162148097451E-2</v>
      </c>
      <c r="AA153" s="63">
        <f ca="1">ABS(SUMIF(INDIRECT($AA$46&amp;$AI153):INDIRECT($AA$46&amp;$AJ153),"&lt;0"))/SUMIF(INDIRECT($AA$46&amp;$AI153):INDIRECT($AA$46&amp;$AJ153),"&gt;0")</f>
        <v>0.1258472809855343</v>
      </c>
      <c r="AB153" s="63">
        <f t="shared" ca="1" si="97"/>
        <v>-0.87415271901446567</v>
      </c>
      <c r="AC153" s="316">
        <f ca="1">ABS(SUMIF(INDIRECT($AA$46&amp;$AI153):INDIRECT($AA$46&amp;$AJ153),"&lt;0"))</f>
        <v>383847.50679999997</v>
      </c>
      <c r="AD153" s="316">
        <f ca="1">SUMIF(INDIRECT($AA$46&amp;$AI153):INDIRECT($AA$46&amp;$AJ153),"&gt;0")</f>
        <v>3050105.6820140746</v>
      </c>
      <c r="AI153" s="77">
        <f t="array" aca="1" ref="AI153" ca="1">MATCH(A153&amp;B153,INDIRECT($AI$47) &amp; INDIRECT($AI$49),0)</f>
        <v>2866</v>
      </c>
      <c r="AJ153" s="54">
        <f t="shared" ca="1" si="101"/>
        <v>2875</v>
      </c>
      <c r="AK153" s="78">
        <f ca="1">COUNTIFS(INDIRECT($AK$46),Summary!A153,INDIRECT($AK$47),Summary!B153)</f>
        <v>10</v>
      </c>
      <c r="AM153" s="79">
        <f ca="1">MATCH(AM$6,INDIRECT($AM$46&amp;$AI153):INDIRECT($AM$46&amp;$AJ153),1)+$AI153-1</f>
        <v>2874</v>
      </c>
      <c r="AN153" s="73">
        <f ca="1">MATCH(AN$6,INDIRECT($AM$46&amp;$AI153):INDIRECT($AM$46&amp;$AJ153),1)+$AI153-1</f>
        <v>2873</v>
      </c>
      <c r="AO153" s="73">
        <f ca="1">MATCH(AO$6,INDIRECT($AM$46&amp;$AI153):INDIRECT($AM$46&amp;$AJ153),1)+$AI153-1</f>
        <v>2873</v>
      </c>
      <c r="AP153" s="58">
        <f t="shared" ca="1" si="109"/>
        <v>383847.50679999997</v>
      </c>
      <c r="AQ153" s="58">
        <f t="shared" ca="1" si="109"/>
        <v>378717.34029999998</v>
      </c>
      <c r="AR153" s="58">
        <f t="shared" ca="1" si="105"/>
        <v>378717.34029999998</v>
      </c>
      <c r="AS153" s="58">
        <f t="shared" ca="1" si="86"/>
        <v>2676009.9033536147</v>
      </c>
      <c r="AT153" s="36">
        <f t="shared" ca="1" si="110"/>
        <v>0</v>
      </c>
      <c r="AU153" s="58">
        <f t="shared" ca="1" si="88"/>
        <v>0</v>
      </c>
      <c r="AV153" s="85">
        <f t="shared" ca="1" si="89"/>
        <v>0</v>
      </c>
    </row>
    <row r="154" spans="1:48" ht="13.5">
      <c r="A154" s="358" t="s">
        <v>273</v>
      </c>
      <c r="B154" s="358" t="s">
        <v>377</v>
      </c>
      <c r="C154" s="46">
        <f t="shared" ca="1" si="102"/>
        <v>43329</v>
      </c>
      <c r="E154" s="40">
        <f t="shared" ca="1" si="100"/>
        <v>3.9718589075000001</v>
      </c>
      <c r="F154" s="40">
        <f t="shared" ca="1" si="103"/>
        <v>0</v>
      </c>
      <c r="G154" s="116" t="s">
        <v>273</v>
      </c>
      <c r="H154" s="116"/>
      <c r="J154" s="116" t="s">
        <v>180</v>
      </c>
      <c r="K154" s="116"/>
      <c r="L154" s="40"/>
      <c r="O154" s="59">
        <f t="shared" ca="1" si="111"/>
        <v>0</v>
      </c>
      <c r="P154" s="59">
        <f t="shared" ca="1" si="111"/>
        <v>0</v>
      </c>
      <c r="Q154" s="59"/>
      <c r="R154" s="59">
        <f t="shared" ca="1" si="112"/>
        <v>0</v>
      </c>
      <c r="S154" s="59">
        <f t="shared" ca="1" si="112"/>
        <v>0</v>
      </c>
      <c r="X154" s="63">
        <f ca="1">XIRR(INDIRECT($X$46&amp;$AI154):INDIRECT($X$46&amp;$AJ154),INDIRECT($X$47&amp;$AI154):INDIRECT($X$47&amp;$AJ154),0.1)</f>
        <v>-5.2366843819618231E-2</v>
      </c>
      <c r="Y154" s="63">
        <f t="shared" ca="1" si="95"/>
        <v>-3.2843946461235451E-2</v>
      </c>
      <c r="Z154" s="63">
        <f t="shared" ca="1" si="96"/>
        <v>1.354616150067689E-2</v>
      </c>
      <c r="AA154" s="63">
        <f ca="1">ABS(SUMIF(INDIRECT($AA$46&amp;$AI154):INDIRECT($AA$46&amp;$AJ154),"&lt;0"))/SUMIF(INDIRECT($AA$46&amp;$AI154):INDIRECT($AA$46&amp;$AJ154),"&gt;0")</f>
        <v>0.97855093325940368</v>
      </c>
      <c r="AB154" s="63">
        <f t="shared" ca="1" si="97"/>
        <v>-2.1449066740596323E-2</v>
      </c>
      <c r="AC154" s="316">
        <f ca="1">ABS(SUMIF(INDIRECT($AA$46&amp;$AI154):INDIRECT($AA$46&amp;$AJ154),"&lt;0"))</f>
        <v>3971858.9075000002</v>
      </c>
      <c r="AD154" s="316">
        <f ca="1">SUMIF(INDIRECT($AA$46&amp;$AI154):INDIRECT($AA$46&amp;$AJ154),"&gt;0")</f>
        <v>4058918.9305357309</v>
      </c>
      <c r="AI154" s="77">
        <f t="array" aca="1" ref="AI154" ca="1">MATCH(A154&amp;B154,INDIRECT($AI$47) &amp; INDIRECT($AI$49),0)</f>
        <v>2875</v>
      </c>
      <c r="AJ154" s="54">
        <f t="shared" ca="1" si="101"/>
        <v>2884</v>
      </c>
      <c r="AK154" s="78">
        <f ca="1">COUNTIFS(INDIRECT($AK$46),Summary!A154,INDIRECT($AK$47),Summary!B154)</f>
        <v>10</v>
      </c>
      <c r="AM154" s="79">
        <f ca="1">MATCH(AM$6,INDIRECT($AM$46&amp;$AI154):INDIRECT($AM$46&amp;$AJ154),1)+$AI154-1</f>
        <v>2883</v>
      </c>
      <c r="AN154" s="73">
        <f ca="1">MATCH(AN$6,INDIRECT($AM$46&amp;$AI154):INDIRECT($AM$46&amp;$AJ154),1)+$AI154-1</f>
        <v>2882</v>
      </c>
      <c r="AO154" s="73">
        <f ca="1">MATCH(AO$6,INDIRECT($AM$46&amp;$AI154):INDIRECT($AM$46&amp;$AJ154),1)+$AI154-1</f>
        <v>2882</v>
      </c>
      <c r="AP154" s="58">
        <f t="shared" ca="1" si="109"/>
        <v>3971858.9075000002</v>
      </c>
      <c r="AQ154" s="58">
        <f t="shared" ca="1" si="109"/>
        <v>3918774.5545000001</v>
      </c>
      <c r="AR154" s="58">
        <f t="shared" ca="1" si="105"/>
        <v>3918774.5545000001</v>
      </c>
      <c r="AS154" s="58">
        <f t="shared" ca="1" si="86"/>
        <v>187965.91718211613</v>
      </c>
      <c r="AT154" s="36">
        <f t="shared" ca="1" si="110"/>
        <v>0</v>
      </c>
      <c r="AU154" s="58">
        <f t="shared" ca="1" si="88"/>
        <v>0</v>
      </c>
      <c r="AV154" s="85">
        <f t="shared" ca="1" si="89"/>
        <v>0</v>
      </c>
    </row>
    <row r="155" spans="1:48" ht="13.5">
      <c r="A155" s="358" t="s">
        <v>273</v>
      </c>
      <c r="B155" s="358" t="s">
        <v>378</v>
      </c>
      <c r="C155" s="46">
        <f t="shared" ca="1" si="102"/>
        <v>43329</v>
      </c>
      <c r="E155" s="40">
        <f t="shared" ca="1" si="100"/>
        <v>0.2789877516</v>
      </c>
      <c r="F155" s="40">
        <f t="shared" ca="1" si="103"/>
        <v>0</v>
      </c>
      <c r="G155" s="116" t="s">
        <v>273</v>
      </c>
      <c r="H155" s="116"/>
      <c r="J155" s="116" t="s">
        <v>180</v>
      </c>
      <c r="K155" s="116"/>
      <c r="L155" s="40"/>
      <c r="O155" s="59">
        <f t="shared" ca="1" si="111"/>
        <v>0</v>
      </c>
      <c r="P155" s="59">
        <f t="shared" ca="1" si="111"/>
        <v>0</v>
      </c>
      <c r="Q155" s="59"/>
      <c r="R155" s="59">
        <f t="shared" ca="1" si="112"/>
        <v>0</v>
      </c>
      <c r="S155" s="59">
        <f t="shared" ca="1" si="112"/>
        <v>0</v>
      </c>
      <c r="X155" s="63">
        <f ca="1">XIRR(INDIRECT($X$46&amp;$AI155):INDIRECT($X$46&amp;$AJ155),INDIRECT($X$47&amp;$AI155):INDIRECT($X$47&amp;$AJ155),0.1)</f>
        <v>-0.59893142506480235</v>
      </c>
      <c r="Y155" s="63">
        <f t="shared" ca="1" si="95"/>
        <v>-0.32207155214972072</v>
      </c>
      <c r="Z155" s="63">
        <f t="shared" ca="1" si="96"/>
        <v>1.3546161427708592E-2</v>
      </c>
      <c r="AA155" s="63">
        <f ca="1">ABS(SUMIF(INDIRECT($AA$46&amp;$AI155):INDIRECT($AA$46&amp;$AJ155),"&lt;0"))/SUMIF(INDIRECT($AA$46&amp;$AI155):INDIRECT($AA$46&amp;$AJ155),"&gt;0")</f>
        <v>0.68350745958083414</v>
      </c>
      <c r="AB155" s="63">
        <f t="shared" ca="1" si="97"/>
        <v>-0.31649254041916586</v>
      </c>
      <c r="AC155" s="316">
        <f ca="1">ABS(SUMIF(INDIRECT($AA$46&amp;$AI155):INDIRECT($AA$46&amp;$AJ155),"&lt;0"))</f>
        <v>278987.75160000002</v>
      </c>
      <c r="AD155" s="316">
        <f ca="1">SUMIF(INDIRECT($AA$46&amp;$AI155):INDIRECT($AA$46&amp;$AJ155),"&gt;0")</f>
        <v>408170.74881829566</v>
      </c>
      <c r="AI155" s="77">
        <f t="array" aca="1" ref="AI155" ca="1">MATCH(A155&amp;B155,INDIRECT($AI$47) &amp; INDIRECT($AI$49),0)</f>
        <v>2884</v>
      </c>
      <c r="AJ155" s="54">
        <f t="shared" ca="1" si="101"/>
        <v>2893</v>
      </c>
      <c r="AK155" s="78">
        <f ca="1">COUNTIFS(INDIRECT($AK$46),Summary!A155,INDIRECT($AK$47),Summary!B155)</f>
        <v>10</v>
      </c>
      <c r="AM155" s="79">
        <f ca="1">MATCH(AM$6,INDIRECT($AM$46&amp;$AI155):INDIRECT($AM$46&amp;$AJ155),1)+$AI155-1</f>
        <v>2892</v>
      </c>
      <c r="AN155" s="73">
        <f ca="1">MATCH(AN$6,INDIRECT($AM$46&amp;$AI155):INDIRECT($AM$46&amp;$AJ155),1)+$AI155-1</f>
        <v>2891</v>
      </c>
      <c r="AO155" s="73">
        <f ca="1">MATCH(AO$6,INDIRECT($AM$46&amp;$AI155):INDIRECT($AM$46&amp;$AJ155),1)+$AI155-1</f>
        <v>2891</v>
      </c>
      <c r="AP155" s="58">
        <f t="shared" ca="1" si="109"/>
        <v>278987.75160000002</v>
      </c>
      <c r="AQ155" s="58">
        <f t="shared" ca="1" si="109"/>
        <v>275259.04810000001</v>
      </c>
      <c r="AR155" s="58">
        <f t="shared" ca="1" si="105"/>
        <v>275259.04810000001</v>
      </c>
      <c r="AS155" s="58">
        <f t="shared" ca="1" si="86"/>
        <v>136270.74163617956</v>
      </c>
      <c r="AT155" s="36">
        <f t="shared" ca="1" si="110"/>
        <v>0</v>
      </c>
      <c r="AU155" s="58">
        <f t="shared" ca="1" si="88"/>
        <v>0</v>
      </c>
      <c r="AV155" s="85">
        <f t="shared" ca="1" si="89"/>
        <v>0</v>
      </c>
    </row>
    <row r="156" spans="1:48" ht="13.5">
      <c r="A156" s="358" t="s">
        <v>273</v>
      </c>
      <c r="B156" s="358" t="s">
        <v>379</v>
      </c>
      <c r="C156" s="46">
        <f t="shared" ref="C156:C177" ca="1" si="113">INDIRECT($C$46&amp;$AI156)</f>
        <v>43329</v>
      </c>
      <c r="E156" s="40">
        <f t="shared" ca="1" si="100"/>
        <v>0.20225916720000001</v>
      </c>
      <c r="F156" s="40">
        <f t="shared" ref="F156:F176" ca="1" si="114">INDIRECT($F$46&amp;AJ156)+INDIRECT($F$47&amp;AJ156)+INDIRECT($F$48&amp;AJ156)+INDIRECT($F$49&amp;AJ156)</f>
        <v>0</v>
      </c>
      <c r="G156" s="116" t="s">
        <v>273</v>
      </c>
      <c r="H156" s="116"/>
      <c r="J156" s="116" t="s">
        <v>180</v>
      </c>
      <c r="K156" s="116"/>
      <c r="L156" s="40"/>
      <c r="O156" s="59">
        <f t="shared" ca="1" si="111"/>
        <v>0</v>
      </c>
      <c r="P156" s="59">
        <f t="shared" ca="1" si="111"/>
        <v>0</v>
      </c>
      <c r="Q156" s="59"/>
      <c r="R156" s="59">
        <f t="shared" ca="1" si="112"/>
        <v>0</v>
      </c>
      <c r="S156" s="59">
        <f t="shared" ca="1" si="112"/>
        <v>0</v>
      </c>
      <c r="X156" s="63">
        <f ca="1">XIRR(INDIRECT($X$46&amp;$AI156):INDIRECT($X$46&amp;$AJ156),INDIRECT($X$47&amp;$AI156):INDIRECT($X$47&amp;$AJ156),0.1)</f>
        <v>-0.17569706812500951</v>
      </c>
      <c r="Y156" s="63">
        <f t="shared" ca="1" si="95"/>
        <v>-8.5542860667008336E-2</v>
      </c>
      <c r="Z156" s="63">
        <f t="shared" ca="1" si="96"/>
        <v>1.3546137994548069E-2</v>
      </c>
      <c r="AA156" s="63">
        <f ca="1">ABS(SUMIF(INDIRECT($AA$46&amp;$AI156):INDIRECT($AA$46&amp;$AJ156),"&lt;0"))/SUMIF(INDIRECT($AA$46&amp;$AI156):INDIRECT($AA$46&amp;$AJ156),"&gt;0")</f>
        <v>0.92463755278499105</v>
      </c>
      <c r="AB156" s="63">
        <f t="shared" ca="1" si="97"/>
        <v>-7.5362447215008954E-2</v>
      </c>
      <c r="AC156" s="316">
        <f ca="1">ABS(SUMIF(INDIRECT($AA$46&amp;$AI156):INDIRECT($AA$46&amp;$AJ156),"&lt;0"))</f>
        <v>202259.1672</v>
      </c>
      <c r="AD156" s="316">
        <f ca="1">SUMIF(INDIRECT($AA$46&amp;$AI156):INDIRECT($AA$46&amp;$AJ156),"&gt;0")</f>
        <v>218744.27075863312</v>
      </c>
      <c r="AI156" s="77">
        <f t="array" aca="1" ref="AI156" ca="1">MATCH(A156&amp;B156,INDIRECT($AI$47) &amp; INDIRECT($AI$49),0)</f>
        <v>2893</v>
      </c>
      <c r="AJ156" s="54">
        <f t="shared" ca="1" si="101"/>
        <v>2902</v>
      </c>
      <c r="AK156" s="78">
        <f ca="1">COUNTIFS(INDIRECT($AK$46),Summary!A156,INDIRECT($AK$47),Summary!B156)</f>
        <v>10</v>
      </c>
      <c r="AM156" s="79">
        <f ca="1">MATCH(AM$6,INDIRECT($AM$46&amp;$AI156):INDIRECT($AM$46&amp;$AJ156),1)+$AI156-1</f>
        <v>2901</v>
      </c>
      <c r="AN156" s="73">
        <f ca="1">MATCH(AN$6,INDIRECT($AM$46&amp;$AI156):INDIRECT($AM$46&amp;$AJ156),1)+$AI156-1</f>
        <v>2900</v>
      </c>
      <c r="AO156" s="73">
        <f ca="1">MATCH(AO$6,INDIRECT($AM$46&amp;$AI156):INDIRECT($AM$46&amp;$AJ156),1)+$AI156-1</f>
        <v>2900</v>
      </c>
      <c r="AP156" s="58">
        <f t="shared" ca="1" si="109"/>
        <v>202259.1672</v>
      </c>
      <c r="AQ156" s="58">
        <f t="shared" ca="1" si="109"/>
        <v>199555.9547</v>
      </c>
      <c r="AR156" s="58">
        <f t="shared" ca="1" si="105"/>
        <v>199555.9547</v>
      </c>
      <c r="AS156" s="58">
        <f t="shared" ca="1" si="86"/>
        <v>21623.539122453571</v>
      </c>
      <c r="AT156" s="36">
        <f t="shared" ca="1" si="110"/>
        <v>0</v>
      </c>
      <c r="AU156" s="58">
        <f t="shared" ca="1" si="88"/>
        <v>0</v>
      </c>
      <c r="AV156" s="85">
        <f t="shared" ca="1" si="89"/>
        <v>0</v>
      </c>
    </row>
    <row r="157" spans="1:48" ht="13.5">
      <c r="A157" s="358" t="s">
        <v>273</v>
      </c>
      <c r="B157" s="358" t="s">
        <v>380</v>
      </c>
      <c r="C157" s="46">
        <f t="shared" ca="1" si="113"/>
        <v>43329</v>
      </c>
      <c r="E157" s="40">
        <f t="shared" ca="1" si="100"/>
        <v>3.2475469999999999E-2</v>
      </c>
      <c r="F157" s="40">
        <f t="shared" ca="1" si="114"/>
        <v>0</v>
      </c>
      <c r="G157" s="116" t="s">
        <v>273</v>
      </c>
      <c r="H157" s="116"/>
      <c r="J157" s="116" t="s">
        <v>180</v>
      </c>
      <c r="K157" s="116"/>
      <c r="L157" s="40"/>
      <c r="O157" s="59">
        <f t="shared" ca="1" si="111"/>
        <v>0</v>
      </c>
      <c r="P157" s="59">
        <f t="shared" ca="1" si="111"/>
        <v>0</v>
      </c>
      <c r="Q157" s="59"/>
      <c r="R157" s="59">
        <f t="shared" ca="1" si="112"/>
        <v>0</v>
      </c>
      <c r="S157" s="59">
        <f t="shared" ca="1" si="112"/>
        <v>0</v>
      </c>
      <c r="X157" s="63">
        <f ca="1">XIRR(INDIRECT($X$46&amp;$AI157):INDIRECT($X$46&amp;$AJ157),INDIRECT($X$47&amp;$AI157):INDIRECT($X$47&amp;$AJ157),0.1)</f>
        <v>2.9802322387695314E-9</v>
      </c>
      <c r="Y157" s="63">
        <f t="shared" ca="1" si="95"/>
        <v>-0.67658388301352057</v>
      </c>
      <c r="Z157" s="63">
        <f t="shared" ca="1" si="96"/>
        <v>1.6882032745162867E-2</v>
      </c>
      <c r="AA157" s="63">
        <f ca="1">ABS(SUMIF(INDIRECT($AA$46&amp;$AI157):INDIRECT($AA$46&amp;$AJ157),"&lt;0"))/SUMIF(INDIRECT($AA$46&amp;$AI157):INDIRECT($AA$46&amp;$AJ157),"&gt;0")</f>
        <v>0.3255452283138236</v>
      </c>
      <c r="AB157" s="63">
        <f t="shared" ca="1" si="97"/>
        <v>-0.6744547716861764</v>
      </c>
      <c r="AC157" s="316">
        <f ca="1">ABS(SUMIF(INDIRECT($AA$46&amp;$AI157):INDIRECT($AA$46&amp;$AJ157),"&lt;0"))</f>
        <v>32475.47</v>
      </c>
      <c r="AD157" s="316">
        <f ca="1">SUMIF(INDIRECT($AA$46&amp;$AI157):INDIRECT($AA$46&amp;$AJ157),"&gt;0")</f>
        <v>99757.167900166081</v>
      </c>
      <c r="AI157" s="77">
        <f t="array" aca="1" ref="AI157" ca="1">MATCH(A157&amp;B157,INDIRECT($AI$47) &amp; INDIRECT($AI$49),0)</f>
        <v>2902</v>
      </c>
      <c r="AJ157" s="54">
        <f t="shared" ca="1" si="101"/>
        <v>2911</v>
      </c>
      <c r="AK157" s="78">
        <f ca="1">COUNTIFS(INDIRECT($AK$46),Summary!A157,INDIRECT($AK$47),Summary!B157)</f>
        <v>10</v>
      </c>
      <c r="AM157" s="79">
        <f ca="1">MATCH(AM$6,INDIRECT($AM$46&amp;$AI157):INDIRECT($AM$46&amp;$AJ157),1)+$AI157-1</f>
        <v>2910</v>
      </c>
      <c r="AN157" s="73">
        <f ca="1">MATCH(AN$6,INDIRECT($AM$46&amp;$AI157):INDIRECT($AM$46&amp;$AJ157),1)+$AI157-1</f>
        <v>2909</v>
      </c>
      <c r="AO157" s="73">
        <f ca="1">MATCH(AO$6,INDIRECT($AM$46&amp;$AI157):INDIRECT($AM$46&amp;$AJ157),1)+$AI157-1</f>
        <v>2909</v>
      </c>
      <c r="AP157" s="58">
        <f t="shared" ca="1" si="109"/>
        <v>32475.47</v>
      </c>
      <c r="AQ157" s="58">
        <f t="shared" ca="1" si="109"/>
        <v>31936.32</v>
      </c>
      <c r="AR157" s="58">
        <f t="shared" ca="1" si="105"/>
        <v>31936.32</v>
      </c>
      <c r="AS157" s="58">
        <f t="shared" ca="1" si="86"/>
        <v>68477.568777712513</v>
      </c>
      <c r="AT157" s="36">
        <f t="shared" ca="1" si="110"/>
        <v>0</v>
      </c>
      <c r="AU157" s="58">
        <f t="shared" ca="1" si="88"/>
        <v>0</v>
      </c>
      <c r="AV157" s="85">
        <f t="shared" ca="1" si="89"/>
        <v>0</v>
      </c>
    </row>
    <row r="158" spans="1:48" ht="13.5">
      <c r="A158" s="358" t="s">
        <v>273</v>
      </c>
      <c r="B158" s="358" t="s">
        <v>381</v>
      </c>
      <c r="C158" s="46">
        <f t="shared" ca="1" si="113"/>
        <v>43329</v>
      </c>
      <c r="E158" s="40">
        <f t="shared" ca="1" si="100"/>
        <v>0.10284193</v>
      </c>
      <c r="F158" s="40">
        <f t="shared" ca="1" si="114"/>
        <v>0</v>
      </c>
      <c r="G158" s="116" t="s">
        <v>273</v>
      </c>
      <c r="H158" s="116"/>
      <c r="J158" s="116" t="s">
        <v>180</v>
      </c>
      <c r="K158" s="116"/>
      <c r="L158" s="40"/>
      <c r="O158" s="59">
        <f t="shared" ca="1" si="111"/>
        <v>0</v>
      </c>
      <c r="P158" s="59">
        <f t="shared" ca="1" si="111"/>
        <v>0</v>
      </c>
      <c r="Q158" s="59"/>
      <c r="R158" s="59">
        <f t="shared" ca="1" si="112"/>
        <v>0</v>
      </c>
      <c r="S158" s="59">
        <f t="shared" ca="1" si="112"/>
        <v>0</v>
      </c>
      <c r="X158" s="63">
        <f ca="1">XIRR(INDIRECT($X$46&amp;$AI158):INDIRECT($X$46&amp;$AJ158),INDIRECT($X$47&amp;$AI158):INDIRECT($X$47&amp;$AJ158),0.1)</f>
        <v>2.9802322387695314E-9</v>
      </c>
      <c r="Y158" s="63">
        <f t="shared" ca="1" si="95"/>
        <v>-0.88856177011631443</v>
      </c>
      <c r="Z158" s="63">
        <f t="shared" ca="1" si="96"/>
        <v>1.6881960650847461E-2</v>
      </c>
      <c r="AA158" s="63">
        <f ca="1">ABS(SUMIF(INDIRECT($AA$46&amp;$AI158):INDIRECT($AA$46&amp;$AJ158),"&lt;0"))/SUMIF(INDIRECT($AA$46&amp;$AI158):INDIRECT($AA$46&amp;$AJ158),"&gt;0")</f>
        <v>0.11168992498118886</v>
      </c>
      <c r="AB158" s="63">
        <f t="shared" ca="1" si="97"/>
        <v>-0.8883100750188111</v>
      </c>
      <c r="AC158" s="316">
        <f ca="1">ABS(SUMIF(INDIRECT($AA$46&amp;$AI158):INDIRECT($AA$46&amp;$AJ158),"&lt;0"))</f>
        <v>102841.93</v>
      </c>
      <c r="AD158" s="316">
        <f ca="1">SUMIF(INDIRECT($AA$46&amp;$AI158):INDIRECT($AA$46&amp;$AJ158),"&gt;0")</f>
        <v>920780.72411026258</v>
      </c>
      <c r="AI158" s="77">
        <f t="array" aca="1" ref="AI158" ca="1">MATCH(A158&amp;B158,INDIRECT($AI$47) &amp; INDIRECT($AI$49),0)</f>
        <v>2911</v>
      </c>
      <c r="AJ158" s="54">
        <f t="shared" ca="1" si="101"/>
        <v>2920</v>
      </c>
      <c r="AK158" s="78">
        <f ca="1">COUNTIFS(INDIRECT($AK$46),Summary!A158,INDIRECT($AK$47),Summary!B158)</f>
        <v>10</v>
      </c>
      <c r="AM158" s="79">
        <f ca="1">MATCH(AM$6,INDIRECT($AM$46&amp;$AI158):INDIRECT($AM$46&amp;$AJ158),1)+$AI158-1</f>
        <v>2919</v>
      </c>
      <c r="AN158" s="73">
        <f ca="1">MATCH(AN$6,INDIRECT($AM$46&amp;$AI158):INDIRECT($AM$46&amp;$AJ158),1)+$AI158-1</f>
        <v>2918</v>
      </c>
      <c r="AO158" s="73">
        <f ca="1">MATCH(AO$6,INDIRECT($AM$46&amp;$AI158):INDIRECT($AM$46&amp;$AJ158),1)+$AI158-1</f>
        <v>2918</v>
      </c>
      <c r="AP158" s="58">
        <f t="shared" ca="1" si="109"/>
        <v>102841.93</v>
      </c>
      <c r="AQ158" s="58">
        <f t="shared" ca="1" si="109"/>
        <v>101134.58</v>
      </c>
      <c r="AR158" s="58">
        <f t="shared" ca="1" si="105"/>
        <v>101134.58</v>
      </c>
      <c r="AS158" s="58">
        <f t="shared" ca="1" si="86"/>
        <v>821725.8253325501</v>
      </c>
      <c r="AT158" s="36">
        <f t="shared" ca="1" si="110"/>
        <v>0</v>
      </c>
      <c r="AU158" s="58">
        <f t="shared" ca="1" si="88"/>
        <v>0</v>
      </c>
      <c r="AV158" s="85">
        <f t="shared" ca="1" si="89"/>
        <v>0</v>
      </c>
    </row>
    <row r="159" spans="1:48" ht="13.5">
      <c r="A159" s="358" t="s">
        <v>273</v>
      </c>
      <c r="B159" s="358" t="s">
        <v>382</v>
      </c>
      <c r="C159" s="46">
        <f t="shared" ca="1" si="113"/>
        <v>43329</v>
      </c>
      <c r="E159" s="40">
        <f t="shared" ca="1" si="100"/>
        <v>1.1690993000000001</v>
      </c>
      <c r="F159" s="40">
        <f t="shared" ca="1" si="114"/>
        <v>0</v>
      </c>
      <c r="G159" s="116" t="s">
        <v>273</v>
      </c>
      <c r="H159" s="116"/>
      <c r="J159" s="116" t="s">
        <v>180</v>
      </c>
      <c r="K159" s="116"/>
      <c r="L159" s="40"/>
      <c r="O159" s="59">
        <f t="shared" ca="1" si="111"/>
        <v>0</v>
      </c>
      <c r="P159" s="59">
        <f t="shared" ca="1" si="111"/>
        <v>0</v>
      </c>
      <c r="Q159" s="59"/>
      <c r="R159" s="59">
        <f t="shared" ca="1" si="112"/>
        <v>0</v>
      </c>
      <c r="S159" s="59">
        <f t="shared" ca="1" si="112"/>
        <v>0</v>
      </c>
      <c r="X159" s="63">
        <f ca="1">XIRR(INDIRECT($X$46&amp;$AI159):INDIRECT($X$46&amp;$AJ159),INDIRECT($X$47&amp;$AI159):INDIRECT($X$47&amp;$AJ159),0.1)</f>
        <v>-0.22821608856320386</v>
      </c>
      <c r="Y159" s="63">
        <f t="shared" ca="1" si="95"/>
        <v>-0.10953362567782854</v>
      </c>
      <c r="Z159" s="63">
        <f t="shared" ca="1" si="96"/>
        <v>-2.8457482788582511E-2</v>
      </c>
      <c r="AA159" s="63">
        <f ca="1">ABS(SUMIF(INDIRECT($AA$46&amp;$AI159):INDIRECT($AA$46&amp;$AJ159),"&lt;0"))/SUMIF(INDIRECT($AA$46&amp;$AI159):INDIRECT($AA$46&amp;$AJ159),"&gt;0")</f>
        <v>0.90053874075776563</v>
      </c>
      <c r="AB159" s="63">
        <f t="shared" ca="1" si="97"/>
        <v>-9.9461259242234368E-2</v>
      </c>
      <c r="AC159" s="316">
        <f ca="1">ABS(SUMIF(INDIRECT($AA$46&amp;$AI159):INDIRECT($AA$46&amp;$AJ159),"&lt;0"))</f>
        <v>1169099.3</v>
      </c>
      <c r="AD159" s="316">
        <f ca="1">SUMIF(INDIRECT($AA$46&amp;$AI159):INDIRECT($AA$46&amp;$AJ159),"&gt;0")</f>
        <v>1298222.1053768902</v>
      </c>
      <c r="AI159" s="77">
        <f t="array" aca="1" ref="AI159" ca="1">MATCH(A159&amp;B159,INDIRECT($AI$47) &amp; INDIRECT($AI$49),0)</f>
        <v>2920</v>
      </c>
      <c r="AJ159" s="54">
        <f t="shared" ca="1" si="101"/>
        <v>2929</v>
      </c>
      <c r="AK159" s="78">
        <f ca="1">COUNTIFS(INDIRECT($AK$46),Summary!A159,INDIRECT($AK$47),Summary!B159)</f>
        <v>10</v>
      </c>
      <c r="AM159" s="79">
        <f ca="1">MATCH(AM$6,INDIRECT($AM$46&amp;$AI159):INDIRECT($AM$46&amp;$AJ159),1)+$AI159-1</f>
        <v>2928</v>
      </c>
      <c r="AN159" s="73">
        <f ca="1">MATCH(AN$6,INDIRECT($AM$46&amp;$AI159):INDIRECT($AM$46&amp;$AJ159),1)+$AI159-1</f>
        <v>2927</v>
      </c>
      <c r="AO159" s="73">
        <f ca="1">MATCH(AO$6,INDIRECT($AM$46&amp;$AI159):INDIRECT($AM$46&amp;$AJ159),1)+$AI159-1</f>
        <v>2927</v>
      </c>
      <c r="AP159" s="58">
        <f t="shared" ca="1" si="109"/>
        <v>1169099.3</v>
      </c>
      <c r="AQ159" s="58">
        <f t="shared" ca="1" si="109"/>
        <v>1203343.4247999999</v>
      </c>
      <c r="AR159" s="58">
        <f t="shared" ca="1" si="105"/>
        <v>1203343.4247999999</v>
      </c>
      <c r="AS159" s="58">
        <f t="shared" ref="AS159:AS177" ca="1" si="115">INDIRECT($AS$47&amp;AJ159)</f>
        <v>109563.31004434002</v>
      </c>
      <c r="AT159" s="36">
        <f t="shared" ca="1" si="110"/>
        <v>0</v>
      </c>
      <c r="AU159" s="58">
        <f t="shared" ref="AU159:AU177" ca="1" si="116">INDIRECT($AU$47&amp;AM159)</f>
        <v>0</v>
      </c>
      <c r="AV159" s="85">
        <f t="shared" ref="AV159:AV177" ca="1" si="117">SUM(INDIRECT(AV$47&amp;AO159+1&amp;":"&amp;LEFT(AV$46,LEN(AV$46)-1)&amp;$AM159))</f>
        <v>0</v>
      </c>
    </row>
    <row r="160" spans="1:48" ht="13.5">
      <c r="A160" s="358" t="s">
        <v>273</v>
      </c>
      <c r="B160" s="358" t="s">
        <v>383</v>
      </c>
      <c r="C160" s="46">
        <f t="shared" ca="1" si="113"/>
        <v>43329</v>
      </c>
      <c r="E160" s="40">
        <f t="shared" ca="1" si="100"/>
        <v>0.16363820250000002</v>
      </c>
      <c r="F160" s="40">
        <f t="shared" ca="1" si="114"/>
        <v>0</v>
      </c>
      <c r="G160" s="116" t="s">
        <v>273</v>
      </c>
      <c r="H160" s="116"/>
      <c r="J160" s="116" t="s">
        <v>180</v>
      </c>
      <c r="K160" s="116"/>
      <c r="L160" s="40"/>
      <c r="O160" s="59">
        <f t="shared" ca="1" si="111"/>
        <v>0</v>
      </c>
      <c r="P160" s="59">
        <f t="shared" ca="1" si="111"/>
        <v>0</v>
      </c>
      <c r="Q160" s="59"/>
      <c r="R160" s="59">
        <f t="shared" ca="1" si="112"/>
        <v>0</v>
      </c>
      <c r="S160" s="59">
        <f t="shared" ca="1" si="112"/>
        <v>0</v>
      </c>
      <c r="X160" s="63">
        <f ca="1">XIRR(INDIRECT($X$46&amp;$AI160):INDIRECT($X$46&amp;$AJ160),INDIRECT($X$47&amp;$AI160):INDIRECT($X$47&amp;$AJ160),0.1)</f>
        <v>2.9802322387695314E-9</v>
      </c>
      <c r="Y160" s="63">
        <f t="shared" ca="1" si="95"/>
        <v>-0.97665323820285899</v>
      </c>
      <c r="Z160" s="63">
        <f t="shared" ca="1" si="96"/>
        <v>1.4394065236092768E-2</v>
      </c>
      <c r="AA160" s="63">
        <f ca="1">ABS(SUMIF(INDIRECT($AA$46&amp;$AI160):INDIRECT($AA$46&amp;$AJ160),"&lt;0"))/SUMIF(INDIRECT($AA$46&amp;$AI160):INDIRECT($AA$46&amp;$AJ160),"&gt;0")</f>
        <v>2.3356186758300469E-2</v>
      </c>
      <c r="AB160" s="63">
        <f t="shared" ca="1" si="97"/>
        <v>-0.97664381324169958</v>
      </c>
      <c r="AC160" s="316">
        <f ca="1">ABS(SUMIF(INDIRECT($AA$46&amp;$AI160):INDIRECT($AA$46&amp;$AJ160),"&lt;0"))</f>
        <v>163638.20250000001</v>
      </c>
      <c r="AD160" s="316">
        <f ca="1">SUMIF(INDIRECT($AA$46&amp;$AI160):INDIRECT($AA$46&amp;$AJ160),"&gt;0")</f>
        <v>7006203.717815591</v>
      </c>
      <c r="AI160" s="77">
        <f t="array" aca="1" ref="AI160" ca="1">MATCH(A160&amp;B160,INDIRECT($AI$47) &amp; INDIRECT($AI$49),0)</f>
        <v>2929</v>
      </c>
      <c r="AJ160" s="54">
        <f t="shared" ca="1" si="101"/>
        <v>2938</v>
      </c>
      <c r="AK160" s="78">
        <f ca="1">COUNTIFS(INDIRECT($AK$46),Summary!A160,INDIRECT($AK$47),Summary!B160)</f>
        <v>10</v>
      </c>
      <c r="AM160" s="79">
        <f ca="1">MATCH(AM$6,INDIRECT($AM$46&amp;$AI160):INDIRECT($AM$46&amp;$AJ160),1)+$AI160-1</f>
        <v>2937</v>
      </c>
      <c r="AN160" s="73">
        <f ca="1">MATCH(AN$6,INDIRECT($AM$46&amp;$AI160):INDIRECT($AM$46&amp;$AJ160),1)+$AI160-1</f>
        <v>2936</v>
      </c>
      <c r="AO160" s="73">
        <f ca="1">MATCH(AO$6,INDIRECT($AM$46&amp;$AI160):INDIRECT($AM$46&amp;$AJ160),1)+$AI160-1</f>
        <v>2936</v>
      </c>
      <c r="AP160" s="58">
        <f t="shared" ca="1" si="109"/>
        <v>163638.20250000001</v>
      </c>
      <c r="AQ160" s="58">
        <f t="shared" ca="1" si="109"/>
        <v>161316.2065</v>
      </c>
      <c r="AR160" s="58">
        <f t="shared" ca="1" si="105"/>
        <v>161316.2065</v>
      </c>
      <c r="AS160" s="58">
        <f t="shared" ca="1" si="115"/>
        <v>6847715.8777712509</v>
      </c>
      <c r="AT160" s="36">
        <f t="shared" ca="1" si="110"/>
        <v>0</v>
      </c>
      <c r="AU160" s="58">
        <f t="shared" ca="1" si="116"/>
        <v>0</v>
      </c>
      <c r="AV160" s="85">
        <f t="shared" ca="1" si="117"/>
        <v>0</v>
      </c>
    </row>
    <row r="161" spans="1:48" ht="13.5">
      <c r="A161" s="358" t="s">
        <v>273</v>
      </c>
      <c r="B161" s="358" t="s">
        <v>384</v>
      </c>
      <c r="C161" s="46">
        <f t="shared" ca="1" si="113"/>
        <v>43329</v>
      </c>
      <c r="E161" s="40">
        <f t="shared" ca="1" si="100"/>
        <v>10.163700905700001</v>
      </c>
      <c r="F161" s="40">
        <f t="shared" ca="1" si="114"/>
        <v>0</v>
      </c>
      <c r="G161" s="116" t="s">
        <v>273</v>
      </c>
      <c r="H161" s="116"/>
      <c r="J161" s="116" t="s">
        <v>180</v>
      </c>
      <c r="K161" s="116"/>
      <c r="L161" s="40"/>
      <c r="O161" s="59">
        <f t="shared" ca="1" si="111"/>
        <v>0</v>
      </c>
      <c r="P161" s="59">
        <f t="shared" ca="1" si="111"/>
        <v>0</v>
      </c>
      <c r="Q161" s="59"/>
      <c r="R161" s="59">
        <f t="shared" ca="1" si="112"/>
        <v>0</v>
      </c>
      <c r="S161" s="59">
        <f t="shared" ca="1" si="112"/>
        <v>0</v>
      </c>
      <c r="X161" s="63">
        <f ca="1">XIRR(INDIRECT($X$46&amp;$AI161):INDIRECT($X$46&amp;$AJ161),INDIRECT($X$47&amp;$AI161):INDIRECT($X$47&amp;$AJ161),0.1)</f>
        <v>-0.16565853543579576</v>
      </c>
      <c r="Y161" s="63">
        <f t="shared" ca="1" si="95"/>
        <v>-8.1058984632525366E-2</v>
      </c>
      <c r="Z161" s="63">
        <f t="shared" ca="1" si="96"/>
        <v>1.3546162270026585E-2</v>
      </c>
      <c r="AA161" s="63">
        <f ca="1">ABS(SUMIF(INDIRECT($AA$46&amp;$AI161):INDIRECT($AA$46&amp;$AJ161),"&lt;0"))/SUMIF(INDIRECT($AA$46&amp;$AI161):INDIRECT($AA$46&amp;$AJ161),"&gt;0")</f>
        <v>0.929222052166781</v>
      </c>
      <c r="AB161" s="63">
        <f t="shared" ca="1" si="97"/>
        <v>-7.0777947833219002E-2</v>
      </c>
      <c r="AC161" s="316">
        <f ca="1">ABS(SUMIF(INDIRECT($AA$46&amp;$AI161):INDIRECT($AA$46&amp;$AJ161),"&lt;0"))</f>
        <v>10163700.9057</v>
      </c>
      <c r="AD161" s="316">
        <f ca="1">SUMIF(INDIRECT($AA$46&amp;$AI161):INDIRECT($AA$46&amp;$AJ161),"&gt;0")</f>
        <v>10937860.204673417</v>
      </c>
      <c r="AI161" s="77">
        <f t="array" aca="1" ref="AI161" ca="1">MATCH(A161&amp;B161,INDIRECT($AI$47) &amp; INDIRECT($AI$49),0)</f>
        <v>2938</v>
      </c>
      <c r="AJ161" s="54">
        <f t="shared" ca="1" si="101"/>
        <v>2947</v>
      </c>
      <c r="AK161" s="78">
        <f ca="1">COUNTIFS(INDIRECT($AK$46),Summary!A161,INDIRECT($AK$47),Summary!B161)</f>
        <v>10</v>
      </c>
      <c r="AM161" s="79">
        <f ca="1">MATCH(AM$6,INDIRECT($AM$46&amp;$AI161):INDIRECT($AM$46&amp;$AJ161),1)+$AI161-1</f>
        <v>2946</v>
      </c>
      <c r="AN161" s="73">
        <f ca="1">MATCH(AN$6,INDIRECT($AM$46&amp;$AI161):INDIRECT($AM$46&amp;$AJ161),1)+$AI161-1</f>
        <v>2945</v>
      </c>
      <c r="AO161" s="73">
        <f ca="1">MATCH(AO$6,INDIRECT($AM$46&amp;$AI161):INDIRECT($AM$46&amp;$AJ161),1)+$AI161-1</f>
        <v>2945</v>
      </c>
      <c r="AP161" s="58">
        <f t="shared" ca="1" si="109"/>
        <v>10163700.9057</v>
      </c>
      <c r="AQ161" s="58">
        <f t="shared" ca="1" si="109"/>
        <v>10027861.8617</v>
      </c>
      <c r="AR161" s="58">
        <f t="shared" ca="1" si="105"/>
        <v>10027861.8617</v>
      </c>
      <c r="AS161" s="58">
        <f t="shared" ca="1" si="115"/>
        <v>1032370.2269021661</v>
      </c>
      <c r="AT161" s="36">
        <f t="shared" ca="1" si="110"/>
        <v>0</v>
      </c>
      <c r="AU161" s="58">
        <f t="shared" ca="1" si="116"/>
        <v>0</v>
      </c>
      <c r="AV161" s="85">
        <f t="shared" ca="1" si="117"/>
        <v>0</v>
      </c>
    </row>
    <row r="162" spans="1:48" ht="13.5">
      <c r="A162" s="358" t="s">
        <v>273</v>
      </c>
      <c r="B162" s="358" t="s">
        <v>385</v>
      </c>
      <c r="C162" s="46">
        <f t="shared" ca="1" si="113"/>
        <v>43329</v>
      </c>
      <c r="E162" s="40">
        <f t="shared" ca="1" si="100"/>
        <v>1.5322926644999999</v>
      </c>
      <c r="F162" s="40">
        <f t="shared" ca="1" si="114"/>
        <v>0</v>
      </c>
      <c r="G162" s="116" t="s">
        <v>273</v>
      </c>
      <c r="H162" s="116"/>
      <c r="J162" s="116" t="s">
        <v>180</v>
      </c>
      <c r="K162" s="116"/>
      <c r="L162" s="40"/>
      <c r="O162" s="59">
        <f t="shared" ca="1" si="111"/>
        <v>0</v>
      </c>
      <c r="P162" s="59">
        <f t="shared" ca="1" si="111"/>
        <v>0</v>
      </c>
      <c r="Q162" s="59"/>
      <c r="R162" s="59">
        <f t="shared" ca="1" si="112"/>
        <v>0</v>
      </c>
      <c r="S162" s="59">
        <f t="shared" ca="1" si="112"/>
        <v>0</v>
      </c>
      <c r="X162" s="63">
        <f ca="1">XIRR(INDIRECT($X$46&amp;$AI162):INDIRECT($X$46&amp;$AJ162),INDIRECT($X$47&amp;$AI162):INDIRECT($X$47&amp;$AJ162),0.1)</f>
        <v>-0.77144095674157143</v>
      </c>
      <c r="Y162" s="63">
        <f t="shared" ca="1" si="95"/>
        <v>-0.46825675255663446</v>
      </c>
      <c r="Z162" s="63">
        <f t="shared" ca="1" si="96"/>
        <v>1.3356249094022887E-2</v>
      </c>
      <c r="AA162" s="63">
        <f ca="1">ABS(SUMIF(INDIRECT($AA$46&amp;$AI162):INDIRECT($AA$46&amp;$AJ162),"&lt;0"))/SUMIF(INDIRECT($AA$46&amp;$AI162):INDIRECT($AA$46&amp;$AJ162),"&gt;0")</f>
        <v>0.5352224938856992</v>
      </c>
      <c r="AB162" s="63">
        <f t="shared" ca="1" si="97"/>
        <v>-0.4647775061143008</v>
      </c>
      <c r="AC162" s="316">
        <f ca="1">ABS(SUMIF(INDIRECT($AA$46&amp;$AI162):INDIRECT($AA$46&amp;$AJ162),"&lt;0"))</f>
        <v>1532292.6645</v>
      </c>
      <c r="AD162" s="316">
        <f ca="1">SUMIF(INDIRECT($AA$46&amp;$AI162):INDIRECT($AA$46&amp;$AJ162),"&gt;0")</f>
        <v>2862907.8224564167</v>
      </c>
      <c r="AI162" s="77">
        <f t="array" aca="1" ref="AI162" ca="1">MATCH(A162&amp;B162,INDIRECT($AI$47) &amp; INDIRECT($AI$49),0)</f>
        <v>2947</v>
      </c>
      <c r="AJ162" s="54">
        <f t="shared" ca="1" si="101"/>
        <v>2956</v>
      </c>
      <c r="AK162" s="78">
        <f ca="1">COUNTIFS(INDIRECT($AK$46),Summary!A162,INDIRECT($AK$47),Summary!B162)</f>
        <v>10</v>
      </c>
      <c r="AM162" s="79">
        <f ca="1">MATCH(AM$6,INDIRECT($AM$46&amp;$AI162):INDIRECT($AM$46&amp;$AJ162),1)+$AI162-1</f>
        <v>2955</v>
      </c>
      <c r="AN162" s="73">
        <f ca="1">MATCH(AN$6,INDIRECT($AM$46&amp;$AI162):INDIRECT($AM$46&amp;$AJ162),1)+$AI162-1</f>
        <v>2954</v>
      </c>
      <c r="AO162" s="73">
        <f ca="1">MATCH(AO$6,INDIRECT($AM$46&amp;$AI162):INDIRECT($AM$46&amp;$AJ162),1)+$AI162-1</f>
        <v>2954</v>
      </c>
      <c r="AP162" s="58">
        <f t="shared" ca="1" si="109"/>
        <v>1532292.6645</v>
      </c>
      <c r="AQ162" s="58">
        <f t="shared" ca="1" si="109"/>
        <v>1512096.7239999999</v>
      </c>
      <c r="AR162" s="58">
        <f t="shared" ca="1" si="105"/>
        <v>1512096.7239999999</v>
      </c>
      <c r="AS162" s="58">
        <f t="shared" ca="1" si="115"/>
        <v>1369543.3755542503</v>
      </c>
      <c r="AT162" s="36">
        <f t="shared" ca="1" si="110"/>
        <v>0</v>
      </c>
      <c r="AU162" s="58">
        <f t="shared" ca="1" si="116"/>
        <v>0</v>
      </c>
      <c r="AV162" s="85">
        <f t="shared" ca="1" si="117"/>
        <v>0</v>
      </c>
    </row>
    <row r="163" spans="1:48" ht="13.5">
      <c r="A163" s="358" t="s">
        <v>273</v>
      </c>
      <c r="B163" s="358" t="s">
        <v>386</v>
      </c>
      <c r="C163" s="46">
        <f t="shared" ca="1" si="113"/>
        <v>43329</v>
      </c>
      <c r="E163" s="40">
        <f t="shared" ca="1" si="100"/>
        <v>2.0307137062999998</v>
      </c>
      <c r="F163" s="40">
        <f t="shared" ca="1" si="114"/>
        <v>0</v>
      </c>
      <c r="G163" s="116" t="s">
        <v>273</v>
      </c>
      <c r="H163" s="116"/>
      <c r="J163" s="116" t="s">
        <v>180</v>
      </c>
      <c r="K163" s="116"/>
      <c r="L163" s="40"/>
      <c r="O163" s="59">
        <f t="shared" ca="1" si="111"/>
        <v>0</v>
      </c>
      <c r="P163" s="59">
        <f t="shared" ca="1" si="111"/>
        <v>0</v>
      </c>
      <c r="Q163" s="59"/>
      <c r="R163" s="59">
        <f t="shared" ca="1" si="112"/>
        <v>0</v>
      </c>
      <c r="S163" s="59">
        <f t="shared" ca="1" si="112"/>
        <v>0</v>
      </c>
      <c r="X163" s="63">
        <f ca="1">XIRR(INDIRECT($X$46&amp;$AI163):INDIRECT($X$46&amp;$AJ163),INDIRECT($X$47&amp;$AI163):INDIRECT($X$47&amp;$AJ163),0.1)</f>
        <v>6.3630762696266191E-2</v>
      </c>
      <c r="Y163" s="63">
        <f t="shared" ca="1" si="95"/>
        <v>1.2535740094568482E-2</v>
      </c>
      <c r="Z163" s="63">
        <f t="shared" ca="1" si="96"/>
        <v>1.2535740094568482E-2</v>
      </c>
      <c r="AA163" s="63">
        <f ca="1">ABS(SUMIF(INDIRECT($AA$46&amp;$AI163):INDIRECT($AA$46&amp;$AJ163),"&lt;0"))/SUMIF(INDIRECT($AA$46&amp;$AI163):INDIRECT($AA$46&amp;$AJ163),"&gt;0")</f>
        <v>1.0250445514846269</v>
      </c>
      <c r="AB163" s="63">
        <f t="shared" ca="1" si="97"/>
        <v>2.504455148462692E-2</v>
      </c>
      <c r="AC163" s="316">
        <f ca="1">ABS(SUMIF(INDIRECT($AA$46&amp;$AI163):INDIRECT($AA$46&amp;$AJ163),"&lt;0"))</f>
        <v>2030713.7063</v>
      </c>
      <c r="AD163" s="316">
        <f ca="1">SUMIF(INDIRECT($AA$46&amp;$AI163):INDIRECT($AA$46&amp;$AJ163),"&gt;0")</f>
        <v>1981097.9955542502</v>
      </c>
      <c r="AI163" s="77">
        <f t="array" aca="1" ref="AI163" ca="1">MATCH(A163&amp;B163,INDIRECT($AI$47) &amp; INDIRECT($AI$49),0)</f>
        <v>2956</v>
      </c>
      <c r="AJ163" s="54">
        <f t="shared" ca="1" si="101"/>
        <v>2965</v>
      </c>
      <c r="AK163" s="78">
        <f ca="1">COUNTIFS(INDIRECT($AK$46),Summary!A163,INDIRECT($AK$47),Summary!B163)</f>
        <v>10</v>
      </c>
      <c r="AM163" s="79">
        <f ca="1">MATCH(AM$6,INDIRECT($AM$46&amp;$AI163):INDIRECT($AM$46&amp;$AJ163),1)+$AI163-1</f>
        <v>2964</v>
      </c>
      <c r="AN163" s="73">
        <f ca="1">MATCH(AN$6,INDIRECT($AM$46&amp;$AI163):INDIRECT($AM$46&amp;$AJ163),1)+$AI163-1</f>
        <v>2963</v>
      </c>
      <c r="AO163" s="73">
        <f ca="1">MATCH(AO$6,INDIRECT($AM$46&amp;$AI163):INDIRECT($AM$46&amp;$AJ163),1)+$AI163-1</f>
        <v>2963</v>
      </c>
      <c r="AP163" s="58">
        <f t="shared" ca="1" si="109"/>
        <v>2030713.7063</v>
      </c>
      <c r="AQ163" s="58">
        <f t="shared" ca="1" si="109"/>
        <v>2005572.3722999999</v>
      </c>
      <c r="AR163" s="58">
        <f t="shared" ca="1" si="105"/>
        <v>2005572.3722999999</v>
      </c>
      <c r="AS163" s="58">
        <f t="shared" ca="1" si="115"/>
        <v>0</v>
      </c>
      <c r="AT163" s="36">
        <f t="shared" ca="1" si="110"/>
        <v>0</v>
      </c>
      <c r="AU163" s="58">
        <f t="shared" ca="1" si="116"/>
        <v>0</v>
      </c>
      <c r="AV163" s="85">
        <f t="shared" ca="1" si="117"/>
        <v>0</v>
      </c>
    </row>
    <row r="164" spans="1:48" ht="13.5">
      <c r="A164" s="358" t="s">
        <v>273</v>
      </c>
      <c r="B164" s="358" t="s">
        <v>329</v>
      </c>
      <c r="C164" s="46">
        <f t="shared" ca="1" si="113"/>
        <v>43404</v>
      </c>
      <c r="E164" s="40">
        <f t="shared" ca="1" si="100"/>
        <v>5.1655120000000006E-2</v>
      </c>
      <c r="F164" s="40">
        <f t="shared" ca="1" si="114"/>
        <v>0</v>
      </c>
      <c r="G164" s="116" t="s">
        <v>273</v>
      </c>
      <c r="H164" s="116"/>
      <c r="J164" s="116" t="s">
        <v>180</v>
      </c>
      <c r="K164" s="116"/>
      <c r="L164" s="40"/>
      <c r="O164" s="59">
        <f t="shared" ca="1" si="111"/>
        <v>0</v>
      </c>
      <c r="P164" s="59">
        <f t="shared" ca="1" si="111"/>
        <v>0</v>
      </c>
      <c r="Q164" s="59"/>
      <c r="R164" s="59">
        <f t="shared" ca="1" si="112"/>
        <v>0</v>
      </c>
      <c r="S164" s="59">
        <f t="shared" ca="1" si="112"/>
        <v>0</v>
      </c>
      <c r="X164" s="63">
        <f ca="1">XIRR(INDIRECT($X$46&amp;$AI164):INDIRECT($X$46&amp;$AJ164),INDIRECT($X$47&amp;$AI164):INDIRECT($X$47&amp;$AJ164),0.1)</f>
        <v>2.9802322387695314E-9</v>
      </c>
      <c r="Y164" s="63">
        <f t="shared" ca="1" si="95"/>
        <v>2.1512523214117341E-2</v>
      </c>
      <c r="Z164" s="63">
        <f t="shared" ca="1" si="96"/>
        <v>2.1512523214117341E-2</v>
      </c>
      <c r="AA164" s="63">
        <f ca="1">ABS(SUMIF(INDIRECT($AA$46&amp;$AI164):INDIRECT($AA$46&amp;$AJ164),"&lt;0"))/SUMIF(INDIRECT($AA$46&amp;$AI164):INDIRECT($AA$46&amp;$AJ164),"&gt;0")</f>
        <v>1.0331024</v>
      </c>
      <c r="AB164" s="63">
        <f t="shared" ca="1" si="97"/>
        <v>3.3102399999999976E-2</v>
      </c>
      <c r="AC164" s="316">
        <f ca="1">ABS(SUMIF(INDIRECT($AA$46&amp;$AI164):INDIRECT($AA$46&amp;$AJ164),"&lt;0"))</f>
        <v>51655.12</v>
      </c>
      <c r="AD164" s="316">
        <f ca="1">SUMIF(INDIRECT($AA$46&amp;$AI164):INDIRECT($AA$46&amp;$AJ164),"&gt;0")</f>
        <v>50000.000000000007</v>
      </c>
      <c r="AI164" s="77">
        <f t="array" aca="1" ref="AI164" ca="1">MATCH(A164&amp;B164,INDIRECT($AI$47) &amp; INDIRECT($AI$49),0)</f>
        <v>2965</v>
      </c>
      <c r="AJ164" s="54">
        <f t="shared" ca="1" si="101"/>
        <v>2971</v>
      </c>
      <c r="AK164" s="78">
        <f ca="1">COUNTIFS(INDIRECT($AK$46),Summary!A164,INDIRECT($AK$47),Summary!B164)</f>
        <v>7</v>
      </c>
      <c r="AM164" s="79">
        <f ca="1">MATCH(AM$6,INDIRECT($AM$46&amp;$AI164):INDIRECT($AM$46&amp;$AJ164),1)+$AI164-1</f>
        <v>2970</v>
      </c>
      <c r="AN164" s="73">
        <f ca="1">MATCH(AN$6,INDIRECT($AM$46&amp;$AI164):INDIRECT($AM$46&amp;$AJ164),1)+$AI164-1</f>
        <v>2969</v>
      </c>
      <c r="AO164" s="73">
        <f ca="1">MATCH(AO$6,INDIRECT($AM$46&amp;$AI164):INDIRECT($AM$46&amp;$AJ164),1)+$AI164-1</f>
        <v>2969</v>
      </c>
      <c r="AP164" s="58">
        <f t="shared" ca="1" si="109"/>
        <v>51655.12</v>
      </c>
      <c r="AQ164" s="58">
        <f t="shared" ca="1" si="109"/>
        <v>50567.29</v>
      </c>
      <c r="AR164" s="58">
        <f t="shared" ca="1" si="105"/>
        <v>50567.29</v>
      </c>
      <c r="AS164" s="58">
        <f t="shared" ca="1" si="115"/>
        <v>0</v>
      </c>
      <c r="AT164" s="36">
        <f t="shared" ca="1" si="110"/>
        <v>0</v>
      </c>
      <c r="AU164" s="58">
        <f t="shared" ca="1" si="116"/>
        <v>0</v>
      </c>
      <c r="AV164" s="85">
        <f t="shared" ca="1" si="117"/>
        <v>0</v>
      </c>
    </row>
    <row r="165" spans="1:48" ht="13.5">
      <c r="A165" s="358" t="s">
        <v>273</v>
      </c>
      <c r="B165" s="358" t="s">
        <v>330</v>
      </c>
      <c r="C165" s="46">
        <f t="shared" ca="1" si="113"/>
        <v>43404</v>
      </c>
      <c r="E165" s="40">
        <f t="shared" ca="1" si="100"/>
        <v>1.0378703199999999</v>
      </c>
      <c r="F165" s="40">
        <f t="shared" ca="1" si="114"/>
        <v>0</v>
      </c>
      <c r="G165" s="116" t="s">
        <v>273</v>
      </c>
      <c r="H165" s="116"/>
      <c r="J165" s="116" t="s">
        <v>180</v>
      </c>
      <c r="K165" s="116"/>
      <c r="L165" s="40"/>
      <c r="O165" s="59">
        <f t="shared" ca="1" si="111"/>
        <v>9.7261235240840276E-3</v>
      </c>
      <c r="P165" s="59">
        <f t="shared" ca="1" si="111"/>
        <v>0</v>
      </c>
      <c r="Q165" s="59"/>
      <c r="R165" s="59">
        <f t="shared" ca="1" si="112"/>
        <v>0</v>
      </c>
      <c r="S165" s="59">
        <f t="shared" ca="1" si="112"/>
        <v>0</v>
      </c>
      <c r="X165" s="63">
        <f ca="1">XIRR(INDIRECT($X$46&amp;$AI165):INDIRECT($X$46&amp;$AJ165),INDIRECT($X$47&amp;$AI165):INDIRECT($X$47&amp;$AJ165),0.1)</f>
        <v>2.9802322387695314E-9</v>
      </c>
      <c r="Y165" s="63">
        <f t="shared" ca="1" si="95"/>
        <v>2.6226913634212368E-2</v>
      </c>
      <c r="Z165" s="63">
        <f t="shared" ca="1" si="96"/>
        <v>2.6226913634212368E-2</v>
      </c>
      <c r="AA165" s="63">
        <f ca="1">ABS(SUMIF(INDIRECT($AA$46&amp;$AI165):INDIRECT($AA$46&amp;$AJ165),"&lt;0"))/SUMIF(INDIRECT($AA$46&amp;$AI165):INDIRECT($AA$46&amp;$AJ165),"&gt;0")</f>
        <v>1.0378703199999999</v>
      </c>
      <c r="AB165" s="63">
        <f t="shared" ca="1" si="97"/>
        <v>3.7870319999999902E-2</v>
      </c>
      <c r="AC165" s="316">
        <f ca="1">ABS(SUMIF(INDIRECT($AA$46&amp;$AI165):INDIRECT($AA$46&amp;$AJ165),"&lt;0"))</f>
        <v>1037870.32</v>
      </c>
      <c r="AD165" s="316">
        <f ca="1">SUMIF(INDIRECT($AA$46&amp;$AI165):INDIRECT($AA$46&amp;$AJ165),"&gt;0")</f>
        <v>1000000</v>
      </c>
      <c r="AI165" s="77">
        <f t="array" aca="1" ref="AI165" ca="1">MATCH(A165&amp;B165,INDIRECT($AI$47) &amp; INDIRECT($AI$49),0)</f>
        <v>2971</v>
      </c>
      <c r="AJ165" s="54">
        <f t="shared" ca="1" si="101"/>
        <v>2977</v>
      </c>
      <c r="AK165" s="78">
        <f ca="1">COUNTIFS(INDIRECT($AK$46),Summary!A165,INDIRECT($AK$47),Summary!B165)</f>
        <v>7</v>
      </c>
      <c r="AM165" s="79">
        <f ca="1">MATCH(AM$6,INDIRECT($AM$46&amp;$AI165):INDIRECT($AM$46&amp;$AJ165),1)+$AI165-1</f>
        <v>2976</v>
      </c>
      <c r="AN165" s="73">
        <f ca="1">MATCH(AN$6,INDIRECT($AM$46&amp;$AI165):INDIRECT($AM$46&amp;$AJ165),1)+$AI165-1</f>
        <v>2975</v>
      </c>
      <c r="AO165" s="73">
        <f ca="1">MATCH(AO$6,INDIRECT($AM$46&amp;$AI165):INDIRECT($AM$46&amp;$AJ165),1)+$AI165-1</f>
        <v>2975</v>
      </c>
      <c r="AP165" s="58">
        <f t="shared" ca="1" si="109"/>
        <v>1037870.32</v>
      </c>
      <c r="AQ165" s="58">
        <f t="shared" ca="1" si="109"/>
        <v>1011345.84</v>
      </c>
      <c r="AR165" s="58">
        <f t="shared" ca="1" si="105"/>
        <v>1011345.84</v>
      </c>
      <c r="AS165" s="58">
        <f t="shared" ca="1" si="115"/>
        <v>0</v>
      </c>
      <c r="AT165" s="36">
        <f t="shared" ca="1" si="110"/>
        <v>0</v>
      </c>
      <c r="AU165" s="58">
        <f t="shared" ca="1" si="116"/>
        <v>0</v>
      </c>
      <c r="AV165" s="85">
        <f t="shared" ca="1" si="117"/>
        <v>0</v>
      </c>
    </row>
    <row r="166" spans="1:48" ht="13.5">
      <c r="A166" s="358" t="s">
        <v>273</v>
      </c>
      <c r="B166" s="358" t="s">
        <v>331</v>
      </c>
      <c r="C166" s="46">
        <f t="shared" ca="1" si="113"/>
        <v>43404</v>
      </c>
      <c r="E166" s="40">
        <f t="shared" ca="1" si="100"/>
        <v>5.1291029299999993</v>
      </c>
      <c r="F166" s="40">
        <f t="shared" ca="1" si="114"/>
        <v>0</v>
      </c>
      <c r="G166" s="116" t="s">
        <v>273</v>
      </c>
      <c r="H166" s="116"/>
      <c r="J166" s="116" t="s">
        <v>180</v>
      </c>
      <c r="K166" s="116"/>
      <c r="L166" s="40"/>
      <c r="O166" s="59">
        <f t="shared" ca="1" si="111"/>
        <v>9.7261235240840276E-3</v>
      </c>
      <c r="P166" s="59">
        <f t="shared" ca="1" si="111"/>
        <v>0</v>
      </c>
      <c r="Q166" s="59"/>
      <c r="R166" s="59">
        <f t="shared" ca="1" si="112"/>
        <v>0</v>
      </c>
      <c r="S166" s="59">
        <f t="shared" ca="1" si="112"/>
        <v>0</v>
      </c>
      <c r="X166" s="63">
        <f ca="1">XIRR(INDIRECT($X$46&amp;$AI166):INDIRECT($X$46&amp;$AJ166),INDIRECT($X$47&amp;$AI166):INDIRECT($X$47&amp;$AJ166),0.1)</f>
        <v>2.9802322387695314E-9</v>
      </c>
      <c r="Y166" s="63">
        <f t="shared" ca="1" si="95"/>
        <v>2.1335112090233421E-2</v>
      </c>
      <c r="Z166" s="63">
        <f t="shared" ca="1" si="96"/>
        <v>2.1335112090233421E-2</v>
      </c>
      <c r="AA166" s="63">
        <f ca="1">ABS(SUMIF(INDIRECT($AA$46&amp;$AI166):INDIRECT($AA$46&amp;$AJ166),"&lt;0"))/SUMIF(INDIRECT($AA$46&amp;$AI166):INDIRECT($AA$46&amp;$AJ166),"&gt;0")</f>
        <v>1.0258205859999998</v>
      </c>
      <c r="AB166" s="63">
        <f t="shared" ca="1" si="97"/>
        <v>2.5820585999999812E-2</v>
      </c>
      <c r="AC166" s="316">
        <f ca="1">ABS(SUMIF(INDIRECT($AA$46&amp;$AI166):INDIRECT($AA$46&amp;$AJ166),"&lt;0"))</f>
        <v>5129102.93</v>
      </c>
      <c r="AD166" s="316">
        <f ca="1">SUMIF(INDIRECT($AA$46&amp;$AI166):INDIRECT($AA$46&amp;$AJ166),"&gt;0")</f>
        <v>5000000.0000000009</v>
      </c>
      <c r="AI166" s="77">
        <f t="array" aca="1" ref="AI166" ca="1">MATCH(A166&amp;B166,INDIRECT($AI$47) &amp; INDIRECT($AI$49),0)</f>
        <v>2977</v>
      </c>
      <c r="AJ166" s="54">
        <f t="shared" ca="1" si="101"/>
        <v>2983</v>
      </c>
      <c r="AK166" s="78">
        <f ca="1">COUNTIFS(INDIRECT($AK$46),Summary!A166,INDIRECT($AK$47),Summary!B166)</f>
        <v>7</v>
      </c>
      <c r="AM166" s="79">
        <f ca="1">MATCH(AM$6,INDIRECT($AM$46&amp;$AI166):INDIRECT($AM$46&amp;$AJ166),1)+$AI166-1</f>
        <v>2982</v>
      </c>
      <c r="AN166" s="73">
        <f ca="1">MATCH(AN$6,INDIRECT($AM$46&amp;$AI166):INDIRECT($AM$46&amp;$AJ166),1)+$AI166-1</f>
        <v>2981</v>
      </c>
      <c r="AO166" s="73">
        <f ca="1">MATCH(AO$6,INDIRECT($AM$46&amp;$AI166):INDIRECT($AM$46&amp;$AJ166),1)+$AI166-1</f>
        <v>2981</v>
      </c>
      <c r="AP166" s="58">
        <f t="shared" ca="1" si="109"/>
        <v>5129102.93</v>
      </c>
      <c r="AQ166" s="58">
        <f t="shared" ca="1" si="109"/>
        <v>5021958.8744999999</v>
      </c>
      <c r="AR166" s="58">
        <f t="shared" ca="1" si="105"/>
        <v>5021958.8744999999</v>
      </c>
      <c r="AS166" s="58">
        <f t="shared" ca="1" si="115"/>
        <v>0</v>
      </c>
      <c r="AT166" s="36">
        <f t="shared" ca="1" si="110"/>
        <v>0</v>
      </c>
      <c r="AU166" s="58">
        <f t="shared" ca="1" si="116"/>
        <v>0</v>
      </c>
      <c r="AV166" s="85">
        <f t="shared" ca="1" si="117"/>
        <v>0</v>
      </c>
    </row>
    <row r="167" spans="1:48" ht="13.5">
      <c r="A167" s="358" t="s">
        <v>273</v>
      </c>
      <c r="B167" s="358" t="s">
        <v>332</v>
      </c>
      <c r="C167" s="46">
        <f t="shared" ca="1" si="113"/>
        <v>43404</v>
      </c>
      <c r="E167" s="40">
        <f t="shared" ca="1" si="100"/>
        <v>5.1291054630000001</v>
      </c>
      <c r="F167" s="40">
        <f t="shared" ca="1" si="114"/>
        <v>0</v>
      </c>
      <c r="G167" s="116" t="s">
        <v>273</v>
      </c>
      <c r="H167" s="116"/>
      <c r="J167" s="116" t="s">
        <v>180</v>
      </c>
      <c r="K167" s="116"/>
      <c r="L167" s="40"/>
      <c r="O167" s="59">
        <f t="shared" ca="1" si="111"/>
        <v>9.7261235240840276E-3</v>
      </c>
      <c r="P167" s="59">
        <f t="shared" ca="1" si="111"/>
        <v>0</v>
      </c>
      <c r="Q167" s="59"/>
      <c r="R167" s="59">
        <f t="shared" ca="1" si="112"/>
        <v>0</v>
      </c>
      <c r="S167" s="59">
        <f t="shared" ca="1" si="112"/>
        <v>0</v>
      </c>
      <c r="X167" s="63">
        <f ca="1">XIRR(INDIRECT($X$46&amp;$AI167):INDIRECT($X$46&amp;$AJ167),INDIRECT($X$47&amp;$AI167):INDIRECT($X$47&amp;$AJ167),0.1)</f>
        <v>2.9802322387695314E-9</v>
      </c>
      <c r="Y167" s="63">
        <f t="shared" ref="Y167:Z177" ca="1" si="118">($AP167-AU167)/(AQ167+AS167)-1</f>
        <v>2.1335616475088859E-2</v>
      </c>
      <c r="Z167" s="63">
        <f t="shared" ca="1" si="118"/>
        <v>2.1335616475088859E-2</v>
      </c>
      <c r="AA167" s="63">
        <f ca="1">ABS(SUMIF(INDIRECT($AA$46&amp;$AI167):INDIRECT($AA$46&amp;$AJ167),"&lt;0"))/SUMIF(INDIRECT($AA$46&amp;$AI167):INDIRECT($AA$46&amp;$AJ167),"&gt;0")</f>
        <v>1.0258210926</v>
      </c>
      <c r="AB167" s="63">
        <f t="shared" ref="AB167:AB176" ca="1" si="119">AA167-1</f>
        <v>2.5821092599999984E-2</v>
      </c>
      <c r="AC167" s="316">
        <f ca="1">ABS(SUMIF(INDIRECT($AA$46&amp;$AI167):INDIRECT($AA$46&amp;$AJ167),"&lt;0"))</f>
        <v>5129105.4630000005</v>
      </c>
      <c r="AD167" s="316">
        <f ca="1">SUMIF(INDIRECT($AA$46&amp;$AI167):INDIRECT($AA$46&amp;$AJ167),"&gt;0")</f>
        <v>5000000.0000000009</v>
      </c>
      <c r="AI167" s="77">
        <f t="array" aca="1" ref="AI167" ca="1">MATCH(A167&amp;B167,INDIRECT($AI$47) &amp; INDIRECT($AI$49),0)</f>
        <v>2983</v>
      </c>
      <c r="AJ167" s="54">
        <f t="shared" ca="1" si="101"/>
        <v>2989</v>
      </c>
      <c r="AK167" s="78">
        <f ca="1">COUNTIFS(INDIRECT($AK$46),Summary!A167,INDIRECT($AK$47),Summary!B167)</f>
        <v>7</v>
      </c>
      <c r="AM167" s="79">
        <f ca="1">MATCH(AM$6,INDIRECT($AM$46&amp;$AI167):INDIRECT($AM$46&amp;$AJ167),1)+$AI167-1</f>
        <v>2988</v>
      </c>
      <c r="AN167" s="73">
        <f ca="1">MATCH(AN$6,INDIRECT($AM$46&amp;$AI167):INDIRECT($AM$46&amp;$AJ167),1)+$AI167-1</f>
        <v>2987</v>
      </c>
      <c r="AO167" s="73">
        <f ca="1">MATCH(AO$6,INDIRECT($AM$46&amp;$AI167):INDIRECT($AM$46&amp;$AJ167),1)+$AI167-1</f>
        <v>2987</v>
      </c>
      <c r="AP167" s="58">
        <f t="shared" ca="1" si="109"/>
        <v>5129105.4630000005</v>
      </c>
      <c r="AQ167" s="58">
        <f t="shared" ca="1" si="109"/>
        <v>5021958.8744999999</v>
      </c>
      <c r="AR167" s="58">
        <f t="shared" ca="1" si="105"/>
        <v>5021958.8744999999</v>
      </c>
      <c r="AS167" s="58">
        <f t="shared" ca="1" si="115"/>
        <v>0</v>
      </c>
      <c r="AT167" s="36">
        <f t="shared" ca="1" si="110"/>
        <v>0</v>
      </c>
      <c r="AU167" s="58">
        <f t="shared" ca="1" si="116"/>
        <v>0</v>
      </c>
      <c r="AV167" s="85">
        <f t="shared" ca="1" si="117"/>
        <v>0</v>
      </c>
    </row>
    <row r="168" spans="1:48" ht="13.5">
      <c r="A168" s="358" t="s">
        <v>273</v>
      </c>
      <c r="B168" s="358" t="s">
        <v>401</v>
      </c>
      <c r="C168" s="46">
        <f t="shared" ca="1" si="113"/>
        <v>43404</v>
      </c>
      <c r="E168" s="40">
        <f t="shared" ca="1" si="100"/>
        <v>5.1291029299999993</v>
      </c>
      <c r="F168" s="40">
        <f t="shared" ca="1" si="114"/>
        <v>0</v>
      </c>
      <c r="G168" s="116" t="s">
        <v>273</v>
      </c>
      <c r="H168" s="116"/>
      <c r="J168" s="116" t="s">
        <v>180</v>
      </c>
      <c r="K168" s="116"/>
      <c r="L168" s="40"/>
      <c r="O168" s="59">
        <f t="shared" ca="1" si="111"/>
        <v>1.9452247070770791E-2</v>
      </c>
      <c r="P168" s="59">
        <f t="shared" ca="1" si="111"/>
        <v>0</v>
      </c>
      <c r="Q168" s="59"/>
      <c r="R168" s="59">
        <f t="shared" ca="1" si="112"/>
        <v>0</v>
      </c>
      <c r="S168" s="59">
        <f t="shared" ca="1" si="112"/>
        <v>0</v>
      </c>
      <c r="X168" s="63">
        <f ca="1">XIRR(INDIRECT($X$46&amp;$AI168):INDIRECT($X$46&amp;$AJ168),INDIRECT($X$47&amp;$AI168):INDIRECT($X$47&amp;$AJ168),0.1)</f>
        <v>2.9802322387695314E-9</v>
      </c>
      <c r="Y168" s="63">
        <f t="shared" ca="1" si="118"/>
        <v>2.1335112090233421E-2</v>
      </c>
      <c r="Z168" s="63">
        <f t="shared" ca="1" si="118"/>
        <v>2.1335112090233421E-2</v>
      </c>
      <c r="AA168" s="63">
        <f ca="1">ABS(SUMIF(INDIRECT($AA$46&amp;$AI168):INDIRECT($AA$46&amp;$AJ168),"&lt;0"))/SUMIF(INDIRECT($AA$46&amp;$AI168):INDIRECT($AA$46&amp;$AJ168),"&gt;0")</f>
        <v>1.0258205859999998</v>
      </c>
      <c r="AB168" s="63">
        <f t="shared" ca="1" si="119"/>
        <v>2.5820585999999812E-2</v>
      </c>
      <c r="AC168" s="316">
        <f ca="1">ABS(SUMIF(INDIRECT($AA$46&amp;$AI168):INDIRECT($AA$46&amp;$AJ168),"&lt;0"))</f>
        <v>5129102.93</v>
      </c>
      <c r="AD168" s="316">
        <f ca="1">SUMIF(INDIRECT($AA$46&amp;$AI168):INDIRECT($AA$46&amp;$AJ168),"&gt;0")</f>
        <v>5000000.0000000009</v>
      </c>
      <c r="AI168" s="77">
        <f t="array" aca="1" ref="AI168" ca="1">MATCH(A168&amp;B168,INDIRECT($AI$47) &amp; INDIRECT($AI$49),0)</f>
        <v>2989</v>
      </c>
      <c r="AJ168" s="54">
        <f t="shared" ca="1" si="101"/>
        <v>2995</v>
      </c>
      <c r="AK168" s="78">
        <f ca="1">COUNTIFS(INDIRECT($AK$46),Summary!A168,INDIRECT($AK$47),Summary!B168)</f>
        <v>7</v>
      </c>
      <c r="AM168" s="79">
        <f ca="1">MATCH(AM$6,INDIRECT($AM$46&amp;$AI168):INDIRECT($AM$46&amp;$AJ168),1)+$AI168-1</f>
        <v>2994</v>
      </c>
      <c r="AN168" s="73">
        <f ca="1">MATCH(AN$6,INDIRECT($AM$46&amp;$AI168):INDIRECT($AM$46&amp;$AJ168),1)+$AI168-1</f>
        <v>2993</v>
      </c>
      <c r="AO168" s="73">
        <f ca="1">MATCH(AO$6,INDIRECT($AM$46&amp;$AI168):INDIRECT($AM$46&amp;$AJ168),1)+$AI168-1</f>
        <v>2993</v>
      </c>
      <c r="AP168" s="58">
        <f t="shared" ca="1" si="109"/>
        <v>5129102.93</v>
      </c>
      <c r="AQ168" s="58">
        <f t="shared" ca="1" si="109"/>
        <v>5021958.8744999999</v>
      </c>
      <c r="AR168" s="58">
        <f t="shared" ca="1" si="105"/>
        <v>5021958.8744999999</v>
      </c>
      <c r="AS168" s="58">
        <f t="shared" ca="1" si="115"/>
        <v>0</v>
      </c>
      <c r="AT168" s="36">
        <f t="shared" ca="1" si="110"/>
        <v>0</v>
      </c>
      <c r="AU168" s="58">
        <f t="shared" ca="1" si="116"/>
        <v>0</v>
      </c>
      <c r="AV168" s="85">
        <f t="shared" ca="1" si="117"/>
        <v>0</v>
      </c>
    </row>
    <row r="169" spans="1:48" ht="13.5">
      <c r="A169" s="358" t="s">
        <v>273</v>
      </c>
      <c r="B169" s="358" t="s">
        <v>402</v>
      </c>
      <c r="C169" s="46">
        <f t="shared" ca="1" si="113"/>
        <v>43404</v>
      </c>
      <c r="E169" s="40">
        <f t="shared" ca="1" si="100"/>
        <v>10.258210926</v>
      </c>
      <c r="F169" s="40">
        <f t="shared" ca="1" si="114"/>
        <v>0</v>
      </c>
      <c r="G169" s="116" t="s">
        <v>273</v>
      </c>
      <c r="H169" s="116"/>
      <c r="J169" s="116" t="s">
        <v>180</v>
      </c>
      <c r="K169" s="116"/>
      <c r="L169" s="40"/>
      <c r="O169" s="59">
        <f t="shared" ca="1" si="111"/>
        <v>9.7261235240840276E-3</v>
      </c>
      <c r="P169" s="59">
        <f t="shared" ca="1" si="111"/>
        <v>0</v>
      </c>
      <c r="Q169" s="59"/>
      <c r="R169" s="59">
        <f t="shared" ca="1" si="112"/>
        <v>0</v>
      </c>
      <c r="S169" s="59">
        <f t="shared" ca="1" si="112"/>
        <v>0</v>
      </c>
      <c r="X169" s="63">
        <f ca="1">XIRR(INDIRECT($X$46&amp;$AI169):INDIRECT($X$46&amp;$AJ169),INDIRECT($X$47&amp;$AI169):INDIRECT($X$47&amp;$AJ169),0.1)</f>
        <v>2.9802322387695314E-9</v>
      </c>
      <c r="Y169" s="63">
        <f t="shared" ca="1" si="118"/>
        <v>2.1335617339428126E-2</v>
      </c>
      <c r="Z169" s="63">
        <f t="shared" ca="1" si="118"/>
        <v>2.1335617339428126E-2</v>
      </c>
      <c r="AA169" s="63">
        <f ca="1">ABS(SUMIF(INDIRECT($AA$46&amp;$AI169):INDIRECT($AA$46&amp;$AJ169),"&lt;0"))/SUMIF(INDIRECT($AA$46&amp;$AI169):INDIRECT($AA$46&amp;$AJ169),"&gt;0")</f>
        <v>1.0258210926000002</v>
      </c>
      <c r="AB169" s="63">
        <f t="shared" ca="1" si="119"/>
        <v>2.5821092600000206E-2</v>
      </c>
      <c r="AC169" s="316">
        <f ca="1">ABS(SUMIF(INDIRECT($AA$46&amp;$AI169):INDIRECT($AA$46&amp;$AJ169),"&lt;0"))</f>
        <v>10258210.926000001</v>
      </c>
      <c r="AD169" s="316">
        <f ca="1">SUMIF(INDIRECT($AA$46&amp;$AI169):INDIRECT($AA$46&amp;$AJ169),"&gt;0")</f>
        <v>9999999.9999999981</v>
      </c>
      <c r="AI169" s="77">
        <f t="array" aca="1" ref="AI169" ca="1">MATCH(A169&amp;B169,INDIRECT($AI$47) &amp; INDIRECT($AI$49),0)</f>
        <v>2995</v>
      </c>
      <c r="AJ169" s="54">
        <f t="shared" ca="1" si="101"/>
        <v>3001</v>
      </c>
      <c r="AK169" s="78">
        <f ca="1">COUNTIFS(INDIRECT($AK$46),Summary!A169,INDIRECT($AK$47),Summary!B169)</f>
        <v>7</v>
      </c>
      <c r="AM169" s="79">
        <f ca="1">MATCH(AM$6,INDIRECT($AM$46&amp;$AI169):INDIRECT($AM$46&amp;$AJ169),1)+$AI169-1</f>
        <v>3000</v>
      </c>
      <c r="AN169" s="73">
        <f ca="1">MATCH(AN$6,INDIRECT($AM$46&amp;$AI169):INDIRECT($AM$46&amp;$AJ169),1)+$AI169-1</f>
        <v>2999</v>
      </c>
      <c r="AO169" s="73">
        <f ca="1">MATCH(AO$6,INDIRECT($AM$46&amp;$AI169):INDIRECT($AM$46&amp;$AJ169),1)+$AI169-1</f>
        <v>2999</v>
      </c>
      <c r="AP169" s="58">
        <f t="shared" ca="1" si="109"/>
        <v>10258210.926000001</v>
      </c>
      <c r="AQ169" s="58">
        <f t="shared" ca="1" si="109"/>
        <v>10043917.740499999</v>
      </c>
      <c r="AR169" s="58">
        <f t="shared" ca="1" si="105"/>
        <v>10043917.740499999</v>
      </c>
      <c r="AS169" s="58">
        <f t="shared" ca="1" si="115"/>
        <v>0</v>
      </c>
      <c r="AT169" s="36">
        <f t="shared" ca="1" si="110"/>
        <v>0</v>
      </c>
      <c r="AU169" s="58">
        <f t="shared" ca="1" si="116"/>
        <v>0</v>
      </c>
      <c r="AV169" s="85">
        <f t="shared" ca="1" si="117"/>
        <v>0</v>
      </c>
    </row>
    <row r="170" spans="1:48" ht="13.5">
      <c r="A170" s="358" t="s">
        <v>273</v>
      </c>
      <c r="B170" s="358" t="s">
        <v>403</v>
      </c>
      <c r="C170" s="46">
        <f t="shared" ca="1" si="113"/>
        <v>43404</v>
      </c>
      <c r="E170" s="40">
        <f t="shared" ca="1" si="100"/>
        <v>5.1291029299999993</v>
      </c>
      <c r="F170" s="40">
        <f t="shared" ca="1" si="114"/>
        <v>0</v>
      </c>
      <c r="G170" s="116" t="s">
        <v>273</v>
      </c>
      <c r="H170" s="116"/>
      <c r="J170" s="116" t="s">
        <v>180</v>
      </c>
      <c r="K170" s="116"/>
      <c r="L170" s="40"/>
      <c r="O170" s="59">
        <f t="shared" ca="1" si="111"/>
        <v>1.9452247228989965E-3</v>
      </c>
      <c r="P170" s="59">
        <f t="shared" ca="1" si="111"/>
        <v>0</v>
      </c>
      <c r="Q170" s="59"/>
      <c r="R170" s="59">
        <f t="shared" ca="1" si="112"/>
        <v>0</v>
      </c>
      <c r="S170" s="59">
        <f t="shared" ca="1" si="112"/>
        <v>0</v>
      </c>
      <c r="X170" s="63">
        <f ca="1">XIRR(INDIRECT($X$46&amp;$AI170):INDIRECT($X$46&amp;$AJ170),INDIRECT($X$47&amp;$AI170):INDIRECT($X$47&amp;$AJ170),0.1)</f>
        <v>2.9802322387695314E-9</v>
      </c>
      <c r="Y170" s="63">
        <f t="shared" ca="1" si="118"/>
        <v>2.1335112090233421E-2</v>
      </c>
      <c r="Z170" s="63">
        <f t="shared" ca="1" si="118"/>
        <v>2.1335112090233421E-2</v>
      </c>
      <c r="AA170" s="63">
        <f ca="1">ABS(SUMIF(INDIRECT($AA$46&amp;$AI170):INDIRECT($AA$46&amp;$AJ170),"&lt;0"))/SUMIF(INDIRECT($AA$46&amp;$AI170):INDIRECT($AA$46&amp;$AJ170),"&gt;0")</f>
        <v>1.0258205859999998</v>
      </c>
      <c r="AB170" s="63">
        <f t="shared" ca="1" si="119"/>
        <v>2.5820585999999812E-2</v>
      </c>
      <c r="AC170" s="316">
        <f ca="1">ABS(SUMIF(INDIRECT($AA$46&amp;$AI170):INDIRECT($AA$46&amp;$AJ170),"&lt;0"))</f>
        <v>5129102.93</v>
      </c>
      <c r="AD170" s="316">
        <f ca="1">SUMIF(INDIRECT($AA$46&amp;$AI170):INDIRECT($AA$46&amp;$AJ170),"&gt;0")</f>
        <v>5000000.0000000009</v>
      </c>
      <c r="AI170" s="77">
        <f t="array" aca="1" ref="AI170" ca="1">MATCH(A170&amp;B170,INDIRECT($AI$47) &amp; INDIRECT($AI$49),0)</f>
        <v>3001</v>
      </c>
      <c r="AJ170" s="54">
        <f t="shared" ca="1" si="101"/>
        <v>3007</v>
      </c>
      <c r="AK170" s="78">
        <f ca="1">COUNTIFS(INDIRECT($AK$46),Summary!A170,INDIRECT($AK$47),Summary!B170)</f>
        <v>7</v>
      </c>
      <c r="AM170" s="79">
        <f ca="1">MATCH(AM$6,INDIRECT($AM$46&amp;$AI170):INDIRECT($AM$46&amp;$AJ170),1)+$AI170-1</f>
        <v>3006</v>
      </c>
      <c r="AN170" s="73">
        <f ca="1">MATCH(AN$6,INDIRECT($AM$46&amp;$AI170):INDIRECT($AM$46&amp;$AJ170),1)+$AI170-1</f>
        <v>3005</v>
      </c>
      <c r="AO170" s="73">
        <f ca="1">MATCH(AO$6,INDIRECT($AM$46&amp;$AI170):INDIRECT($AM$46&amp;$AJ170),1)+$AI170-1</f>
        <v>3005</v>
      </c>
      <c r="AP170" s="58">
        <f t="shared" ca="1" si="109"/>
        <v>5129102.93</v>
      </c>
      <c r="AQ170" s="58">
        <f t="shared" ca="1" si="109"/>
        <v>5021958.8744999999</v>
      </c>
      <c r="AR170" s="58">
        <f t="shared" ca="1" si="105"/>
        <v>5021958.8744999999</v>
      </c>
      <c r="AS170" s="58">
        <f t="shared" ca="1" si="115"/>
        <v>0</v>
      </c>
      <c r="AT170" s="36">
        <f t="shared" ca="1" si="110"/>
        <v>0</v>
      </c>
      <c r="AU170" s="58">
        <f t="shared" ca="1" si="116"/>
        <v>0</v>
      </c>
      <c r="AV170" s="85">
        <f t="shared" ca="1" si="117"/>
        <v>0</v>
      </c>
    </row>
    <row r="171" spans="1:48" ht="13.5">
      <c r="A171" s="358" t="s">
        <v>273</v>
      </c>
      <c r="B171" s="358" t="s">
        <v>404</v>
      </c>
      <c r="C171" s="46">
        <f t="shared" ca="1" si="113"/>
        <v>43404</v>
      </c>
      <c r="E171" s="40">
        <f t="shared" ca="1" si="100"/>
        <v>1.0258206030000001</v>
      </c>
      <c r="F171" s="40">
        <f t="shared" ca="1" si="114"/>
        <v>0</v>
      </c>
      <c r="G171" s="116" t="s">
        <v>273</v>
      </c>
      <c r="H171" s="116"/>
      <c r="J171" s="116" t="s">
        <v>180</v>
      </c>
      <c r="K171" s="116"/>
      <c r="L171" s="40"/>
      <c r="O171" s="59">
        <f t="shared" ca="1" si="111"/>
        <v>0</v>
      </c>
      <c r="P171" s="59">
        <f t="shared" ca="1" si="111"/>
        <v>0</v>
      </c>
      <c r="Q171" s="59"/>
      <c r="R171" s="59">
        <f t="shared" ca="1" si="112"/>
        <v>0</v>
      </c>
      <c r="S171" s="59">
        <f t="shared" ca="1" si="112"/>
        <v>0</v>
      </c>
      <c r="X171" s="63">
        <f ca="1">XIRR(INDIRECT($X$46&amp;$AI171):INDIRECT($X$46&amp;$AJ171),INDIRECT($X$47&amp;$AI171):INDIRECT($X$47&amp;$AJ171),0.1)</f>
        <v>2.9802322387695314E-9</v>
      </c>
      <c r="Y171" s="63">
        <f t="shared" ca="1" si="118"/>
        <v>-6.1376721859574435E-2</v>
      </c>
      <c r="Z171" s="63">
        <f t="shared" ca="1" si="118"/>
        <v>2.1335132473255136E-2</v>
      </c>
      <c r="AA171" s="63">
        <f ca="1">ABS(SUMIF(INDIRECT($AA$46&amp;$AI171):INDIRECT($AA$46&amp;$AJ171),"&lt;0"))/SUMIF(INDIRECT($AA$46&amp;$AI171):INDIRECT($AA$46&amp;$AJ171),"&gt;0")</f>
        <v>0.94241031620952453</v>
      </c>
      <c r="AB171" s="63">
        <f t="shared" ca="1" si="119"/>
        <v>-5.7589683790475465E-2</v>
      </c>
      <c r="AC171" s="316">
        <f ca="1">ABS(SUMIF(INDIRECT($AA$46&amp;$AI171):INDIRECT($AA$46&amp;$AJ171),"&lt;0"))</f>
        <v>1025820.603</v>
      </c>
      <c r="AD171" s="316">
        <f ca="1">SUMIF(INDIRECT($AA$46&amp;$AI171):INDIRECT($AA$46&amp;$AJ171),"&gt;0")</f>
        <v>1088507.3999677345</v>
      </c>
      <c r="AI171" s="77">
        <f t="array" aca="1" ref="AI171" ca="1">MATCH(A171&amp;B171,INDIRECT($AI$47) &amp; INDIRECT($AI$49),0)</f>
        <v>3007</v>
      </c>
      <c r="AJ171" s="54">
        <f t="shared" ca="1" si="101"/>
        <v>3013</v>
      </c>
      <c r="AK171" s="78">
        <f ca="1">COUNTIFS(INDIRECT($AK$46),Summary!A171,INDIRECT($AK$47),Summary!B171)</f>
        <v>7</v>
      </c>
      <c r="AM171" s="79">
        <f ca="1">MATCH(AM$6,INDIRECT($AM$46&amp;$AI171):INDIRECT($AM$46&amp;$AJ171),1)+$AI171-1</f>
        <v>3012</v>
      </c>
      <c r="AN171" s="73">
        <f ca="1">MATCH(AN$6,INDIRECT($AM$46&amp;$AI171):INDIRECT($AM$46&amp;$AJ171),1)+$AI171-1</f>
        <v>3011</v>
      </c>
      <c r="AO171" s="73">
        <f ca="1">MATCH(AO$6,INDIRECT($AM$46&amp;$AI171):INDIRECT($AM$46&amp;$AJ171),1)+$AI171-1</f>
        <v>3011</v>
      </c>
      <c r="AP171" s="58">
        <f t="shared" ca="1" si="109"/>
        <v>1025820.603</v>
      </c>
      <c r="AQ171" s="58">
        <f t="shared" ca="1" si="109"/>
        <v>1004391.7715</v>
      </c>
      <c r="AR171" s="58">
        <f t="shared" ca="1" si="105"/>
        <v>1004391.7715</v>
      </c>
      <c r="AS171" s="58">
        <f t="shared" ca="1" si="115"/>
        <v>88507.399967734367</v>
      </c>
      <c r="AT171" s="36">
        <f t="shared" ca="1" si="110"/>
        <v>0</v>
      </c>
      <c r="AU171" s="58">
        <f t="shared" ca="1" si="116"/>
        <v>0</v>
      </c>
      <c r="AV171" s="85">
        <f t="shared" ca="1" si="117"/>
        <v>0</v>
      </c>
    </row>
    <row r="172" spans="1:48" ht="13.5">
      <c r="A172" s="358" t="s">
        <v>273</v>
      </c>
      <c r="B172" s="358" t="s">
        <v>389</v>
      </c>
      <c r="C172" s="46">
        <f t="shared" ca="1" si="113"/>
        <v>43329</v>
      </c>
      <c r="E172" s="40">
        <f t="shared" ca="1" si="100"/>
        <v>1.02841E-3</v>
      </c>
      <c r="F172" s="40">
        <f t="shared" ca="1" si="114"/>
        <v>0</v>
      </c>
      <c r="G172" s="116" t="s">
        <v>273</v>
      </c>
      <c r="H172" s="116"/>
      <c r="J172" s="116" t="s">
        <v>179</v>
      </c>
      <c r="K172" s="116"/>
      <c r="L172" s="40"/>
      <c r="O172" s="59">
        <f t="shared" ca="1" si="111"/>
        <v>0</v>
      </c>
      <c r="P172" s="59">
        <f t="shared" ca="1" si="111"/>
        <v>0</v>
      </c>
      <c r="Q172" s="59"/>
      <c r="R172" s="59">
        <f t="shared" ca="1" si="112"/>
        <v>0</v>
      </c>
      <c r="S172" s="59">
        <f t="shared" ca="1" si="112"/>
        <v>0</v>
      </c>
      <c r="X172" s="63">
        <f ca="1">XIRR(INDIRECT($X$46&amp;$AI172):INDIRECT($X$46&amp;$AJ172),INDIRECT($X$47&amp;$AI172):INDIRECT($X$47&amp;$AJ172),0.1)</f>
        <v>9.8027211427688582E-2</v>
      </c>
      <c r="Y172" s="63">
        <f t="shared" ca="1" si="118"/>
        <v>1.6868542047757895E-2</v>
      </c>
      <c r="Z172" s="63">
        <f t="shared" ca="1" si="118"/>
        <v>1.6868542047757895E-2</v>
      </c>
      <c r="AA172" s="63">
        <f ca="1">ABS(SUMIF(INDIRECT($AA$46&amp;$AI172):INDIRECT($AA$46&amp;$AJ172),"&lt;0"))/SUMIF(INDIRECT($AA$46&amp;$AI172):INDIRECT($AA$46&amp;$AJ172),"&gt;0")</f>
        <v>1.0382257100203482</v>
      </c>
      <c r="AB172" s="63">
        <f t="shared" ca="1" si="119"/>
        <v>3.8225710020348247E-2</v>
      </c>
      <c r="AC172" s="316">
        <f ca="1">ABS(SUMIF(INDIRECT($AA$46&amp;$AI172):INDIRECT($AA$46&amp;$AJ172),"&lt;0"))</f>
        <v>1028.4100000000001</v>
      </c>
      <c r="AD172" s="316">
        <f ca="1">SUMIF(INDIRECT($AA$46&amp;$AI172):INDIRECT($AA$46&amp;$AJ172),"&gt;0")</f>
        <v>990.54568777712529</v>
      </c>
      <c r="AI172" s="77">
        <f t="array" aca="1" ref="AI172" ca="1">MATCH(A172&amp;B172,INDIRECT($AI$47) &amp; INDIRECT($AI$49),0)</f>
        <v>3031</v>
      </c>
      <c r="AJ172" s="54">
        <f t="shared" ca="1" si="101"/>
        <v>3039</v>
      </c>
      <c r="AK172" s="78">
        <f ca="1">COUNTIFS(INDIRECT($AK$46),Summary!A172,INDIRECT($AK$47),Summary!B172)</f>
        <v>9</v>
      </c>
      <c r="AM172" s="79">
        <f ca="1">MATCH(AM$6,INDIRECT($AM$46&amp;$AI172):INDIRECT($AM$46&amp;$AJ172),1)+$AI172-1</f>
        <v>3039</v>
      </c>
      <c r="AN172" s="73">
        <f ca="1">MATCH(AN$6,INDIRECT($AM$46&amp;$AI172):INDIRECT($AM$46&amp;$AJ172),1)+$AI172-1</f>
        <v>3038</v>
      </c>
      <c r="AO172" s="73">
        <f ca="1">MATCH(AO$6,INDIRECT($AM$46&amp;$AI172):INDIRECT($AM$46&amp;$AJ172),1)+$AI172-1</f>
        <v>3038</v>
      </c>
      <c r="AP172" s="58">
        <f t="shared" ca="1" si="109"/>
        <v>1028.4100000000001</v>
      </c>
      <c r="AQ172" s="58">
        <f t="shared" ca="1" si="109"/>
        <v>1011.35</v>
      </c>
      <c r="AR172" s="58">
        <f t="shared" ca="1" si="105"/>
        <v>1011.35</v>
      </c>
      <c r="AS172" s="58">
        <f t="shared" ca="1" si="115"/>
        <v>0</v>
      </c>
      <c r="AT172" s="36">
        <f t="shared" ca="1" si="110"/>
        <v>0</v>
      </c>
      <c r="AU172" s="58">
        <f t="shared" ca="1" si="116"/>
        <v>0</v>
      </c>
      <c r="AV172" s="85">
        <f t="shared" ca="1" si="117"/>
        <v>0</v>
      </c>
    </row>
    <row r="173" spans="1:48" ht="13.5">
      <c r="A173" s="358" t="s">
        <v>273</v>
      </c>
      <c r="B173" s="358" t="s">
        <v>387</v>
      </c>
      <c r="C173" s="46">
        <f t="shared" ca="1" si="113"/>
        <v>43329</v>
      </c>
      <c r="E173" s="40">
        <f t="shared" ca="1" si="100"/>
        <v>0.13292438000000001</v>
      </c>
      <c r="F173" s="40">
        <f t="shared" ca="1" si="114"/>
        <v>0</v>
      </c>
      <c r="G173" s="116" t="s">
        <v>273</v>
      </c>
      <c r="H173" s="116"/>
      <c r="J173" s="116" t="s">
        <v>180</v>
      </c>
      <c r="K173" s="116"/>
      <c r="L173" s="40"/>
      <c r="O173" s="59">
        <f t="shared" ca="1" si="111"/>
        <v>0</v>
      </c>
      <c r="P173" s="59">
        <f t="shared" ca="1" si="111"/>
        <v>0</v>
      </c>
      <c r="Q173" s="59"/>
      <c r="R173" s="59">
        <f t="shared" ca="1" si="112"/>
        <v>0</v>
      </c>
      <c r="S173" s="59">
        <f t="shared" ca="1" si="112"/>
        <v>0</v>
      </c>
      <c r="X173" s="63">
        <f ca="1">XIRR(INDIRECT($X$46&amp;$AI173):INDIRECT($X$46&amp;$AJ173),INDIRECT($X$47&amp;$AI173):INDIRECT($X$47&amp;$AJ173),0.1)</f>
        <v>2.9802322387695314E-9</v>
      </c>
      <c r="Y173" s="63">
        <f t="shared" ca="1" si="118"/>
        <v>-0.96260470698058909</v>
      </c>
      <c r="Z173" s="63">
        <f t="shared" ca="1" si="118"/>
        <v>1.6881030599292135E-2</v>
      </c>
      <c r="AA173" s="63">
        <f ca="1">ABS(SUMIF(INDIRECT($AA$46&amp;$AI173):INDIRECT($AA$46&amp;$AJ173),"&lt;0"))/SUMIF(INDIRECT($AA$46&amp;$AI173):INDIRECT($AA$46&amp;$AJ173),"&gt;0")</f>
        <v>3.7423594429092939E-2</v>
      </c>
      <c r="AB173" s="63">
        <f t="shared" ca="1" si="119"/>
        <v>-0.96257640557090707</v>
      </c>
      <c r="AC173" s="316">
        <f ca="1">ABS(SUMIF(INDIRECT($AA$46&amp;$AI173):INDIRECT($AA$46&amp;$AJ173),"&lt;0"))</f>
        <v>132924.38</v>
      </c>
      <c r="AD173" s="316">
        <f ca="1">SUMIF(INDIRECT($AA$46&amp;$AI173):INDIRECT($AA$46&amp;$AJ173),"&gt;0")</f>
        <v>3551887.0388533599</v>
      </c>
      <c r="AI173" s="77">
        <f t="array" aca="1" ref="AI173" ca="1">MATCH(A173&amp;B173,INDIRECT($AI$47) &amp; INDIRECT($AI$49),0)</f>
        <v>3013</v>
      </c>
      <c r="AJ173" s="54">
        <f t="shared" ca="1" si="101"/>
        <v>3022</v>
      </c>
      <c r="AK173" s="78">
        <f ca="1">COUNTIFS(INDIRECT($AK$46),Summary!A173,INDIRECT($AK$47),Summary!B173)</f>
        <v>10</v>
      </c>
      <c r="AM173" s="79">
        <f ca="1">MATCH(AM$6,INDIRECT($AM$46&amp;$AI173):INDIRECT($AM$46&amp;$AJ173),1)+$AI173-1</f>
        <v>3021</v>
      </c>
      <c r="AN173" s="73">
        <f ca="1">MATCH(AN$6,INDIRECT($AM$46&amp;$AI173):INDIRECT($AM$46&amp;$AJ173),1)+$AI173-1</f>
        <v>3020</v>
      </c>
      <c r="AO173" s="73">
        <f ca="1">MATCH(AO$6,INDIRECT($AM$46&amp;$AI173):INDIRECT($AM$46&amp;$AJ173),1)+$AI173-1</f>
        <v>3020</v>
      </c>
      <c r="AP173" s="58">
        <f t="shared" ca="1" si="109"/>
        <v>132924.38</v>
      </c>
      <c r="AQ173" s="58">
        <f t="shared" ca="1" si="109"/>
        <v>130717.73</v>
      </c>
      <c r="AR173" s="58">
        <f t="shared" ca="1" si="105"/>
        <v>130717.73</v>
      </c>
      <c r="AS173" s="58">
        <f t="shared" ca="1" si="115"/>
        <v>3423857.4388856255</v>
      </c>
      <c r="AT173" s="36">
        <f t="shared" ca="1" si="110"/>
        <v>0</v>
      </c>
      <c r="AU173" s="58">
        <f t="shared" ca="1" si="116"/>
        <v>0</v>
      </c>
      <c r="AV173" s="85">
        <f t="shared" ca="1" si="117"/>
        <v>0</v>
      </c>
    </row>
    <row r="174" spans="1:48" ht="13.5">
      <c r="A174" s="358" t="s">
        <v>273</v>
      </c>
      <c r="B174" s="358" t="s">
        <v>388</v>
      </c>
      <c r="C174" s="46">
        <f t="shared" ca="1" si="113"/>
        <v>43329</v>
      </c>
      <c r="E174" s="40">
        <f t="shared" ca="1" si="100"/>
        <v>5.0818504528000004</v>
      </c>
      <c r="F174" s="40">
        <f t="shared" ca="1" si="114"/>
        <v>0</v>
      </c>
      <c r="G174" s="116" t="s">
        <v>273</v>
      </c>
      <c r="H174" s="116"/>
      <c r="J174" s="116" t="s">
        <v>180</v>
      </c>
      <c r="K174" s="116"/>
      <c r="L174" s="40"/>
      <c r="O174" s="59">
        <f t="shared" ca="1" si="111"/>
        <v>0</v>
      </c>
      <c r="P174" s="59">
        <f t="shared" ca="1" si="111"/>
        <v>0</v>
      </c>
      <c r="Q174" s="59"/>
      <c r="R174" s="59">
        <f t="shared" ca="1" si="112"/>
        <v>0</v>
      </c>
      <c r="S174" s="59">
        <f t="shared" ca="1" si="112"/>
        <v>0</v>
      </c>
      <c r="X174" s="63">
        <f ca="1">XIRR(INDIRECT($X$46&amp;$AI174):INDIRECT($X$46&amp;$AJ174),INDIRECT($X$47&amp;$AI174):INDIRECT($X$47&amp;$AJ174),0.1)</f>
        <v>6.5909215807914714E-2</v>
      </c>
      <c r="Y174" s="63">
        <f t="shared" ca="1" si="118"/>
        <v>1.3405081527761542E-2</v>
      </c>
      <c r="Z174" s="63">
        <f t="shared" ca="1" si="118"/>
        <v>1.354350072163113E-2</v>
      </c>
      <c r="AA174" s="63">
        <f ca="1">ABS(SUMIF(INDIRECT($AA$46&amp;$AI174):INDIRECT($AA$46&amp;$AJ174),"&lt;0"))/SUMIF(INDIRECT($AA$46&amp;$AI174):INDIRECT($AA$46&amp;$AJ174),"&gt;0")</f>
        <v>1.025925595499559</v>
      </c>
      <c r="AB174" s="63">
        <f t="shared" ca="1" si="119"/>
        <v>2.5925595499558973E-2</v>
      </c>
      <c r="AC174" s="316">
        <f ca="1">ABS(SUMIF(INDIRECT($AA$46&amp;$AI174):INDIRECT($AA$46&amp;$AJ174),"&lt;0"))</f>
        <v>5081850.4528000001</v>
      </c>
      <c r="AD174" s="316">
        <f ca="1">SUMIF(INDIRECT($AA$46&amp;$AI174):INDIRECT($AA$46&amp;$AJ174),"&gt;0")</f>
        <v>4953429.834573403</v>
      </c>
      <c r="AI174" s="77">
        <f t="array" aca="1" ref="AI174" ca="1">MATCH(A174&amp;B174,INDIRECT($AI$47) &amp; INDIRECT($AI$49),0)</f>
        <v>3022</v>
      </c>
      <c r="AJ174" s="54">
        <f t="array" aca="1" ref="AJ174" ca="1">AI174+AK174-1</f>
        <v>3031</v>
      </c>
      <c r="AK174" s="78">
        <f ca="1">COUNTIFS(INDIRECT($AK$46),Summary!A174,INDIRECT($AK$47),Summary!B174)</f>
        <v>10</v>
      </c>
      <c r="AM174" s="79">
        <f ca="1">MATCH(AM$6,INDIRECT($AM$46&amp;$AI174):INDIRECT($AM$46&amp;$AJ174),1)+$AI174-1</f>
        <v>3030</v>
      </c>
      <c r="AN174" s="73">
        <f ca="1">MATCH(AN$6,INDIRECT($AM$46&amp;$AI174):INDIRECT($AM$46&amp;$AJ174),1)+$AI174-1</f>
        <v>3029</v>
      </c>
      <c r="AO174" s="73">
        <f ca="1">MATCH(AO$6,INDIRECT($AM$46&amp;$AI174):INDIRECT($AM$46&amp;$AJ174),1)+$AI174-1</f>
        <v>3029</v>
      </c>
      <c r="AP174" s="58">
        <f t="shared" ca="1" si="109"/>
        <v>5081850.4528000001</v>
      </c>
      <c r="AQ174" s="58">
        <f t="shared" ca="1" si="109"/>
        <v>5013944.0972999996</v>
      </c>
      <c r="AR174" s="58">
        <f t="shared" ca="1" si="105"/>
        <v>5013944.0972999996</v>
      </c>
      <c r="AS174" s="58">
        <f t="shared" ca="1" si="115"/>
        <v>684.84568777712514</v>
      </c>
      <c r="AT174" s="36">
        <f t="shared" ca="1" si="110"/>
        <v>0</v>
      </c>
      <c r="AU174" s="58">
        <f t="shared" ca="1" si="116"/>
        <v>0</v>
      </c>
      <c r="AV174" s="85">
        <f t="shared" ca="1" si="117"/>
        <v>0</v>
      </c>
    </row>
    <row r="175" spans="1:48" ht="13.5">
      <c r="A175" s="358" t="s">
        <v>273</v>
      </c>
      <c r="B175" s="358" t="s">
        <v>419</v>
      </c>
      <c r="C175" s="46">
        <f t="shared" ca="1" si="113"/>
        <v>43404</v>
      </c>
      <c r="E175" s="40">
        <f t="shared" ca="1" si="100"/>
        <v>0.25645528249999999</v>
      </c>
      <c r="F175" s="40">
        <f t="shared" ca="1" si="114"/>
        <v>0</v>
      </c>
      <c r="G175" s="116" t="s">
        <v>273</v>
      </c>
      <c r="H175" s="116"/>
      <c r="J175" s="116" t="s">
        <v>180</v>
      </c>
      <c r="K175" s="116"/>
      <c r="L175" s="40"/>
      <c r="O175" s="59">
        <f t="shared" ca="1" si="111"/>
        <v>9.7261236144949824E-4</v>
      </c>
      <c r="P175" s="59">
        <f t="shared" ca="1" si="111"/>
        <v>0</v>
      </c>
      <c r="Q175" s="59"/>
      <c r="R175" s="59">
        <f t="shared" ca="1" si="112"/>
        <v>0</v>
      </c>
      <c r="S175" s="59">
        <f t="shared" ca="1" si="112"/>
        <v>0</v>
      </c>
      <c r="X175" s="63">
        <f ca="1">XIRR(INDIRECT($X$46&amp;$AI175):INDIRECT($X$46&amp;$AJ175),INDIRECT($X$47&amp;$AI175):INDIRECT($X$47&amp;$AJ175),0.1)</f>
        <v>2.9802322387695314E-9</v>
      </c>
      <c r="Y175" s="63">
        <f t="shared" ca="1" si="118"/>
        <v>2.1332986367373241E-2</v>
      </c>
      <c r="Z175" s="63">
        <f t="shared" ca="1" si="118"/>
        <v>2.1332986367373241E-2</v>
      </c>
      <c r="AA175" s="63">
        <f ca="1">ABS(SUMIF(INDIRECT($AA$46&amp;$AI175):INDIRECT($AA$46&amp;$AJ175),"&lt;0"))/SUMIF(INDIRECT($AA$46&amp;$AI175):INDIRECT($AA$46&amp;$AJ175),"&gt;0")</f>
        <v>1.02582113</v>
      </c>
      <c r="AB175" s="63">
        <f t="shared" ca="1" si="119"/>
        <v>2.582112999999997E-2</v>
      </c>
      <c r="AC175" s="316">
        <f ca="1">ABS(SUMIF(INDIRECT($AA$46&amp;$AI175):INDIRECT($AA$46&amp;$AJ175),"&lt;0"))</f>
        <v>256455.2825</v>
      </c>
      <c r="AD175" s="316">
        <f ca="1">SUMIF(INDIRECT($AA$46&amp;$AI175):INDIRECT($AA$46&amp;$AJ175),"&gt;0")</f>
        <v>250000</v>
      </c>
      <c r="AI175" s="77">
        <f t="array" aca="1" ref="AI175" ca="1">MATCH(A175&amp;B175,INDIRECT($AI$47) &amp; INDIRECT($AI$49),0)</f>
        <v>3040</v>
      </c>
      <c r="AJ175" s="54">
        <f t="shared" ref="AJ175:AJ177" ca="1" si="120">AI175+AK175-1</f>
        <v>3046</v>
      </c>
      <c r="AK175" s="78">
        <f ca="1">COUNTIFS(INDIRECT($AK$46),Summary!A175,INDIRECT($AK$47),Summary!B175)</f>
        <v>7</v>
      </c>
      <c r="AM175" s="79">
        <f ca="1">MATCH(AM$6,INDIRECT($AM$46&amp;$AI175):INDIRECT($AM$46&amp;$AJ175),1)+$AI175-1</f>
        <v>3045</v>
      </c>
      <c r="AN175" s="73">
        <f ca="1">MATCH(AN$6,INDIRECT($AM$46&amp;$AI175):INDIRECT($AM$46&amp;$AJ175),1)+$AI175-1</f>
        <v>3044</v>
      </c>
      <c r="AO175" s="73">
        <f ca="1">MATCH(AO$6,INDIRECT($AM$46&amp;$AI175):INDIRECT($AM$46&amp;$AJ175),1)+$AI175-1</f>
        <v>3044</v>
      </c>
      <c r="AP175" s="58">
        <f t="shared" ca="1" si="109"/>
        <v>256455.2825</v>
      </c>
      <c r="AQ175" s="58">
        <f t="shared" ca="1" si="109"/>
        <v>251098.59950000001</v>
      </c>
      <c r="AR175" s="58">
        <f ca="1">INDIRECT($AP$46&amp;AO175)</f>
        <v>251098.59950000001</v>
      </c>
      <c r="AS175" s="58">
        <f t="shared" ca="1" si="115"/>
        <v>0</v>
      </c>
      <c r="AT175" s="36">
        <f t="shared" ca="1" si="110"/>
        <v>0</v>
      </c>
      <c r="AU175" s="58">
        <f t="shared" ca="1" si="116"/>
        <v>0</v>
      </c>
      <c r="AV175" s="85">
        <f t="shared" ca="1" si="117"/>
        <v>0</v>
      </c>
    </row>
    <row r="176" spans="1:48" ht="13.5">
      <c r="A176" s="358" t="s">
        <v>273</v>
      </c>
      <c r="B176" s="358" t="s">
        <v>418</v>
      </c>
      <c r="C176" s="46">
        <f t="shared" ca="1" si="113"/>
        <v>43404</v>
      </c>
      <c r="E176" s="40">
        <f t="shared" ca="1" si="100"/>
        <v>0.25645528249999999</v>
      </c>
      <c r="F176" s="40">
        <f t="shared" ca="1" si="114"/>
        <v>0</v>
      </c>
      <c r="G176" s="116" t="s">
        <v>273</v>
      </c>
      <c r="H176" s="116"/>
      <c r="J176" s="116" t="s">
        <v>180</v>
      </c>
      <c r="K176" s="116"/>
      <c r="O176" s="59">
        <f t="shared" ca="1" si="111"/>
        <v>9.7261236144949824E-4</v>
      </c>
      <c r="P176" s="59">
        <f t="shared" ca="1" si="111"/>
        <v>0</v>
      </c>
      <c r="Q176" s="59"/>
      <c r="R176" s="59">
        <f t="shared" ca="1" si="112"/>
        <v>0</v>
      </c>
      <c r="S176" s="59">
        <f t="shared" ca="1" si="112"/>
        <v>0</v>
      </c>
      <c r="X176" s="63">
        <f ca="1">XIRR(INDIRECT($X$46&amp;$AI176):INDIRECT($X$46&amp;$AJ176),INDIRECT($X$47&amp;$AI176):INDIRECT($X$47&amp;$AJ176),0.1)</f>
        <v>2.9802322387695314E-9</v>
      </c>
      <c r="Y176" s="63">
        <f t="shared" ca="1" si="118"/>
        <v>2.1332986367373241E-2</v>
      </c>
      <c r="Z176" s="63">
        <f t="shared" ca="1" si="118"/>
        <v>2.1332986367373241E-2</v>
      </c>
      <c r="AA176" s="63">
        <f ca="1">ABS(SUMIF(INDIRECT($AA$46&amp;$AI176):INDIRECT($AA$46&amp;$AJ176),"&lt;0"))/SUMIF(INDIRECT($AA$46&amp;$AI176):INDIRECT($AA$46&amp;$AJ176),"&gt;0")</f>
        <v>1.02582113</v>
      </c>
      <c r="AB176" s="63">
        <f t="shared" ca="1" si="119"/>
        <v>2.582112999999997E-2</v>
      </c>
      <c r="AC176" s="316">
        <f ca="1">ABS(SUMIF(INDIRECT($AA$46&amp;$AI176):INDIRECT($AA$46&amp;$AJ176),"&lt;0"))</f>
        <v>256455.2825</v>
      </c>
      <c r="AD176" s="316">
        <f ca="1">SUMIF(INDIRECT($AA$46&amp;$AI176):INDIRECT($AA$46&amp;$AJ176),"&gt;0")</f>
        <v>250000</v>
      </c>
      <c r="AI176" s="77">
        <f t="array" aca="1" ref="AI176" ca="1">MATCH(A176&amp;B176,INDIRECT($AI$47) &amp; INDIRECT($AI$49),0)</f>
        <v>3046</v>
      </c>
      <c r="AJ176" s="54">
        <f t="shared" ca="1" si="120"/>
        <v>3052</v>
      </c>
      <c r="AK176" s="78">
        <f ca="1">COUNTIFS(INDIRECT($AK$46),Summary!A176,INDIRECT($AK$47),Summary!B176)</f>
        <v>7</v>
      </c>
      <c r="AM176" s="79">
        <f ca="1">MATCH(AM$6,INDIRECT($AM$46&amp;$AI176):INDIRECT($AM$46&amp;$AJ176),1)+$AI176-1</f>
        <v>3051</v>
      </c>
      <c r="AN176" s="73">
        <f ca="1">MATCH(AN$6,INDIRECT($AM$46&amp;$AI176):INDIRECT($AM$46&amp;$AJ176),1)+$AI176-1</f>
        <v>3050</v>
      </c>
      <c r="AO176" s="73">
        <f ca="1">MATCH(AO$6,INDIRECT($AM$46&amp;$AI176):INDIRECT($AM$46&amp;$AJ176),1)+$AI176-1</f>
        <v>3050</v>
      </c>
      <c r="AP176" s="58">
        <f t="shared" ca="1" si="109"/>
        <v>256455.2825</v>
      </c>
      <c r="AQ176" s="58">
        <f t="shared" ca="1" si="109"/>
        <v>251098.59950000001</v>
      </c>
      <c r="AR176" s="58">
        <f t="shared" ca="1" si="105"/>
        <v>251098.59950000001</v>
      </c>
      <c r="AS176" s="58">
        <f t="shared" ca="1" si="115"/>
        <v>0</v>
      </c>
      <c r="AT176" s="36">
        <f t="shared" ca="1" si="110"/>
        <v>0</v>
      </c>
      <c r="AU176" s="58">
        <f t="shared" ca="1" si="116"/>
        <v>0</v>
      </c>
      <c r="AV176" s="85">
        <f t="shared" ca="1" si="117"/>
        <v>0</v>
      </c>
    </row>
    <row r="177" spans="1:48" ht="13.5">
      <c r="A177" s="358" t="s">
        <v>273</v>
      </c>
      <c r="B177" s="358" t="s">
        <v>420</v>
      </c>
      <c r="C177" s="46">
        <f t="shared" ca="1" si="113"/>
        <v>43404</v>
      </c>
      <c r="G177" s="116" t="s">
        <v>273</v>
      </c>
      <c r="H177" s="116"/>
      <c r="J177" s="116" t="s">
        <v>180</v>
      </c>
      <c r="K177" s="116"/>
      <c r="X177" s="63">
        <f ca="1">XIRR(INDIRECT($X$46&amp;$AI177):INDIRECT($X$46&amp;$AJ177),INDIRECT($X$47&amp;$AI177):INDIRECT($X$47&amp;$AJ177),0.1)</f>
        <v>2.9802322387695314E-9</v>
      </c>
      <c r="Y177" s="63">
        <f t="shared" ca="1" si="118"/>
        <v>-0.95116159620067775</v>
      </c>
      <c r="Z177" s="63">
        <f t="shared" ca="1" si="118"/>
        <v>2.1332935229433803E-2</v>
      </c>
      <c r="AA177" s="63">
        <f ca="1">ABS(SUMIF(INDIRECT($AA$46&amp;$AI177):INDIRECT($AA$46&amp;$AJ177),"&lt;0"))/SUMIF(INDIRECT($AA$46&amp;$AI177):INDIRECT($AA$46&amp;$AJ177),"&gt;0")</f>
        <v>4.8848623619047619E-2</v>
      </c>
      <c r="AC177" s="316">
        <f ca="1">ABS(SUMIF(INDIRECT($AA$46&amp;$AI177):INDIRECT($AA$46&amp;$AJ177),"&lt;0"))</f>
        <v>512910.54800000001</v>
      </c>
      <c r="AD177" s="316">
        <f ca="1">SUMIF(INDIRECT($AA$46&amp;$AI177):INDIRECT($AA$46&amp;$AJ177),"&gt;0")</f>
        <v>10500000</v>
      </c>
      <c r="AI177" s="77">
        <f t="array" aca="1" ref="AI177" ca="1">MATCH(A177&amp;B177,INDIRECT($AI$47) &amp; INDIRECT($AI$49),0)</f>
        <v>3052</v>
      </c>
      <c r="AJ177" s="54">
        <f t="shared" ca="1" si="120"/>
        <v>3058</v>
      </c>
      <c r="AK177" s="78">
        <f ca="1">COUNTIFS(INDIRECT($AK$46),Summary!A177,INDIRECT($AK$47),Summary!B177)</f>
        <v>7</v>
      </c>
      <c r="AM177" s="79">
        <f ca="1">MATCH(AM$6,INDIRECT($AM$46&amp;$AI177):INDIRECT($AM$46&amp;$AJ177),1)+$AI177-1</f>
        <v>3057</v>
      </c>
      <c r="AN177" s="73">
        <f ca="1">MATCH(AN$6,INDIRECT($AM$46&amp;$AI177):INDIRECT($AM$46&amp;$AJ177),1)+$AI177-1</f>
        <v>3056</v>
      </c>
      <c r="AO177" s="73">
        <f ca="1">MATCH(AO$6,INDIRECT($AM$46&amp;$AI177):INDIRECT($AM$46&amp;$AJ177),1)+$AI177-1</f>
        <v>3056</v>
      </c>
      <c r="AP177" s="58">
        <f t="shared" ca="1" si="109"/>
        <v>512910.54800000001</v>
      </c>
      <c r="AQ177" s="58">
        <f t="shared" ca="1" si="109"/>
        <v>502197.20750000002</v>
      </c>
      <c r="AR177" s="58">
        <f t="shared" ca="1" si="105"/>
        <v>502197.20750000002</v>
      </c>
      <c r="AS177" s="58">
        <f t="shared" ca="1" si="115"/>
        <v>10000000</v>
      </c>
      <c r="AT177" s="36">
        <f t="shared" ca="1" si="110"/>
        <v>0</v>
      </c>
      <c r="AU177" s="58">
        <f t="shared" ca="1" si="116"/>
        <v>0</v>
      </c>
      <c r="AV177" s="85">
        <f t="shared" ca="1" si="117"/>
        <v>0</v>
      </c>
    </row>
    <row r="178" spans="1:48">
      <c r="A178" s="6"/>
      <c r="B178" s="92"/>
    </row>
    <row r="179" spans="1:48">
      <c r="A179" s="6"/>
      <c r="B179" s="92"/>
    </row>
    <row r="180" spans="1:48">
      <c r="A180" s="10"/>
      <c r="B180" s="96"/>
    </row>
    <row r="181" spans="1:48">
      <c r="A181" s="6"/>
      <c r="B181" s="92"/>
    </row>
    <row r="182" spans="1:48">
      <c r="A182" s="6"/>
      <c r="B182" s="92"/>
    </row>
    <row r="183" spans="1:48">
      <c r="A183" s="6"/>
      <c r="B183" s="92"/>
    </row>
    <row r="184" spans="1:48">
      <c r="A184" s="6"/>
      <c r="B184" s="92"/>
    </row>
    <row r="185" spans="1:48">
      <c r="A185" s="10"/>
      <c r="B185" s="96"/>
    </row>
    <row r="186" spans="1:48">
      <c r="A186" s="6"/>
      <c r="B186" s="92"/>
    </row>
    <row r="187" spans="1:48">
      <c r="A187" s="6"/>
      <c r="B187" s="92"/>
    </row>
    <row r="188" spans="1:48">
      <c r="A188" s="6"/>
      <c r="B188" s="92"/>
    </row>
    <row r="189" spans="1:48">
      <c r="A189" s="6"/>
      <c r="B189" s="92"/>
    </row>
    <row r="190" spans="1:48">
      <c r="A190" s="6"/>
      <c r="B190" s="92"/>
    </row>
    <row r="191" spans="1:48">
      <c r="A191" s="6"/>
      <c r="B191" s="92"/>
    </row>
    <row r="192" spans="1:48">
      <c r="A192" s="6"/>
      <c r="B192" s="92"/>
    </row>
    <row r="193" spans="1:2">
      <c r="A193" s="6"/>
      <c r="B193" s="92"/>
    </row>
    <row r="194" spans="1:2">
      <c r="A194" s="6"/>
      <c r="B194" s="92"/>
    </row>
    <row r="195" spans="1:2">
      <c r="A195" s="6"/>
      <c r="B195" s="92"/>
    </row>
    <row r="196" spans="1:2">
      <c r="A196" s="6"/>
      <c r="B196" s="92"/>
    </row>
    <row r="197" spans="1:2">
      <c r="A197" s="6"/>
      <c r="B197" s="92"/>
    </row>
    <row r="198" spans="1:2">
      <c r="A198" s="6"/>
      <c r="B198" s="92"/>
    </row>
    <row r="199" spans="1:2">
      <c r="A199" s="6"/>
      <c r="B199" s="92"/>
    </row>
    <row r="200" spans="1:2">
      <c r="A200" s="6"/>
      <c r="B200" s="92"/>
    </row>
    <row r="201" spans="1:2">
      <c r="A201" s="6"/>
      <c r="B201" s="92"/>
    </row>
  </sheetData>
  <phoneticPr fontId="11" type="noConversion"/>
  <pageMargins left="0.25" right="0.25" top="0.75" bottom="0.75" header="0.3" footer="0.3"/>
  <pageSetup scale="81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A1:BA5053"/>
  <sheetViews>
    <sheetView tabSelected="1" zoomScaleNormal="100" workbookViewId="0">
      <pane xSplit="3" ySplit="2" topLeftCell="D4917" activePane="bottomRight" state="frozen"/>
      <selection pane="topRight" activeCell="C1" sqref="C1"/>
      <selection pane="bottomLeft" activeCell="A5" sqref="A5"/>
      <selection pane="bottomRight" activeCell="D213" sqref="D213"/>
    </sheetView>
  </sheetViews>
  <sheetFormatPr defaultColWidth="9.42578125" defaultRowHeight="12.75" outlineLevelCol="1"/>
  <cols>
    <col min="1" max="1" width="11" style="8" bestFit="1" customWidth="1"/>
    <col min="2" max="2" width="19.140625" style="6" customWidth="1"/>
    <col min="3" max="3" width="16" style="6" bestFit="1" customWidth="1"/>
    <col min="4" max="4" width="18" style="7" customWidth="1"/>
    <col min="5" max="5" width="17.5703125" style="9" customWidth="1"/>
    <col min="6" max="6" width="17.28515625" style="7" customWidth="1"/>
    <col min="7" max="7" width="22" style="7" customWidth="1" outlineLevel="1"/>
    <col min="8" max="8" width="16.5703125" style="7" customWidth="1" outlineLevel="1"/>
    <col min="9" max="9" width="15.5703125" style="7" customWidth="1" outlineLevel="1"/>
    <col min="10" max="10" width="15.5703125" style="93" customWidth="1" outlineLevel="1"/>
    <col min="11" max="12" width="16.42578125" style="7" customWidth="1" outlineLevel="1"/>
    <col min="13" max="13" width="17.5703125" style="9" customWidth="1" outlineLevel="1"/>
    <col min="14" max="16" width="18.5703125" style="9" customWidth="1" outlineLevel="1"/>
    <col min="17" max="28" width="18.5703125" style="9" customWidth="1"/>
    <col min="29" max="29" width="14" style="6" bestFit="1" customWidth="1"/>
    <col min="30" max="30" width="15" style="6" bestFit="1" customWidth="1"/>
    <col min="31" max="31" width="14" style="6" bestFit="1" customWidth="1"/>
    <col min="32" max="32" width="14" style="92" customWidth="1"/>
    <col min="33" max="33" width="9.42578125" style="6"/>
    <col min="34" max="34" width="9.42578125" style="339"/>
    <col min="35" max="35" width="9.42578125" style="6"/>
    <col min="36" max="36" width="10.140625" style="6" bestFit="1" customWidth="1"/>
    <col min="37" max="16384" width="9.42578125" style="6"/>
  </cols>
  <sheetData>
    <row r="1" spans="1:36" ht="41.25" customHeight="1">
      <c r="A1" s="358" t="s">
        <v>92</v>
      </c>
      <c r="B1" s="100" t="s">
        <v>124</v>
      </c>
      <c r="D1" s="358" t="s">
        <v>125</v>
      </c>
      <c r="E1" s="386" t="s">
        <v>429</v>
      </c>
      <c r="F1" s="385" t="s">
        <v>428</v>
      </c>
      <c r="G1" s="384"/>
      <c r="H1" s="384"/>
      <c r="I1" s="358"/>
      <c r="K1" s="358" t="s">
        <v>76</v>
      </c>
      <c r="N1" s="71">
        <f>Summary!AD3</f>
        <v>43496</v>
      </c>
      <c r="O1" s="71"/>
      <c r="P1" s="95"/>
      <c r="Q1" s="95"/>
      <c r="R1" s="95"/>
      <c r="S1" s="95"/>
      <c r="T1" s="95"/>
      <c r="U1" s="95"/>
      <c r="V1" s="95"/>
      <c r="W1" s="95"/>
      <c r="X1" s="95" t="s">
        <v>26</v>
      </c>
      <c r="Y1" s="95"/>
      <c r="Z1" s="95"/>
      <c r="AA1" s="95"/>
      <c r="AB1" s="95"/>
      <c r="AJ1" s="358"/>
    </row>
    <row r="2" spans="1:36" s="30" customFormat="1" ht="40.700000000000003" customHeight="1">
      <c r="A2" s="30" t="s">
        <v>1</v>
      </c>
      <c r="B2" s="30" t="s">
        <v>113</v>
      </c>
      <c r="C2" s="30" t="s">
        <v>2</v>
      </c>
      <c r="D2" s="31" t="s">
        <v>100</v>
      </c>
      <c r="E2" s="32" t="s">
        <v>99</v>
      </c>
      <c r="F2" s="31" t="s">
        <v>6</v>
      </c>
      <c r="G2" s="31" t="s">
        <v>121</v>
      </c>
      <c r="H2" s="31" t="s">
        <v>122</v>
      </c>
      <c r="I2" s="31" t="s">
        <v>8</v>
      </c>
      <c r="J2" s="31" t="s">
        <v>398</v>
      </c>
      <c r="K2" s="31" t="s">
        <v>399</v>
      </c>
      <c r="L2" s="33" t="s">
        <v>123</v>
      </c>
      <c r="M2" s="32" t="s">
        <v>101</v>
      </c>
      <c r="N2" s="32" t="s">
        <v>166</v>
      </c>
      <c r="O2" s="32" t="s">
        <v>164</v>
      </c>
      <c r="P2" s="31" t="s">
        <v>138</v>
      </c>
      <c r="Q2" s="31" t="s">
        <v>116</v>
      </c>
      <c r="R2" s="31" t="s">
        <v>151</v>
      </c>
      <c r="S2" s="31" t="s">
        <v>12</v>
      </c>
      <c r="T2" s="31" t="s">
        <v>13</v>
      </c>
      <c r="U2" s="31" t="s">
        <v>141</v>
      </c>
      <c r="V2" s="31" t="s">
        <v>142</v>
      </c>
      <c r="W2" s="31" t="s">
        <v>143</v>
      </c>
      <c r="X2" s="31" t="s">
        <v>144</v>
      </c>
      <c r="Y2" s="31" t="s">
        <v>145</v>
      </c>
      <c r="Z2" s="31" t="s">
        <v>147</v>
      </c>
      <c r="AA2" s="31" t="s">
        <v>148</v>
      </c>
      <c r="AB2" s="31" t="s">
        <v>146</v>
      </c>
      <c r="AC2" s="30" t="s">
        <v>290</v>
      </c>
      <c r="AD2" s="30" t="s">
        <v>291</v>
      </c>
      <c r="AE2" s="30" t="s">
        <v>292</v>
      </c>
      <c r="AF2" s="30" t="s">
        <v>293</v>
      </c>
      <c r="AG2" s="30" t="s">
        <v>294</v>
      </c>
      <c r="AH2" s="340" t="s">
        <v>295</v>
      </c>
      <c r="AI2" s="30" t="s">
        <v>355</v>
      </c>
      <c r="AJ2" s="30" t="s">
        <v>356</v>
      </c>
    </row>
    <row r="3" spans="1:36" ht="12.75" customHeight="1">
      <c r="A3" s="8">
        <v>41542</v>
      </c>
      <c r="B3" s="101" t="s">
        <v>95</v>
      </c>
      <c r="C3" s="6" t="s">
        <v>297</v>
      </c>
      <c r="D3" s="47">
        <v>5000000</v>
      </c>
      <c r="E3" s="9" t="str">
        <f t="shared" ref="E3:E66" si="0">IF(K3="","",D3/K3)</f>
        <v/>
      </c>
      <c r="F3" s="47"/>
      <c r="G3" s="47">
        <v>5000000</v>
      </c>
      <c r="H3" s="47">
        <v>0</v>
      </c>
      <c r="I3" s="47">
        <v>0</v>
      </c>
      <c r="J3" s="98"/>
      <c r="K3" s="93"/>
      <c r="L3" s="7">
        <f t="shared" ref="L3:L66" si="1">G3+H3+I3</f>
        <v>5000000</v>
      </c>
      <c r="M3" s="9" t="str">
        <f t="shared" ref="M3:M66" ca="1" si="2">IF(A3&gt;INDIRECT("A"&amp;ROW()-1),I3/K3,E3)</f>
        <v/>
      </c>
      <c r="N3" s="9">
        <f>IF(P3="Hedge Fund",IF(A3=Summary!$AD$3,M3-E3,M3),IF(A3=Summary!$AD$3,L3-D3,L3))</f>
        <v>5000000</v>
      </c>
      <c r="P3" s="89" t="s">
        <v>155</v>
      </c>
      <c r="Q3" s="89">
        <v>0</v>
      </c>
      <c r="R3" s="89">
        <v>0</v>
      </c>
      <c r="S3" s="89">
        <v>0</v>
      </c>
      <c r="T3" s="89">
        <v>0</v>
      </c>
      <c r="U3" s="89"/>
      <c r="V3" s="89"/>
      <c r="W3" s="89"/>
      <c r="X3" s="89"/>
      <c r="Y3" s="89"/>
      <c r="Z3" s="89"/>
      <c r="AA3" s="89"/>
      <c r="AB3" s="89"/>
      <c r="AF3" s="94">
        <f t="shared" ref="AF3:AF66" si="3">A3</f>
        <v>41542</v>
      </c>
      <c r="AG3" s="185">
        <f t="shared" ref="AG3:AG66" si="4">IF(C3&lt;&gt;C2,D3/G3-1,(D3-G3-I3-H3)/(D2)-1)</f>
        <v>0</v>
      </c>
      <c r="AH3" s="339" t="str">
        <f>VLOOKUP(B3,'MF PF'!A:B,2)</f>
        <v>Coinv</v>
      </c>
      <c r="AI3" s="355">
        <f t="shared" ref="AI3:AI66" si="5">AF3-A3</f>
        <v>0</v>
      </c>
      <c r="AJ3" s="94">
        <f t="shared" ref="AJ3:AJ66" si="6">EOMONTH(A3,0)</f>
        <v>41547</v>
      </c>
    </row>
    <row r="4" spans="1:36" ht="12.75" customHeight="1">
      <c r="A4" s="8">
        <v>41547</v>
      </c>
      <c r="B4" s="101" t="s">
        <v>95</v>
      </c>
      <c r="C4" s="92" t="s">
        <v>297</v>
      </c>
      <c r="D4" s="98">
        <v>5000000</v>
      </c>
      <c r="E4" s="9" t="str">
        <f t="shared" si="0"/>
        <v/>
      </c>
      <c r="F4" s="98"/>
      <c r="G4" s="98"/>
      <c r="H4" s="98">
        <v>0</v>
      </c>
      <c r="I4" s="98">
        <v>0</v>
      </c>
      <c r="J4" s="98"/>
      <c r="K4" s="93"/>
      <c r="L4" s="93">
        <f t="shared" si="1"/>
        <v>0</v>
      </c>
      <c r="M4" s="95" t="e">
        <f t="shared" ca="1" si="2"/>
        <v>#DIV/0!</v>
      </c>
      <c r="N4" s="95">
        <f>IF(P4="Hedge Fund",IF(A4=Summary!$AD$3,M4-E4,M4),IF(A4=Summary!$AD$3,L4-D4,L4))</f>
        <v>0</v>
      </c>
      <c r="P4" s="107" t="s">
        <v>155</v>
      </c>
      <c r="Q4" s="107">
        <v>0</v>
      </c>
      <c r="R4" s="107">
        <v>0</v>
      </c>
      <c r="S4" s="107">
        <v>0</v>
      </c>
      <c r="T4" s="107">
        <v>0</v>
      </c>
      <c r="U4" s="107"/>
      <c r="V4" s="107"/>
      <c r="W4" s="107"/>
      <c r="X4" s="107"/>
      <c r="Y4" s="107"/>
      <c r="Z4" s="107"/>
      <c r="AA4" s="107"/>
      <c r="AB4" s="107"/>
      <c r="AC4" s="355"/>
      <c r="AD4" s="355"/>
      <c r="AE4" s="355"/>
      <c r="AF4" s="94">
        <f t="shared" si="3"/>
        <v>41547</v>
      </c>
      <c r="AG4" s="185">
        <f t="shared" si="4"/>
        <v>0</v>
      </c>
      <c r="AH4" s="339" t="str">
        <f>VLOOKUP(B4,'MF PF'!A:B,2)</f>
        <v>Coinv</v>
      </c>
      <c r="AI4" s="358">
        <f t="shared" si="5"/>
        <v>0</v>
      </c>
      <c r="AJ4" s="94">
        <f t="shared" si="6"/>
        <v>41547</v>
      </c>
    </row>
    <row r="5" spans="1:36" ht="12.75" customHeight="1">
      <c r="A5" s="8">
        <v>41578</v>
      </c>
      <c r="B5" s="101" t="s">
        <v>95</v>
      </c>
      <c r="C5" s="92" t="s">
        <v>297</v>
      </c>
      <c r="D5" s="47">
        <v>5000000</v>
      </c>
      <c r="E5" s="9" t="str">
        <f t="shared" si="0"/>
        <v/>
      </c>
      <c r="F5" s="47"/>
      <c r="G5" s="47"/>
      <c r="H5" s="47">
        <v>0</v>
      </c>
      <c r="I5" s="47">
        <v>0</v>
      </c>
      <c r="J5" s="98"/>
      <c r="K5" s="93"/>
      <c r="L5" s="93">
        <f t="shared" si="1"/>
        <v>0</v>
      </c>
      <c r="M5" s="95" t="e">
        <f t="shared" ca="1" si="2"/>
        <v>#DIV/0!</v>
      </c>
      <c r="N5" s="95">
        <f>IF(P5="Hedge Fund",IF(A5=Summary!$AD$3,M5-E5,M5),IF(A5=Summary!$AD$3,L5-D5,L5))</f>
        <v>0</v>
      </c>
      <c r="P5" s="89" t="s">
        <v>155</v>
      </c>
      <c r="Q5" s="89">
        <v>0</v>
      </c>
      <c r="R5" s="89">
        <v>0</v>
      </c>
      <c r="S5" s="89">
        <v>0</v>
      </c>
      <c r="T5" s="89">
        <v>0</v>
      </c>
      <c r="U5" s="89"/>
      <c r="V5" s="89"/>
      <c r="W5" s="89"/>
      <c r="X5" s="89"/>
      <c r="Y5" s="89"/>
      <c r="Z5" s="89"/>
      <c r="AA5" s="89"/>
      <c r="AB5" s="89"/>
      <c r="AC5" s="355"/>
      <c r="AD5" s="355"/>
      <c r="AE5" s="355"/>
      <c r="AF5" s="94">
        <f t="shared" si="3"/>
        <v>41578</v>
      </c>
      <c r="AG5" s="185">
        <f t="shared" si="4"/>
        <v>0</v>
      </c>
      <c r="AH5" s="339" t="str">
        <f>VLOOKUP(B5,'MF PF'!A:B,2)</f>
        <v>Coinv</v>
      </c>
      <c r="AI5" s="358">
        <f t="shared" si="5"/>
        <v>0</v>
      </c>
      <c r="AJ5" s="94">
        <f t="shared" si="6"/>
        <v>41578</v>
      </c>
    </row>
    <row r="6" spans="1:36" ht="12.75" customHeight="1">
      <c r="A6" s="8">
        <v>41607</v>
      </c>
      <c r="B6" s="101" t="s">
        <v>95</v>
      </c>
      <c r="C6" s="92" t="s">
        <v>297</v>
      </c>
      <c r="D6" s="98">
        <v>5125316.4396383502</v>
      </c>
      <c r="E6" s="9" t="str">
        <f t="shared" si="0"/>
        <v/>
      </c>
      <c r="F6" s="98"/>
      <c r="G6" s="98"/>
      <c r="H6" s="98">
        <v>0</v>
      </c>
      <c r="I6" s="98">
        <v>0</v>
      </c>
      <c r="J6" s="98"/>
      <c r="K6" s="93"/>
      <c r="L6" s="93">
        <f t="shared" si="1"/>
        <v>0</v>
      </c>
      <c r="M6" s="95" t="e">
        <f t="shared" ca="1" si="2"/>
        <v>#DIV/0!</v>
      </c>
      <c r="N6" s="95">
        <f>IF(P6="Hedge Fund",IF(A6=Summary!$AD$3,M6-E6,M6),IF(A6=Summary!$AD$3,L6-D6,L6))</f>
        <v>0</v>
      </c>
      <c r="P6" s="107" t="s">
        <v>155</v>
      </c>
      <c r="Q6" s="107">
        <v>0</v>
      </c>
      <c r="R6" s="107">
        <v>0</v>
      </c>
      <c r="S6" s="107">
        <v>0</v>
      </c>
      <c r="T6" s="107">
        <v>0</v>
      </c>
      <c r="U6" s="107"/>
      <c r="V6" s="107"/>
      <c r="W6" s="107"/>
      <c r="X6" s="107"/>
      <c r="Y6" s="107"/>
      <c r="Z6" s="107"/>
      <c r="AA6" s="107"/>
      <c r="AB6" s="107"/>
      <c r="AC6" s="355"/>
      <c r="AD6" s="355"/>
      <c r="AE6" s="355"/>
      <c r="AF6" s="94">
        <f t="shared" si="3"/>
        <v>41607</v>
      </c>
      <c r="AG6" s="185">
        <f t="shared" si="4"/>
        <v>2.5063287927669986E-2</v>
      </c>
      <c r="AH6" s="339" t="str">
        <f>VLOOKUP(B6,'MF PF'!A:B,2)</f>
        <v>Coinv</v>
      </c>
      <c r="AI6" s="358">
        <f t="shared" si="5"/>
        <v>0</v>
      </c>
      <c r="AJ6" s="94">
        <f t="shared" si="6"/>
        <v>41608</v>
      </c>
    </row>
    <row r="7" spans="1:36" ht="12.75" customHeight="1">
      <c r="A7" s="8">
        <v>41639</v>
      </c>
      <c r="B7" s="101" t="s">
        <v>95</v>
      </c>
      <c r="C7" s="92" t="s">
        <v>297</v>
      </c>
      <c r="D7" s="47">
        <v>5187317.3793550124</v>
      </c>
      <c r="E7" s="9" t="str">
        <f t="shared" si="0"/>
        <v/>
      </c>
      <c r="F7" s="47"/>
      <c r="G7" s="47"/>
      <c r="H7" s="47">
        <v>0</v>
      </c>
      <c r="I7" s="47">
        <v>0</v>
      </c>
      <c r="J7" s="98"/>
      <c r="K7" s="93"/>
      <c r="L7" s="93">
        <f t="shared" si="1"/>
        <v>0</v>
      </c>
      <c r="M7" s="95" t="e">
        <f t="shared" ca="1" si="2"/>
        <v>#DIV/0!</v>
      </c>
      <c r="N7" s="95">
        <f>IF(P7="Hedge Fund",IF(A7=Summary!$AD$3,M7-E7,M7),IF(A7=Summary!$AD$3,L7-D7,L7))</f>
        <v>0</v>
      </c>
      <c r="P7" s="89" t="s">
        <v>155</v>
      </c>
      <c r="Q7" s="89">
        <v>0</v>
      </c>
      <c r="R7" s="89">
        <v>0</v>
      </c>
      <c r="S7" s="89">
        <v>0</v>
      </c>
      <c r="T7" s="89">
        <v>0</v>
      </c>
      <c r="U7" s="89"/>
      <c r="V7" s="89"/>
      <c r="W7" s="89"/>
      <c r="X7" s="89"/>
      <c r="Y7" s="89"/>
      <c r="Z7" s="89"/>
      <c r="AA7" s="89"/>
      <c r="AB7" s="89"/>
      <c r="AC7" s="355"/>
      <c r="AD7" s="355"/>
      <c r="AE7" s="355"/>
      <c r="AF7" s="94">
        <f t="shared" si="3"/>
        <v>41639</v>
      </c>
      <c r="AG7" s="185">
        <f t="shared" si="4"/>
        <v>1.2096997414082988E-2</v>
      </c>
      <c r="AH7" s="339" t="str">
        <f>VLOOKUP(B7,'MF PF'!A:B,2)</f>
        <v>Coinv</v>
      </c>
      <c r="AI7" s="358">
        <f t="shared" si="5"/>
        <v>0</v>
      </c>
      <c r="AJ7" s="94">
        <f t="shared" si="6"/>
        <v>41639</v>
      </c>
    </row>
    <row r="8" spans="1:36" ht="12.75" customHeight="1">
      <c r="A8" s="8">
        <v>41669</v>
      </c>
      <c r="B8" s="101" t="s">
        <v>95</v>
      </c>
      <c r="C8" s="92" t="s">
        <v>297</v>
      </c>
      <c r="D8" s="98">
        <v>5245667.6219666172</v>
      </c>
      <c r="E8" s="9" t="str">
        <f t="shared" si="0"/>
        <v/>
      </c>
      <c r="F8" s="98"/>
      <c r="G8" s="98"/>
      <c r="H8" s="98">
        <v>0</v>
      </c>
      <c r="I8" s="98">
        <v>0</v>
      </c>
      <c r="J8" s="98"/>
      <c r="K8" s="93"/>
      <c r="L8" s="93">
        <f t="shared" si="1"/>
        <v>0</v>
      </c>
      <c r="M8" s="95" t="e">
        <f t="shared" ca="1" si="2"/>
        <v>#DIV/0!</v>
      </c>
      <c r="N8" s="95">
        <f>IF(P8="Hedge Fund",IF(A8=Summary!$AD$3,M8-E8,M8),IF(A8=Summary!$AD$3,L8-D8,L8))</f>
        <v>0</v>
      </c>
      <c r="P8" s="107" t="s">
        <v>155</v>
      </c>
      <c r="Q8" s="107">
        <v>0</v>
      </c>
      <c r="R8" s="107">
        <v>0</v>
      </c>
      <c r="S8" s="107">
        <v>0</v>
      </c>
      <c r="T8" s="107">
        <v>0</v>
      </c>
      <c r="U8" s="107"/>
      <c r="V8" s="107"/>
      <c r="W8" s="107"/>
      <c r="X8" s="107"/>
      <c r="Y8" s="107"/>
      <c r="Z8" s="107"/>
      <c r="AA8" s="107"/>
      <c r="AB8" s="107"/>
      <c r="AC8" s="355"/>
      <c r="AD8" s="355"/>
      <c r="AE8" s="355"/>
      <c r="AF8" s="94">
        <f t="shared" si="3"/>
        <v>41669</v>
      </c>
      <c r="AG8" s="185">
        <f t="shared" si="4"/>
        <v>1.1248635536324159E-2</v>
      </c>
      <c r="AH8" s="339" t="str">
        <f>VLOOKUP(B8,'MF PF'!A:B,2)</f>
        <v>Coinv</v>
      </c>
      <c r="AI8" s="358">
        <f t="shared" si="5"/>
        <v>0</v>
      </c>
      <c r="AJ8" s="94">
        <f t="shared" si="6"/>
        <v>41670</v>
      </c>
    </row>
    <row r="9" spans="1:36" ht="12.75" customHeight="1">
      <c r="A9" s="8">
        <v>41698</v>
      </c>
      <c r="B9" s="101" t="s">
        <v>95</v>
      </c>
      <c r="C9" s="92" t="s">
        <v>297</v>
      </c>
      <c r="D9" s="47">
        <v>5302134.6910279123</v>
      </c>
      <c r="E9" s="9" t="str">
        <f t="shared" si="0"/>
        <v/>
      </c>
      <c r="F9" s="47"/>
      <c r="G9" s="47"/>
      <c r="H9" s="47">
        <v>0</v>
      </c>
      <c r="I9" s="47">
        <v>0</v>
      </c>
      <c r="J9" s="98"/>
      <c r="K9" s="93"/>
      <c r="L9" s="93">
        <f t="shared" si="1"/>
        <v>0</v>
      </c>
      <c r="M9" s="95" t="e">
        <f t="shared" ca="1" si="2"/>
        <v>#DIV/0!</v>
      </c>
      <c r="N9" s="95">
        <f>IF(P9="Hedge Fund",IF(A9=Summary!$AD$3,M9-E9,M9),IF(A9=Summary!$AD$3,L9-D9,L9))</f>
        <v>0</v>
      </c>
      <c r="P9" s="89" t="s">
        <v>155</v>
      </c>
      <c r="Q9" s="89">
        <v>0</v>
      </c>
      <c r="R9" s="89">
        <v>0</v>
      </c>
      <c r="S9" s="89">
        <v>0</v>
      </c>
      <c r="T9" s="89">
        <v>0</v>
      </c>
      <c r="U9" s="89"/>
      <c r="V9" s="89"/>
      <c r="W9" s="89"/>
      <c r="X9" s="89"/>
      <c r="Y9" s="89"/>
      <c r="Z9" s="89"/>
      <c r="AA9" s="89"/>
      <c r="AB9" s="89"/>
      <c r="AC9" s="355"/>
      <c r="AD9" s="355"/>
      <c r="AE9" s="355"/>
      <c r="AF9" s="94">
        <f t="shared" si="3"/>
        <v>41698</v>
      </c>
      <c r="AG9" s="185">
        <f t="shared" si="4"/>
        <v>1.0764515240125894E-2</v>
      </c>
      <c r="AH9" s="339" t="str">
        <f>VLOOKUP(B9,'MF PF'!A:B,2)</f>
        <v>Coinv</v>
      </c>
      <c r="AI9" s="358">
        <f t="shared" si="5"/>
        <v>0</v>
      </c>
      <c r="AJ9" s="94">
        <f t="shared" si="6"/>
        <v>41698</v>
      </c>
    </row>
    <row r="10" spans="1:36" ht="12.75" customHeight="1">
      <c r="A10" s="8">
        <v>41729</v>
      </c>
      <c r="B10" s="101" t="s">
        <v>95</v>
      </c>
      <c r="C10" s="92" t="s">
        <v>297</v>
      </c>
      <c r="D10" s="47">
        <v>5362007.8615804501</v>
      </c>
      <c r="E10" s="9" t="str">
        <f t="shared" si="0"/>
        <v/>
      </c>
      <c r="F10" s="47"/>
      <c r="G10" s="47"/>
      <c r="H10" s="47">
        <v>0</v>
      </c>
      <c r="I10" s="47">
        <v>0</v>
      </c>
      <c r="J10" s="98"/>
      <c r="K10" s="93"/>
      <c r="L10" s="93">
        <f t="shared" si="1"/>
        <v>0</v>
      </c>
      <c r="M10" s="95" t="e">
        <f t="shared" ca="1" si="2"/>
        <v>#DIV/0!</v>
      </c>
      <c r="N10" s="95">
        <f>IF(P10="Hedge Fund",IF(A10=Summary!$AD$3,M10-E10,M10),IF(A10=Summary!$AD$3,L10-D10,L10))</f>
        <v>0</v>
      </c>
      <c r="P10" s="89" t="s">
        <v>155</v>
      </c>
      <c r="Q10" s="89">
        <v>0</v>
      </c>
      <c r="R10" s="89">
        <v>0</v>
      </c>
      <c r="S10" s="89">
        <v>0</v>
      </c>
      <c r="T10" s="89">
        <v>0</v>
      </c>
      <c r="U10" s="89"/>
      <c r="V10" s="89"/>
      <c r="W10" s="89"/>
      <c r="X10" s="89"/>
      <c r="Y10" s="89"/>
      <c r="Z10" s="89"/>
      <c r="AA10" s="89"/>
      <c r="AB10" s="89"/>
      <c r="AC10" s="355"/>
      <c r="AD10" s="355"/>
      <c r="AE10" s="355"/>
      <c r="AF10" s="94">
        <f t="shared" si="3"/>
        <v>41729</v>
      </c>
      <c r="AG10" s="185">
        <f t="shared" si="4"/>
        <v>1.1292276421014602E-2</v>
      </c>
      <c r="AH10" s="339" t="str">
        <f>VLOOKUP(B10,'MF PF'!A:B,2)</f>
        <v>Coinv</v>
      </c>
      <c r="AI10" s="358">
        <f t="shared" si="5"/>
        <v>0</v>
      </c>
      <c r="AJ10" s="94">
        <f t="shared" si="6"/>
        <v>41729</v>
      </c>
    </row>
    <row r="11" spans="1:36" ht="12.75" customHeight="1">
      <c r="A11" s="8">
        <v>41759</v>
      </c>
      <c r="B11" s="101" t="s">
        <v>95</v>
      </c>
      <c r="C11" s="92" t="s">
        <v>297</v>
      </c>
      <c r="D11" s="47">
        <v>5419999.19074817</v>
      </c>
      <c r="E11" s="9" t="str">
        <f t="shared" si="0"/>
        <v/>
      </c>
      <c r="F11" s="47"/>
      <c r="G11" s="47"/>
      <c r="H11" s="47">
        <v>0</v>
      </c>
      <c r="I11" s="47">
        <v>0</v>
      </c>
      <c r="J11" s="98"/>
      <c r="K11" s="93"/>
      <c r="L11" s="93">
        <f t="shared" si="1"/>
        <v>0</v>
      </c>
      <c r="M11" s="95" t="e">
        <f t="shared" ca="1" si="2"/>
        <v>#DIV/0!</v>
      </c>
      <c r="N11" s="95">
        <f>IF(P11="Hedge Fund",IF(A11=Summary!$AD$3,M11-E11,M11),IF(A11=Summary!$AD$3,L11-D11,L11))</f>
        <v>0</v>
      </c>
      <c r="P11" s="89" t="s">
        <v>155</v>
      </c>
      <c r="Q11" s="89">
        <v>0</v>
      </c>
      <c r="R11" s="89">
        <v>0</v>
      </c>
      <c r="S11" s="89">
        <v>0</v>
      </c>
      <c r="T11" s="89">
        <v>0</v>
      </c>
      <c r="U11" s="89"/>
      <c r="V11" s="89"/>
      <c r="W11" s="89"/>
      <c r="X11" s="89"/>
      <c r="Y11" s="89"/>
      <c r="Z11" s="89"/>
      <c r="AA11" s="89"/>
      <c r="AB11" s="89"/>
      <c r="AC11" s="355"/>
      <c r="AD11" s="355"/>
      <c r="AE11" s="355"/>
      <c r="AF11" s="94">
        <f t="shared" si="3"/>
        <v>41759</v>
      </c>
      <c r="AG11" s="185">
        <f t="shared" si="4"/>
        <v>1.0815226434716108E-2</v>
      </c>
      <c r="AH11" s="339" t="str">
        <f>VLOOKUP(B11,'MF PF'!A:B,2)</f>
        <v>Coinv</v>
      </c>
      <c r="AI11" s="358">
        <f t="shared" si="5"/>
        <v>0</v>
      </c>
      <c r="AJ11" s="94">
        <f t="shared" si="6"/>
        <v>41759</v>
      </c>
    </row>
    <row r="12" spans="1:36" ht="12.75" customHeight="1">
      <c r="A12" s="8">
        <v>41789</v>
      </c>
      <c r="B12" s="101" t="s">
        <v>95</v>
      </c>
      <c r="C12" s="92" t="s">
        <v>297</v>
      </c>
      <c r="D12" s="47">
        <v>5478065.2156705195</v>
      </c>
      <c r="E12" s="9" t="str">
        <f t="shared" si="0"/>
        <v/>
      </c>
      <c r="F12" s="47"/>
      <c r="G12" s="47"/>
      <c r="H12" s="47">
        <v>0</v>
      </c>
      <c r="I12" s="47">
        <v>0</v>
      </c>
      <c r="J12" s="98"/>
      <c r="K12" s="93"/>
      <c r="L12" s="93">
        <f t="shared" si="1"/>
        <v>0</v>
      </c>
      <c r="M12" s="95" t="e">
        <f t="shared" ca="1" si="2"/>
        <v>#DIV/0!</v>
      </c>
      <c r="N12" s="95">
        <f>IF(P12="Hedge Fund",IF(A12=Summary!$AD$3,M12-E12,M12),IF(A12=Summary!$AD$3,L12-D12,L12))</f>
        <v>0</v>
      </c>
      <c r="P12" s="89" t="s">
        <v>155</v>
      </c>
      <c r="Q12" s="89">
        <v>0</v>
      </c>
      <c r="R12" s="89">
        <v>0</v>
      </c>
      <c r="S12" s="89">
        <v>0</v>
      </c>
      <c r="T12" s="89">
        <v>0</v>
      </c>
      <c r="U12" s="89"/>
      <c r="V12" s="89"/>
      <c r="W12" s="89"/>
      <c r="X12" s="89"/>
      <c r="Y12" s="89"/>
      <c r="Z12" s="89"/>
      <c r="AA12" s="89"/>
      <c r="AB12" s="89"/>
      <c r="AC12" s="355"/>
      <c r="AD12" s="355"/>
      <c r="AE12" s="355"/>
      <c r="AF12" s="94">
        <f t="shared" si="3"/>
        <v>41789</v>
      </c>
      <c r="AG12" s="185">
        <f t="shared" si="4"/>
        <v>1.0713290330645719E-2</v>
      </c>
      <c r="AH12" s="339" t="str">
        <f>VLOOKUP(B12,'MF PF'!A:B,2)</f>
        <v>Coinv</v>
      </c>
      <c r="AI12" s="358">
        <f t="shared" si="5"/>
        <v>0</v>
      </c>
      <c r="AJ12" s="94">
        <f t="shared" si="6"/>
        <v>41790</v>
      </c>
    </row>
    <row r="13" spans="1:36" ht="12.75" customHeight="1">
      <c r="A13" s="8">
        <v>41820</v>
      </c>
      <c r="B13" s="101" t="s">
        <v>95</v>
      </c>
      <c r="C13" s="92" t="s">
        <v>297</v>
      </c>
      <c r="D13" s="98">
        <v>5538169.8641023338</v>
      </c>
      <c r="E13" s="9" t="str">
        <f t="shared" si="0"/>
        <v/>
      </c>
      <c r="F13" s="98"/>
      <c r="G13" s="98"/>
      <c r="H13" s="98">
        <v>0</v>
      </c>
      <c r="I13" s="98">
        <v>0</v>
      </c>
      <c r="J13" s="98"/>
      <c r="K13" s="93"/>
      <c r="L13" s="93">
        <f t="shared" si="1"/>
        <v>0</v>
      </c>
      <c r="M13" s="95" t="e">
        <f t="shared" ca="1" si="2"/>
        <v>#DIV/0!</v>
      </c>
      <c r="N13" s="95">
        <f>IF(P13="Hedge Fund",IF(A13=Summary!$AD$3,M13-E13,M13),IF(A13=Summary!$AD$3,L13-D13,L13))</f>
        <v>0</v>
      </c>
      <c r="P13" s="107" t="s">
        <v>155</v>
      </c>
      <c r="Q13" s="107">
        <v>0</v>
      </c>
      <c r="R13" s="107">
        <v>0</v>
      </c>
      <c r="S13" s="107">
        <v>0</v>
      </c>
      <c r="T13" s="107">
        <v>0</v>
      </c>
      <c r="U13" s="107"/>
      <c r="V13" s="107"/>
      <c r="W13" s="107"/>
      <c r="X13" s="107"/>
      <c r="Y13" s="107"/>
      <c r="Z13" s="107"/>
      <c r="AA13" s="107"/>
      <c r="AB13" s="107"/>
      <c r="AC13" s="355"/>
      <c r="AD13" s="355"/>
      <c r="AE13" s="355"/>
      <c r="AF13" s="94">
        <f t="shared" si="3"/>
        <v>41820</v>
      </c>
      <c r="AG13" s="185">
        <f t="shared" si="4"/>
        <v>1.0971875300038292E-2</v>
      </c>
      <c r="AH13" s="339" t="str">
        <f>VLOOKUP(B13,'MF PF'!A:B,2)</f>
        <v>Coinv</v>
      </c>
      <c r="AI13" s="358">
        <f t="shared" si="5"/>
        <v>0</v>
      </c>
      <c r="AJ13" s="94">
        <f t="shared" si="6"/>
        <v>41820</v>
      </c>
    </row>
    <row r="14" spans="1:36" ht="12.75" customHeight="1">
      <c r="A14" s="8">
        <v>41851</v>
      </c>
      <c r="B14" s="101" t="s">
        <v>95</v>
      </c>
      <c r="C14" s="92" t="s">
        <v>297</v>
      </c>
      <c r="D14" s="47">
        <v>5598380.2334553897</v>
      </c>
      <c r="E14" s="9" t="str">
        <f t="shared" si="0"/>
        <v/>
      </c>
      <c r="F14" s="47"/>
      <c r="G14" s="47"/>
      <c r="H14" s="47">
        <v>0</v>
      </c>
      <c r="I14" s="47">
        <v>0</v>
      </c>
      <c r="J14" s="98"/>
      <c r="K14" s="93"/>
      <c r="L14" s="93">
        <f t="shared" si="1"/>
        <v>0</v>
      </c>
      <c r="M14" s="95" t="e">
        <f t="shared" ca="1" si="2"/>
        <v>#DIV/0!</v>
      </c>
      <c r="N14" s="95">
        <f>IF(P14="Hedge Fund",IF(A14=Summary!$AD$3,M14-E14,M14),IF(A14=Summary!$AD$3,L14-D14,L14))</f>
        <v>0</v>
      </c>
      <c r="P14" s="89" t="s">
        <v>155</v>
      </c>
      <c r="Q14" s="89">
        <v>0</v>
      </c>
      <c r="R14" s="89">
        <v>0</v>
      </c>
      <c r="S14" s="89">
        <v>0</v>
      </c>
      <c r="T14" s="89">
        <v>0</v>
      </c>
      <c r="U14" s="89"/>
      <c r="V14" s="89"/>
      <c r="W14" s="89"/>
      <c r="X14" s="89"/>
      <c r="Y14" s="89"/>
      <c r="Z14" s="89"/>
      <c r="AA14" s="89"/>
      <c r="AB14" s="89"/>
      <c r="AC14" s="355"/>
      <c r="AD14" s="355"/>
      <c r="AE14" s="355"/>
      <c r="AF14" s="94">
        <f t="shared" si="3"/>
        <v>41851</v>
      </c>
      <c r="AG14" s="185">
        <f t="shared" si="4"/>
        <v>1.087188923968041E-2</v>
      </c>
      <c r="AH14" s="339" t="str">
        <f>VLOOKUP(B14,'MF PF'!A:B,2)</f>
        <v>Coinv</v>
      </c>
      <c r="AI14" s="358">
        <f t="shared" si="5"/>
        <v>0</v>
      </c>
      <c r="AJ14" s="94">
        <f t="shared" si="6"/>
        <v>41851</v>
      </c>
    </row>
    <row r="15" spans="1:36" ht="12.75" customHeight="1">
      <c r="A15" s="8">
        <v>41880</v>
      </c>
      <c r="B15" s="101" t="s">
        <v>95</v>
      </c>
      <c r="C15" s="92" t="s">
        <v>297</v>
      </c>
      <c r="D15" s="47">
        <v>5654814.7240162529</v>
      </c>
      <c r="E15" s="9" t="str">
        <f t="shared" si="0"/>
        <v/>
      </c>
      <c r="F15" s="47"/>
      <c r="G15" s="47"/>
      <c r="H15" s="47">
        <v>0</v>
      </c>
      <c r="I15" s="47">
        <v>0</v>
      </c>
      <c r="J15" s="98"/>
      <c r="K15" s="93"/>
      <c r="L15" s="93">
        <f t="shared" si="1"/>
        <v>0</v>
      </c>
      <c r="M15" s="95" t="e">
        <f t="shared" ca="1" si="2"/>
        <v>#DIV/0!</v>
      </c>
      <c r="N15" s="95">
        <f>IF(P15="Hedge Fund",IF(A15=Summary!$AD$3,M15-E15,M15),IF(A15=Summary!$AD$3,L15-D15,L15))</f>
        <v>0</v>
      </c>
      <c r="P15" s="89" t="s">
        <v>155</v>
      </c>
      <c r="Q15" s="89">
        <v>0</v>
      </c>
      <c r="R15" s="89">
        <v>0</v>
      </c>
      <c r="S15" s="89">
        <v>0</v>
      </c>
      <c r="T15" s="89">
        <v>0</v>
      </c>
      <c r="U15" s="89"/>
      <c r="V15" s="89"/>
      <c r="W15" s="89"/>
      <c r="X15" s="89"/>
      <c r="Y15" s="89"/>
      <c r="Z15" s="89"/>
      <c r="AA15" s="89"/>
      <c r="AB15" s="89"/>
      <c r="AC15" s="355"/>
      <c r="AD15" s="355"/>
      <c r="AE15" s="355"/>
      <c r="AF15" s="94">
        <f t="shared" si="3"/>
        <v>41880</v>
      </c>
      <c r="AG15" s="185">
        <f t="shared" si="4"/>
        <v>1.0080503325518242E-2</v>
      </c>
      <c r="AH15" s="339" t="str">
        <f>VLOOKUP(B15,'MF PF'!A:B,2)</f>
        <v>Coinv</v>
      </c>
      <c r="AI15" s="358">
        <f t="shared" si="5"/>
        <v>0</v>
      </c>
      <c r="AJ15" s="94">
        <f t="shared" si="6"/>
        <v>41882</v>
      </c>
    </row>
    <row r="16" spans="1:36" ht="12.75" customHeight="1">
      <c r="A16" s="8">
        <v>41912</v>
      </c>
      <c r="B16" s="101" t="s">
        <v>95</v>
      </c>
      <c r="C16" s="92" t="s">
        <v>297</v>
      </c>
      <c r="D16" s="98">
        <v>0</v>
      </c>
      <c r="E16" s="9" t="str">
        <f t="shared" si="0"/>
        <v/>
      </c>
      <c r="F16" s="98"/>
      <c r="G16" s="98"/>
      <c r="H16" s="98">
        <v>0</v>
      </c>
      <c r="I16" s="98">
        <v>-5706975.6700801905</v>
      </c>
      <c r="J16" s="98"/>
      <c r="K16" s="93"/>
      <c r="L16" s="93">
        <f t="shared" si="1"/>
        <v>-5706975.6700801905</v>
      </c>
      <c r="M16" s="95" t="e">
        <f t="shared" ca="1" si="2"/>
        <v>#DIV/0!</v>
      </c>
      <c r="N16" s="95">
        <f>IF(P16="Hedge Fund",IF(A16=Summary!$AD$3,M16-E16,M16),IF(A16=Summary!$AD$3,L16-D16,L16))</f>
        <v>-5706975.6700801905</v>
      </c>
      <c r="P16" s="107" t="s">
        <v>155</v>
      </c>
      <c r="Q16" s="107">
        <v>0</v>
      </c>
      <c r="R16" s="107">
        <v>0</v>
      </c>
      <c r="S16" s="107">
        <v>0</v>
      </c>
      <c r="T16" s="107">
        <v>0</v>
      </c>
      <c r="U16" s="107"/>
      <c r="V16" s="107"/>
      <c r="W16" s="107"/>
      <c r="X16" s="107"/>
      <c r="Y16" s="107"/>
      <c r="Z16" s="107"/>
      <c r="AA16" s="107"/>
      <c r="AB16" s="107"/>
      <c r="AC16" s="355"/>
      <c r="AD16" s="355"/>
      <c r="AE16" s="355"/>
      <c r="AF16" s="94">
        <f t="shared" si="3"/>
        <v>41912</v>
      </c>
      <c r="AG16" s="185">
        <f t="shared" si="4"/>
        <v>9.2241653545972468E-3</v>
      </c>
      <c r="AH16" s="339" t="str">
        <f>VLOOKUP(B16,'MF PF'!A:B,2)</f>
        <v>Coinv</v>
      </c>
      <c r="AI16" s="358">
        <f t="shared" si="5"/>
        <v>0</v>
      </c>
      <c r="AJ16" s="94">
        <f t="shared" si="6"/>
        <v>41912</v>
      </c>
    </row>
    <row r="17" spans="1:36" ht="12.75" customHeight="1">
      <c r="A17" s="8">
        <v>37407</v>
      </c>
      <c r="B17" s="8" t="s">
        <v>0</v>
      </c>
      <c r="C17" s="92" t="s">
        <v>297</v>
      </c>
      <c r="D17" s="47">
        <v>6749909.9918982461</v>
      </c>
      <c r="E17" s="9">
        <f t="shared" si="0"/>
        <v>618.68607472861777</v>
      </c>
      <c r="F17" s="47"/>
      <c r="G17" s="47">
        <v>6749909.9918982461</v>
      </c>
      <c r="H17" s="47">
        <v>0</v>
      </c>
      <c r="I17" s="47">
        <v>0</v>
      </c>
      <c r="J17" s="98"/>
      <c r="K17" s="98">
        <v>10910.072600000001</v>
      </c>
      <c r="L17" s="93">
        <f t="shared" si="1"/>
        <v>6749909.9918982461</v>
      </c>
      <c r="M17" s="95">
        <f t="shared" ca="1" si="2"/>
        <v>618.68607472861777</v>
      </c>
      <c r="N17" s="95">
        <f ca="1">IF(P17="Hedge Fund",IF(A17=Summary!$AD$3,M17-E17,M17),IF(A17=Summary!$AD$3,L17-D17,L17))</f>
        <v>618.68607472861777</v>
      </c>
      <c r="P17" s="89" t="s">
        <v>139</v>
      </c>
      <c r="Q17" s="89">
        <v>0</v>
      </c>
      <c r="R17" s="89">
        <v>0</v>
      </c>
      <c r="S17" s="89">
        <v>0</v>
      </c>
      <c r="T17" s="89">
        <v>0</v>
      </c>
      <c r="U17" s="89"/>
      <c r="V17" s="89"/>
      <c r="W17" s="89"/>
      <c r="X17" s="89"/>
      <c r="Y17" s="89"/>
      <c r="Z17" s="89"/>
      <c r="AA17" s="89"/>
      <c r="AB17" s="89"/>
      <c r="AC17" s="355"/>
      <c r="AD17" s="355"/>
      <c r="AE17" s="355"/>
      <c r="AF17" s="94">
        <f t="shared" si="3"/>
        <v>37407</v>
      </c>
      <c r="AG17" s="185" t="e">
        <f t="shared" si="4"/>
        <v>#DIV/0!</v>
      </c>
      <c r="AH17" s="339" t="str">
        <f>VLOOKUP(B17,'MF PF'!A:B,2)</f>
        <v>FdMgt1</v>
      </c>
      <c r="AI17" s="358">
        <f t="shared" si="5"/>
        <v>0</v>
      </c>
      <c r="AJ17" s="94">
        <f t="shared" si="6"/>
        <v>37407</v>
      </c>
    </row>
    <row r="18" spans="1:36" ht="12.75" customHeight="1">
      <c r="A18" s="8">
        <v>37435</v>
      </c>
      <c r="B18" s="94" t="s">
        <v>0</v>
      </c>
      <c r="C18" s="92" t="s">
        <v>297</v>
      </c>
      <c r="D18" s="98">
        <v>6781984.8891887469</v>
      </c>
      <c r="E18" s="9">
        <f t="shared" si="0"/>
        <v>621.62600908712068</v>
      </c>
      <c r="F18" s="98"/>
      <c r="G18" s="98">
        <v>0</v>
      </c>
      <c r="H18" s="98">
        <v>0</v>
      </c>
      <c r="I18" s="98">
        <v>0</v>
      </c>
      <c r="J18" s="98"/>
      <c r="K18" s="98">
        <v>10910.072600000001</v>
      </c>
      <c r="L18" s="93">
        <f t="shared" si="1"/>
        <v>0</v>
      </c>
      <c r="M18" s="95">
        <f t="shared" ca="1" si="2"/>
        <v>0</v>
      </c>
      <c r="N18" s="95">
        <f ca="1">IF(P18="Hedge Fund",IF(A18=Summary!$AD$3,M18-E18,M18),IF(A18=Summary!$AD$3,L18-D18,L18))</f>
        <v>0</v>
      </c>
      <c r="P18" s="107" t="s">
        <v>139</v>
      </c>
      <c r="Q18" s="107">
        <v>0</v>
      </c>
      <c r="R18" s="107">
        <v>0</v>
      </c>
      <c r="S18" s="107">
        <v>0</v>
      </c>
      <c r="T18" s="107">
        <v>0</v>
      </c>
      <c r="U18" s="107"/>
      <c r="V18" s="107"/>
      <c r="W18" s="107"/>
      <c r="X18" s="107"/>
      <c r="Y18" s="107"/>
      <c r="Z18" s="107"/>
      <c r="AA18" s="107"/>
      <c r="AB18" s="107"/>
      <c r="AC18" s="355"/>
      <c r="AD18" s="355"/>
      <c r="AE18" s="355"/>
      <c r="AF18" s="94">
        <f t="shared" si="3"/>
        <v>37435</v>
      </c>
      <c r="AG18" s="185">
        <f t="shared" si="4"/>
        <v>4.7519000000000311E-3</v>
      </c>
      <c r="AH18" s="339" t="str">
        <f>VLOOKUP(B18,'MF PF'!A:B,2)</f>
        <v>FdMgt1</v>
      </c>
      <c r="AI18" s="358">
        <f t="shared" si="5"/>
        <v>0</v>
      </c>
      <c r="AJ18" s="94">
        <f t="shared" si="6"/>
        <v>37437</v>
      </c>
    </row>
    <row r="19" spans="1:36" ht="12.75" customHeight="1">
      <c r="A19" s="8">
        <v>37468</v>
      </c>
      <c r="B19" s="8" t="s">
        <v>0</v>
      </c>
      <c r="C19" s="92" t="s">
        <v>297</v>
      </c>
      <c r="D19" s="47">
        <v>7728473.6066321544</v>
      </c>
      <c r="E19" s="9">
        <f t="shared" si="0"/>
        <v>624.254249401175</v>
      </c>
      <c r="F19" s="47"/>
      <c r="G19" s="47">
        <v>917814.42480682768</v>
      </c>
      <c r="H19" s="47">
        <v>0</v>
      </c>
      <c r="I19" s="47">
        <v>0</v>
      </c>
      <c r="J19" s="98"/>
      <c r="K19" s="98">
        <v>12380.329992220006</v>
      </c>
      <c r="L19" s="93">
        <f t="shared" si="1"/>
        <v>917814.42480682768</v>
      </c>
      <c r="M19" s="95">
        <f t="shared" ca="1" si="2"/>
        <v>0</v>
      </c>
      <c r="N19" s="95">
        <f ca="1">IF(P19="Hedge Fund",IF(A19=Summary!$AD$3,M19-E19,M19),IF(A19=Summary!$AD$3,L19-D19,L19))</f>
        <v>0</v>
      </c>
      <c r="P19" s="89" t="s">
        <v>139</v>
      </c>
      <c r="Q19" s="89">
        <v>0</v>
      </c>
      <c r="R19" s="89">
        <v>0</v>
      </c>
      <c r="S19" s="89">
        <v>0</v>
      </c>
      <c r="T19" s="89">
        <v>0</v>
      </c>
      <c r="U19" s="89"/>
      <c r="V19" s="89"/>
      <c r="W19" s="89"/>
      <c r="X19" s="89"/>
      <c r="Y19" s="89"/>
      <c r="Z19" s="89"/>
      <c r="AA19" s="89"/>
      <c r="AB19" s="89"/>
      <c r="AC19" s="355"/>
      <c r="AD19" s="355"/>
      <c r="AE19" s="355"/>
      <c r="AF19" s="94">
        <f t="shared" si="3"/>
        <v>37468</v>
      </c>
      <c r="AG19" s="185">
        <f t="shared" si="4"/>
        <v>4.2280089243917907E-3</v>
      </c>
      <c r="AH19" s="339" t="str">
        <f>VLOOKUP(B19,'MF PF'!A:B,2)</f>
        <v>FdMgt1</v>
      </c>
      <c r="AI19" s="358">
        <f t="shared" si="5"/>
        <v>0</v>
      </c>
      <c r="AJ19" s="94">
        <f t="shared" si="6"/>
        <v>37468</v>
      </c>
    </row>
    <row r="20" spans="1:36" ht="12.75" customHeight="1">
      <c r="A20" s="8">
        <v>37498</v>
      </c>
      <c r="B20" s="94" t="s">
        <v>0</v>
      </c>
      <c r="C20" s="92" t="s">
        <v>297</v>
      </c>
      <c r="D20" s="98">
        <v>7851026.2108998587</v>
      </c>
      <c r="E20" s="9">
        <f t="shared" si="0"/>
        <v>634.15322659683318</v>
      </c>
      <c r="F20" s="47"/>
      <c r="G20" s="47">
        <v>0</v>
      </c>
      <c r="H20" s="98">
        <v>-4.6566128730773926E-9</v>
      </c>
      <c r="I20" s="98">
        <v>0</v>
      </c>
      <c r="J20" s="98"/>
      <c r="K20" s="98">
        <v>12380.329992219999</v>
      </c>
      <c r="L20" s="93">
        <f t="shared" si="1"/>
        <v>-4.6566128730773926E-9</v>
      </c>
      <c r="M20" s="95">
        <f t="shared" ca="1" si="2"/>
        <v>0</v>
      </c>
      <c r="N20" s="95">
        <f ca="1">IF(P20="Hedge Fund",IF(A20=Summary!$AD$3,M20-E20,M20),IF(A20=Summary!$AD$3,L20-D20,L20))</f>
        <v>0</v>
      </c>
      <c r="P20" s="107" t="s">
        <v>139</v>
      </c>
      <c r="Q20" s="107">
        <v>0</v>
      </c>
      <c r="R20" s="107">
        <v>0</v>
      </c>
      <c r="S20" s="107">
        <v>0</v>
      </c>
      <c r="T20" s="107">
        <v>0</v>
      </c>
      <c r="U20" s="107"/>
      <c r="V20" s="107"/>
      <c r="W20" s="107"/>
      <c r="X20" s="107"/>
      <c r="Y20" s="107"/>
      <c r="Z20" s="107"/>
      <c r="AA20" s="107"/>
      <c r="AB20" s="107"/>
      <c r="AC20" s="355"/>
      <c r="AD20" s="355"/>
      <c r="AE20" s="355"/>
      <c r="AF20" s="94">
        <f t="shared" si="3"/>
        <v>37498</v>
      </c>
      <c r="AG20" s="185">
        <f t="shared" si="4"/>
        <v>1.5857284440040198E-2</v>
      </c>
      <c r="AH20" s="339" t="str">
        <f>VLOOKUP(B20,'MF PF'!A:B,2)</f>
        <v>FdMgt1</v>
      </c>
      <c r="AI20" s="358">
        <f t="shared" si="5"/>
        <v>0</v>
      </c>
      <c r="AJ20" s="94">
        <f t="shared" si="6"/>
        <v>37499</v>
      </c>
    </row>
    <row r="21" spans="1:36" ht="12.75" customHeight="1">
      <c r="A21" s="8">
        <v>37529</v>
      </c>
      <c r="B21" s="94" t="s">
        <v>0</v>
      </c>
      <c r="C21" s="92" t="s">
        <v>297</v>
      </c>
      <c r="D21" s="98">
        <v>8023874.4039590294</v>
      </c>
      <c r="E21" s="95">
        <f t="shared" si="0"/>
        <v>648.11474403358886</v>
      </c>
      <c r="F21" s="98"/>
      <c r="G21" s="98">
        <v>1.862645149230957E-9</v>
      </c>
      <c r="H21" s="98">
        <v>0</v>
      </c>
      <c r="I21" s="98">
        <v>0</v>
      </c>
      <c r="J21" s="98"/>
      <c r="K21" s="98">
        <v>12380.32999222</v>
      </c>
      <c r="L21" s="93">
        <f t="shared" si="1"/>
        <v>1.862645149230957E-9</v>
      </c>
      <c r="M21" s="95">
        <f t="shared" ca="1" si="2"/>
        <v>0</v>
      </c>
      <c r="N21" s="95">
        <f ca="1">IF(P21="Hedge Fund",IF(A21=Summary!$AD$3,M21-E21,M21),IF(A21=Summary!$AD$3,L21-D21,L21))</f>
        <v>0</v>
      </c>
      <c r="P21" s="107" t="s">
        <v>139</v>
      </c>
      <c r="Q21" s="107">
        <v>0</v>
      </c>
      <c r="R21" s="107">
        <v>0</v>
      </c>
      <c r="S21" s="107">
        <v>0</v>
      </c>
      <c r="T21" s="107">
        <v>0</v>
      </c>
      <c r="U21" s="107"/>
      <c r="V21" s="107"/>
      <c r="W21" s="107"/>
      <c r="X21" s="107"/>
      <c r="Y21" s="107"/>
      <c r="Z21" s="107"/>
      <c r="AA21" s="107"/>
      <c r="AB21" s="107"/>
      <c r="AC21" s="355"/>
      <c r="AD21" s="355"/>
      <c r="AE21" s="355"/>
      <c r="AF21" s="94">
        <f t="shared" si="3"/>
        <v>37529</v>
      </c>
      <c r="AG21" s="185">
        <f t="shared" si="4"/>
        <v>2.2015999999999591E-2</v>
      </c>
      <c r="AH21" s="339" t="str">
        <f>VLOOKUP(B21,'MF PF'!A:B,2)</f>
        <v>FdMgt1</v>
      </c>
      <c r="AI21" s="358">
        <f t="shared" si="5"/>
        <v>0</v>
      </c>
      <c r="AJ21" s="94">
        <f t="shared" si="6"/>
        <v>37529</v>
      </c>
    </row>
    <row r="22" spans="1:36" ht="12.75" customHeight="1">
      <c r="A22" s="8">
        <v>37559</v>
      </c>
      <c r="B22" s="8" t="s">
        <v>0</v>
      </c>
      <c r="C22" s="92" t="s">
        <v>297</v>
      </c>
      <c r="D22" s="47">
        <v>11214338.140100392</v>
      </c>
      <c r="E22" s="9">
        <f t="shared" si="0"/>
        <v>649.00169239032004</v>
      </c>
      <c r="F22" s="47"/>
      <c r="G22" s="47">
        <v>3179483.0227989731</v>
      </c>
      <c r="H22" s="47">
        <v>0</v>
      </c>
      <c r="I22" s="47">
        <v>0</v>
      </c>
      <c r="J22" s="98"/>
      <c r="K22" s="98">
        <v>17279.366558810001</v>
      </c>
      <c r="L22" s="93">
        <f t="shared" si="1"/>
        <v>3179483.0227989731</v>
      </c>
      <c r="M22" s="95">
        <f t="shared" ca="1" si="2"/>
        <v>0</v>
      </c>
      <c r="N22" s="95">
        <f ca="1">IF(P22="Hedge Fund",IF(A22=Summary!$AD$3,M22-E22,M22),IF(A22=Summary!$AD$3,L22-D22,L22))</f>
        <v>0</v>
      </c>
      <c r="P22" s="89" t="s">
        <v>139</v>
      </c>
      <c r="Q22" s="89">
        <v>0</v>
      </c>
      <c r="R22" s="89">
        <v>0</v>
      </c>
      <c r="S22" s="89">
        <v>0</v>
      </c>
      <c r="T22" s="89">
        <v>0</v>
      </c>
      <c r="U22" s="89"/>
      <c r="V22" s="89"/>
      <c r="W22" s="89"/>
      <c r="X22" s="89"/>
      <c r="Y22" s="89"/>
      <c r="Z22" s="89"/>
      <c r="AA22" s="89"/>
      <c r="AB22" s="89"/>
      <c r="AC22" s="355"/>
      <c r="AD22" s="355"/>
      <c r="AE22" s="355"/>
      <c r="AF22" s="94">
        <f t="shared" si="3"/>
        <v>37559</v>
      </c>
      <c r="AG22" s="185">
        <f t="shared" si="4"/>
        <v>1.3685051372402945E-3</v>
      </c>
      <c r="AH22" s="339" t="str">
        <f>VLOOKUP(B22,'MF PF'!A:B,2)</f>
        <v>FdMgt1</v>
      </c>
      <c r="AI22" s="358">
        <f t="shared" si="5"/>
        <v>0</v>
      </c>
      <c r="AJ22" s="94">
        <f t="shared" si="6"/>
        <v>37560</v>
      </c>
    </row>
    <row r="23" spans="1:36" ht="12.75" customHeight="1">
      <c r="A23" s="8">
        <v>37589</v>
      </c>
      <c r="B23" s="94" t="s">
        <v>0</v>
      </c>
      <c r="C23" s="92" t="s">
        <v>297</v>
      </c>
      <c r="D23" s="98">
        <v>14316516.878817642</v>
      </c>
      <c r="E23" s="9">
        <f t="shared" si="0"/>
        <v>730.66825425449758</v>
      </c>
      <c r="F23" s="98"/>
      <c r="G23" s="98">
        <v>1691032.2806683928</v>
      </c>
      <c r="H23" s="98">
        <v>0</v>
      </c>
      <c r="I23" s="98">
        <v>0</v>
      </c>
      <c r="J23" s="98"/>
      <c r="K23" s="98">
        <v>19593.730527440002</v>
      </c>
      <c r="L23" s="93">
        <f t="shared" si="1"/>
        <v>1691032.2806683928</v>
      </c>
      <c r="M23" s="95">
        <f t="shared" ca="1" si="2"/>
        <v>0</v>
      </c>
      <c r="N23" s="95">
        <f ca="1">IF(P23="Hedge Fund",IF(A23=Summary!$AD$3,M23-E23,M23),IF(A23=Summary!$AD$3,L23-D23,L23))</f>
        <v>0</v>
      </c>
      <c r="P23" s="89" t="s">
        <v>139</v>
      </c>
      <c r="Q23" s="107">
        <v>0</v>
      </c>
      <c r="R23" s="107">
        <v>0</v>
      </c>
      <c r="S23" s="107">
        <v>0</v>
      </c>
      <c r="T23" s="107">
        <v>0</v>
      </c>
      <c r="U23" s="107"/>
      <c r="V23" s="107"/>
      <c r="W23" s="107"/>
      <c r="X23" s="107"/>
      <c r="Y23" s="107"/>
      <c r="Z23" s="107"/>
      <c r="AA23" s="107"/>
      <c r="AB23" s="107"/>
      <c r="AC23" s="355"/>
      <c r="AD23" s="355"/>
      <c r="AE23" s="355"/>
      <c r="AF23" s="94">
        <f t="shared" si="3"/>
        <v>37589</v>
      </c>
      <c r="AG23" s="185">
        <f t="shared" si="4"/>
        <v>0.12583412774070535</v>
      </c>
      <c r="AH23" s="339" t="str">
        <f>VLOOKUP(B23,'MF PF'!A:B,2)</f>
        <v>FdMgt1</v>
      </c>
      <c r="AI23" s="358">
        <f t="shared" si="5"/>
        <v>0</v>
      </c>
      <c r="AJ23" s="94">
        <f t="shared" si="6"/>
        <v>37590</v>
      </c>
    </row>
    <row r="24" spans="1:36" ht="12.75" customHeight="1">
      <c r="A24" s="8">
        <v>37621</v>
      </c>
      <c r="B24" s="8" t="s">
        <v>0</v>
      </c>
      <c r="C24" s="92" t="s">
        <v>297</v>
      </c>
      <c r="D24" s="47">
        <v>16925908.766360465</v>
      </c>
      <c r="E24" s="9">
        <f t="shared" si="0"/>
        <v>863.84309218995372</v>
      </c>
      <c r="F24" s="47"/>
      <c r="G24" s="47">
        <v>0</v>
      </c>
      <c r="H24" s="47">
        <v>0</v>
      </c>
      <c r="I24" s="47">
        <v>0</v>
      </c>
      <c r="J24" s="98"/>
      <c r="K24" s="98">
        <v>19593.730527440002</v>
      </c>
      <c r="L24" s="93">
        <f t="shared" si="1"/>
        <v>0</v>
      </c>
      <c r="M24" s="95">
        <f t="shared" ca="1" si="2"/>
        <v>0</v>
      </c>
      <c r="N24" s="95">
        <f ca="1">IF(P24="Hedge Fund",IF(A24=Summary!$AD$3,M24-E24,M24),IF(A24=Summary!$AD$3,L24-D24,L24))</f>
        <v>0</v>
      </c>
      <c r="P24" s="89" t="s">
        <v>139</v>
      </c>
      <c r="Q24" s="89">
        <v>0</v>
      </c>
      <c r="R24" s="89">
        <v>0</v>
      </c>
      <c r="S24" s="89">
        <v>0</v>
      </c>
      <c r="T24" s="89">
        <v>0</v>
      </c>
      <c r="U24" s="89"/>
      <c r="V24" s="89"/>
      <c r="W24" s="89"/>
      <c r="X24" s="89"/>
      <c r="Y24" s="89"/>
      <c r="Z24" s="89"/>
      <c r="AA24" s="89"/>
      <c r="AB24" s="89"/>
      <c r="AC24" s="355"/>
      <c r="AD24" s="355"/>
      <c r="AE24" s="355"/>
      <c r="AF24" s="94">
        <f t="shared" si="3"/>
        <v>37621</v>
      </c>
      <c r="AG24" s="185">
        <f t="shared" si="4"/>
        <v>0.18226443691786609</v>
      </c>
      <c r="AH24" s="339" t="str">
        <f>VLOOKUP(B24,'MF PF'!A:B,2)</f>
        <v>FdMgt1</v>
      </c>
      <c r="AI24" s="358">
        <f t="shared" si="5"/>
        <v>0</v>
      </c>
      <c r="AJ24" s="94">
        <f t="shared" si="6"/>
        <v>37621</v>
      </c>
    </row>
    <row r="25" spans="1:36" ht="12.75" customHeight="1">
      <c r="A25" s="8">
        <v>37652</v>
      </c>
      <c r="B25" s="94" t="s">
        <v>0</v>
      </c>
      <c r="C25" s="92" t="s">
        <v>297</v>
      </c>
      <c r="D25" s="98">
        <v>22284435.707187761</v>
      </c>
      <c r="E25" s="9">
        <f t="shared" si="0"/>
        <v>937.85236211303766</v>
      </c>
      <c r="F25" s="98"/>
      <c r="G25" s="98">
        <v>3908409.24942182</v>
      </c>
      <c r="H25" s="98">
        <v>0</v>
      </c>
      <c r="I25" s="98">
        <v>0</v>
      </c>
      <c r="J25" s="98"/>
      <c r="K25" s="98">
        <v>23761.134062700006</v>
      </c>
      <c r="L25" s="93">
        <f t="shared" si="1"/>
        <v>3908409.24942182</v>
      </c>
      <c r="M25" s="95">
        <f t="shared" ca="1" si="2"/>
        <v>0</v>
      </c>
      <c r="N25" s="95">
        <f ca="1">IF(P25="Hedge Fund",IF(A25=Summary!$AD$3,M25-E25,M25),IF(A25=Summary!$AD$3,L25-D25,L25))</f>
        <v>0</v>
      </c>
      <c r="P25" s="89" t="s">
        <v>139</v>
      </c>
      <c r="Q25" s="107">
        <v>0</v>
      </c>
      <c r="R25" s="107">
        <v>0</v>
      </c>
      <c r="S25" s="107">
        <v>0</v>
      </c>
      <c r="T25" s="107">
        <v>0</v>
      </c>
      <c r="U25" s="107"/>
      <c r="V25" s="107"/>
      <c r="W25" s="107"/>
      <c r="X25" s="107"/>
      <c r="Y25" s="107"/>
      <c r="Z25" s="107"/>
      <c r="AA25" s="107"/>
      <c r="AB25" s="107"/>
      <c r="AC25" s="355"/>
      <c r="AD25" s="355"/>
      <c r="AE25" s="355"/>
      <c r="AF25" s="94">
        <f t="shared" si="3"/>
        <v>37652</v>
      </c>
      <c r="AG25" s="185">
        <f t="shared" si="4"/>
        <v>8.567443623987403E-2</v>
      </c>
      <c r="AH25" s="339" t="str">
        <f>VLOOKUP(B25,'MF PF'!A:B,2)</f>
        <v>FdMgt1</v>
      </c>
      <c r="AI25" s="358">
        <f t="shared" si="5"/>
        <v>0</v>
      </c>
      <c r="AJ25" s="94">
        <f t="shared" si="6"/>
        <v>37652</v>
      </c>
    </row>
    <row r="26" spans="1:36" ht="12.75" customHeight="1">
      <c r="A26" s="8">
        <v>37680</v>
      </c>
      <c r="B26" s="94" t="s">
        <v>0</v>
      </c>
      <c r="C26" s="92" t="s">
        <v>297</v>
      </c>
      <c r="D26" s="98">
        <v>26974538.276231118</v>
      </c>
      <c r="E26" s="9">
        <f t="shared" si="0"/>
        <v>976.59596895912296</v>
      </c>
      <c r="F26" s="98"/>
      <c r="G26" s="98">
        <v>3769510.5327009819</v>
      </c>
      <c r="H26" s="98">
        <v>0</v>
      </c>
      <c r="I26" s="98">
        <v>0</v>
      </c>
      <c r="J26" s="98"/>
      <c r="K26" s="98">
        <v>27620.98056270001</v>
      </c>
      <c r="L26" s="93">
        <f t="shared" si="1"/>
        <v>3769510.5327009819</v>
      </c>
      <c r="M26" s="95">
        <f t="shared" ca="1" si="2"/>
        <v>0</v>
      </c>
      <c r="N26" s="95">
        <f ca="1">IF(P26="Hedge Fund",IF(A26=Summary!$AD$3,M26-E26,M26),IF(A26=Summary!$AD$3,L26-D26,L26))</f>
        <v>0</v>
      </c>
      <c r="P26" s="107" t="s">
        <v>139</v>
      </c>
      <c r="Q26" s="107">
        <v>0</v>
      </c>
      <c r="R26" s="107">
        <v>0</v>
      </c>
      <c r="S26" s="107">
        <v>0</v>
      </c>
      <c r="T26" s="107">
        <v>0</v>
      </c>
      <c r="U26" s="107"/>
      <c r="V26" s="107"/>
      <c r="W26" s="107"/>
      <c r="X26" s="107"/>
      <c r="Y26" s="107"/>
      <c r="Z26" s="107"/>
      <c r="AA26" s="107"/>
      <c r="AB26" s="107"/>
      <c r="AC26" s="355"/>
      <c r="AD26" s="355"/>
      <c r="AE26" s="355"/>
      <c r="AF26" s="94">
        <f t="shared" si="3"/>
        <v>37680</v>
      </c>
      <c r="AG26" s="185">
        <f t="shared" si="4"/>
        <v>4.1310987113999165E-2</v>
      </c>
      <c r="AH26" s="339" t="str">
        <f>VLOOKUP(B26,'MF PF'!A:B,2)</f>
        <v>FdMgt1</v>
      </c>
      <c r="AI26" s="358">
        <f t="shared" si="5"/>
        <v>0</v>
      </c>
      <c r="AJ26" s="94">
        <f t="shared" si="6"/>
        <v>37680</v>
      </c>
    </row>
    <row r="27" spans="1:36" ht="12.75" customHeight="1">
      <c r="A27" s="8">
        <v>37711</v>
      </c>
      <c r="B27" s="94" t="s">
        <v>0</v>
      </c>
      <c r="C27" s="92" t="s">
        <v>297</v>
      </c>
      <c r="D27" s="98">
        <v>27079382.675778888</v>
      </c>
      <c r="E27" s="9">
        <f t="shared" si="0"/>
        <v>980.39179363340543</v>
      </c>
      <c r="F27" s="98"/>
      <c r="G27" s="98">
        <v>0</v>
      </c>
      <c r="H27" s="98">
        <v>-3.7252902984619141E-9</v>
      </c>
      <c r="I27" s="98">
        <v>0</v>
      </c>
      <c r="J27" s="98"/>
      <c r="K27" s="98">
        <v>27620.980562700006</v>
      </c>
      <c r="L27" s="93">
        <f t="shared" si="1"/>
        <v>-3.7252902984619141E-9</v>
      </c>
      <c r="M27" s="95">
        <f t="shared" ca="1" si="2"/>
        <v>0</v>
      </c>
      <c r="N27" s="95">
        <f ca="1">IF(P27="Hedge Fund",IF(A27=Summary!$AD$3,M27-E27,M27),IF(A27=Summary!$AD$3,L27-D27,L27))</f>
        <v>0</v>
      </c>
      <c r="P27" s="107" t="s">
        <v>139</v>
      </c>
      <c r="Q27" s="107">
        <v>0</v>
      </c>
      <c r="R27" s="107">
        <v>0</v>
      </c>
      <c r="S27" s="107">
        <v>0</v>
      </c>
      <c r="T27" s="107">
        <v>0</v>
      </c>
      <c r="U27" s="107"/>
      <c r="V27" s="107"/>
      <c r="W27" s="107"/>
      <c r="X27" s="107"/>
      <c r="Y27" s="107"/>
      <c r="Z27" s="107"/>
      <c r="AA27" s="107"/>
      <c r="AB27" s="107"/>
      <c r="AC27" s="355"/>
      <c r="AD27" s="355"/>
      <c r="AE27" s="355"/>
      <c r="AF27" s="94">
        <f t="shared" si="3"/>
        <v>37711</v>
      </c>
      <c r="AG27" s="185">
        <f t="shared" si="4"/>
        <v>3.8867912575228925E-3</v>
      </c>
      <c r="AH27" s="339" t="str">
        <f>VLOOKUP(B27,'MF PF'!A:B,2)</f>
        <v>FdMgt1</v>
      </c>
      <c r="AI27" s="358">
        <f t="shared" si="5"/>
        <v>0</v>
      </c>
      <c r="AJ27" s="94">
        <f t="shared" si="6"/>
        <v>37711</v>
      </c>
    </row>
    <row r="28" spans="1:36" ht="12.75" customHeight="1">
      <c r="A28" s="8">
        <v>37741</v>
      </c>
      <c r="B28" s="94" t="s">
        <v>0</v>
      </c>
      <c r="C28" s="92" t="s">
        <v>297</v>
      </c>
      <c r="D28" s="98">
        <v>48659638.343423203</v>
      </c>
      <c r="E28" s="9">
        <f t="shared" si="0"/>
        <v>996.43398038672808</v>
      </c>
      <c r="F28" s="98"/>
      <c r="G28" s="98">
        <v>21137154.739147589</v>
      </c>
      <c r="H28" s="98">
        <v>0</v>
      </c>
      <c r="I28" s="98">
        <v>0</v>
      </c>
      <c r="J28" s="98"/>
      <c r="K28" s="98">
        <v>48833.780562700005</v>
      </c>
      <c r="L28" s="93">
        <f t="shared" si="1"/>
        <v>21137154.739147589</v>
      </c>
      <c r="M28" s="95">
        <f t="shared" ca="1" si="2"/>
        <v>0</v>
      </c>
      <c r="N28" s="95">
        <f ca="1">IF(P28="Hedge Fund",IF(A28=Summary!$AD$3,M28-E28,M28),IF(A28=Summary!$AD$3,L28-D28,L28))</f>
        <v>0</v>
      </c>
      <c r="P28" s="107" t="s">
        <v>139</v>
      </c>
      <c r="Q28" s="107">
        <v>0</v>
      </c>
      <c r="R28" s="107">
        <v>0</v>
      </c>
      <c r="S28" s="107">
        <v>0</v>
      </c>
      <c r="T28" s="107">
        <v>0</v>
      </c>
      <c r="U28" s="107"/>
      <c r="V28" s="107"/>
      <c r="W28" s="107"/>
      <c r="X28" s="107"/>
      <c r="Y28" s="107"/>
      <c r="Z28" s="107"/>
      <c r="AA28" s="107"/>
      <c r="AB28" s="107"/>
      <c r="AC28" s="355"/>
      <c r="AD28" s="355"/>
      <c r="AE28" s="355"/>
      <c r="AF28" s="94">
        <f t="shared" si="3"/>
        <v>37741</v>
      </c>
      <c r="AG28" s="185">
        <f t="shared" si="4"/>
        <v>1.6363036550794741E-2</v>
      </c>
      <c r="AH28" s="339" t="str">
        <f>VLOOKUP(B28,'MF PF'!A:B,2)</f>
        <v>FdMgt1</v>
      </c>
      <c r="AI28" s="358">
        <f t="shared" si="5"/>
        <v>0</v>
      </c>
      <c r="AJ28" s="94">
        <f t="shared" si="6"/>
        <v>37741</v>
      </c>
    </row>
    <row r="29" spans="1:36" ht="12.75" customHeight="1">
      <c r="A29" s="8">
        <v>37771</v>
      </c>
      <c r="B29" s="8" t="s">
        <v>0</v>
      </c>
      <c r="C29" s="92" t="s">
        <v>297</v>
      </c>
      <c r="D29" s="47">
        <v>49882723.180063948</v>
      </c>
      <c r="E29" s="9">
        <f t="shared" si="0"/>
        <v>1021.479856879341</v>
      </c>
      <c r="F29" s="47"/>
      <c r="G29" s="47">
        <v>0</v>
      </c>
      <c r="H29" s="47">
        <v>0</v>
      </c>
      <c r="I29" s="47">
        <v>0</v>
      </c>
      <c r="J29" s="98"/>
      <c r="K29" s="98">
        <v>48833.780562700005</v>
      </c>
      <c r="L29" s="93">
        <f t="shared" si="1"/>
        <v>0</v>
      </c>
      <c r="M29" s="95">
        <f t="shared" ca="1" si="2"/>
        <v>0</v>
      </c>
      <c r="N29" s="95">
        <f ca="1">IF(P29="Hedge Fund",IF(A29=Summary!$AD$3,M29-E29,M29),IF(A29=Summary!$AD$3,L29-D29,L29))</f>
        <v>0</v>
      </c>
      <c r="P29" s="89" t="s">
        <v>139</v>
      </c>
      <c r="Q29" s="89">
        <v>0</v>
      </c>
      <c r="R29" s="89">
        <v>0</v>
      </c>
      <c r="S29" s="89">
        <v>0</v>
      </c>
      <c r="T29" s="89">
        <v>0</v>
      </c>
      <c r="U29" s="89"/>
      <c r="V29" s="89"/>
      <c r="W29" s="89"/>
      <c r="X29" s="89"/>
      <c r="Y29" s="89"/>
      <c r="Z29" s="89"/>
      <c r="AA29" s="89"/>
      <c r="AB29" s="89"/>
      <c r="AC29" s="355"/>
      <c r="AD29" s="355"/>
      <c r="AE29" s="355"/>
      <c r="AF29" s="94">
        <f t="shared" si="3"/>
        <v>37771</v>
      </c>
      <c r="AG29" s="185">
        <f t="shared" si="4"/>
        <v>2.5135510215029244E-2</v>
      </c>
      <c r="AH29" s="339" t="str">
        <f>VLOOKUP(B29,'MF PF'!A:B,2)</f>
        <v>FdMgt1</v>
      </c>
      <c r="AI29" s="358">
        <f t="shared" si="5"/>
        <v>0</v>
      </c>
      <c r="AJ29" s="94">
        <f t="shared" si="6"/>
        <v>37772</v>
      </c>
    </row>
    <row r="30" spans="1:36" ht="12.75" customHeight="1">
      <c r="A30" s="8">
        <v>37802</v>
      </c>
      <c r="B30" s="8" t="s">
        <v>0</v>
      </c>
      <c r="C30" s="92" t="s">
        <v>297</v>
      </c>
      <c r="D30" s="98">
        <v>53252382.71416261</v>
      </c>
      <c r="E30" s="9">
        <f t="shared" si="0"/>
        <v>1027.8809398558005</v>
      </c>
      <c r="F30" s="47"/>
      <c r="G30" s="47">
        <v>3057070.4526626021</v>
      </c>
      <c r="H30" s="47">
        <v>0</v>
      </c>
      <c r="I30" s="47">
        <v>0</v>
      </c>
      <c r="J30" s="98"/>
      <c r="K30" s="98">
        <v>51807.928962699989</v>
      </c>
      <c r="L30" s="93">
        <f t="shared" si="1"/>
        <v>3057070.4526626021</v>
      </c>
      <c r="M30" s="95">
        <f t="shared" ca="1" si="2"/>
        <v>0</v>
      </c>
      <c r="N30" s="95">
        <f ca="1">IF(P30="Hedge Fund",IF(A30=Summary!$AD$3,M30-E30,M30),IF(A30=Summary!$AD$3,L30-D30,L30))</f>
        <v>0</v>
      </c>
      <c r="P30" s="89" t="s">
        <v>139</v>
      </c>
      <c r="Q30" s="107">
        <v>0</v>
      </c>
      <c r="R30" s="107">
        <v>0</v>
      </c>
      <c r="S30" s="89">
        <v>0</v>
      </c>
      <c r="T30" s="89">
        <v>0</v>
      </c>
      <c r="U30" s="89"/>
      <c r="V30" s="89"/>
      <c r="W30" s="89"/>
      <c r="X30" s="89"/>
      <c r="Y30" s="89"/>
      <c r="Z30" s="89"/>
      <c r="AA30" s="89"/>
      <c r="AB30" s="89"/>
      <c r="AC30" s="355"/>
      <c r="AD30" s="355"/>
      <c r="AE30" s="355"/>
      <c r="AF30" s="94">
        <f t="shared" si="3"/>
        <v>37802</v>
      </c>
      <c r="AG30" s="185">
        <f t="shared" si="4"/>
        <v>6.2664798853842019E-3</v>
      </c>
      <c r="AH30" s="339" t="str">
        <f>VLOOKUP(B30,'MF PF'!A:B,2)</f>
        <v>FdMgt1</v>
      </c>
      <c r="AI30" s="358">
        <f t="shared" si="5"/>
        <v>0</v>
      </c>
      <c r="AJ30" s="94">
        <f t="shared" si="6"/>
        <v>37802</v>
      </c>
    </row>
    <row r="31" spans="1:36" ht="12.75" customHeight="1">
      <c r="A31" s="8">
        <v>37833</v>
      </c>
      <c r="B31" s="8" t="s">
        <v>0</v>
      </c>
      <c r="C31" s="92" t="s">
        <v>297</v>
      </c>
      <c r="D31" s="98">
        <v>54456302.425475195</v>
      </c>
      <c r="E31" s="9">
        <f t="shared" si="0"/>
        <v>1031.7350973533248</v>
      </c>
      <c r="F31" s="47"/>
      <c r="G31" s="47">
        <v>1004243.7934697866</v>
      </c>
      <c r="H31" s="47">
        <v>0</v>
      </c>
      <c r="I31" s="47">
        <v>0</v>
      </c>
      <c r="J31" s="98"/>
      <c r="K31" s="98">
        <v>52781.283262700003</v>
      </c>
      <c r="L31" s="93">
        <f t="shared" si="1"/>
        <v>1004243.7934697866</v>
      </c>
      <c r="M31" s="95">
        <f t="shared" ca="1" si="2"/>
        <v>0</v>
      </c>
      <c r="N31" s="95">
        <f ca="1">IF(P31="Hedge Fund",IF(A31=Summary!$AD$3,M31-E31,M31),IF(A31=Summary!$AD$3,L31-D31,L31))</f>
        <v>0</v>
      </c>
      <c r="P31" s="89" t="s">
        <v>139</v>
      </c>
      <c r="Q31" s="107">
        <v>0</v>
      </c>
      <c r="R31" s="107">
        <v>0</v>
      </c>
      <c r="S31" s="89">
        <v>0</v>
      </c>
      <c r="T31" s="89">
        <v>0</v>
      </c>
      <c r="U31" s="89"/>
      <c r="V31" s="89"/>
      <c r="W31" s="89"/>
      <c r="X31" s="89"/>
      <c r="Y31" s="89"/>
      <c r="Z31" s="89"/>
      <c r="AA31" s="89"/>
      <c r="AB31" s="89"/>
      <c r="AC31" s="355"/>
      <c r="AD31" s="355"/>
      <c r="AE31" s="355"/>
      <c r="AF31" s="94">
        <f t="shared" si="3"/>
        <v>37833</v>
      </c>
      <c r="AG31" s="185">
        <f t="shared" si="4"/>
        <v>3.7496147151683257E-3</v>
      </c>
      <c r="AH31" s="339" t="str">
        <f>VLOOKUP(B31,'MF PF'!A:B,2)</f>
        <v>FdMgt1</v>
      </c>
      <c r="AI31" s="358">
        <f t="shared" si="5"/>
        <v>0</v>
      </c>
      <c r="AJ31" s="94">
        <f t="shared" si="6"/>
        <v>37833</v>
      </c>
    </row>
    <row r="32" spans="1:36" ht="12.75" customHeight="1">
      <c r="A32" s="8">
        <v>37862</v>
      </c>
      <c r="B32" s="94" t="s">
        <v>0</v>
      </c>
      <c r="C32" s="92" t="s">
        <v>297</v>
      </c>
      <c r="D32" s="98">
        <v>55881933.612649925</v>
      </c>
      <c r="E32" s="9">
        <f t="shared" si="0"/>
        <v>1058.7452626818024</v>
      </c>
      <c r="F32" s="47"/>
      <c r="G32" s="47">
        <v>0</v>
      </c>
      <c r="H32" s="47">
        <v>-7.4505805969238281E-9</v>
      </c>
      <c r="I32" s="98">
        <v>0</v>
      </c>
      <c r="J32" s="98"/>
      <c r="K32" s="98">
        <v>52781.283262699995</v>
      </c>
      <c r="L32" s="93">
        <f t="shared" si="1"/>
        <v>-7.4505805969238281E-9</v>
      </c>
      <c r="M32" s="95">
        <f t="shared" ca="1" si="2"/>
        <v>0</v>
      </c>
      <c r="N32" s="95">
        <f ca="1">IF(P32="Hedge Fund",IF(A32=Summary!$AD$3,M32-E32,M32),IF(A32=Summary!$AD$3,L32-D32,L32))</f>
        <v>0</v>
      </c>
      <c r="P32" s="89" t="s">
        <v>139</v>
      </c>
      <c r="Q32" s="107">
        <v>0</v>
      </c>
      <c r="R32" s="107">
        <v>0</v>
      </c>
      <c r="S32" s="89">
        <v>0</v>
      </c>
      <c r="T32" s="89">
        <v>0</v>
      </c>
      <c r="U32" s="89"/>
      <c r="V32" s="89"/>
      <c r="W32" s="89"/>
      <c r="X32" s="89"/>
      <c r="Y32" s="89"/>
      <c r="Z32" s="89"/>
      <c r="AA32" s="89"/>
      <c r="AB32" s="89"/>
      <c r="AC32" s="355"/>
      <c r="AD32" s="355"/>
      <c r="AE32" s="355"/>
      <c r="AF32" s="94">
        <f t="shared" si="3"/>
        <v>37862</v>
      </c>
      <c r="AG32" s="185">
        <f t="shared" si="4"/>
        <v>2.617936076592331E-2</v>
      </c>
      <c r="AH32" s="339" t="str">
        <f>VLOOKUP(B32,'MF PF'!A:B,2)</f>
        <v>FdMgt1</v>
      </c>
      <c r="AI32" s="358">
        <f t="shared" si="5"/>
        <v>0</v>
      </c>
      <c r="AJ32" s="94">
        <f t="shared" si="6"/>
        <v>37864</v>
      </c>
    </row>
    <row r="33" spans="1:36" ht="12.75" customHeight="1">
      <c r="A33" s="8">
        <v>37894</v>
      </c>
      <c r="B33" s="94" t="s">
        <v>0</v>
      </c>
      <c r="C33" s="92" t="s">
        <v>297</v>
      </c>
      <c r="D33" s="98">
        <v>57656149.670950986</v>
      </c>
      <c r="E33" s="9">
        <f t="shared" si="0"/>
        <v>1092.3597553319814</v>
      </c>
      <c r="F33" s="47"/>
      <c r="G33" s="47">
        <v>1.4901161193847656E-8</v>
      </c>
      <c r="H33" s="47">
        <v>0</v>
      </c>
      <c r="I33" s="98">
        <v>0</v>
      </c>
      <c r="J33" s="98"/>
      <c r="K33" s="98">
        <v>52781.283262700003</v>
      </c>
      <c r="L33" s="93">
        <f t="shared" si="1"/>
        <v>1.4901161193847656E-8</v>
      </c>
      <c r="M33" s="95">
        <f t="shared" ca="1" si="2"/>
        <v>0</v>
      </c>
      <c r="N33" s="95">
        <f ca="1">IF(P33="Hedge Fund",IF(A33=Summary!$AD$3,M33-E33,M33),IF(A33=Summary!$AD$3,L33-D33,L33))</f>
        <v>0</v>
      </c>
      <c r="P33" s="89" t="s">
        <v>139</v>
      </c>
      <c r="Q33" s="107">
        <v>0</v>
      </c>
      <c r="R33" s="107">
        <v>0</v>
      </c>
      <c r="S33" s="89">
        <v>0</v>
      </c>
      <c r="T33" s="89">
        <v>0</v>
      </c>
      <c r="U33" s="89"/>
      <c r="V33" s="89"/>
      <c r="W33" s="89"/>
      <c r="X33" s="89"/>
      <c r="Y33" s="89"/>
      <c r="Z33" s="89"/>
      <c r="AA33" s="89"/>
      <c r="AB33" s="89"/>
      <c r="AC33" s="355"/>
      <c r="AD33" s="355"/>
      <c r="AE33" s="355"/>
      <c r="AF33" s="94">
        <f t="shared" si="3"/>
        <v>37894</v>
      </c>
      <c r="AG33" s="185">
        <f t="shared" si="4"/>
        <v>3.1749367704402731E-2</v>
      </c>
      <c r="AH33" s="339" t="str">
        <f>VLOOKUP(B33,'MF PF'!A:B,2)</f>
        <v>FdMgt1</v>
      </c>
      <c r="AI33" s="358">
        <f t="shared" si="5"/>
        <v>0</v>
      </c>
      <c r="AJ33" s="94">
        <f t="shared" si="6"/>
        <v>37894</v>
      </c>
    </row>
    <row r="34" spans="1:36" ht="12.75" customHeight="1">
      <c r="A34" s="8">
        <v>37925</v>
      </c>
      <c r="B34" s="94" t="s">
        <v>0</v>
      </c>
      <c r="C34" s="92" t="s">
        <v>297</v>
      </c>
      <c r="D34" s="98">
        <v>79379745.093518212</v>
      </c>
      <c r="E34" s="9">
        <f t="shared" si="0"/>
        <v>1107.5970631330749</v>
      </c>
      <c r="F34" s="98"/>
      <c r="G34" s="98">
        <v>20919350.763356768</v>
      </c>
      <c r="H34" s="98">
        <v>0</v>
      </c>
      <c r="I34" s="98">
        <v>0</v>
      </c>
      <c r="J34" s="98"/>
      <c r="K34" s="98">
        <v>71668.432262699978</v>
      </c>
      <c r="L34" s="93">
        <f t="shared" si="1"/>
        <v>20919350.763356768</v>
      </c>
      <c r="M34" s="95">
        <f t="shared" ca="1" si="2"/>
        <v>0</v>
      </c>
      <c r="N34" s="95">
        <f ca="1">IF(P34="Hedge Fund",IF(A34=Summary!$AD$3,M34-E34,M34),IF(A34=Summary!$AD$3,L34-D34,L34))</f>
        <v>0</v>
      </c>
      <c r="P34" s="107" t="s">
        <v>139</v>
      </c>
      <c r="Q34" s="107">
        <v>0</v>
      </c>
      <c r="R34" s="107">
        <v>0</v>
      </c>
      <c r="S34" s="107">
        <v>0</v>
      </c>
      <c r="T34" s="107">
        <v>0</v>
      </c>
      <c r="U34" s="107"/>
      <c r="V34" s="107"/>
      <c r="W34" s="107"/>
      <c r="X34" s="107"/>
      <c r="Y34" s="107"/>
      <c r="Z34" s="107"/>
      <c r="AA34" s="107"/>
      <c r="AB34" s="107"/>
      <c r="AC34" s="355"/>
      <c r="AD34" s="355"/>
      <c r="AE34" s="355"/>
      <c r="AF34" s="94">
        <f t="shared" si="3"/>
        <v>37925</v>
      </c>
      <c r="AG34" s="185">
        <f t="shared" si="4"/>
        <v>1.3948983131901072E-2</v>
      </c>
      <c r="AH34" s="339" t="str">
        <f>VLOOKUP(B34,'MF PF'!A:B,2)</f>
        <v>FdMgt1</v>
      </c>
      <c r="AI34" s="358">
        <f t="shared" si="5"/>
        <v>0</v>
      </c>
      <c r="AJ34" s="94">
        <f t="shared" si="6"/>
        <v>37925</v>
      </c>
    </row>
    <row r="35" spans="1:36" ht="12.75" customHeight="1">
      <c r="A35" s="8">
        <v>37953</v>
      </c>
      <c r="B35" s="94" t="s">
        <v>0</v>
      </c>
      <c r="C35" s="92" t="s">
        <v>297</v>
      </c>
      <c r="D35" s="98">
        <v>79379745.093518212</v>
      </c>
      <c r="E35" s="9">
        <f t="shared" si="0"/>
        <v>970.01507854910267</v>
      </c>
      <c r="F35" s="47"/>
      <c r="G35" s="47">
        <v>11207380.605481282</v>
      </c>
      <c r="H35" s="98">
        <v>0</v>
      </c>
      <c r="I35" s="98">
        <v>0</v>
      </c>
      <c r="J35" s="98"/>
      <c r="K35" s="98">
        <v>81833.516662699971</v>
      </c>
      <c r="L35" s="93">
        <f t="shared" si="1"/>
        <v>11207380.605481282</v>
      </c>
      <c r="M35" s="95">
        <f t="shared" ca="1" si="2"/>
        <v>0</v>
      </c>
      <c r="N35" s="95">
        <f ca="1">IF(P35="Hedge Fund",IF(A35=Summary!$AD$3,M35-E35,M35),IF(A35=Summary!$AD$3,L35-D35,L35))</f>
        <v>0</v>
      </c>
      <c r="P35" s="107" t="s">
        <v>139</v>
      </c>
      <c r="Q35" s="107">
        <v>0</v>
      </c>
      <c r="R35" s="107">
        <v>0</v>
      </c>
      <c r="S35" s="107">
        <v>0</v>
      </c>
      <c r="T35" s="107">
        <v>0</v>
      </c>
      <c r="U35" s="107"/>
      <c r="V35" s="107"/>
      <c r="W35" s="107"/>
      <c r="X35" s="107"/>
      <c r="Y35" s="107"/>
      <c r="Z35" s="107"/>
      <c r="AA35" s="107"/>
      <c r="AB35" s="107"/>
      <c r="AC35" s="355"/>
      <c r="AD35" s="355"/>
      <c r="AE35" s="355"/>
      <c r="AF35" s="94">
        <f t="shared" si="3"/>
        <v>37953</v>
      </c>
      <c r="AG35" s="185">
        <f t="shared" si="4"/>
        <v>-0.14118690595790817</v>
      </c>
      <c r="AH35" s="339" t="str">
        <f>VLOOKUP(B35,'MF PF'!A:B,2)</f>
        <v>FdMgt1</v>
      </c>
      <c r="AI35" s="358">
        <f t="shared" si="5"/>
        <v>0</v>
      </c>
      <c r="AJ35" s="94">
        <f t="shared" si="6"/>
        <v>37955</v>
      </c>
    </row>
    <row r="36" spans="1:36" s="92" customFormat="1" ht="12.75" customHeight="1">
      <c r="A36" s="94">
        <v>37986</v>
      </c>
      <c r="B36" s="94" t="s">
        <v>0</v>
      </c>
      <c r="C36" s="358" t="s">
        <v>297</v>
      </c>
      <c r="D36" s="98">
        <v>91843291.29175207</v>
      </c>
      <c r="E36" s="95">
        <f t="shared" si="0"/>
        <v>1104.7140999999999</v>
      </c>
      <c r="F36" s="98"/>
      <c r="G36" s="98">
        <v>1440651.5818824768</v>
      </c>
      <c r="H36" s="98">
        <v>0</v>
      </c>
      <c r="I36" s="98">
        <v>0</v>
      </c>
      <c r="J36" s="98"/>
      <c r="K36" s="98">
        <v>83137.611162699992</v>
      </c>
      <c r="L36" s="93">
        <f t="shared" si="1"/>
        <v>1440651.5818824768</v>
      </c>
      <c r="M36" s="95">
        <f t="shared" ca="1" si="2"/>
        <v>0</v>
      </c>
      <c r="N36" s="95">
        <f ca="1">IF(P36="Hedge Fund",IF(A36=Summary!$AD$3,M36-E36,M36),IF(A36=Summary!$AD$3,L36-D36,L36))</f>
        <v>0</v>
      </c>
      <c r="O36" s="95"/>
      <c r="P36" s="107" t="s">
        <v>139</v>
      </c>
      <c r="Q36" s="107">
        <v>0</v>
      </c>
      <c r="R36" s="107">
        <v>0</v>
      </c>
      <c r="S36" s="107">
        <v>0</v>
      </c>
      <c r="T36" s="107">
        <v>0</v>
      </c>
      <c r="U36" s="107"/>
      <c r="V36" s="107"/>
      <c r="W36" s="107"/>
      <c r="X36" s="107"/>
      <c r="Y36" s="107"/>
      <c r="Z36" s="107"/>
      <c r="AA36" s="107"/>
      <c r="AB36" s="107"/>
      <c r="AC36" s="355"/>
      <c r="AD36" s="355"/>
      <c r="AE36" s="355"/>
      <c r="AF36" s="94">
        <f t="shared" si="3"/>
        <v>37986</v>
      </c>
      <c r="AG36" s="185">
        <f t="shared" si="4"/>
        <v>0.13886281195996752</v>
      </c>
      <c r="AH36" s="339" t="str">
        <f>VLOOKUP(B36,'MF PF'!A:B,2)</f>
        <v>FdMgt1</v>
      </c>
      <c r="AI36" s="358">
        <f t="shared" si="5"/>
        <v>0</v>
      </c>
      <c r="AJ36" s="94">
        <f t="shared" si="6"/>
        <v>37986</v>
      </c>
    </row>
    <row r="37" spans="1:36" s="92" customFormat="1" ht="12.75" customHeight="1">
      <c r="A37" s="94">
        <v>38017</v>
      </c>
      <c r="B37" s="94" t="s">
        <v>0</v>
      </c>
      <c r="C37" s="92" t="s">
        <v>297</v>
      </c>
      <c r="D37" s="98">
        <v>90237190.528417513</v>
      </c>
      <c r="E37" s="95">
        <f t="shared" si="0"/>
        <v>1142.7991999999999</v>
      </c>
      <c r="F37" s="98"/>
      <c r="G37" s="98">
        <v>0</v>
      </c>
      <c r="H37" s="98">
        <v>-4772404.9982271045</v>
      </c>
      <c r="I37" s="98">
        <v>0</v>
      </c>
      <c r="J37" s="98"/>
      <c r="K37" s="98">
        <v>78961.54506270001</v>
      </c>
      <c r="L37" s="93">
        <f t="shared" si="1"/>
        <v>-4772404.9982271045</v>
      </c>
      <c r="M37" s="95">
        <f t="shared" ca="1" si="2"/>
        <v>0</v>
      </c>
      <c r="N37" s="95">
        <f ca="1">IF(P37="Hedge Fund",IF(A37=Summary!$AD$3,M37-E37,M37),IF(A37=Summary!$AD$3,L37-D37,L37))</f>
        <v>0</v>
      </c>
      <c r="O37" s="95"/>
      <c r="P37" s="107" t="s">
        <v>139</v>
      </c>
      <c r="Q37" s="107">
        <v>0</v>
      </c>
      <c r="R37" s="107">
        <v>0</v>
      </c>
      <c r="S37" s="107">
        <v>0</v>
      </c>
      <c r="T37" s="107">
        <v>0</v>
      </c>
      <c r="U37" s="107"/>
      <c r="V37" s="107"/>
      <c r="W37" s="107"/>
      <c r="X37" s="107"/>
      <c r="Y37" s="107"/>
      <c r="Z37" s="107"/>
      <c r="AA37" s="107"/>
      <c r="AB37" s="107"/>
      <c r="AC37" s="355"/>
      <c r="AD37" s="355"/>
      <c r="AE37" s="355"/>
      <c r="AF37" s="94">
        <f t="shared" si="3"/>
        <v>38017</v>
      </c>
      <c r="AG37" s="185">
        <f t="shared" si="4"/>
        <v>3.4475073686486057E-2</v>
      </c>
      <c r="AH37" s="339" t="str">
        <f>VLOOKUP(B37,'MF PF'!A:B,2)</f>
        <v>FdMgt1</v>
      </c>
      <c r="AI37" s="358">
        <f t="shared" si="5"/>
        <v>0</v>
      </c>
      <c r="AJ37" s="94">
        <f t="shared" si="6"/>
        <v>38017</v>
      </c>
    </row>
    <row r="38" spans="1:36" s="358" customFormat="1" ht="12.75" customHeight="1">
      <c r="A38" s="94">
        <v>38044</v>
      </c>
      <c r="B38" s="94" t="s">
        <v>0</v>
      </c>
      <c r="C38" s="358" t="s">
        <v>297</v>
      </c>
      <c r="D38" s="98">
        <v>93657771.974627659</v>
      </c>
      <c r="E38" s="95">
        <f t="shared" si="0"/>
        <v>1173.1184000000001</v>
      </c>
      <c r="F38" s="98"/>
      <c r="G38" s="98">
        <v>1026530.5691451132</v>
      </c>
      <c r="H38" s="98">
        <v>0</v>
      </c>
      <c r="I38" s="98">
        <v>0</v>
      </c>
      <c r="J38" s="98"/>
      <c r="K38" s="98">
        <v>79836.589362700004</v>
      </c>
      <c r="L38" s="93">
        <f t="shared" si="1"/>
        <v>1026530.5691451132</v>
      </c>
      <c r="M38" s="95">
        <f t="shared" ca="1" si="2"/>
        <v>0</v>
      </c>
      <c r="N38" s="95">
        <f ca="1">IF(P38="Hedge Fund",IF(A38=Summary!$AD$3,M38-E38,M38),IF(A38=Summary!$AD$3,L38-D38,L38))</f>
        <v>0</v>
      </c>
      <c r="O38" s="95"/>
      <c r="P38" s="107" t="s">
        <v>139</v>
      </c>
      <c r="Q38" s="107">
        <v>0</v>
      </c>
      <c r="R38" s="107">
        <v>0</v>
      </c>
      <c r="S38" s="107">
        <v>0</v>
      </c>
      <c r="T38" s="107">
        <v>0</v>
      </c>
      <c r="U38" s="107"/>
      <c r="V38" s="107"/>
      <c r="W38" s="107"/>
      <c r="X38" s="107"/>
      <c r="Y38" s="107"/>
      <c r="Z38" s="107"/>
      <c r="AA38" s="107"/>
      <c r="AB38" s="107"/>
      <c r="AF38" s="94">
        <f t="shared" si="3"/>
        <v>38044</v>
      </c>
      <c r="AG38" s="185">
        <f t="shared" si="4"/>
        <v>2.6530645103707062E-2</v>
      </c>
      <c r="AH38" s="339" t="str">
        <f>VLOOKUP(B38,'MF PF'!A:B,2)</f>
        <v>FdMgt1</v>
      </c>
      <c r="AI38" s="358">
        <f t="shared" si="5"/>
        <v>0</v>
      </c>
      <c r="AJ38" s="94">
        <f t="shared" si="6"/>
        <v>38046</v>
      </c>
    </row>
    <row r="39" spans="1:36" ht="12.75" customHeight="1">
      <c r="A39" s="8">
        <v>38077</v>
      </c>
      <c r="B39" s="94" t="s">
        <v>0</v>
      </c>
      <c r="C39" s="92" t="s">
        <v>297</v>
      </c>
      <c r="D39" s="98">
        <v>97485302.037818968</v>
      </c>
      <c r="E39" s="9">
        <f t="shared" si="0"/>
        <v>1171.0465999999999</v>
      </c>
      <c r="F39" s="98"/>
      <c r="G39" s="98">
        <v>3992935.5090329647</v>
      </c>
      <c r="H39" s="98">
        <v>0</v>
      </c>
      <c r="I39" s="98">
        <v>0</v>
      </c>
      <c r="J39" s="98"/>
      <c r="K39" s="98">
        <v>83246.3046627</v>
      </c>
      <c r="L39" s="93">
        <f t="shared" si="1"/>
        <v>3992935.5090329647</v>
      </c>
      <c r="M39" s="95">
        <f t="shared" ca="1" si="2"/>
        <v>0</v>
      </c>
      <c r="N39" s="95">
        <f ca="1">IF(P39="Hedge Fund",IF(A39=Summary!$AD$3,M39-E39,M39),IF(A39=Summary!$AD$3,L39-D39,L39))</f>
        <v>0</v>
      </c>
      <c r="P39" s="107" t="s">
        <v>139</v>
      </c>
      <c r="Q39" s="107">
        <v>0</v>
      </c>
      <c r="R39" s="107">
        <v>0</v>
      </c>
      <c r="S39" s="107">
        <v>0</v>
      </c>
      <c r="T39" s="107">
        <v>0</v>
      </c>
      <c r="U39" s="107"/>
      <c r="V39" s="107"/>
      <c r="W39" s="107"/>
      <c r="X39" s="107"/>
      <c r="Y39" s="107"/>
      <c r="Z39" s="107"/>
      <c r="AA39" s="107"/>
      <c r="AB39" s="107"/>
      <c r="AC39" s="355"/>
      <c r="AD39" s="355"/>
      <c r="AE39" s="355"/>
      <c r="AF39" s="94">
        <f t="shared" si="3"/>
        <v>38077</v>
      </c>
      <c r="AG39" s="185">
        <f t="shared" si="4"/>
        <v>-1.7660621468388316E-3</v>
      </c>
      <c r="AH39" s="339" t="str">
        <f>VLOOKUP(B39,'MF PF'!A:B,2)</f>
        <v>FdMgt1</v>
      </c>
      <c r="AI39" s="358">
        <f t="shared" si="5"/>
        <v>0</v>
      </c>
      <c r="AJ39" s="94">
        <f t="shared" si="6"/>
        <v>38077</v>
      </c>
    </row>
    <row r="40" spans="1:36" ht="12.75" customHeight="1">
      <c r="A40" s="8">
        <v>38107</v>
      </c>
      <c r="B40" s="94" t="s">
        <v>0</v>
      </c>
      <c r="C40" s="92" t="s">
        <v>297</v>
      </c>
      <c r="D40" s="98">
        <v>101662518.16102278</v>
      </c>
      <c r="E40" s="9">
        <f t="shared" si="0"/>
        <v>1167.9290000000001</v>
      </c>
      <c r="F40" s="98"/>
      <c r="G40" s="98">
        <v>4436744.8026202321</v>
      </c>
      <c r="H40" s="98">
        <v>0</v>
      </c>
      <c r="I40" s="98">
        <v>0</v>
      </c>
      <c r="J40" s="98"/>
      <c r="K40" s="98">
        <v>87045.118462700018</v>
      </c>
      <c r="L40" s="93">
        <f t="shared" si="1"/>
        <v>4436744.8026202321</v>
      </c>
      <c r="M40" s="95">
        <f t="shared" ca="1" si="2"/>
        <v>0</v>
      </c>
      <c r="N40" s="95">
        <f ca="1">IF(P40="Hedge Fund",IF(A40=Summary!$AD$3,M40-E40,M40),IF(A40=Summary!$AD$3,L40-D40,L40))</f>
        <v>0</v>
      </c>
      <c r="P40" s="107" t="s">
        <v>139</v>
      </c>
      <c r="Q40" s="107">
        <v>0</v>
      </c>
      <c r="R40" s="107">
        <v>0</v>
      </c>
      <c r="S40" s="107">
        <v>0</v>
      </c>
      <c r="T40" s="107">
        <v>0</v>
      </c>
      <c r="U40" s="107"/>
      <c r="V40" s="107"/>
      <c r="W40" s="107"/>
      <c r="X40" s="107"/>
      <c r="Y40" s="107"/>
      <c r="Z40" s="107"/>
      <c r="AA40" s="107"/>
      <c r="AB40" s="107"/>
      <c r="AC40" s="355"/>
      <c r="AD40" s="355"/>
      <c r="AE40" s="355"/>
      <c r="AF40" s="94">
        <f t="shared" si="3"/>
        <v>38107</v>
      </c>
      <c r="AG40" s="185">
        <f t="shared" si="4"/>
        <v>-2.6622339367193826E-3</v>
      </c>
      <c r="AH40" s="339" t="str">
        <f>VLOOKUP(B40,'MF PF'!A:B,2)</f>
        <v>FdMgt1</v>
      </c>
      <c r="AI40" s="358">
        <f t="shared" si="5"/>
        <v>0</v>
      </c>
      <c r="AJ40" s="94">
        <f t="shared" si="6"/>
        <v>38107</v>
      </c>
    </row>
    <row r="41" spans="1:36" ht="12.75" customHeight="1">
      <c r="A41" s="8">
        <v>38138</v>
      </c>
      <c r="B41" s="94" t="s">
        <v>0</v>
      </c>
      <c r="C41" s="92" t="s">
        <v>297</v>
      </c>
      <c r="D41" s="98">
        <v>118417278.68384798</v>
      </c>
      <c r="E41" s="9">
        <f t="shared" si="0"/>
        <v>1141.9378999999997</v>
      </c>
      <c r="F41" s="98"/>
      <c r="G41" s="98">
        <v>19017158.901301116</v>
      </c>
      <c r="H41" s="98">
        <v>0</v>
      </c>
      <c r="I41" s="98">
        <v>0</v>
      </c>
      <c r="J41" s="98"/>
      <c r="K41" s="98">
        <v>103698.52746270003</v>
      </c>
      <c r="L41" s="93">
        <f t="shared" si="1"/>
        <v>19017158.901301116</v>
      </c>
      <c r="M41" s="95">
        <f t="shared" ca="1" si="2"/>
        <v>0</v>
      </c>
      <c r="N41" s="95">
        <f ca="1">IF(P41="Hedge Fund",IF(A41=Summary!$AD$3,M41-E41,M41),IF(A41=Summary!$AD$3,L41-D41,L41))</f>
        <v>0</v>
      </c>
      <c r="P41" s="107" t="s">
        <v>139</v>
      </c>
      <c r="Q41" s="107">
        <v>0</v>
      </c>
      <c r="R41" s="107">
        <v>0</v>
      </c>
      <c r="S41" s="107">
        <v>0</v>
      </c>
      <c r="T41" s="107">
        <v>0</v>
      </c>
      <c r="U41" s="107"/>
      <c r="V41" s="107"/>
      <c r="W41" s="107"/>
      <c r="X41" s="107"/>
      <c r="Y41" s="107"/>
      <c r="Z41" s="107"/>
      <c r="AA41" s="107"/>
      <c r="AB41" s="107"/>
      <c r="AC41" s="355"/>
      <c r="AD41" s="355"/>
      <c r="AE41" s="355"/>
      <c r="AF41" s="94">
        <f t="shared" si="3"/>
        <v>38138</v>
      </c>
      <c r="AG41" s="185">
        <f t="shared" si="4"/>
        <v>-2.2254006878843158E-2</v>
      </c>
      <c r="AH41" s="339" t="str">
        <f>VLOOKUP(B41,'MF PF'!A:B,2)</f>
        <v>FdMgt1</v>
      </c>
      <c r="AI41" s="358">
        <f t="shared" si="5"/>
        <v>0</v>
      </c>
      <c r="AJ41" s="94">
        <f t="shared" si="6"/>
        <v>38138</v>
      </c>
    </row>
    <row r="42" spans="1:36" ht="12.75" customHeight="1">
      <c r="A42" s="8">
        <v>38168</v>
      </c>
      <c r="B42" s="94" t="s">
        <v>0</v>
      </c>
      <c r="C42" s="92" t="s">
        <v>297</v>
      </c>
      <c r="D42" s="98">
        <v>119663386.78956835</v>
      </c>
      <c r="E42" s="9">
        <f t="shared" si="0"/>
        <v>1152.3003000000001</v>
      </c>
      <c r="F42" s="98"/>
      <c r="G42" s="98">
        <v>171542.48474085331</v>
      </c>
      <c r="H42" s="98">
        <v>0</v>
      </c>
      <c r="I42" s="98">
        <v>0</v>
      </c>
      <c r="J42" s="98"/>
      <c r="K42" s="98">
        <v>103847.39706270001</v>
      </c>
      <c r="L42" s="93">
        <f t="shared" si="1"/>
        <v>171542.48474085331</v>
      </c>
      <c r="M42" s="95">
        <f t="shared" ca="1" si="2"/>
        <v>0</v>
      </c>
      <c r="N42" s="95">
        <f ca="1">IF(P42="Hedge Fund",IF(A42=Summary!$AD$3,M42-E42,M42),IF(A42=Summary!$AD$3,L42-D42,L42))</f>
        <v>0</v>
      </c>
      <c r="P42" s="89" t="s">
        <v>139</v>
      </c>
      <c r="Q42" s="107">
        <v>0</v>
      </c>
      <c r="R42" s="107">
        <v>0</v>
      </c>
      <c r="S42" s="107">
        <v>0</v>
      </c>
      <c r="T42" s="107">
        <v>0</v>
      </c>
      <c r="U42" s="107"/>
      <c r="V42" s="107"/>
      <c r="W42" s="107"/>
      <c r="X42" s="107"/>
      <c r="Y42" s="107"/>
      <c r="Z42" s="107"/>
      <c r="AA42" s="107"/>
      <c r="AB42" s="107"/>
      <c r="AC42" s="355"/>
      <c r="AD42" s="355"/>
      <c r="AE42" s="355"/>
      <c r="AF42" s="94">
        <f t="shared" si="3"/>
        <v>38168</v>
      </c>
      <c r="AG42" s="185">
        <f t="shared" si="4"/>
        <v>9.0743988793089425E-3</v>
      </c>
      <c r="AH42" s="339" t="str">
        <f>VLOOKUP(B42,'MF PF'!A:B,2)</f>
        <v>FdMgt1</v>
      </c>
      <c r="AI42" s="358">
        <f t="shared" si="5"/>
        <v>0</v>
      </c>
      <c r="AJ42" s="94">
        <f t="shared" si="6"/>
        <v>38168</v>
      </c>
    </row>
    <row r="43" spans="1:36" ht="12.75" customHeight="1">
      <c r="A43" s="8">
        <v>38198</v>
      </c>
      <c r="B43" s="94" t="s">
        <v>0</v>
      </c>
      <c r="C43" s="92" t="s">
        <v>297</v>
      </c>
      <c r="D43" s="98">
        <v>120028558.13680373</v>
      </c>
      <c r="E43" s="9">
        <f t="shared" si="0"/>
        <v>1158.3661</v>
      </c>
      <c r="F43" s="98"/>
      <c r="G43" s="98">
        <v>0</v>
      </c>
      <c r="H43" s="98">
        <v>-264746.1938675344</v>
      </c>
      <c r="I43" s="98">
        <v>0</v>
      </c>
      <c r="J43" s="98"/>
      <c r="K43" s="98">
        <v>103618.84566270003</v>
      </c>
      <c r="L43" s="93">
        <f t="shared" si="1"/>
        <v>-264746.1938675344</v>
      </c>
      <c r="M43" s="95">
        <f t="shared" ca="1" si="2"/>
        <v>0</v>
      </c>
      <c r="N43" s="95">
        <f ca="1">IF(P43="Hedge Fund",IF(A43=Summary!$AD$3,M43-E43,M43),IF(A43=Summary!$AD$3,L43-D43,L43))</f>
        <v>0</v>
      </c>
      <c r="P43" s="89" t="s">
        <v>139</v>
      </c>
      <c r="Q43" s="107">
        <v>0</v>
      </c>
      <c r="R43" s="107">
        <v>0</v>
      </c>
      <c r="S43" s="107">
        <v>0</v>
      </c>
      <c r="T43" s="107">
        <v>0</v>
      </c>
      <c r="U43" s="107"/>
      <c r="V43" s="107"/>
      <c r="W43" s="107"/>
      <c r="X43" s="107"/>
      <c r="Y43" s="107"/>
      <c r="Z43" s="107"/>
      <c r="AA43" s="107"/>
      <c r="AB43" s="107"/>
      <c r="AC43" s="355"/>
      <c r="AD43" s="355"/>
      <c r="AE43" s="355"/>
      <c r="AF43" s="94">
        <f t="shared" si="3"/>
        <v>38198</v>
      </c>
      <c r="AG43" s="185">
        <f t="shared" si="4"/>
        <v>5.2640791640858886E-3</v>
      </c>
      <c r="AH43" s="339" t="str">
        <f>VLOOKUP(B43,'MF PF'!A:B,2)</f>
        <v>FdMgt1</v>
      </c>
      <c r="AI43" s="358">
        <f t="shared" si="5"/>
        <v>0</v>
      </c>
      <c r="AJ43" s="94">
        <f t="shared" si="6"/>
        <v>38199</v>
      </c>
    </row>
    <row r="44" spans="1:36" ht="12.75" customHeight="1">
      <c r="A44" s="8">
        <v>38230</v>
      </c>
      <c r="B44" s="94" t="s">
        <v>0</v>
      </c>
      <c r="C44" s="92" t="s">
        <v>297</v>
      </c>
      <c r="D44" s="47">
        <v>120175468.9361843</v>
      </c>
      <c r="E44" s="9">
        <f t="shared" si="0"/>
        <v>1159.7838999999999</v>
      </c>
      <c r="F44" s="47"/>
      <c r="G44" s="47">
        <v>0</v>
      </c>
      <c r="H44" s="47">
        <v>-1.4901161193847656E-8</v>
      </c>
      <c r="I44" s="47">
        <v>0</v>
      </c>
      <c r="J44" s="98"/>
      <c r="K44" s="98">
        <v>103618.84566270003</v>
      </c>
      <c r="L44" s="93">
        <f t="shared" si="1"/>
        <v>-1.4901161193847656E-8</v>
      </c>
      <c r="M44" s="95">
        <f t="shared" ca="1" si="2"/>
        <v>0</v>
      </c>
      <c r="N44" s="95">
        <f ca="1">IF(P44="Hedge Fund",IF(A44=Summary!$AD$3,M44-E44,M44),IF(A44=Summary!$AD$3,L44-D44,L44))</f>
        <v>0</v>
      </c>
      <c r="P44" s="89" t="s">
        <v>139</v>
      </c>
      <c r="Q44" s="89">
        <v>0</v>
      </c>
      <c r="R44" s="89">
        <v>0</v>
      </c>
      <c r="S44" s="89">
        <v>0</v>
      </c>
      <c r="T44" s="89">
        <v>0</v>
      </c>
      <c r="U44" s="89"/>
      <c r="V44" s="89"/>
      <c r="W44" s="89"/>
      <c r="X44" s="89"/>
      <c r="Y44" s="89"/>
      <c r="Z44" s="89"/>
      <c r="AA44" s="89"/>
      <c r="AB44" s="89"/>
      <c r="AC44" s="355"/>
      <c r="AD44" s="355"/>
      <c r="AE44" s="355"/>
      <c r="AF44" s="94">
        <f t="shared" si="3"/>
        <v>38230</v>
      </c>
      <c r="AG44" s="185">
        <f t="shared" si="4"/>
        <v>1.2239653767491809E-3</v>
      </c>
      <c r="AH44" s="339" t="str">
        <f>VLOOKUP(B44,'MF PF'!A:B,2)</f>
        <v>FdMgt1</v>
      </c>
      <c r="AI44" s="358">
        <f t="shared" si="5"/>
        <v>0</v>
      </c>
      <c r="AJ44" s="94">
        <f t="shared" si="6"/>
        <v>38230</v>
      </c>
    </row>
    <row r="45" spans="1:36" ht="12.75" customHeight="1">
      <c r="A45" s="8">
        <v>38260</v>
      </c>
      <c r="B45" s="94" t="s">
        <v>0</v>
      </c>
      <c r="C45" s="92" t="s">
        <v>297</v>
      </c>
      <c r="D45" s="98">
        <v>133151966.97990951</v>
      </c>
      <c r="E45" s="9">
        <f t="shared" si="0"/>
        <v>1185.8472000000002</v>
      </c>
      <c r="F45" s="47"/>
      <c r="G45" s="47">
        <v>10275848.983564526</v>
      </c>
      <c r="H45" s="47">
        <v>0</v>
      </c>
      <c r="I45" s="47">
        <v>0</v>
      </c>
      <c r="J45" s="98"/>
      <c r="K45" s="98">
        <v>112284.2529627</v>
      </c>
      <c r="L45" s="93">
        <f t="shared" si="1"/>
        <v>10275848.983564526</v>
      </c>
      <c r="M45" s="95">
        <f t="shared" ca="1" si="2"/>
        <v>0</v>
      </c>
      <c r="N45" s="95">
        <f ca="1">IF(P45="Hedge Fund",IF(A45=Summary!$AD$3,M45-E45,M45),IF(A45=Summary!$AD$3,L45-D45,L45))</f>
        <v>0</v>
      </c>
      <c r="P45" s="89" t="s">
        <v>139</v>
      </c>
      <c r="Q45" s="107">
        <v>0</v>
      </c>
      <c r="R45" s="107">
        <v>0</v>
      </c>
      <c r="S45" s="89">
        <v>0</v>
      </c>
      <c r="T45" s="89">
        <v>0</v>
      </c>
      <c r="U45" s="89"/>
      <c r="V45" s="89"/>
      <c r="W45" s="89"/>
      <c r="X45" s="89"/>
      <c r="Y45" s="89"/>
      <c r="Z45" s="89"/>
      <c r="AA45" s="89"/>
      <c r="AB45" s="89"/>
      <c r="AC45" s="355"/>
      <c r="AD45" s="355"/>
      <c r="AE45" s="355"/>
      <c r="AF45" s="94">
        <f t="shared" si="3"/>
        <v>38260</v>
      </c>
      <c r="AG45" s="185">
        <f t="shared" si="4"/>
        <v>2.2472548549777427E-2</v>
      </c>
      <c r="AH45" s="339" t="str">
        <f>VLOOKUP(B45,'MF PF'!A:B,2)</f>
        <v>FdMgt1</v>
      </c>
      <c r="AI45" s="358">
        <f t="shared" si="5"/>
        <v>0</v>
      </c>
      <c r="AJ45" s="94">
        <f t="shared" si="6"/>
        <v>38260</v>
      </c>
    </row>
    <row r="46" spans="1:36" ht="12.75" customHeight="1">
      <c r="A46" s="8">
        <v>38289</v>
      </c>
      <c r="B46" s="94" t="s">
        <v>0</v>
      </c>
      <c r="C46" s="92" t="s">
        <v>297</v>
      </c>
      <c r="D46" s="47">
        <v>132441385.28338923</v>
      </c>
      <c r="E46" s="9">
        <f t="shared" si="0"/>
        <v>1202.7425000000003</v>
      </c>
      <c r="F46" s="47"/>
      <c r="G46" s="47">
        <v>0</v>
      </c>
      <c r="H46" s="47">
        <v>-2607657.8356010169</v>
      </c>
      <c r="I46" s="47">
        <v>0</v>
      </c>
      <c r="J46" s="98"/>
      <c r="K46" s="98">
        <v>110116.1597627</v>
      </c>
      <c r="L46" s="93">
        <f t="shared" si="1"/>
        <v>-2607657.8356010169</v>
      </c>
      <c r="M46" s="95">
        <f t="shared" ca="1" si="2"/>
        <v>0</v>
      </c>
      <c r="N46" s="95">
        <f ca="1">IF(P46="Hedge Fund",IF(A46=Summary!$AD$3,M46-E46,M46),IF(A46=Summary!$AD$3,L46-D46,L46))</f>
        <v>0</v>
      </c>
      <c r="P46" s="89" t="s">
        <v>139</v>
      </c>
      <c r="Q46" s="89">
        <v>0</v>
      </c>
      <c r="R46" s="89">
        <v>0</v>
      </c>
      <c r="S46" s="89">
        <v>0</v>
      </c>
      <c r="T46" s="89">
        <v>0</v>
      </c>
      <c r="U46" s="89"/>
      <c r="V46" s="89"/>
      <c r="W46" s="89"/>
      <c r="X46" s="89"/>
      <c r="Y46" s="89"/>
      <c r="Z46" s="89"/>
      <c r="AA46" s="89"/>
      <c r="AB46" s="89"/>
      <c r="AC46" s="355"/>
      <c r="AD46" s="355"/>
      <c r="AE46" s="355"/>
      <c r="AF46" s="94">
        <f t="shared" si="3"/>
        <v>38289</v>
      </c>
      <c r="AG46" s="185">
        <f t="shared" si="4"/>
        <v>1.4247451104999254E-2</v>
      </c>
      <c r="AH46" s="339" t="str">
        <f>VLOOKUP(B46,'MF PF'!A:B,2)</f>
        <v>FdMgt1</v>
      </c>
      <c r="AI46" s="358">
        <f t="shared" si="5"/>
        <v>0</v>
      </c>
      <c r="AJ46" s="94">
        <f t="shared" si="6"/>
        <v>38291</v>
      </c>
    </row>
    <row r="47" spans="1:36" ht="12.75" customHeight="1">
      <c r="A47" s="8">
        <v>38321</v>
      </c>
      <c r="B47" s="94" t="s">
        <v>0</v>
      </c>
      <c r="C47" s="92" t="s">
        <v>297</v>
      </c>
      <c r="D47" s="47">
        <v>138826338.32738152</v>
      </c>
      <c r="E47" s="9">
        <f t="shared" si="0"/>
        <v>1258.3509999999999</v>
      </c>
      <c r="F47" s="47"/>
      <c r="G47" s="47">
        <v>261558.57382822037</v>
      </c>
      <c r="H47" s="47">
        <v>0</v>
      </c>
      <c r="I47" s="47">
        <v>0</v>
      </c>
      <c r="J47" s="98"/>
      <c r="K47" s="98">
        <v>110324.01796270002</v>
      </c>
      <c r="L47" s="93">
        <f t="shared" si="1"/>
        <v>261558.57382822037</v>
      </c>
      <c r="M47" s="95">
        <f t="shared" ca="1" si="2"/>
        <v>0</v>
      </c>
      <c r="N47" s="95">
        <f ca="1">IF(P47="Hedge Fund",IF(A47=Summary!$AD$3,M47-E47,M47),IF(A47=Summary!$AD$3,L47-D47,L47))</f>
        <v>0</v>
      </c>
      <c r="P47" s="89" t="s">
        <v>139</v>
      </c>
      <c r="Q47" s="89">
        <v>0</v>
      </c>
      <c r="R47" s="89">
        <v>0</v>
      </c>
      <c r="S47" s="89">
        <v>0</v>
      </c>
      <c r="T47" s="89">
        <v>0</v>
      </c>
      <c r="U47" s="89"/>
      <c r="V47" s="89"/>
      <c r="W47" s="89"/>
      <c r="X47" s="89"/>
      <c r="Y47" s="89"/>
      <c r="Z47" s="89"/>
      <c r="AA47" s="89"/>
      <c r="AB47" s="89"/>
      <c r="AC47" s="355"/>
      <c r="AD47" s="355"/>
      <c r="AE47" s="355"/>
      <c r="AF47" s="94">
        <f t="shared" si="3"/>
        <v>38321</v>
      </c>
      <c r="AG47" s="185">
        <f t="shared" si="4"/>
        <v>4.6234750996160701E-2</v>
      </c>
      <c r="AH47" s="339" t="str">
        <f>VLOOKUP(B47,'MF PF'!A:B,2)</f>
        <v>FdMgt1</v>
      </c>
      <c r="AI47" s="358">
        <f t="shared" si="5"/>
        <v>0</v>
      </c>
      <c r="AJ47" s="94">
        <f t="shared" si="6"/>
        <v>38321</v>
      </c>
    </row>
    <row r="48" spans="1:36" ht="12.75" customHeight="1">
      <c r="A48" s="8">
        <v>38352</v>
      </c>
      <c r="B48" s="94" t="s">
        <v>0</v>
      </c>
      <c r="C48" s="92" t="s">
        <v>297</v>
      </c>
      <c r="D48" s="47">
        <v>161923259.5087077</v>
      </c>
      <c r="E48" s="9">
        <f t="shared" si="0"/>
        <v>1291.0157999999999</v>
      </c>
      <c r="F48" s="47"/>
      <c r="G48" s="47">
        <v>19493209.199378192</v>
      </c>
      <c r="H48" s="47">
        <v>0</v>
      </c>
      <c r="I48" s="47">
        <v>0</v>
      </c>
      <c r="J48" s="98"/>
      <c r="K48" s="98">
        <v>125423.14316270004</v>
      </c>
      <c r="L48" s="93">
        <f t="shared" si="1"/>
        <v>19493209.199378192</v>
      </c>
      <c r="M48" s="95">
        <f t="shared" ca="1" si="2"/>
        <v>0</v>
      </c>
      <c r="N48" s="95">
        <f ca="1">IF(P48="Hedge Fund",IF(A48=Summary!$AD$3,M48-E48,M48),IF(A48=Summary!$AD$3,L48-D48,L48))</f>
        <v>0</v>
      </c>
      <c r="P48" s="89" t="s">
        <v>139</v>
      </c>
      <c r="Q48" s="89">
        <v>0</v>
      </c>
      <c r="R48" s="89">
        <v>0</v>
      </c>
      <c r="S48" s="89">
        <v>0</v>
      </c>
      <c r="T48" s="89">
        <v>0</v>
      </c>
      <c r="U48" s="89"/>
      <c r="V48" s="89"/>
      <c r="W48" s="89"/>
      <c r="X48" s="89"/>
      <c r="Y48" s="89"/>
      <c r="Z48" s="89"/>
      <c r="AA48" s="89"/>
      <c r="AB48" s="89"/>
      <c r="AC48" s="355"/>
      <c r="AD48" s="355"/>
      <c r="AE48" s="355"/>
      <c r="AF48" s="94">
        <f t="shared" si="3"/>
        <v>38352</v>
      </c>
      <c r="AG48" s="185">
        <f t="shared" si="4"/>
        <v>2.5958417007655221E-2</v>
      </c>
      <c r="AH48" s="339" t="str">
        <f>VLOOKUP(B48,'MF PF'!A:B,2)</f>
        <v>FdMgt1</v>
      </c>
      <c r="AI48" s="358">
        <f t="shared" si="5"/>
        <v>0</v>
      </c>
      <c r="AJ48" s="94">
        <f t="shared" si="6"/>
        <v>38352</v>
      </c>
    </row>
    <row r="49" spans="1:36" ht="12.75" customHeight="1">
      <c r="A49" s="94">
        <v>38383</v>
      </c>
      <c r="B49" s="94" t="s">
        <v>0</v>
      </c>
      <c r="C49" s="358" t="s">
        <v>297</v>
      </c>
      <c r="D49" s="98">
        <v>183039313.04451823</v>
      </c>
      <c r="E49" s="9">
        <f t="shared" si="0"/>
        <v>1306.5826000000002</v>
      </c>
      <c r="F49" s="47"/>
      <c r="G49" s="47">
        <v>19163616.550825357</v>
      </c>
      <c r="H49" s="47">
        <v>0</v>
      </c>
      <c r="I49" s="47">
        <v>0</v>
      </c>
      <c r="J49" s="98"/>
      <c r="K49" s="98">
        <v>140090.1198627</v>
      </c>
      <c r="L49" s="93">
        <f t="shared" si="1"/>
        <v>19163616.550825357</v>
      </c>
      <c r="M49" s="95">
        <f t="shared" ca="1" si="2"/>
        <v>0</v>
      </c>
      <c r="N49" s="95">
        <f ca="1">IF(P49="Hedge Fund",IF(A49=Summary!$AD$3,M49-E49,M49),IF(A49=Summary!$AD$3,L49-D49,L49))</f>
        <v>0</v>
      </c>
      <c r="P49" s="89" t="s">
        <v>139</v>
      </c>
      <c r="Q49" s="89">
        <v>0</v>
      </c>
      <c r="R49" s="89">
        <v>0</v>
      </c>
      <c r="S49" s="89">
        <v>0</v>
      </c>
      <c r="T49" s="107">
        <v>0</v>
      </c>
      <c r="U49" s="107"/>
      <c r="V49" s="107"/>
      <c r="W49" s="107"/>
      <c r="X49" s="107"/>
      <c r="Y49" s="107"/>
      <c r="Z49" s="107"/>
      <c r="AA49" s="107"/>
      <c r="AB49" s="107"/>
      <c r="AC49" s="355"/>
      <c r="AD49" s="355"/>
      <c r="AE49" s="355"/>
      <c r="AF49" s="94">
        <f t="shared" si="3"/>
        <v>38383</v>
      </c>
      <c r="AG49" s="185">
        <f t="shared" si="4"/>
        <v>1.205779201153101E-2</v>
      </c>
      <c r="AH49" s="339" t="str">
        <f>VLOOKUP(B49,'MF PF'!A:B,2)</f>
        <v>FdMgt1</v>
      </c>
      <c r="AI49" s="358">
        <f t="shared" si="5"/>
        <v>0</v>
      </c>
      <c r="AJ49" s="94">
        <f t="shared" si="6"/>
        <v>38383</v>
      </c>
    </row>
    <row r="50" spans="1:36" ht="12.75" customHeight="1">
      <c r="A50" s="8">
        <v>38411</v>
      </c>
      <c r="B50" s="94" t="s">
        <v>0</v>
      </c>
      <c r="C50" s="92" t="s">
        <v>297</v>
      </c>
      <c r="D50" s="98">
        <v>197976654.86490938</v>
      </c>
      <c r="E50" s="9">
        <f t="shared" si="0"/>
        <v>1337.2299999999998</v>
      </c>
      <c r="F50" s="47"/>
      <c r="G50" s="47">
        <v>10643943.880911082</v>
      </c>
      <c r="H50" s="47">
        <v>0</v>
      </c>
      <c r="I50" s="47">
        <v>0</v>
      </c>
      <c r="J50" s="98"/>
      <c r="K50" s="98">
        <v>148049.81556270007</v>
      </c>
      <c r="L50" s="93">
        <f t="shared" si="1"/>
        <v>10643943.880911082</v>
      </c>
      <c r="M50" s="95">
        <f t="shared" ca="1" si="2"/>
        <v>0</v>
      </c>
      <c r="N50" s="95">
        <f ca="1">IF(P50="Hedge Fund",IF(A50=Summary!$AD$3,M50-E50,M50),IF(A50=Summary!$AD$3,L50-D50,L50))</f>
        <v>0</v>
      </c>
      <c r="P50" s="89" t="s">
        <v>139</v>
      </c>
      <c r="Q50" s="89">
        <v>0</v>
      </c>
      <c r="R50" s="89">
        <v>0</v>
      </c>
      <c r="S50" s="89">
        <v>0</v>
      </c>
      <c r="T50" s="89">
        <v>0</v>
      </c>
      <c r="U50" s="89"/>
      <c r="V50" s="89"/>
      <c r="W50" s="89"/>
      <c r="X50" s="89"/>
      <c r="Y50" s="89"/>
      <c r="Z50" s="89"/>
      <c r="AA50" s="89"/>
      <c r="AB50" s="89"/>
      <c r="AC50" s="355"/>
      <c r="AD50" s="355"/>
      <c r="AE50" s="355"/>
      <c r="AF50" s="94">
        <f t="shared" si="3"/>
        <v>38411</v>
      </c>
      <c r="AG50" s="185">
        <f t="shared" si="4"/>
        <v>2.3456151949367454E-2</v>
      </c>
      <c r="AH50" s="339" t="str">
        <f>VLOOKUP(B50,'MF PF'!A:B,2)</f>
        <v>FdMgt1</v>
      </c>
      <c r="AI50" s="358">
        <f t="shared" si="5"/>
        <v>0</v>
      </c>
      <c r="AJ50" s="94">
        <f t="shared" si="6"/>
        <v>38411</v>
      </c>
    </row>
    <row r="51" spans="1:36" ht="12.75" customHeight="1">
      <c r="A51" s="8">
        <v>38442</v>
      </c>
      <c r="B51" s="94" t="s">
        <v>0</v>
      </c>
      <c r="C51" s="92" t="s">
        <v>297</v>
      </c>
      <c r="D51" s="47">
        <v>197964520.74361074</v>
      </c>
      <c r="E51" s="9">
        <f t="shared" si="0"/>
        <v>1323.7750000000001</v>
      </c>
      <c r="F51" s="47"/>
      <c r="G51" s="47">
        <v>1979876.1470974386</v>
      </c>
      <c r="H51" s="47">
        <v>0</v>
      </c>
      <c r="I51" s="47">
        <v>0</v>
      </c>
      <c r="J51" s="98"/>
      <c r="K51" s="98">
        <v>149545.44446270002</v>
      </c>
      <c r="L51" s="93">
        <f t="shared" si="1"/>
        <v>1979876.1470974386</v>
      </c>
      <c r="M51" s="95">
        <f t="shared" ca="1" si="2"/>
        <v>0</v>
      </c>
      <c r="N51" s="95">
        <f ca="1">IF(P51="Hedge Fund",IF(A51=Summary!$AD$3,M51-E51,M51),IF(A51=Summary!$AD$3,L51-D51,L51))</f>
        <v>0</v>
      </c>
      <c r="P51" s="89" t="s">
        <v>139</v>
      </c>
      <c r="Q51" s="89">
        <v>0</v>
      </c>
      <c r="R51" s="89">
        <v>0</v>
      </c>
      <c r="S51" s="89">
        <v>0</v>
      </c>
      <c r="T51" s="89">
        <v>0</v>
      </c>
      <c r="U51" s="89"/>
      <c r="V51" s="89"/>
      <c r="W51" s="89"/>
      <c r="X51" s="89"/>
      <c r="Y51" s="89"/>
      <c r="Z51" s="89"/>
      <c r="AA51" s="89"/>
      <c r="AB51" s="89"/>
      <c r="AC51" s="355"/>
      <c r="AD51" s="355"/>
      <c r="AE51" s="355"/>
      <c r="AF51" s="94">
        <f t="shared" si="3"/>
        <v>38442</v>
      </c>
      <c r="AG51" s="185">
        <f t="shared" si="4"/>
        <v>-1.0061844260149444E-2</v>
      </c>
      <c r="AH51" s="339" t="str">
        <f>VLOOKUP(B51,'MF PF'!A:B,2)</f>
        <v>FdMgt1</v>
      </c>
      <c r="AI51" s="358">
        <f t="shared" si="5"/>
        <v>0</v>
      </c>
      <c r="AJ51" s="94">
        <f t="shared" si="6"/>
        <v>38442</v>
      </c>
    </row>
    <row r="52" spans="1:36" ht="12.75" customHeight="1">
      <c r="A52" s="8">
        <v>38472</v>
      </c>
      <c r="B52" s="94" t="s">
        <v>0</v>
      </c>
      <c r="C52" s="92" t="s">
        <v>297</v>
      </c>
      <c r="D52" s="98">
        <v>195145846.018877</v>
      </c>
      <c r="E52" s="9">
        <f t="shared" si="0"/>
        <v>1295.7067999999999</v>
      </c>
      <c r="F52" s="47"/>
      <c r="G52" s="47">
        <v>1378796.7195342481</v>
      </c>
      <c r="H52" s="47">
        <v>0</v>
      </c>
      <c r="I52" s="47">
        <v>0</v>
      </c>
      <c r="J52" s="98"/>
      <c r="K52" s="98">
        <v>150609.5715627</v>
      </c>
      <c r="L52" s="93">
        <f t="shared" si="1"/>
        <v>1378796.7195342481</v>
      </c>
      <c r="M52" s="95">
        <f t="shared" ca="1" si="2"/>
        <v>0</v>
      </c>
      <c r="N52" s="95">
        <f ca="1">IF(P52="Hedge Fund",IF(A52=Summary!$AD$3,M52-E52,M52),IF(A52=Summary!$AD$3,L52-D52,L52))</f>
        <v>0</v>
      </c>
      <c r="P52" s="89" t="s">
        <v>139</v>
      </c>
      <c r="Q52" s="89">
        <v>0</v>
      </c>
      <c r="R52" s="89">
        <v>0</v>
      </c>
      <c r="S52" s="89">
        <v>0</v>
      </c>
      <c r="T52" s="107">
        <v>0</v>
      </c>
      <c r="U52" s="107"/>
      <c r="V52" s="107"/>
      <c r="W52" s="107"/>
      <c r="X52" s="107"/>
      <c r="Y52" s="107"/>
      <c r="Z52" s="107"/>
      <c r="AA52" s="107"/>
      <c r="AB52" s="107"/>
      <c r="AC52" s="355"/>
      <c r="AD52" s="355"/>
      <c r="AE52" s="355"/>
      <c r="AF52" s="94">
        <f t="shared" si="3"/>
        <v>38472</v>
      </c>
      <c r="AG52" s="185">
        <f t="shared" si="4"/>
        <v>-2.1203150082151567E-2</v>
      </c>
      <c r="AH52" s="339" t="str">
        <f>VLOOKUP(B52,'MF PF'!A:B,2)</f>
        <v>FdMgt1</v>
      </c>
      <c r="AI52" s="358">
        <f t="shared" si="5"/>
        <v>0</v>
      </c>
      <c r="AJ52" s="94">
        <f t="shared" si="6"/>
        <v>38472</v>
      </c>
    </row>
    <row r="53" spans="1:36" ht="12.75" customHeight="1">
      <c r="A53" s="8">
        <v>38503</v>
      </c>
      <c r="B53" s="94" t="s">
        <v>0</v>
      </c>
      <c r="C53" s="6" t="s">
        <v>297</v>
      </c>
      <c r="D53" s="98">
        <v>196818576.16448098</v>
      </c>
      <c r="E53" s="9">
        <f t="shared" si="0"/>
        <v>1306.8132000000001</v>
      </c>
      <c r="F53" s="98"/>
      <c r="G53" s="98">
        <v>0</v>
      </c>
      <c r="H53" s="98">
        <v>0</v>
      </c>
      <c r="I53" s="98">
        <v>0</v>
      </c>
      <c r="J53" s="98"/>
      <c r="K53" s="98">
        <v>150609.5715627</v>
      </c>
      <c r="L53" s="93">
        <f t="shared" si="1"/>
        <v>0</v>
      </c>
      <c r="M53" s="95">
        <f t="shared" ca="1" si="2"/>
        <v>0</v>
      </c>
      <c r="N53" s="95">
        <f ca="1">IF(P53="Hedge Fund",IF(A53=Summary!$AD$3,M53-E53,M53),IF(A53=Summary!$AD$3,L53-D53,L53))</f>
        <v>0</v>
      </c>
      <c r="P53" s="89" t="s">
        <v>139</v>
      </c>
      <c r="Q53" s="107">
        <v>0</v>
      </c>
      <c r="R53" s="107">
        <v>0</v>
      </c>
      <c r="S53" s="107">
        <v>0</v>
      </c>
      <c r="T53" s="107">
        <v>0</v>
      </c>
      <c r="U53" s="107"/>
      <c r="V53" s="107"/>
      <c r="W53" s="107"/>
      <c r="X53" s="107"/>
      <c r="Y53" s="107"/>
      <c r="Z53" s="107"/>
      <c r="AA53" s="107"/>
      <c r="AB53" s="107"/>
      <c r="AC53" s="355"/>
      <c r="AD53" s="355"/>
      <c r="AE53" s="355"/>
      <c r="AF53" s="94">
        <f t="shared" si="3"/>
        <v>38503</v>
      </c>
      <c r="AG53" s="185">
        <f t="shared" si="4"/>
        <v>8.5716922995233702E-3</v>
      </c>
      <c r="AH53" s="339" t="str">
        <f>VLOOKUP(B53,'MF PF'!A:B,2)</f>
        <v>FdMgt1</v>
      </c>
      <c r="AI53" s="358">
        <f t="shared" si="5"/>
        <v>0</v>
      </c>
      <c r="AJ53" s="94">
        <f t="shared" si="6"/>
        <v>38503</v>
      </c>
    </row>
    <row r="54" spans="1:36" ht="12.75" customHeight="1">
      <c r="A54" s="8">
        <v>38533</v>
      </c>
      <c r="B54" s="8" t="s">
        <v>0</v>
      </c>
      <c r="C54" s="92" t="s">
        <v>297</v>
      </c>
      <c r="D54" s="47">
        <v>196630871.4554424</v>
      </c>
      <c r="E54" s="9">
        <f t="shared" si="0"/>
        <v>1305.5669</v>
      </c>
      <c r="F54" s="47"/>
      <c r="G54" s="47">
        <v>0</v>
      </c>
      <c r="H54" s="47">
        <v>0</v>
      </c>
      <c r="I54" s="47">
        <v>0</v>
      </c>
      <c r="J54" s="98"/>
      <c r="K54" s="98">
        <v>150609.5715627</v>
      </c>
      <c r="L54" s="93">
        <f t="shared" si="1"/>
        <v>0</v>
      </c>
      <c r="M54" s="95">
        <f t="shared" ca="1" si="2"/>
        <v>0</v>
      </c>
      <c r="N54" s="95">
        <f ca="1">IF(P54="Hedge Fund",IF(A54=Summary!$AD$3,M54-E54,M54),IF(A54=Summary!$AD$3,L54-D54,L54))</f>
        <v>0</v>
      </c>
      <c r="P54" s="89" t="s">
        <v>139</v>
      </c>
      <c r="Q54" s="89">
        <v>0</v>
      </c>
      <c r="R54" s="89">
        <v>0</v>
      </c>
      <c r="S54" s="89">
        <v>0</v>
      </c>
      <c r="T54" s="89">
        <v>0</v>
      </c>
      <c r="U54" s="89"/>
      <c r="V54" s="89"/>
      <c r="W54" s="89"/>
      <c r="X54" s="89"/>
      <c r="Y54" s="89"/>
      <c r="Z54" s="89"/>
      <c r="AA54" s="89"/>
      <c r="AB54" s="89"/>
      <c r="AC54" s="355"/>
      <c r="AD54" s="355"/>
      <c r="AE54" s="355"/>
      <c r="AF54" s="94">
        <f t="shared" si="3"/>
        <v>38533</v>
      </c>
      <c r="AG54" s="185">
        <f t="shared" si="4"/>
        <v>-9.5369407043022214E-4</v>
      </c>
      <c r="AH54" s="339" t="str">
        <f>VLOOKUP(B54,'MF PF'!A:B,2)</f>
        <v>FdMgt1</v>
      </c>
      <c r="AI54" s="358">
        <f t="shared" si="5"/>
        <v>0</v>
      </c>
      <c r="AJ54" s="94">
        <f t="shared" si="6"/>
        <v>38533</v>
      </c>
    </row>
    <row r="55" spans="1:36" ht="12.75" customHeight="1">
      <c r="A55" s="8">
        <v>38564</v>
      </c>
      <c r="B55" s="8" t="s">
        <v>0</v>
      </c>
      <c r="C55" s="92" t="s">
        <v>297</v>
      </c>
      <c r="D55" s="47">
        <v>201327054.55061355</v>
      </c>
      <c r="E55" s="9">
        <f t="shared" si="0"/>
        <v>1305.5878</v>
      </c>
      <c r="F55" s="47"/>
      <c r="G55" s="47">
        <v>4693035.3551254869</v>
      </c>
      <c r="H55" s="47">
        <v>0</v>
      </c>
      <c r="I55" s="47">
        <v>0</v>
      </c>
      <c r="J55" s="98"/>
      <c r="K55" s="98">
        <v>154204.1481627</v>
      </c>
      <c r="L55" s="93">
        <f t="shared" si="1"/>
        <v>4693035.3551254869</v>
      </c>
      <c r="M55" s="95">
        <f t="shared" ca="1" si="2"/>
        <v>0</v>
      </c>
      <c r="N55" s="95">
        <f ca="1">IF(P55="Hedge Fund",IF(A55=Summary!$AD$3,M55-E55,M55),IF(A55=Summary!$AD$3,L55-D55,L55))</f>
        <v>0</v>
      </c>
      <c r="P55" s="89" t="s">
        <v>139</v>
      </c>
      <c r="Q55" s="89">
        <v>0</v>
      </c>
      <c r="R55" s="89">
        <v>0</v>
      </c>
      <c r="S55" s="89">
        <v>0</v>
      </c>
      <c r="T55" s="107">
        <v>0</v>
      </c>
      <c r="U55" s="107"/>
      <c r="V55" s="107"/>
      <c r="W55" s="107"/>
      <c r="X55" s="107"/>
      <c r="Y55" s="107"/>
      <c r="Z55" s="107"/>
      <c r="AA55" s="107"/>
      <c r="AB55" s="107"/>
      <c r="AC55" s="355"/>
      <c r="AD55" s="355"/>
      <c r="AE55" s="355"/>
      <c r="AF55" s="94">
        <f t="shared" si="3"/>
        <v>38564</v>
      </c>
      <c r="AG55" s="185">
        <f t="shared" si="4"/>
        <v>1.6008371535702892E-5</v>
      </c>
      <c r="AH55" s="339" t="str">
        <f>VLOOKUP(B55,'MF PF'!A:B,2)</f>
        <v>FdMgt1</v>
      </c>
      <c r="AI55" s="358">
        <f t="shared" si="5"/>
        <v>0</v>
      </c>
      <c r="AJ55" s="94">
        <f t="shared" si="6"/>
        <v>38564</v>
      </c>
    </row>
    <row r="56" spans="1:36" ht="12.75" customHeight="1">
      <c r="A56" s="8">
        <v>38595</v>
      </c>
      <c r="B56" s="8" t="s">
        <v>0</v>
      </c>
      <c r="C56" s="92" t="s">
        <v>297</v>
      </c>
      <c r="D56" s="47">
        <v>201580000</v>
      </c>
      <c r="E56" s="9">
        <f t="shared" si="0"/>
        <v>1294.8004000000001</v>
      </c>
      <c r="F56" s="47"/>
      <c r="G56" s="47">
        <v>1916407.2772767544</v>
      </c>
      <c r="H56" s="47">
        <v>0</v>
      </c>
      <c r="I56" s="47">
        <v>0</v>
      </c>
      <c r="J56" s="98"/>
      <c r="K56" s="98">
        <v>155684.22746857352</v>
      </c>
      <c r="L56" s="93">
        <f t="shared" si="1"/>
        <v>1916407.2772767544</v>
      </c>
      <c r="M56" s="95">
        <f t="shared" ca="1" si="2"/>
        <v>0</v>
      </c>
      <c r="N56" s="95">
        <f ca="1">IF(P56="Hedge Fund",IF(A56=Summary!$AD$3,M56-E56,M56),IF(A56=Summary!$AD$3,L56-D56,L56))</f>
        <v>0</v>
      </c>
      <c r="P56" s="89" t="s">
        <v>139</v>
      </c>
      <c r="Q56" s="89">
        <v>0</v>
      </c>
      <c r="R56" s="89">
        <v>0</v>
      </c>
      <c r="S56" s="89">
        <v>0</v>
      </c>
      <c r="T56" s="89">
        <v>0</v>
      </c>
      <c r="U56" s="89"/>
      <c r="V56" s="89"/>
      <c r="W56" s="89"/>
      <c r="X56" s="89"/>
      <c r="Y56" s="89"/>
      <c r="Z56" s="89"/>
      <c r="AA56" s="89"/>
      <c r="AB56" s="89"/>
      <c r="AC56" s="355"/>
      <c r="AD56" s="355"/>
      <c r="AE56" s="355"/>
      <c r="AF56" s="94">
        <f t="shared" si="3"/>
        <v>38595</v>
      </c>
      <c r="AG56" s="185">
        <f t="shared" si="4"/>
        <v>-8.2624852958950168E-3</v>
      </c>
      <c r="AH56" s="339" t="str">
        <f>VLOOKUP(B56,'MF PF'!A:B,2)</f>
        <v>FdMgt1</v>
      </c>
      <c r="AI56" s="358">
        <f t="shared" si="5"/>
        <v>0</v>
      </c>
      <c r="AJ56" s="94">
        <f t="shared" si="6"/>
        <v>38595</v>
      </c>
    </row>
    <row r="57" spans="1:36" ht="12.75" customHeight="1">
      <c r="A57" s="8">
        <v>38625</v>
      </c>
      <c r="B57" s="8" t="s">
        <v>0</v>
      </c>
      <c r="C57" s="92" t="s">
        <v>297</v>
      </c>
      <c r="D57" s="47">
        <v>201700000</v>
      </c>
      <c r="E57" s="9">
        <f t="shared" si="0"/>
        <v>1307.2343000000001</v>
      </c>
      <c r="F57" s="47"/>
      <c r="G57" s="47">
        <v>0</v>
      </c>
      <c r="H57" s="47">
        <v>-1815762.1159214973</v>
      </c>
      <c r="I57" s="47">
        <v>0</v>
      </c>
      <c r="J57" s="98"/>
      <c r="K57" s="98">
        <v>154295.21700891721</v>
      </c>
      <c r="L57" s="93">
        <f t="shared" si="1"/>
        <v>-1815762.1159214973</v>
      </c>
      <c r="M57" s="95">
        <f t="shared" ca="1" si="2"/>
        <v>0</v>
      </c>
      <c r="N57" s="95">
        <f ca="1">IF(P57="Hedge Fund",IF(A57=Summary!$AD$3,M57-E57,M57),IF(A57=Summary!$AD$3,L57-D57,L57))</f>
        <v>0</v>
      </c>
      <c r="P57" s="89" t="s">
        <v>139</v>
      </c>
      <c r="Q57" s="89">
        <v>0</v>
      </c>
      <c r="R57" s="89">
        <v>0</v>
      </c>
      <c r="S57" s="89">
        <v>0</v>
      </c>
      <c r="T57" s="89">
        <v>0</v>
      </c>
      <c r="U57" s="89"/>
      <c r="V57" s="89"/>
      <c r="W57" s="89"/>
      <c r="X57" s="89"/>
      <c r="Y57" s="89"/>
      <c r="Z57" s="89"/>
      <c r="AA57" s="89"/>
      <c r="AB57" s="89"/>
      <c r="AC57" s="355"/>
      <c r="AD57" s="355"/>
      <c r="AE57" s="355"/>
      <c r="AF57" s="94">
        <f t="shared" si="3"/>
        <v>38625</v>
      </c>
      <c r="AG57" s="185">
        <f t="shared" si="4"/>
        <v>9.6029472959693329E-3</v>
      </c>
      <c r="AH57" s="339" t="str">
        <f>VLOOKUP(B57,'MF PF'!A:B,2)</f>
        <v>FdMgt1</v>
      </c>
      <c r="AI57" s="358">
        <f t="shared" si="5"/>
        <v>0</v>
      </c>
      <c r="AJ57" s="94">
        <f t="shared" si="6"/>
        <v>38625</v>
      </c>
    </row>
    <row r="58" spans="1:36" ht="12.75" customHeight="1">
      <c r="A58" s="8">
        <v>38656</v>
      </c>
      <c r="B58" s="8" t="s">
        <v>0</v>
      </c>
      <c r="C58" s="92" t="s">
        <v>297</v>
      </c>
      <c r="D58" s="47">
        <v>219140000</v>
      </c>
      <c r="E58" s="9">
        <f t="shared" si="0"/>
        <v>1309.8898999999999</v>
      </c>
      <c r="F58" s="47"/>
      <c r="G58" s="47">
        <v>17030253.621711135</v>
      </c>
      <c r="H58" s="47">
        <v>0</v>
      </c>
      <c r="I58" s="47">
        <v>0</v>
      </c>
      <c r="J58" s="98"/>
      <c r="K58" s="98">
        <v>167296.50331680549</v>
      </c>
      <c r="L58" s="93">
        <f t="shared" si="1"/>
        <v>17030253.621711135</v>
      </c>
      <c r="M58" s="95">
        <f t="shared" ca="1" si="2"/>
        <v>0</v>
      </c>
      <c r="N58" s="95">
        <f ca="1">IF(P58="Hedge Fund",IF(A58=Summary!$AD$3,M58-E58,M58),IF(A58=Summary!$AD$3,L58-D58,L58))</f>
        <v>0</v>
      </c>
      <c r="P58" s="89" t="s">
        <v>139</v>
      </c>
      <c r="Q58" s="89">
        <v>0</v>
      </c>
      <c r="R58" s="89">
        <v>0</v>
      </c>
      <c r="S58" s="89">
        <v>0</v>
      </c>
      <c r="T58" s="107">
        <v>0</v>
      </c>
      <c r="U58" s="107"/>
      <c r="V58" s="107"/>
      <c r="W58" s="107"/>
      <c r="X58" s="107"/>
      <c r="Y58" s="107"/>
      <c r="Z58" s="107"/>
      <c r="AA58" s="107"/>
      <c r="AB58" s="107"/>
      <c r="AC58" s="355"/>
      <c r="AD58" s="355"/>
      <c r="AE58" s="355"/>
      <c r="AF58" s="94">
        <f t="shared" si="3"/>
        <v>38656</v>
      </c>
      <c r="AG58" s="185">
        <f t="shared" si="4"/>
        <v>2.0314644436731921E-3</v>
      </c>
      <c r="AH58" s="339" t="str">
        <f>VLOOKUP(B58,'MF PF'!A:B,2)</f>
        <v>FdMgt1</v>
      </c>
      <c r="AI58" s="358">
        <f t="shared" si="5"/>
        <v>0</v>
      </c>
      <c r="AJ58" s="94">
        <f t="shared" si="6"/>
        <v>38656</v>
      </c>
    </row>
    <row r="59" spans="1:36" ht="12.75" customHeight="1">
      <c r="A59" s="8">
        <v>38686</v>
      </c>
      <c r="B59" s="94" t="s">
        <v>0</v>
      </c>
      <c r="C59" s="92" t="s">
        <v>297</v>
      </c>
      <c r="D59" s="98">
        <v>224740000</v>
      </c>
      <c r="E59" s="9">
        <f t="shared" si="0"/>
        <v>1321.2363</v>
      </c>
      <c r="F59" s="98"/>
      <c r="G59" s="98">
        <v>3701786.9547661841</v>
      </c>
      <c r="H59" s="98">
        <v>0</v>
      </c>
      <c r="I59" s="98">
        <v>0</v>
      </c>
      <c r="J59" s="98"/>
      <c r="K59" s="98">
        <v>170098.26327054441</v>
      </c>
      <c r="L59" s="93">
        <f t="shared" si="1"/>
        <v>3701786.9547661841</v>
      </c>
      <c r="M59" s="95">
        <f t="shared" ca="1" si="2"/>
        <v>0</v>
      </c>
      <c r="N59" s="95">
        <f ca="1">IF(P59="Hedge Fund",IF(A59=Summary!$AD$3,M59-E59,M59),IF(A59=Summary!$AD$3,L59-D59,L59))</f>
        <v>0</v>
      </c>
      <c r="P59" s="89" t="s">
        <v>139</v>
      </c>
      <c r="Q59" s="107">
        <v>0</v>
      </c>
      <c r="R59" s="107">
        <v>0</v>
      </c>
      <c r="S59" s="107">
        <v>0</v>
      </c>
      <c r="T59" s="107">
        <v>0</v>
      </c>
      <c r="U59" s="107"/>
      <c r="V59" s="107"/>
      <c r="W59" s="107"/>
      <c r="X59" s="107"/>
      <c r="Y59" s="107"/>
      <c r="Z59" s="107"/>
      <c r="AA59" s="107"/>
      <c r="AB59" s="107"/>
      <c r="AC59" s="355"/>
      <c r="AD59" s="355"/>
      <c r="AE59" s="355"/>
      <c r="AF59" s="94">
        <f t="shared" si="3"/>
        <v>38686</v>
      </c>
      <c r="AG59" s="185">
        <f t="shared" si="4"/>
        <v>8.6621020591119979E-3</v>
      </c>
      <c r="AH59" s="339" t="str">
        <f>VLOOKUP(B59,'MF PF'!A:B,2)</f>
        <v>FdMgt1</v>
      </c>
      <c r="AI59" s="358">
        <f t="shared" si="5"/>
        <v>0</v>
      </c>
      <c r="AJ59" s="94">
        <f t="shared" si="6"/>
        <v>38686</v>
      </c>
    </row>
    <row r="60" spans="1:36" ht="12.75" customHeight="1">
      <c r="A60" s="8">
        <v>38717</v>
      </c>
      <c r="B60" s="94" t="s">
        <v>0</v>
      </c>
      <c r="C60" s="92" t="s">
        <v>297</v>
      </c>
      <c r="D60" s="98">
        <v>222840000</v>
      </c>
      <c r="E60" s="9">
        <f t="shared" si="0"/>
        <v>1347.0795000000001</v>
      </c>
      <c r="F60" s="98"/>
      <c r="G60" s="98">
        <v>0</v>
      </c>
      <c r="H60" s="98">
        <v>-6295883.4373533428</v>
      </c>
      <c r="I60" s="98">
        <v>0</v>
      </c>
      <c r="J60" s="98"/>
      <c r="K60" s="98">
        <v>165424.53507755109</v>
      </c>
      <c r="L60" s="93">
        <f t="shared" si="1"/>
        <v>-6295883.4373533428</v>
      </c>
      <c r="M60" s="95">
        <f t="shared" ca="1" si="2"/>
        <v>0</v>
      </c>
      <c r="N60" s="95">
        <f ca="1">IF(P60="Hedge Fund",IF(A60=Summary!$AD$3,M60-E60,M60),IF(A60=Summary!$AD$3,L60-D60,L60))</f>
        <v>0</v>
      </c>
      <c r="P60" s="107" t="s">
        <v>139</v>
      </c>
      <c r="Q60" s="107">
        <v>0</v>
      </c>
      <c r="R60" s="107">
        <v>0</v>
      </c>
      <c r="S60" s="107">
        <v>0</v>
      </c>
      <c r="T60" s="107">
        <v>0</v>
      </c>
      <c r="U60" s="107"/>
      <c r="V60" s="107"/>
      <c r="W60" s="107"/>
      <c r="X60" s="107"/>
      <c r="Y60" s="107"/>
      <c r="Z60" s="107"/>
      <c r="AA60" s="107"/>
      <c r="AB60" s="107"/>
      <c r="AC60" s="355"/>
      <c r="AD60" s="355"/>
      <c r="AE60" s="355"/>
      <c r="AF60" s="94">
        <f t="shared" si="3"/>
        <v>38717</v>
      </c>
      <c r="AG60" s="185">
        <f t="shared" si="4"/>
        <v>1.9559862229035163E-2</v>
      </c>
      <c r="AH60" s="339" t="str">
        <f>VLOOKUP(B60,'MF PF'!A:B,2)</f>
        <v>FdMgt1</v>
      </c>
      <c r="AI60" s="358">
        <f t="shared" si="5"/>
        <v>0</v>
      </c>
      <c r="AJ60" s="94">
        <f t="shared" si="6"/>
        <v>38717</v>
      </c>
    </row>
    <row r="61" spans="1:36" ht="12.75" customHeight="1">
      <c r="A61" s="8">
        <v>38747</v>
      </c>
      <c r="B61" s="8" t="s">
        <v>0</v>
      </c>
      <c r="C61" s="92" t="s">
        <v>297</v>
      </c>
      <c r="D61" s="47">
        <v>233820000</v>
      </c>
      <c r="E61" s="9">
        <f t="shared" si="0"/>
        <v>1388.9559999999999</v>
      </c>
      <c r="F61" s="47"/>
      <c r="G61" s="47">
        <v>4052599.4568249583</v>
      </c>
      <c r="H61" s="47">
        <v>0</v>
      </c>
      <c r="I61" s="47">
        <v>0</v>
      </c>
      <c r="J61" s="98"/>
      <c r="K61" s="98">
        <v>168342.26570172131</v>
      </c>
      <c r="L61" s="93">
        <f t="shared" si="1"/>
        <v>4052599.4568249583</v>
      </c>
      <c r="M61" s="95">
        <f t="shared" ca="1" si="2"/>
        <v>0</v>
      </c>
      <c r="N61" s="95">
        <f ca="1">IF(P61="Hedge Fund",IF(A61=Summary!$AD$3,M61-E61,M61),IF(A61=Summary!$AD$3,L61-D61,L61))</f>
        <v>0</v>
      </c>
      <c r="P61" s="89" t="s">
        <v>139</v>
      </c>
      <c r="Q61" s="89">
        <v>0</v>
      </c>
      <c r="R61" s="89">
        <v>0</v>
      </c>
      <c r="S61" s="89">
        <v>0</v>
      </c>
      <c r="T61" s="89">
        <v>0</v>
      </c>
      <c r="U61" s="89"/>
      <c r="V61" s="89"/>
      <c r="W61" s="89"/>
      <c r="X61" s="89"/>
      <c r="Y61" s="89"/>
      <c r="Z61" s="89"/>
      <c r="AA61" s="89"/>
      <c r="AB61" s="89"/>
      <c r="AC61" s="355"/>
      <c r="AD61" s="355"/>
      <c r="AE61" s="355"/>
      <c r="AF61" s="94">
        <f t="shared" si="3"/>
        <v>38747</v>
      </c>
      <c r="AG61" s="185">
        <f t="shared" si="4"/>
        <v>3.1086880915343063E-2</v>
      </c>
      <c r="AH61" s="339" t="str">
        <f>VLOOKUP(B61,'MF PF'!A:B,2)</f>
        <v>FdMgt1</v>
      </c>
      <c r="AI61" s="358">
        <f t="shared" si="5"/>
        <v>0</v>
      </c>
      <c r="AJ61" s="94">
        <f t="shared" si="6"/>
        <v>38748</v>
      </c>
    </row>
    <row r="62" spans="1:36" ht="12.75" customHeight="1">
      <c r="A62" s="94">
        <v>38775</v>
      </c>
      <c r="B62" s="8" t="s">
        <v>0</v>
      </c>
      <c r="C62" s="358" t="s">
        <v>297</v>
      </c>
      <c r="D62" s="47">
        <v>239660000</v>
      </c>
      <c r="E62" s="9">
        <f t="shared" si="0"/>
        <v>1395.6912</v>
      </c>
      <c r="F62" s="47"/>
      <c r="G62" s="47">
        <v>4706181.1720457375</v>
      </c>
      <c r="H62" s="47">
        <v>0</v>
      </c>
      <c r="I62" s="47">
        <v>0</v>
      </c>
      <c r="J62" s="98"/>
      <c r="K62" s="98">
        <v>171714.20153684425</v>
      </c>
      <c r="L62" s="93">
        <f t="shared" si="1"/>
        <v>4706181.1720457375</v>
      </c>
      <c r="M62" s="95">
        <f t="shared" ca="1" si="2"/>
        <v>0</v>
      </c>
      <c r="N62" s="95">
        <f ca="1">IF(P62="Hedge Fund",IF(A62=Summary!$AD$3,M62-E62,M62),IF(A62=Summary!$AD$3,L62-D62,L62))</f>
        <v>0</v>
      </c>
      <c r="P62" s="89" t="s">
        <v>139</v>
      </c>
      <c r="Q62" s="89">
        <v>0</v>
      </c>
      <c r="R62" s="89">
        <v>0</v>
      </c>
      <c r="S62" s="89">
        <v>0</v>
      </c>
      <c r="T62" s="89">
        <v>0</v>
      </c>
      <c r="U62" s="89"/>
      <c r="V62" s="89"/>
      <c r="W62" s="89"/>
      <c r="X62" s="89"/>
      <c r="Y62" s="89"/>
      <c r="Z62" s="89"/>
      <c r="AA62" s="89"/>
      <c r="AB62" s="89"/>
      <c r="AC62" s="355"/>
      <c r="AD62" s="355"/>
      <c r="AE62" s="355"/>
      <c r="AF62" s="94">
        <f t="shared" si="3"/>
        <v>38775</v>
      </c>
      <c r="AG62" s="185">
        <f t="shared" si="4"/>
        <v>4.8491096910199261E-3</v>
      </c>
      <c r="AH62" s="339" t="str">
        <f>VLOOKUP(B62,'MF PF'!A:B,2)</f>
        <v>FdMgt1</v>
      </c>
      <c r="AI62" s="358">
        <f t="shared" si="5"/>
        <v>0</v>
      </c>
      <c r="AJ62" s="94">
        <f t="shared" si="6"/>
        <v>38776</v>
      </c>
    </row>
    <row r="63" spans="1:36" ht="12.75" customHeight="1">
      <c r="A63" s="8">
        <v>38807</v>
      </c>
      <c r="B63" s="8" t="s">
        <v>0</v>
      </c>
      <c r="C63" s="92" t="s">
        <v>297</v>
      </c>
      <c r="D63" s="47">
        <v>247110000</v>
      </c>
      <c r="E63" s="9">
        <f t="shared" si="0"/>
        <v>1430.5590999999999</v>
      </c>
      <c r="F63" s="47"/>
      <c r="G63" s="47">
        <v>1462686.3922334909</v>
      </c>
      <c r="H63" s="47">
        <v>0</v>
      </c>
      <c r="I63" s="47">
        <v>0</v>
      </c>
      <c r="J63" s="98"/>
      <c r="K63" s="98">
        <v>172736.65939421867</v>
      </c>
      <c r="L63" s="93">
        <f t="shared" si="1"/>
        <v>1462686.3922334909</v>
      </c>
      <c r="M63" s="95">
        <f t="shared" ca="1" si="2"/>
        <v>0</v>
      </c>
      <c r="N63" s="95">
        <f ca="1">IF(P63="Hedge Fund",IF(A63=Summary!$AD$3,M63-E63,M63),IF(A63=Summary!$AD$3,L63-D63,L63))</f>
        <v>0</v>
      </c>
      <c r="P63" s="89" t="s">
        <v>139</v>
      </c>
      <c r="Q63" s="89">
        <v>0</v>
      </c>
      <c r="R63" s="89">
        <v>0</v>
      </c>
      <c r="S63" s="89">
        <v>0</v>
      </c>
      <c r="T63" s="89">
        <v>0</v>
      </c>
      <c r="U63" s="89"/>
      <c r="V63" s="89"/>
      <c r="W63" s="89"/>
      <c r="X63" s="89"/>
      <c r="Y63" s="89"/>
      <c r="Z63" s="89"/>
      <c r="AA63" s="89"/>
      <c r="AB63" s="89"/>
      <c r="AC63" s="355"/>
      <c r="AD63" s="355"/>
      <c r="AE63" s="355"/>
      <c r="AF63" s="94">
        <f t="shared" si="3"/>
        <v>38807</v>
      </c>
      <c r="AG63" s="185">
        <f t="shared" si="4"/>
        <v>2.4982531952626674E-2</v>
      </c>
      <c r="AH63" s="339" t="str">
        <f>VLOOKUP(B63,'MF PF'!A:B,2)</f>
        <v>FdMgt1</v>
      </c>
      <c r="AI63" s="358">
        <f t="shared" si="5"/>
        <v>0</v>
      </c>
      <c r="AJ63" s="94">
        <f t="shared" si="6"/>
        <v>38807</v>
      </c>
    </row>
    <row r="64" spans="1:36" ht="12.75" customHeight="1">
      <c r="A64" s="8">
        <v>38837</v>
      </c>
      <c r="B64" s="8" t="s">
        <v>0</v>
      </c>
      <c r="C64" s="92" t="s">
        <v>297</v>
      </c>
      <c r="D64" s="47">
        <v>254680000</v>
      </c>
      <c r="E64" s="9">
        <f t="shared" si="0"/>
        <v>1484.4526999999998</v>
      </c>
      <c r="F64" s="47"/>
      <c r="G64" s="47">
        <v>0</v>
      </c>
      <c r="H64" s="47">
        <v>-1739400.4267282486</v>
      </c>
      <c r="I64" s="47">
        <v>0</v>
      </c>
      <c r="J64" s="98"/>
      <c r="K64" s="98">
        <v>171564.91412626352</v>
      </c>
      <c r="L64" s="93">
        <f t="shared" si="1"/>
        <v>-1739400.4267282486</v>
      </c>
      <c r="M64" s="95">
        <f t="shared" ca="1" si="2"/>
        <v>0</v>
      </c>
      <c r="N64" s="95">
        <f ca="1">IF(P64="Hedge Fund",IF(A64=Summary!$AD$3,M64-E64,M64),IF(A64=Summary!$AD$3,L64-D64,L64))</f>
        <v>0</v>
      </c>
      <c r="P64" s="89" t="s">
        <v>139</v>
      </c>
      <c r="Q64" s="89">
        <v>0</v>
      </c>
      <c r="R64" s="89">
        <v>0</v>
      </c>
      <c r="S64" s="89">
        <v>0</v>
      </c>
      <c r="T64" s="89">
        <v>0</v>
      </c>
      <c r="U64" s="89"/>
      <c r="V64" s="89"/>
      <c r="W64" s="89"/>
      <c r="X64" s="89"/>
      <c r="Y64" s="89"/>
      <c r="Z64" s="89"/>
      <c r="AA64" s="89"/>
      <c r="AB64" s="89"/>
      <c r="AC64" s="355"/>
      <c r="AD64" s="355"/>
      <c r="AE64" s="355"/>
      <c r="AF64" s="94">
        <f t="shared" si="3"/>
        <v>38837</v>
      </c>
      <c r="AG64" s="185">
        <f t="shared" si="4"/>
        <v>3.7673102774991918E-2</v>
      </c>
      <c r="AH64" s="339" t="str">
        <f>VLOOKUP(B64,'MF PF'!A:B,2)</f>
        <v>FdMgt1</v>
      </c>
      <c r="AI64" s="358">
        <f t="shared" si="5"/>
        <v>0</v>
      </c>
      <c r="AJ64" s="94">
        <f t="shared" si="6"/>
        <v>38837</v>
      </c>
    </row>
    <row r="65" spans="1:36" ht="12.75" customHeight="1">
      <c r="A65" s="8">
        <v>38868</v>
      </c>
      <c r="B65" s="8" t="s">
        <v>0</v>
      </c>
      <c r="C65" s="92" t="s">
        <v>297</v>
      </c>
      <c r="D65" s="47">
        <v>266430000</v>
      </c>
      <c r="E65" s="9">
        <f t="shared" si="0"/>
        <v>1482.2828999999999</v>
      </c>
      <c r="F65" s="47"/>
      <c r="G65" s="47">
        <v>12122261.55067116</v>
      </c>
      <c r="H65" s="47">
        <v>0</v>
      </c>
      <c r="I65" s="47">
        <v>0</v>
      </c>
      <c r="J65" s="98"/>
      <c r="K65" s="98">
        <v>179743.01666706134</v>
      </c>
      <c r="L65" s="93">
        <f t="shared" si="1"/>
        <v>12122261.55067116</v>
      </c>
      <c r="M65" s="95">
        <f t="shared" ca="1" si="2"/>
        <v>0</v>
      </c>
      <c r="N65" s="95">
        <f ca="1">IF(P65="Hedge Fund",IF(A65=Summary!$AD$3,M65-E65,M65),IF(A65=Summary!$AD$3,L65-D65,L65))</f>
        <v>0</v>
      </c>
      <c r="P65" s="89" t="s">
        <v>139</v>
      </c>
      <c r="Q65" s="89">
        <v>0</v>
      </c>
      <c r="R65" s="89">
        <v>0</v>
      </c>
      <c r="S65" s="89">
        <v>0</v>
      </c>
      <c r="T65" s="89">
        <v>0</v>
      </c>
      <c r="U65" s="89"/>
      <c r="V65" s="89"/>
      <c r="W65" s="89"/>
      <c r="X65" s="89"/>
      <c r="Y65" s="89"/>
      <c r="Z65" s="89"/>
      <c r="AA65" s="89"/>
      <c r="AB65" s="89"/>
      <c r="AC65" s="355"/>
      <c r="AD65" s="355"/>
      <c r="AE65" s="355"/>
      <c r="AF65" s="94">
        <f t="shared" si="3"/>
        <v>38868</v>
      </c>
      <c r="AG65" s="185">
        <f t="shared" si="4"/>
        <v>-1.4616834877931861E-3</v>
      </c>
      <c r="AH65" s="339" t="str">
        <f>VLOOKUP(B65,'MF PF'!A:B,2)</f>
        <v>FdMgt1</v>
      </c>
      <c r="AI65" s="358">
        <f t="shared" si="5"/>
        <v>0</v>
      </c>
      <c r="AJ65" s="94">
        <f t="shared" si="6"/>
        <v>38868</v>
      </c>
    </row>
    <row r="66" spans="1:36" ht="12.75" customHeight="1">
      <c r="A66" s="8">
        <v>38898</v>
      </c>
      <c r="B66" s="8" t="s">
        <v>0</v>
      </c>
      <c r="C66" s="92" t="s">
        <v>297</v>
      </c>
      <c r="D66" s="47">
        <v>298760000</v>
      </c>
      <c r="E66" s="9">
        <f t="shared" si="0"/>
        <v>1477.5463999999999</v>
      </c>
      <c r="F66" s="47"/>
      <c r="G66" s="47">
        <v>33181352.798443526</v>
      </c>
      <c r="H66" s="47">
        <v>0</v>
      </c>
      <c r="I66" s="47">
        <v>0</v>
      </c>
      <c r="J66" s="98"/>
      <c r="K66" s="98">
        <v>202200.07980798438</v>
      </c>
      <c r="L66" s="93">
        <f t="shared" si="1"/>
        <v>33181352.798443526</v>
      </c>
      <c r="M66" s="95">
        <f t="shared" ca="1" si="2"/>
        <v>0</v>
      </c>
      <c r="N66" s="95">
        <f ca="1">IF(P66="Hedge Fund",IF(A66=Summary!$AD$3,M66-E66,M66),IF(A66=Summary!$AD$3,L66-D66,L66))</f>
        <v>0</v>
      </c>
      <c r="P66" s="89" t="s">
        <v>139</v>
      </c>
      <c r="Q66" s="89">
        <v>0</v>
      </c>
      <c r="R66" s="89">
        <v>0</v>
      </c>
      <c r="S66" s="89">
        <v>0</v>
      </c>
      <c r="T66" s="89">
        <v>0</v>
      </c>
      <c r="U66" s="89"/>
      <c r="V66" s="89"/>
      <c r="W66" s="89"/>
      <c r="X66" s="89"/>
      <c r="Y66" s="89"/>
      <c r="Z66" s="89"/>
      <c r="AA66" s="89"/>
      <c r="AB66" s="89"/>
      <c r="AC66" s="355"/>
      <c r="AD66" s="355"/>
      <c r="AE66" s="355"/>
      <c r="AF66" s="94">
        <f t="shared" si="3"/>
        <v>38898</v>
      </c>
      <c r="AG66" s="185">
        <f t="shared" si="4"/>
        <v>-3.1954089195793678E-3</v>
      </c>
      <c r="AH66" s="339" t="str">
        <f>VLOOKUP(B66,'MF PF'!A:B,2)</f>
        <v>FdMgt1</v>
      </c>
      <c r="AI66" s="358">
        <f t="shared" si="5"/>
        <v>0</v>
      </c>
      <c r="AJ66" s="94">
        <f t="shared" si="6"/>
        <v>38898</v>
      </c>
    </row>
    <row r="67" spans="1:36" ht="12.75" customHeight="1">
      <c r="A67" s="8">
        <v>38929</v>
      </c>
      <c r="B67" s="94" t="s">
        <v>0</v>
      </c>
      <c r="C67" s="92" t="s">
        <v>297</v>
      </c>
      <c r="D67" s="98">
        <v>302060000</v>
      </c>
      <c r="E67" s="9">
        <f t="shared" ref="E67:E130" si="7">IF(K67="","",D67/K67)</f>
        <v>1496.846</v>
      </c>
      <c r="F67" s="98"/>
      <c r="G67" s="98">
        <v>0</v>
      </c>
      <c r="H67" s="98">
        <v>-602380.66026216745</v>
      </c>
      <c r="I67" s="98">
        <v>0</v>
      </c>
      <c r="J67" s="98"/>
      <c r="K67" s="98">
        <v>201797.64651807869</v>
      </c>
      <c r="L67" s="93">
        <f t="shared" ref="L67:L130" si="8">G67+H67+I67</f>
        <v>-602380.66026216745</v>
      </c>
      <c r="M67" s="95">
        <f t="shared" ref="M67:M130" ca="1" si="9">IF(A67&gt;INDIRECT("A"&amp;ROW()-1),I67/K67,E67)</f>
        <v>0</v>
      </c>
      <c r="N67" s="95">
        <f ca="1">IF(P67="Hedge Fund",IF(A67=Summary!$AD$3,M67-E67,M67),IF(A67=Summary!$AD$3,L67-D67,L67))</f>
        <v>0</v>
      </c>
      <c r="P67" s="107" t="s">
        <v>139</v>
      </c>
      <c r="Q67" s="107">
        <v>0</v>
      </c>
      <c r="R67" s="107">
        <v>0</v>
      </c>
      <c r="S67" s="107">
        <v>0</v>
      </c>
      <c r="T67" s="107">
        <v>0</v>
      </c>
      <c r="U67" s="107"/>
      <c r="V67" s="107"/>
      <c r="W67" s="107"/>
      <c r="X67" s="107"/>
      <c r="Y67" s="107"/>
      <c r="Z67" s="107"/>
      <c r="AA67" s="107"/>
      <c r="AB67" s="107"/>
      <c r="AC67" s="355"/>
      <c r="AD67" s="355"/>
      <c r="AE67" s="355"/>
      <c r="AF67" s="94">
        <f t="shared" ref="AF67:AF130" si="10">A67</f>
        <v>38929</v>
      </c>
      <c r="AG67" s="185">
        <f t="shared" ref="AG67:AG130" si="11">IF(C67&lt;&gt;C66,D67/G67-1,(D67-G67-I67-H67)/(D66)-1)</f>
        <v>1.3061924823477566E-2</v>
      </c>
      <c r="AH67" s="339" t="str">
        <f>VLOOKUP(B67,'MF PF'!A:B,2)</f>
        <v>FdMgt1</v>
      </c>
      <c r="AI67" s="358">
        <f t="shared" ref="AI67:AI130" si="12">AF67-A67</f>
        <v>0</v>
      </c>
      <c r="AJ67" s="94">
        <f t="shared" ref="AJ67:AJ130" si="13">EOMONTH(A67,0)</f>
        <v>38929</v>
      </c>
    </row>
    <row r="68" spans="1:36" ht="12.75" customHeight="1">
      <c r="A68" s="94">
        <v>38960</v>
      </c>
      <c r="B68" s="8" t="s">
        <v>0</v>
      </c>
      <c r="C68" s="358" t="s">
        <v>297</v>
      </c>
      <c r="D68" s="47">
        <v>328550000</v>
      </c>
      <c r="E68" s="9">
        <f t="shared" si="7"/>
        <v>1513.3480999999999</v>
      </c>
      <c r="F68" s="47"/>
      <c r="G68" s="47">
        <v>23159915.057394028</v>
      </c>
      <c r="H68" s="47">
        <v>0</v>
      </c>
      <c r="I68" s="47">
        <v>0</v>
      </c>
      <c r="J68" s="98"/>
      <c r="K68" s="98">
        <v>217101.40581667895</v>
      </c>
      <c r="L68" s="93">
        <f t="shared" si="8"/>
        <v>23159915.057394028</v>
      </c>
      <c r="M68" s="95">
        <f t="shared" ca="1" si="9"/>
        <v>0</v>
      </c>
      <c r="N68" s="95">
        <f ca="1">IF(P68="Hedge Fund",IF(A68=Summary!$AD$3,M68-E68,M68),IF(A68=Summary!$AD$3,L68-D68,L68))</f>
        <v>0</v>
      </c>
      <c r="P68" s="89" t="s">
        <v>139</v>
      </c>
      <c r="Q68" s="89">
        <v>0</v>
      </c>
      <c r="R68" s="89">
        <v>0</v>
      </c>
      <c r="S68" s="89">
        <v>0</v>
      </c>
      <c r="T68" s="89">
        <v>0</v>
      </c>
      <c r="U68" s="89"/>
      <c r="V68" s="89"/>
      <c r="W68" s="89"/>
      <c r="X68" s="89"/>
      <c r="Y68" s="89"/>
      <c r="Z68" s="89"/>
      <c r="AA68" s="89"/>
      <c r="AB68" s="89"/>
      <c r="AC68" s="355"/>
      <c r="AD68" s="355"/>
      <c r="AE68" s="355"/>
      <c r="AF68" s="94">
        <f t="shared" si="10"/>
        <v>38960</v>
      </c>
      <c r="AG68" s="185">
        <f t="shared" si="11"/>
        <v>1.1024581019022595E-2</v>
      </c>
      <c r="AH68" s="339" t="str">
        <f>VLOOKUP(B68,'MF PF'!A:B,2)</f>
        <v>FdMgt1</v>
      </c>
      <c r="AI68" s="358">
        <f t="shared" si="12"/>
        <v>0</v>
      </c>
      <c r="AJ68" s="94">
        <f t="shared" si="13"/>
        <v>38960</v>
      </c>
    </row>
    <row r="69" spans="1:36" ht="12.75" customHeight="1">
      <c r="A69" s="8">
        <v>38990</v>
      </c>
      <c r="B69" s="94" t="s">
        <v>0</v>
      </c>
      <c r="C69" s="92" t="s">
        <v>297</v>
      </c>
      <c r="D69" s="98">
        <v>339800000</v>
      </c>
      <c r="E69" s="9">
        <f t="shared" si="7"/>
        <v>1529.6334999999999</v>
      </c>
      <c r="F69" s="98"/>
      <c r="G69" s="98">
        <v>7714416.7657130361</v>
      </c>
      <c r="H69" s="98">
        <v>0</v>
      </c>
      <c r="I69" s="98">
        <v>0</v>
      </c>
      <c r="J69" s="98"/>
      <c r="K69" s="98">
        <v>222144.71636506394</v>
      </c>
      <c r="L69" s="93">
        <f t="shared" si="8"/>
        <v>7714416.7657130361</v>
      </c>
      <c r="M69" s="95">
        <f t="shared" ca="1" si="9"/>
        <v>0</v>
      </c>
      <c r="N69" s="95">
        <f ca="1">IF(P69="Hedge Fund",IF(A69=Summary!$AD$3,M69-E69,M69),IF(A69=Summary!$AD$3,L69-D69,L69))</f>
        <v>0</v>
      </c>
      <c r="P69" s="107" t="s">
        <v>139</v>
      </c>
      <c r="Q69" s="107">
        <v>0</v>
      </c>
      <c r="R69" s="107">
        <v>0</v>
      </c>
      <c r="S69" s="107">
        <v>0</v>
      </c>
      <c r="T69" s="107">
        <v>0</v>
      </c>
      <c r="U69" s="107"/>
      <c r="V69" s="107"/>
      <c r="W69" s="107"/>
      <c r="X69" s="107"/>
      <c r="Y69" s="107"/>
      <c r="Z69" s="107"/>
      <c r="AA69" s="107"/>
      <c r="AB69" s="107"/>
      <c r="AC69" s="355"/>
      <c r="AD69" s="355"/>
      <c r="AE69" s="355"/>
      <c r="AF69" s="94">
        <f t="shared" si="10"/>
        <v>38990</v>
      </c>
      <c r="AG69" s="185">
        <f t="shared" si="11"/>
        <v>1.0761172528646945E-2</v>
      </c>
      <c r="AH69" s="339" t="str">
        <f>VLOOKUP(B69,'MF PF'!A:B,2)</f>
        <v>FdMgt1</v>
      </c>
      <c r="AI69" s="358">
        <f t="shared" si="12"/>
        <v>0</v>
      </c>
      <c r="AJ69" s="94">
        <f t="shared" si="13"/>
        <v>38990</v>
      </c>
    </row>
    <row r="70" spans="1:36" ht="12.75" customHeight="1">
      <c r="A70" s="8">
        <v>39021</v>
      </c>
      <c r="B70" s="94" t="s">
        <v>0</v>
      </c>
      <c r="C70" s="92" t="s">
        <v>297</v>
      </c>
      <c r="D70" s="98">
        <v>350770000</v>
      </c>
      <c r="E70" s="9">
        <f t="shared" si="7"/>
        <v>1587.1284000000001</v>
      </c>
      <c r="F70" s="98"/>
      <c r="G70" s="98">
        <v>0</v>
      </c>
      <c r="H70" s="98">
        <v>-1802188.2529377341</v>
      </c>
      <c r="I70" s="98">
        <v>0</v>
      </c>
      <c r="J70" s="98"/>
      <c r="K70" s="98">
        <v>221009.21387330728</v>
      </c>
      <c r="L70" s="93">
        <f t="shared" si="8"/>
        <v>-1802188.2529377341</v>
      </c>
      <c r="M70" s="95">
        <f t="shared" ca="1" si="9"/>
        <v>0</v>
      </c>
      <c r="N70" s="95">
        <f ca="1">IF(P70="Hedge Fund",IF(A70=Summary!$AD$3,M70-E70,M70),IF(A70=Summary!$AD$3,L70-D70,L70))</f>
        <v>0</v>
      </c>
      <c r="P70" s="107" t="s">
        <v>139</v>
      </c>
      <c r="Q70" s="107">
        <v>0</v>
      </c>
      <c r="R70" s="107">
        <v>0</v>
      </c>
      <c r="S70" s="107">
        <v>0</v>
      </c>
      <c r="T70" s="107">
        <v>0</v>
      </c>
      <c r="U70" s="107"/>
      <c r="V70" s="107"/>
      <c r="W70" s="107"/>
      <c r="X70" s="107"/>
      <c r="Y70" s="107"/>
      <c r="Z70" s="107"/>
      <c r="AA70" s="107"/>
      <c r="AB70" s="107"/>
      <c r="AC70" s="355"/>
      <c r="AD70" s="355"/>
      <c r="AE70" s="355"/>
      <c r="AF70" s="94">
        <f t="shared" si="10"/>
        <v>39021</v>
      </c>
      <c r="AG70" s="185">
        <f t="shared" si="11"/>
        <v>3.7587369784984448E-2</v>
      </c>
      <c r="AH70" s="339" t="str">
        <f>VLOOKUP(B70,'MF PF'!A:B,2)</f>
        <v>FdMgt1</v>
      </c>
      <c r="AI70" s="358">
        <f t="shared" si="12"/>
        <v>0</v>
      </c>
      <c r="AJ70" s="94">
        <f t="shared" si="13"/>
        <v>39021</v>
      </c>
    </row>
    <row r="71" spans="1:36" ht="12.75" customHeight="1">
      <c r="A71" s="8">
        <v>39051</v>
      </c>
      <c r="B71" s="94" t="s">
        <v>0</v>
      </c>
      <c r="C71" s="92" t="s">
        <v>297</v>
      </c>
      <c r="D71" s="98">
        <v>357370000</v>
      </c>
      <c r="E71" s="9">
        <f t="shared" si="7"/>
        <v>1624.2778000000001</v>
      </c>
      <c r="F71" s="98"/>
      <c r="G71" s="98">
        <v>0</v>
      </c>
      <c r="H71" s="98">
        <v>-1610359.6898650527</v>
      </c>
      <c r="I71" s="98">
        <v>0</v>
      </c>
      <c r="J71" s="98"/>
      <c r="K71" s="98">
        <v>220017.78267239753</v>
      </c>
      <c r="L71" s="93">
        <f t="shared" si="8"/>
        <v>-1610359.6898650527</v>
      </c>
      <c r="M71" s="95">
        <f t="shared" ca="1" si="9"/>
        <v>0</v>
      </c>
      <c r="N71" s="95">
        <f ca="1">IF(P71="Hedge Fund",IF(A71=Summary!$AD$3,M71-E71,M71),IF(A71=Summary!$AD$3,L71-D71,L71))</f>
        <v>0</v>
      </c>
      <c r="P71" s="89" t="s">
        <v>139</v>
      </c>
      <c r="Q71" s="107">
        <v>0</v>
      </c>
      <c r="R71" s="107">
        <v>0</v>
      </c>
      <c r="S71" s="107">
        <v>0</v>
      </c>
      <c r="T71" s="107">
        <v>0</v>
      </c>
      <c r="U71" s="107"/>
      <c r="V71" s="107"/>
      <c r="W71" s="107"/>
      <c r="X71" s="107"/>
      <c r="Y71" s="107"/>
      <c r="Z71" s="107"/>
      <c r="AA71" s="107"/>
      <c r="AB71" s="107"/>
      <c r="AC71" s="355"/>
      <c r="AD71" s="355"/>
      <c r="AE71" s="355"/>
      <c r="AF71" s="94">
        <f t="shared" si="10"/>
        <v>39051</v>
      </c>
      <c r="AG71" s="185">
        <f t="shared" si="11"/>
        <v>2.340667585558931E-2</v>
      </c>
      <c r="AH71" s="339" t="str">
        <f>VLOOKUP(B71,'MF PF'!A:B,2)</f>
        <v>FdMgt1</v>
      </c>
      <c r="AI71" s="358">
        <f t="shared" si="12"/>
        <v>0</v>
      </c>
      <c r="AJ71" s="94">
        <f t="shared" si="13"/>
        <v>39051</v>
      </c>
    </row>
    <row r="72" spans="1:36" ht="12.75" customHeight="1">
      <c r="A72" s="8">
        <v>39082</v>
      </c>
      <c r="B72" s="8" t="s">
        <v>0</v>
      </c>
      <c r="C72" s="92" t="s">
        <v>297</v>
      </c>
      <c r="D72" s="47">
        <v>407360000</v>
      </c>
      <c r="E72" s="9">
        <f t="shared" si="7"/>
        <v>1638.4662000000001</v>
      </c>
      <c r="F72" s="47"/>
      <c r="G72" s="47">
        <v>46868299.692330956</v>
      </c>
      <c r="H72" s="47">
        <v>0</v>
      </c>
      <c r="I72" s="47">
        <v>0</v>
      </c>
      <c r="J72" s="98"/>
      <c r="K72" s="98">
        <v>248622.76682912349</v>
      </c>
      <c r="L72" s="93">
        <f t="shared" si="8"/>
        <v>46868299.692330956</v>
      </c>
      <c r="M72" s="95">
        <f t="shared" ca="1" si="9"/>
        <v>0</v>
      </c>
      <c r="N72" s="95">
        <f ca="1">IF(P72="Hedge Fund",IF(A72=Summary!$AD$3,M72-E72,M72),IF(A72=Summary!$AD$3,L72-D72,L72))</f>
        <v>0</v>
      </c>
      <c r="P72" s="89" t="s">
        <v>139</v>
      </c>
      <c r="Q72" s="89">
        <v>0</v>
      </c>
      <c r="R72" s="89">
        <v>0</v>
      </c>
      <c r="S72" s="89">
        <v>0</v>
      </c>
      <c r="T72" s="89">
        <v>0</v>
      </c>
      <c r="U72" s="89"/>
      <c r="V72" s="89"/>
      <c r="W72" s="89"/>
      <c r="X72" s="89"/>
      <c r="Y72" s="89"/>
      <c r="Z72" s="89"/>
      <c r="AA72" s="89"/>
      <c r="AB72" s="89"/>
      <c r="AC72" s="355"/>
      <c r="AD72" s="355"/>
      <c r="AE72" s="355"/>
      <c r="AF72" s="94">
        <f t="shared" si="10"/>
        <v>39082</v>
      </c>
      <c r="AG72" s="185">
        <f t="shared" si="11"/>
        <v>8.735205270921087E-3</v>
      </c>
      <c r="AH72" s="339" t="str">
        <f>VLOOKUP(B72,'MF PF'!A:B,2)</f>
        <v>FdMgt1</v>
      </c>
      <c r="AI72" s="358">
        <f t="shared" si="12"/>
        <v>0</v>
      </c>
      <c r="AJ72" s="94">
        <f t="shared" si="13"/>
        <v>39082</v>
      </c>
    </row>
    <row r="73" spans="1:36" ht="12.75" customHeight="1">
      <c r="A73" s="8">
        <v>39113</v>
      </c>
      <c r="B73" s="8" t="s">
        <v>0</v>
      </c>
      <c r="C73" s="92" t="s">
        <v>297</v>
      </c>
      <c r="D73" s="47">
        <v>441610000</v>
      </c>
      <c r="E73" s="9">
        <f t="shared" si="7"/>
        <v>1668.1523000000002</v>
      </c>
      <c r="F73" s="47"/>
      <c r="G73" s="47">
        <v>26869359.68163389</v>
      </c>
      <c r="H73" s="47">
        <v>0</v>
      </c>
      <c r="I73" s="47">
        <v>0</v>
      </c>
      <c r="J73" s="98"/>
      <c r="K73" s="98">
        <v>264730.02495035972</v>
      </c>
      <c r="L73" s="93">
        <f t="shared" si="8"/>
        <v>26869359.68163389</v>
      </c>
      <c r="M73" s="95">
        <f t="shared" ca="1" si="9"/>
        <v>0</v>
      </c>
      <c r="N73" s="95">
        <f ca="1">IF(P73="Hedge Fund",IF(A73=Summary!$AD$3,M73-E73,M73),IF(A73=Summary!$AD$3,L73-D73,L73))</f>
        <v>0</v>
      </c>
      <c r="P73" s="89" t="s">
        <v>139</v>
      </c>
      <c r="Q73" s="89">
        <v>0</v>
      </c>
      <c r="R73" s="89">
        <v>0</v>
      </c>
      <c r="S73" s="89">
        <v>0</v>
      </c>
      <c r="T73" s="89">
        <v>0</v>
      </c>
      <c r="U73" s="89"/>
      <c r="V73" s="89"/>
      <c r="W73" s="89"/>
      <c r="X73" s="89"/>
      <c r="Y73" s="89"/>
      <c r="Z73" s="89"/>
      <c r="AA73" s="89"/>
      <c r="AB73" s="89"/>
      <c r="AC73" s="355"/>
      <c r="AD73" s="355"/>
      <c r="AE73" s="355"/>
      <c r="AF73" s="94">
        <f t="shared" si="10"/>
        <v>39113</v>
      </c>
      <c r="AG73" s="185">
        <f t="shared" si="11"/>
        <v>1.8118225447677938E-2</v>
      </c>
      <c r="AH73" s="339" t="str">
        <f>VLOOKUP(B73,'MF PF'!A:B,2)</f>
        <v>FdMgt1</v>
      </c>
      <c r="AI73" s="358">
        <f t="shared" si="12"/>
        <v>0</v>
      </c>
      <c r="AJ73" s="94">
        <f t="shared" si="13"/>
        <v>39113</v>
      </c>
    </row>
    <row r="74" spans="1:36" ht="12.75" customHeight="1">
      <c r="A74" s="8">
        <v>39141</v>
      </c>
      <c r="B74" s="94" t="s">
        <v>0</v>
      </c>
      <c r="C74" s="92" t="s">
        <v>297</v>
      </c>
      <c r="D74" s="98">
        <v>442030000</v>
      </c>
      <c r="E74" s="9">
        <f t="shared" si="7"/>
        <v>1693.7085</v>
      </c>
      <c r="F74" s="98"/>
      <c r="G74" s="98">
        <v>0</v>
      </c>
      <c r="H74" s="98">
        <v>-6345493.4636363387</v>
      </c>
      <c r="I74" s="98">
        <v>0</v>
      </c>
      <c r="J74" s="98"/>
      <c r="K74" s="98">
        <v>260983.51634888767</v>
      </c>
      <c r="L74" s="93">
        <f t="shared" si="8"/>
        <v>-6345493.4636363387</v>
      </c>
      <c r="M74" s="95">
        <f t="shared" ca="1" si="9"/>
        <v>0</v>
      </c>
      <c r="N74" s="95">
        <f ca="1">IF(P74="Hedge Fund",IF(A74=Summary!$AD$3,M74-E74,M74),IF(A74=Summary!$AD$3,L74-D74,L74))</f>
        <v>0</v>
      </c>
      <c r="P74" s="107" t="s">
        <v>139</v>
      </c>
      <c r="Q74" s="107">
        <v>0</v>
      </c>
      <c r="R74" s="107">
        <v>0</v>
      </c>
      <c r="S74" s="107">
        <v>0</v>
      </c>
      <c r="T74" s="107">
        <v>0</v>
      </c>
      <c r="U74" s="107"/>
      <c r="V74" s="107"/>
      <c r="W74" s="107"/>
      <c r="X74" s="107"/>
      <c r="Y74" s="107"/>
      <c r="Z74" s="107"/>
      <c r="AA74" s="107"/>
      <c r="AB74" s="107"/>
      <c r="AC74" s="355"/>
      <c r="AD74" s="355"/>
      <c r="AE74" s="355"/>
      <c r="AF74" s="94">
        <f t="shared" si="10"/>
        <v>39141</v>
      </c>
      <c r="AG74" s="185">
        <f t="shared" si="11"/>
        <v>1.5320064001350442E-2</v>
      </c>
      <c r="AH74" s="339" t="str">
        <f>VLOOKUP(B74,'MF PF'!A:B,2)</f>
        <v>FdMgt1</v>
      </c>
      <c r="AI74" s="358">
        <f t="shared" si="12"/>
        <v>0</v>
      </c>
      <c r="AJ74" s="94">
        <f t="shared" si="13"/>
        <v>39141</v>
      </c>
    </row>
    <row r="75" spans="1:36" ht="12.75" customHeight="1">
      <c r="A75" s="8">
        <v>39171</v>
      </c>
      <c r="B75" s="8" t="s">
        <v>0</v>
      </c>
      <c r="C75" s="92" t="s">
        <v>297</v>
      </c>
      <c r="D75" s="47">
        <v>458480000</v>
      </c>
      <c r="E75" s="9">
        <f t="shared" si="7"/>
        <v>1753.7643245748914</v>
      </c>
      <c r="F75" s="47"/>
      <c r="G75" s="47">
        <v>776419.72521287203</v>
      </c>
      <c r="H75" s="47">
        <v>0</v>
      </c>
      <c r="I75" s="47">
        <v>0</v>
      </c>
      <c r="J75" s="98"/>
      <c r="K75" s="98">
        <v>261426.23246206957</v>
      </c>
      <c r="L75" s="93">
        <f t="shared" si="8"/>
        <v>776419.72521287203</v>
      </c>
      <c r="M75" s="95">
        <f t="shared" ca="1" si="9"/>
        <v>0</v>
      </c>
      <c r="N75" s="95">
        <f ca="1">IF(P75="Hedge Fund",IF(A75=Summary!$AD$3,M75-E75,M75),IF(A75=Summary!$AD$3,L75-D75,L75))</f>
        <v>0</v>
      </c>
      <c r="P75" s="89" t="s">
        <v>139</v>
      </c>
      <c r="Q75" s="89">
        <v>0</v>
      </c>
      <c r="R75" s="89">
        <v>0</v>
      </c>
      <c r="S75" s="89">
        <v>0</v>
      </c>
      <c r="T75" s="89">
        <v>0</v>
      </c>
      <c r="U75" s="89"/>
      <c r="V75" s="89"/>
      <c r="W75" s="89"/>
      <c r="X75" s="89"/>
      <c r="Y75" s="89"/>
      <c r="Z75" s="89"/>
      <c r="AA75" s="89"/>
      <c r="AB75" s="89"/>
      <c r="AC75" s="355"/>
      <c r="AD75" s="355"/>
      <c r="AE75" s="355"/>
      <c r="AF75" s="94">
        <f t="shared" si="10"/>
        <v>39171</v>
      </c>
      <c r="AG75" s="185">
        <f t="shared" si="11"/>
        <v>3.5458182193034649E-2</v>
      </c>
      <c r="AH75" s="339" t="str">
        <f>VLOOKUP(B75,'MF PF'!A:B,2)</f>
        <v>FdMgt1</v>
      </c>
      <c r="AI75" s="358">
        <f t="shared" si="12"/>
        <v>0</v>
      </c>
      <c r="AJ75" s="94">
        <f t="shared" si="13"/>
        <v>39172</v>
      </c>
    </row>
    <row r="76" spans="1:36" ht="12.75" customHeight="1">
      <c r="A76" s="8">
        <v>39202</v>
      </c>
      <c r="B76" s="94" t="s">
        <v>0</v>
      </c>
      <c r="C76" s="92" t="s">
        <v>297</v>
      </c>
      <c r="D76" s="98">
        <v>477589385.90630847</v>
      </c>
      <c r="E76" s="9">
        <f t="shared" si="7"/>
        <v>1817.9249080723571</v>
      </c>
      <c r="F76" s="98"/>
      <c r="G76" s="98">
        <v>2336126.2899979949</v>
      </c>
      <c r="H76" s="98">
        <v>0</v>
      </c>
      <c r="I76" s="98">
        <v>0</v>
      </c>
      <c r="J76" s="98"/>
      <c r="K76" s="98">
        <v>262711.28350000002</v>
      </c>
      <c r="L76" s="93">
        <f t="shared" si="8"/>
        <v>2336126.2899979949</v>
      </c>
      <c r="M76" s="95">
        <f t="shared" ca="1" si="9"/>
        <v>0</v>
      </c>
      <c r="N76" s="95">
        <f ca="1">IF(P76="Hedge Fund",IF(A76=Summary!$AD$3,M76-E76,M76),IF(A76=Summary!$AD$3,L76-D76,L76))</f>
        <v>0</v>
      </c>
      <c r="P76" s="89" t="s">
        <v>139</v>
      </c>
      <c r="Q76" s="107">
        <v>0</v>
      </c>
      <c r="R76" s="107">
        <v>0</v>
      </c>
      <c r="S76" s="107">
        <v>0</v>
      </c>
      <c r="T76" s="107">
        <v>0</v>
      </c>
      <c r="U76" s="107"/>
      <c r="V76" s="107"/>
      <c r="W76" s="107"/>
      <c r="X76" s="107"/>
      <c r="Y76" s="107"/>
      <c r="Z76" s="107"/>
      <c r="AA76" s="107"/>
      <c r="AB76" s="107"/>
      <c r="AC76" s="355"/>
      <c r="AD76" s="355"/>
      <c r="AE76" s="355"/>
      <c r="AF76" s="94">
        <f t="shared" si="10"/>
        <v>39202</v>
      </c>
      <c r="AG76" s="185">
        <f t="shared" si="11"/>
        <v>3.6584495760579427E-2</v>
      </c>
      <c r="AH76" s="339" t="str">
        <f>VLOOKUP(B76,'MF PF'!A:B,2)</f>
        <v>FdMgt1</v>
      </c>
      <c r="AI76" s="358">
        <f t="shared" si="12"/>
        <v>0</v>
      </c>
      <c r="AJ76" s="94">
        <f t="shared" si="13"/>
        <v>39202</v>
      </c>
    </row>
    <row r="77" spans="1:36" ht="12.75" customHeight="1">
      <c r="A77" s="94">
        <v>39233</v>
      </c>
      <c r="B77" s="8" t="s">
        <v>0</v>
      </c>
      <c r="C77" s="358" t="s">
        <v>297</v>
      </c>
      <c r="D77" s="47">
        <v>512447611.87423545</v>
      </c>
      <c r="E77" s="9">
        <f t="shared" si="7"/>
        <v>1866.9561000000001</v>
      </c>
      <c r="F77" s="47"/>
      <c r="G77" s="47">
        <v>21977178.605081022</v>
      </c>
      <c r="H77" s="47">
        <v>0</v>
      </c>
      <c r="I77" s="47">
        <v>0</v>
      </c>
      <c r="J77" s="98"/>
      <c r="K77" s="98">
        <v>274482.94679999998</v>
      </c>
      <c r="L77" s="93">
        <f t="shared" si="8"/>
        <v>21977178.605081022</v>
      </c>
      <c r="M77" s="95">
        <f t="shared" ca="1" si="9"/>
        <v>0</v>
      </c>
      <c r="N77" s="95">
        <f ca="1">IF(P77="Hedge Fund",IF(A77=Summary!$AD$3,M77-E77,M77),IF(A77=Summary!$AD$3,L77-D77,L77))</f>
        <v>0</v>
      </c>
      <c r="P77" s="89" t="s">
        <v>139</v>
      </c>
      <c r="Q77" s="89">
        <v>0</v>
      </c>
      <c r="R77" s="89">
        <v>0</v>
      </c>
      <c r="S77" s="89">
        <v>0</v>
      </c>
      <c r="T77" s="89">
        <v>0</v>
      </c>
      <c r="U77" s="89"/>
      <c r="V77" s="89"/>
      <c r="W77" s="89"/>
      <c r="X77" s="89"/>
      <c r="Y77" s="89"/>
      <c r="Z77" s="89"/>
      <c r="AA77" s="89"/>
      <c r="AB77" s="89"/>
      <c r="AC77" s="355"/>
      <c r="AD77" s="355"/>
      <c r="AE77" s="355"/>
      <c r="AF77" s="94">
        <f t="shared" si="10"/>
        <v>39233</v>
      </c>
      <c r="AG77" s="185">
        <f t="shared" si="11"/>
        <v>2.6970966572889665E-2</v>
      </c>
      <c r="AH77" s="339" t="str">
        <f>VLOOKUP(B77,'MF PF'!A:B,2)</f>
        <v>FdMgt1</v>
      </c>
      <c r="AI77" s="358">
        <f t="shared" si="12"/>
        <v>0</v>
      </c>
      <c r="AJ77" s="94">
        <f t="shared" si="13"/>
        <v>39233</v>
      </c>
    </row>
    <row r="78" spans="1:36" ht="12.75" customHeight="1">
      <c r="A78" s="8">
        <v>39262</v>
      </c>
      <c r="B78" s="8" t="s">
        <v>0</v>
      </c>
      <c r="C78" s="92" t="s">
        <v>297</v>
      </c>
      <c r="D78" s="98">
        <v>509518247.52110177</v>
      </c>
      <c r="E78" s="9">
        <f t="shared" si="7"/>
        <v>1856.2837999999999</v>
      </c>
      <c r="F78" s="47"/>
      <c r="G78" s="47">
        <v>0</v>
      </c>
      <c r="H78" s="47">
        <v>0</v>
      </c>
      <c r="I78" s="98">
        <v>0</v>
      </c>
      <c r="J78" s="98"/>
      <c r="K78" s="98">
        <v>274482.94679999998</v>
      </c>
      <c r="L78" s="93">
        <f t="shared" si="8"/>
        <v>0</v>
      </c>
      <c r="M78" s="95">
        <f t="shared" ca="1" si="9"/>
        <v>0</v>
      </c>
      <c r="N78" s="95">
        <f ca="1">IF(P78="Hedge Fund",IF(A78=Summary!$AD$3,M78-E78,M78),IF(A78=Summary!$AD$3,L78-D78,L78))</f>
        <v>0</v>
      </c>
      <c r="P78" s="89" t="s">
        <v>139</v>
      </c>
      <c r="Q78" s="107">
        <v>0</v>
      </c>
      <c r="R78" s="107">
        <v>0</v>
      </c>
      <c r="S78" s="89">
        <v>0</v>
      </c>
      <c r="T78" s="89">
        <v>0</v>
      </c>
      <c r="U78" s="89"/>
      <c r="V78" s="89"/>
      <c r="W78" s="89"/>
      <c r="X78" s="89"/>
      <c r="Y78" s="89"/>
      <c r="Z78" s="89"/>
      <c r="AA78" s="89"/>
      <c r="AB78" s="89"/>
      <c r="AC78" s="355"/>
      <c r="AD78" s="355"/>
      <c r="AE78" s="355"/>
      <c r="AF78" s="94">
        <f t="shared" si="10"/>
        <v>39262</v>
      </c>
      <c r="AG78" s="185">
        <f t="shared" si="11"/>
        <v>-5.7164172205228514E-3</v>
      </c>
      <c r="AH78" s="339" t="str">
        <f>VLOOKUP(B78,'MF PF'!A:B,2)</f>
        <v>FdMgt1</v>
      </c>
      <c r="AI78" s="358">
        <f t="shared" si="12"/>
        <v>0</v>
      </c>
      <c r="AJ78" s="94">
        <f t="shared" si="13"/>
        <v>39263</v>
      </c>
    </row>
    <row r="79" spans="1:36" ht="12.75" customHeight="1">
      <c r="A79" s="8">
        <v>39294</v>
      </c>
      <c r="B79" s="94" t="s">
        <v>0</v>
      </c>
      <c r="C79" s="92" t="s">
        <v>297</v>
      </c>
      <c r="D79" s="98">
        <v>559120000</v>
      </c>
      <c r="E79" s="9">
        <f t="shared" si="7"/>
        <v>1906.9264000000001</v>
      </c>
      <c r="F79" s="47"/>
      <c r="G79" s="47">
        <v>35701222.397284508</v>
      </c>
      <c r="H79" s="98">
        <v>0</v>
      </c>
      <c r="I79" s="98">
        <v>0</v>
      </c>
      <c r="J79" s="98"/>
      <c r="K79" s="98">
        <v>293204.81377781543</v>
      </c>
      <c r="L79" s="93">
        <f t="shared" si="8"/>
        <v>35701222.397284508</v>
      </c>
      <c r="M79" s="95">
        <f t="shared" ca="1" si="9"/>
        <v>0</v>
      </c>
      <c r="N79" s="95">
        <f ca="1">IF(P79="Hedge Fund",IF(A79=Summary!$AD$3,M79-E79,M79),IF(A79=Summary!$AD$3,L79-D79,L79))</f>
        <v>0</v>
      </c>
      <c r="P79" s="107" t="s">
        <v>139</v>
      </c>
      <c r="Q79" s="107">
        <v>0</v>
      </c>
      <c r="R79" s="107">
        <v>0</v>
      </c>
      <c r="S79" s="107">
        <v>0</v>
      </c>
      <c r="T79" s="107">
        <v>0</v>
      </c>
      <c r="U79" s="107"/>
      <c r="V79" s="107"/>
      <c r="W79" s="107"/>
      <c r="X79" s="107"/>
      <c r="Y79" s="107"/>
      <c r="Z79" s="107"/>
      <c r="AA79" s="107"/>
      <c r="AB79" s="107"/>
      <c r="AC79" s="355"/>
      <c r="AD79" s="355"/>
      <c r="AE79" s="355"/>
      <c r="AF79" s="94">
        <f t="shared" si="10"/>
        <v>39294</v>
      </c>
      <c r="AG79" s="185">
        <f t="shared" si="11"/>
        <v>2.7281711988220936E-2</v>
      </c>
      <c r="AH79" s="339" t="str">
        <f>VLOOKUP(B79,'MF PF'!A:B,2)</f>
        <v>FdMgt1</v>
      </c>
      <c r="AI79" s="358">
        <f t="shared" si="12"/>
        <v>0</v>
      </c>
      <c r="AJ79" s="94">
        <f t="shared" si="13"/>
        <v>39294</v>
      </c>
    </row>
    <row r="80" spans="1:36" ht="12.75" customHeight="1">
      <c r="A80" s="8">
        <v>39325</v>
      </c>
      <c r="B80" s="94" t="s">
        <v>0</v>
      </c>
      <c r="C80" s="92" t="s">
        <v>297</v>
      </c>
      <c r="D80" s="98">
        <v>533270000</v>
      </c>
      <c r="E80" s="9">
        <f t="shared" si="7"/>
        <v>1802.6483000000003</v>
      </c>
      <c r="F80" s="98"/>
      <c r="G80" s="98">
        <v>4724840.8916043639</v>
      </c>
      <c r="H80" s="98">
        <v>0</v>
      </c>
      <c r="I80" s="98">
        <v>0</v>
      </c>
      <c r="J80" s="98"/>
      <c r="K80" s="98">
        <v>295825.86908383621</v>
      </c>
      <c r="L80" s="93">
        <f t="shared" si="8"/>
        <v>4724840.8916043639</v>
      </c>
      <c r="M80" s="95">
        <f t="shared" ca="1" si="9"/>
        <v>0</v>
      </c>
      <c r="N80" s="95">
        <f ca="1">IF(P80="Hedge Fund",IF(A80=Summary!$AD$3,M80-E80,M80),IF(A80=Summary!$AD$3,L80-D80,L80))</f>
        <v>0</v>
      </c>
      <c r="P80" s="107" t="s">
        <v>139</v>
      </c>
      <c r="Q80" s="107">
        <v>0</v>
      </c>
      <c r="R80" s="107">
        <v>0</v>
      </c>
      <c r="S80" s="107">
        <v>0</v>
      </c>
      <c r="T80" s="107">
        <v>0</v>
      </c>
      <c r="U80" s="107"/>
      <c r="V80" s="107"/>
      <c r="W80" s="107"/>
      <c r="X80" s="107"/>
      <c r="Y80" s="107"/>
      <c r="Z80" s="107"/>
      <c r="AA80" s="107"/>
      <c r="AB80" s="107"/>
      <c r="AC80" s="355"/>
      <c r="AD80" s="355"/>
      <c r="AE80" s="355"/>
      <c r="AF80" s="94">
        <f t="shared" si="10"/>
        <v>39325</v>
      </c>
      <c r="AG80" s="185">
        <f t="shared" si="11"/>
        <v>-5.4683861946638213E-2</v>
      </c>
      <c r="AH80" s="339" t="str">
        <f>VLOOKUP(B80,'MF PF'!A:B,2)</f>
        <v>FdMgt1</v>
      </c>
      <c r="AI80" s="358">
        <f t="shared" si="12"/>
        <v>0</v>
      </c>
      <c r="AJ80" s="94">
        <f t="shared" si="13"/>
        <v>39325</v>
      </c>
    </row>
    <row r="81" spans="1:36" ht="12.75" customHeight="1">
      <c r="A81" s="8">
        <v>39355</v>
      </c>
      <c r="B81" s="8" t="s">
        <v>0</v>
      </c>
      <c r="C81" s="92" t="s">
        <v>297</v>
      </c>
      <c r="D81" s="47">
        <v>555580000</v>
      </c>
      <c r="E81" s="9">
        <f t="shared" si="7"/>
        <v>1813.7191</v>
      </c>
      <c r="F81" s="47"/>
      <c r="G81" s="47">
        <v>19034970.968546748</v>
      </c>
      <c r="H81" s="47">
        <v>0</v>
      </c>
      <c r="I81" s="47">
        <v>0</v>
      </c>
      <c r="J81" s="98"/>
      <c r="K81" s="98">
        <v>306320.86302669469</v>
      </c>
      <c r="L81" s="93">
        <f t="shared" si="8"/>
        <v>19034970.968546748</v>
      </c>
      <c r="M81" s="95">
        <f t="shared" ca="1" si="9"/>
        <v>0</v>
      </c>
      <c r="N81" s="95">
        <f ca="1">IF(P81="Hedge Fund",IF(A81=Summary!$AD$3,M81-E81,M81),IF(A81=Summary!$AD$3,L81-D81,L81))</f>
        <v>0</v>
      </c>
      <c r="P81" s="89" t="s">
        <v>139</v>
      </c>
      <c r="Q81" s="89">
        <v>0</v>
      </c>
      <c r="R81" s="89">
        <v>0</v>
      </c>
      <c r="S81" s="89">
        <v>0</v>
      </c>
      <c r="T81" s="89">
        <v>0</v>
      </c>
      <c r="U81" s="89"/>
      <c r="V81" s="89"/>
      <c r="W81" s="89"/>
      <c r="X81" s="89"/>
      <c r="Y81" s="89"/>
      <c r="Z81" s="89"/>
      <c r="AA81" s="89"/>
      <c r="AB81" s="89"/>
      <c r="AC81" s="355"/>
      <c r="AD81" s="355"/>
      <c r="AE81" s="355"/>
      <c r="AF81" s="94">
        <f t="shared" si="10"/>
        <v>39355</v>
      </c>
      <c r="AG81" s="185">
        <f t="shared" si="11"/>
        <v>6.1414087262610106E-3</v>
      </c>
      <c r="AH81" s="339" t="str">
        <f>VLOOKUP(B81,'MF PF'!A:B,2)</f>
        <v>FdMgt1</v>
      </c>
      <c r="AI81" s="358">
        <f t="shared" si="12"/>
        <v>0</v>
      </c>
      <c r="AJ81" s="94">
        <f t="shared" si="13"/>
        <v>39355</v>
      </c>
    </row>
    <row r="82" spans="1:36" ht="12.75" customHeight="1">
      <c r="A82" s="8">
        <v>39386</v>
      </c>
      <c r="B82" s="8" t="s">
        <v>0</v>
      </c>
      <c r="C82" s="92" t="s">
        <v>297</v>
      </c>
      <c r="D82" s="47">
        <v>558798778.40037513</v>
      </c>
      <c r="E82" s="9">
        <f t="shared" si="7"/>
        <v>1818.7966000000001</v>
      </c>
      <c r="F82" s="47"/>
      <c r="G82" s="47">
        <v>1663434.2183570862</v>
      </c>
      <c r="H82" s="47">
        <v>0</v>
      </c>
      <c r="I82" s="47">
        <v>0</v>
      </c>
      <c r="J82" s="98"/>
      <c r="K82" s="98">
        <v>307235.44259999995</v>
      </c>
      <c r="L82" s="93">
        <f t="shared" si="8"/>
        <v>1663434.2183570862</v>
      </c>
      <c r="M82" s="95">
        <f t="shared" ca="1" si="9"/>
        <v>0</v>
      </c>
      <c r="N82" s="95">
        <f ca="1">IF(P82="Hedge Fund",IF(A82=Summary!$AD$3,M82-E82,M82),IF(A82=Summary!$AD$3,L82-D82,L82))</f>
        <v>0</v>
      </c>
      <c r="P82" s="89" t="s">
        <v>139</v>
      </c>
      <c r="Q82" s="89">
        <v>0</v>
      </c>
      <c r="R82" s="89">
        <v>0</v>
      </c>
      <c r="S82" s="89">
        <v>0</v>
      </c>
      <c r="T82" s="89">
        <v>0</v>
      </c>
      <c r="U82" s="89"/>
      <c r="V82" s="89"/>
      <c r="W82" s="89"/>
      <c r="X82" s="89"/>
      <c r="Y82" s="89"/>
      <c r="Z82" s="89"/>
      <c r="AA82" s="89"/>
      <c r="AB82" s="89"/>
      <c r="AC82" s="355"/>
      <c r="AD82" s="355"/>
      <c r="AE82" s="355"/>
      <c r="AF82" s="94">
        <f t="shared" si="10"/>
        <v>39386</v>
      </c>
      <c r="AG82" s="185">
        <f t="shared" si="11"/>
        <v>2.7994963497930403E-3</v>
      </c>
      <c r="AH82" s="339" t="str">
        <f>VLOOKUP(B82,'MF PF'!A:B,2)</f>
        <v>FdMgt1</v>
      </c>
      <c r="AI82" s="358">
        <f t="shared" si="12"/>
        <v>0</v>
      </c>
      <c r="AJ82" s="94">
        <f t="shared" si="13"/>
        <v>39386</v>
      </c>
    </row>
    <row r="83" spans="1:36" ht="12.75" customHeight="1">
      <c r="A83" s="8">
        <v>39416</v>
      </c>
      <c r="B83" s="94" t="s">
        <v>0</v>
      </c>
      <c r="C83" s="358" t="s">
        <v>297</v>
      </c>
      <c r="D83" s="98">
        <v>571347344.46757579</v>
      </c>
      <c r="E83" s="9">
        <f t="shared" si="7"/>
        <v>1846.8496000000002</v>
      </c>
      <c r="F83" s="47"/>
      <c r="G83" s="47">
        <v>3929690.1959428787</v>
      </c>
      <c r="H83" s="47">
        <v>0</v>
      </c>
      <c r="I83" s="47">
        <v>0</v>
      </c>
      <c r="J83" s="98"/>
      <c r="K83" s="98">
        <v>309363.22289999994</v>
      </c>
      <c r="L83" s="93">
        <f t="shared" si="8"/>
        <v>3929690.1959428787</v>
      </c>
      <c r="M83" s="95">
        <f t="shared" ca="1" si="9"/>
        <v>0</v>
      </c>
      <c r="N83" s="95">
        <f ca="1">IF(P83="Hedge Fund",IF(A83=Summary!$AD$3,M83-E83,M83),IF(A83=Summary!$AD$3,L83-D83,L83))</f>
        <v>0</v>
      </c>
      <c r="P83" s="89" t="s">
        <v>139</v>
      </c>
      <c r="Q83" s="89">
        <v>0</v>
      </c>
      <c r="R83" s="107">
        <v>0</v>
      </c>
      <c r="S83" s="89">
        <v>0</v>
      </c>
      <c r="T83" s="89">
        <v>0</v>
      </c>
      <c r="U83" s="89"/>
      <c r="V83" s="89"/>
      <c r="W83" s="89"/>
      <c r="X83" s="89"/>
      <c r="Y83" s="89"/>
      <c r="Z83" s="89"/>
      <c r="AA83" s="89"/>
      <c r="AB83" s="89"/>
      <c r="AC83" s="355"/>
      <c r="AD83" s="355"/>
      <c r="AE83" s="355"/>
      <c r="AF83" s="94">
        <f t="shared" si="10"/>
        <v>39416</v>
      </c>
      <c r="AG83" s="185">
        <f t="shared" si="11"/>
        <v>1.5423934704958286E-2</v>
      </c>
      <c r="AH83" s="339" t="str">
        <f>VLOOKUP(B83,'MF PF'!A:B,2)</f>
        <v>FdMgt1</v>
      </c>
      <c r="AI83" s="358">
        <f t="shared" si="12"/>
        <v>0</v>
      </c>
      <c r="AJ83" s="94">
        <f t="shared" si="13"/>
        <v>39416</v>
      </c>
    </row>
    <row r="84" spans="1:36" ht="12.75" customHeight="1">
      <c r="A84" s="8">
        <v>39447</v>
      </c>
      <c r="B84" s="94" t="s">
        <v>0</v>
      </c>
      <c r="C84" s="92" t="s">
        <v>297</v>
      </c>
      <c r="D84" s="98">
        <v>584090357.11431062</v>
      </c>
      <c r="E84" s="9">
        <f t="shared" si="7"/>
        <v>1868.7528999999997</v>
      </c>
      <c r="F84" s="98"/>
      <c r="G84" s="98">
        <v>5966937.1665893793</v>
      </c>
      <c r="H84" s="98">
        <v>0</v>
      </c>
      <c r="I84" s="98">
        <v>0</v>
      </c>
      <c r="J84" s="98"/>
      <c r="K84" s="98">
        <v>312556.22780000005</v>
      </c>
      <c r="L84" s="93">
        <f t="shared" si="8"/>
        <v>5966937.1665893793</v>
      </c>
      <c r="M84" s="95">
        <f t="shared" ca="1" si="9"/>
        <v>0</v>
      </c>
      <c r="N84" s="95">
        <f ca="1">IF(P84="Hedge Fund",IF(A84=Summary!$AD$3,M84-E84,M84),IF(A84=Summary!$AD$3,L84-D84,L84))</f>
        <v>0</v>
      </c>
      <c r="P84" s="89" t="s">
        <v>139</v>
      </c>
      <c r="Q84" s="107">
        <v>0</v>
      </c>
      <c r="R84" s="107">
        <v>0</v>
      </c>
      <c r="S84" s="107">
        <v>0</v>
      </c>
      <c r="T84" s="107">
        <v>0</v>
      </c>
      <c r="U84" s="107"/>
      <c r="V84" s="107"/>
      <c r="W84" s="107"/>
      <c r="X84" s="107"/>
      <c r="Y84" s="107"/>
      <c r="Z84" s="107"/>
      <c r="AA84" s="107"/>
      <c r="AB84" s="107"/>
      <c r="AC84" s="355"/>
      <c r="AD84" s="355"/>
      <c r="AE84" s="355"/>
      <c r="AF84" s="94">
        <f t="shared" si="10"/>
        <v>39447</v>
      </c>
      <c r="AG84" s="185">
        <f t="shared" si="11"/>
        <v>1.1859817929949168E-2</v>
      </c>
      <c r="AH84" s="339" t="str">
        <f>VLOOKUP(B84,'MF PF'!A:B,2)</f>
        <v>FdMgt1</v>
      </c>
      <c r="AI84" s="358">
        <f t="shared" si="12"/>
        <v>0</v>
      </c>
      <c r="AJ84" s="94">
        <f t="shared" si="13"/>
        <v>39447</v>
      </c>
    </row>
    <row r="85" spans="1:36" ht="12.75" customHeight="1">
      <c r="A85" s="8">
        <v>39478</v>
      </c>
      <c r="B85" s="94" t="s">
        <v>0</v>
      </c>
      <c r="C85" s="92" t="s">
        <v>297</v>
      </c>
      <c r="D85" s="98">
        <v>578824889.01440358</v>
      </c>
      <c r="E85" s="9">
        <f t="shared" si="7"/>
        <v>1820.7343000000003</v>
      </c>
      <c r="F85" s="98"/>
      <c r="G85" s="98">
        <v>9743044.3803298473</v>
      </c>
      <c r="H85" s="98">
        <v>0</v>
      </c>
      <c r="I85" s="98">
        <v>0</v>
      </c>
      <c r="J85" s="98"/>
      <c r="K85" s="98">
        <v>317907.38989999995</v>
      </c>
      <c r="L85" s="93">
        <f t="shared" si="8"/>
        <v>9743044.3803298473</v>
      </c>
      <c r="M85" s="95">
        <f t="shared" ca="1" si="9"/>
        <v>0</v>
      </c>
      <c r="N85" s="95">
        <f ca="1">IF(P85="Hedge Fund",IF(A85=Summary!$AD$3,M85-E85,M85),IF(A85=Summary!$AD$3,L85-D85,L85))</f>
        <v>0</v>
      </c>
      <c r="P85" s="89" t="s">
        <v>139</v>
      </c>
      <c r="Q85" s="107">
        <v>0</v>
      </c>
      <c r="R85" s="107">
        <v>0</v>
      </c>
      <c r="S85" s="107">
        <v>0</v>
      </c>
      <c r="T85" s="107">
        <v>0</v>
      </c>
      <c r="U85" s="107"/>
      <c r="V85" s="107"/>
      <c r="W85" s="107"/>
      <c r="X85" s="107"/>
      <c r="Y85" s="107"/>
      <c r="Z85" s="107"/>
      <c r="AA85" s="107"/>
      <c r="AB85" s="107"/>
      <c r="AC85" s="355"/>
      <c r="AD85" s="355"/>
      <c r="AE85" s="355"/>
      <c r="AF85" s="94">
        <f t="shared" si="10"/>
        <v>39478</v>
      </c>
      <c r="AG85" s="185">
        <f t="shared" si="11"/>
        <v>-2.569553203101349E-2</v>
      </c>
      <c r="AH85" s="339" t="str">
        <f>VLOOKUP(B85,'MF PF'!A:B,2)</f>
        <v>FdMgt1</v>
      </c>
      <c r="AI85" s="358">
        <f t="shared" si="12"/>
        <v>0</v>
      </c>
      <c r="AJ85" s="94">
        <f t="shared" si="13"/>
        <v>39478</v>
      </c>
    </row>
    <row r="86" spans="1:36" ht="12.75" customHeight="1">
      <c r="A86" s="8">
        <v>39507</v>
      </c>
      <c r="B86" s="8" t="s">
        <v>0</v>
      </c>
      <c r="C86" s="92" t="s">
        <v>297</v>
      </c>
      <c r="D86" s="47">
        <v>623022111.54772389</v>
      </c>
      <c r="E86" s="9">
        <f t="shared" si="7"/>
        <v>1849.4313000000002</v>
      </c>
      <c r="F86" s="47"/>
      <c r="G86" s="47">
        <v>35074234.165360093</v>
      </c>
      <c r="H86" s="47">
        <v>0</v>
      </c>
      <c r="I86" s="47">
        <v>0</v>
      </c>
      <c r="J86" s="98"/>
      <c r="K86" s="98">
        <v>336872.26529999997</v>
      </c>
      <c r="L86" s="93">
        <f t="shared" si="8"/>
        <v>35074234.165360093</v>
      </c>
      <c r="M86" s="95">
        <f t="shared" ca="1" si="9"/>
        <v>0</v>
      </c>
      <c r="N86" s="95">
        <f ca="1">IF(P86="Hedge Fund",IF(A86=Summary!$AD$3,M86-E86,M86),IF(A86=Summary!$AD$3,L86-D86,L86))</f>
        <v>0</v>
      </c>
      <c r="P86" s="89" t="s">
        <v>139</v>
      </c>
      <c r="Q86" s="89">
        <v>0</v>
      </c>
      <c r="R86" s="89">
        <v>0</v>
      </c>
      <c r="S86" s="89">
        <v>0</v>
      </c>
      <c r="T86" s="89">
        <v>0</v>
      </c>
      <c r="U86" s="89"/>
      <c r="V86" s="89"/>
      <c r="W86" s="89"/>
      <c r="X86" s="89"/>
      <c r="Y86" s="89"/>
      <c r="Z86" s="89"/>
      <c r="AA86" s="89"/>
      <c r="AB86" s="89"/>
      <c r="AC86" s="355"/>
      <c r="AD86" s="355"/>
      <c r="AE86" s="355"/>
      <c r="AF86" s="94">
        <f t="shared" si="10"/>
        <v>39507</v>
      </c>
      <c r="AG86" s="185">
        <f t="shared" si="11"/>
        <v>1.5761223370153399E-2</v>
      </c>
      <c r="AH86" s="339" t="str">
        <f>VLOOKUP(B86,'MF PF'!A:B,2)</f>
        <v>FdMgt1</v>
      </c>
      <c r="AI86" s="358">
        <f t="shared" si="12"/>
        <v>0</v>
      </c>
      <c r="AJ86" s="94">
        <f t="shared" si="13"/>
        <v>39507</v>
      </c>
    </row>
    <row r="87" spans="1:36" ht="12.75" customHeight="1">
      <c r="A87" s="8">
        <v>39538</v>
      </c>
      <c r="B87" s="8" t="s">
        <v>0</v>
      </c>
      <c r="C87" s="92" t="s">
        <v>297</v>
      </c>
      <c r="D87" s="47">
        <v>616185608.06165004</v>
      </c>
      <c r="E87" s="9">
        <f t="shared" si="7"/>
        <v>1812.8426000000002</v>
      </c>
      <c r="F87" s="47"/>
      <c r="G87" s="47">
        <v>5489214.7673082352</v>
      </c>
      <c r="H87" s="47">
        <v>0</v>
      </c>
      <c r="I87" s="47">
        <v>0</v>
      </c>
      <c r="J87" s="98"/>
      <c r="K87" s="98">
        <v>339900.22523833561</v>
      </c>
      <c r="L87" s="93">
        <f t="shared" si="8"/>
        <v>5489214.7673082352</v>
      </c>
      <c r="M87" s="95">
        <f t="shared" ca="1" si="9"/>
        <v>0</v>
      </c>
      <c r="N87" s="95">
        <f ca="1">IF(P87="Hedge Fund",IF(A87=Summary!$AD$3,M87-E87,M87),IF(A87=Summary!$AD$3,L87-D87,L87))</f>
        <v>0</v>
      </c>
      <c r="P87" s="89" t="s">
        <v>139</v>
      </c>
      <c r="Q87" s="89">
        <v>0</v>
      </c>
      <c r="R87" s="89">
        <v>0</v>
      </c>
      <c r="S87" s="89">
        <v>0</v>
      </c>
      <c r="T87" s="89">
        <v>0</v>
      </c>
      <c r="U87" s="89"/>
      <c r="V87" s="89"/>
      <c r="W87" s="89"/>
      <c r="X87" s="89"/>
      <c r="Y87" s="89"/>
      <c r="Z87" s="89"/>
      <c r="AA87" s="89"/>
      <c r="AB87" s="89"/>
      <c r="AC87" s="355"/>
      <c r="AD87" s="355"/>
      <c r="AE87" s="355"/>
      <c r="AF87" s="94">
        <f t="shared" si="10"/>
        <v>39538</v>
      </c>
      <c r="AG87" s="185">
        <f t="shared" si="11"/>
        <v>-1.9783757309611794E-2</v>
      </c>
      <c r="AH87" s="339" t="str">
        <f>VLOOKUP(B87,'MF PF'!A:B,2)</f>
        <v>FdMgt1</v>
      </c>
      <c r="AI87" s="358">
        <f t="shared" si="12"/>
        <v>0</v>
      </c>
      <c r="AJ87" s="94">
        <f t="shared" si="13"/>
        <v>39538</v>
      </c>
    </row>
    <row r="88" spans="1:36" ht="12.75" customHeight="1">
      <c r="A88" s="8">
        <v>39568</v>
      </c>
      <c r="B88" s="94" t="s">
        <v>0</v>
      </c>
      <c r="C88" s="92" t="s">
        <v>297</v>
      </c>
      <c r="D88" s="98">
        <v>612147534.47961235</v>
      </c>
      <c r="E88" s="9">
        <f t="shared" si="7"/>
        <v>1779.9915000000003</v>
      </c>
      <c r="F88" s="98"/>
      <c r="G88" s="98">
        <v>7128022.7072893381</v>
      </c>
      <c r="H88" s="98">
        <v>0</v>
      </c>
      <c r="I88" s="98">
        <v>0</v>
      </c>
      <c r="J88" s="98"/>
      <c r="K88" s="98">
        <v>343904.75150000001</v>
      </c>
      <c r="L88" s="93">
        <f t="shared" si="8"/>
        <v>7128022.7072893381</v>
      </c>
      <c r="M88" s="95">
        <f t="shared" ca="1" si="9"/>
        <v>0</v>
      </c>
      <c r="N88" s="95">
        <f ca="1">IF(P88="Hedge Fund",IF(A88=Summary!$AD$3,M88-E88,M88),IF(A88=Summary!$AD$3,L88-D88,L88))</f>
        <v>0</v>
      </c>
      <c r="P88" s="89" t="s">
        <v>139</v>
      </c>
      <c r="Q88" s="107">
        <v>0</v>
      </c>
      <c r="R88" s="107">
        <v>0</v>
      </c>
      <c r="S88" s="107">
        <v>0</v>
      </c>
      <c r="T88" s="107">
        <v>0</v>
      </c>
      <c r="U88" s="107"/>
      <c r="V88" s="107"/>
      <c r="W88" s="107"/>
      <c r="X88" s="107"/>
      <c r="Y88" s="107"/>
      <c r="Z88" s="107"/>
      <c r="AA88" s="107"/>
      <c r="AB88" s="107"/>
      <c r="AC88" s="355"/>
      <c r="AD88" s="355"/>
      <c r="AE88" s="355"/>
      <c r="AF88" s="94">
        <f t="shared" si="10"/>
        <v>39568</v>
      </c>
      <c r="AG88" s="185">
        <f t="shared" si="11"/>
        <v>-1.8121319523272339E-2</v>
      </c>
      <c r="AH88" s="339" t="str">
        <f>VLOOKUP(B88,'MF PF'!A:B,2)</f>
        <v>FdMgt1</v>
      </c>
      <c r="AI88" s="358">
        <f t="shared" si="12"/>
        <v>0</v>
      </c>
      <c r="AJ88" s="94">
        <f t="shared" si="13"/>
        <v>39568</v>
      </c>
    </row>
    <row r="89" spans="1:36" ht="12.75" customHeight="1">
      <c r="A89" s="8">
        <v>39598</v>
      </c>
      <c r="B89" s="8" t="s">
        <v>0</v>
      </c>
      <c r="C89" s="92" t="s">
        <v>297</v>
      </c>
      <c r="D89" s="47">
        <v>613046016.40129268</v>
      </c>
      <c r="E89" s="9">
        <f t="shared" si="7"/>
        <v>1781.0038999999997</v>
      </c>
      <c r="F89" s="47"/>
      <c r="G89" s="47">
        <v>550312.75126194954</v>
      </c>
      <c r="H89" s="47">
        <v>0</v>
      </c>
      <c r="I89" s="47">
        <v>0</v>
      </c>
      <c r="J89" s="98"/>
      <c r="K89" s="98">
        <v>344213.74170000007</v>
      </c>
      <c r="L89" s="93">
        <f t="shared" si="8"/>
        <v>550312.75126194954</v>
      </c>
      <c r="M89" s="95">
        <f t="shared" ca="1" si="9"/>
        <v>0</v>
      </c>
      <c r="N89" s="95">
        <f ca="1">IF(P89="Hedge Fund",IF(A89=Summary!$AD$3,M89-E89,M89),IF(A89=Summary!$AD$3,L89-D89,L89))</f>
        <v>0</v>
      </c>
      <c r="P89" s="89" t="s">
        <v>139</v>
      </c>
      <c r="Q89" s="89">
        <v>0</v>
      </c>
      <c r="R89" s="89">
        <v>0</v>
      </c>
      <c r="S89" s="89">
        <v>0</v>
      </c>
      <c r="T89" s="89">
        <v>0</v>
      </c>
      <c r="U89" s="89"/>
      <c r="V89" s="89"/>
      <c r="W89" s="89"/>
      <c r="X89" s="89"/>
      <c r="Y89" s="89"/>
      <c r="Z89" s="89"/>
      <c r="AA89" s="89"/>
      <c r="AB89" s="89"/>
      <c r="AC89" s="355"/>
      <c r="AD89" s="355"/>
      <c r="AE89" s="355"/>
      <c r="AF89" s="94">
        <f t="shared" si="10"/>
        <v>39598</v>
      </c>
      <c r="AG89" s="185">
        <f t="shared" si="11"/>
        <v>5.6876676096462297E-4</v>
      </c>
      <c r="AH89" s="339" t="str">
        <f>VLOOKUP(B89,'MF PF'!A:B,2)</f>
        <v>FdMgt1</v>
      </c>
      <c r="AI89" s="358">
        <f t="shared" si="12"/>
        <v>0</v>
      </c>
      <c r="AJ89" s="94">
        <f t="shared" si="13"/>
        <v>39599</v>
      </c>
    </row>
    <row r="90" spans="1:36" ht="12.75" customHeight="1">
      <c r="A90" s="8">
        <v>39629</v>
      </c>
      <c r="B90" s="94" t="s">
        <v>0</v>
      </c>
      <c r="C90" s="358" t="s">
        <v>297</v>
      </c>
      <c r="D90" s="98">
        <v>624070000</v>
      </c>
      <c r="E90" s="9">
        <f t="shared" si="7"/>
        <v>1813.0252</v>
      </c>
      <c r="F90" s="47"/>
      <c r="G90" s="47">
        <v>1812.1116089820862</v>
      </c>
      <c r="H90" s="47">
        <v>0</v>
      </c>
      <c r="I90" s="47">
        <v>0</v>
      </c>
      <c r="J90" s="98"/>
      <c r="K90" s="98">
        <v>344214.74119609589</v>
      </c>
      <c r="L90" s="93">
        <f t="shared" si="8"/>
        <v>1812.1116089820862</v>
      </c>
      <c r="M90" s="95">
        <f t="shared" ca="1" si="9"/>
        <v>0</v>
      </c>
      <c r="N90" s="95">
        <f ca="1">IF(P90="Hedge Fund",IF(A90=Summary!$AD$3,M90-E90,M90),IF(A90=Summary!$AD$3,L90-D90,L90))</f>
        <v>0</v>
      </c>
      <c r="P90" s="89" t="s">
        <v>139</v>
      </c>
      <c r="Q90" s="89">
        <v>0</v>
      </c>
      <c r="R90" s="107">
        <v>0</v>
      </c>
      <c r="S90" s="89">
        <v>0</v>
      </c>
      <c r="T90" s="89">
        <v>0</v>
      </c>
      <c r="U90" s="89"/>
      <c r="V90" s="89"/>
      <c r="W90" s="89"/>
      <c r="X90" s="89"/>
      <c r="Y90" s="89"/>
      <c r="Z90" s="89"/>
      <c r="AA90" s="89"/>
      <c r="AB90" s="89"/>
      <c r="AC90" s="355"/>
      <c r="AD90" s="355"/>
      <c r="AE90" s="355"/>
      <c r="AF90" s="94">
        <f t="shared" si="10"/>
        <v>39629</v>
      </c>
      <c r="AG90" s="185">
        <f t="shared" si="11"/>
        <v>1.7979354228253142E-2</v>
      </c>
      <c r="AH90" s="339" t="str">
        <f>VLOOKUP(B90,'MF PF'!A:B,2)</f>
        <v>FdMgt1</v>
      </c>
      <c r="AI90" s="358">
        <f t="shared" si="12"/>
        <v>0</v>
      </c>
      <c r="AJ90" s="94">
        <f t="shared" si="13"/>
        <v>39629</v>
      </c>
    </row>
    <row r="91" spans="1:36" ht="12.75" customHeight="1">
      <c r="A91" s="8">
        <v>39660</v>
      </c>
      <c r="B91" s="94" t="s">
        <v>0</v>
      </c>
      <c r="C91" s="92" t="s">
        <v>297</v>
      </c>
      <c r="D91" s="98">
        <v>606867092.72744</v>
      </c>
      <c r="E91" s="9">
        <f t="shared" si="7"/>
        <v>1762.7</v>
      </c>
      <c r="F91" s="98"/>
      <c r="G91" s="98">
        <v>119768.42108178139</v>
      </c>
      <c r="H91" s="98">
        <v>0</v>
      </c>
      <c r="I91" s="98">
        <v>0</v>
      </c>
      <c r="J91" s="98"/>
      <c r="K91" s="98">
        <v>344282.68719999999</v>
      </c>
      <c r="L91" s="93">
        <f t="shared" si="8"/>
        <v>119768.42108178139</v>
      </c>
      <c r="M91" s="95">
        <f t="shared" ca="1" si="9"/>
        <v>0</v>
      </c>
      <c r="N91" s="95">
        <f ca="1">IF(P91="Hedge Fund",IF(A91=Summary!$AD$3,M91-E91,M91),IF(A91=Summary!$AD$3,L91-D91,L91))</f>
        <v>0</v>
      </c>
      <c r="P91" s="89" t="s">
        <v>139</v>
      </c>
      <c r="Q91" s="107">
        <v>0</v>
      </c>
      <c r="R91" s="107">
        <v>0</v>
      </c>
      <c r="S91" s="107">
        <v>0</v>
      </c>
      <c r="T91" s="107">
        <v>0</v>
      </c>
      <c r="U91" s="107"/>
      <c r="V91" s="107"/>
      <c r="W91" s="107"/>
      <c r="X91" s="107"/>
      <c r="Y91" s="107"/>
      <c r="Z91" s="107"/>
      <c r="AA91" s="107"/>
      <c r="AB91" s="107"/>
      <c r="AC91" s="355"/>
      <c r="AD91" s="355"/>
      <c r="AE91" s="355"/>
      <c r="AF91" s="94">
        <f t="shared" si="10"/>
        <v>39660</v>
      </c>
      <c r="AG91" s="185">
        <f t="shared" si="11"/>
        <v>-2.7757584395407209E-2</v>
      </c>
      <c r="AH91" s="339" t="str">
        <f>VLOOKUP(B91,'MF PF'!A:B,2)</f>
        <v>FdMgt1</v>
      </c>
      <c r="AI91" s="358">
        <f t="shared" si="12"/>
        <v>0</v>
      </c>
      <c r="AJ91" s="94">
        <f t="shared" si="13"/>
        <v>39660</v>
      </c>
    </row>
    <row r="92" spans="1:36" ht="12.75" customHeight="1">
      <c r="A92" s="8">
        <v>39689</v>
      </c>
      <c r="B92" s="8" t="s">
        <v>0</v>
      </c>
      <c r="C92" s="92" t="s">
        <v>297</v>
      </c>
      <c r="D92" s="47">
        <v>578360000</v>
      </c>
      <c r="E92" s="9">
        <f t="shared" si="7"/>
        <v>1679.4906000000001</v>
      </c>
      <c r="F92" s="47"/>
      <c r="G92" s="47">
        <v>140463.10485970974</v>
      </c>
      <c r="H92" s="47">
        <v>0</v>
      </c>
      <c r="I92" s="47">
        <v>0</v>
      </c>
      <c r="J92" s="98"/>
      <c r="K92" s="98">
        <v>344366.32155011763</v>
      </c>
      <c r="L92" s="93">
        <f t="shared" si="8"/>
        <v>140463.10485970974</v>
      </c>
      <c r="M92" s="95">
        <f t="shared" ca="1" si="9"/>
        <v>0</v>
      </c>
      <c r="N92" s="95">
        <f ca="1">IF(P92="Hedge Fund",IF(A92=Summary!$AD$3,M92-E92,M92),IF(A92=Summary!$AD$3,L92-D92,L92))</f>
        <v>0</v>
      </c>
      <c r="P92" s="89" t="s">
        <v>139</v>
      </c>
      <c r="Q92" s="89">
        <v>0</v>
      </c>
      <c r="R92" s="89">
        <v>0</v>
      </c>
      <c r="S92" s="89">
        <v>0</v>
      </c>
      <c r="T92" s="89">
        <v>0</v>
      </c>
      <c r="U92" s="89"/>
      <c r="V92" s="89"/>
      <c r="W92" s="89"/>
      <c r="X92" s="89"/>
      <c r="Y92" s="89"/>
      <c r="Z92" s="89"/>
      <c r="AA92" s="89"/>
      <c r="AB92" s="89"/>
      <c r="AC92" s="355"/>
      <c r="AD92" s="355"/>
      <c r="AE92" s="355"/>
      <c r="AF92" s="94">
        <f t="shared" si="10"/>
        <v>39689</v>
      </c>
      <c r="AG92" s="185">
        <f t="shared" si="11"/>
        <v>-4.7205650422647127E-2</v>
      </c>
      <c r="AH92" s="339" t="str">
        <f>VLOOKUP(B92,'MF PF'!A:B,2)</f>
        <v>FdMgt1</v>
      </c>
      <c r="AI92" s="358">
        <f t="shared" si="12"/>
        <v>0</v>
      </c>
      <c r="AJ92" s="94">
        <f t="shared" si="13"/>
        <v>39691</v>
      </c>
    </row>
    <row r="93" spans="1:36" ht="12.75" customHeight="1">
      <c r="A93" s="94">
        <v>39721</v>
      </c>
      <c r="B93" s="8" t="s">
        <v>0</v>
      </c>
      <c r="C93" s="358" t="s">
        <v>297</v>
      </c>
      <c r="D93" s="47">
        <v>554100000</v>
      </c>
      <c r="E93" s="9">
        <f t="shared" si="7"/>
        <v>1608.3681999999997</v>
      </c>
      <c r="F93" s="47"/>
      <c r="G93" s="47">
        <v>232159.26781618595</v>
      </c>
      <c r="H93" s="47">
        <v>0</v>
      </c>
      <c r="I93" s="47">
        <v>0</v>
      </c>
      <c r="J93" s="98"/>
      <c r="K93" s="98">
        <v>344510.66615219082</v>
      </c>
      <c r="L93" s="93">
        <f t="shared" si="8"/>
        <v>232159.26781618595</v>
      </c>
      <c r="M93" s="95">
        <f t="shared" ca="1" si="9"/>
        <v>0</v>
      </c>
      <c r="N93" s="95">
        <f ca="1">IF(P93="Hedge Fund",IF(A93=Summary!$AD$3,M93-E93,M93),IF(A93=Summary!$AD$3,L93-D93,L93))</f>
        <v>0</v>
      </c>
      <c r="P93" s="89" t="s">
        <v>139</v>
      </c>
      <c r="Q93" s="89">
        <v>0</v>
      </c>
      <c r="R93" s="89">
        <v>0</v>
      </c>
      <c r="S93" s="89">
        <v>0</v>
      </c>
      <c r="T93" s="89">
        <v>0</v>
      </c>
      <c r="U93" s="89"/>
      <c r="V93" s="89"/>
      <c r="W93" s="89"/>
      <c r="X93" s="89"/>
      <c r="Y93" s="89"/>
      <c r="Z93" s="89"/>
      <c r="AA93" s="89"/>
      <c r="AB93" s="89"/>
      <c r="AC93" s="355"/>
      <c r="AD93" s="355"/>
      <c r="AE93" s="355"/>
      <c r="AF93" s="94">
        <f t="shared" si="10"/>
        <v>39721</v>
      </c>
      <c r="AG93" s="185">
        <f t="shared" si="11"/>
        <v>-4.2347602302746035E-2</v>
      </c>
      <c r="AH93" s="339" t="str">
        <f>VLOOKUP(B93,'MF PF'!A:B,2)</f>
        <v>FdMgt1</v>
      </c>
      <c r="AI93" s="358">
        <f t="shared" si="12"/>
        <v>0</v>
      </c>
      <c r="AJ93" s="94">
        <f t="shared" si="13"/>
        <v>39721</v>
      </c>
    </row>
    <row r="94" spans="1:36" ht="12.75" customHeight="1">
      <c r="A94" s="8">
        <v>39752</v>
      </c>
      <c r="B94" s="94" t="s">
        <v>0</v>
      </c>
      <c r="C94" s="92" t="s">
        <v>297</v>
      </c>
      <c r="D94" s="98">
        <v>518440000.00000006</v>
      </c>
      <c r="E94" s="9">
        <f t="shared" si="7"/>
        <v>1540.2582</v>
      </c>
      <c r="F94" s="98"/>
      <c r="G94" s="98">
        <v>0</v>
      </c>
      <c r="H94" s="98">
        <v>-12195378.528374314</v>
      </c>
      <c r="I94" s="98">
        <v>0</v>
      </c>
      <c r="J94" s="98"/>
      <c r="K94" s="98">
        <v>336592.91669409716</v>
      </c>
      <c r="L94" s="93">
        <f t="shared" si="8"/>
        <v>-12195378.528374314</v>
      </c>
      <c r="M94" s="95">
        <f t="shared" ca="1" si="9"/>
        <v>0</v>
      </c>
      <c r="N94" s="95">
        <f ca="1">IF(P94="Hedge Fund",IF(A94=Summary!$AD$3,M94-E94,M94),IF(A94=Summary!$AD$3,L94-D94,L94))</f>
        <v>0</v>
      </c>
      <c r="P94" s="89" t="s">
        <v>139</v>
      </c>
      <c r="Q94" s="107">
        <v>0</v>
      </c>
      <c r="R94" s="107">
        <v>0</v>
      </c>
      <c r="S94" s="107">
        <v>0</v>
      </c>
      <c r="T94" s="107">
        <v>0</v>
      </c>
      <c r="U94" s="107"/>
      <c r="V94" s="107"/>
      <c r="W94" s="107"/>
      <c r="X94" s="107"/>
      <c r="Y94" s="107"/>
      <c r="Z94" s="107"/>
      <c r="AA94" s="107"/>
      <c r="AB94" s="107"/>
      <c r="AC94" s="355"/>
      <c r="AD94" s="355"/>
      <c r="AE94" s="355"/>
      <c r="AF94" s="94">
        <f t="shared" si="10"/>
        <v>39752</v>
      </c>
      <c r="AG94" s="185">
        <f t="shared" si="11"/>
        <v>-4.2347268492376133E-2</v>
      </c>
      <c r="AH94" s="339" t="str">
        <f>VLOOKUP(B94,'MF PF'!A:B,2)</f>
        <v>FdMgt1</v>
      </c>
      <c r="AI94" s="358">
        <f t="shared" si="12"/>
        <v>0</v>
      </c>
      <c r="AJ94" s="94">
        <f t="shared" si="13"/>
        <v>39752</v>
      </c>
    </row>
    <row r="95" spans="1:36" ht="12.75" customHeight="1">
      <c r="A95" s="8">
        <v>39780</v>
      </c>
      <c r="B95" s="94" t="s">
        <v>0</v>
      </c>
      <c r="C95" s="92" t="s">
        <v>297</v>
      </c>
      <c r="D95" s="98">
        <v>517700000.00000006</v>
      </c>
      <c r="E95" s="9">
        <f t="shared" si="7"/>
        <v>1537.1346000000001</v>
      </c>
      <c r="F95" s="98"/>
      <c r="G95" s="98">
        <v>311381.63458567858</v>
      </c>
      <c r="H95" s="98">
        <v>0</v>
      </c>
      <c r="I95" s="98">
        <v>0</v>
      </c>
      <c r="J95" s="98"/>
      <c r="K95" s="98">
        <v>336795.48947762937</v>
      </c>
      <c r="L95" s="93">
        <f t="shared" si="8"/>
        <v>311381.63458567858</v>
      </c>
      <c r="M95" s="95">
        <f t="shared" ca="1" si="9"/>
        <v>0</v>
      </c>
      <c r="N95" s="95">
        <f ca="1">IF(P95="Hedge Fund",IF(A95=Summary!$AD$3,M95-E95,M95),IF(A95=Summary!$AD$3,L95-D95,L95))</f>
        <v>0</v>
      </c>
      <c r="P95" s="107" t="s">
        <v>139</v>
      </c>
      <c r="Q95" s="107">
        <v>0</v>
      </c>
      <c r="R95" s="107">
        <v>0</v>
      </c>
      <c r="S95" s="107">
        <v>0</v>
      </c>
      <c r="T95" s="107">
        <v>0</v>
      </c>
      <c r="U95" s="107"/>
      <c r="V95" s="107"/>
      <c r="W95" s="107"/>
      <c r="X95" s="107"/>
      <c r="Y95" s="107"/>
      <c r="Z95" s="107"/>
      <c r="AA95" s="107"/>
      <c r="AB95" s="107"/>
      <c r="AC95" s="355"/>
      <c r="AD95" s="355"/>
      <c r="AE95" s="355"/>
      <c r="AF95" s="94">
        <f t="shared" si="10"/>
        <v>39780</v>
      </c>
      <c r="AG95" s="185">
        <f t="shared" si="11"/>
        <v>-2.0279716738401676E-3</v>
      </c>
      <c r="AH95" s="339" t="str">
        <f>VLOOKUP(B95,'MF PF'!A:B,2)</f>
        <v>FdMgt1</v>
      </c>
      <c r="AI95" s="358">
        <f t="shared" si="12"/>
        <v>0</v>
      </c>
      <c r="AJ95" s="94">
        <f t="shared" si="13"/>
        <v>39782</v>
      </c>
    </row>
    <row r="96" spans="1:36" ht="12.75" customHeight="1">
      <c r="A96" s="8">
        <v>39813</v>
      </c>
      <c r="B96" s="8" t="s">
        <v>0</v>
      </c>
      <c r="C96" s="92" t="s">
        <v>297</v>
      </c>
      <c r="D96" s="47">
        <v>508910000</v>
      </c>
      <c r="E96" s="9">
        <f t="shared" si="7"/>
        <v>1511.0528999999999</v>
      </c>
      <c r="F96" s="47"/>
      <c r="G96" s="47">
        <v>0</v>
      </c>
      <c r="H96" s="47">
        <v>-5801.0820913314819</v>
      </c>
      <c r="I96" s="47">
        <v>0</v>
      </c>
      <c r="J96" s="98"/>
      <c r="K96" s="98">
        <v>336791.65037835541</v>
      </c>
      <c r="L96" s="93">
        <f t="shared" si="8"/>
        <v>-5801.0820913314819</v>
      </c>
      <c r="M96" s="95">
        <f t="shared" ca="1" si="9"/>
        <v>0</v>
      </c>
      <c r="N96" s="95">
        <f ca="1">IF(P96="Hedge Fund",IF(A96=Summary!$AD$3,M96-E96,M96),IF(A96=Summary!$AD$3,L96-D96,L96))</f>
        <v>0</v>
      </c>
      <c r="P96" s="89" t="s">
        <v>139</v>
      </c>
      <c r="Q96" s="89">
        <v>0</v>
      </c>
      <c r="R96" s="89">
        <v>0</v>
      </c>
      <c r="S96" s="89">
        <v>0</v>
      </c>
      <c r="T96" s="89">
        <v>0</v>
      </c>
      <c r="U96" s="89"/>
      <c r="V96" s="89"/>
      <c r="W96" s="89"/>
      <c r="X96" s="89"/>
      <c r="Y96" s="89"/>
      <c r="Z96" s="89"/>
      <c r="AA96" s="89"/>
      <c r="AB96" s="89"/>
      <c r="AC96" s="355"/>
      <c r="AD96" s="355"/>
      <c r="AE96" s="355"/>
      <c r="AF96" s="94">
        <f t="shared" si="10"/>
        <v>39813</v>
      </c>
      <c r="AG96" s="185">
        <f t="shared" si="11"/>
        <v>-1.6967739845294094E-2</v>
      </c>
      <c r="AH96" s="339" t="str">
        <f>VLOOKUP(B96,'MF PF'!A:B,2)</f>
        <v>FdMgt1</v>
      </c>
      <c r="AI96" s="358">
        <f t="shared" si="12"/>
        <v>0</v>
      </c>
      <c r="AJ96" s="94">
        <f t="shared" si="13"/>
        <v>39813</v>
      </c>
    </row>
    <row r="97" spans="1:36" ht="12.75" customHeight="1">
      <c r="A97" s="8">
        <v>39843</v>
      </c>
      <c r="B97" s="94" t="s">
        <v>0</v>
      </c>
      <c r="C97" s="92" t="s">
        <v>297</v>
      </c>
      <c r="D97" s="98">
        <v>431380000</v>
      </c>
      <c r="E97" s="9">
        <f t="shared" si="7"/>
        <v>1529.8933999999999</v>
      </c>
      <c r="F97" s="98"/>
      <c r="G97" s="98">
        <v>0</v>
      </c>
      <c r="H97" s="98">
        <v>-83875323.088953435</v>
      </c>
      <c r="I97" s="98">
        <v>0</v>
      </c>
      <c r="J97" s="98"/>
      <c r="K97" s="98">
        <v>281967.35798716435</v>
      </c>
      <c r="L97" s="93">
        <f t="shared" si="8"/>
        <v>-83875323.088953435</v>
      </c>
      <c r="M97" s="95">
        <f t="shared" ca="1" si="9"/>
        <v>0</v>
      </c>
      <c r="N97" s="95">
        <f ca="1">IF(P97="Hedge Fund",IF(A97=Summary!$AD$3,M97-E97,M97),IF(A97=Summary!$AD$3,L97-D97,L97))</f>
        <v>0</v>
      </c>
      <c r="P97" s="89" t="s">
        <v>139</v>
      </c>
      <c r="Q97" s="107">
        <v>0</v>
      </c>
      <c r="R97" s="107">
        <v>0</v>
      </c>
      <c r="S97" s="107">
        <v>0</v>
      </c>
      <c r="T97" s="107">
        <v>0</v>
      </c>
      <c r="U97" s="107"/>
      <c r="V97" s="107"/>
      <c r="W97" s="107"/>
      <c r="X97" s="107"/>
      <c r="Y97" s="107"/>
      <c r="Z97" s="107"/>
      <c r="AA97" s="107"/>
      <c r="AB97" s="107"/>
      <c r="AC97" s="355"/>
      <c r="AD97" s="355"/>
      <c r="AE97" s="355"/>
      <c r="AF97" s="94">
        <f t="shared" si="10"/>
        <v>39843</v>
      </c>
      <c r="AG97" s="185">
        <f t="shared" si="11"/>
        <v>1.2468458251858827E-2</v>
      </c>
      <c r="AH97" s="339" t="str">
        <f>VLOOKUP(B97,'MF PF'!A:B,2)</f>
        <v>FdMgt1</v>
      </c>
      <c r="AI97" s="358">
        <f t="shared" si="12"/>
        <v>0</v>
      </c>
      <c r="AJ97" s="94">
        <f t="shared" si="13"/>
        <v>39844</v>
      </c>
    </row>
    <row r="98" spans="1:36" ht="12.75" customHeight="1">
      <c r="A98" s="8">
        <v>39871</v>
      </c>
      <c r="B98" s="94" t="s">
        <v>0</v>
      </c>
      <c r="C98" s="92" t="s">
        <v>297</v>
      </c>
      <c r="D98" s="98">
        <v>428120000</v>
      </c>
      <c r="E98" s="9">
        <f t="shared" si="7"/>
        <v>1518.3263000000002</v>
      </c>
      <c r="F98" s="98"/>
      <c r="G98" s="98">
        <v>1544.6265732645988</v>
      </c>
      <c r="H98" s="98">
        <v>0</v>
      </c>
      <c r="I98" s="98">
        <v>0</v>
      </c>
      <c r="J98" s="98"/>
      <c r="K98" s="98">
        <v>281968.37530904915</v>
      </c>
      <c r="L98" s="93">
        <f t="shared" si="8"/>
        <v>1544.6265732645988</v>
      </c>
      <c r="M98" s="95">
        <f t="shared" ca="1" si="9"/>
        <v>0</v>
      </c>
      <c r="N98" s="95">
        <f ca="1">IF(P98="Hedge Fund",IF(A98=Summary!$AD$3,M98-E98,M98),IF(A98=Summary!$AD$3,L98-D98,L98))</f>
        <v>0</v>
      </c>
      <c r="P98" s="89" t="s">
        <v>139</v>
      </c>
      <c r="Q98" s="107">
        <v>0</v>
      </c>
      <c r="R98" s="107">
        <v>0</v>
      </c>
      <c r="S98" s="107">
        <v>0</v>
      </c>
      <c r="T98" s="107">
        <v>0</v>
      </c>
      <c r="U98" s="107"/>
      <c r="V98" s="107"/>
      <c r="W98" s="107"/>
      <c r="X98" s="107"/>
      <c r="Y98" s="107"/>
      <c r="Z98" s="107"/>
      <c r="AA98" s="107"/>
      <c r="AB98" s="107"/>
      <c r="AC98" s="355"/>
      <c r="AD98" s="355"/>
      <c r="AE98" s="355"/>
      <c r="AF98" s="94">
        <f t="shared" si="10"/>
        <v>39871</v>
      </c>
      <c r="AG98" s="185">
        <f t="shared" si="11"/>
        <v>-7.5607228582068586E-3</v>
      </c>
      <c r="AH98" s="339" t="str">
        <f>VLOOKUP(B98,'MF PF'!A:B,2)</f>
        <v>FdMgt1</v>
      </c>
      <c r="AI98" s="358">
        <f t="shared" si="12"/>
        <v>0</v>
      </c>
      <c r="AJ98" s="94">
        <f t="shared" si="13"/>
        <v>39872</v>
      </c>
    </row>
    <row r="99" spans="1:36" ht="12.75" customHeight="1">
      <c r="A99" s="8">
        <v>39903</v>
      </c>
      <c r="B99" s="94" t="s">
        <v>0</v>
      </c>
      <c r="C99" s="92" t="s">
        <v>297</v>
      </c>
      <c r="D99" s="98">
        <v>408010000</v>
      </c>
      <c r="E99" s="9">
        <f t="shared" si="7"/>
        <v>1447.0174000000002</v>
      </c>
      <c r="F99" s="98"/>
      <c r="G99" s="98">
        <v>0</v>
      </c>
      <c r="H99" s="98">
        <v>-3145.3219245672226</v>
      </c>
      <c r="I99" s="98">
        <v>0</v>
      </c>
      <c r="J99" s="98"/>
      <c r="K99" s="98">
        <v>281966.20165037405</v>
      </c>
      <c r="L99" s="93">
        <f t="shared" si="8"/>
        <v>-3145.3219245672226</v>
      </c>
      <c r="M99" s="95">
        <f t="shared" ca="1" si="9"/>
        <v>0</v>
      </c>
      <c r="N99" s="95">
        <f ca="1">IF(P99="Hedge Fund",IF(A99=Summary!$AD$3,M99-E99,M99),IF(A99=Summary!$AD$3,L99-D99,L99))</f>
        <v>0</v>
      </c>
      <c r="P99" s="89" t="s">
        <v>139</v>
      </c>
      <c r="Q99" s="107">
        <v>0</v>
      </c>
      <c r="R99" s="107">
        <v>0</v>
      </c>
      <c r="S99" s="107">
        <v>0</v>
      </c>
      <c r="T99" s="107">
        <v>0</v>
      </c>
      <c r="U99" s="107"/>
      <c r="V99" s="107"/>
      <c r="W99" s="107"/>
      <c r="X99" s="107"/>
      <c r="Y99" s="107"/>
      <c r="Z99" s="107"/>
      <c r="AA99" s="107"/>
      <c r="AB99" s="107"/>
      <c r="AC99" s="355"/>
      <c r="AD99" s="355"/>
      <c r="AE99" s="355"/>
      <c r="AF99" s="94">
        <f t="shared" si="10"/>
        <v>39903</v>
      </c>
      <c r="AG99" s="185">
        <f t="shared" si="11"/>
        <v>-4.6965464538156199E-2</v>
      </c>
      <c r="AH99" s="339" t="str">
        <f>VLOOKUP(B99,'MF PF'!A:B,2)</f>
        <v>FdMgt1</v>
      </c>
      <c r="AI99" s="358">
        <f t="shared" si="12"/>
        <v>0</v>
      </c>
      <c r="AJ99" s="94">
        <f t="shared" si="13"/>
        <v>39903</v>
      </c>
    </row>
    <row r="100" spans="1:36" ht="12.75" customHeight="1">
      <c r="A100" s="8">
        <v>39933</v>
      </c>
      <c r="B100" s="94" t="s">
        <v>0</v>
      </c>
      <c r="C100" s="92" t="s">
        <v>297</v>
      </c>
      <c r="D100" s="98">
        <v>349930000</v>
      </c>
      <c r="E100" s="9">
        <f t="shared" si="7"/>
        <v>1413.8922</v>
      </c>
      <c r="F100" s="98"/>
      <c r="G100" s="98">
        <v>0</v>
      </c>
      <c r="H100" s="98">
        <v>-48739813.177091002</v>
      </c>
      <c r="I100" s="98">
        <v>0</v>
      </c>
      <c r="J100" s="98"/>
      <c r="K100" s="98">
        <v>247494.11588804296</v>
      </c>
      <c r="L100" s="93">
        <f t="shared" si="8"/>
        <v>-48739813.177091002</v>
      </c>
      <c r="M100" s="95">
        <f t="shared" ca="1" si="9"/>
        <v>0</v>
      </c>
      <c r="N100" s="95">
        <f ca="1">IF(P100="Hedge Fund",IF(A100=Summary!$AD$3,M100-E100,M100),IF(A100=Summary!$AD$3,L100-D100,L100))</f>
        <v>0</v>
      </c>
      <c r="P100" s="107" t="s">
        <v>139</v>
      </c>
      <c r="Q100" s="107">
        <v>0</v>
      </c>
      <c r="R100" s="107">
        <v>0</v>
      </c>
      <c r="S100" s="107">
        <v>0</v>
      </c>
      <c r="T100" s="107">
        <v>0</v>
      </c>
      <c r="U100" s="107"/>
      <c r="V100" s="107"/>
      <c r="W100" s="107"/>
      <c r="X100" s="107"/>
      <c r="Y100" s="107"/>
      <c r="Z100" s="107"/>
      <c r="AA100" s="107"/>
      <c r="AB100" s="107"/>
      <c r="AC100" s="355"/>
      <c r="AD100" s="355"/>
      <c r="AE100" s="355"/>
      <c r="AF100" s="94">
        <f t="shared" si="10"/>
        <v>39933</v>
      </c>
      <c r="AG100" s="185">
        <f t="shared" si="11"/>
        <v>-2.2892053682284752E-2</v>
      </c>
      <c r="AH100" s="339" t="str">
        <f>VLOOKUP(B100,'MF PF'!A:B,2)</f>
        <v>FdMgt1</v>
      </c>
      <c r="AI100" s="358">
        <f t="shared" si="12"/>
        <v>0</v>
      </c>
      <c r="AJ100" s="94">
        <f t="shared" si="13"/>
        <v>39933</v>
      </c>
    </row>
    <row r="101" spans="1:36" ht="12.75" customHeight="1">
      <c r="A101" s="8">
        <v>39962</v>
      </c>
      <c r="B101" s="94" t="s">
        <v>0</v>
      </c>
      <c r="C101" s="92" t="s">
        <v>297</v>
      </c>
      <c r="D101" s="98">
        <v>348210000</v>
      </c>
      <c r="E101" s="9">
        <f t="shared" si="7"/>
        <v>1406.9434000000003</v>
      </c>
      <c r="F101" s="98"/>
      <c r="G101" s="98">
        <v>0</v>
      </c>
      <c r="H101" s="98">
        <v>-212.88751727342606</v>
      </c>
      <c r="I101" s="98">
        <v>0</v>
      </c>
      <c r="J101" s="98"/>
      <c r="K101" s="98">
        <v>247493.96457597366</v>
      </c>
      <c r="L101" s="93">
        <f t="shared" si="8"/>
        <v>-212.88751727342606</v>
      </c>
      <c r="M101" s="95">
        <f t="shared" ca="1" si="9"/>
        <v>0</v>
      </c>
      <c r="N101" s="95">
        <f ca="1">IF(P101="Hedge Fund",IF(A101=Summary!$AD$3,M101-E101,M101),IF(A101=Summary!$AD$3,L101-D101,L101))</f>
        <v>0</v>
      </c>
      <c r="P101" s="89" t="s">
        <v>139</v>
      </c>
      <c r="Q101" s="107">
        <v>0</v>
      </c>
      <c r="R101" s="107">
        <v>0</v>
      </c>
      <c r="S101" s="107">
        <v>0</v>
      </c>
      <c r="T101" s="107">
        <v>0</v>
      </c>
      <c r="U101" s="107"/>
      <c r="V101" s="107"/>
      <c r="W101" s="107"/>
      <c r="X101" s="107"/>
      <c r="Y101" s="107"/>
      <c r="Z101" s="107"/>
      <c r="AA101" s="107"/>
      <c r="AB101" s="107"/>
      <c r="AC101" s="355"/>
      <c r="AD101" s="355"/>
      <c r="AE101" s="355"/>
      <c r="AF101" s="94">
        <f t="shared" si="10"/>
        <v>39962</v>
      </c>
      <c r="AG101" s="185">
        <f t="shared" si="11"/>
        <v>-4.9146603963156066E-3</v>
      </c>
      <c r="AH101" s="339" t="str">
        <f>VLOOKUP(B101,'MF PF'!A:B,2)</f>
        <v>FdMgt1</v>
      </c>
      <c r="AI101" s="358">
        <f t="shared" si="12"/>
        <v>0</v>
      </c>
      <c r="AJ101" s="94">
        <f t="shared" si="13"/>
        <v>39964</v>
      </c>
    </row>
    <row r="102" spans="1:36" ht="12.75" customHeight="1">
      <c r="A102" s="94">
        <v>39994</v>
      </c>
      <c r="B102" s="8" t="s">
        <v>0</v>
      </c>
      <c r="C102" s="358" t="s">
        <v>297</v>
      </c>
      <c r="D102" s="47">
        <v>345404460.07499999</v>
      </c>
      <c r="E102" s="9">
        <f t="shared" si="7"/>
        <v>1395.6012000000001</v>
      </c>
      <c r="F102" s="47"/>
      <c r="G102" s="47">
        <v>1586.120013654232</v>
      </c>
      <c r="H102" s="47">
        <v>0</v>
      </c>
      <c r="I102" s="47">
        <v>0</v>
      </c>
      <c r="J102" s="98"/>
      <c r="K102" s="98">
        <v>247495.10108976689</v>
      </c>
      <c r="L102" s="93">
        <f t="shared" si="8"/>
        <v>1586.120013654232</v>
      </c>
      <c r="M102" s="95">
        <f t="shared" ca="1" si="9"/>
        <v>0</v>
      </c>
      <c r="N102" s="95">
        <f ca="1">IF(P102="Hedge Fund",IF(A102=Summary!$AD$3,M102-E102,M102),IF(A102=Summary!$AD$3,L102-D102,L102))</f>
        <v>0</v>
      </c>
      <c r="P102" s="89" t="s">
        <v>139</v>
      </c>
      <c r="Q102" s="89">
        <v>0</v>
      </c>
      <c r="R102" s="89">
        <v>0</v>
      </c>
      <c r="S102" s="89">
        <v>0</v>
      </c>
      <c r="T102" s="89">
        <v>0</v>
      </c>
      <c r="U102" s="89"/>
      <c r="V102" s="89"/>
      <c r="W102" s="89"/>
      <c r="X102" s="89"/>
      <c r="Y102" s="89"/>
      <c r="Z102" s="89"/>
      <c r="AA102" s="89"/>
      <c r="AB102" s="89"/>
      <c r="AC102" s="355"/>
      <c r="AD102" s="355"/>
      <c r="AE102" s="355"/>
      <c r="AF102" s="94">
        <f t="shared" si="10"/>
        <v>39994</v>
      </c>
      <c r="AG102" s="185">
        <f t="shared" si="11"/>
        <v>-8.0615894001139221E-3</v>
      </c>
      <c r="AH102" s="339" t="str">
        <f>VLOOKUP(B102,'MF PF'!A:B,2)</f>
        <v>FdMgt1</v>
      </c>
      <c r="AI102" s="358">
        <f t="shared" si="12"/>
        <v>0</v>
      </c>
      <c r="AJ102" s="94">
        <f t="shared" si="13"/>
        <v>39994</v>
      </c>
    </row>
    <row r="103" spans="1:36" ht="12.75" customHeight="1">
      <c r="A103" s="8">
        <v>40025</v>
      </c>
      <c r="B103" s="94" t="s">
        <v>0</v>
      </c>
      <c r="C103" s="92" t="s">
        <v>297</v>
      </c>
      <c r="D103" s="98">
        <v>315390000</v>
      </c>
      <c r="E103" s="9">
        <f t="shared" si="7"/>
        <v>1409.1298999999999</v>
      </c>
      <c r="F103" s="98"/>
      <c r="G103" s="98">
        <v>0</v>
      </c>
      <c r="H103" s="98">
        <v>-33362747.049113095</v>
      </c>
      <c r="I103" s="98">
        <v>0</v>
      </c>
      <c r="J103" s="98"/>
      <c r="K103" s="98">
        <v>223818.96800287894</v>
      </c>
      <c r="L103" s="93">
        <f t="shared" si="8"/>
        <v>-33362747.049113095</v>
      </c>
      <c r="M103" s="95">
        <f t="shared" ca="1" si="9"/>
        <v>0</v>
      </c>
      <c r="N103" s="95">
        <f ca="1">IF(P103="Hedge Fund",IF(A103=Summary!$AD$3,M103-E103,M103),IF(A103=Summary!$AD$3,L103-D103,L103))</f>
        <v>0</v>
      </c>
      <c r="P103" s="89" t="s">
        <v>139</v>
      </c>
      <c r="Q103" s="107">
        <v>0</v>
      </c>
      <c r="R103" s="107">
        <v>0</v>
      </c>
      <c r="S103" s="107">
        <v>0</v>
      </c>
      <c r="T103" s="107">
        <v>0</v>
      </c>
      <c r="U103" s="107"/>
      <c r="V103" s="107"/>
      <c r="W103" s="107"/>
      <c r="X103" s="107"/>
      <c r="Y103" s="107"/>
      <c r="Z103" s="107"/>
      <c r="AA103" s="107"/>
      <c r="AB103" s="107"/>
      <c r="AC103" s="355"/>
      <c r="AD103" s="355"/>
      <c r="AE103" s="355"/>
      <c r="AF103" s="94">
        <f t="shared" si="10"/>
        <v>40025</v>
      </c>
      <c r="AG103" s="185">
        <f t="shared" si="11"/>
        <v>9.693815109932391E-3</v>
      </c>
      <c r="AH103" s="339" t="str">
        <f>VLOOKUP(B103,'MF PF'!A:B,2)</f>
        <v>FdMgt1</v>
      </c>
      <c r="AI103" s="358">
        <f t="shared" si="12"/>
        <v>0</v>
      </c>
      <c r="AJ103" s="94">
        <f t="shared" si="13"/>
        <v>40025</v>
      </c>
    </row>
    <row r="104" spans="1:36" ht="12.75" customHeight="1">
      <c r="A104" s="8">
        <v>40056</v>
      </c>
      <c r="B104" s="94" t="s">
        <v>0</v>
      </c>
      <c r="C104" s="92" t="s">
        <v>297</v>
      </c>
      <c r="D104" s="98">
        <v>317550000</v>
      </c>
      <c r="E104" s="9">
        <f t="shared" si="7"/>
        <v>1418.2234000000001</v>
      </c>
      <c r="F104" s="98"/>
      <c r="G104" s="98">
        <v>124702.21446579695</v>
      </c>
      <c r="H104" s="98">
        <v>0</v>
      </c>
      <c r="I104" s="98">
        <v>0</v>
      </c>
      <c r="J104" s="98"/>
      <c r="K104" s="98">
        <v>223906.89647343286</v>
      </c>
      <c r="L104" s="93">
        <f t="shared" si="8"/>
        <v>124702.21446579695</v>
      </c>
      <c r="M104" s="95">
        <f t="shared" ca="1" si="9"/>
        <v>0</v>
      </c>
      <c r="N104" s="95">
        <f ca="1">IF(P104="Hedge Fund",IF(A104=Summary!$AD$3,M104-E104,M104),IF(A104=Summary!$AD$3,L104-D104,L104))</f>
        <v>0</v>
      </c>
      <c r="P104" s="89" t="s">
        <v>139</v>
      </c>
      <c r="Q104" s="107">
        <v>0</v>
      </c>
      <c r="R104" s="107">
        <v>0</v>
      </c>
      <c r="S104" s="107">
        <v>0</v>
      </c>
      <c r="T104" s="107">
        <v>0</v>
      </c>
      <c r="U104" s="107"/>
      <c r="V104" s="107"/>
      <c r="W104" s="107"/>
      <c r="X104" s="107"/>
      <c r="Y104" s="107"/>
      <c r="Z104" s="107"/>
      <c r="AA104" s="107"/>
      <c r="AB104" s="107"/>
      <c r="AC104" s="355"/>
      <c r="AD104" s="355"/>
      <c r="AE104" s="355"/>
      <c r="AF104" s="94">
        <f t="shared" si="10"/>
        <v>40056</v>
      </c>
      <c r="AG104" s="185">
        <f t="shared" si="11"/>
        <v>6.4532730445929776E-3</v>
      </c>
      <c r="AH104" s="339" t="str">
        <f>VLOOKUP(B104,'MF PF'!A:B,2)</f>
        <v>FdMgt1</v>
      </c>
      <c r="AI104" s="358">
        <f t="shared" si="12"/>
        <v>0</v>
      </c>
      <c r="AJ104" s="94">
        <f t="shared" si="13"/>
        <v>40056</v>
      </c>
    </row>
    <row r="105" spans="1:36" ht="12.75" customHeight="1">
      <c r="A105" s="8">
        <v>40086</v>
      </c>
      <c r="B105" s="94" t="s">
        <v>0</v>
      </c>
      <c r="C105" s="92" t="s">
        <v>297</v>
      </c>
      <c r="D105" s="98">
        <v>338568492.37493181</v>
      </c>
      <c r="E105" s="9">
        <f t="shared" si="7"/>
        <v>1510.9146000000001</v>
      </c>
      <c r="F105" s="98"/>
      <c r="G105" s="98">
        <v>264293.45253360271</v>
      </c>
      <c r="H105" s="98">
        <v>0</v>
      </c>
      <c r="I105" s="98">
        <v>0</v>
      </c>
      <c r="J105" s="98"/>
      <c r="K105" s="98">
        <v>224081.8193</v>
      </c>
      <c r="L105" s="93">
        <f t="shared" si="8"/>
        <v>264293.45253360271</v>
      </c>
      <c r="M105" s="95">
        <f t="shared" ca="1" si="9"/>
        <v>0</v>
      </c>
      <c r="N105" s="95">
        <f ca="1">IF(P105="Hedge Fund",IF(A105=Summary!$AD$3,M105-E105,M105),IF(A105=Summary!$AD$3,L105-D105,L105))</f>
        <v>0</v>
      </c>
      <c r="P105" s="89" t="s">
        <v>139</v>
      </c>
      <c r="Q105" s="107">
        <v>0</v>
      </c>
      <c r="R105" s="107">
        <v>0</v>
      </c>
      <c r="S105" s="107">
        <v>0</v>
      </c>
      <c r="T105" s="107">
        <v>0</v>
      </c>
      <c r="U105" s="107"/>
      <c r="V105" s="107"/>
      <c r="W105" s="107"/>
      <c r="X105" s="107"/>
      <c r="Y105" s="107"/>
      <c r="Z105" s="107"/>
      <c r="AA105" s="107"/>
      <c r="AB105" s="107"/>
      <c r="AC105" s="355"/>
      <c r="AD105" s="355"/>
      <c r="AE105" s="355"/>
      <c r="AF105" s="94">
        <f t="shared" si="10"/>
        <v>40086</v>
      </c>
      <c r="AG105" s="185">
        <f t="shared" si="11"/>
        <v>6.5357263178706271E-2</v>
      </c>
      <c r="AH105" s="339" t="str">
        <f>VLOOKUP(B105,'MF PF'!A:B,2)</f>
        <v>FdMgt1</v>
      </c>
      <c r="AI105" s="358">
        <f t="shared" si="12"/>
        <v>0</v>
      </c>
      <c r="AJ105" s="94">
        <f t="shared" si="13"/>
        <v>40086</v>
      </c>
    </row>
    <row r="106" spans="1:36" ht="12.75" customHeight="1">
      <c r="A106" s="8">
        <v>40116</v>
      </c>
      <c r="B106" s="8" t="s">
        <v>0</v>
      </c>
      <c r="C106" s="92" t="s">
        <v>297</v>
      </c>
      <c r="D106" s="47">
        <v>334519302.79206502</v>
      </c>
      <c r="E106" s="9">
        <f t="shared" si="7"/>
        <v>1514.7872999999997</v>
      </c>
      <c r="F106" s="47"/>
      <c r="G106" s="47">
        <v>0</v>
      </c>
      <c r="H106" s="47">
        <v>-4916991.2444698215</v>
      </c>
      <c r="I106" s="47">
        <v>0</v>
      </c>
      <c r="J106" s="98"/>
      <c r="K106" s="98">
        <v>220835.82480000003</v>
      </c>
      <c r="L106" s="93">
        <f t="shared" si="8"/>
        <v>-4916991.2444698215</v>
      </c>
      <c r="M106" s="95">
        <f t="shared" ca="1" si="9"/>
        <v>0</v>
      </c>
      <c r="N106" s="95">
        <f ca="1">IF(P106="Hedge Fund",IF(A106=Summary!$AD$3,M106-E106,M106),IF(A106=Summary!$AD$3,L106-D106,L106))</f>
        <v>0</v>
      </c>
      <c r="P106" s="89" t="s">
        <v>139</v>
      </c>
      <c r="Q106" s="89">
        <v>0</v>
      </c>
      <c r="R106" s="89">
        <v>0</v>
      </c>
      <c r="S106" s="89">
        <v>0</v>
      </c>
      <c r="T106" s="89">
        <v>0</v>
      </c>
      <c r="U106" s="89"/>
      <c r="V106" s="89"/>
      <c r="W106" s="89"/>
      <c r="X106" s="89"/>
      <c r="Y106" s="89"/>
      <c r="Z106" s="89"/>
      <c r="AA106" s="89"/>
      <c r="AB106" s="89"/>
      <c r="AC106" s="355"/>
      <c r="AD106" s="355"/>
      <c r="AE106" s="355"/>
      <c r="AF106" s="94">
        <f t="shared" si="10"/>
        <v>40116</v>
      </c>
      <c r="AG106" s="185">
        <f t="shared" si="11"/>
        <v>2.5631494989852843E-3</v>
      </c>
      <c r="AH106" s="339" t="str">
        <f>VLOOKUP(B106,'MF PF'!A:B,2)</f>
        <v>FdMgt1</v>
      </c>
      <c r="AI106" s="358">
        <f t="shared" si="12"/>
        <v>0</v>
      </c>
      <c r="AJ106" s="94">
        <f t="shared" si="13"/>
        <v>40117</v>
      </c>
    </row>
    <row r="107" spans="1:36" ht="12.75" customHeight="1">
      <c r="A107" s="8">
        <v>40147</v>
      </c>
      <c r="B107" s="94" t="s">
        <v>0</v>
      </c>
      <c r="C107" s="92" t="s">
        <v>297</v>
      </c>
      <c r="D107" s="98">
        <v>349295003.95000005</v>
      </c>
      <c r="E107" s="9">
        <f t="shared" si="7"/>
        <v>1581.6953000000003</v>
      </c>
      <c r="F107" s="98"/>
      <c r="G107" s="98">
        <v>17.79221647977829</v>
      </c>
      <c r="H107" s="98">
        <v>0</v>
      </c>
      <c r="I107" s="98">
        <v>0</v>
      </c>
      <c r="J107" s="98"/>
      <c r="K107" s="98">
        <v>220835.83604882684</v>
      </c>
      <c r="L107" s="93">
        <f t="shared" si="8"/>
        <v>17.79221647977829</v>
      </c>
      <c r="M107" s="95">
        <f t="shared" ca="1" si="9"/>
        <v>0</v>
      </c>
      <c r="N107" s="95">
        <f ca="1">IF(P107="Hedge Fund",IF(A107=Summary!$AD$3,M107-E107,M107),IF(A107=Summary!$AD$3,L107-D107,L107))</f>
        <v>0</v>
      </c>
      <c r="P107" s="89" t="s">
        <v>139</v>
      </c>
      <c r="Q107" s="107">
        <v>0</v>
      </c>
      <c r="R107" s="107">
        <v>0</v>
      </c>
      <c r="S107" s="107">
        <v>0</v>
      </c>
      <c r="T107" s="107">
        <v>0</v>
      </c>
      <c r="U107" s="107"/>
      <c r="V107" s="107"/>
      <c r="W107" s="107"/>
      <c r="X107" s="107"/>
      <c r="Y107" s="107"/>
      <c r="Z107" s="107"/>
      <c r="AA107" s="107"/>
      <c r="AB107" s="107"/>
      <c r="AC107" s="355"/>
      <c r="AD107" s="355"/>
      <c r="AE107" s="355"/>
      <c r="AF107" s="94">
        <f t="shared" si="10"/>
        <v>40147</v>
      </c>
      <c r="AG107" s="185">
        <f t="shared" si="11"/>
        <v>4.4169897648336898E-2</v>
      </c>
      <c r="AH107" s="339" t="str">
        <f>VLOOKUP(B107,'MF PF'!A:B,2)</f>
        <v>FdMgt1</v>
      </c>
      <c r="AI107" s="358">
        <f t="shared" si="12"/>
        <v>0</v>
      </c>
      <c r="AJ107" s="94">
        <f t="shared" si="13"/>
        <v>40147</v>
      </c>
    </row>
    <row r="108" spans="1:36" ht="12.75" customHeight="1">
      <c r="A108" s="8">
        <v>40178</v>
      </c>
      <c r="B108" s="94" t="s">
        <v>0</v>
      </c>
      <c r="C108" s="92" t="s">
        <v>297</v>
      </c>
      <c r="D108" s="98">
        <v>353252518.72327679</v>
      </c>
      <c r="E108" s="9">
        <f t="shared" si="7"/>
        <v>1599.616</v>
      </c>
      <c r="F108" s="98"/>
      <c r="G108" s="98">
        <v>0</v>
      </c>
      <c r="H108" s="98">
        <v>-17.993803381919861</v>
      </c>
      <c r="I108" s="98">
        <v>0</v>
      </c>
      <c r="J108" s="98"/>
      <c r="K108" s="98">
        <v>220835.8248</v>
      </c>
      <c r="L108" s="93">
        <f t="shared" si="8"/>
        <v>-17.993803381919861</v>
      </c>
      <c r="M108" s="95">
        <f t="shared" ca="1" si="9"/>
        <v>0</v>
      </c>
      <c r="N108" s="95">
        <f ca="1">IF(P108="Hedge Fund",IF(A108=Summary!$AD$3,M108-E108,M108),IF(A108=Summary!$AD$3,L108-D108,L108))</f>
        <v>0</v>
      </c>
      <c r="P108" s="89" t="s">
        <v>139</v>
      </c>
      <c r="Q108" s="107">
        <v>0</v>
      </c>
      <c r="R108" s="107">
        <v>0</v>
      </c>
      <c r="S108" s="107">
        <v>0</v>
      </c>
      <c r="T108" s="107">
        <v>0</v>
      </c>
      <c r="U108" s="107"/>
      <c r="V108" s="107"/>
      <c r="W108" s="107"/>
      <c r="X108" s="107"/>
      <c r="Y108" s="107"/>
      <c r="Z108" s="107"/>
      <c r="AA108" s="107"/>
      <c r="AB108" s="107"/>
      <c r="AC108" s="355"/>
      <c r="AD108" s="355"/>
      <c r="AE108" s="355"/>
      <c r="AF108" s="94">
        <f t="shared" si="10"/>
        <v>40178</v>
      </c>
      <c r="AG108" s="185">
        <f t="shared" si="11"/>
        <v>1.1330058324128256E-2</v>
      </c>
      <c r="AH108" s="339" t="str">
        <f>VLOOKUP(B108,'MF PF'!A:B,2)</f>
        <v>FdMgt1</v>
      </c>
      <c r="AI108" s="358">
        <f t="shared" si="12"/>
        <v>0</v>
      </c>
      <c r="AJ108" s="94">
        <f t="shared" si="13"/>
        <v>40178</v>
      </c>
    </row>
    <row r="109" spans="1:36" ht="12.75" customHeight="1">
      <c r="A109" s="8">
        <v>40207</v>
      </c>
      <c r="B109" s="94" t="s">
        <v>0</v>
      </c>
      <c r="C109" s="92" t="s">
        <v>297</v>
      </c>
      <c r="D109" s="98">
        <v>352948806.02760398</v>
      </c>
      <c r="E109" s="9">
        <f t="shared" si="7"/>
        <v>1625.3155999999997</v>
      </c>
      <c r="F109" s="98"/>
      <c r="G109" s="98">
        <v>0</v>
      </c>
      <c r="H109" s="98">
        <v>-5979105.0587028265</v>
      </c>
      <c r="I109" s="98">
        <v>0</v>
      </c>
      <c r="J109" s="98"/>
      <c r="K109" s="98">
        <v>217157.09000000003</v>
      </c>
      <c r="L109" s="93">
        <f t="shared" si="8"/>
        <v>-5979105.0587028265</v>
      </c>
      <c r="M109" s="95">
        <f t="shared" ca="1" si="9"/>
        <v>0</v>
      </c>
      <c r="N109" s="95">
        <f ca="1">IF(P109="Hedge Fund",IF(A109=Summary!$AD$3,M109-E109,M109),IF(A109=Summary!$AD$3,L109-D109,L109))</f>
        <v>0</v>
      </c>
      <c r="P109" s="89" t="s">
        <v>139</v>
      </c>
      <c r="Q109" s="107">
        <v>0</v>
      </c>
      <c r="R109" s="107">
        <v>0</v>
      </c>
      <c r="S109" s="107">
        <v>0</v>
      </c>
      <c r="T109" s="107">
        <v>0</v>
      </c>
      <c r="U109" s="107"/>
      <c r="V109" s="107"/>
      <c r="W109" s="107"/>
      <c r="X109" s="107"/>
      <c r="Y109" s="107"/>
      <c r="Z109" s="107"/>
      <c r="AA109" s="107"/>
      <c r="AB109" s="107"/>
      <c r="AC109" s="355"/>
      <c r="AD109" s="355"/>
      <c r="AE109" s="355"/>
      <c r="AF109" s="94">
        <f t="shared" si="10"/>
        <v>40207</v>
      </c>
      <c r="AG109" s="185">
        <f t="shared" si="11"/>
        <v>1.6066105865407465E-2</v>
      </c>
      <c r="AH109" s="339" t="str">
        <f>VLOOKUP(B109,'MF PF'!A:B,2)</f>
        <v>FdMgt1</v>
      </c>
      <c r="AI109" s="358">
        <f t="shared" si="12"/>
        <v>0</v>
      </c>
      <c r="AJ109" s="94">
        <f t="shared" si="13"/>
        <v>40209</v>
      </c>
    </row>
    <row r="110" spans="1:36" ht="12.75" customHeight="1">
      <c r="A110" s="94">
        <v>40235</v>
      </c>
      <c r="B110" s="8" t="s">
        <v>0</v>
      </c>
      <c r="C110" s="358" t="s">
        <v>297</v>
      </c>
      <c r="D110" s="47">
        <v>355018201.71693742</v>
      </c>
      <c r="E110" s="9">
        <f t="shared" si="7"/>
        <v>1652.1982</v>
      </c>
      <c r="F110" s="47"/>
      <c r="G110" s="47">
        <v>0</v>
      </c>
      <c r="H110" s="47">
        <v>-3768351.498300612</v>
      </c>
      <c r="I110" s="47">
        <v>0</v>
      </c>
      <c r="J110" s="98"/>
      <c r="K110" s="98">
        <v>214876.27919999999</v>
      </c>
      <c r="L110" s="93">
        <f t="shared" si="8"/>
        <v>-3768351.498300612</v>
      </c>
      <c r="M110" s="95">
        <f t="shared" ca="1" si="9"/>
        <v>0</v>
      </c>
      <c r="N110" s="95">
        <f ca="1">IF(P110="Hedge Fund",IF(A110=Summary!$AD$3,M110-E110,M110),IF(A110=Summary!$AD$3,L110-D110,L110))</f>
        <v>0</v>
      </c>
      <c r="P110" s="89" t="s">
        <v>139</v>
      </c>
      <c r="Q110" s="89">
        <v>0</v>
      </c>
      <c r="R110" s="89">
        <v>0</v>
      </c>
      <c r="S110" s="89">
        <v>0</v>
      </c>
      <c r="T110" s="89">
        <v>0</v>
      </c>
      <c r="U110" s="89"/>
      <c r="V110" s="89"/>
      <c r="W110" s="89"/>
      <c r="X110" s="89"/>
      <c r="Y110" s="89"/>
      <c r="Z110" s="89"/>
      <c r="AA110" s="89"/>
      <c r="AB110" s="89"/>
      <c r="AC110" s="355"/>
      <c r="AD110" s="355"/>
      <c r="AE110" s="355"/>
      <c r="AF110" s="94">
        <f t="shared" si="10"/>
        <v>40235</v>
      </c>
      <c r="AG110" s="185">
        <f t="shared" si="11"/>
        <v>1.6539926153419149E-2</v>
      </c>
      <c r="AH110" s="339" t="str">
        <f>VLOOKUP(B110,'MF PF'!A:B,2)</f>
        <v>FdMgt1</v>
      </c>
      <c r="AI110" s="358">
        <f t="shared" si="12"/>
        <v>0</v>
      </c>
      <c r="AJ110" s="94">
        <f t="shared" si="13"/>
        <v>40237</v>
      </c>
    </row>
    <row r="111" spans="1:36" ht="12.75" customHeight="1">
      <c r="A111" s="8">
        <v>40268</v>
      </c>
      <c r="B111" s="8" t="s">
        <v>0</v>
      </c>
      <c r="C111" s="92" t="s">
        <v>297</v>
      </c>
      <c r="D111" s="47">
        <v>368917989.54005951</v>
      </c>
      <c r="E111" s="9">
        <f t="shared" si="7"/>
        <v>1716.8856000000001</v>
      </c>
      <c r="F111" s="47"/>
      <c r="G111" s="47">
        <v>0</v>
      </c>
      <c r="H111" s="47">
        <v>0</v>
      </c>
      <c r="I111" s="47">
        <v>0</v>
      </c>
      <c r="J111" s="98"/>
      <c r="K111" s="98">
        <v>214876.27919999999</v>
      </c>
      <c r="L111" s="93">
        <f t="shared" si="8"/>
        <v>0</v>
      </c>
      <c r="M111" s="95">
        <f t="shared" ca="1" si="9"/>
        <v>0</v>
      </c>
      <c r="N111" s="95">
        <f ca="1">IF(P111="Hedge Fund",IF(A111=Summary!$AD$3,M111-E111,M111),IF(A111=Summary!$AD$3,L111-D111,L111))</f>
        <v>0</v>
      </c>
      <c r="P111" s="89" t="s">
        <v>139</v>
      </c>
      <c r="Q111" s="89">
        <v>0</v>
      </c>
      <c r="R111" s="89">
        <v>0</v>
      </c>
      <c r="S111" s="89">
        <v>0</v>
      </c>
      <c r="T111" s="89">
        <v>0</v>
      </c>
      <c r="U111" s="89"/>
      <c r="V111" s="89"/>
      <c r="W111" s="89"/>
      <c r="X111" s="89"/>
      <c r="Y111" s="89"/>
      <c r="Z111" s="89"/>
      <c r="AA111" s="89"/>
      <c r="AB111" s="89"/>
      <c r="AC111" s="355"/>
      <c r="AD111" s="355"/>
      <c r="AE111" s="355"/>
      <c r="AF111" s="94">
        <f t="shared" si="10"/>
        <v>40268</v>
      </c>
      <c r="AG111" s="185">
        <f t="shared" si="11"/>
        <v>3.9152324460830501E-2</v>
      </c>
      <c r="AH111" s="339" t="str">
        <f>VLOOKUP(B111,'MF PF'!A:B,2)</f>
        <v>FdMgt1</v>
      </c>
      <c r="AI111" s="358">
        <f t="shared" si="12"/>
        <v>0</v>
      </c>
      <c r="AJ111" s="94">
        <f t="shared" si="13"/>
        <v>40268</v>
      </c>
    </row>
    <row r="112" spans="1:36" ht="12.75" customHeight="1">
      <c r="A112" s="8">
        <v>40298</v>
      </c>
      <c r="B112" s="8" t="s">
        <v>0</v>
      </c>
      <c r="C112" s="92" t="s">
        <v>297</v>
      </c>
      <c r="D112" s="47">
        <v>372784963.22142768</v>
      </c>
      <c r="E112" s="9">
        <f t="shared" si="7"/>
        <v>1753.6153999999999</v>
      </c>
      <c r="F112" s="47"/>
      <c r="G112" s="47">
        <v>0</v>
      </c>
      <c r="H112" s="47">
        <v>-4025389.0783919692</v>
      </c>
      <c r="I112" s="47">
        <v>0</v>
      </c>
      <c r="J112" s="98"/>
      <c r="K112" s="98">
        <v>212580.79920000001</v>
      </c>
      <c r="L112" s="93">
        <f t="shared" si="8"/>
        <v>-4025389.0783919692</v>
      </c>
      <c r="M112" s="95">
        <f t="shared" ca="1" si="9"/>
        <v>0</v>
      </c>
      <c r="N112" s="95">
        <f ca="1">IF(P112="Hedge Fund",IF(A112=Summary!$AD$3,M112-E112,M112),IF(A112=Summary!$AD$3,L112-D112,L112))</f>
        <v>0</v>
      </c>
      <c r="P112" s="89" t="s">
        <v>139</v>
      </c>
      <c r="Q112" s="89">
        <v>0</v>
      </c>
      <c r="R112" s="89">
        <v>0</v>
      </c>
      <c r="S112" s="89">
        <v>0</v>
      </c>
      <c r="T112" s="89">
        <v>0</v>
      </c>
      <c r="U112" s="89"/>
      <c r="V112" s="89"/>
      <c r="W112" s="89"/>
      <c r="X112" s="89"/>
      <c r="Y112" s="89"/>
      <c r="Z112" s="89"/>
      <c r="AA112" s="89"/>
      <c r="AB112" s="89"/>
      <c r="AC112" s="355"/>
      <c r="AD112" s="355"/>
      <c r="AE112" s="355"/>
      <c r="AF112" s="94">
        <f t="shared" si="10"/>
        <v>40298</v>
      </c>
      <c r="AG112" s="185">
        <f t="shared" si="11"/>
        <v>2.1393271630911093E-2</v>
      </c>
      <c r="AH112" s="339" t="str">
        <f>VLOOKUP(B112,'MF PF'!A:B,2)</f>
        <v>FdMgt1</v>
      </c>
      <c r="AI112" s="358">
        <f t="shared" si="12"/>
        <v>0</v>
      </c>
      <c r="AJ112" s="94">
        <f t="shared" si="13"/>
        <v>40298</v>
      </c>
    </row>
    <row r="113" spans="1:36" ht="12.75" customHeight="1">
      <c r="A113" s="94">
        <v>40329</v>
      </c>
      <c r="B113" s="8" t="s">
        <v>0</v>
      </c>
      <c r="C113" s="358" t="s">
        <v>297</v>
      </c>
      <c r="D113" s="47">
        <v>366711884.58983797</v>
      </c>
      <c r="E113" s="9">
        <f t="shared" si="7"/>
        <v>1717.0327</v>
      </c>
      <c r="F113" s="47"/>
      <c r="G113" s="47">
        <v>1703700.9713041186</v>
      </c>
      <c r="H113" s="47">
        <v>0</v>
      </c>
      <c r="I113" s="47">
        <v>0</v>
      </c>
      <c r="J113" s="98"/>
      <c r="K113" s="98">
        <v>213573.03479999999</v>
      </c>
      <c r="L113" s="93">
        <f t="shared" si="8"/>
        <v>1703700.9713041186</v>
      </c>
      <c r="M113" s="95">
        <f t="shared" ca="1" si="9"/>
        <v>0</v>
      </c>
      <c r="N113" s="95">
        <f ca="1">IF(P113="Hedge Fund",IF(A113=Summary!$AD$3,M113-E113,M113),IF(A113=Summary!$AD$3,L113-D113,L113))</f>
        <v>0</v>
      </c>
      <c r="P113" s="89" t="s">
        <v>139</v>
      </c>
      <c r="Q113" s="89">
        <v>0</v>
      </c>
      <c r="R113" s="89">
        <v>0</v>
      </c>
      <c r="S113" s="89">
        <v>0</v>
      </c>
      <c r="T113" s="89">
        <v>0</v>
      </c>
      <c r="U113" s="89"/>
      <c r="V113" s="89"/>
      <c r="W113" s="89"/>
      <c r="X113" s="89"/>
      <c r="Y113" s="89"/>
      <c r="Z113" s="89"/>
      <c r="AA113" s="89"/>
      <c r="AB113" s="89"/>
      <c r="AC113" s="355"/>
      <c r="AD113" s="355"/>
      <c r="AE113" s="355"/>
      <c r="AF113" s="94">
        <f t="shared" si="10"/>
        <v>40329</v>
      </c>
      <c r="AG113" s="185">
        <f t="shared" si="11"/>
        <v>-2.0861301742673977E-2</v>
      </c>
      <c r="AH113" s="339" t="str">
        <f>VLOOKUP(B113,'MF PF'!A:B,2)</f>
        <v>FdMgt1</v>
      </c>
      <c r="AI113" s="358">
        <f t="shared" si="12"/>
        <v>0</v>
      </c>
      <c r="AJ113" s="94">
        <f t="shared" si="13"/>
        <v>40329</v>
      </c>
    </row>
    <row r="114" spans="1:36" ht="12.75" customHeight="1">
      <c r="A114" s="8">
        <v>40359</v>
      </c>
      <c r="B114" s="8" t="s">
        <v>0</v>
      </c>
      <c r="C114" s="92" t="s">
        <v>297</v>
      </c>
      <c r="D114" s="47">
        <v>397911829.52241683</v>
      </c>
      <c r="E114" s="9">
        <f t="shared" si="7"/>
        <v>1863.1183000000003</v>
      </c>
      <c r="F114" s="47"/>
      <c r="G114" s="47">
        <v>0</v>
      </c>
      <c r="H114" s="47">
        <v>-5.9604644775390625E-8</v>
      </c>
      <c r="I114" s="47">
        <v>0</v>
      </c>
      <c r="J114" s="98"/>
      <c r="K114" s="98">
        <v>213573.03479999996</v>
      </c>
      <c r="L114" s="93">
        <f t="shared" si="8"/>
        <v>-5.9604644775390625E-8</v>
      </c>
      <c r="M114" s="95">
        <f t="shared" ca="1" si="9"/>
        <v>0</v>
      </c>
      <c r="N114" s="95">
        <f ca="1">IF(P114="Hedge Fund",IF(A114=Summary!$AD$3,M114-E114,M114),IF(A114=Summary!$AD$3,L114-D114,L114))</f>
        <v>0</v>
      </c>
      <c r="P114" s="89" t="s">
        <v>139</v>
      </c>
      <c r="Q114" s="89">
        <v>0</v>
      </c>
      <c r="R114" s="89">
        <v>0</v>
      </c>
      <c r="S114" s="89">
        <v>0</v>
      </c>
      <c r="T114" s="89">
        <v>0</v>
      </c>
      <c r="U114" s="89"/>
      <c r="V114" s="89"/>
      <c r="W114" s="89"/>
      <c r="X114" s="89"/>
      <c r="Y114" s="89"/>
      <c r="Z114" s="89"/>
      <c r="AA114" s="89"/>
      <c r="AB114" s="89"/>
      <c r="AC114" s="355"/>
      <c r="AD114" s="355"/>
      <c r="AE114" s="355"/>
      <c r="AF114" s="94">
        <f t="shared" si="10"/>
        <v>40359</v>
      </c>
      <c r="AG114" s="185">
        <f t="shared" si="11"/>
        <v>8.5080266671683225E-2</v>
      </c>
      <c r="AH114" s="339" t="str">
        <f>VLOOKUP(B114,'MF PF'!A:B,2)</f>
        <v>FdMgt1</v>
      </c>
      <c r="AI114" s="358">
        <f t="shared" si="12"/>
        <v>0</v>
      </c>
      <c r="AJ114" s="94">
        <f t="shared" si="13"/>
        <v>40359</v>
      </c>
    </row>
    <row r="115" spans="1:36" ht="12.75" customHeight="1">
      <c r="A115" s="8">
        <v>40389</v>
      </c>
      <c r="B115" s="8" t="s">
        <v>0</v>
      </c>
      <c r="C115" s="92" t="s">
        <v>297</v>
      </c>
      <c r="D115" s="47">
        <v>420171548.96384674</v>
      </c>
      <c r="E115" s="9">
        <f t="shared" si="7"/>
        <v>1929.0141999999998</v>
      </c>
      <c r="F115" s="47"/>
      <c r="G115" s="47">
        <v>8186132.0975526571</v>
      </c>
      <c r="H115" s="47">
        <v>0</v>
      </c>
      <c r="I115" s="47">
        <v>0</v>
      </c>
      <c r="J115" s="98"/>
      <c r="K115" s="98">
        <v>217816.72160000002</v>
      </c>
      <c r="L115" s="93">
        <f t="shared" si="8"/>
        <v>8186132.0975526571</v>
      </c>
      <c r="M115" s="95">
        <f t="shared" ca="1" si="9"/>
        <v>0</v>
      </c>
      <c r="N115" s="95">
        <f ca="1">IF(P115="Hedge Fund",IF(A115=Summary!$AD$3,M115-E115,M115),IF(A115=Summary!$AD$3,L115-D115,L115))</f>
        <v>0</v>
      </c>
      <c r="P115" s="89" t="s">
        <v>139</v>
      </c>
      <c r="Q115" s="89">
        <v>0</v>
      </c>
      <c r="R115" s="89">
        <v>0</v>
      </c>
      <c r="S115" s="89">
        <v>0</v>
      </c>
      <c r="T115" s="89">
        <v>0</v>
      </c>
      <c r="U115" s="89"/>
      <c r="V115" s="89"/>
      <c r="W115" s="89"/>
      <c r="X115" s="89"/>
      <c r="Y115" s="89"/>
      <c r="Z115" s="89"/>
      <c r="AA115" s="89"/>
      <c r="AB115" s="89"/>
      <c r="AC115" s="355"/>
      <c r="AD115" s="355"/>
      <c r="AE115" s="355"/>
      <c r="AF115" s="94">
        <f t="shared" si="10"/>
        <v>40389</v>
      </c>
      <c r="AG115" s="185">
        <f t="shared" si="11"/>
        <v>3.5368607565069654E-2</v>
      </c>
      <c r="AH115" s="339" t="str">
        <f>VLOOKUP(B115,'MF PF'!A:B,2)</f>
        <v>FdMgt1</v>
      </c>
      <c r="AI115" s="358">
        <f t="shared" si="12"/>
        <v>0</v>
      </c>
      <c r="AJ115" s="94">
        <f t="shared" si="13"/>
        <v>40390</v>
      </c>
    </row>
    <row r="116" spans="1:36" ht="12.75" customHeight="1">
      <c r="A116" s="8">
        <v>40421</v>
      </c>
      <c r="B116" s="94" t="s">
        <v>0</v>
      </c>
      <c r="C116" s="92" t="s">
        <v>297</v>
      </c>
      <c r="D116" s="98">
        <v>423729540.27980381</v>
      </c>
      <c r="E116" s="9">
        <f t="shared" si="7"/>
        <v>1943.0368000000001</v>
      </c>
      <c r="F116" s="98"/>
      <c r="G116" s="98">
        <v>503634.55564886332</v>
      </c>
      <c r="H116" s="98">
        <v>0</v>
      </c>
      <c r="I116" s="98">
        <v>0</v>
      </c>
      <c r="J116" s="98"/>
      <c r="K116" s="98">
        <v>218075.92129999999</v>
      </c>
      <c r="L116" s="93">
        <f t="shared" si="8"/>
        <v>503634.55564886332</v>
      </c>
      <c r="M116" s="95">
        <f t="shared" ca="1" si="9"/>
        <v>0</v>
      </c>
      <c r="N116" s="95">
        <f ca="1">IF(P116="Hedge Fund",IF(A116=Summary!$AD$3,M116-E116,M116),IF(A116=Summary!$AD$3,L116-D116,L116))</f>
        <v>0</v>
      </c>
      <c r="P116" s="89" t="s">
        <v>139</v>
      </c>
      <c r="Q116" s="107">
        <v>0</v>
      </c>
      <c r="R116" s="107">
        <v>0</v>
      </c>
      <c r="S116" s="107">
        <v>0</v>
      </c>
      <c r="T116" s="107">
        <v>0</v>
      </c>
      <c r="U116" s="107"/>
      <c r="V116" s="107"/>
      <c r="W116" s="107"/>
      <c r="X116" s="107"/>
      <c r="Y116" s="107"/>
      <c r="Z116" s="107"/>
      <c r="AA116" s="107"/>
      <c r="AB116" s="107"/>
      <c r="AC116" s="355"/>
      <c r="AD116" s="355"/>
      <c r="AE116" s="355"/>
      <c r="AF116" s="94">
        <f t="shared" si="10"/>
        <v>40421</v>
      </c>
      <c r="AG116" s="185">
        <f t="shared" si="11"/>
        <v>7.2693088521589289E-3</v>
      </c>
      <c r="AH116" s="339" t="str">
        <f>VLOOKUP(B116,'MF PF'!A:B,2)</f>
        <v>FdMgt1</v>
      </c>
      <c r="AI116" s="358">
        <f t="shared" si="12"/>
        <v>0</v>
      </c>
      <c r="AJ116" s="94">
        <f t="shared" si="13"/>
        <v>40421</v>
      </c>
    </row>
    <row r="117" spans="1:36" ht="12.75" customHeight="1">
      <c r="A117" s="8">
        <v>40451</v>
      </c>
      <c r="B117" s="94" t="s">
        <v>0</v>
      </c>
      <c r="C117" s="92" t="s">
        <v>297</v>
      </c>
      <c r="D117" s="98">
        <v>442850372.91364473</v>
      </c>
      <c r="E117" s="9">
        <f t="shared" si="7"/>
        <v>1990.7815000000003</v>
      </c>
      <c r="F117" s="47"/>
      <c r="G117" s="47">
        <v>8708863.1941487193</v>
      </c>
      <c r="H117" s="98">
        <v>0</v>
      </c>
      <c r="I117" s="98">
        <v>0</v>
      </c>
      <c r="J117" s="98"/>
      <c r="K117" s="98">
        <v>222450.51649999997</v>
      </c>
      <c r="L117" s="93">
        <f t="shared" si="8"/>
        <v>8708863.1941487193</v>
      </c>
      <c r="M117" s="95">
        <f t="shared" ca="1" si="9"/>
        <v>0</v>
      </c>
      <c r="N117" s="95">
        <f ca="1">IF(P117="Hedge Fund",IF(A117=Summary!$AD$3,M117-E117,M117),IF(A117=Summary!$AD$3,L117-D117,L117))</f>
        <v>0</v>
      </c>
      <c r="P117" s="107" t="s">
        <v>139</v>
      </c>
      <c r="Q117" s="107">
        <v>0</v>
      </c>
      <c r="R117" s="107">
        <v>0</v>
      </c>
      <c r="S117" s="107">
        <v>0</v>
      </c>
      <c r="T117" s="107">
        <v>0</v>
      </c>
      <c r="U117" s="89"/>
      <c r="V117" s="107"/>
      <c r="W117" s="89"/>
      <c r="X117" s="107"/>
      <c r="Y117" s="107"/>
      <c r="Z117" s="107"/>
      <c r="AA117" s="107"/>
      <c r="AB117" s="107"/>
      <c r="AC117" s="355"/>
      <c r="AD117" s="355"/>
      <c r="AE117" s="355"/>
      <c r="AF117" s="94">
        <f t="shared" si="10"/>
        <v>40451</v>
      </c>
      <c r="AG117" s="185">
        <f t="shared" si="11"/>
        <v>2.4572205734858077E-2</v>
      </c>
      <c r="AH117" s="339" t="str">
        <f>VLOOKUP(B117,'MF PF'!A:B,2)</f>
        <v>FdMgt1</v>
      </c>
      <c r="AI117" s="358">
        <f t="shared" si="12"/>
        <v>0</v>
      </c>
      <c r="AJ117" s="94">
        <f t="shared" si="13"/>
        <v>40451</v>
      </c>
    </row>
    <row r="118" spans="1:36" ht="12.75" customHeight="1">
      <c r="A118" s="8">
        <v>40480</v>
      </c>
      <c r="B118" s="8" t="s">
        <v>0</v>
      </c>
      <c r="C118" s="92" t="s">
        <v>297</v>
      </c>
      <c r="D118" s="47">
        <v>457607576.10000002</v>
      </c>
      <c r="E118" s="9">
        <f t="shared" si="7"/>
        <v>2083.2993999999999</v>
      </c>
      <c r="F118" s="47"/>
      <c r="G118" s="47">
        <v>0</v>
      </c>
      <c r="H118" s="47">
        <v>-5823451.4541400075</v>
      </c>
      <c r="I118" s="47">
        <v>0</v>
      </c>
      <c r="J118" s="98"/>
      <c r="K118" s="98">
        <v>219655.21427213008</v>
      </c>
      <c r="L118" s="93">
        <f t="shared" si="8"/>
        <v>-5823451.4541400075</v>
      </c>
      <c r="M118" s="95">
        <f t="shared" ca="1" si="9"/>
        <v>0</v>
      </c>
      <c r="N118" s="95">
        <f ca="1">IF(P118="Hedge Fund",IF(A118=Summary!$AD$3,M118-E118,M118),IF(A118=Summary!$AD$3,L118-D118,L118))</f>
        <v>0</v>
      </c>
      <c r="P118" s="89" t="s">
        <v>139</v>
      </c>
      <c r="Q118" s="89">
        <v>0</v>
      </c>
      <c r="R118" s="89">
        <v>0</v>
      </c>
      <c r="S118" s="89">
        <v>0</v>
      </c>
      <c r="T118" s="89">
        <v>0</v>
      </c>
      <c r="U118" s="89"/>
      <c r="V118" s="89"/>
      <c r="W118" s="89"/>
      <c r="X118" s="89"/>
      <c r="Y118" s="89"/>
      <c r="Z118" s="89"/>
      <c r="AA118" s="89"/>
      <c r="AB118" s="89"/>
      <c r="AC118" s="355"/>
      <c r="AD118" s="355"/>
      <c r="AE118" s="355"/>
      <c r="AF118" s="94">
        <f t="shared" si="10"/>
        <v>40480</v>
      </c>
      <c r="AG118" s="185">
        <f t="shared" si="11"/>
        <v>4.6473156396118709E-2</v>
      </c>
      <c r="AH118" s="339" t="str">
        <f>VLOOKUP(B118,'MF PF'!A:B,2)</f>
        <v>FdMgt1</v>
      </c>
      <c r="AI118" s="358">
        <f t="shared" si="12"/>
        <v>0</v>
      </c>
      <c r="AJ118" s="94">
        <f t="shared" si="13"/>
        <v>40482</v>
      </c>
    </row>
    <row r="119" spans="1:36" ht="12.75" customHeight="1">
      <c r="A119" s="8">
        <v>40512</v>
      </c>
      <c r="B119" s="94" t="s">
        <v>0</v>
      </c>
      <c r="C119" s="92" t="s">
        <v>297</v>
      </c>
      <c r="D119" s="98">
        <v>474324050.08314651</v>
      </c>
      <c r="E119" s="9">
        <f t="shared" si="7"/>
        <v>2131.4557</v>
      </c>
      <c r="F119" s="98"/>
      <c r="G119" s="98">
        <v>6138691.5880935192</v>
      </c>
      <c r="H119" s="98">
        <v>0</v>
      </c>
      <c r="I119" s="98">
        <v>0</v>
      </c>
      <c r="J119" s="98"/>
      <c r="K119" s="98">
        <v>222535.26079999999</v>
      </c>
      <c r="L119" s="93">
        <f t="shared" si="8"/>
        <v>6138691.5880935192</v>
      </c>
      <c r="M119" s="95">
        <f t="shared" ca="1" si="9"/>
        <v>0</v>
      </c>
      <c r="N119" s="95">
        <f ca="1">IF(P119="Hedge Fund",IF(A119=Summary!$AD$3,M119-E119,M119),IF(A119=Summary!$AD$3,L119-D119,L119))</f>
        <v>0</v>
      </c>
      <c r="P119" s="107" t="s">
        <v>139</v>
      </c>
      <c r="Q119" s="107">
        <v>0</v>
      </c>
      <c r="R119" s="107">
        <v>0</v>
      </c>
      <c r="S119" s="107">
        <v>0</v>
      </c>
      <c r="T119" s="107">
        <v>0</v>
      </c>
      <c r="U119" s="107"/>
      <c r="V119" s="107"/>
      <c r="W119" s="107"/>
      <c r="X119" s="107"/>
      <c r="Y119" s="107"/>
      <c r="Z119" s="107"/>
      <c r="AA119" s="107"/>
      <c r="AB119" s="107"/>
      <c r="AC119" s="355"/>
      <c r="AD119" s="355"/>
      <c r="AE119" s="355"/>
      <c r="AF119" s="94">
        <f t="shared" si="10"/>
        <v>40512</v>
      </c>
      <c r="AG119" s="185">
        <f t="shared" si="11"/>
        <v>2.3115400503643357E-2</v>
      </c>
      <c r="AH119" s="339" t="str">
        <f>VLOOKUP(B119,'MF PF'!A:B,2)</f>
        <v>FdMgt1</v>
      </c>
      <c r="AI119" s="358">
        <f t="shared" si="12"/>
        <v>0</v>
      </c>
      <c r="AJ119" s="94">
        <f t="shared" si="13"/>
        <v>40512</v>
      </c>
    </row>
    <row r="120" spans="1:36" ht="12.75" customHeight="1">
      <c r="A120" s="8">
        <v>40543</v>
      </c>
      <c r="B120" s="8" t="s">
        <v>0</v>
      </c>
      <c r="C120" s="92" t="s">
        <v>297</v>
      </c>
      <c r="D120" s="47">
        <v>486399190.24615806</v>
      </c>
      <c r="E120" s="9">
        <f t="shared" si="7"/>
        <v>2149.4643000000001</v>
      </c>
      <c r="F120" s="47"/>
      <c r="G120" s="47">
        <v>8067591.6653686166</v>
      </c>
      <c r="H120" s="47">
        <v>0</v>
      </c>
      <c r="I120" s="47">
        <v>0</v>
      </c>
      <c r="J120" s="98"/>
      <c r="K120" s="98">
        <v>226288.56419999999</v>
      </c>
      <c r="L120" s="93">
        <f t="shared" si="8"/>
        <v>8067591.6653686166</v>
      </c>
      <c r="M120" s="95">
        <f t="shared" ca="1" si="9"/>
        <v>0</v>
      </c>
      <c r="N120" s="95">
        <f ca="1">IF(P120="Hedge Fund",IF(A120=Summary!$AD$3,M120-E120,M120),IF(A120=Summary!$AD$3,L120-D120,L120))</f>
        <v>0</v>
      </c>
      <c r="P120" s="89" t="s">
        <v>139</v>
      </c>
      <c r="Q120" s="89">
        <v>0</v>
      </c>
      <c r="R120" s="89">
        <v>0</v>
      </c>
      <c r="S120" s="89">
        <v>0</v>
      </c>
      <c r="T120" s="89">
        <v>0</v>
      </c>
      <c r="U120" s="89"/>
      <c r="V120" s="89"/>
      <c r="W120" s="89"/>
      <c r="X120" s="89"/>
      <c r="Y120" s="89"/>
      <c r="Z120" s="89"/>
      <c r="AA120" s="89"/>
      <c r="AB120" s="89"/>
      <c r="AC120" s="355"/>
      <c r="AD120" s="355"/>
      <c r="AE120" s="355"/>
      <c r="AF120" s="94">
        <f t="shared" si="10"/>
        <v>40543</v>
      </c>
      <c r="AG120" s="185">
        <f t="shared" si="11"/>
        <v>8.4489675295622568E-3</v>
      </c>
      <c r="AH120" s="339" t="str">
        <f>VLOOKUP(B120,'MF PF'!A:B,2)</f>
        <v>FdMgt1</v>
      </c>
      <c r="AI120" s="358">
        <f t="shared" si="12"/>
        <v>0</v>
      </c>
      <c r="AJ120" s="94">
        <f t="shared" si="13"/>
        <v>40543</v>
      </c>
    </row>
    <row r="121" spans="1:36" ht="12.75" customHeight="1">
      <c r="A121" s="94">
        <v>40574</v>
      </c>
      <c r="B121" s="8" t="s">
        <v>0</v>
      </c>
      <c r="C121" s="358" t="s">
        <v>297</v>
      </c>
      <c r="D121" s="47">
        <v>491389942.62095493</v>
      </c>
      <c r="E121" s="9">
        <f t="shared" si="7"/>
        <v>2172.3395</v>
      </c>
      <c r="F121" s="47"/>
      <c r="G121" s="47">
        <v>0</v>
      </c>
      <c r="H121" s="47">
        <v>-185643.78899097443</v>
      </c>
      <c r="I121" s="47">
        <v>0</v>
      </c>
      <c r="J121" s="98"/>
      <c r="K121" s="98">
        <v>226203.10620000001</v>
      </c>
      <c r="L121" s="93">
        <f t="shared" si="8"/>
        <v>-185643.78899097443</v>
      </c>
      <c r="M121" s="95">
        <f t="shared" ca="1" si="9"/>
        <v>0</v>
      </c>
      <c r="N121" s="95">
        <f ca="1">IF(P121="Hedge Fund",IF(A121=Summary!$AD$3,M121-E121,M121),IF(A121=Summary!$AD$3,L121-D121,L121))</f>
        <v>0</v>
      </c>
      <c r="P121" s="89" t="s">
        <v>139</v>
      </c>
      <c r="Q121" s="89">
        <v>0</v>
      </c>
      <c r="R121" s="89">
        <v>0</v>
      </c>
      <c r="S121" s="89">
        <v>0</v>
      </c>
      <c r="T121" s="89">
        <v>0</v>
      </c>
      <c r="U121" s="89"/>
      <c r="V121" s="89"/>
      <c r="W121" s="89"/>
      <c r="X121" s="89"/>
      <c r="Y121" s="89"/>
      <c r="Z121" s="89"/>
      <c r="AA121" s="89"/>
      <c r="AB121" s="89"/>
      <c r="AC121" s="355"/>
      <c r="AD121" s="355"/>
      <c r="AE121" s="355"/>
      <c r="AF121" s="94">
        <f t="shared" si="10"/>
        <v>40574</v>
      </c>
      <c r="AG121" s="185">
        <f t="shared" si="11"/>
        <v>1.0642279567053103E-2</v>
      </c>
      <c r="AH121" s="339" t="str">
        <f>VLOOKUP(B121,'MF PF'!A:B,2)</f>
        <v>FdMgt1</v>
      </c>
      <c r="AI121" s="358">
        <f t="shared" si="12"/>
        <v>0</v>
      </c>
      <c r="AJ121" s="94">
        <f t="shared" si="13"/>
        <v>40574</v>
      </c>
    </row>
    <row r="122" spans="1:36" ht="12.75" customHeight="1">
      <c r="A122" s="8">
        <v>40602</v>
      </c>
      <c r="B122" s="8" t="s">
        <v>0</v>
      </c>
      <c r="C122" s="92" t="s">
        <v>297</v>
      </c>
      <c r="D122" s="47">
        <v>489732805.8110106</v>
      </c>
      <c r="E122" s="9">
        <f t="shared" si="7"/>
        <v>2172.2797999999998</v>
      </c>
      <c r="F122" s="47"/>
      <c r="G122" s="47">
        <v>0</v>
      </c>
      <c r="H122" s="47">
        <v>-1643632.4845041633</v>
      </c>
      <c r="I122" s="47">
        <v>0</v>
      </c>
      <c r="J122" s="98"/>
      <c r="K122" s="98">
        <v>225446.46680000002</v>
      </c>
      <c r="L122" s="93">
        <f t="shared" si="8"/>
        <v>-1643632.4845041633</v>
      </c>
      <c r="M122" s="95">
        <f t="shared" ca="1" si="9"/>
        <v>0</v>
      </c>
      <c r="N122" s="95">
        <f ca="1">IF(P122="Hedge Fund",IF(A122=Summary!$AD$3,M122-E122,M122),IF(A122=Summary!$AD$3,L122-D122,L122))</f>
        <v>0</v>
      </c>
      <c r="P122" s="89" t="s">
        <v>139</v>
      </c>
      <c r="Q122" s="89">
        <v>0</v>
      </c>
      <c r="R122" s="89">
        <v>0</v>
      </c>
      <c r="S122" s="89">
        <v>0</v>
      </c>
      <c r="T122" s="89">
        <v>0</v>
      </c>
      <c r="U122" s="89"/>
      <c r="V122" s="89"/>
      <c r="W122" s="89"/>
      <c r="X122" s="89"/>
      <c r="Y122" s="89"/>
      <c r="Z122" s="89"/>
      <c r="AA122" s="89"/>
      <c r="AB122" s="89"/>
      <c r="AC122" s="355"/>
      <c r="AD122" s="355"/>
      <c r="AE122" s="355"/>
      <c r="AF122" s="94">
        <f t="shared" si="10"/>
        <v>40602</v>
      </c>
      <c r="AG122" s="185">
        <f t="shared" si="11"/>
        <v>-2.7481892218128579E-5</v>
      </c>
      <c r="AH122" s="339" t="str">
        <f>VLOOKUP(B122,'MF PF'!A:B,2)</f>
        <v>FdMgt1</v>
      </c>
      <c r="AI122" s="358">
        <f t="shared" si="12"/>
        <v>0</v>
      </c>
      <c r="AJ122" s="94">
        <f t="shared" si="13"/>
        <v>40602</v>
      </c>
    </row>
    <row r="123" spans="1:36" ht="12.75" customHeight="1">
      <c r="A123" s="94">
        <v>40633</v>
      </c>
      <c r="B123" s="8" t="s">
        <v>0</v>
      </c>
      <c r="C123" s="358" t="s">
        <v>297</v>
      </c>
      <c r="D123" s="47">
        <v>498912940.84981328</v>
      </c>
      <c r="E123" s="9">
        <f t="shared" si="7"/>
        <v>2212.9996000000001</v>
      </c>
      <c r="F123" s="47"/>
      <c r="G123" s="47">
        <v>0</v>
      </c>
      <c r="H123" s="47">
        <v>-5.9604644775390625E-8</v>
      </c>
      <c r="I123" s="47">
        <v>0</v>
      </c>
      <c r="J123" s="98"/>
      <c r="K123" s="98">
        <v>225446.46679999999</v>
      </c>
      <c r="L123" s="93">
        <f t="shared" si="8"/>
        <v>-5.9604644775390625E-8</v>
      </c>
      <c r="M123" s="95">
        <f t="shared" ca="1" si="9"/>
        <v>0</v>
      </c>
      <c r="N123" s="95">
        <f ca="1">IF(P123="Hedge Fund",IF(A123=Summary!$AD$3,M123-E123,M123),IF(A123=Summary!$AD$3,L123-D123,L123))</f>
        <v>0</v>
      </c>
      <c r="P123" s="89" t="s">
        <v>139</v>
      </c>
      <c r="Q123" s="89">
        <v>0</v>
      </c>
      <c r="R123" s="89">
        <v>0</v>
      </c>
      <c r="S123" s="89">
        <v>0</v>
      </c>
      <c r="T123" s="89">
        <v>0</v>
      </c>
      <c r="U123" s="89"/>
      <c r="V123" s="89"/>
      <c r="W123" s="89"/>
      <c r="X123" s="89"/>
      <c r="Y123" s="89"/>
      <c r="Z123" s="89"/>
      <c r="AA123" s="89"/>
      <c r="AB123" s="89"/>
      <c r="AC123" s="355"/>
      <c r="AD123" s="355"/>
      <c r="AE123" s="355"/>
      <c r="AF123" s="94">
        <f t="shared" si="10"/>
        <v>40633</v>
      </c>
      <c r="AG123" s="185">
        <f t="shared" si="11"/>
        <v>1.8745191112121251E-2</v>
      </c>
      <c r="AH123" s="339" t="str">
        <f>VLOOKUP(B123,'MF PF'!A:B,2)</f>
        <v>FdMgt1</v>
      </c>
      <c r="AI123" s="358">
        <f t="shared" si="12"/>
        <v>0</v>
      </c>
      <c r="AJ123" s="94">
        <f t="shared" si="13"/>
        <v>40633</v>
      </c>
    </row>
    <row r="124" spans="1:36" ht="12.75" customHeight="1">
      <c r="A124" s="8">
        <v>40662</v>
      </c>
      <c r="B124" s="94" t="s">
        <v>0</v>
      </c>
      <c r="C124" s="92" t="s">
        <v>297</v>
      </c>
      <c r="D124" s="98">
        <v>492545205.69928956</v>
      </c>
      <c r="E124" s="9">
        <f t="shared" si="7"/>
        <v>2243.5120999999999</v>
      </c>
      <c r="F124" s="98"/>
      <c r="G124" s="98">
        <v>0</v>
      </c>
      <c r="H124" s="98">
        <v>-13246670.468758702</v>
      </c>
      <c r="I124" s="98">
        <v>0</v>
      </c>
      <c r="J124" s="98"/>
      <c r="K124" s="98">
        <v>219542.03219999999</v>
      </c>
      <c r="L124" s="93">
        <f t="shared" si="8"/>
        <v>-13246670.468758702</v>
      </c>
      <c r="M124" s="95">
        <f t="shared" ca="1" si="9"/>
        <v>0</v>
      </c>
      <c r="N124" s="95">
        <f ca="1">IF(P124="Hedge Fund",IF(A124=Summary!$AD$3,M124-E124,M124),IF(A124=Summary!$AD$3,L124-D124,L124))</f>
        <v>0</v>
      </c>
      <c r="P124" s="89" t="s">
        <v>139</v>
      </c>
      <c r="Q124" s="107">
        <v>0</v>
      </c>
      <c r="R124" s="107">
        <v>0</v>
      </c>
      <c r="S124" s="107">
        <v>0</v>
      </c>
      <c r="T124" s="107">
        <v>0</v>
      </c>
      <c r="U124" s="107"/>
      <c r="V124" s="107"/>
      <c r="W124" s="107"/>
      <c r="X124" s="107"/>
      <c r="Y124" s="107"/>
      <c r="Z124" s="107"/>
      <c r="AA124" s="107"/>
      <c r="AB124" s="107"/>
      <c r="AC124" s="355"/>
      <c r="AD124" s="355"/>
      <c r="AE124" s="355"/>
      <c r="AF124" s="94">
        <f t="shared" si="10"/>
        <v>40662</v>
      </c>
      <c r="AG124" s="185">
        <f t="shared" si="11"/>
        <v>1.3787847047057822E-2</v>
      </c>
      <c r="AH124" s="339" t="str">
        <f>VLOOKUP(B124,'MF PF'!A:B,2)</f>
        <v>FdMgt1</v>
      </c>
      <c r="AI124" s="358">
        <f t="shared" si="12"/>
        <v>0</v>
      </c>
      <c r="AJ124" s="94">
        <f t="shared" si="13"/>
        <v>40663</v>
      </c>
    </row>
    <row r="125" spans="1:36" ht="12.75" customHeight="1">
      <c r="A125" s="8">
        <v>40694</v>
      </c>
      <c r="B125" s="94" t="s">
        <v>0</v>
      </c>
      <c r="C125" s="92" t="s">
        <v>297</v>
      </c>
      <c r="D125" s="98">
        <v>492545205.69928956</v>
      </c>
      <c r="E125" s="9">
        <f t="shared" si="7"/>
        <v>2252.0594999999998</v>
      </c>
      <c r="F125" s="98"/>
      <c r="G125" s="98">
        <v>0</v>
      </c>
      <c r="H125" s="98">
        <v>-1876513.5660262704</v>
      </c>
      <c r="I125" s="98">
        <v>0</v>
      </c>
      <c r="J125" s="98"/>
      <c r="K125" s="98">
        <v>218708.78886605334</v>
      </c>
      <c r="L125" s="93">
        <f t="shared" si="8"/>
        <v>-1876513.5660262704</v>
      </c>
      <c r="M125" s="95">
        <f t="shared" ca="1" si="9"/>
        <v>0</v>
      </c>
      <c r="N125" s="95">
        <f ca="1">IF(P125="Hedge Fund",IF(A125=Summary!$AD$3,M125-E125,M125),IF(A125=Summary!$AD$3,L125-D125,L125))</f>
        <v>0</v>
      </c>
      <c r="P125" s="89" t="s">
        <v>139</v>
      </c>
      <c r="Q125" s="107">
        <v>0</v>
      </c>
      <c r="R125" s="107">
        <v>0</v>
      </c>
      <c r="S125" s="107">
        <v>0</v>
      </c>
      <c r="T125" s="107">
        <v>0</v>
      </c>
      <c r="U125" s="107"/>
      <c r="V125" s="107"/>
      <c r="W125" s="107"/>
      <c r="X125" s="107"/>
      <c r="Y125" s="107"/>
      <c r="Z125" s="107"/>
      <c r="AA125" s="107"/>
      <c r="AB125" s="107"/>
      <c r="AC125" s="355"/>
      <c r="AD125" s="355"/>
      <c r="AE125" s="355"/>
      <c r="AF125" s="94">
        <f t="shared" si="10"/>
        <v>40694</v>
      </c>
      <c r="AG125" s="185">
        <f t="shared" si="11"/>
        <v>3.8098301319613448E-3</v>
      </c>
      <c r="AH125" s="339" t="str">
        <f>VLOOKUP(B125,'MF PF'!A:B,2)</f>
        <v>FdMgt1</v>
      </c>
      <c r="AI125" s="358">
        <f t="shared" si="12"/>
        <v>0</v>
      </c>
      <c r="AJ125" s="94">
        <f t="shared" si="13"/>
        <v>40694</v>
      </c>
    </row>
    <row r="126" spans="1:36" ht="12.75" customHeight="1">
      <c r="A126" s="8">
        <v>40724</v>
      </c>
      <c r="B126" s="94" t="s">
        <v>0</v>
      </c>
      <c r="C126" s="92" t="s">
        <v>297</v>
      </c>
      <c r="D126" s="98">
        <v>494491126.54956007</v>
      </c>
      <c r="E126" s="9">
        <f t="shared" si="7"/>
        <v>2252.2640000000001</v>
      </c>
      <c r="F126" s="98"/>
      <c r="G126" s="98">
        <v>1901194.9029473066</v>
      </c>
      <c r="H126" s="98">
        <v>0</v>
      </c>
      <c r="I126" s="98">
        <v>0</v>
      </c>
      <c r="J126" s="98"/>
      <c r="K126" s="98">
        <v>219552.91500000001</v>
      </c>
      <c r="L126" s="93">
        <f t="shared" si="8"/>
        <v>1901194.9029473066</v>
      </c>
      <c r="M126" s="95">
        <f t="shared" ca="1" si="9"/>
        <v>0</v>
      </c>
      <c r="N126" s="95">
        <f ca="1">IF(P126="Hedge Fund",IF(A126=Summary!$AD$3,M126-E126,M126),IF(A126=Summary!$AD$3,L126-D126,L126))</f>
        <v>0</v>
      </c>
      <c r="P126" s="89" t="s">
        <v>139</v>
      </c>
      <c r="Q126" s="107">
        <v>0</v>
      </c>
      <c r="R126" s="107">
        <v>0</v>
      </c>
      <c r="S126" s="107">
        <v>0</v>
      </c>
      <c r="T126" s="107">
        <v>0</v>
      </c>
      <c r="U126" s="107"/>
      <c r="V126" s="107"/>
      <c r="W126" s="107"/>
      <c r="X126" s="107"/>
      <c r="Y126" s="107"/>
      <c r="Z126" s="107"/>
      <c r="AA126" s="107"/>
      <c r="AB126" s="107"/>
      <c r="AC126" s="355"/>
      <c r="AD126" s="355"/>
      <c r="AE126" s="355"/>
      <c r="AF126" s="94">
        <f t="shared" si="10"/>
        <v>40724</v>
      </c>
      <c r="AG126" s="185">
        <f t="shared" si="11"/>
        <v>9.0805771339796948E-5</v>
      </c>
      <c r="AH126" s="339" t="str">
        <f>VLOOKUP(B126,'MF PF'!A:B,2)</f>
        <v>FdMgt1</v>
      </c>
      <c r="AI126" s="358">
        <f t="shared" si="12"/>
        <v>0</v>
      </c>
      <c r="AJ126" s="94">
        <f t="shared" si="13"/>
        <v>40724</v>
      </c>
    </row>
    <row r="127" spans="1:36" ht="12.75" customHeight="1">
      <c r="A127" s="8">
        <v>40753</v>
      </c>
      <c r="B127" s="8" t="s">
        <v>0</v>
      </c>
      <c r="C127" s="92" t="s">
        <v>297</v>
      </c>
      <c r="D127" s="47">
        <v>487597309.0112915</v>
      </c>
      <c r="E127" s="9">
        <f t="shared" si="7"/>
        <v>2289.8463999999999</v>
      </c>
      <c r="F127" s="47"/>
      <c r="G127" s="47">
        <v>0</v>
      </c>
      <c r="H127" s="47">
        <v>-15145143.010964513</v>
      </c>
      <c r="I127" s="47">
        <v>0</v>
      </c>
      <c r="J127" s="98"/>
      <c r="K127" s="98">
        <v>212938.87179999999</v>
      </c>
      <c r="L127" s="93">
        <f t="shared" si="8"/>
        <v>-15145143.010964513</v>
      </c>
      <c r="M127" s="95">
        <f t="shared" ca="1" si="9"/>
        <v>0</v>
      </c>
      <c r="N127" s="95">
        <f ca="1">IF(P127="Hedge Fund",IF(A127=Summary!$AD$3,M127-E127,M127),IF(A127=Summary!$AD$3,L127-D127,L127))</f>
        <v>0</v>
      </c>
      <c r="P127" s="89" t="s">
        <v>139</v>
      </c>
      <c r="Q127" s="89">
        <v>0</v>
      </c>
      <c r="R127" s="89">
        <v>0</v>
      </c>
      <c r="S127" s="89">
        <v>0</v>
      </c>
      <c r="T127" s="89">
        <v>0</v>
      </c>
      <c r="U127" s="89"/>
      <c r="V127" s="89"/>
      <c r="W127" s="89"/>
      <c r="X127" s="89"/>
      <c r="Y127" s="89"/>
      <c r="Z127" s="89"/>
      <c r="AA127" s="89"/>
      <c r="AB127" s="89"/>
      <c r="AC127" s="355"/>
      <c r="AD127" s="355"/>
      <c r="AE127" s="355"/>
      <c r="AF127" s="94">
        <f t="shared" si="10"/>
        <v>40753</v>
      </c>
      <c r="AG127" s="185">
        <f t="shared" si="11"/>
        <v>1.6686498563223351E-2</v>
      </c>
      <c r="AH127" s="339" t="str">
        <f>VLOOKUP(B127,'MF PF'!A:B,2)</f>
        <v>FdMgt1</v>
      </c>
      <c r="AI127" s="358">
        <f t="shared" si="12"/>
        <v>0</v>
      </c>
      <c r="AJ127" s="94">
        <f t="shared" si="13"/>
        <v>40755</v>
      </c>
    </row>
    <row r="128" spans="1:36" ht="12.75" customHeight="1">
      <c r="A128" s="8">
        <v>40786</v>
      </c>
      <c r="B128" s="94" t="s">
        <v>0</v>
      </c>
      <c r="C128" s="92" t="s">
        <v>297</v>
      </c>
      <c r="D128" s="98">
        <v>462417258.86628366</v>
      </c>
      <c r="E128" s="9">
        <f t="shared" si="7"/>
        <v>2179.3768</v>
      </c>
      <c r="F128" s="98"/>
      <c r="G128" s="98">
        <v>0</v>
      </c>
      <c r="H128" s="98">
        <v>-1656778.1528105736</v>
      </c>
      <c r="I128" s="98">
        <v>0</v>
      </c>
      <c r="J128" s="98"/>
      <c r="K128" s="98">
        <v>212178.66450000004</v>
      </c>
      <c r="L128" s="93">
        <f t="shared" si="8"/>
        <v>-1656778.1528105736</v>
      </c>
      <c r="M128" s="95">
        <f t="shared" ca="1" si="9"/>
        <v>0</v>
      </c>
      <c r="N128" s="95">
        <f ca="1">IF(P128="Hedge Fund",IF(A128=Summary!$AD$3,M128-E128,M128),IF(A128=Summary!$AD$3,L128-D128,L128))</f>
        <v>0</v>
      </c>
      <c r="P128" s="89" t="s">
        <v>139</v>
      </c>
      <c r="Q128" s="107">
        <v>0</v>
      </c>
      <c r="R128" s="107">
        <v>0</v>
      </c>
      <c r="S128" s="107">
        <v>0</v>
      </c>
      <c r="T128" s="107">
        <v>0</v>
      </c>
      <c r="U128" s="107"/>
      <c r="V128" s="107"/>
      <c r="W128" s="107"/>
      <c r="X128" s="107"/>
      <c r="Y128" s="107"/>
      <c r="Z128" s="107"/>
      <c r="AA128" s="107"/>
      <c r="AB128" s="107"/>
      <c r="AC128" s="355"/>
      <c r="AD128" s="355"/>
      <c r="AE128" s="355"/>
      <c r="AF128" s="94">
        <f t="shared" si="10"/>
        <v>40786</v>
      </c>
      <c r="AG128" s="185">
        <f t="shared" si="11"/>
        <v>-4.8243235878179469E-2</v>
      </c>
      <c r="AH128" s="339" t="str">
        <f>VLOOKUP(B128,'MF PF'!A:B,2)</f>
        <v>FdMgt1</v>
      </c>
      <c r="AI128" s="358">
        <f t="shared" si="12"/>
        <v>0</v>
      </c>
      <c r="AJ128" s="94">
        <f t="shared" si="13"/>
        <v>40786</v>
      </c>
    </row>
    <row r="129" spans="1:36" ht="12.75" customHeight="1">
      <c r="A129" s="94">
        <v>40816</v>
      </c>
      <c r="B129" s="8" t="s">
        <v>0</v>
      </c>
      <c r="C129" s="358" t="s">
        <v>297</v>
      </c>
      <c r="D129" s="47">
        <v>480594466.19034344</v>
      </c>
      <c r="E129" s="9">
        <f t="shared" si="7"/>
        <v>2193.4211</v>
      </c>
      <c r="F129" s="47"/>
      <c r="G129" s="47">
        <v>15197306.506222367</v>
      </c>
      <c r="H129" s="47">
        <v>0</v>
      </c>
      <c r="I129" s="47">
        <v>0</v>
      </c>
      <c r="J129" s="98"/>
      <c r="K129" s="98">
        <v>219107.25040000002</v>
      </c>
      <c r="L129" s="93">
        <f t="shared" si="8"/>
        <v>15197306.506222367</v>
      </c>
      <c r="M129" s="95">
        <f t="shared" ca="1" si="9"/>
        <v>0</v>
      </c>
      <c r="N129" s="95">
        <f ca="1">IF(P129="Hedge Fund",IF(A129=Summary!$AD$3,M129-E129,M129),IF(A129=Summary!$AD$3,L129-D129,L129))</f>
        <v>0</v>
      </c>
      <c r="P129" s="89" t="s">
        <v>139</v>
      </c>
      <c r="Q129" s="89">
        <v>0</v>
      </c>
      <c r="R129" s="89">
        <v>0</v>
      </c>
      <c r="S129" s="89">
        <v>0</v>
      </c>
      <c r="T129" s="89">
        <v>0</v>
      </c>
      <c r="U129" s="89"/>
      <c r="V129" s="89"/>
      <c r="W129" s="89"/>
      <c r="X129" s="89"/>
      <c r="Y129" s="89"/>
      <c r="Z129" s="89"/>
      <c r="AA129" s="89"/>
      <c r="AB129" s="89"/>
      <c r="AC129" s="355"/>
      <c r="AD129" s="355"/>
      <c r="AE129" s="355"/>
      <c r="AF129" s="94">
        <f t="shared" si="10"/>
        <v>40816</v>
      </c>
      <c r="AG129" s="185">
        <f t="shared" si="11"/>
        <v>6.4441816578024724E-3</v>
      </c>
      <c r="AH129" s="339" t="str">
        <f>VLOOKUP(B129,'MF PF'!A:B,2)</f>
        <v>FdMgt1</v>
      </c>
      <c r="AI129" s="358">
        <f t="shared" si="12"/>
        <v>0</v>
      </c>
      <c r="AJ129" s="94">
        <f t="shared" si="13"/>
        <v>40816</v>
      </c>
    </row>
    <row r="130" spans="1:36" ht="12.75" customHeight="1">
      <c r="A130" s="94">
        <v>40847</v>
      </c>
      <c r="B130" s="8" t="s">
        <v>0</v>
      </c>
      <c r="C130" s="358" t="s">
        <v>297</v>
      </c>
      <c r="D130" s="98">
        <v>462880101.72788733</v>
      </c>
      <c r="E130" s="9">
        <f t="shared" si="7"/>
        <v>2139.3407999999999</v>
      </c>
      <c r="F130" s="47"/>
      <c r="G130" s="47">
        <v>0</v>
      </c>
      <c r="H130" s="47">
        <v>-5864978.6286489964</v>
      </c>
      <c r="I130" s="47">
        <v>0</v>
      </c>
      <c r="J130" s="98"/>
      <c r="K130" s="98">
        <v>216365.7617</v>
      </c>
      <c r="L130" s="93">
        <f t="shared" si="8"/>
        <v>-5864978.6286489964</v>
      </c>
      <c r="M130" s="95">
        <f t="shared" ca="1" si="9"/>
        <v>0</v>
      </c>
      <c r="N130" s="95">
        <f ca="1">IF(P130="Hedge Fund",IF(A130=Summary!$AD$3,M130-E130,M130),IF(A130=Summary!$AD$3,L130-D130,L130))</f>
        <v>0</v>
      </c>
      <c r="P130" s="89" t="s">
        <v>139</v>
      </c>
      <c r="Q130" s="107">
        <v>0</v>
      </c>
      <c r="R130" s="107">
        <v>0</v>
      </c>
      <c r="S130" s="89">
        <v>0</v>
      </c>
      <c r="T130" s="89">
        <v>0</v>
      </c>
      <c r="U130" s="89"/>
      <c r="V130" s="107"/>
      <c r="W130" s="89"/>
      <c r="X130" s="107"/>
      <c r="Y130" s="89"/>
      <c r="Z130" s="89"/>
      <c r="AA130" s="89"/>
      <c r="AB130" s="89"/>
      <c r="AC130" s="355"/>
      <c r="AD130" s="355"/>
      <c r="AE130" s="355"/>
      <c r="AF130" s="94">
        <f t="shared" si="10"/>
        <v>40847</v>
      </c>
      <c r="AG130" s="185">
        <f t="shared" si="11"/>
        <v>-2.4655685130411054E-2</v>
      </c>
      <c r="AH130" s="339" t="str">
        <f>VLOOKUP(B130,'MF PF'!A:B,2)</f>
        <v>FdMgt1</v>
      </c>
      <c r="AI130" s="358">
        <f t="shared" si="12"/>
        <v>0</v>
      </c>
      <c r="AJ130" s="94">
        <f t="shared" si="13"/>
        <v>40847</v>
      </c>
    </row>
    <row r="131" spans="1:36" ht="12.75" customHeight="1">
      <c r="A131" s="8">
        <v>40877</v>
      </c>
      <c r="B131" s="94" t="s">
        <v>0</v>
      </c>
      <c r="C131" s="358" t="s">
        <v>297</v>
      </c>
      <c r="D131" s="98">
        <v>459860079.32083493</v>
      </c>
      <c r="E131" s="9">
        <f t="shared" ref="E131:E194" si="14">IF(K131="","",D131/K131)</f>
        <v>2120.8011000000001</v>
      </c>
      <c r="F131" s="47"/>
      <c r="G131" s="47">
        <v>991333.90513700247</v>
      </c>
      <c r="H131" s="47">
        <v>0</v>
      </c>
      <c r="I131" s="47">
        <v>0</v>
      </c>
      <c r="J131" s="98"/>
      <c r="K131" s="98">
        <v>216833.1954</v>
      </c>
      <c r="L131" s="93">
        <f t="shared" ref="L131:L194" si="15">G131+H131+I131</f>
        <v>991333.90513700247</v>
      </c>
      <c r="M131" s="95">
        <f t="shared" ref="M131:M194" ca="1" si="16">IF(A131&gt;INDIRECT("A"&amp;ROW()-1),I131/K131,E131)</f>
        <v>0</v>
      </c>
      <c r="N131" s="95">
        <f ca="1">IF(P131="Hedge Fund",IF(A131=Summary!$AD$3,M131-E131,M131),IF(A131=Summary!$AD$3,L131-D131,L131))</f>
        <v>0</v>
      </c>
      <c r="P131" s="89" t="s">
        <v>139</v>
      </c>
      <c r="Q131" s="89">
        <v>0</v>
      </c>
      <c r="R131" s="107">
        <v>0</v>
      </c>
      <c r="S131" s="89">
        <v>0</v>
      </c>
      <c r="T131" s="89">
        <v>0</v>
      </c>
      <c r="U131" s="89"/>
      <c r="V131" s="89"/>
      <c r="W131" s="89"/>
      <c r="X131" s="89"/>
      <c r="Y131" s="89"/>
      <c r="Z131" s="89"/>
      <c r="AA131" s="89"/>
      <c r="AB131" s="89"/>
      <c r="AC131" s="355"/>
      <c r="AD131" s="355"/>
      <c r="AE131" s="355"/>
      <c r="AF131" s="94">
        <f t="shared" ref="AF131:AF194" si="17">A131</f>
        <v>40877</v>
      </c>
      <c r="AG131" s="185">
        <f t="shared" ref="AG131:AG194" si="18">IF(C131&lt;&gt;C130,D131/G131-1,(D131-G131-I131-H131)/(D130)-1)</f>
        <v>-8.6660806917717714E-3</v>
      </c>
      <c r="AH131" s="339" t="str">
        <f>VLOOKUP(B131,'MF PF'!A:B,2)</f>
        <v>FdMgt1</v>
      </c>
      <c r="AI131" s="358">
        <f t="shared" ref="AI131:AI194" si="19">AF131-A131</f>
        <v>0</v>
      </c>
      <c r="AJ131" s="94">
        <f t="shared" ref="AJ131:AJ194" si="20">EOMONTH(A131,0)</f>
        <v>40877</v>
      </c>
    </row>
    <row r="132" spans="1:36" ht="12.75" customHeight="1">
      <c r="A132" s="8">
        <v>40907</v>
      </c>
      <c r="B132" s="8" t="s">
        <v>0</v>
      </c>
      <c r="C132" s="92" t="s">
        <v>297</v>
      </c>
      <c r="D132" s="47">
        <v>469485998.73086625</v>
      </c>
      <c r="E132" s="9">
        <f t="shared" si="14"/>
        <v>2165.1943000000001</v>
      </c>
      <c r="F132" s="47"/>
      <c r="G132" s="47">
        <v>0</v>
      </c>
      <c r="H132" s="47">
        <v>0</v>
      </c>
      <c r="I132" s="47">
        <v>0</v>
      </c>
      <c r="J132" s="98"/>
      <c r="K132" s="98">
        <v>216833.19540000003</v>
      </c>
      <c r="L132" s="93">
        <f t="shared" si="15"/>
        <v>0</v>
      </c>
      <c r="M132" s="95">
        <f t="shared" ca="1" si="16"/>
        <v>0</v>
      </c>
      <c r="N132" s="95">
        <f ca="1">IF(P132="Hedge Fund",IF(A132=Summary!$AD$3,M132-E132,M132),IF(A132=Summary!$AD$3,L132-D132,L132))</f>
        <v>0</v>
      </c>
      <c r="P132" s="89" t="s">
        <v>139</v>
      </c>
      <c r="Q132" s="89">
        <v>0</v>
      </c>
      <c r="R132" s="89">
        <v>0</v>
      </c>
      <c r="S132" s="89">
        <v>0</v>
      </c>
      <c r="T132" s="89">
        <v>0</v>
      </c>
      <c r="U132" s="89"/>
      <c r="V132" s="89"/>
      <c r="W132" s="89"/>
      <c r="X132" s="89"/>
      <c r="Y132" s="89"/>
      <c r="Z132" s="89"/>
      <c r="AA132" s="89"/>
      <c r="AB132" s="89"/>
      <c r="AC132" s="355"/>
      <c r="AD132" s="355"/>
      <c r="AE132" s="355"/>
      <c r="AF132" s="94">
        <f t="shared" si="17"/>
        <v>40907</v>
      </c>
      <c r="AG132" s="185">
        <f t="shared" si="18"/>
        <v>2.0932278845008145E-2</v>
      </c>
      <c r="AH132" s="339" t="str">
        <f>VLOOKUP(B132,'MF PF'!A:B,2)</f>
        <v>FdMgt1</v>
      </c>
      <c r="AI132" s="358">
        <f t="shared" si="19"/>
        <v>0</v>
      </c>
      <c r="AJ132" s="94">
        <f t="shared" si="20"/>
        <v>40908</v>
      </c>
    </row>
    <row r="133" spans="1:36" ht="12.75" customHeight="1">
      <c r="A133" s="8">
        <v>40939</v>
      </c>
      <c r="B133" s="8" t="s">
        <v>0</v>
      </c>
      <c r="C133" s="92" t="s">
        <v>297</v>
      </c>
      <c r="D133" s="47">
        <v>465072443.76236367</v>
      </c>
      <c r="E133" s="9">
        <f t="shared" si="14"/>
        <v>2234.8852999999999</v>
      </c>
      <c r="F133" s="47"/>
      <c r="G133" s="47">
        <v>0</v>
      </c>
      <c r="H133" s="47">
        <v>-19524877.189123988</v>
      </c>
      <c r="I133" s="47">
        <v>0</v>
      </c>
      <c r="J133" s="98"/>
      <c r="K133" s="98">
        <v>208096.78409999999</v>
      </c>
      <c r="L133" s="93">
        <f t="shared" si="15"/>
        <v>-19524877.189123988</v>
      </c>
      <c r="M133" s="95">
        <f t="shared" ca="1" si="16"/>
        <v>0</v>
      </c>
      <c r="N133" s="95">
        <f ca="1">IF(P133="Hedge Fund",IF(A133=Summary!$AD$3,M133-E133,M133),IF(A133=Summary!$AD$3,L133-D133,L133))</f>
        <v>0</v>
      </c>
      <c r="P133" s="89" t="s">
        <v>139</v>
      </c>
      <c r="Q133" s="89">
        <v>0</v>
      </c>
      <c r="R133" s="89">
        <v>0</v>
      </c>
      <c r="S133" s="89">
        <v>0.13628189915686975</v>
      </c>
      <c r="T133" s="89">
        <v>2.6138737031278323</v>
      </c>
      <c r="U133" s="89"/>
      <c r="V133" s="89"/>
      <c r="W133" s="89"/>
      <c r="X133" s="89"/>
      <c r="Y133" s="89"/>
      <c r="Z133" s="89"/>
      <c r="AA133" s="89"/>
      <c r="AB133" s="89"/>
      <c r="AC133" s="355"/>
      <c r="AD133" s="355"/>
      <c r="AE133" s="355"/>
      <c r="AF133" s="94">
        <f t="shared" si="17"/>
        <v>40939</v>
      </c>
      <c r="AG133" s="185">
        <f t="shared" si="18"/>
        <v>3.2186949688533639E-2</v>
      </c>
      <c r="AH133" s="339" t="str">
        <f>VLOOKUP(B133,'MF PF'!A:B,2)</f>
        <v>FdMgt1</v>
      </c>
      <c r="AI133" s="358">
        <f t="shared" si="19"/>
        <v>0</v>
      </c>
      <c r="AJ133" s="94">
        <f t="shared" si="20"/>
        <v>40939</v>
      </c>
    </row>
    <row r="134" spans="1:36" ht="12.75" customHeight="1">
      <c r="A134" s="94">
        <v>40968</v>
      </c>
      <c r="B134" s="8" t="s">
        <v>0</v>
      </c>
      <c r="C134" s="358" t="s">
        <v>297</v>
      </c>
      <c r="D134" s="47">
        <v>500712163.51099485</v>
      </c>
      <c r="E134" s="9">
        <f t="shared" si="14"/>
        <v>2275.0497</v>
      </c>
      <c r="F134" s="47"/>
      <c r="G134" s="47">
        <v>27281637.273325086</v>
      </c>
      <c r="H134" s="47">
        <v>0</v>
      </c>
      <c r="I134" s="47">
        <v>0</v>
      </c>
      <c r="J134" s="98"/>
      <c r="K134" s="98">
        <v>220088.45060000001</v>
      </c>
      <c r="L134" s="93">
        <f t="shared" si="15"/>
        <v>27281637.273325086</v>
      </c>
      <c r="M134" s="95">
        <f t="shared" ca="1" si="16"/>
        <v>0</v>
      </c>
      <c r="N134" s="95">
        <f ca="1">IF(P134="Hedge Fund",IF(A134=Summary!$AD$3,M134-E134,M134),IF(A134=Summary!$AD$3,L134-D134,L134))</f>
        <v>0</v>
      </c>
      <c r="P134" s="89" t="s">
        <v>139</v>
      </c>
      <c r="Q134" s="89">
        <v>0</v>
      </c>
      <c r="R134" s="89">
        <v>0</v>
      </c>
      <c r="S134" s="89">
        <v>0.12977234258469142</v>
      </c>
      <c r="T134" s="89">
        <v>2.9572753198474966</v>
      </c>
      <c r="U134" s="89"/>
      <c r="V134" s="89"/>
      <c r="W134" s="89"/>
      <c r="X134" s="89"/>
      <c r="Y134" s="89"/>
      <c r="Z134" s="89"/>
      <c r="AA134" s="89"/>
      <c r="AB134" s="89"/>
      <c r="AC134" s="355"/>
      <c r="AD134" s="355"/>
      <c r="AE134" s="355"/>
      <c r="AF134" s="94">
        <f t="shared" si="17"/>
        <v>40968</v>
      </c>
      <c r="AG134" s="185">
        <f t="shared" si="18"/>
        <v>1.7971571068994052E-2</v>
      </c>
      <c r="AH134" s="339" t="str">
        <f>VLOOKUP(B134,'MF PF'!A:B,2)</f>
        <v>FdMgt1</v>
      </c>
      <c r="AI134" s="358">
        <f t="shared" si="19"/>
        <v>0</v>
      </c>
      <c r="AJ134" s="94">
        <f t="shared" si="20"/>
        <v>40968</v>
      </c>
    </row>
    <row r="135" spans="1:36" ht="12.75" customHeight="1">
      <c r="A135" s="8">
        <v>40998</v>
      </c>
      <c r="B135" s="94" t="s">
        <v>0</v>
      </c>
      <c r="C135" s="92" t="s">
        <v>297</v>
      </c>
      <c r="D135" s="98">
        <v>503927581.342408</v>
      </c>
      <c r="E135" s="9">
        <f t="shared" si="14"/>
        <v>2287.8317000000002</v>
      </c>
      <c r="F135" s="98"/>
      <c r="G135" s="98">
        <v>402247.2558439374</v>
      </c>
      <c r="H135" s="98">
        <v>0</v>
      </c>
      <c r="I135" s="98">
        <v>0</v>
      </c>
      <c r="J135" s="98"/>
      <c r="K135" s="98">
        <v>220264.27090000021</v>
      </c>
      <c r="L135" s="93">
        <f t="shared" si="15"/>
        <v>402247.2558439374</v>
      </c>
      <c r="M135" s="95">
        <f t="shared" ca="1" si="16"/>
        <v>0</v>
      </c>
      <c r="N135" s="95">
        <f ca="1">IF(P135="Hedge Fund",IF(A135=Summary!$AD$3,M135-E135,M135),IF(A135=Summary!$AD$3,L135-D135,L135))</f>
        <v>0</v>
      </c>
      <c r="P135" s="89" t="s">
        <v>139</v>
      </c>
      <c r="Q135" s="107">
        <v>0</v>
      </c>
      <c r="R135" s="107">
        <v>0</v>
      </c>
      <c r="S135" s="107">
        <v>0.13539106294725917</v>
      </c>
      <c r="T135" s="107">
        <v>3.0795417008306547</v>
      </c>
      <c r="U135" s="107"/>
      <c r="V135" s="107"/>
      <c r="W135" s="107"/>
      <c r="X135" s="107"/>
      <c r="Y135" s="107"/>
      <c r="Z135" s="107"/>
      <c r="AA135" s="107"/>
      <c r="AB135" s="107"/>
      <c r="AC135" s="355"/>
      <c r="AD135" s="355"/>
      <c r="AE135" s="355"/>
      <c r="AF135" s="94">
        <f t="shared" si="17"/>
        <v>40998</v>
      </c>
      <c r="AG135" s="185">
        <f t="shared" si="18"/>
        <v>5.6183387993677947E-3</v>
      </c>
      <c r="AH135" s="339" t="str">
        <f>VLOOKUP(B135,'MF PF'!A:B,2)</f>
        <v>FdMgt1</v>
      </c>
      <c r="AI135" s="358">
        <f t="shared" si="19"/>
        <v>0</v>
      </c>
      <c r="AJ135" s="94">
        <f t="shared" si="20"/>
        <v>40999</v>
      </c>
    </row>
    <row r="136" spans="1:36" ht="12.75" customHeight="1">
      <c r="A136" s="8">
        <v>41029</v>
      </c>
      <c r="B136" s="8" t="s">
        <v>0</v>
      </c>
      <c r="C136" s="92" t="s">
        <v>297</v>
      </c>
      <c r="D136" s="47">
        <v>499555681.40999997</v>
      </c>
      <c r="E136" s="9">
        <f t="shared" si="14"/>
        <v>2353.3773000000001</v>
      </c>
      <c r="F136" s="47"/>
      <c r="G136" s="47">
        <v>0</v>
      </c>
      <c r="H136" s="47">
        <v>-18809253.727111101</v>
      </c>
      <c r="I136" s="47">
        <v>0</v>
      </c>
      <c r="J136" s="98"/>
      <c r="K136" s="98">
        <v>212271.81948682855</v>
      </c>
      <c r="L136" s="93">
        <f t="shared" si="15"/>
        <v>-18809253.727111101</v>
      </c>
      <c r="M136" s="95">
        <f t="shared" ca="1" si="16"/>
        <v>0</v>
      </c>
      <c r="N136" s="95">
        <f ca="1">IF(P136="Hedge Fund",IF(A136=Summary!$AD$3,M136-E136,M136),IF(A136=Summary!$AD$3,L136-D136,L136))</f>
        <v>0</v>
      </c>
      <c r="P136" s="89" t="s">
        <v>139</v>
      </c>
      <c r="Q136" s="89">
        <v>0</v>
      </c>
      <c r="R136" s="89">
        <v>0</v>
      </c>
      <c r="S136" s="89">
        <v>0.14192737503898437</v>
      </c>
      <c r="T136" s="89">
        <v>3.5738000305829618</v>
      </c>
      <c r="U136" s="89"/>
      <c r="V136" s="89"/>
      <c r="W136" s="89"/>
      <c r="X136" s="89"/>
      <c r="Y136" s="89"/>
      <c r="Z136" s="89"/>
      <c r="AA136" s="89"/>
      <c r="AB136" s="89"/>
      <c r="AC136" s="355"/>
      <c r="AD136" s="355"/>
      <c r="AE136" s="355"/>
      <c r="AF136" s="94">
        <f t="shared" si="17"/>
        <v>41029</v>
      </c>
      <c r="AG136" s="185">
        <f t="shared" si="18"/>
        <v>2.8649659850416453E-2</v>
      </c>
      <c r="AH136" s="339" t="str">
        <f>VLOOKUP(B136,'MF PF'!A:B,2)</f>
        <v>FdMgt1</v>
      </c>
      <c r="AI136" s="358">
        <f t="shared" si="19"/>
        <v>0</v>
      </c>
      <c r="AJ136" s="94">
        <f t="shared" si="20"/>
        <v>41029</v>
      </c>
    </row>
    <row r="137" spans="1:36" ht="12.75" customHeight="1">
      <c r="A137" s="8">
        <v>41060</v>
      </c>
      <c r="B137" s="94" t="s">
        <v>0</v>
      </c>
      <c r="C137" s="92" t="s">
        <v>297</v>
      </c>
      <c r="D137" s="98">
        <v>517268733.92861003</v>
      </c>
      <c r="E137" s="9">
        <f t="shared" si="14"/>
        <v>2343.3036000000002</v>
      </c>
      <c r="F137" s="98"/>
      <c r="G137" s="98">
        <v>19851415.146574497</v>
      </c>
      <c r="H137" s="98">
        <v>0</v>
      </c>
      <c r="I137" s="98">
        <v>0</v>
      </c>
      <c r="J137" s="98"/>
      <c r="K137" s="98">
        <v>220743.37014145753</v>
      </c>
      <c r="L137" s="93">
        <f t="shared" si="15"/>
        <v>19851415.146574497</v>
      </c>
      <c r="M137" s="95">
        <f t="shared" ca="1" si="16"/>
        <v>0</v>
      </c>
      <c r="N137" s="95">
        <f ca="1">IF(P137="Hedge Fund",IF(A137=Summary!$AD$3,M137-E137,M137),IF(A137=Summary!$AD$3,L137-D137,L137))</f>
        <v>0</v>
      </c>
      <c r="P137" s="89" t="s">
        <v>139</v>
      </c>
      <c r="Q137" s="107">
        <v>0</v>
      </c>
      <c r="R137" s="107">
        <v>0</v>
      </c>
      <c r="S137" s="107">
        <v>0.1425170558664097</v>
      </c>
      <c r="T137" s="107">
        <v>3.4844562344206684</v>
      </c>
      <c r="U137" s="107"/>
      <c r="V137" s="107"/>
      <c r="W137" s="107"/>
      <c r="X137" s="107"/>
      <c r="Y137" s="107"/>
      <c r="Z137" s="107"/>
      <c r="AA137" s="107"/>
      <c r="AB137" s="107"/>
      <c r="AC137" s="355"/>
      <c r="AD137" s="355"/>
      <c r="AE137" s="355"/>
      <c r="AF137" s="94">
        <f t="shared" si="17"/>
        <v>41060</v>
      </c>
      <c r="AG137" s="185">
        <f t="shared" si="18"/>
        <v>-4.2805290932311779E-3</v>
      </c>
      <c r="AH137" s="339" t="str">
        <f>VLOOKUP(B137,'MF PF'!A:B,2)</f>
        <v>FdMgt1</v>
      </c>
      <c r="AI137" s="358">
        <f t="shared" si="19"/>
        <v>0</v>
      </c>
      <c r="AJ137" s="94">
        <f t="shared" si="20"/>
        <v>41060</v>
      </c>
    </row>
    <row r="138" spans="1:36" ht="12.75" customHeight="1">
      <c r="A138" s="94">
        <v>41089</v>
      </c>
      <c r="B138" s="8" t="s">
        <v>0</v>
      </c>
      <c r="C138" s="358" t="s">
        <v>297</v>
      </c>
      <c r="D138" s="47">
        <v>561900298.21897602</v>
      </c>
      <c r="E138" s="9">
        <f t="shared" si="14"/>
        <v>2312.2212000000004</v>
      </c>
      <c r="F138" s="47"/>
      <c r="G138" s="47">
        <v>51492798.018450797</v>
      </c>
      <c r="H138" s="47">
        <v>0</v>
      </c>
      <c r="I138" s="47">
        <v>0</v>
      </c>
      <c r="J138" s="98"/>
      <c r="K138" s="98">
        <v>243013.21094148603</v>
      </c>
      <c r="L138" s="93">
        <f t="shared" si="15"/>
        <v>51492798.018450797</v>
      </c>
      <c r="M138" s="95">
        <f t="shared" ca="1" si="16"/>
        <v>0</v>
      </c>
      <c r="N138" s="95">
        <f ca="1">IF(P138="Hedge Fund",IF(A138=Summary!$AD$3,M138-E138,M138),IF(A138=Summary!$AD$3,L138-D138,L138))</f>
        <v>0</v>
      </c>
      <c r="P138" s="89" t="s">
        <v>139</v>
      </c>
      <c r="Q138" s="89">
        <v>0</v>
      </c>
      <c r="R138" s="89">
        <v>0</v>
      </c>
      <c r="S138" s="89">
        <v>0.15349152222868309</v>
      </c>
      <c r="T138" s="89">
        <v>3.2716804980254421</v>
      </c>
      <c r="U138" s="89"/>
      <c r="V138" s="89"/>
      <c r="W138" s="89"/>
      <c r="X138" s="89"/>
      <c r="Y138" s="89"/>
      <c r="Z138" s="89"/>
      <c r="AA138" s="89"/>
      <c r="AB138" s="89"/>
      <c r="AC138" s="355"/>
      <c r="AD138" s="355"/>
      <c r="AE138" s="355"/>
      <c r="AF138" s="94">
        <f t="shared" si="17"/>
        <v>41089</v>
      </c>
      <c r="AG138" s="185">
        <f t="shared" si="18"/>
        <v>-1.3264350381230972E-2</v>
      </c>
      <c r="AH138" s="339" t="str">
        <f>VLOOKUP(B138,'MF PF'!A:B,2)</f>
        <v>FdMgt1</v>
      </c>
      <c r="AI138" s="358">
        <f t="shared" si="19"/>
        <v>0</v>
      </c>
      <c r="AJ138" s="94">
        <f t="shared" si="20"/>
        <v>41090</v>
      </c>
    </row>
    <row r="139" spans="1:36" ht="12.75" customHeight="1">
      <c r="A139" s="94">
        <v>41121</v>
      </c>
      <c r="B139" s="8" t="s">
        <v>0</v>
      </c>
      <c r="C139" s="358" t="s">
        <v>297</v>
      </c>
      <c r="D139" s="47">
        <v>543766689.38784707</v>
      </c>
      <c r="E139" s="9">
        <f t="shared" si="14"/>
        <v>2315.4141000000004</v>
      </c>
      <c r="F139" s="47"/>
      <c r="G139" s="47">
        <v>0</v>
      </c>
      <c r="H139" s="47">
        <v>-18909525.71234405</v>
      </c>
      <c r="I139" s="47">
        <v>0</v>
      </c>
      <c r="J139" s="98"/>
      <c r="K139" s="98">
        <v>234846.41014661136</v>
      </c>
      <c r="L139" s="93">
        <f t="shared" si="15"/>
        <v>-18909525.71234405</v>
      </c>
      <c r="M139" s="95">
        <f t="shared" ca="1" si="16"/>
        <v>0</v>
      </c>
      <c r="N139" s="95">
        <f ca="1">IF(P139="Hedge Fund",IF(A139=Summary!$AD$3,M139-E139,M139),IF(A139=Summary!$AD$3,L139-D139,L139))</f>
        <v>0</v>
      </c>
      <c r="P139" s="89" t="s">
        <v>139</v>
      </c>
      <c r="Q139" s="89">
        <v>0</v>
      </c>
      <c r="R139" s="89">
        <v>0</v>
      </c>
      <c r="S139" s="89">
        <v>0.16941602927151156</v>
      </c>
      <c r="T139" s="89">
        <v>3.3651884082228638</v>
      </c>
      <c r="U139" s="89"/>
      <c r="V139" s="89"/>
      <c r="W139" s="89"/>
      <c r="X139" s="89"/>
      <c r="Y139" s="89"/>
      <c r="Z139" s="89"/>
      <c r="AA139" s="89"/>
      <c r="AB139" s="89"/>
      <c r="AC139" s="355"/>
      <c r="AD139" s="355"/>
      <c r="AE139" s="355"/>
      <c r="AF139" s="94">
        <f t="shared" si="17"/>
        <v>41121</v>
      </c>
      <c r="AG139" s="185">
        <f t="shared" si="18"/>
        <v>1.380879995391382E-3</v>
      </c>
      <c r="AH139" s="339" t="str">
        <f>VLOOKUP(B139,'MF PF'!A:B,2)</f>
        <v>FdMgt1</v>
      </c>
      <c r="AI139" s="358">
        <f t="shared" si="19"/>
        <v>0</v>
      </c>
      <c r="AJ139" s="94">
        <f t="shared" si="20"/>
        <v>41121</v>
      </c>
    </row>
    <row r="140" spans="1:36" ht="12.75" customHeight="1">
      <c r="A140" s="94">
        <v>41152</v>
      </c>
      <c r="B140" s="8" t="s">
        <v>0</v>
      </c>
      <c r="C140" s="358" t="s">
        <v>297</v>
      </c>
      <c r="D140" s="47">
        <v>555879294.26315308</v>
      </c>
      <c r="E140" s="9">
        <f t="shared" si="14"/>
        <v>2366.9908</v>
      </c>
      <c r="F140" s="47"/>
      <c r="G140" s="47">
        <v>2.0330972671508789</v>
      </c>
      <c r="H140" s="47">
        <v>0</v>
      </c>
      <c r="I140" s="47">
        <v>0</v>
      </c>
      <c r="J140" s="98"/>
      <c r="K140" s="98">
        <v>234846.41100554893</v>
      </c>
      <c r="L140" s="93">
        <f t="shared" si="15"/>
        <v>2.0330972671508789</v>
      </c>
      <c r="M140" s="95">
        <f t="shared" ca="1" si="16"/>
        <v>0</v>
      </c>
      <c r="N140" s="95">
        <f ca="1">IF(P140="Hedge Fund",IF(A140=Summary!$AD$3,M140-E140,M140),IF(A140=Summary!$AD$3,L140-D140,L140))</f>
        <v>0</v>
      </c>
      <c r="P140" s="89" t="s">
        <v>139</v>
      </c>
      <c r="Q140" s="89">
        <v>0</v>
      </c>
      <c r="R140" s="89">
        <v>0</v>
      </c>
      <c r="S140" s="89">
        <v>0.1684496758974445</v>
      </c>
      <c r="T140" s="89">
        <v>3.7924198645614777</v>
      </c>
      <c r="U140" s="89"/>
      <c r="V140" s="89"/>
      <c r="W140" s="89"/>
      <c r="X140" s="89"/>
      <c r="Y140" s="89"/>
      <c r="Z140" s="89"/>
      <c r="AA140" s="89"/>
      <c r="AB140" s="89"/>
      <c r="AC140" s="355"/>
      <c r="AD140" s="355"/>
      <c r="AE140" s="355"/>
      <c r="AF140" s="94">
        <f t="shared" si="17"/>
        <v>41152</v>
      </c>
      <c r="AG140" s="185">
        <f t="shared" si="18"/>
        <v>2.2275367503376664E-2</v>
      </c>
      <c r="AH140" s="339" t="str">
        <f>VLOOKUP(B140,'MF PF'!A:B,2)</f>
        <v>FdMgt1</v>
      </c>
      <c r="AI140" s="358">
        <f t="shared" si="19"/>
        <v>0</v>
      </c>
      <c r="AJ140" s="94">
        <f t="shared" si="20"/>
        <v>41152</v>
      </c>
    </row>
    <row r="141" spans="1:36" ht="12.75" customHeight="1">
      <c r="A141" s="94">
        <v>41180</v>
      </c>
      <c r="B141" s="8" t="s">
        <v>0</v>
      </c>
      <c r="C141" s="358" t="s">
        <v>297</v>
      </c>
      <c r="D141" s="47">
        <v>576537387.77257502</v>
      </c>
      <c r="E141" s="9">
        <f t="shared" si="14"/>
        <v>2446.1541000000002</v>
      </c>
      <c r="F141" s="47"/>
      <c r="G141" s="47">
        <v>2066876.6210663319</v>
      </c>
      <c r="H141" s="47">
        <v>0</v>
      </c>
      <c r="I141" s="47">
        <v>0</v>
      </c>
      <c r="J141" s="98"/>
      <c r="K141" s="98">
        <v>235691.36047993664</v>
      </c>
      <c r="L141" s="93">
        <f t="shared" si="15"/>
        <v>2066876.6210663319</v>
      </c>
      <c r="M141" s="95">
        <f t="shared" ca="1" si="16"/>
        <v>0</v>
      </c>
      <c r="N141" s="95">
        <f ca="1">IF(P141="Hedge Fund",IF(A141=Summary!$AD$3,M141-E141,M141),IF(A141=Summary!$AD$3,L141-D141,L141))</f>
        <v>0</v>
      </c>
      <c r="P141" s="89" t="s">
        <v>139</v>
      </c>
      <c r="Q141" s="89">
        <v>0.69941867984112105</v>
      </c>
      <c r="R141" s="89">
        <v>32.209986639999997</v>
      </c>
      <c r="S141" s="89">
        <v>0.16198986988243222</v>
      </c>
      <c r="T141" s="89">
        <v>4.4140508027934224</v>
      </c>
      <c r="U141" s="89"/>
      <c r="V141" s="89"/>
      <c r="W141" s="89"/>
      <c r="X141" s="89"/>
      <c r="Y141" s="89"/>
      <c r="Z141" s="89"/>
      <c r="AA141" s="89"/>
      <c r="AB141" s="89"/>
      <c r="AC141" s="355"/>
      <c r="AD141" s="355"/>
      <c r="AE141" s="355"/>
      <c r="AF141" s="94">
        <f t="shared" si="17"/>
        <v>41180</v>
      </c>
      <c r="AG141" s="185">
        <f t="shared" si="18"/>
        <v>3.3444701179235814E-2</v>
      </c>
      <c r="AH141" s="339" t="str">
        <f>VLOOKUP(B141,'MF PF'!A:B,2)</f>
        <v>FdMgt1</v>
      </c>
      <c r="AI141" s="358">
        <f t="shared" si="19"/>
        <v>0</v>
      </c>
      <c r="AJ141" s="94">
        <f t="shared" si="20"/>
        <v>41182</v>
      </c>
    </row>
    <row r="142" spans="1:36" ht="12.75" customHeight="1">
      <c r="A142" s="8">
        <v>41213</v>
      </c>
      <c r="B142" s="94" t="s">
        <v>0</v>
      </c>
      <c r="C142" s="92" t="s">
        <v>297</v>
      </c>
      <c r="D142" s="98">
        <v>568394319.54851401</v>
      </c>
      <c r="E142" s="9">
        <f t="shared" si="14"/>
        <v>2430.212</v>
      </c>
      <c r="F142" s="98"/>
      <c r="G142" s="98">
        <v>0</v>
      </c>
      <c r="H142" s="98">
        <v>-4385652.9861537218</v>
      </c>
      <c r="I142" s="98">
        <v>0</v>
      </c>
      <c r="J142" s="98"/>
      <c r="K142" s="98">
        <v>233886.72245405504</v>
      </c>
      <c r="L142" s="93">
        <f t="shared" si="15"/>
        <v>-4385652.9861537218</v>
      </c>
      <c r="M142" s="95">
        <f t="shared" ca="1" si="16"/>
        <v>0</v>
      </c>
      <c r="N142" s="95">
        <f ca="1">IF(P142="Hedge Fund",IF(A142=Summary!$AD$3,M142-E142,M142),IF(A142=Summary!$AD$3,L142-D142,L142))</f>
        <v>0</v>
      </c>
      <c r="P142" s="89" t="s">
        <v>139</v>
      </c>
      <c r="Q142" s="107">
        <v>0.81253432439588902</v>
      </c>
      <c r="R142" s="107">
        <v>31.521932184387399</v>
      </c>
      <c r="S142" s="107">
        <v>0.18931355382078119</v>
      </c>
      <c r="T142" s="107">
        <v>4.3277235492371178</v>
      </c>
      <c r="U142" s="107"/>
      <c r="V142" s="107"/>
      <c r="W142" s="107"/>
      <c r="X142" s="107"/>
      <c r="Y142" s="107"/>
      <c r="Z142" s="107"/>
      <c r="AA142" s="107"/>
      <c r="AB142" s="107"/>
      <c r="AC142" s="355"/>
      <c r="AD142" s="355"/>
      <c r="AE142" s="355"/>
      <c r="AF142" s="94">
        <f t="shared" si="17"/>
        <v>41213</v>
      </c>
      <c r="AG142" s="185">
        <f t="shared" si="18"/>
        <v>-6.5172100155098667E-3</v>
      </c>
      <c r="AH142" s="339" t="str">
        <f>VLOOKUP(B142,'MF PF'!A:B,2)</f>
        <v>FdMgt1</v>
      </c>
      <c r="AI142" s="358">
        <f t="shared" si="19"/>
        <v>0</v>
      </c>
      <c r="AJ142" s="94">
        <f t="shared" si="20"/>
        <v>41213</v>
      </c>
    </row>
    <row r="143" spans="1:36" ht="12.75" customHeight="1">
      <c r="A143" s="8">
        <v>41243</v>
      </c>
      <c r="B143" s="94" t="s">
        <v>0</v>
      </c>
      <c r="C143" s="92" t="s">
        <v>297</v>
      </c>
      <c r="D143" s="98">
        <v>572222920.3565985</v>
      </c>
      <c r="E143" s="9">
        <f t="shared" si="14"/>
        <v>2406.3620999999998</v>
      </c>
      <c r="F143" s="98"/>
      <c r="G143" s="98">
        <v>9406775.7499414682</v>
      </c>
      <c r="H143" s="98">
        <v>0</v>
      </c>
      <c r="I143" s="98">
        <v>0</v>
      </c>
      <c r="J143" s="98"/>
      <c r="K143" s="98">
        <v>237795.8497420644</v>
      </c>
      <c r="L143" s="93">
        <f t="shared" si="15"/>
        <v>9406775.7499414682</v>
      </c>
      <c r="M143" s="95">
        <f t="shared" ca="1" si="16"/>
        <v>0</v>
      </c>
      <c r="N143" s="95">
        <f ca="1">IF(P143="Hedge Fund",IF(A143=Summary!$AD$3,M143-E143,M143),IF(A143=Summary!$AD$3,L143-D143,L143))</f>
        <v>0</v>
      </c>
      <c r="P143" s="89" t="s">
        <v>139</v>
      </c>
      <c r="Q143" s="107">
        <v>0.74169943263698102</v>
      </c>
      <c r="R143" s="107">
        <v>30.234805453042998</v>
      </c>
      <c r="S143" s="107">
        <v>0.17908132054136874</v>
      </c>
      <c r="T143" s="107">
        <v>4.1618716763579888</v>
      </c>
      <c r="U143" s="107"/>
      <c r="V143" s="107"/>
      <c r="W143" s="107"/>
      <c r="X143" s="107"/>
      <c r="Y143" s="107"/>
      <c r="Z143" s="107"/>
      <c r="AA143" s="107"/>
      <c r="AB143" s="107"/>
      <c r="AC143" s="355"/>
      <c r="AD143" s="355"/>
      <c r="AE143" s="355"/>
      <c r="AF143" s="94">
        <f t="shared" si="17"/>
        <v>41243</v>
      </c>
      <c r="AG143" s="185">
        <f t="shared" si="18"/>
        <v>-9.813917468928679E-3</v>
      </c>
      <c r="AH143" s="339" t="str">
        <f>VLOOKUP(B143,'MF PF'!A:B,2)</f>
        <v>FdMgt1</v>
      </c>
      <c r="AI143" s="358">
        <f t="shared" si="19"/>
        <v>0</v>
      </c>
      <c r="AJ143" s="94">
        <f t="shared" si="20"/>
        <v>41243</v>
      </c>
    </row>
    <row r="144" spans="1:36" ht="12.75" customHeight="1">
      <c r="A144" s="8">
        <v>41274</v>
      </c>
      <c r="B144" s="8" t="s">
        <v>0</v>
      </c>
      <c r="C144" s="92" t="s">
        <v>297</v>
      </c>
      <c r="D144" s="47">
        <v>579286023.37716031</v>
      </c>
      <c r="E144" s="9">
        <f t="shared" si="14"/>
        <v>2436.0645</v>
      </c>
      <c r="F144" s="47"/>
      <c r="G144" s="47">
        <v>0</v>
      </c>
      <c r="H144" s="47">
        <v>-4.4268169403076172</v>
      </c>
      <c r="I144" s="47">
        <v>0</v>
      </c>
      <c r="J144" s="98"/>
      <c r="K144" s="98">
        <v>237795.84792486418</v>
      </c>
      <c r="L144" s="93">
        <f t="shared" si="15"/>
        <v>-4.4268169403076172</v>
      </c>
      <c r="M144" s="95">
        <f t="shared" ca="1" si="16"/>
        <v>0</v>
      </c>
      <c r="N144" s="95">
        <f ca="1">IF(P144="Hedge Fund",IF(A144=Summary!$AD$3,M144-E144,M144),IF(A144=Summary!$AD$3,L144-D144,L144))</f>
        <v>0</v>
      </c>
      <c r="P144" s="89" t="s">
        <v>139</v>
      </c>
      <c r="Q144" s="89">
        <v>0.77775839091030341</v>
      </c>
      <c r="R144" s="89">
        <v>32.055488260000004</v>
      </c>
      <c r="S144" s="89">
        <v>0.18962388891577797</v>
      </c>
      <c r="T144" s="89">
        <v>4.4249729688920389</v>
      </c>
      <c r="U144" s="89"/>
      <c r="V144" s="89"/>
      <c r="W144" s="89"/>
      <c r="X144" s="89"/>
      <c r="Y144" s="89"/>
      <c r="Z144" s="89"/>
      <c r="AA144" s="89"/>
      <c r="AB144" s="89"/>
      <c r="AC144" s="355"/>
      <c r="AD144" s="355"/>
      <c r="AE144" s="355"/>
      <c r="AF144" s="94">
        <f t="shared" si="17"/>
        <v>41274</v>
      </c>
      <c r="AG144" s="185">
        <f t="shared" si="18"/>
        <v>1.234327950893177E-2</v>
      </c>
      <c r="AH144" s="339" t="str">
        <f>VLOOKUP(B144,'MF PF'!A:B,2)</f>
        <v>FdMgt1</v>
      </c>
      <c r="AI144" s="358">
        <f t="shared" si="19"/>
        <v>0</v>
      </c>
      <c r="AJ144" s="94">
        <f t="shared" si="20"/>
        <v>41274</v>
      </c>
    </row>
    <row r="145" spans="1:36" ht="12.75" customHeight="1">
      <c r="A145" s="8">
        <v>41305</v>
      </c>
      <c r="B145" s="8" t="s">
        <v>0</v>
      </c>
      <c r="C145" s="92" t="s">
        <v>297</v>
      </c>
      <c r="D145" s="47">
        <v>591693066.89228654</v>
      </c>
      <c r="E145" s="9">
        <f t="shared" si="14"/>
        <v>2464.3440000000001</v>
      </c>
      <c r="F145" s="47"/>
      <c r="G145" s="47">
        <v>5682295.8337349892</v>
      </c>
      <c r="H145" s="47">
        <v>0</v>
      </c>
      <c r="I145" s="47">
        <v>0</v>
      </c>
      <c r="J145" s="98"/>
      <c r="K145" s="98">
        <v>240101.65256647876</v>
      </c>
      <c r="L145" s="93">
        <f t="shared" si="15"/>
        <v>5682295.8337349892</v>
      </c>
      <c r="M145" s="95">
        <f t="shared" ca="1" si="16"/>
        <v>0</v>
      </c>
      <c r="N145" s="95">
        <f ca="1">IF(P145="Hedge Fund",IF(A145=Summary!$AD$3,M145-E145,M145),IF(A145=Summary!$AD$3,L145-D145,L145))</f>
        <v>0</v>
      </c>
      <c r="P145" s="89" t="s">
        <v>139</v>
      </c>
      <c r="Q145" s="89">
        <v>0.75699196771218757</v>
      </c>
      <c r="R145" s="89">
        <v>1.6974706399999999</v>
      </c>
      <c r="S145" s="89">
        <v>0.18345500000000001</v>
      </c>
      <c r="T145" s="89">
        <v>0.26187624651358571</v>
      </c>
      <c r="U145" s="89"/>
      <c r="V145" s="89"/>
      <c r="W145" s="89"/>
      <c r="X145" s="89"/>
      <c r="Y145" s="89"/>
      <c r="Z145" s="89"/>
      <c r="AA145" s="89"/>
      <c r="AB145" s="89"/>
      <c r="AC145" s="355"/>
      <c r="AD145" s="355"/>
      <c r="AE145" s="355"/>
      <c r="AF145" s="94">
        <f t="shared" si="17"/>
        <v>41305</v>
      </c>
      <c r="AG145" s="185">
        <f t="shared" si="18"/>
        <v>1.1608682775025025E-2</v>
      </c>
      <c r="AH145" s="339" t="str">
        <f>VLOOKUP(B145,'MF PF'!A:B,2)</f>
        <v>FdMgt1</v>
      </c>
      <c r="AI145" s="358">
        <f t="shared" si="19"/>
        <v>0</v>
      </c>
      <c r="AJ145" s="94">
        <f t="shared" si="20"/>
        <v>41305</v>
      </c>
    </row>
    <row r="146" spans="1:36" ht="12.75" customHeight="1">
      <c r="A146" s="8">
        <v>41333</v>
      </c>
      <c r="B146" s="94" t="s">
        <v>0</v>
      </c>
      <c r="C146" s="92" t="s">
        <v>297</v>
      </c>
      <c r="D146" s="98">
        <v>603289142.41616726</v>
      </c>
      <c r="E146" s="9">
        <f t="shared" si="14"/>
        <v>2512.6405</v>
      </c>
      <c r="F146" s="47"/>
      <c r="G146" s="47">
        <v>6.0607037544250488</v>
      </c>
      <c r="H146" s="98">
        <v>0</v>
      </c>
      <c r="I146" s="98">
        <v>0</v>
      </c>
      <c r="J146" s="98"/>
      <c r="K146" s="98">
        <v>240101.65497856427</v>
      </c>
      <c r="L146" s="93">
        <f t="shared" si="15"/>
        <v>6.0607037544250488</v>
      </c>
      <c r="M146" s="95">
        <f t="shared" ca="1" si="16"/>
        <v>0</v>
      </c>
      <c r="N146" s="95">
        <f ca="1">IF(P146="Hedge Fund",IF(A146=Summary!$AD$3,M146-E146,M146),IF(A146=Summary!$AD$3,L146-D146,L146))</f>
        <v>0</v>
      </c>
      <c r="P146" s="107" t="s">
        <v>139</v>
      </c>
      <c r="Q146" s="107">
        <v>0.70034444981618571</v>
      </c>
      <c r="R146" s="107">
        <v>4.59650596</v>
      </c>
      <c r="S146" s="107">
        <v>0.16972699999999999</v>
      </c>
      <c r="T146" s="107">
        <v>0.70912315036101337</v>
      </c>
      <c r="U146" s="107"/>
      <c r="V146" s="107"/>
      <c r="W146" s="107"/>
      <c r="X146" s="107"/>
      <c r="Y146" s="107"/>
      <c r="Z146" s="107"/>
      <c r="AA146" s="107"/>
      <c r="AB146" s="107"/>
      <c r="AC146" s="355"/>
      <c r="AD146" s="355"/>
      <c r="AE146" s="355"/>
      <c r="AF146" s="94">
        <f t="shared" si="17"/>
        <v>41333</v>
      </c>
      <c r="AG146" s="185">
        <f t="shared" si="18"/>
        <v>1.9598116172092839E-2</v>
      </c>
      <c r="AH146" s="339" t="str">
        <f>VLOOKUP(B146,'MF PF'!A:B,2)</f>
        <v>FdMgt1</v>
      </c>
      <c r="AI146" s="358">
        <f t="shared" si="19"/>
        <v>0</v>
      </c>
      <c r="AJ146" s="94">
        <f t="shared" si="20"/>
        <v>41333</v>
      </c>
    </row>
    <row r="147" spans="1:36" ht="12.75" customHeight="1">
      <c r="A147" s="8">
        <v>41361</v>
      </c>
      <c r="B147" s="94" t="s">
        <v>0</v>
      </c>
      <c r="C147" s="92" t="s">
        <v>297</v>
      </c>
      <c r="D147" s="98">
        <v>609358108.90183723</v>
      </c>
      <c r="E147" s="9">
        <f t="shared" si="14"/>
        <v>2514.4333999999999</v>
      </c>
      <c r="F147" s="98"/>
      <c r="G147" s="98">
        <v>5638488.2284590006</v>
      </c>
      <c r="H147" s="98">
        <v>0</v>
      </c>
      <c r="I147" s="98">
        <v>0</v>
      </c>
      <c r="J147" s="98"/>
      <c r="K147" s="98">
        <v>242344.10380558789</v>
      </c>
      <c r="L147" s="93">
        <f t="shared" si="15"/>
        <v>5638488.2284590006</v>
      </c>
      <c r="M147" s="95">
        <f t="shared" ca="1" si="16"/>
        <v>0</v>
      </c>
      <c r="N147" s="95">
        <f ca="1">IF(P147="Hedge Fund",IF(A147=Summary!$AD$3,M147-E147,M147),IF(A147=Summary!$AD$3,L147-D147,L147))</f>
        <v>0</v>
      </c>
      <c r="P147" s="107" t="s">
        <v>139</v>
      </c>
      <c r="Q147" s="107">
        <v>0.7074690304866571</v>
      </c>
      <c r="R147" s="107">
        <v>4.7115388600000001</v>
      </c>
      <c r="S147" s="107">
        <v>0.17119200000000001</v>
      </c>
      <c r="T147" s="107">
        <v>0.725600356267594</v>
      </c>
      <c r="U147" s="107"/>
      <c r="V147" s="107"/>
      <c r="W147" s="107"/>
      <c r="X147" s="107"/>
      <c r="Y147" s="107"/>
      <c r="Z147" s="107"/>
      <c r="AA147" s="107"/>
      <c r="AB147" s="107"/>
      <c r="AC147" s="355"/>
      <c r="AD147" s="355"/>
      <c r="AE147" s="355"/>
      <c r="AF147" s="94">
        <f t="shared" si="17"/>
        <v>41361</v>
      </c>
      <c r="AG147" s="185">
        <f t="shared" si="18"/>
        <v>7.1355213768131698E-4</v>
      </c>
      <c r="AH147" s="339" t="str">
        <f>VLOOKUP(B147,'MF PF'!A:B,2)</f>
        <v>FdMgt1</v>
      </c>
      <c r="AI147" s="358">
        <f t="shared" si="19"/>
        <v>0</v>
      </c>
      <c r="AJ147" s="94">
        <f t="shared" si="20"/>
        <v>41364</v>
      </c>
    </row>
    <row r="148" spans="1:36" ht="12.75" customHeight="1">
      <c r="A148" s="8">
        <v>41394</v>
      </c>
      <c r="B148" s="94" t="s">
        <v>0</v>
      </c>
      <c r="C148" s="92" t="s">
        <v>297</v>
      </c>
      <c r="D148" s="98">
        <v>618889861.5677011</v>
      </c>
      <c r="E148" s="9">
        <f t="shared" si="14"/>
        <v>2505.2494000000002</v>
      </c>
      <c r="F148" s="98"/>
      <c r="G148" s="98">
        <v>11757440.9152143</v>
      </c>
      <c r="H148" s="98">
        <v>0</v>
      </c>
      <c r="I148" s="98">
        <v>0</v>
      </c>
      <c r="J148" s="98"/>
      <c r="K148" s="98">
        <v>247037.2257419565</v>
      </c>
      <c r="L148" s="93">
        <f t="shared" si="15"/>
        <v>11757440.9152143</v>
      </c>
      <c r="M148" s="95">
        <f t="shared" ca="1" si="16"/>
        <v>0</v>
      </c>
      <c r="N148" s="95">
        <f ca="1">IF(P148="Hedge Fund",IF(A148=Summary!$AD$3,M148-E148,M148),IF(A148=Summary!$AD$3,L148-D148,L148))</f>
        <v>0</v>
      </c>
      <c r="P148" s="89" t="s">
        <v>139</v>
      </c>
      <c r="Q148" s="107">
        <v>0.84619966690578996</v>
      </c>
      <c r="R148" s="107">
        <v>4.1729467400000004</v>
      </c>
      <c r="S148" s="107">
        <v>0.21522796694710511</v>
      </c>
      <c r="T148" s="107">
        <v>0.6480654379907802</v>
      </c>
      <c r="U148" s="107"/>
      <c r="V148" s="107"/>
      <c r="W148" s="107"/>
      <c r="X148" s="107"/>
      <c r="Y148" s="107"/>
      <c r="Z148" s="107"/>
      <c r="AA148" s="107"/>
      <c r="AB148" s="107"/>
      <c r="AC148" s="355"/>
      <c r="AD148" s="355"/>
      <c r="AE148" s="355"/>
      <c r="AF148" s="94">
        <f t="shared" si="17"/>
        <v>41394</v>
      </c>
      <c r="AG148" s="185">
        <f t="shared" si="18"/>
        <v>-3.6525127291101578E-3</v>
      </c>
      <c r="AH148" s="339" t="str">
        <f>VLOOKUP(B148,'MF PF'!A:B,2)</f>
        <v>FdMgt1</v>
      </c>
      <c r="AI148" s="358">
        <f t="shared" si="19"/>
        <v>0</v>
      </c>
      <c r="AJ148" s="94">
        <f t="shared" si="20"/>
        <v>41394</v>
      </c>
    </row>
    <row r="149" spans="1:36" ht="12.75" customHeight="1">
      <c r="A149" s="8">
        <v>41425</v>
      </c>
      <c r="B149" s="8" t="s">
        <v>0</v>
      </c>
      <c r="C149" s="92" t="s">
        <v>297</v>
      </c>
      <c r="D149" s="98">
        <v>631699773.97302437</v>
      </c>
      <c r="E149" s="9">
        <f t="shared" si="14"/>
        <v>2557.1035000000006</v>
      </c>
      <c r="F149" s="47"/>
      <c r="G149" s="47">
        <v>19.397977113723755</v>
      </c>
      <c r="H149" s="47">
        <v>0</v>
      </c>
      <c r="I149" s="47">
        <v>0</v>
      </c>
      <c r="J149" s="98"/>
      <c r="K149" s="98">
        <v>247037.23332787439</v>
      </c>
      <c r="L149" s="93">
        <f t="shared" si="15"/>
        <v>19.397977113723755</v>
      </c>
      <c r="M149" s="95">
        <f t="shared" ca="1" si="16"/>
        <v>0</v>
      </c>
      <c r="N149" s="95">
        <f ca="1">IF(P149="Hedge Fund",IF(A149=Summary!$AD$3,M149-E149,M149),IF(A149=Summary!$AD$3,L149-D149,L149))</f>
        <v>0</v>
      </c>
      <c r="P149" s="89" t="s">
        <v>139</v>
      </c>
      <c r="Q149" s="107">
        <v>0.81506017030468436</v>
      </c>
      <c r="R149" s="107">
        <v>7.3354023923487999</v>
      </c>
      <c r="S149" s="89">
        <v>0.20734867462684728</v>
      </c>
      <c r="T149" s="89">
        <v>1.1448488706155575</v>
      </c>
      <c r="U149" s="89"/>
      <c r="V149" s="89"/>
      <c r="W149" s="89"/>
      <c r="X149" s="89"/>
      <c r="Y149" s="89"/>
      <c r="Z149" s="89"/>
      <c r="AA149" s="89"/>
      <c r="AB149" s="89"/>
      <c r="AC149" s="355"/>
      <c r="AD149" s="355"/>
      <c r="AE149" s="355"/>
      <c r="AF149" s="94">
        <f t="shared" si="17"/>
        <v>41425</v>
      </c>
      <c r="AG149" s="185">
        <f t="shared" si="18"/>
        <v>2.0698178792099675E-2</v>
      </c>
      <c r="AH149" s="339" t="str">
        <f>VLOOKUP(B149,'MF PF'!A:B,2)</f>
        <v>FdMgt1</v>
      </c>
      <c r="AI149" s="358">
        <f t="shared" si="19"/>
        <v>0</v>
      </c>
      <c r="AJ149" s="94">
        <f t="shared" si="20"/>
        <v>41425</v>
      </c>
    </row>
    <row r="150" spans="1:36" ht="12.75" customHeight="1">
      <c r="A150" s="8">
        <v>41453</v>
      </c>
      <c r="B150" s="8" t="s">
        <v>0</v>
      </c>
      <c r="C150" s="92" t="s">
        <v>297</v>
      </c>
      <c r="D150" s="47">
        <v>623808928.02271652</v>
      </c>
      <c r="E150" s="9">
        <f t="shared" si="14"/>
        <v>2525.1615999999999</v>
      </c>
      <c r="F150" s="47"/>
      <c r="G150" s="47">
        <v>0</v>
      </c>
      <c r="H150" s="47">
        <v>-7.3470721244812012</v>
      </c>
      <c r="I150" s="47">
        <v>0</v>
      </c>
      <c r="J150" s="98"/>
      <c r="K150" s="98">
        <v>247037.23041832907</v>
      </c>
      <c r="L150" s="93">
        <f t="shared" si="15"/>
        <v>-7.3470721244812012</v>
      </c>
      <c r="M150" s="95">
        <f t="shared" ca="1" si="16"/>
        <v>0</v>
      </c>
      <c r="N150" s="95">
        <f ca="1">IF(P150="Hedge Fund",IF(A150=Summary!$AD$3,M150-E150,M150),IF(A150=Summary!$AD$3,L150-D150,L150))</f>
        <v>0</v>
      </c>
      <c r="P150" s="89" t="s">
        <v>139</v>
      </c>
      <c r="Q150" s="89">
        <v>0.72493023695588299</v>
      </c>
      <c r="R150" s="89">
        <v>5.4167094599999999</v>
      </c>
      <c r="S150" s="89">
        <v>0.18376154046453097</v>
      </c>
      <c r="T150" s="89">
        <v>0.84740799900075703</v>
      </c>
      <c r="U150" s="89"/>
      <c r="V150" s="89"/>
      <c r="W150" s="89"/>
      <c r="X150" s="89"/>
      <c r="Y150" s="89"/>
      <c r="Z150" s="89"/>
      <c r="AA150" s="89"/>
      <c r="AB150" s="89"/>
      <c r="AC150" s="355"/>
      <c r="AD150" s="355"/>
      <c r="AE150" s="355"/>
      <c r="AF150" s="94">
        <f t="shared" si="17"/>
        <v>41453</v>
      </c>
      <c r="AG150" s="185">
        <f t="shared" si="18"/>
        <v>-1.2491438066546956E-2</v>
      </c>
      <c r="AH150" s="339" t="str">
        <f>VLOOKUP(B150,'MF PF'!A:B,2)</f>
        <v>FdMgt1</v>
      </c>
      <c r="AI150" s="358">
        <f t="shared" si="19"/>
        <v>0</v>
      </c>
      <c r="AJ150" s="94">
        <f t="shared" si="20"/>
        <v>41455</v>
      </c>
    </row>
    <row r="151" spans="1:36" ht="12.75" customHeight="1">
      <c r="A151" s="8">
        <v>41486</v>
      </c>
      <c r="B151" s="8" t="s">
        <v>0</v>
      </c>
      <c r="C151" s="92" t="s">
        <v>297</v>
      </c>
      <c r="D151" s="47">
        <v>612933697.98724139</v>
      </c>
      <c r="E151" s="9">
        <f t="shared" si="14"/>
        <v>2473.3011000000001</v>
      </c>
      <c r="F151" s="47"/>
      <c r="G151" s="47">
        <v>1936244.2526346445</v>
      </c>
      <c r="H151" s="47">
        <v>0</v>
      </c>
      <c r="I151" s="47">
        <v>0</v>
      </c>
      <c r="J151" s="98"/>
      <c r="K151" s="98">
        <v>247820.08870138836</v>
      </c>
      <c r="L151" s="93">
        <f t="shared" si="15"/>
        <v>1936244.2526346445</v>
      </c>
      <c r="M151" s="95">
        <f t="shared" ca="1" si="16"/>
        <v>0</v>
      </c>
      <c r="N151" s="95">
        <f ca="1">IF(P151="Hedge Fund",IF(A151=Summary!$AD$3,M151-E151,M151),IF(A151=Summary!$AD$3,L151-D151,L151))</f>
        <v>0</v>
      </c>
      <c r="P151" s="89" t="s">
        <v>139</v>
      </c>
      <c r="Q151" s="89">
        <v>0.8355238810303246</v>
      </c>
      <c r="R151" s="89">
        <v>2.26844336</v>
      </c>
      <c r="S151" s="89">
        <v>0.21267347607464632</v>
      </c>
      <c r="T151" s="89">
        <v>0.35619020460900735</v>
      </c>
      <c r="U151" s="89"/>
      <c r="V151" s="89"/>
      <c r="W151" s="89"/>
      <c r="X151" s="89"/>
      <c r="Y151" s="89"/>
      <c r="Z151" s="89"/>
      <c r="AA151" s="89"/>
      <c r="AB151" s="89"/>
      <c r="AC151" s="355"/>
      <c r="AD151" s="355"/>
      <c r="AE151" s="355"/>
      <c r="AF151" s="94">
        <f t="shared" si="17"/>
        <v>41486</v>
      </c>
      <c r="AG151" s="185">
        <f t="shared" si="18"/>
        <v>-2.0537497481349365E-2</v>
      </c>
      <c r="AH151" s="339" t="str">
        <f>VLOOKUP(B151,'MF PF'!A:B,2)</f>
        <v>FdMgt1</v>
      </c>
      <c r="AI151" s="358">
        <f t="shared" si="19"/>
        <v>0</v>
      </c>
      <c r="AJ151" s="94">
        <f t="shared" si="20"/>
        <v>41486</v>
      </c>
    </row>
    <row r="152" spans="1:36" ht="12.75" customHeight="1">
      <c r="A152" s="8">
        <v>41516</v>
      </c>
      <c r="B152" s="8" t="s">
        <v>0</v>
      </c>
      <c r="C152" s="92" t="s">
        <v>297</v>
      </c>
      <c r="D152" s="47">
        <v>604493524.41609669</v>
      </c>
      <c r="E152" s="9">
        <f t="shared" si="14"/>
        <v>2425.3937999999998</v>
      </c>
      <c r="F152" s="47"/>
      <c r="G152" s="47">
        <v>3432217.7642993927</v>
      </c>
      <c r="H152" s="47">
        <v>0</v>
      </c>
      <c r="I152" s="47">
        <v>0</v>
      </c>
      <c r="J152" s="98"/>
      <c r="K152" s="98">
        <v>249235.2064296102</v>
      </c>
      <c r="L152" s="93">
        <f t="shared" si="15"/>
        <v>3432217.7642993927</v>
      </c>
      <c r="M152" s="95">
        <f t="shared" ca="1" si="16"/>
        <v>0</v>
      </c>
      <c r="N152" s="95">
        <f ca="1">IF(P152="Hedge Fund",IF(A152=Summary!$AD$3,M152-E152,M152),IF(A152=Summary!$AD$3,L152-D152,L152))</f>
        <v>0</v>
      </c>
      <c r="P152" s="89" t="s">
        <v>139</v>
      </c>
      <c r="Q152" s="89">
        <v>0.74624735539131903</v>
      </c>
      <c r="R152" s="89">
        <v>0</v>
      </c>
      <c r="S152" s="89">
        <v>0.18908246916556176</v>
      </c>
      <c r="T152" s="89">
        <v>0</v>
      </c>
      <c r="U152" s="89"/>
      <c r="V152" s="89"/>
      <c r="W152" s="89"/>
      <c r="X152" s="89"/>
      <c r="Y152" s="89"/>
      <c r="Z152" s="89"/>
      <c r="AA152" s="89"/>
      <c r="AB152" s="89"/>
      <c r="AC152" s="355"/>
      <c r="AD152" s="355"/>
      <c r="AE152" s="355"/>
      <c r="AF152" s="94">
        <f t="shared" si="17"/>
        <v>41516</v>
      </c>
      <c r="AG152" s="185">
        <f t="shared" si="18"/>
        <v>-1.9369780735552289E-2</v>
      </c>
      <c r="AH152" s="339" t="str">
        <f>VLOOKUP(B152,'MF PF'!A:B,2)</f>
        <v>FdMgt1</v>
      </c>
      <c r="AI152" s="358">
        <f t="shared" si="19"/>
        <v>0</v>
      </c>
      <c r="AJ152" s="94">
        <f t="shared" si="20"/>
        <v>41517</v>
      </c>
    </row>
    <row r="153" spans="1:36" ht="12.75" customHeight="1">
      <c r="A153" s="94">
        <v>41547</v>
      </c>
      <c r="B153" s="8" t="s">
        <v>0</v>
      </c>
      <c r="C153" s="358" t="s">
        <v>297</v>
      </c>
      <c r="D153" s="47">
        <v>591803650.95728004</v>
      </c>
      <c r="E153" s="9">
        <f t="shared" si="14"/>
        <v>2373.4969999999998</v>
      </c>
      <c r="F153" s="47"/>
      <c r="G153" s="47">
        <v>244636.20221960545</v>
      </c>
      <c r="H153" s="47">
        <v>0</v>
      </c>
      <c r="I153" s="47">
        <v>0</v>
      </c>
      <c r="J153" s="98"/>
      <c r="K153" s="98">
        <v>249338.2763733344</v>
      </c>
      <c r="L153" s="93">
        <f t="shared" si="15"/>
        <v>244636.20221960545</v>
      </c>
      <c r="M153" s="95">
        <f t="shared" ca="1" si="16"/>
        <v>0</v>
      </c>
      <c r="N153" s="95">
        <f ca="1">IF(P153="Hedge Fund",IF(A153=Summary!$AD$3,M153-E153,M153),IF(A153=Summary!$AD$3,L153-D153,L153))</f>
        <v>0</v>
      </c>
      <c r="P153" s="89" t="s">
        <v>139</v>
      </c>
      <c r="Q153" s="89">
        <v>0.75496756604902904</v>
      </c>
      <c r="R153" s="89">
        <v>0</v>
      </c>
      <c r="S153" s="89">
        <v>0.19121289649932685</v>
      </c>
      <c r="T153" s="89">
        <v>0</v>
      </c>
      <c r="U153" s="89"/>
      <c r="V153" s="89"/>
      <c r="W153" s="89"/>
      <c r="X153" s="89"/>
      <c r="Y153" s="89"/>
      <c r="Z153" s="89"/>
      <c r="AA153" s="89"/>
      <c r="AB153" s="89"/>
      <c r="AC153" s="355"/>
      <c r="AD153" s="355"/>
      <c r="AE153" s="355"/>
      <c r="AF153" s="94">
        <f t="shared" si="17"/>
        <v>41547</v>
      </c>
      <c r="AG153" s="185">
        <f t="shared" si="18"/>
        <v>-2.1397267528267094E-2</v>
      </c>
      <c r="AH153" s="339" t="str">
        <f>VLOOKUP(B153,'MF PF'!A:B,2)</f>
        <v>FdMgt1</v>
      </c>
      <c r="AI153" s="358">
        <f t="shared" si="19"/>
        <v>0</v>
      </c>
      <c r="AJ153" s="94">
        <f t="shared" si="20"/>
        <v>41547</v>
      </c>
    </row>
    <row r="154" spans="1:36" ht="12.75" customHeight="1">
      <c r="A154" s="8">
        <v>41578</v>
      </c>
      <c r="B154" s="8" t="s">
        <v>0</v>
      </c>
      <c r="C154" s="92" t="s">
        <v>297</v>
      </c>
      <c r="D154" s="47">
        <v>566819693.64793813</v>
      </c>
      <c r="E154" s="9">
        <f t="shared" si="14"/>
        <v>2413.4202</v>
      </c>
      <c r="F154" s="47"/>
      <c r="G154" s="47">
        <v>0</v>
      </c>
      <c r="H154" s="47">
        <v>-34938339.184649825</v>
      </c>
      <c r="I154" s="47">
        <v>0</v>
      </c>
      <c r="J154" s="98"/>
      <c r="K154" s="98">
        <v>234861.58508490902</v>
      </c>
      <c r="L154" s="93">
        <f t="shared" si="15"/>
        <v>-34938339.184649825</v>
      </c>
      <c r="M154" s="95">
        <f t="shared" ca="1" si="16"/>
        <v>0</v>
      </c>
      <c r="N154" s="95">
        <f ca="1">IF(P154="Hedge Fund",IF(A154=Summary!$AD$3,M154-E154,M154),IF(A154=Summary!$AD$3,L154-D154,L154))</f>
        <v>0</v>
      </c>
      <c r="P154" s="89" t="s">
        <v>139</v>
      </c>
      <c r="Q154" s="89">
        <v>0.72309538186393396</v>
      </c>
      <c r="R154" s="89">
        <v>0</v>
      </c>
      <c r="S154" s="89">
        <v>0.190327651777635</v>
      </c>
      <c r="T154" s="89">
        <v>0</v>
      </c>
      <c r="U154" s="89"/>
      <c r="V154" s="89"/>
      <c r="W154" s="89"/>
      <c r="X154" s="89"/>
      <c r="Y154" s="89"/>
      <c r="Z154" s="89"/>
      <c r="AA154" s="89"/>
      <c r="AB154" s="89"/>
      <c r="AC154" s="355"/>
      <c r="AD154" s="355"/>
      <c r="AE154" s="355"/>
      <c r="AF154" s="94">
        <f t="shared" si="17"/>
        <v>41578</v>
      </c>
      <c r="AG154" s="185">
        <f t="shared" si="18"/>
        <v>1.6820413086681807E-2</v>
      </c>
      <c r="AH154" s="339" t="str">
        <f>VLOOKUP(B154,'MF PF'!A:B,2)</f>
        <v>FdMgt1</v>
      </c>
      <c r="AI154" s="358">
        <f t="shared" si="19"/>
        <v>0</v>
      </c>
      <c r="AJ154" s="94">
        <f t="shared" si="20"/>
        <v>41578</v>
      </c>
    </row>
    <row r="155" spans="1:36" ht="12.75" customHeight="1">
      <c r="A155" s="8">
        <v>41607</v>
      </c>
      <c r="B155" s="94" t="s">
        <v>0</v>
      </c>
      <c r="C155" s="92" t="s">
        <v>297</v>
      </c>
      <c r="D155" s="98">
        <v>482046496.66465259</v>
      </c>
      <c r="E155" s="9">
        <f t="shared" si="14"/>
        <v>2052.4706000000001</v>
      </c>
      <c r="F155" s="98"/>
      <c r="G155" s="98">
        <v>0</v>
      </c>
      <c r="H155" s="98">
        <v>-1.7915217280387878</v>
      </c>
      <c r="I155" s="98">
        <v>-82201554.474216789</v>
      </c>
      <c r="J155" s="98"/>
      <c r="K155" s="98">
        <v>234861.58421204795</v>
      </c>
      <c r="L155" s="93">
        <f t="shared" si="15"/>
        <v>-82201556.265738517</v>
      </c>
      <c r="M155" s="95">
        <f t="shared" ca="1" si="16"/>
        <v>-350</v>
      </c>
      <c r="N155" s="95">
        <f ca="1">IF(P155="Hedge Fund",IF(A155=Summary!$AD$3,M155-E155,M155),IF(A155=Summary!$AD$3,L155-D155,L155))</f>
        <v>-350</v>
      </c>
      <c r="P155" s="89" t="s">
        <v>139</v>
      </c>
      <c r="Q155" s="107">
        <v>0.57522501494810896</v>
      </c>
      <c r="R155" s="107">
        <v>0</v>
      </c>
      <c r="S155" s="107">
        <v>0.15158891477962635</v>
      </c>
      <c r="T155" s="107">
        <v>0</v>
      </c>
      <c r="U155" s="107"/>
      <c r="V155" s="107"/>
      <c r="W155" s="107"/>
      <c r="X155" s="107"/>
      <c r="Y155" s="107"/>
      <c r="Z155" s="107"/>
      <c r="AA155" s="107"/>
      <c r="AB155" s="107"/>
      <c r="AC155" s="355"/>
      <c r="AD155" s="355"/>
      <c r="AE155" s="355"/>
      <c r="AF155" s="94">
        <f t="shared" si="17"/>
        <v>41607</v>
      </c>
      <c r="AG155" s="185">
        <f t="shared" si="18"/>
        <v>-4.5369643051681452E-3</v>
      </c>
      <c r="AH155" s="339" t="str">
        <f>VLOOKUP(B155,'MF PF'!A:B,2)</f>
        <v>FdMgt1</v>
      </c>
      <c r="AI155" s="358">
        <f t="shared" si="19"/>
        <v>0</v>
      </c>
      <c r="AJ155" s="94">
        <f t="shared" si="20"/>
        <v>41608</v>
      </c>
    </row>
    <row r="156" spans="1:36" ht="12.75" customHeight="1">
      <c r="A156" s="8">
        <v>41639</v>
      </c>
      <c r="B156" s="94" t="s">
        <v>0</v>
      </c>
      <c r="C156" s="92" t="s">
        <v>297</v>
      </c>
      <c r="D156" s="98">
        <v>492330936.31148612</v>
      </c>
      <c r="E156" s="9">
        <f t="shared" si="14"/>
        <v>2096.2600000000002</v>
      </c>
      <c r="F156" s="98"/>
      <c r="G156" s="98">
        <v>0</v>
      </c>
      <c r="H156" s="98">
        <v>-8.2088615894317627</v>
      </c>
      <c r="I156" s="98">
        <v>0</v>
      </c>
      <c r="J156" s="98"/>
      <c r="K156" s="98">
        <v>234861.58029609214</v>
      </c>
      <c r="L156" s="93">
        <f t="shared" si="15"/>
        <v>-8.2088615894317627</v>
      </c>
      <c r="M156" s="95">
        <f t="shared" ca="1" si="16"/>
        <v>0</v>
      </c>
      <c r="N156" s="95">
        <f ca="1">IF(P156="Hedge Fund",IF(A156=Summary!$AD$3,M156-E156,M156),IF(A156=Summary!$AD$3,L156-D156,L156))</f>
        <v>0</v>
      </c>
      <c r="P156" s="89" t="s">
        <v>139</v>
      </c>
      <c r="Q156" s="107">
        <v>0.64914670640875238</v>
      </c>
      <c r="R156" s="107">
        <v>0.5986151999999999</v>
      </c>
      <c r="S156" s="107">
        <v>0.22805468182351463</v>
      </c>
      <c r="T156" s="107">
        <v>9.4696204753426924E-2</v>
      </c>
      <c r="U156" s="107"/>
      <c r="V156" s="107"/>
      <c r="W156" s="107"/>
      <c r="X156" s="107"/>
      <c r="Y156" s="107"/>
      <c r="Z156" s="107"/>
      <c r="AA156" s="107"/>
      <c r="AB156" s="107"/>
      <c r="AC156" s="355"/>
      <c r="AD156" s="355"/>
      <c r="AE156" s="355"/>
      <c r="AF156" s="94">
        <f t="shared" si="17"/>
        <v>41639</v>
      </c>
      <c r="AG156" s="185">
        <f t="shared" si="18"/>
        <v>2.1334970644646623E-2</v>
      </c>
      <c r="AH156" s="339" t="str">
        <f>VLOOKUP(B156,'MF PF'!A:B,2)</f>
        <v>FdMgt1</v>
      </c>
      <c r="AI156" s="358">
        <f t="shared" si="19"/>
        <v>0</v>
      </c>
      <c r="AJ156" s="94">
        <f t="shared" si="20"/>
        <v>41639</v>
      </c>
    </row>
    <row r="157" spans="1:36" ht="12.75" customHeight="1">
      <c r="A157" s="8">
        <v>41669</v>
      </c>
      <c r="B157" s="94" t="s">
        <v>0</v>
      </c>
      <c r="C157" s="92" t="s">
        <v>297</v>
      </c>
      <c r="D157" s="98">
        <v>494849589.29393572</v>
      </c>
      <c r="E157" s="9">
        <f t="shared" si="14"/>
        <v>2106.9839999999999</v>
      </c>
      <c r="F157" s="98"/>
      <c r="G157" s="98">
        <v>0</v>
      </c>
      <c r="H157" s="98">
        <v>-2.6046456694602966</v>
      </c>
      <c r="I157" s="98">
        <v>0</v>
      </c>
      <c r="J157" s="98"/>
      <c r="K157" s="98">
        <v>234861.57905989591</v>
      </c>
      <c r="L157" s="93">
        <f t="shared" si="15"/>
        <v>-2.6046456694602966</v>
      </c>
      <c r="M157" s="95">
        <f t="shared" ca="1" si="16"/>
        <v>0</v>
      </c>
      <c r="N157" s="95">
        <f ca="1">IF(P157="Hedge Fund",IF(A157=Summary!$AD$3,M157-E157,M157),IF(A157=Summary!$AD$3,L157-D157,L157))</f>
        <v>0</v>
      </c>
      <c r="P157" s="89" t="s">
        <v>139</v>
      </c>
      <c r="Q157" s="107">
        <v>0.6124082681588694</v>
      </c>
      <c r="R157" s="107">
        <v>1.2283260600000001</v>
      </c>
      <c r="S157" s="107">
        <v>0.21491427020717993</v>
      </c>
      <c r="T157" s="107">
        <v>0.20194878998831403</v>
      </c>
      <c r="U157" s="107"/>
      <c r="V157" s="107"/>
      <c r="W157" s="107"/>
      <c r="X157" s="107"/>
      <c r="Y157" s="107"/>
      <c r="Z157" s="107"/>
      <c r="AA157" s="107"/>
      <c r="AB157" s="107"/>
      <c r="AC157" s="355"/>
      <c r="AD157" s="355"/>
      <c r="AE157" s="355"/>
      <c r="AF157" s="94">
        <f t="shared" si="17"/>
        <v>41669</v>
      </c>
      <c r="AG157" s="185">
        <f t="shared" si="18"/>
        <v>5.1157776230046359E-3</v>
      </c>
      <c r="AH157" s="339" t="str">
        <f>VLOOKUP(B157,'MF PF'!A:B,2)</f>
        <v>FdMgt1</v>
      </c>
      <c r="AI157" s="358">
        <f t="shared" si="19"/>
        <v>0</v>
      </c>
      <c r="AJ157" s="94">
        <f t="shared" si="20"/>
        <v>41670</v>
      </c>
    </row>
    <row r="158" spans="1:36" ht="12.75" customHeight="1">
      <c r="A158" s="8">
        <v>41698</v>
      </c>
      <c r="B158" s="94" t="s">
        <v>0</v>
      </c>
      <c r="C158" s="92" t="s">
        <v>297</v>
      </c>
      <c r="D158" s="98">
        <v>494353038.32696199</v>
      </c>
      <c r="E158" s="9">
        <f t="shared" si="14"/>
        <v>2104.8697000000002</v>
      </c>
      <c r="F158" s="98"/>
      <c r="G158" s="98">
        <v>16.869632542133331</v>
      </c>
      <c r="H158" s="98">
        <v>0</v>
      </c>
      <c r="I158" s="98">
        <v>0</v>
      </c>
      <c r="J158" s="98"/>
      <c r="K158" s="98">
        <v>234861.58707446925</v>
      </c>
      <c r="L158" s="93">
        <f t="shared" si="15"/>
        <v>16.869632542133331</v>
      </c>
      <c r="M158" s="95">
        <f t="shared" ca="1" si="16"/>
        <v>0</v>
      </c>
      <c r="N158" s="95">
        <f ca="1">IF(P158="Hedge Fund",IF(A158=Summary!$AD$3,M158-E158,M158),IF(A158=Summary!$AD$3,L158-D158,L158))</f>
        <v>0</v>
      </c>
      <c r="P158" s="89" t="s">
        <v>139</v>
      </c>
      <c r="Q158" s="107">
        <v>0.59122794119189448</v>
      </c>
      <c r="R158" s="107">
        <v>1.1041312599999999</v>
      </c>
      <c r="S158" s="107">
        <v>0.20748139374268534</v>
      </c>
      <c r="T158" s="107">
        <v>0.18152995284932091</v>
      </c>
      <c r="U158" s="107"/>
      <c r="V158" s="107"/>
      <c r="W158" s="107"/>
      <c r="X158" s="107"/>
      <c r="Y158" s="107"/>
      <c r="Z158" s="107"/>
      <c r="AA158" s="107"/>
      <c r="AB158" s="107"/>
      <c r="AC158" s="355"/>
      <c r="AD158" s="355"/>
      <c r="AE158" s="355"/>
      <c r="AF158" s="94">
        <f t="shared" si="17"/>
        <v>41698</v>
      </c>
      <c r="AG158" s="185">
        <f t="shared" si="18"/>
        <v>-1.0034722617731084E-3</v>
      </c>
      <c r="AH158" s="339" t="str">
        <f>VLOOKUP(B158,'MF PF'!A:B,2)</f>
        <v>FdMgt1</v>
      </c>
      <c r="AI158" s="358">
        <f t="shared" si="19"/>
        <v>0</v>
      </c>
      <c r="AJ158" s="94">
        <f t="shared" si="20"/>
        <v>41698</v>
      </c>
    </row>
    <row r="159" spans="1:36" ht="12.75" customHeight="1">
      <c r="A159" s="8">
        <v>41729</v>
      </c>
      <c r="B159" s="94" t="s">
        <v>0</v>
      </c>
      <c r="C159" s="92" t="s">
        <v>297</v>
      </c>
      <c r="D159" s="98">
        <v>466992186.74625331</v>
      </c>
      <c r="E159" s="9">
        <f t="shared" si="14"/>
        <v>1988.3719999999998</v>
      </c>
      <c r="F159" s="98"/>
      <c r="G159" s="98">
        <v>0</v>
      </c>
      <c r="H159" s="98">
        <v>-16.868183195590973</v>
      </c>
      <c r="I159" s="98">
        <v>-29357697.323881883</v>
      </c>
      <c r="J159" s="98"/>
      <c r="K159" s="98">
        <v>234861.57859105506</v>
      </c>
      <c r="L159" s="93">
        <f t="shared" si="15"/>
        <v>-29357714.192065079</v>
      </c>
      <c r="M159" s="95">
        <f t="shared" ca="1" si="16"/>
        <v>-125</v>
      </c>
      <c r="N159" s="95">
        <f ca="1">IF(P159="Hedge Fund",IF(A159=Summary!$AD$3,M159-E159,M159),IF(A159=Summary!$AD$3,L159-D159,L159))</f>
        <v>-125</v>
      </c>
      <c r="P159" s="89" t="s">
        <v>139</v>
      </c>
      <c r="Q159" s="107">
        <v>0.59779021761025397</v>
      </c>
      <c r="R159" s="107">
        <v>1.6033530199999999</v>
      </c>
      <c r="S159" s="107">
        <v>0.20968211978879578</v>
      </c>
      <c r="T159" s="107">
        <v>0.26356119874511802</v>
      </c>
      <c r="U159" s="107"/>
      <c r="V159" s="107"/>
      <c r="W159" s="107"/>
      <c r="X159" s="107"/>
      <c r="Y159" s="107"/>
      <c r="Z159" s="107"/>
      <c r="AA159" s="107"/>
      <c r="AB159" s="107"/>
      <c r="AC159" s="355"/>
      <c r="AD159" s="355"/>
      <c r="AE159" s="355"/>
      <c r="AF159" s="94">
        <f t="shared" si="17"/>
        <v>41729</v>
      </c>
      <c r="AG159" s="185">
        <f t="shared" si="18"/>
        <v>4.0393452786582351E-3</v>
      </c>
      <c r="AH159" s="339" t="str">
        <f>VLOOKUP(B159,'MF PF'!A:B,2)</f>
        <v>FdMgt1</v>
      </c>
      <c r="AI159" s="358">
        <f t="shared" si="19"/>
        <v>0</v>
      </c>
      <c r="AJ159" s="94">
        <f t="shared" si="20"/>
        <v>41729</v>
      </c>
    </row>
    <row r="160" spans="1:36" ht="12.75" customHeight="1">
      <c r="A160" s="94">
        <v>41759</v>
      </c>
      <c r="B160" s="8" t="s">
        <v>0</v>
      </c>
      <c r="C160" s="358" t="s">
        <v>297</v>
      </c>
      <c r="D160" s="47">
        <v>475819830.91237307</v>
      </c>
      <c r="E160" s="9">
        <f t="shared" si="14"/>
        <v>2025.9585000000002</v>
      </c>
      <c r="F160" s="47"/>
      <c r="G160" s="47">
        <v>19.442407011985779</v>
      </c>
      <c r="H160" s="47">
        <v>0</v>
      </c>
      <c r="I160" s="47">
        <v>0</v>
      </c>
      <c r="J160" s="98"/>
      <c r="K160" s="98">
        <v>234861.5881877013</v>
      </c>
      <c r="L160" s="93">
        <f t="shared" si="15"/>
        <v>19.442407011985779</v>
      </c>
      <c r="M160" s="95">
        <f t="shared" ca="1" si="16"/>
        <v>0</v>
      </c>
      <c r="N160" s="95">
        <f ca="1">IF(P160="Hedge Fund",IF(A160=Summary!$AD$3,M160-E160,M160),IF(A160=Summary!$AD$3,L160-D160,L160))</f>
        <v>0</v>
      </c>
      <c r="P160" s="89" t="s">
        <v>139</v>
      </c>
      <c r="Q160" s="89">
        <v>0.59210347592880497</v>
      </c>
      <c r="R160" s="89">
        <v>3.8103003000000002</v>
      </c>
      <c r="S160" s="89">
        <v>0.20764202067824317</v>
      </c>
      <c r="T160" s="89">
        <v>0.62597884765462919</v>
      </c>
      <c r="U160" s="89"/>
      <c r="V160" s="89"/>
      <c r="W160" s="89"/>
      <c r="X160" s="89"/>
      <c r="Y160" s="89"/>
      <c r="Z160" s="89"/>
      <c r="AA160" s="89"/>
      <c r="AB160" s="89"/>
      <c r="AC160" s="355"/>
      <c r="AD160" s="355"/>
      <c r="AE160" s="355"/>
      <c r="AF160" s="94">
        <f t="shared" si="17"/>
        <v>41759</v>
      </c>
      <c r="AG160" s="185">
        <f t="shared" si="18"/>
        <v>1.8903152931141864E-2</v>
      </c>
      <c r="AH160" s="339" t="str">
        <f>VLOOKUP(B160,'MF PF'!A:B,2)</f>
        <v>FdMgt1</v>
      </c>
      <c r="AI160" s="358">
        <f t="shared" si="19"/>
        <v>0</v>
      </c>
      <c r="AJ160" s="94">
        <f t="shared" si="20"/>
        <v>41759</v>
      </c>
    </row>
    <row r="161" spans="1:36" ht="12.75" customHeight="1">
      <c r="A161" s="8">
        <v>41789</v>
      </c>
      <c r="B161" s="94" t="s">
        <v>0</v>
      </c>
      <c r="C161" s="92" t="s">
        <v>297</v>
      </c>
      <c r="D161" s="98">
        <v>467688271.20599842</v>
      </c>
      <c r="E161" s="9">
        <f t="shared" si="14"/>
        <v>1991.3358000000001</v>
      </c>
      <c r="F161" s="98"/>
      <c r="G161" s="98">
        <v>0</v>
      </c>
      <c r="H161" s="98">
        <v>-17.39702832698822</v>
      </c>
      <c r="I161" s="98">
        <v>0</v>
      </c>
      <c r="J161" s="98"/>
      <c r="K161" s="98">
        <v>234861.57945134037</v>
      </c>
      <c r="L161" s="93">
        <f t="shared" si="15"/>
        <v>-17.39702832698822</v>
      </c>
      <c r="M161" s="95">
        <f t="shared" ca="1" si="16"/>
        <v>0</v>
      </c>
      <c r="N161" s="95">
        <f ca="1">IF(P161="Hedge Fund",IF(A161=Summary!$AD$3,M161-E161,M161),IF(A161=Summary!$AD$3,L161-D161,L161))</f>
        <v>0</v>
      </c>
      <c r="P161" s="89" t="s">
        <v>139</v>
      </c>
      <c r="Q161" s="107">
        <v>0.57955543042823199</v>
      </c>
      <c r="R161" s="107">
        <v>1.7773854600000001</v>
      </c>
      <c r="S161" s="107">
        <v>0.20324163090893543</v>
      </c>
      <c r="T161" s="107">
        <v>0.29199947915820496</v>
      </c>
      <c r="U161" s="107"/>
      <c r="V161" s="107"/>
      <c r="W161" s="107"/>
      <c r="X161" s="107"/>
      <c r="Y161" s="107"/>
      <c r="Z161" s="107"/>
      <c r="AA161" s="107"/>
      <c r="AB161" s="107"/>
      <c r="AC161" s="355"/>
      <c r="AD161" s="355"/>
      <c r="AE161" s="355"/>
      <c r="AF161" s="94">
        <f t="shared" si="17"/>
        <v>41789</v>
      </c>
      <c r="AG161" s="185">
        <f t="shared" si="18"/>
        <v>-1.7089540580421558E-2</v>
      </c>
      <c r="AH161" s="339" t="str">
        <f>VLOOKUP(B161,'MF PF'!A:B,2)</f>
        <v>FdMgt1</v>
      </c>
      <c r="AI161" s="358">
        <f t="shared" si="19"/>
        <v>0</v>
      </c>
      <c r="AJ161" s="94">
        <f t="shared" si="20"/>
        <v>41790</v>
      </c>
    </row>
    <row r="162" spans="1:36" ht="12.75" customHeight="1">
      <c r="A162" s="94">
        <v>41820</v>
      </c>
      <c r="B162" s="8" t="s">
        <v>0</v>
      </c>
      <c r="C162" s="358" t="s">
        <v>297</v>
      </c>
      <c r="D162" s="47">
        <v>430385592.93757498</v>
      </c>
      <c r="E162" s="9">
        <f t="shared" si="14"/>
        <v>1832.5074</v>
      </c>
      <c r="F162" s="47"/>
      <c r="G162" s="47">
        <v>10.617305815219879</v>
      </c>
      <c r="H162" s="47">
        <v>0</v>
      </c>
      <c r="I162" s="47">
        <v>-30532006.081877079</v>
      </c>
      <c r="J162" s="98"/>
      <c r="K162" s="98">
        <v>234861.58524520829</v>
      </c>
      <c r="L162" s="93">
        <f t="shared" si="15"/>
        <v>-30531995.464571264</v>
      </c>
      <c r="M162" s="95">
        <f t="shared" ca="1" si="16"/>
        <v>-130</v>
      </c>
      <c r="N162" s="95">
        <f ca="1">IF(P162="Hedge Fund",IF(A162=Summary!$AD$3,M162-E162,M162),IF(A162=Summary!$AD$3,L162-D162,L162))</f>
        <v>-130</v>
      </c>
      <c r="P162" s="89" t="s">
        <v>139</v>
      </c>
      <c r="Q162" s="89">
        <v>0.54915359520930396</v>
      </c>
      <c r="R162" s="89">
        <v>8.4691080000000002E-2</v>
      </c>
      <c r="S162" s="89">
        <v>0.19241539958101614</v>
      </c>
      <c r="T162" s="89">
        <v>1.3888147074010235E-2</v>
      </c>
      <c r="U162" s="89"/>
      <c r="V162" s="89"/>
      <c r="W162" s="89"/>
      <c r="X162" s="89"/>
      <c r="Y162" s="89"/>
      <c r="Z162" s="89"/>
      <c r="AA162" s="89"/>
      <c r="AB162" s="89"/>
      <c r="AC162" s="355"/>
      <c r="AD162" s="355"/>
      <c r="AE162" s="355"/>
      <c r="AF162" s="94">
        <f t="shared" si="17"/>
        <v>41820</v>
      </c>
      <c r="AG162" s="185">
        <f t="shared" si="18"/>
        <v>-1.4476913834920557E-2</v>
      </c>
      <c r="AH162" s="339" t="str">
        <f>VLOOKUP(B162,'MF PF'!A:B,2)</f>
        <v>FdMgt1</v>
      </c>
      <c r="AI162" s="358">
        <f t="shared" si="19"/>
        <v>0</v>
      </c>
      <c r="AJ162" s="94">
        <f t="shared" si="20"/>
        <v>41820</v>
      </c>
    </row>
    <row r="163" spans="1:36" ht="12.75" customHeight="1">
      <c r="A163" s="8">
        <v>41851</v>
      </c>
      <c r="B163" s="8" t="s">
        <v>0</v>
      </c>
      <c r="C163" s="92" t="s">
        <v>297</v>
      </c>
      <c r="D163" s="47">
        <v>419056108.60221601</v>
      </c>
      <c r="E163" s="9">
        <f t="shared" si="14"/>
        <v>1784.2683999999999</v>
      </c>
      <c r="F163" s="47"/>
      <c r="G163" s="47">
        <v>3.6752846240997314</v>
      </c>
      <c r="H163" s="47">
        <v>0</v>
      </c>
      <c r="I163" s="47">
        <v>0</v>
      </c>
      <c r="J163" s="98"/>
      <c r="K163" s="98">
        <v>234861.5873050355</v>
      </c>
      <c r="L163" s="93">
        <f t="shared" si="15"/>
        <v>3.6752846240997314</v>
      </c>
      <c r="M163" s="95">
        <f t="shared" ca="1" si="16"/>
        <v>0</v>
      </c>
      <c r="N163" s="95">
        <f ca="1">IF(P163="Hedge Fund",IF(A163=Summary!$AD$3,M163-E163,M163),IF(A163=Summary!$AD$3,L163-D163,L163))</f>
        <v>0</v>
      </c>
      <c r="P163" s="89" t="s">
        <v>139</v>
      </c>
      <c r="Q163" s="89">
        <v>0.53459246126251103</v>
      </c>
      <c r="R163" s="89">
        <v>0</v>
      </c>
      <c r="S163" s="89">
        <v>0.18807725420351545</v>
      </c>
      <c r="T163" s="89">
        <v>0</v>
      </c>
      <c r="U163" s="89"/>
      <c r="V163" s="89"/>
      <c r="W163" s="89"/>
      <c r="X163" s="89"/>
      <c r="Y163" s="89"/>
      <c r="Z163" s="89"/>
      <c r="AA163" s="89"/>
      <c r="AB163" s="89"/>
      <c r="AC163" s="355"/>
      <c r="AD163" s="355"/>
      <c r="AE163" s="355"/>
      <c r="AF163" s="94">
        <f t="shared" si="17"/>
        <v>41851</v>
      </c>
      <c r="AG163" s="185">
        <f t="shared" si="18"/>
        <v>-2.6324041037978918E-2</v>
      </c>
      <c r="AH163" s="339" t="str">
        <f>VLOOKUP(B163,'MF PF'!A:B,2)</f>
        <v>FdMgt1</v>
      </c>
      <c r="AI163" s="358">
        <f t="shared" si="19"/>
        <v>0</v>
      </c>
      <c r="AJ163" s="94">
        <f t="shared" si="20"/>
        <v>41851</v>
      </c>
    </row>
    <row r="164" spans="1:36" ht="12.75" customHeight="1">
      <c r="A164" s="8">
        <v>41880</v>
      </c>
      <c r="B164" s="8" t="s">
        <v>0</v>
      </c>
      <c r="C164" s="92" t="s">
        <v>297</v>
      </c>
      <c r="D164" s="47">
        <v>421138817.86430156</v>
      </c>
      <c r="E164" s="9">
        <f t="shared" si="14"/>
        <v>1793.1361999999999</v>
      </c>
      <c r="F164" s="47"/>
      <c r="G164" s="47">
        <v>3.6781820058822632</v>
      </c>
      <c r="H164" s="47">
        <v>0</v>
      </c>
      <c r="I164" s="47">
        <v>0</v>
      </c>
      <c r="J164" s="98"/>
      <c r="K164" s="98">
        <v>234861.58935629184</v>
      </c>
      <c r="L164" s="93">
        <f t="shared" si="15"/>
        <v>3.6781820058822632</v>
      </c>
      <c r="M164" s="95">
        <f t="shared" ca="1" si="16"/>
        <v>0</v>
      </c>
      <c r="N164" s="95">
        <f ca="1">IF(P164="Hedge Fund",IF(A164=Summary!$AD$3,M164-E164,M164),IF(A164=Summary!$AD$3,L164-D164,L164))</f>
        <v>0</v>
      </c>
      <c r="P164" s="89" t="s">
        <v>139</v>
      </c>
      <c r="Q164" s="89">
        <v>0.50254401287917005</v>
      </c>
      <c r="R164" s="89">
        <v>0</v>
      </c>
      <c r="S164" s="89">
        <v>0.17680215579171576</v>
      </c>
      <c r="T164" s="89">
        <v>0</v>
      </c>
      <c r="U164" s="89"/>
      <c r="V164" s="89"/>
      <c r="W164" s="89"/>
      <c r="X164" s="89"/>
      <c r="Y164" s="89"/>
      <c r="Z164" s="89"/>
      <c r="AA164" s="89"/>
      <c r="AB164" s="89"/>
      <c r="AC164" s="355"/>
      <c r="AD164" s="355"/>
      <c r="AE164" s="355"/>
      <c r="AF164" s="94">
        <f t="shared" si="17"/>
        <v>41880</v>
      </c>
      <c r="AG164" s="185">
        <f t="shared" si="18"/>
        <v>4.9699921827903726E-3</v>
      </c>
      <c r="AH164" s="339" t="str">
        <f>VLOOKUP(B164,'MF PF'!A:B,2)</f>
        <v>FdMgt1</v>
      </c>
      <c r="AI164" s="358">
        <f t="shared" si="19"/>
        <v>0</v>
      </c>
      <c r="AJ164" s="94">
        <f t="shared" si="20"/>
        <v>41882</v>
      </c>
    </row>
    <row r="165" spans="1:36" ht="12.75" customHeight="1">
      <c r="A165" s="8">
        <v>41912</v>
      </c>
      <c r="B165" s="8" t="s">
        <v>0</v>
      </c>
      <c r="C165" s="92" t="s">
        <v>297</v>
      </c>
      <c r="D165" s="47">
        <v>412209501.4978497</v>
      </c>
      <c r="E165" s="9">
        <f t="shared" si="14"/>
        <v>1755.1167000000003</v>
      </c>
      <c r="F165" s="47"/>
      <c r="G165" s="47">
        <v>3.8300796151161194</v>
      </c>
      <c r="H165" s="47">
        <v>0</v>
      </c>
      <c r="I165" s="47">
        <v>0</v>
      </c>
      <c r="J165" s="98"/>
      <c r="K165" s="98">
        <v>234861.59153852827</v>
      </c>
      <c r="L165" s="93">
        <f t="shared" si="15"/>
        <v>3.8300796151161194</v>
      </c>
      <c r="M165" s="95">
        <f t="shared" ca="1" si="16"/>
        <v>0</v>
      </c>
      <c r="N165" s="95">
        <f ca="1">IF(P165="Hedge Fund",IF(A165=Summary!$AD$3,M165-E165,M165),IF(A165=Summary!$AD$3,L165-D165,L165))</f>
        <v>0</v>
      </c>
      <c r="P165" s="89" t="s">
        <v>139</v>
      </c>
      <c r="Q165" s="89">
        <v>0.54284519852222302</v>
      </c>
      <c r="R165" s="89">
        <v>0</v>
      </c>
      <c r="S165" s="89">
        <v>0.19098068805962898</v>
      </c>
      <c r="T165" s="89">
        <v>0</v>
      </c>
      <c r="U165" s="89"/>
      <c r="V165" s="89"/>
      <c r="W165" s="89"/>
      <c r="X165" s="89"/>
      <c r="Y165" s="89"/>
      <c r="Z165" s="89"/>
      <c r="AA165" s="89"/>
      <c r="AB165" s="89"/>
      <c r="AC165" s="355"/>
      <c r="AD165" s="355"/>
      <c r="AE165" s="355"/>
      <c r="AF165" s="94">
        <f t="shared" si="17"/>
        <v>41912</v>
      </c>
      <c r="AG165" s="185">
        <f t="shared" si="18"/>
        <v>-2.12027954150944E-2</v>
      </c>
      <c r="AH165" s="339" t="str">
        <f>VLOOKUP(B165,'MF PF'!A:B,2)</f>
        <v>FdMgt1</v>
      </c>
      <c r="AI165" s="358">
        <f t="shared" si="19"/>
        <v>0</v>
      </c>
      <c r="AJ165" s="94">
        <f t="shared" si="20"/>
        <v>41912</v>
      </c>
    </row>
    <row r="166" spans="1:36" ht="12.75" customHeight="1">
      <c r="A166" s="8">
        <v>41943</v>
      </c>
      <c r="B166" s="8" t="s">
        <v>0</v>
      </c>
      <c r="C166" s="92" t="s">
        <v>297</v>
      </c>
      <c r="D166" s="47">
        <v>370264556.89962053</v>
      </c>
      <c r="E166" s="9">
        <f t="shared" si="14"/>
        <v>1576.5224000000001</v>
      </c>
      <c r="F166" s="47"/>
      <c r="G166" s="47">
        <v>0</v>
      </c>
      <c r="H166" s="47">
        <v>-3.0605197548866272</v>
      </c>
      <c r="I166" s="47">
        <v>-36403546.387568727</v>
      </c>
      <c r="J166" s="98"/>
      <c r="K166" s="98">
        <v>234861.58959721759</v>
      </c>
      <c r="L166" s="93">
        <f t="shared" si="15"/>
        <v>-36403549.448088482</v>
      </c>
      <c r="M166" s="95">
        <f t="shared" ca="1" si="16"/>
        <v>-155</v>
      </c>
      <c r="N166" s="95">
        <f ca="1">IF(P166="Hedge Fund",IF(A166=Summary!$AD$3,M166-E166,M166),IF(A166=Summary!$AD$3,L166-D166,L166))</f>
        <v>-155</v>
      </c>
      <c r="P166" s="89" t="s">
        <v>139</v>
      </c>
      <c r="Q166" s="89">
        <v>0.47234877795119801</v>
      </c>
      <c r="R166" s="89">
        <v>0</v>
      </c>
      <c r="S166" s="89">
        <v>0.16617904121252294</v>
      </c>
      <c r="T166" s="89">
        <v>0</v>
      </c>
      <c r="U166" s="89"/>
      <c r="V166" s="89"/>
      <c r="W166" s="89"/>
      <c r="X166" s="89"/>
      <c r="Y166" s="89"/>
      <c r="Z166" s="89"/>
      <c r="AA166" s="89"/>
      <c r="AB166" s="89"/>
      <c r="AC166" s="355"/>
      <c r="AD166" s="355"/>
      <c r="AE166" s="355"/>
      <c r="AF166" s="94">
        <f t="shared" si="17"/>
        <v>41943</v>
      </c>
      <c r="AG166" s="185">
        <f t="shared" si="18"/>
        <v>-1.3443152401885206E-2</v>
      </c>
      <c r="AH166" s="339" t="str">
        <f>VLOOKUP(B166,'MF PF'!A:B,2)</f>
        <v>FdMgt1</v>
      </c>
      <c r="AI166" s="358">
        <f t="shared" si="19"/>
        <v>0</v>
      </c>
      <c r="AJ166" s="94">
        <f t="shared" si="20"/>
        <v>41943</v>
      </c>
    </row>
    <row r="167" spans="1:36" ht="12.75" customHeight="1">
      <c r="A167" s="8">
        <v>41971</v>
      </c>
      <c r="B167" s="8" t="s">
        <v>0</v>
      </c>
      <c r="C167" s="92" t="s">
        <v>297</v>
      </c>
      <c r="D167" s="47">
        <v>356152611.33447576</v>
      </c>
      <c r="E167" s="9">
        <f t="shared" si="14"/>
        <v>1516.4362000000001</v>
      </c>
      <c r="F167" s="47"/>
      <c r="G167" s="47">
        <v>0</v>
      </c>
      <c r="H167" s="47">
        <v>-5.1202884316444397</v>
      </c>
      <c r="I167" s="47">
        <v>0</v>
      </c>
      <c r="J167" s="98"/>
      <c r="K167" s="98">
        <v>234861.58622069014</v>
      </c>
      <c r="L167" s="93">
        <f t="shared" si="15"/>
        <v>-5.1202884316444397</v>
      </c>
      <c r="M167" s="95">
        <f t="shared" ca="1" si="16"/>
        <v>0</v>
      </c>
      <c r="N167" s="95">
        <f ca="1">IF(P167="Hedge Fund",IF(A167=Summary!$AD$3,M167-E167,M167),IF(A167=Summary!$AD$3,L167-D167,L167))</f>
        <v>0</v>
      </c>
      <c r="P167" s="89" t="s">
        <v>139</v>
      </c>
      <c r="Q167" s="89">
        <v>0.41032307077420999</v>
      </c>
      <c r="R167" s="89">
        <v>0</v>
      </c>
      <c r="S167" s="89">
        <v>0.14435751222729182</v>
      </c>
      <c r="T167" s="89">
        <v>0</v>
      </c>
      <c r="U167" s="89"/>
      <c r="V167" s="89"/>
      <c r="W167" s="89"/>
      <c r="X167" s="89"/>
      <c r="Y167" s="89"/>
      <c r="Z167" s="89"/>
      <c r="AA167" s="89"/>
      <c r="AB167" s="89"/>
      <c r="AC167" s="355"/>
      <c r="AD167" s="355"/>
      <c r="AE167" s="355"/>
      <c r="AF167" s="94">
        <f t="shared" si="17"/>
        <v>41971</v>
      </c>
      <c r="AG167" s="185">
        <f t="shared" si="18"/>
        <v>-3.8113127983465445E-2</v>
      </c>
      <c r="AH167" s="339" t="str">
        <f>VLOOKUP(B167,'MF PF'!A:B,2)</f>
        <v>FdMgt1</v>
      </c>
      <c r="AI167" s="358">
        <f t="shared" si="19"/>
        <v>0</v>
      </c>
      <c r="AJ167" s="94">
        <f t="shared" si="20"/>
        <v>41973</v>
      </c>
    </row>
    <row r="168" spans="1:36" ht="12.75" customHeight="1">
      <c r="A168" s="8">
        <v>42004</v>
      </c>
      <c r="B168" s="8" t="s">
        <v>0</v>
      </c>
      <c r="C168" s="92" t="s">
        <v>297</v>
      </c>
      <c r="D168" s="47">
        <v>329336476.57777905</v>
      </c>
      <c r="E168" s="9">
        <f t="shared" si="14"/>
        <v>1402.2576999999999</v>
      </c>
      <c r="F168" s="47"/>
      <c r="G168" s="47">
        <v>8.865602433681488</v>
      </c>
      <c r="H168" s="47">
        <v>0</v>
      </c>
      <c r="I168" s="47">
        <v>-10568771.664438041</v>
      </c>
      <c r="J168" s="98"/>
      <c r="K168" s="98">
        <v>234861.59254306756</v>
      </c>
      <c r="L168" s="93">
        <f t="shared" si="15"/>
        <v>-10568762.798835607</v>
      </c>
      <c r="M168" s="95">
        <f t="shared" ca="1" si="16"/>
        <v>-45.000000000000007</v>
      </c>
      <c r="N168" s="95">
        <f ca="1">IF(P168="Hedge Fund",IF(A168=Summary!$AD$3,M168-E168,M168),IF(A168=Summary!$AD$3,L168-D168,L168))</f>
        <v>-45.000000000000007</v>
      </c>
      <c r="P168" s="89" t="s">
        <v>139</v>
      </c>
      <c r="Q168" s="89">
        <v>0.44728142175997199</v>
      </c>
      <c r="R168" s="89">
        <v>0</v>
      </c>
      <c r="S168" s="89">
        <v>0.15742750087113641</v>
      </c>
      <c r="T168" s="89">
        <v>0</v>
      </c>
      <c r="U168" s="89"/>
      <c r="V168" s="89"/>
      <c r="W168" s="89"/>
      <c r="X168" s="89"/>
      <c r="Y168" s="89"/>
      <c r="Z168" s="89"/>
      <c r="AA168" s="89"/>
      <c r="AB168" s="89"/>
      <c r="AC168" s="355"/>
      <c r="AD168" s="355"/>
      <c r="AE168" s="355"/>
      <c r="AF168" s="94">
        <f t="shared" si="17"/>
        <v>42004</v>
      </c>
      <c r="AG168" s="185">
        <f t="shared" si="18"/>
        <v>-4.5619129105872513E-2</v>
      </c>
      <c r="AH168" s="339" t="str">
        <f>VLOOKUP(B168,'MF PF'!A:B,2)</f>
        <v>FdMgt1</v>
      </c>
      <c r="AI168" s="358">
        <f t="shared" si="19"/>
        <v>0</v>
      </c>
      <c r="AJ168" s="94">
        <f t="shared" si="20"/>
        <v>42004</v>
      </c>
    </row>
    <row r="169" spans="1:36" ht="12.75" customHeight="1">
      <c r="A169" s="94">
        <v>42034</v>
      </c>
      <c r="B169" s="8" t="s">
        <v>0</v>
      </c>
      <c r="C169" s="358" t="s">
        <v>297</v>
      </c>
      <c r="D169" s="47">
        <v>339560282.33671457</v>
      </c>
      <c r="E169" s="9">
        <f t="shared" si="14"/>
        <v>1445.7889</v>
      </c>
      <c r="F169" s="47"/>
      <c r="G169" s="47">
        <v>0</v>
      </c>
      <c r="H169" s="47">
        <v>-1.1983752846717834</v>
      </c>
      <c r="I169" s="47">
        <v>0</v>
      </c>
      <c r="J169" s="98"/>
      <c r="K169" s="98">
        <v>234861.59171419463</v>
      </c>
      <c r="L169" s="93">
        <f t="shared" si="15"/>
        <v>-1.1983752846717834</v>
      </c>
      <c r="M169" s="95">
        <f t="shared" ca="1" si="16"/>
        <v>0</v>
      </c>
      <c r="N169" s="95">
        <f ca="1">IF(P169="Hedge Fund",IF(A169=Summary!$AD$3,M169-E169,M169),IF(A169=Summary!$AD$3,L169-D169,L169))</f>
        <v>0</v>
      </c>
      <c r="P169" s="89" t="s">
        <v>139</v>
      </c>
      <c r="Q169" s="89">
        <v>0</v>
      </c>
      <c r="R169" s="89">
        <v>0</v>
      </c>
      <c r="S169" s="89">
        <v>0</v>
      </c>
      <c r="T169" s="89">
        <v>0</v>
      </c>
      <c r="U169" s="89"/>
      <c r="V169" s="89"/>
      <c r="W169" s="89"/>
      <c r="X169" s="89"/>
      <c r="Y169" s="89"/>
      <c r="Z169" s="89"/>
      <c r="AA169" s="89"/>
      <c r="AB169" s="89"/>
      <c r="AC169" s="355"/>
      <c r="AD169" s="355"/>
      <c r="AE169" s="355"/>
      <c r="AF169" s="94">
        <f t="shared" si="17"/>
        <v>42034</v>
      </c>
      <c r="AG169" s="185">
        <f t="shared" si="18"/>
        <v>3.1043651962118002E-2</v>
      </c>
      <c r="AH169" s="339" t="str">
        <f>VLOOKUP(B169,'MF PF'!A:B,2)</f>
        <v>FdMgt1</v>
      </c>
      <c r="AI169" s="358">
        <f t="shared" si="19"/>
        <v>0</v>
      </c>
      <c r="AJ169" s="94">
        <f t="shared" si="20"/>
        <v>42035</v>
      </c>
    </row>
    <row r="170" spans="1:36" ht="12.75" customHeight="1">
      <c r="A170" s="8">
        <v>42062</v>
      </c>
      <c r="B170" s="94" t="s">
        <v>0</v>
      </c>
      <c r="C170" s="92" t="s">
        <v>297</v>
      </c>
      <c r="D170" s="98">
        <v>343654344.0506829</v>
      </c>
      <c r="E170" s="9">
        <f t="shared" si="14"/>
        <v>1463.2207000000003</v>
      </c>
      <c r="F170" s="47"/>
      <c r="G170" s="47">
        <v>1.4195247888565063</v>
      </c>
      <c r="H170" s="98">
        <v>0</v>
      </c>
      <c r="I170" s="98">
        <v>0</v>
      </c>
      <c r="J170" s="98"/>
      <c r="K170" s="98">
        <v>234861.59268433179</v>
      </c>
      <c r="L170" s="93">
        <f t="shared" si="15"/>
        <v>1.4195247888565063</v>
      </c>
      <c r="M170" s="95">
        <f t="shared" ca="1" si="16"/>
        <v>0</v>
      </c>
      <c r="N170" s="95">
        <f ca="1">IF(P170="Hedge Fund",IF(A170=Summary!$AD$3,M170-E170,M170),IF(A170=Summary!$AD$3,L170-D170,L170))</f>
        <v>0</v>
      </c>
      <c r="P170" s="107" t="s">
        <v>139</v>
      </c>
      <c r="Q170" s="107">
        <v>0</v>
      </c>
      <c r="R170" s="107">
        <v>0</v>
      </c>
      <c r="S170" s="107">
        <v>0</v>
      </c>
      <c r="T170" s="107">
        <v>0</v>
      </c>
      <c r="U170" s="107"/>
      <c r="V170" s="107"/>
      <c r="W170" s="107"/>
      <c r="X170" s="107"/>
      <c r="Y170" s="107"/>
      <c r="Z170" s="107"/>
      <c r="AA170" s="107"/>
      <c r="AB170" s="107"/>
      <c r="AC170" s="355"/>
      <c r="AD170" s="355"/>
      <c r="AE170" s="355"/>
      <c r="AF170" s="94">
        <f t="shared" si="17"/>
        <v>42062</v>
      </c>
      <c r="AG170" s="185">
        <f t="shared" si="18"/>
        <v>1.2056946902829546E-2</v>
      </c>
      <c r="AH170" s="339" t="str">
        <f>VLOOKUP(B170,'MF PF'!A:B,2)</f>
        <v>FdMgt1</v>
      </c>
      <c r="AI170" s="358">
        <f t="shared" si="19"/>
        <v>0</v>
      </c>
      <c r="AJ170" s="94">
        <f t="shared" si="20"/>
        <v>42063</v>
      </c>
    </row>
    <row r="171" spans="1:36" ht="12.75" customHeight="1">
      <c r="A171" s="94">
        <v>42094</v>
      </c>
      <c r="B171" s="8" t="s">
        <v>0</v>
      </c>
      <c r="C171" s="358" t="s">
        <v>297</v>
      </c>
      <c r="D171" s="47">
        <v>295358441.80687124</v>
      </c>
      <c r="E171" s="9">
        <f t="shared" si="14"/>
        <v>1257.5851</v>
      </c>
      <c r="F171" s="47"/>
      <c r="G171" s="47">
        <v>2.284786581993103</v>
      </c>
      <c r="H171" s="47">
        <v>0</v>
      </c>
      <c r="I171" s="47">
        <v>-32880623.230159111</v>
      </c>
      <c r="J171" s="98"/>
      <c r="K171" s="98">
        <v>234861.59450113651</v>
      </c>
      <c r="L171" s="93">
        <f t="shared" si="15"/>
        <v>-32880620.945372529</v>
      </c>
      <c r="M171" s="95">
        <f t="shared" ca="1" si="16"/>
        <v>-140</v>
      </c>
      <c r="N171" s="95">
        <f ca="1">IF(P171="Hedge Fund",IF(A171=Summary!$AD$3,M171-E171,M171),IF(A171=Summary!$AD$3,L171-D171,L171))</f>
        <v>-140</v>
      </c>
      <c r="P171" s="89" t="s">
        <v>139</v>
      </c>
      <c r="Q171" s="89">
        <v>0</v>
      </c>
      <c r="R171" s="89">
        <v>0</v>
      </c>
      <c r="S171" s="89">
        <v>0</v>
      </c>
      <c r="T171" s="89">
        <v>0</v>
      </c>
      <c r="U171" s="89"/>
      <c r="V171" s="89"/>
      <c r="W171" s="89"/>
      <c r="X171" s="89"/>
      <c r="Y171" s="89"/>
      <c r="Z171" s="89"/>
      <c r="AA171" s="89"/>
      <c r="AB171" s="89"/>
      <c r="AC171" s="355"/>
      <c r="AD171" s="355"/>
      <c r="AE171" s="355"/>
      <c r="AF171" s="94">
        <f t="shared" si="17"/>
        <v>42094</v>
      </c>
      <c r="AG171" s="185">
        <f t="shared" si="18"/>
        <v>-4.4856937109358008E-2</v>
      </c>
      <c r="AH171" s="339" t="str">
        <f>VLOOKUP(B171,'MF PF'!A:B,2)</f>
        <v>FdMgt1</v>
      </c>
      <c r="AI171" s="358">
        <f t="shared" si="19"/>
        <v>0</v>
      </c>
      <c r="AJ171" s="94">
        <f t="shared" si="20"/>
        <v>42094</v>
      </c>
    </row>
    <row r="172" spans="1:36" ht="12.75" customHeight="1">
      <c r="A172" s="94">
        <v>42124</v>
      </c>
      <c r="B172" s="8" t="s">
        <v>0</v>
      </c>
      <c r="C172" s="358" t="s">
        <v>297</v>
      </c>
      <c r="D172" s="47">
        <v>296262682.58616579</v>
      </c>
      <c r="E172" s="9">
        <f t="shared" si="14"/>
        <v>1261.4351999999999</v>
      </c>
      <c r="F172" s="47"/>
      <c r="G172" s="47">
        <v>0.15430575609207153</v>
      </c>
      <c r="H172" s="47">
        <v>0</v>
      </c>
      <c r="I172" s="47">
        <v>0</v>
      </c>
      <c r="J172" s="98"/>
      <c r="K172" s="98">
        <v>234861.59462346209</v>
      </c>
      <c r="L172" s="93">
        <f t="shared" si="15"/>
        <v>0.15430575609207153</v>
      </c>
      <c r="M172" s="95">
        <f t="shared" ca="1" si="16"/>
        <v>0</v>
      </c>
      <c r="N172" s="95">
        <f ca="1">IF(P172="Hedge Fund",IF(A172=Summary!$AD$3,M172-E172,M172),IF(A172=Summary!$AD$3,L172-D172,L172))</f>
        <v>0</v>
      </c>
      <c r="P172" s="89" t="s">
        <v>139</v>
      </c>
      <c r="Q172" s="89">
        <v>0</v>
      </c>
      <c r="R172" s="89">
        <v>0</v>
      </c>
      <c r="S172" s="89">
        <v>0</v>
      </c>
      <c r="T172" s="89">
        <v>0</v>
      </c>
      <c r="U172" s="89"/>
      <c r="V172" s="89"/>
      <c r="W172" s="89"/>
      <c r="X172" s="89"/>
      <c r="Y172" s="89"/>
      <c r="Z172" s="89"/>
      <c r="AA172" s="89"/>
      <c r="AB172" s="89"/>
      <c r="AC172" s="355"/>
      <c r="AD172" s="355"/>
      <c r="AE172" s="355"/>
      <c r="AF172" s="94">
        <f t="shared" si="17"/>
        <v>42124</v>
      </c>
      <c r="AG172" s="185">
        <f t="shared" si="18"/>
        <v>3.061502557560436E-3</v>
      </c>
      <c r="AH172" s="339" t="str">
        <f>VLOOKUP(B172,'MF PF'!A:B,2)</f>
        <v>FdMgt1</v>
      </c>
      <c r="AI172" s="358">
        <f t="shared" si="19"/>
        <v>0</v>
      </c>
      <c r="AJ172" s="94">
        <f t="shared" si="20"/>
        <v>42124</v>
      </c>
    </row>
    <row r="173" spans="1:36" ht="12.75" customHeight="1">
      <c r="A173" s="8">
        <v>42153</v>
      </c>
      <c r="B173" s="94" t="s">
        <v>0</v>
      </c>
      <c r="C173" s="92" t="s">
        <v>297</v>
      </c>
      <c r="D173" s="98">
        <v>297046959.72046518</v>
      </c>
      <c r="E173" s="9">
        <f t="shared" si="14"/>
        <v>1264.7746</v>
      </c>
      <c r="F173" s="98"/>
      <c r="G173" s="98">
        <v>0</v>
      </c>
      <c r="H173" s="98">
        <v>-19.67478621006012</v>
      </c>
      <c r="I173" s="98">
        <v>0</v>
      </c>
      <c r="J173" s="98"/>
      <c r="K173" s="98">
        <v>234861.57906749961</v>
      </c>
      <c r="L173" s="93">
        <f t="shared" si="15"/>
        <v>-19.67478621006012</v>
      </c>
      <c r="M173" s="95">
        <f t="shared" ca="1" si="16"/>
        <v>0</v>
      </c>
      <c r="N173" s="95">
        <f ca="1">IF(P173="Hedge Fund",IF(A173=Summary!$AD$3,M173-E173,M173),IF(A173=Summary!$AD$3,L173-D173,L173))</f>
        <v>0</v>
      </c>
      <c r="P173" s="89" t="s">
        <v>139</v>
      </c>
      <c r="Q173" s="107">
        <v>0</v>
      </c>
      <c r="R173" s="107">
        <v>0</v>
      </c>
      <c r="S173" s="107">
        <v>0</v>
      </c>
      <c r="T173" s="107">
        <v>0</v>
      </c>
      <c r="U173" s="107"/>
      <c r="V173" s="107"/>
      <c r="W173" s="107"/>
      <c r="X173" s="107"/>
      <c r="Y173" s="107"/>
      <c r="Z173" s="107"/>
      <c r="AA173" s="107"/>
      <c r="AB173" s="107"/>
      <c r="AC173" s="355"/>
      <c r="AD173" s="355"/>
      <c r="AE173" s="355"/>
      <c r="AF173" s="94">
        <f t="shared" si="17"/>
        <v>42153</v>
      </c>
      <c r="AG173" s="185">
        <f t="shared" si="18"/>
        <v>2.6473020572124195E-3</v>
      </c>
      <c r="AH173" s="339" t="str">
        <f>VLOOKUP(B173,'MF PF'!A:B,2)</f>
        <v>FdMgt1</v>
      </c>
      <c r="AI173" s="358">
        <f t="shared" si="19"/>
        <v>0</v>
      </c>
      <c r="AJ173" s="94">
        <f t="shared" si="20"/>
        <v>42155</v>
      </c>
    </row>
    <row r="174" spans="1:36" ht="12.75" customHeight="1">
      <c r="A174" s="8">
        <v>42185</v>
      </c>
      <c r="B174" s="94" t="s">
        <v>0</v>
      </c>
      <c r="C174" s="92" t="s">
        <v>297</v>
      </c>
      <c r="D174" s="98">
        <v>288817948.81501245</v>
      </c>
      <c r="E174" s="9">
        <f t="shared" si="14"/>
        <v>1229.7367999999999</v>
      </c>
      <c r="F174" s="98"/>
      <c r="G174" s="98">
        <v>22.129598498344421</v>
      </c>
      <c r="H174" s="98">
        <v>0</v>
      </c>
      <c r="I174" s="98">
        <v>0</v>
      </c>
      <c r="J174" s="98"/>
      <c r="K174" s="98">
        <v>234861.59706289385</v>
      </c>
      <c r="L174" s="93">
        <f t="shared" si="15"/>
        <v>22.129598498344421</v>
      </c>
      <c r="M174" s="95">
        <f t="shared" ca="1" si="16"/>
        <v>0</v>
      </c>
      <c r="N174" s="95">
        <f ca="1">IF(P174="Hedge Fund",IF(A174=Summary!$AD$3,M174-E174,M174),IF(A174=Summary!$AD$3,L174-D174,L174))</f>
        <v>0</v>
      </c>
      <c r="P174" s="89" t="s">
        <v>139</v>
      </c>
      <c r="Q174" s="107">
        <v>0</v>
      </c>
      <c r="R174" s="107">
        <v>0</v>
      </c>
      <c r="S174" s="107">
        <v>0</v>
      </c>
      <c r="T174" s="107">
        <v>0</v>
      </c>
      <c r="U174" s="107"/>
      <c r="V174" s="107"/>
      <c r="W174" s="107"/>
      <c r="X174" s="107"/>
      <c r="Y174" s="107"/>
      <c r="Z174" s="107"/>
      <c r="AA174" s="107"/>
      <c r="AB174" s="107"/>
      <c r="AC174" s="355"/>
      <c r="AD174" s="355"/>
      <c r="AE174" s="355"/>
      <c r="AF174" s="94">
        <f t="shared" si="17"/>
        <v>42185</v>
      </c>
      <c r="AG174" s="185">
        <f t="shared" si="18"/>
        <v>-2.7702801748232364E-2</v>
      </c>
      <c r="AH174" s="339" t="str">
        <f>VLOOKUP(B174,'MF PF'!A:B,2)</f>
        <v>FdMgt1</v>
      </c>
      <c r="AI174" s="358">
        <f t="shared" si="19"/>
        <v>0</v>
      </c>
      <c r="AJ174" s="94">
        <f t="shared" si="20"/>
        <v>42185</v>
      </c>
    </row>
    <row r="175" spans="1:36" ht="12.75" customHeight="1">
      <c r="A175" s="8">
        <v>42216</v>
      </c>
      <c r="B175" s="8" t="s">
        <v>0</v>
      </c>
      <c r="C175" s="92" t="s">
        <v>297</v>
      </c>
      <c r="D175" s="47">
        <v>261856452.08637106</v>
      </c>
      <c r="E175" s="9">
        <f t="shared" si="14"/>
        <v>1114.9395</v>
      </c>
      <c r="F175" s="47"/>
      <c r="G175" s="47">
        <v>0</v>
      </c>
      <c r="H175" s="47">
        <v>-19.51213327050209</v>
      </c>
      <c r="I175" s="47">
        <v>-10568771.080302294</v>
      </c>
      <c r="J175" s="98"/>
      <c r="K175" s="98">
        <v>234861.5795622732</v>
      </c>
      <c r="L175" s="93">
        <f t="shared" si="15"/>
        <v>-10568790.592435565</v>
      </c>
      <c r="M175" s="95">
        <f t="shared" ca="1" si="16"/>
        <v>-45</v>
      </c>
      <c r="N175" s="95">
        <f ca="1">IF(P175="Hedge Fund",IF(A175=Summary!$AD$3,M175-E175,M175),IF(A175=Summary!$AD$3,L175-D175,L175))</f>
        <v>-45</v>
      </c>
      <c r="P175" s="89" t="s">
        <v>139</v>
      </c>
      <c r="Q175" s="89">
        <v>0</v>
      </c>
      <c r="R175" s="89">
        <v>0</v>
      </c>
      <c r="S175" s="89">
        <v>0</v>
      </c>
      <c r="T175" s="89">
        <v>0</v>
      </c>
      <c r="U175" s="89"/>
      <c r="V175" s="89"/>
      <c r="W175" s="89"/>
      <c r="X175" s="89"/>
      <c r="Y175" s="89"/>
      <c r="Z175" s="89"/>
      <c r="AA175" s="89"/>
      <c r="AB175" s="89"/>
      <c r="AC175" s="355"/>
      <c r="AD175" s="355"/>
      <c r="AE175" s="355"/>
      <c r="AF175" s="94">
        <f t="shared" si="17"/>
        <v>42216</v>
      </c>
      <c r="AG175" s="185">
        <f t="shared" si="18"/>
        <v>-5.6757920355930858E-2</v>
      </c>
      <c r="AH175" s="339" t="str">
        <f>VLOOKUP(B175,'MF PF'!A:B,2)</f>
        <v>FdMgt1</v>
      </c>
      <c r="AI175" s="358">
        <f t="shared" si="19"/>
        <v>0</v>
      </c>
      <c r="AJ175" s="94">
        <f t="shared" si="20"/>
        <v>42216</v>
      </c>
    </row>
    <row r="176" spans="1:36" ht="12.75" customHeight="1">
      <c r="A176" s="8">
        <v>42247</v>
      </c>
      <c r="B176" s="94" t="s">
        <v>0</v>
      </c>
      <c r="C176" s="92" t="s">
        <v>297</v>
      </c>
      <c r="D176" s="98">
        <v>249270259.18336296</v>
      </c>
      <c r="E176" s="9">
        <f t="shared" si="14"/>
        <v>1061.3496</v>
      </c>
      <c r="F176" s="98"/>
      <c r="G176" s="98">
        <v>15.659576117992401</v>
      </c>
      <c r="H176" s="98">
        <v>0</v>
      </c>
      <c r="I176" s="98">
        <v>0</v>
      </c>
      <c r="J176" s="98"/>
      <c r="K176" s="98">
        <v>234861.5943166728</v>
      </c>
      <c r="L176" s="93">
        <f t="shared" si="15"/>
        <v>15.659576117992401</v>
      </c>
      <c r="M176" s="95">
        <f t="shared" ca="1" si="16"/>
        <v>0</v>
      </c>
      <c r="N176" s="95">
        <f ca="1">IF(P176="Hedge Fund",IF(A176=Summary!$AD$3,M176-E176,M176),IF(A176=Summary!$AD$3,L176-D176,L176))</f>
        <v>0</v>
      </c>
      <c r="P176" s="89" t="s">
        <v>139</v>
      </c>
      <c r="Q176" s="107">
        <v>0</v>
      </c>
      <c r="R176" s="107">
        <v>0</v>
      </c>
      <c r="S176" s="107">
        <v>0</v>
      </c>
      <c r="T176" s="107">
        <v>0</v>
      </c>
      <c r="U176" s="107"/>
      <c r="V176" s="107"/>
      <c r="W176" s="107"/>
      <c r="X176" s="107"/>
      <c r="Y176" s="107"/>
      <c r="Z176" s="107"/>
      <c r="AA176" s="107"/>
      <c r="AB176" s="107"/>
      <c r="AC176" s="355"/>
      <c r="AD176" s="355"/>
      <c r="AE176" s="355"/>
      <c r="AF176" s="94">
        <f t="shared" si="17"/>
        <v>42247</v>
      </c>
      <c r="AG176" s="185">
        <f t="shared" si="18"/>
        <v>-4.8065298610372897E-2</v>
      </c>
      <c r="AH176" s="339" t="str">
        <f>VLOOKUP(B176,'MF PF'!A:B,2)</f>
        <v>FdMgt1</v>
      </c>
      <c r="AI176" s="358">
        <f t="shared" si="19"/>
        <v>0</v>
      </c>
      <c r="AJ176" s="94">
        <f t="shared" si="20"/>
        <v>42247</v>
      </c>
    </row>
    <row r="177" spans="1:36" ht="12.75" customHeight="1">
      <c r="A177" s="8">
        <v>42277</v>
      </c>
      <c r="B177" s="8" t="s">
        <v>0</v>
      </c>
      <c r="C177" s="92" t="s">
        <v>297</v>
      </c>
      <c r="D177" s="47">
        <v>243935946.43107399</v>
      </c>
      <c r="E177" s="9">
        <f t="shared" si="14"/>
        <v>1038.6369999999999</v>
      </c>
      <c r="F177" s="47"/>
      <c r="G177" s="47">
        <v>4.6947879195213318</v>
      </c>
      <c r="H177" s="47">
        <v>0</v>
      </c>
      <c r="I177" s="47">
        <v>-15031142.32555622</v>
      </c>
      <c r="J177" s="98"/>
      <c r="K177" s="98">
        <v>234861.59883681595</v>
      </c>
      <c r="L177" s="93">
        <f t="shared" si="15"/>
        <v>-15031137.630768301</v>
      </c>
      <c r="M177" s="95">
        <f t="shared" ca="1" si="16"/>
        <v>-64</v>
      </c>
      <c r="N177" s="95">
        <f ca="1">IF(P177="Hedge Fund",IF(A177=Summary!$AD$3,M177-E177,M177),IF(A177=Summary!$AD$3,L177-D177,L177))</f>
        <v>-64</v>
      </c>
      <c r="P177" s="89" t="s">
        <v>139</v>
      </c>
      <c r="Q177" s="89">
        <v>0</v>
      </c>
      <c r="R177" s="89">
        <v>0</v>
      </c>
      <c r="S177" s="89">
        <v>0</v>
      </c>
      <c r="T177" s="89">
        <v>0</v>
      </c>
      <c r="U177" s="89"/>
      <c r="V177" s="89"/>
      <c r="W177" s="89"/>
      <c r="X177" s="89"/>
      <c r="Y177" s="89"/>
      <c r="Z177" s="89"/>
      <c r="AA177" s="89"/>
      <c r="AB177" s="89"/>
      <c r="AC177" s="355"/>
      <c r="AD177" s="355"/>
      <c r="AE177" s="355"/>
      <c r="AF177" s="94">
        <f t="shared" si="17"/>
        <v>42277</v>
      </c>
      <c r="AG177" s="185">
        <f t="shared" si="18"/>
        <v>3.8900849665127302E-2</v>
      </c>
      <c r="AH177" s="339" t="str">
        <f>VLOOKUP(B177,'MF PF'!A:B,2)</f>
        <v>FdMgt1</v>
      </c>
      <c r="AI177" s="358">
        <f t="shared" si="19"/>
        <v>0</v>
      </c>
      <c r="AJ177" s="94">
        <f t="shared" si="20"/>
        <v>42277</v>
      </c>
    </row>
    <row r="178" spans="1:36" ht="12.75" customHeight="1">
      <c r="A178" s="94">
        <v>42307</v>
      </c>
      <c r="B178" s="8" t="s">
        <v>0</v>
      </c>
      <c r="C178" s="358" t="s">
        <v>297</v>
      </c>
      <c r="D178" s="98">
        <v>245324847.21667984</v>
      </c>
      <c r="E178" s="9">
        <f t="shared" si="14"/>
        <v>1044.5507</v>
      </c>
      <c r="F178" s="47"/>
      <c r="G178" s="47">
        <v>0</v>
      </c>
      <c r="H178" s="47">
        <v>-0.25143542885780334</v>
      </c>
      <c r="I178" s="98">
        <v>0</v>
      </c>
      <c r="J178" s="98"/>
      <c r="K178" s="98">
        <v>234861.59859610436</v>
      </c>
      <c r="L178" s="93">
        <f t="shared" si="15"/>
        <v>-0.25143542885780334</v>
      </c>
      <c r="M178" s="95">
        <f t="shared" ca="1" si="16"/>
        <v>0</v>
      </c>
      <c r="N178" s="95">
        <f ca="1">IF(P178="Hedge Fund",IF(A178=Summary!$AD$3,M178-E178,M178),IF(A178=Summary!$AD$3,L178-D178,L178))</f>
        <v>0</v>
      </c>
      <c r="P178" s="89" t="s">
        <v>139</v>
      </c>
      <c r="Q178" s="107">
        <v>0</v>
      </c>
      <c r="R178" s="107">
        <v>0</v>
      </c>
      <c r="S178" s="89">
        <v>0</v>
      </c>
      <c r="T178" s="89">
        <v>0</v>
      </c>
      <c r="U178" s="89"/>
      <c r="V178" s="107"/>
      <c r="W178" s="89"/>
      <c r="X178" s="107"/>
      <c r="Y178" s="89"/>
      <c r="Z178" s="89"/>
      <c r="AA178" s="89"/>
      <c r="AB178" s="89"/>
      <c r="AC178" s="355"/>
      <c r="AD178" s="355"/>
      <c r="AE178" s="355"/>
      <c r="AF178" s="94">
        <f t="shared" si="17"/>
        <v>42307</v>
      </c>
      <c r="AG178" s="185">
        <f t="shared" si="18"/>
        <v>5.6937120476161507E-3</v>
      </c>
      <c r="AH178" s="339" t="str">
        <f>VLOOKUP(B178,'MF PF'!A:B,2)</f>
        <v>FdMgt1</v>
      </c>
      <c r="AI178" s="358">
        <f t="shared" si="19"/>
        <v>0</v>
      </c>
      <c r="AJ178" s="94">
        <f t="shared" si="20"/>
        <v>42308</v>
      </c>
    </row>
    <row r="179" spans="1:36" ht="12.75" customHeight="1">
      <c r="A179" s="8">
        <v>42338</v>
      </c>
      <c r="B179" s="8" t="s">
        <v>0</v>
      </c>
      <c r="C179" s="92" t="s">
        <v>297</v>
      </c>
      <c r="D179" s="47">
        <v>243647935.04559928</v>
      </c>
      <c r="E179" s="9">
        <f t="shared" si="14"/>
        <v>1037.4106999999999</v>
      </c>
      <c r="F179" s="47"/>
      <c r="G179" s="47">
        <v>0</v>
      </c>
      <c r="H179" s="47">
        <v>-0.35710433125495911</v>
      </c>
      <c r="I179" s="47">
        <v>0</v>
      </c>
      <c r="J179" s="98"/>
      <c r="K179" s="98">
        <v>234861.59825187776</v>
      </c>
      <c r="L179" s="93">
        <f t="shared" si="15"/>
        <v>-0.35710433125495911</v>
      </c>
      <c r="M179" s="95">
        <f t="shared" ca="1" si="16"/>
        <v>0</v>
      </c>
      <c r="N179" s="95">
        <f ca="1">IF(P179="Hedge Fund",IF(A179=Summary!$AD$3,M179-E179,M179),IF(A179=Summary!$AD$3,L179-D179,L179))</f>
        <v>0</v>
      </c>
      <c r="P179" s="89" t="s">
        <v>139</v>
      </c>
      <c r="Q179" s="89">
        <v>0</v>
      </c>
      <c r="R179" s="89">
        <v>0</v>
      </c>
      <c r="S179" s="89">
        <v>0</v>
      </c>
      <c r="T179" s="89">
        <v>0</v>
      </c>
      <c r="U179" s="89"/>
      <c r="V179" s="89"/>
      <c r="W179" s="89"/>
      <c r="X179" s="89"/>
      <c r="Y179" s="89"/>
      <c r="Z179" s="89"/>
      <c r="AA179" s="89"/>
      <c r="AB179" s="89"/>
      <c r="AC179" s="355"/>
      <c r="AD179" s="355"/>
      <c r="AE179" s="355"/>
      <c r="AF179" s="94">
        <f t="shared" si="17"/>
        <v>42338</v>
      </c>
      <c r="AG179" s="185">
        <f t="shared" si="18"/>
        <v>-6.8354748122807507E-3</v>
      </c>
      <c r="AH179" s="339" t="str">
        <f>VLOOKUP(B179,'MF PF'!A:B,2)</f>
        <v>FdMgt1</v>
      </c>
      <c r="AI179" s="358">
        <f t="shared" si="19"/>
        <v>0</v>
      </c>
      <c r="AJ179" s="94">
        <f t="shared" si="20"/>
        <v>42338</v>
      </c>
    </row>
    <row r="180" spans="1:36" ht="12.75" customHeight="1">
      <c r="A180" s="8">
        <v>42369</v>
      </c>
      <c r="B180" s="94" t="s">
        <v>0</v>
      </c>
      <c r="C180" s="92" t="s">
        <v>297</v>
      </c>
      <c r="D180" s="98">
        <v>229115611.82595748</v>
      </c>
      <c r="E180" s="9">
        <f t="shared" si="14"/>
        <v>975.53459999999995</v>
      </c>
      <c r="F180" s="98"/>
      <c r="G180" s="98">
        <v>0</v>
      </c>
      <c r="H180" s="98">
        <v>-3.4800487756729126</v>
      </c>
      <c r="I180" s="98">
        <v>-12212802.923596753</v>
      </c>
      <c r="J180" s="98"/>
      <c r="K180" s="98">
        <v>234861.59468455295</v>
      </c>
      <c r="L180" s="93">
        <f t="shared" si="15"/>
        <v>-12212806.403645528</v>
      </c>
      <c r="M180" s="95">
        <f t="shared" ca="1" si="16"/>
        <v>-52</v>
      </c>
      <c r="N180" s="95">
        <f ca="1">IF(P180="Hedge Fund",IF(A180=Summary!$AD$3,M180-E180,M180),IF(A180=Summary!$AD$3,L180-D180,L180))</f>
        <v>-52</v>
      </c>
      <c r="P180" s="89" t="s">
        <v>139</v>
      </c>
      <c r="Q180" s="107">
        <v>0</v>
      </c>
      <c r="R180" s="107">
        <v>0</v>
      </c>
      <c r="S180" s="107">
        <v>0</v>
      </c>
      <c r="T180" s="107">
        <v>0</v>
      </c>
      <c r="U180" s="107"/>
      <c r="V180" s="107"/>
      <c r="W180" s="107"/>
      <c r="X180" s="107"/>
      <c r="Y180" s="107"/>
      <c r="Z180" s="107"/>
      <c r="AA180" s="107"/>
      <c r="AB180" s="107"/>
      <c r="AC180" s="355"/>
      <c r="AD180" s="355"/>
      <c r="AE180" s="355"/>
      <c r="AF180" s="94">
        <f t="shared" si="17"/>
        <v>42369</v>
      </c>
      <c r="AG180" s="185">
        <f t="shared" si="18"/>
        <v>-9.519952695524303E-3</v>
      </c>
      <c r="AH180" s="339" t="str">
        <f>VLOOKUP(B180,'MF PF'!A:B,2)</f>
        <v>FdMgt1</v>
      </c>
      <c r="AI180" s="358">
        <f t="shared" si="19"/>
        <v>0</v>
      </c>
      <c r="AJ180" s="94">
        <f t="shared" si="20"/>
        <v>42369</v>
      </c>
    </row>
    <row r="181" spans="1:36" ht="12.75" customHeight="1">
      <c r="A181" s="8">
        <v>42398</v>
      </c>
      <c r="B181" s="8" t="s">
        <v>0</v>
      </c>
      <c r="C181" s="92" t="s">
        <v>297</v>
      </c>
      <c r="D181" s="47">
        <v>215210879.89468837</v>
      </c>
      <c r="E181" s="9">
        <f t="shared" si="14"/>
        <v>916.33069999999998</v>
      </c>
      <c r="F181" s="47"/>
      <c r="G181" s="47">
        <v>0</v>
      </c>
      <c r="H181" s="47">
        <v>-9.5657243132591248</v>
      </c>
      <c r="I181" s="47">
        <v>0</v>
      </c>
      <c r="J181" s="98"/>
      <c r="K181" s="98">
        <v>234861.58424539128</v>
      </c>
      <c r="L181" s="93">
        <f t="shared" si="15"/>
        <v>-9.5657243132591248</v>
      </c>
      <c r="M181" s="95">
        <f t="shared" ca="1" si="16"/>
        <v>0</v>
      </c>
      <c r="N181" s="95">
        <f ca="1">IF(P181="Hedge Fund",IF(A181=Summary!$AD$3,M181-E181,M181),IF(A181=Summary!$AD$3,L181-D181,L181))</f>
        <v>0</v>
      </c>
      <c r="P181" s="89" t="s">
        <v>139</v>
      </c>
      <c r="Q181" s="89">
        <v>0</v>
      </c>
      <c r="R181" s="89">
        <v>0</v>
      </c>
      <c r="S181" s="89">
        <v>0</v>
      </c>
      <c r="T181" s="89">
        <v>0</v>
      </c>
      <c r="U181" s="89"/>
      <c r="V181" s="89"/>
      <c r="W181" s="89"/>
      <c r="X181" s="89"/>
      <c r="Y181" s="89"/>
      <c r="Z181" s="89"/>
      <c r="AA181" s="89"/>
      <c r="AB181" s="89"/>
      <c r="AC181" s="355"/>
      <c r="AD181" s="355"/>
      <c r="AE181" s="355"/>
      <c r="AF181" s="94">
        <f t="shared" si="17"/>
        <v>42398</v>
      </c>
      <c r="AG181" s="185">
        <f t="shared" si="18"/>
        <v>-6.0688672651897702E-2</v>
      </c>
      <c r="AH181" s="339" t="str">
        <f>VLOOKUP(B181,'MF PF'!A:B,2)</f>
        <v>FdMgt1</v>
      </c>
      <c r="AI181" s="358">
        <f t="shared" si="19"/>
        <v>0</v>
      </c>
      <c r="AJ181" s="94">
        <f t="shared" si="20"/>
        <v>42400</v>
      </c>
    </row>
    <row r="182" spans="1:36" ht="12.75" customHeight="1">
      <c r="A182" s="94">
        <v>42429</v>
      </c>
      <c r="B182" s="8" t="s">
        <v>0</v>
      </c>
      <c r="C182" s="358" t="s">
        <v>297</v>
      </c>
      <c r="D182" s="47">
        <v>216884947.29431319</v>
      </c>
      <c r="E182" s="9">
        <f t="shared" si="14"/>
        <v>923.45860000000005</v>
      </c>
      <c r="F182" s="47"/>
      <c r="G182" s="47">
        <v>0</v>
      </c>
      <c r="H182" s="47">
        <v>-2.4867179095745087</v>
      </c>
      <c r="I182" s="47">
        <v>0</v>
      </c>
      <c r="J182" s="98"/>
      <c r="K182" s="98">
        <v>234861.58155256032</v>
      </c>
      <c r="L182" s="93">
        <f t="shared" si="15"/>
        <v>-2.4867179095745087</v>
      </c>
      <c r="M182" s="95">
        <f t="shared" ca="1" si="16"/>
        <v>0</v>
      </c>
      <c r="N182" s="95">
        <f ca="1">IF(P182="Hedge Fund",IF(A182=Summary!$AD$3,M182-E182,M182),IF(A182=Summary!$AD$3,L182-D182,L182))</f>
        <v>0</v>
      </c>
      <c r="P182" s="89" t="s">
        <v>139</v>
      </c>
      <c r="Q182" s="89">
        <v>0</v>
      </c>
      <c r="R182" s="89">
        <v>0</v>
      </c>
      <c r="S182" s="89">
        <v>0</v>
      </c>
      <c r="T182" s="89">
        <v>0</v>
      </c>
      <c r="U182" s="89"/>
      <c r="V182" s="89"/>
      <c r="W182" s="89"/>
      <c r="X182" s="89"/>
      <c r="Y182" s="89"/>
      <c r="Z182" s="89"/>
      <c r="AA182" s="89"/>
      <c r="AB182" s="89"/>
      <c r="AC182" s="355"/>
      <c r="AD182" s="355"/>
      <c r="AE182" s="355"/>
      <c r="AF182" s="94">
        <f t="shared" si="17"/>
        <v>42429</v>
      </c>
      <c r="AG182" s="185">
        <f t="shared" si="18"/>
        <v>7.7787418887089732E-3</v>
      </c>
      <c r="AH182" s="339" t="str">
        <f>VLOOKUP(B182,'MF PF'!A:B,2)</f>
        <v>FdMgt1</v>
      </c>
      <c r="AI182" s="358">
        <f t="shared" si="19"/>
        <v>0</v>
      </c>
      <c r="AJ182" s="94">
        <f t="shared" si="20"/>
        <v>42429</v>
      </c>
    </row>
    <row r="183" spans="1:36" ht="12.75" customHeight="1">
      <c r="A183" s="8">
        <v>42460</v>
      </c>
      <c r="B183" s="94" t="s">
        <v>0</v>
      </c>
      <c r="C183" s="92" t="s">
        <v>297</v>
      </c>
      <c r="D183" s="98">
        <v>226940767.57510108</v>
      </c>
      <c r="E183" s="9">
        <f t="shared" si="14"/>
        <v>966.27449999999999</v>
      </c>
      <c r="F183" s="98"/>
      <c r="G183" s="98">
        <v>10.291191637516022</v>
      </c>
      <c r="H183" s="98">
        <v>0</v>
      </c>
      <c r="I183" s="98">
        <v>0</v>
      </c>
      <c r="J183" s="98"/>
      <c r="K183" s="98">
        <v>234861.59220294139</v>
      </c>
      <c r="L183" s="93">
        <f t="shared" si="15"/>
        <v>10.291191637516022</v>
      </c>
      <c r="M183" s="95">
        <f t="shared" ca="1" si="16"/>
        <v>0</v>
      </c>
      <c r="N183" s="95">
        <f ca="1">IF(P183="Hedge Fund",IF(A183=Summary!$AD$3,M183-E183,M183),IF(A183=Summary!$AD$3,L183-D183,L183))</f>
        <v>0</v>
      </c>
      <c r="P183" s="89" t="s">
        <v>139</v>
      </c>
      <c r="Q183" s="107">
        <v>0</v>
      </c>
      <c r="R183" s="107">
        <v>0</v>
      </c>
      <c r="S183" s="107">
        <v>0</v>
      </c>
      <c r="T183" s="107">
        <v>0</v>
      </c>
      <c r="U183" s="107"/>
      <c r="V183" s="107"/>
      <c r="W183" s="107"/>
      <c r="X183" s="107"/>
      <c r="Y183" s="107"/>
      <c r="Z183" s="107"/>
      <c r="AA183" s="107"/>
      <c r="AB183" s="107"/>
      <c r="AC183" s="355"/>
      <c r="AD183" s="355"/>
      <c r="AE183" s="355"/>
      <c r="AF183" s="94">
        <f t="shared" si="17"/>
        <v>42460</v>
      </c>
      <c r="AG183" s="185">
        <f t="shared" si="18"/>
        <v>4.6364720627432465E-2</v>
      </c>
      <c r="AH183" s="339" t="str">
        <f>VLOOKUP(B183,'MF PF'!A:B,2)</f>
        <v>FdMgt1</v>
      </c>
      <c r="AI183" s="358">
        <f t="shared" si="19"/>
        <v>0</v>
      </c>
      <c r="AJ183" s="94">
        <f t="shared" si="20"/>
        <v>42460</v>
      </c>
    </row>
    <row r="184" spans="1:36" ht="12.75" customHeight="1">
      <c r="A184" s="94">
        <v>42489</v>
      </c>
      <c r="B184" s="8" t="s">
        <v>0</v>
      </c>
      <c r="C184" s="358" t="s">
        <v>297</v>
      </c>
      <c r="D184" s="47">
        <v>210448303.84221861</v>
      </c>
      <c r="E184" s="9">
        <f t="shared" si="14"/>
        <v>896.05240000000003</v>
      </c>
      <c r="F184" s="47"/>
      <c r="G184" s="47">
        <v>10.48095166683197</v>
      </c>
      <c r="H184" s="47">
        <v>0</v>
      </c>
      <c r="I184" s="47">
        <v>-15031142.649583876</v>
      </c>
      <c r="J184" s="98"/>
      <c r="K184" s="98">
        <v>234861.60389974806</v>
      </c>
      <c r="L184" s="93">
        <f t="shared" si="15"/>
        <v>-15031132.168632209</v>
      </c>
      <c r="M184" s="95">
        <f t="shared" ca="1" si="16"/>
        <v>-64</v>
      </c>
      <c r="N184" s="95">
        <f ca="1">IF(P184="Hedge Fund",IF(A184=Summary!$AD$3,M184-E184,M184),IF(A184=Summary!$AD$3,L184-D184,L184))</f>
        <v>-64</v>
      </c>
      <c r="P184" s="89" t="s">
        <v>139</v>
      </c>
      <c r="Q184" s="89">
        <v>0</v>
      </c>
      <c r="R184" s="89">
        <v>0</v>
      </c>
      <c r="S184" s="89">
        <v>0</v>
      </c>
      <c r="T184" s="89">
        <v>0</v>
      </c>
      <c r="U184" s="89"/>
      <c r="V184" s="89"/>
      <c r="W184" s="89"/>
      <c r="X184" s="89"/>
      <c r="Y184" s="89"/>
      <c r="Z184" s="89"/>
      <c r="AA184" s="89"/>
      <c r="AB184" s="89"/>
      <c r="AC184" s="355"/>
      <c r="AD184" s="355"/>
      <c r="AE184" s="355"/>
      <c r="AF184" s="94">
        <f t="shared" si="17"/>
        <v>42489</v>
      </c>
      <c r="AG184" s="185">
        <f t="shared" si="18"/>
        <v>-6.4392642179932347E-3</v>
      </c>
      <c r="AH184" s="339" t="str">
        <f>VLOOKUP(B184,'MF PF'!A:B,2)</f>
        <v>FdMgt1</v>
      </c>
      <c r="AI184" s="358">
        <f t="shared" si="19"/>
        <v>0</v>
      </c>
      <c r="AJ184" s="94">
        <f t="shared" si="20"/>
        <v>42490</v>
      </c>
    </row>
    <row r="185" spans="1:36" ht="12.75" customHeight="1">
      <c r="A185" s="94">
        <v>42521</v>
      </c>
      <c r="B185" s="8" t="s">
        <v>0</v>
      </c>
      <c r="C185" s="358" t="s">
        <v>297</v>
      </c>
      <c r="D185" s="47">
        <v>210448303.84221861</v>
      </c>
      <c r="E185" s="9">
        <f t="shared" si="14"/>
        <v>913.46119999999996</v>
      </c>
      <c r="F185" s="47"/>
      <c r="G185" s="47">
        <v>0</v>
      </c>
      <c r="H185" s="47">
        <v>-4088658.6899699271</v>
      </c>
      <c r="I185" s="47">
        <v>0</v>
      </c>
      <c r="J185" s="98"/>
      <c r="K185" s="98">
        <v>230385.59693856578</v>
      </c>
      <c r="L185" s="93">
        <f t="shared" si="15"/>
        <v>-4088658.6899699271</v>
      </c>
      <c r="M185" s="95">
        <f t="shared" ca="1" si="16"/>
        <v>0</v>
      </c>
      <c r="N185" s="95">
        <f ca="1">IF(P185="Hedge Fund",IF(A185=Summary!$AD$3,M185-E185,M185),IF(A185=Summary!$AD$3,L185-D185,L185))</f>
        <v>0</v>
      </c>
      <c r="P185" s="89" t="s">
        <v>139</v>
      </c>
      <c r="Q185" s="89">
        <v>0</v>
      </c>
      <c r="R185" s="89">
        <v>0</v>
      </c>
      <c r="S185" s="89">
        <v>0</v>
      </c>
      <c r="T185" s="89">
        <v>0</v>
      </c>
      <c r="U185" s="89"/>
      <c r="V185" s="89"/>
      <c r="W185" s="89"/>
      <c r="X185" s="89"/>
      <c r="Y185" s="89"/>
      <c r="Z185" s="89"/>
      <c r="AA185" s="89"/>
      <c r="AB185" s="89"/>
      <c r="AC185" s="355"/>
      <c r="AD185" s="355"/>
      <c r="AE185" s="355"/>
      <c r="AF185" s="94">
        <f t="shared" si="17"/>
        <v>42521</v>
      </c>
      <c r="AG185" s="185">
        <f t="shared" si="18"/>
        <v>1.9428328075456358E-2</v>
      </c>
      <c r="AH185" s="339" t="str">
        <f>VLOOKUP(B185,'MF PF'!A:B,2)</f>
        <v>FdMgt1</v>
      </c>
      <c r="AI185" s="358">
        <f t="shared" si="19"/>
        <v>0</v>
      </c>
      <c r="AJ185" s="94">
        <f t="shared" si="20"/>
        <v>42521</v>
      </c>
    </row>
    <row r="186" spans="1:36" ht="12.75" customHeight="1">
      <c r="A186" s="8">
        <v>42551</v>
      </c>
      <c r="B186" s="94" t="s">
        <v>0</v>
      </c>
      <c r="C186" s="92" t="s">
        <v>297</v>
      </c>
      <c r="D186" s="98">
        <v>214375470.17588401</v>
      </c>
      <c r="E186" s="9">
        <f t="shared" si="14"/>
        <v>912.77359999999987</v>
      </c>
      <c r="F186" s="98"/>
      <c r="G186" s="98">
        <v>4085579.4701203704</v>
      </c>
      <c r="H186" s="98">
        <v>0</v>
      </c>
      <c r="I186" s="98">
        <v>0</v>
      </c>
      <c r="J186" s="98"/>
      <c r="K186" s="98">
        <v>234861.60223727333</v>
      </c>
      <c r="L186" s="93">
        <f t="shared" si="15"/>
        <v>4085579.4701203704</v>
      </c>
      <c r="M186" s="95">
        <f t="shared" ca="1" si="16"/>
        <v>0</v>
      </c>
      <c r="N186" s="95">
        <f ca="1">IF(P186="Hedge Fund",IF(A186=Summary!$AD$3,M186-E186,M186),IF(A186=Summary!$AD$3,L186-D186,L186))</f>
        <v>0</v>
      </c>
      <c r="P186" s="107" t="s">
        <v>139</v>
      </c>
      <c r="Q186" s="107">
        <v>0</v>
      </c>
      <c r="R186" s="107">
        <v>0</v>
      </c>
      <c r="S186" s="107">
        <v>0</v>
      </c>
      <c r="T186" s="107">
        <v>0</v>
      </c>
      <c r="U186" s="107"/>
      <c r="V186" s="107"/>
      <c r="W186" s="107"/>
      <c r="X186" s="107"/>
      <c r="Y186" s="107"/>
      <c r="Z186" s="107"/>
      <c r="AA186" s="107"/>
      <c r="AB186" s="107"/>
      <c r="AC186" s="355"/>
      <c r="AD186" s="355"/>
      <c r="AE186" s="355"/>
      <c r="AF186" s="94">
        <f t="shared" si="17"/>
        <v>42551</v>
      </c>
      <c r="AG186" s="185">
        <f t="shared" si="18"/>
        <v>-7.527413315421283E-4</v>
      </c>
      <c r="AH186" s="339" t="str">
        <f>VLOOKUP(B186,'MF PF'!A:B,2)</f>
        <v>FdMgt1</v>
      </c>
      <c r="AI186" s="358">
        <f t="shared" si="19"/>
        <v>0</v>
      </c>
      <c r="AJ186" s="94">
        <f t="shared" si="20"/>
        <v>42551</v>
      </c>
    </row>
    <row r="187" spans="1:36" ht="12.75" customHeight="1">
      <c r="A187" s="8">
        <v>42580</v>
      </c>
      <c r="B187" s="94" t="s">
        <v>0</v>
      </c>
      <c r="C187" s="92" t="s">
        <v>297</v>
      </c>
      <c r="D187" s="98">
        <v>212639820.515331</v>
      </c>
      <c r="E187" s="9">
        <f t="shared" si="14"/>
        <v>905.38350000000003</v>
      </c>
      <c r="F187" s="98"/>
      <c r="G187" s="98">
        <v>1.0661406517028809</v>
      </c>
      <c r="H187" s="98">
        <v>0</v>
      </c>
      <c r="I187" s="98">
        <v>-7985294.5161042297</v>
      </c>
      <c r="J187" s="98"/>
      <c r="K187" s="98">
        <v>234861.60341483029</v>
      </c>
      <c r="L187" s="93">
        <f t="shared" si="15"/>
        <v>-7985293.449963578</v>
      </c>
      <c r="M187" s="95">
        <f t="shared" ca="1" si="16"/>
        <v>-34</v>
      </c>
      <c r="N187" s="95">
        <f ca="1">IF(P187="Hedge Fund",IF(A187=Summary!$AD$3,M187-E187,M187),IF(A187=Summary!$AD$3,L187-D187,L187))</f>
        <v>-34</v>
      </c>
      <c r="P187" s="89" t="s">
        <v>139</v>
      </c>
      <c r="Q187" s="107">
        <v>0</v>
      </c>
      <c r="R187" s="107">
        <v>0</v>
      </c>
      <c r="S187" s="107">
        <v>0</v>
      </c>
      <c r="T187" s="107">
        <v>0</v>
      </c>
      <c r="U187" s="107"/>
      <c r="V187" s="107"/>
      <c r="W187" s="107"/>
      <c r="X187" s="107"/>
      <c r="Y187" s="107"/>
      <c r="Z187" s="107"/>
      <c r="AA187" s="107"/>
      <c r="AB187" s="107"/>
      <c r="AC187" s="355"/>
      <c r="AD187" s="355"/>
      <c r="AE187" s="355"/>
      <c r="AF187" s="94">
        <f t="shared" si="17"/>
        <v>42580</v>
      </c>
      <c r="AG187" s="185">
        <f t="shared" si="18"/>
        <v>2.9152793387615894E-2</v>
      </c>
      <c r="AH187" s="339" t="str">
        <f>VLOOKUP(B187,'MF PF'!A:B,2)</f>
        <v>FdMgt1</v>
      </c>
      <c r="AI187" s="358">
        <f t="shared" si="19"/>
        <v>0</v>
      </c>
      <c r="AJ187" s="94">
        <f t="shared" si="20"/>
        <v>42582</v>
      </c>
    </row>
    <row r="188" spans="1:36" ht="12.75" customHeight="1">
      <c r="A188" s="8">
        <v>42613</v>
      </c>
      <c r="B188" s="8" t="s">
        <v>0</v>
      </c>
      <c r="C188" s="92" t="s">
        <v>297</v>
      </c>
      <c r="D188" s="47">
        <v>215959790.50103399</v>
      </c>
      <c r="E188" s="9">
        <f t="shared" si="14"/>
        <v>919.51940000000002</v>
      </c>
      <c r="F188" s="47"/>
      <c r="G188" s="47">
        <v>0</v>
      </c>
      <c r="H188" s="47">
        <v>-10.154008716344833</v>
      </c>
      <c r="I188" s="47">
        <v>0</v>
      </c>
      <c r="J188" s="98"/>
      <c r="K188" s="98">
        <v>234861.59237209568</v>
      </c>
      <c r="L188" s="93">
        <f t="shared" si="15"/>
        <v>-10.154008716344833</v>
      </c>
      <c r="M188" s="95">
        <f t="shared" ca="1" si="16"/>
        <v>0</v>
      </c>
      <c r="N188" s="95">
        <f ca="1">IF(P188="Hedge Fund",IF(A188=Summary!$AD$3,M188-E188,M188),IF(A188=Summary!$AD$3,L188-D188,L188))</f>
        <v>0</v>
      </c>
      <c r="P188" s="89" t="s">
        <v>139</v>
      </c>
      <c r="Q188" s="89">
        <v>0</v>
      </c>
      <c r="R188" s="89">
        <v>0</v>
      </c>
      <c r="S188" s="89">
        <v>0</v>
      </c>
      <c r="T188" s="89">
        <v>0</v>
      </c>
      <c r="U188" s="89"/>
      <c r="V188" s="89"/>
      <c r="W188" s="89"/>
      <c r="X188" s="89"/>
      <c r="Y188" s="89"/>
      <c r="Z188" s="89"/>
      <c r="AA188" s="89"/>
      <c r="AB188" s="89"/>
      <c r="AC188" s="355"/>
      <c r="AD188" s="355"/>
      <c r="AE188" s="355"/>
      <c r="AF188" s="94">
        <f t="shared" si="17"/>
        <v>42613</v>
      </c>
      <c r="AG188" s="185">
        <f t="shared" si="18"/>
        <v>1.5613162819954285E-2</v>
      </c>
      <c r="AH188" s="339" t="str">
        <f>VLOOKUP(B188,'MF PF'!A:B,2)</f>
        <v>FdMgt1</v>
      </c>
      <c r="AI188" s="358">
        <f t="shared" si="19"/>
        <v>0</v>
      </c>
      <c r="AJ188" s="94">
        <f t="shared" si="20"/>
        <v>42613</v>
      </c>
    </row>
    <row r="189" spans="1:36" ht="12.75" customHeight="1">
      <c r="A189" s="8">
        <v>42643</v>
      </c>
      <c r="B189" s="94" t="s">
        <v>0</v>
      </c>
      <c r="C189" s="92" t="s">
        <v>297</v>
      </c>
      <c r="D189" s="98">
        <v>218353454.76887801</v>
      </c>
      <c r="E189" s="9">
        <f t="shared" si="14"/>
        <v>929.71120000000008</v>
      </c>
      <c r="F189" s="98"/>
      <c r="G189" s="98">
        <v>1.8907060623168945</v>
      </c>
      <c r="H189" s="98">
        <v>0</v>
      </c>
      <c r="I189" s="98">
        <v>0</v>
      </c>
      <c r="J189" s="98"/>
      <c r="K189" s="98">
        <v>234861.59440574449</v>
      </c>
      <c r="L189" s="93">
        <f t="shared" si="15"/>
        <v>1.8907060623168945</v>
      </c>
      <c r="M189" s="95">
        <f t="shared" ca="1" si="16"/>
        <v>0</v>
      </c>
      <c r="N189" s="95">
        <f ca="1">IF(P189="Hedge Fund",IF(A189=Summary!$AD$3,M189-E189,M189),IF(A189=Summary!$AD$3,L189-D189,L189))</f>
        <v>0</v>
      </c>
      <c r="P189" s="89" t="s">
        <v>139</v>
      </c>
      <c r="Q189" s="107">
        <v>0</v>
      </c>
      <c r="R189" s="107">
        <v>0</v>
      </c>
      <c r="S189" s="107">
        <v>0</v>
      </c>
      <c r="T189" s="107">
        <v>0</v>
      </c>
      <c r="U189" s="107"/>
      <c r="V189" s="107"/>
      <c r="W189" s="107"/>
      <c r="X189" s="107"/>
      <c r="Y189" s="107"/>
      <c r="Z189" s="107"/>
      <c r="AA189" s="107"/>
      <c r="AB189" s="107"/>
      <c r="AC189" s="355"/>
      <c r="AD189" s="355"/>
      <c r="AE189" s="355"/>
      <c r="AF189" s="94">
        <f t="shared" si="17"/>
        <v>42643</v>
      </c>
      <c r="AG189" s="185">
        <f t="shared" si="18"/>
        <v>1.1083833576540192E-2</v>
      </c>
      <c r="AH189" s="339" t="str">
        <f>VLOOKUP(B189,'MF PF'!A:B,2)</f>
        <v>FdMgt1</v>
      </c>
      <c r="AI189" s="358">
        <f t="shared" si="19"/>
        <v>0</v>
      </c>
      <c r="AJ189" s="94">
        <f t="shared" si="20"/>
        <v>42643</v>
      </c>
    </row>
    <row r="190" spans="1:36" ht="12.75" customHeight="1">
      <c r="A190" s="8">
        <v>42674</v>
      </c>
      <c r="B190" s="8" t="s">
        <v>0</v>
      </c>
      <c r="C190" s="92" t="s">
        <v>297</v>
      </c>
      <c r="D190" s="47">
        <v>226208428.01196498</v>
      </c>
      <c r="E190" s="9">
        <f t="shared" si="14"/>
        <v>963.1563000000001</v>
      </c>
      <c r="F190" s="47"/>
      <c r="G190" s="47">
        <v>3.7320273816585541</v>
      </c>
      <c r="H190" s="47">
        <v>0</v>
      </c>
      <c r="I190" s="47">
        <v>0</v>
      </c>
      <c r="J190" s="98"/>
      <c r="K190" s="98">
        <v>234861.59828053345</v>
      </c>
      <c r="L190" s="93">
        <f t="shared" si="15"/>
        <v>3.7320273816585541</v>
      </c>
      <c r="M190" s="95">
        <f t="shared" ca="1" si="16"/>
        <v>0</v>
      </c>
      <c r="N190" s="95">
        <f ca="1">IF(P190="Hedge Fund",IF(A190=Summary!$AD$3,M190-E190,M190),IF(A190=Summary!$AD$3,L190-D190,L190))</f>
        <v>0</v>
      </c>
      <c r="P190" s="89" t="s">
        <v>139</v>
      </c>
      <c r="Q190" s="89">
        <v>0</v>
      </c>
      <c r="R190" s="89">
        <v>0</v>
      </c>
      <c r="S190" s="89">
        <v>0</v>
      </c>
      <c r="T190" s="89">
        <v>0</v>
      </c>
      <c r="U190" s="89"/>
      <c r="V190" s="89"/>
      <c r="W190" s="89"/>
      <c r="X190" s="89"/>
      <c r="Y190" s="89"/>
      <c r="Z190" s="89"/>
      <c r="AA190" s="89"/>
      <c r="AB190" s="89"/>
      <c r="AC190" s="355"/>
      <c r="AD190" s="355"/>
      <c r="AE190" s="355"/>
      <c r="AF190" s="94">
        <f t="shared" si="17"/>
        <v>42674</v>
      </c>
      <c r="AG190" s="185">
        <f t="shared" si="18"/>
        <v>3.5973644288678219E-2</v>
      </c>
      <c r="AH190" s="339" t="str">
        <f>VLOOKUP(B190,'MF PF'!A:B,2)</f>
        <v>FdMgt1</v>
      </c>
      <c r="AI190" s="358">
        <f t="shared" si="19"/>
        <v>0</v>
      </c>
      <c r="AJ190" s="94">
        <f t="shared" si="20"/>
        <v>42674</v>
      </c>
    </row>
    <row r="191" spans="1:36" ht="12.75" customHeight="1">
      <c r="A191" s="8">
        <v>42704</v>
      </c>
      <c r="B191" s="94" t="s">
        <v>0</v>
      </c>
      <c r="C191" s="92" t="s">
        <v>297</v>
      </c>
      <c r="D191" s="98">
        <v>210770566.722247</v>
      </c>
      <c r="E191" s="9">
        <f t="shared" si="14"/>
        <v>897.42460000000005</v>
      </c>
      <c r="F191" s="98"/>
      <c r="G191" s="98">
        <v>0</v>
      </c>
      <c r="H191" s="98">
        <v>-9.1700214147567749</v>
      </c>
      <c r="I191" s="98">
        <v>-12212802.579243809</v>
      </c>
      <c r="J191" s="98"/>
      <c r="K191" s="98">
        <v>234861.58806238094</v>
      </c>
      <c r="L191" s="93">
        <f t="shared" si="15"/>
        <v>-12212811.749265224</v>
      </c>
      <c r="M191" s="95">
        <f t="shared" ca="1" si="16"/>
        <v>-52</v>
      </c>
      <c r="N191" s="95">
        <f ca="1">IF(P191="Hedge Fund",IF(A191=Summary!$AD$3,M191-E191,M191),IF(A191=Summary!$AD$3,L191-D191,L191))</f>
        <v>-52</v>
      </c>
      <c r="P191" s="89" t="s">
        <v>139</v>
      </c>
      <c r="Q191" s="107">
        <v>0</v>
      </c>
      <c r="R191" s="107">
        <v>0</v>
      </c>
      <c r="S191" s="107">
        <v>0</v>
      </c>
      <c r="T191" s="107">
        <v>0</v>
      </c>
      <c r="U191" s="107"/>
      <c r="V191" s="107"/>
      <c r="W191" s="107"/>
      <c r="X191" s="107"/>
      <c r="Y191" s="107"/>
      <c r="Z191" s="107"/>
      <c r="AA191" s="107"/>
      <c r="AB191" s="107"/>
      <c r="AC191" s="355"/>
      <c r="AD191" s="355"/>
      <c r="AE191" s="355"/>
      <c r="AF191" s="94">
        <f t="shared" si="17"/>
        <v>42704</v>
      </c>
      <c r="AG191" s="185">
        <f t="shared" si="18"/>
        <v>-1.4256982238885274E-2</v>
      </c>
      <c r="AH191" s="339" t="str">
        <f>VLOOKUP(B191,'MF PF'!A:B,2)</f>
        <v>FdMgt1</v>
      </c>
      <c r="AI191" s="358">
        <f t="shared" si="19"/>
        <v>0</v>
      </c>
      <c r="AJ191" s="94">
        <f t="shared" si="20"/>
        <v>42704</v>
      </c>
    </row>
    <row r="192" spans="1:36" ht="12.75" customHeight="1">
      <c r="A192" s="8">
        <v>42734</v>
      </c>
      <c r="B192" s="94" t="s">
        <v>0</v>
      </c>
      <c r="C192" s="92" t="s">
        <v>297</v>
      </c>
      <c r="D192" s="98">
        <v>211047913.87174401</v>
      </c>
      <c r="E192" s="9">
        <f t="shared" si="14"/>
        <v>898.60550000000001</v>
      </c>
      <c r="F192" s="47"/>
      <c r="G192" s="47">
        <v>0</v>
      </c>
      <c r="H192" s="98">
        <v>-0.89984583854675293</v>
      </c>
      <c r="I192" s="98">
        <v>-6000713.5494085662</v>
      </c>
      <c r="J192" s="98"/>
      <c r="K192" s="98">
        <v>234861.58706100064</v>
      </c>
      <c r="L192" s="93">
        <f t="shared" si="15"/>
        <v>-6000714.4492544048</v>
      </c>
      <c r="M192" s="95">
        <f t="shared" ca="1" si="16"/>
        <v>-25.55</v>
      </c>
      <c r="N192" s="95">
        <f ca="1">IF(P192="Hedge Fund",IF(A192=Summary!$AD$3,M192-E192,M192),IF(A192=Summary!$AD$3,L192-D192,L192))</f>
        <v>-25.55</v>
      </c>
      <c r="P192" s="107" t="s">
        <v>139</v>
      </c>
      <c r="Q192" s="107">
        <v>0</v>
      </c>
      <c r="R192" s="107">
        <v>0</v>
      </c>
      <c r="S192" s="89">
        <v>0</v>
      </c>
      <c r="T192" s="89">
        <v>0</v>
      </c>
      <c r="U192" s="89"/>
      <c r="V192" s="107"/>
      <c r="W192" s="89"/>
      <c r="X192" s="107"/>
      <c r="Y192" s="107"/>
      <c r="Z192" s="107"/>
      <c r="AA192" s="107"/>
      <c r="AB192" s="107"/>
      <c r="AC192" s="355"/>
      <c r="AD192" s="355"/>
      <c r="AE192" s="355"/>
      <c r="AF192" s="94">
        <f t="shared" si="17"/>
        <v>42734</v>
      </c>
      <c r="AG192" s="185">
        <f t="shared" si="18"/>
        <v>2.9786234844757065E-2</v>
      </c>
      <c r="AH192" s="339" t="str">
        <f>VLOOKUP(B192,'MF PF'!A:B,2)</f>
        <v>FdMgt1</v>
      </c>
      <c r="AI192" s="358">
        <f t="shared" si="19"/>
        <v>0</v>
      </c>
      <c r="AJ192" s="94">
        <f t="shared" si="20"/>
        <v>42735</v>
      </c>
    </row>
    <row r="193" spans="1:36" ht="12.75" customHeight="1">
      <c r="A193" s="8">
        <v>42762</v>
      </c>
      <c r="B193" s="94" t="s">
        <v>0</v>
      </c>
      <c r="C193" s="92" t="s">
        <v>297</v>
      </c>
      <c r="D193" s="98">
        <v>213759052.237176</v>
      </c>
      <c r="E193" s="9">
        <f t="shared" si="14"/>
        <v>910.14899999999989</v>
      </c>
      <c r="F193" s="98"/>
      <c r="G193" s="98">
        <v>13.635193347930908</v>
      </c>
      <c r="H193" s="98">
        <v>0</v>
      </c>
      <c r="I193" s="98">
        <v>0</v>
      </c>
      <c r="J193" s="98"/>
      <c r="K193" s="98">
        <v>234861.60204227662</v>
      </c>
      <c r="L193" s="93">
        <f t="shared" si="15"/>
        <v>13.635193347930908</v>
      </c>
      <c r="M193" s="95">
        <f t="shared" ca="1" si="16"/>
        <v>0</v>
      </c>
      <c r="N193" s="95">
        <f ca="1">IF(P193="Hedge Fund",IF(A193=Summary!$AD$3,M193-E193,M193),IF(A193=Summary!$AD$3,L193-D193,L193))</f>
        <v>0</v>
      </c>
      <c r="P193" s="89" t="s">
        <v>139</v>
      </c>
      <c r="Q193" s="107">
        <v>0</v>
      </c>
      <c r="R193" s="107">
        <v>0</v>
      </c>
      <c r="S193" s="107">
        <v>0</v>
      </c>
      <c r="T193" s="107">
        <v>0</v>
      </c>
      <c r="U193" s="107"/>
      <c r="V193" s="107"/>
      <c r="W193" s="107"/>
      <c r="X193" s="107"/>
      <c r="Y193" s="107"/>
      <c r="Z193" s="107"/>
      <c r="AA193" s="107"/>
      <c r="AB193" s="107"/>
      <c r="AC193" s="355"/>
      <c r="AD193" s="355"/>
      <c r="AE193" s="355"/>
      <c r="AF193" s="94">
        <f t="shared" si="17"/>
        <v>42762</v>
      </c>
      <c r="AG193" s="185">
        <f t="shared" si="18"/>
        <v>1.2846015298147995E-2</v>
      </c>
      <c r="AH193" s="339" t="str">
        <f>VLOOKUP(B193,'MF PF'!A:B,2)</f>
        <v>FdMgt1</v>
      </c>
      <c r="AI193" s="358">
        <f t="shared" si="19"/>
        <v>0</v>
      </c>
      <c r="AJ193" s="94">
        <f t="shared" si="20"/>
        <v>42766</v>
      </c>
    </row>
    <row r="194" spans="1:36" ht="12.75" customHeight="1">
      <c r="A194" s="8">
        <v>42794</v>
      </c>
      <c r="B194" s="94" t="s">
        <v>0</v>
      </c>
      <c r="C194" s="92" t="s">
        <v>297</v>
      </c>
      <c r="D194" s="98">
        <v>237836518.87778831</v>
      </c>
      <c r="E194" s="9">
        <f t="shared" si="14"/>
        <v>1012.6666999999999</v>
      </c>
      <c r="F194" s="98"/>
      <c r="G194" s="98">
        <v>0</v>
      </c>
      <c r="H194" s="98">
        <v>-4.6190771758556366</v>
      </c>
      <c r="I194" s="98">
        <v>0</v>
      </c>
      <c r="J194" s="98"/>
      <c r="K194" s="98">
        <v>234861.59748097605</v>
      </c>
      <c r="L194" s="93">
        <f t="shared" si="15"/>
        <v>-4.6190771758556366</v>
      </c>
      <c r="M194" s="95">
        <f t="shared" ca="1" si="16"/>
        <v>0</v>
      </c>
      <c r="N194" s="95">
        <f ca="1">IF(P194="Hedge Fund",IF(A194=Summary!$AD$3,M194-E194,M194),IF(A194=Summary!$AD$3,L194-D194,L194))</f>
        <v>0</v>
      </c>
      <c r="P194" s="89" t="s">
        <v>139</v>
      </c>
      <c r="Q194" s="107">
        <v>0</v>
      </c>
      <c r="R194" s="107">
        <v>0</v>
      </c>
      <c r="S194" s="107">
        <v>0</v>
      </c>
      <c r="T194" s="107">
        <v>0</v>
      </c>
      <c r="U194" s="107"/>
      <c r="V194" s="107"/>
      <c r="W194" s="107"/>
      <c r="X194" s="107"/>
      <c r="Y194" s="107"/>
      <c r="Z194" s="107"/>
      <c r="AA194" s="107"/>
      <c r="AB194" s="107"/>
      <c r="AC194" s="355"/>
      <c r="AD194" s="355"/>
      <c r="AE194" s="355"/>
      <c r="AF194" s="94">
        <f t="shared" si="17"/>
        <v>42794</v>
      </c>
      <c r="AG194" s="185">
        <f t="shared" si="18"/>
        <v>0.11263837020092304</v>
      </c>
      <c r="AH194" s="339" t="str">
        <f>VLOOKUP(B194,'MF PF'!A:B,2)</f>
        <v>FdMgt1</v>
      </c>
      <c r="AI194" s="358">
        <f t="shared" si="19"/>
        <v>0</v>
      </c>
      <c r="AJ194" s="94">
        <f t="shared" si="20"/>
        <v>42794</v>
      </c>
    </row>
    <row r="195" spans="1:36" ht="12.75" customHeight="1">
      <c r="A195" s="94">
        <v>42825</v>
      </c>
      <c r="B195" s="8" t="s">
        <v>0</v>
      </c>
      <c r="C195" s="358" t="s">
        <v>297</v>
      </c>
      <c r="D195" s="47">
        <v>245836832.63201973</v>
      </c>
      <c r="E195" s="9">
        <f t="shared" ref="E195:E205" si="21">IF(K195="","",D195/K195)</f>
        <v>1046.7307000000001</v>
      </c>
      <c r="F195" s="47"/>
      <c r="G195" s="47">
        <v>0</v>
      </c>
      <c r="H195" s="47">
        <v>-11.702360600233078</v>
      </c>
      <c r="I195" s="47">
        <v>0</v>
      </c>
      <c r="J195" s="98"/>
      <c r="K195" s="98">
        <v>234861.58630106074</v>
      </c>
      <c r="L195" s="93">
        <f t="shared" ref="L195:L258" si="22">G195+H195+I195</f>
        <v>-11.702360600233078</v>
      </c>
      <c r="M195" s="95">
        <f t="shared" ref="M195:M258" ca="1" si="23">IF(A195&gt;INDIRECT("A"&amp;ROW()-1),I195/K195,E195)</f>
        <v>0</v>
      </c>
      <c r="N195" s="95">
        <f ca="1">IF(P195="Hedge Fund",IF(A195=Summary!$AD$3,M195-E195,M195),IF(A195=Summary!$AD$3,L195-D195,L195))</f>
        <v>0</v>
      </c>
      <c r="P195" s="89" t="s">
        <v>139</v>
      </c>
      <c r="Q195" s="89">
        <v>0</v>
      </c>
      <c r="R195" s="89">
        <v>0</v>
      </c>
      <c r="S195" s="89">
        <v>0</v>
      </c>
      <c r="T195" s="89">
        <v>0</v>
      </c>
      <c r="U195" s="89"/>
      <c r="V195" s="89"/>
      <c r="W195" s="89"/>
      <c r="X195" s="89"/>
      <c r="Y195" s="89"/>
      <c r="Z195" s="89"/>
      <c r="AA195" s="89"/>
      <c r="AB195" s="89"/>
      <c r="AC195" s="355"/>
      <c r="AD195" s="355"/>
      <c r="AE195" s="355"/>
      <c r="AF195" s="94">
        <f t="shared" ref="AF195:AF258" si="24">A195</f>
        <v>42825</v>
      </c>
      <c r="AG195" s="185">
        <f t="shared" ref="AG195:AG247" si="25">IF(C195&lt;&gt;C194,D195/G195-1,(D195-G195-I195-H195)/(D194)-1)</f>
        <v>3.3637918576763903E-2</v>
      </c>
      <c r="AH195" s="339" t="str">
        <f>VLOOKUP(B195,'MF PF'!A:B,2)</f>
        <v>FdMgt1</v>
      </c>
      <c r="AI195" s="358">
        <f t="shared" ref="AI195:AI258" si="26">AF195-A195</f>
        <v>0</v>
      </c>
      <c r="AJ195" s="94">
        <f t="shared" ref="AJ195:AJ258" si="27">EOMONTH(A195,0)</f>
        <v>42825</v>
      </c>
    </row>
    <row r="196" spans="1:36" ht="12.75" customHeight="1">
      <c r="A196" s="94">
        <v>42853</v>
      </c>
      <c r="B196" s="8" t="s">
        <v>0</v>
      </c>
      <c r="C196" s="358" t="s">
        <v>297</v>
      </c>
      <c r="D196" s="47">
        <v>242958698.65935501</v>
      </c>
      <c r="E196" s="9">
        <f t="shared" si="21"/>
        <v>1034.4761000000001</v>
      </c>
      <c r="F196" s="47"/>
      <c r="G196" s="47">
        <v>0.82282024621963501</v>
      </c>
      <c r="H196" s="47">
        <v>0</v>
      </c>
      <c r="I196" s="47">
        <v>0</v>
      </c>
      <c r="J196" s="98"/>
      <c r="K196" s="98">
        <v>234861.58709645877</v>
      </c>
      <c r="L196" s="93">
        <f t="shared" si="22"/>
        <v>0.82282024621963501</v>
      </c>
      <c r="M196" s="95">
        <f t="shared" ca="1" si="23"/>
        <v>0</v>
      </c>
      <c r="N196" s="95">
        <f ca="1">IF(P196="Hedge Fund",IF(A196=Summary!$AD$3,M196-E196,M196),IF(A196=Summary!$AD$3,L196-D196,L196))</f>
        <v>0</v>
      </c>
      <c r="P196" s="89" t="s">
        <v>139</v>
      </c>
      <c r="Q196" s="89">
        <v>0</v>
      </c>
      <c r="R196" s="89">
        <v>0</v>
      </c>
      <c r="S196" s="89">
        <v>0</v>
      </c>
      <c r="T196" s="89">
        <v>0</v>
      </c>
      <c r="U196" s="89"/>
      <c r="V196" s="89"/>
      <c r="W196" s="89"/>
      <c r="X196" s="89"/>
      <c r="Y196" s="89"/>
      <c r="Z196" s="89"/>
      <c r="AA196" s="89"/>
      <c r="AB196" s="89"/>
      <c r="AC196" s="355"/>
      <c r="AD196" s="355"/>
      <c r="AE196" s="355"/>
      <c r="AF196" s="94">
        <f t="shared" si="24"/>
        <v>42853</v>
      </c>
      <c r="AG196" s="185">
        <f t="shared" si="25"/>
        <v>-1.170750031502843E-2</v>
      </c>
      <c r="AH196" s="339" t="str">
        <f>VLOOKUP(B196,'MF PF'!A:B,2)</f>
        <v>FdMgt1</v>
      </c>
      <c r="AI196" s="358">
        <f t="shared" si="26"/>
        <v>0</v>
      </c>
      <c r="AJ196" s="94">
        <f t="shared" si="27"/>
        <v>42855</v>
      </c>
    </row>
    <row r="197" spans="1:36" ht="12.75" customHeight="1">
      <c r="A197" s="94">
        <v>42886</v>
      </c>
      <c r="B197" s="8" t="s">
        <v>0</v>
      </c>
      <c r="C197" s="358" t="s">
        <v>297</v>
      </c>
      <c r="D197" s="47">
        <v>238010661.764819</v>
      </c>
      <c r="E197" s="9">
        <f t="shared" si="21"/>
        <v>1013.4082</v>
      </c>
      <c r="F197" s="47"/>
      <c r="G197" s="47">
        <v>3.5362535119056702</v>
      </c>
      <c r="H197" s="47">
        <v>0</v>
      </c>
      <c r="I197" s="47">
        <v>0</v>
      </c>
      <c r="J197" s="98"/>
      <c r="K197" s="98">
        <v>234861.5905859248</v>
      </c>
      <c r="L197" s="93">
        <f t="shared" si="22"/>
        <v>3.5362535119056702</v>
      </c>
      <c r="M197" s="95">
        <f t="shared" ca="1" si="23"/>
        <v>0</v>
      </c>
      <c r="N197" s="95">
        <f ca="1">IF(P197="Hedge Fund",IF(A197=Summary!$AD$3,M197-E197,M197),IF(A197=Summary!$AD$3,L197-D197,L197))</f>
        <v>0</v>
      </c>
      <c r="P197" s="89" t="s">
        <v>139</v>
      </c>
      <c r="Q197" s="89">
        <v>0</v>
      </c>
      <c r="R197" s="89">
        <v>0</v>
      </c>
      <c r="S197" s="89">
        <v>0</v>
      </c>
      <c r="T197" s="89">
        <v>0</v>
      </c>
      <c r="U197" s="89"/>
      <c r="V197" s="89"/>
      <c r="W197" s="89"/>
      <c r="X197" s="89"/>
      <c r="Y197" s="89"/>
      <c r="Z197" s="89"/>
      <c r="AA197" s="89"/>
      <c r="AB197" s="89"/>
      <c r="AC197" s="355"/>
      <c r="AD197" s="355"/>
      <c r="AE197" s="355"/>
      <c r="AF197" s="94">
        <f t="shared" si="24"/>
        <v>42886</v>
      </c>
      <c r="AG197" s="185">
        <f t="shared" si="25"/>
        <v>-2.0365767754325304E-2</v>
      </c>
      <c r="AH197" s="339" t="str">
        <f>VLOOKUP(B197,'MF PF'!A:B,2)</f>
        <v>FdMgt1</v>
      </c>
      <c r="AI197" s="358">
        <f t="shared" si="26"/>
        <v>0</v>
      </c>
      <c r="AJ197" s="94">
        <f t="shared" si="27"/>
        <v>42886</v>
      </c>
    </row>
    <row r="198" spans="1:36" ht="12.75" customHeight="1">
      <c r="A198" s="94">
        <v>42916</v>
      </c>
      <c r="B198" s="8" t="s">
        <v>0</v>
      </c>
      <c r="C198" s="358" t="s">
        <v>297</v>
      </c>
      <c r="D198" s="47">
        <v>241533864.84749463</v>
      </c>
      <c r="E198" s="9">
        <f t="shared" si="21"/>
        <v>1028.4093999999998</v>
      </c>
      <c r="F198" s="47"/>
      <c r="G198" s="47">
        <v>0</v>
      </c>
      <c r="H198" s="47">
        <v>-2.6100218892097473</v>
      </c>
      <c r="I198" s="47">
        <v>0</v>
      </c>
      <c r="J198" s="98"/>
      <c r="K198" s="98">
        <v>234861.5880480037</v>
      </c>
      <c r="L198" s="93">
        <f t="shared" si="22"/>
        <v>-2.6100218892097473</v>
      </c>
      <c r="M198" s="95">
        <f t="shared" ca="1" si="23"/>
        <v>0</v>
      </c>
      <c r="N198" s="95">
        <f ca="1">IF(P198="Hedge Fund",IF(A198=Summary!$AD$3,M198-E198,M198),IF(A198=Summary!$AD$3,L198-D198,L198))</f>
        <v>0</v>
      </c>
      <c r="P198" s="89" t="s">
        <v>139</v>
      </c>
      <c r="Q198" s="89">
        <v>0</v>
      </c>
      <c r="R198" s="89">
        <v>0</v>
      </c>
      <c r="S198" s="89">
        <v>0</v>
      </c>
      <c r="T198" s="89">
        <v>0</v>
      </c>
      <c r="U198" s="89"/>
      <c r="V198" s="89"/>
      <c r="W198" s="89"/>
      <c r="X198" s="89"/>
      <c r="Y198" s="89"/>
      <c r="Z198" s="89"/>
      <c r="AA198" s="89"/>
      <c r="AB198" s="89"/>
      <c r="AC198" s="355"/>
      <c r="AD198" s="355"/>
      <c r="AE198" s="355"/>
      <c r="AF198" s="94">
        <f t="shared" si="24"/>
        <v>42916</v>
      </c>
      <c r="AG198" s="185">
        <f t="shared" si="25"/>
        <v>1.4802722140988989E-2</v>
      </c>
      <c r="AH198" s="339" t="str">
        <f>VLOOKUP(B198,'MF PF'!A:B,2)</f>
        <v>FdMgt1</v>
      </c>
      <c r="AI198" s="358">
        <f t="shared" si="26"/>
        <v>0</v>
      </c>
      <c r="AJ198" s="94">
        <f t="shared" si="27"/>
        <v>42916</v>
      </c>
    </row>
    <row r="199" spans="1:36" ht="12.75" customHeight="1">
      <c r="A199" s="8">
        <v>42947</v>
      </c>
      <c r="B199" s="8" t="s">
        <v>0</v>
      </c>
      <c r="C199" s="92" t="s">
        <v>297</v>
      </c>
      <c r="D199" s="47">
        <v>214874151.69999999</v>
      </c>
      <c r="E199" s="9">
        <f t="shared" si="21"/>
        <v>914.89689999999985</v>
      </c>
      <c r="F199" s="47"/>
      <c r="G199" s="47">
        <v>12.865804374217987</v>
      </c>
      <c r="H199" s="47">
        <v>0</v>
      </c>
      <c r="I199" s="47">
        <v>-28000200.203622948</v>
      </c>
      <c r="J199" s="98"/>
      <c r="K199" s="98">
        <v>234861.60211057664</v>
      </c>
      <c r="L199" s="93">
        <f t="shared" si="22"/>
        <v>-28000187.337818574</v>
      </c>
      <c r="M199" s="95">
        <f t="shared" ca="1" si="23"/>
        <v>-119.22</v>
      </c>
      <c r="N199" s="95">
        <f ca="1">IF(P199="Hedge Fund",IF(A199=Summary!$AD$3,M199-E199,M199),IF(A199=Summary!$AD$3,L199-D199,L199))</f>
        <v>-119.22</v>
      </c>
      <c r="P199" s="89" t="s">
        <v>139</v>
      </c>
      <c r="Q199" s="89">
        <v>0</v>
      </c>
      <c r="R199" s="89">
        <v>0</v>
      </c>
      <c r="S199" s="89">
        <v>0</v>
      </c>
      <c r="T199" s="89">
        <v>0</v>
      </c>
      <c r="U199" s="89"/>
      <c r="V199" s="89"/>
      <c r="W199" s="89"/>
      <c r="X199" s="89"/>
      <c r="Y199" s="89"/>
      <c r="Z199" s="89"/>
      <c r="AA199" s="89"/>
      <c r="AB199" s="89"/>
      <c r="AC199" s="355"/>
      <c r="AD199" s="355"/>
      <c r="AE199" s="355"/>
      <c r="AF199" s="94">
        <f t="shared" si="24"/>
        <v>42947</v>
      </c>
      <c r="AG199" s="185">
        <f t="shared" si="25"/>
        <v>5.5498395273487766E-3</v>
      </c>
      <c r="AH199" s="339" t="str">
        <f>VLOOKUP(B199,'MF PF'!A:B,2)</f>
        <v>FdMgt1</v>
      </c>
      <c r="AI199" s="358">
        <f t="shared" si="26"/>
        <v>0</v>
      </c>
      <c r="AJ199" s="94">
        <f t="shared" si="27"/>
        <v>42947</v>
      </c>
    </row>
    <row r="200" spans="1:36" ht="12.75" customHeight="1">
      <c r="A200" s="8">
        <v>42978</v>
      </c>
      <c r="B200" s="8" t="s">
        <v>0</v>
      </c>
      <c r="C200" s="92" t="s">
        <v>297</v>
      </c>
      <c r="D200" s="47">
        <v>218153100</v>
      </c>
      <c r="E200" s="9">
        <f t="shared" si="21"/>
        <v>928.85810000000015</v>
      </c>
      <c r="F200" s="47"/>
      <c r="G200" s="47">
        <v>0</v>
      </c>
      <c r="H200" s="47">
        <v>-1.4993862509727478</v>
      </c>
      <c r="I200" s="47">
        <v>0</v>
      </c>
      <c r="J200" s="98"/>
      <c r="K200" s="98">
        <v>234861.60049635134</v>
      </c>
      <c r="L200" s="93">
        <f t="shared" si="22"/>
        <v>-1.4993862509727478</v>
      </c>
      <c r="M200" s="95">
        <f t="shared" ca="1" si="23"/>
        <v>0</v>
      </c>
      <c r="N200" s="95">
        <f ca="1">IF(P200="Hedge Fund",IF(A200=Summary!$AD$3,M200-E200,M200),IF(A200=Summary!$AD$3,L200-D200,L200))</f>
        <v>0</v>
      </c>
      <c r="P200" s="89" t="s">
        <v>139</v>
      </c>
      <c r="Q200" s="89">
        <v>0</v>
      </c>
      <c r="R200" s="89">
        <v>0</v>
      </c>
      <c r="S200" s="89">
        <v>0</v>
      </c>
      <c r="T200" s="89">
        <v>0</v>
      </c>
      <c r="U200" s="89"/>
      <c r="V200" s="89"/>
      <c r="W200" s="89"/>
      <c r="X200" s="89"/>
      <c r="Y200" s="89"/>
      <c r="Z200" s="89"/>
      <c r="AA200" s="89"/>
      <c r="AB200" s="89"/>
      <c r="AC200" s="355"/>
      <c r="AD200" s="355"/>
      <c r="AE200" s="355"/>
      <c r="AF200" s="94">
        <f t="shared" si="24"/>
        <v>42978</v>
      </c>
      <c r="AG200" s="185">
        <f t="shared" si="25"/>
        <v>1.5259861521008888E-2</v>
      </c>
      <c r="AH200" s="339" t="str">
        <f>VLOOKUP(B200,'MF PF'!A:B,2)</f>
        <v>FdMgt1</v>
      </c>
      <c r="AI200" s="358">
        <f t="shared" si="26"/>
        <v>0</v>
      </c>
      <c r="AJ200" s="94">
        <f t="shared" si="27"/>
        <v>42978</v>
      </c>
    </row>
    <row r="201" spans="1:36" ht="12.75" customHeight="1">
      <c r="A201" s="8">
        <v>43007</v>
      </c>
      <c r="B201" s="94" t="s">
        <v>0</v>
      </c>
      <c r="C201" s="92" t="s">
        <v>297</v>
      </c>
      <c r="D201" s="98">
        <v>217665400</v>
      </c>
      <c r="E201" s="9">
        <f t="shared" si="21"/>
        <v>926.78179999999998</v>
      </c>
      <c r="F201" s="98"/>
      <c r="G201" s="98">
        <v>0</v>
      </c>
      <c r="H201" s="98">
        <v>-56.858889371156693</v>
      </c>
      <c r="I201" s="98">
        <v>0</v>
      </c>
      <c r="J201" s="98"/>
      <c r="K201" s="98">
        <v>234861.53914546015</v>
      </c>
      <c r="L201" s="93">
        <f t="shared" si="22"/>
        <v>-56.858889371156693</v>
      </c>
      <c r="M201" s="95">
        <f t="shared" ca="1" si="23"/>
        <v>0</v>
      </c>
      <c r="N201" s="95">
        <f ca="1">IF(P201="Hedge Fund",IF(A201=Summary!$AD$3,M201-E201,M201),IF(A201=Summary!$AD$3,L201-D201,L201))</f>
        <v>0</v>
      </c>
      <c r="P201" s="107" t="s">
        <v>139</v>
      </c>
      <c r="Q201" s="107">
        <v>0</v>
      </c>
      <c r="R201" s="107">
        <v>0</v>
      </c>
      <c r="S201" s="107">
        <v>0</v>
      </c>
      <c r="T201" s="107">
        <v>0</v>
      </c>
      <c r="U201" s="107"/>
      <c r="V201" s="107"/>
      <c r="W201" s="107"/>
      <c r="X201" s="107"/>
      <c r="Y201" s="107"/>
      <c r="Z201" s="107"/>
      <c r="AA201" s="107"/>
      <c r="AB201" s="107"/>
      <c r="AC201" s="355"/>
      <c r="AD201" s="355"/>
      <c r="AE201" s="355"/>
      <c r="AF201" s="94">
        <f t="shared" si="24"/>
        <v>43007</v>
      </c>
      <c r="AG201" s="185">
        <f t="shared" si="25"/>
        <v>-2.2353252881147645E-3</v>
      </c>
      <c r="AH201" s="339" t="str">
        <f>VLOOKUP(B201,'MF PF'!A:B,2)</f>
        <v>FdMgt1</v>
      </c>
      <c r="AI201" s="358">
        <f t="shared" si="26"/>
        <v>0</v>
      </c>
      <c r="AJ201" s="94">
        <f t="shared" si="27"/>
        <v>43008</v>
      </c>
    </row>
    <row r="202" spans="1:36" ht="12.75" customHeight="1">
      <c r="A202" s="94">
        <v>43039</v>
      </c>
      <c r="B202" s="94" t="s">
        <v>0</v>
      </c>
      <c r="C202" s="358" t="s">
        <v>297</v>
      </c>
      <c r="D202" s="98">
        <v>234208400</v>
      </c>
      <c r="E202" s="9">
        <f t="shared" si="21"/>
        <v>997.21889999999985</v>
      </c>
      <c r="F202" s="98"/>
      <c r="G202" s="98">
        <v>34.281057327985764</v>
      </c>
      <c r="H202" s="98">
        <v>0</v>
      </c>
      <c r="I202" s="98">
        <v>0</v>
      </c>
      <c r="J202" s="98"/>
      <c r="K202" s="98">
        <v>234861.5735221224</v>
      </c>
      <c r="L202" s="93">
        <f t="shared" si="22"/>
        <v>34.281057327985764</v>
      </c>
      <c r="M202" s="95">
        <f t="shared" ca="1" si="23"/>
        <v>0</v>
      </c>
      <c r="N202" s="95">
        <f ca="1">IF(P202="Hedge Fund",IF(A202=Summary!$AD$3,M202-E202,M202),IF(A202=Summary!$AD$3,L202-D202,L202))</f>
        <v>0</v>
      </c>
      <c r="P202" s="89" t="s">
        <v>139</v>
      </c>
      <c r="Q202" s="107">
        <v>0</v>
      </c>
      <c r="R202" s="107">
        <v>0</v>
      </c>
      <c r="S202" s="107">
        <v>0</v>
      </c>
      <c r="T202" s="107">
        <v>0</v>
      </c>
      <c r="U202" s="107"/>
      <c r="V202" s="107"/>
      <c r="W202" s="107"/>
      <c r="X202" s="107"/>
      <c r="Y202" s="107"/>
      <c r="Z202" s="107"/>
      <c r="AA202" s="107"/>
      <c r="AB202" s="107"/>
      <c r="AC202" s="355"/>
      <c r="AD202" s="355"/>
      <c r="AE202" s="355"/>
      <c r="AF202" s="94">
        <f t="shared" si="24"/>
        <v>43039</v>
      </c>
      <c r="AG202" s="185">
        <f t="shared" si="25"/>
        <v>7.6001816177227344E-2</v>
      </c>
      <c r="AH202" s="339" t="str">
        <f>VLOOKUP(B202,'MF PF'!A:B,2)</f>
        <v>FdMgt1</v>
      </c>
      <c r="AI202" s="358">
        <f t="shared" si="26"/>
        <v>0</v>
      </c>
      <c r="AJ202" s="94">
        <f t="shared" si="27"/>
        <v>43039</v>
      </c>
    </row>
    <row r="203" spans="1:36" ht="12.75" customHeight="1">
      <c r="A203" s="8">
        <v>43069</v>
      </c>
      <c r="B203" s="94" t="s">
        <v>0</v>
      </c>
      <c r="C203" s="92" t="s">
        <v>297</v>
      </c>
      <c r="D203" s="98">
        <v>226861500</v>
      </c>
      <c r="E203" s="9">
        <f t="shared" si="21"/>
        <v>965.93679999999995</v>
      </c>
      <c r="F203" s="98"/>
      <c r="G203" s="98">
        <v>63.229076355695724</v>
      </c>
      <c r="H203" s="98">
        <v>0</v>
      </c>
      <c r="I203" s="98">
        <v>0</v>
      </c>
      <c r="J203" s="98"/>
      <c r="K203" s="98">
        <v>234861.63898093542</v>
      </c>
      <c r="L203" s="93">
        <f t="shared" si="22"/>
        <v>63.229076355695724</v>
      </c>
      <c r="M203" s="95">
        <f t="shared" ca="1" si="23"/>
        <v>0</v>
      </c>
      <c r="N203" s="95">
        <f ca="1">IF(P203="Hedge Fund",IF(A203=Summary!$AD$3,M203-E203,M203),IF(A203=Summary!$AD$3,L203-D203,L203))</f>
        <v>0</v>
      </c>
      <c r="P203" s="89" t="s">
        <v>139</v>
      </c>
      <c r="Q203" s="107">
        <v>0</v>
      </c>
      <c r="R203" s="107">
        <v>0</v>
      </c>
      <c r="S203" s="107">
        <v>0</v>
      </c>
      <c r="T203" s="107">
        <v>0</v>
      </c>
      <c r="U203" s="107"/>
      <c r="V203" s="107"/>
      <c r="W203" s="107"/>
      <c r="X203" s="107"/>
      <c r="Y203" s="107"/>
      <c r="Z203" s="107"/>
      <c r="AA203" s="107"/>
      <c r="AB203" s="107"/>
      <c r="AC203" s="355"/>
      <c r="AD203" s="355"/>
      <c r="AE203" s="355"/>
      <c r="AF203" s="94">
        <f t="shared" si="24"/>
        <v>43069</v>
      </c>
      <c r="AG203" s="185">
        <f t="shared" si="25"/>
        <v>-3.1369341275019891E-2</v>
      </c>
      <c r="AH203" s="339" t="str">
        <f>VLOOKUP(B203,'MF PF'!A:B,2)</f>
        <v>FdMgt1</v>
      </c>
      <c r="AI203" s="358">
        <f t="shared" si="26"/>
        <v>0</v>
      </c>
      <c r="AJ203" s="94">
        <f t="shared" si="27"/>
        <v>43069</v>
      </c>
    </row>
    <row r="204" spans="1:36" ht="12.75" customHeight="1">
      <c r="A204" s="94">
        <v>43098</v>
      </c>
      <c r="B204" s="8" t="s">
        <v>0</v>
      </c>
      <c r="C204" s="358" t="s">
        <v>297</v>
      </c>
      <c r="D204" s="98">
        <v>192630303.73301128</v>
      </c>
      <c r="E204" s="95">
        <f t="shared" si="21"/>
        <v>820.18649999999991</v>
      </c>
      <c r="F204" s="47"/>
      <c r="G204" s="47">
        <v>0</v>
      </c>
      <c r="H204" s="47">
        <v>-41.927025675773621</v>
      </c>
      <c r="I204" s="47">
        <v>-12799956.538481329</v>
      </c>
      <c r="J204" s="98"/>
      <c r="K204" s="98">
        <v>234861.58786204271</v>
      </c>
      <c r="L204" s="93">
        <f t="shared" si="22"/>
        <v>-12799998.465507004</v>
      </c>
      <c r="M204" s="95">
        <f t="shared" ca="1" si="23"/>
        <v>-54.500000000000007</v>
      </c>
      <c r="N204" s="95">
        <f ca="1">IF(P204="Hedge Fund",IF(A204=Summary!$AD$3,M204-E204,M204),IF(A204=Summary!$AD$3,L204-D204,L204))</f>
        <v>-54.500000000000007</v>
      </c>
      <c r="P204" s="89" t="s">
        <v>139</v>
      </c>
      <c r="Q204" s="89">
        <v>0</v>
      </c>
      <c r="R204" s="89">
        <v>0</v>
      </c>
      <c r="S204" s="89">
        <v>0</v>
      </c>
      <c r="T204" s="89">
        <v>0</v>
      </c>
      <c r="U204" s="89"/>
      <c r="V204" s="89"/>
      <c r="W204" s="89"/>
      <c r="X204" s="89"/>
      <c r="Y204" s="89"/>
      <c r="Z204" s="89"/>
      <c r="AA204" s="89"/>
      <c r="AB204" s="89"/>
      <c r="AC204" s="355"/>
      <c r="AD204" s="355"/>
      <c r="AE204" s="355"/>
      <c r="AF204" s="94">
        <f t="shared" si="24"/>
        <v>43098</v>
      </c>
      <c r="AG204" s="185">
        <f t="shared" si="25"/>
        <v>-9.4468201089571102E-2</v>
      </c>
      <c r="AH204" s="339" t="str">
        <f>VLOOKUP(B204,'MF PF'!A:B,2)</f>
        <v>FdMgt1</v>
      </c>
      <c r="AI204" s="358">
        <f t="shared" si="26"/>
        <v>0</v>
      </c>
      <c r="AJ204" s="94">
        <f t="shared" si="27"/>
        <v>43100</v>
      </c>
    </row>
    <row r="205" spans="1:36" ht="12.75" customHeight="1">
      <c r="A205" s="8">
        <v>43131</v>
      </c>
      <c r="B205" s="94" t="s">
        <v>0</v>
      </c>
      <c r="C205" s="92" t="s">
        <v>297</v>
      </c>
      <c r="D205" s="98">
        <v>197800300</v>
      </c>
      <c r="E205" s="95">
        <f t="shared" si="21"/>
        <v>842.19930000000011</v>
      </c>
      <c r="F205" s="98"/>
      <c r="G205" s="98">
        <v>35.105699121952057</v>
      </c>
      <c r="H205" s="98">
        <v>0</v>
      </c>
      <c r="I205" s="98">
        <v>0</v>
      </c>
      <c r="J205" s="98"/>
      <c r="K205" s="98">
        <v>234861.62954540568</v>
      </c>
      <c r="L205" s="93">
        <f t="shared" si="22"/>
        <v>35.105699121952057</v>
      </c>
      <c r="M205" s="95">
        <f t="shared" ca="1" si="23"/>
        <v>0</v>
      </c>
      <c r="N205" s="95">
        <f ca="1">IF(P205="Hedge Fund",IF(A205=Summary!$AD$3,M205-E205,M205),IF(A205=Summary!$AD$3,L205-D205,L205))</f>
        <v>0</v>
      </c>
      <c r="P205" s="89" t="s">
        <v>139</v>
      </c>
      <c r="Q205" s="107">
        <v>0</v>
      </c>
      <c r="R205" s="107">
        <v>0</v>
      </c>
      <c r="S205" s="107">
        <v>0</v>
      </c>
      <c r="T205" s="107">
        <v>0</v>
      </c>
      <c r="U205" s="107"/>
      <c r="V205" s="107"/>
      <c r="W205" s="107"/>
      <c r="X205" s="107"/>
      <c r="Y205" s="107"/>
      <c r="Z205" s="107"/>
      <c r="AA205" s="107"/>
      <c r="AB205" s="107"/>
      <c r="AC205" s="355"/>
      <c r="AD205" s="355"/>
      <c r="AE205" s="355"/>
      <c r="AF205" s="94">
        <f t="shared" si="24"/>
        <v>43131</v>
      </c>
      <c r="AG205" s="185">
        <f t="shared" si="25"/>
        <v>2.6838773864237053E-2</v>
      </c>
      <c r="AH205" s="339" t="str">
        <f>VLOOKUP(B205,'MF PF'!A:B,2)</f>
        <v>FdMgt1</v>
      </c>
      <c r="AI205" s="358">
        <f t="shared" si="26"/>
        <v>0</v>
      </c>
      <c r="AJ205" s="94">
        <f t="shared" si="27"/>
        <v>43131</v>
      </c>
    </row>
    <row r="206" spans="1:36" ht="12.75" customHeight="1">
      <c r="A206" s="94">
        <v>43159</v>
      </c>
      <c r="B206" s="8" t="s">
        <v>0</v>
      </c>
      <c r="C206" s="358" t="s">
        <v>297</v>
      </c>
      <c r="D206" s="93">
        <f t="shared" ref="D206:D212" si="28">E206*K206</f>
        <v>197016054.0312115</v>
      </c>
      <c r="E206" s="107">
        <v>838.86030000000005</v>
      </c>
      <c r="F206" s="47"/>
      <c r="G206" s="47">
        <v>0</v>
      </c>
      <c r="H206" s="47">
        <v>0</v>
      </c>
      <c r="I206" s="47">
        <v>0</v>
      </c>
      <c r="J206" s="98"/>
      <c r="K206" s="98">
        <v>234861.57829999999</v>
      </c>
      <c r="L206" s="93">
        <f t="shared" si="22"/>
        <v>0</v>
      </c>
      <c r="M206" s="95">
        <f t="shared" ca="1" si="23"/>
        <v>0</v>
      </c>
      <c r="N206" s="95">
        <f ca="1">IF(P206="Hedge Fund",IF(A206=Summary!$AD$3,M206-E206,M206),IF(A206=Summary!$AD$3,L206-D206,L206))</f>
        <v>0</v>
      </c>
      <c r="P206" s="89" t="s">
        <v>139</v>
      </c>
      <c r="Q206" s="89">
        <v>0</v>
      </c>
      <c r="R206" s="89">
        <v>0</v>
      </c>
      <c r="S206" s="89">
        <v>0</v>
      </c>
      <c r="T206" s="89">
        <v>0</v>
      </c>
      <c r="U206" s="89"/>
      <c r="V206" s="89"/>
      <c r="W206" s="89"/>
      <c r="X206" s="89"/>
      <c r="Y206" s="89"/>
      <c r="Z206" s="89"/>
      <c r="AA206" s="89"/>
      <c r="AB206" s="89"/>
      <c r="AC206" s="355"/>
      <c r="AD206" s="355"/>
      <c r="AE206" s="355"/>
      <c r="AF206" s="94">
        <f t="shared" si="24"/>
        <v>43159</v>
      </c>
      <c r="AG206" s="185">
        <f t="shared" si="25"/>
        <v>-3.9648371048400799E-3</v>
      </c>
      <c r="AH206" s="339" t="str">
        <f>VLOOKUP(B206,'MF PF'!A:B,2)</f>
        <v>FdMgt1</v>
      </c>
      <c r="AI206" s="358">
        <f t="shared" si="26"/>
        <v>0</v>
      </c>
      <c r="AJ206" s="94">
        <f t="shared" si="27"/>
        <v>43159</v>
      </c>
    </row>
    <row r="207" spans="1:36" ht="12.75" customHeight="1">
      <c r="A207" s="8">
        <v>43188</v>
      </c>
      <c r="B207" s="94" t="s">
        <v>0</v>
      </c>
      <c r="C207" s="92" t="s">
        <v>297</v>
      </c>
      <c r="D207" s="93">
        <f t="shared" si="28"/>
        <v>193826539.85326615</v>
      </c>
      <c r="E207" s="109">
        <v>825.2799</v>
      </c>
      <c r="F207" s="98"/>
      <c r="G207" s="98">
        <v>0</v>
      </c>
      <c r="H207" s="98">
        <v>0</v>
      </c>
      <c r="I207" s="98">
        <v>0</v>
      </c>
      <c r="J207" s="98"/>
      <c r="K207" s="111">
        <v>234861.57829999999</v>
      </c>
      <c r="L207" s="93">
        <f t="shared" si="22"/>
        <v>0</v>
      </c>
      <c r="M207" s="95">
        <f t="shared" ca="1" si="23"/>
        <v>0</v>
      </c>
      <c r="N207" s="95">
        <f ca="1">IF(P207="Hedge Fund",IF(A207=Summary!$AD$3,M207-E207,M207),IF(A207=Summary!$AD$3,L207-D207,L207))</f>
        <v>0</v>
      </c>
      <c r="P207" s="89" t="s">
        <v>139</v>
      </c>
      <c r="Q207" s="107">
        <v>0</v>
      </c>
      <c r="R207" s="107">
        <v>0</v>
      </c>
      <c r="S207" s="107">
        <v>0</v>
      </c>
      <c r="T207" s="107">
        <v>0</v>
      </c>
      <c r="U207" s="107"/>
      <c r="V207" s="107"/>
      <c r="W207" s="107"/>
      <c r="X207" s="107"/>
      <c r="Y207" s="107"/>
      <c r="Z207" s="107"/>
      <c r="AA207" s="107"/>
      <c r="AB207" s="107"/>
      <c r="AC207" s="355"/>
      <c r="AD207" s="355"/>
      <c r="AE207" s="355"/>
      <c r="AF207" s="94">
        <f t="shared" si="24"/>
        <v>43188</v>
      </c>
      <c r="AG207" s="185">
        <f t="shared" si="25"/>
        <v>-1.618910800761475E-2</v>
      </c>
      <c r="AH207" s="339" t="str">
        <f>VLOOKUP(B207,'MF PF'!A:B,2)</f>
        <v>FdMgt1</v>
      </c>
      <c r="AI207" s="358">
        <f t="shared" si="26"/>
        <v>0</v>
      </c>
      <c r="AJ207" s="94">
        <f t="shared" si="27"/>
        <v>43190</v>
      </c>
    </row>
    <row r="208" spans="1:36" ht="12.75" customHeight="1">
      <c r="A208" s="8">
        <v>43220</v>
      </c>
      <c r="B208" s="94" t="s">
        <v>0</v>
      </c>
      <c r="C208" s="92" t="s">
        <v>297</v>
      </c>
      <c r="D208" s="93">
        <f t="shared" si="28"/>
        <v>192484024.09938771</v>
      </c>
      <c r="E208" s="109">
        <v>819.56370000000004</v>
      </c>
      <c r="F208" s="98"/>
      <c r="G208" s="98">
        <v>0</v>
      </c>
      <c r="H208" s="98">
        <v>0</v>
      </c>
      <c r="I208" s="98">
        <v>0</v>
      </c>
      <c r="J208" s="98"/>
      <c r="K208" s="111">
        <v>234861.57829999999</v>
      </c>
      <c r="L208" s="93">
        <f t="shared" si="22"/>
        <v>0</v>
      </c>
      <c r="M208" s="95">
        <f t="shared" ca="1" si="23"/>
        <v>0</v>
      </c>
      <c r="N208" s="95">
        <f ca="1">IF(P208="Hedge Fund",IF(A208=Summary!$AD$3,M208-E208,M208),IF(A208=Summary!$AD$3,L208-D208,L208))</f>
        <v>0</v>
      </c>
      <c r="P208" s="89" t="s">
        <v>139</v>
      </c>
      <c r="Q208" s="107">
        <v>0</v>
      </c>
      <c r="R208" s="107">
        <v>0</v>
      </c>
      <c r="S208" s="107">
        <v>0</v>
      </c>
      <c r="T208" s="107">
        <v>0</v>
      </c>
      <c r="U208" s="107"/>
      <c r="V208" s="107"/>
      <c r="W208" s="107"/>
      <c r="X208" s="107"/>
      <c r="Y208" s="107"/>
      <c r="Z208" s="107"/>
      <c r="AA208" s="107"/>
      <c r="AB208" s="107"/>
      <c r="AC208" s="355"/>
      <c r="AD208" s="355"/>
      <c r="AE208" s="355"/>
      <c r="AF208" s="94">
        <f t="shared" si="24"/>
        <v>43220</v>
      </c>
      <c r="AG208" s="185">
        <f t="shared" si="25"/>
        <v>-6.9263773417963526E-3</v>
      </c>
      <c r="AH208" s="339" t="str">
        <f>VLOOKUP(B208,'MF PF'!A:B,2)</f>
        <v>FdMgt1</v>
      </c>
      <c r="AI208" s="358">
        <f t="shared" si="26"/>
        <v>0</v>
      </c>
      <c r="AJ208" s="94">
        <f t="shared" si="27"/>
        <v>43220</v>
      </c>
    </row>
    <row r="209" spans="1:36" ht="12.75" customHeight="1">
      <c r="A209" s="8">
        <v>43251</v>
      </c>
      <c r="B209" s="94" t="s">
        <v>0</v>
      </c>
      <c r="C209" s="92" t="s">
        <v>297</v>
      </c>
      <c r="D209" s="93">
        <f t="shared" si="28"/>
        <v>175269750.77325788</v>
      </c>
      <c r="E209" s="109">
        <v>746.26829999999995</v>
      </c>
      <c r="F209" s="98"/>
      <c r="G209" s="98">
        <v>0</v>
      </c>
      <c r="H209" s="98">
        <v>0</v>
      </c>
      <c r="I209" s="110">
        <f>-15*10^6</f>
        <v>-15000000</v>
      </c>
      <c r="J209" s="110"/>
      <c r="K209" s="111">
        <v>234861.57829999999</v>
      </c>
      <c r="L209" s="93">
        <f t="shared" si="22"/>
        <v>-15000000</v>
      </c>
      <c r="M209" s="95">
        <f t="shared" ca="1" si="23"/>
        <v>-63.867406957641144</v>
      </c>
      <c r="N209" s="95">
        <f ca="1">IF(P209="Hedge Fund",IF(A209=Summary!$AD$3,M209-E209,M209),IF(A209=Summary!$AD$3,L209-D209,L209))</f>
        <v>-63.867406957641144</v>
      </c>
      <c r="P209" s="89" t="s">
        <v>139</v>
      </c>
      <c r="Q209" s="107">
        <v>0</v>
      </c>
      <c r="R209" s="107">
        <v>0</v>
      </c>
      <c r="S209" s="107">
        <v>0</v>
      </c>
      <c r="T209" s="107">
        <v>0</v>
      </c>
      <c r="U209" s="107"/>
      <c r="V209" s="107"/>
      <c r="W209" s="107"/>
      <c r="X209" s="107"/>
      <c r="Y209" s="107"/>
      <c r="Z209" s="107"/>
      <c r="AA209" s="107"/>
      <c r="AB209" s="107"/>
      <c r="AC209" s="355"/>
      <c r="AD209" s="355"/>
      <c r="AE209" s="355"/>
      <c r="AF209" s="94">
        <f t="shared" si="24"/>
        <v>43251</v>
      </c>
      <c r="AG209" s="185">
        <f t="shared" si="25"/>
        <v>-1.1503673286602178E-2</v>
      </c>
      <c r="AH209" s="339" t="str">
        <f>VLOOKUP(B209,'MF PF'!A:B,2)</f>
        <v>FdMgt1</v>
      </c>
      <c r="AI209" s="358">
        <f t="shared" si="26"/>
        <v>0</v>
      </c>
      <c r="AJ209" s="94">
        <f t="shared" si="27"/>
        <v>43251</v>
      </c>
    </row>
    <row r="210" spans="1:36" ht="12.75" customHeight="1">
      <c r="A210" s="8">
        <v>43280</v>
      </c>
      <c r="B210" s="94" t="s">
        <v>0</v>
      </c>
      <c r="C210" s="92" t="s">
        <v>297</v>
      </c>
      <c r="D210" s="93">
        <f t="shared" si="28"/>
        <v>176066401.24685147</v>
      </c>
      <c r="E210" s="109">
        <v>749.66030000000001</v>
      </c>
      <c r="F210" s="47"/>
      <c r="G210" s="47">
        <v>0</v>
      </c>
      <c r="H210" s="98">
        <v>0</v>
      </c>
      <c r="I210" s="110">
        <v>0</v>
      </c>
      <c r="J210" s="110"/>
      <c r="K210" s="111">
        <v>234861.57829999999</v>
      </c>
      <c r="L210" s="93">
        <f t="shared" si="22"/>
        <v>0</v>
      </c>
      <c r="M210" s="95">
        <f t="shared" ca="1" si="23"/>
        <v>0</v>
      </c>
      <c r="N210" s="95">
        <f ca="1">IF(P210="Hedge Fund",IF(A210=Summary!$AD$3,M210-E210,M210),IF(A210=Summary!$AD$3,L210-D210,L210))</f>
        <v>0</v>
      </c>
      <c r="P210" s="89" t="s">
        <v>139</v>
      </c>
      <c r="Q210" s="107">
        <v>0</v>
      </c>
      <c r="R210" s="107">
        <v>0</v>
      </c>
      <c r="S210" s="89">
        <v>0</v>
      </c>
      <c r="T210" s="89">
        <v>0</v>
      </c>
      <c r="U210" s="89"/>
      <c r="V210" s="89"/>
      <c r="W210" s="89"/>
      <c r="X210" s="89"/>
      <c r="Y210" s="89"/>
      <c r="Z210" s="89"/>
      <c r="AA210" s="89"/>
      <c r="AB210" s="89"/>
      <c r="AC210" s="355"/>
      <c r="AD210" s="355"/>
      <c r="AE210" s="355"/>
      <c r="AF210" s="94">
        <f t="shared" si="24"/>
        <v>43280</v>
      </c>
      <c r="AG210" s="185">
        <f t="shared" si="25"/>
        <v>4.5452821726448267E-3</v>
      </c>
      <c r="AH210" s="339" t="str">
        <f>VLOOKUP(B210,'MF PF'!A:B,2)</f>
        <v>FdMgt1</v>
      </c>
      <c r="AI210" s="358">
        <f t="shared" si="26"/>
        <v>0</v>
      </c>
      <c r="AJ210" s="94">
        <f t="shared" si="27"/>
        <v>43281</v>
      </c>
    </row>
    <row r="211" spans="1:36" ht="12.75" customHeight="1">
      <c r="A211" s="94">
        <v>43312</v>
      </c>
      <c r="B211" s="358" t="s">
        <v>0</v>
      </c>
      <c r="C211" s="92" t="s">
        <v>297</v>
      </c>
      <c r="D211" s="335">
        <f t="shared" si="28"/>
        <v>121348961.37462108</v>
      </c>
      <c r="E211" s="111">
        <v>516.68290000000002</v>
      </c>
      <c r="F211" s="98"/>
      <c r="G211" s="98">
        <v>0</v>
      </c>
      <c r="H211" s="110">
        <v>0</v>
      </c>
      <c r="I211" s="110">
        <v>-51899711.572733998</v>
      </c>
      <c r="J211" s="110"/>
      <c r="K211" s="111">
        <v>234861.57829999999</v>
      </c>
      <c r="L211" s="93">
        <f t="shared" si="22"/>
        <v>-51899711.572733998</v>
      </c>
      <c r="M211" s="95">
        <f t="shared" ca="1" si="23"/>
        <v>-220.98</v>
      </c>
      <c r="N211" s="95">
        <f ca="1">IF(P211="Hedge Fund",IF(A211=Summary!$AD$3,M211-E211,M211),IF(A211=Summary!$AD$3,L211-D211,L211))</f>
        <v>-220.98</v>
      </c>
      <c r="P211" s="107" t="s">
        <v>139</v>
      </c>
      <c r="Q211" s="107">
        <v>0</v>
      </c>
      <c r="R211" s="107">
        <v>0</v>
      </c>
      <c r="S211" s="107">
        <v>0</v>
      </c>
      <c r="T211" s="107">
        <v>0</v>
      </c>
      <c r="U211" s="107"/>
      <c r="V211" s="107"/>
      <c r="W211" s="107"/>
      <c r="X211" s="107"/>
      <c r="Y211" s="107"/>
      <c r="Z211" s="107"/>
      <c r="AA211" s="107"/>
      <c r="AB211" s="107"/>
      <c r="AC211" s="355"/>
      <c r="AD211" s="355"/>
      <c r="AE211" s="355"/>
      <c r="AF211" s="94">
        <f t="shared" si="24"/>
        <v>43312</v>
      </c>
      <c r="AG211" s="185">
        <f t="shared" si="25"/>
        <v>-1.6003781979651133E-2</v>
      </c>
      <c r="AH211" s="339" t="str">
        <f>VLOOKUP(B211,'MF PF'!A:B,2)</f>
        <v>FdMgt1</v>
      </c>
      <c r="AI211" s="358">
        <f t="shared" si="26"/>
        <v>0</v>
      </c>
      <c r="AJ211" s="94">
        <f t="shared" si="27"/>
        <v>43312</v>
      </c>
    </row>
    <row r="212" spans="1:36" ht="12.75" customHeight="1">
      <c r="A212" s="8">
        <v>43343</v>
      </c>
      <c r="B212" s="358" t="s">
        <v>0</v>
      </c>
      <c r="C212" s="92" t="s">
        <v>297</v>
      </c>
      <c r="D212" s="335">
        <f t="shared" si="28"/>
        <v>118937637.55021498</v>
      </c>
      <c r="E212" s="111">
        <v>506.41590000000002</v>
      </c>
      <c r="F212" s="98"/>
      <c r="G212" s="98">
        <v>0</v>
      </c>
      <c r="H212" s="110">
        <v>0</v>
      </c>
      <c r="I212" s="110">
        <v>0</v>
      </c>
      <c r="J212" s="110"/>
      <c r="K212" s="111">
        <v>234861.57829999999</v>
      </c>
      <c r="L212" s="93">
        <f t="shared" si="22"/>
        <v>0</v>
      </c>
      <c r="M212" s="95">
        <f t="shared" ca="1" si="23"/>
        <v>0</v>
      </c>
      <c r="N212" s="95">
        <f ca="1">IF(P212="Hedge Fund",IF(A212=Summary!$AD$3,M212-E212,M212),IF(A212=Summary!$AD$3,L212-D212,L212))</f>
        <v>0</v>
      </c>
      <c r="P212" s="107" t="s">
        <v>139</v>
      </c>
      <c r="Q212" s="107">
        <v>0</v>
      </c>
      <c r="R212" s="107">
        <v>0</v>
      </c>
      <c r="S212" s="107">
        <v>0</v>
      </c>
      <c r="T212" s="107">
        <v>0</v>
      </c>
      <c r="U212" s="107"/>
      <c r="V212" s="107"/>
      <c r="W212" s="107"/>
      <c r="X212" s="107"/>
      <c r="Y212" s="107"/>
      <c r="Z212" s="107"/>
      <c r="AA212" s="107"/>
      <c r="AB212" s="107"/>
      <c r="AC212" s="355"/>
      <c r="AD212" s="355"/>
      <c r="AE212" s="355"/>
      <c r="AF212" s="94">
        <f t="shared" si="24"/>
        <v>43343</v>
      </c>
      <c r="AG212" s="185">
        <f t="shared" si="25"/>
        <v>-1.9870988569584913E-2</v>
      </c>
      <c r="AH212" s="339" t="str">
        <f>VLOOKUP(B212,'MF PF'!A:B,2)</f>
        <v>FdMgt1</v>
      </c>
      <c r="AI212" s="358">
        <f t="shared" si="26"/>
        <v>0</v>
      </c>
      <c r="AJ212" s="94">
        <f t="shared" si="27"/>
        <v>43343</v>
      </c>
    </row>
    <row r="213" spans="1:36" ht="12.75" customHeight="1">
      <c r="A213" s="97">
        <v>43371</v>
      </c>
      <c r="B213" s="96" t="s">
        <v>0</v>
      </c>
      <c r="C213" s="92" t="s">
        <v>297</v>
      </c>
      <c r="D213" s="354">
        <v>121056603.11353731</v>
      </c>
      <c r="E213" s="111">
        <v>515.43799999999999</v>
      </c>
      <c r="F213" s="354">
        <v>0</v>
      </c>
      <c r="G213" s="354">
        <v>0</v>
      </c>
      <c r="H213" s="354">
        <v>0</v>
      </c>
      <c r="I213" s="354">
        <v>0</v>
      </c>
      <c r="J213" s="354"/>
      <c r="K213" s="111">
        <v>234861.57829999999</v>
      </c>
      <c r="L213" s="93">
        <f t="shared" si="22"/>
        <v>0</v>
      </c>
      <c r="M213" s="95">
        <f t="shared" ca="1" si="23"/>
        <v>0</v>
      </c>
      <c r="N213" s="95">
        <f ca="1">IF(P213="Hedge Fund",IF(A213=Summary!$AD$3,M213-E213,M213),IF(A213=Summary!$AD$3,L213-D213,L213))</f>
        <v>0</v>
      </c>
      <c r="P213" s="353" t="s">
        <v>139</v>
      </c>
      <c r="Q213" s="353">
        <v>0</v>
      </c>
      <c r="R213" s="353">
        <v>0</v>
      </c>
      <c r="S213" s="353"/>
      <c r="T213" s="353"/>
      <c r="U213" s="353"/>
      <c r="V213" s="353"/>
      <c r="W213" s="353"/>
      <c r="X213" s="353"/>
      <c r="Y213" s="353"/>
      <c r="Z213" s="353"/>
      <c r="AA213" s="353"/>
      <c r="AB213" s="353"/>
      <c r="AC213" s="355"/>
      <c r="AD213" s="355"/>
      <c r="AE213" s="355"/>
      <c r="AF213" s="94">
        <f t="shared" si="24"/>
        <v>43371</v>
      </c>
      <c r="AG213" s="185">
        <f t="shared" si="25"/>
        <v>1.7815769734182973E-2</v>
      </c>
      <c r="AH213" s="339" t="str">
        <f>VLOOKUP(B213,'MF PF'!A:B,2)</f>
        <v>FdMgt1</v>
      </c>
      <c r="AI213" s="358">
        <f t="shared" si="26"/>
        <v>0</v>
      </c>
      <c r="AJ213" s="94">
        <f t="shared" si="27"/>
        <v>43373</v>
      </c>
    </row>
    <row r="214" spans="1:36" ht="12.75" customHeight="1">
      <c r="A214" s="8">
        <v>43404</v>
      </c>
      <c r="B214" s="358" t="s">
        <v>0</v>
      </c>
      <c r="C214" s="358" t="s">
        <v>297</v>
      </c>
      <c r="D214" s="93">
        <v>120878631.41458665</v>
      </c>
      <c r="E214" s="9">
        <v>514.68029999999999</v>
      </c>
      <c r="F214" s="93">
        <v>0</v>
      </c>
      <c r="G214" s="93">
        <v>0</v>
      </c>
      <c r="H214" s="93">
        <v>0</v>
      </c>
      <c r="I214" s="93">
        <v>0</v>
      </c>
      <c r="K214" s="360">
        <v>234861.57829999999</v>
      </c>
      <c r="L214" s="93">
        <f t="shared" si="22"/>
        <v>0</v>
      </c>
      <c r="M214" s="95">
        <f t="shared" ca="1" si="23"/>
        <v>0</v>
      </c>
      <c r="N214" s="95">
        <f ca="1">IF(P214="Hedge Fund",IF(A214=Summary!$AD$3,M214-E214,M214),IF(A214=Summary!$AD$3,L214-D214,L214))</f>
        <v>0</v>
      </c>
      <c r="P214" s="95" t="s">
        <v>139</v>
      </c>
      <c r="Q214" s="95">
        <v>0</v>
      </c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  <c r="AC214" s="355"/>
      <c r="AD214" s="355"/>
      <c r="AE214" s="355"/>
      <c r="AF214" s="94">
        <f t="shared" si="24"/>
        <v>43404</v>
      </c>
      <c r="AG214" s="185">
        <f t="shared" si="25"/>
        <v>-1.4701527580758267E-3</v>
      </c>
      <c r="AH214" s="339" t="str">
        <f>VLOOKUP(B214,'MF PF'!A:B,2)</f>
        <v>FdMgt1</v>
      </c>
      <c r="AI214" s="358">
        <f t="shared" si="26"/>
        <v>0</v>
      </c>
      <c r="AJ214" s="94">
        <f t="shared" si="27"/>
        <v>43404</v>
      </c>
    </row>
    <row r="215" spans="1:36" ht="12.75" customHeight="1">
      <c r="A215" s="8">
        <v>43434</v>
      </c>
      <c r="B215" s="358" t="s">
        <v>0</v>
      </c>
      <c r="C215" s="92" t="s">
        <v>297</v>
      </c>
      <c r="D215" s="93">
        <v>121596230.33629085</v>
      </c>
      <c r="E215" s="95">
        <v>517.73569999999995</v>
      </c>
      <c r="F215" s="93">
        <v>0</v>
      </c>
      <c r="G215" s="93">
        <v>0</v>
      </c>
      <c r="H215" s="93">
        <v>0</v>
      </c>
      <c r="I215" s="93">
        <v>0</v>
      </c>
      <c r="K215" s="93">
        <v>234861.57829999999</v>
      </c>
      <c r="L215" s="93">
        <f t="shared" si="22"/>
        <v>0</v>
      </c>
      <c r="M215" s="95">
        <f t="shared" ca="1" si="23"/>
        <v>0</v>
      </c>
      <c r="N215" s="95">
        <f ca="1">IF(P215="Hedge Fund",IF(A215=Summary!$AD$3,M215-E215,M215),IF(A215=Summary!$AD$3,L215-D215,L215))</f>
        <v>0</v>
      </c>
      <c r="P215" s="107" t="s">
        <v>139</v>
      </c>
      <c r="Q215" s="107">
        <v>0</v>
      </c>
      <c r="R215" s="107">
        <v>0</v>
      </c>
      <c r="S215" s="107"/>
      <c r="T215" s="95"/>
      <c r="U215" s="95"/>
      <c r="V215" s="95"/>
      <c r="W215" s="95"/>
      <c r="X215" s="95"/>
      <c r="Y215" s="95"/>
      <c r="Z215" s="95"/>
      <c r="AA215" s="95"/>
      <c r="AB215" s="95"/>
      <c r="AC215" s="355"/>
      <c r="AD215" s="355"/>
      <c r="AE215" s="355"/>
      <c r="AF215" s="94">
        <f t="shared" si="24"/>
        <v>43434</v>
      </c>
      <c r="AG215" s="185">
        <f t="shared" si="25"/>
        <v>5.9365242086750758E-3</v>
      </c>
      <c r="AH215" s="339" t="str">
        <f>VLOOKUP(B215,'MF PF'!A:B,2)</f>
        <v>FdMgt1</v>
      </c>
      <c r="AI215" s="358">
        <f t="shared" si="26"/>
        <v>0</v>
      </c>
      <c r="AJ215" s="94">
        <f t="shared" si="27"/>
        <v>43434</v>
      </c>
    </row>
    <row r="216" spans="1:36" ht="12.75" customHeight="1">
      <c r="A216" s="8">
        <v>43465</v>
      </c>
      <c r="B216" s="358" t="s">
        <v>0</v>
      </c>
      <c r="C216" s="93" t="s">
        <v>297</v>
      </c>
      <c r="D216" s="374">
        <v>116595976.57779402</v>
      </c>
      <c r="E216" s="95">
        <v>496.44549999999998</v>
      </c>
      <c r="F216" s="93">
        <v>0</v>
      </c>
      <c r="G216" s="93">
        <v>0</v>
      </c>
      <c r="H216" s="93">
        <v>0</v>
      </c>
      <c r="I216" s="93">
        <v>0</v>
      </c>
      <c r="K216" s="93">
        <v>234861.57829999999</v>
      </c>
      <c r="L216" s="93">
        <f t="shared" si="22"/>
        <v>0</v>
      </c>
      <c r="M216" s="95">
        <f t="shared" ca="1" si="23"/>
        <v>0</v>
      </c>
      <c r="N216" s="95">
        <f ca="1">IF(P216="Hedge Fund",IF(A216=Summary!$AD$3,M216-E216,M216),IF(A216=Summary!$AD$3,L216-D216,L216))</f>
        <v>0</v>
      </c>
      <c r="O216" s="9">
        <f ca="1">N216</f>
        <v>0</v>
      </c>
      <c r="P216" s="95" t="s">
        <v>139</v>
      </c>
      <c r="Q216" s="95">
        <v>0</v>
      </c>
      <c r="R216" s="95">
        <v>0</v>
      </c>
      <c r="S216" s="95"/>
      <c r="T216" s="95"/>
      <c r="U216" s="95"/>
      <c r="V216" s="95"/>
      <c r="W216" s="95"/>
      <c r="X216" s="95"/>
      <c r="Y216" s="95"/>
      <c r="Z216" s="95"/>
      <c r="AA216" s="95"/>
      <c r="AB216" s="95"/>
      <c r="AC216" s="355"/>
      <c r="AD216" s="355"/>
      <c r="AE216" s="355"/>
      <c r="AF216" s="94">
        <f t="shared" si="24"/>
        <v>43465</v>
      </c>
      <c r="AG216" s="185">
        <f t="shared" si="25"/>
        <v>-4.1121782679182983E-2</v>
      </c>
      <c r="AH216" s="339" t="str">
        <f>VLOOKUP(B216,'MF PF'!A:B,2)</f>
        <v>FdMgt1</v>
      </c>
      <c r="AI216" s="358">
        <f t="shared" si="26"/>
        <v>0</v>
      </c>
      <c r="AJ216" s="94">
        <f t="shared" si="27"/>
        <v>43465</v>
      </c>
    </row>
    <row r="217" spans="1:36" ht="12.75" customHeight="1">
      <c r="A217" s="8">
        <v>43496</v>
      </c>
      <c r="B217" s="358" t="s">
        <v>0</v>
      </c>
      <c r="C217" s="92" t="s">
        <v>297</v>
      </c>
      <c r="D217" s="374">
        <v>118493760.02054286</v>
      </c>
      <c r="E217" s="95">
        <v>504.52589999999998</v>
      </c>
      <c r="F217" s="93">
        <v>0</v>
      </c>
      <c r="G217" s="93">
        <v>0</v>
      </c>
      <c r="H217" s="93">
        <v>0</v>
      </c>
      <c r="I217" s="93">
        <v>0</v>
      </c>
      <c r="K217" s="93">
        <v>234861.57829999999</v>
      </c>
      <c r="L217" s="93">
        <f t="shared" si="22"/>
        <v>0</v>
      </c>
      <c r="M217" s="95">
        <f t="shared" ca="1" si="23"/>
        <v>0</v>
      </c>
      <c r="N217" s="95">
        <f ca="1">IF(P217="Hedge Fund",IF(A217=Summary!$AD$3,M217-E217,M217),IF(A217=Summary!$AD$3,L217-D217,L217))</f>
        <v>-504.52589999999998</v>
      </c>
      <c r="O217" s="9">
        <f ca="1">N217</f>
        <v>-504.52589999999998</v>
      </c>
      <c r="P217" s="95" t="s">
        <v>139</v>
      </c>
      <c r="Q217" s="95">
        <v>0</v>
      </c>
      <c r="R217" s="95">
        <v>0</v>
      </c>
      <c r="S217" s="95"/>
      <c r="T217" s="95"/>
      <c r="U217" s="95"/>
      <c r="V217" s="95"/>
      <c r="W217" s="95"/>
      <c r="X217" s="95"/>
      <c r="Y217" s="95"/>
      <c r="Z217" s="95"/>
      <c r="AA217" s="95"/>
      <c r="AB217" s="95"/>
      <c r="AC217" s="355"/>
      <c r="AD217" s="355"/>
      <c r="AE217" s="355"/>
      <c r="AF217" s="94">
        <f t="shared" si="24"/>
        <v>43496</v>
      </c>
      <c r="AG217" s="185">
        <f t="shared" si="25"/>
        <v>1.6276577446757923E-2</v>
      </c>
      <c r="AH217" s="339" t="str">
        <f>VLOOKUP(B217,'MF PF'!A:B,2)</f>
        <v>FdMgt1</v>
      </c>
      <c r="AI217" s="358">
        <f t="shared" si="26"/>
        <v>0</v>
      </c>
      <c r="AJ217" s="94">
        <f t="shared" si="27"/>
        <v>43496</v>
      </c>
    </row>
    <row r="218" spans="1:36" ht="12.75" customHeight="1">
      <c r="A218" s="8">
        <v>42095</v>
      </c>
      <c r="B218" s="101" t="s">
        <v>96</v>
      </c>
      <c r="C218" s="92" t="s">
        <v>297</v>
      </c>
      <c r="D218" s="374">
        <v>64551471.087311998</v>
      </c>
      <c r="E218" s="99" t="str">
        <f t="shared" ref="E218:E249" si="29">IF(K218="","",D218/K218)</f>
        <v/>
      </c>
      <c r="F218" s="98"/>
      <c r="G218" s="98">
        <v>64551461.088312</v>
      </c>
      <c r="H218" s="98">
        <v>0</v>
      </c>
      <c r="I218" s="98">
        <v>0</v>
      </c>
      <c r="J218" s="98"/>
      <c r="K218" s="100"/>
      <c r="L218" s="93">
        <f t="shared" si="22"/>
        <v>64551461.088312</v>
      </c>
      <c r="M218" s="95" t="str">
        <f t="shared" ca="1" si="23"/>
        <v/>
      </c>
      <c r="N218" s="95">
        <f>IF(P218="Hedge Fund",IF(A218=Summary!$AD$3,M218-E218,M218),IF(A218=Summary!$AD$3,L218-D218,L218))</f>
        <v>64551461.088312</v>
      </c>
      <c r="P218" s="89" t="s">
        <v>155</v>
      </c>
      <c r="Q218" s="107">
        <v>0</v>
      </c>
      <c r="R218" s="107">
        <v>0</v>
      </c>
      <c r="S218" s="107">
        <v>0</v>
      </c>
      <c r="T218" s="107">
        <v>0</v>
      </c>
      <c r="U218" s="107"/>
      <c r="V218" s="107"/>
      <c r="W218" s="107"/>
      <c r="X218" s="107"/>
      <c r="Y218" s="107"/>
      <c r="Z218" s="107"/>
      <c r="AA218" s="107"/>
      <c r="AB218" s="107"/>
      <c r="AC218" s="355"/>
      <c r="AD218" s="355"/>
      <c r="AE218" s="355"/>
      <c r="AF218" s="94">
        <f t="shared" si="24"/>
        <v>42095</v>
      </c>
      <c r="AG218" s="185">
        <f t="shared" si="25"/>
        <v>-0.9999999156158097</v>
      </c>
      <c r="AH218" s="339" t="str">
        <f>VLOOKUP(B218,'MF PF'!A:B,2)</f>
        <v>FdMgt2</v>
      </c>
      <c r="AI218" s="358">
        <f t="shared" si="26"/>
        <v>0</v>
      </c>
      <c r="AJ218" s="94">
        <f t="shared" si="27"/>
        <v>42124</v>
      </c>
    </row>
    <row r="219" spans="1:36" ht="12.75" customHeight="1">
      <c r="A219" s="94">
        <v>42124</v>
      </c>
      <c r="B219" s="101" t="s">
        <v>96</v>
      </c>
      <c r="C219" s="358" t="s">
        <v>297</v>
      </c>
      <c r="D219" s="374">
        <v>61320067.704341397</v>
      </c>
      <c r="E219" s="99" t="str">
        <f t="shared" si="29"/>
        <v/>
      </c>
      <c r="F219" s="47"/>
      <c r="G219" s="47">
        <v>1.4901161193847656E-8</v>
      </c>
      <c r="H219" s="47">
        <v>0</v>
      </c>
      <c r="I219" s="47">
        <v>0</v>
      </c>
      <c r="J219" s="98"/>
      <c r="K219" s="100"/>
      <c r="L219" s="93">
        <f t="shared" si="22"/>
        <v>1.4901161193847656E-8</v>
      </c>
      <c r="M219" s="95" t="e">
        <f t="shared" ca="1" si="23"/>
        <v>#DIV/0!</v>
      </c>
      <c r="N219" s="95">
        <f>IF(P219="Hedge Fund",IF(A219=Summary!$AD$3,M219-E219,M219),IF(A219=Summary!$AD$3,L219-D219,L219))</f>
        <v>1.4901161193847656E-8</v>
      </c>
      <c r="P219" s="89" t="s">
        <v>155</v>
      </c>
      <c r="Q219" s="89">
        <v>2.6895833333333334E-2</v>
      </c>
      <c r="R219" s="89">
        <v>0</v>
      </c>
      <c r="S219" s="89">
        <v>0</v>
      </c>
      <c r="T219" s="89">
        <v>0</v>
      </c>
      <c r="U219" s="89"/>
      <c r="V219" s="89"/>
      <c r="W219" s="89"/>
      <c r="X219" s="89"/>
      <c r="Y219" s="89"/>
      <c r="Z219" s="89"/>
      <c r="AA219" s="89"/>
      <c r="AB219" s="89"/>
      <c r="AC219" s="355"/>
      <c r="AD219" s="355"/>
      <c r="AE219" s="355"/>
      <c r="AF219" s="94">
        <f t="shared" si="24"/>
        <v>42124</v>
      </c>
      <c r="AG219" s="185">
        <f t="shared" si="25"/>
        <v>-5.0059329842380151E-2</v>
      </c>
      <c r="AH219" s="339" t="str">
        <f>VLOOKUP(B219,'MF PF'!A:B,2)</f>
        <v>FdMgt2</v>
      </c>
      <c r="AI219" s="358">
        <f t="shared" si="26"/>
        <v>0</v>
      </c>
      <c r="AJ219" s="94">
        <f t="shared" si="27"/>
        <v>42124</v>
      </c>
    </row>
    <row r="220" spans="1:36" ht="12.75" customHeight="1">
      <c r="A220" s="8">
        <v>42153</v>
      </c>
      <c r="B220" s="101" t="s">
        <v>96</v>
      </c>
      <c r="C220" s="92" t="s">
        <v>297</v>
      </c>
      <c r="D220" s="374">
        <v>60883517.728767626</v>
      </c>
      <c r="E220" s="99" t="str">
        <f t="shared" si="29"/>
        <v/>
      </c>
      <c r="F220" s="47"/>
      <c r="G220" s="47">
        <v>0</v>
      </c>
      <c r="H220" s="47">
        <v>0</v>
      </c>
      <c r="I220" s="47">
        <v>0</v>
      </c>
      <c r="J220" s="98"/>
      <c r="K220" s="100"/>
      <c r="L220" s="93">
        <f t="shared" si="22"/>
        <v>0</v>
      </c>
      <c r="M220" s="95" t="e">
        <f t="shared" ca="1" si="23"/>
        <v>#DIV/0!</v>
      </c>
      <c r="N220" s="95">
        <f>IF(P220="Hedge Fund",IF(A220=Summary!$AD$3,M220-E220,M220),IF(A220=Summary!$AD$3,L220-D220,L220))</f>
        <v>0</v>
      </c>
      <c r="P220" s="89" t="s">
        <v>155</v>
      </c>
      <c r="Q220" s="89">
        <v>2.6895833333333334E-2</v>
      </c>
      <c r="R220" s="89">
        <v>0</v>
      </c>
      <c r="S220" s="89">
        <v>0</v>
      </c>
      <c r="T220" s="89">
        <v>0</v>
      </c>
      <c r="U220" s="89"/>
      <c r="V220" s="89"/>
      <c r="W220" s="89"/>
      <c r="X220" s="89"/>
      <c r="Y220" s="89"/>
      <c r="Z220" s="89"/>
      <c r="AA220" s="89"/>
      <c r="AB220" s="89"/>
      <c r="AC220" s="355"/>
      <c r="AD220" s="355"/>
      <c r="AE220" s="355"/>
      <c r="AF220" s="94">
        <f t="shared" si="24"/>
        <v>42153</v>
      </c>
      <c r="AG220" s="185">
        <f t="shared" si="25"/>
        <v>-7.119202439218153E-3</v>
      </c>
      <c r="AH220" s="339" t="str">
        <f>VLOOKUP(B220,'MF PF'!A:B,2)</f>
        <v>FdMgt2</v>
      </c>
      <c r="AI220" s="358">
        <f t="shared" si="26"/>
        <v>0</v>
      </c>
      <c r="AJ220" s="94">
        <f t="shared" si="27"/>
        <v>42155</v>
      </c>
    </row>
    <row r="221" spans="1:36" ht="12.75" customHeight="1">
      <c r="A221" s="8">
        <v>42185</v>
      </c>
      <c r="B221" s="101" t="s">
        <v>96</v>
      </c>
      <c r="C221" s="92" t="s">
        <v>297</v>
      </c>
      <c r="D221" s="374">
        <v>65373874.499672115</v>
      </c>
      <c r="E221" s="99" t="str">
        <f t="shared" si="29"/>
        <v/>
      </c>
      <c r="F221" s="98"/>
      <c r="G221" s="98">
        <v>7.4505805969238281E-9</v>
      </c>
      <c r="H221" s="98">
        <v>0</v>
      </c>
      <c r="I221" s="98">
        <v>0</v>
      </c>
      <c r="J221" s="98"/>
      <c r="K221" s="100"/>
      <c r="L221" s="93">
        <f t="shared" si="22"/>
        <v>7.4505805969238281E-9</v>
      </c>
      <c r="M221" s="95" t="e">
        <f t="shared" ca="1" si="23"/>
        <v>#DIV/0!</v>
      </c>
      <c r="N221" s="95">
        <f>IF(P221="Hedge Fund",IF(A221=Summary!$AD$3,M221-E221,M221),IF(A221=Summary!$AD$3,L221-D221,L221))</f>
        <v>7.4505805969238281E-9</v>
      </c>
      <c r="P221" s="89" t="s">
        <v>155</v>
      </c>
      <c r="Q221" s="107">
        <v>2.6895833333333334E-2</v>
      </c>
      <c r="R221" s="107">
        <v>0</v>
      </c>
      <c r="S221" s="107">
        <v>0</v>
      </c>
      <c r="T221" s="107">
        <v>0</v>
      </c>
      <c r="U221" s="107"/>
      <c r="V221" s="107"/>
      <c r="W221" s="107"/>
      <c r="X221" s="107"/>
      <c r="Y221" s="107"/>
      <c r="Z221" s="107"/>
      <c r="AA221" s="107"/>
      <c r="AB221" s="107"/>
      <c r="AC221" s="355"/>
      <c r="AD221" s="355"/>
      <c r="AE221" s="355"/>
      <c r="AF221" s="94">
        <f t="shared" si="24"/>
        <v>42185</v>
      </c>
      <c r="AG221" s="185">
        <f t="shared" si="25"/>
        <v>7.3753241245171575E-2</v>
      </c>
      <c r="AH221" s="339" t="str">
        <f>VLOOKUP(B221,'MF PF'!A:B,2)</f>
        <v>FdMgt2</v>
      </c>
      <c r="AI221" s="358">
        <f t="shared" si="26"/>
        <v>0</v>
      </c>
      <c r="AJ221" s="94">
        <f t="shared" si="27"/>
        <v>42185</v>
      </c>
    </row>
    <row r="222" spans="1:36" ht="12.75" customHeight="1">
      <c r="A222" s="8">
        <v>42216</v>
      </c>
      <c r="B222" s="101" t="s">
        <v>96</v>
      </c>
      <c r="C222" s="92" t="s">
        <v>297</v>
      </c>
      <c r="D222" s="374">
        <v>65823955.098767616</v>
      </c>
      <c r="E222" s="99" t="str">
        <f t="shared" si="29"/>
        <v/>
      </c>
      <c r="F222" s="47"/>
      <c r="G222" s="47">
        <v>0</v>
      </c>
      <c r="H222" s="47">
        <v>-1.4901161193847656E-8</v>
      </c>
      <c r="I222" s="47">
        <v>0</v>
      </c>
      <c r="J222" s="98"/>
      <c r="K222" s="100"/>
      <c r="L222" s="93">
        <f t="shared" si="22"/>
        <v>-1.4901161193847656E-8</v>
      </c>
      <c r="M222" s="95" t="e">
        <f t="shared" ca="1" si="23"/>
        <v>#DIV/0!</v>
      </c>
      <c r="N222" s="95">
        <f>IF(P222="Hedge Fund",IF(A222=Summary!$AD$3,M222-E222,M222),IF(A222=Summary!$AD$3,L222-D222,L222))</f>
        <v>-1.4901161193847656E-8</v>
      </c>
      <c r="P222" s="89" t="s">
        <v>155</v>
      </c>
      <c r="Q222" s="89">
        <v>2.6895833333333334E-2</v>
      </c>
      <c r="R222" s="89">
        <v>0</v>
      </c>
      <c r="S222" s="89">
        <v>0</v>
      </c>
      <c r="T222" s="89">
        <v>0</v>
      </c>
      <c r="U222" s="89"/>
      <c r="V222" s="89"/>
      <c r="W222" s="89"/>
      <c r="X222" s="89"/>
      <c r="Y222" s="89"/>
      <c r="Z222" s="89"/>
      <c r="AA222" s="89"/>
      <c r="AB222" s="89"/>
      <c r="AC222" s="355"/>
      <c r="AD222" s="355"/>
      <c r="AE222" s="355"/>
      <c r="AF222" s="94">
        <f t="shared" si="24"/>
        <v>42216</v>
      </c>
      <c r="AG222" s="185">
        <f t="shared" si="25"/>
        <v>6.8847166018555228E-3</v>
      </c>
      <c r="AH222" s="339" t="str">
        <f>VLOOKUP(B222,'MF PF'!A:B,2)</f>
        <v>FdMgt2</v>
      </c>
      <c r="AI222" s="358">
        <f t="shared" si="26"/>
        <v>0</v>
      </c>
      <c r="AJ222" s="94">
        <f t="shared" si="27"/>
        <v>42216</v>
      </c>
    </row>
    <row r="223" spans="1:36" ht="12.75" customHeight="1">
      <c r="A223" s="8">
        <v>42247</v>
      </c>
      <c r="B223" s="101" t="s">
        <v>96</v>
      </c>
      <c r="C223" s="92" t="s">
        <v>297</v>
      </c>
      <c r="D223" s="374">
        <v>59740395.084341399</v>
      </c>
      <c r="E223" s="99" t="str">
        <f t="shared" si="29"/>
        <v/>
      </c>
      <c r="F223" s="98"/>
      <c r="G223" s="98">
        <v>0</v>
      </c>
      <c r="H223" s="98">
        <v>-7.4505805969238281E-9</v>
      </c>
      <c r="I223" s="98">
        <v>0</v>
      </c>
      <c r="J223" s="98"/>
      <c r="K223" s="100"/>
      <c r="L223" s="93">
        <f t="shared" si="22"/>
        <v>-7.4505805969238281E-9</v>
      </c>
      <c r="M223" s="95" t="e">
        <f t="shared" ca="1" si="23"/>
        <v>#DIV/0!</v>
      </c>
      <c r="N223" s="95">
        <f>IF(P223="Hedge Fund",IF(A223=Summary!$AD$3,M223-E223,M223),IF(A223=Summary!$AD$3,L223-D223,L223))</f>
        <v>-7.4505805969238281E-9</v>
      </c>
      <c r="P223" s="89" t="s">
        <v>155</v>
      </c>
      <c r="Q223" s="107">
        <v>2.6895833333333334E-2</v>
      </c>
      <c r="R223" s="107">
        <v>0</v>
      </c>
      <c r="S223" s="107">
        <v>0</v>
      </c>
      <c r="T223" s="107">
        <v>0</v>
      </c>
      <c r="U223" s="107"/>
      <c r="V223" s="107"/>
      <c r="W223" s="107"/>
      <c r="X223" s="107"/>
      <c r="Y223" s="107"/>
      <c r="Z223" s="107"/>
      <c r="AA223" s="107"/>
      <c r="AB223" s="107"/>
      <c r="AC223" s="355"/>
      <c r="AD223" s="355"/>
      <c r="AE223" s="355"/>
      <c r="AF223" s="94">
        <f t="shared" si="24"/>
        <v>42247</v>
      </c>
      <c r="AG223" s="185">
        <f t="shared" si="25"/>
        <v>-9.2421672403275368E-2</v>
      </c>
      <c r="AH223" s="339" t="str">
        <f>VLOOKUP(B223,'MF PF'!A:B,2)</f>
        <v>FdMgt2</v>
      </c>
      <c r="AI223" s="358">
        <f t="shared" si="26"/>
        <v>0</v>
      </c>
      <c r="AJ223" s="94">
        <f t="shared" si="27"/>
        <v>42247</v>
      </c>
    </row>
    <row r="224" spans="1:36" ht="12.75" customHeight="1">
      <c r="A224" s="8">
        <v>42277</v>
      </c>
      <c r="B224" s="101" t="s">
        <v>96</v>
      </c>
      <c r="C224" s="92" t="s">
        <v>297</v>
      </c>
      <c r="D224" s="374">
        <v>55807551.999915168</v>
      </c>
      <c r="E224" s="99" t="str">
        <f t="shared" si="29"/>
        <v/>
      </c>
      <c r="F224" s="47"/>
      <c r="G224" s="47">
        <v>2.2351741790771484E-8</v>
      </c>
      <c r="H224" s="47">
        <v>0</v>
      </c>
      <c r="I224" s="47">
        <v>0</v>
      </c>
      <c r="J224" s="98"/>
      <c r="K224" s="100"/>
      <c r="L224" s="93">
        <f t="shared" si="22"/>
        <v>2.2351741790771484E-8</v>
      </c>
      <c r="M224" s="95" t="e">
        <f t="shared" ca="1" si="23"/>
        <v>#DIV/0!</v>
      </c>
      <c r="N224" s="95">
        <f>IF(P224="Hedge Fund",IF(A224=Summary!$AD$3,M224-E224,M224),IF(A224=Summary!$AD$3,L224-D224,L224))</f>
        <v>2.2351741790771484E-8</v>
      </c>
      <c r="P224" s="89" t="s">
        <v>155</v>
      </c>
      <c r="Q224" s="89">
        <v>2.6895833333333334E-2</v>
      </c>
      <c r="R224" s="89">
        <v>0</v>
      </c>
      <c r="S224" s="89">
        <v>0</v>
      </c>
      <c r="T224" s="89">
        <v>0</v>
      </c>
      <c r="U224" s="89"/>
      <c r="V224" s="89"/>
      <c r="W224" s="89"/>
      <c r="X224" s="89"/>
      <c r="Y224" s="89"/>
      <c r="Z224" s="89"/>
      <c r="AA224" s="89"/>
      <c r="AB224" s="89"/>
      <c r="AC224" s="355"/>
      <c r="AD224" s="355"/>
      <c r="AE224" s="355"/>
      <c r="AF224" s="94">
        <f t="shared" si="24"/>
        <v>42277</v>
      </c>
      <c r="AG224" s="185">
        <f t="shared" si="25"/>
        <v>-6.5832224224059321E-2</v>
      </c>
      <c r="AH224" s="339" t="str">
        <f>VLOOKUP(B224,'MF PF'!A:B,2)</f>
        <v>FdMgt2</v>
      </c>
      <c r="AI224" s="358">
        <f t="shared" si="26"/>
        <v>0</v>
      </c>
      <c r="AJ224" s="94">
        <f t="shared" si="27"/>
        <v>42277</v>
      </c>
    </row>
    <row r="225" spans="1:53" ht="12.75" customHeight="1">
      <c r="A225" s="8">
        <v>42307</v>
      </c>
      <c r="B225" s="101" t="s">
        <v>96</v>
      </c>
      <c r="C225" s="92" t="s">
        <v>297</v>
      </c>
      <c r="D225" s="374">
        <v>56271664.266705543</v>
      </c>
      <c r="E225" s="99" t="str">
        <f t="shared" si="29"/>
        <v/>
      </c>
      <c r="F225" s="47"/>
      <c r="G225" s="47">
        <v>0</v>
      </c>
      <c r="H225" s="47">
        <v>-2.2351741790771484E-8</v>
      </c>
      <c r="I225" s="47">
        <v>0</v>
      </c>
      <c r="J225" s="98"/>
      <c r="K225" s="100"/>
      <c r="L225" s="93">
        <f t="shared" si="22"/>
        <v>-2.2351741790771484E-8</v>
      </c>
      <c r="M225" s="95" t="e">
        <f t="shared" ca="1" si="23"/>
        <v>#DIV/0!</v>
      </c>
      <c r="N225" s="95">
        <f>IF(P225="Hedge Fund",IF(A225=Summary!$AD$3,M225-E225,M225),IF(A225=Summary!$AD$3,L225-D225,L225))</f>
        <v>-2.2351741790771484E-8</v>
      </c>
      <c r="P225" s="89" t="s">
        <v>155</v>
      </c>
      <c r="Q225" s="89">
        <v>2.6895833333333334E-2</v>
      </c>
      <c r="R225" s="89">
        <v>0</v>
      </c>
      <c r="S225" s="89">
        <v>0</v>
      </c>
      <c r="T225" s="89">
        <v>0</v>
      </c>
      <c r="U225" s="89"/>
      <c r="V225" s="89"/>
      <c r="W225" s="89"/>
      <c r="X225" s="89"/>
      <c r="Y225" s="89"/>
      <c r="Z225" s="89"/>
      <c r="AA225" s="89"/>
      <c r="AB225" s="89"/>
      <c r="AC225" s="355"/>
      <c r="AD225" s="355"/>
      <c r="AE225" s="355"/>
      <c r="AF225" s="94">
        <f t="shared" si="24"/>
        <v>42307</v>
      </c>
      <c r="AG225" s="185">
        <f t="shared" si="25"/>
        <v>8.3162986040150599E-3</v>
      </c>
      <c r="AH225" s="339" t="str">
        <f>VLOOKUP(B225,'MF PF'!A:B,2)</f>
        <v>FdMgt2</v>
      </c>
      <c r="AI225" s="358">
        <f t="shared" si="26"/>
        <v>0</v>
      </c>
      <c r="AJ225" s="94">
        <f t="shared" si="27"/>
        <v>42308</v>
      </c>
    </row>
    <row r="226" spans="1:53" ht="12.75" customHeight="1">
      <c r="A226" s="8">
        <v>42338</v>
      </c>
      <c r="B226" s="101" t="s">
        <v>96</v>
      </c>
      <c r="C226" s="92" t="s">
        <v>297</v>
      </c>
      <c r="D226" s="374">
        <v>56338493.622279316</v>
      </c>
      <c r="E226" s="99" t="str">
        <f t="shared" si="29"/>
        <v/>
      </c>
      <c r="F226" s="98"/>
      <c r="G226" s="98">
        <v>7.4505805969238281E-9</v>
      </c>
      <c r="H226" s="98">
        <v>0</v>
      </c>
      <c r="I226" s="98">
        <v>0</v>
      </c>
      <c r="J226" s="98"/>
      <c r="K226" s="100"/>
      <c r="L226" s="93">
        <f t="shared" si="22"/>
        <v>7.4505805969238281E-9</v>
      </c>
      <c r="M226" s="95" t="e">
        <f t="shared" ca="1" si="23"/>
        <v>#DIV/0!</v>
      </c>
      <c r="N226" s="95">
        <f>IF(P226="Hedge Fund",IF(A226=Summary!$AD$3,M226-E226,M226),IF(A226=Summary!$AD$3,L226-D226,L226))</f>
        <v>7.4505805969238281E-9</v>
      </c>
      <c r="P226" s="89" t="s">
        <v>155</v>
      </c>
      <c r="Q226" s="107">
        <v>2.6895833333333334E-2</v>
      </c>
      <c r="R226" s="107">
        <v>0</v>
      </c>
      <c r="S226" s="107">
        <v>0</v>
      </c>
      <c r="T226" s="107">
        <v>0</v>
      </c>
      <c r="U226" s="107"/>
      <c r="V226" s="107"/>
      <c r="W226" s="107"/>
      <c r="X226" s="107"/>
      <c r="Y226" s="107"/>
      <c r="Z226" s="107"/>
      <c r="AA226" s="107"/>
      <c r="AB226" s="107"/>
      <c r="AC226" s="355"/>
      <c r="AD226" s="355"/>
      <c r="AE226" s="355"/>
      <c r="AF226" s="94">
        <f t="shared" si="24"/>
        <v>42338</v>
      </c>
      <c r="AG226" s="185">
        <f t="shared" si="25"/>
        <v>1.1876200294524963E-3</v>
      </c>
      <c r="AH226" s="339" t="str">
        <f>VLOOKUP(B226,'MF PF'!A:B,2)</f>
        <v>FdMgt2</v>
      </c>
      <c r="AI226" s="358">
        <f t="shared" si="26"/>
        <v>0</v>
      </c>
      <c r="AJ226" s="94">
        <f t="shared" si="27"/>
        <v>42338</v>
      </c>
    </row>
    <row r="227" spans="1:53" ht="12.75" customHeight="1">
      <c r="A227" s="8">
        <v>42369</v>
      </c>
      <c r="B227" s="101" t="s">
        <v>96</v>
      </c>
      <c r="C227" s="92" t="s">
        <v>297</v>
      </c>
      <c r="D227" s="374">
        <v>60037154.736705534</v>
      </c>
      <c r="E227" s="99" t="str">
        <f t="shared" si="29"/>
        <v/>
      </c>
      <c r="F227" s="98"/>
      <c r="G227" s="98">
        <v>0</v>
      </c>
      <c r="H227" s="98">
        <v>-7.4505805969238281E-9</v>
      </c>
      <c r="I227" s="98">
        <v>0</v>
      </c>
      <c r="J227" s="98"/>
      <c r="K227" s="100"/>
      <c r="L227" s="93">
        <f t="shared" si="22"/>
        <v>-7.4505805969238281E-9</v>
      </c>
      <c r="M227" s="95" t="e">
        <f t="shared" ca="1" si="23"/>
        <v>#DIV/0!</v>
      </c>
      <c r="N227" s="95">
        <f>IF(P227="Hedge Fund",IF(A227=Summary!$AD$3,M227-E227,M227),IF(A227=Summary!$AD$3,L227-D227,L227))</f>
        <v>-7.4505805969238281E-9</v>
      </c>
      <c r="P227" s="89" t="s">
        <v>155</v>
      </c>
      <c r="Q227" s="107">
        <v>2.6895833333333334E-2</v>
      </c>
      <c r="R227" s="107">
        <v>0</v>
      </c>
      <c r="S227" s="107">
        <v>0</v>
      </c>
      <c r="T227" s="107">
        <v>0</v>
      </c>
      <c r="U227" s="107"/>
      <c r="V227" s="107"/>
      <c r="W227" s="107"/>
      <c r="X227" s="107"/>
      <c r="Y227" s="107"/>
      <c r="Z227" s="107"/>
      <c r="AA227" s="107"/>
      <c r="AB227" s="107"/>
      <c r="AC227" s="355"/>
      <c r="AD227" s="355"/>
      <c r="AE227" s="355"/>
      <c r="AF227" s="94">
        <f t="shared" si="24"/>
        <v>42369</v>
      </c>
      <c r="AG227" s="185">
        <f t="shared" si="25"/>
        <v>6.5650692388473431E-2</v>
      </c>
      <c r="AH227" s="339" t="str">
        <f>VLOOKUP(B227,'MF PF'!A:B,2)</f>
        <v>FdMgt2</v>
      </c>
      <c r="AI227" s="358">
        <f t="shared" si="26"/>
        <v>0</v>
      </c>
      <c r="AJ227" s="94">
        <f t="shared" si="27"/>
        <v>42369</v>
      </c>
    </row>
    <row r="228" spans="1:53" ht="12.75" customHeight="1">
      <c r="A228" s="8">
        <v>42398</v>
      </c>
      <c r="B228" s="101" t="s">
        <v>96</v>
      </c>
      <c r="C228" s="92" t="s">
        <v>297</v>
      </c>
      <c r="D228" s="374">
        <v>60511647.844827257</v>
      </c>
      <c r="E228" s="99" t="str">
        <f t="shared" si="29"/>
        <v/>
      </c>
      <c r="F228" s="98"/>
      <c r="G228" s="98">
        <v>1.4901161193847656E-8</v>
      </c>
      <c r="H228" s="98">
        <v>0</v>
      </c>
      <c r="I228" s="98">
        <v>0</v>
      </c>
      <c r="J228" s="98"/>
      <c r="K228" s="100"/>
      <c r="L228" s="93">
        <f t="shared" si="22"/>
        <v>1.4901161193847656E-8</v>
      </c>
      <c r="M228" s="95" t="e">
        <f t="shared" ca="1" si="23"/>
        <v>#DIV/0!</v>
      </c>
      <c r="N228" s="95">
        <f>IF(P228="Hedge Fund",IF(A228=Summary!$AD$3,M228-E228,M228),IF(A228=Summary!$AD$3,L228-D228,L228))</f>
        <v>1.4901161193847656E-8</v>
      </c>
      <c r="P228" s="89" t="s">
        <v>155</v>
      </c>
      <c r="Q228" s="107">
        <v>2.6895833333333334E-2</v>
      </c>
      <c r="R228" s="107">
        <v>0</v>
      </c>
      <c r="S228" s="107">
        <v>0</v>
      </c>
      <c r="T228" s="107">
        <v>0</v>
      </c>
      <c r="U228" s="107"/>
      <c r="V228" s="107"/>
      <c r="W228" s="107"/>
      <c r="X228" s="107"/>
      <c r="Y228" s="107"/>
      <c r="Z228" s="107"/>
      <c r="AA228" s="107"/>
      <c r="AB228" s="107"/>
      <c r="AC228" s="355"/>
      <c r="AD228" s="355"/>
      <c r="AE228" s="355"/>
      <c r="AF228" s="94">
        <f t="shared" si="24"/>
        <v>42398</v>
      </c>
      <c r="AG228" s="185">
        <f t="shared" si="25"/>
        <v>7.9033243697608224E-3</v>
      </c>
      <c r="AH228" s="339" t="str">
        <f>VLOOKUP(B228,'MF PF'!A:B,2)</f>
        <v>FdMgt2</v>
      </c>
      <c r="AI228" s="358">
        <f t="shared" si="26"/>
        <v>0</v>
      </c>
      <c r="AJ228" s="94">
        <f t="shared" si="27"/>
        <v>42400</v>
      </c>
    </row>
    <row r="229" spans="1:53" ht="12.75" customHeight="1">
      <c r="A229" s="8">
        <v>42429</v>
      </c>
      <c r="B229" s="101" t="s">
        <v>96</v>
      </c>
      <c r="C229" s="92" t="s">
        <v>297</v>
      </c>
      <c r="D229" s="374">
        <v>55959711.520489521</v>
      </c>
      <c r="E229" s="99" t="str">
        <f t="shared" si="29"/>
        <v/>
      </c>
      <c r="F229" s="98"/>
      <c r="G229" s="98">
        <v>0</v>
      </c>
      <c r="H229" s="98">
        <v>-1.4901161193847656E-8</v>
      </c>
      <c r="I229" s="98">
        <v>0</v>
      </c>
      <c r="J229" s="98"/>
      <c r="K229" s="100"/>
      <c r="L229" s="93">
        <f t="shared" si="22"/>
        <v>-1.4901161193847656E-8</v>
      </c>
      <c r="M229" s="95" t="e">
        <f t="shared" ca="1" si="23"/>
        <v>#DIV/0!</v>
      </c>
      <c r="N229" s="95">
        <f>IF(P229="Hedge Fund",IF(A229=Summary!$AD$3,M229-E229,M229),IF(A229=Summary!$AD$3,L229-D229,L229))</f>
        <v>-1.4901161193847656E-8</v>
      </c>
      <c r="P229" s="89" t="s">
        <v>155</v>
      </c>
      <c r="Q229" s="107">
        <v>2.6895833333333334E-2</v>
      </c>
      <c r="R229" s="107">
        <v>0</v>
      </c>
      <c r="S229" s="107">
        <v>0</v>
      </c>
      <c r="T229" s="107">
        <v>0</v>
      </c>
      <c r="U229" s="107"/>
      <c r="V229" s="107"/>
      <c r="W229" s="107"/>
      <c r="X229" s="107"/>
      <c r="Y229" s="107"/>
      <c r="Z229" s="107"/>
      <c r="AA229" s="107"/>
      <c r="AB229" s="107"/>
      <c r="AC229" s="355"/>
      <c r="AD229" s="355"/>
      <c r="AE229" s="355"/>
      <c r="AF229" s="94">
        <f t="shared" si="24"/>
        <v>42429</v>
      </c>
      <c r="AG229" s="185">
        <f t="shared" si="25"/>
        <v>-7.522413430238184E-2</v>
      </c>
      <c r="AH229" s="339" t="str">
        <f>VLOOKUP(B229,'MF PF'!A:B,2)</f>
        <v>FdMgt2</v>
      </c>
      <c r="AI229" s="358">
        <f t="shared" si="26"/>
        <v>0</v>
      </c>
      <c r="AJ229" s="94">
        <f t="shared" si="27"/>
        <v>42429</v>
      </c>
    </row>
    <row r="230" spans="1:53" ht="12.75" customHeight="1">
      <c r="A230" s="8">
        <v>42460</v>
      </c>
      <c r="B230" s="101" t="s">
        <v>96</v>
      </c>
      <c r="C230" s="92" t="s">
        <v>297</v>
      </c>
      <c r="D230" s="374">
        <v>56979444.618611224</v>
      </c>
      <c r="E230" s="99" t="str">
        <f t="shared" si="29"/>
        <v/>
      </c>
      <c r="F230" s="98"/>
      <c r="G230" s="98">
        <v>7.4505805969238281E-9</v>
      </c>
      <c r="H230" s="98">
        <v>0</v>
      </c>
      <c r="I230" s="98">
        <v>0</v>
      </c>
      <c r="J230" s="98"/>
      <c r="K230" s="100"/>
      <c r="L230" s="93">
        <f t="shared" si="22"/>
        <v>7.4505805969238281E-9</v>
      </c>
      <c r="M230" s="95" t="e">
        <f t="shared" ca="1" si="23"/>
        <v>#DIV/0!</v>
      </c>
      <c r="N230" s="95">
        <f>IF(P230="Hedge Fund",IF(A230=Summary!$AD$3,M230-E230,M230),IF(A230=Summary!$AD$3,L230-D230,L230))</f>
        <v>7.4505805969238281E-9</v>
      </c>
      <c r="P230" s="89" t="s">
        <v>155</v>
      </c>
      <c r="Q230" s="107">
        <v>2.6895833333333334E-2</v>
      </c>
      <c r="R230" s="107">
        <v>0</v>
      </c>
      <c r="S230" s="107">
        <v>0</v>
      </c>
      <c r="T230" s="107">
        <v>0</v>
      </c>
      <c r="U230" s="107"/>
      <c r="V230" s="107"/>
      <c r="W230" s="107"/>
      <c r="X230" s="107"/>
      <c r="Y230" s="107"/>
      <c r="Z230" s="107"/>
      <c r="AA230" s="107"/>
      <c r="AB230" s="107"/>
      <c r="AC230" s="355"/>
      <c r="AD230" s="355"/>
      <c r="AE230" s="355"/>
      <c r="AF230" s="94">
        <f t="shared" si="24"/>
        <v>42460</v>
      </c>
      <c r="AG230" s="185">
        <f t="shared" si="25"/>
        <v>1.8222629645764377E-2</v>
      </c>
      <c r="AH230" s="339" t="str">
        <f>VLOOKUP(B230,'MF PF'!A:B,2)</f>
        <v>FdMgt2</v>
      </c>
      <c r="AI230" s="358">
        <f t="shared" si="26"/>
        <v>0</v>
      </c>
      <c r="AJ230" s="94">
        <f t="shared" si="27"/>
        <v>42460</v>
      </c>
    </row>
    <row r="231" spans="1:53" ht="12.75" customHeight="1">
      <c r="A231" s="8">
        <v>42489</v>
      </c>
      <c r="B231" s="101" t="s">
        <v>96</v>
      </c>
      <c r="C231" s="92" t="s">
        <v>297</v>
      </c>
      <c r="D231" s="374">
        <v>55839204.274027817</v>
      </c>
      <c r="E231" s="99" t="str">
        <f t="shared" si="29"/>
        <v/>
      </c>
      <c r="F231" s="98"/>
      <c r="G231" s="98">
        <v>0</v>
      </c>
      <c r="H231" s="98">
        <v>0</v>
      </c>
      <c r="I231" s="98">
        <v>0</v>
      </c>
      <c r="J231" s="98"/>
      <c r="K231" s="100"/>
      <c r="L231" s="93">
        <f t="shared" si="22"/>
        <v>0</v>
      </c>
      <c r="M231" s="95" t="e">
        <f t="shared" ca="1" si="23"/>
        <v>#DIV/0!</v>
      </c>
      <c r="N231" s="95">
        <f>IF(P231="Hedge Fund",IF(A231=Summary!$AD$3,M231-E231,M231),IF(A231=Summary!$AD$3,L231-D231,L231))</f>
        <v>0</v>
      </c>
      <c r="P231" s="89" t="s">
        <v>155</v>
      </c>
      <c r="Q231" s="107">
        <v>2.6895833333333334E-2</v>
      </c>
      <c r="R231" s="107">
        <v>0</v>
      </c>
      <c r="S231" s="107">
        <v>0</v>
      </c>
      <c r="T231" s="107">
        <v>0</v>
      </c>
      <c r="U231" s="107"/>
      <c r="V231" s="107"/>
      <c r="W231" s="107"/>
      <c r="X231" s="107"/>
      <c r="Y231" s="107"/>
      <c r="Z231" s="107"/>
      <c r="AA231" s="107"/>
      <c r="AB231" s="107"/>
      <c r="AC231" s="355"/>
      <c r="AD231" s="355"/>
      <c r="AE231" s="355"/>
      <c r="AF231" s="94">
        <f t="shared" si="24"/>
        <v>42489</v>
      </c>
      <c r="AG231" s="185">
        <f t="shared" si="25"/>
        <v>-2.001143310917719E-2</v>
      </c>
      <c r="AH231" s="339" t="str">
        <f>VLOOKUP(B231,'MF PF'!A:B,2)</f>
        <v>FdMgt2</v>
      </c>
      <c r="AI231" s="358">
        <f t="shared" si="26"/>
        <v>0</v>
      </c>
      <c r="AJ231" s="94">
        <f t="shared" si="27"/>
        <v>42490</v>
      </c>
    </row>
    <row r="232" spans="1:53" ht="12.75" customHeight="1">
      <c r="A232" s="8">
        <v>42521</v>
      </c>
      <c r="B232" s="101" t="s">
        <v>96</v>
      </c>
      <c r="C232" s="92" t="s">
        <v>297</v>
      </c>
      <c r="D232" s="374">
        <v>55355748.643712372</v>
      </c>
      <c r="E232" s="99" t="str">
        <f t="shared" si="29"/>
        <v/>
      </c>
      <c r="F232" s="98"/>
      <c r="G232" s="98">
        <v>0</v>
      </c>
      <c r="H232" s="98">
        <v>0</v>
      </c>
      <c r="I232" s="98">
        <v>0</v>
      </c>
      <c r="J232" s="98"/>
      <c r="K232" s="100"/>
      <c r="L232" s="93">
        <f t="shared" si="22"/>
        <v>0</v>
      </c>
      <c r="M232" s="95" t="e">
        <f t="shared" ca="1" si="23"/>
        <v>#DIV/0!</v>
      </c>
      <c r="N232" s="95">
        <f>IF(P232="Hedge Fund",IF(A232=Summary!$AD$3,M232-E232,M232),IF(A232=Summary!$AD$3,L232-D232,L232))</f>
        <v>0</v>
      </c>
      <c r="P232" s="89" t="s">
        <v>155</v>
      </c>
      <c r="Q232" s="107">
        <v>2.6895833333333334E-2</v>
      </c>
      <c r="R232" s="107">
        <v>0</v>
      </c>
      <c r="S232" s="107">
        <v>0</v>
      </c>
      <c r="T232" s="107">
        <v>0</v>
      </c>
      <c r="U232" s="107"/>
      <c r="V232" s="107"/>
      <c r="W232" s="107"/>
      <c r="X232" s="107"/>
      <c r="Y232" s="107"/>
      <c r="Z232" s="107"/>
      <c r="AA232" s="107"/>
      <c r="AB232" s="107"/>
      <c r="AC232" s="355"/>
      <c r="AD232" s="355"/>
      <c r="AE232" s="355"/>
      <c r="AF232" s="94">
        <f t="shared" si="24"/>
        <v>42521</v>
      </c>
      <c r="AG232" s="185">
        <f t="shared" si="25"/>
        <v>-8.6579964131099363E-3</v>
      </c>
      <c r="AH232" s="339" t="str">
        <f>VLOOKUP(B232,'MF PF'!A:B,2)</f>
        <v>FdMgt2</v>
      </c>
      <c r="AI232" s="358">
        <f t="shared" si="26"/>
        <v>0</v>
      </c>
      <c r="AJ232" s="94">
        <f t="shared" si="27"/>
        <v>42521</v>
      </c>
    </row>
    <row r="233" spans="1:53" ht="12.75" customHeight="1">
      <c r="A233" s="8">
        <v>42537</v>
      </c>
      <c r="B233" s="101" t="s">
        <v>96</v>
      </c>
      <c r="C233" s="92" t="s">
        <v>297</v>
      </c>
      <c r="D233" s="374">
        <v>-478541.16382188606</v>
      </c>
      <c r="E233" s="99" t="str">
        <f t="shared" si="29"/>
        <v/>
      </c>
      <c r="F233" s="98"/>
      <c r="G233" s="98">
        <v>0</v>
      </c>
      <c r="H233" s="98">
        <v>0</v>
      </c>
      <c r="I233" s="98">
        <v>0</v>
      </c>
      <c r="J233" s="98"/>
      <c r="K233" s="100"/>
      <c r="L233" s="93">
        <f t="shared" si="22"/>
        <v>0</v>
      </c>
      <c r="M233" s="95" t="e">
        <f t="shared" ca="1" si="23"/>
        <v>#DIV/0!</v>
      </c>
      <c r="N233" s="95">
        <f>IF(P233="Hedge Fund",IF(A233=Summary!$AD$3,M233-E233,M233),IF(A233=Summary!$AD$3,L233-D233,L233))</f>
        <v>0</v>
      </c>
      <c r="P233" s="89" t="s">
        <v>155</v>
      </c>
      <c r="Q233" s="107">
        <v>2.6895833333333334E-2</v>
      </c>
      <c r="R233" s="107">
        <v>0</v>
      </c>
      <c r="S233" s="107">
        <v>0</v>
      </c>
      <c r="T233" s="107">
        <v>0</v>
      </c>
      <c r="U233" s="107"/>
      <c r="V233" s="107"/>
      <c r="W233" s="107"/>
      <c r="X233" s="107"/>
      <c r="Y233" s="107"/>
      <c r="Z233" s="107"/>
      <c r="AA233" s="107"/>
      <c r="AB233" s="107"/>
      <c r="AC233" s="355"/>
      <c r="AD233" s="355"/>
      <c r="AE233" s="355"/>
      <c r="AF233" s="94">
        <f t="shared" si="24"/>
        <v>42537</v>
      </c>
      <c r="AG233" s="185">
        <f t="shared" si="25"/>
        <v>-1.0086448322992059</v>
      </c>
      <c r="AH233" s="339" t="str">
        <f>VLOOKUP(B233,'MF PF'!A:B,2)</f>
        <v>FdMgt2</v>
      </c>
      <c r="AI233" s="358">
        <f t="shared" si="26"/>
        <v>0</v>
      </c>
      <c r="AJ233" s="94">
        <f t="shared" si="27"/>
        <v>42551</v>
      </c>
    </row>
    <row r="234" spans="1:53">
      <c r="A234" s="8">
        <v>39846</v>
      </c>
      <c r="B234" s="358" t="s">
        <v>417</v>
      </c>
      <c r="C234" s="92" t="s">
        <v>297</v>
      </c>
      <c r="D234" s="374">
        <v>10000000</v>
      </c>
      <c r="E234" s="9">
        <f t="shared" si="29"/>
        <v>1008.7275104201552</v>
      </c>
      <c r="F234" s="93"/>
      <c r="G234" s="93">
        <v>10000000</v>
      </c>
      <c r="H234" s="93"/>
      <c r="I234" s="93"/>
      <c r="K234" s="93">
        <v>9913.48</v>
      </c>
      <c r="L234" s="93">
        <f t="shared" si="22"/>
        <v>10000000</v>
      </c>
      <c r="M234" s="95">
        <f t="shared" ca="1" si="23"/>
        <v>1008.7275104201552</v>
      </c>
      <c r="N234" s="95">
        <f ca="1">IF(P234="Hedge Fund",IF(A234=Summary!$AD$3,M234-E234,M234),IF(A234=Summary!$AD$3,L234-D234,L234))</f>
        <v>1008.7275104201552</v>
      </c>
      <c r="P234" s="89" t="s">
        <v>139</v>
      </c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  <c r="AC234" s="355"/>
      <c r="AD234" s="355"/>
      <c r="AE234" s="355"/>
      <c r="AF234" s="94">
        <f t="shared" si="24"/>
        <v>39846</v>
      </c>
      <c r="AG234" s="185">
        <f t="shared" si="25"/>
        <v>-1</v>
      </c>
      <c r="AH234" s="339" t="str">
        <f>VLOOKUP(B234,'MF PF'!A:B,2)</f>
        <v>FdMgt2</v>
      </c>
      <c r="AI234" s="358">
        <f t="shared" si="26"/>
        <v>0</v>
      </c>
      <c r="AJ234" s="94">
        <f t="shared" si="27"/>
        <v>39872</v>
      </c>
    </row>
    <row r="235" spans="1:53">
      <c r="A235" s="8">
        <v>39994</v>
      </c>
      <c r="B235" s="358" t="s">
        <v>417</v>
      </c>
      <c r="C235" s="92" t="s">
        <v>297</v>
      </c>
      <c r="D235" s="374"/>
      <c r="E235" s="9">
        <f t="shared" si="29"/>
        <v>0</v>
      </c>
      <c r="F235" s="93"/>
      <c r="G235" s="93"/>
      <c r="H235" s="93"/>
      <c r="I235" s="93">
        <v>-173485.91</v>
      </c>
      <c r="K235" s="93">
        <v>9913.48</v>
      </c>
      <c r="L235" s="93">
        <f t="shared" si="22"/>
        <v>-173485.91</v>
      </c>
      <c r="M235" s="95">
        <f t="shared" ca="1" si="23"/>
        <v>-17.500001008727512</v>
      </c>
      <c r="N235" s="95">
        <f ca="1">IF(P235="Hedge Fund",IF(A235=Summary!$AD$3,M235-E235,M235),IF(A235=Summary!$AD$3,L235-D235,L235))</f>
        <v>-17.500001008727512</v>
      </c>
      <c r="P235" s="89" t="s">
        <v>139</v>
      </c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  <c r="AC235" s="355"/>
      <c r="AD235" s="355"/>
      <c r="AE235" s="355"/>
      <c r="AF235" s="94">
        <f t="shared" si="24"/>
        <v>39994</v>
      </c>
      <c r="AG235" s="185">
        <f t="shared" si="25"/>
        <v>-0.98265140900000003</v>
      </c>
      <c r="AH235" s="339" t="str">
        <f>VLOOKUP(B235,'MF PF'!A:B,2)</f>
        <v>FdMgt2</v>
      </c>
      <c r="AI235" s="358">
        <f t="shared" si="26"/>
        <v>0</v>
      </c>
      <c r="AJ235" s="94">
        <f t="shared" si="27"/>
        <v>39994</v>
      </c>
    </row>
    <row r="236" spans="1:53">
      <c r="A236" s="8">
        <v>40086</v>
      </c>
      <c r="B236" s="358" t="s">
        <v>417</v>
      </c>
      <c r="C236" s="92" t="s">
        <v>297</v>
      </c>
      <c r="D236" s="374"/>
      <c r="E236" s="95">
        <f t="shared" si="29"/>
        <v>0</v>
      </c>
      <c r="F236" s="93"/>
      <c r="G236" s="93"/>
      <c r="H236" s="93"/>
      <c r="I236" s="93">
        <v>-89221.32</v>
      </c>
      <c r="K236" s="93">
        <v>9913.48</v>
      </c>
      <c r="L236" s="93">
        <f t="shared" si="22"/>
        <v>-89221.32</v>
      </c>
      <c r="M236" s="95">
        <f t="shared" ca="1" si="23"/>
        <v>-9.0000000000000018</v>
      </c>
      <c r="N236" s="95">
        <f ca="1">IF(P236="Hedge Fund",IF(A236=Summary!$AD$3,M236-E236,M236),IF(A236=Summary!$AD$3,L236-D236,L236))</f>
        <v>-9.0000000000000018</v>
      </c>
      <c r="P236" s="89" t="s">
        <v>139</v>
      </c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  <c r="AC236" s="355"/>
      <c r="AD236" s="355"/>
      <c r="AE236" s="355"/>
      <c r="AF236" s="94">
        <f t="shared" si="24"/>
        <v>40086</v>
      </c>
      <c r="AG236" s="185" t="e">
        <f t="shared" si="25"/>
        <v>#DIV/0!</v>
      </c>
      <c r="AH236" s="339" t="str">
        <f>VLOOKUP(B236,'MF PF'!A:B,2)</f>
        <v>FdMgt2</v>
      </c>
      <c r="AI236" s="358">
        <f t="shared" si="26"/>
        <v>0</v>
      </c>
      <c r="AJ236" s="94">
        <f t="shared" si="27"/>
        <v>40086</v>
      </c>
    </row>
    <row r="237" spans="1:53">
      <c r="A237" s="8">
        <v>40178</v>
      </c>
      <c r="B237" s="358" t="s">
        <v>417</v>
      </c>
      <c r="C237" s="92" t="s">
        <v>297</v>
      </c>
      <c r="D237" s="374"/>
      <c r="E237" s="95">
        <f t="shared" si="29"/>
        <v>0</v>
      </c>
      <c r="F237" s="93"/>
      <c r="G237" s="93"/>
      <c r="H237" s="93"/>
      <c r="I237" s="93">
        <v>-100919.23</v>
      </c>
      <c r="K237" s="93">
        <v>9913.48</v>
      </c>
      <c r="L237" s="93">
        <f t="shared" si="22"/>
        <v>-100919.23</v>
      </c>
      <c r="M237" s="95">
        <f t="shared" ca="1" si="23"/>
        <v>-10.180000363141904</v>
      </c>
      <c r="N237" s="95">
        <f ca="1">IF(P237="Hedge Fund",IF(A237=Summary!$AD$3,M237-E237,M237),IF(A237=Summary!$AD$3,L237-D237,L237))</f>
        <v>-10.180000363141904</v>
      </c>
      <c r="O237" s="95"/>
      <c r="P237" s="89" t="s">
        <v>139</v>
      </c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  <c r="AC237" s="358"/>
      <c r="AD237" s="358"/>
      <c r="AE237" s="358"/>
      <c r="AF237" s="94">
        <f t="shared" si="24"/>
        <v>40178</v>
      </c>
      <c r="AG237" s="185" t="e">
        <f t="shared" si="25"/>
        <v>#DIV/0!</v>
      </c>
      <c r="AH237" s="339" t="str">
        <f>VLOOKUP(B237,'MF PF'!A:B,2)</f>
        <v>FdMgt2</v>
      </c>
      <c r="AI237" s="358">
        <f t="shared" si="26"/>
        <v>0</v>
      </c>
      <c r="AJ237" s="94">
        <f t="shared" si="27"/>
        <v>40178</v>
      </c>
      <c r="AK237" s="358"/>
      <c r="AL237" s="358"/>
      <c r="AM237" s="358"/>
      <c r="AN237" s="358"/>
      <c r="AO237" s="358"/>
      <c r="AP237" s="358"/>
      <c r="AQ237" s="358"/>
      <c r="AR237" s="358"/>
      <c r="AS237" s="358"/>
      <c r="AT237" s="358"/>
      <c r="AU237" s="358"/>
      <c r="AV237" s="358"/>
      <c r="AW237" s="358"/>
      <c r="AX237" s="358"/>
      <c r="AY237" s="358"/>
      <c r="AZ237" s="358"/>
      <c r="BA237" s="358"/>
    </row>
    <row r="238" spans="1:53">
      <c r="A238" s="8">
        <v>40359</v>
      </c>
      <c r="B238" s="358" t="s">
        <v>417</v>
      </c>
      <c r="C238" s="92" t="s">
        <v>297</v>
      </c>
      <c r="D238" s="374"/>
      <c r="E238" s="95">
        <f t="shared" si="29"/>
        <v>0</v>
      </c>
      <c r="F238" s="93"/>
      <c r="G238" s="93"/>
      <c r="H238" s="93"/>
      <c r="I238" s="93">
        <v>-236231.29</v>
      </c>
      <c r="K238" s="93">
        <v>9913.48</v>
      </c>
      <c r="L238" s="93">
        <f t="shared" si="22"/>
        <v>-236231.29</v>
      </c>
      <c r="M238" s="95">
        <f t="shared" ca="1" si="23"/>
        <v>-23.829300104504171</v>
      </c>
      <c r="N238" s="95">
        <f ca="1">IF(P238="Hedge Fund",IF(A238=Summary!$AD$3,M238-E238,M238),IF(A238=Summary!$AD$3,L238-D238,L238))</f>
        <v>-23.829300104504171</v>
      </c>
      <c r="O238" s="95"/>
      <c r="P238" s="89" t="s">
        <v>139</v>
      </c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  <c r="AC238" s="358"/>
      <c r="AD238" s="358"/>
      <c r="AE238" s="358"/>
      <c r="AF238" s="94">
        <f t="shared" si="24"/>
        <v>40359</v>
      </c>
      <c r="AG238" s="185" t="e">
        <f t="shared" si="25"/>
        <v>#DIV/0!</v>
      </c>
      <c r="AH238" s="339" t="str">
        <f>VLOOKUP(B238,'MF PF'!A:B,2)</f>
        <v>FdMgt2</v>
      </c>
      <c r="AI238" s="358">
        <f t="shared" si="26"/>
        <v>0</v>
      </c>
      <c r="AJ238" s="94">
        <f t="shared" si="27"/>
        <v>40359</v>
      </c>
      <c r="AK238" s="358"/>
      <c r="AL238" s="358"/>
      <c r="AM238" s="358"/>
      <c r="AN238" s="358"/>
      <c r="AO238" s="358"/>
      <c r="AP238" s="358"/>
      <c r="AQ238" s="358"/>
      <c r="AR238" s="358"/>
      <c r="AS238" s="358"/>
      <c r="AT238" s="358"/>
      <c r="AU238" s="358"/>
      <c r="AV238" s="358"/>
      <c r="AW238" s="358"/>
      <c r="AX238" s="358"/>
      <c r="AY238" s="358"/>
      <c r="AZ238" s="358"/>
      <c r="BA238" s="358"/>
    </row>
    <row r="239" spans="1:53">
      <c r="A239" s="8">
        <v>40451</v>
      </c>
      <c r="B239" s="358" t="s">
        <v>417</v>
      </c>
      <c r="C239" s="92" t="s">
        <v>297</v>
      </c>
      <c r="D239" s="374"/>
      <c r="E239" s="95">
        <f t="shared" si="29"/>
        <v>0</v>
      </c>
      <c r="F239" s="93"/>
      <c r="G239" s="93"/>
      <c r="H239" s="93"/>
      <c r="I239" s="93">
        <v>-286526.33</v>
      </c>
      <c r="J239" s="374"/>
      <c r="K239" s="93">
        <v>9913.48</v>
      </c>
      <c r="L239" s="93">
        <f t="shared" si="22"/>
        <v>-286526.33</v>
      </c>
      <c r="M239" s="95">
        <f t="shared" ca="1" si="23"/>
        <v>-28.902699153072387</v>
      </c>
      <c r="N239" s="95">
        <f ca="1">IF(P239="Hedge Fund",IF(A239=Summary!$AD$3,M239-E239,M239),IF(A239=Summary!$AD$3,L239-D239,L239))</f>
        <v>-28.902699153072387</v>
      </c>
      <c r="O239" s="374"/>
      <c r="P239" s="89" t="s">
        <v>139</v>
      </c>
      <c r="Q239" s="374"/>
      <c r="R239" s="374"/>
      <c r="S239" s="374"/>
      <c r="T239" s="374"/>
      <c r="U239" s="374"/>
      <c r="V239" s="374"/>
      <c r="W239" s="374"/>
      <c r="X239" s="374"/>
      <c r="Y239" s="374"/>
      <c r="Z239" s="374"/>
      <c r="AA239" s="374"/>
      <c r="AB239" s="374"/>
      <c r="AC239" s="374"/>
      <c r="AD239" s="374"/>
      <c r="AE239" s="374"/>
      <c r="AF239" s="94">
        <f t="shared" si="24"/>
        <v>40451</v>
      </c>
      <c r="AG239" s="185" t="e">
        <f t="shared" si="25"/>
        <v>#DIV/0!</v>
      </c>
      <c r="AH239" s="339" t="str">
        <f>VLOOKUP(B239,'MF PF'!A:B,2)</f>
        <v>FdMgt2</v>
      </c>
      <c r="AI239" s="358">
        <f t="shared" si="26"/>
        <v>0</v>
      </c>
      <c r="AJ239" s="94">
        <f t="shared" si="27"/>
        <v>40451</v>
      </c>
      <c r="AK239" s="374"/>
      <c r="AL239" s="374"/>
      <c r="AM239" s="374"/>
      <c r="AN239" s="374"/>
      <c r="AO239" s="374"/>
      <c r="AP239" s="374"/>
      <c r="AQ239" s="374"/>
      <c r="AR239" s="374"/>
      <c r="AS239" s="374"/>
      <c r="AT239" s="374"/>
      <c r="AU239" s="374"/>
      <c r="AV239" s="374"/>
      <c r="AW239" s="374"/>
      <c r="AX239" s="374"/>
      <c r="AY239" s="374"/>
      <c r="AZ239" s="374"/>
      <c r="BA239" s="374"/>
    </row>
    <row r="240" spans="1:53">
      <c r="A240" s="8">
        <v>40633</v>
      </c>
      <c r="B240" s="358" t="s">
        <v>417</v>
      </c>
      <c r="C240" s="92" t="s">
        <v>297</v>
      </c>
      <c r="D240" s="374"/>
      <c r="E240" s="95">
        <f t="shared" si="29"/>
        <v>0</v>
      </c>
      <c r="F240" s="93"/>
      <c r="G240" s="93"/>
      <c r="H240" s="93"/>
      <c r="I240" s="93">
        <v>-1619839.83</v>
      </c>
      <c r="K240" s="93">
        <v>9913.48</v>
      </c>
      <c r="L240" s="93">
        <f t="shared" si="22"/>
        <v>-1619839.83</v>
      </c>
      <c r="M240" s="95">
        <f t="shared" ca="1" si="23"/>
        <v>-163.39769989953075</v>
      </c>
      <c r="N240" s="95">
        <f ca="1">IF(P240="Hedge Fund",IF(A240=Summary!$AD$3,M240-E240,M240),IF(A240=Summary!$AD$3,L240-D240,L240))</f>
        <v>-163.39769989953075</v>
      </c>
      <c r="O240" s="95"/>
      <c r="P240" s="89" t="s">
        <v>139</v>
      </c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  <c r="AC240" s="358"/>
      <c r="AD240" s="358"/>
      <c r="AE240" s="358"/>
      <c r="AF240" s="94">
        <f t="shared" si="24"/>
        <v>40633</v>
      </c>
      <c r="AG240" s="185" t="e">
        <f t="shared" si="25"/>
        <v>#DIV/0!</v>
      </c>
      <c r="AH240" s="339" t="str">
        <f>VLOOKUP(B240,'MF PF'!A:B,2)</f>
        <v>FdMgt2</v>
      </c>
      <c r="AI240" s="358">
        <f t="shared" si="26"/>
        <v>0</v>
      </c>
      <c r="AJ240" s="94">
        <f t="shared" si="27"/>
        <v>40633</v>
      </c>
      <c r="AK240" s="358"/>
      <c r="AL240" s="358"/>
      <c r="AM240" s="358"/>
      <c r="AN240" s="358"/>
      <c r="AO240" s="358"/>
      <c r="AP240" s="358"/>
      <c r="AQ240" s="358"/>
      <c r="AR240" s="358"/>
      <c r="AS240" s="358"/>
      <c r="AT240" s="358"/>
      <c r="AU240" s="358"/>
      <c r="AV240" s="358"/>
      <c r="AW240" s="358"/>
      <c r="AX240" s="358"/>
      <c r="AY240" s="358"/>
      <c r="AZ240" s="358"/>
      <c r="BA240" s="358"/>
    </row>
    <row r="241" spans="1:36" s="92" customFormat="1">
      <c r="A241" s="94">
        <v>40724</v>
      </c>
      <c r="B241" s="358" t="s">
        <v>417</v>
      </c>
      <c r="C241" s="92" t="s">
        <v>297</v>
      </c>
      <c r="D241" s="374"/>
      <c r="E241" s="95">
        <f t="shared" si="29"/>
        <v>0</v>
      </c>
      <c r="F241" s="93"/>
      <c r="G241" s="93"/>
      <c r="H241" s="93"/>
      <c r="I241" s="93">
        <v>-3270081.33</v>
      </c>
      <c r="J241" s="93"/>
      <c r="K241" s="93">
        <v>9913.48</v>
      </c>
      <c r="L241" s="93">
        <f t="shared" si="22"/>
        <v>-3270081.33</v>
      </c>
      <c r="M241" s="95">
        <f t="shared" ca="1" si="23"/>
        <v>-329.86209988823299</v>
      </c>
      <c r="N241" s="95">
        <f ca="1">IF(P241="Hedge Fund",IF(A241=Summary!$AD$3,M241-E241,M241),IF(A241=Summary!$AD$3,L241-D241,L241))</f>
        <v>-329.86209988823299</v>
      </c>
      <c r="O241" s="95"/>
      <c r="P241" s="107" t="s">
        <v>139</v>
      </c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  <c r="AC241" s="355"/>
      <c r="AD241" s="355"/>
      <c r="AE241" s="355"/>
      <c r="AF241" s="94">
        <f t="shared" si="24"/>
        <v>40724</v>
      </c>
      <c r="AG241" s="185" t="e">
        <f t="shared" si="25"/>
        <v>#DIV/0!</v>
      </c>
      <c r="AH241" s="339" t="str">
        <f>VLOOKUP(B241,'MF PF'!A:B,2)</f>
        <v>FdMgt2</v>
      </c>
      <c r="AI241" s="358">
        <f t="shared" si="26"/>
        <v>0</v>
      </c>
      <c r="AJ241" s="94">
        <f t="shared" si="27"/>
        <v>40724</v>
      </c>
    </row>
    <row r="242" spans="1:36">
      <c r="A242" s="8">
        <v>40847</v>
      </c>
      <c r="B242" s="358" t="s">
        <v>417</v>
      </c>
      <c r="C242" s="92" t="s">
        <v>297</v>
      </c>
      <c r="D242" s="374"/>
      <c r="E242" s="95">
        <f t="shared" si="29"/>
        <v>0</v>
      </c>
      <c r="F242" s="93"/>
      <c r="G242" s="93"/>
      <c r="H242" s="93"/>
      <c r="I242" s="93">
        <v>-1486815.8</v>
      </c>
      <c r="K242" s="93">
        <v>9913.48</v>
      </c>
      <c r="L242" s="93">
        <f t="shared" si="22"/>
        <v>-1486815.8</v>
      </c>
      <c r="M242" s="95">
        <f t="shared" ca="1" si="23"/>
        <v>-149.97920003873514</v>
      </c>
      <c r="N242" s="95">
        <f ca="1">IF(P242="Hedge Fund",IF(A242=Summary!$AD$3,M242-E242,M242),IF(A242=Summary!$AD$3,L242-D242,L242))</f>
        <v>-149.97920003873514</v>
      </c>
      <c r="P242" s="89" t="s">
        <v>139</v>
      </c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  <c r="AC242" s="355"/>
      <c r="AD242" s="355"/>
      <c r="AE242" s="355"/>
      <c r="AF242" s="94">
        <f t="shared" si="24"/>
        <v>40847</v>
      </c>
      <c r="AG242" s="185" t="e">
        <f t="shared" si="25"/>
        <v>#DIV/0!</v>
      </c>
      <c r="AH242" s="339" t="str">
        <f>VLOOKUP(B242,'MF PF'!A:B,2)</f>
        <v>FdMgt2</v>
      </c>
      <c r="AI242" s="358">
        <f t="shared" si="26"/>
        <v>0</v>
      </c>
      <c r="AJ242" s="94">
        <f t="shared" si="27"/>
        <v>40847</v>
      </c>
    </row>
    <row r="243" spans="1:36">
      <c r="A243" s="8">
        <v>41577</v>
      </c>
      <c r="B243" s="358" t="s">
        <v>417</v>
      </c>
      <c r="C243" s="92" t="s">
        <v>297</v>
      </c>
      <c r="D243" s="374"/>
      <c r="E243" s="95">
        <f t="shared" si="29"/>
        <v>0</v>
      </c>
      <c r="F243" s="93"/>
      <c r="G243" s="93"/>
      <c r="H243" s="93"/>
      <c r="I243" s="93">
        <v>-208966.24</v>
      </c>
      <c r="K243" s="93">
        <v>9913.48</v>
      </c>
      <c r="L243" s="93">
        <f t="shared" si="22"/>
        <v>-208966.24</v>
      </c>
      <c r="M243" s="95">
        <f t="shared" ca="1" si="23"/>
        <v>-21.078999503706065</v>
      </c>
      <c r="N243" s="95">
        <f ca="1">IF(P243="Hedge Fund",IF(A243=Summary!$AD$3,M243-E243,M243),IF(A243=Summary!$AD$3,L243-D243,L243))</f>
        <v>-21.078999503706065</v>
      </c>
      <c r="P243" s="89" t="s">
        <v>139</v>
      </c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  <c r="AC243" s="355"/>
      <c r="AD243" s="355"/>
      <c r="AE243" s="355"/>
      <c r="AF243" s="94">
        <f t="shared" si="24"/>
        <v>41577</v>
      </c>
      <c r="AG243" s="185" t="e">
        <f t="shared" si="25"/>
        <v>#DIV/0!</v>
      </c>
      <c r="AH243" s="339" t="str">
        <f>VLOOKUP(B243,'MF PF'!A:B,2)</f>
        <v>FdMgt2</v>
      </c>
      <c r="AI243" s="358">
        <f t="shared" si="26"/>
        <v>0</v>
      </c>
      <c r="AJ243" s="94">
        <f t="shared" si="27"/>
        <v>41578</v>
      </c>
    </row>
    <row r="244" spans="1:36">
      <c r="A244" s="8">
        <v>41789</v>
      </c>
      <c r="B244" s="358" t="s">
        <v>417</v>
      </c>
      <c r="C244" s="92" t="s">
        <v>297</v>
      </c>
      <c r="D244" s="374"/>
      <c r="E244" s="95">
        <f t="shared" si="29"/>
        <v>0</v>
      </c>
      <c r="F244" s="93"/>
      <c r="G244" s="93"/>
      <c r="H244" s="93"/>
      <c r="I244" s="93">
        <v>-511181.65</v>
      </c>
      <c r="K244" s="93">
        <v>9913.48</v>
      </c>
      <c r="L244" s="93">
        <f t="shared" si="22"/>
        <v>-511181.65</v>
      </c>
      <c r="M244" s="95">
        <f t="shared" ca="1" si="23"/>
        <v>-51.564299317696715</v>
      </c>
      <c r="N244" s="95">
        <f ca="1">IF(P244="Hedge Fund",IF(A244=Summary!$AD$3,M244-E244,M244),IF(A244=Summary!$AD$3,L244-D244,L244))</f>
        <v>-51.564299317696715</v>
      </c>
      <c r="P244" s="89" t="s">
        <v>139</v>
      </c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  <c r="AC244" s="355"/>
      <c r="AD244" s="355"/>
      <c r="AE244" s="355"/>
      <c r="AF244" s="94">
        <f t="shared" si="24"/>
        <v>41789</v>
      </c>
      <c r="AG244" s="185" t="e">
        <f t="shared" si="25"/>
        <v>#DIV/0!</v>
      </c>
      <c r="AH244" s="339" t="str">
        <f>VLOOKUP(B244,'MF PF'!A:B,2)</f>
        <v>FdMgt2</v>
      </c>
      <c r="AI244" s="358">
        <f t="shared" si="26"/>
        <v>0</v>
      </c>
      <c r="AJ244" s="94">
        <f t="shared" si="27"/>
        <v>41790</v>
      </c>
    </row>
    <row r="245" spans="1:36" s="92" customFormat="1">
      <c r="A245" s="94">
        <v>41918</v>
      </c>
      <c r="B245" s="358" t="s">
        <v>417</v>
      </c>
      <c r="C245" s="92" t="s">
        <v>297</v>
      </c>
      <c r="D245" s="374"/>
      <c r="E245" s="95">
        <f t="shared" si="29"/>
        <v>0</v>
      </c>
      <c r="F245" s="93"/>
      <c r="G245" s="93"/>
      <c r="H245" s="93"/>
      <c r="I245" s="93">
        <v>-2309951.87</v>
      </c>
      <c r="J245" s="93"/>
      <c r="K245" s="93">
        <v>9913.48</v>
      </c>
      <c r="L245" s="93">
        <f t="shared" si="22"/>
        <v>-2309951.87</v>
      </c>
      <c r="M245" s="95">
        <f t="shared" ca="1" si="23"/>
        <v>-233.01119990154822</v>
      </c>
      <c r="N245" s="95">
        <f ca="1">IF(P245="Hedge Fund",IF(A245=Summary!$AD$3,M245-E245,M245),IF(A245=Summary!$AD$3,L245-D245,L245))</f>
        <v>-233.01119990154822</v>
      </c>
      <c r="O245" s="95"/>
      <c r="P245" s="107" t="s">
        <v>139</v>
      </c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  <c r="AC245" s="355"/>
      <c r="AD245" s="355"/>
      <c r="AE245" s="355"/>
      <c r="AF245" s="94">
        <f t="shared" si="24"/>
        <v>41918</v>
      </c>
      <c r="AG245" s="185" t="e">
        <f t="shared" si="25"/>
        <v>#DIV/0!</v>
      </c>
      <c r="AH245" s="339" t="str">
        <f>VLOOKUP(B245,'MF PF'!A:B,2)</f>
        <v>FdMgt2</v>
      </c>
      <c r="AI245" s="358">
        <f t="shared" si="26"/>
        <v>0</v>
      </c>
      <c r="AJ245" s="94">
        <f t="shared" si="27"/>
        <v>41943</v>
      </c>
    </row>
    <row r="246" spans="1:36">
      <c r="A246" s="8">
        <v>43465</v>
      </c>
      <c r="B246" s="358" t="s">
        <v>417</v>
      </c>
      <c r="C246" s="92" t="s">
        <v>297</v>
      </c>
      <c r="D246" s="374">
        <v>2628418.450584</v>
      </c>
      <c r="E246" s="95">
        <f t="shared" si="29"/>
        <v>265.13580000000002</v>
      </c>
      <c r="F246" s="93"/>
      <c r="G246" s="93"/>
      <c r="H246" s="93"/>
      <c r="I246" s="93"/>
      <c r="K246" s="93">
        <v>9913.48</v>
      </c>
      <c r="L246" s="93">
        <f t="shared" si="22"/>
        <v>0</v>
      </c>
      <c r="M246" s="95">
        <f t="shared" ca="1" si="23"/>
        <v>0</v>
      </c>
      <c r="N246" s="95">
        <f ca="1">IF(P246="Hedge Fund",IF(A246=Summary!$AD$3,M246-E246,M246),IF(A246=Summary!$AD$3,L246-D246,L246))</f>
        <v>0</v>
      </c>
      <c r="O246" s="95"/>
      <c r="P246" s="89" t="s">
        <v>139</v>
      </c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  <c r="AC246" s="355"/>
      <c r="AD246" s="355"/>
      <c r="AE246" s="355"/>
      <c r="AF246" s="94">
        <f t="shared" si="24"/>
        <v>43465</v>
      </c>
      <c r="AG246" s="185" t="e">
        <f t="shared" si="25"/>
        <v>#DIV/0!</v>
      </c>
      <c r="AH246" s="339" t="str">
        <f>VLOOKUP(B246,'MF PF'!A:B,2)</f>
        <v>FdMgt2</v>
      </c>
      <c r="AI246" s="358">
        <f t="shared" si="26"/>
        <v>0</v>
      </c>
      <c r="AJ246" s="94">
        <f t="shared" si="27"/>
        <v>43465</v>
      </c>
    </row>
    <row r="247" spans="1:36" s="358" customFormat="1">
      <c r="A247" s="94">
        <v>43496</v>
      </c>
      <c r="B247" s="358" t="s">
        <v>417</v>
      </c>
      <c r="C247" s="358" t="s">
        <v>297</v>
      </c>
      <c r="D247" s="374">
        <v>2459001.04</v>
      </c>
      <c r="E247" s="95">
        <f t="shared" si="29"/>
        <v>248.04619971997727</v>
      </c>
      <c r="F247" s="93"/>
      <c r="G247" s="93"/>
      <c r="H247" s="93"/>
      <c r="I247" s="93"/>
      <c r="J247" s="93"/>
      <c r="K247" s="93">
        <v>9913.48</v>
      </c>
      <c r="L247" s="93">
        <f t="shared" si="22"/>
        <v>0</v>
      </c>
      <c r="M247" s="95">
        <f t="shared" ca="1" si="23"/>
        <v>0</v>
      </c>
      <c r="N247" s="95">
        <f ca="1">IF(P247="Hedge Fund",IF(A247=Summary!$AD$3,M247-E247,M247),IF(A247=Summary!$AD$3,L247-D247,L247))</f>
        <v>-248.04619971997727</v>
      </c>
      <c r="O247" s="95"/>
      <c r="P247" s="107" t="s">
        <v>139</v>
      </c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  <c r="AF247" s="94">
        <f t="shared" si="24"/>
        <v>43496</v>
      </c>
      <c r="AG247" s="185">
        <f t="shared" si="25"/>
        <v>-6.4456026987011028E-2</v>
      </c>
      <c r="AH247" s="339" t="str">
        <f>VLOOKUP(B247,'MF PF'!A:B,2)</f>
        <v>FdMgt2</v>
      </c>
      <c r="AI247" s="358">
        <f t="shared" si="26"/>
        <v>0</v>
      </c>
      <c r="AJ247" s="94">
        <f t="shared" si="27"/>
        <v>43496</v>
      </c>
    </row>
    <row r="248" spans="1:36" ht="12.75" customHeight="1">
      <c r="A248" s="8">
        <v>41257</v>
      </c>
      <c r="B248" s="94" t="s">
        <v>83</v>
      </c>
      <c r="C248" s="92" t="s">
        <v>297</v>
      </c>
      <c r="D248" s="374">
        <v>25000000</v>
      </c>
      <c r="E248" s="95" t="str">
        <f t="shared" si="29"/>
        <v/>
      </c>
      <c r="F248" s="47"/>
      <c r="G248" s="47">
        <v>25000000</v>
      </c>
      <c r="H248" s="98">
        <v>0</v>
      </c>
      <c r="I248" s="98">
        <v>0</v>
      </c>
      <c r="J248" s="98"/>
      <c r="K248" s="93"/>
      <c r="L248" s="93">
        <f t="shared" si="22"/>
        <v>25000000</v>
      </c>
      <c r="M248" s="95" t="str">
        <f t="shared" ca="1" si="23"/>
        <v/>
      </c>
      <c r="N248" s="95">
        <f>IF(P248="Hedge Fund",IF(A248=Summary!$AD$3,M248-E248,M248),IF(A248=Summary!$AD$3,L248-D248,L248))</f>
        <v>25000000</v>
      </c>
      <c r="O248" s="371"/>
      <c r="P248" s="89" t="s">
        <v>155</v>
      </c>
      <c r="Q248" s="89">
        <v>0</v>
      </c>
      <c r="R248" s="89">
        <v>0</v>
      </c>
      <c r="S248" s="89">
        <v>0</v>
      </c>
      <c r="T248" s="89">
        <v>0</v>
      </c>
      <c r="U248" s="89"/>
      <c r="V248" s="89"/>
      <c r="W248" s="89"/>
      <c r="X248" s="89"/>
      <c r="Y248" s="89"/>
      <c r="Z248" s="89"/>
      <c r="AA248" s="89"/>
      <c r="AB248" s="89"/>
      <c r="AC248" s="355"/>
      <c r="AD248" s="355"/>
      <c r="AE248" s="355"/>
      <c r="AF248" s="94">
        <f t="shared" si="24"/>
        <v>41257</v>
      </c>
      <c r="AG248" s="185">
        <f>IF(C248&lt;&gt;C246,D248/G248-1,(D248-G248-I248-H248)/(D246)-1)</f>
        <v>-1</v>
      </c>
      <c r="AH248" s="339" t="str">
        <f>VLOOKUP(B248,'MF PF'!A:B,2)</f>
        <v>Coinv</v>
      </c>
      <c r="AI248" s="358">
        <f t="shared" si="26"/>
        <v>0</v>
      </c>
      <c r="AJ248" s="94">
        <f t="shared" si="27"/>
        <v>41274</v>
      </c>
    </row>
    <row r="249" spans="1:36" ht="12.75" customHeight="1">
      <c r="A249" s="94">
        <v>41274</v>
      </c>
      <c r="B249" s="94" t="s">
        <v>83</v>
      </c>
      <c r="C249" s="92" t="s">
        <v>297</v>
      </c>
      <c r="D249" s="374">
        <v>25645789.683333334</v>
      </c>
      <c r="E249" s="95" t="str">
        <f t="shared" si="29"/>
        <v/>
      </c>
      <c r="F249" s="98"/>
      <c r="G249" s="98">
        <v>0</v>
      </c>
      <c r="H249" s="98">
        <v>0</v>
      </c>
      <c r="I249" s="98">
        <v>0</v>
      </c>
      <c r="J249" s="98"/>
      <c r="K249" s="93"/>
      <c r="L249" s="93">
        <f t="shared" si="22"/>
        <v>0</v>
      </c>
      <c r="M249" s="95" t="e">
        <f t="shared" ca="1" si="23"/>
        <v>#DIV/0!</v>
      </c>
      <c r="N249" s="95">
        <f>IF(P249="Hedge Fund",IF(A249=Summary!$AD$3,M249-E249,M249),IF(A249=Summary!$AD$3,L249-D249,L249))</f>
        <v>0</v>
      </c>
      <c r="O249" s="95"/>
      <c r="P249" s="107" t="s">
        <v>155</v>
      </c>
      <c r="Q249" s="107">
        <v>1.0416666666666668E-2</v>
      </c>
      <c r="R249" s="107">
        <v>0</v>
      </c>
      <c r="S249" s="107">
        <v>0</v>
      </c>
      <c r="T249" s="107">
        <v>0</v>
      </c>
      <c r="U249" s="107"/>
      <c r="V249" s="107"/>
      <c r="W249" s="107"/>
      <c r="X249" s="107"/>
      <c r="Y249" s="107"/>
      <c r="Z249" s="107"/>
      <c r="AA249" s="107"/>
      <c r="AB249" s="107"/>
      <c r="AC249" s="355"/>
      <c r="AD249" s="355"/>
      <c r="AE249" s="355"/>
      <c r="AF249" s="94">
        <f t="shared" si="24"/>
        <v>41274</v>
      </c>
      <c r="AG249" s="185">
        <f t="shared" ref="AG249:AG312" si="30">IF(C249&lt;&gt;C248,D249/G249-1,(D249-G249-I249-H249)/(D248)-1)</f>
        <v>2.5831587333333239E-2</v>
      </c>
      <c r="AH249" s="339" t="str">
        <f>VLOOKUP(B249,'MF PF'!A:B,2)</f>
        <v>Coinv</v>
      </c>
      <c r="AI249" s="358">
        <f t="shared" si="26"/>
        <v>0</v>
      </c>
      <c r="AJ249" s="94">
        <f t="shared" si="27"/>
        <v>41274</v>
      </c>
    </row>
    <row r="250" spans="1:36" ht="12.75" customHeight="1">
      <c r="A250" s="94">
        <v>41305</v>
      </c>
      <c r="B250" s="94" t="s">
        <v>83</v>
      </c>
      <c r="C250" s="92" t="s">
        <v>297</v>
      </c>
      <c r="D250" s="374">
        <v>25772005.156203363</v>
      </c>
      <c r="E250" s="95" t="str">
        <f t="shared" ref="E250:E281" si="31">IF(K250="","",D250/K250)</f>
        <v/>
      </c>
      <c r="F250" s="98"/>
      <c r="G250" s="98">
        <v>0</v>
      </c>
      <c r="H250" s="98">
        <v>0</v>
      </c>
      <c r="I250" s="98">
        <v>0</v>
      </c>
      <c r="J250" s="98"/>
      <c r="K250" s="93"/>
      <c r="L250" s="93">
        <f t="shared" si="22"/>
        <v>0</v>
      </c>
      <c r="M250" s="95" t="e">
        <f t="shared" ca="1" si="23"/>
        <v>#DIV/0!</v>
      </c>
      <c r="N250" s="95">
        <f>IF(P250="Hedge Fund",IF(A250=Summary!$AD$3,M250-E250,M250),IF(A250=Summary!$AD$3,L250-D250,L250))</f>
        <v>0</v>
      </c>
      <c r="P250" s="107" t="s">
        <v>155</v>
      </c>
      <c r="Q250" s="107">
        <v>1.0416666666666668E-2</v>
      </c>
      <c r="R250" s="107">
        <v>0</v>
      </c>
      <c r="S250" s="107">
        <v>0</v>
      </c>
      <c r="T250" s="107">
        <v>0</v>
      </c>
      <c r="U250" s="107"/>
      <c r="V250" s="107"/>
      <c r="W250" s="107"/>
      <c r="X250" s="107"/>
      <c r="Y250" s="107"/>
      <c r="Z250" s="107"/>
      <c r="AA250" s="107"/>
      <c r="AB250" s="107"/>
      <c r="AC250" s="355"/>
      <c r="AD250" s="355"/>
      <c r="AE250" s="355"/>
      <c r="AF250" s="94">
        <f t="shared" si="24"/>
        <v>41305</v>
      </c>
      <c r="AG250" s="185">
        <f t="shared" si="30"/>
        <v>4.9214890408328937E-3</v>
      </c>
      <c r="AH250" s="339" t="str">
        <f>VLOOKUP(B250,'MF PF'!A:B,2)</f>
        <v>Coinv</v>
      </c>
      <c r="AI250" s="358">
        <f t="shared" si="26"/>
        <v>0</v>
      </c>
      <c r="AJ250" s="94">
        <f t="shared" si="27"/>
        <v>41305</v>
      </c>
    </row>
    <row r="251" spans="1:36" ht="12.75" customHeight="1">
      <c r="A251" s="8">
        <v>41333</v>
      </c>
      <c r="B251" s="94" t="s">
        <v>83</v>
      </c>
      <c r="C251" s="92" t="s">
        <v>297</v>
      </c>
      <c r="D251" s="374">
        <v>25583989.6869055</v>
      </c>
      <c r="E251" s="95" t="str">
        <f t="shared" si="31"/>
        <v/>
      </c>
      <c r="F251" s="98"/>
      <c r="G251" s="98">
        <v>0</v>
      </c>
      <c r="H251" s="98">
        <v>0</v>
      </c>
      <c r="I251" s="98">
        <v>0</v>
      </c>
      <c r="J251" s="98"/>
      <c r="K251" s="93"/>
      <c r="L251" s="93">
        <f t="shared" si="22"/>
        <v>0</v>
      </c>
      <c r="M251" s="95" t="e">
        <f t="shared" ca="1" si="23"/>
        <v>#DIV/0!</v>
      </c>
      <c r="N251" s="95">
        <f>IF(P251="Hedge Fund",IF(A251=Summary!$AD$3,M251-E251,M251),IF(A251=Summary!$AD$3,L251-D251,L251))</f>
        <v>0</v>
      </c>
      <c r="P251" s="107" t="s">
        <v>155</v>
      </c>
      <c r="Q251" s="107">
        <v>1.0416666666666668E-2</v>
      </c>
      <c r="R251" s="107">
        <v>0</v>
      </c>
      <c r="S251" s="107">
        <v>0</v>
      </c>
      <c r="T251" s="107">
        <v>0</v>
      </c>
      <c r="U251" s="107"/>
      <c r="V251" s="107"/>
      <c r="W251" s="107"/>
      <c r="X251" s="107"/>
      <c r="Y251" s="107"/>
      <c r="Z251" s="107"/>
      <c r="AA251" s="107"/>
      <c r="AB251" s="107"/>
      <c r="AC251" s="355"/>
      <c r="AD251" s="355"/>
      <c r="AE251" s="355"/>
      <c r="AF251" s="94">
        <f t="shared" si="24"/>
        <v>41333</v>
      </c>
      <c r="AG251" s="185">
        <f t="shared" si="30"/>
        <v>-7.2953372528954397E-3</v>
      </c>
      <c r="AH251" s="339" t="str">
        <f>VLOOKUP(B251,'MF PF'!A:B,2)</f>
        <v>Coinv</v>
      </c>
      <c r="AI251" s="358">
        <f t="shared" si="26"/>
        <v>0</v>
      </c>
      <c r="AJ251" s="94">
        <f t="shared" si="27"/>
        <v>41333</v>
      </c>
    </row>
    <row r="252" spans="1:36" ht="12.75" customHeight="1">
      <c r="A252" s="8">
        <v>41361</v>
      </c>
      <c r="B252" s="94" t="s">
        <v>83</v>
      </c>
      <c r="C252" s="92" t="s">
        <v>297</v>
      </c>
      <c r="D252" s="374">
        <v>24677865.519999396</v>
      </c>
      <c r="E252" s="95" t="str">
        <f t="shared" si="31"/>
        <v/>
      </c>
      <c r="F252" s="47"/>
      <c r="G252" s="47">
        <v>0</v>
      </c>
      <c r="H252" s="47">
        <v>0</v>
      </c>
      <c r="I252" s="47">
        <v>-812500</v>
      </c>
      <c r="J252" s="98"/>
      <c r="K252" s="93"/>
      <c r="L252" s="93">
        <f t="shared" si="22"/>
        <v>-812500</v>
      </c>
      <c r="M252" s="95" t="e">
        <f t="shared" ca="1" si="23"/>
        <v>#DIV/0!</v>
      </c>
      <c r="N252" s="95">
        <f>IF(P252="Hedge Fund",IF(A252=Summary!$AD$3,M252-E252,M252),IF(A252=Summary!$AD$3,L252-D252,L252))</f>
        <v>-812500</v>
      </c>
      <c r="P252" s="89" t="s">
        <v>155</v>
      </c>
      <c r="Q252" s="89">
        <v>1.0416666666666668E-2</v>
      </c>
      <c r="R252" s="89">
        <v>0</v>
      </c>
      <c r="S252" s="89">
        <v>0</v>
      </c>
      <c r="T252" s="89">
        <v>0</v>
      </c>
      <c r="U252" s="89"/>
      <c r="V252" s="89"/>
      <c r="W252" s="89"/>
      <c r="X252" s="89"/>
      <c r="Y252" s="89"/>
      <c r="Z252" s="89"/>
      <c r="AA252" s="89"/>
      <c r="AB252" s="89"/>
      <c r="AC252" s="355"/>
      <c r="AD252" s="355"/>
      <c r="AE252" s="355"/>
      <c r="AF252" s="94">
        <f t="shared" si="24"/>
        <v>41361</v>
      </c>
      <c r="AG252" s="185">
        <f t="shared" si="30"/>
        <v>-3.6594826706806138E-3</v>
      </c>
      <c r="AH252" s="339" t="str">
        <f>VLOOKUP(B252,'MF PF'!A:B,2)</f>
        <v>Coinv</v>
      </c>
      <c r="AI252" s="358">
        <f t="shared" si="26"/>
        <v>0</v>
      </c>
      <c r="AJ252" s="94">
        <f t="shared" si="27"/>
        <v>41364</v>
      </c>
    </row>
    <row r="253" spans="1:36" ht="12.75" customHeight="1">
      <c r="A253" s="8">
        <v>41394</v>
      </c>
      <c r="B253" s="94" t="s">
        <v>83</v>
      </c>
      <c r="C253" s="92" t="s">
        <v>297</v>
      </c>
      <c r="D253" s="374">
        <v>24033286.523564719</v>
      </c>
      <c r="E253" s="95" t="str">
        <f t="shared" si="31"/>
        <v/>
      </c>
      <c r="F253" s="47"/>
      <c r="G253" s="47">
        <v>0</v>
      </c>
      <c r="H253" s="47">
        <v>0</v>
      </c>
      <c r="I253" s="47">
        <v>0</v>
      </c>
      <c r="J253" s="98"/>
      <c r="K253" s="93"/>
      <c r="L253" s="93">
        <f t="shared" si="22"/>
        <v>0</v>
      </c>
      <c r="M253" s="95" t="e">
        <f t="shared" ca="1" si="23"/>
        <v>#DIV/0!</v>
      </c>
      <c r="N253" s="95">
        <f>IF(P253="Hedge Fund",IF(A253=Summary!$AD$3,M253-E253,M253),IF(A253=Summary!$AD$3,L253-D253,L253))</f>
        <v>0</v>
      </c>
      <c r="P253" s="89" t="s">
        <v>155</v>
      </c>
      <c r="Q253" s="89">
        <v>1.0416666666666668E-2</v>
      </c>
      <c r="R253" s="89">
        <v>0</v>
      </c>
      <c r="S253" s="89">
        <v>0</v>
      </c>
      <c r="T253" s="89">
        <v>0</v>
      </c>
      <c r="U253" s="89"/>
      <c r="V253" s="89"/>
      <c r="W253" s="89"/>
      <c r="X253" s="89"/>
      <c r="Y253" s="89"/>
      <c r="Z253" s="89"/>
      <c r="AA253" s="89"/>
      <c r="AB253" s="89"/>
      <c r="AC253" s="355"/>
      <c r="AD253" s="355"/>
      <c r="AE253" s="355"/>
      <c r="AF253" s="94">
        <f t="shared" si="24"/>
        <v>41394</v>
      </c>
      <c r="AG253" s="185">
        <f t="shared" si="30"/>
        <v>-2.6119722384916111E-2</v>
      </c>
      <c r="AH253" s="339" t="str">
        <f>VLOOKUP(B253,'MF PF'!A:B,2)</f>
        <v>Coinv</v>
      </c>
      <c r="AI253" s="358">
        <f t="shared" si="26"/>
        <v>0</v>
      </c>
      <c r="AJ253" s="94">
        <f t="shared" si="27"/>
        <v>41394</v>
      </c>
    </row>
    <row r="254" spans="1:36" ht="12.75" customHeight="1">
      <c r="A254" s="8">
        <v>41425</v>
      </c>
      <c r="B254" s="94" t="s">
        <v>83</v>
      </c>
      <c r="C254" s="92" t="s">
        <v>297</v>
      </c>
      <c r="D254" s="374">
        <v>24446119.317117728</v>
      </c>
      <c r="E254" s="95" t="str">
        <f t="shared" si="31"/>
        <v/>
      </c>
      <c r="F254" s="47"/>
      <c r="G254" s="47">
        <v>0</v>
      </c>
      <c r="H254" s="47">
        <v>0</v>
      </c>
      <c r="I254" s="47">
        <v>0</v>
      </c>
      <c r="J254" s="98"/>
      <c r="K254" s="93"/>
      <c r="L254" s="93">
        <f t="shared" si="22"/>
        <v>0</v>
      </c>
      <c r="M254" s="95" t="e">
        <f t="shared" ca="1" si="23"/>
        <v>#DIV/0!</v>
      </c>
      <c r="N254" s="95">
        <f>IF(P254="Hedge Fund",IF(A254=Summary!$AD$3,M254-E254,M254),IF(A254=Summary!$AD$3,L254-D254,L254))</f>
        <v>0</v>
      </c>
      <c r="P254" s="89" t="s">
        <v>155</v>
      </c>
      <c r="Q254" s="89">
        <v>1.0416666666666668E-2</v>
      </c>
      <c r="R254" s="89">
        <v>0</v>
      </c>
      <c r="S254" s="89">
        <v>0</v>
      </c>
      <c r="T254" s="89">
        <v>0</v>
      </c>
      <c r="U254" s="89"/>
      <c r="V254" s="89"/>
      <c r="W254" s="89"/>
      <c r="X254" s="89"/>
      <c r="Y254" s="89"/>
      <c r="Z254" s="89"/>
      <c r="AA254" s="89"/>
      <c r="AB254" s="89"/>
      <c r="AC254" s="355"/>
      <c r="AD254" s="355"/>
      <c r="AE254" s="355"/>
      <c r="AF254" s="94">
        <f t="shared" si="24"/>
        <v>41425</v>
      </c>
      <c r="AG254" s="185">
        <f t="shared" si="30"/>
        <v>1.7177542203735907E-2</v>
      </c>
      <c r="AH254" s="339" t="str">
        <f>VLOOKUP(B254,'MF PF'!A:B,2)</f>
        <v>Coinv</v>
      </c>
      <c r="AI254" s="358">
        <f t="shared" si="26"/>
        <v>0</v>
      </c>
      <c r="AJ254" s="94">
        <f t="shared" si="27"/>
        <v>41425</v>
      </c>
    </row>
    <row r="255" spans="1:36" ht="12.75" customHeight="1">
      <c r="A255" s="8">
        <v>41453</v>
      </c>
      <c r="B255" s="94" t="s">
        <v>83</v>
      </c>
      <c r="C255" s="92" t="s">
        <v>297</v>
      </c>
      <c r="D255" s="374">
        <v>24024233.432600282</v>
      </c>
      <c r="E255" s="95" t="str">
        <f t="shared" si="31"/>
        <v/>
      </c>
      <c r="F255" s="47"/>
      <c r="G255" s="47">
        <v>0</v>
      </c>
      <c r="H255" s="47">
        <v>0</v>
      </c>
      <c r="I255" s="98">
        <v>-843750</v>
      </c>
      <c r="J255" s="98"/>
      <c r="K255" s="93"/>
      <c r="L255" s="93">
        <f t="shared" si="22"/>
        <v>-843750</v>
      </c>
      <c r="M255" s="95" t="e">
        <f t="shared" ca="1" si="23"/>
        <v>#DIV/0!</v>
      </c>
      <c r="N255" s="95">
        <f>IF(P255="Hedge Fund",IF(A255=Summary!$AD$3,M255-E255,M255),IF(A255=Summary!$AD$3,L255-D255,L255))</f>
        <v>-843750</v>
      </c>
      <c r="P255" s="89" t="s">
        <v>155</v>
      </c>
      <c r="Q255" s="107">
        <v>1.0416666666666668E-2</v>
      </c>
      <c r="R255" s="107">
        <v>0</v>
      </c>
      <c r="S255" s="89">
        <v>0</v>
      </c>
      <c r="T255" s="89">
        <v>0</v>
      </c>
      <c r="U255" s="89"/>
      <c r="V255" s="89"/>
      <c r="W255" s="89"/>
      <c r="X255" s="89"/>
      <c r="Y255" s="89"/>
      <c r="Z255" s="89"/>
      <c r="AA255" s="89"/>
      <c r="AB255" s="89"/>
      <c r="AC255" s="355"/>
      <c r="AD255" s="355"/>
      <c r="AE255" s="355"/>
      <c r="AF255" s="94">
        <f t="shared" si="24"/>
        <v>41453</v>
      </c>
      <c r="AG255" s="185">
        <f t="shared" si="30"/>
        <v>1.725689505193384E-2</v>
      </c>
      <c r="AH255" s="339" t="str">
        <f>VLOOKUP(B255,'MF PF'!A:B,2)</f>
        <v>Coinv</v>
      </c>
      <c r="AI255" s="358">
        <f t="shared" si="26"/>
        <v>0</v>
      </c>
      <c r="AJ255" s="94">
        <f t="shared" si="27"/>
        <v>41455</v>
      </c>
    </row>
    <row r="256" spans="1:36" ht="12.75" customHeight="1">
      <c r="A256" s="8">
        <v>41486</v>
      </c>
      <c r="B256" s="94" t="s">
        <v>83</v>
      </c>
      <c r="C256" s="92" t="s">
        <v>297</v>
      </c>
      <c r="D256" s="374">
        <v>24247813.102273945</v>
      </c>
      <c r="E256" s="95" t="str">
        <f t="shared" si="31"/>
        <v/>
      </c>
      <c r="F256" s="98"/>
      <c r="G256" s="98">
        <v>0</v>
      </c>
      <c r="H256" s="98">
        <v>0</v>
      </c>
      <c r="I256" s="98">
        <v>0</v>
      </c>
      <c r="J256" s="98"/>
      <c r="K256" s="93"/>
      <c r="L256" s="93">
        <f t="shared" si="22"/>
        <v>0</v>
      </c>
      <c r="M256" s="95" t="e">
        <f t="shared" ca="1" si="23"/>
        <v>#DIV/0!</v>
      </c>
      <c r="N256" s="95">
        <f>IF(P256="Hedge Fund",IF(A256=Summary!$AD$3,M256-E256,M256),IF(A256=Summary!$AD$3,L256-D256,L256))</f>
        <v>0</v>
      </c>
      <c r="P256" s="89" t="s">
        <v>155</v>
      </c>
      <c r="Q256" s="107">
        <v>1.0416666666666668E-2</v>
      </c>
      <c r="R256" s="107">
        <v>0</v>
      </c>
      <c r="S256" s="107">
        <v>0</v>
      </c>
      <c r="T256" s="107">
        <v>0</v>
      </c>
      <c r="U256" s="107"/>
      <c r="V256" s="107"/>
      <c r="W256" s="107"/>
      <c r="X256" s="107"/>
      <c r="Y256" s="107"/>
      <c r="Z256" s="107"/>
      <c r="AA256" s="107"/>
      <c r="AB256" s="107"/>
      <c r="AC256" s="355"/>
      <c r="AD256" s="355"/>
      <c r="AE256" s="355"/>
      <c r="AF256" s="94">
        <f t="shared" si="24"/>
        <v>41486</v>
      </c>
      <c r="AG256" s="185">
        <f t="shared" si="30"/>
        <v>9.3064226295049846E-3</v>
      </c>
      <c r="AH256" s="339" t="str">
        <f>VLOOKUP(B256,'MF PF'!A:B,2)</f>
        <v>Coinv</v>
      </c>
      <c r="AI256" s="358">
        <f t="shared" si="26"/>
        <v>0</v>
      </c>
      <c r="AJ256" s="94">
        <f t="shared" si="27"/>
        <v>41486</v>
      </c>
    </row>
    <row r="257" spans="1:36" ht="12.75" customHeight="1">
      <c r="A257" s="8">
        <v>41516</v>
      </c>
      <c r="B257" s="94" t="s">
        <v>83</v>
      </c>
      <c r="C257" s="92" t="s">
        <v>297</v>
      </c>
      <c r="D257" s="374">
        <v>24686541.963991936</v>
      </c>
      <c r="E257" s="95" t="str">
        <f t="shared" si="31"/>
        <v/>
      </c>
      <c r="F257" s="98"/>
      <c r="G257" s="98">
        <v>0</v>
      </c>
      <c r="H257" s="98">
        <v>0</v>
      </c>
      <c r="I257" s="98">
        <v>0</v>
      </c>
      <c r="J257" s="98"/>
      <c r="K257" s="93"/>
      <c r="L257" s="93">
        <f t="shared" si="22"/>
        <v>0</v>
      </c>
      <c r="M257" s="95" t="e">
        <f t="shared" ca="1" si="23"/>
        <v>#DIV/0!</v>
      </c>
      <c r="N257" s="95">
        <f>IF(P257="Hedge Fund",IF(A257=Summary!$AD$3,M257-E257,M257),IF(A257=Summary!$AD$3,L257-D257,L257))</f>
        <v>0</v>
      </c>
      <c r="P257" s="89" t="s">
        <v>155</v>
      </c>
      <c r="Q257" s="107">
        <v>1.0416666666666668E-2</v>
      </c>
      <c r="R257" s="107">
        <v>0</v>
      </c>
      <c r="S257" s="107">
        <v>0</v>
      </c>
      <c r="T257" s="107">
        <v>0</v>
      </c>
      <c r="U257" s="107"/>
      <c r="V257" s="107"/>
      <c r="W257" s="107"/>
      <c r="X257" s="107"/>
      <c r="Y257" s="107"/>
      <c r="Z257" s="107"/>
      <c r="AA257" s="107"/>
      <c r="AB257" s="107"/>
      <c r="AC257" s="355"/>
      <c r="AD257" s="355"/>
      <c r="AE257" s="355"/>
      <c r="AF257" s="94">
        <f t="shared" si="24"/>
        <v>41516</v>
      </c>
      <c r="AG257" s="185">
        <f t="shared" si="30"/>
        <v>1.8093543523594935E-2</v>
      </c>
      <c r="AH257" s="339" t="str">
        <f>VLOOKUP(B257,'MF PF'!A:B,2)</f>
        <v>Coinv</v>
      </c>
      <c r="AI257" s="358">
        <f t="shared" si="26"/>
        <v>0</v>
      </c>
      <c r="AJ257" s="94">
        <f t="shared" si="27"/>
        <v>41517</v>
      </c>
    </row>
    <row r="258" spans="1:36" ht="12.75" customHeight="1">
      <c r="A258" s="8">
        <v>41547</v>
      </c>
      <c r="B258" s="94" t="s">
        <v>83</v>
      </c>
      <c r="C258" s="92" t="s">
        <v>297</v>
      </c>
      <c r="D258" s="374">
        <v>24421385.61779771</v>
      </c>
      <c r="E258" s="95" t="str">
        <f t="shared" si="31"/>
        <v/>
      </c>
      <c r="F258" s="47"/>
      <c r="G258" s="47">
        <v>0</v>
      </c>
      <c r="H258" s="47">
        <v>0</v>
      </c>
      <c r="I258" s="47">
        <v>-843750</v>
      </c>
      <c r="J258" s="98"/>
      <c r="K258" s="93"/>
      <c r="L258" s="93">
        <f t="shared" si="22"/>
        <v>-843750</v>
      </c>
      <c r="M258" s="95" t="e">
        <f t="shared" ca="1" si="23"/>
        <v>#DIV/0!</v>
      </c>
      <c r="N258" s="95">
        <f>IF(P258="Hedge Fund",IF(A258=Summary!$AD$3,M258-E258,M258),IF(A258=Summary!$AD$3,L258-D258,L258))</f>
        <v>-843750</v>
      </c>
      <c r="P258" s="89" t="s">
        <v>155</v>
      </c>
      <c r="Q258" s="89">
        <v>1.0416666666666668E-2</v>
      </c>
      <c r="R258" s="89">
        <v>0</v>
      </c>
      <c r="S258" s="89">
        <v>0</v>
      </c>
      <c r="T258" s="89">
        <v>0</v>
      </c>
      <c r="U258" s="89"/>
      <c r="V258" s="89"/>
      <c r="W258" s="89"/>
      <c r="X258" s="89"/>
      <c r="Y258" s="89"/>
      <c r="Z258" s="89"/>
      <c r="AA258" s="89"/>
      <c r="AB258" s="89"/>
      <c r="AC258" s="355"/>
      <c r="AD258" s="355"/>
      <c r="AE258" s="355"/>
      <c r="AF258" s="94">
        <f t="shared" si="24"/>
        <v>41547</v>
      </c>
      <c r="AG258" s="185">
        <f t="shared" si="30"/>
        <v>2.3437614496583548E-2</v>
      </c>
      <c r="AH258" s="339" t="str">
        <f>VLOOKUP(B258,'MF PF'!A:B,2)</f>
        <v>Coinv</v>
      </c>
      <c r="AI258" s="358">
        <f t="shared" si="26"/>
        <v>0</v>
      </c>
      <c r="AJ258" s="94">
        <f t="shared" si="27"/>
        <v>41547</v>
      </c>
    </row>
    <row r="259" spans="1:36" ht="12.75" customHeight="1">
      <c r="A259" s="94">
        <v>41578</v>
      </c>
      <c r="B259" s="94" t="s">
        <v>83</v>
      </c>
      <c r="C259" s="358" t="s">
        <v>297</v>
      </c>
      <c r="D259" s="374">
        <v>25094211.274091199</v>
      </c>
      <c r="E259" s="95" t="str">
        <f t="shared" si="31"/>
        <v/>
      </c>
      <c r="F259" s="47"/>
      <c r="G259" s="47">
        <v>0</v>
      </c>
      <c r="H259" s="47">
        <v>0</v>
      </c>
      <c r="I259" s="47">
        <v>0</v>
      </c>
      <c r="J259" s="98"/>
      <c r="K259" s="93"/>
      <c r="L259" s="93">
        <f t="shared" ref="L259:L322" si="32">G259+H259+I259</f>
        <v>0</v>
      </c>
      <c r="M259" s="95" t="e">
        <f t="shared" ref="M259:M322" ca="1" si="33">IF(A259&gt;INDIRECT("A"&amp;ROW()-1),I259/K259,E259)</f>
        <v>#DIV/0!</v>
      </c>
      <c r="N259" s="95">
        <f>IF(P259="Hedge Fund",IF(A259=Summary!$AD$3,M259-E259,M259),IF(A259=Summary!$AD$3,L259-D259,L259))</f>
        <v>0</v>
      </c>
      <c r="P259" s="89" t="s">
        <v>155</v>
      </c>
      <c r="Q259" s="89">
        <v>1.0416666666666668E-2</v>
      </c>
      <c r="R259" s="89">
        <v>0</v>
      </c>
      <c r="S259" s="89">
        <v>0</v>
      </c>
      <c r="T259" s="89">
        <v>0</v>
      </c>
      <c r="U259" s="89"/>
      <c r="V259" s="89"/>
      <c r="W259" s="89"/>
      <c r="X259" s="89"/>
      <c r="Y259" s="89"/>
      <c r="Z259" s="89"/>
      <c r="AA259" s="89"/>
      <c r="AB259" s="89"/>
      <c r="AC259" s="355"/>
      <c r="AD259" s="355"/>
      <c r="AE259" s="355"/>
      <c r="AF259" s="94">
        <f t="shared" ref="AF259:AF322" si="34">A259</f>
        <v>41578</v>
      </c>
      <c r="AG259" s="185">
        <f t="shared" si="30"/>
        <v>2.7550674921702711E-2</v>
      </c>
      <c r="AH259" s="339" t="str">
        <f>VLOOKUP(B259,'MF PF'!A:B,2)</f>
        <v>Coinv</v>
      </c>
      <c r="AI259" s="358">
        <f t="shared" ref="AI259:AI322" si="35">AF259-A259</f>
        <v>0</v>
      </c>
      <c r="AJ259" s="94">
        <f t="shared" ref="AJ259:AJ322" si="36">EOMONTH(A259,0)</f>
        <v>41578</v>
      </c>
    </row>
    <row r="260" spans="1:36" ht="12.75" customHeight="1">
      <c r="A260" s="8">
        <v>41607</v>
      </c>
      <c r="B260" s="94" t="s">
        <v>83</v>
      </c>
      <c r="C260" s="92" t="s">
        <v>297</v>
      </c>
      <c r="D260" s="374">
        <v>25174712.007505503</v>
      </c>
      <c r="E260" s="95" t="str">
        <f t="shared" si="31"/>
        <v/>
      </c>
      <c r="F260" s="47"/>
      <c r="G260" s="47">
        <v>0</v>
      </c>
      <c r="H260" s="47">
        <v>0</v>
      </c>
      <c r="I260" s="47">
        <v>0</v>
      </c>
      <c r="J260" s="98"/>
      <c r="K260" s="93"/>
      <c r="L260" s="93">
        <f t="shared" si="32"/>
        <v>0</v>
      </c>
      <c r="M260" s="95" t="e">
        <f t="shared" ca="1" si="33"/>
        <v>#DIV/0!</v>
      </c>
      <c r="N260" s="95">
        <f>IF(P260="Hedge Fund",IF(A260=Summary!$AD$3,M260-E260,M260),IF(A260=Summary!$AD$3,L260-D260,L260))</f>
        <v>0</v>
      </c>
      <c r="P260" s="89" t="s">
        <v>155</v>
      </c>
      <c r="Q260" s="89">
        <v>1.0416666666666668E-2</v>
      </c>
      <c r="R260" s="89">
        <v>0</v>
      </c>
      <c r="S260" s="89">
        <v>0</v>
      </c>
      <c r="T260" s="89">
        <v>0</v>
      </c>
      <c r="U260" s="89"/>
      <c r="V260" s="89"/>
      <c r="W260" s="89"/>
      <c r="X260" s="89"/>
      <c r="Y260" s="89"/>
      <c r="Z260" s="89"/>
      <c r="AA260" s="89"/>
      <c r="AB260" s="89"/>
      <c r="AC260" s="355"/>
      <c r="AD260" s="355"/>
      <c r="AE260" s="355"/>
      <c r="AF260" s="94">
        <f t="shared" si="34"/>
        <v>41607</v>
      </c>
      <c r="AG260" s="185">
        <f t="shared" si="30"/>
        <v>3.2079403705913556E-3</v>
      </c>
      <c r="AH260" s="339" t="str">
        <f>VLOOKUP(B260,'MF PF'!A:B,2)</f>
        <v>Coinv</v>
      </c>
      <c r="AI260" s="358">
        <f t="shared" si="35"/>
        <v>0</v>
      </c>
      <c r="AJ260" s="94">
        <f t="shared" si="36"/>
        <v>41608</v>
      </c>
    </row>
    <row r="261" spans="1:36" ht="12.75" customHeight="1">
      <c r="A261" s="8">
        <v>41639</v>
      </c>
      <c r="B261" s="94" t="s">
        <v>83</v>
      </c>
      <c r="C261" s="92" t="s">
        <v>297</v>
      </c>
      <c r="D261" s="374">
        <v>25553447.800464701</v>
      </c>
      <c r="E261" s="95" t="str">
        <f t="shared" si="31"/>
        <v/>
      </c>
      <c r="F261" s="98"/>
      <c r="G261" s="98">
        <v>0</v>
      </c>
      <c r="H261" s="98">
        <v>0</v>
      </c>
      <c r="I261" s="98">
        <v>-843750</v>
      </c>
      <c r="J261" s="98"/>
      <c r="K261" s="93"/>
      <c r="L261" s="93">
        <f t="shared" si="32"/>
        <v>-843750</v>
      </c>
      <c r="M261" s="95" t="e">
        <f t="shared" ca="1" si="33"/>
        <v>#DIV/0!</v>
      </c>
      <c r="N261" s="95">
        <f>IF(P261="Hedge Fund",IF(A261=Summary!$AD$3,M261-E261,M261),IF(A261=Summary!$AD$3,L261-D261,L261))</f>
        <v>-843750</v>
      </c>
      <c r="P261" s="89" t="s">
        <v>155</v>
      </c>
      <c r="Q261" s="107">
        <v>1.0416666666666668E-2</v>
      </c>
      <c r="R261" s="107">
        <v>0</v>
      </c>
      <c r="S261" s="107">
        <v>0</v>
      </c>
      <c r="T261" s="107">
        <v>0</v>
      </c>
      <c r="U261" s="107"/>
      <c r="V261" s="107"/>
      <c r="W261" s="107"/>
      <c r="X261" s="107"/>
      <c r="Y261" s="107"/>
      <c r="Z261" s="107"/>
      <c r="AA261" s="107"/>
      <c r="AB261" s="107"/>
      <c r="AC261" s="355"/>
      <c r="AD261" s="355"/>
      <c r="AE261" s="355"/>
      <c r="AF261" s="94">
        <f t="shared" si="34"/>
        <v>41639</v>
      </c>
      <c r="AG261" s="185">
        <f t="shared" si="30"/>
        <v>4.8560070621452622E-2</v>
      </c>
      <c r="AH261" s="339" t="str">
        <f>VLOOKUP(B261,'MF PF'!A:B,2)</f>
        <v>Coinv</v>
      </c>
      <c r="AI261" s="358">
        <f t="shared" si="35"/>
        <v>0</v>
      </c>
      <c r="AJ261" s="94">
        <f t="shared" si="36"/>
        <v>41639</v>
      </c>
    </row>
    <row r="262" spans="1:36" ht="12.75" customHeight="1">
      <c r="A262" s="8">
        <v>41669</v>
      </c>
      <c r="B262" s="94" t="s">
        <v>83</v>
      </c>
      <c r="C262" s="92" t="s">
        <v>297</v>
      </c>
      <c r="D262" s="374">
        <v>25896176.7156156</v>
      </c>
      <c r="E262" s="95" t="str">
        <f t="shared" si="31"/>
        <v/>
      </c>
      <c r="F262" s="98"/>
      <c r="G262" s="98">
        <v>0</v>
      </c>
      <c r="H262" s="98">
        <v>0</v>
      </c>
      <c r="I262" s="98">
        <v>0</v>
      </c>
      <c r="J262" s="98"/>
      <c r="K262" s="93"/>
      <c r="L262" s="93">
        <f t="shared" si="32"/>
        <v>0</v>
      </c>
      <c r="M262" s="95" t="e">
        <f t="shared" ca="1" si="33"/>
        <v>#DIV/0!</v>
      </c>
      <c r="N262" s="95">
        <f>IF(P262="Hedge Fund",IF(A262=Summary!$AD$3,M262-E262,M262),IF(A262=Summary!$AD$3,L262-D262,L262))</f>
        <v>0</v>
      </c>
      <c r="P262" s="89" t="s">
        <v>155</v>
      </c>
      <c r="Q262" s="107">
        <v>1.0416666666666668E-2</v>
      </c>
      <c r="R262" s="107">
        <v>0</v>
      </c>
      <c r="S262" s="107">
        <v>0</v>
      </c>
      <c r="T262" s="107">
        <v>0</v>
      </c>
      <c r="U262" s="107"/>
      <c r="V262" s="107"/>
      <c r="W262" s="107"/>
      <c r="X262" s="107"/>
      <c r="Y262" s="107"/>
      <c r="Z262" s="107"/>
      <c r="AA262" s="107"/>
      <c r="AB262" s="107"/>
      <c r="AC262" s="355"/>
      <c r="AD262" s="355"/>
      <c r="AE262" s="355"/>
      <c r="AF262" s="94">
        <f t="shared" si="34"/>
        <v>41669</v>
      </c>
      <c r="AG262" s="185">
        <f t="shared" si="30"/>
        <v>1.3412237668557037E-2</v>
      </c>
      <c r="AH262" s="339" t="str">
        <f>VLOOKUP(B262,'MF PF'!A:B,2)</f>
        <v>Coinv</v>
      </c>
      <c r="AI262" s="358">
        <f t="shared" si="35"/>
        <v>0</v>
      </c>
      <c r="AJ262" s="94">
        <f t="shared" si="36"/>
        <v>41670</v>
      </c>
    </row>
    <row r="263" spans="1:36" ht="12.75" customHeight="1">
      <c r="A263" s="8">
        <v>41698</v>
      </c>
      <c r="B263" s="94" t="s">
        <v>83</v>
      </c>
      <c r="C263" s="92" t="s">
        <v>297</v>
      </c>
      <c r="D263" s="374">
        <v>26363552.1641124</v>
      </c>
      <c r="E263" s="95" t="str">
        <f t="shared" si="31"/>
        <v/>
      </c>
      <c r="F263" s="98"/>
      <c r="G263" s="98">
        <v>0</v>
      </c>
      <c r="H263" s="98">
        <v>0</v>
      </c>
      <c r="I263" s="98">
        <v>0</v>
      </c>
      <c r="J263" s="98"/>
      <c r="K263" s="93"/>
      <c r="L263" s="93">
        <f t="shared" si="32"/>
        <v>0</v>
      </c>
      <c r="M263" s="95" t="e">
        <f t="shared" ca="1" si="33"/>
        <v>#DIV/0!</v>
      </c>
      <c r="N263" s="95">
        <f>IF(P263="Hedge Fund",IF(A263=Summary!$AD$3,M263-E263,M263),IF(A263=Summary!$AD$3,L263-D263,L263))</f>
        <v>0</v>
      </c>
      <c r="P263" s="89" t="s">
        <v>155</v>
      </c>
      <c r="Q263" s="107">
        <v>1.0416666666666668E-2</v>
      </c>
      <c r="R263" s="107">
        <v>0</v>
      </c>
      <c r="S263" s="107">
        <v>0</v>
      </c>
      <c r="T263" s="107">
        <v>0</v>
      </c>
      <c r="U263" s="107"/>
      <c r="V263" s="107"/>
      <c r="W263" s="107"/>
      <c r="X263" s="107"/>
      <c r="Y263" s="107"/>
      <c r="Z263" s="107"/>
      <c r="AA263" s="107"/>
      <c r="AB263" s="107"/>
      <c r="AC263" s="355"/>
      <c r="AD263" s="355"/>
      <c r="AE263" s="355"/>
      <c r="AF263" s="94">
        <f t="shared" si="34"/>
        <v>41698</v>
      </c>
      <c r="AG263" s="185">
        <f t="shared" si="30"/>
        <v>1.8048048313439535E-2</v>
      </c>
      <c r="AH263" s="339" t="str">
        <f>VLOOKUP(B263,'MF PF'!A:B,2)</f>
        <v>Coinv</v>
      </c>
      <c r="AI263" s="358">
        <f t="shared" si="35"/>
        <v>0</v>
      </c>
      <c r="AJ263" s="94">
        <f t="shared" si="36"/>
        <v>41698</v>
      </c>
    </row>
    <row r="264" spans="1:36" ht="12.75" customHeight="1">
      <c r="A264" s="8">
        <v>41729</v>
      </c>
      <c r="B264" s="94" t="s">
        <v>83</v>
      </c>
      <c r="C264" s="92" t="s">
        <v>297</v>
      </c>
      <c r="D264" s="374">
        <v>25845197.603877198</v>
      </c>
      <c r="E264" s="95" t="str">
        <f t="shared" si="31"/>
        <v/>
      </c>
      <c r="F264" s="98"/>
      <c r="G264" s="98">
        <v>0</v>
      </c>
      <c r="H264" s="98">
        <v>0</v>
      </c>
      <c r="I264" s="98">
        <v>-843750</v>
      </c>
      <c r="J264" s="98"/>
      <c r="K264" s="93"/>
      <c r="L264" s="93">
        <f t="shared" si="32"/>
        <v>-843750</v>
      </c>
      <c r="M264" s="95" t="e">
        <f t="shared" ca="1" si="33"/>
        <v>#DIV/0!</v>
      </c>
      <c r="N264" s="95">
        <f>IF(P264="Hedge Fund",IF(A264=Summary!$AD$3,M264-E264,M264),IF(A264=Summary!$AD$3,L264-D264,L264))</f>
        <v>-843750</v>
      </c>
      <c r="P264" s="89" t="s">
        <v>155</v>
      </c>
      <c r="Q264" s="107">
        <v>1.0416666666666668E-2</v>
      </c>
      <c r="R264" s="107">
        <v>0</v>
      </c>
      <c r="S264" s="107">
        <v>0</v>
      </c>
      <c r="T264" s="107">
        <v>0</v>
      </c>
      <c r="U264" s="107"/>
      <c r="V264" s="107"/>
      <c r="W264" s="107"/>
      <c r="X264" s="107"/>
      <c r="Y264" s="107"/>
      <c r="Z264" s="107"/>
      <c r="AA264" s="107"/>
      <c r="AB264" s="107"/>
      <c r="AC264" s="355"/>
      <c r="AD264" s="355"/>
      <c r="AE264" s="355"/>
      <c r="AF264" s="94">
        <f t="shared" si="34"/>
        <v>41729</v>
      </c>
      <c r="AG264" s="185">
        <f t="shared" si="30"/>
        <v>1.2342625065818957E-2</v>
      </c>
      <c r="AH264" s="339" t="str">
        <f>VLOOKUP(B264,'MF PF'!A:B,2)</f>
        <v>Coinv</v>
      </c>
      <c r="AI264" s="358">
        <f t="shared" si="35"/>
        <v>0</v>
      </c>
      <c r="AJ264" s="94">
        <f t="shared" si="36"/>
        <v>41729</v>
      </c>
    </row>
    <row r="265" spans="1:36" ht="12.75" customHeight="1">
      <c r="A265" s="94">
        <v>41759</v>
      </c>
      <c r="B265" s="94" t="s">
        <v>83</v>
      </c>
      <c r="C265" s="92" t="s">
        <v>297</v>
      </c>
      <c r="D265" s="374">
        <v>26079566.1336242</v>
      </c>
      <c r="E265" s="95" t="str">
        <f t="shared" si="31"/>
        <v/>
      </c>
      <c r="F265" s="98"/>
      <c r="G265" s="98">
        <v>0</v>
      </c>
      <c r="H265" s="98">
        <v>0</v>
      </c>
      <c r="I265" s="98">
        <v>0</v>
      </c>
      <c r="J265" s="98"/>
      <c r="K265" s="93"/>
      <c r="L265" s="93">
        <f t="shared" si="32"/>
        <v>0</v>
      </c>
      <c r="M265" s="95" t="e">
        <f t="shared" ca="1" si="33"/>
        <v>#DIV/0!</v>
      </c>
      <c r="N265" s="95">
        <f>IF(P265="Hedge Fund",IF(A265=Summary!$AD$3,M265-E265,M265),IF(A265=Summary!$AD$3,L265-D265,L265))</f>
        <v>0</v>
      </c>
      <c r="P265" s="107" t="s">
        <v>155</v>
      </c>
      <c r="Q265" s="107">
        <v>1.0416666666666668E-2</v>
      </c>
      <c r="R265" s="107">
        <v>0</v>
      </c>
      <c r="S265" s="107">
        <v>0</v>
      </c>
      <c r="T265" s="107">
        <v>0</v>
      </c>
      <c r="U265" s="107"/>
      <c r="V265" s="107"/>
      <c r="W265" s="107"/>
      <c r="X265" s="107"/>
      <c r="Y265" s="107"/>
      <c r="Z265" s="107"/>
      <c r="AA265" s="107"/>
      <c r="AB265" s="107"/>
      <c r="AC265" s="355"/>
      <c r="AD265" s="355"/>
      <c r="AE265" s="355"/>
      <c r="AF265" s="94">
        <f t="shared" si="34"/>
        <v>41759</v>
      </c>
      <c r="AG265" s="185">
        <f t="shared" si="30"/>
        <v>9.0681655191462429E-3</v>
      </c>
      <c r="AH265" s="339" t="str">
        <f>VLOOKUP(B265,'MF PF'!A:B,2)</f>
        <v>Coinv</v>
      </c>
      <c r="AI265" s="358">
        <f t="shared" si="35"/>
        <v>0</v>
      </c>
      <c r="AJ265" s="94">
        <f t="shared" si="36"/>
        <v>41759</v>
      </c>
    </row>
    <row r="266" spans="1:36" ht="12.75" customHeight="1">
      <c r="A266" s="94">
        <v>41789</v>
      </c>
      <c r="B266" s="94" t="s">
        <v>83</v>
      </c>
      <c r="C266" s="358" t="s">
        <v>297</v>
      </c>
      <c r="D266" s="374">
        <v>26451152.577025499</v>
      </c>
      <c r="E266" s="95" t="str">
        <f t="shared" si="31"/>
        <v/>
      </c>
      <c r="F266" s="98"/>
      <c r="G266" s="98">
        <v>0</v>
      </c>
      <c r="H266" s="98">
        <v>0</v>
      </c>
      <c r="I266" s="98">
        <v>0</v>
      </c>
      <c r="J266" s="98"/>
      <c r="K266" s="93"/>
      <c r="L266" s="93">
        <f t="shared" si="32"/>
        <v>0</v>
      </c>
      <c r="M266" s="95" t="e">
        <f t="shared" ca="1" si="33"/>
        <v>#DIV/0!</v>
      </c>
      <c r="N266" s="95">
        <f>IF(P266="Hedge Fund",IF(A266=Summary!$AD$3,M266-E266,M266),IF(A266=Summary!$AD$3,L266-D266,L266))</f>
        <v>0</v>
      </c>
      <c r="P266" s="89" t="s">
        <v>155</v>
      </c>
      <c r="Q266" s="107">
        <v>1.0416666666666668E-2</v>
      </c>
      <c r="R266" s="107">
        <v>0</v>
      </c>
      <c r="S266" s="107">
        <v>0</v>
      </c>
      <c r="T266" s="107">
        <v>0</v>
      </c>
      <c r="U266" s="107"/>
      <c r="V266" s="107"/>
      <c r="W266" s="107"/>
      <c r="X266" s="107"/>
      <c r="Y266" s="107"/>
      <c r="Z266" s="107"/>
      <c r="AA266" s="107"/>
      <c r="AB266" s="107"/>
      <c r="AC266" s="355"/>
      <c r="AD266" s="355"/>
      <c r="AE266" s="355"/>
      <c r="AF266" s="94">
        <f t="shared" si="34"/>
        <v>41789</v>
      </c>
      <c r="AG266" s="185">
        <f t="shared" si="30"/>
        <v>1.4248183481941235E-2</v>
      </c>
      <c r="AH266" s="339" t="str">
        <f>VLOOKUP(B266,'MF PF'!A:B,2)</f>
        <v>Coinv</v>
      </c>
      <c r="AI266" s="358">
        <f t="shared" si="35"/>
        <v>0</v>
      </c>
      <c r="AJ266" s="94">
        <f t="shared" si="36"/>
        <v>41790</v>
      </c>
    </row>
    <row r="267" spans="1:36" ht="12.75" customHeight="1">
      <c r="A267" s="94">
        <v>41820</v>
      </c>
      <c r="B267" s="94" t="s">
        <v>83</v>
      </c>
      <c r="C267" s="358" t="s">
        <v>297</v>
      </c>
      <c r="D267" s="374">
        <v>26006477.390000001</v>
      </c>
      <c r="E267" s="95" t="str">
        <f t="shared" si="31"/>
        <v/>
      </c>
      <c r="F267" s="98"/>
      <c r="G267" s="98">
        <v>0</v>
      </c>
      <c r="H267" s="98">
        <v>0</v>
      </c>
      <c r="I267" s="98">
        <v>-843750</v>
      </c>
      <c r="J267" s="98"/>
      <c r="K267" s="93"/>
      <c r="L267" s="93">
        <f t="shared" si="32"/>
        <v>-843750</v>
      </c>
      <c r="M267" s="95" t="e">
        <f t="shared" ca="1" si="33"/>
        <v>#DIV/0!</v>
      </c>
      <c r="N267" s="95">
        <f>IF(P267="Hedge Fund",IF(A267=Summary!$AD$3,M267-E267,M267),IF(A267=Summary!$AD$3,L267-D267,L267))</f>
        <v>-843750</v>
      </c>
      <c r="P267" s="107" t="s">
        <v>155</v>
      </c>
      <c r="Q267" s="107">
        <v>1.0416666666666668E-2</v>
      </c>
      <c r="R267" s="107">
        <v>0</v>
      </c>
      <c r="S267" s="107">
        <v>0</v>
      </c>
      <c r="T267" s="107">
        <v>0</v>
      </c>
      <c r="U267" s="107"/>
      <c r="V267" s="107"/>
      <c r="W267" s="107"/>
      <c r="X267" s="107"/>
      <c r="Y267" s="107"/>
      <c r="Z267" s="107"/>
      <c r="AA267" s="107"/>
      <c r="AB267" s="107"/>
      <c r="AC267" s="355"/>
      <c r="AD267" s="355"/>
      <c r="AE267" s="355"/>
      <c r="AF267" s="94">
        <f t="shared" si="34"/>
        <v>41820</v>
      </c>
      <c r="AG267" s="185">
        <f t="shared" si="30"/>
        <v>1.5087237193630809E-2</v>
      </c>
      <c r="AH267" s="339" t="str">
        <f>VLOOKUP(B267,'MF PF'!A:B,2)</f>
        <v>Coinv</v>
      </c>
      <c r="AI267" s="358">
        <f t="shared" si="35"/>
        <v>0</v>
      </c>
      <c r="AJ267" s="94">
        <f t="shared" si="36"/>
        <v>41820</v>
      </c>
    </row>
    <row r="268" spans="1:36" ht="12.75" customHeight="1">
      <c r="A268" s="8">
        <v>41851</v>
      </c>
      <c r="B268" s="94" t="s">
        <v>83</v>
      </c>
      <c r="C268" s="358" t="s">
        <v>297</v>
      </c>
      <c r="D268" s="374">
        <v>26388437.5363997</v>
      </c>
      <c r="E268" s="9" t="str">
        <f t="shared" si="31"/>
        <v/>
      </c>
      <c r="F268" s="98"/>
      <c r="G268" s="98">
        <v>0</v>
      </c>
      <c r="H268" s="98">
        <v>0</v>
      </c>
      <c r="I268" s="98">
        <v>0</v>
      </c>
      <c r="J268" s="98"/>
      <c r="K268" s="93"/>
      <c r="L268" s="93">
        <f t="shared" si="32"/>
        <v>0</v>
      </c>
      <c r="M268" s="95" t="e">
        <f t="shared" ca="1" si="33"/>
        <v>#DIV/0!</v>
      </c>
      <c r="N268" s="95">
        <f>IF(P268="Hedge Fund",IF(A268=Summary!$AD$3,M268-E268,M268),IF(A268=Summary!$AD$3,L268-D268,L268))</f>
        <v>0</v>
      </c>
      <c r="P268" s="89" t="s">
        <v>155</v>
      </c>
      <c r="Q268" s="107">
        <v>1.0416666666666668E-2</v>
      </c>
      <c r="R268" s="107">
        <v>0</v>
      </c>
      <c r="S268" s="107">
        <v>0</v>
      </c>
      <c r="T268" s="107">
        <v>0</v>
      </c>
      <c r="U268" s="107"/>
      <c r="V268" s="107"/>
      <c r="W268" s="107"/>
      <c r="X268" s="107"/>
      <c r="Y268" s="107"/>
      <c r="Z268" s="107"/>
      <c r="AA268" s="107"/>
      <c r="AB268" s="107"/>
      <c r="AC268" s="355"/>
      <c r="AD268" s="355"/>
      <c r="AE268" s="355"/>
      <c r="AF268" s="94">
        <f t="shared" si="34"/>
        <v>41851</v>
      </c>
      <c r="AG268" s="185">
        <f t="shared" si="30"/>
        <v>1.4687115854705057E-2</v>
      </c>
      <c r="AH268" s="339" t="str">
        <f>VLOOKUP(B268,'MF PF'!A:B,2)</f>
        <v>Coinv</v>
      </c>
      <c r="AI268" s="358">
        <f t="shared" si="35"/>
        <v>0</v>
      </c>
      <c r="AJ268" s="94">
        <f t="shared" si="36"/>
        <v>41851</v>
      </c>
    </row>
    <row r="269" spans="1:36" ht="12.75" customHeight="1">
      <c r="A269" s="8">
        <v>41880</v>
      </c>
      <c r="B269" s="94" t="s">
        <v>83</v>
      </c>
      <c r="C269" s="92" t="s">
        <v>297</v>
      </c>
      <c r="D269" s="374">
        <v>26766084.7136112</v>
      </c>
      <c r="E269" s="9" t="str">
        <f t="shared" si="31"/>
        <v/>
      </c>
      <c r="F269" s="47"/>
      <c r="G269" s="47">
        <v>0</v>
      </c>
      <c r="H269" s="98">
        <v>0</v>
      </c>
      <c r="I269" s="98">
        <v>0</v>
      </c>
      <c r="J269" s="98"/>
      <c r="K269" s="93"/>
      <c r="L269" s="93">
        <f t="shared" si="32"/>
        <v>0</v>
      </c>
      <c r="M269" s="95" t="e">
        <f t="shared" ca="1" si="33"/>
        <v>#DIV/0!</v>
      </c>
      <c r="N269" s="95">
        <f>IF(P269="Hedge Fund",IF(A269=Summary!$AD$3,M269-E269,M269),IF(A269=Summary!$AD$3,L269-D269,L269))</f>
        <v>0</v>
      </c>
      <c r="P269" s="107" t="s">
        <v>155</v>
      </c>
      <c r="Q269" s="107">
        <v>1.0416666666666668E-2</v>
      </c>
      <c r="R269" s="107">
        <v>0</v>
      </c>
      <c r="S269" s="107">
        <v>0</v>
      </c>
      <c r="T269" s="107">
        <v>0</v>
      </c>
      <c r="U269" s="107"/>
      <c r="V269" s="107"/>
      <c r="W269" s="107"/>
      <c r="X269" s="107"/>
      <c r="Y269" s="107"/>
      <c r="Z269" s="107"/>
      <c r="AA269" s="107"/>
      <c r="AB269" s="107"/>
      <c r="AC269" s="355"/>
      <c r="AD269" s="355"/>
      <c r="AE269" s="355"/>
      <c r="AF269" s="94">
        <f t="shared" si="34"/>
        <v>41880</v>
      </c>
      <c r="AG269" s="185">
        <f t="shared" si="30"/>
        <v>1.4311085174731675E-2</v>
      </c>
      <c r="AH269" s="339" t="str">
        <f>VLOOKUP(B269,'MF PF'!A:B,2)</f>
        <v>Coinv</v>
      </c>
      <c r="AI269" s="358">
        <f t="shared" si="35"/>
        <v>0</v>
      </c>
      <c r="AJ269" s="94">
        <f t="shared" si="36"/>
        <v>41882</v>
      </c>
    </row>
    <row r="270" spans="1:36" ht="12.75" customHeight="1">
      <c r="A270" s="8">
        <v>41912</v>
      </c>
      <c r="B270" s="94" t="s">
        <v>83</v>
      </c>
      <c r="C270" s="92" t="s">
        <v>297</v>
      </c>
      <c r="D270" s="374">
        <v>26523624.981788699</v>
      </c>
      <c r="E270" s="9" t="str">
        <f t="shared" si="31"/>
        <v/>
      </c>
      <c r="F270" s="98"/>
      <c r="G270" s="98">
        <v>0</v>
      </c>
      <c r="H270" s="98">
        <v>0</v>
      </c>
      <c r="I270" s="98">
        <v>-843750</v>
      </c>
      <c r="J270" s="98"/>
      <c r="K270" s="93"/>
      <c r="L270" s="93">
        <f t="shared" si="32"/>
        <v>-843750</v>
      </c>
      <c r="M270" s="95" t="e">
        <f t="shared" ca="1" si="33"/>
        <v>#DIV/0!</v>
      </c>
      <c r="N270" s="95">
        <f>IF(P270="Hedge Fund",IF(A270=Summary!$AD$3,M270-E270,M270),IF(A270=Summary!$AD$3,L270-D270,L270))</f>
        <v>-843750</v>
      </c>
      <c r="P270" s="89" t="s">
        <v>155</v>
      </c>
      <c r="Q270" s="107">
        <v>1.0416666666666668E-2</v>
      </c>
      <c r="R270" s="107">
        <v>0</v>
      </c>
      <c r="S270" s="107">
        <v>0</v>
      </c>
      <c r="T270" s="107">
        <v>0</v>
      </c>
      <c r="U270" s="107"/>
      <c r="V270" s="107"/>
      <c r="W270" s="107"/>
      <c r="X270" s="107"/>
      <c r="Y270" s="107"/>
      <c r="Z270" s="107"/>
      <c r="AA270" s="107"/>
      <c r="AB270" s="107"/>
      <c r="AC270" s="355"/>
      <c r="AD270" s="355"/>
      <c r="AE270" s="355"/>
      <c r="AF270" s="94">
        <f t="shared" si="34"/>
        <v>41912</v>
      </c>
      <c r="AG270" s="185">
        <f t="shared" si="30"/>
        <v>2.2464632934219519E-2</v>
      </c>
      <c r="AH270" s="339" t="str">
        <f>VLOOKUP(B270,'MF PF'!A:B,2)</f>
        <v>Coinv</v>
      </c>
      <c r="AI270" s="358">
        <f t="shared" si="35"/>
        <v>0</v>
      </c>
      <c r="AJ270" s="94">
        <f t="shared" si="36"/>
        <v>41912</v>
      </c>
    </row>
    <row r="271" spans="1:36" ht="12.75" customHeight="1">
      <c r="A271" s="8">
        <v>41943</v>
      </c>
      <c r="B271" s="94" t="s">
        <v>83</v>
      </c>
      <c r="C271" s="92" t="s">
        <v>297</v>
      </c>
      <c r="D271" s="374">
        <v>26925719.785053298</v>
      </c>
      <c r="E271" s="9" t="str">
        <f t="shared" si="31"/>
        <v/>
      </c>
      <c r="F271" s="98"/>
      <c r="G271" s="98">
        <v>0</v>
      </c>
      <c r="H271" s="98">
        <v>0</v>
      </c>
      <c r="I271" s="98">
        <v>0</v>
      </c>
      <c r="J271" s="98"/>
      <c r="K271" s="93"/>
      <c r="L271" s="93">
        <f t="shared" si="32"/>
        <v>0</v>
      </c>
      <c r="M271" s="95" t="e">
        <f t="shared" ca="1" si="33"/>
        <v>#DIV/0!</v>
      </c>
      <c r="N271" s="95">
        <f>IF(P271="Hedge Fund",IF(A271=Summary!$AD$3,M271-E271,M271),IF(A271=Summary!$AD$3,L271-D271,L271))</f>
        <v>0</v>
      </c>
      <c r="P271" s="89" t="s">
        <v>155</v>
      </c>
      <c r="Q271" s="107">
        <v>1.0416666666666668E-2</v>
      </c>
      <c r="R271" s="107">
        <v>0</v>
      </c>
      <c r="S271" s="107">
        <v>0</v>
      </c>
      <c r="T271" s="107">
        <v>0</v>
      </c>
      <c r="U271" s="107"/>
      <c r="V271" s="107"/>
      <c r="W271" s="107"/>
      <c r="X271" s="107"/>
      <c r="Y271" s="107"/>
      <c r="Z271" s="107"/>
      <c r="AA271" s="107"/>
      <c r="AB271" s="107"/>
      <c r="AC271" s="355"/>
      <c r="AD271" s="355"/>
      <c r="AE271" s="355"/>
      <c r="AF271" s="94">
        <f t="shared" si="34"/>
        <v>41943</v>
      </c>
      <c r="AG271" s="185">
        <f t="shared" si="30"/>
        <v>1.5159873642485833E-2</v>
      </c>
      <c r="AH271" s="339" t="str">
        <f>VLOOKUP(B271,'MF PF'!A:B,2)</f>
        <v>Coinv</v>
      </c>
      <c r="AI271" s="358">
        <f t="shared" si="35"/>
        <v>0</v>
      </c>
      <c r="AJ271" s="94">
        <f t="shared" si="36"/>
        <v>41943</v>
      </c>
    </row>
    <row r="272" spans="1:36" ht="12.75" customHeight="1">
      <c r="A272" s="8">
        <v>41971</v>
      </c>
      <c r="B272" s="94" t="s">
        <v>83</v>
      </c>
      <c r="C272" s="92" t="s">
        <v>297</v>
      </c>
      <c r="D272" s="374">
        <v>27294238.825214498</v>
      </c>
      <c r="E272" s="9" t="str">
        <f t="shared" si="31"/>
        <v/>
      </c>
      <c r="F272" s="98"/>
      <c r="G272" s="98">
        <v>0</v>
      </c>
      <c r="H272" s="98">
        <v>0</v>
      </c>
      <c r="I272" s="98">
        <v>0</v>
      </c>
      <c r="J272" s="98"/>
      <c r="K272" s="93"/>
      <c r="L272" s="93">
        <f t="shared" si="32"/>
        <v>0</v>
      </c>
      <c r="M272" s="95" t="e">
        <f t="shared" ca="1" si="33"/>
        <v>#DIV/0!</v>
      </c>
      <c r="N272" s="95">
        <f>IF(P272="Hedge Fund",IF(A272=Summary!$AD$3,M272-E272,M272),IF(A272=Summary!$AD$3,L272-D272,L272))</f>
        <v>0</v>
      </c>
      <c r="P272" s="89" t="s">
        <v>155</v>
      </c>
      <c r="Q272" s="107">
        <v>1.0416666666666668E-2</v>
      </c>
      <c r="R272" s="107">
        <v>0</v>
      </c>
      <c r="S272" s="107">
        <v>0</v>
      </c>
      <c r="T272" s="107">
        <v>0</v>
      </c>
      <c r="U272" s="107"/>
      <c r="V272" s="107"/>
      <c r="W272" s="107"/>
      <c r="X272" s="107"/>
      <c r="Y272" s="107"/>
      <c r="Z272" s="107"/>
      <c r="AA272" s="107"/>
      <c r="AB272" s="107"/>
      <c r="AC272" s="355"/>
      <c r="AD272" s="355"/>
      <c r="AE272" s="355"/>
      <c r="AF272" s="94">
        <f t="shared" si="34"/>
        <v>41971</v>
      </c>
      <c r="AG272" s="185">
        <f t="shared" si="30"/>
        <v>1.3686506548499677E-2</v>
      </c>
      <c r="AH272" s="339" t="str">
        <f>VLOOKUP(B272,'MF PF'!A:B,2)</f>
        <v>Coinv</v>
      </c>
      <c r="AI272" s="358">
        <f t="shared" si="35"/>
        <v>0</v>
      </c>
      <c r="AJ272" s="94">
        <f t="shared" si="36"/>
        <v>41973</v>
      </c>
    </row>
    <row r="273" spans="1:36" ht="12.75" customHeight="1">
      <c r="A273" s="94">
        <v>42004</v>
      </c>
      <c r="B273" s="8" t="s">
        <v>83</v>
      </c>
      <c r="C273" s="358" t="s">
        <v>297</v>
      </c>
      <c r="D273" s="374">
        <v>17062665.5121461</v>
      </c>
      <c r="E273" s="9" t="str">
        <f t="shared" si="31"/>
        <v/>
      </c>
      <c r="F273" s="47"/>
      <c r="G273" s="47">
        <v>0</v>
      </c>
      <c r="H273" s="47">
        <v>0</v>
      </c>
      <c r="I273" s="47">
        <v>-9156600</v>
      </c>
      <c r="J273" s="98"/>
      <c r="K273" s="93"/>
      <c r="L273" s="93">
        <f t="shared" si="32"/>
        <v>-9156600</v>
      </c>
      <c r="M273" s="95" t="e">
        <f t="shared" ca="1" si="33"/>
        <v>#DIV/0!</v>
      </c>
      <c r="N273" s="95">
        <f>IF(P273="Hedge Fund",IF(A273=Summary!$AD$3,M273-E273,M273),IF(A273=Summary!$AD$3,L273-D273,L273))</f>
        <v>-9156600</v>
      </c>
      <c r="P273" s="89" t="s">
        <v>155</v>
      </c>
      <c r="Q273" s="89">
        <v>1.0416666666666668E-2</v>
      </c>
      <c r="R273" s="89">
        <v>0</v>
      </c>
      <c r="S273" s="89">
        <v>0</v>
      </c>
      <c r="T273" s="89">
        <v>0</v>
      </c>
      <c r="U273" s="89"/>
      <c r="V273" s="89"/>
      <c r="W273" s="89"/>
      <c r="X273" s="89"/>
      <c r="Y273" s="89"/>
      <c r="Z273" s="89"/>
      <c r="AA273" s="89"/>
      <c r="AB273" s="89"/>
      <c r="AC273" s="355"/>
      <c r="AD273" s="355"/>
      <c r="AE273" s="355"/>
      <c r="AF273" s="94">
        <f t="shared" si="34"/>
        <v>42004</v>
      </c>
      <c r="AG273" s="185">
        <f t="shared" si="30"/>
        <v>-3.938462325153147E-2</v>
      </c>
      <c r="AH273" s="339" t="str">
        <f>VLOOKUP(B273,'MF PF'!A:B,2)</f>
        <v>Coinv</v>
      </c>
      <c r="AI273" s="358">
        <f t="shared" si="35"/>
        <v>0</v>
      </c>
      <c r="AJ273" s="94">
        <f t="shared" si="36"/>
        <v>42004</v>
      </c>
    </row>
    <row r="274" spans="1:36" ht="12.75" customHeight="1">
      <c r="A274" s="94">
        <v>42034</v>
      </c>
      <c r="B274" s="8" t="s">
        <v>83</v>
      </c>
      <c r="C274" s="358" t="s">
        <v>297</v>
      </c>
      <c r="D274" s="374">
        <v>17372148.6819272</v>
      </c>
      <c r="E274" s="9" t="str">
        <f t="shared" si="31"/>
        <v/>
      </c>
      <c r="F274" s="47"/>
      <c r="G274" s="47">
        <v>0</v>
      </c>
      <c r="H274" s="47">
        <v>0</v>
      </c>
      <c r="I274" s="47">
        <v>0</v>
      </c>
      <c r="J274" s="98"/>
      <c r="K274" s="93"/>
      <c r="L274" s="93">
        <f t="shared" si="32"/>
        <v>0</v>
      </c>
      <c r="M274" s="95" t="e">
        <f t="shared" ca="1" si="33"/>
        <v>#DIV/0!</v>
      </c>
      <c r="N274" s="95">
        <f>IF(P274="Hedge Fund",IF(A274=Summary!$AD$3,M274-E274,M274),IF(A274=Summary!$AD$3,L274-D274,L274))</f>
        <v>0</v>
      </c>
      <c r="P274" s="89" t="s">
        <v>155</v>
      </c>
      <c r="Q274" s="89">
        <v>6.9444444444444449E-3</v>
      </c>
      <c r="R274" s="89">
        <v>0</v>
      </c>
      <c r="S274" s="89">
        <v>0</v>
      </c>
      <c r="T274" s="89">
        <v>0</v>
      </c>
      <c r="U274" s="89"/>
      <c r="V274" s="89"/>
      <c r="W274" s="89"/>
      <c r="X274" s="89"/>
      <c r="Y274" s="89"/>
      <c r="Z274" s="89"/>
      <c r="AA274" s="89"/>
      <c r="AB274" s="89"/>
      <c r="AC274" s="355"/>
      <c r="AD274" s="355"/>
      <c r="AE274" s="355"/>
      <c r="AF274" s="94">
        <f t="shared" si="34"/>
        <v>42034</v>
      </c>
      <c r="AG274" s="185">
        <f t="shared" si="30"/>
        <v>1.8138031807562127E-2</v>
      </c>
      <c r="AH274" s="339" t="str">
        <f>VLOOKUP(B274,'MF PF'!A:B,2)</f>
        <v>Coinv</v>
      </c>
      <c r="AI274" s="358">
        <f t="shared" si="35"/>
        <v>0</v>
      </c>
      <c r="AJ274" s="94">
        <f t="shared" si="36"/>
        <v>42035</v>
      </c>
    </row>
    <row r="275" spans="1:36" ht="12.75" customHeight="1">
      <c r="A275" s="94">
        <v>42062</v>
      </c>
      <c r="B275" s="8" t="s">
        <v>83</v>
      </c>
      <c r="C275" s="358" t="s">
        <v>297</v>
      </c>
      <c r="D275" s="374">
        <v>17644593.0530967</v>
      </c>
      <c r="E275" s="9" t="str">
        <f t="shared" si="31"/>
        <v/>
      </c>
      <c r="F275" s="47"/>
      <c r="G275" s="47">
        <v>0</v>
      </c>
      <c r="H275" s="47">
        <v>0</v>
      </c>
      <c r="I275" s="47">
        <v>0</v>
      </c>
      <c r="J275" s="98"/>
      <c r="K275" s="93"/>
      <c r="L275" s="93">
        <f t="shared" si="32"/>
        <v>0</v>
      </c>
      <c r="M275" s="95" t="e">
        <f t="shared" ca="1" si="33"/>
        <v>#DIV/0!</v>
      </c>
      <c r="N275" s="95">
        <f>IF(P275="Hedge Fund",IF(A275=Summary!$AD$3,M275-E275,M275),IF(A275=Summary!$AD$3,L275-D275,L275))</f>
        <v>0</v>
      </c>
      <c r="P275" s="89" t="s">
        <v>155</v>
      </c>
      <c r="Q275" s="89">
        <v>6.9444444444444449E-3</v>
      </c>
      <c r="R275" s="89">
        <v>0</v>
      </c>
      <c r="S275" s="89">
        <v>0</v>
      </c>
      <c r="T275" s="89">
        <v>0</v>
      </c>
      <c r="U275" s="89"/>
      <c r="V275" s="89"/>
      <c r="W275" s="89"/>
      <c r="X275" s="89"/>
      <c r="Y275" s="89"/>
      <c r="Z275" s="89"/>
      <c r="AA275" s="89"/>
      <c r="AB275" s="89"/>
      <c r="AC275" s="355"/>
      <c r="AD275" s="355"/>
      <c r="AE275" s="355"/>
      <c r="AF275" s="94">
        <f t="shared" si="34"/>
        <v>42062</v>
      </c>
      <c r="AG275" s="185">
        <f t="shared" si="30"/>
        <v>1.568282520244213E-2</v>
      </c>
      <c r="AH275" s="339" t="str">
        <f>VLOOKUP(B275,'MF PF'!A:B,2)</f>
        <v>Coinv</v>
      </c>
      <c r="AI275" s="358">
        <f t="shared" si="35"/>
        <v>0</v>
      </c>
      <c r="AJ275" s="94">
        <f t="shared" si="36"/>
        <v>42063</v>
      </c>
    </row>
    <row r="276" spans="1:36" ht="12.75" customHeight="1">
      <c r="A276" s="94">
        <v>42094</v>
      </c>
      <c r="B276" s="8" t="s">
        <v>83</v>
      </c>
      <c r="C276" s="358" t="s">
        <v>297</v>
      </c>
      <c r="D276" s="374">
        <v>17143174.444285102</v>
      </c>
      <c r="E276" s="9" t="str">
        <f t="shared" si="31"/>
        <v/>
      </c>
      <c r="F276" s="47"/>
      <c r="G276" s="47">
        <v>0</v>
      </c>
      <c r="H276" s="47">
        <v>0</v>
      </c>
      <c r="I276" s="47">
        <v>-675000</v>
      </c>
      <c r="J276" s="98"/>
      <c r="K276" s="93"/>
      <c r="L276" s="93">
        <f t="shared" si="32"/>
        <v>-675000</v>
      </c>
      <c r="M276" s="95" t="e">
        <f t="shared" ca="1" si="33"/>
        <v>#DIV/0!</v>
      </c>
      <c r="N276" s="95">
        <f>IF(P276="Hedge Fund",IF(A276=Summary!$AD$3,M276-E276,M276),IF(A276=Summary!$AD$3,L276-D276,L276))</f>
        <v>-675000</v>
      </c>
      <c r="P276" s="89" t="s">
        <v>155</v>
      </c>
      <c r="Q276" s="89">
        <v>6.9444444444444449E-3</v>
      </c>
      <c r="R276" s="89">
        <v>0</v>
      </c>
      <c r="S276" s="89">
        <v>0</v>
      </c>
      <c r="T276" s="89">
        <v>0</v>
      </c>
      <c r="U276" s="89"/>
      <c r="V276" s="89"/>
      <c r="W276" s="89"/>
      <c r="X276" s="89"/>
      <c r="Y276" s="89"/>
      <c r="Z276" s="89"/>
      <c r="AA276" s="89"/>
      <c r="AB276" s="89"/>
      <c r="AC276" s="355"/>
      <c r="AD276" s="355"/>
      <c r="AE276" s="355"/>
      <c r="AF276" s="94">
        <f t="shared" si="34"/>
        <v>42094</v>
      </c>
      <c r="AG276" s="185">
        <f t="shared" si="30"/>
        <v>9.8376534197222032E-3</v>
      </c>
      <c r="AH276" s="339" t="str">
        <f>VLOOKUP(B276,'MF PF'!A:B,2)</f>
        <v>Coinv</v>
      </c>
      <c r="AI276" s="358">
        <f t="shared" si="35"/>
        <v>0</v>
      </c>
      <c r="AJ276" s="94">
        <f t="shared" si="36"/>
        <v>42094</v>
      </c>
    </row>
    <row r="277" spans="1:36" ht="12.75" customHeight="1">
      <c r="A277" s="8">
        <v>42124</v>
      </c>
      <c r="B277" s="8" t="s">
        <v>83</v>
      </c>
      <c r="C277" s="92" t="s">
        <v>297</v>
      </c>
      <c r="D277" s="374">
        <v>17332792</v>
      </c>
      <c r="E277" s="9" t="str">
        <f t="shared" si="31"/>
        <v/>
      </c>
      <c r="F277" s="47"/>
      <c r="G277" s="47">
        <v>0</v>
      </c>
      <c r="H277" s="47">
        <v>0</v>
      </c>
      <c r="I277" s="47">
        <v>0</v>
      </c>
      <c r="J277" s="98"/>
      <c r="K277" s="93"/>
      <c r="L277" s="93">
        <f t="shared" si="32"/>
        <v>0</v>
      </c>
      <c r="M277" s="95" t="e">
        <f t="shared" ca="1" si="33"/>
        <v>#DIV/0!</v>
      </c>
      <c r="N277" s="95">
        <f>IF(P277="Hedge Fund",IF(A277=Summary!$AD$3,M277-E277,M277),IF(A277=Summary!$AD$3,L277-D277,L277))</f>
        <v>0</v>
      </c>
      <c r="P277" s="89" t="s">
        <v>155</v>
      </c>
      <c r="Q277" s="89">
        <v>6.9444444444444449E-3</v>
      </c>
      <c r="R277" s="89">
        <v>0</v>
      </c>
      <c r="S277" s="89">
        <v>0</v>
      </c>
      <c r="T277" s="89">
        <v>0</v>
      </c>
      <c r="U277" s="89"/>
      <c r="V277" s="89"/>
      <c r="W277" s="89"/>
      <c r="X277" s="89"/>
      <c r="Y277" s="89"/>
      <c r="Z277" s="89"/>
      <c r="AA277" s="89"/>
      <c r="AB277" s="89"/>
      <c r="AC277" s="355"/>
      <c r="AD277" s="355"/>
      <c r="AE277" s="355"/>
      <c r="AF277" s="94">
        <f t="shared" si="34"/>
        <v>42124</v>
      </c>
      <c r="AG277" s="185">
        <f t="shared" si="30"/>
        <v>1.1060819355898754E-2</v>
      </c>
      <c r="AH277" s="339" t="str">
        <f>VLOOKUP(B277,'MF PF'!A:B,2)</f>
        <v>Coinv</v>
      </c>
      <c r="AI277" s="358">
        <f t="shared" si="35"/>
        <v>0</v>
      </c>
      <c r="AJ277" s="94">
        <f t="shared" si="36"/>
        <v>42124</v>
      </c>
    </row>
    <row r="278" spans="1:36" ht="12.75" customHeight="1">
      <c r="A278" s="8">
        <v>42153</v>
      </c>
      <c r="B278" s="8" t="s">
        <v>83</v>
      </c>
      <c r="C278" s="92" t="s">
        <v>297</v>
      </c>
      <c r="D278" s="374">
        <v>17538276</v>
      </c>
      <c r="E278" s="9" t="str">
        <f t="shared" si="31"/>
        <v/>
      </c>
      <c r="F278" s="47"/>
      <c r="G278" s="47">
        <v>0</v>
      </c>
      <c r="H278" s="47">
        <v>0</v>
      </c>
      <c r="I278" s="47">
        <v>0</v>
      </c>
      <c r="J278" s="98"/>
      <c r="K278" s="93"/>
      <c r="L278" s="93">
        <f t="shared" si="32"/>
        <v>0</v>
      </c>
      <c r="M278" s="95" t="e">
        <f t="shared" ca="1" si="33"/>
        <v>#DIV/0!</v>
      </c>
      <c r="N278" s="95">
        <f>IF(P278="Hedge Fund",IF(A278=Summary!$AD$3,M278-E278,M278),IF(A278=Summary!$AD$3,L278-D278,L278))</f>
        <v>0</v>
      </c>
      <c r="P278" s="89" t="s">
        <v>155</v>
      </c>
      <c r="Q278" s="89">
        <v>6.9444444444444449E-3</v>
      </c>
      <c r="R278" s="89">
        <v>0</v>
      </c>
      <c r="S278" s="89">
        <v>0</v>
      </c>
      <c r="T278" s="89">
        <v>0</v>
      </c>
      <c r="U278" s="89"/>
      <c r="V278" s="89"/>
      <c r="W278" s="89"/>
      <c r="X278" s="89"/>
      <c r="Y278" s="89"/>
      <c r="Z278" s="89"/>
      <c r="AA278" s="89"/>
      <c r="AB278" s="89"/>
      <c r="AC278" s="355"/>
      <c r="AD278" s="355"/>
      <c r="AE278" s="355"/>
      <c r="AF278" s="94">
        <f t="shared" si="34"/>
        <v>42153</v>
      </c>
      <c r="AG278" s="185">
        <f t="shared" si="30"/>
        <v>1.1855216401373658E-2</v>
      </c>
      <c r="AH278" s="339" t="str">
        <f>VLOOKUP(B278,'MF PF'!A:B,2)</f>
        <v>Coinv</v>
      </c>
      <c r="AI278" s="358">
        <f t="shared" si="35"/>
        <v>0</v>
      </c>
      <c r="AJ278" s="94">
        <f t="shared" si="36"/>
        <v>42155</v>
      </c>
    </row>
    <row r="279" spans="1:36" ht="12.75" customHeight="1">
      <c r="A279" s="8">
        <v>42185</v>
      </c>
      <c r="B279" s="8" t="s">
        <v>83</v>
      </c>
      <c r="C279" s="92" t="s">
        <v>297</v>
      </c>
      <c r="D279" s="374">
        <v>17102772.816886302</v>
      </c>
      <c r="E279" s="9" t="str">
        <f t="shared" si="31"/>
        <v/>
      </c>
      <c r="F279" s="47"/>
      <c r="G279" s="47">
        <v>0</v>
      </c>
      <c r="H279" s="47">
        <v>0</v>
      </c>
      <c r="I279" s="47">
        <v>-687991.67</v>
      </c>
      <c r="J279" s="98"/>
      <c r="K279" s="93"/>
      <c r="L279" s="93">
        <f t="shared" si="32"/>
        <v>-687991.67</v>
      </c>
      <c r="M279" s="95" t="e">
        <f t="shared" ca="1" si="33"/>
        <v>#DIV/0!</v>
      </c>
      <c r="N279" s="95">
        <f>IF(P279="Hedge Fund",IF(A279=Summary!$AD$3,M279-E279,M279),IF(A279=Summary!$AD$3,L279-D279,L279))</f>
        <v>-687991.67</v>
      </c>
      <c r="P279" s="89" t="s">
        <v>155</v>
      </c>
      <c r="Q279" s="89">
        <v>6.9444444444444449E-3</v>
      </c>
      <c r="R279" s="89">
        <v>1.3103059338443153</v>
      </c>
      <c r="S279" s="89">
        <v>0</v>
      </c>
      <c r="T279" s="89">
        <v>0</v>
      </c>
      <c r="U279" s="89"/>
      <c r="V279" s="89"/>
      <c r="W279" s="89"/>
      <c r="X279" s="89"/>
      <c r="Y279" s="89"/>
      <c r="Z279" s="89"/>
      <c r="AA279" s="89"/>
      <c r="AB279" s="89"/>
      <c r="AC279" s="355"/>
      <c r="AD279" s="355"/>
      <c r="AE279" s="355"/>
      <c r="AF279" s="94">
        <f t="shared" si="34"/>
        <v>42185</v>
      </c>
      <c r="AG279" s="185">
        <f t="shared" si="30"/>
        <v>1.4396425674125801E-2</v>
      </c>
      <c r="AH279" s="339" t="str">
        <f>VLOOKUP(B279,'MF PF'!A:B,2)</f>
        <v>Coinv</v>
      </c>
      <c r="AI279" s="358">
        <f t="shared" si="35"/>
        <v>0</v>
      </c>
      <c r="AJ279" s="94">
        <f t="shared" si="36"/>
        <v>42185</v>
      </c>
    </row>
    <row r="280" spans="1:36" ht="12.75" customHeight="1">
      <c r="A280" s="8">
        <v>42216</v>
      </c>
      <c r="B280" s="8" t="s">
        <v>83</v>
      </c>
      <c r="C280" s="92" t="s">
        <v>297</v>
      </c>
      <c r="D280" s="374">
        <v>17373049.710770797</v>
      </c>
      <c r="E280" s="9" t="str">
        <f t="shared" si="31"/>
        <v/>
      </c>
      <c r="F280" s="47"/>
      <c r="G280" s="47">
        <v>0</v>
      </c>
      <c r="H280" s="47">
        <v>0</v>
      </c>
      <c r="I280" s="47">
        <v>0</v>
      </c>
      <c r="J280" s="98"/>
      <c r="K280" s="93"/>
      <c r="L280" s="93">
        <f t="shared" si="32"/>
        <v>0</v>
      </c>
      <c r="M280" s="95" t="e">
        <f t="shared" ca="1" si="33"/>
        <v>#DIV/0!</v>
      </c>
      <c r="N280" s="95">
        <f>IF(P280="Hedge Fund",IF(A280=Summary!$AD$3,M280-E280,M280),IF(A280=Summary!$AD$3,L280-D280,L280))</f>
        <v>0</v>
      </c>
      <c r="P280" s="89" t="s">
        <v>155</v>
      </c>
      <c r="Q280" s="89">
        <v>6.9444444444444449E-3</v>
      </c>
      <c r="R280" s="89">
        <v>1.3238197785385399</v>
      </c>
      <c r="S280" s="89">
        <v>0</v>
      </c>
      <c r="T280" s="89">
        <v>0</v>
      </c>
      <c r="U280" s="89"/>
      <c r="V280" s="89"/>
      <c r="W280" s="89"/>
      <c r="X280" s="89"/>
      <c r="Y280" s="89"/>
      <c r="Z280" s="89"/>
      <c r="AA280" s="89"/>
      <c r="AB280" s="89"/>
      <c r="AC280" s="355"/>
      <c r="AD280" s="355"/>
      <c r="AE280" s="355"/>
      <c r="AF280" s="94">
        <f t="shared" si="34"/>
        <v>42216</v>
      </c>
      <c r="AG280" s="185">
        <f t="shared" si="30"/>
        <v>1.5803103787804362E-2</v>
      </c>
      <c r="AH280" s="339" t="str">
        <f>VLOOKUP(B280,'MF PF'!A:B,2)</f>
        <v>Coinv</v>
      </c>
      <c r="AI280" s="358">
        <f t="shared" si="35"/>
        <v>0</v>
      </c>
      <c r="AJ280" s="94">
        <f t="shared" si="36"/>
        <v>42216</v>
      </c>
    </row>
    <row r="281" spans="1:36" ht="12.75" customHeight="1">
      <c r="A281" s="8">
        <v>42247</v>
      </c>
      <c r="B281" s="8" t="s">
        <v>83</v>
      </c>
      <c r="C281" s="92" t="s">
        <v>297</v>
      </c>
      <c r="D281" s="374">
        <v>17642680.043448534</v>
      </c>
      <c r="E281" s="9" t="str">
        <f t="shared" si="31"/>
        <v/>
      </c>
      <c r="F281" s="47"/>
      <c r="G281" s="47">
        <v>0</v>
      </c>
      <c r="H281" s="47">
        <v>0</v>
      </c>
      <c r="I281" s="47">
        <v>0</v>
      </c>
      <c r="J281" s="98"/>
      <c r="K281" s="93"/>
      <c r="L281" s="93">
        <f t="shared" si="32"/>
        <v>0</v>
      </c>
      <c r="M281" s="95" t="e">
        <f t="shared" ca="1" si="33"/>
        <v>#DIV/0!</v>
      </c>
      <c r="N281" s="95">
        <f>IF(P281="Hedge Fund",IF(A281=Summary!$AD$3,M281-E281,M281),IF(A281=Summary!$AD$3,L281-D281,L281))</f>
        <v>0</v>
      </c>
      <c r="P281" s="89" t="s">
        <v>155</v>
      </c>
      <c r="Q281" s="89">
        <v>6.9444444444444449E-3</v>
      </c>
      <c r="R281" s="89">
        <v>1.3373012951724268</v>
      </c>
      <c r="S281" s="89">
        <v>0</v>
      </c>
      <c r="T281" s="89">
        <v>0</v>
      </c>
      <c r="U281" s="89"/>
      <c r="V281" s="89"/>
      <c r="W281" s="89"/>
      <c r="X281" s="89"/>
      <c r="Y281" s="89"/>
      <c r="Z281" s="89"/>
      <c r="AA281" s="89"/>
      <c r="AB281" s="89"/>
      <c r="AC281" s="355"/>
      <c r="AD281" s="355"/>
      <c r="AE281" s="355"/>
      <c r="AF281" s="94">
        <f t="shared" si="34"/>
        <v>42247</v>
      </c>
      <c r="AG281" s="185">
        <f t="shared" si="30"/>
        <v>1.5520034603399235E-2</v>
      </c>
      <c r="AH281" s="339" t="str">
        <f>VLOOKUP(B281,'MF PF'!A:B,2)</f>
        <v>Coinv</v>
      </c>
      <c r="AI281" s="358">
        <f t="shared" si="35"/>
        <v>0</v>
      </c>
      <c r="AJ281" s="94">
        <f t="shared" si="36"/>
        <v>42247</v>
      </c>
    </row>
    <row r="282" spans="1:36" ht="12.75" customHeight="1">
      <c r="A282" s="94">
        <v>42277</v>
      </c>
      <c r="B282" s="8" t="s">
        <v>83</v>
      </c>
      <c r="C282" s="92" t="s">
        <v>297</v>
      </c>
      <c r="D282" s="374">
        <v>17156535.915793724</v>
      </c>
      <c r="E282" s="9" t="str">
        <f t="shared" ref="E282:E313" si="37">IF(K282="","",D282/K282)</f>
        <v/>
      </c>
      <c r="F282" s="47"/>
      <c r="G282" s="47">
        <v>0</v>
      </c>
      <c r="H282" s="47">
        <v>0</v>
      </c>
      <c r="I282" s="47">
        <v>-701008.34</v>
      </c>
      <c r="J282" s="98"/>
      <c r="K282" s="93"/>
      <c r="L282" s="93">
        <f t="shared" si="32"/>
        <v>-701008.34</v>
      </c>
      <c r="M282" s="95" t="e">
        <f t="shared" ca="1" si="33"/>
        <v>#DIV/0!</v>
      </c>
      <c r="N282" s="95">
        <f>IF(P282="Hedge Fund",IF(A282=Summary!$AD$3,M282-E282,M282),IF(A282=Summary!$AD$3,L282-D282,L282))</f>
        <v>-701008.34</v>
      </c>
      <c r="P282" s="89" t="s">
        <v>155</v>
      </c>
      <c r="Q282" s="89">
        <v>6.9444444444444449E-3</v>
      </c>
      <c r="R282" s="89">
        <v>1.3129940887896865</v>
      </c>
      <c r="S282" s="89">
        <v>0</v>
      </c>
      <c r="T282" s="89">
        <v>0</v>
      </c>
      <c r="U282" s="89"/>
      <c r="V282" s="89"/>
      <c r="W282" s="89"/>
      <c r="X282" s="89"/>
      <c r="Y282" s="89"/>
      <c r="Z282" s="89"/>
      <c r="AA282" s="89"/>
      <c r="AB282" s="89"/>
      <c r="AC282" s="355"/>
      <c r="AD282" s="355"/>
      <c r="AE282" s="355"/>
      <c r="AF282" s="94">
        <f t="shared" si="34"/>
        <v>42277</v>
      </c>
      <c r="AG282" s="185">
        <f t="shared" si="30"/>
        <v>1.217866060122641E-2</v>
      </c>
      <c r="AH282" s="339" t="str">
        <f>VLOOKUP(B282,'MF PF'!A:B,2)</f>
        <v>Coinv</v>
      </c>
      <c r="AI282" s="358">
        <f t="shared" si="35"/>
        <v>0</v>
      </c>
      <c r="AJ282" s="94">
        <f t="shared" si="36"/>
        <v>42277</v>
      </c>
    </row>
    <row r="283" spans="1:36" ht="12.75" customHeight="1">
      <c r="A283" s="94">
        <v>42307</v>
      </c>
      <c r="B283" s="8" t="s">
        <v>83</v>
      </c>
      <c r="C283" s="358" t="s">
        <v>297</v>
      </c>
      <c r="D283" s="374">
        <v>17412183.412775867</v>
      </c>
      <c r="E283" s="9" t="str">
        <f t="shared" si="37"/>
        <v/>
      </c>
      <c r="F283" s="47"/>
      <c r="G283" s="47">
        <v>0</v>
      </c>
      <c r="H283" s="47">
        <v>0</v>
      </c>
      <c r="I283" s="47">
        <v>0</v>
      </c>
      <c r="J283" s="98"/>
      <c r="K283" s="93"/>
      <c r="L283" s="93">
        <f t="shared" si="32"/>
        <v>0</v>
      </c>
      <c r="M283" s="95" t="e">
        <f t="shared" ca="1" si="33"/>
        <v>#DIV/0!</v>
      </c>
      <c r="N283" s="95">
        <f>IF(P283="Hedge Fund",IF(A283=Summary!$AD$3,M283-E283,M283),IF(A283=Summary!$AD$3,L283-D283,L283))</f>
        <v>0</v>
      </c>
      <c r="P283" s="89" t="s">
        <v>155</v>
      </c>
      <c r="Q283" s="89">
        <v>6.9444444444444449E-3</v>
      </c>
      <c r="R283" s="89">
        <v>1.3257764636387934</v>
      </c>
      <c r="S283" s="89">
        <v>0</v>
      </c>
      <c r="T283" s="89">
        <v>0</v>
      </c>
      <c r="U283" s="89"/>
      <c r="V283" s="89"/>
      <c r="W283" s="89"/>
      <c r="X283" s="89"/>
      <c r="Y283" s="89"/>
      <c r="Z283" s="89"/>
      <c r="AA283" s="89"/>
      <c r="AB283" s="89"/>
      <c r="AC283" s="355"/>
      <c r="AD283" s="355"/>
      <c r="AE283" s="355"/>
      <c r="AF283" s="94">
        <f t="shared" si="34"/>
        <v>42307</v>
      </c>
      <c r="AG283" s="185">
        <f t="shared" si="30"/>
        <v>1.4900880820982065E-2</v>
      </c>
      <c r="AH283" s="339" t="str">
        <f>VLOOKUP(B283,'MF PF'!A:B,2)</f>
        <v>Coinv</v>
      </c>
      <c r="AI283" s="358">
        <f t="shared" si="35"/>
        <v>0</v>
      </c>
      <c r="AJ283" s="94">
        <f t="shared" si="36"/>
        <v>42308</v>
      </c>
    </row>
    <row r="284" spans="1:36" ht="12.75" customHeight="1">
      <c r="A284" s="94">
        <v>42338</v>
      </c>
      <c r="B284" s="8" t="s">
        <v>83</v>
      </c>
      <c r="C284" s="358" t="s">
        <v>297</v>
      </c>
      <c r="D284" s="374">
        <v>17691784.370716549</v>
      </c>
      <c r="E284" s="9" t="str">
        <f t="shared" si="37"/>
        <v/>
      </c>
      <c r="F284" s="47"/>
      <c r="G284" s="47">
        <v>0</v>
      </c>
      <c r="H284" s="47">
        <v>0</v>
      </c>
      <c r="I284" s="47">
        <v>0</v>
      </c>
      <c r="J284" s="98"/>
      <c r="K284" s="93"/>
      <c r="L284" s="93">
        <f t="shared" si="32"/>
        <v>0</v>
      </c>
      <c r="M284" s="95" t="e">
        <f t="shared" ca="1" si="33"/>
        <v>#DIV/0!</v>
      </c>
      <c r="N284" s="95">
        <f>IF(P284="Hedge Fund",IF(A284=Summary!$AD$3,M284-E284,M284),IF(A284=Summary!$AD$3,L284-D284,L284))</f>
        <v>0</v>
      </c>
      <c r="P284" s="89" t="s">
        <v>155</v>
      </c>
      <c r="Q284" s="89">
        <v>6.9444444444444449E-3</v>
      </c>
      <c r="R284" s="89">
        <v>1.3397565115358276</v>
      </c>
      <c r="S284" s="89">
        <v>0</v>
      </c>
      <c r="T284" s="89">
        <v>0</v>
      </c>
      <c r="U284" s="89"/>
      <c r="V284" s="89"/>
      <c r="W284" s="89"/>
      <c r="X284" s="89"/>
      <c r="Y284" s="89"/>
      <c r="Z284" s="89"/>
      <c r="AA284" s="89"/>
      <c r="AB284" s="89"/>
      <c r="AC284" s="355"/>
      <c r="AD284" s="355"/>
      <c r="AE284" s="355"/>
      <c r="AF284" s="94">
        <f t="shared" si="34"/>
        <v>42338</v>
      </c>
      <c r="AG284" s="185">
        <f t="shared" si="30"/>
        <v>1.6057776977902227E-2</v>
      </c>
      <c r="AH284" s="339" t="str">
        <f>VLOOKUP(B284,'MF PF'!A:B,2)</f>
        <v>Coinv</v>
      </c>
      <c r="AI284" s="358">
        <f t="shared" si="35"/>
        <v>0</v>
      </c>
      <c r="AJ284" s="94">
        <f t="shared" si="36"/>
        <v>42338</v>
      </c>
    </row>
    <row r="285" spans="1:36" ht="12.75" customHeight="1">
      <c r="A285" s="94">
        <v>42369</v>
      </c>
      <c r="B285" s="8" t="s">
        <v>83</v>
      </c>
      <c r="C285" s="358" t="s">
        <v>297</v>
      </c>
      <c r="D285" s="374">
        <v>8479342.4011224769</v>
      </c>
      <c r="E285" s="9" t="str">
        <f t="shared" si="37"/>
        <v/>
      </c>
      <c r="F285" s="47"/>
      <c r="G285" s="47">
        <v>0</v>
      </c>
      <c r="H285" s="47">
        <v>0</v>
      </c>
      <c r="I285" s="47">
        <v>-9400576.6600000001</v>
      </c>
      <c r="J285" s="98"/>
      <c r="K285" s="93"/>
      <c r="L285" s="93">
        <f t="shared" si="32"/>
        <v>-9400576.6600000001</v>
      </c>
      <c r="M285" s="95" t="e">
        <f t="shared" ca="1" si="33"/>
        <v>#DIV/0!</v>
      </c>
      <c r="N285" s="95">
        <f>IF(P285="Hedge Fund",IF(A285=Summary!$AD$3,M285-E285,M285),IF(A285=Summary!$AD$3,L285-D285,L285))</f>
        <v>-9400576.6600000001</v>
      </c>
      <c r="P285" s="89" t="s">
        <v>155</v>
      </c>
      <c r="Q285" s="89">
        <v>6.9444444444444449E-3</v>
      </c>
      <c r="R285" s="89">
        <v>0.87913441305612394</v>
      </c>
      <c r="S285" s="89">
        <v>0</v>
      </c>
      <c r="T285" s="89">
        <v>0</v>
      </c>
      <c r="U285" s="89"/>
      <c r="V285" s="89"/>
      <c r="W285" s="89"/>
      <c r="X285" s="89"/>
      <c r="Y285" s="89"/>
      <c r="Z285" s="89"/>
      <c r="AA285" s="89"/>
      <c r="AB285" s="89"/>
      <c r="AC285" s="355"/>
      <c r="AD285" s="355"/>
      <c r="AE285" s="355"/>
      <c r="AF285" s="94">
        <f t="shared" si="34"/>
        <v>42369</v>
      </c>
      <c r="AG285" s="185">
        <f t="shared" si="30"/>
        <v>1.0634014436516015E-2</v>
      </c>
      <c r="AH285" s="339" t="str">
        <f>VLOOKUP(B285,'MF PF'!A:B,2)</f>
        <v>Coinv</v>
      </c>
      <c r="AI285" s="358">
        <f t="shared" si="35"/>
        <v>0</v>
      </c>
      <c r="AJ285" s="94">
        <f t="shared" si="36"/>
        <v>42369</v>
      </c>
    </row>
    <row r="286" spans="1:36" ht="12.75" customHeight="1">
      <c r="A286" s="8">
        <v>42398</v>
      </c>
      <c r="B286" s="8" t="s">
        <v>83</v>
      </c>
      <c r="C286" s="92" t="s">
        <v>297</v>
      </c>
      <c r="D286" s="374">
        <v>8556839.0005567409</v>
      </c>
      <c r="E286" s="9" t="str">
        <f t="shared" si="37"/>
        <v/>
      </c>
      <c r="F286" s="47"/>
      <c r="G286" s="47">
        <v>0</v>
      </c>
      <c r="H286" s="47">
        <v>0</v>
      </c>
      <c r="I286" s="47">
        <v>0</v>
      </c>
      <c r="J286" s="98"/>
      <c r="K286" s="93"/>
      <c r="L286" s="93">
        <f t="shared" si="32"/>
        <v>0</v>
      </c>
      <c r="M286" s="95" t="e">
        <f t="shared" ca="1" si="33"/>
        <v>#DIV/0!</v>
      </c>
      <c r="N286" s="95">
        <f>IF(P286="Hedge Fund",IF(A286=Summary!$AD$3,M286-E286,M286),IF(A286=Summary!$AD$3,L286-D286,L286))</f>
        <v>0</v>
      </c>
      <c r="P286" s="89" t="s">
        <v>155</v>
      </c>
      <c r="Q286" s="89">
        <v>6.9444444444444449E-3</v>
      </c>
      <c r="R286" s="89">
        <v>0.88300924302783701</v>
      </c>
      <c r="S286" s="89">
        <v>0</v>
      </c>
      <c r="T286" s="89">
        <v>0</v>
      </c>
      <c r="U286" s="89"/>
      <c r="V286" s="89"/>
      <c r="W286" s="89"/>
      <c r="X286" s="89"/>
      <c r="Y286" s="89"/>
      <c r="Z286" s="89"/>
      <c r="AA286" s="89"/>
      <c r="AB286" s="89"/>
      <c r="AC286" s="355"/>
      <c r="AD286" s="355"/>
      <c r="AE286" s="355"/>
      <c r="AF286" s="94">
        <f t="shared" si="34"/>
        <v>42398</v>
      </c>
      <c r="AG286" s="185">
        <f t="shared" si="30"/>
        <v>9.1394586712296721E-3</v>
      </c>
      <c r="AH286" s="339" t="str">
        <f>VLOOKUP(B286,'MF PF'!A:B,2)</f>
        <v>Coinv</v>
      </c>
      <c r="AI286" s="358">
        <f t="shared" si="35"/>
        <v>0</v>
      </c>
      <c r="AJ286" s="94">
        <f t="shared" si="36"/>
        <v>42400</v>
      </c>
    </row>
    <row r="287" spans="1:36" ht="12.75" customHeight="1">
      <c r="A287" s="8">
        <v>42429</v>
      </c>
      <c r="B287" s="8" t="s">
        <v>83</v>
      </c>
      <c r="C287" s="92" t="s">
        <v>297</v>
      </c>
      <c r="D287" s="374">
        <v>8754153.935605105</v>
      </c>
      <c r="E287" s="9" t="str">
        <f t="shared" si="37"/>
        <v/>
      </c>
      <c r="F287" s="47"/>
      <c r="G287" s="47">
        <v>0</v>
      </c>
      <c r="H287" s="47">
        <v>0</v>
      </c>
      <c r="I287" s="47">
        <v>0</v>
      </c>
      <c r="J287" s="98"/>
      <c r="K287" s="93"/>
      <c r="L287" s="93">
        <f t="shared" si="32"/>
        <v>0</v>
      </c>
      <c r="M287" s="95" t="e">
        <f t="shared" ca="1" si="33"/>
        <v>#DIV/0!</v>
      </c>
      <c r="N287" s="95">
        <f>IF(P287="Hedge Fund",IF(A287=Summary!$AD$3,M287-E287,M287),IF(A287=Summary!$AD$3,L287-D287,L287))</f>
        <v>0</v>
      </c>
      <c r="P287" s="89" t="s">
        <v>155</v>
      </c>
      <c r="Q287" s="89">
        <v>6.9444444444444449E-3</v>
      </c>
      <c r="R287" s="89">
        <v>0.89287498978025548</v>
      </c>
      <c r="S287" s="89">
        <v>0</v>
      </c>
      <c r="T287" s="89">
        <v>0</v>
      </c>
      <c r="U287" s="89"/>
      <c r="V287" s="89"/>
      <c r="W287" s="89"/>
      <c r="X287" s="89"/>
      <c r="Y287" s="89"/>
      <c r="Z287" s="89"/>
      <c r="AA287" s="89"/>
      <c r="AB287" s="89"/>
      <c r="AC287" s="355"/>
      <c r="AD287" s="355"/>
      <c r="AE287" s="355"/>
      <c r="AF287" s="94">
        <f t="shared" si="34"/>
        <v>42429</v>
      </c>
      <c r="AG287" s="185">
        <f t="shared" si="30"/>
        <v>2.3059325416257881E-2</v>
      </c>
      <c r="AH287" s="339" t="str">
        <f>VLOOKUP(B287,'MF PF'!A:B,2)</f>
        <v>Coinv</v>
      </c>
      <c r="AI287" s="358">
        <f t="shared" si="35"/>
        <v>0</v>
      </c>
      <c r="AJ287" s="94">
        <f t="shared" si="36"/>
        <v>42429</v>
      </c>
    </row>
    <row r="288" spans="1:36" ht="12.75" customHeight="1">
      <c r="A288" s="8">
        <v>42460</v>
      </c>
      <c r="B288" s="8" t="s">
        <v>83</v>
      </c>
      <c r="C288" s="92" t="s">
        <v>297</v>
      </c>
      <c r="D288" s="374">
        <v>8550827.4914703406</v>
      </c>
      <c r="E288" s="9" t="str">
        <f t="shared" si="37"/>
        <v/>
      </c>
      <c r="F288" s="47"/>
      <c r="G288" s="47">
        <v>0</v>
      </c>
      <c r="H288" s="47">
        <v>0</v>
      </c>
      <c r="I288" s="47">
        <v>-394334.63</v>
      </c>
      <c r="J288" s="98"/>
      <c r="K288" s="93"/>
      <c r="L288" s="93">
        <f t="shared" si="32"/>
        <v>-394334.63</v>
      </c>
      <c r="M288" s="95" t="e">
        <f t="shared" ca="1" si="33"/>
        <v>#DIV/0!</v>
      </c>
      <c r="N288" s="95">
        <f>IF(P288="Hedge Fund",IF(A288=Summary!$AD$3,M288-E288,M288),IF(A288=Summary!$AD$3,L288-D288,L288))</f>
        <v>-394334.63</v>
      </c>
      <c r="P288" s="89" t="s">
        <v>155</v>
      </c>
      <c r="Q288" s="89">
        <v>6.9444444444444449E-3</v>
      </c>
      <c r="R288" s="89">
        <v>0.88270866757351707</v>
      </c>
      <c r="S288" s="89">
        <v>0</v>
      </c>
      <c r="T288" s="89">
        <v>0</v>
      </c>
      <c r="U288" s="89"/>
      <c r="V288" s="89"/>
      <c r="W288" s="89"/>
      <c r="X288" s="89"/>
      <c r="Y288" s="89"/>
      <c r="Z288" s="89"/>
      <c r="AA288" s="89"/>
      <c r="AB288" s="89"/>
      <c r="AC288" s="355"/>
      <c r="AD288" s="355"/>
      <c r="AE288" s="355"/>
      <c r="AF288" s="94">
        <f t="shared" si="34"/>
        <v>42460</v>
      </c>
      <c r="AG288" s="185">
        <f t="shared" si="30"/>
        <v>2.1819148631641472E-2</v>
      </c>
      <c r="AH288" s="339" t="str">
        <f>VLOOKUP(B288,'MF PF'!A:B,2)</f>
        <v>Coinv</v>
      </c>
      <c r="AI288" s="358">
        <f t="shared" si="35"/>
        <v>0</v>
      </c>
      <c r="AJ288" s="94">
        <f t="shared" si="36"/>
        <v>42460</v>
      </c>
    </row>
    <row r="289" spans="1:36" ht="12.75" customHeight="1">
      <c r="A289" s="8">
        <v>42489</v>
      </c>
      <c r="B289" s="8" t="s">
        <v>83</v>
      </c>
      <c r="C289" s="92" t="s">
        <v>297</v>
      </c>
      <c r="D289" s="374">
        <v>8690309.6835255511</v>
      </c>
      <c r="E289" s="9" t="str">
        <f t="shared" si="37"/>
        <v/>
      </c>
      <c r="F289" s="47"/>
      <c r="G289" s="47">
        <v>0</v>
      </c>
      <c r="H289" s="47">
        <v>0</v>
      </c>
      <c r="I289" s="47">
        <v>0</v>
      </c>
      <c r="J289" s="98"/>
      <c r="K289" s="93"/>
      <c r="L289" s="93">
        <f t="shared" si="32"/>
        <v>0</v>
      </c>
      <c r="M289" s="95" t="e">
        <f t="shared" ca="1" si="33"/>
        <v>#DIV/0!</v>
      </c>
      <c r="N289" s="95">
        <f>IF(P289="Hedge Fund",IF(A289=Summary!$AD$3,M289-E289,M289),IF(A289=Summary!$AD$3,L289-D289,L289))</f>
        <v>0</v>
      </c>
      <c r="P289" s="89" t="s">
        <v>155</v>
      </c>
      <c r="Q289" s="89">
        <v>6.9444444444444449E-3</v>
      </c>
      <c r="R289" s="89">
        <v>0.88968277717627764</v>
      </c>
      <c r="S289" s="89">
        <v>0</v>
      </c>
      <c r="T289" s="89">
        <v>0</v>
      </c>
      <c r="U289" s="89"/>
      <c r="V289" s="89"/>
      <c r="W289" s="89"/>
      <c r="X289" s="89"/>
      <c r="Y289" s="89"/>
      <c r="Z289" s="89"/>
      <c r="AA289" s="89"/>
      <c r="AB289" s="89"/>
      <c r="AC289" s="355"/>
      <c r="AD289" s="355"/>
      <c r="AE289" s="355"/>
      <c r="AF289" s="94">
        <f t="shared" si="34"/>
        <v>42489</v>
      </c>
      <c r="AG289" s="185">
        <f t="shared" si="30"/>
        <v>1.6312127942511578E-2</v>
      </c>
      <c r="AH289" s="339" t="str">
        <f>VLOOKUP(B289,'MF PF'!A:B,2)</f>
        <v>Coinv</v>
      </c>
      <c r="AI289" s="358">
        <f t="shared" si="35"/>
        <v>0</v>
      </c>
      <c r="AJ289" s="94">
        <f t="shared" si="36"/>
        <v>42490</v>
      </c>
    </row>
    <row r="290" spans="1:36" ht="12.75" customHeight="1">
      <c r="A290" s="8">
        <v>42521</v>
      </c>
      <c r="B290" s="8" t="s">
        <v>83</v>
      </c>
      <c r="C290" s="92" t="s">
        <v>297</v>
      </c>
      <c r="D290" s="374">
        <v>8441034.9266496263</v>
      </c>
      <c r="E290" s="9" t="str">
        <f t="shared" si="37"/>
        <v/>
      </c>
      <c r="F290" s="47"/>
      <c r="G290" s="47">
        <v>0</v>
      </c>
      <c r="H290" s="47">
        <v>0</v>
      </c>
      <c r="I290" s="47">
        <v>-389708.33</v>
      </c>
      <c r="J290" s="98"/>
      <c r="K290" s="93"/>
      <c r="L290" s="93">
        <f t="shared" si="32"/>
        <v>-389708.33</v>
      </c>
      <c r="M290" s="95" t="e">
        <f t="shared" ca="1" si="33"/>
        <v>#DIV/0!</v>
      </c>
      <c r="N290" s="95">
        <f>IF(P290="Hedge Fund",IF(A290=Summary!$AD$3,M290-E290,M290),IF(A290=Summary!$AD$3,L290-D290,L290))</f>
        <v>-389708.33</v>
      </c>
      <c r="P290" s="89" t="s">
        <v>155</v>
      </c>
      <c r="Q290" s="89">
        <v>6.9444444444444449E-3</v>
      </c>
      <c r="R290" s="89">
        <v>0.87721903933248135</v>
      </c>
      <c r="S290" s="89">
        <v>0</v>
      </c>
      <c r="T290" s="89">
        <v>0</v>
      </c>
      <c r="U290" s="89"/>
      <c r="V290" s="89"/>
      <c r="W290" s="89"/>
      <c r="X290" s="89"/>
      <c r="Y290" s="89"/>
      <c r="Z290" s="89"/>
      <c r="AA290" s="89"/>
      <c r="AB290" s="89"/>
      <c r="AC290" s="355"/>
      <c r="AD290" s="355"/>
      <c r="AE290" s="355"/>
      <c r="AF290" s="94">
        <f t="shared" si="34"/>
        <v>42521</v>
      </c>
      <c r="AG290" s="185">
        <f t="shared" si="30"/>
        <v>1.6159789263931357E-2</v>
      </c>
      <c r="AH290" s="339" t="str">
        <f>VLOOKUP(B290,'MF PF'!A:B,2)</f>
        <v>Coinv</v>
      </c>
      <c r="AI290" s="358">
        <f t="shared" si="35"/>
        <v>0</v>
      </c>
      <c r="AJ290" s="94">
        <f t="shared" si="36"/>
        <v>42521</v>
      </c>
    </row>
    <row r="291" spans="1:36" ht="12.75" customHeight="1">
      <c r="A291" s="94">
        <v>42551</v>
      </c>
      <c r="B291" s="8" t="s">
        <v>83</v>
      </c>
      <c r="C291" s="92" t="s">
        <v>297</v>
      </c>
      <c r="D291" s="374">
        <v>8656372.5526439138</v>
      </c>
      <c r="E291" s="9" t="str">
        <f t="shared" si="37"/>
        <v/>
      </c>
      <c r="F291" s="47"/>
      <c r="G291" s="47">
        <v>0</v>
      </c>
      <c r="H291" s="47">
        <v>0</v>
      </c>
      <c r="I291" s="47">
        <v>0</v>
      </c>
      <c r="J291" s="98"/>
      <c r="K291" s="93"/>
      <c r="L291" s="93">
        <f t="shared" si="32"/>
        <v>0</v>
      </c>
      <c r="M291" s="95" t="e">
        <f t="shared" ca="1" si="33"/>
        <v>#DIV/0!</v>
      </c>
      <c r="N291" s="95">
        <f>IF(P291="Hedge Fund",IF(A291=Summary!$AD$3,M291-E291,M291),IF(A291=Summary!$AD$3,L291-D291,L291))</f>
        <v>0</v>
      </c>
      <c r="P291" s="89" t="s">
        <v>155</v>
      </c>
      <c r="Q291" s="89">
        <v>6.9444444444444449E-3</v>
      </c>
      <c r="R291" s="89">
        <v>0.88798592063219572</v>
      </c>
      <c r="S291" s="89">
        <v>0</v>
      </c>
      <c r="T291" s="89">
        <v>0</v>
      </c>
      <c r="U291" s="89"/>
      <c r="V291" s="89"/>
      <c r="W291" s="89"/>
      <c r="X291" s="89"/>
      <c r="Y291" s="89"/>
      <c r="Z291" s="89"/>
      <c r="AA291" s="89"/>
      <c r="AB291" s="89"/>
      <c r="AC291" s="355"/>
      <c r="AD291" s="355"/>
      <c r="AE291" s="355"/>
      <c r="AF291" s="94">
        <f t="shared" si="34"/>
        <v>42551</v>
      </c>
      <c r="AG291" s="185">
        <f t="shared" si="30"/>
        <v>2.5510808551974407E-2</v>
      </c>
      <c r="AH291" s="339" t="str">
        <f>VLOOKUP(B291,'MF PF'!A:B,2)</f>
        <v>Coinv</v>
      </c>
      <c r="AI291" s="358">
        <f t="shared" si="35"/>
        <v>0</v>
      </c>
      <c r="AJ291" s="94">
        <f t="shared" si="36"/>
        <v>42551</v>
      </c>
    </row>
    <row r="292" spans="1:36" ht="12.75" customHeight="1">
      <c r="A292" s="8">
        <v>42580</v>
      </c>
      <c r="B292" s="94" t="s">
        <v>83</v>
      </c>
      <c r="C292" s="92" t="s">
        <v>297</v>
      </c>
      <c r="D292" s="374">
        <v>8805165.2137730792</v>
      </c>
      <c r="E292" s="9" t="str">
        <f t="shared" si="37"/>
        <v/>
      </c>
      <c r="F292" s="98"/>
      <c r="G292" s="98">
        <v>0</v>
      </c>
      <c r="H292" s="98">
        <v>0</v>
      </c>
      <c r="I292" s="98">
        <v>0</v>
      </c>
      <c r="J292" s="98"/>
      <c r="K292" s="93"/>
      <c r="L292" s="93">
        <f t="shared" si="32"/>
        <v>0</v>
      </c>
      <c r="M292" s="95" t="e">
        <f t="shared" ca="1" si="33"/>
        <v>#DIV/0!</v>
      </c>
      <c r="N292" s="95">
        <f>IF(P292="Hedge Fund",IF(A292=Summary!$AD$3,M292-E292,M292),IF(A292=Summary!$AD$3,L292-D292,L292))</f>
        <v>0</v>
      </c>
      <c r="P292" s="89" t="s">
        <v>155</v>
      </c>
      <c r="Q292" s="107">
        <v>6.9444444444444449E-3</v>
      </c>
      <c r="R292" s="107">
        <v>0.89542555368865406</v>
      </c>
      <c r="S292" s="107">
        <v>0</v>
      </c>
      <c r="T292" s="107">
        <v>0</v>
      </c>
      <c r="U292" s="107"/>
      <c r="V292" s="107"/>
      <c r="W292" s="107"/>
      <c r="X292" s="107"/>
      <c r="Y292" s="107"/>
      <c r="Z292" s="107"/>
      <c r="AA292" s="107"/>
      <c r="AB292" s="107"/>
      <c r="AC292" s="355"/>
      <c r="AD292" s="355"/>
      <c r="AE292" s="355"/>
      <c r="AF292" s="94">
        <f t="shared" si="34"/>
        <v>42580</v>
      </c>
      <c r="AG292" s="185">
        <f t="shared" si="30"/>
        <v>1.7188800530970605E-2</v>
      </c>
      <c r="AH292" s="339" t="str">
        <f>VLOOKUP(B292,'MF PF'!A:B,2)</f>
        <v>Coinv</v>
      </c>
      <c r="AI292" s="358">
        <f t="shared" si="35"/>
        <v>0</v>
      </c>
      <c r="AJ292" s="94">
        <f t="shared" si="36"/>
        <v>42582</v>
      </c>
    </row>
    <row r="293" spans="1:36" ht="12.75" customHeight="1">
      <c r="A293" s="94">
        <v>42613</v>
      </c>
      <c r="B293" s="94" t="s">
        <v>83</v>
      </c>
      <c r="C293" s="358" t="s">
        <v>297</v>
      </c>
      <c r="D293" s="374">
        <v>8523639.6865817495</v>
      </c>
      <c r="E293" s="9" t="str">
        <f t="shared" si="37"/>
        <v/>
      </c>
      <c r="F293" s="98"/>
      <c r="G293" s="98">
        <v>0</v>
      </c>
      <c r="H293" s="98">
        <v>0</v>
      </c>
      <c r="I293" s="98">
        <v>-408964.16000000003</v>
      </c>
      <c r="J293" s="98"/>
      <c r="K293" s="93"/>
      <c r="L293" s="93">
        <f t="shared" si="32"/>
        <v>-408964.16000000003</v>
      </c>
      <c r="M293" s="95" t="e">
        <f t="shared" ca="1" si="33"/>
        <v>#DIV/0!</v>
      </c>
      <c r="N293" s="95">
        <f>IF(P293="Hedge Fund",IF(A293=Summary!$AD$3,M293-E293,M293),IF(A293=Summary!$AD$3,L293-D293,L293))</f>
        <v>-408964.16000000003</v>
      </c>
      <c r="P293" s="89" t="s">
        <v>155</v>
      </c>
      <c r="Q293" s="107">
        <v>6.9444444444444449E-3</v>
      </c>
      <c r="R293" s="107">
        <v>0.88134927732908752</v>
      </c>
      <c r="S293" s="107">
        <v>0</v>
      </c>
      <c r="T293" s="107">
        <v>0</v>
      </c>
      <c r="U293" s="107"/>
      <c r="V293" s="107"/>
      <c r="W293" s="107"/>
      <c r="X293" s="107"/>
      <c r="Y293" s="107"/>
      <c r="Z293" s="107"/>
      <c r="AA293" s="107"/>
      <c r="AB293" s="107"/>
      <c r="AC293" s="355"/>
      <c r="AD293" s="355"/>
      <c r="AE293" s="355"/>
      <c r="AF293" s="94">
        <f t="shared" si="34"/>
        <v>42613</v>
      </c>
      <c r="AG293" s="185">
        <f t="shared" si="30"/>
        <v>1.4473167704943224E-2</v>
      </c>
      <c r="AH293" s="339" t="str">
        <f>VLOOKUP(B293,'MF PF'!A:B,2)</f>
        <v>Coinv</v>
      </c>
      <c r="AI293" s="358">
        <f t="shared" si="35"/>
        <v>0</v>
      </c>
      <c r="AJ293" s="94">
        <f t="shared" si="36"/>
        <v>42613</v>
      </c>
    </row>
    <row r="294" spans="1:36" ht="12.75" customHeight="1">
      <c r="A294" s="94">
        <v>42643</v>
      </c>
      <c r="B294" s="8" t="s">
        <v>83</v>
      </c>
      <c r="C294" s="358" t="s">
        <v>297</v>
      </c>
      <c r="D294" s="374">
        <v>8639239.8956346698</v>
      </c>
      <c r="E294" s="9" t="str">
        <f t="shared" si="37"/>
        <v/>
      </c>
      <c r="F294" s="47"/>
      <c r="G294" s="47">
        <v>0</v>
      </c>
      <c r="H294" s="47">
        <v>0</v>
      </c>
      <c r="I294" s="47">
        <v>0</v>
      </c>
      <c r="J294" s="98"/>
      <c r="K294" s="93"/>
      <c r="L294" s="93">
        <f t="shared" si="32"/>
        <v>0</v>
      </c>
      <c r="M294" s="95" t="e">
        <f t="shared" ca="1" si="33"/>
        <v>#DIV/0!</v>
      </c>
      <c r="N294" s="95">
        <f>IF(P294="Hedge Fund",IF(A294=Summary!$AD$3,M294-E294,M294),IF(A294=Summary!$AD$3,L294-D294,L294))</f>
        <v>0</v>
      </c>
      <c r="P294" s="89" t="s">
        <v>155</v>
      </c>
      <c r="Q294" s="89">
        <v>6.9444444444444449E-3</v>
      </c>
      <c r="R294" s="89">
        <v>0.88712928778173361</v>
      </c>
      <c r="S294" s="89">
        <v>0</v>
      </c>
      <c r="T294" s="89">
        <v>0</v>
      </c>
      <c r="U294" s="89"/>
      <c r="V294" s="89"/>
      <c r="W294" s="89"/>
      <c r="X294" s="89"/>
      <c r="Y294" s="89"/>
      <c r="Z294" s="89"/>
      <c r="AA294" s="89"/>
      <c r="AB294" s="89"/>
      <c r="AC294" s="355"/>
      <c r="AD294" s="355"/>
      <c r="AE294" s="355"/>
      <c r="AF294" s="94">
        <f t="shared" si="34"/>
        <v>42643</v>
      </c>
      <c r="AG294" s="185">
        <f t="shared" si="30"/>
        <v>1.3562305928405571E-2</v>
      </c>
      <c r="AH294" s="339" t="str">
        <f>VLOOKUP(B294,'MF PF'!A:B,2)</f>
        <v>Coinv</v>
      </c>
      <c r="AI294" s="358">
        <f t="shared" si="35"/>
        <v>0</v>
      </c>
      <c r="AJ294" s="94">
        <f t="shared" si="36"/>
        <v>42643</v>
      </c>
    </row>
    <row r="295" spans="1:36" ht="12.75" customHeight="1">
      <c r="A295" s="8">
        <v>42674</v>
      </c>
      <c r="B295" s="8" t="s">
        <v>83</v>
      </c>
      <c r="C295" s="92" t="s">
        <v>297</v>
      </c>
      <c r="D295" s="374">
        <v>8749623.5137581192</v>
      </c>
      <c r="E295" s="9" t="str">
        <f t="shared" si="37"/>
        <v/>
      </c>
      <c r="F295" s="47"/>
      <c r="G295" s="47">
        <v>0</v>
      </c>
      <c r="H295" s="47">
        <v>0</v>
      </c>
      <c r="I295" s="47">
        <v>0</v>
      </c>
      <c r="J295" s="98"/>
      <c r="K295" s="93"/>
      <c r="L295" s="93">
        <f t="shared" si="32"/>
        <v>0</v>
      </c>
      <c r="M295" s="95" t="e">
        <f t="shared" ca="1" si="33"/>
        <v>#DIV/0!</v>
      </c>
      <c r="N295" s="95">
        <f>IF(P295="Hedge Fund",IF(A295=Summary!$AD$3,M295-E295,M295),IF(A295=Summary!$AD$3,L295-D295,L295))</f>
        <v>0</v>
      </c>
      <c r="P295" s="89" t="s">
        <v>155</v>
      </c>
      <c r="Q295" s="89">
        <v>6.9444444444444449E-3</v>
      </c>
      <c r="R295" s="89">
        <v>0.89264846868790615</v>
      </c>
      <c r="S295" s="89">
        <v>0</v>
      </c>
      <c r="T295" s="89">
        <v>0</v>
      </c>
      <c r="U295" s="89"/>
      <c r="V295" s="89"/>
      <c r="W295" s="89"/>
      <c r="X295" s="89"/>
      <c r="Y295" s="89"/>
      <c r="Z295" s="89"/>
      <c r="AA295" s="89"/>
      <c r="AB295" s="89"/>
      <c r="AC295" s="355"/>
      <c r="AD295" s="355"/>
      <c r="AE295" s="355"/>
      <c r="AF295" s="94">
        <f t="shared" si="34"/>
        <v>42674</v>
      </c>
      <c r="AG295" s="185">
        <f t="shared" si="30"/>
        <v>1.2777005784875284E-2</v>
      </c>
      <c r="AH295" s="339" t="str">
        <f>VLOOKUP(B295,'MF PF'!A:B,2)</f>
        <v>Coinv</v>
      </c>
      <c r="AI295" s="358">
        <f t="shared" si="35"/>
        <v>0</v>
      </c>
      <c r="AJ295" s="94">
        <f t="shared" si="36"/>
        <v>42674</v>
      </c>
    </row>
    <row r="296" spans="1:36" ht="12.75" customHeight="1">
      <c r="A296" s="8">
        <v>42704</v>
      </c>
      <c r="B296" s="8" t="s">
        <v>83</v>
      </c>
      <c r="C296" s="92" t="s">
        <v>297</v>
      </c>
      <c r="D296" s="374">
        <v>8878240.9103699606</v>
      </c>
      <c r="E296" s="9" t="str">
        <f t="shared" si="37"/>
        <v/>
      </c>
      <c r="F296" s="47"/>
      <c r="G296" s="47">
        <v>0</v>
      </c>
      <c r="H296" s="47">
        <v>0</v>
      </c>
      <c r="I296" s="47">
        <v>0</v>
      </c>
      <c r="J296" s="98"/>
      <c r="K296" s="93"/>
      <c r="L296" s="93">
        <f t="shared" si="32"/>
        <v>0</v>
      </c>
      <c r="M296" s="95" t="e">
        <f t="shared" ca="1" si="33"/>
        <v>#DIV/0!</v>
      </c>
      <c r="N296" s="95">
        <f>IF(P296="Hedge Fund",IF(A296=Summary!$AD$3,M296-E296,M296),IF(A296=Summary!$AD$3,L296-D296,L296))</f>
        <v>0</v>
      </c>
      <c r="P296" s="89" t="s">
        <v>155</v>
      </c>
      <c r="Q296" s="107">
        <v>6.9444444444444449E-3</v>
      </c>
      <c r="R296" s="107">
        <v>0.89907933851849808</v>
      </c>
      <c r="S296" s="89">
        <v>0</v>
      </c>
      <c r="T296" s="89">
        <v>0</v>
      </c>
      <c r="U296" s="89"/>
      <c r="V296" s="89"/>
      <c r="W296" s="89"/>
      <c r="X296" s="89"/>
      <c r="Y296" s="89"/>
      <c r="Z296" s="89"/>
      <c r="AA296" s="89"/>
      <c r="AB296" s="89"/>
      <c r="AC296" s="355"/>
      <c r="AD296" s="355"/>
      <c r="AE296" s="355"/>
      <c r="AF296" s="94">
        <f t="shared" si="34"/>
        <v>42704</v>
      </c>
      <c r="AG296" s="185">
        <f t="shared" si="30"/>
        <v>1.4699763528065013E-2</v>
      </c>
      <c r="AH296" s="339" t="str">
        <f>VLOOKUP(B296,'MF PF'!A:B,2)</f>
        <v>Coinv</v>
      </c>
      <c r="AI296" s="358">
        <f t="shared" si="35"/>
        <v>0</v>
      </c>
      <c r="AJ296" s="94">
        <f t="shared" si="36"/>
        <v>42704</v>
      </c>
    </row>
    <row r="297" spans="1:36" ht="12.75" customHeight="1">
      <c r="A297" s="8">
        <v>42734</v>
      </c>
      <c r="B297" s="8" t="s">
        <v>83</v>
      </c>
      <c r="C297" s="92" t="s">
        <v>297</v>
      </c>
      <c r="D297" s="374">
        <v>8660621.0364860501</v>
      </c>
      <c r="E297" s="9" t="str">
        <f t="shared" si="37"/>
        <v/>
      </c>
      <c r="F297" s="47"/>
      <c r="G297" s="47">
        <v>0</v>
      </c>
      <c r="H297" s="47">
        <v>0</v>
      </c>
      <c r="I297" s="98">
        <v>-145749.42000000001</v>
      </c>
      <c r="J297" s="98"/>
      <c r="L297" s="93">
        <f t="shared" si="32"/>
        <v>-145749.42000000001</v>
      </c>
      <c r="M297" s="95" t="e">
        <f t="shared" ca="1" si="33"/>
        <v>#DIV/0!</v>
      </c>
      <c r="N297" s="95">
        <f>IF(P297="Hedge Fund",IF(A297=Summary!$AD$3,M297-E297,M297),IF(A297=Summary!$AD$3,L297-D297,L297))</f>
        <v>-145749.42000000001</v>
      </c>
      <c r="P297" s="89" t="s">
        <v>155</v>
      </c>
      <c r="Q297" s="107">
        <v>6.9444444444444449E-3</v>
      </c>
      <c r="R297" s="107">
        <v>0.88819834482430271</v>
      </c>
      <c r="S297" s="89">
        <v>0</v>
      </c>
      <c r="T297" s="89">
        <v>0</v>
      </c>
      <c r="U297" s="89"/>
      <c r="V297" s="89"/>
      <c r="W297" s="89"/>
      <c r="X297" s="89"/>
      <c r="Y297" s="89"/>
      <c r="Z297" s="89"/>
      <c r="AA297" s="89"/>
      <c r="AB297" s="89"/>
      <c r="AC297" s="355"/>
      <c r="AD297" s="355"/>
      <c r="AE297" s="355"/>
      <c r="AF297" s="94">
        <f t="shared" si="34"/>
        <v>42734</v>
      </c>
      <c r="AG297" s="185">
        <f t="shared" si="30"/>
        <v>-8.0951231904469179E-3</v>
      </c>
      <c r="AH297" s="339" t="str">
        <f>VLOOKUP(B297,'MF PF'!A:B,2)</f>
        <v>Coinv</v>
      </c>
      <c r="AI297" s="358">
        <f t="shared" si="35"/>
        <v>0</v>
      </c>
      <c r="AJ297" s="94">
        <f t="shared" si="36"/>
        <v>42735</v>
      </c>
    </row>
    <row r="298" spans="1:36" ht="12.75" customHeight="1">
      <c r="A298" s="94">
        <v>42762</v>
      </c>
      <c r="B298" s="94" t="s">
        <v>83</v>
      </c>
      <c r="C298" s="358" t="s">
        <v>297</v>
      </c>
      <c r="D298" s="374">
        <v>8751206.7843473405</v>
      </c>
      <c r="E298" s="9" t="str">
        <f t="shared" si="37"/>
        <v/>
      </c>
      <c r="F298" s="47"/>
      <c r="G298" s="47">
        <v>0</v>
      </c>
      <c r="H298" s="47">
        <v>0</v>
      </c>
      <c r="I298" s="98">
        <v>0</v>
      </c>
      <c r="J298" s="98"/>
      <c r="K298" s="93"/>
      <c r="L298" s="93">
        <f t="shared" si="32"/>
        <v>0</v>
      </c>
      <c r="M298" s="95" t="e">
        <f t="shared" ca="1" si="33"/>
        <v>#DIV/0!</v>
      </c>
      <c r="N298" s="95">
        <f>IF(P298="Hedge Fund",IF(A298=Summary!$AD$3,M298-E298,M298),IF(A298=Summary!$AD$3,L298-D298,L298))</f>
        <v>0</v>
      </c>
      <c r="P298" s="89" t="s">
        <v>155</v>
      </c>
      <c r="Q298" s="107">
        <v>6.9444444444444449E-3</v>
      </c>
      <c r="R298" s="107">
        <v>0.89272763221736717</v>
      </c>
      <c r="S298" s="89">
        <v>0</v>
      </c>
      <c r="T298" s="89">
        <v>0</v>
      </c>
      <c r="U298" s="89"/>
      <c r="V298" s="89"/>
      <c r="W298" s="89"/>
      <c r="X298" s="89"/>
      <c r="Y298" s="89"/>
      <c r="Z298" s="89"/>
      <c r="AA298" s="89"/>
      <c r="AB298" s="89"/>
      <c r="AC298" s="355"/>
      <c r="AD298" s="355"/>
      <c r="AE298" s="355"/>
      <c r="AF298" s="94">
        <f t="shared" si="34"/>
        <v>42762</v>
      </c>
      <c r="AG298" s="185">
        <f t="shared" si="30"/>
        <v>1.045949793665657E-2</v>
      </c>
      <c r="AH298" s="339" t="str">
        <f>VLOOKUP(B298,'MF PF'!A:B,2)</f>
        <v>Coinv</v>
      </c>
      <c r="AI298" s="358">
        <f t="shared" si="35"/>
        <v>0</v>
      </c>
      <c r="AJ298" s="94">
        <f t="shared" si="36"/>
        <v>42766</v>
      </c>
    </row>
    <row r="299" spans="1:36" ht="12.75" customHeight="1">
      <c r="A299" s="94">
        <v>42794</v>
      </c>
      <c r="B299" s="94" t="s">
        <v>83</v>
      </c>
      <c r="C299" s="358" t="s">
        <v>297</v>
      </c>
      <c r="D299" s="374">
        <v>5522306.5709242104</v>
      </c>
      <c r="E299" s="9" t="str">
        <f t="shared" si="37"/>
        <v/>
      </c>
      <c r="F299" s="47"/>
      <c r="G299" s="47">
        <v>0</v>
      </c>
      <c r="H299" s="47">
        <v>0</v>
      </c>
      <c r="I299" s="47">
        <v>-3160862.9</v>
      </c>
      <c r="J299" s="98"/>
      <c r="K299" s="93"/>
      <c r="L299" s="93">
        <f t="shared" si="32"/>
        <v>-3160862.9</v>
      </c>
      <c r="M299" s="95" t="e">
        <f t="shared" ca="1" si="33"/>
        <v>#DIV/0!</v>
      </c>
      <c r="N299" s="95">
        <f>IF(P299="Hedge Fund",IF(A299=Summary!$AD$3,M299-E299,M299),IF(A299=Summary!$AD$3,L299-D299,L299))</f>
        <v>-3160862.9</v>
      </c>
      <c r="P299" s="89" t="s">
        <v>155</v>
      </c>
      <c r="Q299" s="107">
        <v>6.9444444444444449E-3</v>
      </c>
      <c r="R299" s="107">
        <v>0.73128262154621071</v>
      </c>
      <c r="S299" s="89">
        <v>0</v>
      </c>
      <c r="T299" s="89">
        <v>0</v>
      </c>
      <c r="U299" s="89"/>
      <c r="V299" s="89"/>
      <c r="W299" s="89"/>
      <c r="X299" s="89"/>
      <c r="Y299" s="89"/>
      <c r="Z299" s="89"/>
      <c r="AA299" s="89"/>
      <c r="AB299" s="89"/>
      <c r="AC299" s="355"/>
      <c r="AD299" s="355"/>
      <c r="AE299" s="355"/>
      <c r="AF299" s="94">
        <f t="shared" si="34"/>
        <v>42794</v>
      </c>
      <c r="AG299" s="185">
        <f t="shared" si="30"/>
        <v>-7.7746207008643209E-3</v>
      </c>
      <c r="AH299" s="339" t="str">
        <f>VLOOKUP(B299,'MF PF'!A:B,2)</f>
        <v>Coinv</v>
      </c>
      <c r="AI299" s="358">
        <f t="shared" si="35"/>
        <v>0</v>
      </c>
      <c r="AJ299" s="94">
        <f t="shared" si="36"/>
        <v>42794</v>
      </c>
    </row>
    <row r="300" spans="1:36" ht="12.75" customHeight="1">
      <c r="A300" s="94">
        <v>42825</v>
      </c>
      <c r="B300" s="94" t="s">
        <v>83</v>
      </c>
      <c r="C300" s="92" t="s">
        <v>297</v>
      </c>
      <c r="D300" s="374">
        <v>5525772.5703539206</v>
      </c>
      <c r="E300" s="9" t="str">
        <f t="shared" si="37"/>
        <v/>
      </c>
      <c r="F300" s="47"/>
      <c r="G300" s="47">
        <v>0</v>
      </c>
      <c r="H300" s="98">
        <v>0</v>
      </c>
      <c r="I300" s="98">
        <v>0</v>
      </c>
      <c r="J300" s="98"/>
      <c r="K300" s="93"/>
      <c r="L300" s="93">
        <f t="shared" si="32"/>
        <v>0</v>
      </c>
      <c r="M300" s="95" t="e">
        <f t="shared" ca="1" si="33"/>
        <v>#DIV/0!</v>
      </c>
      <c r="N300" s="95">
        <f>IF(P300="Hedge Fund",IF(A300=Summary!$AD$3,M300-E300,M300),IF(A300=Summary!$AD$3,L300-D300,L300))</f>
        <v>0</v>
      </c>
      <c r="P300" s="89" t="s">
        <v>155</v>
      </c>
      <c r="Q300" s="107">
        <v>4.1666666666666666E-3</v>
      </c>
      <c r="R300" s="107">
        <v>0.73145592151769612</v>
      </c>
      <c r="S300" s="89">
        <v>0</v>
      </c>
      <c r="T300" s="89">
        <v>0</v>
      </c>
      <c r="U300" s="89"/>
      <c r="V300" s="89"/>
      <c r="W300" s="89"/>
      <c r="X300" s="89"/>
      <c r="Y300" s="89"/>
      <c r="Z300" s="89"/>
      <c r="AA300" s="89"/>
      <c r="AB300" s="89"/>
      <c r="AC300" s="355"/>
      <c r="AD300" s="355"/>
      <c r="AE300" s="355"/>
      <c r="AF300" s="94">
        <f t="shared" si="34"/>
        <v>42825</v>
      </c>
      <c r="AG300" s="185">
        <f t="shared" si="30"/>
        <v>6.2763618520556008E-4</v>
      </c>
      <c r="AH300" s="339" t="str">
        <f>VLOOKUP(B300,'MF PF'!A:B,2)</f>
        <v>Coinv</v>
      </c>
      <c r="AI300" s="358">
        <f t="shared" si="35"/>
        <v>0</v>
      </c>
      <c r="AJ300" s="94">
        <f t="shared" si="36"/>
        <v>42825</v>
      </c>
    </row>
    <row r="301" spans="1:36" ht="12.75" customHeight="1">
      <c r="A301" s="94">
        <v>42853</v>
      </c>
      <c r="B301" s="94" t="s">
        <v>83</v>
      </c>
      <c r="C301" s="358" t="s">
        <v>297</v>
      </c>
      <c r="D301" s="374">
        <v>3342035.97</v>
      </c>
      <c r="E301" s="9" t="str">
        <f t="shared" si="37"/>
        <v/>
      </c>
      <c r="F301" s="47"/>
      <c r="G301" s="47">
        <v>0</v>
      </c>
      <c r="H301" s="98">
        <v>0</v>
      </c>
      <c r="I301" s="98">
        <v>-2097624.21</v>
      </c>
      <c r="J301" s="98"/>
      <c r="K301" s="93"/>
      <c r="L301" s="93">
        <f t="shared" si="32"/>
        <v>-2097624.21</v>
      </c>
      <c r="M301" s="95" t="e">
        <f t="shared" ca="1" si="33"/>
        <v>#DIV/0!</v>
      </c>
      <c r="N301" s="95">
        <f>IF(P301="Hedge Fund",IF(A301=Summary!$AD$3,M301-E301,M301),IF(A301=Summary!$AD$3,L301-D301,L301))</f>
        <v>-2097624.21</v>
      </c>
      <c r="P301" s="89" t="s">
        <v>155</v>
      </c>
      <c r="Q301" s="107">
        <v>4.1666666666666666E-3</v>
      </c>
      <c r="R301" s="107">
        <v>0.6222690915000002</v>
      </c>
      <c r="S301" s="89">
        <v>0</v>
      </c>
      <c r="T301" s="89">
        <v>0</v>
      </c>
      <c r="U301" s="89"/>
      <c r="V301" s="89"/>
      <c r="W301" s="89"/>
      <c r="X301" s="89"/>
      <c r="Y301" s="89"/>
      <c r="Z301" s="89"/>
      <c r="AA301" s="89"/>
      <c r="AB301" s="89"/>
      <c r="AC301" s="355"/>
      <c r="AD301" s="355"/>
      <c r="AE301" s="355"/>
      <c r="AF301" s="94">
        <f t="shared" si="34"/>
        <v>42853</v>
      </c>
      <c r="AG301" s="185">
        <f t="shared" si="30"/>
        <v>-1.5583773899041531E-2</v>
      </c>
      <c r="AH301" s="339" t="str">
        <f>VLOOKUP(B301,'MF PF'!A:B,2)</f>
        <v>Coinv</v>
      </c>
      <c r="AI301" s="358">
        <f t="shared" si="35"/>
        <v>0</v>
      </c>
      <c r="AJ301" s="94">
        <f t="shared" si="36"/>
        <v>42855</v>
      </c>
    </row>
    <row r="302" spans="1:36" ht="12.75" customHeight="1">
      <c r="A302" s="94">
        <v>42886</v>
      </c>
      <c r="B302" s="94" t="s">
        <v>83</v>
      </c>
      <c r="C302" s="358" t="s">
        <v>297</v>
      </c>
      <c r="D302" s="374">
        <v>3390600.12361567</v>
      </c>
      <c r="E302" s="9" t="str">
        <f t="shared" si="37"/>
        <v/>
      </c>
      <c r="F302" s="47"/>
      <c r="G302" s="47">
        <v>0</v>
      </c>
      <c r="H302" s="98">
        <v>0</v>
      </c>
      <c r="I302" s="98">
        <v>0</v>
      </c>
      <c r="J302" s="98"/>
      <c r="K302" s="93"/>
      <c r="L302" s="93">
        <f t="shared" si="32"/>
        <v>0</v>
      </c>
      <c r="M302" s="95" t="e">
        <f t="shared" ca="1" si="33"/>
        <v>#DIV/0!</v>
      </c>
      <c r="N302" s="95">
        <f>IF(P302="Hedge Fund",IF(A302=Summary!$AD$3,M302-E302,M302),IF(A302=Summary!$AD$3,L302-D302,L302))</f>
        <v>0</v>
      </c>
      <c r="P302" s="89" t="s">
        <v>155</v>
      </c>
      <c r="Q302" s="107">
        <v>4.1666666666666666E-3</v>
      </c>
      <c r="R302" s="107">
        <v>0.62469729918078354</v>
      </c>
      <c r="S302" s="89">
        <v>0</v>
      </c>
      <c r="T302" s="89">
        <v>0</v>
      </c>
      <c r="U302" s="89"/>
      <c r="V302" s="89"/>
      <c r="W302" s="89"/>
      <c r="X302" s="89"/>
      <c r="Y302" s="89"/>
      <c r="Z302" s="89"/>
      <c r="AA302" s="89"/>
      <c r="AB302" s="89"/>
      <c r="AC302" s="355"/>
      <c r="AD302" s="355"/>
      <c r="AE302" s="355"/>
      <c r="AF302" s="94">
        <f t="shared" si="34"/>
        <v>42886</v>
      </c>
      <c r="AG302" s="185">
        <f t="shared" si="30"/>
        <v>1.4531307876877841E-2</v>
      </c>
      <c r="AH302" s="339" t="str">
        <f>VLOOKUP(B302,'MF PF'!A:B,2)</f>
        <v>Coinv</v>
      </c>
      <c r="AI302" s="358">
        <f t="shared" si="35"/>
        <v>0</v>
      </c>
      <c r="AJ302" s="94">
        <f t="shared" si="36"/>
        <v>42886</v>
      </c>
    </row>
    <row r="303" spans="1:36" ht="12.75" customHeight="1">
      <c r="A303" s="94">
        <v>42916</v>
      </c>
      <c r="B303" s="94" t="s">
        <v>83</v>
      </c>
      <c r="C303" s="358" t="s">
        <v>297</v>
      </c>
      <c r="D303" s="374">
        <v>3429652.5697062798</v>
      </c>
      <c r="E303" s="9" t="str">
        <f t="shared" si="37"/>
        <v/>
      </c>
      <c r="F303" s="98"/>
      <c r="G303" s="98">
        <v>0</v>
      </c>
      <c r="H303" s="98">
        <v>0</v>
      </c>
      <c r="I303" s="98">
        <v>0</v>
      </c>
      <c r="J303" s="98"/>
      <c r="K303" s="93"/>
      <c r="L303" s="93">
        <f t="shared" si="32"/>
        <v>0</v>
      </c>
      <c r="M303" s="95" t="e">
        <f t="shared" ca="1" si="33"/>
        <v>#DIV/0!</v>
      </c>
      <c r="N303" s="95">
        <f>IF(P303="Hedge Fund",IF(A303=Summary!$AD$3,M303-E303,M303),IF(A303=Summary!$AD$3,L303-D303,L303))</f>
        <v>0</v>
      </c>
      <c r="P303" s="89" t="s">
        <v>155</v>
      </c>
      <c r="Q303" s="107">
        <v>4.1666666666666666E-3</v>
      </c>
      <c r="R303" s="107">
        <v>0.62664992148531407</v>
      </c>
      <c r="S303" s="107">
        <v>0</v>
      </c>
      <c r="T303" s="107">
        <v>0</v>
      </c>
      <c r="U303" s="107"/>
      <c r="V303" s="107"/>
      <c r="W303" s="107"/>
      <c r="X303" s="107"/>
      <c r="Y303" s="107"/>
      <c r="Z303" s="107"/>
      <c r="AA303" s="107"/>
      <c r="AB303" s="107"/>
      <c r="AC303" s="355"/>
      <c r="AD303" s="355"/>
      <c r="AE303" s="355"/>
      <c r="AF303" s="94">
        <f t="shared" si="34"/>
        <v>42916</v>
      </c>
      <c r="AG303" s="185">
        <f t="shared" si="30"/>
        <v>1.1517856623258993E-2</v>
      </c>
      <c r="AH303" s="339" t="str">
        <f>VLOOKUP(B303,'MF PF'!A:B,2)</f>
        <v>Coinv</v>
      </c>
      <c r="AI303" s="358">
        <f t="shared" si="35"/>
        <v>0</v>
      </c>
      <c r="AJ303" s="94">
        <f t="shared" si="36"/>
        <v>42916</v>
      </c>
    </row>
    <row r="304" spans="1:36" ht="12.75" customHeight="1">
      <c r="A304" s="94">
        <v>42947</v>
      </c>
      <c r="B304" s="94" t="s">
        <v>83</v>
      </c>
      <c r="C304" s="358" t="s">
        <v>297</v>
      </c>
      <c r="D304" s="374">
        <v>3363149.16</v>
      </c>
      <c r="E304" s="9" t="str">
        <f t="shared" si="37"/>
        <v/>
      </c>
      <c r="F304" s="98"/>
      <c r="G304" s="98">
        <v>0</v>
      </c>
      <c r="H304" s="98">
        <v>0</v>
      </c>
      <c r="I304" s="98">
        <v>-93621.28</v>
      </c>
      <c r="J304" s="98"/>
      <c r="K304" s="93"/>
      <c r="L304" s="93">
        <f t="shared" si="32"/>
        <v>-93621.28</v>
      </c>
      <c r="M304" s="95" t="e">
        <f t="shared" ca="1" si="33"/>
        <v>#DIV/0!</v>
      </c>
      <c r="N304" s="95">
        <f>IF(P304="Hedge Fund",IF(A304=Summary!$AD$3,M304-E304,M304),IF(A304=Summary!$AD$3,L304-D304,L304))</f>
        <v>-93621.28</v>
      </c>
      <c r="P304" s="89" t="s">
        <v>155</v>
      </c>
      <c r="Q304" s="107">
        <v>4.1666666666666666E-3</v>
      </c>
      <c r="R304" s="107">
        <v>0.62332475100000018</v>
      </c>
      <c r="S304" s="107">
        <v>0</v>
      </c>
      <c r="T304" s="107">
        <v>0</v>
      </c>
      <c r="U304" s="107"/>
      <c r="V304" s="107"/>
      <c r="W304" s="107"/>
      <c r="X304" s="107"/>
      <c r="Y304" s="107"/>
      <c r="Z304" s="107"/>
      <c r="AA304" s="107"/>
      <c r="AB304" s="107"/>
      <c r="AC304" s="355"/>
      <c r="AD304" s="355"/>
      <c r="AE304" s="355"/>
      <c r="AF304" s="94">
        <f t="shared" si="34"/>
        <v>42947</v>
      </c>
      <c r="AG304" s="185">
        <f t="shared" si="30"/>
        <v>7.9068855350681311E-3</v>
      </c>
      <c r="AH304" s="339" t="str">
        <f>VLOOKUP(B304,'MF PF'!A:B,2)</f>
        <v>Coinv</v>
      </c>
      <c r="AI304" s="358">
        <f t="shared" si="35"/>
        <v>0</v>
      </c>
      <c r="AJ304" s="94">
        <f t="shared" si="36"/>
        <v>42947</v>
      </c>
    </row>
    <row r="305" spans="1:36" ht="12.75" customHeight="1">
      <c r="A305" s="94">
        <v>42978</v>
      </c>
      <c r="B305" s="94" t="s">
        <v>83</v>
      </c>
      <c r="C305" s="358" t="s">
        <v>297</v>
      </c>
      <c r="D305" s="374">
        <v>3402563.57</v>
      </c>
      <c r="E305" s="9" t="str">
        <f t="shared" si="37"/>
        <v/>
      </c>
      <c r="F305" s="98"/>
      <c r="G305" s="98">
        <v>0</v>
      </c>
      <c r="H305" s="98">
        <v>0</v>
      </c>
      <c r="I305" s="98">
        <v>0</v>
      </c>
      <c r="J305" s="98"/>
      <c r="K305" s="93"/>
      <c r="L305" s="93">
        <f t="shared" si="32"/>
        <v>0</v>
      </c>
      <c r="M305" s="95" t="e">
        <f t="shared" ca="1" si="33"/>
        <v>#DIV/0!</v>
      </c>
      <c r="N305" s="95">
        <f>IF(P305="Hedge Fund",IF(A305=Summary!$AD$3,M305-E305,M305),IF(A305=Summary!$AD$3,L305-D305,L305))</f>
        <v>0</v>
      </c>
      <c r="P305" s="107" t="s">
        <v>155</v>
      </c>
      <c r="Q305" s="107">
        <v>4.1666666666666666E-3</v>
      </c>
      <c r="R305" s="107">
        <v>0.62529547150000009</v>
      </c>
      <c r="S305" s="107">
        <v>0</v>
      </c>
      <c r="T305" s="107">
        <v>0</v>
      </c>
      <c r="U305" s="107"/>
      <c r="V305" s="107"/>
      <c r="W305" s="107"/>
      <c r="X305" s="107"/>
      <c r="Y305" s="107"/>
      <c r="Z305" s="107"/>
      <c r="AA305" s="107"/>
      <c r="AB305" s="107"/>
      <c r="AC305" s="355"/>
      <c r="AD305" s="355"/>
      <c r="AE305" s="355"/>
      <c r="AF305" s="94">
        <f t="shared" si="34"/>
        <v>42978</v>
      </c>
      <c r="AG305" s="185">
        <f t="shared" si="30"/>
        <v>1.1719495069912211E-2</v>
      </c>
      <c r="AH305" s="339" t="str">
        <f>VLOOKUP(B305,'MF PF'!A:B,2)</f>
        <v>Coinv</v>
      </c>
      <c r="AI305" s="358">
        <f t="shared" si="35"/>
        <v>0</v>
      </c>
      <c r="AJ305" s="94">
        <f t="shared" si="36"/>
        <v>42978</v>
      </c>
    </row>
    <row r="306" spans="1:36" ht="12.75" customHeight="1">
      <c r="A306" s="94">
        <v>43007</v>
      </c>
      <c r="B306" s="8" t="s">
        <v>83</v>
      </c>
      <c r="C306" s="358" t="s">
        <v>297</v>
      </c>
      <c r="D306" s="374">
        <v>3443364.1599999997</v>
      </c>
      <c r="E306" s="9" t="str">
        <f t="shared" si="37"/>
        <v/>
      </c>
      <c r="F306" s="47"/>
      <c r="G306" s="47">
        <v>0</v>
      </c>
      <c r="H306" s="47">
        <v>0</v>
      </c>
      <c r="I306" s="47">
        <v>0</v>
      </c>
      <c r="J306" s="98"/>
      <c r="L306" s="93">
        <f t="shared" si="32"/>
        <v>0</v>
      </c>
      <c r="M306" s="95" t="e">
        <f t="shared" ca="1" si="33"/>
        <v>#DIV/0!</v>
      </c>
      <c r="N306" s="95">
        <f>IF(P306="Hedge Fund",IF(A306=Summary!$AD$3,M306-E306,M306),IF(A306=Summary!$AD$3,L306-D306,L306))</f>
        <v>0</v>
      </c>
      <c r="P306" s="89" t="s">
        <v>155</v>
      </c>
      <c r="Q306" s="89">
        <v>4.1666666666666666E-3</v>
      </c>
      <c r="R306" s="89">
        <v>0.62733550100000013</v>
      </c>
      <c r="S306" s="89">
        <v>0</v>
      </c>
      <c r="T306" s="89">
        <v>0</v>
      </c>
      <c r="U306" s="89"/>
      <c r="V306" s="89"/>
      <c r="W306" s="89"/>
      <c r="X306" s="89"/>
      <c r="Y306" s="89"/>
      <c r="Z306" s="89"/>
      <c r="AA306" s="89"/>
      <c r="AB306" s="89"/>
      <c r="AC306" s="355"/>
      <c r="AD306" s="355"/>
      <c r="AE306" s="355"/>
      <c r="AF306" s="94">
        <f t="shared" si="34"/>
        <v>43007</v>
      </c>
      <c r="AG306" s="185">
        <f t="shared" si="30"/>
        <v>1.1991132321445441E-2</v>
      </c>
      <c r="AH306" s="339" t="str">
        <f>VLOOKUP(B306,'MF PF'!A:B,2)</f>
        <v>Coinv</v>
      </c>
      <c r="AI306" s="358">
        <f t="shared" si="35"/>
        <v>0</v>
      </c>
      <c r="AJ306" s="94">
        <f t="shared" si="36"/>
        <v>43008</v>
      </c>
    </row>
    <row r="307" spans="1:36" ht="12.75" customHeight="1">
      <c r="A307" s="94">
        <v>43039</v>
      </c>
      <c r="B307" s="8" t="s">
        <v>83</v>
      </c>
      <c r="C307" s="358" t="s">
        <v>297</v>
      </c>
      <c r="D307" s="374">
        <v>2500509.04</v>
      </c>
      <c r="E307" s="9" t="str">
        <f t="shared" si="37"/>
        <v/>
      </c>
      <c r="F307" s="47"/>
      <c r="G307" s="47">
        <v>0</v>
      </c>
      <c r="H307" s="47">
        <v>0</v>
      </c>
      <c r="I307" s="47">
        <v>-916304.26</v>
      </c>
      <c r="J307" s="98"/>
      <c r="K307" s="93"/>
      <c r="L307" s="93">
        <f t="shared" si="32"/>
        <v>-916304.26</v>
      </c>
      <c r="M307" s="95" t="e">
        <f t="shared" ca="1" si="33"/>
        <v>#DIV/0!</v>
      </c>
      <c r="N307" s="95">
        <f>IF(P307="Hedge Fund",IF(A307=Summary!$AD$3,M307-E307,M307),IF(A307=Summary!$AD$3,L307-D307,L307))</f>
        <v>-916304.26</v>
      </c>
      <c r="O307" s="95"/>
      <c r="P307" s="89" t="s">
        <v>155</v>
      </c>
      <c r="Q307" s="89">
        <v>4.1666666666666666E-3</v>
      </c>
      <c r="R307" s="89">
        <v>0.58019274500000007</v>
      </c>
      <c r="S307" s="89">
        <v>0</v>
      </c>
      <c r="T307" s="89">
        <v>0</v>
      </c>
      <c r="U307" s="89"/>
      <c r="V307" s="89"/>
      <c r="W307" s="89"/>
      <c r="X307" s="89"/>
      <c r="Y307" s="89"/>
      <c r="Z307" s="89"/>
      <c r="AA307" s="89"/>
      <c r="AB307" s="89"/>
      <c r="AC307" s="355"/>
      <c r="AD307" s="355"/>
      <c r="AE307" s="355"/>
      <c r="AF307" s="94">
        <f t="shared" si="34"/>
        <v>43039</v>
      </c>
      <c r="AG307" s="185">
        <f t="shared" si="30"/>
        <v>-7.7107325180499897E-3</v>
      </c>
      <c r="AH307" s="339" t="str">
        <f>VLOOKUP(B307,'MF PF'!A:B,2)</f>
        <v>Coinv</v>
      </c>
      <c r="AI307" s="358">
        <f t="shared" si="35"/>
        <v>0</v>
      </c>
      <c r="AJ307" s="94">
        <f t="shared" si="36"/>
        <v>43039</v>
      </c>
    </row>
    <row r="308" spans="1:36" ht="12.75" customHeight="1">
      <c r="A308" s="94">
        <v>43069</v>
      </c>
      <c r="B308" s="8" t="s">
        <v>83</v>
      </c>
      <c r="C308" s="358" t="s">
        <v>297</v>
      </c>
      <c r="D308" s="374">
        <v>2531078.9300000002</v>
      </c>
      <c r="E308" s="9" t="str">
        <f t="shared" si="37"/>
        <v/>
      </c>
      <c r="F308" s="47"/>
      <c r="G308" s="47">
        <v>0</v>
      </c>
      <c r="H308" s="47">
        <v>0</v>
      </c>
      <c r="I308" s="47">
        <v>0</v>
      </c>
      <c r="J308" s="98"/>
      <c r="K308" s="93"/>
      <c r="L308" s="93">
        <f t="shared" si="32"/>
        <v>0</v>
      </c>
      <c r="M308" s="95" t="e">
        <f t="shared" ca="1" si="33"/>
        <v>#DIV/0!</v>
      </c>
      <c r="N308" s="95">
        <f>IF(P308="Hedge Fund",IF(A308=Summary!$AD$3,M308-E308,M308),IF(A308=Summary!$AD$3,L308-D308,L308))</f>
        <v>0</v>
      </c>
      <c r="O308" s="95"/>
      <c r="P308" s="89" t="s">
        <v>155</v>
      </c>
      <c r="Q308" s="89">
        <v>4.1666666666666666E-3</v>
      </c>
      <c r="R308" s="89">
        <v>0.5817212395000001</v>
      </c>
      <c r="S308" s="89">
        <v>0</v>
      </c>
      <c r="T308" s="89">
        <v>0</v>
      </c>
      <c r="U308" s="89"/>
      <c r="V308" s="89"/>
      <c r="W308" s="89"/>
      <c r="X308" s="89"/>
      <c r="Y308" s="89"/>
      <c r="Z308" s="89"/>
      <c r="AA308" s="89"/>
      <c r="AB308" s="89"/>
      <c r="AC308" s="355"/>
      <c r="AD308" s="355"/>
      <c r="AE308" s="355"/>
      <c r="AF308" s="94">
        <f t="shared" si="34"/>
        <v>43069</v>
      </c>
      <c r="AG308" s="185">
        <f t="shared" si="30"/>
        <v>1.2225466699372634E-2</v>
      </c>
      <c r="AH308" s="339" t="str">
        <f>VLOOKUP(B308,'MF PF'!A:B,2)</f>
        <v>Coinv</v>
      </c>
      <c r="AI308" s="358">
        <f t="shared" si="35"/>
        <v>0</v>
      </c>
      <c r="AJ308" s="94">
        <f t="shared" si="36"/>
        <v>43069</v>
      </c>
    </row>
    <row r="309" spans="1:36" ht="12.75" customHeight="1">
      <c r="A309" s="94">
        <v>43098</v>
      </c>
      <c r="B309" s="8" t="s">
        <v>83</v>
      </c>
      <c r="C309" s="358" t="s">
        <v>297</v>
      </c>
      <c r="D309" s="374">
        <v>2559118.13</v>
      </c>
      <c r="E309" s="9" t="str">
        <f t="shared" si="37"/>
        <v/>
      </c>
      <c r="F309" s="47"/>
      <c r="G309" s="47">
        <v>0</v>
      </c>
      <c r="H309" s="47">
        <v>0</v>
      </c>
      <c r="I309" s="47">
        <v>0</v>
      </c>
      <c r="J309" s="98"/>
      <c r="K309" s="93"/>
      <c r="L309" s="93">
        <f t="shared" si="32"/>
        <v>0</v>
      </c>
      <c r="M309" s="95" t="e">
        <f t="shared" ca="1" si="33"/>
        <v>#DIV/0!</v>
      </c>
      <c r="N309" s="95">
        <f>IF(P309="Hedge Fund",IF(A309=Summary!$AD$3,M309-E309,M309),IF(A309=Summary!$AD$3,L309-D309,L309))</f>
        <v>0</v>
      </c>
      <c r="O309" s="95"/>
      <c r="P309" s="89" t="s">
        <v>155</v>
      </c>
      <c r="Q309" s="89">
        <v>4.1666666666666666E-3</v>
      </c>
      <c r="R309" s="89">
        <v>0.58699004600000004</v>
      </c>
      <c r="S309" s="89">
        <v>0</v>
      </c>
      <c r="T309" s="89">
        <v>0</v>
      </c>
      <c r="U309" s="89"/>
      <c r="V309" s="89"/>
      <c r="W309" s="89"/>
      <c r="X309" s="89"/>
      <c r="Y309" s="89"/>
      <c r="Z309" s="89"/>
      <c r="AA309" s="89"/>
      <c r="AB309" s="89"/>
      <c r="AC309" s="355"/>
      <c r="AD309" s="355"/>
      <c r="AE309" s="355"/>
      <c r="AF309" s="94">
        <f t="shared" si="34"/>
        <v>43098</v>
      </c>
      <c r="AG309" s="185">
        <f t="shared" si="30"/>
        <v>1.1077963499146914E-2</v>
      </c>
      <c r="AH309" s="339" t="str">
        <f>VLOOKUP(B309,'MF PF'!A:B,2)</f>
        <v>Coinv</v>
      </c>
      <c r="AI309" s="358">
        <f t="shared" si="35"/>
        <v>0</v>
      </c>
      <c r="AJ309" s="94">
        <f t="shared" si="36"/>
        <v>43100</v>
      </c>
    </row>
    <row r="310" spans="1:36" ht="12.75" customHeight="1">
      <c r="A310" s="94">
        <v>43131</v>
      </c>
      <c r="B310" s="8" t="s">
        <v>83</v>
      </c>
      <c r="C310" s="358" t="s">
        <v>297</v>
      </c>
      <c r="D310" s="374">
        <v>2507823.14</v>
      </c>
      <c r="E310" s="9" t="str">
        <f t="shared" si="37"/>
        <v/>
      </c>
      <c r="F310" s="47"/>
      <c r="G310" s="47">
        <v>0</v>
      </c>
      <c r="H310" s="47">
        <v>0</v>
      </c>
      <c r="I310" s="47">
        <v>-77336.929999999993</v>
      </c>
      <c r="J310" s="98"/>
      <c r="K310" s="93"/>
      <c r="L310" s="93">
        <f t="shared" si="32"/>
        <v>-77336.929999999993</v>
      </c>
      <c r="M310" s="95" t="e">
        <f t="shared" ca="1" si="33"/>
        <v>#DIV/0!</v>
      </c>
      <c r="N310" s="95">
        <f>IF(P310="Hedge Fund",IF(A310=Summary!$AD$3,M310-E310,M310),IF(A310=Summary!$AD$3,L310-D310,L310))</f>
        <v>-77336.929999999993</v>
      </c>
      <c r="O310" s="95"/>
      <c r="P310" s="89" t="s">
        <v>155</v>
      </c>
      <c r="Q310" s="107">
        <v>4.1666666666666666E-3</v>
      </c>
      <c r="R310" s="107">
        <v>0.58442529650000008</v>
      </c>
      <c r="S310" s="89">
        <v>0</v>
      </c>
      <c r="T310" s="89">
        <v>0</v>
      </c>
      <c r="U310" s="89"/>
      <c r="V310" s="89"/>
      <c r="W310" s="89"/>
      <c r="X310" s="89"/>
      <c r="Y310" s="89"/>
      <c r="Z310" s="89"/>
      <c r="AA310" s="89"/>
      <c r="AB310" s="89"/>
      <c r="AC310" s="355"/>
      <c r="AD310" s="355"/>
      <c r="AE310" s="355"/>
      <c r="AF310" s="94">
        <f t="shared" si="34"/>
        <v>43131</v>
      </c>
      <c r="AG310" s="185">
        <f t="shared" si="30"/>
        <v>1.0176138293389592E-2</v>
      </c>
      <c r="AH310" s="339" t="str">
        <f>VLOOKUP(B310,'MF PF'!A:B,2)</f>
        <v>Coinv</v>
      </c>
      <c r="AI310" s="358">
        <f t="shared" si="35"/>
        <v>0</v>
      </c>
      <c r="AJ310" s="94">
        <f t="shared" si="36"/>
        <v>43131</v>
      </c>
    </row>
    <row r="311" spans="1:36" ht="12.75" customHeight="1">
      <c r="A311" s="94">
        <v>43159</v>
      </c>
      <c r="B311" s="8" t="s">
        <v>83</v>
      </c>
      <c r="C311" s="358" t="s">
        <v>297</v>
      </c>
      <c r="D311" s="374">
        <v>2536423.0499999998</v>
      </c>
      <c r="E311" s="9" t="str">
        <f t="shared" si="37"/>
        <v/>
      </c>
      <c r="F311" s="47"/>
      <c r="G311" s="47">
        <v>0</v>
      </c>
      <c r="H311" s="47">
        <v>0</v>
      </c>
      <c r="I311" s="98">
        <v>0</v>
      </c>
      <c r="J311" s="98"/>
      <c r="K311" s="93"/>
      <c r="L311" s="93">
        <f t="shared" si="32"/>
        <v>0</v>
      </c>
      <c r="M311" s="95" t="e">
        <f t="shared" ca="1" si="33"/>
        <v>#DIV/0!</v>
      </c>
      <c r="N311" s="95">
        <f>IF(P311="Hedge Fund",IF(A311=Summary!$AD$3,M311-E311,M311),IF(A311=Summary!$AD$3,L311-D311,L311))</f>
        <v>0</v>
      </c>
      <c r="O311" s="95"/>
      <c r="P311" s="89" t="s">
        <v>155</v>
      </c>
      <c r="Q311" s="107">
        <v>4.1666666666666666E-3</v>
      </c>
      <c r="R311" s="107">
        <v>0.58585529200000008</v>
      </c>
      <c r="S311" s="89">
        <v>0</v>
      </c>
      <c r="T311" s="89">
        <v>0</v>
      </c>
      <c r="U311" s="89"/>
      <c r="V311" s="89"/>
      <c r="W311" s="89"/>
      <c r="X311" s="89"/>
      <c r="Y311" s="89"/>
      <c r="Z311" s="89"/>
      <c r="AA311" s="89"/>
      <c r="AB311" s="89"/>
      <c r="AC311" s="355"/>
      <c r="AD311" s="355"/>
      <c r="AE311" s="355"/>
      <c r="AF311" s="94">
        <f t="shared" si="34"/>
        <v>43159</v>
      </c>
      <c r="AG311" s="185">
        <f t="shared" si="30"/>
        <v>1.1404277097466942E-2</v>
      </c>
      <c r="AH311" s="339" t="str">
        <f>VLOOKUP(B311,'MF PF'!A:B,2)</f>
        <v>Coinv</v>
      </c>
      <c r="AI311" s="358">
        <f t="shared" si="35"/>
        <v>0</v>
      </c>
      <c r="AJ311" s="94">
        <f t="shared" si="36"/>
        <v>43159</v>
      </c>
    </row>
    <row r="312" spans="1:36" ht="12.75" customHeight="1">
      <c r="A312" s="94">
        <v>43188</v>
      </c>
      <c r="B312" s="94" t="s">
        <v>83</v>
      </c>
      <c r="C312" s="358" t="s">
        <v>297</v>
      </c>
      <c r="D312" s="374">
        <v>2566070.87</v>
      </c>
      <c r="E312" s="9" t="str">
        <f t="shared" si="37"/>
        <v/>
      </c>
      <c r="F312" s="47"/>
      <c r="G312" s="47">
        <v>0</v>
      </c>
      <c r="H312" s="47">
        <v>0</v>
      </c>
      <c r="I312" s="98">
        <v>0</v>
      </c>
      <c r="J312" s="98"/>
      <c r="K312" s="93"/>
      <c r="L312" s="93">
        <f t="shared" si="32"/>
        <v>0</v>
      </c>
      <c r="M312" s="95" t="e">
        <f t="shared" ca="1" si="33"/>
        <v>#DIV/0!</v>
      </c>
      <c r="N312" s="95">
        <f>IF(P312="Hedge Fund",IF(A312=Summary!$AD$3,M312-E312,M312),IF(A312=Summary!$AD$3,L312-D312,L312))</f>
        <v>0</v>
      </c>
      <c r="O312" s="95"/>
      <c r="P312" s="89" t="s">
        <v>155</v>
      </c>
      <c r="Q312" s="109">
        <f t="shared" ref="Q312:Q318" si="38">0.5%/12*10 +(25*2/3)*0</f>
        <v>4.1666666666666666E-3</v>
      </c>
      <c r="R312" s="109">
        <f t="shared" ref="R312:R318" si="39">(9.18068279+(D312/10^6))*5%</f>
        <v>0.587337683</v>
      </c>
      <c r="S312" s="89">
        <v>0</v>
      </c>
      <c r="T312" s="89">
        <v>0</v>
      </c>
      <c r="U312" s="89"/>
      <c r="V312" s="89"/>
      <c r="W312" s="89"/>
      <c r="X312" s="89"/>
      <c r="Y312" s="89"/>
      <c r="Z312" s="89"/>
      <c r="AA312" s="89"/>
      <c r="AB312" s="89"/>
      <c r="AC312" s="355"/>
      <c r="AD312" s="355"/>
      <c r="AE312" s="355"/>
      <c r="AF312" s="94">
        <f t="shared" si="34"/>
        <v>43188</v>
      </c>
      <c r="AG312" s="185">
        <f t="shared" si="30"/>
        <v>1.1688830851777743E-2</v>
      </c>
      <c r="AH312" s="339" t="str">
        <f>VLOOKUP(B312,'MF PF'!A:B,2)</f>
        <v>Coinv</v>
      </c>
      <c r="AI312" s="358">
        <f t="shared" si="35"/>
        <v>0</v>
      </c>
      <c r="AJ312" s="94">
        <f t="shared" si="36"/>
        <v>43190</v>
      </c>
    </row>
    <row r="313" spans="1:36" ht="12.75" customHeight="1">
      <c r="A313" s="94">
        <v>43220</v>
      </c>
      <c r="B313" s="94" t="s">
        <v>83</v>
      </c>
      <c r="C313" s="358" t="s">
        <v>297</v>
      </c>
      <c r="D313" s="374">
        <v>2514085.81</v>
      </c>
      <c r="E313" s="9" t="str">
        <f t="shared" si="37"/>
        <v/>
      </c>
      <c r="F313" s="47"/>
      <c r="G313" s="47">
        <v>0</v>
      </c>
      <c r="H313" s="47">
        <v>0</v>
      </c>
      <c r="I313" s="110">
        <f>-77187.5</f>
        <v>-77187.5</v>
      </c>
      <c r="J313" s="110"/>
      <c r="K313" s="93"/>
      <c r="L313" s="93">
        <f t="shared" si="32"/>
        <v>-77187.5</v>
      </c>
      <c r="M313" s="95" t="e">
        <f t="shared" ca="1" si="33"/>
        <v>#DIV/0!</v>
      </c>
      <c r="N313" s="95">
        <f>IF(P313="Hedge Fund",IF(A313=Summary!$AD$3,M313-E313,M313),IF(A313=Summary!$AD$3,L313-D313,L313))</f>
        <v>-77187.5</v>
      </c>
      <c r="O313" s="95"/>
      <c r="P313" s="89" t="s">
        <v>155</v>
      </c>
      <c r="Q313" s="109">
        <f t="shared" si="38"/>
        <v>4.1666666666666666E-3</v>
      </c>
      <c r="R313" s="109">
        <f t="shared" si="39"/>
        <v>0.58473843000000003</v>
      </c>
      <c r="S313" s="89">
        <v>0</v>
      </c>
      <c r="T313" s="89">
        <v>0</v>
      </c>
      <c r="U313" s="89"/>
      <c r="V313" s="89"/>
      <c r="W313" s="89"/>
      <c r="X313" s="89"/>
      <c r="Y313" s="89"/>
      <c r="Z313" s="89"/>
      <c r="AA313" s="89"/>
      <c r="AB313" s="89"/>
      <c r="AC313" s="355"/>
      <c r="AD313" s="355"/>
      <c r="AE313" s="355"/>
      <c r="AF313" s="94">
        <f t="shared" si="34"/>
        <v>43220</v>
      </c>
      <c r="AG313" s="185">
        <f t="shared" ref="AG313:AG376" si="40">IF(C313&lt;&gt;C312,D313/G313-1,(D313-G313-I313-H313)/(D312)-1)</f>
        <v>9.8214122979385365E-3</v>
      </c>
      <c r="AH313" s="339" t="str">
        <f>VLOOKUP(B313,'MF PF'!A:B,2)</f>
        <v>Coinv</v>
      </c>
      <c r="AI313" s="358">
        <f t="shared" si="35"/>
        <v>0</v>
      </c>
      <c r="AJ313" s="94">
        <f t="shared" si="36"/>
        <v>43220</v>
      </c>
    </row>
    <row r="314" spans="1:36" ht="12.75" customHeight="1">
      <c r="A314" s="94">
        <v>43251</v>
      </c>
      <c r="B314" s="358" t="s">
        <v>83</v>
      </c>
      <c r="C314" s="358" t="s">
        <v>297</v>
      </c>
      <c r="D314" s="374">
        <v>2545874.9087597281</v>
      </c>
      <c r="E314" s="9" t="str">
        <f t="shared" ref="E314:E318" si="41">IF(K314="","",D314/K314)</f>
        <v/>
      </c>
      <c r="F314" s="47"/>
      <c r="G314" s="47">
        <v>0</v>
      </c>
      <c r="H314" s="98">
        <v>0</v>
      </c>
      <c r="I314" s="98">
        <f>-77187.5*0</f>
        <v>0</v>
      </c>
      <c r="J314" s="98"/>
      <c r="K314" s="93"/>
      <c r="L314" s="93">
        <f t="shared" si="32"/>
        <v>0</v>
      </c>
      <c r="M314" s="95" t="e">
        <f t="shared" ca="1" si="33"/>
        <v>#DIV/0!</v>
      </c>
      <c r="N314" s="95">
        <f>IF(P314="Hedge Fund",IF(A314=Summary!$AD$3,M314-E314,M314),IF(A314=Summary!$AD$3,L314-D314,L314))</f>
        <v>0</v>
      </c>
      <c r="O314" s="95"/>
      <c r="P314" s="89" t="s">
        <v>155</v>
      </c>
      <c r="Q314" s="109">
        <f t="shared" si="38"/>
        <v>4.1666666666666666E-3</v>
      </c>
      <c r="R314" s="109">
        <f t="shared" si="39"/>
        <v>0.58632788493798649</v>
      </c>
      <c r="S314" s="89">
        <v>0</v>
      </c>
      <c r="T314" s="89">
        <v>0</v>
      </c>
      <c r="U314" s="89"/>
      <c r="V314" s="89"/>
      <c r="W314" s="89"/>
      <c r="X314" s="89"/>
      <c r="Y314" s="89"/>
      <c r="Z314" s="89"/>
      <c r="AA314" s="89"/>
      <c r="AB314" s="89"/>
      <c r="AC314" s="355"/>
      <c r="AD314" s="355"/>
      <c r="AE314" s="355"/>
      <c r="AF314" s="94">
        <f t="shared" si="34"/>
        <v>43251</v>
      </c>
      <c r="AG314" s="185">
        <f t="shared" si="40"/>
        <v>1.2644396875112207E-2</v>
      </c>
      <c r="AH314" s="339" t="str">
        <f>VLOOKUP(B314,'MF PF'!A:B,2)</f>
        <v>Coinv</v>
      </c>
      <c r="AI314" s="358">
        <f t="shared" si="35"/>
        <v>0</v>
      </c>
      <c r="AJ314" s="94">
        <f t="shared" si="36"/>
        <v>43251</v>
      </c>
    </row>
    <row r="315" spans="1:36" ht="12.75" customHeight="1">
      <c r="A315" s="94">
        <v>43280</v>
      </c>
      <c r="B315" s="358" t="s">
        <v>83</v>
      </c>
      <c r="C315" s="358" t="s">
        <v>297</v>
      </c>
      <c r="D315" s="374">
        <v>2575928.85</v>
      </c>
      <c r="E315" s="9" t="str">
        <f t="shared" si="41"/>
        <v/>
      </c>
      <c r="F315" s="47"/>
      <c r="G315" s="47">
        <v>0</v>
      </c>
      <c r="H315" s="98">
        <v>0</v>
      </c>
      <c r="I315" s="98">
        <f>-77187.5*0</f>
        <v>0</v>
      </c>
      <c r="J315" s="98"/>
      <c r="L315" s="93">
        <f t="shared" si="32"/>
        <v>0</v>
      </c>
      <c r="M315" s="95" t="e">
        <f t="shared" ca="1" si="33"/>
        <v>#DIV/0!</v>
      </c>
      <c r="N315" s="95">
        <f>IF(P315="Hedge Fund",IF(A315=Summary!$AD$3,M315-E315,M315),IF(A315=Summary!$AD$3,L315-D315,L315))</f>
        <v>0</v>
      </c>
      <c r="O315" s="95"/>
      <c r="P315" s="89" t="s">
        <v>155</v>
      </c>
      <c r="Q315" s="109">
        <f t="shared" si="38"/>
        <v>4.1666666666666666E-3</v>
      </c>
      <c r="R315" s="109">
        <f t="shared" si="39"/>
        <v>0.58783058200000005</v>
      </c>
      <c r="S315" s="89">
        <v>0</v>
      </c>
      <c r="T315" s="89">
        <v>0</v>
      </c>
      <c r="U315" s="89"/>
      <c r="V315" s="89"/>
      <c r="W315" s="89"/>
      <c r="X315" s="89"/>
      <c r="Y315" s="89"/>
      <c r="Z315" s="89"/>
      <c r="AA315" s="89"/>
      <c r="AB315" s="89"/>
      <c r="AC315" s="355"/>
      <c r="AD315" s="355"/>
      <c r="AE315" s="355"/>
      <c r="AF315" s="94">
        <f t="shared" si="34"/>
        <v>43280</v>
      </c>
      <c r="AG315" s="185">
        <f t="shared" si="40"/>
        <v>1.1804955984625831E-2</v>
      </c>
      <c r="AH315" s="339" t="str">
        <f>VLOOKUP(B315,'MF PF'!A:B,2)</f>
        <v>Coinv</v>
      </c>
      <c r="AI315" s="358">
        <f t="shared" si="35"/>
        <v>0</v>
      </c>
      <c r="AJ315" s="94">
        <f t="shared" si="36"/>
        <v>43281</v>
      </c>
    </row>
    <row r="316" spans="1:36" ht="12.75" customHeight="1">
      <c r="A316" s="94">
        <v>43312</v>
      </c>
      <c r="B316" s="358" t="s">
        <v>83</v>
      </c>
      <c r="C316" s="358" t="s">
        <v>297</v>
      </c>
      <c r="D316" s="374">
        <v>2524083.7422295436</v>
      </c>
      <c r="E316" s="9" t="str">
        <f t="shared" si="41"/>
        <v/>
      </c>
      <c r="F316" s="47"/>
      <c r="G316" s="47">
        <v>0</v>
      </c>
      <c r="H316" s="110"/>
      <c r="I316" s="110">
        <v>-77187.5</v>
      </c>
      <c r="J316" s="110"/>
      <c r="K316" s="93"/>
      <c r="L316" s="93">
        <f t="shared" si="32"/>
        <v>-77187.5</v>
      </c>
      <c r="M316" s="95" t="e">
        <f t="shared" ca="1" si="33"/>
        <v>#DIV/0!</v>
      </c>
      <c r="N316" s="95">
        <f>IF(P316="Hedge Fund",IF(A316=Summary!$AD$3,M316-E316,M316),IF(A316=Summary!$AD$3,L316-D316,L316))</f>
        <v>-77187.5</v>
      </c>
      <c r="O316" s="95"/>
      <c r="P316" s="89" t="s">
        <v>155</v>
      </c>
      <c r="Q316" s="109">
        <f t="shared" si="38"/>
        <v>4.1666666666666666E-3</v>
      </c>
      <c r="R316" s="109">
        <f t="shared" si="39"/>
        <v>0.58523832661147723</v>
      </c>
      <c r="S316" s="89">
        <v>0</v>
      </c>
      <c r="T316" s="89">
        <v>0</v>
      </c>
      <c r="U316" s="89"/>
      <c r="V316" s="89"/>
      <c r="W316" s="89"/>
      <c r="X316" s="89"/>
      <c r="Y316" s="89"/>
      <c r="Z316" s="89"/>
      <c r="AA316" s="89"/>
      <c r="AB316" s="89"/>
      <c r="AC316" s="355"/>
      <c r="AD316" s="355"/>
      <c r="AE316" s="355"/>
      <c r="AF316" s="94">
        <f t="shared" si="34"/>
        <v>43312</v>
      </c>
      <c r="AG316" s="185">
        <f t="shared" si="40"/>
        <v>9.8381569155310267E-3</v>
      </c>
      <c r="AH316" s="339" t="str">
        <f>VLOOKUP(B316,'MF PF'!A:B,2)</f>
        <v>Coinv</v>
      </c>
      <c r="AI316" s="358">
        <f t="shared" si="35"/>
        <v>0</v>
      </c>
      <c r="AJ316" s="94">
        <f t="shared" si="36"/>
        <v>43312</v>
      </c>
    </row>
    <row r="317" spans="1:36" ht="12.75" customHeight="1">
      <c r="A317" s="94">
        <v>43343</v>
      </c>
      <c r="B317" s="358" t="s">
        <v>83</v>
      </c>
      <c r="C317" s="358" t="s">
        <v>297</v>
      </c>
      <c r="D317" s="374">
        <v>2555998.4625278935</v>
      </c>
      <c r="E317" s="9" t="str">
        <f t="shared" si="41"/>
        <v/>
      </c>
      <c r="F317" s="98"/>
      <c r="G317" s="98">
        <v>0</v>
      </c>
      <c r="H317" s="110"/>
      <c r="I317" s="110">
        <v>0</v>
      </c>
      <c r="J317" s="110"/>
      <c r="K317" s="93"/>
      <c r="L317" s="93">
        <f t="shared" si="32"/>
        <v>0</v>
      </c>
      <c r="M317" s="95" t="e">
        <f t="shared" ca="1" si="33"/>
        <v>#DIV/0!</v>
      </c>
      <c r="N317" s="95">
        <f>IF(P317="Hedge Fund",IF(A317=Summary!$AD$3,M317-E317,M317),IF(A317=Summary!$AD$3,L317-D317,L317))</f>
        <v>0</v>
      </c>
      <c r="O317" s="95"/>
      <c r="P317" s="89" t="s">
        <v>155</v>
      </c>
      <c r="Q317" s="109">
        <f t="shared" si="38"/>
        <v>4.1666666666666666E-3</v>
      </c>
      <c r="R317" s="109">
        <f t="shared" si="39"/>
        <v>0.5868340626263947</v>
      </c>
      <c r="S317" s="107">
        <v>0</v>
      </c>
      <c r="T317" s="107">
        <v>0</v>
      </c>
      <c r="U317" s="107"/>
      <c r="V317" s="107"/>
      <c r="W317" s="107"/>
      <c r="X317" s="107"/>
      <c r="Y317" s="107"/>
      <c r="Z317" s="107"/>
      <c r="AA317" s="107"/>
      <c r="AB317" s="107"/>
      <c r="AC317" s="355"/>
      <c r="AD317" s="355"/>
      <c r="AE317" s="355"/>
      <c r="AF317" s="94">
        <f t="shared" si="34"/>
        <v>43343</v>
      </c>
      <c r="AG317" s="185">
        <f t="shared" si="40"/>
        <v>1.2644081400468687E-2</v>
      </c>
      <c r="AH317" s="339" t="str">
        <f>VLOOKUP(B317,'MF PF'!A:B,2)</f>
        <v>Coinv</v>
      </c>
      <c r="AI317" s="358">
        <f t="shared" si="35"/>
        <v>0</v>
      </c>
      <c r="AJ317" s="94">
        <f t="shared" si="36"/>
        <v>43343</v>
      </c>
    </row>
    <row r="318" spans="1:36" ht="12.75" customHeight="1">
      <c r="A318" s="94">
        <v>43371</v>
      </c>
      <c r="B318" s="358" t="s">
        <v>83</v>
      </c>
      <c r="C318" s="358" t="s">
        <v>297</v>
      </c>
      <c r="D318" s="374">
        <v>2587230.6109355227</v>
      </c>
      <c r="E318" s="9" t="str">
        <f t="shared" si="41"/>
        <v/>
      </c>
      <c r="F318" s="98"/>
      <c r="G318" s="98">
        <v>0</v>
      </c>
      <c r="H318" s="110"/>
      <c r="I318" s="110">
        <v>0</v>
      </c>
      <c r="J318" s="110"/>
      <c r="K318" s="93"/>
      <c r="L318" s="93">
        <f t="shared" si="32"/>
        <v>0</v>
      </c>
      <c r="M318" s="95" t="e">
        <f t="shared" ca="1" si="33"/>
        <v>#DIV/0!</v>
      </c>
      <c r="N318" s="95">
        <f>IF(P318="Hedge Fund",IF(A318=Summary!$AD$3,M318-E318,M318),IF(A318=Summary!$AD$3,L318-D318,L318))</f>
        <v>0</v>
      </c>
      <c r="O318" s="95"/>
      <c r="P318" s="107" t="s">
        <v>155</v>
      </c>
      <c r="Q318" s="109">
        <f t="shared" si="38"/>
        <v>4.1666666666666666E-3</v>
      </c>
      <c r="R318" s="109">
        <f t="shared" si="39"/>
        <v>0.58839567004677618</v>
      </c>
      <c r="S318" s="107">
        <v>0</v>
      </c>
      <c r="T318" s="107">
        <v>0</v>
      </c>
      <c r="U318" s="107"/>
      <c r="V318" s="107"/>
      <c r="W318" s="107"/>
      <c r="X318" s="107"/>
      <c r="Y318" s="107"/>
      <c r="Z318" s="107"/>
      <c r="AA318" s="107"/>
      <c r="AB318" s="107"/>
      <c r="AC318" s="355"/>
      <c r="AD318" s="355"/>
      <c r="AE318" s="355"/>
      <c r="AF318" s="94">
        <f t="shared" si="34"/>
        <v>43371</v>
      </c>
      <c r="AG318" s="185">
        <f t="shared" si="40"/>
        <v>1.2219157744226772E-2</v>
      </c>
      <c r="AH318" s="339" t="str">
        <f>VLOOKUP(B318,'MF PF'!A:B,2)</f>
        <v>Coinv</v>
      </c>
      <c r="AI318" s="358">
        <f t="shared" si="35"/>
        <v>0</v>
      </c>
      <c r="AJ318" s="94">
        <f t="shared" si="36"/>
        <v>43373</v>
      </c>
    </row>
    <row r="319" spans="1:36" ht="12.75" customHeight="1">
      <c r="A319" s="94">
        <v>43404</v>
      </c>
      <c r="B319" s="358" t="s">
        <v>83</v>
      </c>
      <c r="C319" s="358" t="s">
        <v>297</v>
      </c>
      <c r="D319" s="374">
        <v>0</v>
      </c>
      <c r="F319" s="93"/>
      <c r="G319" s="93"/>
      <c r="H319" s="93"/>
      <c r="I319" s="93">
        <v>-2602597</v>
      </c>
      <c r="K319" s="93"/>
      <c r="L319" s="93">
        <f t="shared" si="32"/>
        <v>-2602597</v>
      </c>
      <c r="M319" s="95" t="e">
        <f t="shared" ca="1" si="33"/>
        <v>#DIV/0!</v>
      </c>
      <c r="N319" s="95">
        <f>IF(P319="Hedge Fund",IF(A319=Summary!$AD$3,M319-E319,M319),IF(A319=Summary!$AD$3,L319-D319,L319))</f>
        <v>-2602597</v>
      </c>
      <c r="O319" s="95"/>
      <c r="P319" s="107" t="s">
        <v>155</v>
      </c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  <c r="AC319" s="355"/>
      <c r="AD319" s="355"/>
      <c r="AE319" s="355"/>
      <c r="AF319" s="94">
        <f t="shared" si="34"/>
        <v>43404</v>
      </c>
      <c r="AG319" s="185">
        <f t="shared" si="40"/>
        <v>5.9393194404580019E-3</v>
      </c>
      <c r="AH319" s="339" t="str">
        <f>VLOOKUP(B319,'MF PF'!A:B,2)</f>
        <v>Coinv</v>
      </c>
      <c r="AI319" s="358">
        <f t="shared" si="35"/>
        <v>0</v>
      </c>
      <c r="AJ319" s="94">
        <f t="shared" si="36"/>
        <v>43404</v>
      </c>
    </row>
    <row r="320" spans="1:36" ht="12.75" customHeight="1">
      <c r="A320" s="94">
        <v>43434</v>
      </c>
      <c r="B320" s="358" t="s">
        <v>83</v>
      </c>
      <c r="C320" s="358" t="s">
        <v>297</v>
      </c>
      <c r="D320" s="374">
        <v>0</v>
      </c>
      <c r="F320" s="93"/>
      <c r="G320" s="93"/>
      <c r="H320" s="93"/>
      <c r="I320" s="93"/>
      <c r="K320" s="93"/>
      <c r="L320" s="93">
        <f t="shared" si="32"/>
        <v>0</v>
      </c>
      <c r="M320" s="95" t="e">
        <f t="shared" ca="1" si="33"/>
        <v>#DIV/0!</v>
      </c>
      <c r="N320" s="95">
        <f>IF(P320="Hedge Fund",IF(A320=Summary!$AD$3,M320-E320,M320),IF(A320=Summary!$AD$3,L320-D320,L320))</f>
        <v>0</v>
      </c>
      <c r="O320" s="95"/>
      <c r="P320" s="95" t="s">
        <v>155</v>
      </c>
      <c r="Q320" s="95"/>
      <c r="R320" s="93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  <c r="AC320" s="355"/>
      <c r="AD320" s="355"/>
      <c r="AE320" s="355"/>
      <c r="AF320" s="94">
        <f t="shared" si="34"/>
        <v>43434</v>
      </c>
      <c r="AG320" s="185" t="e">
        <f t="shared" si="40"/>
        <v>#DIV/0!</v>
      </c>
      <c r="AH320" s="339" t="str">
        <f>VLOOKUP(B320,'MF PF'!A:B,2)</f>
        <v>Coinv</v>
      </c>
      <c r="AI320" s="358">
        <f t="shared" si="35"/>
        <v>0</v>
      </c>
      <c r="AJ320" s="94">
        <f t="shared" si="36"/>
        <v>43434</v>
      </c>
    </row>
    <row r="321" spans="1:36" ht="12.75" customHeight="1">
      <c r="A321" s="97">
        <v>41578</v>
      </c>
      <c r="B321" s="8" t="s">
        <v>136</v>
      </c>
      <c r="C321" s="96" t="s">
        <v>299</v>
      </c>
      <c r="D321" s="374">
        <v>1570000</v>
      </c>
      <c r="E321" s="9" t="e">
        <f t="shared" ref="E321:E352" si="42">D321/K321</f>
        <v>#DIV/0!</v>
      </c>
      <c r="F321" s="47">
        <v>31.4</v>
      </c>
      <c r="G321" s="47">
        <v>1570000</v>
      </c>
      <c r="H321" s="47">
        <v>0</v>
      </c>
      <c r="I321" s="47">
        <v>0</v>
      </c>
      <c r="J321" s="98"/>
      <c r="K321" s="93"/>
      <c r="L321" s="93">
        <f t="shared" si="32"/>
        <v>1570000</v>
      </c>
      <c r="M321" s="95" t="e">
        <f t="shared" ca="1" si="33"/>
        <v>#DIV/0!</v>
      </c>
      <c r="N321" s="95">
        <f>IF(P321="Hedge Fund",IF(A321=Summary!$AD$3,M321-E321,M321),IF(A321=Summary!$AD$3,L321-D321,L321))</f>
        <v>1570000</v>
      </c>
      <c r="O321" s="95">
        <f t="shared" ref="O321:O352" si="43">N321</f>
        <v>1570000</v>
      </c>
      <c r="P321" s="89" t="s">
        <v>155</v>
      </c>
      <c r="Q321" s="107">
        <v>0</v>
      </c>
      <c r="R321" s="107">
        <v>0</v>
      </c>
      <c r="S321" s="89">
        <v>0</v>
      </c>
      <c r="T321" s="89">
        <v>0</v>
      </c>
      <c r="U321" s="89"/>
      <c r="V321" s="89"/>
      <c r="W321" s="89"/>
      <c r="X321" s="89"/>
      <c r="Y321" s="89"/>
      <c r="Z321" s="89"/>
      <c r="AA321" s="89"/>
      <c r="AB321" s="89"/>
      <c r="AC321" s="355"/>
      <c r="AD321" s="355"/>
      <c r="AE321" s="355"/>
      <c r="AF321" s="94">
        <f t="shared" si="34"/>
        <v>41578</v>
      </c>
      <c r="AG321" s="185">
        <f t="shared" si="40"/>
        <v>0</v>
      </c>
      <c r="AH321" s="339" t="str">
        <f>VLOOKUP(B321,'MF PF'!A:B,2)</f>
        <v>FdMgt1</v>
      </c>
      <c r="AI321" s="358">
        <f t="shared" si="35"/>
        <v>0</v>
      </c>
      <c r="AJ321" s="94">
        <f t="shared" si="36"/>
        <v>41578</v>
      </c>
    </row>
    <row r="322" spans="1:36" ht="12.75" customHeight="1">
      <c r="A322" s="97">
        <v>41607</v>
      </c>
      <c r="B322" s="8" t="s">
        <v>136</v>
      </c>
      <c r="C322" s="96" t="s">
        <v>299</v>
      </c>
      <c r="D322" s="374">
        <v>1538219.61</v>
      </c>
      <c r="E322" s="9" t="e">
        <f t="shared" si="42"/>
        <v>#DIV/0!</v>
      </c>
      <c r="F322" s="47">
        <v>31.4</v>
      </c>
      <c r="G322" s="47">
        <v>0</v>
      </c>
      <c r="H322" s="47">
        <v>0</v>
      </c>
      <c r="I322" s="47">
        <v>0</v>
      </c>
      <c r="J322" s="98"/>
      <c r="K322" s="93"/>
      <c r="L322" s="93">
        <f t="shared" si="32"/>
        <v>0</v>
      </c>
      <c r="M322" s="95" t="e">
        <f t="shared" ca="1" si="33"/>
        <v>#DIV/0!</v>
      </c>
      <c r="N322" s="95">
        <f>IF(P322="Hedge Fund",IF(A322=Summary!$AD$3,M322-E322,M322),IF(A322=Summary!$AD$3,L322-D322,L322))</f>
        <v>0</v>
      </c>
      <c r="O322" s="95">
        <f t="shared" si="43"/>
        <v>0</v>
      </c>
      <c r="P322" s="89" t="s">
        <v>155</v>
      </c>
      <c r="Q322" s="107">
        <v>3.4054307453827699E-3</v>
      </c>
      <c r="R322" s="107">
        <v>0</v>
      </c>
      <c r="S322" s="89">
        <v>0</v>
      </c>
      <c r="T322" s="89">
        <v>0</v>
      </c>
      <c r="U322" s="89"/>
      <c r="V322" s="89"/>
      <c r="W322" s="89"/>
      <c r="X322" s="89"/>
      <c r="Y322" s="89"/>
      <c r="Z322" s="89"/>
      <c r="AA322" s="89"/>
      <c r="AB322" s="89"/>
      <c r="AC322" s="355"/>
      <c r="AD322" s="355"/>
      <c r="AE322" s="355"/>
      <c r="AF322" s="94">
        <f t="shared" si="34"/>
        <v>41607</v>
      </c>
      <c r="AG322" s="185">
        <f t="shared" si="40"/>
        <v>-2.0242286624203798E-2</v>
      </c>
      <c r="AH322" s="339" t="str">
        <f>VLOOKUP(B322,'MF PF'!A:B,2)</f>
        <v>FdMgt1</v>
      </c>
      <c r="AI322" s="358">
        <f t="shared" si="35"/>
        <v>0</v>
      </c>
      <c r="AJ322" s="94">
        <f t="shared" si="36"/>
        <v>41608</v>
      </c>
    </row>
    <row r="323" spans="1:36" ht="12.75" customHeight="1">
      <c r="A323" s="97">
        <v>41639</v>
      </c>
      <c r="B323" s="94" t="s">
        <v>136</v>
      </c>
      <c r="C323" s="96" t="s">
        <v>299</v>
      </c>
      <c r="D323" s="374">
        <v>3231889.6</v>
      </c>
      <c r="E323" s="9" t="e">
        <f t="shared" si="42"/>
        <v>#DIV/0!</v>
      </c>
      <c r="F323" s="47">
        <v>31.4</v>
      </c>
      <c r="G323" s="47">
        <v>1570000</v>
      </c>
      <c r="H323" s="47">
        <v>0</v>
      </c>
      <c r="I323" s="98">
        <v>0</v>
      </c>
      <c r="J323" s="98"/>
      <c r="K323" s="93"/>
      <c r="L323" s="93">
        <f t="shared" ref="L323:L386" si="44">G323+H323+I323</f>
        <v>1570000</v>
      </c>
      <c r="M323" s="95" t="e">
        <f t="shared" ref="M323:M386" ca="1" si="45">IF(A323&gt;INDIRECT("A"&amp;ROW()-1),I323/K323,E323)</f>
        <v>#DIV/0!</v>
      </c>
      <c r="N323" s="95">
        <f>IF(P323="Hedge Fund",IF(A323=Summary!$AD$3,M323-E323,M323),IF(A323=Summary!$AD$3,L323-D323,L323))</f>
        <v>1570000</v>
      </c>
      <c r="O323" s="95">
        <f t="shared" si="43"/>
        <v>1570000</v>
      </c>
      <c r="P323" s="89" t="s">
        <v>155</v>
      </c>
      <c r="Q323" s="107">
        <v>1.00555717317576E-2</v>
      </c>
      <c r="R323" s="107">
        <v>9.1083766999999777E-3</v>
      </c>
      <c r="S323" s="89">
        <v>0</v>
      </c>
      <c r="T323" s="89">
        <v>0</v>
      </c>
      <c r="U323" s="89"/>
      <c r="V323" s="89"/>
      <c r="W323" s="89"/>
      <c r="X323" s="89"/>
      <c r="Y323" s="89"/>
      <c r="Z323" s="89"/>
      <c r="AA323" s="89"/>
      <c r="AB323" s="89"/>
      <c r="AC323" s="355"/>
      <c r="AD323" s="355"/>
      <c r="AE323" s="355"/>
      <c r="AF323" s="94">
        <f t="shared" ref="AF323:AF386" si="46">A323</f>
        <v>41639</v>
      </c>
      <c r="AG323" s="185">
        <f t="shared" si="40"/>
        <v>8.0398136388340591E-2</v>
      </c>
      <c r="AH323" s="339" t="str">
        <f>VLOOKUP(B323,'MF PF'!A:B,2)</f>
        <v>FdMgt1</v>
      </c>
      <c r="AI323" s="358">
        <f t="shared" ref="AI323:AI386" si="47">AF323-A323</f>
        <v>0</v>
      </c>
      <c r="AJ323" s="94">
        <f t="shared" ref="AJ323:AJ386" si="48">EOMONTH(A323,0)</f>
        <v>41639</v>
      </c>
    </row>
    <row r="324" spans="1:36" ht="12.75" customHeight="1">
      <c r="A324" s="97">
        <v>41669</v>
      </c>
      <c r="B324" s="94" t="s">
        <v>136</v>
      </c>
      <c r="C324" s="96" t="s">
        <v>299</v>
      </c>
      <c r="D324" s="374">
        <v>13900618.630000001</v>
      </c>
      <c r="E324" s="9" t="e">
        <f t="shared" si="42"/>
        <v>#DIV/0!</v>
      </c>
      <c r="F324" s="47">
        <v>31.4</v>
      </c>
      <c r="G324" s="47">
        <v>10770200</v>
      </c>
      <c r="H324" s="47">
        <v>0</v>
      </c>
      <c r="I324" s="98">
        <v>0</v>
      </c>
      <c r="J324" s="98"/>
      <c r="L324" s="93">
        <f t="shared" si="44"/>
        <v>10770200</v>
      </c>
      <c r="M324" s="95" t="e">
        <f t="shared" ca="1" si="45"/>
        <v>#DIV/0!</v>
      </c>
      <c r="N324" s="95">
        <f>IF(P324="Hedge Fund",IF(A324=Summary!$AD$3,M324-E324,M324),IF(A324=Summary!$AD$3,L324-D324,L324))</f>
        <v>10770200</v>
      </c>
      <c r="O324" s="95">
        <f t="shared" si="43"/>
        <v>10770200</v>
      </c>
      <c r="P324" s="89" t="s">
        <v>155</v>
      </c>
      <c r="Q324" s="107">
        <v>1.54284713860697E-2</v>
      </c>
      <c r="R324" s="107">
        <v>0</v>
      </c>
      <c r="S324" s="89">
        <v>0</v>
      </c>
      <c r="T324" s="89">
        <v>0</v>
      </c>
      <c r="U324" s="89"/>
      <c r="V324" s="89"/>
      <c r="W324" s="89"/>
      <c r="X324" s="89"/>
      <c r="Y324" s="89"/>
      <c r="Z324" s="89"/>
      <c r="AA324" s="89"/>
      <c r="AB324" s="89"/>
      <c r="AC324" s="355"/>
      <c r="AD324" s="355"/>
      <c r="AE324" s="355"/>
      <c r="AF324" s="94">
        <f t="shared" si="46"/>
        <v>41669</v>
      </c>
      <c r="AG324" s="185">
        <f t="shared" si="40"/>
        <v>-3.139679338056578E-2</v>
      </c>
      <c r="AH324" s="339" t="str">
        <f>VLOOKUP(B324,'MF PF'!A:B,2)</f>
        <v>FdMgt1</v>
      </c>
      <c r="AI324" s="358">
        <f t="shared" si="47"/>
        <v>0</v>
      </c>
      <c r="AJ324" s="94">
        <f t="shared" si="48"/>
        <v>41670</v>
      </c>
    </row>
    <row r="325" spans="1:36" ht="12.75" customHeight="1">
      <c r="A325" s="97">
        <v>41698</v>
      </c>
      <c r="B325" s="94" t="s">
        <v>136</v>
      </c>
      <c r="C325" s="96" t="s">
        <v>299</v>
      </c>
      <c r="D325" s="374">
        <v>13941876.949999999</v>
      </c>
      <c r="E325" s="9" t="e">
        <f t="shared" si="42"/>
        <v>#DIV/0!</v>
      </c>
      <c r="F325" s="47">
        <v>31.4</v>
      </c>
      <c r="G325" s="47">
        <v>0</v>
      </c>
      <c r="H325" s="47">
        <v>0</v>
      </c>
      <c r="I325" s="98">
        <v>0</v>
      </c>
      <c r="J325" s="98"/>
      <c r="K325" s="93"/>
      <c r="L325" s="93">
        <f t="shared" si="44"/>
        <v>0</v>
      </c>
      <c r="M325" s="95" t="e">
        <f t="shared" ca="1" si="45"/>
        <v>#DIV/0!</v>
      </c>
      <c r="N325" s="95">
        <f>IF(P325="Hedge Fund",IF(A325=Summary!$AD$3,M325-E325,M325),IF(A325=Summary!$AD$3,L325-D325,L325))</f>
        <v>0</v>
      </c>
      <c r="O325" s="95">
        <f t="shared" si="43"/>
        <v>0</v>
      </c>
      <c r="P325" s="89" t="s">
        <v>155</v>
      </c>
      <c r="Q325" s="107">
        <v>1.4935254584058999E-2</v>
      </c>
      <c r="R325" s="107">
        <v>0</v>
      </c>
      <c r="S325" s="89">
        <v>0</v>
      </c>
      <c r="T325" s="89">
        <v>0</v>
      </c>
      <c r="U325" s="89"/>
      <c r="V325" s="89"/>
      <c r="W325" s="89"/>
      <c r="X325" s="89"/>
      <c r="Y325" s="89"/>
      <c r="Z325" s="89"/>
      <c r="AA325" s="89"/>
      <c r="AB325" s="89"/>
      <c r="AC325" s="355"/>
      <c r="AD325" s="355"/>
      <c r="AE325" s="355"/>
      <c r="AF325" s="94">
        <f t="shared" si="46"/>
        <v>41698</v>
      </c>
      <c r="AG325" s="185">
        <f t="shared" si="40"/>
        <v>2.9680923632389167E-3</v>
      </c>
      <c r="AH325" s="339" t="str">
        <f>VLOOKUP(B325,'MF PF'!A:B,2)</f>
        <v>FdMgt1</v>
      </c>
      <c r="AI325" s="358">
        <f t="shared" si="47"/>
        <v>0</v>
      </c>
      <c r="AJ325" s="94">
        <f t="shared" si="48"/>
        <v>41698</v>
      </c>
    </row>
    <row r="326" spans="1:36" ht="12.75" customHeight="1">
      <c r="A326" s="97">
        <v>41729</v>
      </c>
      <c r="B326" s="94" t="s">
        <v>136</v>
      </c>
      <c r="C326" s="96" t="s">
        <v>299</v>
      </c>
      <c r="D326" s="374">
        <v>13973652.550000001</v>
      </c>
      <c r="E326" s="9" t="e">
        <f t="shared" si="42"/>
        <v>#DIV/0!</v>
      </c>
      <c r="F326" s="47">
        <v>31.4</v>
      </c>
      <c r="G326" s="47">
        <v>0</v>
      </c>
      <c r="H326" s="47">
        <v>0</v>
      </c>
      <c r="I326" s="47">
        <v>0</v>
      </c>
      <c r="J326" s="98"/>
      <c r="K326" s="93"/>
      <c r="L326" s="93">
        <f t="shared" si="44"/>
        <v>0</v>
      </c>
      <c r="M326" s="95" t="e">
        <f t="shared" ca="1" si="45"/>
        <v>#DIV/0!</v>
      </c>
      <c r="N326" s="95">
        <f>IF(P326="Hedge Fund",IF(A326=Summary!$AD$3,M326-E326,M326),IF(A326=Summary!$AD$3,L326-D326,L326))</f>
        <v>0</v>
      </c>
      <c r="O326" s="95">
        <f t="shared" si="43"/>
        <v>0</v>
      </c>
      <c r="P326" s="89" t="s">
        <v>155</v>
      </c>
      <c r="Q326" s="107">
        <v>1.6006150595865399E-2</v>
      </c>
      <c r="R326" s="107">
        <v>8.7930480000003195E-4</v>
      </c>
      <c r="S326" s="89">
        <v>0</v>
      </c>
      <c r="T326" s="89">
        <v>0</v>
      </c>
      <c r="U326" s="89"/>
      <c r="V326" s="89"/>
      <c r="W326" s="89"/>
      <c r="X326" s="89"/>
      <c r="Y326" s="89"/>
      <c r="Z326" s="89"/>
      <c r="AA326" s="89"/>
      <c r="AB326" s="89"/>
      <c r="AC326" s="355"/>
      <c r="AD326" s="355"/>
      <c r="AE326" s="355"/>
      <c r="AF326" s="94">
        <f t="shared" si="46"/>
        <v>41729</v>
      </c>
      <c r="AG326" s="185">
        <f t="shared" si="40"/>
        <v>2.2791479306523144E-3</v>
      </c>
      <c r="AH326" s="339" t="str">
        <f>VLOOKUP(B326,'MF PF'!A:B,2)</f>
        <v>FdMgt1</v>
      </c>
      <c r="AI326" s="358">
        <f t="shared" si="47"/>
        <v>0</v>
      </c>
      <c r="AJ326" s="94">
        <f t="shared" si="48"/>
        <v>41729</v>
      </c>
    </row>
    <row r="327" spans="1:36" ht="12.75" customHeight="1">
      <c r="A327" s="97">
        <v>41759</v>
      </c>
      <c r="B327" s="94" t="s">
        <v>136</v>
      </c>
      <c r="C327" s="96" t="s">
        <v>299</v>
      </c>
      <c r="D327" s="374">
        <v>13544883.9679951</v>
      </c>
      <c r="E327" s="9" t="e">
        <f t="shared" si="42"/>
        <v>#DIV/0!</v>
      </c>
      <c r="F327" s="47">
        <v>31.4</v>
      </c>
      <c r="G327" s="47">
        <v>0</v>
      </c>
      <c r="H327" s="47">
        <v>0</v>
      </c>
      <c r="I327" s="98">
        <v>0</v>
      </c>
      <c r="J327" s="98"/>
      <c r="K327" s="93"/>
      <c r="L327" s="93">
        <f t="shared" si="44"/>
        <v>0</v>
      </c>
      <c r="M327" s="95" t="e">
        <f t="shared" ca="1" si="45"/>
        <v>#DIV/0!</v>
      </c>
      <c r="N327" s="95">
        <f>IF(P327="Hedge Fund",IF(A327=Summary!$AD$3,M327-E327,M327),IF(A327=Summary!$AD$3,L327-D327,L327))</f>
        <v>0</v>
      </c>
      <c r="O327" s="95">
        <f t="shared" si="43"/>
        <v>0</v>
      </c>
      <c r="P327" s="89" t="s">
        <v>155</v>
      </c>
      <c r="Q327" s="107">
        <v>1.6020908964155901E-2</v>
      </c>
      <c r="R327" s="107">
        <v>0</v>
      </c>
      <c r="S327" s="107">
        <v>0</v>
      </c>
      <c r="T327" s="107">
        <v>0</v>
      </c>
      <c r="U327" s="107"/>
      <c r="V327" s="107"/>
      <c r="W327" s="107"/>
      <c r="X327" s="107"/>
      <c r="Y327" s="89"/>
      <c r="Z327" s="89"/>
      <c r="AA327" s="89"/>
      <c r="AB327" s="89"/>
      <c r="AC327" s="355"/>
      <c r="AD327" s="355"/>
      <c r="AE327" s="355"/>
      <c r="AF327" s="94">
        <f t="shared" si="46"/>
        <v>41759</v>
      </c>
      <c r="AG327" s="185">
        <f t="shared" si="40"/>
        <v>-3.0684073506958676E-2</v>
      </c>
      <c r="AH327" s="339" t="str">
        <f>VLOOKUP(B327,'MF PF'!A:B,2)</f>
        <v>FdMgt1</v>
      </c>
      <c r="AI327" s="358">
        <f t="shared" si="47"/>
        <v>0</v>
      </c>
      <c r="AJ327" s="94">
        <f t="shared" si="48"/>
        <v>41759</v>
      </c>
    </row>
    <row r="328" spans="1:36" ht="12.75" customHeight="1">
      <c r="A328" s="97">
        <v>41789</v>
      </c>
      <c r="B328" s="94" t="s">
        <v>136</v>
      </c>
      <c r="C328" s="96" t="s">
        <v>299</v>
      </c>
      <c r="D328" s="374">
        <v>13580251.029999999</v>
      </c>
      <c r="E328" s="9" t="e">
        <f t="shared" si="42"/>
        <v>#DIV/0!</v>
      </c>
      <c r="F328" s="47">
        <v>31.4</v>
      </c>
      <c r="G328" s="47">
        <v>0</v>
      </c>
      <c r="H328" s="47">
        <v>0</v>
      </c>
      <c r="I328" s="47">
        <v>0</v>
      </c>
      <c r="J328" s="98"/>
      <c r="K328" s="93"/>
      <c r="L328" s="93">
        <f t="shared" si="44"/>
        <v>0</v>
      </c>
      <c r="M328" s="95" t="e">
        <f t="shared" ca="1" si="45"/>
        <v>#DIV/0!</v>
      </c>
      <c r="N328" s="95">
        <f>IF(P328="Hedge Fund",IF(A328=Summary!$AD$3,M328-E328,M328),IF(A328=Summary!$AD$3,L328-D328,L328))</f>
        <v>0</v>
      </c>
      <c r="O328" s="95">
        <f t="shared" si="43"/>
        <v>0</v>
      </c>
      <c r="P328" s="89" t="s">
        <v>155</v>
      </c>
      <c r="Q328" s="107">
        <v>1.6046626098367201E-2</v>
      </c>
      <c r="R328" s="107">
        <v>0</v>
      </c>
      <c r="S328" s="89">
        <v>0</v>
      </c>
      <c r="T328" s="89">
        <v>0</v>
      </c>
      <c r="U328" s="89"/>
      <c r="V328" s="89"/>
      <c r="W328" s="89"/>
      <c r="X328" s="89"/>
      <c r="Y328" s="89"/>
      <c r="Z328" s="89"/>
      <c r="AA328" s="89"/>
      <c r="AB328" s="89"/>
      <c r="AC328" s="355"/>
      <c r="AD328" s="355"/>
      <c r="AE328" s="355"/>
      <c r="AF328" s="94">
        <f t="shared" si="46"/>
        <v>41789</v>
      </c>
      <c r="AG328" s="185">
        <f t="shared" si="40"/>
        <v>2.6111011425766772E-3</v>
      </c>
      <c r="AH328" s="339" t="str">
        <f>VLOOKUP(B328,'MF PF'!A:B,2)</f>
        <v>FdMgt1</v>
      </c>
      <c r="AI328" s="358">
        <f t="shared" si="47"/>
        <v>0</v>
      </c>
      <c r="AJ328" s="94">
        <f t="shared" si="48"/>
        <v>41790</v>
      </c>
    </row>
    <row r="329" spans="1:36" ht="12.75" customHeight="1">
      <c r="A329" s="97">
        <v>41820</v>
      </c>
      <c r="B329" s="94" t="s">
        <v>136</v>
      </c>
      <c r="C329" s="96" t="s">
        <v>299</v>
      </c>
      <c r="D329" s="374">
        <v>13509914.300000001</v>
      </c>
      <c r="E329" s="9" t="e">
        <f t="shared" si="42"/>
        <v>#DIV/0!</v>
      </c>
      <c r="F329" s="98">
        <v>31.4</v>
      </c>
      <c r="G329" s="98">
        <v>0</v>
      </c>
      <c r="H329" s="98">
        <v>0</v>
      </c>
      <c r="I329" s="98">
        <v>0</v>
      </c>
      <c r="J329" s="98"/>
      <c r="K329" s="93"/>
      <c r="L329" s="93">
        <f t="shared" si="44"/>
        <v>0</v>
      </c>
      <c r="M329" s="95" t="e">
        <f t="shared" ca="1" si="45"/>
        <v>#DIV/0!</v>
      </c>
      <c r="N329" s="95">
        <f>IF(P329="Hedge Fund",IF(A329=Summary!$AD$3,M329-E329,M329),IF(A329=Summary!$AD$3,L329-D329,L329))</f>
        <v>0</v>
      </c>
      <c r="O329" s="95">
        <f t="shared" si="43"/>
        <v>0</v>
      </c>
      <c r="P329" s="89" t="s">
        <v>155</v>
      </c>
      <c r="Q329" s="107">
        <v>1.54705351970461E-2</v>
      </c>
      <c r="R329" s="107">
        <v>0</v>
      </c>
      <c r="S329" s="107">
        <v>0</v>
      </c>
      <c r="T329" s="107">
        <v>0</v>
      </c>
      <c r="U329" s="107"/>
      <c r="V329" s="107"/>
      <c r="W329" s="107"/>
      <c r="X329" s="107"/>
      <c r="Y329" s="107"/>
      <c r="Z329" s="107"/>
      <c r="AA329" s="107"/>
      <c r="AB329" s="107"/>
      <c r="AC329" s="355"/>
      <c r="AD329" s="355"/>
      <c r="AE329" s="355"/>
      <c r="AF329" s="94">
        <f t="shared" si="46"/>
        <v>41820</v>
      </c>
      <c r="AG329" s="185">
        <f t="shared" si="40"/>
        <v>-5.1793394573206308E-3</v>
      </c>
      <c r="AH329" s="339" t="str">
        <f>VLOOKUP(B329,'MF PF'!A:B,2)</f>
        <v>FdMgt1</v>
      </c>
      <c r="AI329" s="358">
        <f t="shared" si="47"/>
        <v>0</v>
      </c>
      <c r="AJ329" s="94">
        <f t="shared" si="48"/>
        <v>41820</v>
      </c>
    </row>
    <row r="330" spans="1:36" s="92" customFormat="1" ht="12.75" customHeight="1">
      <c r="A330" s="97">
        <v>41851</v>
      </c>
      <c r="B330" s="94" t="s">
        <v>136</v>
      </c>
      <c r="C330" s="96" t="s">
        <v>299</v>
      </c>
      <c r="D330" s="374">
        <v>13807474.706977401</v>
      </c>
      <c r="E330" s="95" t="e">
        <f t="shared" si="42"/>
        <v>#DIV/0!</v>
      </c>
      <c r="F330" s="98">
        <v>31.4</v>
      </c>
      <c r="G330" s="98">
        <v>0</v>
      </c>
      <c r="H330" s="98">
        <v>0</v>
      </c>
      <c r="I330" s="98">
        <v>0</v>
      </c>
      <c r="J330" s="98"/>
      <c r="K330" s="93"/>
      <c r="L330" s="93">
        <f t="shared" si="44"/>
        <v>0</v>
      </c>
      <c r="M330" s="95" t="e">
        <f t="shared" ca="1" si="45"/>
        <v>#DIV/0!</v>
      </c>
      <c r="N330" s="95">
        <f>IF(P330="Hedge Fund",IF(A330=Summary!$AD$3,M330-E330,M330),IF(A330=Summary!$AD$3,L330-D330,L330))</f>
        <v>0</v>
      </c>
      <c r="O330" s="95">
        <f t="shared" si="43"/>
        <v>0</v>
      </c>
      <c r="P330" s="107" t="s">
        <v>155</v>
      </c>
      <c r="Q330" s="107">
        <v>2.57017146390193E-2</v>
      </c>
      <c r="R330" s="107">
        <v>0</v>
      </c>
      <c r="S330" s="107">
        <v>0</v>
      </c>
      <c r="T330" s="107">
        <v>0</v>
      </c>
      <c r="U330" s="107"/>
      <c r="V330" s="107"/>
      <c r="W330" s="107"/>
      <c r="X330" s="107"/>
      <c r="Y330" s="107"/>
      <c r="Z330" s="107"/>
      <c r="AA330" s="107"/>
      <c r="AB330" s="107"/>
      <c r="AC330" s="355"/>
      <c r="AD330" s="355"/>
      <c r="AE330" s="355"/>
      <c r="AF330" s="94">
        <f t="shared" si="46"/>
        <v>41851</v>
      </c>
      <c r="AG330" s="185">
        <f t="shared" si="40"/>
        <v>2.2025336384065675E-2</v>
      </c>
      <c r="AH330" s="339" t="str">
        <f>VLOOKUP(B330,'MF PF'!A:B,2)</f>
        <v>FdMgt1</v>
      </c>
      <c r="AI330" s="358">
        <f t="shared" si="47"/>
        <v>0</v>
      </c>
      <c r="AJ330" s="94">
        <f t="shared" si="48"/>
        <v>41851</v>
      </c>
    </row>
    <row r="331" spans="1:36" ht="12.75" customHeight="1">
      <c r="A331" s="97">
        <v>41880</v>
      </c>
      <c r="B331" s="94" t="s">
        <v>136</v>
      </c>
      <c r="C331" s="96" t="s">
        <v>299</v>
      </c>
      <c r="D331" s="374">
        <v>20613683.719999999</v>
      </c>
      <c r="E331" s="9" t="e">
        <f t="shared" si="42"/>
        <v>#DIV/0!</v>
      </c>
      <c r="F331" s="47">
        <v>31.4</v>
      </c>
      <c r="G331" s="47">
        <v>6688200</v>
      </c>
      <c r="H331" s="47">
        <v>0</v>
      </c>
      <c r="I331" s="47">
        <v>0</v>
      </c>
      <c r="J331" s="98"/>
      <c r="K331" s="93"/>
      <c r="L331" s="93">
        <f t="shared" si="44"/>
        <v>6688200</v>
      </c>
      <c r="M331" s="95" t="e">
        <f t="shared" ca="1" si="45"/>
        <v>#DIV/0!</v>
      </c>
      <c r="N331" s="95">
        <f>IF(P331="Hedge Fund",IF(A331=Summary!$AD$3,M331-E331,M331),IF(A331=Summary!$AD$3,L331-D331,L331))</f>
        <v>6688200</v>
      </c>
      <c r="O331" s="95">
        <f t="shared" si="43"/>
        <v>6688200</v>
      </c>
      <c r="P331" s="89" t="s">
        <v>155</v>
      </c>
      <c r="Q331" s="107">
        <v>2.57017146390193E-2</v>
      </c>
      <c r="R331" s="107">
        <v>0</v>
      </c>
      <c r="S331" s="89">
        <v>0</v>
      </c>
      <c r="T331" s="89">
        <v>0</v>
      </c>
      <c r="U331" s="89"/>
      <c r="V331" s="89"/>
      <c r="W331" s="89"/>
      <c r="X331" s="89"/>
      <c r="Y331" s="89"/>
      <c r="Z331" s="89"/>
      <c r="AA331" s="89"/>
      <c r="AB331" s="89"/>
      <c r="AC331" s="355"/>
      <c r="AD331" s="355"/>
      <c r="AE331" s="355"/>
      <c r="AF331" s="94">
        <f t="shared" si="46"/>
        <v>41880</v>
      </c>
      <c r="AG331" s="185">
        <f t="shared" si="40"/>
        <v>8.5467484479955225E-3</v>
      </c>
      <c r="AH331" s="339" t="str">
        <f>VLOOKUP(B331,'MF PF'!A:B,2)</f>
        <v>FdMgt1</v>
      </c>
      <c r="AI331" s="358">
        <f t="shared" si="47"/>
        <v>0</v>
      </c>
      <c r="AJ331" s="94">
        <f t="shared" si="48"/>
        <v>41882</v>
      </c>
    </row>
    <row r="332" spans="1:36" ht="12.75" customHeight="1">
      <c r="A332" s="97">
        <v>41912</v>
      </c>
      <c r="B332" s="94" t="s">
        <v>136</v>
      </c>
      <c r="C332" s="96" t="s">
        <v>299</v>
      </c>
      <c r="D332" s="374">
        <v>20053645.350000001</v>
      </c>
      <c r="E332" s="9" t="e">
        <f t="shared" si="42"/>
        <v>#DIV/0!</v>
      </c>
      <c r="F332" s="47">
        <v>31.4</v>
      </c>
      <c r="G332" s="47">
        <v>0</v>
      </c>
      <c r="H332" s="98">
        <v>0</v>
      </c>
      <c r="I332" s="98">
        <v>0</v>
      </c>
      <c r="J332" s="98"/>
      <c r="K332" s="93"/>
      <c r="L332" s="93">
        <f t="shared" si="44"/>
        <v>0</v>
      </c>
      <c r="M332" s="95" t="e">
        <f t="shared" ca="1" si="45"/>
        <v>#DIV/0!</v>
      </c>
      <c r="N332" s="95">
        <f>IF(P332="Hedge Fund",IF(A332=Summary!$AD$3,M332-E332,M332),IF(A332=Summary!$AD$3,L332-D332,L332))</f>
        <v>0</v>
      </c>
      <c r="O332" s="95">
        <f t="shared" si="43"/>
        <v>0</v>
      </c>
      <c r="P332" s="89" t="s">
        <v>155</v>
      </c>
      <c r="Q332" s="107">
        <v>2.7415162281620602E-2</v>
      </c>
      <c r="R332" s="107">
        <v>0</v>
      </c>
      <c r="S332" s="89">
        <v>2.8046939803949697E-4</v>
      </c>
      <c r="T332" s="89">
        <v>0</v>
      </c>
      <c r="U332" s="89"/>
      <c r="V332" s="89"/>
      <c r="W332" s="89"/>
      <c r="X332" s="89"/>
      <c r="Y332" s="89"/>
      <c r="Z332" s="89"/>
      <c r="AA332" s="89"/>
      <c r="AB332" s="89"/>
      <c r="AC332" s="355"/>
      <c r="AD332" s="355"/>
      <c r="AE332" s="355"/>
      <c r="AF332" s="94">
        <f t="shared" si="46"/>
        <v>41912</v>
      </c>
      <c r="AG332" s="185">
        <f t="shared" si="40"/>
        <v>-2.7168281885329937E-2</v>
      </c>
      <c r="AH332" s="339" t="str">
        <f>VLOOKUP(B332,'MF PF'!A:B,2)</f>
        <v>FdMgt1</v>
      </c>
      <c r="AI332" s="358">
        <f t="shared" si="47"/>
        <v>0</v>
      </c>
      <c r="AJ332" s="94">
        <f t="shared" si="48"/>
        <v>41912</v>
      </c>
    </row>
    <row r="333" spans="1:36" ht="12.75" customHeight="1">
      <c r="A333" s="97">
        <v>41943</v>
      </c>
      <c r="B333" s="94" t="s">
        <v>136</v>
      </c>
      <c r="C333" s="96" t="s">
        <v>299</v>
      </c>
      <c r="D333" s="374">
        <v>24941602.829999998</v>
      </c>
      <c r="E333" s="95" t="e">
        <f t="shared" si="42"/>
        <v>#DIV/0!</v>
      </c>
      <c r="F333" s="47">
        <v>31.4</v>
      </c>
      <c r="G333" s="47">
        <v>5306600</v>
      </c>
      <c r="H333" s="98">
        <v>0</v>
      </c>
      <c r="I333" s="98">
        <v>0</v>
      </c>
      <c r="J333" s="98"/>
      <c r="L333" s="93">
        <f t="shared" si="44"/>
        <v>5306600</v>
      </c>
      <c r="M333" s="95" t="e">
        <f t="shared" ca="1" si="45"/>
        <v>#DIV/0!</v>
      </c>
      <c r="N333" s="95">
        <f>IF(P333="Hedge Fund",IF(A333=Summary!$AD$3,M333-E333,M333),IF(A333=Summary!$AD$3,L333-D333,L333))</f>
        <v>5306600</v>
      </c>
      <c r="O333" s="95">
        <f t="shared" si="43"/>
        <v>5306600</v>
      </c>
      <c r="P333" s="89" t="s">
        <v>155</v>
      </c>
      <c r="Q333" s="107">
        <v>3.3231878357865299E-2</v>
      </c>
      <c r="R333" s="107">
        <v>0</v>
      </c>
      <c r="S333" s="89">
        <v>0</v>
      </c>
      <c r="T333" s="89">
        <v>0</v>
      </c>
      <c r="U333" s="89"/>
      <c r="V333" s="89"/>
      <c r="W333" s="89"/>
      <c r="X333" s="89"/>
      <c r="Y333" s="89"/>
      <c r="Z333" s="89"/>
      <c r="AA333" s="89"/>
      <c r="AB333" s="89"/>
      <c r="AC333" s="355"/>
      <c r="AD333" s="355"/>
      <c r="AE333" s="355"/>
      <c r="AF333" s="94">
        <f t="shared" si="46"/>
        <v>41943</v>
      </c>
      <c r="AG333" s="185">
        <f t="shared" si="40"/>
        <v>-2.0876130633276757E-2</v>
      </c>
      <c r="AH333" s="339" t="str">
        <f>VLOOKUP(B333,'MF PF'!A:B,2)</f>
        <v>FdMgt1</v>
      </c>
      <c r="AI333" s="358">
        <f t="shared" si="47"/>
        <v>0</v>
      </c>
      <c r="AJ333" s="94">
        <f t="shared" si="48"/>
        <v>41943</v>
      </c>
    </row>
    <row r="334" spans="1:36" ht="12.75" customHeight="1">
      <c r="A334" s="97">
        <v>41971</v>
      </c>
      <c r="B334" s="94" t="s">
        <v>136</v>
      </c>
      <c r="C334" s="96" t="s">
        <v>299</v>
      </c>
      <c r="D334" s="374">
        <v>25250255.969999999</v>
      </c>
      <c r="E334" s="9" t="e">
        <f t="shared" si="42"/>
        <v>#DIV/0!</v>
      </c>
      <c r="F334" s="47">
        <v>31.4</v>
      </c>
      <c r="G334" s="47">
        <v>0</v>
      </c>
      <c r="H334" s="98">
        <v>0</v>
      </c>
      <c r="I334" s="98">
        <v>0</v>
      </c>
      <c r="J334" s="98"/>
      <c r="K334" s="93"/>
      <c r="L334" s="93">
        <f t="shared" si="44"/>
        <v>0</v>
      </c>
      <c r="M334" s="95" t="e">
        <f t="shared" ca="1" si="45"/>
        <v>#DIV/0!</v>
      </c>
      <c r="N334" s="95">
        <f>IF(P334="Hedge Fund",IF(A334=Summary!$AD$3,M334-E334,M334),IF(A334=Summary!$AD$3,L334-D334,L334))</f>
        <v>0</v>
      </c>
      <c r="O334" s="95">
        <f t="shared" si="43"/>
        <v>0</v>
      </c>
      <c r="P334" s="89" t="s">
        <v>155</v>
      </c>
      <c r="Q334" s="107">
        <v>3.0411032621366199E-2</v>
      </c>
      <c r="R334" s="107">
        <v>0</v>
      </c>
      <c r="S334" s="89">
        <v>0</v>
      </c>
      <c r="T334" s="89">
        <v>0</v>
      </c>
      <c r="U334" s="89"/>
      <c r="V334" s="89"/>
      <c r="W334" s="89"/>
      <c r="X334" s="89"/>
      <c r="Y334" s="89"/>
      <c r="Z334" s="89"/>
      <c r="AA334" s="89"/>
      <c r="AB334" s="89"/>
      <c r="AC334" s="355"/>
      <c r="AD334" s="355"/>
      <c r="AE334" s="355"/>
      <c r="AF334" s="94">
        <f t="shared" si="46"/>
        <v>41971</v>
      </c>
      <c r="AG334" s="185">
        <f t="shared" si="40"/>
        <v>1.2375032274539732E-2</v>
      </c>
      <c r="AH334" s="339" t="str">
        <f>VLOOKUP(B334,'MF PF'!A:B,2)</f>
        <v>FdMgt1</v>
      </c>
      <c r="AI334" s="358">
        <f t="shared" si="47"/>
        <v>0</v>
      </c>
      <c r="AJ334" s="94">
        <f t="shared" si="48"/>
        <v>41973</v>
      </c>
    </row>
    <row r="335" spans="1:36" s="92" customFormat="1" ht="12.75" customHeight="1">
      <c r="A335" s="97">
        <v>42004</v>
      </c>
      <c r="B335" s="94" t="s">
        <v>136</v>
      </c>
      <c r="C335" s="96" t="s">
        <v>299</v>
      </c>
      <c r="D335" s="374">
        <v>25083508.142660901</v>
      </c>
      <c r="E335" s="95" t="e">
        <f t="shared" si="42"/>
        <v>#DIV/0!</v>
      </c>
      <c r="F335" s="98">
        <v>31.4</v>
      </c>
      <c r="G335" s="98">
        <v>0</v>
      </c>
      <c r="H335" s="98">
        <v>0</v>
      </c>
      <c r="I335" s="98">
        <v>0</v>
      </c>
      <c r="J335" s="98"/>
      <c r="K335" s="93"/>
      <c r="L335" s="93">
        <f t="shared" si="44"/>
        <v>0</v>
      </c>
      <c r="M335" s="95" t="e">
        <f t="shared" ca="1" si="45"/>
        <v>#DIV/0!</v>
      </c>
      <c r="N335" s="95">
        <f>IF(P335="Hedge Fund",IF(A335=Summary!$AD$3,M335-E335,M335),IF(A335=Summary!$AD$3,L335-D335,L335))</f>
        <v>0</v>
      </c>
      <c r="O335" s="95">
        <f t="shared" si="43"/>
        <v>0</v>
      </c>
      <c r="P335" s="107" t="s">
        <v>155</v>
      </c>
      <c r="Q335" s="107">
        <v>3.5833381912730208E-2</v>
      </c>
      <c r="R335" s="107">
        <v>1.3173307500000042E-2</v>
      </c>
      <c r="S335" s="107">
        <v>3.4950084573890603E-4</v>
      </c>
      <c r="T335" s="107">
        <v>0</v>
      </c>
      <c r="U335" s="107"/>
      <c r="V335" s="107"/>
      <c r="W335" s="107"/>
      <c r="X335" s="107"/>
      <c r="Y335" s="107"/>
      <c r="Z335" s="107"/>
      <c r="AA335" s="107"/>
      <c r="AB335" s="107"/>
      <c r="AC335" s="355"/>
      <c r="AD335" s="355"/>
      <c r="AE335" s="355"/>
      <c r="AF335" s="94">
        <f t="shared" si="46"/>
        <v>42004</v>
      </c>
      <c r="AG335" s="185">
        <f t="shared" si="40"/>
        <v>-6.6038074044560968E-3</v>
      </c>
      <c r="AH335" s="339" t="str">
        <f>VLOOKUP(B335,'MF PF'!A:B,2)</f>
        <v>FdMgt1</v>
      </c>
      <c r="AI335" s="358">
        <f t="shared" si="47"/>
        <v>0</v>
      </c>
      <c r="AJ335" s="94">
        <f t="shared" si="48"/>
        <v>42004</v>
      </c>
    </row>
    <row r="336" spans="1:36" ht="12.75" customHeight="1">
      <c r="A336" s="97">
        <v>42034</v>
      </c>
      <c r="B336" s="94" t="s">
        <v>136</v>
      </c>
      <c r="C336" s="96" t="s">
        <v>299</v>
      </c>
      <c r="D336" s="374">
        <v>28166791.91</v>
      </c>
      <c r="E336" s="9" t="e">
        <f t="shared" si="42"/>
        <v>#DIV/0!</v>
      </c>
      <c r="F336" s="98">
        <v>29.65</v>
      </c>
      <c r="G336" s="98">
        <v>2482400</v>
      </c>
      <c r="H336" s="98">
        <v>0</v>
      </c>
      <c r="I336" s="98">
        <v>0</v>
      </c>
      <c r="J336" s="98"/>
      <c r="K336" s="93"/>
      <c r="L336" s="93">
        <f t="shared" si="44"/>
        <v>2482400</v>
      </c>
      <c r="M336" s="95" t="e">
        <f t="shared" ca="1" si="45"/>
        <v>#DIV/0!</v>
      </c>
      <c r="N336" s="95">
        <f>IF(P336="Hedge Fund",IF(A336=Summary!$AD$3,M336-E336,M336),IF(A336=Summary!$AD$3,L336-D336,L336))</f>
        <v>2482400</v>
      </c>
      <c r="O336" s="95">
        <f t="shared" si="43"/>
        <v>2482400</v>
      </c>
      <c r="P336" s="107" t="s">
        <v>155</v>
      </c>
      <c r="Q336" s="107">
        <v>5.0291263894687799E-2</v>
      </c>
      <c r="R336" s="107">
        <v>4.0546282500000003E-2</v>
      </c>
      <c r="S336" s="107">
        <v>0</v>
      </c>
      <c r="T336" s="107">
        <v>0</v>
      </c>
      <c r="U336" s="107"/>
      <c r="V336" s="107"/>
      <c r="W336" s="107"/>
      <c r="X336" s="107"/>
      <c r="Y336" s="107"/>
      <c r="Z336" s="107"/>
      <c r="AA336" s="107"/>
      <c r="AB336" s="107"/>
      <c r="AC336" s="355"/>
      <c r="AD336" s="355"/>
      <c r="AE336" s="355"/>
      <c r="AF336" s="94">
        <f t="shared" si="46"/>
        <v>42034</v>
      </c>
      <c r="AG336" s="185">
        <f t="shared" si="40"/>
        <v>2.3955332082004288E-2</v>
      </c>
      <c r="AH336" s="339" t="str">
        <f>VLOOKUP(B336,'MF PF'!A:B,2)</f>
        <v>FdMgt1</v>
      </c>
      <c r="AI336" s="358">
        <f t="shared" si="47"/>
        <v>0</v>
      </c>
      <c r="AJ336" s="94">
        <f t="shared" si="48"/>
        <v>42035</v>
      </c>
    </row>
    <row r="337" spans="1:36" ht="12.75" customHeight="1">
      <c r="A337" s="97">
        <v>42062</v>
      </c>
      <c r="B337" s="94" t="s">
        <v>136</v>
      </c>
      <c r="C337" s="96" t="s">
        <v>299</v>
      </c>
      <c r="D337" s="374">
        <v>28389786.66</v>
      </c>
      <c r="E337" s="9" t="e">
        <f t="shared" si="42"/>
        <v>#DIV/0!</v>
      </c>
      <c r="F337" s="98">
        <v>29.65</v>
      </c>
      <c r="G337" s="98">
        <v>0</v>
      </c>
      <c r="H337" s="98">
        <v>0</v>
      </c>
      <c r="I337" s="98">
        <v>0</v>
      </c>
      <c r="J337" s="98"/>
      <c r="K337" s="93"/>
      <c r="L337" s="93">
        <f t="shared" si="44"/>
        <v>0</v>
      </c>
      <c r="M337" s="95" t="e">
        <f t="shared" ca="1" si="45"/>
        <v>#DIV/0!</v>
      </c>
      <c r="N337" s="95">
        <f>IF(P337="Hedge Fund",IF(A337=Summary!$AD$3,M337-E337,M337),IF(A337=Summary!$AD$3,L337-D337,L337))</f>
        <v>0</v>
      </c>
      <c r="O337" s="95">
        <f t="shared" si="43"/>
        <v>0</v>
      </c>
      <c r="P337" s="107" t="s">
        <v>155</v>
      </c>
      <c r="Q337" s="107">
        <v>5.2595888685421199E-2</v>
      </c>
      <c r="R337" s="107">
        <v>5.6029820250000022E-2</v>
      </c>
      <c r="S337" s="107">
        <v>0</v>
      </c>
      <c r="T337" s="107">
        <v>0</v>
      </c>
      <c r="U337" s="107"/>
      <c r="V337" s="107"/>
      <c r="W337" s="107"/>
      <c r="X337" s="107"/>
      <c r="Y337" s="107"/>
      <c r="Z337" s="107"/>
      <c r="AA337" s="107"/>
      <c r="AB337" s="107"/>
      <c r="AC337" s="355"/>
      <c r="AD337" s="355"/>
      <c r="AE337" s="355"/>
      <c r="AF337" s="94">
        <f t="shared" si="46"/>
        <v>42062</v>
      </c>
      <c r="AG337" s="185">
        <f t="shared" si="40"/>
        <v>7.9169381700452401E-3</v>
      </c>
      <c r="AH337" s="339" t="str">
        <f>VLOOKUP(B337,'MF PF'!A:B,2)</f>
        <v>FdMgt1</v>
      </c>
      <c r="AI337" s="358">
        <f t="shared" si="47"/>
        <v>0</v>
      </c>
      <c r="AJ337" s="94">
        <f t="shared" si="48"/>
        <v>42063</v>
      </c>
    </row>
    <row r="338" spans="1:36" ht="12.75" customHeight="1">
      <c r="A338" s="97">
        <v>42094</v>
      </c>
      <c r="B338" s="94" t="s">
        <v>136</v>
      </c>
      <c r="C338" s="96" t="s">
        <v>299</v>
      </c>
      <c r="D338" s="374">
        <v>29883548.75</v>
      </c>
      <c r="E338" s="9" t="e">
        <f t="shared" si="42"/>
        <v>#DIV/0!</v>
      </c>
      <c r="F338" s="98">
        <v>29.65</v>
      </c>
      <c r="G338" s="98">
        <v>941600</v>
      </c>
      <c r="H338" s="98">
        <v>0</v>
      </c>
      <c r="I338" s="98">
        <v>0</v>
      </c>
      <c r="J338" s="98"/>
      <c r="K338" s="93"/>
      <c r="L338" s="93">
        <f t="shared" si="44"/>
        <v>941600</v>
      </c>
      <c r="M338" s="95" t="e">
        <f t="shared" ca="1" si="45"/>
        <v>#DIV/0!</v>
      </c>
      <c r="N338" s="95">
        <f>IF(P338="Hedge Fund",IF(A338=Summary!$AD$3,M338-E338,M338),IF(A338=Summary!$AD$3,L338-D338,L338))</f>
        <v>941600</v>
      </c>
      <c r="O338" s="95">
        <f t="shared" si="43"/>
        <v>941600</v>
      </c>
      <c r="P338" s="107" t="s">
        <v>155</v>
      </c>
      <c r="Q338" s="107">
        <v>7.3847029761967997E-2</v>
      </c>
      <c r="R338" s="107">
        <v>0.18079215509999996</v>
      </c>
      <c r="S338" s="107">
        <v>1.65574174547086E-3</v>
      </c>
      <c r="T338" s="107">
        <v>7.5470659562139103E-4</v>
      </c>
      <c r="U338" s="107"/>
      <c r="V338" s="107"/>
      <c r="W338" s="107"/>
      <c r="X338" s="107"/>
      <c r="Y338" s="107"/>
      <c r="Z338" s="107"/>
      <c r="AA338" s="107"/>
      <c r="AB338" s="107"/>
      <c r="AC338" s="355"/>
      <c r="AD338" s="355"/>
      <c r="AE338" s="355"/>
      <c r="AF338" s="94">
        <f t="shared" si="46"/>
        <v>42094</v>
      </c>
      <c r="AG338" s="185">
        <f t="shared" si="40"/>
        <v>1.9449321568096645E-2</v>
      </c>
      <c r="AH338" s="339" t="str">
        <f>VLOOKUP(B338,'MF PF'!A:B,2)</f>
        <v>FdMgt1</v>
      </c>
      <c r="AI338" s="358">
        <f t="shared" si="47"/>
        <v>0</v>
      </c>
      <c r="AJ338" s="94">
        <f t="shared" si="48"/>
        <v>42094</v>
      </c>
    </row>
    <row r="339" spans="1:36" ht="12.75" customHeight="1">
      <c r="A339" s="97">
        <v>42124</v>
      </c>
      <c r="B339" s="94" t="s">
        <v>136</v>
      </c>
      <c r="C339" s="96" t="s">
        <v>299</v>
      </c>
      <c r="D339" s="374">
        <v>32360591.469999995</v>
      </c>
      <c r="E339" s="9" t="e">
        <f t="shared" si="42"/>
        <v>#DIV/0!</v>
      </c>
      <c r="F339" s="98">
        <v>29.65</v>
      </c>
      <c r="G339" s="98">
        <v>321000</v>
      </c>
      <c r="H339" s="98">
        <v>0</v>
      </c>
      <c r="I339" s="98">
        <v>0</v>
      </c>
      <c r="J339" s="98"/>
      <c r="K339" s="93"/>
      <c r="L339" s="93">
        <f t="shared" si="44"/>
        <v>321000</v>
      </c>
      <c r="M339" s="95" t="e">
        <f t="shared" ca="1" si="45"/>
        <v>#DIV/0!</v>
      </c>
      <c r="N339" s="95">
        <f>IF(P339="Hedge Fund",IF(A339=Summary!$AD$3,M339-E339,M339),IF(A339=Summary!$AD$3,L339-D339,L339))</f>
        <v>321000</v>
      </c>
      <c r="O339" s="95">
        <f t="shared" si="43"/>
        <v>321000</v>
      </c>
      <c r="P339" s="107" t="s">
        <v>155</v>
      </c>
      <c r="Q339" s="107">
        <v>6.6601732655277995E-2</v>
      </c>
      <c r="R339" s="107">
        <v>0.77697664154999957</v>
      </c>
      <c r="S339" s="107">
        <v>0</v>
      </c>
      <c r="T339" s="107">
        <v>0</v>
      </c>
      <c r="U339" s="107"/>
      <c r="V339" s="107"/>
      <c r="W339" s="107"/>
      <c r="X339" s="107"/>
      <c r="Y339" s="107"/>
      <c r="Z339" s="107"/>
      <c r="AA339" s="107"/>
      <c r="AB339" s="107"/>
      <c r="AC339" s="355"/>
      <c r="AD339" s="355"/>
      <c r="AE339" s="355"/>
      <c r="AF339" s="94">
        <f t="shared" si="46"/>
        <v>42124</v>
      </c>
      <c r="AG339" s="185">
        <f t="shared" si="40"/>
        <v>7.2148148736852935E-2</v>
      </c>
      <c r="AH339" s="339" t="str">
        <f>VLOOKUP(B339,'MF PF'!A:B,2)</f>
        <v>FdMgt1</v>
      </c>
      <c r="AI339" s="358">
        <f t="shared" si="47"/>
        <v>0</v>
      </c>
      <c r="AJ339" s="94">
        <f t="shared" si="48"/>
        <v>42124</v>
      </c>
    </row>
    <row r="340" spans="1:36" ht="12.75" customHeight="1">
      <c r="A340" s="97">
        <v>42153</v>
      </c>
      <c r="B340" s="94" t="s">
        <v>136</v>
      </c>
      <c r="C340" s="96" t="s">
        <v>299</v>
      </c>
      <c r="D340" s="374">
        <v>33026978.780000001</v>
      </c>
      <c r="E340" s="9" t="e">
        <f t="shared" si="42"/>
        <v>#DIV/0!</v>
      </c>
      <c r="F340" s="98">
        <v>29.65</v>
      </c>
      <c r="G340" s="98">
        <v>0</v>
      </c>
      <c r="H340" s="98">
        <v>0</v>
      </c>
      <c r="I340" s="98">
        <v>0</v>
      </c>
      <c r="J340" s="98"/>
      <c r="L340" s="93">
        <f t="shared" si="44"/>
        <v>0</v>
      </c>
      <c r="M340" s="95" t="e">
        <f t="shared" ca="1" si="45"/>
        <v>#DIV/0!</v>
      </c>
      <c r="N340" s="95">
        <f>IF(P340="Hedge Fund",IF(A340=Summary!$AD$3,M340-E340,M340),IF(A340=Summary!$AD$3,L340-D340,L340))</f>
        <v>0</v>
      </c>
      <c r="O340" s="95">
        <f t="shared" si="43"/>
        <v>0</v>
      </c>
      <c r="P340" s="107" t="s">
        <v>155</v>
      </c>
      <c r="Q340" s="107">
        <v>7.0410888600164007E-2</v>
      </c>
      <c r="R340" s="107">
        <v>0.86488644609999987</v>
      </c>
      <c r="S340" s="107">
        <v>0</v>
      </c>
      <c r="T340" s="107">
        <v>0</v>
      </c>
      <c r="U340" s="107"/>
      <c r="V340" s="107"/>
      <c r="W340" s="107"/>
      <c r="X340" s="107"/>
      <c r="Y340" s="107"/>
      <c r="Z340" s="107"/>
      <c r="AA340" s="107"/>
      <c r="AB340" s="107"/>
      <c r="AC340" s="355"/>
      <c r="AD340" s="355"/>
      <c r="AE340" s="355"/>
      <c r="AF340" s="94">
        <f t="shared" si="46"/>
        <v>42153</v>
      </c>
      <c r="AG340" s="185">
        <f t="shared" si="40"/>
        <v>2.0592556555024233E-2</v>
      </c>
      <c r="AH340" s="339" t="str">
        <f>VLOOKUP(B340,'MF PF'!A:B,2)</f>
        <v>FdMgt1</v>
      </c>
      <c r="AI340" s="358">
        <f t="shared" si="47"/>
        <v>0</v>
      </c>
      <c r="AJ340" s="94">
        <f t="shared" si="48"/>
        <v>42155</v>
      </c>
    </row>
    <row r="341" spans="1:36" ht="12.75" customHeight="1">
      <c r="A341" s="97">
        <v>42185</v>
      </c>
      <c r="B341" s="8" t="s">
        <v>136</v>
      </c>
      <c r="C341" s="96" t="s">
        <v>299</v>
      </c>
      <c r="D341" s="374">
        <v>32953550</v>
      </c>
      <c r="E341" s="9" t="e">
        <f t="shared" si="42"/>
        <v>#DIV/0!</v>
      </c>
      <c r="F341" s="47">
        <v>29.65</v>
      </c>
      <c r="G341" s="47">
        <v>0</v>
      </c>
      <c r="H341" s="47">
        <v>0</v>
      </c>
      <c r="I341" s="47">
        <v>0</v>
      </c>
      <c r="J341" s="98"/>
      <c r="K341" s="93"/>
      <c r="L341" s="93">
        <f t="shared" si="44"/>
        <v>0</v>
      </c>
      <c r="M341" s="95" t="e">
        <f t="shared" ca="1" si="45"/>
        <v>#DIV/0!</v>
      </c>
      <c r="N341" s="95">
        <f>IF(P341="Hedge Fund",IF(A341=Summary!$AD$3,M341-E341,M341),IF(A341=Summary!$AD$3,L341-D341,L341))</f>
        <v>0</v>
      </c>
      <c r="O341" s="95">
        <f t="shared" si="43"/>
        <v>0</v>
      </c>
      <c r="P341" s="89" t="s">
        <v>155</v>
      </c>
      <c r="Q341" s="89">
        <v>7.1638458715270997E-2</v>
      </c>
      <c r="R341" s="89">
        <v>0.74071833634999973</v>
      </c>
      <c r="S341" s="89">
        <v>2.1613581122426999E-3</v>
      </c>
      <c r="T341" s="89">
        <v>1.7844698538790399E-3</v>
      </c>
      <c r="U341" s="89"/>
      <c r="V341" s="89"/>
      <c r="W341" s="89"/>
      <c r="X341" s="89"/>
      <c r="Y341" s="89"/>
      <c r="Z341" s="89"/>
      <c r="AA341" s="89"/>
      <c r="AB341" s="89"/>
      <c r="AC341" s="355"/>
      <c r="AD341" s="355"/>
      <c r="AE341" s="355"/>
      <c r="AF341" s="94">
        <f t="shared" si="46"/>
        <v>42185</v>
      </c>
      <c r="AG341" s="185">
        <f t="shared" si="40"/>
        <v>-2.2232969139903691E-3</v>
      </c>
      <c r="AH341" s="339" t="str">
        <f>VLOOKUP(B341,'MF PF'!A:B,2)</f>
        <v>FdMgt1</v>
      </c>
      <c r="AI341" s="358">
        <f t="shared" si="47"/>
        <v>0</v>
      </c>
      <c r="AJ341" s="94">
        <f t="shared" si="48"/>
        <v>42185</v>
      </c>
    </row>
    <row r="342" spans="1:36" ht="12.75" customHeight="1">
      <c r="A342" s="97">
        <v>42216</v>
      </c>
      <c r="B342" s="8" t="s">
        <v>136</v>
      </c>
      <c r="C342" s="96" t="s">
        <v>299</v>
      </c>
      <c r="D342" s="374">
        <v>32455827.480000004</v>
      </c>
      <c r="E342" s="9" t="e">
        <f t="shared" si="42"/>
        <v>#DIV/0!</v>
      </c>
      <c r="F342" s="47">
        <v>29.65</v>
      </c>
      <c r="G342" s="47">
        <v>0</v>
      </c>
      <c r="H342" s="47">
        <v>0</v>
      </c>
      <c r="I342" s="47">
        <v>0</v>
      </c>
      <c r="J342" s="98"/>
      <c r="K342" s="93"/>
      <c r="L342" s="93">
        <f t="shared" si="44"/>
        <v>0</v>
      </c>
      <c r="M342" s="95" t="e">
        <f t="shared" ca="1" si="45"/>
        <v>#DIV/0!</v>
      </c>
      <c r="N342" s="95">
        <f>IF(P342="Hedge Fund",IF(A342=Summary!$AD$3,M342-E342,M342),IF(A342=Summary!$AD$3,L342-D342,L342))</f>
        <v>0</v>
      </c>
      <c r="O342" s="95">
        <f t="shared" si="43"/>
        <v>0</v>
      </c>
      <c r="P342" s="89" t="s">
        <v>155</v>
      </c>
      <c r="Q342" s="89">
        <v>8.0384212948106007E-2</v>
      </c>
      <c r="R342" s="89">
        <v>0.58249043209999984</v>
      </c>
      <c r="S342" s="89">
        <v>0</v>
      </c>
      <c r="T342" s="89">
        <v>0</v>
      </c>
      <c r="U342" s="89"/>
      <c r="V342" s="89"/>
      <c r="W342" s="89"/>
      <c r="X342" s="89"/>
      <c r="Y342" s="89"/>
      <c r="Z342" s="89"/>
      <c r="AA342" s="89"/>
      <c r="AB342" s="89"/>
      <c r="AC342" s="355"/>
      <c r="AD342" s="355"/>
      <c r="AE342" s="355"/>
      <c r="AF342" s="94">
        <f t="shared" si="46"/>
        <v>42216</v>
      </c>
      <c r="AG342" s="185">
        <f t="shared" si="40"/>
        <v>-1.5103760292896951E-2</v>
      </c>
      <c r="AH342" s="339" t="str">
        <f>VLOOKUP(B342,'MF PF'!A:B,2)</f>
        <v>FdMgt1</v>
      </c>
      <c r="AI342" s="358">
        <f t="shared" si="47"/>
        <v>0</v>
      </c>
      <c r="AJ342" s="94">
        <f t="shared" si="48"/>
        <v>42216</v>
      </c>
    </row>
    <row r="343" spans="1:36" ht="12.75" customHeight="1">
      <c r="A343" s="97">
        <v>42247</v>
      </c>
      <c r="B343" s="8" t="s">
        <v>136</v>
      </c>
      <c r="C343" s="96" t="s">
        <v>299</v>
      </c>
      <c r="D343" s="374">
        <v>31918760.91</v>
      </c>
      <c r="E343" s="9" t="e">
        <f t="shared" si="42"/>
        <v>#DIV/0!</v>
      </c>
      <c r="F343" s="47">
        <v>29.65</v>
      </c>
      <c r="G343" s="47">
        <v>0</v>
      </c>
      <c r="H343" s="47">
        <v>0</v>
      </c>
      <c r="I343" s="47">
        <v>0</v>
      </c>
      <c r="J343" s="98"/>
      <c r="L343" s="93">
        <f t="shared" si="44"/>
        <v>0</v>
      </c>
      <c r="M343" s="95" t="e">
        <f t="shared" ca="1" si="45"/>
        <v>#DIV/0!</v>
      </c>
      <c r="N343" s="95">
        <f>IF(P343="Hedge Fund",IF(A343=Summary!$AD$3,M343-E343,M343),IF(A343=Summary!$AD$3,L343-D343,L343))</f>
        <v>0</v>
      </c>
      <c r="O343" s="95">
        <f t="shared" si="43"/>
        <v>0</v>
      </c>
      <c r="P343" s="89" t="s">
        <v>155</v>
      </c>
      <c r="Q343" s="89">
        <v>7.7928565940158998E-2</v>
      </c>
      <c r="R343" s="89">
        <v>0.42374165515000006</v>
      </c>
      <c r="S343" s="89">
        <v>0</v>
      </c>
      <c r="T343" s="89">
        <v>0</v>
      </c>
      <c r="U343" s="89"/>
      <c r="V343" s="89"/>
      <c r="W343" s="89"/>
      <c r="X343" s="89"/>
      <c r="Y343" s="89"/>
      <c r="Z343" s="89"/>
      <c r="AA343" s="89"/>
      <c r="AB343" s="89"/>
      <c r="AC343" s="355"/>
      <c r="AD343" s="355"/>
      <c r="AE343" s="355"/>
      <c r="AF343" s="94">
        <f t="shared" si="46"/>
        <v>42247</v>
      </c>
      <c r="AG343" s="185">
        <f t="shared" si="40"/>
        <v>-1.6547615996879372E-2</v>
      </c>
      <c r="AH343" s="339" t="str">
        <f>VLOOKUP(B343,'MF PF'!A:B,2)</f>
        <v>FdMgt1</v>
      </c>
      <c r="AI343" s="358">
        <f t="shared" si="47"/>
        <v>0</v>
      </c>
      <c r="AJ343" s="94">
        <f t="shared" si="48"/>
        <v>42247</v>
      </c>
    </row>
    <row r="344" spans="1:36" ht="12.75" customHeight="1">
      <c r="A344" s="97">
        <v>42277</v>
      </c>
      <c r="B344" s="8" t="s">
        <v>136</v>
      </c>
      <c r="C344" s="96" t="s">
        <v>299</v>
      </c>
      <c r="D344" s="374">
        <v>32058201.579999994</v>
      </c>
      <c r="E344" s="9" t="e">
        <f t="shared" si="42"/>
        <v>#DIV/0!</v>
      </c>
      <c r="F344" s="47">
        <v>29.65</v>
      </c>
      <c r="G344" s="47">
        <v>0</v>
      </c>
      <c r="H344" s="47">
        <v>0</v>
      </c>
      <c r="I344" s="47">
        <v>0</v>
      </c>
      <c r="J344" s="98"/>
      <c r="K344" s="93"/>
      <c r="L344" s="93">
        <f t="shared" si="44"/>
        <v>0</v>
      </c>
      <c r="M344" s="95" t="e">
        <f t="shared" ca="1" si="45"/>
        <v>#DIV/0!</v>
      </c>
      <c r="N344" s="95">
        <f>IF(P344="Hedge Fund",IF(A344=Summary!$AD$3,M344-E344,M344),IF(A344=Summary!$AD$3,L344-D344,L344))</f>
        <v>0</v>
      </c>
      <c r="O344" s="95">
        <f t="shared" si="43"/>
        <v>0</v>
      </c>
      <c r="P344" s="89" t="s">
        <v>155</v>
      </c>
      <c r="Q344" s="89">
        <v>7.7458067181946005E-2</v>
      </c>
      <c r="R344" s="89">
        <v>0.44912747364999994</v>
      </c>
      <c r="S344" s="89">
        <v>3.9496571137065698E-3</v>
      </c>
      <c r="T344" s="89">
        <v>1.16917083479527E-3</v>
      </c>
      <c r="U344" s="89"/>
      <c r="V344" s="89"/>
      <c r="W344" s="89"/>
      <c r="X344" s="89"/>
      <c r="Y344" s="89"/>
      <c r="Z344" s="89"/>
      <c r="AA344" s="89"/>
      <c r="AB344" s="89"/>
      <c r="AC344" s="355"/>
      <c r="AD344" s="355"/>
      <c r="AE344" s="355"/>
      <c r="AF344" s="94">
        <f t="shared" si="46"/>
        <v>42277</v>
      </c>
      <c r="AG344" s="185">
        <f t="shared" si="40"/>
        <v>4.368611626033081E-3</v>
      </c>
      <c r="AH344" s="339" t="str">
        <f>VLOOKUP(B344,'MF PF'!A:B,2)</f>
        <v>FdMgt1</v>
      </c>
      <c r="AI344" s="358">
        <f t="shared" si="47"/>
        <v>0</v>
      </c>
      <c r="AJ344" s="94">
        <f t="shared" si="48"/>
        <v>42277</v>
      </c>
    </row>
    <row r="345" spans="1:36" ht="12.75" customHeight="1">
      <c r="A345" s="97">
        <v>42307</v>
      </c>
      <c r="B345" s="8" t="s">
        <v>136</v>
      </c>
      <c r="C345" s="96" t="s">
        <v>299</v>
      </c>
      <c r="D345" s="374">
        <v>32942558.859999999</v>
      </c>
      <c r="E345" s="9" t="e">
        <f t="shared" si="42"/>
        <v>#DIV/0!</v>
      </c>
      <c r="F345" s="47">
        <v>29.65</v>
      </c>
      <c r="G345" s="47">
        <v>0</v>
      </c>
      <c r="H345" s="47">
        <v>0</v>
      </c>
      <c r="I345" s="47">
        <v>0</v>
      </c>
      <c r="J345" s="98"/>
      <c r="K345" s="93"/>
      <c r="L345" s="93">
        <f t="shared" si="44"/>
        <v>0</v>
      </c>
      <c r="M345" s="95" t="e">
        <f t="shared" ca="1" si="45"/>
        <v>#DIV/0!</v>
      </c>
      <c r="N345" s="95">
        <f>IF(P345="Hedge Fund",IF(A345=Summary!$AD$3,M345-E345,M345),IF(A345=Summary!$AD$3,L345-D345,L345))</f>
        <v>0</v>
      </c>
      <c r="O345" s="95">
        <f t="shared" si="43"/>
        <v>0</v>
      </c>
      <c r="P345" s="89" t="s">
        <v>155</v>
      </c>
      <c r="Q345" s="89">
        <v>7.8762006662963707E-2</v>
      </c>
      <c r="R345" s="89">
        <v>0.71197127599999976</v>
      </c>
      <c r="S345" s="89">
        <v>0</v>
      </c>
      <c r="T345" s="89">
        <v>0</v>
      </c>
      <c r="U345" s="89"/>
      <c r="V345" s="89"/>
      <c r="W345" s="89"/>
      <c r="X345" s="89"/>
      <c r="Y345" s="89"/>
      <c r="Z345" s="89"/>
      <c r="AA345" s="89"/>
      <c r="AB345" s="89"/>
      <c r="AC345" s="355"/>
      <c r="AD345" s="355"/>
      <c r="AE345" s="355"/>
      <c r="AF345" s="94">
        <f t="shared" si="46"/>
        <v>42307</v>
      </c>
      <c r="AG345" s="185">
        <f t="shared" si="40"/>
        <v>2.7585991615690864E-2</v>
      </c>
      <c r="AH345" s="339" t="str">
        <f>VLOOKUP(B345,'MF PF'!A:B,2)</f>
        <v>FdMgt1</v>
      </c>
      <c r="AI345" s="358">
        <f t="shared" si="47"/>
        <v>0</v>
      </c>
      <c r="AJ345" s="94">
        <f t="shared" si="48"/>
        <v>42308</v>
      </c>
    </row>
    <row r="346" spans="1:36" ht="12.75" customHeight="1">
      <c r="A346" s="97">
        <v>42338</v>
      </c>
      <c r="B346" s="8" t="s">
        <v>136</v>
      </c>
      <c r="C346" s="96" t="s">
        <v>299</v>
      </c>
      <c r="D346" s="374">
        <v>32928287.529999997</v>
      </c>
      <c r="E346" s="9" t="e">
        <f t="shared" si="42"/>
        <v>#DIV/0!</v>
      </c>
      <c r="F346" s="47">
        <v>29.65</v>
      </c>
      <c r="G346" s="47">
        <v>0</v>
      </c>
      <c r="H346" s="47">
        <v>0</v>
      </c>
      <c r="I346" s="47">
        <v>0</v>
      </c>
      <c r="J346" s="98"/>
      <c r="K346" s="93"/>
      <c r="L346" s="93">
        <f t="shared" si="44"/>
        <v>0</v>
      </c>
      <c r="M346" s="95" t="e">
        <f t="shared" ca="1" si="45"/>
        <v>#DIV/0!</v>
      </c>
      <c r="N346" s="95">
        <f>IF(P346="Hedge Fund",IF(A346=Summary!$AD$3,M346-E346,M346),IF(A346=Summary!$AD$3,L346-D346,L346))</f>
        <v>0</v>
      </c>
      <c r="O346" s="95">
        <f t="shared" si="43"/>
        <v>0</v>
      </c>
      <c r="P346" s="89" t="s">
        <v>155</v>
      </c>
      <c r="Q346" s="89">
        <v>9.0907669999999996E-2</v>
      </c>
      <c r="R346" s="89">
        <v>0.69671716540000006</v>
      </c>
      <c r="S346" s="89">
        <v>0</v>
      </c>
      <c r="T346" s="89">
        <v>0</v>
      </c>
      <c r="U346" s="89"/>
      <c r="V346" s="89"/>
      <c r="W346" s="89"/>
      <c r="X346" s="89"/>
      <c r="Y346" s="89"/>
      <c r="Z346" s="89"/>
      <c r="AA346" s="89"/>
      <c r="AB346" s="89"/>
      <c r="AC346" s="355"/>
      <c r="AD346" s="355"/>
      <c r="AE346" s="355"/>
      <c r="AF346" s="94">
        <f t="shared" si="46"/>
        <v>42338</v>
      </c>
      <c r="AG346" s="185">
        <f t="shared" si="40"/>
        <v>-4.332186233817481E-4</v>
      </c>
      <c r="AH346" s="339" t="str">
        <f>VLOOKUP(B346,'MF PF'!A:B,2)</f>
        <v>FdMgt1</v>
      </c>
      <c r="AI346" s="358">
        <f t="shared" si="47"/>
        <v>0</v>
      </c>
      <c r="AJ346" s="94">
        <f t="shared" si="48"/>
        <v>42338</v>
      </c>
    </row>
    <row r="347" spans="1:36" ht="12.75" customHeight="1">
      <c r="A347" s="97">
        <v>42369</v>
      </c>
      <c r="B347" s="8" t="s">
        <v>136</v>
      </c>
      <c r="C347" s="96" t="s">
        <v>299</v>
      </c>
      <c r="D347" s="374">
        <v>33029479.899999999</v>
      </c>
      <c r="E347" s="9" t="e">
        <f t="shared" si="42"/>
        <v>#DIV/0!</v>
      </c>
      <c r="F347" s="47">
        <v>29.65</v>
      </c>
      <c r="G347" s="47">
        <v>0</v>
      </c>
      <c r="H347" s="47">
        <v>0</v>
      </c>
      <c r="I347" s="47">
        <v>0</v>
      </c>
      <c r="J347" s="98"/>
      <c r="K347" s="93"/>
      <c r="L347" s="93">
        <f t="shared" si="44"/>
        <v>0</v>
      </c>
      <c r="M347" s="95" t="e">
        <f t="shared" ca="1" si="45"/>
        <v>#DIV/0!</v>
      </c>
      <c r="N347" s="95">
        <f>IF(P347="Hedge Fund",IF(A347=Summary!$AD$3,M347-E347,M347),IF(A347=Summary!$AD$3,L347-D347,L347))</f>
        <v>0</v>
      </c>
      <c r="O347" s="95">
        <f t="shared" si="43"/>
        <v>0</v>
      </c>
      <c r="P347" s="89" t="s">
        <v>155</v>
      </c>
      <c r="Q347" s="89">
        <v>8.9176745141277297E-2</v>
      </c>
      <c r="R347" s="89">
        <v>0.71960480625000001</v>
      </c>
      <c r="S347" s="89">
        <v>5.2254257511467304E-3</v>
      </c>
      <c r="T347" s="89">
        <v>1.9003521976907599E-3</v>
      </c>
      <c r="U347" s="89"/>
      <c r="V347" s="89"/>
      <c r="W347" s="89"/>
      <c r="X347" s="89"/>
      <c r="Y347" s="89"/>
      <c r="Z347" s="89"/>
      <c r="AA347" s="89"/>
      <c r="AB347" s="89"/>
      <c r="AC347" s="355"/>
      <c r="AD347" s="355"/>
      <c r="AE347" s="355"/>
      <c r="AF347" s="94">
        <f t="shared" si="46"/>
        <v>42369</v>
      </c>
      <c r="AG347" s="185">
        <f t="shared" si="40"/>
        <v>3.0731136536574777E-3</v>
      </c>
      <c r="AH347" s="339" t="str">
        <f>VLOOKUP(B347,'MF PF'!A:B,2)</f>
        <v>FdMgt1</v>
      </c>
      <c r="AI347" s="358">
        <f t="shared" si="47"/>
        <v>0</v>
      </c>
      <c r="AJ347" s="94">
        <f t="shared" si="48"/>
        <v>42369</v>
      </c>
    </row>
    <row r="348" spans="1:36" ht="12.75" customHeight="1">
      <c r="A348" s="97">
        <v>42398</v>
      </c>
      <c r="B348" s="8" t="s">
        <v>136</v>
      </c>
      <c r="C348" s="96" t="s">
        <v>299</v>
      </c>
      <c r="D348" s="374">
        <v>32641619.800000001</v>
      </c>
      <c r="E348" s="9" t="e">
        <f t="shared" si="42"/>
        <v>#DIV/0!</v>
      </c>
      <c r="F348" s="47">
        <v>29.65</v>
      </c>
      <c r="G348" s="47">
        <v>0</v>
      </c>
      <c r="H348" s="47">
        <v>0</v>
      </c>
      <c r="I348" s="47">
        <v>0</v>
      </c>
      <c r="J348" s="98"/>
      <c r="K348" s="93"/>
      <c r="L348" s="93">
        <f t="shared" si="44"/>
        <v>0</v>
      </c>
      <c r="M348" s="95" t="e">
        <f t="shared" ca="1" si="45"/>
        <v>#DIV/0!</v>
      </c>
      <c r="N348" s="95">
        <f>IF(P348="Hedge Fund",IF(A348=Summary!$AD$3,M348-E348,M348),IF(A348=Summary!$AD$3,L348-D348,L348))</f>
        <v>0</v>
      </c>
      <c r="O348" s="95">
        <f t="shared" si="43"/>
        <v>0</v>
      </c>
      <c r="P348" s="89" t="s">
        <v>155</v>
      </c>
      <c r="Q348" s="89">
        <v>8.0473602740569306E-2</v>
      </c>
      <c r="R348" s="89">
        <v>0.71960480625000001</v>
      </c>
      <c r="S348" s="89">
        <v>0</v>
      </c>
      <c r="T348" s="89">
        <v>0</v>
      </c>
      <c r="U348" s="89"/>
      <c r="V348" s="89"/>
      <c r="W348" s="89"/>
      <c r="X348" s="89"/>
      <c r="Y348" s="89"/>
      <c r="Z348" s="89"/>
      <c r="AA348" s="89"/>
      <c r="AB348" s="89"/>
      <c r="AC348" s="355"/>
      <c r="AD348" s="355"/>
      <c r="AE348" s="355"/>
      <c r="AF348" s="94">
        <f t="shared" si="46"/>
        <v>42398</v>
      </c>
      <c r="AG348" s="185">
        <f t="shared" si="40"/>
        <v>-1.1742846123350525E-2</v>
      </c>
      <c r="AH348" s="339" t="str">
        <f>VLOOKUP(B348,'MF PF'!A:B,2)</f>
        <v>FdMgt1</v>
      </c>
      <c r="AI348" s="358">
        <f t="shared" si="47"/>
        <v>0</v>
      </c>
      <c r="AJ348" s="94">
        <f t="shared" si="48"/>
        <v>42400</v>
      </c>
    </row>
    <row r="349" spans="1:36" ht="12.75" customHeight="1">
      <c r="A349" s="97">
        <v>42429</v>
      </c>
      <c r="B349" s="8" t="s">
        <v>136</v>
      </c>
      <c r="C349" s="96" t="s">
        <v>299</v>
      </c>
      <c r="D349" s="374">
        <v>33219222.809999999</v>
      </c>
      <c r="E349" s="9" t="e">
        <f t="shared" si="42"/>
        <v>#DIV/0!</v>
      </c>
      <c r="F349" s="47">
        <v>29.65</v>
      </c>
      <c r="G349" s="47">
        <v>0</v>
      </c>
      <c r="H349" s="47">
        <v>0</v>
      </c>
      <c r="I349" s="47">
        <v>0</v>
      </c>
      <c r="J349" s="98"/>
      <c r="K349" s="93"/>
      <c r="L349" s="93">
        <f t="shared" si="44"/>
        <v>0</v>
      </c>
      <c r="M349" s="95" t="e">
        <f t="shared" ca="1" si="45"/>
        <v>#DIV/0!</v>
      </c>
      <c r="N349" s="95">
        <f>IF(P349="Hedge Fund",IF(A349=Summary!$AD$3,M349-E349,M349),IF(A349=Summary!$AD$3,L349-D349,L349))</f>
        <v>0</v>
      </c>
      <c r="O349" s="95">
        <f t="shared" si="43"/>
        <v>0</v>
      </c>
      <c r="P349" s="89" t="s">
        <v>155</v>
      </c>
      <c r="Q349" s="89">
        <v>0.105368399215298</v>
      </c>
      <c r="R349" s="89">
        <v>0.78766958470000048</v>
      </c>
      <c r="S349" s="89">
        <v>0</v>
      </c>
      <c r="T349" s="89">
        <v>0</v>
      </c>
      <c r="U349" s="89"/>
      <c r="V349" s="89"/>
      <c r="W349" s="89"/>
      <c r="X349" s="89"/>
      <c r="Y349" s="89"/>
      <c r="Z349" s="89"/>
      <c r="AA349" s="89"/>
      <c r="AB349" s="89"/>
      <c r="AC349" s="355"/>
      <c r="AD349" s="355"/>
      <c r="AE349" s="355"/>
      <c r="AF349" s="94">
        <f t="shared" si="46"/>
        <v>42429</v>
      </c>
      <c r="AG349" s="185">
        <f t="shared" si="40"/>
        <v>1.7695292498933979E-2</v>
      </c>
      <c r="AH349" s="339" t="str">
        <f>VLOOKUP(B349,'MF PF'!A:B,2)</f>
        <v>FdMgt1</v>
      </c>
      <c r="AI349" s="358">
        <f t="shared" si="47"/>
        <v>0</v>
      </c>
      <c r="AJ349" s="94">
        <f t="shared" si="48"/>
        <v>42429</v>
      </c>
    </row>
    <row r="350" spans="1:36" ht="12.75" customHeight="1">
      <c r="A350" s="97">
        <v>42460</v>
      </c>
      <c r="B350" s="8" t="s">
        <v>136</v>
      </c>
      <c r="C350" s="96" t="s">
        <v>299</v>
      </c>
      <c r="D350" s="374">
        <v>33815648.039999999</v>
      </c>
      <c r="E350" s="9" t="e">
        <f t="shared" si="42"/>
        <v>#DIV/0!</v>
      </c>
      <c r="F350" s="47">
        <v>29.65</v>
      </c>
      <c r="G350" s="47">
        <v>0</v>
      </c>
      <c r="H350" s="47">
        <v>0</v>
      </c>
      <c r="I350" s="47">
        <v>0</v>
      </c>
      <c r="J350" s="98"/>
      <c r="K350" s="93"/>
      <c r="L350" s="93">
        <f t="shared" si="44"/>
        <v>0</v>
      </c>
      <c r="M350" s="95" t="e">
        <f t="shared" ca="1" si="45"/>
        <v>#DIV/0!</v>
      </c>
      <c r="N350" s="95">
        <f>IF(P350="Hedge Fund",IF(A350=Summary!$AD$3,M350-E350,M350),IF(A350=Summary!$AD$3,L350-D350,L350))</f>
        <v>0</v>
      </c>
      <c r="O350" s="95">
        <f t="shared" si="43"/>
        <v>0</v>
      </c>
      <c r="P350" s="89" t="s">
        <v>155</v>
      </c>
      <c r="Q350" s="89">
        <v>0.12579417458966569</v>
      </c>
      <c r="R350" s="89">
        <v>0.89243120444999979</v>
      </c>
      <c r="S350" s="89">
        <v>8.3756631936899705E-3</v>
      </c>
      <c r="T350" s="89">
        <v>3.1544602762288427E-3</v>
      </c>
      <c r="U350" s="89"/>
      <c r="V350" s="89"/>
      <c r="W350" s="89"/>
      <c r="X350" s="89"/>
      <c r="Y350" s="89"/>
      <c r="Z350" s="89"/>
      <c r="AA350" s="89"/>
      <c r="AB350" s="89"/>
      <c r="AC350" s="355"/>
      <c r="AD350" s="355"/>
      <c r="AE350" s="355"/>
      <c r="AF350" s="94">
        <f t="shared" si="46"/>
        <v>42460</v>
      </c>
      <c r="AG350" s="185">
        <f t="shared" si="40"/>
        <v>1.7954219862737375E-2</v>
      </c>
      <c r="AH350" s="339" t="str">
        <f>VLOOKUP(B350,'MF PF'!A:B,2)</f>
        <v>FdMgt1</v>
      </c>
      <c r="AI350" s="358">
        <f t="shared" si="47"/>
        <v>0</v>
      </c>
      <c r="AJ350" s="94">
        <f t="shared" si="48"/>
        <v>42460</v>
      </c>
    </row>
    <row r="351" spans="1:36" ht="12.75" customHeight="1">
      <c r="A351" s="97">
        <v>42489</v>
      </c>
      <c r="B351" s="8" t="s">
        <v>136</v>
      </c>
      <c r="C351" s="96" t="s">
        <v>299</v>
      </c>
      <c r="D351" s="374">
        <v>34374314.149999999</v>
      </c>
      <c r="E351" s="9" t="e">
        <f t="shared" si="42"/>
        <v>#DIV/0!</v>
      </c>
      <c r="F351" s="47">
        <v>29.65</v>
      </c>
      <c r="G351" s="47">
        <v>0</v>
      </c>
      <c r="H351" s="47">
        <v>0</v>
      </c>
      <c r="I351" s="47">
        <v>0</v>
      </c>
      <c r="J351" s="98"/>
      <c r="K351" s="93"/>
      <c r="L351" s="93">
        <f t="shared" si="44"/>
        <v>0</v>
      </c>
      <c r="M351" s="95" t="e">
        <f t="shared" ca="1" si="45"/>
        <v>#DIV/0!</v>
      </c>
      <c r="N351" s="95">
        <f>IF(P351="Hedge Fund",IF(A351=Summary!$AD$3,M351-E351,M351),IF(A351=Summary!$AD$3,L351-D351,L351))</f>
        <v>0</v>
      </c>
      <c r="O351" s="95">
        <f t="shared" si="43"/>
        <v>0</v>
      </c>
      <c r="P351" s="89" t="s">
        <v>155</v>
      </c>
      <c r="Q351" s="89">
        <v>0.11105236282941799</v>
      </c>
      <c r="R351" s="89">
        <v>1.0783258878499995</v>
      </c>
      <c r="S351" s="89">
        <v>0</v>
      </c>
      <c r="T351" s="89">
        <v>0</v>
      </c>
      <c r="U351" s="89"/>
      <c r="V351" s="89"/>
      <c r="W351" s="89"/>
      <c r="X351" s="89"/>
      <c r="Y351" s="89"/>
      <c r="Z351" s="89"/>
      <c r="AA351" s="89"/>
      <c r="AB351" s="89"/>
      <c r="AC351" s="355"/>
      <c r="AD351" s="355"/>
      <c r="AE351" s="355"/>
      <c r="AF351" s="94">
        <f t="shared" si="46"/>
        <v>42489</v>
      </c>
      <c r="AG351" s="185">
        <f t="shared" si="40"/>
        <v>1.6520934608118765E-2</v>
      </c>
      <c r="AH351" s="339" t="str">
        <f>VLOOKUP(B351,'MF PF'!A:B,2)</f>
        <v>FdMgt1</v>
      </c>
      <c r="AI351" s="358">
        <f t="shared" si="47"/>
        <v>0</v>
      </c>
      <c r="AJ351" s="94">
        <f t="shared" si="48"/>
        <v>42490</v>
      </c>
    </row>
    <row r="352" spans="1:36" ht="12.75" customHeight="1">
      <c r="A352" s="97">
        <v>42521</v>
      </c>
      <c r="B352" s="8" t="s">
        <v>136</v>
      </c>
      <c r="C352" s="96" t="s">
        <v>299</v>
      </c>
      <c r="D352" s="374">
        <v>35043688.940000005</v>
      </c>
      <c r="E352" s="9" t="e">
        <f t="shared" si="42"/>
        <v>#DIV/0!</v>
      </c>
      <c r="F352" s="47">
        <v>29.65</v>
      </c>
      <c r="G352" s="47">
        <v>0</v>
      </c>
      <c r="H352" s="47">
        <v>0</v>
      </c>
      <c r="I352" s="47">
        <v>0</v>
      </c>
      <c r="J352" s="98"/>
      <c r="L352" s="93">
        <f t="shared" si="44"/>
        <v>0</v>
      </c>
      <c r="M352" s="95" t="e">
        <f t="shared" ca="1" si="45"/>
        <v>#DIV/0!</v>
      </c>
      <c r="N352" s="95">
        <f>IF(P352="Hedge Fund",IF(A352=Summary!$AD$3,M352-E352,M352),IF(A352=Summary!$AD$3,L352-D352,L352))</f>
        <v>0</v>
      </c>
      <c r="O352" s="95">
        <f t="shared" si="43"/>
        <v>0</v>
      </c>
      <c r="P352" s="89" t="s">
        <v>155</v>
      </c>
      <c r="Q352" s="89">
        <v>0.1267221</v>
      </c>
      <c r="R352" s="89">
        <v>1.3177194056000003</v>
      </c>
      <c r="S352" s="89">
        <v>0</v>
      </c>
      <c r="T352" s="89">
        <v>0</v>
      </c>
      <c r="U352" s="89"/>
      <c r="V352" s="89"/>
      <c r="W352" s="89"/>
      <c r="X352" s="89"/>
      <c r="Y352" s="89"/>
      <c r="Z352" s="89"/>
      <c r="AA352" s="89"/>
      <c r="AB352" s="89"/>
      <c r="AC352" s="355"/>
      <c r="AD352" s="355"/>
      <c r="AE352" s="355"/>
      <c r="AF352" s="94">
        <f t="shared" si="46"/>
        <v>42521</v>
      </c>
      <c r="AG352" s="185">
        <f t="shared" si="40"/>
        <v>1.9473109691121149E-2</v>
      </c>
      <c r="AH352" s="339" t="str">
        <f>VLOOKUP(B352,'MF PF'!A:B,2)</f>
        <v>FdMgt1</v>
      </c>
      <c r="AI352" s="358">
        <f t="shared" si="47"/>
        <v>0</v>
      </c>
      <c r="AJ352" s="94">
        <f t="shared" si="48"/>
        <v>42521</v>
      </c>
    </row>
    <row r="353" spans="1:36" ht="12.75" customHeight="1">
      <c r="A353" s="97">
        <v>42551</v>
      </c>
      <c r="B353" s="8" t="s">
        <v>136</v>
      </c>
      <c r="C353" s="96" t="s">
        <v>299</v>
      </c>
      <c r="D353" s="374">
        <v>36239688.419999994</v>
      </c>
      <c r="E353" s="9" t="e">
        <f t="shared" ref="E353:E377" si="49">D353/K353</f>
        <v>#DIV/0!</v>
      </c>
      <c r="F353" s="47">
        <v>29.65</v>
      </c>
      <c r="G353" s="47">
        <v>0</v>
      </c>
      <c r="H353" s="47">
        <v>0</v>
      </c>
      <c r="I353" s="47">
        <v>0</v>
      </c>
      <c r="J353" s="98"/>
      <c r="K353" s="93"/>
      <c r="L353" s="93">
        <f t="shared" si="44"/>
        <v>0</v>
      </c>
      <c r="M353" s="95" t="e">
        <f t="shared" ca="1" si="45"/>
        <v>#DIV/0!</v>
      </c>
      <c r="N353" s="95">
        <f>IF(P353="Hedge Fund",IF(A353=Summary!$AD$3,M353-E353,M353),IF(A353=Summary!$AD$3,L353-D353,L353))</f>
        <v>0</v>
      </c>
      <c r="O353" s="95">
        <f t="shared" ref="O353:O384" si="50">N353</f>
        <v>0</v>
      </c>
      <c r="P353" s="89" t="s">
        <v>155</v>
      </c>
      <c r="Q353" s="89">
        <v>0.122919215285926</v>
      </c>
      <c r="R353" s="89">
        <v>1.6005225211</v>
      </c>
      <c r="S353" s="89">
        <v>1.0830792825554299E-2</v>
      </c>
      <c r="T353" s="89">
        <v>8.0552343872943299E-3</v>
      </c>
      <c r="U353" s="89"/>
      <c r="V353" s="89"/>
      <c r="W353" s="89"/>
      <c r="X353" s="89"/>
      <c r="Y353" s="89"/>
      <c r="Z353" s="89"/>
      <c r="AA353" s="89"/>
      <c r="AB353" s="89"/>
      <c r="AC353" s="355"/>
      <c r="AD353" s="355"/>
      <c r="AE353" s="355"/>
      <c r="AF353" s="94">
        <f t="shared" si="46"/>
        <v>42551</v>
      </c>
      <c r="AG353" s="185">
        <f t="shared" si="40"/>
        <v>3.4128812239137218E-2</v>
      </c>
      <c r="AH353" s="339" t="str">
        <f>VLOOKUP(B353,'MF PF'!A:B,2)</f>
        <v>FdMgt1</v>
      </c>
      <c r="AI353" s="358">
        <f t="shared" si="47"/>
        <v>0</v>
      </c>
      <c r="AJ353" s="94">
        <f t="shared" si="48"/>
        <v>42551</v>
      </c>
    </row>
    <row r="354" spans="1:36" ht="12.75" customHeight="1">
      <c r="A354" s="97">
        <v>42580</v>
      </c>
      <c r="B354" s="8" t="s">
        <v>136</v>
      </c>
      <c r="C354" s="96" t="s">
        <v>299</v>
      </c>
      <c r="D354" s="374">
        <v>36415493.780000001</v>
      </c>
      <c r="E354" s="9" t="e">
        <f t="shared" si="49"/>
        <v>#DIV/0!</v>
      </c>
      <c r="F354" s="47">
        <v>29.65</v>
      </c>
      <c r="G354" s="47">
        <v>0</v>
      </c>
      <c r="H354" s="47">
        <v>0</v>
      </c>
      <c r="I354" s="47">
        <v>0</v>
      </c>
      <c r="J354" s="98"/>
      <c r="K354" s="93"/>
      <c r="L354" s="93">
        <f t="shared" si="44"/>
        <v>0</v>
      </c>
      <c r="M354" s="95" t="e">
        <f t="shared" ca="1" si="45"/>
        <v>#DIV/0!</v>
      </c>
      <c r="N354" s="95">
        <f>IF(P354="Hedge Fund",IF(A354=Summary!$AD$3,M354-E354,M354),IF(A354=Summary!$AD$3,L354-D354,L354))</f>
        <v>0</v>
      </c>
      <c r="O354" s="95">
        <f t="shared" si="50"/>
        <v>0</v>
      </c>
      <c r="P354" s="89" t="s">
        <v>155</v>
      </c>
      <c r="Q354" s="89">
        <v>0.11598075767429</v>
      </c>
      <c r="R354" s="89">
        <v>1.7714104123500001</v>
      </c>
      <c r="S354" s="89">
        <v>0</v>
      </c>
      <c r="T354" s="89">
        <v>0</v>
      </c>
      <c r="U354" s="89"/>
      <c r="V354" s="89"/>
      <c r="W354" s="89"/>
      <c r="X354" s="89"/>
      <c r="Y354" s="89"/>
      <c r="Z354" s="89"/>
      <c r="AA354" s="89"/>
      <c r="AB354" s="89"/>
      <c r="AC354" s="355"/>
      <c r="AD354" s="355"/>
      <c r="AE354" s="355"/>
      <c r="AF354" s="94">
        <f t="shared" si="46"/>
        <v>42580</v>
      </c>
      <c r="AG354" s="185">
        <f t="shared" si="40"/>
        <v>4.8511829892825542E-3</v>
      </c>
      <c r="AH354" s="339" t="str">
        <f>VLOOKUP(B354,'MF PF'!A:B,2)</f>
        <v>FdMgt1</v>
      </c>
      <c r="AI354" s="358">
        <f t="shared" si="47"/>
        <v>0</v>
      </c>
      <c r="AJ354" s="94">
        <f t="shared" si="48"/>
        <v>42582</v>
      </c>
    </row>
    <row r="355" spans="1:36" ht="12.75" customHeight="1">
      <c r="A355" s="97">
        <v>42613</v>
      </c>
      <c r="B355" s="8" t="s">
        <v>136</v>
      </c>
      <c r="C355" s="96" t="s">
        <v>299</v>
      </c>
      <c r="D355" s="374">
        <v>36415493.780000001</v>
      </c>
      <c r="E355" s="9" t="e">
        <f t="shared" si="49"/>
        <v>#DIV/0!</v>
      </c>
      <c r="F355" s="47">
        <v>29.65</v>
      </c>
      <c r="G355" s="47">
        <v>0</v>
      </c>
      <c r="H355" s="47">
        <v>0</v>
      </c>
      <c r="I355" s="47">
        <v>0</v>
      </c>
      <c r="J355" s="98"/>
      <c r="K355" s="93"/>
      <c r="L355" s="93">
        <f t="shared" si="44"/>
        <v>0</v>
      </c>
      <c r="M355" s="95" t="e">
        <f t="shared" ca="1" si="45"/>
        <v>#DIV/0!</v>
      </c>
      <c r="N355" s="95">
        <f>IF(P355="Hedge Fund",IF(A355=Summary!$AD$3,M355-E355,M355),IF(A355=Summary!$AD$3,L355-D355,L355))</f>
        <v>0</v>
      </c>
      <c r="O355" s="95">
        <f t="shared" si="50"/>
        <v>0</v>
      </c>
      <c r="P355" s="89" t="s">
        <v>155</v>
      </c>
      <c r="Q355" s="89">
        <v>0.132175368947997</v>
      </c>
      <c r="R355" s="89">
        <v>1.7225015678</v>
      </c>
      <c r="S355" s="89">
        <v>0</v>
      </c>
      <c r="T355" s="89">
        <v>0</v>
      </c>
      <c r="U355" s="89"/>
      <c r="V355" s="89"/>
      <c r="W355" s="89"/>
      <c r="X355" s="89"/>
      <c r="Y355" s="89"/>
      <c r="Z355" s="89"/>
      <c r="AA355" s="89"/>
      <c r="AB355" s="89"/>
      <c r="AC355" s="355"/>
      <c r="AD355" s="355"/>
      <c r="AE355" s="355"/>
      <c r="AF355" s="94">
        <f t="shared" si="46"/>
        <v>42613</v>
      </c>
      <c r="AG355" s="185">
        <f t="shared" si="40"/>
        <v>0</v>
      </c>
      <c r="AH355" s="339" t="str">
        <f>VLOOKUP(B355,'MF PF'!A:B,2)</f>
        <v>FdMgt1</v>
      </c>
      <c r="AI355" s="358">
        <f t="shared" si="47"/>
        <v>0</v>
      </c>
      <c r="AJ355" s="94">
        <f t="shared" si="48"/>
        <v>42613</v>
      </c>
    </row>
    <row r="356" spans="1:36" ht="12.75" customHeight="1">
      <c r="A356" s="97">
        <v>42643</v>
      </c>
      <c r="B356" s="8" t="s">
        <v>136</v>
      </c>
      <c r="C356" s="96" t="s">
        <v>299</v>
      </c>
      <c r="D356" s="374">
        <v>38138053.659999996</v>
      </c>
      <c r="E356" s="9" t="e">
        <f t="shared" si="49"/>
        <v>#DIV/0!</v>
      </c>
      <c r="F356" s="47">
        <v>29.65</v>
      </c>
      <c r="G356" s="47">
        <v>0</v>
      </c>
      <c r="H356" s="47">
        <v>0</v>
      </c>
      <c r="I356" s="47">
        <v>0</v>
      </c>
      <c r="J356" s="98"/>
      <c r="K356" s="93"/>
      <c r="L356" s="93">
        <f t="shared" si="44"/>
        <v>0</v>
      </c>
      <c r="M356" s="95" t="e">
        <f t="shared" ca="1" si="45"/>
        <v>#DIV/0!</v>
      </c>
      <c r="N356" s="95">
        <f>IF(P356="Hedge Fund",IF(A356=Summary!$AD$3,M356-E356,M356),IF(A356=Summary!$AD$3,L356-D356,L356))</f>
        <v>0</v>
      </c>
      <c r="O356" s="95">
        <f t="shared" si="50"/>
        <v>0</v>
      </c>
      <c r="P356" s="89" t="s">
        <v>155</v>
      </c>
      <c r="Q356" s="89">
        <v>0.13390901384676199</v>
      </c>
      <c r="R356" s="89">
        <v>2.3253418314499998</v>
      </c>
      <c r="S356" s="89">
        <v>8.14509610451844E-3</v>
      </c>
      <c r="T356" s="89">
        <v>1.9635656748106401E-2</v>
      </c>
      <c r="U356" s="89"/>
      <c r="V356" s="89"/>
      <c r="W356" s="89"/>
      <c r="X356" s="89"/>
      <c r="Y356" s="89"/>
      <c r="Z356" s="89"/>
      <c r="AA356" s="89"/>
      <c r="AB356" s="89"/>
      <c r="AC356" s="355"/>
      <c r="AD356" s="355"/>
      <c r="AE356" s="355"/>
      <c r="AF356" s="94">
        <f t="shared" si="46"/>
        <v>42643</v>
      </c>
      <c r="AG356" s="185">
        <f t="shared" si="40"/>
        <v>4.7302938974455255E-2</v>
      </c>
      <c r="AH356" s="339" t="str">
        <f>VLOOKUP(B356,'MF PF'!A:B,2)</f>
        <v>FdMgt1</v>
      </c>
      <c r="AI356" s="358">
        <f t="shared" si="47"/>
        <v>0</v>
      </c>
      <c r="AJ356" s="94">
        <f t="shared" si="48"/>
        <v>42643</v>
      </c>
    </row>
    <row r="357" spans="1:36" ht="12.75" customHeight="1">
      <c r="A357" s="97">
        <v>42674</v>
      </c>
      <c r="B357" s="8" t="s">
        <v>136</v>
      </c>
      <c r="C357" s="96" t="s">
        <v>299</v>
      </c>
      <c r="D357" s="374">
        <v>39252399.119999997</v>
      </c>
      <c r="E357" s="9" t="e">
        <f t="shared" si="49"/>
        <v>#DIV/0!</v>
      </c>
      <c r="F357" s="47">
        <v>29.65</v>
      </c>
      <c r="G357" s="47">
        <v>0</v>
      </c>
      <c r="H357" s="47">
        <v>0</v>
      </c>
      <c r="I357" s="47">
        <v>0</v>
      </c>
      <c r="J357" s="98"/>
      <c r="K357" s="93"/>
      <c r="L357" s="93">
        <f t="shared" si="44"/>
        <v>0</v>
      </c>
      <c r="M357" s="95" t="e">
        <f t="shared" ca="1" si="45"/>
        <v>#DIV/0!</v>
      </c>
      <c r="N357" s="95">
        <f>IF(P357="Hedge Fund",IF(A357=Summary!$AD$3,M357-E357,M357),IF(A357=Summary!$AD$3,L357-D357,L357))</f>
        <v>0</v>
      </c>
      <c r="O357" s="95">
        <f t="shared" si="50"/>
        <v>0</v>
      </c>
      <c r="P357" s="89" t="s">
        <v>155</v>
      </c>
      <c r="Q357" s="107">
        <v>0.13279840000000001</v>
      </c>
      <c r="R357" s="107">
        <v>2.8169656940000003</v>
      </c>
      <c r="S357" s="89">
        <v>0</v>
      </c>
      <c r="T357" s="89">
        <v>0</v>
      </c>
      <c r="U357" s="89"/>
      <c r="V357" s="89"/>
      <c r="W357" s="89"/>
      <c r="X357" s="89"/>
      <c r="Y357" s="89"/>
      <c r="Z357" s="89"/>
      <c r="AA357" s="89"/>
      <c r="AB357" s="89"/>
      <c r="AC357" s="355"/>
      <c r="AD357" s="355"/>
      <c r="AE357" s="355"/>
      <c r="AF357" s="94">
        <f t="shared" si="46"/>
        <v>42674</v>
      </c>
      <c r="AG357" s="185">
        <f t="shared" si="40"/>
        <v>2.9218729144763644E-2</v>
      </c>
      <c r="AH357" s="339" t="str">
        <f>VLOOKUP(B357,'MF PF'!A:B,2)</f>
        <v>FdMgt1</v>
      </c>
      <c r="AI357" s="358">
        <f t="shared" si="47"/>
        <v>0</v>
      </c>
      <c r="AJ357" s="94">
        <f t="shared" si="48"/>
        <v>42674</v>
      </c>
    </row>
    <row r="358" spans="1:36" ht="12.75" customHeight="1">
      <c r="A358" s="97">
        <v>42704</v>
      </c>
      <c r="B358" s="8" t="s">
        <v>136</v>
      </c>
      <c r="C358" s="96" t="s">
        <v>299</v>
      </c>
      <c r="D358" s="374">
        <v>39252399.119999997</v>
      </c>
      <c r="E358" s="9" t="e">
        <f t="shared" si="49"/>
        <v>#DIV/0!</v>
      </c>
      <c r="F358" s="47">
        <v>29.65</v>
      </c>
      <c r="G358" s="47">
        <v>0</v>
      </c>
      <c r="H358" s="47">
        <v>0</v>
      </c>
      <c r="I358" s="47">
        <v>0</v>
      </c>
      <c r="J358" s="98"/>
      <c r="K358" s="93"/>
      <c r="L358" s="93">
        <f t="shared" si="44"/>
        <v>0</v>
      </c>
      <c r="M358" s="95" t="e">
        <f t="shared" ca="1" si="45"/>
        <v>#DIV/0!</v>
      </c>
      <c r="N358" s="95">
        <f>IF(P358="Hedge Fund",IF(A358=Summary!$AD$3,M358-E358,M358),IF(A358=Summary!$AD$3,L358-D358,L358))</f>
        <v>0</v>
      </c>
      <c r="O358" s="95">
        <f t="shared" si="50"/>
        <v>0</v>
      </c>
      <c r="P358" s="89" t="s">
        <v>155</v>
      </c>
      <c r="Q358" s="107">
        <v>0.12929867533436298</v>
      </c>
      <c r="R358" s="107">
        <v>2.9160986075499999</v>
      </c>
      <c r="S358" s="89">
        <v>0</v>
      </c>
      <c r="T358" s="89">
        <v>0</v>
      </c>
      <c r="U358" s="89"/>
      <c r="V358" s="89"/>
      <c r="W358" s="89"/>
      <c r="X358" s="89"/>
      <c r="Y358" s="89"/>
      <c r="Z358" s="89"/>
      <c r="AA358" s="89"/>
      <c r="AB358" s="89"/>
      <c r="AC358" s="355"/>
      <c r="AD358" s="355"/>
      <c r="AE358" s="355"/>
      <c r="AF358" s="94">
        <f t="shared" si="46"/>
        <v>42704</v>
      </c>
      <c r="AG358" s="185">
        <f t="shared" si="40"/>
        <v>0</v>
      </c>
      <c r="AH358" s="339" t="str">
        <f>VLOOKUP(B358,'MF PF'!A:B,2)</f>
        <v>FdMgt1</v>
      </c>
      <c r="AI358" s="358">
        <f t="shared" si="47"/>
        <v>0</v>
      </c>
      <c r="AJ358" s="94">
        <f t="shared" si="48"/>
        <v>42704</v>
      </c>
    </row>
    <row r="359" spans="1:36" ht="12.75" customHeight="1">
      <c r="A359" s="97">
        <v>42734</v>
      </c>
      <c r="B359" s="94" t="s">
        <v>136</v>
      </c>
      <c r="C359" s="96" t="s">
        <v>299</v>
      </c>
      <c r="D359" s="374">
        <v>39228419.93</v>
      </c>
      <c r="E359" s="9" t="e">
        <f t="shared" si="49"/>
        <v>#DIV/0!</v>
      </c>
      <c r="F359" s="47">
        <v>29.65</v>
      </c>
      <c r="G359" s="47">
        <v>0</v>
      </c>
      <c r="H359" s="47">
        <v>0</v>
      </c>
      <c r="I359" s="98">
        <v>0</v>
      </c>
      <c r="J359" s="98"/>
      <c r="K359" s="93"/>
      <c r="L359" s="93">
        <f t="shared" si="44"/>
        <v>0</v>
      </c>
      <c r="M359" s="95" t="e">
        <f t="shared" ca="1" si="45"/>
        <v>#DIV/0!</v>
      </c>
      <c r="N359" s="95">
        <f>IF(P359="Hedge Fund",IF(A359=Summary!$AD$3,M359-E359,M359),IF(A359=Summary!$AD$3,L359-D359,L359))</f>
        <v>0</v>
      </c>
      <c r="O359" s="95">
        <f t="shared" si="50"/>
        <v>0</v>
      </c>
      <c r="P359" s="89" t="s">
        <v>155</v>
      </c>
      <c r="Q359" s="107">
        <v>0.14625836942770601</v>
      </c>
      <c r="R359" s="107">
        <v>2.8408196464760298</v>
      </c>
      <c r="S359" s="89">
        <v>8.14509610451844E-3</v>
      </c>
      <c r="T359" s="89">
        <v>3.0328195401804498E-2</v>
      </c>
      <c r="U359" s="89"/>
      <c r="V359" s="89"/>
      <c r="W359" s="89"/>
      <c r="X359" s="89"/>
      <c r="Y359" s="89"/>
      <c r="Z359" s="89"/>
      <c r="AA359" s="89"/>
      <c r="AB359" s="89"/>
      <c r="AC359" s="355"/>
      <c r="AD359" s="355"/>
      <c r="AE359" s="355"/>
      <c r="AF359" s="94">
        <f t="shared" si="46"/>
        <v>42734</v>
      </c>
      <c r="AG359" s="185">
        <f t="shared" si="40"/>
        <v>-6.1089743652842365E-4</v>
      </c>
      <c r="AH359" s="339" t="str">
        <f>VLOOKUP(B359,'MF PF'!A:B,2)</f>
        <v>FdMgt1</v>
      </c>
      <c r="AI359" s="358">
        <f t="shared" si="47"/>
        <v>0</v>
      </c>
      <c r="AJ359" s="94">
        <f t="shared" si="48"/>
        <v>42735</v>
      </c>
    </row>
    <row r="360" spans="1:36" ht="12.75" customHeight="1">
      <c r="A360" s="97">
        <v>42762</v>
      </c>
      <c r="B360" s="94" t="s">
        <v>136</v>
      </c>
      <c r="C360" s="96" t="s">
        <v>299</v>
      </c>
      <c r="D360" s="374">
        <v>39772314.300000004</v>
      </c>
      <c r="E360" s="9" t="e">
        <f t="shared" si="49"/>
        <v>#DIV/0!</v>
      </c>
      <c r="F360" s="47">
        <v>29.65</v>
      </c>
      <c r="G360" s="47">
        <v>0</v>
      </c>
      <c r="H360" s="47">
        <v>0</v>
      </c>
      <c r="I360" s="98">
        <v>0</v>
      </c>
      <c r="J360" s="98"/>
      <c r="K360" s="93"/>
      <c r="L360" s="93">
        <f t="shared" si="44"/>
        <v>0</v>
      </c>
      <c r="M360" s="95" t="e">
        <f t="shared" ca="1" si="45"/>
        <v>#DIV/0!</v>
      </c>
      <c r="N360" s="95">
        <f>IF(P360="Hedge Fund",IF(A360=Summary!$AD$3,M360-E360,M360),IF(A360=Summary!$AD$3,L360-D360,L360))</f>
        <v>0</v>
      </c>
      <c r="O360" s="95">
        <f t="shared" si="50"/>
        <v>0</v>
      </c>
      <c r="P360" s="89" t="s">
        <v>155</v>
      </c>
      <c r="Q360" s="107">
        <v>0.13843012327705501</v>
      </c>
      <c r="R360" s="107">
        <v>3.0757721821499997</v>
      </c>
      <c r="S360" s="89">
        <v>0</v>
      </c>
      <c r="T360" s="89">
        <v>0</v>
      </c>
      <c r="U360" s="89"/>
      <c r="V360" s="89"/>
      <c r="W360" s="89"/>
      <c r="X360" s="89"/>
      <c r="Y360" s="89"/>
      <c r="Z360" s="89"/>
      <c r="AA360" s="89"/>
      <c r="AB360" s="89"/>
      <c r="AC360" s="355"/>
      <c r="AD360" s="355"/>
      <c r="AE360" s="355"/>
      <c r="AF360" s="94">
        <f t="shared" si="46"/>
        <v>42762</v>
      </c>
      <c r="AG360" s="185">
        <f t="shared" si="40"/>
        <v>1.3864804419105869E-2</v>
      </c>
      <c r="AH360" s="339" t="str">
        <f>VLOOKUP(B360,'MF PF'!A:B,2)</f>
        <v>FdMgt1</v>
      </c>
      <c r="AI360" s="358">
        <f t="shared" si="47"/>
        <v>0</v>
      </c>
      <c r="AJ360" s="94">
        <f t="shared" si="48"/>
        <v>42766</v>
      </c>
    </row>
    <row r="361" spans="1:36" ht="12.75" customHeight="1">
      <c r="A361" s="97">
        <v>42794</v>
      </c>
      <c r="B361" s="94" t="s">
        <v>136</v>
      </c>
      <c r="C361" s="96" t="s">
        <v>299</v>
      </c>
      <c r="D361" s="374">
        <v>41583673.660000004</v>
      </c>
      <c r="E361" s="9" t="e">
        <f t="shared" si="49"/>
        <v>#DIV/0!</v>
      </c>
      <c r="F361" s="47">
        <v>29.65</v>
      </c>
      <c r="G361" s="47">
        <v>0</v>
      </c>
      <c r="H361" s="47">
        <v>0</v>
      </c>
      <c r="I361" s="98">
        <v>0</v>
      </c>
      <c r="J361" s="98"/>
      <c r="L361" s="93">
        <f t="shared" si="44"/>
        <v>0</v>
      </c>
      <c r="M361" s="95" t="e">
        <f t="shared" ca="1" si="45"/>
        <v>#DIV/0!</v>
      </c>
      <c r="N361" s="95">
        <f>IF(P361="Hedge Fund",IF(A361=Summary!$AD$3,M361-E361,M361),IF(A361=Summary!$AD$3,L361-D361,L361))</f>
        <v>0</v>
      </c>
      <c r="O361" s="95">
        <f t="shared" si="50"/>
        <v>0</v>
      </c>
      <c r="P361" s="89" t="s">
        <v>155</v>
      </c>
      <c r="Q361" s="89">
        <v>0.16910341435044501</v>
      </c>
      <c r="R361" s="89">
        <v>3.7449375961500002</v>
      </c>
      <c r="S361" s="89">
        <v>0</v>
      </c>
      <c r="T361" s="89">
        <v>0</v>
      </c>
      <c r="U361" s="89"/>
      <c r="V361" s="89"/>
      <c r="W361" s="89"/>
      <c r="X361" s="89"/>
      <c r="Y361" s="89"/>
      <c r="Z361" s="89"/>
      <c r="AA361" s="89"/>
      <c r="AB361" s="89"/>
      <c r="AC361" s="355"/>
      <c r="AD361" s="355"/>
      <c r="AE361" s="355"/>
      <c r="AF361" s="94">
        <f t="shared" si="46"/>
        <v>42794</v>
      </c>
      <c r="AG361" s="185">
        <f t="shared" si="40"/>
        <v>4.5543222512450132E-2</v>
      </c>
      <c r="AH361" s="339" t="str">
        <f>VLOOKUP(B361,'MF PF'!A:B,2)</f>
        <v>FdMgt1</v>
      </c>
      <c r="AI361" s="358">
        <f t="shared" si="47"/>
        <v>0</v>
      </c>
      <c r="AJ361" s="94">
        <f t="shared" si="48"/>
        <v>42794</v>
      </c>
    </row>
    <row r="362" spans="1:36" ht="12.75" customHeight="1">
      <c r="A362" s="97">
        <v>42825</v>
      </c>
      <c r="B362" s="94" t="s">
        <v>136</v>
      </c>
      <c r="C362" s="96" t="s">
        <v>299</v>
      </c>
      <c r="D362" s="374">
        <v>41289529.060000002</v>
      </c>
      <c r="E362" s="9" t="e">
        <f t="shared" si="49"/>
        <v>#DIV/0!</v>
      </c>
      <c r="F362" s="47">
        <v>29.65</v>
      </c>
      <c r="G362" s="47">
        <v>0</v>
      </c>
      <c r="H362" s="47">
        <v>0</v>
      </c>
      <c r="I362" s="98">
        <v>0</v>
      </c>
      <c r="J362" s="98"/>
      <c r="K362" s="93"/>
      <c r="L362" s="93">
        <f t="shared" si="44"/>
        <v>0</v>
      </c>
      <c r="M362" s="95" t="e">
        <f t="shared" ca="1" si="45"/>
        <v>#DIV/0!</v>
      </c>
      <c r="N362" s="95">
        <f>IF(P362="Hedge Fund",IF(A362=Summary!$AD$3,M362-E362,M362),IF(A362=Summary!$AD$3,L362-D362,L362))</f>
        <v>0</v>
      </c>
      <c r="O362" s="95">
        <f t="shared" si="50"/>
        <v>0</v>
      </c>
      <c r="P362" s="89" t="s">
        <v>155</v>
      </c>
      <c r="Q362" s="107">
        <v>0.15382000000000001</v>
      </c>
      <c r="R362" s="107">
        <v>3.507736</v>
      </c>
      <c r="S362" s="89">
        <v>1.3324000000000001E-2</v>
      </c>
      <c r="T362" s="89">
        <v>3.0629E-2</v>
      </c>
      <c r="U362" s="89"/>
      <c r="V362" s="89"/>
      <c r="W362" s="89"/>
      <c r="X362" s="89"/>
      <c r="Y362" s="89"/>
      <c r="Z362" s="89"/>
      <c r="AA362" s="89"/>
      <c r="AB362" s="89"/>
      <c r="AC362" s="355"/>
      <c r="AD362" s="355"/>
      <c r="AE362" s="355"/>
      <c r="AF362" s="94">
        <f t="shared" si="46"/>
        <v>42825</v>
      </c>
      <c r="AG362" s="185">
        <f t="shared" si="40"/>
        <v>-7.0735597437834308E-3</v>
      </c>
      <c r="AH362" s="339" t="str">
        <f>VLOOKUP(B362,'MF PF'!A:B,2)</f>
        <v>FdMgt1</v>
      </c>
      <c r="AI362" s="358">
        <f t="shared" si="47"/>
        <v>0</v>
      </c>
      <c r="AJ362" s="94">
        <f t="shared" si="48"/>
        <v>42825</v>
      </c>
    </row>
    <row r="363" spans="1:36" ht="12.75" customHeight="1">
      <c r="A363" s="97">
        <v>42853</v>
      </c>
      <c r="B363" s="94" t="s">
        <v>136</v>
      </c>
      <c r="C363" s="96" t="s">
        <v>299</v>
      </c>
      <c r="D363" s="374">
        <v>41165407.509999998</v>
      </c>
      <c r="E363" s="9" t="e">
        <f t="shared" si="49"/>
        <v>#DIV/0!</v>
      </c>
      <c r="F363" s="98">
        <v>29.65</v>
      </c>
      <c r="G363" s="98">
        <v>0</v>
      </c>
      <c r="H363" s="98">
        <v>0</v>
      </c>
      <c r="I363" s="98">
        <v>0</v>
      </c>
      <c r="J363" s="98"/>
      <c r="K363" s="93"/>
      <c r="L363" s="93">
        <f t="shared" si="44"/>
        <v>0</v>
      </c>
      <c r="M363" s="95" t="e">
        <f t="shared" ca="1" si="45"/>
        <v>#DIV/0!</v>
      </c>
      <c r="N363" s="95">
        <f>IF(P363="Hedge Fund",IF(A363=Summary!$AD$3,M363-E363,M363),IF(A363=Summary!$AD$3,L363-D363,L363))</f>
        <v>0</v>
      </c>
      <c r="O363" s="95">
        <f t="shared" si="50"/>
        <v>0</v>
      </c>
      <c r="P363" s="107" t="s">
        <v>155</v>
      </c>
      <c r="Q363" s="107">
        <v>0.14174078000000001</v>
      </c>
      <c r="R363" s="107">
        <v>3.5220046800000002</v>
      </c>
      <c r="S363" s="107">
        <v>0</v>
      </c>
      <c r="T363" s="107">
        <v>0</v>
      </c>
      <c r="U363" s="107"/>
      <c r="V363" s="107"/>
      <c r="W363" s="107"/>
      <c r="X363" s="107"/>
      <c r="Y363" s="107"/>
      <c r="Z363" s="107"/>
      <c r="AA363" s="107"/>
      <c r="AB363" s="107"/>
      <c r="AC363" s="355"/>
      <c r="AD363" s="355"/>
      <c r="AE363" s="355"/>
      <c r="AF363" s="94">
        <f t="shared" si="46"/>
        <v>42853</v>
      </c>
      <c r="AG363" s="185">
        <f t="shared" si="40"/>
        <v>-3.0061265610377141E-3</v>
      </c>
      <c r="AH363" s="339" t="str">
        <f>VLOOKUP(B363,'MF PF'!A:B,2)</f>
        <v>FdMgt1</v>
      </c>
      <c r="AI363" s="358">
        <f t="shared" si="47"/>
        <v>0</v>
      </c>
      <c r="AJ363" s="94">
        <f t="shared" si="48"/>
        <v>42855</v>
      </c>
    </row>
    <row r="364" spans="1:36" ht="12.75" customHeight="1">
      <c r="A364" s="97">
        <v>42886</v>
      </c>
      <c r="B364" s="94" t="s">
        <v>136</v>
      </c>
      <c r="C364" s="96" t="s">
        <v>299</v>
      </c>
      <c r="D364" s="374">
        <v>39936127.310000002</v>
      </c>
      <c r="E364" s="9" t="e">
        <f t="shared" si="49"/>
        <v>#DIV/0!</v>
      </c>
      <c r="F364" s="98">
        <v>29.65</v>
      </c>
      <c r="G364" s="98">
        <v>0</v>
      </c>
      <c r="H364" s="98">
        <v>0</v>
      </c>
      <c r="I364" s="98">
        <v>0</v>
      </c>
      <c r="J364" s="98"/>
      <c r="K364" s="93"/>
      <c r="L364" s="93">
        <f t="shared" si="44"/>
        <v>0</v>
      </c>
      <c r="M364" s="95" t="e">
        <f t="shared" ca="1" si="45"/>
        <v>#DIV/0!</v>
      </c>
      <c r="N364" s="95">
        <f>IF(P364="Hedge Fund",IF(A364=Summary!$AD$3,M364-E364,M364),IF(A364=Summary!$AD$3,L364-D364,L364))</f>
        <v>0</v>
      </c>
      <c r="O364" s="95">
        <f t="shared" si="50"/>
        <v>0</v>
      </c>
      <c r="P364" s="107" t="s">
        <v>155</v>
      </c>
      <c r="Q364" s="107">
        <v>0.16524702366001204</v>
      </c>
      <c r="R364" s="107">
        <v>3.3823965622499998</v>
      </c>
      <c r="S364" s="107">
        <v>0</v>
      </c>
      <c r="T364" s="107">
        <v>0</v>
      </c>
      <c r="U364" s="107"/>
      <c r="V364" s="107"/>
      <c r="W364" s="107"/>
      <c r="X364" s="107"/>
      <c r="Y364" s="107"/>
      <c r="Z364" s="107"/>
      <c r="AA364" s="107"/>
      <c r="AB364" s="107"/>
      <c r="AC364" s="355"/>
      <c r="AD364" s="355"/>
      <c r="AE364" s="355"/>
      <c r="AF364" s="94">
        <f t="shared" si="46"/>
        <v>42886</v>
      </c>
      <c r="AG364" s="185">
        <f t="shared" si="40"/>
        <v>-2.9861970872057442E-2</v>
      </c>
      <c r="AH364" s="339" t="str">
        <f>VLOOKUP(B364,'MF PF'!A:B,2)</f>
        <v>FdMgt1</v>
      </c>
      <c r="AI364" s="358">
        <f t="shared" si="47"/>
        <v>0</v>
      </c>
      <c r="AJ364" s="94">
        <f t="shared" si="48"/>
        <v>42886</v>
      </c>
    </row>
    <row r="365" spans="1:36" ht="12.75" customHeight="1">
      <c r="A365" s="97">
        <v>42916</v>
      </c>
      <c r="B365" s="94" t="s">
        <v>136</v>
      </c>
      <c r="C365" s="96" t="s">
        <v>299</v>
      </c>
      <c r="D365" s="374">
        <v>41439987.240000002</v>
      </c>
      <c r="E365" s="9" t="e">
        <f t="shared" si="49"/>
        <v>#DIV/0!</v>
      </c>
      <c r="F365" s="98">
        <v>29.65</v>
      </c>
      <c r="G365" s="98">
        <v>0</v>
      </c>
      <c r="H365" s="98">
        <v>0</v>
      </c>
      <c r="I365" s="98">
        <v>0</v>
      </c>
      <c r="J365" s="98"/>
      <c r="K365" s="93"/>
      <c r="L365" s="93">
        <f t="shared" si="44"/>
        <v>0</v>
      </c>
      <c r="M365" s="95" t="e">
        <f t="shared" ca="1" si="45"/>
        <v>#DIV/0!</v>
      </c>
      <c r="N365" s="95">
        <f>IF(P365="Hedge Fund",IF(A365=Summary!$AD$3,M365-E365,M365),IF(A365=Summary!$AD$3,L365-D365,L365))</f>
        <v>0</v>
      </c>
      <c r="O365" s="95">
        <f t="shared" si="50"/>
        <v>0</v>
      </c>
      <c r="P365" s="107" t="s">
        <v>155</v>
      </c>
      <c r="Q365" s="107">
        <v>6.3254392679975957E-2</v>
      </c>
      <c r="R365" s="107">
        <v>3.7692040000000002</v>
      </c>
      <c r="S365" s="107">
        <v>2.3259999999999999E-3</v>
      </c>
      <c r="T365" s="107">
        <v>6.2541029623037106E-2</v>
      </c>
      <c r="U365" s="107"/>
      <c r="V365" s="107"/>
      <c r="W365" s="107"/>
      <c r="X365" s="107"/>
      <c r="Y365" s="107"/>
      <c r="Z365" s="107"/>
      <c r="AA365" s="107"/>
      <c r="AB365" s="107"/>
      <c r="AC365" s="355"/>
      <c r="AD365" s="355"/>
      <c r="AE365" s="355"/>
      <c r="AF365" s="94">
        <f t="shared" si="46"/>
        <v>42916</v>
      </c>
      <c r="AG365" s="185">
        <f t="shared" si="40"/>
        <v>3.7656629004771736E-2</v>
      </c>
      <c r="AH365" s="339" t="str">
        <f>VLOOKUP(B365,'MF PF'!A:B,2)</f>
        <v>FdMgt1</v>
      </c>
      <c r="AI365" s="358">
        <f t="shared" si="47"/>
        <v>0</v>
      </c>
      <c r="AJ365" s="94">
        <f t="shared" si="48"/>
        <v>42916</v>
      </c>
    </row>
    <row r="366" spans="1:36" ht="12.75" customHeight="1">
      <c r="A366" s="97">
        <v>42947</v>
      </c>
      <c r="B366" s="94" t="s">
        <v>136</v>
      </c>
      <c r="C366" s="96" t="s">
        <v>299</v>
      </c>
      <c r="D366" s="374">
        <v>42553230.669999994</v>
      </c>
      <c r="E366" s="9" t="e">
        <f t="shared" si="49"/>
        <v>#DIV/0!</v>
      </c>
      <c r="F366" s="98">
        <v>29.65</v>
      </c>
      <c r="G366" s="98">
        <v>0</v>
      </c>
      <c r="H366" s="98">
        <v>0</v>
      </c>
      <c r="I366" s="98">
        <v>0</v>
      </c>
      <c r="J366" s="98"/>
      <c r="K366" s="93"/>
      <c r="L366" s="93">
        <f t="shared" si="44"/>
        <v>0</v>
      </c>
      <c r="M366" s="95" t="e">
        <f t="shared" ca="1" si="45"/>
        <v>#DIV/0!</v>
      </c>
      <c r="N366" s="95">
        <f>IF(P366="Hedge Fund",IF(A366=Summary!$AD$3,M366-E366,M366),IF(A366=Summary!$AD$3,L366-D366,L366))</f>
        <v>0</v>
      </c>
      <c r="O366" s="95">
        <f t="shared" si="50"/>
        <v>0</v>
      </c>
      <c r="P366" s="107" t="s">
        <v>155</v>
      </c>
      <c r="Q366" s="107">
        <v>0.16219930999999999</v>
      </c>
      <c r="R366" s="107">
        <v>4.1644473949999998</v>
      </c>
      <c r="S366" s="107">
        <v>0</v>
      </c>
      <c r="T366" s="107">
        <v>0</v>
      </c>
      <c r="U366" s="107"/>
      <c r="V366" s="107"/>
      <c r="W366" s="107"/>
      <c r="X366" s="107"/>
      <c r="Y366" s="107"/>
      <c r="Z366" s="107"/>
      <c r="AA366" s="107"/>
      <c r="AB366" s="107"/>
      <c r="AC366" s="355"/>
      <c r="AD366" s="355"/>
      <c r="AE366" s="355"/>
      <c r="AF366" s="94">
        <f t="shared" si="46"/>
        <v>42947</v>
      </c>
      <c r="AG366" s="185">
        <f t="shared" si="40"/>
        <v>2.6863990655996872E-2</v>
      </c>
      <c r="AH366" s="339" t="str">
        <f>VLOOKUP(B366,'MF PF'!A:B,2)</f>
        <v>FdMgt1</v>
      </c>
      <c r="AI366" s="358">
        <f t="shared" si="47"/>
        <v>0</v>
      </c>
      <c r="AJ366" s="94">
        <f t="shared" si="48"/>
        <v>42947</v>
      </c>
    </row>
    <row r="367" spans="1:36" ht="12.75" customHeight="1">
      <c r="A367" s="97">
        <v>42978</v>
      </c>
      <c r="B367" s="94" t="s">
        <v>136</v>
      </c>
      <c r="C367" s="96" t="s">
        <v>299</v>
      </c>
      <c r="D367" s="374">
        <v>42825242.350000001</v>
      </c>
      <c r="E367" s="9" t="e">
        <f t="shared" si="49"/>
        <v>#DIV/0!</v>
      </c>
      <c r="F367" s="98">
        <v>29.65</v>
      </c>
      <c r="G367" s="98">
        <v>0</v>
      </c>
      <c r="H367" s="98">
        <v>0</v>
      </c>
      <c r="I367" s="98">
        <v>0</v>
      </c>
      <c r="J367" s="98"/>
      <c r="K367" s="93"/>
      <c r="L367" s="93">
        <f t="shared" si="44"/>
        <v>0</v>
      </c>
      <c r="M367" s="95" t="e">
        <f t="shared" ca="1" si="45"/>
        <v>#DIV/0!</v>
      </c>
      <c r="N367" s="95">
        <f>IF(P367="Hedge Fund",IF(A367=Summary!$AD$3,M367-E367,M367),IF(A367=Summary!$AD$3,L367-D367,L367))</f>
        <v>0</v>
      </c>
      <c r="O367" s="95">
        <f t="shared" si="50"/>
        <v>0</v>
      </c>
      <c r="P367" s="107" t="s">
        <v>155</v>
      </c>
      <c r="Q367" s="107">
        <v>0.16290069000000001</v>
      </c>
      <c r="R367" s="107">
        <v>4.1874000000000002</v>
      </c>
      <c r="S367" s="107">
        <v>0</v>
      </c>
      <c r="T367" s="107">
        <v>0</v>
      </c>
      <c r="U367" s="107"/>
      <c r="V367" s="107"/>
      <c r="W367" s="107"/>
      <c r="X367" s="107"/>
      <c r="Y367" s="107"/>
      <c r="Z367" s="107"/>
      <c r="AA367" s="107"/>
      <c r="AB367" s="107"/>
      <c r="AC367" s="355"/>
      <c r="AD367" s="355"/>
      <c r="AE367" s="355"/>
      <c r="AF367" s="94">
        <f t="shared" si="46"/>
        <v>42978</v>
      </c>
      <c r="AG367" s="185">
        <f t="shared" si="40"/>
        <v>6.392268594350714E-3</v>
      </c>
      <c r="AH367" s="339" t="str">
        <f>VLOOKUP(B367,'MF PF'!A:B,2)</f>
        <v>FdMgt1</v>
      </c>
      <c r="AI367" s="358">
        <f t="shared" si="47"/>
        <v>0</v>
      </c>
      <c r="AJ367" s="94">
        <f t="shared" si="48"/>
        <v>42978</v>
      </c>
    </row>
    <row r="368" spans="1:36" ht="12.75" customHeight="1">
      <c r="A368" s="97">
        <v>43007</v>
      </c>
      <c r="B368" s="8" t="s">
        <v>136</v>
      </c>
      <c r="C368" s="96" t="s">
        <v>299</v>
      </c>
      <c r="D368" s="374">
        <v>42655889.466184251</v>
      </c>
      <c r="E368" s="9" t="e">
        <f t="shared" si="49"/>
        <v>#DIV/0!</v>
      </c>
      <c r="F368" s="47">
        <v>29.65</v>
      </c>
      <c r="G368" s="47">
        <v>0</v>
      </c>
      <c r="H368" s="47">
        <v>0</v>
      </c>
      <c r="I368" s="47">
        <v>0</v>
      </c>
      <c r="J368" s="98"/>
      <c r="K368" s="93"/>
      <c r="L368" s="93">
        <f t="shared" si="44"/>
        <v>0</v>
      </c>
      <c r="M368" s="95" t="e">
        <f t="shared" ca="1" si="45"/>
        <v>#DIV/0!</v>
      </c>
      <c r="N368" s="95">
        <f>IF(P368="Hedge Fund",IF(A368=Summary!$AD$3,M368-E368,M368),IF(A368=Summary!$AD$3,L368-D368,L368))</f>
        <v>0</v>
      </c>
      <c r="O368" s="95">
        <f t="shared" si="50"/>
        <v>0</v>
      </c>
      <c r="P368" s="89" t="s">
        <v>155</v>
      </c>
      <c r="Q368" s="107">
        <v>0.14739999999999998</v>
      </c>
      <c r="R368" s="107">
        <v>4.1554502600000003</v>
      </c>
      <c r="S368" s="89">
        <v>1.4379701819813E-2</v>
      </c>
      <c r="T368" s="89">
        <v>7.0865736510435109E-2</v>
      </c>
      <c r="U368" s="89"/>
      <c r="V368" s="89"/>
      <c r="W368" s="89"/>
      <c r="X368" s="89"/>
      <c r="Y368" s="89"/>
      <c r="Z368" s="89"/>
      <c r="AA368" s="89"/>
      <c r="AB368" s="89"/>
      <c r="AC368" s="355"/>
      <c r="AD368" s="355"/>
      <c r="AE368" s="355"/>
      <c r="AF368" s="94">
        <f t="shared" si="46"/>
        <v>43007</v>
      </c>
      <c r="AG368" s="185">
        <f t="shared" si="40"/>
        <v>-3.9545108100421666E-3</v>
      </c>
      <c r="AH368" s="339" t="str">
        <f>VLOOKUP(B368,'MF PF'!A:B,2)</f>
        <v>FdMgt1</v>
      </c>
      <c r="AI368" s="358">
        <f t="shared" si="47"/>
        <v>0</v>
      </c>
      <c r="AJ368" s="94">
        <f t="shared" si="48"/>
        <v>43008</v>
      </c>
    </row>
    <row r="369" spans="1:36" ht="12.75" customHeight="1">
      <c r="A369" s="97">
        <v>43039</v>
      </c>
      <c r="B369" s="8" t="s">
        <v>136</v>
      </c>
      <c r="C369" s="96" t="s">
        <v>299</v>
      </c>
      <c r="D369" s="374">
        <v>42726425.919999994</v>
      </c>
      <c r="E369" s="9" t="e">
        <f t="shared" si="49"/>
        <v>#DIV/0!</v>
      </c>
      <c r="F369" s="47">
        <v>29.65</v>
      </c>
      <c r="G369" s="47">
        <v>0</v>
      </c>
      <c r="H369" s="47">
        <v>0</v>
      </c>
      <c r="I369" s="47">
        <v>0</v>
      </c>
      <c r="J369" s="98"/>
      <c r="K369" s="93"/>
      <c r="L369" s="93">
        <f t="shared" si="44"/>
        <v>0</v>
      </c>
      <c r="M369" s="95" t="e">
        <f t="shared" ca="1" si="45"/>
        <v>#DIV/0!</v>
      </c>
      <c r="N369" s="95">
        <f>IF(P369="Hedge Fund",IF(A369=Summary!$AD$3,M369-E369,M369),IF(A369=Summary!$AD$3,L369-D369,L369))</f>
        <v>0</v>
      </c>
      <c r="O369" s="95">
        <f t="shared" si="50"/>
        <v>0</v>
      </c>
      <c r="P369" s="89" t="s">
        <v>155</v>
      </c>
      <c r="Q369" s="107">
        <v>0.16900536999999999</v>
      </c>
      <c r="R369" s="107">
        <v>4.3480566300000003</v>
      </c>
      <c r="S369" s="89">
        <v>0</v>
      </c>
      <c r="T369" s="89">
        <v>0</v>
      </c>
      <c r="U369" s="89"/>
      <c r="V369" s="89"/>
      <c r="W369" s="89"/>
      <c r="X369" s="89"/>
      <c r="Y369" s="89"/>
      <c r="Z369" s="89"/>
      <c r="AA369" s="89"/>
      <c r="AB369" s="89"/>
      <c r="AC369" s="355"/>
      <c r="AD369" s="355"/>
      <c r="AE369" s="355"/>
      <c r="AF369" s="94">
        <f t="shared" si="46"/>
        <v>43039</v>
      </c>
      <c r="AG369" s="185">
        <f t="shared" si="40"/>
        <v>1.6536158241797771E-3</v>
      </c>
      <c r="AH369" s="339" t="str">
        <f>VLOOKUP(B369,'MF PF'!A:B,2)</f>
        <v>FdMgt1</v>
      </c>
      <c r="AI369" s="358">
        <f t="shared" si="47"/>
        <v>0</v>
      </c>
      <c r="AJ369" s="94">
        <f t="shared" si="48"/>
        <v>43039</v>
      </c>
    </row>
    <row r="370" spans="1:36" ht="12.75" customHeight="1">
      <c r="A370" s="97">
        <v>43069</v>
      </c>
      <c r="B370" s="8" t="s">
        <v>136</v>
      </c>
      <c r="C370" s="96" t="s">
        <v>299</v>
      </c>
      <c r="D370" s="374">
        <v>42879879.289999999</v>
      </c>
      <c r="E370" s="9" t="e">
        <f t="shared" si="49"/>
        <v>#DIV/0!</v>
      </c>
      <c r="F370" s="47">
        <v>29.65</v>
      </c>
      <c r="G370" s="47">
        <v>0</v>
      </c>
      <c r="H370" s="47">
        <v>0</v>
      </c>
      <c r="I370" s="47">
        <v>0</v>
      </c>
      <c r="J370" s="98"/>
      <c r="L370" s="93">
        <f t="shared" si="44"/>
        <v>0</v>
      </c>
      <c r="M370" s="95" t="e">
        <f t="shared" ca="1" si="45"/>
        <v>#DIV/0!</v>
      </c>
      <c r="N370" s="95">
        <f>IF(P370="Hedge Fund",IF(A370=Summary!$AD$3,M370-E370,M370),IF(A370=Summary!$AD$3,L370-D370,L370))</f>
        <v>0</v>
      </c>
      <c r="O370" s="95">
        <f t="shared" si="50"/>
        <v>0</v>
      </c>
      <c r="P370" s="89" t="s">
        <v>155</v>
      </c>
      <c r="Q370" s="107">
        <v>0.15866278</v>
      </c>
      <c r="R370" s="107">
        <v>4.34058206</v>
      </c>
      <c r="S370" s="89">
        <v>0</v>
      </c>
      <c r="T370" s="89">
        <v>0</v>
      </c>
      <c r="U370" s="89"/>
      <c r="V370" s="89"/>
      <c r="W370" s="89"/>
      <c r="X370" s="89"/>
      <c r="Y370" s="89"/>
      <c r="Z370" s="89"/>
      <c r="AA370" s="89"/>
      <c r="AB370" s="89"/>
      <c r="AC370" s="355"/>
      <c r="AD370" s="355"/>
      <c r="AE370" s="355"/>
      <c r="AF370" s="94">
        <f t="shared" si="46"/>
        <v>43069</v>
      </c>
      <c r="AG370" s="185">
        <f t="shared" si="40"/>
        <v>3.5915330312750182E-3</v>
      </c>
      <c r="AH370" s="339" t="str">
        <f>VLOOKUP(B370,'MF PF'!A:B,2)</f>
        <v>FdMgt1</v>
      </c>
      <c r="AI370" s="358">
        <f t="shared" si="47"/>
        <v>0</v>
      </c>
      <c r="AJ370" s="94">
        <f t="shared" si="48"/>
        <v>43069</v>
      </c>
    </row>
    <row r="371" spans="1:36" ht="12.75" customHeight="1">
      <c r="A371" s="97">
        <v>43098</v>
      </c>
      <c r="B371" s="94" t="s">
        <v>136</v>
      </c>
      <c r="C371" s="96" t="s">
        <v>299</v>
      </c>
      <c r="D371" s="374">
        <v>44164800</v>
      </c>
      <c r="E371" s="9" t="e">
        <f t="shared" si="49"/>
        <v>#DIV/0!</v>
      </c>
      <c r="F371" s="47">
        <v>29.65</v>
      </c>
      <c r="G371" s="47">
        <v>0</v>
      </c>
      <c r="H371" s="47">
        <v>-7.4505805969238281E-9</v>
      </c>
      <c r="I371" s="98">
        <v>0</v>
      </c>
      <c r="J371" s="98"/>
      <c r="K371" s="93"/>
      <c r="L371" s="93">
        <f t="shared" si="44"/>
        <v>-7.4505805969238281E-9</v>
      </c>
      <c r="M371" s="95" t="e">
        <f t="shared" ca="1" si="45"/>
        <v>#DIV/0!</v>
      </c>
      <c r="N371" s="95">
        <f>IF(P371="Hedge Fund",IF(A371=Summary!$AD$3,M371-E371,M371),IF(A371=Summary!$AD$3,L371-D371,L371))</f>
        <v>-7.4505805969238281E-9</v>
      </c>
      <c r="O371" s="95">
        <f t="shared" si="50"/>
        <v>-7.4505805969238281E-9</v>
      </c>
      <c r="P371" s="89" t="s">
        <v>155</v>
      </c>
      <c r="Q371" s="107">
        <v>0.18145</v>
      </c>
      <c r="R371" s="107">
        <v>5.4838778599999998</v>
      </c>
      <c r="S371" s="89">
        <v>1.5841000000000001E-2</v>
      </c>
      <c r="T371" s="89">
        <v>0.129771</v>
      </c>
      <c r="U371" s="89"/>
      <c r="V371" s="89"/>
      <c r="W371" s="89"/>
      <c r="X371" s="89"/>
      <c r="Y371" s="89"/>
      <c r="Z371" s="89"/>
      <c r="AA371" s="89"/>
      <c r="AB371" s="89"/>
      <c r="AC371" s="355"/>
      <c r="AD371" s="355"/>
      <c r="AE371" s="355"/>
      <c r="AF371" s="94">
        <f t="shared" si="46"/>
        <v>43098</v>
      </c>
      <c r="AG371" s="185">
        <f t="shared" si="40"/>
        <v>2.9965585987544063E-2</v>
      </c>
      <c r="AH371" s="339" t="str">
        <f>VLOOKUP(B371,'MF PF'!A:B,2)</f>
        <v>FdMgt1</v>
      </c>
      <c r="AI371" s="358">
        <f t="shared" si="47"/>
        <v>0</v>
      </c>
      <c r="AJ371" s="94">
        <f t="shared" si="48"/>
        <v>43100</v>
      </c>
    </row>
    <row r="372" spans="1:36" ht="12.75" customHeight="1">
      <c r="A372" s="97">
        <v>43131</v>
      </c>
      <c r="B372" s="94" t="s">
        <v>136</v>
      </c>
      <c r="C372" s="96" t="s">
        <v>299</v>
      </c>
      <c r="D372" s="374">
        <v>44515800</v>
      </c>
      <c r="E372" s="9" t="e">
        <f t="shared" si="49"/>
        <v>#DIV/0!</v>
      </c>
      <c r="F372" s="47">
        <v>29.65</v>
      </c>
      <c r="G372" s="47">
        <v>0</v>
      </c>
      <c r="H372" s="47">
        <v>0</v>
      </c>
      <c r="I372" s="98">
        <v>0</v>
      </c>
      <c r="J372" s="98"/>
      <c r="K372" s="93"/>
      <c r="L372" s="93">
        <f t="shared" si="44"/>
        <v>0</v>
      </c>
      <c r="M372" s="95" t="e">
        <f t="shared" ca="1" si="45"/>
        <v>#DIV/0!</v>
      </c>
      <c r="N372" s="95">
        <f>IF(P372="Hedge Fund",IF(A372=Summary!$AD$3,M372-E372,M372),IF(A372=Summary!$AD$3,L372-D372,L372))</f>
        <v>0</v>
      </c>
      <c r="O372" s="95">
        <f t="shared" si="50"/>
        <v>0</v>
      </c>
      <c r="P372" s="89" t="s">
        <v>155</v>
      </c>
      <c r="Q372" s="107">
        <v>0</v>
      </c>
      <c r="R372" s="107">
        <v>0</v>
      </c>
      <c r="S372" s="89">
        <v>0</v>
      </c>
      <c r="T372" s="89">
        <v>0</v>
      </c>
      <c r="U372" s="89"/>
      <c r="V372" s="89"/>
      <c r="W372" s="89"/>
      <c r="X372" s="89"/>
      <c r="Y372" s="89"/>
      <c r="Z372" s="89"/>
      <c r="AA372" s="89"/>
      <c r="AB372" s="89"/>
      <c r="AC372" s="355"/>
      <c r="AD372" s="355"/>
      <c r="AE372" s="355"/>
      <c r="AF372" s="94">
        <f t="shared" si="46"/>
        <v>43131</v>
      </c>
      <c r="AG372" s="185">
        <f t="shared" si="40"/>
        <v>7.9475057059015253E-3</v>
      </c>
      <c r="AH372" s="339" t="str">
        <f>VLOOKUP(B372,'MF PF'!A:B,2)</f>
        <v>FdMgt1</v>
      </c>
      <c r="AI372" s="358">
        <f t="shared" si="47"/>
        <v>0</v>
      </c>
      <c r="AJ372" s="94">
        <f t="shared" si="48"/>
        <v>43131</v>
      </c>
    </row>
    <row r="373" spans="1:36" ht="12.75" customHeight="1">
      <c r="A373" s="97">
        <v>43159</v>
      </c>
      <c r="B373" s="94" t="s">
        <v>136</v>
      </c>
      <c r="C373" s="96" t="s">
        <v>299</v>
      </c>
      <c r="D373" s="374">
        <v>45075151.25</v>
      </c>
      <c r="E373" s="9" t="e">
        <f t="shared" si="49"/>
        <v>#DIV/0!</v>
      </c>
      <c r="F373" s="47">
        <v>29.65</v>
      </c>
      <c r="G373" s="47">
        <v>0</v>
      </c>
      <c r="H373" s="47">
        <v>0</v>
      </c>
      <c r="I373" s="98">
        <v>0</v>
      </c>
      <c r="J373" s="98"/>
      <c r="K373" s="93"/>
      <c r="L373" s="93">
        <f t="shared" si="44"/>
        <v>0</v>
      </c>
      <c r="M373" s="95" t="e">
        <f t="shared" ca="1" si="45"/>
        <v>#DIV/0!</v>
      </c>
      <c r="N373" s="95">
        <f>IF(P373="Hedge Fund",IF(A373=Summary!$AD$3,M373-E373,M373),IF(A373=Summary!$AD$3,L373-D373,L373))</f>
        <v>0</v>
      </c>
      <c r="O373" s="95">
        <f t="shared" si="50"/>
        <v>0</v>
      </c>
      <c r="P373" s="89" t="s">
        <v>155</v>
      </c>
      <c r="Q373" s="107">
        <v>0</v>
      </c>
      <c r="R373" s="107">
        <v>0</v>
      </c>
      <c r="S373" s="89">
        <v>0</v>
      </c>
      <c r="T373" s="89">
        <v>0</v>
      </c>
      <c r="U373" s="89"/>
      <c r="V373" s="89"/>
      <c r="W373" s="89"/>
      <c r="X373" s="89"/>
      <c r="Y373" s="89"/>
      <c r="Z373" s="89"/>
      <c r="AA373" s="89"/>
      <c r="AB373" s="89"/>
      <c r="AC373" s="355"/>
      <c r="AD373" s="355"/>
      <c r="AE373" s="355"/>
      <c r="AF373" s="94">
        <f t="shared" si="46"/>
        <v>43159</v>
      </c>
      <c r="AG373" s="185">
        <f t="shared" si="40"/>
        <v>1.2565229648798804E-2</v>
      </c>
      <c r="AH373" s="339" t="str">
        <f>VLOOKUP(B373,'MF PF'!A:B,2)</f>
        <v>FdMgt1</v>
      </c>
      <c r="AI373" s="358">
        <f t="shared" si="47"/>
        <v>0</v>
      </c>
      <c r="AJ373" s="94">
        <f t="shared" si="48"/>
        <v>43159</v>
      </c>
    </row>
    <row r="374" spans="1:36" ht="12.75" customHeight="1">
      <c r="A374" s="97">
        <v>43188</v>
      </c>
      <c r="B374" s="94" t="s">
        <v>136</v>
      </c>
      <c r="C374" s="96" t="s">
        <v>299</v>
      </c>
      <c r="D374" s="374">
        <v>45667423.57</v>
      </c>
      <c r="E374" s="9" t="e">
        <f t="shared" si="49"/>
        <v>#DIV/0!</v>
      </c>
      <c r="F374" s="47">
        <v>29.65</v>
      </c>
      <c r="G374" s="47">
        <v>0</v>
      </c>
      <c r="H374" s="47">
        <v>0</v>
      </c>
      <c r="I374" s="98">
        <v>0</v>
      </c>
      <c r="J374" s="98"/>
      <c r="K374" s="93"/>
      <c r="L374" s="93">
        <f t="shared" si="44"/>
        <v>0</v>
      </c>
      <c r="M374" s="95" t="e">
        <f t="shared" ca="1" si="45"/>
        <v>#DIV/0!</v>
      </c>
      <c r="N374" s="95">
        <f>IF(P374="Hedge Fund",IF(A374=Summary!$AD$3,M374-E374,M374),IF(A374=Summary!$AD$3,L374-D374,L374))</f>
        <v>0</v>
      </c>
      <c r="O374" s="95">
        <f t="shared" si="50"/>
        <v>0</v>
      </c>
      <c r="P374" s="89" t="s">
        <v>155</v>
      </c>
      <c r="Q374" s="109">
        <v>0</v>
      </c>
      <c r="R374" s="109">
        <v>0</v>
      </c>
      <c r="S374" s="89">
        <v>0</v>
      </c>
      <c r="T374" s="89">
        <v>0</v>
      </c>
      <c r="U374" s="89"/>
      <c r="V374" s="89"/>
      <c r="W374" s="89"/>
      <c r="X374" s="89"/>
      <c r="Y374" s="89"/>
      <c r="Z374" s="89"/>
      <c r="AA374" s="89"/>
      <c r="AB374" s="89"/>
      <c r="AC374" s="355"/>
      <c r="AD374" s="355"/>
      <c r="AE374" s="355"/>
      <c r="AF374" s="94">
        <f t="shared" si="46"/>
        <v>43188</v>
      </c>
      <c r="AG374" s="185">
        <f t="shared" si="40"/>
        <v>1.3139663508062061E-2</v>
      </c>
      <c r="AH374" s="339" t="str">
        <f>VLOOKUP(B374,'MF PF'!A:B,2)</f>
        <v>FdMgt1</v>
      </c>
      <c r="AI374" s="358">
        <f t="shared" si="47"/>
        <v>0</v>
      </c>
      <c r="AJ374" s="94">
        <f t="shared" si="48"/>
        <v>43190</v>
      </c>
    </row>
    <row r="375" spans="1:36" ht="12.75" customHeight="1">
      <c r="A375" s="97">
        <v>43220</v>
      </c>
      <c r="B375" s="94" t="s">
        <v>136</v>
      </c>
      <c r="C375" s="96" t="s">
        <v>299</v>
      </c>
      <c r="D375" s="374">
        <v>46059111.229999997</v>
      </c>
      <c r="E375" s="9" t="e">
        <f t="shared" si="49"/>
        <v>#DIV/0!</v>
      </c>
      <c r="F375" s="47">
        <v>29.65</v>
      </c>
      <c r="G375" s="47">
        <v>0</v>
      </c>
      <c r="H375" s="47">
        <v>0</v>
      </c>
      <c r="I375" s="98">
        <v>0</v>
      </c>
      <c r="J375" s="98"/>
      <c r="K375" s="93"/>
      <c r="L375" s="93">
        <f t="shared" si="44"/>
        <v>0</v>
      </c>
      <c r="M375" s="95" t="e">
        <f t="shared" ca="1" si="45"/>
        <v>#DIV/0!</v>
      </c>
      <c r="N375" s="95">
        <f>IF(P375="Hedge Fund",IF(A375=Summary!$AD$3,M375-E375,M375),IF(A375=Summary!$AD$3,L375-D375,L375))</f>
        <v>0</v>
      </c>
      <c r="O375" s="95">
        <f t="shared" si="50"/>
        <v>0</v>
      </c>
      <c r="P375" s="89" t="s">
        <v>155</v>
      </c>
      <c r="Q375" s="109">
        <v>0</v>
      </c>
      <c r="R375" s="109">
        <v>0</v>
      </c>
      <c r="S375" s="89">
        <v>0</v>
      </c>
      <c r="T375" s="89">
        <v>0</v>
      </c>
      <c r="U375" s="89"/>
      <c r="V375" s="89"/>
      <c r="W375" s="89"/>
      <c r="X375" s="89"/>
      <c r="Y375" s="89"/>
      <c r="Z375" s="89"/>
      <c r="AA375" s="89"/>
      <c r="AB375" s="89"/>
      <c r="AC375" s="355"/>
      <c r="AD375" s="355"/>
      <c r="AE375" s="355"/>
      <c r="AF375" s="94">
        <f t="shared" si="46"/>
        <v>43220</v>
      </c>
      <c r="AG375" s="185">
        <f t="shared" si="40"/>
        <v>8.5769598847547091E-3</v>
      </c>
      <c r="AH375" s="339" t="str">
        <f>VLOOKUP(B375,'MF PF'!A:B,2)</f>
        <v>FdMgt1</v>
      </c>
      <c r="AI375" s="358">
        <f t="shared" si="47"/>
        <v>0</v>
      </c>
      <c r="AJ375" s="94">
        <f t="shared" si="48"/>
        <v>43220</v>
      </c>
    </row>
    <row r="376" spans="1:36" ht="12.75" customHeight="1">
      <c r="A376" s="94">
        <v>43251</v>
      </c>
      <c r="B376" s="358" t="s">
        <v>136</v>
      </c>
      <c r="C376" s="94" t="s">
        <v>299</v>
      </c>
      <c r="D376" s="374">
        <v>46401099.969999999</v>
      </c>
      <c r="E376" s="9" t="e">
        <f t="shared" si="49"/>
        <v>#DIV/0!</v>
      </c>
      <c r="F376" s="47">
        <v>29.65</v>
      </c>
      <c r="G376" s="47">
        <v>0</v>
      </c>
      <c r="H376" s="47">
        <v>0</v>
      </c>
      <c r="I376" s="110">
        <v>0</v>
      </c>
      <c r="J376" s="110"/>
      <c r="K376" s="93"/>
      <c r="L376" s="93">
        <f t="shared" si="44"/>
        <v>0</v>
      </c>
      <c r="M376" s="95" t="e">
        <f t="shared" ca="1" si="45"/>
        <v>#DIV/0!</v>
      </c>
      <c r="N376" s="95">
        <f>IF(P376="Hedge Fund",IF(A376=Summary!$AD$3,M376-E376,M376),IF(A376=Summary!$AD$3,L376-D376,L376))</f>
        <v>0</v>
      </c>
      <c r="O376" s="95">
        <f t="shared" si="50"/>
        <v>0</v>
      </c>
      <c r="P376" s="89" t="s">
        <v>155</v>
      </c>
      <c r="Q376" s="107">
        <v>0</v>
      </c>
      <c r="R376" s="107">
        <v>0</v>
      </c>
      <c r="S376" s="107">
        <v>0</v>
      </c>
      <c r="T376" s="107">
        <v>0</v>
      </c>
      <c r="U376" s="107"/>
      <c r="V376" s="107"/>
      <c r="W376" s="107"/>
      <c r="X376" s="107"/>
      <c r="Y376" s="89"/>
      <c r="Z376" s="89"/>
      <c r="AA376" s="89"/>
      <c r="AB376" s="89"/>
      <c r="AC376" s="355"/>
      <c r="AD376" s="355"/>
      <c r="AE376" s="355"/>
      <c r="AF376" s="94">
        <f t="shared" si="46"/>
        <v>43251</v>
      </c>
      <c r="AG376" s="185">
        <f t="shared" si="40"/>
        <v>7.4249965070374291E-3</v>
      </c>
      <c r="AH376" s="339" t="str">
        <f>VLOOKUP(B376,'MF PF'!A:B,2)</f>
        <v>FdMgt1</v>
      </c>
      <c r="AI376" s="358">
        <f t="shared" si="47"/>
        <v>0</v>
      </c>
      <c r="AJ376" s="94">
        <f t="shared" si="48"/>
        <v>43251</v>
      </c>
    </row>
    <row r="377" spans="1:36" ht="12.75" customHeight="1">
      <c r="A377" s="94">
        <v>43280</v>
      </c>
      <c r="B377" s="358" t="s">
        <v>136</v>
      </c>
      <c r="C377" s="94" t="s">
        <v>299</v>
      </c>
      <c r="D377" s="374">
        <v>46936244.099999994</v>
      </c>
      <c r="E377" s="9" t="e">
        <f t="shared" si="49"/>
        <v>#DIV/0!</v>
      </c>
      <c r="F377" s="47">
        <v>29.65</v>
      </c>
      <c r="G377" s="47">
        <v>0</v>
      </c>
      <c r="H377" s="47">
        <v>0</v>
      </c>
      <c r="I377" s="110">
        <v>0</v>
      </c>
      <c r="J377" s="110"/>
      <c r="K377" s="93"/>
      <c r="L377" s="93">
        <f t="shared" si="44"/>
        <v>0</v>
      </c>
      <c r="M377" s="95" t="e">
        <f t="shared" ca="1" si="45"/>
        <v>#DIV/0!</v>
      </c>
      <c r="N377" s="95">
        <f>IF(P377="Hedge Fund",IF(A377=Summary!$AD$3,M377-E377,M377),IF(A377=Summary!$AD$3,L377-D377,L377))</f>
        <v>0</v>
      </c>
      <c r="O377" s="95">
        <f t="shared" si="50"/>
        <v>0</v>
      </c>
      <c r="P377" s="89" t="s">
        <v>155</v>
      </c>
      <c r="Q377" s="107">
        <v>0</v>
      </c>
      <c r="R377" s="107">
        <v>0</v>
      </c>
      <c r="S377" s="89">
        <v>0</v>
      </c>
      <c r="T377" s="89">
        <v>0</v>
      </c>
      <c r="U377" s="89"/>
      <c r="V377" s="89"/>
      <c r="W377" s="89"/>
      <c r="X377" s="89"/>
      <c r="Y377" s="89"/>
      <c r="Z377" s="89"/>
      <c r="AA377" s="89"/>
      <c r="AB377" s="89"/>
      <c r="AC377" s="355"/>
      <c r="AD377" s="355"/>
      <c r="AE377" s="355"/>
      <c r="AF377" s="94">
        <f t="shared" si="46"/>
        <v>43280</v>
      </c>
      <c r="AG377" s="185">
        <f t="shared" ref="AG377:AG440" si="51">IF(C377&lt;&gt;C376,D377/G377-1,(D377-G377-I377-H377)/(D376)-1)</f>
        <v>1.1533005259487084E-2</v>
      </c>
      <c r="AH377" s="339" t="str">
        <f>VLOOKUP(B377,'MF PF'!A:B,2)</f>
        <v>FdMgt1</v>
      </c>
      <c r="AI377" s="358">
        <f t="shared" si="47"/>
        <v>0</v>
      </c>
      <c r="AJ377" s="94">
        <f t="shared" si="48"/>
        <v>43281</v>
      </c>
    </row>
    <row r="378" spans="1:36" ht="12.75" customHeight="1">
      <c r="A378" s="94">
        <v>43312</v>
      </c>
      <c r="B378" s="358" t="s">
        <v>136</v>
      </c>
      <c r="C378" s="94" t="s">
        <v>299</v>
      </c>
      <c r="D378" s="374">
        <v>52876260.840000004</v>
      </c>
      <c r="E378" s="9" t="str">
        <f>IF(K378="","",D378/K378)</f>
        <v/>
      </c>
      <c r="F378" s="98">
        <v>29.65</v>
      </c>
      <c r="G378" s="98">
        <v>0</v>
      </c>
      <c r="H378" s="98">
        <v>0</v>
      </c>
      <c r="I378" s="98">
        <v>0</v>
      </c>
      <c r="J378" s="98"/>
      <c r="K378" s="93"/>
      <c r="L378" s="93">
        <f t="shared" si="44"/>
        <v>0</v>
      </c>
      <c r="M378" s="95" t="e">
        <f t="shared" ca="1" si="45"/>
        <v>#DIV/0!</v>
      </c>
      <c r="N378" s="95">
        <f>IF(P378="Hedge Fund",IF(A378=Summary!$AD$3,M378-E378,M378),IF(A378=Summary!$AD$3,L378-D378,L378))</f>
        <v>0</v>
      </c>
      <c r="O378" s="95">
        <f t="shared" si="50"/>
        <v>0</v>
      </c>
      <c r="P378" s="107" t="s">
        <v>155</v>
      </c>
      <c r="Q378" s="107">
        <v>0</v>
      </c>
      <c r="R378" s="107">
        <v>0</v>
      </c>
      <c r="S378" s="107">
        <v>0</v>
      </c>
      <c r="T378" s="107">
        <v>0</v>
      </c>
      <c r="U378" s="107"/>
      <c r="V378" s="107"/>
      <c r="W378" s="107"/>
      <c r="X378" s="107"/>
      <c r="Y378" s="107"/>
      <c r="Z378" s="107"/>
      <c r="AA378" s="107"/>
      <c r="AB378" s="107"/>
      <c r="AC378" s="355"/>
      <c r="AD378" s="355"/>
      <c r="AE378" s="355"/>
      <c r="AF378" s="94">
        <f t="shared" si="46"/>
        <v>43312</v>
      </c>
      <c r="AG378" s="185">
        <f t="shared" si="51"/>
        <v>0.12655500783881446</v>
      </c>
      <c r="AH378" s="339" t="str">
        <f>VLOOKUP(B378,'MF PF'!A:B,2)</f>
        <v>FdMgt1</v>
      </c>
      <c r="AI378" s="358">
        <f t="shared" si="47"/>
        <v>0</v>
      </c>
      <c r="AJ378" s="94">
        <f t="shared" si="48"/>
        <v>43312</v>
      </c>
    </row>
    <row r="379" spans="1:36" ht="12.75" customHeight="1">
      <c r="A379" s="94">
        <v>43343</v>
      </c>
      <c r="B379" s="358" t="s">
        <v>136</v>
      </c>
      <c r="C379" s="94" t="s">
        <v>299</v>
      </c>
      <c r="D379" s="374">
        <v>46159993.859999999</v>
      </c>
      <c r="E379" s="9" t="str">
        <f>IF(K379="","",D379/K379)</f>
        <v/>
      </c>
      <c r="F379" s="98">
        <v>29.65</v>
      </c>
      <c r="G379" s="98">
        <v>0</v>
      </c>
      <c r="H379" s="98">
        <v>0</v>
      </c>
      <c r="I379" s="98">
        <v>-6827557.1600000001</v>
      </c>
      <c r="J379" s="98"/>
      <c r="L379" s="93">
        <f t="shared" si="44"/>
        <v>-6827557.1600000001</v>
      </c>
      <c r="M379" s="95" t="e">
        <f t="shared" ca="1" si="45"/>
        <v>#DIV/0!</v>
      </c>
      <c r="N379" s="95">
        <f>IF(P379="Hedge Fund",IF(A379=Summary!$AD$3,M379-E379,M379),IF(A379=Summary!$AD$3,L379-D379,L379))</f>
        <v>-6827557.1600000001</v>
      </c>
      <c r="O379" s="95">
        <f t="shared" si="50"/>
        <v>-6827557.1600000001</v>
      </c>
      <c r="P379" s="107" t="s">
        <v>155</v>
      </c>
      <c r="Q379" s="107">
        <v>0</v>
      </c>
      <c r="R379" s="107">
        <v>0</v>
      </c>
      <c r="S379" s="107">
        <v>0</v>
      </c>
      <c r="T379" s="107">
        <v>0</v>
      </c>
      <c r="U379" s="107"/>
      <c r="V379" s="107"/>
      <c r="W379" s="107"/>
      <c r="X379" s="107"/>
      <c r="Y379" s="107"/>
      <c r="Z379" s="107"/>
      <c r="AA379" s="107"/>
      <c r="AB379" s="107"/>
      <c r="AC379" s="355"/>
      <c r="AD379" s="355"/>
      <c r="AE379" s="355"/>
      <c r="AF379" s="94">
        <f t="shared" si="46"/>
        <v>43343</v>
      </c>
      <c r="AG379" s="185">
        <f t="shared" si="51"/>
        <v>2.1047286292945611E-3</v>
      </c>
      <c r="AH379" s="339" t="str">
        <f>VLOOKUP(B379,'MF PF'!A:B,2)</f>
        <v>FdMgt1</v>
      </c>
      <c r="AI379" s="358">
        <f t="shared" si="47"/>
        <v>0</v>
      </c>
      <c r="AJ379" s="94">
        <f t="shared" si="48"/>
        <v>43343</v>
      </c>
    </row>
    <row r="380" spans="1:36" s="92" customFormat="1" ht="12.75" customHeight="1">
      <c r="A380" s="94">
        <v>43371</v>
      </c>
      <c r="B380" s="358" t="s">
        <v>136</v>
      </c>
      <c r="C380" s="358" t="s">
        <v>299</v>
      </c>
      <c r="D380" s="374">
        <f>40265819.46</f>
        <v>40265819.460000001</v>
      </c>
      <c r="E380" s="95"/>
      <c r="F380" s="105">
        <f>29.65</f>
        <v>29.65</v>
      </c>
      <c r="G380" s="93">
        <v>0</v>
      </c>
      <c r="H380" s="93">
        <v>0</v>
      </c>
      <c r="I380" s="93">
        <v>0</v>
      </c>
      <c r="J380" s="93"/>
      <c r="K380" s="93">
        <v>0</v>
      </c>
      <c r="L380" s="93">
        <f t="shared" si="44"/>
        <v>0</v>
      </c>
      <c r="M380" s="95" t="e">
        <f t="shared" ca="1" si="45"/>
        <v>#DIV/0!</v>
      </c>
      <c r="N380" s="95">
        <f>IF(P380="Hedge Fund",IF(A380=Summary!$AD$3,M380-E380,M380),IF(A380=Summary!$AD$3,L380-D380,L380))</f>
        <v>0</v>
      </c>
      <c r="O380" s="95">
        <f t="shared" si="50"/>
        <v>0</v>
      </c>
      <c r="P380" s="95" t="s">
        <v>155</v>
      </c>
      <c r="Q380" s="95">
        <v>0</v>
      </c>
      <c r="R380" s="95">
        <v>0</v>
      </c>
      <c r="S380" s="95"/>
      <c r="T380" s="95"/>
      <c r="U380" s="95"/>
      <c r="V380" s="95"/>
      <c r="W380" s="95"/>
      <c r="X380" s="95"/>
      <c r="Y380" s="95"/>
      <c r="Z380" s="95"/>
      <c r="AA380" s="95"/>
      <c r="AB380" s="95"/>
      <c r="AC380" s="355"/>
      <c r="AD380" s="355"/>
      <c r="AE380" s="355"/>
      <c r="AF380" s="94">
        <f t="shared" si="46"/>
        <v>43371</v>
      </c>
      <c r="AG380" s="185">
        <f t="shared" si="51"/>
        <v>-0.12769010363988809</v>
      </c>
      <c r="AH380" s="339" t="str">
        <f>VLOOKUP(B380,'MF PF'!A:B,2)</f>
        <v>FdMgt1</v>
      </c>
      <c r="AI380" s="358">
        <f t="shared" si="47"/>
        <v>0</v>
      </c>
      <c r="AJ380" s="94">
        <f t="shared" si="48"/>
        <v>43373</v>
      </c>
    </row>
    <row r="381" spans="1:36" ht="12.75" customHeight="1">
      <c r="A381" s="94">
        <v>43404</v>
      </c>
      <c r="B381" s="358" t="s">
        <v>136</v>
      </c>
      <c r="C381" s="358" t="s">
        <v>299</v>
      </c>
      <c r="D381" s="374">
        <v>39660205.350000001</v>
      </c>
      <c r="F381" s="105">
        <f>29.65</f>
        <v>29.65</v>
      </c>
      <c r="G381" s="93">
        <v>0</v>
      </c>
      <c r="H381" s="93">
        <v>0</v>
      </c>
      <c r="I381" s="93">
        <v>0</v>
      </c>
      <c r="J381" s="93">
        <v>0</v>
      </c>
      <c r="K381" s="93"/>
      <c r="L381" s="93">
        <f t="shared" si="44"/>
        <v>0</v>
      </c>
      <c r="M381" s="95" t="e">
        <f t="shared" ca="1" si="45"/>
        <v>#DIV/0!</v>
      </c>
      <c r="N381" s="95">
        <f>IF(P381="Hedge Fund",IF(A381=Summary!$AD$3,M381-E381,M381),IF(A381=Summary!$AD$3,L381-D381,L381))</f>
        <v>0</v>
      </c>
      <c r="O381" s="95">
        <f t="shared" si="50"/>
        <v>0</v>
      </c>
      <c r="P381" s="95" t="s">
        <v>155</v>
      </c>
      <c r="Q381" s="95">
        <v>0</v>
      </c>
      <c r="R381" s="95">
        <v>0</v>
      </c>
      <c r="S381" s="95"/>
      <c r="T381" s="95"/>
      <c r="U381" s="95"/>
      <c r="V381" s="95"/>
      <c r="W381" s="95"/>
      <c r="X381" s="95"/>
      <c r="Y381" s="95"/>
      <c r="Z381" s="95"/>
      <c r="AA381" s="95"/>
      <c r="AB381" s="95"/>
      <c r="AC381" s="355"/>
      <c r="AD381" s="355"/>
      <c r="AE381" s="355"/>
      <c r="AF381" s="94">
        <f t="shared" si="46"/>
        <v>43404</v>
      </c>
      <c r="AG381" s="185">
        <f t="shared" si="51"/>
        <v>-1.5040401961808225E-2</v>
      </c>
      <c r="AH381" s="339" t="str">
        <f>VLOOKUP(B381,'MF PF'!A:B,2)</f>
        <v>FdMgt1</v>
      </c>
      <c r="AI381" s="358">
        <f t="shared" si="47"/>
        <v>0</v>
      </c>
      <c r="AJ381" s="94">
        <f t="shared" si="48"/>
        <v>43404</v>
      </c>
    </row>
    <row r="382" spans="1:36" ht="12.75" customHeight="1">
      <c r="A382" s="94">
        <v>43434</v>
      </c>
      <c r="B382" s="358" t="s">
        <v>136</v>
      </c>
      <c r="C382" s="358" t="s">
        <v>299</v>
      </c>
      <c r="D382" s="374">
        <v>40006375.689999998</v>
      </c>
      <c r="E382" s="95"/>
      <c r="F382" s="105">
        <f>29.65</f>
        <v>29.65</v>
      </c>
      <c r="G382" s="93">
        <v>0</v>
      </c>
      <c r="H382" s="93">
        <v>0</v>
      </c>
      <c r="I382" s="93">
        <v>0</v>
      </c>
      <c r="K382" s="93">
        <v>0</v>
      </c>
      <c r="L382" s="93">
        <f t="shared" si="44"/>
        <v>0</v>
      </c>
      <c r="M382" s="95" t="e">
        <f t="shared" ca="1" si="45"/>
        <v>#DIV/0!</v>
      </c>
      <c r="N382" s="95">
        <f>IF(P382="Hedge Fund",IF(A382=Summary!$AD$3,M382-E382,M382),IF(A382=Summary!$AD$3,L382-D382,L382))</f>
        <v>0</v>
      </c>
      <c r="O382" s="95">
        <f t="shared" si="50"/>
        <v>0</v>
      </c>
      <c r="P382" s="95" t="s">
        <v>155</v>
      </c>
      <c r="Q382" s="95">
        <v>0</v>
      </c>
      <c r="R382" s="93">
        <v>0</v>
      </c>
      <c r="S382" s="95"/>
      <c r="T382" s="95"/>
      <c r="U382" s="95"/>
      <c r="V382" s="95"/>
      <c r="W382" s="95"/>
      <c r="X382" s="95"/>
      <c r="Y382" s="95"/>
      <c r="Z382" s="95"/>
      <c r="AA382" s="95"/>
      <c r="AB382" s="95"/>
      <c r="AC382" s="355"/>
      <c r="AD382" s="355"/>
      <c r="AE382" s="355"/>
      <c r="AF382" s="94">
        <f t="shared" si="46"/>
        <v>43434</v>
      </c>
      <c r="AG382" s="185">
        <f t="shared" si="51"/>
        <v>8.7284051341907087E-3</v>
      </c>
      <c r="AH382" s="339" t="str">
        <f>VLOOKUP(B382,'MF PF'!A:B,2)</f>
        <v>FdMgt1</v>
      </c>
      <c r="AI382" s="358">
        <f t="shared" si="47"/>
        <v>0</v>
      </c>
      <c r="AJ382" s="94">
        <f t="shared" si="48"/>
        <v>43434</v>
      </c>
    </row>
    <row r="383" spans="1:36" ht="12.75" customHeight="1">
      <c r="A383" s="94">
        <v>43452</v>
      </c>
      <c r="B383" s="358" t="s">
        <v>136</v>
      </c>
      <c r="C383" s="358" t="s">
        <v>299</v>
      </c>
      <c r="D383" s="93"/>
      <c r="E383" s="95"/>
      <c r="F383" s="93"/>
      <c r="G383" s="93"/>
      <c r="H383" s="93"/>
      <c r="I383" s="93">
        <v>-488921.10701870144</v>
      </c>
      <c r="K383" s="93"/>
      <c r="L383" s="93">
        <f t="shared" si="44"/>
        <v>-488921.10701870144</v>
      </c>
      <c r="M383" s="95" t="e">
        <f t="shared" ca="1" si="45"/>
        <v>#DIV/0!</v>
      </c>
      <c r="N383" s="95">
        <f>IF(P383="Hedge Fund",IF(A383=Summary!$AD$3,M383-E383,M383),IF(A383=Summary!$AD$3,L383-D383,L383))</f>
        <v>-488921.10701870144</v>
      </c>
      <c r="O383" s="95">
        <f t="shared" si="50"/>
        <v>-488921.10701870144</v>
      </c>
      <c r="P383" s="95" t="s">
        <v>155</v>
      </c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  <c r="AC383" s="355"/>
      <c r="AD383" s="355"/>
      <c r="AE383" s="355"/>
      <c r="AF383" s="94">
        <f t="shared" si="46"/>
        <v>43452</v>
      </c>
      <c r="AG383" s="185">
        <f t="shared" si="51"/>
        <v>-0.98777892026992808</v>
      </c>
      <c r="AH383" s="339" t="str">
        <f>VLOOKUP(B383,'MF PF'!A:B,2)</f>
        <v>FdMgt1</v>
      </c>
      <c r="AI383" s="358">
        <f t="shared" si="47"/>
        <v>0</v>
      </c>
      <c r="AJ383" s="94">
        <f t="shared" si="48"/>
        <v>43465</v>
      </c>
    </row>
    <row r="384" spans="1:36" ht="12.75" customHeight="1">
      <c r="A384" s="94">
        <v>43452</v>
      </c>
      <c r="B384" s="358" t="s">
        <v>136</v>
      </c>
      <c r="C384" s="358" t="s">
        <v>299</v>
      </c>
      <c r="D384" s="93"/>
      <c r="E384" s="95"/>
      <c r="F384" s="93"/>
      <c r="G384" s="93"/>
      <c r="H384" s="93"/>
      <c r="I384" s="93">
        <v>-173139.23340235782</v>
      </c>
      <c r="K384" s="93"/>
      <c r="L384" s="93">
        <f t="shared" si="44"/>
        <v>-173139.23340235782</v>
      </c>
      <c r="M384" s="95">
        <f t="shared" ca="1" si="45"/>
        <v>0</v>
      </c>
      <c r="N384" s="95">
        <f>IF(P384="Hedge Fund",IF(A384=Summary!$AD$3,M384-E384,M384),IF(A384=Summary!$AD$3,L384-D384,L384))</f>
        <v>-173139.23340235782</v>
      </c>
      <c r="O384" s="95">
        <f t="shared" si="50"/>
        <v>-173139.23340235782</v>
      </c>
      <c r="P384" s="95" t="s">
        <v>155</v>
      </c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  <c r="AC384" s="355"/>
      <c r="AD384" s="355"/>
      <c r="AE384" s="355"/>
      <c r="AF384" s="94">
        <f t="shared" si="46"/>
        <v>43452</v>
      </c>
      <c r="AG384" s="185" t="e">
        <f t="shared" si="51"/>
        <v>#DIV/0!</v>
      </c>
      <c r="AH384" s="339" t="str">
        <f>VLOOKUP(B384,'MF PF'!A:B,2)</f>
        <v>FdMgt1</v>
      </c>
      <c r="AI384" s="358">
        <f t="shared" si="47"/>
        <v>0</v>
      </c>
      <c r="AJ384" s="94">
        <f t="shared" si="48"/>
        <v>43465</v>
      </c>
    </row>
    <row r="385" spans="1:36" ht="12.75" customHeight="1">
      <c r="A385" s="94">
        <v>43465</v>
      </c>
      <c r="B385" s="358" t="s">
        <v>136</v>
      </c>
      <c r="C385" s="358" t="s">
        <v>299</v>
      </c>
      <c r="D385" s="93">
        <v>40538969.979999997</v>
      </c>
      <c r="F385" s="93">
        <v>29.65</v>
      </c>
      <c r="G385" s="93">
        <v>0</v>
      </c>
      <c r="H385" s="93">
        <v>0</v>
      </c>
      <c r="I385" s="93">
        <v>0</v>
      </c>
      <c r="K385" s="93">
        <v>0</v>
      </c>
      <c r="L385" s="93">
        <f t="shared" si="44"/>
        <v>0</v>
      </c>
      <c r="M385" s="95" t="e">
        <f t="shared" ca="1" si="45"/>
        <v>#DIV/0!</v>
      </c>
      <c r="N385" s="95">
        <f>IF(P385="Hedge Fund",IF(A385=Summary!$AD$3,M385-E385,M385),IF(A385=Summary!$AD$3,L385-D385,L385))</f>
        <v>0</v>
      </c>
      <c r="O385" s="95">
        <f t="shared" ref="O385:O416" si="52">N385</f>
        <v>0</v>
      </c>
      <c r="P385" s="95" t="s">
        <v>155</v>
      </c>
      <c r="Q385" s="95">
        <v>0</v>
      </c>
      <c r="R385" s="95">
        <v>0</v>
      </c>
      <c r="S385" s="95"/>
      <c r="T385" s="95"/>
      <c r="U385" s="95"/>
      <c r="V385" s="95"/>
      <c r="W385" s="95"/>
      <c r="X385" s="95"/>
      <c r="Y385" s="95"/>
      <c r="Z385" s="95"/>
      <c r="AA385" s="95"/>
      <c r="AB385" s="95"/>
      <c r="AC385" s="355"/>
      <c r="AD385" s="355"/>
      <c r="AE385" s="355"/>
      <c r="AF385" s="94">
        <f t="shared" si="46"/>
        <v>43465</v>
      </c>
      <c r="AG385" s="185" t="e">
        <f t="shared" si="51"/>
        <v>#DIV/0!</v>
      </c>
      <c r="AH385" s="339" t="str">
        <f>VLOOKUP(B385,'MF PF'!A:B,2)</f>
        <v>FdMgt1</v>
      </c>
      <c r="AI385" s="358">
        <f t="shared" si="47"/>
        <v>0</v>
      </c>
      <c r="AJ385" s="94">
        <f t="shared" si="48"/>
        <v>43465</v>
      </c>
    </row>
    <row r="386" spans="1:36" ht="12.75" customHeight="1">
      <c r="A386" s="94">
        <v>43487</v>
      </c>
      <c r="B386" s="358" t="s">
        <v>136</v>
      </c>
      <c r="C386" s="358" t="s">
        <v>299</v>
      </c>
      <c r="D386" s="93"/>
      <c r="F386" s="93"/>
      <c r="G386" s="93"/>
      <c r="H386" s="93"/>
      <c r="I386" s="93">
        <v>-1548561.140667242</v>
      </c>
      <c r="K386" s="93"/>
      <c r="L386" s="93">
        <f t="shared" si="44"/>
        <v>-1548561.140667242</v>
      </c>
      <c r="M386" s="95" t="e">
        <f t="shared" ca="1" si="45"/>
        <v>#DIV/0!</v>
      </c>
      <c r="N386" s="95">
        <f>IF(P386="Hedge Fund",IF(A386=Summary!$AD$3,M386-E386,M386),IF(A386=Summary!$AD$3,L386-D386,L386))</f>
        <v>-1548561.140667242</v>
      </c>
      <c r="O386" s="95">
        <f t="shared" si="52"/>
        <v>-1548561.140667242</v>
      </c>
      <c r="P386" s="95" t="s">
        <v>155</v>
      </c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  <c r="AC386" s="355"/>
      <c r="AD386" s="355"/>
      <c r="AE386" s="355"/>
      <c r="AF386" s="94">
        <f t="shared" si="46"/>
        <v>43487</v>
      </c>
      <c r="AG386" s="185">
        <f t="shared" si="51"/>
        <v>-0.96180067866965469</v>
      </c>
      <c r="AH386" s="339" t="str">
        <f>VLOOKUP(B386,'MF PF'!A:B,2)</f>
        <v>FdMgt1</v>
      </c>
      <c r="AI386" s="358">
        <f t="shared" si="47"/>
        <v>0</v>
      </c>
      <c r="AJ386" s="94">
        <f t="shared" si="48"/>
        <v>43496</v>
      </c>
    </row>
    <row r="387" spans="1:36" ht="12.75" customHeight="1">
      <c r="A387" s="94">
        <v>43487</v>
      </c>
      <c r="B387" s="358" t="s">
        <v>136</v>
      </c>
      <c r="C387" s="358" t="s">
        <v>299</v>
      </c>
      <c r="D387" s="93"/>
      <c r="F387" s="93"/>
      <c r="G387" s="93"/>
      <c r="H387" s="93"/>
      <c r="I387" s="93">
        <v>-596992.02852825914</v>
      </c>
      <c r="K387" s="93"/>
      <c r="L387" s="93">
        <f t="shared" ref="L387:L450" si="53">G387+H387+I387</f>
        <v>-596992.02852825914</v>
      </c>
      <c r="M387" s="95">
        <f t="shared" ref="M387:M450" ca="1" si="54">IF(A387&gt;INDIRECT("A"&amp;ROW()-1),I387/K387,E387)</f>
        <v>0</v>
      </c>
      <c r="N387" s="95">
        <f>IF(P387="Hedge Fund",IF(A387=Summary!$AD$3,M387-E387,M387),IF(A387=Summary!$AD$3,L387-D387,L387))</f>
        <v>-596992.02852825914</v>
      </c>
      <c r="O387" s="95">
        <f t="shared" si="52"/>
        <v>-596992.02852825914</v>
      </c>
      <c r="P387" s="95" t="s">
        <v>155</v>
      </c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  <c r="AC387" s="355"/>
      <c r="AD387" s="355"/>
      <c r="AE387" s="355"/>
      <c r="AF387" s="94">
        <f t="shared" ref="AF387:AF450" si="55">A387</f>
        <v>43487</v>
      </c>
      <c r="AG387" s="185" t="e">
        <f t="shared" si="51"/>
        <v>#DIV/0!</v>
      </c>
      <c r="AH387" s="339" t="str">
        <f>VLOOKUP(B387,'MF PF'!A:B,2)</f>
        <v>FdMgt1</v>
      </c>
      <c r="AI387" s="358">
        <f t="shared" ref="AI387:AI450" si="56">AF387-A387</f>
        <v>0</v>
      </c>
      <c r="AJ387" s="94">
        <f t="shared" ref="AJ387:AJ450" si="57">EOMONTH(A387,0)</f>
        <v>43496</v>
      </c>
    </row>
    <row r="388" spans="1:36" ht="12.75" customHeight="1">
      <c r="A388" s="94">
        <v>43496</v>
      </c>
      <c r="B388" s="358" t="s">
        <v>136</v>
      </c>
      <c r="C388" s="358" t="s">
        <v>299</v>
      </c>
      <c r="D388" s="93">
        <v>38172170.229999997</v>
      </c>
      <c r="F388" s="93">
        <v>29.65</v>
      </c>
      <c r="G388" s="93">
        <v>0</v>
      </c>
      <c r="H388" s="93">
        <v>0</v>
      </c>
      <c r="I388" s="93">
        <v>0</v>
      </c>
      <c r="K388" s="7">
        <v>0</v>
      </c>
      <c r="L388" s="93">
        <f t="shared" si="53"/>
        <v>0</v>
      </c>
      <c r="M388" s="95" t="e">
        <f t="shared" ca="1" si="54"/>
        <v>#DIV/0!</v>
      </c>
      <c r="N388" s="95">
        <f>IF(P388="Hedge Fund",IF(A388=Summary!$AD$3,M388-E388,M388),IF(A388=Summary!$AD$3,L388-D388,L388))</f>
        <v>-38172170.229999997</v>
      </c>
      <c r="O388" s="95">
        <f t="shared" si="52"/>
        <v>-38172170.229999997</v>
      </c>
      <c r="P388" s="95" t="s">
        <v>155</v>
      </c>
      <c r="Q388" s="95">
        <v>0</v>
      </c>
      <c r="R388" s="95">
        <v>0</v>
      </c>
      <c r="S388" s="95"/>
      <c r="T388" s="95"/>
      <c r="U388" s="95"/>
      <c r="V388" s="95"/>
      <c r="W388" s="95"/>
      <c r="X388" s="95"/>
      <c r="Y388" s="95"/>
      <c r="Z388" s="95"/>
      <c r="AA388" s="95"/>
      <c r="AB388" s="95"/>
      <c r="AC388" s="355"/>
      <c r="AD388" s="355"/>
      <c r="AE388" s="355"/>
      <c r="AF388" s="94">
        <f t="shared" si="55"/>
        <v>43496</v>
      </c>
      <c r="AG388" s="185" t="e">
        <f t="shared" si="51"/>
        <v>#DIV/0!</v>
      </c>
      <c r="AH388" s="339" t="str">
        <f>VLOOKUP(B388,'MF PF'!A:B,2)</f>
        <v>FdMgt1</v>
      </c>
      <c r="AI388" s="358">
        <f t="shared" si="56"/>
        <v>0</v>
      </c>
      <c r="AJ388" s="94">
        <f t="shared" si="57"/>
        <v>43496</v>
      </c>
    </row>
    <row r="389" spans="1:36" ht="12.75" customHeight="1">
      <c r="A389" s="94">
        <v>41639</v>
      </c>
      <c r="B389" s="94" t="s">
        <v>136</v>
      </c>
      <c r="C389" s="358" t="s">
        <v>300</v>
      </c>
      <c r="D389" s="374">
        <v>1715000</v>
      </c>
      <c r="E389" s="9" t="e">
        <f t="shared" ref="E389:E420" si="58">D389/K389</f>
        <v>#DIV/0!</v>
      </c>
      <c r="F389" s="98">
        <v>5</v>
      </c>
      <c r="G389" s="98">
        <v>1715000</v>
      </c>
      <c r="H389" s="98">
        <v>0</v>
      </c>
      <c r="I389" s="98">
        <v>0</v>
      </c>
      <c r="J389" s="98"/>
      <c r="K389" s="93"/>
      <c r="L389" s="93">
        <f t="shared" si="53"/>
        <v>1715000</v>
      </c>
      <c r="M389" s="95" t="e">
        <f t="shared" ca="1" si="54"/>
        <v>#DIV/0!</v>
      </c>
      <c r="N389" s="95">
        <f>IF(P389="Hedge Fund",IF(A389=Summary!$AD$3,M389-E389,M389),IF(A389=Summary!$AD$3,L389-D389,L389))</f>
        <v>1715000</v>
      </c>
      <c r="O389" s="95">
        <f t="shared" si="52"/>
        <v>1715000</v>
      </c>
      <c r="P389" s="107" t="s">
        <v>155</v>
      </c>
      <c r="Q389" s="107">
        <v>0</v>
      </c>
      <c r="R389" s="107">
        <v>0</v>
      </c>
      <c r="S389" s="107">
        <v>0</v>
      </c>
      <c r="T389" s="107">
        <v>0</v>
      </c>
      <c r="U389" s="107"/>
      <c r="V389" s="107"/>
      <c r="W389" s="107"/>
      <c r="X389" s="107"/>
      <c r="Y389" s="107"/>
      <c r="Z389" s="107"/>
      <c r="AA389" s="107"/>
      <c r="AB389" s="107"/>
      <c r="AC389" s="355"/>
      <c r="AD389" s="355"/>
      <c r="AE389" s="355"/>
      <c r="AF389" s="94">
        <f t="shared" si="55"/>
        <v>41639</v>
      </c>
      <c r="AG389" s="185">
        <f t="shared" si="51"/>
        <v>0</v>
      </c>
      <c r="AH389" s="339" t="str">
        <f>VLOOKUP(B389,'MF PF'!A:B,2)</f>
        <v>FdMgt1</v>
      </c>
      <c r="AI389" s="358">
        <f t="shared" si="56"/>
        <v>0</v>
      </c>
      <c r="AJ389" s="94">
        <f t="shared" si="57"/>
        <v>41639</v>
      </c>
    </row>
    <row r="390" spans="1:36" ht="12.75" customHeight="1">
      <c r="A390" s="94">
        <v>41669</v>
      </c>
      <c r="B390" s="94" t="s">
        <v>136</v>
      </c>
      <c r="C390" s="358" t="s">
        <v>300</v>
      </c>
      <c r="D390" s="374">
        <v>1710131.5</v>
      </c>
      <c r="E390" s="9" t="e">
        <f t="shared" si="58"/>
        <v>#DIV/0!</v>
      </c>
      <c r="F390" s="47">
        <v>5</v>
      </c>
      <c r="G390" s="47">
        <v>0</v>
      </c>
      <c r="H390" s="47">
        <v>0</v>
      </c>
      <c r="I390" s="98">
        <v>0</v>
      </c>
      <c r="J390" s="98"/>
      <c r="K390" s="93"/>
      <c r="L390" s="93">
        <f t="shared" si="53"/>
        <v>0</v>
      </c>
      <c r="M390" s="95" t="e">
        <f t="shared" ca="1" si="54"/>
        <v>#DIV/0!</v>
      </c>
      <c r="N390" s="95">
        <f>IF(P390="Hedge Fund",IF(A390=Summary!$AD$3,M390-E390,M390),IF(A390=Summary!$AD$3,L390-D390,L390))</f>
        <v>0</v>
      </c>
      <c r="O390" s="95">
        <f t="shared" si="52"/>
        <v>0</v>
      </c>
      <c r="P390" s="89" t="s">
        <v>155</v>
      </c>
      <c r="Q390" s="107">
        <v>0</v>
      </c>
      <c r="R390" s="107">
        <v>0</v>
      </c>
      <c r="S390" s="89">
        <v>0</v>
      </c>
      <c r="T390" s="89">
        <v>0</v>
      </c>
      <c r="U390" s="89"/>
      <c r="V390" s="89"/>
      <c r="W390" s="89"/>
      <c r="X390" s="89"/>
      <c r="Y390" s="89"/>
      <c r="Z390" s="89"/>
      <c r="AA390" s="89"/>
      <c r="AB390" s="89"/>
      <c r="AC390" s="355"/>
      <c r="AD390" s="355"/>
      <c r="AE390" s="355"/>
      <c r="AF390" s="94">
        <f t="shared" si="55"/>
        <v>41669</v>
      </c>
      <c r="AG390" s="185">
        <f t="shared" si="51"/>
        <v>-2.8387755102040613E-3</v>
      </c>
      <c r="AH390" s="339" t="str">
        <f>VLOOKUP(B390,'MF PF'!A:B,2)</f>
        <v>FdMgt1</v>
      </c>
      <c r="AI390" s="358">
        <f t="shared" si="56"/>
        <v>0</v>
      </c>
      <c r="AJ390" s="94">
        <f t="shared" si="57"/>
        <v>41670</v>
      </c>
    </row>
    <row r="391" spans="1:36" ht="12.75" customHeight="1">
      <c r="A391" s="94">
        <v>41698</v>
      </c>
      <c r="B391" s="94" t="s">
        <v>136</v>
      </c>
      <c r="C391" s="358" t="s">
        <v>300</v>
      </c>
      <c r="D391" s="374">
        <v>1708806.15</v>
      </c>
      <c r="E391" s="9" t="e">
        <f t="shared" si="58"/>
        <v>#DIV/0!</v>
      </c>
      <c r="F391" s="47">
        <v>5</v>
      </c>
      <c r="G391" s="47">
        <v>0</v>
      </c>
      <c r="H391" s="47">
        <v>0</v>
      </c>
      <c r="I391" s="98">
        <v>0</v>
      </c>
      <c r="J391" s="98"/>
      <c r="K391" s="93"/>
      <c r="L391" s="93">
        <f t="shared" si="53"/>
        <v>0</v>
      </c>
      <c r="M391" s="95" t="e">
        <f t="shared" ca="1" si="54"/>
        <v>#DIV/0!</v>
      </c>
      <c r="N391" s="95">
        <f>IF(P391="Hedge Fund",IF(A391=Summary!$AD$3,M391-E391,M391),IF(A391=Summary!$AD$3,L391-D391,L391))</f>
        <v>0</v>
      </c>
      <c r="O391" s="95">
        <f t="shared" si="52"/>
        <v>0</v>
      </c>
      <c r="P391" s="89" t="s">
        <v>155</v>
      </c>
      <c r="Q391" s="107">
        <v>0</v>
      </c>
      <c r="R391" s="107">
        <v>0</v>
      </c>
      <c r="S391" s="89">
        <v>0</v>
      </c>
      <c r="T391" s="89">
        <v>0</v>
      </c>
      <c r="U391" s="89"/>
      <c r="V391" s="89"/>
      <c r="W391" s="89"/>
      <c r="X391" s="89"/>
      <c r="Y391" s="89"/>
      <c r="Z391" s="89"/>
      <c r="AA391" s="89"/>
      <c r="AB391" s="89"/>
      <c r="AC391" s="355"/>
      <c r="AD391" s="355"/>
      <c r="AE391" s="355"/>
      <c r="AF391" s="94">
        <f t="shared" si="55"/>
        <v>41698</v>
      </c>
      <c r="AG391" s="185">
        <f t="shared" si="51"/>
        <v>-7.7499888166498998E-4</v>
      </c>
      <c r="AH391" s="339" t="str">
        <f>VLOOKUP(B391,'MF PF'!A:B,2)</f>
        <v>FdMgt1</v>
      </c>
      <c r="AI391" s="358">
        <f t="shared" si="56"/>
        <v>0</v>
      </c>
      <c r="AJ391" s="94">
        <f t="shared" si="57"/>
        <v>41698</v>
      </c>
    </row>
    <row r="392" spans="1:36" ht="12.75" customHeight="1">
      <c r="A392" s="94">
        <v>41729</v>
      </c>
      <c r="B392" s="94" t="s">
        <v>136</v>
      </c>
      <c r="C392" s="358" t="s">
        <v>300</v>
      </c>
      <c r="D392" s="374">
        <v>1709258.43</v>
      </c>
      <c r="E392" s="9" t="e">
        <f t="shared" si="58"/>
        <v>#DIV/0!</v>
      </c>
      <c r="F392" s="47">
        <v>5</v>
      </c>
      <c r="G392" s="47">
        <v>0</v>
      </c>
      <c r="H392" s="47">
        <v>0</v>
      </c>
      <c r="I392" s="98">
        <v>0</v>
      </c>
      <c r="J392" s="98"/>
      <c r="K392" s="93"/>
      <c r="L392" s="93">
        <f t="shared" si="53"/>
        <v>0</v>
      </c>
      <c r="M392" s="95" t="e">
        <f t="shared" ca="1" si="54"/>
        <v>#DIV/0!</v>
      </c>
      <c r="N392" s="95">
        <f>IF(P392="Hedge Fund",IF(A392=Summary!$AD$3,M392-E392,M392),IF(A392=Summary!$AD$3,L392-D392,L392))</f>
        <v>0</v>
      </c>
      <c r="O392" s="95">
        <f t="shared" si="52"/>
        <v>0</v>
      </c>
      <c r="P392" s="89" t="s">
        <v>155</v>
      </c>
      <c r="Q392" s="107">
        <v>0</v>
      </c>
      <c r="R392" s="107">
        <v>0</v>
      </c>
      <c r="S392" s="89">
        <v>0</v>
      </c>
      <c r="T392" s="89">
        <v>0</v>
      </c>
      <c r="U392" s="89"/>
      <c r="V392" s="89"/>
      <c r="W392" s="89"/>
      <c r="X392" s="89"/>
      <c r="Y392" s="89"/>
      <c r="Z392" s="89"/>
      <c r="AA392" s="89"/>
      <c r="AB392" s="89"/>
      <c r="AC392" s="355"/>
      <c r="AD392" s="355"/>
      <c r="AE392" s="355"/>
      <c r="AF392" s="94">
        <f t="shared" si="55"/>
        <v>41729</v>
      </c>
      <c r="AG392" s="185">
        <f t="shared" si="51"/>
        <v>2.646760137188231E-4</v>
      </c>
      <c r="AH392" s="339" t="str">
        <f>VLOOKUP(B392,'MF PF'!A:B,2)</f>
        <v>FdMgt1</v>
      </c>
      <c r="AI392" s="358">
        <f t="shared" si="56"/>
        <v>0</v>
      </c>
      <c r="AJ392" s="94">
        <f t="shared" si="57"/>
        <v>41729</v>
      </c>
    </row>
    <row r="393" spans="1:36" ht="12.75" customHeight="1">
      <c r="A393" s="94">
        <v>41759</v>
      </c>
      <c r="B393" s="94" t="s">
        <v>136</v>
      </c>
      <c r="C393" s="358" t="s">
        <v>300</v>
      </c>
      <c r="D393" s="374">
        <v>1665599.58113848</v>
      </c>
      <c r="E393" s="9" t="e">
        <f t="shared" si="58"/>
        <v>#DIV/0!</v>
      </c>
      <c r="F393" s="47">
        <v>5</v>
      </c>
      <c r="G393" s="47">
        <v>0</v>
      </c>
      <c r="H393" s="47">
        <v>0</v>
      </c>
      <c r="I393" s="98">
        <v>0</v>
      </c>
      <c r="J393" s="98"/>
      <c r="K393" s="93"/>
      <c r="L393" s="93">
        <f t="shared" si="53"/>
        <v>0</v>
      </c>
      <c r="M393" s="95" t="e">
        <f t="shared" ca="1" si="54"/>
        <v>#DIV/0!</v>
      </c>
      <c r="N393" s="95">
        <f>IF(P393="Hedge Fund",IF(A393=Summary!$AD$3,M393-E393,M393),IF(A393=Summary!$AD$3,L393-D393,L393))</f>
        <v>0</v>
      </c>
      <c r="O393" s="95">
        <f t="shared" si="52"/>
        <v>0</v>
      </c>
      <c r="P393" s="89" t="s">
        <v>155</v>
      </c>
      <c r="Q393" s="89">
        <v>0</v>
      </c>
      <c r="R393" s="89">
        <v>0</v>
      </c>
      <c r="S393" s="89">
        <v>0</v>
      </c>
      <c r="T393" s="89">
        <v>0</v>
      </c>
      <c r="U393" s="89"/>
      <c r="V393" s="89"/>
      <c r="W393" s="89"/>
      <c r="X393" s="89"/>
      <c r="Y393" s="89"/>
      <c r="Z393" s="89"/>
      <c r="AA393" s="89"/>
      <c r="AB393" s="89"/>
      <c r="AC393" s="355"/>
      <c r="AD393" s="355"/>
      <c r="AE393" s="355"/>
      <c r="AF393" s="94">
        <f t="shared" si="55"/>
        <v>41759</v>
      </c>
      <c r="AG393" s="185">
        <f t="shared" si="51"/>
        <v>-2.5542567522407911E-2</v>
      </c>
      <c r="AH393" s="339" t="str">
        <f>VLOOKUP(B393,'MF PF'!A:B,2)</f>
        <v>FdMgt1</v>
      </c>
      <c r="AI393" s="358">
        <f t="shared" si="56"/>
        <v>0</v>
      </c>
      <c r="AJ393" s="94">
        <f t="shared" si="57"/>
        <v>41759</v>
      </c>
    </row>
    <row r="394" spans="1:36" ht="12.75" customHeight="1">
      <c r="A394" s="94">
        <v>41789</v>
      </c>
      <c r="B394" s="94" t="s">
        <v>136</v>
      </c>
      <c r="C394" s="358" t="s">
        <v>300</v>
      </c>
      <c r="D394" s="374">
        <v>1660287.48951636</v>
      </c>
      <c r="E394" s="9" t="e">
        <f t="shared" si="58"/>
        <v>#DIV/0!</v>
      </c>
      <c r="F394" s="98">
        <v>5</v>
      </c>
      <c r="G394" s="98">
        <v>0</v>
      </c>
      <c r="H394" s="98">
        <v>0</v>
      </c>
      <c r="I394" s="98">
        <v>0</v>
      </c>
      <c r="J394" s="98"/>
      <c r="L394" s="93">
        <f t="shared" si="53"/>
        <v>0</v>
      </c>
      <c r="M394" s="95" t="e">
        <f t="shared" ca="1" si="54"/>
        <v>#DIV/0!</v>
      </c>
      <c r="N394" s="95">
        <f>IF(P394="Hedge Fund",IF(A394=Summary!$AD$3,M394-E394,M394),IF(A394=Summary!$AD$3,L394-D394,L394))</f>
        <v>0</v>
      </c>
      <c r="O394" s="95">
        <f t="shared" si="52"/>
        <v>0</v>
      </c>
      <c r="P394" s="107" t="s">
        <v>155</v>
      </c>
      <c r="Q394" s="107">
        <v>0</v>
      </c>
      <c r="R394" s="107">
        <v>0</v>
      </c>
      <c r="S394" s="107">
        <v>0</v>
      </c>
      <c r="T394" s="107">
        <v>0</v>
      </c>
      <c r="U394" s="107"/>
      <c r="V394" s="107"/>
      <c r="W394" s="107"/>
      <c r="X394" s="107"/>
      <c r="Y394" s="107"/>
      <c r="Z394" s="107"/>
      <c r="AA394" s="107"/>
      <c r="AB394" s="107"/>
      <c r="AC394" s="355"/>
      <c r="AD394" s="355"/>
      <c r="AE394" s="355"/>
      <c r="AF394" s="94">
        <f t="shared" si="55"/>
        <v>41789</v>
      </c>
      <c r="AG394" s="185">
        <f t="shared" si="51"/>
        <v>-3.1892969248281666E-3</v>
      </c>
      <c r="AH394" s="339" t="str">
        <f>VLOOKUP(B394,'MF PF'!A:B,2)</f>
        <v>FdMgt1</v>
      </c>
      <c r="AI394" s="358">
        <f t="shared" si="56"/>
        <v>0</v>
      </c>
      <c r="AJ394" s="94">
        <f t="shared" si="57"/>
        <v>41790</v>
      </c>
    </row>
    <row r="395" spans="1:36" ht="12.75" customHeight="1">
      <c r="A395" s="94">
        <v>41820</v>
      </c>
      <c r="B395" s="94" t="s">
        <v>136</v>
      </c>
      <c r="C395" s="358" t="s">
        <v>300</v>
      </c>
      <c r="D395" s="374">
        <v>1667302.73</v>
      </c>
      <c r="E395" s="9" t="e">
        <f t="shared" si="58"/>
        <v>#DIV/0!</v>
      </c>
      <c r="F395" s="98">
        <v>5</v>
      </c>
      <c r="G395" s="98">
        <v>0</v>
      </c>
      <c r="H395" s="98">
        <v>0</v>
      </c>
      <c r="I395" s="98">
        <v>0</v>
      </c>
      <c r="J395" s="98"/>
      <c r="K395" s="93"/>
      <c r="L395" s="93">
        <f t="shared" si="53"/>
        <v>0</v>
      </c>
      <c r="M395" s="95" t="e">
        <f t="shared" ca="1" si="54"/>
        <v>#DIV/0!</v>
      </c>
      <c r="N395" s="95">
        <f>IF(P395="Hedge Fund",IF(A395=Summary!$AD$3,M395-E395,M395),IF(A395=Summary!$AD$3,L395-D395,L395))</f>
        <v>0</v>
      </c>
      <c r="O395" s="95">
        <f t="shared" si="52"/>
        <v>0</v>
      </c>
      <c r="P395" s="107" t="s">
        <v>155</v>
      </c>
      <c r="Q395" s="107">
        <v>0</v>
      </c>
      <c r="R395" s="107">
        <v>0</v>
      </c>
      <c r="S395" s="107">
        <v>0</v>
      </c>
      <c r="T395" s="107">
        <v>0</v>
      </c>
      <c r="U395" s="107"/>
      <c r="V395" s="107"/>
      <c r="W395" s="107"/>
      <c r="X395" s="107"/>
      <c r="Y395" s="107"/>
      <c r="Z395" s="107"/>
      <c r="AA395" s="107"/>
      <c r="AB395" s="107"/>
      <c r="AC395" s="355"/>
      <c r="AD395" s="355"/>
      <c r="AE395" s="355"/>
      <c r="AF395" s="94">
        <f t="shared" si="55"/>
        <v>41820</v>
      </c>
      <c r="AG395" s="185">
        <f t="shared" si="51"/>
        <v>4.2253167164945094E-3</v>
      </c>
      <c r="AH395" s="339" t="str">
        <f>VLOOKUP(B395,'MF PF'!A:B,2)</f>
        <v>FdMgt1</v>
      </c>
      <c r="AI395" s="358">
        <f t="shared" si="56"/>
        <v>0</v>
      </c>
      <c r="AJ395" s="94">
        <f t="shared" si="57"/>
        <v>41820</v>
      </c>
    </row>
    <row r="396" spans="1:36" ht="12.75" customHeight="1">
      <c r="A396" s="94">
        <v>41851</v>
      </c>
      <c r="B396" s="94" t="s">
        <v>136</v>
      </c>
      <c r="C396" s="358" t="s">
        <v>300</v>
      </c>
      <c r="D396" s="374">
        <v>1701679.49</v>
      </c>
      <c r="E396" s="9" t="e">
        <f t="shared" si="58"/>
        <v>#DIV/0!</v>
      </c>
      <c r="F396" s="98">
        <v>5</v>
      </c>
      <c r="G396" s="98">
        <v>0</v>
      </c>
      <c r="H396" s="98">
        <v>0</v>
      </c>
      <c r="I396" s="98">
        <v>0</v>
      </c>
      <c r="J396" s="98"/>
      <c r="L396" s="93">
        <f t="shared" si="53"/>
        <v>0</v>
      </c>
      <c r="M396" s="95" t="e">
        <f t="shared" ca="1" si="54"/>
        <v>#DIV/0!</v>
      </c>
      <c r="N396" s="95">
        <f>IF(P396="Hedge Fund",IF(A396=Summary!$AD$3,M396-E396,M396),IF(A396=Summary!$AD$3,L396-D396,L396))</f>
        <v>0</v>
      </c>
      <c r="O396" s="95">
        <f t="shared" si="52"/>
        <v>0</v>
      </c>
      <c r="P396" s="107" t="s">
        <v>155</v>
      </c>
      <c r="Q396" s="107">
        <v>0</v>
      </c>
      <c r="R396" s="107">
        <v>0</v>
      </c>
      <c r="S396" s="107">
        <v>0</v>
      </c>
      <c r="T396" s="107">
        <v>0</v>
      </c>
      <c r="U396" s="107"/>
      <c r="V396" s="107"/>
      <c r="W396" s="107"/>
      <c r="X396" s="107"/>
      <c r="Y396" s="107"/>
      <c r="Z396" s="107"/>
      <c r="AA396" s="107"/>
      <c r="AB396" s="107"/>
      <c r="AC396" s="355"/>
      <c r="AD396" s="355"/>
      <c r="AE396" s="355"/>
      <c r="AF396" s="94">
        <f t="shared" si="55"/>
        <v>41851</v>
      </c>
      <c r="AG396" s="185">
        <f t="shared" si="51"/>
        <v>2.0618187316228997E-2</v>
      </c>
      <c r="AH396" s="339" t="str">
        <f>VLOOKUP(B396,'MF PF'!A:B,2)</f>
        <v>FdMgt1</v>
      </c>
      <c r="AI396" s="358">
        <f t="shared" si="56"/>
        <v>0</v>
      </c>
      <c r="AJ396" s="94">
        <f t="shared" si="57"/>
        <v>41851</v>
      </c>
    </row>
    <row r="397" spans="1:36" ht="12.75" customHeight="1">
      <c r="A397" s="8">
        <v>41880</v>
      </c>
      <c r="B397" s="94" t="s">
        <v>136</v>
      </c>
      <c r="C397" s="358" t="s">
        <v>300</v>
      </c>
      <c r="D397" s="374">
        <v>2838902.21</v>
      </c>
      <c r="E397" s="9" t="e">
        <f t="shared" si="58"/>
        <v>#DIV/0!</v>
      </c>
      <c r="F397" s="98">
        <v>5</v>
      </c>
      <c r="G397" s="98">
        <v>1115000</v>
      </c>
      <c r="H397" s="98">
        <v>0</v>
      </c>
      <c r="I397" s="98">
        <v>0</v>
      </c>
      <c r="J397" s="98"/>
      <c r="K397" s="93"/>
      <c r="L397" s="93">
        <f t="shared" si="53"/>
        <v>1115000</v>
      </c>
      <c r="M397" s="95" t="e">
        <f t="shared" ca="1" si="54"/>
        <v>#DIV/0!</v>
      </c>
      <c r="N397" s="95">
        <f>IF(P397="Hedge Fund",IF(A397=Summary!$AD$3,M397-E397,M397),IF(A397=Summary!$AD$3,L397-D397,L397))</f>
        <v>1115000</v>
      </c>
      <c r="O397" s="95">
        <f t="shared" si="52"/>
        <v>1115000</v>
      </c>
      <c r="P397" s="107" t="s">
        <v>155</v>
      </c>
      <c r="Q397" s="107">
        <v>0</v>
      </c>
      <c r="R397" s="107">
        <v>0</v>
      </c>
      <c r="S397" s="107">
        <v>0</v>
      </c>
      <c r="T397" s="107">
        <v>0</v>
      </c>
      <c r="U397" s="107"/>
      <c r="V397" s="107"/>
      <c r="W397" s="107"/>
      <c r="X397" s="107"/>
      <c r="Y397" s="107"/>
      <c r="Z397" s="107"/>
      <c r="AA397" s="107"/>
      <c r="AB397" s="107"/>
      <c r="AC397" s="355"/>
      <c r="AD397" s="355"/>
      <c r="AE397" s="355"/>
      <c r="AF397" s="94">
        <f t="shared" si="55"/>
        <v>41880</v>
      </c>
      <c r="AG397" s="185">
        <f t="shared" si="51"/>
        <v>1.3059286505239687E-2</v>
      </c>
      <c r="AH397" s="339" t="str">
        <f>VLOOKUP(B397,'MF PF'!A:B,2)</f>
        <v>FdMgt1</v>
      </c>
      <c r="AI397" s="358">
        <f t="shared" si="56"/>
        <v>0</v>
      </c>
      <c r="AJ397" s="94">
        <f t="shared" si="57"/>
        <v>41882</v>
      </c>
    </row>
    <row r="398" spans="1:36" ht="12.75" customHeight="1">
      <c r="A398" s="94">
        <v>41912</v>
      </c>
      <c r="B398" s="94" t="s">
        <v>136</v>
      </c>
      <c r="C398" s="358" t="s">
        <v>300</v>
      </c>
      <c r="D398" s="374">
        <v>2774774.36</v>
      </c>
      <c r="E398" s="9" t="e">
        <f t="shared" si="58"/>
        <v>#DIV/0!</v>
      </c>
      <c r="F398" s="98">
        <v>5</v>
      </c>
      <c r="G398" s="98">
        <v>0</v>
      </c>
      <c r="H398" s="98">
        <v>0</v>
      </c>
      <c r="I398" s="98">
        <v>0</v>
      </c>
      <c r="J398" s="98"/>
      <c r="K398" s="93"/>
      <c r="L398" s="93">
        <f t="shared" si="53"/>
        <v>0</v>
      </c>
      <c r="M398" s="95" t="e">
        <f t="shared" ca="1" si="54"/>
        <v>#DIV/0!</v>
      </c>
      <c r="N398" s="95">
        <f>IF(P398="Hedge Fund",IF(A398=Summary!$AD$3,M398-E398,M398),IF(A398=Summary!$AD$3,L398-D398,L398))</f>
        <v>0</v>
      </c>
      <c r="O398" s="95">
        <f t="shared" si="52"/>
        <v>0</v>
      </c>
      <c r="P398" s="107" t="s">
        <v>155</v>
      </c>
      <c r="Q398" s="107">
        <v>0</v>
      </c>
      <c r="R398" s="107">
        <v>0</v>
      </c>
      <c r="S398" s="107">
        <v>0</v>
      </c>
      <c r="T398" s="107">
        <v>0</v>
      </c>
      <c r="U398" s="107"/>
      <c r="V398" s="107"/>
      <c r="W398" s="107"/>
      <c r="X398" s="107"/>
      <c r="Y398" s="107"/>
      <c r="Z398" s="107"/>
      <c r="AA398" s="107"/>
      <c r="AB398" s="107"/>
      <c r="AC398" s="355"/>
      <c r="AD398" s="355"/>
      <c r="AE398" s="355"/>
      <c r="AF398" s="94">
        <f t="shared" si="55"/>
        <v>41912</v>
      </c>
      <c r="AG398" s="185">
        <f t="shared" si="51"/>
        <v>-2.2588960540490088E-2</v>
      </c>
      <c r="AH398" s="339" t="str">
        <f>VLOOKUP(B398,'MF PF'!A:B,2)</f>
        <v>FdMgt1</v>
      </c>
      <c r="AI398" s="358">
        <f t="shared" si="56"/>
        <v>0</v>
      </c>
      <c r="AJ398" s="94">
        <f t="shared" si="57"/>
        <v>41912</v>
      </c>
    </row>
    <row r="399" spans="1:36" ht="12.75" customHeight="1">
      <c r="A399" s="8">
        <v>41943</v>
      </c>
      <c r="B399" s="94" t="s">
        <v>136</v>
      </c>
      <c r="C399" s="358" t="s">
        <v>300</v>
      </c>
      <c r="D399" s="374">
        <v>3592667.11</v>
      </c>
      <c r="E399" s="9" t="e">
        <f t="shared" si="58"/>
        <v>#DIV/0!</v>
      </c>
      <c r="F399" s="47">
        <v>5</v>
      </c>
      <c r="G399" s="47">
        <v>845000</v>
      </c>
      <c r="H399" s="47">
        <v>0</v>
      </c>
      <c r="I399" s="47">
        <v>0</v>
      </c>
      <c r="J399" s="98"/>
      <c r="K399" s="93"/>
      <c r="L399" s="93">
        <f t="shared" si="53"/>
        <v>845000</v>
      </c>
      <c r="M399" s="95" t="e">
        <f t="shared" ca="1" si="54"/>
        <v>#DIV/0!</v>
      </c>
      <c r="N399" s="95">
        <f>IF(P399="Hedge Fund",IF(A399=Summary!$AD$3,M399-E399,M399),IF(A399=Summary!$AD$3,L399-D399,L399))</f>
        <v>845000</v>
      </c>
      <c r="O399" s="95">
        <f t="shared" si="52"/>
        <v>845000</v>
      </c>
      <c r="P399" s="89" t="s">
        <v>155</v>
      </c>
      <c r="Q399" s="89">
        <v>0</v>
      </c>
      <c r="R399" s="89">
        <v>0</v>
      </c>
      <c r="S399" s="89">
        <v>0</v>
      </c>
      <c r="T399" s="89">
        <v>0</v>
      </c>
      <c r="U399" s="89"/>
      <c r="V399" s="89"/>
      <c r="W399" s="89"/>
      <c r="X399" s="89"/>
      <c r="Y399" s="89"/>
      <c r="Z399" s="89"/>
      <c r="AA399" s="89"/>
      <c r="AB399" s="89"/>
      <c r="AC399" s="355"/>
      <c r="AD399" s="355"/>
      <c r="AE399" s="355"/>
      <c r="AF399" s="94">
        <f t="shared" si="55"/>
        <v>41943</v>
      </c>
      <c r="AG399" s="185">
        <f t="shared" si="51"/>
        <v>-9.7691727265347694E-3</v>
      </c>
      <c r="AH399" s="339" t="str">
        <f>VLOOKUP(B399,'MF PF'!A:B,2)</f>
        <v>FdMgt1</v>
      </c>
      <c r="AI399" s="358">
        <f t="shared" si="56"/>
        <v>0</v>
      </c>
      <c r="AJ399" s="94">
        <f t="shared" si="57"/>
        <v>41943</v>
      </c>
    </row>
    <row r="400" spans="1:36" ht="12.75" customHeight="1">
      <c r="A400" s="8">
        <v>41971</v>
      </c>
      <c r="B400" s="94" t="s">
        <v>136</v>
      </c>
      <c r="C400" s="6" t="s">
        <v>300</v>
      </c>
      <c r="D400" s="374">
        <v>3628168.53</v>
      </c>
      <c r="E400" s="9" t="e">
        <f t="shared" si="58"/>
        <v>#DIV/0!</v>
      </c>
      <c r="F400" s="98">
        <v>5</v>
      </c>
      <c r="G400" s="98">
        <v>0</v>
      </c>
      <c r="H400" s="98">
        <v>0</v>
      </c>
      <c r="I400" s="98">
        <v>0</v>
      </c>
      <c r="J400" s="98"/>
      <c r="K400" s="93"/>
      <c r="L400" s="93">
        <f t="shared" si="53"/>
        <v>0</v>
      </c>
      <c r="M400" s="95" t="e">
        <f t="shared" ca="1" si="54"/>
        <v>#DIV/0!</v>
      </c>
      <c r="N400" s="95">
        <f>IF(P400="Hedge Fund",IF(A400=Summary!$AD$3,M400-E400,M400),IF(A400=Summary!$AD$3,L400-D400,L400))</f>
        <v>0</v>
      </c>
      <c r="O400" s="95">
        <f t="shared" si="52"/>
        <v>0</v>
      </c>
      <c r="P400" s="107" t="s">
        <v>155</v>
      </c>
      <c r="Q400" s="107">
        <v>0</v>
      </c>
      <c r="R400" s="107">
        <v>0</v>
      </c>
      <c r="S400" s="107">
        <v>0</v>
      </c>
      <c r="T400" s="107">
        <v>0</v>
      </c>
      <c r="U400" s="107"/>
      <c r="V400" s="107"/>
      <c r="W400" s="107"/>
      <c r="X400" s="107"/>
      <c r="Y400" s="107"/>
      <c r="Z400" s="107"/>
      <c r="AA400" s="107"/>
      <c r="AB400" s="107"/>
      <c r="AC400" s="355"/>
      <c r="AD400" s="355"/>
      <c r="AE400" s="355"/>
      <c r="AF400" s="94">
        <f t="shared" si="55"/>
        <v>41971</v>
      </c>
      <c r="AG400" s="185">
        <f t="shared" si="51"/>
        <v>9.8816335922644605E-3</v>
      </c>
      <c r="AH400" s="339" t="str">
        <f>VLOOKUP(B400,'MF PF'!A:B,2)</f>
        <v>FdMgt1</v>
      </c>
      <c r="AI400" s="358">
        <f t="shared" si="56"/>
        <v>0</v>
      </c>
      <c r="AJ400" s="94">
        <f t="shared" si="57"/>
        <v>41973</v>
      </c>
    </row>
    <row r="401" spans="1:36" ht="12.75" customHeight="1">
      <c r="A401" s="94">
        <v>42004</v>
      </c>
      <c r="B401" s="94" t="s">
        <v>136</v>
      </c>
      <c r="C401" s="92" t="s">
        <v>300</v>
      </c>
      <c r="D401" s="374">
        <v>3612168.47</v>
      </c>
      <c r="E401" s="9" t="e">
        <f t="shared" si="58"/>
        <v>#DIV/0!</v>
      </c>
      <c r="F401" s="98">
        <v>5</v>
      </c>
      <c r="G401" s="98">
        <v>0</v>
      </c>
      <c r="H401" s="98">
        <v>0</v>
      </c>
      <c r="I401" s="98">
        <v>0</v>
      </c>
      <c r="J401" s="98"/>
      <c r="K401" s="93"/>
      <c r="L401" s="93">
        <f t="shared" si="53"/>
        <v>0</v>
      </c>
      <c r="M401" s="95" t="e">
        <f t="shared" ca="1" si="54"/>
        <v>#DIV/0!</v>
      </c>
      <c r="N401" s="95">
        <f>IF(P401="Hedge Fund",IF(A401=Summary!$AD$3,M401-E401,M401),IF(A401=Summary!$AD$3,L401-D401,L401))</f>
        <v>0</v>
      </c>
      <c r="O401" s="95">
        <f t="shared" si="52"/>
        <v>0</v>
      </c>
      <c r="P401" s="107" t="s">
        <v>155</v>
      </c>
      <c r="Q401" s="107">
        <v>0</v>
      </c>
      <c r="R401" s="107">
        <v>0</v>
      </c>
      <c r="S401" s="107">
        <v>0</v>
      </c>
      <c r="T401" s="107">
        <v>0</v>
      </c>
      <c r="U401" s="107"/>
      <c r="V401" s="107"/>
      <c r="W401" s="107"/>
      <c r="X401" s="107"/>
      <c r="Y401" s="107"/>
      <c r="Z401" s="107"/>
      <c r="AA401" s="107"/>
      <c r="AB401" s="107"/>
      <c r="AC401" s="355"/>
      <c r="AD401" s="355"/>
      <c r="AE401" s="355"/>
      <c r="AF401" s="94">
        <f t="shared" si="55"/>
        <v>42004</v>
      </c>
      <c r="AG401" s="185">
        <f t="shared" si="51"/>
        <v>-4.4099550138592125E-3</v>
      </c>
      <c r="AH401" s="339" t="str">
        <f>VLOOKUP(B401,'MF PF'!A:B,2)</f>
        <v>FdMgt1</v>
      </c>
      <c r="AI401" s="358">
        <f t="shared" si="56"/>
        <v>0</v>
      </c>
      <c r="AJ401" s="94">
        <f t="shared" si="57"/>
        <v>42004</v>
      </c>
    </row>
    <row r="402" spans="1:36" ht="12.75" customHeight="1">
      <c r="A402" s="94">
        <v>42034</v>
      </c>
      <c r="B402" s="8" t="s">
        <v>136</v>
      </c>
      <c r="C402" s="358" t="s">
        <v>300</v>
      </c>
      <c r="D402" s="374">
        <v>4283262.28</v>
      </c>
      <c r="E402" s="9" t="e">
        <f t="shared" si="58"/>
        <v>#DIV/0!</v>
      </c>
      <c r="F402" s="47">
        <v>5</v>
      </c>
      <c r="G402" s="47">
        <v>580000</v>
      </c>
      <c r="H402" s="47">
        <v>0</v>
      </c>
      <c r="I402" s="47">
        <v>0</v>
      </c>
      <c r="J402" s="98"/>
      <c r="K402" s="93"/>
      <c r="L402" s="93">
        <f t="shared" si="53"/>
        <v>580000</v>
      </c>
      <c r="M402" s="95" t="e">
        <f t="shared" ca="1" si="54"/>
        <v>#DIV/0!</v>
      </c>
      <c r="N402" s="95">
        <f>IF(P402="Hedge Fund",IF(A402=Summary!$AD$3,M402-E402,M402),IF(A402=Summary!$AD$3,L402-D402,L402))</f>
        <v>580000</v>
      </c>
      <c r="O402" s="95">
        <f t="shared" si="52"/>
        <v>580000</v>
      </c>
      <c r="P402" s="89" t="s">
        <v>155</v>
      </c>
      <c r="Q402" s="89">
        <v>0</v>
      </c>
      <c r="R402" s="89">
        <v>0</v>
      </c>
      <c r="S402" s="89">
        <v>0</v>
      </c>
      <c r="T402" s="89">
        <v>0</v>
      </c>
      <c r="U402" s="89"/>
      <c r="V402" s="89"/>
      <c r="W402" s="89"/>
      <c r="X402" s="89"/>
      <c r="Y402" s="89"/>
      <c r="Z402" s="89"/>
      <c r="AA402" s="89"/>
      <c r="AB402" s="89"/>
      <c r="AC402" s="355"/>
      <c r="AD402" s="355"/>
      <c r="AE402" s="355"/>
      <c r="AF402" s="94">
        <f t="shared" si="55"/>
        <v>42034</v>
      </c>
      <c r="AG402" s="185">
        <f t="shared" si="51"/>
        <v>2.5218593971061409E-2</v>
      </c>
      <c r="AH402" s="339" t="str">
        <f>VLOOKUP(B402,'MF PF'!A:B,2)</f>
        <v>FdMgt1</v>
      </c>
      <c r="AI402" s="358">
        <f t="shared" si="56"/>
        <v>0</v>
      </c>
      <c r="AJ402" s="94">
        <f t="shared" si="57"/>
        <v>42035</v>
      </c>
    </row>
    <row r="403" spans="1:36" ht="12.75" customHeight="1">
      <c r="A403" s="94">
        <v>42062</v>
      </c>
      <c r="B403" s="8" t="s">
        <v>136</v>
      </c>
      <c r="C403" s="358" t="s">
        <v>300</v>
      </c>
      <c r="D403" s="374">
        <v>4391115.97</v>
      </c>
      <c r="E403" s="9" t="e">
        <f t="shared" si="58"/>
        <v>#DIV/0!</v>
      </c>
      <c r="F403" s="47">
        <v>5</v>
      </c>
      <c r="G403" s="47">
        <v>70000</v>
      </c>
      <c r="H403" s="47">
        <v>0</v>
      </c>
      <c r="I403" s="47">
        <v>0</v>
      </c>
      <c r="J403" s="98"/>
      <c r="L403" s="93">
        <f t="shared" si="53"/>
        <v>70000</v>
      </c>
      <c r="M403" s="95" t="e">
        <f t="shared" ca="1" si="54"/>
        <v>#DIV/0!</v>
      </c>
      <c r="N403" s="95">
        <f>IF(P403="Hedge Fund",IF(A403=Summary!$AD$3,M403-E403,M403),IF(A403=Summary!$AD$3,L403-D403,L403))</f>
        <v>70000</v>
      </c>
      <c r="O403" s="95">
        <f t="shared" si="52"/>
        <v>70000</v>
      </c>
      <c r="P403" s="89" t="s">
        <v>155</v>
      </c>
      <c r="Q403" s="89">
        <v>0</v>
      </c>
      <c r="R403" s="89">
        <v>0</v>
      </c>
      <c r="S403" s="89">
        <v>0</v>
      </c>
      <c r="T403" s="89">
        <v>0</v>
      </c>
      <c r="U403" s="89"/>
      <c r="V403" s="89"/>
      <c r="W403" s="89"/>
      <c r="X403" s="89"/>
      <c r="Y403" s="89"/>
      <c r="Z403" s="89"/>
      <c r="AA403" s="89"/>
      <c r="AB403" s="89"/>
      <c r="AC403" s="355"/>
      <c r="AD403" s="355"/>
      <c r="AE403" s="355"/>
      <c r="AF403" s="94">
        <f t="shared" si="55"/>
        <v>42062</v>
      </c>
      <c r="AG403" s="185">
        <f t="shared" si="51"/>
        <v>8.8375839548167079E-3</v>
      </c>
      <c r="AH403" s="339" t="str">
        <f>VLOOKUP(B403,'MF PF'!A:B,2)</f>
        <v>FdMgt1</v>
      </c>
      <c r="AI403" s="358">
        <f t="shared" si="56"/>
        <v>0</v>
      </c>
      <c r="AJ403" s="94">
        <f t="shared" si="57"/>
        <v>42063</v>
      </c>
    </row>
    <row r="404" spans="1:36" ht="12.75" customHeight="1">
      <c r="A404" s="8">
        <v>42094</v>
      </c>
      <c r="B404" s="8" t="s">
        <v>136</v>
      </c>
      <c r="C404" s="6" t="s">
        <v>300</v>
      </c>
      <c r="D404" s="374">
        <v>4767176.66</v>
      </c>
      <c r="E404" s="9" t="e">
        <f t="shared" si="58"/>
        <v>#DIV/0!</v>
      </c>
      <c r="F404" s="47">
        <v>5</v>
      </c>
      <c r="G404" s="47">
        <v>270000</v>
      </c>
      <c r="H404" s="47">
        <v>0</v>
      </c>
      <c r="I404" s="47">
        <v>0</v>
      </c>
      <c r="J404" s="98"/>
      <c r="K404" s="93"/>
      <c r="L404" s="93">
        <f t="shared" si="53"/>
        <v>270000</v>
      </c>
      <c r="M404" s="95" t="e">
        <f t="shared" ca="1" si="54"/>
        <v>#DIV/0!</v>
      </c>
      <c r="N404" s="95">
        <f>IF(P404="Hedge Fund",IF(A404=Summary!$AD$3,M404-E404,M404),IF(A404=Summary!$AD$3,L404-D404,L404))</f>
        <v>270000</v>
      </c>
      <c r="O404" s="95">
        <f t="shared" si="52"/>
        <v>270000</v>
      </c>
      <c r="P404" s="89" t="s">
        <v>155</v>
      </c>
      <c r="Q404" s="89">
        <v>0</v>
      </c>
      <c r="R404" s="89">
        <v>0</v>
      </c>
      <c r="S404" s="89">
        <v>0</v>
      </c>
      <c r="T404" s="89">
        <v>0</v>
      </c>
      <c r="U404" s="89"/>
      <c r="V404" s="89"/>
      <c r="W404" s="89"/>
      <c r="X404" s="89"/>
      <c r="Y404" s="89"/>
      <c r="Z404" s="89"/>
      <c r="AA404" s="89"/>
      <c r="AB404" s="89"/>
      <c r="AC404" s="355"/>
      <c r="AD404" s="355"/>
      <c r="AE404" s="355"/>
      <c r="AF404" s="94">
        <f t="shared" si="55"/>
        <v>42094</v>
      </c>
      <c r="AG404" s="185">
        <f t="shared" si="51"/>
        <v>2.4153470490099638E-2</v>
      </c>
      <c r="AH404" s="339" t="str">
        <f>VLOOKUP(B404,'MF PF'!A:B,2)</f>
        <v>FdMgt1</v>
      </c>
      <c r="AI404" s="358">
        <f t="shared" si="56"/>
        <v>0</v>
      </c>
      <c r="AJ404" s="94">
        <f t="shared" si="57"/>
        <v>42094</v>
      </c>
    </row>
    <row r="405" spans="1:36" ht="12.75" customHeight="1">
      <c r="A405" s="94">
        <v>42124</v>
      </c>
      <c r="B405" s="8" t="s">
        <v>136</v>
      </c>
      <c r="C405" s="358" t="s">
        <v>300</v>
      </c>
      <c r="D405" s="374">
        <v>5113303.4800000004</v>
      </c>
      <c r="E405" s="9" t="e">
        <f t="shared" si="58"/>
        <v>#DIV/0!</v>
      </c>
      <c r="F405" s="47">
        <v>5</v>
      </c>
      <c r="G405" s="47">
        <v>0</v>
      </c>
      <c r="H405" s="47">
        <v>0</v>
      </c>
      <c r="I405" s="47">
        <v>0</v>
      </c>
      <c r="J405" s="98"/>
      <c r="L405" s="93">
        <f t="shared" si="53"/>
        <v>0</v>
      </c>
      <c r="M405" s="95" t="e">
        <f t="shared" ca="1" si="54"/>
        <v>#DIV/0!</v>
      </c>
      <c r="N405" s="95">
        <f>IF(P405="Hedge Fund",IF(A405=Summary!$AD$3,M405-E405,M405),IF(A405=Summary!$AD$3,L405-D405,L405))</f>
        <v>0</v>
      </c>
      <c r="O405" s="95">
        <f t="shared" si="52"/>
        <v>0</v>
      </c>
      <c r="P405" s="89" t="s">
        <v>155</v>
      </c>
      <c r="Q405" s="89">
        <v>0</v>
      </c>
      <c r="R405" s="89">
        <v>0</v>
      </c>
      <c r="S405" s="89">
        <v>0</v>
      </c>
      <c r="T405" s="89">
        <v>0</v>
      </c>
      <c r="U405" s="89"/>
      <c r="V405" s="89"/>
      <c r="W405" s="89"/>
      <c r="X405" s="89"/>
      <c r="Y405" s="89"/>
      <c r="Z405" s="89"/>
      <c r="AA405" s="89"/>
      <c r="AB405" s="89"/>
      <c r="AC405" s="355"/>
      <c r="AD405" s="355"/>
      <c r="AE405" s="355"/>
      <c r="AF405" s="94">
        <f t="shared" si="55"/>
        <v>42124</v>
      </c>
      <c r="AG405" s="185">
        <f t="shared" si="51"/>
        <v>7.2606249922359867E-2</v>
      </c>
      <c r="AH405" s="339" t="str">
        <f>VLOOKUP(B405,'MF PF'!A:B,2)</f>
        <v>FdMgt1</v>
      </c>
      <c r="AI405" s="358">
        <f t="shared" si="56"/>
        <v>0</v>
      </c>
      <c r="AJ405" s="94">
        <f t="shared" si="57"/>
        <v>42124</v>
      </c>
    </row>
    <row r="406" spans="1:36" ht="12.75" customHeight="1">
      <c r="A406" s="8">
        <v>42153</v>
      </c>
      <c r="B406" s="8" t="s">
        <v>136</v>
      </c>
      <c r="C406" s="6" t="s">
        <v>300</v>
      </c>
      <c r="D406" s="374">
        <v>5221944.75</v>
      </c>
      <c r="E406" s="9" t="e">
        <f t="shared" si="58"/>
        <v>#DIV/0!</v>
      </c>
      <c r="F406" s="47">
        <v>5</v>
      </c>
      <c r="G406" s="47">
        <v>0</v>
      </c>
      <c r="H406" s="47">
        <v>0</v>
      </c>
      <c r="I406" s="47">
        <v>0</v>
      </c>
      <c r="J406" s="98"/>
      <c r="L406" s="93">
        <f t="shared" si="53"/>
        <v>0</v>
      </c>
      <c r="M406" s="95" t="e">
        <f t="shared" ca="1" si="54"/>
        <v>#DIV/0!</v>
      </c>
      <c r="N406" s="95">
        <f>IF(P406="Hedge Fund",IF(A406=Summary!$AD$3,M406-E406,M406),IF(A406=Summary!$AD$3,L406-D406,L406))</f>
        <v>0</v>
      </c>
      <c r="O406" s="95">
        <f t="shared" si="52"/>
        <v>0</v>
      </c>
      <c r="P406" s="89" t="s">
        <v>155</v>
      </c>
      <c r="Q406" s="89">
        <v>0</v>
      </c>
      <c r="R406" s="89">
        <v>0</v>
      </c>
      <c r="S406" s="89">
        <v>0</v>
      </c>
      <c r="T406" s="89">
        <v>0</v>
      </c>
      <c r="U406" s="89"/>
      <c r="V406" s="89"/>
      <c r="W406" s="89"/>
      <c r="X406" s="89"/>
      <c r="Y406" s="89"/>
      <c r="Z406" s="89"/>
      <c r="AA406" s="89"/>
      <c r="AB406" s="89"/>
      <c r="AC406" s="355"/>
      <c r="AD406" s="355"/>
      <c r="AE406" s="355"/>
      <c r="AF406" s="94">
        <f t="shared" si="55"/>
        <v>42153</v>
      </c>
      <c r="AG406" s="185">
        <f t="shared" si="51"/>
        <v>2.1246787018399216E-2</v>
      </c>
      <c r="AH406" s="339" t="str">
        <f>VLOOKUP(B406,'MF PF'!A:B,2)</f>
        <v>FdMgt1</v>
      </c>
      <c r="AI406" s="358">
        <f t="shared" si="56"/>
        <v>0</v>
      </c>
      <c r="AJ406" s="94">
        <f t="shared" si="57"/>
        <v>42155</v>
      </c>
    </row>
    <row r="407" spans="1:36" ht="12.75" customHeight="1">
      <c r="A407" s="94">
        <v>42185</v>
      </c>
      <c r="B407" s="8" t="s">
        <v>136</v>
      </c>
      <c r="C407" s="358" t="s">
        <v>300</v>
      </c>
      <c r="D407" s="374">
        <v>5180495.08</v>
      </c>
      <c r="E407" s="9" t="e">
        <f t="shared" si="58"/>
        <v>#DIV/0!</v>
      </c>
      <c r="F407" s="47">
        <v>5</v>
      </c>
      <c r="G407" s="47">
        <v>0</v>
      </c>
      <c r="H407" s="47">
        <v>0</v>
      </c>
      <c r="I407" s="47">
        <v>0</v>
      </c>
      <c r="J407" s="98"/>
      <c r="K407" s="93"/>
      <c r="L407" s="93">
        <f t="shared" si="53"/>
        <v>0</v>
      </c>
      <c r="M407" s="95" t="e">
        <f t="shared" ca="1" si="54"/>
        <v>#DIV/0!</v>
      </c>
      <c r="N407" s="95">
        <f>IF(P407="Hedge Fund",IF(A407=Summary!$AD$3,M407-E407,M407),IF(A407=Summary!$AD$3,L407-D407,L407))</f>
        <v>0</v>
      </c>
      <c r="O407" s="95">
        <f t="shared" si="52"/>
        <v>0</v>
      </c>
      <c r="P407" s="89" t="s">
        <v>155</v>
      </c>
      <c r="Q407" s="89">
        <v>0</v>
      </c>
      <c r="R407" s="89">
        <v>0</v>
      </c>
      <c r="S407" s="89">
        <v>0</v>
      </c>
      <c r="T407" s="89">
        <v>0</v>
      </c>
      <c r="U407" s="89"/>
      <c r="V407" s="89"/>
      <c r="W407" s="89"/>
      <c r="X407" s="89"/>
      <c r="Y407" s="89"/>
      <c r="Z407" s="89"/>
      <c r="AA407" s="89"/>
      <c r="AB407" s="89"/>
      <c r="AC407" s="355"/>
      <c r="AD407" s="355"/>
      <c r="AE407" s="355"/>
      <c r="AF407" s="94">
        <f t="shared" si="55"/>
        <v>42185</v>
      </c>
      <c r="AG407" s="185">
        <f t="shared" si="51"/>
        <v>-7.9375925990025076E-3</v>
      </c>
      <c r="AH407" s="339" t="str">
        <f>VLOOKUP(B407,'MF PF'!A:B,2)</f>
        <v>FdMgt1</v>
      </c>
      <c r="AI407" s="358">
        <f t="shared" si="56"/>
        <v>0</v>
      </c>
      <c r="AJ407" s="94">
        <f t="shared" si="57"/>
        <v>42185</v>
      </c>
    </row>
    <row r="408" spans="1:36" ht="12.75" customHeight="1">
      <c r="A408" s="94">
        <v>42216</v>
      </c>
      <c r="B408" s="8" t="s">
        <v>136</v>
      </c>
      <c r="C408" s="358" t="s">
        <v>300</v>
      </c>
      <c r="D408" s="374">
        <v>5503461.46</v>
      </c>
      <c r="E408" s="9" t="e">
        <f t="shared" si="58"/>
        <v>#DIV/0!</v>
      </c>
      <c r="F408" s="47">
        <v>5</v>
      </c>
      <c r="G408" s="47">
        <v>405000</v>
      </c>
      <c r="H408" s="47">
        <v>0</v>
      </c>
      <c r="I408" s="47">
        <v>0</v>
      </c>
      <c r="J408" s="98"/>
      <c r="K408" s="93"/>
      <c r="L408" s="93">
        <f t="shared" si="53"/>
        <v>405000</v>
      </c>
      <c r="M408" s="95" t="e">
        <f t="shared" ca="1" si="54"/>
        <v>#DIV/0!</v>
      </c>
      <c r="N408" s="95">
        <f>IF(P408="Hedge Fund",IF(A408=Summary!$AD$3,M408-E408,M408),IF(A408=Summary!$AD$3,L408-D408,L408))</f>
        <v>405000</v>
      </c>
      <c r="O408" s="95">
        <f t="shared" si="52"/>
        <v>405000</v>
      </c>
      <c r="P408" s="89" t="s">
        <v>155</v>
      </c>
      <c r="Q408" s="107">
        <v>0</v>
      </c>
      <c r="R408" s="107">
        <v>0</v>
      </c>
      <c r="S408" s="89">
        <v>0</v>
      </c>
      <c r="T408" s="89">
        <v>0</v>
      </c>
      <c r="U408" s="89"/>
      <c r="V408" s="89"/>
      <c r="W408" s="89"/>
      <c r="X408" s="89"/>
      <c r="Y408" s="89"/>
      <c r="Z408" s="89"/>
      <c r="AA408" s="89"/>
      <c r="AB408" s="89"/>
      <c r="AC408" s="355"/>
      <c r="AD408" s="355"/>
      <c r="AE408" s="355"/>
      <c r="AF408" s="94">
        <f t="shared" si="55"/>
        <v>42216</v>
      </c>
      <c r="AG408" s="185">
        <f t="shared" si="51"/>
        <v>-1.5835092734032719E-2</v>
      </c>
      <c r="AH408" s="339" t="str">
        <f>VLOOKUP(B408,'MF PF'!A:B,2)</f>
        <v>FdMgt1</v>
      </c>
      <c r="AI408" s="358">
        <f t="shared" si="56"/>
        <v>0</v>
      </c>
      <c r="AJ408" s="94">
        <f t="shared" si="57"/>
        <v>42216</v>
      </c>
    </row>
    <row r="409" spans="1:36" ht="12.75" customHeight="1">
      <c r="A409" s="8">
        <v>42247</v>
      </c>
      <c r="B409" s="8" t="s">
        <v>136</v>
      </c>
      <c r="C409" s="6" t="s">
        <v>300</v>
      </c>
      <c r="D409" s="374">
        <v>5419781.8099999996</v>
      </c>
      <c r="E409" s="9" t="e">
        <f t="shared" si="58"/>
        <v>#DIV/0!</v>
      </c>
      <c r="F409" s="47">
        <v>5</v>
      </c>
      <c r="G409" s="47">
        <v>0</v>
      </c>
      <c r="H409" s="47">
        <v>0</v>
      </c>
      <c r="I409" s="47">
        <v>0</v>
      </c>
      <c r="J409" s="98"/>
      <c r="L409" s="93">
        <f t="shared" si="53"/>
        <v>0</v>
      </c>
      <c r="M409" s="95" t="e">
        <f t="shared" ca="1" si="54"/>
        <v>#DIV/0!</v>
      </c>
      <c r="N409" s="95">
        <f>IF(P409="Hedge Fund",IF(A409=Summary!$AD$3,M409-E409,M409),IF(A409=Summary!$AD$3,L409-D409,L409))</f>
        <v>0</v>
      </c>
      <c r="O409" s="95">
        <f t="shared" si="52"/>
        <v>0</v>
      </c>
      <c r="P409" s="89" t="s">
        <v>155</v>
      </c>
      <c r="Q409" s="107">
        <v>0</v>
      </c>
      <c r="R409" s="107">
        <v>0</v>
      </c>
      <c r="S409" s="89">
        <v>0</v>
      </c>
      <c r="T409" s="89">
        <v>0</v>
      </c>
      <c r="U409" s="89"/>
      <c r="V409" s="89"/>
      <c r="W409" s="89"/>
      <c r="X409" s="89"/>
      <c r="Y409" s="89"/>
      <c r="Z409" s="89"/>
      <c r="AA409" s="89"/>
      <c r="AB409" s="89"/>
      <c r="AC409" s="355"/>
      <c r="AD409" s="355"/>
      <c r="AE409" s="355"/>
      <c r="AF409" s="94">
        <f t="shared" si="55"/>
        <v>42247</v>
      </c>
      <c r="AG409" s="185">
        <f t="shared" si="51"/>
        <v>-1.5204912509735324E-2</v>
      </c>
      <c r="AH409" s="339" t="str">
        <f>VLOOKUP(B409,'MF PF'!A:B,2)</f>
        <v>FdMgt1</v>
      </c>
      <c r="AI409" s="358">
        <f t="shared" si="56"/>
        <v>0</v>
      </c>
      <c r="AJ409" s="94">
        <f t="shared" si="57"/>
        <v>42247</v>
      </c>
    </row>
    <row r="410" spans="1:36" ht="12.75" customHeight="1">
      <c r="A410" s="94">
        <v>42277</v>
      </c>
      <c r="B410" s="94" t="s">
        <v>136</v>
      </c>
      <c r="C410" s="358" t="s">
        <v>300</v>
      </c>
      <c r="D410" s="374">
        <v>5439797.1500000004</v>
      </c>
      <c r="E410" s="9" t="e">
        <f t="shared" si="58"/>
        <v>#DIV/0!</v>
      </c>
      <c r="F410" s="47">
        <v>5</v>
      </c>
      <c r="G410" s="47">
        <v>0</v>
      </c>
      <c r="H410" s="47">
        <v>0</v>
      </c>
      <c r="I410" s="98">
        <v>0</v>
      </c>
      <c r="J410" s="98"/>
      <c r="K410" s="93"/>
      <c r="L410" s="93">
        <f t="shared" si="53"/>
        <v>0</v>
      </c>
      <c r="M410" s="95" t="e">
        <f t="shared" ca="1" si="54"/>
        <v>#DIV/0!</v>
      </c>
      <c r="N410" s="95">
        <f>IF(P410="Hedge Fund",IF(A410=Summary!$AD$3,M410-E410,M410),IF(A410=Summary!$AD$3,L410-D410,L410))</f>
        <v>0</v>
      </c>
      <c r="O410" s="95">
        <f t="shared" si="52"/>
        <v>0</v>
      </c>
      <c r="P410" s="89" t="s">
        <v>155</v>
      </c>
      <c r="Q410" s="107">
        <v>0</v>
      </c>
      <c r="R410" s="89">
        <v>0</v>
      </c>
      <c r="S410" s="89">
        <v>0</v>
      </c>
      <c r="T410" s="89">
        <v>0</v>
      </c>
      <c r="U410" s="89"/>
      <c r="V410" s="89"/>
      <c r="W410" s="89"/>
      <c r="X410" s="89"/>
      <c r="Y410" s="89"/>
      <c r="Z410" s="89"/>
      <c r="AA410" s="89"/>
      <c r="AB410" s="89"/>
      <c r="AC410" s="355"/>
      <c r="AD410" s="355"/>
      <c r="AE410" s="355"/>
      <c r="AF410" s="94">
        <f t="shared" si="55"/>
        <v>42277</v>
      </c>
      <c r="AG410" s="185">
        <f t="shared" si="51"/>
        <v>3.693015826406576E-3</v>
      </c>
      <c r="AH410" s="339" t="str">
        <f>VLOOKUP(B410,'MF PF'!A:B,2)</f>
        <v>FdMgt1</v>
      </c>
      <c r="AI410" s="358">
        <f t="shared" si="56"/>
        <v>0</v>
      </c>
      <c r="AJ410" s="94">
        <f t="shared" si="57"/>
        <v>42277</v>
      </c>
    </row>
    <row r="411" spans="1:36" ht="12.75" customHeight="1">
      <c r="A411" s="94">
        <v>42307</v>
      </c>
      <c r="B411" s="94" t="s">
        <v>136</v>
      </c>
      <c r="C411" s="358" t="s">
        <v>300</v>
      </c>
      <c r="D411" s="374">
        <v>5583165.0199999996</v>
      </c>
      <c r="E411" s="9" t="e">
        <f t="shared" si="58"/>
        <v>#DIV/0!</v>
      </c>
      <c r="F411" s="47">
        <v>5</v>
      </c>
      <c r="G411" s="47">
        <v>0</v>
      </c>
      <c r="H411" s="47">
        <v>0</v>
      </c>
      <c r="I411" s="98">
        <v>0</v>
      </c>
      <c r="J411" s="98"/>
      <c r="K411" s="93"/>
      <c r="L411" s="93">
        <f t="shared" si="53"/>
        <v>0</v>
      </c>
      <c r="M411" s="95" t="e">
        <f t="shared" ca="1" si="54"/>
        <v>#DIV/0!</v>
      </c>
      <c r="N411" s="95">
        <f>IF(P411="Hedge Fund",IF(A411=Summary!$AD$3,M411-E411,M411),IF(A411=Summary!$AD$3,L411-D411,L411))</f>
        <v>0</v>
      </c>
      <c r="O411" s="95">
        <f t="shared" si="52"/>
        <v>0</v>
      </c>
      <c r="P411" s="89" t="s">
        <v>155</v>
      </c>
      <c r="Q411" s="107">
        <v>0</v>
      </c>
      <c r="R411" s="89">
        <v>0</v>
      </c>
      <c r="S411" s="89">
        <v>0</v>
      </c>
      <c r="T411" s="89">
        <v>0</v>
      </c>
      <c r="U411" s="89"/>
      <c r="V411" s="89"/>
      <c r="W411" s="89"/>
      <c r="X411" s="89"/>
      <c r="Y411" s="89"/>
      <c r="Z411" s="89"/>
      <c r="AA411" s="89"/>
      <c r="AB411" s="89"/>
      <c r="AC411" s="355"/>
      <c r="AD411" s="355"/>
      <c r="AE411" s="355"/>
      <c r="AF411" s="94">
        <f t="shared" si="55"/>
        <v>42307</v>
      </c>
      <c r="AG411" s="185">
        <f t="shared" si="51"/>
        <v>2.6355370622597407E-2</v>
      </c>
      <c r="AH411" s="339" t="str">
        <f>VLOOKUP(B411,'MF PF'!A:B,2)</f>
        <v>FdMgt1</v>
      </c>
      <c r="AI411" s="358">
        <f t="shared" si="56"/>
        <v>0</v>
      </c>
      <c r="AJ411" s="94">
        <f t="shared" si="57"/>
        <v>42308</v>
      </c>
    </row>
    <row r="412" spans="1:36" ht="12.75" customHeight="1">
      <c r="A412" s="8">
        <v>42338</v>
      </c>
      <c r="B412" s="94" t="s">
        <v>136</v>
      </c>
      <c r="C412" s="358" t="s">
        <v>300</v>
      </c>
      <c r="D412" s="374">
        <v>5574337.6500000004</v>
      </c>
      <c r="E412" s="9" t="e">
        <f t="shared" si="58"/>
        <v>#DIV/0!</v>
      </c>
      <c r="F412" s="47">
        <v>5</v>
      </c>
      <c r="G412" s="47">
        <v>0</v>
      </c>
      <c r="H412" s="47">
        <v>0</v>
      </c>
      <c r="I412" s="47">
        <v>0</v>
      </c>
      <c r="J412" s="98"/>
      <c r="K412" s="93"/>
      <c r="L412" s="93">
        <f t="shared" si="53"/>
        <v>0</v>
      </c>
      <c r="M412" s="95" t="e">
        <f t="shared" ca="1" si="54"/>
        <v>#DIV/0!</v>
      </c>
      <c r="N412" s="95">
        <f>IF(P412="Hedge Fund",IF(A412=Summary!$AD$3,M412-E412,M412),IF(A412=Summary!$AD$3,L412-D412,L412))</f>
        <v>0</v>
      </c>
      <c r="O412" s="95">
        <f t="shared" si="52"/>
        <v>0</v>
      </c>
      <c r="P412" s="89" t="s">
        <v>155</v>
      </c>
      <c r="Q412" s="89">
        <v>0</v>
      </c>
      <c r="R412" s="89">
        <v>0</v>
      </c>
      <c r="S412" s="89">
        <v>0</v>
      </c>
      <c r="T412" s="89">
        <v>0</v>
      </c>
      <c r="U412" s="89"/>
      <c r="V412" s="89"/>
      <c r="W412" s="89"/>
      <c r="X412" s="89"/>
      <c r="Y412" s="89"/>
      <c r="Z412" s="89"/>
      <c r="AA412" s="89"/>
      <c r="AB412" s="89"/>
      <c r="AC412" s="355"/>
      <c r="AD412" s="355"/>
      <c r="AE412" s="355"/>
      <c r="AF412" s="94">
        <f t="shared" si="55"/>
        <v>42338</v>
      </c>
      <c r="AG412" s="185">
        <f t="shared" si="51"/>
        <v>-1.581069154928727E-3</v>
      </c>
      <c r="AH412" s="339" t="str">
        <f>VLOOKUP(B412,'MF PF'!A:B,2)</f>
        <v>FdMgt1</v>
      </c>
      <c r="AI412" s="358">
        <f t="shared" si="56"/>
        <v>0</v>
      </c>
      <c r="AJ412" s="94">
        <f t="shared" si="57"/>
        <v>42338</v>
      </c>
    </row>
    <row r="413" spans="1:36" ht="12.75" customHeight="1">
      <c r="A413" s="8">
        <v>42369</v>
      </c>
      <c r="B413" s="94" t="s">
        <v>136</v>
      </c>
      <c r="C413" s="358" t="s">
        <v>300</v>
      </c>
      <c r="D413" s="374">
        <v>5615713.2599999998</v>
      </c>
      <c r="E413" s="9" t="e">
        <f t="shared" si="58"/>
        <v>#DIV/0!</v>
      </c>
      <c r="F413" s="47">
        <v>5</v>
      </c>
      <c r="G413" s="47">
        <v>0</v>
      </c>
      <c r="H413" s="47">
        <v>0</v>
      </c>
      <c r="I413" s="47">
        <v>0</v>
      </c>
      <c r="J413" s="98"/>
      <c r="K413" s="93"/>
      <c r="L413" s="93">
        <f t="shared" si="53"/>
        <v>0</v>
      </c>
      <c r="M413" s="95" t="e">
        <f t="shared" ca="1" si="54"/>
        <v>#DIV/0!</v>
      </c>
      <c r="N413" s="95">
        <f>IF(P413="Hedge Fund",IF(A413=Summary!$AD$3,M413-E413,M413),IF(A413=Summary!$AD$3,L413-D413,L413))</f>
        <v>0</v>
      </c>
      <c r="O413" s="95">
        <f t="shared" si="52"/>
        <v>0</v>
      </c>
      <c r="P413" s="89" t="s">
        <v>155</v>
      </c>
      <c r="Q413" s="89">
        <v>0</v>
      </c>
      <c r="R413" s="89">
        <v>0</v>
      </c>
      <c r="S413" s="89">
        <v>0</v>
      </c>
      <c r="T413" s="89">
        <v>0</v>
      </c>
      <c r="U413" s="89"/>
      <c r="V413" s="89"/>
      <c r="W413" s="89"/>
      <c r="X413" s="89"/>
      <c r="Y413" s="89"/>
      <c r="Z413" s="89"/>
      <c r="AA413" s="89"/>
      <c r="AB413" s="89"/>
      <c r="AC413" s="355"/>
      <c r="AD413" s="355"/>
      <c r="AE413" s="355"/>
      <c r="AF413" s="94">
        <f t="shared" si="55"/>
        <v>42369</v>
      </c>
      <c r="AG413" s="185">
        <f t="shared" si="51"/>
        <v>7.4225159288654474E-3</v>
      </c>
      <c r="AH413" s="339" t="str">
        <f>VLOOKUP(B413,'MF PF'!A:B,2)</f>
        <v>FdMgt1</v>
      </c>
      <c r="AI413" s="358">
        <f t="shared" si="56"/>
        <v>0</v>
      </c>
      <c r="AJ413" s="94">
        <f t="shared" si="57"/>
        <v>42369</v>
      </c>
    </row>
    <row r="414" spans="1:36" ht="12.75" customHeight="1">
      <c r="A414" s="94">
        <v>42398</v>
      </c>
      <c r="B414" s="8" t="s">
        <v>136</v>
      </c>
      <c r="C414" s="358" t="s">
        <v>300</v>
      </c>
      <c r="D414" s="374">
        <v>5554342.1500000004</v>
      </c>
      <c r="E414" s="9" t="e">
        <f t="shared" si="58"/>
        <v>#DIV/0!</v>
      </c>
      <c r="F414" s="47">
        <v>5</v>
      </c>
      <c r="G414" s="47">
        <v>0</v>
      </c>
      <c r="H414" s="47">
        <v>0</v>
      </c>
      <c r="I414" s="47">
        <v>0</v>
      </c>
      <c r="J414" s="98"/>
      <c r="K414" s="93"/>
      <c r="L414" s="93">
        <f t="shared" si="53"/>
        <v>0</v>
      </c>
      <c r="M414" s="95" t="e">
        <f t="shared" ca="1" si="54"/>
        <v>#DIV/0!</v>
      </c>
      <c r="N414" s="95">
        <f>IF(P414="Hedge Fund",IF(A414=Summary!$AD$3,M414-E414,M414),IF(A414=Summary!$AD$3,L414-D414,L414))</f>
        <v>0</v>
      </c>
      <c r="O414" s="95">
        <f t="shared" si="52"/>
        <v>0</v>
      </c>
      <c r="P414" s="89" t="s">
        <v>155</v>
      </c>
      <c r="Q414" s="89">
        <v>0</v>
      </c>
      <c r="R414" s="89">
        <v>0</v>
      </c>
      <c r="S414" s="89">
        <v>0</v>
      </c>
      <c r="T414" s="89">
        <v>0</v>
      </c>
      <c r="U414" s="89"/>
      <c r="V414" s="89"/>
      <c r="W414" s="89"/>
      <c r="X414" s="89"/>
      <c r="Y414" s="89"/>
      <c r="Z414" s="89"/>
      <c r="AA414" s="89"/>
      <c r="AB414" s="89"/>
      <c r="AC414" s="355"/>
      <c r="AD414" s="355"/>
      <c r="AE414" s="355"/>
      <c r="AF414" s="94">
        <f t="shared" si="55"/>
        <v>42398</v>
      </c>
      <c r="AG414" s="185">
        <f t="shared" si="51"/>
        <v>-1.0928462184338739E-2</v>
      </c>
      <c r="AH414" s="339" t="str">
        <f>VLOOKUP(B414,'MF PF'!A:B,2)</f>
        <v>FdMgt1</v>
      </c>
      <c r="AI414" s="358">
        <f t="shared" si="56"/>
        <v>0</v>
      </c>
      <c r="AJ414" s="94">
        <f t="shared" si="57"/>
        <v>42400</v>
      </c>
    </row>
    <row r="415" spans="1:36" ht="12.75" customHeight="1">
      <c r="A415" s="94">
        <v>42429</v>
      </c>
      <c r="B415" s="8" t="s">
        <v>136</v>
      </c>
      <c r="C415" s="358" t="s">
        <v>300</v>
      </c>
      <c r="D415" s="374">
        <v>5657600.8499999996</v>
      </c>
      <c r="E415" s="9" t="e">
        <f t="shared" si="58"/>
        <v>#DIV/0!</v>
      </c>
      <c r="F415" s="47">
        <v>5</v>
      </c>
      <c r="G415" s="47">
        <v>0</v>
      </c>
      <c r="H415" s="47">
        <v>0</v>
      </c>
      <c r="I415" s="47">
        <v>0</v>
      </c>
      <c r="J415" s="98"/>
      <c r="L415" s="93">
        <f t="shared" si="53"/>
        <v>0</v>
      </c>
      <c r="M415" s="95" t="e">
        <f t="shared" ca="1" si="54"/>
        <v>#DIV/0!</v>
      </c>
      <c r="N415" s="95">
        <f>IF(P415="Hedge Fund",IF(A415=Summary!$AD$3,M415-E415,M415),IF(A415=Summary!$AD$3,L415-D415,L415))</f>
        <v>0</v>
      </c>
      <c r="O415" s="95">
        <f t="shared" si="52"/>
        <v>0</v>
      </c>
      <c r="P415" s="89" t="s">
        <v>155</v>
      </c>
      <c r="Q415" s="89">
        <v>0</v>
      </c>
      <c r="R415" s="89">
        <v>0</v>
      </c>
      <c r="S415" s="89">
        <v>0</v>
      </c>
      <c r="T415" s="89">
        <v>0</v>
      </c>
      <c r="U415" s="89"/>
      <c r="V415" s="89"/>
      <c r="W415" s="89"/>
      <c r="X415" s="89"/>
      <c r="Y415" s="89"/>
      <c r="Z415" s="89"/>
      <c r="AA415" s="89"/>
      <c r="AB415" s="89"/>
      <c r="AC415" s="355"/>
      <c r="AD415" s="355"/>
      <c r="AE415" s="355"/>
      <c r="AF415" s="94">
        <f t="shared" si="55"/>
        <v>42429</v>
      </c>
      <c r="AG415" s="185">
        <f t="shared" si="51"/>
        <v>1.8590626434491275E-2</v>
      </c>
      <c r="AH415" s="339" t="str">
        <f>VLOOKUP(B415,'MF PF'!A:B,2)</f>
        <v>FdMgt1</v>
      </c>
      <c r="AI415" s="358">
        <f t="shared" si="56"/>
        <v>0</v>
      </c>
      <c r="AJ415" s="94">
        <f t="shared" si="57"/>
        <v>42429</v>
      </c>
    </row>
    <row r="416" spans="1:36" ht="12.75" customHeight="1">
      <c r="A416" s="94">
        <v>42460</v>
      </c>
      <c r="B416" s="8" t="s">
        <v>136</v>
      </c>
      <c r="C416" s="92" t="s">
        <v>300</v>
      </c>
      <c r="D416" s="374">
        <v>5761592.0899999999</v>
      </c>
      <c r="E416" s="9" t="e">
        <f t="shared" si="58"/>
        <v>#DIV/0!</v>
      </c>
      <c r="F416" s="47">
        <v>5</v>
      </c>
      <c r="G416" s="47">
        <v>0</v>
      </c>
      <c r="H416" s="47">
        <v>0</v>
      </c>
      <c r="I416" s="47">
        <v>0</v>
      </c>
      <c r="J416" s="98"/>
      <c r="K416" s="93"/>
      <c r="L416" s="93">
        <f t="shared" si="53"/>
        <v>0</v>
      </c>
      <c r="M416" s="95" t="e">
        <f t="shared" ca="1" si="54"/>
        <v>#DIV/0!</v>
      </c>
      <c r="N416" s="95">
        <f>IF(P416="Hedge Fund",IF(A416=Summary!$AD$3,M416-E416,M416),IF(A416=Summary!$AD$3,L416-D416,L416))</f>
        <v>0</v>
      </c>
      <c r="O416" s="95">
        <f t="shared" si="52"/>
        <v>0</v>
      </c>
      <c r="P416" s="89" t="s">
        <v>155</v>
      </c>
      <c r="Q416" s="107">
        <v>0</v>
      </c>
      <c r="R416" s="107">
        <v>0</v>
      </c>
      <c r="S416" s="89">
        <v>0</v>
      </c>
      <c r="T416" s="89">
        <v>0</v>
      </c>
      <c r="U416" s="89"/>
      <c r="V416" s="89"/>
      <c r="W416" s="89"/>
      <c r="X416" s="89"/>
      <c r="Y416" s="89"/>
      <c r="Z416" s="89"/>
      <c r="AA416" s="89"/>
      <c r="AB416" s="89"/>
      <c r="AC416" s="355"/>
      <c r="AD416" s="355"/>
      <c r="AE416" s="355"/>
      <c r="AF416" s="94">
        <f t="shared" si="55"/>
        <v>42460</v>
      </c>
      <c r="AG416" s="185">
        <f t="shared" si="51"/>
        <v>1.8380801819909198E-2</v>
      </c>
      <c r="AH416" s="339" t="str">
        <f>VLOOKUP(B416,'MF PF'!A:B,2)</f>
        <v>FdMgt1</v>
      </c>
      <c r="AI416" s="358">
        <f t="shared" si="56"/>
        <v>0</v>
      </c>
      <c r="AJ416" s="94">
        <f t="shared" si="57"/>
        <v>42460</v>
      </c>
    </row>
    <row r="417" spans="1:36" ht="12.75" customHeight="1">
      <c r="A417" s="8">
        <v>42489</v>
      </c>
      <c r="B417" s="8" t="s">
        <v>136</v>
      </c>
      <c r="C417" s="6" t="s">
        <v>300</v>
      </c>
      <c r="D417" s="374">
        <v>5836690.6399999997</v>
      </c>
      <c r="E417" s="9" t="e">
        <f t="shared" si="58"/>
        <v>#DIV/0!</v>
      </c>
      <c r="F417" s="47">
        <v>5</v>
      </c>
      <c r="G417" s="47">
        <v>0</v>
      </c>
      <c r="H417" s="47">
        <v>0</v>
      </c>
      <c r="I417" s="47">
        <v>0</v>
      </c>
      <c r="J417" s="98"/>
      <c r="K417" s="93"/>
      <c r="L417" s="93">
        <f t="shared" si="53"/>
        <v>0</v>
      </c>
      <c r="M417" s="95" t="e">
        <f t="shared" ca="1" si="54"/>
        <v>#DIV/0!</v>
      </c>
      <c r="N417" s="95">
        <f>IF(P417="Hedge Fund",IF(A417=Summary!$AD$3,M417-E417,M417),IF(A417=Summary!$AD$3,L417-D417,L417))</f>
        <v>0</v>
      </c>
      <c r="O417" s="95">
        <f t="shared" ref="O417:O448" si="59">N417</f>
        <v>0</v>
      </c>
      <c r="P417" s="89" t="s">
        <v>155</v>
      </c>
      <c r="Q417" s="107">
        <v>0</v>
      </c>
      <c r="R417" s="107">
        <v>0</v>
      </c>
      <c r="S417" s="89">
        <v>0</v>
      </c>
      <c r="T417" s="89">
        <v>0</v>
      </c>
      <c r="U417" s="89"/>
      <c r="V417" s="89"/>
      <c r="W417" s="89"/>
      <c r="X417" s="89"/>
      <c r="Y417" s="89"/>
      <c r="Z417" s="89"/>
      <c r="AA417" s="89"/>
      <c r="AB417" s="89"/>
      <c r="AC417" s="355"/>
      <c r="AD417" s="355"/>
      <c r="AE417" s="355"/>
      <c r="AF417" s="94">
        <f t="shared" si="55"/>
        <v>42489</v>
      </c>
      <c r="AG417" s="185">
        <f t="shared" si="51"/>
        <v>1.303433995793335E-2</v>
      </c>
      <c r="AH417" s="339" t="str">
        <f>VLOOKUP(B417,'MF PF'!A:B,2)</f>
        <v>FdMgt1</v>
      </c>
      <c r="AI417" s="358">
        <f t="shared" si="56"/>
        <v>0</v>
      </c>
      <c r="AJ417" s="94">
        <f t="shared" si="57"/>
        <v>42490</v>
      </c>
    </row>
    <row r="418" spans="1:36" ht="12.75" customHeight="1">
      <c r="A418" s="94">
        <v>42521</v>
      </c>
      <c r="B418" s="94" t="s">
        <v>136</v>
      </c>
      <c r="C418" s="358" t="s">
        <v>300</v>
      </c>
      <c r="D418" s="374">
        <v>5990345.0099999998</v>
      </c>
      <c r="E418" s="9" t="e">
        <f t="shared" si="58"/>
        <v>#DIV/0!</v>
      </c>
      <c r="F418" s="47">
        <v>5</v>
      </c>
      <c r="G418" s="47">
        <v>0</v>
      </c>
      <c r="H418" s="47">
        <v>0</v>
      </c>
      <c r="I418" s="98">
        <v>0</v>
      </c>
      <c r="J418" s="98"/>
      <c r="L418" s="93">
        <f t="shared" si="53"/>
        <v>0</v>
      </c>
      <c r="M418" s="95" t="e">
        <f t="shared" ca="1" si="54"/>
        <v>#DIV/0!</v>
      </c>
      <c r="N418" s="95">
        <f>IF(P418="Hedge Fund",IF(A418=Summary!$AD$3,M418-E418,M418),IF(A418=Summary!$AD$3,L418-D418,L418))</f>
        <v>0</v>
      </c>
      <c r="O418" s="95">
        <f t="shared" si="59"/>
        <v>0</v>
      </c>
      <c r="P418" s="89" t="s">
        <v>155</v>
      </c>
      <c r="Q418" s="107">
        <v>0</v>
      </c>
      <c r="R418" s="89">
        <v>0</v>
      </c>
      <c r="S418" s="89">
        <v>0</v>
      </c>
      <c r="T418" s="89">
        <v>0</v>
      </c>
      <c r="U418" s="89"/>
      <c r="V418" s="89"/>
      <c r="W418" s="89"/>
      <c r="X418" s="89"/>
      <c r="Y418" s="89"/>
      <c r="Z418" s="89"/>
      <c r="AA418" s="89"/>
      <c r="AB418" s="89"/>
      <c r="AC418" s="355"/>
      <c r="AD418" s="355"/>
      <c r="AE418" s="355"/>
      <c r="AF418" s="94">
        <f t="shared" si="55"/>
        <v>42521</v>
      </c>
      <c r="AG418" s="185">
        <f t="shared" si="51"/>
        <v>2.6325597753455776E-2</v>
      </c>
      <c r="AH418" s="339" t="str">
        <f>VLOOKUP(B418,'MF PF'!A:B,2)</f>
        <v>FdMgt1</v>
      </c>
      <c r="AI418" s="358">
        <f t="shared" si="56"/>
        <v>0</v>
      </c>
      <c r="AJ418" s="94">
        <f t="shared" si="57"/>
        <v>42521</v>
      </c>
    </row>
    <row r="419" spans="1:36" ht="12.75" customHeight="1">
      <c r="A419" s="94">
        <v>42551</v>
      </c>
      <c r="B419" s="94" t="s">
        <v>136</v>
      </c>
      <c r="C419" s="358" t="s">
        <v>300</v>
      </c>
      <c r="D419" s="374">
        <v>6188571.9100000001</v>
      </c>
      <c r="E419" s="9" t="e">
        <f t="shared" si="58"/>
        <v>#DIV/0!</v>
      </c>
      <c r="F419" s="47">
        <v>5</v>
      </c>
      <c r="G419" s="47">
        <v>0</v>
      </c>
      <c r="H419" s="47">
        <v>0</v>
      </c>
      <c r="I419" s="98">
        <v>0</v>
      </c>
      <c r="J419" s="98"/>
      <c r="K419" s="93"/>
      <c r="L419" s="93">
        <f t="shared" si="53"/>
        <v>0</v>
      </c>
      <c r="M419" s="95" t="e">
        <f t="shared" ca="1" si="54"/>
        <v>#DIV/0!</v>
      </c>
      <c r="N419" s="95">
        <f>IF(P419="Hedge Fund",IF(A419=Summary!$AD$3,M419-E419,M419),IF(A419=Summary!$AD$3,L419-D419,L419))</f>
        <v>0</v>
      </c>
      <c r="O419" s="95">
        <f t="shared" si="59"/>
        <v>0</v>
      </c>
      <c r="P419" s="89" t="s">
        <v>155</v>
      </c>
      <c r="Q419" s="107">
        <v>0</v>
      </c>
      <c r="R419" s="107">
        <v>0</v>
      </c>
      <c r="S419" s="89">
        <v>0</v>
      </c>
      <c r="T419" s="89">
        <v>0</v>
      </c>
      <c r="U419" s="89"/>
      <c r="V419" s="89"/>
      <c r="W419" s="89"/>
      <c r="X419" s="89"/>
      <c r="Y419" s="89"/>
      <c r="Z419" s="89"/>
      <c r="AA419" s="89"/>
      <c r="AB419" s="89"/>
      <c r="AC419" s="355"/>
      <c r="AD419" s="355"/>
      <c r="AE419" s="355"/>
      <c r="AF419" s="94">
        <f t="shared" si="55"/>
        <v>42551</v>
      </c>
      <c r="AG419" s="185">
        <f t="shared" si="51"/>
        <v>3.3091065651325469E-2</v>
      </c>
      <c r="AH419" s="339" t="str">
        <f>VLOOKUP(B419,'MF PF'!A:B,2)</f>
        <v>FdMgt1</v>
      </c>
      <c r="AI419" s="358">
        <f t="shared" si="56"/>
        <v>0</v>
      </c>
      <c r="AJ419" s="94">
        <f t="shared" si="57"/>
        <v>42551</v>
      </c>
    </row>
    <row r="420" spans="1:36" ht="12.75" customHeight="1">
      <c r="A420" s="94">
        <v>42580</v>
      </c>
      <c r="B420" s="94" t="s">
        <v>136</v>
      </c>
      <c r="C420" s="358" t="s">
        <v>300</v>
      </c>
      <c r="D420" s="374">
        <v>6239692.8099999996</v>
      </c>
      <c r="E420" s="9" t="e">
        <f t="shared" si="58"/>
        <v>#DIV/0!</v>
      </c>
      <c r="F420" s="47">
        <v>5</v>
      </c>
      <c r="G420" s="47">
        <v>0</v>
      </c>
      <c r="H420" s="47">
        <v>0</v>
      </c>
      <c r="I420" s="47">
        <v>0</v>
      </c>
      <c r="J420" s="98"/>
      <c r="L420" s="93">
        <f t="shared" si="53"/>
        <v>0</v>
      </c>
      <c r="M420" s="95" t="e">
        <f t="shared" ca="1" si="54"/>
        <v>#DIV/0!</v>
      </c>
      <c r="N420" s="95">
        <f>IF(P420="Hedge Fund",IF(A420=Summary!$AD$3,M420-E420,M420),IF(A420=Summary!$AD$3,L420-D420,L420))</f>
        <v>0</v>
      </c>
      <c r="O420" s="95">
        <f t="shared" si="59"/>
        <v>0</v>
      </c>
      <c r="P420" s="89" t="s">
        <v>155</v>
      </c>
      <c r="Q420" s="107">
        <v>0</v>
      </c>
      <c r="R420" s="107">
        <v>0</v>
      </c>
      <c r="S420" s="89">
        <v>0</v>
      </c>
      <c r="T420" s="89">
        <v>0</v>
      </c>
      <c r="U420" s="89"/>
      <c r="V420" s="89"/>
      <c r="W420" s="89"/>
      <c r="X420" s="89"/>
      <c r="Y420" s="89"/>
      <c r="Z420" s="89"/>
      <c r="AA420" s="89"/>
      <c r="AB420" s="89"/>
      <c r="AC420" s="355"/>
      <c r="AD420" s="355"/>
      <c r="AE420" s="355"/>
      <c r="AF420" s="94">
        <f t="shared" si="55"/>
        <v>42580</v>
      </c>
      <c r="AG420" s="185">
        <f t="shared" si="51"/>
        <v>8.2605325983842182E-3</v>
      </c>
      <c r="AH420" s="339" t="str">
        <f>VLOOKUP(B420,'MF PF'!A:B,2)</f>
        <v>FdMgt1</v>
      </c>
      <c r="AI420" s="358">
        <f t="shared" si="56"/>
        <v>0</v>
      </c>
      <c r="AJ420" s="94">
        <f t="shared" si="57"/>
        <v>42582</v>
      </c>
    </row>
    <row r="421" spans="1:36" ht="12.75" customHeight="1">
      <c r="A421" s="8">
        <v>42613</v>
      </c>
      <c r="B421" s="94" t="s">
        <v>136</v>
      </c>
      <c r="C421" s="358" t="s">
        <v>300</v>
      </c>
      <c r="D421" s="374">
        <v>6229363.5899999999</v>
      </c>
      <c r="E421" s="9" t="e">
        <f t="shared" ref="E421:E443" si="60">D421/K421</f>
        <v>#DIV/0!</v>
      </c>
      <c r="F421" s="47">
        <v>5</v>
      </c>
      <c r="G421" s="47">
        <v>0</v>
      </c>
      <c r="H421" s="47">
        <v>0</v>
      </c>
      <c r="I421" s="98">
        <v>0</v>
      </c>
      <c r="J421" s="98"/>
      <c r="L421" s="93">
        <f t="shared" si="53"/>
        <v>0</v>
      </c>
      <c r="M421" s="95" t="e">
        <f t="shared" ca="1" si="54"/>
        <v>#DIV/0!</v>
      </c>
      <c r="N421" s="95">
        <f>IF(P421="Hedge Fund",IF(A421=Summary!$AD$3,M421-E421,M421),IF(A421=Summary!$AD$3,L421-D421,L421))</f>
        <v>0</v>
      </c>
      <c r="O421" s="95">
        <f t="shared" si="59"/>
        <v>0</v>
      </c>
      <c r="P421" s="89" t="s">
        <v>155</v>
      </c>
      <c r="Q421" s="107">
        <v>0</v>
      </c>
      <c r="R421" s="107">
        <v>0</v>
      </c>
      <c r="S421" s="89">
        <v>0</v>
      </c>
      <c r="T421" s="89">
        <v>0</v>
      </c>
      <c r="U421" s="89"/>
      <c r="V421" s="89"/>
      <c r="W421" s="89"/>
      <c r="X421" s="89"/>
      <c r="Y421" s="89"/>
      <c r="Z421" s="89"/>
      <c r="AA421" s="89"/>
      <c r="AB421" s="89"/>
      <c r="AC421" s="355"/>
      <c r="AD421" s="355"/>
      <c r="AE421" s="355"/>
      <c r="AF421" s="94">
        <f t="shared" si="55"/>
        <v>42613</v>
      </c>
      <c r="AG421" s="185">
        <f t="shared" si="51"/>
        <v>-1.655405212167782E-3</v>
      </c>
      <c r="AH421" s="339" t="str">
        <f>VLOOKUP(B421,'MF PF'!A:B,2)</f>
        <v>FdMgt1</v>
      </c>
      <c r="AI421" s="358">
        <f t="shared" si="56"/>
        <v>0</v>
      </c>
      <c r="AJ421" s="94">
        <f t="shared" si="57"/>
        <v>42613</v>
      </c>
    </row>
    <row r="422" spans="1:36" ht="12.75" customHeight="1">
      <c r="A422" s="94">
        <v>42643</v>
      </c>
      <c r="B422" s="94" t="s">
        <v>136</v>
      </c>
      <c r="C422" s="358" t="s">
        <v>300</v>
      </c>
      <c r="D422" s="374">
        <v>6528370.7300000004</v>
      </c>
      <c r="E422" s="9" t="e">
        <f t="shared" si="60"/>
        <v>#DIV/0!</v>
      </c>
      <c r="F422" s="98">
        <v>5</v>
      </c>
      <c r="G422" s="98">
        <v>0</v>
      </c>
      <c r="H422" s="98">
        <v>0</v>
      </c>
      <c r="I422" s="98">
        <v>0</v>
      </c>
      <c r="J422" s="98"/>
      <c r="K422" s="93"/>
      <c r="L422" s="93">
        <f t="shared" si="53"/>
        <v>0</v>
      </c>
      <c r="M422" s="95" t="e">
        <f t="shared" ca="1" si="54"/>
        <v>#DIV/0!</v>
      </c>
      <c r="N422" s="95">
        <f>IF(P422="Hedge Fund",IF(A422=Summary!$AD$3,M422-E422,M422),IF(A422=Summary!$AD$3,L422-D422,L422))</f>
        <v>0</v>
      </c>
      <c r="O422" s="95">
        <f t="shared" si="59"/>
        <v>0</v>
      </c>
      <c r="P422" s="107" t="s">
        <v>155</v>
      </c>
      <c r="Q422" s="107">
        <v>0</v>
      </c>
      <c r="R422" s="107">
        <v>0</v>
      </c>
      <c r="S422" s="107">
        <v>0</v>
      </c>
      <c r="T422" s="107">
        <v>0</v>
      </c>
      <c r="U422" s="107"/>
      <c r="V422" s="107"/>
      <c r="W422" s="107"/>
      <c r="X422" s="107"/>
      <c r="Y422" s="107"/>
      <c r="Z422" s="107"/>
      <c r="AA422" s="107"/>
      <c r="AB422" s="107"/>
      <c r="AC422" s="355"/>
      <c r="AD422" s="355"/>
      <c r="AE422" s="355"/>
      <c r="AF422" s="94">
        <f t="shared" si="55"/>
        <v>42643</v>
      </c>
      <c r="AG422" s="185">
        <f t="shared" si="51"/>
        <v>4.7999628803172989E-2</v>
      </c>
      <c r="AH422" s="339" t="str">
        <f>VLOOKUP(B422,'MF PF'!A:B,2)</f>
        <v>FdMgt1</v>
      </c>
      <c r="AI422" s="358">
        <f t="shared" si="56"/>
        <v>0</v>
      </c>
      <c r="AJ422" s="94">
        <f t="shared" si="57"/>
        <v>42643</v>
      </c>
    </row>
    <row r="423" spans="1:36" ht="12.75" customHeight="1">
      <c r="A423" s="94">
        <v>42674</v>
      </c>
      <c r="B423" s="94" t="s">
        <v>136</v>
      </c>
      <c r="C423" s="358" t="s">
        <v>300</v>
      </c>
      <c r="D423" s="374">
        <v>6756982.9299999997</v>
      </c>
      <c r="E423" s="9" t="e">
        <f t="shared" si="60"/>
        <v>#DIV/0!</v>
      </c>
      <c r="F423" s="98">
        <v>5</v>
      </c>
      <c r="G423" s="98">
        <v>0</v>
      </c>
      <c r="H423" s="98">
        <v>0</v>
      </c>
      <c r="I423" s="98">
        <v>0</v>
      </c>
      <c r="J423" s="98"/>
      <c r="K423" s="93"/>
      <c r="L423" s="93">
        <f t="shared" si="53"/>
        <v>0</v>
      </c>
      <c r="M423" s="95" t="e">
        <f t="shared" ca="1" si="54"/>
        <v>#DIV/0!</v>
      </c>
      <c r="N423" s="95">
        <f>IF(P423="Hedge Fund",IF(A423=Summary!$AD$3,M423-E423,M423),IF(A423=Summary!$AD$3,L423-D423,L423))</f>
        <v>0</v>
      </c>
      <c r="O423" s="95">
        <f t="shared" si="59"/>
        <v>0</v>
      </c>
      <c r="P423" s="107" t="s">
        <v>155</v>
      </c>
      <c r="Q423" s="107">
        <v>0</v>
      </c>
      <c r="R423" s="107">
        <v>0</v>
      </c>
      <c r="S423" s="107">
        <v>0</v>
      </c>
      <c r="T423" s="107">
        <v>0</v>
      </c>
      <c r="U423" s="107"/>
      <c r="V423" s="107"/>
      <c r="W423" s="107"/>
      <c r="X423" s="107"/>
      <c r="Y423" s="107"/>
      <c r="Z423" s="107"/>
      <c r="AA423" s="107"/>
      <c r="AB423" s="107"/>
      <c r="AC423" s="355"/>
      <c r="AD423" s="355"/>
      <c r="AE423" s="355"/>
      <c r="AF423" s="94">
        <f t="shared" si="55"/>
        <v>42674</v>
      </c>
      <c r="AG423" s="185">
        <f t="shared" si="51"/>
        <v>3.5018262512184206E-2</v>
      </c>
      <c r="AH423" s="339" t="str">
        <f>VLOOKUP(B423,'MF PF'!A:B,2)</f>
        <v>FdMgt1</v>
      </c>
      <c r="AI423" s="358">
        <f t="shared" si="56"/>
        <v>0</v>
      </c>
      <c r="AJ423" s="94">
        <f t="shared" si="57"/>
        <v>42674</v>
      </c>
    </row>
    <row r="424" spans="1:36" ht="12.75" customHeight="1">
      <c r="A424" s="8">
        <v>42704</v>
      </c>
      <c r="B424" s="94" t="s">
        <v>136</v>
      </c>
      <c r="C424" s="358" t="s">
        <v>300</v>
      </c>
      <c r="D424" s="374">
        <v>6792676.2999999998</v>
      </c>
      <c r="E424" s="9" t="e">
        <f t="shared" si="60"/>
        <v>#DIV/0!</v>
      </c>
      <c r="F424" s="47">
        <v>5</v>
      </c>
      <c r="G424" s="47">
        <v>0</v>
      </c>
      <c r="H424" s="47">
        <v>0</v>
      </c>
      <c r="I424" s="47">
        <v>0</v>
      </c>
      <c r="J424" s="98"/>
      <c r="L424" s="93">
        <f t="shared" si="53"/>
        <v>0</v>
      </c>
      <c r="M424" s="95" t="e">
        <f t="shared" ca="1" si="54"/>
        <v>#DIV/0!</v>
      </c>
      <c r="N424" s="95">
        <f>IF(P424="Hedge Fund",IF(A424=Summary!$AD$3,M424-E424,M424),IF(A424=Summary!$AD$3,L424-D424,L424))</f>
        <v>0</v>
      </c>
      <c r="O424" s="95">
        <f t="shared" si="59"/>
        <v>0</v>
      </c>
      <c r="P424" s="89" t="s">
        <v>155</v>
      </c>
      <c r="Q424" s="107">
        <v>0</v>
      </c>
      <c r="R424" s="107">
        <v>0</v>
      </c>
      <c r="S424" s="89">
        <v>0</v>
      </c>
      <c r="T424" s="89">
        <v>0</v>
      </c>
      <c r="U424" s="89"/>
      <c r="V424" s="89"/>
      <c r="W424" s="89"/>
      <c r="X424" s="89"/>
      <c r="Y424" s="89"/>
      <c r="Z424" s="89"/>
      <c r="AA424" s="89"/>
      <c r="AB424" s="89"/>
      <c r="AC424" s="355"/>
      <c r="AD424" s="355"/>
      <c r="AE424" s="355"/>
      <c r="AF424" s="94">
        <f t="shared" si="55"/>
        <v>42704</v>
      </c>
      <c r="AG424" s="185">
        <f t="shared" si="51"/>
        <v>5.2824419374402076E-3</v>
      </c>
      <c r="AH424" s="339" t="str">
        <f>VLOOKUP(B424,'MF PF'!A:B,2)</f>
        <v>FdMgt1</v>
      </c>
      <c r="AI424" s="358">
        <f t="shared" si="56"/>
        <v>0</v>
      </c>
      <c r="AJ424" s="94">
        <f t="shared" si="57"/>
        <v>42704</v>
      </c>
    </row>
    <row r="425" spans="1:36" ht="12.75" customHeight="1">
      <c r="A425" s="94">
        <v>42734</v>
      </c>
      <c r="B425" s="94" t="s">
        <v>136</v>
      </c>
      <c r="C425" s="358" t="s">
        <v>300</v>
      </c>
      <c r="D425" s="374">
        <v>6739588.5099999998</v>
      </c>
      <c r="E425" s="9" t="e">
        <f t="shared" si="60"/>
        <v>#DIV/0!</v>
      </c>
      <c r="F425" s="98">
        <v>5</v>
      </c>
      <c r="G425" s="98">
        <v>0</v>
      </c>
      <c r="H425" s="98">
        <v>0</v>
      </c>
      <c r="I425" s="98">
        <v>0</v>
      </c>
      <c r="J425" s="98"/>
      <c r="K425" s="93"/>
      <c r="L425" s="93">
        <f t="shared" si="53"/>
        <v>0</v>
      </c>
      <c r="M425" s="95" t="e">
        <f t="shared" ca="1" si="54"/>
        <v>#DIV/0!</v>
      </c>
      <c r="N425" s="95">
        <f>IF(P425="Hedge Fund",IF(A425=Summary!$AD$3,M425-E425,M425),IF(A425=Summary!$AD$3,L425-D425,L425))</f>
        <v>0</v>
      </c>
      <c r="O425" s="95">
        <f t="shared" si="59"/>
        <v>0</v>
      </c>
      <c r="P425" s="107" t="s">
        <v>155</v>
      </c>
      <c r="Q425" s="107">
        <v>0</v>
      </c>
      <c r="R425" s="107">
        <v>0</v>
      </c>
      <c r="S425" s="107">
        <v>0</v>
      </c>
      <c r="T425" s="107">
        <v>0</v>
      </c>
      <c r="U425" s="107"/>
      <c r="V425" s="107"/>
      <c r="W425" s="107"/>
      <c r="X425" s="107"/>
      <c r="Y425" s="107"/>
      <c r="Z425" s="107"/>
      <c r="AA425" s="107"/>
      <c r="AB425" s="107"/>
      <c r="AC425" s="355"/>
      <c r="AD425" s="355"/>
      <c r="AE425" s="355"/>
      <c r="AF425" s="94">
        <f t="shared" si="55"/>
        <v>42734</v>
      </c>
      <c r="AG425" s="185">
        <f t="shared" si="51"/>
        <v>-7.8154452906875616E-3</v>
      </c>
      <c r="AH425" s="339" t="str">
        <f>VLOOKUP(B425,'MF PF'!A:B,2)</f>
        <v>FdMgt1</v>
      </c>
      <c r="AI425" s="358">
        <f t="shared" si="56"/>
        <v>0</v>
      </c>
      <c r="AJ425" s="94">
        <f t="shared" si="57"/>
        <v>42735</v>
      </c>
    </row>
    <row r="426" spans="1:36" ht="12.75" customHeight="1">
      <c r="A426" s="94">
        <v>42762</v>
      </c>
      <c r="B426" s="94" t="s">
        <v>136</v>
      </c>
      <c r="C426" s="92" t="s">
        <v>300</v>
      </c>
      <c r="D426" s="374">
        <v>6837463.5599999996</v>
      </c>
      <c r="E426" s="9" t="e">
        <f t="shared" si="60"/>
        <v>#DIV/0!</v>
      </c>
      <c r="F426" s="98">
        <v>5</v>
      </c>
      <c r="G426" s="98">
        <v>0</v>
      </c>
      <c r="H426" s="98">
        <v>-9.3132257461547852E-10</v>
      </c>
      <c r="I426" s="98">
        <v>0</v>
      </c>
      <c r="J426" s="98"/>
      <c r="K426" s="93"/>
      <c r="L426" s="93">
        <f t="shared" si="53"/>
        <v>-9.3132257461547852E-10</v>
      </c>
      <c r="M426" s="95" t="e">
        <f t="shared" ca="1" si="54"/>
        <v>#DIV/0!</v>
      </c>
      <c r="N426" s="95">
        <f>IF(P426="Hedge Fund",IF(A426=Summary!$AD$3,M426-E426,M426),IF(A426=Summary!$AD$3,L426-D426,L426))</f>
        <v>-9.3132257461547852E-10</v>
      </c>
      <c r="O426" s="95">
        <f t="shared" si="59"/>
        <v>-9.3132257461547852E-10</v>
      </c>
      <c r="P426" s="107" t="s">
        <v>155</v>
      </c>
      <c r="Q426" s="107">
        <v>0</v>
      </c>
      <c r="R426" s="107">
        <v>0</v>
      </c>
      <c r="S426" s="107">
        <v>0</v>
      </c>
      <c r="T426" s="107">
        <v>0</v>
      </c>
      <c r="U426" s="107"/>
      <c r="V426" s="107"/>
      <c r="W426" s="107"/>
      <c r="X426" s="107"/>
      <c r="Y426" s="107"/>
      <c r="Z426" s="107"/>
      <c r="AA426" s="107"/>
      <c r="AB426" s="107"/>
      <c r="AC426" s="355"/>
      <c r="AD426" s="355"/>
      <c r="AE426" s="355"/>
      <c r="AF426" s="94">
        <f t="shared" si="55"/>
        <v>42762</v>
      </c>
      <c r="AG426" s="185">
        <f t="shared" si="51"/>
        <v>1.452240739249544E-2</v>
      </c>
      <c r="AH426" s="339" t="str">
        <f>VLOOKUP(B426,'MF PF'!A:B,2)</f>
        <v>FdMgt1</v>
      </c>
      <c r="AI426" s="358">
        <f t="shared" si="56"/>
        <v>0</v>
      </c>
      <c r="AJ426" s="94">
        <f t="shared" si="57"/>
        <v>42766</v>
      </c>
    </row>
    <row r="427" spans="1:36" ht="12.75" customHeight="1">
      <c r="A427" s="8">
        <v>42794</v>
      </c>
      <c r="B427" s="94" t="s">
        <v>136</v>
      </c>
      <c r="C427" s="6" t="s">
        <v>300</v>
      </c>
      <c r="D427" s="374">
        <v>7144092.5800000001</v>
      </c>
      <c r="E427" s="9" t="e">
        <f t="shared" si="60"/>
        <v>#DIV/0!</v>
      </c>
      <c r="F427" s="98">
        <v>5</v>
      </c>
      <c r="G427" s="98">
        <v>0</v>
      </c>
      <c r="H427" s="98">
        <v>0</v>
      </c>
      <c r="I427" s="98">
        <v>0</v>
      </c>
      <c r="J427" s="98"/>
      <c r="K427" s="93"/>
      <c r="L427" s="93">
        <f t="shared" si="53"/>
        <v>0</v>
      </c>
      <c r="M427" s="95" t="e">
        <f t="shared" ca="1" si="54"/>
        <v>#DIV/0!</v>
      </c>
      <c r="N427" s="95">
        <f>IF(P427="Hedge Fund",IF(A427=Summary!$AD$3,M427-E427,M427),IF(A427=Summary!$AD$3,L427-D427,L427))</f>
        <v>0</v>
      </c>
      <c r="O427" s="95">
        <f t="shared" si="59"/>
        <v>0</v>
      </c>
      <c r="P427" s="107" t="s">
        <v>155</v>
      </c>
      <c r="Q427" s="107">
        <v>0</v>
      </c>
      <c r="R427" s="107">
        <v>0</v>
      </c>
      <c r="S427" s="107">
        <v>0</v>
      </c>
      <c r="T427" s="107">
        <v>0</v>
      </c>
      <c r="U427" s="107"/>
      <c r="V427" s="107"/>
      <c r="W427" s="107"/>
      <c r="X427" s="107"/>
      <c r="Y427" s="107"/>
      <c r="Z427" s="107"/>
      <c r="AA427" s="107"/>
      <c r="AB427" s="107"/>
      <c r="AC427" s="355"/>
      <c r="AD427" s="355"/>
      <c r="AE427" s="355"/>
      <c r="AF427" s="94">
        <f t="shared" si="55"/>
        <v>42794</v>
      </c>
      <c r="AG427" s="185">
        <f t="shared" si="51"/>
        <v>4.4845433881917529E-2</v>
      </c>
      <c r="AH427" s="339" t="str">
        <f>VLOOKUP(B427,'MF PF'!A:B,2)</f>
        <v>FdMgt1</v>
      </c>
      <c r="AI427" s="358">
        <f t="shared" si="56"/>
        <v>0</v>
      </c>
      <c r="AJ427" s="94">
        <f t="shared" si="57"/>
        <v>42794</v>
      </c>
    </row>
    <row r="428" spans="1:36" ht="12.75" customHeight="1">
      <c r="A428" s="8">
        <v>42825</v>
      </c>
      <c r="B428" s="94" t="s">
        <v>136</v>
      </c>
      <c r="C428" s="92" t="s">
        <v>300</v>
      </c>
      <c r="D428" s="374">
        <v>7072450.0800000001</v>
      </c>
      <c r="E428" s="9" t="e">
        <f t="shared" si="60"/>
        <v>#DIV/0!</v>
      </c>
      <c r="F428" s="47">
        <v>5</v>
      </c>
      <c r="G428" s="47">
        <v>0</v>
      </c>
      <c r="H428" s="47">
        <v>-9.3132257461547852E-10</v>
      </c>
      <c r="I428" s="98">
        <v>0</v>
      </c>
      <c r="J428" s="98"/>
      <c r="K428" s="93"/>
      <c r="L428" s="93">
        <f t="shared" si="53"/>
        <v>-9.3132257461547852E-10</v>
      </c>
      <c r="M428" s="95" t="e">
        <f t="shared" ca="1" si="54"/>
        <v>#DIV/0!</v>
      </c>
      <c r="N428" s="95">
        <f>IF(P428="Hedge Fund",IF(A428=Summary!$AD$3,M428-E428,M428),IF(A428=Summary!$AD$3,L428-D428,L428))</f>
        <v>-9.3132257461547852E-10</v>
      </c>
      <c r="O428" s="95">
        <f t="shared" si="59"/>
        <v>-9.3132257461547852E-10</v>
      </c>
      <c r="P428" s="89" t="s">
        <v>155</v>
      </c>
      <c r="Q428" s="107">
        <v>0</v>
      </c>
      <c r="R428" s="107">
        <v>0</v>
      </c>
      <c r="S428" s="89">
        <v>0</v>
      </c>
      <c r="T428" s="89">
        <v>0</v>
      </c>
      <c r="U428" s="89"/>
      <c r="V428" s="89"/>
      <c r="W428" s="89"/>
      <c r="X428" s="89"/>
      <c r="Y428" s="89"/>
      <c r="Z428" s="89"/>
      <c r="AA428" s="89"/>
      <c r="AB428" s="89"/>
      <c r="AC428" s="355"/>
      <c r="AD428" s="355"/>
      <c r="AE428" s="355"/>
      <c r="AF428" s="94">
        <f t="shared" si="55"/>
        <v>42825</v>
      </c>
      <c r="AG428" s="185">
        <f t="shared" si="51"/>
        <v>-1.0028215507811744E-2</v>
      </c>
      <c r="AH428" s="339" t="str">
        <f>VLOOKUP(B428,'MF PF'!A:B,2)</f>
        <v>FdMgt1</v>
      </c>
      <c r="AI428" s="358">
        <f t="shared" si="56"/>
        <v>0</v>
      </c>
      <c r="AJ428" s="94">
        <f t="shared" si="57"/>
        <v>42825</v>
      </c>
    </row>
    <row r="429" spans="1:36" ht="12.75" customHeight="1">
      <c r="A429" s="94">
        <v>42853</v>
      </c>
      <c r="B429" s="94" t="s">
        <v>136</v>
      </c>
      <c r="C429" s="358" t="s">
        <v>300</v>
      </c>
      <c r="D429" s="374">
        <v>7039290.3599999994</v>
      </c>
      <c r="E429" s="9" t="e">
        <f t="shared" si="60"/>
        <v>#DIV/0!</v>
      </c>
      <c r="F429" s="47">
        <v>5</v>
      </c>
      <c r="G429" s="47">
        <v>0</v>
      </c>
      <c r="H429" s="47">
        <v>0</v>
      </c>
      <c r="I429" s="98">
        <v>0</v>
      </c>
      <c r="J429" s="98"/>
      <c r="K429" s="93"/>
      <c r="L429" s="93">
        <f t="shared" si="53"/>
        <v>0</v>
      </c>
      <c r="M429" s="95" t="e">
        <f t="shared" ca="1" si="54"/>
        <v>#DIV/0!</v>
      </c>
      <c r="N429" s="95">
        <f>IF(P429="Hedge Fund",IF(A429=Summary!$AD$3,M429-E429,M429),IF(A429=Summary!$AD$3,L429-D429,L429))</f>
        <v>0</v>
      </c>
      <c r="O429" s="9">
        <f t="shared" si="59"/>
        <v>0</v>
      </c>
      <c r="P429" s="89" t="s">
        <v>155</v>
      </c>
      <c r="Q429" s="107">
        <v>0</v>
      </c>
      <c r="R429" s="107">
        <v>0</v>
      </c>
      <c r="S429" s="89">
        <v>0</v>
      </c>
      <c r="T429" s="89">
        <v>0</v>
      </c>
      <c r="U429" s="89"/>
      <c r="V429" s="89"/>
      <c r="W429" s="89"/>
      <c r="X429" s="89"/>
      <c r="Y429" s="89"/>
      <c r="Z429" s="89"/>
      <c r="AA429" s="89"/>
      <c r="AB429" s="89"/>
      <c r="AC429" s="355"/>
      <c r="AD429" s="355"/>
      <c r="AE429" s="355"/>
      <c r="AF429" s="94">
        <f t="shared" si="55"/>
        <v>42853</v>
      </c>
      <c r="AG429" s="185">
        <f t="shared" si="51"/>
        <v>-4.6885760415293909E-3</v>
      </c>
      <c r="AH429" s="339" t="str">
        <f>VLOOKUP(B429,'MF PF'!A:B,2)</f>
        <v>FdMgt1</v>
      </c>
      <c r="AI429" s="358">
        <f t="shared" si="56"/>
        <v>0</v>
      </c>
      <c r="AJ429" s="94">
        <f t="shared" si="57"/>
        <v>42855</v>
      </c>
    </row>
    <row r="430" spans="1:36" ht="12.75" customHeight="1">
      <c r="A430" s="94">
        <v>42886</v>
      </c>
      <c r="B430" s="94" t="s">
        <v>136</v>
      </c>
      <c r="C430" s="358" t="s">
        <v>300</v>
      </c>
      <c r="D430" s="374">
        <v>6852835.1900000004</v>
      </c>
      <c r="E430" s="9" t="e">
        <f t="shared" si="60"/>
        <v>#DIV/0!</v>
      </c>
      <c r="F430" s="47">
        <v>5</v>
      </c>
      <c r="G430" s="47">
        <v>0</v>
      </c>
      <c r="H430" s="47">
        <v>0</v>
      </c>
      <c r="I430" s="98">
        <v>0</v>
      </c>
      <c r="J430" s="98"/>
      <c r="L430" s="93">
        <f t="shared" si="53"/>
        <v>0</v>
      </c>
      <c r="M430" s="95" t="e">
        <f t="shared" ca="1" si="54"/>
        <v>#DIV/0!</v>
      </c>
      <c r="N430" s="95">
        <f>IF(P430="Hedge Fund",IF(A430=Summary!$AD$3,M430-E430,M430),IF(A430=Summary!$AD$3,L430-D430,L430))</f>
        <v>0</v>
      </c>
      <c r="O430" s="95">
        <f t="shared" si="59"/>
        <v>0</v>
      </c>
      <c r="P430" s="89" t="s">
        <v>155</v>
      </c>
      <c r="Q430" s="89">
        <v>0</v>
      </c>
      <c r="R430" s="89">
        <v>0</v>
      </c>
      <c r="S430" s="89">
        <v>0</v>
      </c>
      <c r="T430" s="89">
        <v>0</v>
      </c>
      <c r="U430" s="89"/>
      <c r="V430" s="89"/>
      <c r="W430" s="89"/>
      <c r="X430" s="89"/>
      <c r="Y430" s="89"/>
      <c r="Z430" s="89"/>
      <c r="AA430" s="89"/>
      <c r="AB430" s="89"/>
      <c r="AC430" s="355"/>
      <c r="AD430" s="355"/>
      <c r="AE430" s="355"/>
      <c r="AF430" s="94">
        <f t="shared" si="55"/>
        <v>42886</v>
      </c>
      <c r="AG430" s="185">
        <f t="shared" si="51"/>
        <v>-2.6487779373260412E-2</v>
      </c>
      <c r="AH430" s="339" t="str">
        <f>VLOOKUP(B430,'MF PF'!A:B,2)</f>
        <v>FdMgt1</v>
      </c>
      <c r="AI430" s="358">
        <f t="shared" si="56"/>
        <v>0</v>
      </c>
      <c r="AJ430" s="94">
        <f t="shared" si="57"/>
        <v>42886</v>
      </c>
    </row>
    <row r="431" spans="1:36" ht="12.75" customHeight="1">
      <c r="A431" s="94">
        <v>42916</v>
      </c>
      <c r="B431" s="94" t="s">
        <v>136</v>
      </c>
      <c r="C431" s="92" t="s">
        <v>300</v>
      </c>
      <c r="D431" s="374">
        <v>7108090.79</v>
      </c>
      <c r="E431" s="9" t="e">
        <f t="shared" si="60"/>
        <v>#DIV/0!</v>
      </c>
      <c r="F431" s="47">
        <v>5</v>
      </c>
      <c r="G431" s="47">
        <v>0</v>
      </c>
      <c r="H431" s="47">
        <v>0</v>
      </c>
      <c r="I431" s="98">
        <v>0</v>
      </c>
      <c r="J431" s="98"/>
      <c r="K431" s="93"/>
      <c r="L431" s="93">
        <f t="shared" si="53"/>
        <v>0</v>
      </c>
      <c r="M431" s="95" t="e">
        <f t="shared" ca="1" si="54"/>
        <v>#DIV/0!</v>
      </c>
      <c r="N431" s="95">
        <f>IF(P431="Hedge Fund",IF(A431=Summary!$AD$3,M431-E431,M431),IF(A431=Summary!$AD$3,L431-D431,L431))</f>
        <v>0</v>
      </c>
      <c r="O431" s="9">
        <f t="shared" si="59"/>
        <v>0</v>
      </c>
      <c r="P431" s="89" t="s">
        <v>155</v>
      </c>
      <c r="Q431" s="107">
        <v>0</v>
      </c>
      <c r="R431" s="107">
        <v>0</v>
      </c>
      <c r="S431" s="107">
        <v>0</v>
      </c>
      <c r="T431" s="107">
        <v>0</v>
      </c>
      <c r="U431" s="107"/>
      <c r="V431" s="107"/>
      <c r="W431" s="107"/>
      <c r="X431" s="107"/>
      <c r="Y431" s="89"/>
      <c r="Z431" s="89"/>
      <c r="AA431" s="89"/>
      <c r="AB431" s="89"/>
      <c r="AC431" s="355"/>
      <c r="AD431" s="355"/>
      <c r="AE431" s="355"/>
      <c r="AF431" s="94">
        <f t="shared" si="55"/>
        <v>42916</v>
      </c>
      <c r="AG431" s="185">
        <f t="shared" si="51"/>
        <v>3.7248174357451536E-2</v>
      </c>
      <c r="AH431" s="339" t="str">
        <f>VLOOKUP(B431,'MF PF'!A:B,2)</f>
        <v>FdMgt1</v>
      </c>
      <c r="AI431" s="358">
        <f t="shared" si="56"/>
        <v>0</v>
      </c>
      <c r="AJ431" s="94">
        <f t="shared" si="57"/>
        <v>42916</v>
      </c>
    </row>
    <row r="432" spans="1:36" ht="12.75" customHeight="1">
      <c r="A432" s="8">
        <v>42947</v>
      </c>
      <c r="B432" s="8" t="s">
        <v>136</v>
      </c>
      <c r="C432" s="6" t="s">
        <v>300</v>
      </c>
      <c r="D432" s="374">
        <v>7281360.5</v>
      </c>
      <c r="E432" s="9" t="e">
        <f t="shared" si="60"/>
        <v>#DIV/0!</v>
      </c>
      <c r="F432" s="47">
        <v>5</v>
      </c>
      <c r="G432" s="47">
        <v>0</v>
      </c>
      <c r="H432" s="47">
        <v>0</v>
      </c>
      <c r="I432" s="47">
        <v>0</v>
      </c>
      <c r="J432" s="98"/>
      <c r="K432" s="93"/>
      <c r="L432" s="93">
        <f t="shared" si="53"/>
        <v>0</v>
      </c>
      <c r="M432" s="95" t="e">
        <f t="shared" ca="1" si="54"/>
        <v>#DIV/0!</v>
      </c>
      <c r="N432" s="95">
        <f>IF(P432="Hedge Fund",IF(A432=Summary!$AD$3,M432-E432,M432),IF(A432=Summary!$AD$3,L432-D432,L432))</f>
        <v>0</v>
      </c>
      <c r="O432" s="95">
        <f t="shared" si="59"/>
        <v>0</v>
      </c>
      <c r="P432" s="89" t="s">
        <v>155</v>
      </c>
      <c r="Q432" s="107">
        <v>0</v>
      </c>
      <c r="R432" s="107">
        <v>0</v>
      </c>
      <c r="S432" s="89">
        <v>0</v>
      </c>
      <c r="T432" s="89">
        <v>0</v>
      </c>
      <c r="U432" s="89"/>
      <c r="V432" s="89"/>
      <c r="W432" s="89"/>
      <c r="X432" s="89"/>
      <c r="Y432" s="89"/>
      <c r="Z432" s="89"/>
      <c r="AA432" s="89"/>
      <c r="AB432" s="89"/>
      <c r="AC432" s="355"/>
      <c r="AD432" s="355"/>
      <c r="AE432" s="355"/>
      <c r="AF432" s="94">
        <f t="shared" si="55"/>
        <v>42947</v>
      </c>
      <c r="AG432" s="185">
        <f t="shared" si="51"/>
        <v>2.4376406424600594E-2</v>
      </c>
      <c r="AH432" s="339" t="str">
        <f>VLOOKUP(B432,'MF PF'!A:B,2)</f>
        <v>FdMgt1</v>
      </c>
      <c r="AI432" s="358">
        <f t="shared" si="56"/>
        <v>0</v>
      </c>
      <c r="AJ432" s="94">
        <f t="shared" si="57"/>
        <v>42947</v>
      </c>
    </row>
    <row r="433" spans="1:36" ht="12.75" customHeight="1">
      <c r="A433" s="94">
        <v>42978</v>
      </c>
      <c r="B433" s="8" t="s">
        <v>136</v>
      </c>
      <c r="C433" s="92" t="s">
        <v>300</v>
      </c>
      <c r="D433" s="374">
        <v>7341500</v>
      </c>
      <c r="E433" s="9" t="e">
        <f t="shared" si="60"/>
        <v>#DIV/0!</v>
      </c>
      <c r="F433" s="47">
        <v>5</v>
      </c>
      <c r="G433" s="47">
        <v>0</v>
      </c>
      <c r="H433" s="47">
        <v>0</v>
      </c>
      <c r="I433" s="47">
        <v>0</v>
      </c>
      <c r="J433" s="98"/>
      <c r="L433" s="93">
        <f t="shared" si="53"/>
        <v>0</v>
      </c>
      <c r="M433" s="95" t="e">
        <f t="shared" ca="1" si="54"/>
        <v>#DIV/0!</v>
      </c>
      <c r="N433" s="95">
        <f>IF(P433="Hedge Fund",IF(A433=Summary!$AD$3,M433-E433,M433),IF(A433=Summary!$AD$3,L433-D433,L433))</f>
        <v>0</v>
      </c>
      <c r="O433" s="9">
        <f t="shared" si="59"/>
        <v>0</v>
      </c>
      <c r="P433" s="89" t="s">
        <v>155</v>
      </c>
      <c r="Q433" s="107">
        <v>0</v>
      </c>
      <c r="R433" s="107">
        <v>0</v>
      </c>
      <c r="S433" s="89">
        <v>0</v>
      </c>
      <c r="T433" s="89">
        <v>0</v>
      </c>
      <c r="U433" s="89"/>
      <c r="V433" s="89"/>
      <c r="W433" s="89"/>
      <c r="X433" s="89"/>
      <c r="Y433" s="89"/>
      <c r="Z433" s="89"/>
      <c r="AA433" s="89"/>
      <c r="AB433" s="89"/>
      <c r="AC433" s="355"/>
      <c r="AD433" s="355"/>
      <c r="AE433" s="355"/>
      <c r="AF433" s="94">
        <f t="shared" si="55"/>
        <v>42978</v>
      </c>
      <c r="AG433" s="185">
        <f t="shared" si="51"/>
        <v>8.2593768019039171E-3</v>
      </c>
      <c r="AH433" s="339" t="str">
        <f>VLOOKUP(B433,'MF PF'!A:B,2)</f>
        <v>FdMgt1</v>
      </c>
      <c r="AI433" s="358">
        <f t="shared" si="56"/>
        <v>0</v>
      </c>
      <c r="AJ433" s="94">
        <f t="shared" si="57"/>
        <v>42978</v>
      </c>
    </row>
    <row r="434" spans="1:36" ht="12.75" customHeight="1">
      <c r="A434" s="94">
        <v>43007</v>
      </c>
      <c r="B434" s="94" t="s">
        <v>136</v>
      </c>
      <c r="C434" s="358" t="s">
        <v>300</v>
      </c>
      <c r="D434" s="374">
        <v>7288776.1186818518</v>
      </c>
      <c r="E434" s="9" t="e">
        <f t="shared" si="60"/>
        <v>#DIV/0!</v>
      </c>
      <c r="F434" s="47">
        <v>5</v>
      </c>
      <c r="G434" s="47">
        <v>0</v>
      </c>
      <c r="H434" s="47">
        <v>-9.3132257461547852E-10</v>
      </c>
      <c r="I434" s="98">
        <v>0</v>
      </c>
      <c r="J434" s="98"/>
      <c r="K434" s="93"/>
      <c r="L434" s="93">
        <f t="shared" si="53"/>
        <v>-9.3132257461547852E-10</v>
      </c>
      <c r="M434" s="95" t="e">
        <f t="shared" ca="1" si="54"/>
        <v>#DIV/0!</v>
      </c>
      <c r="N434" s="95">
        <f>IF(P434="Hedge Fund",IF(A434=Summary!$AD$3,M434-E434,M434),IF(A434=Summary!$AD$3,L434-D434,L434))</f>
        <v>-9.3132257461547852E-10</v>
      </c>
      <c r="O434" s="9">
        <f t="shared" si="59"/>
        <v>-9.3132257461547852E-10</v>
      </c>
      <c r="P434" s="89" t="s">
        <v>155</v>
      </c>
      <c r="Q434" s="107">
        <v>0</v>
      </c>
      <c r="R434" s="107">
        <v>0</v>
      </c>
      <c r="S434" s="89">
        <v>0</v>
      </c>
      <c r="T434" s="89">
        <v>0</v>
      </c>
      <c r="U434" s="89"/>
      <c r="V434" s="89"/>
      <c r="W434" s="89"/>
      <c r="X434" s="89"/>
      <c r="Y434" s="89"/>
      <c r="Z434" s="89"/>
      <c r="AA434" s="89"/>
      <c r="AB434" s="89"/>
      <c r="AC434" s="355"/>
      <c r="AD434" s="355"/>
      <c r="AE434" s="355"/>
      <c r="AF434" s="94">
        <f t="shared" si="55"/>
        <v>43007</v>
      </c>
      <c r="AG434" s="185">
        <f t="shared" si="51"/>
        <v>-7.1816224638217019E-3</v>
      </c>
      <c r="AH434" s="339" t="str">
        <f>VLOOKUP(B434,'MF PF'!A:B,2)</f>
        <v>FdMgt1</v>
      </c>
      <c r="AI434" s="358">
        <f t="shared" si="56"/>
        <v>0</v>
      </c>
      <c r="AJ434" s="94">
        <f t="shared" si="57"/>
        <v>43008</v>
      </c>
    </row>
    <row r="435" spans="1:36" ht="12.75" customHeight="1">
      <c r="A435" s="94">
        <v>43039</v>
      </c>
      <c r="B435" s="94" t="s">
        <v>136</v>
      </c>
      <c r="C435" s="358" t="s">
        <v>300</v>
      </c>
      <c r="D435" s="374">
        <v>7327900</v>
      </c>
      <c r="E435" s="9" t="e">
        <f t="shared" si="60"/>
        <v>#DIV/0!</v>
      </c>
      <c r="F435" s="47">
        <v>5</v>
      </c>
      <c r="G435" s="47">
        <v>0</v>
      </c>
      <c r="H435" s="47">
        <v>0</v>
      </c>
      <c r="I435" s="98">
        <v>0</v>
      </c>
      <c r="J435" s="98"/>
      <c r="L435" s="93">
        <f t="shared" si="53"/>
        <v>0</v>
      </c>
      <c r="M435" s="95" t="e">
        <f t="shared" ca="1" si="54"/>
        <v>#DIV/0!</v>
      </c>
      <c r="N435" s="95">
        <f>IF(P435="Hedge Fund",IF(A435=Summary!$AD$3,M435-E435,M435),IF(A435=Summary!$AD$3,L435-D435,L435))</f>
        <v>0</v>
      </c>
      <c r="O435" s="9">
        <f t="shared" si="59"/>
        <v>0</v>
      </c>
      <c r="P435" s="89" t="s">
        <v>155</v>
      </c>
      <c r="Q435" s="107">
        <v>0</v>
      </c>
      <c r="R435" s="107">
        <v>0</v>
      </c>
      <c r="S435" s="89">
        <v>0</v>
      </c>
      <c r="T435" s="89">
        <v>0</v>
      </c>
      <c r="U435" s="89"/>
      <c r="V435" s="89"/>
      <c r="W435" s="89"/>
      <c r="X435" s="89"/>
      <c r="Y435" s="89"/>
      <c r="Z435" s="89"/>
      <c r="AA435" s="89"/>
      <c r="AB435" s="89"/>
      <c r="AC435" s="355"/>
      <c r="AD435" s="355"/>
      <c r="AE435" s="355"/>
      <c r="AF435" s="94">
        <f t="shared" si="55"/>
        <v>43039</v>
      </c>
      <c r="AG435" s="185">
        <f t="shared" si="51"/>
        <v>5.3676887149640695E-3</v>
      </c>
      <c r="AH435" s="339" t="str">
        <f>VLOOKUP(B435,'MF PF'!A:B,2)</f>
        <v>FdMgt1</v>
      </c>
      <c r="AI435" s="358">
        <f t="shared" si="56"/>
        <v>0</v>
      </c>
      <c r="AJ435" s="94">
        <f t="shared" si="57"/>
        <v>43039</v>
      </c>
    </row>
    <row r="436" spans="1:36" s="92" customFormat="1" ht="12.75" customHeight="1">
      <c r="A436" s="94">
        <v>43069</v>
      </c>
      <c r="B436" s="94" t="s">
        <v>136</v>
      </c>
      <c r="C436" s="358" t="s">
        <v>300</v>
      </c>
      <c r="D436" s="374">
        <v>7354300</v>
      </c>
      <c r="E436" s="95" t="e">
        <f t="shared" si="60"/>
        <v>#DIV/0!</v>
      </c>
      <c r="F436" s="98">
        <v>5</v>
      </c>
      <c r="G436" s="98">
        <v>0</v>
      </c>
      <c r="H436" s="98">
        <v>0</v>
      </c>
      <c r="I436" s="98">
        <v>0</v>
      </c>
      <c r="J436" s="98"/>
      <c r="K436" s="93"/>
      <c r="L436" s="93">
        <f t="shared" si="53"/>
        <v>0</v>
      </c>
      <c r="M436" s="95" t="e">
        <f t="shared" ca="1" si="54"/>
        <v>#DIV/0!</v>
      </c>
      <c r="N436" s="95">
        <f>IF(P436="Hedge Fund",IF(A436=Summary!$AD$3,M436-E436,M436),IF(A436=Summary!$AD$3,L436-D436,L436))</f>
        <v>0</v>
      </c>
      <c r="O436" s="95">
        <f t="shared" si="59"/>
        <v>0</v>
      </c>
      <c r="P436" s="107" t="s">
        <v>155</v>
      </c>
      <c r="Q436" s="107">
        <v>0</v>
      </c>
      <c r="R436" s="107">
        <v>0</v>
      </c>
      <c r="S436" s="107">
        <v>0</v>
      </c>
      <c r="T436" s="107">
        <v>0</v>
      </c>
      <c r="U436" s="107"/>
      <c r="V436" s="107"/>
      <c r="W436" s="107"/>
      <c r="X436" s="107"/>
      <c r="Y436" s="107"/>
      <c r="Z436" s="107"/>
      <c r="AA436" s="107"/>
      <c r="AB436" s="107"/>
      <c r="AC436" s="355"/>
      <c r="AD436" s="355"/>
      <c r="AE436" s="355"/>
      <c r="AF436" s="94">
        <f t="shared" si="55"/>
        <v>43069</v>
      </c>
      <c r="AG436" s="185">
        <f t="shared" si="51"/>
        <v>3.6026692503992042E-3</v>
      </c>
      <c r="AH436" s="339" t="str">
        <f>VLOOKUP(B436,'MF PF'!A:B,2)</f>
        <v>FdMgt1</v>
      </c>
      <c r="AI436" s="358">
        <f t="shared" si="56"/>
        <v>0</v>
      </c>
      <c r="AJ436" s="94">
        <f t="shared" si="57"/>
        <v>43069</v>
      </c>
    </row>
    <row r="437" spans="1:36" ht="12.75" customHeight="1">
      <c r="A437" s="94">
        <v>43098</v>
      </c>
      <c r="B437" s="94" t="s">
        <v>136</v>
      </c>
      <c r="C437" s="358" t="s">
        <v>300</v>
      </c>
      <c r="D437" s="374">
        <v>7565000</v>
      </c>
      <c r="E437" s="9" t="e">
        <f t="shared" si="60"/>
        <v>#DIV/0!</v>
      </c>
      <c r="F437" s="47">
        <v>5</v>
      </c>
      <c r="G437" s="47">
        <v>0</v>
      </c>
      <c r="H437" s="47">
        <v>0</v>
      </c>
      <c r="I437" s="98">
        <v>0</v>
      </c>
      <c r="J437" s="98"/>
      <c r="K437" s="93"/>
      <c r="L437" s="93">
        <f t="shared" si="53"/>
        <v>0</v>
      </c>
      <c r="M437" s="95" t="e">
        <f t="shared" ca="1" si="54"/>
        <v>#DIV/0!</v>
      </c>
      <c r="N437" s="95">
        <f>IF(P437="Hedge Fund",IF(A437=Summary!$AD$3,M437-E437,M437),IF(A437=Summary!$AD$3,L437-D437,L437))</f>
        <v>0</v>
      </c>
      <c r="O437" s="95">
        <f t="shared" si="59"/>
        <v>0</v>
      </c>
      <c r="P437" s="89" t="s">
        <v>155</v>
      </c>
      <c r="Q437" s="107">
        <v>0</v>
      </c>
      <c r="R437" s="107">
        <v>0</v>
      </c>
      <c r="S437" s="89">
        <v>0</v>
      </c>
      <c r="T437" s="89">
        <v>0</v>
      </c>
      <c r="U437" s="89"/>
      <c r="V437" s="89"/>
      <c r="W437" s="89"/>
      <c r="X437" s="89"/>
      <c r="Y437" s="89"/>
      <c r="Z437" s="89"/>
      <c r="AA437" s="89"/>
      <c r="AB437" s="89"/>
      <c r="AC437" s="355"/>
      <c r="AD437" s="355"/>
      <c r="AE437" s="355"/>
      <c r="AF437" s="94">
        <f t="shared" si="55"/>
        <v>43098</v>
      </c>
      <c r="AG437" s="185">
        <f t="shared" si="51"/>
        <v>2.8649905497464045E-2</v>
      </c>
      <c r="AH437" s="339" t="str">
        <f>VLOOKUP(B437,'MF PF'!A:B,2)</f>
        <v>FdMgt1</v>
      </c>
      <c r="AI437" s="358">
        <f t="shared" si="56"/>
        <v>0</v>
      </c>
      <c r="AJ437" s="94">
        <f t="shared" si="57"/>
        <v>43100</v>
      </c>
    </row>
    <row r="438" spans="1:36" ht="12.75" customHeight="1">
      <c r="A438" s="94">
        <v>43131</v>
      </c>
      <c r="B438" s="94" t="s">
        <v>136</v>
      </c>
      <c r="C438" s="358" t="s">
        <v>300</v>
      </c>
      <c r="D438" s="374">
        <v>7650400</v>
      </c>
      <c r="E438" s="9" t="e">
        <f t="shared" si="60"/>
        <v>#DIV/0!</v>
      </c>
      <c r="F438" s="47">
        <v>5</v>
      </c>
      <c r="G438" s="47">
        <v>0</v>
      </c>
      <c r="H438" s="47">
        <v>0</v>
      </c>
      <c r="I438" s="98">
        <v>0</v>
      </c>
      <c r="J438" s="98"/>
      <c r="K438" s="93"/>
      <c r="L438" s="93">
        <f t="shared" si="53"/>
        <v>0</v>
      </c>
      <c r="M438" s="95" t="e">
        <f t="shared" ca="1" si="54"/>
        <v>#DIV/0!</v>
      </c>
      <c r="N438" s="95">
        <f>IF(P438="Hedge Fund",IF(A438=Summary!$AD$3,M438-E438,M438),IF(A438=Summary!$AD$3,L438-D438,L438))</f>
        <v>0</v>
      </c>
      <c r="O438" s="9">
        <f t="shared" si="59"/>
        <v>0</v>
      </c>
      <c r="P438" s="89" t="s">
        <v>155</v>
      </c>
      <c r="Q438" s="107">
        <v>0</v>
      </c>
      <c r="R438" s="107">
        <v>0</v>
      </c>
      <c r="S438" s="89">
        <v>0</v>
      </c>
      <c r="T438" s="89">
        <v>0</v>
      </c>
      <c r="U438" s="89"/>
      <c r="V438" s="89"/>
      <c r="W438" s="89"/>
      <c r="X438" s="89"/>
      <c r="Y438" s="89"/>
      <c r="Z438" s="89"/>
      <c r="AA438" s="89"/>
      <c r="AB438" s="89"/>
      <c r="AC438" s="355"/>
      <c r="AD438" s="355"/>
      <c r="AE438" s="355"/>
      <c r="AF438" s="94">
        <f t="shared" si="55"/>
        <v>43131</v>
      </c>
      <c r="AG438" s="185">
        <f t="shared" si="51"/>
        <v>1.1288830138797001E-2</v>
      </c>
      <c r="AH438" s="339" t="str">
        <f>VLOOKUP(B438,'MF PF'!A:B,2)</f>
        <v>FdMgt1</v>
      </c>
      <c r="AI438" s="358">
        <f t="shared" si="56"/>
        <v>0</v>
      </c>
      <c r="AJ438" s="94">
        <f t="shared" si="57"/>
        <v>43131</v>
      </c>
    </row>
    <row r="439" spans="1:36" ht="12.75" customHeight="1">
      <c r="A439" s="8">
        <v>43159</v>
      </c>
      <c r="B439" s="94" t="s">
        <v>136</v>
      </c>
      <c r="C439" s="358" t="s">
        <v>300</v>
      </c>
      <c r="D439" s="374">
        <v>7735560.9000000004</v>
      </c>
      <c r="E439" s="9" t="e">
        <f t="shared" si="60"/>
        <v>#DIV/0!</v>
      </c>
      <c r="F439" s="47">
        <v>5</v>
      </c>
      <c r="G439" s="47">
        <v>0</v>
      </c>
      <c r="H439" s="47">
        <v>0</v>
      </c>
      <c r="I439" s="98">
        <v>0</v>
      </c>
      <c r="J439" s="98"/>
      <c r="L439" s="93">
        <f t="shared" si="53"/>
        <v>0</v>
      </c>
      <c r="M439" s="95" t="e">
        <f t="shared" ca="1" si="54"/>
        <v>#DIV/0!</v>
      </c>
      <c r="N439" s="95">
        <f>IF(P439="Hedge Fund",IF(A439=Summary!$AD$3,M439-E439,M439),IF(A439=Summary!$AD$3,L439-D439,L439))</f>
        <v>0</v>
      </c>
      <c r="O439" s="9">
        <f t="shared" si="59"/>
        <v>0</v>
      </c>
      <c r="P439" s="89" t="s">
        <v>155</v>
      </c>
      <c r="Q439" s="107">
        <v>0</v>
      </c>
      <c r="R439" s="107">
        <v>0</v>
      </c>
      <c r="S439" s="89">
        <v>0</v>
      </c>
      <c r="T439" s="89">
        <v>0</v>
      </c>
      <c r="U439" s="89"/>
      <c r="V439" s="89"/>
      <c r="W439" s="89"/>
      <c r="X439" s="89"/>
      <c r="Y439" s="89"/>
      <c r="Z439" s="89"/>
      <c r="AA439" s="89"/>
      <c r="AB439" s="89"/>
      <c r="AC439" s="355"/>
      <c r="AD439" s="355"/>
      <c r="AE439" s="355"/>
      <c r="AF439" s="94">
        <f t="shared" si="55"/>
        <v>43159</v>
      </c>
      <c r="AG439" s="185">
        <f t="shared" si="51"/>
        <v>1.113156174840535E-2</v>
      </c>
      <c r="AH439" s="339" t="str">
        <f>VLOOKUP(B439,'MF PF'!A:B,2)</f>
        <v>FdMgt1</v>
      </c>
      <c r="AI439" s="358">
        <f t="shared" si="56"/>
        <v>0</v>
      </c>
      <c r="AJ439" s="94">
        <f t="shared" si="57"/>
        <v>43159</v>
      </c>
    </row>
    <row r="440" spans="1:36" ht="12.75" customHeight="1">
      <c r="A440" s="94">
        <v>43188</v>
      </c>
      <c r="B440" s="94" t="s">
        <v>136</v>
      </c>
      <c r="C440" s="358" t="s">
        <v>300</v>
      </c>
      <c r="D440" s="374">
        <v>7809241.6600000001</v>
      </c>
      <c r="E440" s="95" t="e">
        <f t="shared" si="60"/>
        <v>#DIV/0!</v>
      </c>
      <c r="F440" s="98">
        <v>5</v>
      </c>
      <c r="G440" s="98">
        <v>0</v>
      </c>
      <c r="H440" s="98">
        <v>0</v>
      </c>
      <c r="I440" s="98">
        <v>0</v>
      </c>
      <c r="J440" s="98"/>
      <c r="K440" s="93"/>
      <c r="L440" s="93">
        <f t="shared" si="53"/>
        <v>0</v>
      </c>
      <c r="M440" s="95" t="e">
        <f t="shared" ca="1" si="54"/>
        <v>#DIV/0!</v>
      </c>
      <c r="N440" s="95">
        <f>IF(P440="Hedge Fund",IF(A440=Summary!$AD$3,M440-E440,M440),IF(A440=Summary!$AD$3,L440-D440,L440))</f>
        <v>0</v>
      </c>
      <c r="O440" s="95">
        <f t="shared" si="59"/>
        <v>0</v>
      </c>
      <c r="P440" s="107" t="s">
        <v>155</v>
      </c>
      <c r="Q440" s="109">
        <v>0</v>
      </c>
      <c r="R440" s="109">
        <v>0</v>
      </c>
      <c r="S440" s="107">
        <v>0</v>
      </c>
      <c r="T440" s="107">
        <v>0</v>
      </c>
      <c r="U440" s="107"/>
      <c r="V440" s="107"/>
      <c r="W440" s="107"/>
      <c r="X440" s="107"/>
      <c r="Y440" s="107"/>
      <c r="Z440" s="107"/>
      <c r="AA440" s="107"/>
      <c r="AB440" s="107"/>
      <c r="AC440" s="355"/>
      <c r="AD440" s="355"/>
      <c r="AE440" s="355"/>
      <c r="AF440" s="94">
        <f t="shared" si="55"/>
        <v>43188</v>
      </c>
      <c r="AG440" s="185">
        <f t="shared" si="51"/>
        <v>9.5249408481807851E-3</v>
      </c>
      <c r="AH440" s="339" t="str">
        <f>VLOOKUP(B440,'MF PF'!A:B,2)</f>
        <v>FdMgt1</v>
      </c>
      <c r="AI440" s="358">
        <f t="shared" si="56"/>
        <v>0</v>
      </c>
      <c r="AJ440" s="94">
        <f t="shared" si="57"/>
        <v>43190</v>
      </c>
    </row>
    <row r="441" spans="1:36" ht="12.75" customHeight="1">
      <c r="A441" s="94">
        <v>43220</v>
      </c>
      <c r="B441" s="94" t="s">
        <v>136</v>
      </c>
      <c r="C441" s="358" t="s">
        <v>300</v>
      </c>
      <c r="D441" s="374">
        <v>7874016.6100000003</v>
      </c>
      <c r="E441" s="95" t="e">
        <f t="shared" si="60"/>
        <v>#DIV/0!</v>
      </c>
      <c r="F441" s="98">
        <v>5</v>
      </c>
      <c r="G441" s="98">
        <v>0</v>
      </c>
      <c r="H441" s="98">
        <v>0</v>
      </c>
      <c r="I441" s="98">
        <v>0</v>
      </c>
      <c r="J441" s="98"/>
      <c r="K441" s="93"/>
      <c r="L441" s="93">
        <f t="shared" si="53"/>
        <v>0</v>
      </c>
      <c r="M441" s="95" t="e">
        <f t="shared" ca="1" si="54"/>
        <v>#DIV/0!</v>
      </c>
      <c r="N441" s="95">
        <f>IF(P441="Hedge Fund",IF(A441=Summary!$AD$3,M441-E441,M441),IF(A441=Summary!$AD$3,L441-D441,L441))</f>
        <v>0</v>
      </c>
      <c r="O441" s="95">
        <f t="shared" si="59"/>
        <v>0</v>
      </c>
      <c r="P441" s="107" t="s">
        <v>155</v>
      </c>
      <c r="Q441" s="109">
        <v>0</v>
      </c>
      <c r="R441" s="109">
        <v>0</v>
      </c>
      <c r="S441" s="107">
        <v>0</v>
      </c>
      <c r="T441" s="107">
        <v>0</v>
      </c>
      <c r="U441" s="107"/>
      <c r="V441" s="107"/>
      <c r="W441" s="107"/>
      <c r="X441" s="107"/>
      <c r="Y441" s="107"/>
      <c r="Z441" s="107"/>
      <c r="AA441" s="107"/>
      <c r="AB441" s="107"/>
      <c r="AC441" s="355"/>
      <c r="AD441" s="355"/>
      <c r="AE441" s="355"/>
      <c r="AF441" s="94">
        <f t="shared" si="55"/>
        <v>43220</v>
      </c>
      <c r="AG441" s="185">
        <f t="shared" ref="AG441:AG504" si="61">IF(C441&lt;&gt;C440,D441/G441-1,(D441-G441-I441-H441)/(D440)-1)</f>
        <v>8.2946530303686927E-3</v>
      </c>
      <c r="AH441" s="339" t="str">
        <f>VLOOKUP(B441,'MF PF'!A:B,2)</f>
        <v>FdMgt1</v>
      </c>
      <c r="AI441" s="358">
        <f t="shared" si="56"/>
        <v>0</v>
      </c>
      <c r="AJ441" s="94">
        <f t="shared" si="57"/>
        <v>43220</v>
      </c>
    </row>
    <row r="442" spans="1:36" ht="12.75" customHeight="1">
      <c r="A442" s="8">
        <v>43251</v>
      </c>
      <c r="B442" s="358" t="s">
        <v>136</v>
      </c>
      <c r="C442" s="94" t="s">
        <v>300</v>
      </c>
      <c r="D442" s="374">
        <v>7931624.7199999997</v>
      </c>
      <c r="E442" s="9" t="e">
        <f t="shared" si="60"/>
        <v>#DIV/0!</v>
      </c>
      <c r="F442" s="98">
        <v>5</v>
      </c>
      <c r="G442" s="98">
        <v>0</v>
      </c>
      <c r="H442" s="98">
        <v>0</v>
      </c>
      <c r="I442" s="110">
        <v>0</v>
      </c>
      <c r="J442" s="110"/>
      <c r="K442" s="93"/>
      <c r="L442" s="93">
        <f t="shared" si="53"/>
        <v>0</v>
      </c>
      <c r="M442" s="95" t="e">
        <f t="shared" ca="1" si="54"/>
        <v>#DIV/0!</v>
      </c>
      <c r="N442" s="95">
        <f>IF(P442="Hedge Fund",IF(A442=Summary!$AD$3,M442-E442,M442),IF(A442=Summary!$AD$3,L442-D442,L442))</f>
        <v>0</v>
      </c>
      <c r="O442" s="95">
        <f t="shared" si="59"/>
        <v>0</v>
      </c>
      <c r="P442" s="107" t="s">
        <v>155</v>
      </c>
      <c r="Q442" s="109">
        <v>0</v>
      </c>
      <c r="R442" s="107">
        <v>0</v>
      </c>
      <c r="S442" s="107">
        <v>0</v>
      </c>
      <c r="T442" s="107">
        <v>0</v>
      </c>
      <c r="U442" s="107"/>
      <c r="V442" s="107"/>
      <c r="W442" s="107"/>
      <c r="X442" s="107"/>
      <c r="Y442" s="107"/>
      <c r="Z442" s="107"/>
      <c r="AA442" s="107"/>
      <c r="AB442" s="107"/>
      <c r="AC442" s="355"/>
      <c r="AD442" s="355"/>
      <c r="AE442" s="355"/>
      <c r="AF442" s="94">
        <f t="shared" si="55"/>
        <v>43251</v>
      </c>
      <c r="AG442" s="185">
        <f t="shared" si="61"/>
        <v>7.3162291690922476E-3</v>
      </c>
      <c r="AH442" s="339" t="str">
        <f>VLOOKUP(B442,'MF PF'!A:B,2)</f>
        <v>FdMgt1</v>
      </c>
      <c r="AI442" s="358">
        <f t="shared" si="56"/>
        <v>0</v>
      </c>
      <c r="AJ442" s="94">
        <f t="shared" si="57"/>
        <v>43251</v>
      </c>
    </row>
    <row r="443" spans="1:36" ht="12.75" customHeight="1">
      <c r="A443" s="8">
        <v>43280</v>
      </c>
      <c r="B443" s="358" t="s">
        <v>136</v>
      </c>
      <c r="C443" s="94" t="s">
        <v>300</v>
      </c>
      <c r="D443" s="374">
        <v>8016238.8499999996</v>
      </c>
      <c r="E443" s="95" t="e">
        <f t="shared" si="60"/>
        <v>#DIV/0!</v>
      </c>
      <c r="F443" s="98">
        <v>5</v>
      </c>
      <c r="G443" s="98">
        <v>0</v>
      </c>
      <c r="H443" s="98">
        <v>0</v>
      </c>
      <c r="I443" s="110">
        <v>0</v>
      </c>
      <c r="J443" s="110"/>
      <c r="K443" s="93"/>
      <c r="L443" s="93">
        <f t="shared" si="53"/>
        <v>0</v>
      </c>
      <c r="M443" s="95" t="e">
        <f t="shared" ca="1" si="54"/>
        <v>#DIV/0!</v>
      </c>
      <c r="N443" s="95">
        <f>IF(P443="Hedge Fund",IF(A443=Summary!$AD$3,M443-E443,M443),IF(A443=Summary!$AD$3,L443-D443,L443))</f>
        <v>0</v>
      </c>
      <c r="O443" s="9">
        <f t="shared" si="59"/>
        <v>0</v>
      </c>
      <c r="P443" s="107" t="s">
        <v>155</v>
      </c>
      <c r="Q443" s="109">
        <v>0</v>
      </c>
      <c r="R443" s="107">
        <v>0</v>
      </c>
      <c r="S443" s="107">
        <v>0</v>
      </c>
      <c r="T443" s="107">
        <v>0</v>
      </c>
      <c r="U443" s="107"/>
      <c r="V443" s="107"/>
      <c r="W443" s="107"/>
      <c r="X443" s="107"/>
      <c r="Y443" s="107"/>
      <c r="Z443" s="107"/>
      <c r="AA443" s="107"/>
      <c r="AB443" s="107"/>
      <c r="AC443" s="355"/>
      <c r="AD443" s="355"/>
      <c r="AE443" s="355"/>
      <c r="AF443" s="94">
        <f t="shared" si="55"/>
        <v>43280</v>
      </c>
      <c r="AG443" s="185">
        <f t="shared" si="61"/>
        <v>1.0667944209039604E-2</v>
      </c>
      <c r="AH443" s="339" t="str">
        <f>VLOOKUP(B443,'MF PF'!A:B,2)</f>
        <v>FdMgt1</v>
      </c>
      <c r="AI443" s="358">
        <f t="shared" si="56"/>
        <v>0</v>
      </c>
      <c r="AJ443" s="94">
        <f t="shared" si="57"/>
        <v>43281</v>
      </c>
    </row>
    <row r="444" spans="1:36" ht="12.75" customHeight="1">
      <c r="A444" s="94">
        <v>43312</v>
      </c>
      <c r="B444" s="358" t="s">
        <v>136</v>
      </c>
      <c r="C444" s="94" t="s">
        <v>300</v>
      </c>
      <c r="D444" s="374">
        <v>7971364.96</v>
      </c>
      <c r="E444" s="9" t="str">
        <f>IF(K444="","",D444/K444)</f>
        <v/>
      </c>
      <c r="F444" s="98">
        <v>5</v>
      </c>
      <c r="G444" s="98">
        <v>0</v>
      </c>
      <c r="H444" s="98">
        <v>0</v>
      </c>
      <c r="I444" s="98">
        <v>0</v>
      </c>
      <c r="J444" s="98"/>
      <c r="K444" s="93"/>
      <c r="L444" s="93">
        <f t="shared" si="53"/>
        <v>0</v>
      </c>
      <c r="M444" s="95" t="e">
        <f t="shared" ca="1" si="54"/>
        <v>#DIV/0!</v>
      </c>
      <c r="N444" s="95">
        <f>IF(P444="Hedge Fund",IF(A444=Summary!$AD$3,M444-E444,M444),IF(A444=Summary!$AD$3,L444-D444,L444))</f>
        <v>0</v>
      </c>
      <c r="O444" s="95">
        <f t="shared" si="59"/>
        <v>0</v>
      </c>
      <c r="P444" s="107" t="s">
        <v>155</v>
      </c>
      <c r="Q444" s="107">
        <v>0</v>
      </c>
      <c r="R444" s="107">
        <v>0</v>
      </c>
      <c r="S444" s="107">
        <v>0</v>
      </c>
      <c r="T444" s="107">
        <v>0</v>
      </c>
      <c r="U444" s="107"/>
      <c r="V444" s="107"/>
      <c r="W444" s="107"/>
      <c r="X444" s="107"/>
      <c r="Y444" s="107"/>
      <c r="Z444" s="107"/>
      <c r="AA444" s="107"/>
      <c r="AB444" s="107"/>
      <c r="AC444" s="355"/>
      <c r="AD444" s="355"/>
      <c r="AE444" s="355"/>
      <c r="AF444" s="94">
        <f t="shared" si="55"/>
        <v>43312</v>
      </c>
      <c r="AG444" s="185">
        <f t="shared" si="61"/>
        <v>-5.597873371749551E-3</v>
      </c>
      <c r="AH444" s="339" t="str">
        <f>VLOOKUP(B444,'MF PF'!A:B,2)</f>
        <v>FdMgt1</v>
      </c>
      <c r="AI444" s="358">
        <f t="shared" si="56"/>
        <v>0</v>
      </c>
      <c r="AJ444" s="94">
        <f t="shared" si="57"/>
        <v>43312</v>
      </c>
    </row>
    <row r="445" spans="1:36" ht="12.75" customHeight="1">
      <c r="A445" s="94">
        <v>43343</v>
      </c>
      <c r="B445" s="358" t="s">
        <v>136</v>
      </c>
      <c r="C445" s="94" t="s">
        <v>300</v>
      </c>
      <c r="D445" s="374">
        <v>8001516.6100000003</v>
      </c>
      <c r="E445" s="9" t="str">
        <f>IF(K445="","",D445/K445)</f>
        <v/>
      </c>
      <c r="F445" s="98">
        <v>5</v>
      </c>
      <c r="G445" s="98">
        <v>0</v>
      </c>
      <c r="H445" s="98">
        <v>0</v>
      </c>
      <c r="I445" s="98">
        <v>0</v>
      </c>
      <c r="J445" s="98"/>
      <c r="L445" s="93">
        <f t="shared" si="53"/>
        <v>0</v>
      </c>
      <c r="M445" s="95" t="e">
        <f t="shared" ca="1" si="54"/>
        <v>#DIV/0!</v>
      </c>
      <c r="N445" s="95">
        <f>IF(P445="Hedge Fund",IF(A445=Summary!$AD$3,M445-E445,M445),IF(A445=Summary!$AD$3,L445-D445,L445))</f>
        <v>0</v>
      </c>
      <c r="O445" s="95">
        <f t="shared" si="59"/>
        <v>0</v>
      </c>
      <c r="P445" s="107" t="s">
        <v>155</v>
      </c>
      <c r="Q445" s="107">
        <v>0</v>
      </c>
      <c r="R445" s="107">
        <v>0</v>
      </c>
      <c r="S445" s="107">
        <v>0</v>
      </c>
      <c r="T445" s="107">
        <v>0</v>
      </c>
      <c r="U445" s="107"/>
      <c r="V445" s="107"/>
      <c r="W445" s="107"/>
      <c r="X445" s="107"/>
      <c r="Y445" s="107"/>
      <c r="Z445" s="107"/>
      <c r="AA445" s="107"/>
      <c r="AB445" s="107"/>
      <c r="AC445" s="355"/>
      <c r="AD445" s="355"/>
      <c r="AE445" s="355"/>
      <c r="AF445" s="94">
        <f t="shared" si="55"/>
        <v>43343</v>
      </c>
      <c r="AG445" s="185">
        <f t="shared" si="61"/>
        <v>3.7824952378042731E-3</v>
      </c>
      <c r="AH445" s="339" t="str">
        <f>VLOOKUP(B445,'MF PF'!A:B,2)</f>
        <v>FdMgt1</v>
      </c>
      <c r="AI445" s="358">
        <f t="shared" si="56"/>
        <v>0</v>
      </c>
      <c r="AJ445" s="94">
        <f t="shared" si="57"/>
        <v>43343</v>
      </c>
    </row>
    <row r="446" spans="1:36" ht="12.75" customHeight="1">
      <c r="A446" s="94">
        <v>43371</v>
      </c>
      <c r="B446" s="358" t="s">
        <v>136</v>
      </c>
      <c r="C446" s="358" t="s">
        <v>300</v>
      </c>
      <c r="D446" s="374">
        <v>7982313.3099999996</v>
      </c>
      <c r="F446" s="105">
        <v>5</v>
      </c>
      <c r="G446" s="93">
        <v>0</v>
      </c>
      <c r="H446" s="93">
        <v>0</v>
      </c>
      <c r="I446" s="93">
        <v>0</v>
      </c>
      <c r="K446" s="93">
        <v>0</v>
      </c>
      <c r="L446" s="93">
        <f t="shared" si="53"/>
        <v>0</v>
      </c>
      <c r="M446" s="95" t="e">
        <f t="shared" ca="1" si="54"/>
        <v>#DIV/0!</v>
      </c>
      <c r="N446" s="95">
        <f>IF(P446="Hedge Fund",IF(A446=Summary!$AD$3,M446-E446,M446),IF(A446=Summary!$AD$3,L446-D446,L446))</f>
        <v>0</v>
      </c>
      <c r="O446" s="9">
        <f t="shared" si="59"/>
        <v>0</v>
      </c>
      <c r="P446" s="95" t="s">
        <v>155</v>
      </c>
      <c r="Q446" s="95">
        <v>0</v>
      </c>
      <c r="R446" s="95">
        <v>0</v>
      </c>
      <c r="S446" s="95"/>
      <c r="T446" s="95"/>
      <c r="U446" s="95"/>
      <c r="V446" s="95"/>
      <c r="W446" s="95"/>
      <c r="X446" s="95"/>
      <c r="Y446" s="95"/>
      <c r="Z446" s="95"/>
      <c r="AA446" s="95"/>
      <c r="AB446" s="95"/>
      <c r="AC446" s="355"/>
      <c r="AD446" s="355"/>
      <c r="AE446" s="355"/>
      <c r="AF446" s="94">
        <f t="shared" si="55"/>
        <v>43371</v>
      </c>
      <c r="AG446" s="185">
        <f t="shared" si="61"/>
        <v>-2.3999575250522875E-3</v>
      </c>
      <c r="AH446" s="339" t="str">
        <f>VLOOKUP(B446,'MF PF'!A:B,2)</f>
        <v>FdMgt1</v>
      </c>
      <c r="AI446" s="358">
        <f t="shared" si="56"/>
        <v>0</v>
      </c>
      <c r="AJ446" s="94">
        <f t="shared" si="57"/>
        <v>43373</v>
      </c>
    </row>
    <row r="447" spans="1:36" ht="12.75" customHeight="1">
      <c r="A447" s="8">
        <v>43404</v>
      </c>
      <c r="B447" s="358" t="s">
        <v>136</v>
      </c>
      <c r="C447" s="6" t="s">
        <v>300</v>
      </c>
      <c r="D447" s="374">
        <v>7896428.04</v>
      </c>
      <c r="F447" s="105">
        <v>5</v>
      </c>
      <c r="G447" s="93">
        <v>0</v>
      </c>
      <c r="H447" s="93">
        <v>0</v>
      </c>
      <c r="I447" s="93">
        <v>0</v>
      </c>
      <c r="J447" s="93">
        <v>0</v>
      </c>
      <c r="K447" s="93"/>
      <c r="L447" s="93">
        <f t="shared" si="53"/>
        <v>0</v>
      </c>
      <c r="M447" s="95" t="e">
        <f t="shared" ca="1" si="54"/>
        <v>#DIV/0!</v>
      </c>
      <c r="N447" s="95">
        <f>IF(P447="Hedge Fund",IF(A447=Summary!$AD$3,M447-E447,M447),IF(A447=Summary!$AD$3,L447-D447,L447))</f>
        <v>0</v>
      </c>
      <c r="O447" s="95">
        <f t="shared" si="59"/>
        <v>0</v>
      </c>
      <c r="P447" s="95" t="s">
        <v>155</v>
      </c>
      <c r="Q447" s="95">
        <v>0</v>
      </c>
      <c r="R447" s="95">
        <v>0</v>
      </c>
      <c r="S447" s="95"/>
      <c r="T447" s="95"/>
      <c r="U447" s="95"/>
      <c r="V447" s="95"/>
      <c r="W447" s="95"/>
      <c r="X447" s="95"/>
      <c r="Y447" s="95"/>
      <c r="Z447" s="95"/>
      <c r="AA447" s="95"/>
      <c r="AB447" s="95"/>
      <c r="AC447" s="355"/>
      <c r="AD447" s="355"/>
      <c r="AE447" s="355"/>
      <c r="AF447" s="94">
        <f t="shared" si="55"/>
        <v>43404</v>
      </c>
      <c r="AG447" s="185">
        <f t="shared" si="61"/>
        <v>-1.0759446123519756E-2</v>
      </c>
      <c r="AH447" s="339" t="str">
        <f>VLOOKUP(B447,'MF PF'!A:B,2)</f>
        <v>FdMgt1</v>
      </c>
      <c r="AI447" s="358">
        <f t="shared" si="56"/>
        <v>0</v>
      </c>
      <c r="AJ447" s="94">
        <f t="shared" si="57"/>
        <v>43404</v>
      </c>
    </row>
    <row r="448" spans="1:36" ht="12.75" customHeight="1">
      <c r="A448" s="94">
        <v>43434</v>
      </c>
      <c r="B448" s="358" t="s">
        <v>136</v>
      </c>
      <c r="C448" s="92" t="s">
        <v>300</v>
      </c>
      <c r="D448" s="374">
        <v>8012507.9900000002</v>
      </c>
      <c r="F448" s="105">
        <v>5</v>
      </c>
      <c r="G448" s="93">
        <v>0</v>
      </c>
      <c r="H448" s="93">
        <v>0</v>
      </c>
      <c r="I448" s="93">
        <v>0</v>
      </c>
      <c r="K448" s="7">
        <v>0</v>
      </c>
      <c r="L448" s="93">
        <f t="shared" si="53"/>
        <v>0</v>
      </c>
      <c r="M448" s="95" t="e">
        <f t="shared" ca="1" si="54"/>
        <v>#DIV/0!</v>
      </c>
      <c r="N448" s="95">
        <f>IF(P448="Hedge Fund",IF(A448=Summary!$AD$3,M448-E448,M448),IF(A448=Summary!$AD$3,L448-D448,L448))</f>
        <v>0</v>
      </c>
      <c r="O448" s="95">
        <f t="shared" si="59"/>
        <v>0</v>
      </c>
      <c r="P448" s="95" t="s">
        <v>155</v>
      </c>
      <c r="Q448" s="95">
        <v>0</v>
      </c>
      <c r="R448" s="93">
        <v>0</v>
      </c>
      <c r="S448" s="95"/>
      <c r="T448" s="95"/>
      <c r="U448" s="95"/>
      <c r="V448" s="95"/>
      <c r="W448" s="95"/>
      <c r="X448" s="95"/>
      <c r="Y448" s="95"/>
      <c r="Z448" s="95"/>
      <c r="AA448" s="95"/>
      <c r="AB448" s="95"/>
      <c r="AC448" s="355"/>
      <c r="AD448" s="355"/>
      <c r="AE448" s="355"/>
      <c r="AF448" s="94">
        <f t="shared" si="55"/>
        <v>43434</v>
      </c>
      <c r="AG448" s="185">
        <f t="shared" si="61"/>
        <v>1.4700311256176546E-2</v>
      </c>
      <c r="AH448" s="339" t="str">
        <f>VLOOKUP(B448,'MF PF'!A:B,2)</f>
        <v>FdMgt1</v>
      </c>
      <c r="AI448" s="358">
        <f t="shared" si="56"/>
        <v>0</v>
      </c>
      <c r="AJ448" s="94">
        <f t="shared" si="57"/>
        <v>43434</v>
      </c>
    </row>
    <row r="449" spans="1:36" ht="12.75" customHeight="1">
      <c r="A449" s="94">
        <v>43452</v>
      </c>
      <c r="B449" s="358" t="s">
        <v>136</v>
      </c>
      <c r="C449" s="358" t="s">
        <v>300</v>
      </c>
      <c r="D449" s="93"/>
      <c r="F449" s="93"/>
      <c r="G449" s="93"/>
      <c r="H449" s="93"/>
      <c r="I449" s="93">
        <v>-114233.9035090424</v>
      </c>
      <c r="K449" s="93"/>
      <c r="L449" s="93">
        <f t="shared" si="53"/>
        <v>-114233.9035090424</v>
      </c>
      <c r="M449" s="95" t="e">
        <f t="shared" ca="1" si="54"/>
        <v>#DIV/0!</v>
      </c>
      <c r="N449" s="95">
        <f>IF(P449="Hedge Fund",IF(A449=Summary!$AD$3,M449-E449,M449),IF(A449=Summary!$AD$3,L449-D449,L449))</f>
        <v>-114233.9035090424</v>
      </c>
      <c r="O449" s="9">
        <f t="shared" ref="O449:O452" si="62">N449</f>
        <v>-114233.9035090424</v>
      </c>
      <c r="P449" s="95" t="s">
        <v>155</v>
      </c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  <c r="AC449" s="355"/>
      <c r="AD449" s="355"/>
      <c r="AE449" s="355"/>
      <c r="AF449" s="94">
        <f t="shared" si="55"/>
        <v>43452</v>
      </c>
      <c r="AG449" s="185">
        <f t="shared" si="61"/>
        <v>-0.98574305278052621</v>
      </c>
      <c r="AH449" s="339" t="str">
        <f>VLOOKUP(B449,'MF PF'!A:B,2)</f>
        <v>FdMgt1</v>
      </c>
      <c r="AI449" s="358">
        <f t="shared" si="56"/>
        <v>0</v>
      </c>
      <c r="AJ449" s="94">
        <f t="shared" si="57"/>
        <v>43465</v>
      </c>
    </row>
    <row r="450" spans="1:36" ht="12.75" customHeight="1">
      <c r="A450" s="94">
        <v>43465</v>
      </c>
      <c r="B450" s="358" t="s">
        <v>136</v>
      </c>
      <c r="C450" s="358" t="s">
        <v>300</v>
      </c>
      <c r="D450" s="93">
        <v>8129458.04</v>
      </c>
      <c r="F450" s="93">
        <v>5</v>
      </c>
      <c r="G450" s="93">
        <v>0</v>
      </c>
      <c r="H450" s="93">
        <v>0</v>
      </c>
      <c r="I450" s="93">
        <v>0</v>
      </c>
      <c r="K450" s="7">
        <v>0</v>
      </c>
      <c r="L450" s="93">
        <f t="shared" si="53"/>
        <v>0</v>
      </c>
      <c r="M450" s="95" t="e">
        <f t="shared" ca="1" si="54"/>
        <v>#DIV/0!</v>
      </c>
      <c r="N450" s="95">
        <f>IF(P450="Hedge Fund",IF(A450=Summary!$AD$3,M450-E450,M450),IF(A450=Summary!$AD$3,L450-D450,L450))</f>
        <v>0</v>
      </c>
      <c r="O450" s="9">
        <f t="shared" si="62"/>
        <v>0</v>
      </c>
      <c r="P450" s="95" t="s">
        <v>155</v>
      </c>
      <c r="Q450" s="95">
        <v>0</v>
      </c>
      <c r="R450" s="95">
        <v>0</v>
      </c>
      <c r="S450" s="95"/>
      <c r="T450" s="95"/>
      <c r="U450" s="95"/>
      <c r="V450" s="95"/>
      <c r="W450" s="95"/>
      <c r="X450" s="95"/>
      <c r="Y450" s="95"/>
      <c r="Z450" s="95"/>
      <c r="AA450" s="95"/>
      <c r="AB450" s="95"/>
      <c r="AC450" s="355"/>
      <c r="AD450" s="355"/>
      <c r="AE450" s="355"/>
      <c r="AF450" s="94">
        <f t="shared" si="55"/>
        <v>43465</v>
      </c>
      <c r="AG450" s="185" t="e">
        <f t="shared" si="61"/>
        <v>#DIV/0!</v>
      </c>
      <c r="AH450" s="339" t="str">
        <f>VLOOKUP(B450,'MF PF'!A:B,2)</f>
        <v>FdMgt1</v>
      </c>
      <c r="AI450" s="358">
        <f t="shared" si="56"/>
        <v>0</v>
      </c>
      <c r="AJ450" s="94">
        <f t="shared" si="57"/>
        <v>43465</v>
      </c>
    </row>
    <row r="451" spans="1:36" ht="12.75" customHeight="1">
      <c r="A451" s="8">
        <v>43487</v>
      </c>
      <c r="B451" s="358" t="s">
        <v>136</v>
      </c>
      <c r="C451" s="358" t="s">
        <v>300</v>
      </c>
      <c r="D451" s="93"/>
      <c r="F451" s="93"/>
      <c r="G451" s="93"/>
      <c r="H451" s="93"/>
      <c r="I451" s="93">
        <v>-361813.35062318738</v>
      </c>
      <c r="L451" s="93">
        <f t="shared" ref="L451:L514" si="63">G451+H451+I451</f>
        <v>-361813.35062318738</v>
      </c>
      <c r="M451" s="95" t="e">
        <f t="shared" ref="M451:M514" ca="1" si="64">IF(A451&gt;INDIRECT("A"&amp;ROW()-1),I451/K451,E451)</f>
        <v>#DIV/0!</v>
      </c>
      <c r="N451" s="95">
        <f>IF(P451="Hedge Fund",IF(A451=Summary!$AD$3,M451-E451,M451),IF(A451=Summary!$AD$3,L451-D451,L451))</f>
        <v>-361813.35062318738</v>
      </c>
      <c r="O451" s="9">
        <f t="shared" si="62"/>
        <v>-361813.35062318738</v>
      </c>
      <c r="P451" s="95" t="s">
        <v>155</v>
      </c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  <c r="AC451" s="355"/>
      <c r="AD451" s="355"/>
      <c r="AE451" s="355"/>
      <c r="AF451" s="94">
        <f t="shared" ref="AF451:AF514" si="65">A451</f>
        <v>43487</v>
      </c>
      <c r="AG451" s="185">
        <f t="shared" si="61"/>
        <v>-0.95549354596051428</v>
      </c>
      <c r="AH451" s="339" t="str">
        <f>VLOOKUP(B451,'MF PF'!A:B,2)</f>
        <v>FdMgt1</v>
      </c>
      <c r="AI451" s="358">
        <f t="shared" ref="AI451:AI514" si="66">AF451-A451</f>
        <v>0</v>
      </c>
      <c r="AJ451" s="94">
        <f t="shared" ref="AJ451:AJ514" si="67">EOMONTH(A451,0)</f>
        <v>43496</v>
      </c>
    </row>
    <row r="452" spans="1:36" ht="12.75" customHeight="1">
      <c r="A452" s="94">
        <v>43496</v>
      </c>
      <c r="B452" s="358" t="s">
        <v>136</v>
      </c>
      <c r="C452" s="358" t="s">
        <v>300</v>
      </c>
      <c r="D452" s="93">
        <v>7762738.5199999996</v>
      </c>
      <c r="F452" s="93">
        <v>5</v>
      </c>
      <c r="G452" s="93">
        <v>0</v>
      </c>
      <c r="H452" s="93">
        <v>0</v>
      </c>
      <c r="I452" s="93">
        <v>0</v>
      </c>
      <c r="K452" s="93">
        <v>0</v>
      </c>
      <c r="L452" s="93">
        <f t="shared" si="63"/>
        <v>0</v>
      </c>
      <c r="M452" s="95" t="e">
        <f t="shared" ca="1" si="64"/>
        <v>#DIV/0!</v>
      </c>
      <c r="N452" s="95">
        <f>IF(P452="Hedge Fund",IF(A452=Summary!$AD$3,M452-E452,M452),IF(A452=Summary!$AD$3,L452-D452,L452))</f>
        <v>-7762738.5199999996</v>
      </c>
      <c r="O452" s="9">
        <f t="shared" si="62"/>
        <v>-7762738.5199999996</v>
      </c>
      <c r="P452" s="95" t="s">
        <v>155</v>
      </c>
      <c r="Q452" s="95">
        <v>0</v>
      </c>
      <c r="R452" s="95">
        <v>0</v>
      </c>
      <c r="S452" s="95"/>
      <c r="T452" s="95"/>
      <c r="U452" s="95"/>
      <c r="V452" s="95"/>
      <c r="W452" s="95"/>
      <c r="X452" s="95"/>
      <c r="Y452" s="95"/>
      <c r="Z452" s="95"/>
      <c r="AA452" s="95"/>
      <c r="AB452" s="95"/>
      <c r="AC452" s="355"/>
      <c r="AD452" s="355"/>
      <c r="AE452" s="355"/>
      <c r="AF452" s="94">
        <f t="shared" si="65"/>
        <v>43496</v>
      </c>
      <c r="AG452" s="185" t="e">
        <f t="shared" si="61"/>
        <v>#DIV/0!</v>
      </c>
      <c r="AH452" s="339" t="str">
        <f>VLOOKUP(B452,'MF PF'!A:B,2)</f>
        <v>FdMgt1</v>
      </c>
      <c r="AI452" s="358">
        <f t="shared" si="66"/>
        <v>0</v>
      </c>
      <c r="AJ452" s="94">
        <f t="shared" si="67"/>
        <v>43496</v>
      </c>
    </row>
    <row r="453" spans="1:36" ht="12.75" customHeight="1">
      <c r="A453" s="94">
        <v>41578</v>
      </c>
      <c r="B453" s="94" t="s">
        <v>136</v>
      </c>
      <c r="C453" s="358" t="s">
        <v>343</v>
      </c>
      <c r="D453" s="374">
        <v>150000</v>
      </c>
      <c r="E453" s="9" t="e">
        <f t="shared" ref="E453:E484" si="68">D453/K453</f>
        <v>#DIV/0!</v>
      </c>
      <c r="F453" s="98">
        <v>3</v>
      </c>
      <c r="G453" s="98">
        <v>150000</v>
      </c>
      <c r="H453" s="98"/>
      <c r="I453" s="98">
        <v>0</v>
      </c>
      <c r="J453" s="98"/>
      <c r="K453" s="93"/>
      <c r="L453" s="93">
        <f t="shared" si="63"/>
        <v>150000</v>
      </c>
      <c r="M453" s="95" t="e">
        <f t="shared" ca="1" si="64"/>
        <v>#DIV/0!</v>
      </c>
      <c r="N453" s="95">
        <f>IF(P453="Hedge Fund",IF(A453=Summary!$AD$3,M453-E453,M453),IF(A453=Summary!$AD$3,L453-D453,L453))</f>
        <v>150000</v>
      </c>
      <c r="O453" s="107"/>
      <c r="P453" s="107" t="s">
        <v>155</v>
      </c>
      <c r="Q453" s="107">
        <v>0</v>
      </c>
      <c r="R453" s="107">
        <v>0</v>
      </c>
      <c r="S453" s="107">
        <v>0</v>
      </c>
      <c r="T453" s="107">
        <v>0</v>
      </c>
      <c r="U453" s="107"/>
      <c r="V453" s="107"/>
      <c r="W453" s="107"/>
      <c r="X453" s="107"/>
      <c r="Y453" s="107"/>
      <c r="Z453" s="107"/>
      <c r="AA453" s="107"/>
      <c r="AB453" s="107"/>
      <c r="AC453" s="355"/>
      <c r="AD453" s="355"/>
      <c r="AE453" s="355"/>
      <c r="AF453" s="94">
        <f t="shared" si="65"/>
        <v>41578</v>
      </c>
      <c r="AG453" s="185">
        <f t="shared" si="61"/>
        <v>0</v>
      </c>
      <c r="AH453" s="339" t="str">
        <f>VLOOKUP(B453,'MF PF'!A:B,2)</f>
        <v>FdMgt1</v>
      </c>
      <c r="AI453" s="358">
        <f t="shared" si="66"/>
        <v>0</v>
      </c>
      <c r="AJ453" s="94">
        <f t="shared" si="67"/>
        <v>41578</v>
      </c>
    </row>
    <row r="454" spans="1:36" ht="12.75" customHeight="1">
      <c r="A454" s="8">
        <v>41607</v>
      </c>
      <c r="B454" s="94" t="s">
        <v>136</v>
      </c>
      <c r="C454" s="358" t="s">
        <v>343</v>
      </c>
      <c r="D454" s="374">
        <v>146963.66</v>
      </c>
      <c r="E454" s="9" t="e">
        <f t="shared" si="68"/>
        <v>#DIV/0!</v>
      </c>
      <c r="F454" s="98">
        <v>3</v>
      </c>
      <c r="G454" s="98">
        <v>0</v>
      </c>
      <c r="H454" s="98"/>
      <c r="I454" s="98">
        <v>0</v>
      </c>
      <c r="J454" s="98"/>
      <c r="L454" s="93">
        <f t="shared" si="63"/>
        <v>0</v>
      </c>
      <c r="M454" s="95" t="e">
        <f t="shared" ca="1" si="64"/>
        <v>#DIV/0!</v>
      </c>
      <c r="N454" s="95">
        <f>IF(P454="Hedge Fund",IF(A454=Summary!$AD$3,M454-E454,M454),IF(A454=Summary!$AD$3,L454-D454,L454))</f>
        <v>0</v>
      </c>
      <c r="P454" s="107" t="s">
        <v>155</v>
      </c>
      <c r="Q454" s="107">
        <v>0</v>
      </c>
      <c r="R454" s="107">
        <v>0</v>
      </c>
      <c r="S454" s="107">
        <v>0</v>
      </c>
      <c r="T454" s="107">
        <v>0</v>
      </c>
      <c r="U454" s="107"/>
      <c r="V454" s="107"/>
      <c r="W454" s="107"/>
      <c r="X454" s="107"/>
      <c r="Y454" s="107"/>
      <c r="Z454" s="107"/>
      <c r="AA454" s="107"/>
      <c r="AB454" s="107"/>
      <c r="AC454" s="355"/>
      <c r="AD454" s="355"/>
      <c r="AE454" s="355"/>
      <c r="AF454" s="94">
        <f t="shared" si="65"/>
        <v>41607</v>
      </c>
      <c r="AG454" s="185">
        <f t="shared" si="61"/>
        <v>-2.024226666666662E-2</v>
      </c>
      <c r="AH454" s="339" t="str">
        <f>VLOOKUP(B454,'MF PF'!A:B,2)</f>
        <v>FdMgt1</v>
      </c>
      <c r="AI454" s="358">
        <f t="shared" si="66"/>
        <v>0</v>
      </c>
      <c r="AJ454" s="94">
        <f t="shared" si="67"/>
        <v>41608</v>
      </c>
    </row>
    <row r="455" spans="1:36" ht="12.75" customHeight="1">
      <c r="A455" s="94">
        <v>41639</v>
      </c>
      <c r="B455" s="94" t="s">
        <v>136</v>
      </c>
      <c r="C455" s="358" t="s">
        <v>343</v>
      </c>
      <c r="D455" s="374">
        <v>317887.63669999997</v>
      </c>
      <c r="E455" s="9" t="e">
        <f t="shared" si="68"/>
        <v>#DIV/0!</v>
      </c>
      <c r="F455" s="98">
        <v>3</v>
      </c>
      <c r="G455" s="98">
        <v>150000</v>
      </c>
      <c r="H455" s="98"/>
      <c r="I455" s="98">
        <v>0</v>
      </c>
      <c r="J455" s="98"/>
      <c r="K455" s="93"/>
      <c r="L455" s="93">
        <f t="shared" si="63"/>
        <v>150000</v>
      </c>
      <c r="M455" s="95" t="e">
        <f t="shared" ca="1" si="64"/>
        <v>#DIV/0!</v>
      </c>
      <c r="N455" s="95">
        <f>IF(P455="Hedge Fund",IF(A455=Summary!$AD$3,M455-E455,M455),IF(A455=Summary!$AD$3,L455-D455,L455))</f>
        <v>150000</v>
      </c>
      <c r="O455" s="95"/>
      <c r="P455" s="107" t="s">
        <v>155</v>
      </c>
      <c r="Q455" s="107">
        <v>0</v>
      </c>
      <c r="R455" s="107">
        <v>0</v>
      </c>
      <c r="S455" s="107">
        <v>0</v>
      </c>
      <c r="T455" s="107">
        <v>0</v>
      </c>
      <c r="U455" s="107"/>
      <c r="V455" s="107"/>
      <c r="W455" s="107"/>
      <c r="X455" s="107"/>
      <c r="Y455" s="107"/>
      <c r="Z455" s="107"/>
      <c r="AA455" s="107"/>
      <c r="AB455" s="107"/>
      <c r="AC455" s="355"/>
      <c r="AD455" s="355"/>
      <c r="AE455" s="355"/>
      <c r="AF455" s="94">
        <f t="shared" si="65"/>
        <v>41639</v>
      </c>
      <c r="AG455" s="185">
        <f t="shared" si="61"/>
        <v>0.14237517424375512</v>
      </c>
      <c r="AH455" s="339" t="str">
        <f>VLOOKUP(B455,'MF PF'!A:B,2)</f>
        <v>FdMgt1</v>
      </c>
      <c r="AI455" s="358">
        <f t="shared" si="66"/>
        <v>0</v>
      </c>
      <c r="AJ455" s="94">
        <f t="shared" si="67"/>
        <v>41639</v>
      </c>
    </row>
    <row r="456" spans="1:36" ht="12.75" customHeight="1">
      <c r="A456" s="94">
        <v>41669</v>
      </c>
      <c r="B456" s="94" t="s">
        <v>136</v>
      </c>
      <c r="C456" s="358" t="s">
        <v>343</v>
      </c>
      <c r="D456" s="374">
        <v>1319084.58</v>
      </c>
      <c r="E456" s="9" t="e">
        <f t="shared" si="68"/>
        <v>#DIV/0!</v>
      </c>
      <c r="F456" s="98">
        <v>3</v>
      </c>
      <c r="G456" s="98">
        <v>1020000</v>
      </c>
      <c r="H456" s="98"/>
      <c r="I456" s="98">
        <v>0</v>
      </c>
      <c r="J456" s="98"/>
      <c r="K456" s="93"/>
      <c r="L456" s="93">
        <f t="shared" si="63"/>
        <v>1020000</v>
      </c>
      <c r="M456" s="95" t="e">
        <f t="shared" ca="1" si="64"/>
        <v>#DIV/0!</v>
      </c>
      <c r="N456" s="95">
        <f>IF(P456="Hedge Fund",IF(A456=Summary!$AD$3,M456-E456,M456),IF(A456=Summary!$AD$3,L456-D456,L456))</f>
        <v>1020000</v>
      </c>
      <c r="P456" s="107" t="s">
        <v>155</v>
      </c>
      <c r="Q456" s="107">
        <v>0</v>
      </c>
      <c r="R456" s="107">
        <v>0</v>
      </c>
      <c r="S456" s="107">
        <v>0</v>
      </c>
      <c r="T456" s="107">
        <v>0</v>
      </c>
      <c r="U456" s="107"/>
      <c r="V456" s="107"/>
      <c r="W456" s="107"/>
      <c r="X456" s="107"/>
      <c r="Y456" s="107"/>
      <c r="Z456" s="107"/>
      <c r="AA456" s="107"/>
      <c r="AB456" s="107"/>
      <c r="AC456" s="355"/>
      <c r="AD456" s="355"/>
      <c r="AE456" s="355"/>
      <c r="AF456" s="94">
        <f t="shared" si="65"/>
        <v>41669</v>
      </c>
      <c r="AG456" s="185">
        <f t="shared" si="61"/>
        <v>-5.9150009403306614E-2</v>
      </c>
      <c r="AH456" s="339" t="str">
        <f>VLOOKUP(B456,'MF PF'!A:B,2)</f>
        <v>FdMgt1</v>
      </c>
      <c r="AI456" s="358">
        <f t="shared" si="66"/>
        <v>0</v>
      </c>
      <c r="AJ456" s="94">
        <f t="shared" si="67"/>
        <v>41670</v>
      </c>
    </row>
    <row r="457" spans="1:36" ht="12.75" customHeight="1">
      <c r="A457" s="8">
        <v>41698</v>
      </c>
      <c r="B457" s="94" t="s">
        <v>136</v>
      </c>
      <c r="C457" s="358" t="s">
        <v>343</v>
      </c>
      <c r="D457" s="374">
        <v>1323026.46</v>
      </c>
      <c r="E457" s="9" t="e">
        <f t="shared" si="68"/>
        <v>#DIV/0!</v>
      </c>
      <c r="F457" s="98">
        <v>3</v>
      </c>
      <c r="G457" s="98">
        <v>0</v>
      </c>
      <c r="H457" s="98"/>
      <c r="I457" s="98">
        <v>0</v>
      </c>
      <c r="J457" s="98"/>
      <c r="K457" s="93"/>
      <c r="L457" s="93">
        <f t="shared" si="63"/>
        <v>0</v>
      </c>
      <c r="M457" s="95" t="e">
        <f t="shared" ca="1" si="64"/>
        <v>#DIV/0!</v>
      </c>
      <c r="N457" s="95">
        <f>IF(P457="Hedge Fund",IF(A457=Summary!$AD$3,M457-E457,M457),IF(A457=Summary!$AD$3,L457-D457,L457))</f>
        <v>0</v>
      </c>
      <c r="O457" s="95"/>
      <c r="P457" s="107" t="s">
        <v>155</v>
      </c>
      <c r="Q457" s="107">
        <v>0</v>
      </c>
      <c r="R457" s="107">
        <v>0</v>
      </c>
      <c r="S457" s="107">
        <v>0</v>
      </c>
      <c r="T457" s="107">
        <v>0</v>
      </c>
      <c r="U457" s="107"/>
      <c r="V457" s="107"/>
      <c r="W457" s="107"/>
      <c r="X457" s="107"/>
      <c r="Y457" s="107"/>
      <c r="Z457" s="107"/>
      <c r="AA457" s="107"/>
      <c r="AB457" s="107"/>
      <c r="AC457" s="355"/>
      <c r="AD457" s="355"/>
      <c r="AE457" s="355"/>
      <c r="AF457" s="94">
        <f t="shared" si="65"/>
        <v>41698</v>
      </c>
      <c r="AG457" s="185">
        <f t="shared" si="61"/>
        <v>2.9883451446304221E-3</v>
      </c>
      <c r="AH457" s="339" t="str">
        <f>VLOOKUP(B457,'MF PF'!A:B,2)</f>
        <v>FdMgt1</v>
      </c>
      <c r="AI457" s="358">
        <f t="shared" si="66"/>
        <v>0</v>
      </c>
      <c r="AJ457" s="94">
        <f t="shared" si="67"/>
        <v>41698</v>
      </c>
    </row>
    <row r="458" spans="1:36" ht="12.75" customHeight="1">
      <c r="A458" s="8">
        <v>41729</v>
      </c>
      <c r="B458" s="94" t="s">
        <v>136</v>
      </c>
      <c r="C458" s="358" t="s">
        <v>343</v>
      </c>
      <c r="D458" s="374">
        <v>1326941.6547999999</v>
      </c>
      <c r="E458" s="9" t="e">
        <f t="shared" si="68"/>
        <v>#DIV/0!</v>
      </c>
      <c r="F458" s="47">
        <v>3</v>
      </c>
      <c r="G458" s="47">
        <v>0</v>
      </c>
      <c r="H458" s="47"/>
      <c r="I458" s="47">
        <v>0</v>
      </c>
      <c r="J458" s="98"/>
      <c r="K458" s="93"/>
      <c r="L458" s="93">
        <f t="shared" si="63"/>
        <v>0</v>
      </c>
      <c r="M458" s="95" t="e">
        <f t="shared" ca="1" si="64"/>
        <v>#DIV/0!</v>
      </c>
      <c r="N458" s="95">
        <f>IF(P458="Hedge Fund",IF(A458=Summary!$AD$3,M458-E458,M458),IF(A458=Summary!$AD$3,L458-D458,L458))</f>
        <v>0</v>
      </c>
      <c r="O458" s="95"/>
      <c r="P458" s="89" t="s">
        <v>155</v>
      </c>
      <c r="Q458" s="107">
        <v>0</v>
      </c>
      <c r="R458" s="107">
        <v>0</v>
      </c>
      <c r="S458" s="89">
        <v>0</v>
      </c>
      <c r="T458" s="89">
        <v>0</v>
      </c>
      <c r="U458" s="89"/>
      <c r="V458" s="89"/>
      <c r="W458" s="89"/>
      <c r="X458" s="89"/>
      <c r="Y458" s="89"/>
      <c r="Z458" s="89"/>
      <c r="AA458" s="89"/>
      <c r="AB458" s="89"/>
      <c r="AC458" s="355"/>
      <c r="AD458" s="355"/>
      <c r="AE458" s="355"/>
      <c r="AF458" s="94">
        <f t="shared" si="65"/>
        <v>41729</v>
      </c>
      <c r="AG458" s="185">
        <f t="shared" si="61"/>
        <v>2.9592717291533344E-3</v>
      </c>
      <c r="AH458" s="339" t="str">
        <f>VLOOKUP(B458,'MF PF'!A:B,2)</f>
        <v>FdMgt1</v>
      </c>
      <c r="AI458" s="358">
        <f t="shared" si="66"/>
        <v>0</v>
      </c>
      <c r="AJ458" s="94">
        <f t="shared" si="67"/>
        <v>41729</v>
      </c>
    </row>
    <row r="459" spans="1:36" ht="12.75" customHeight="1">
      <c r="A459" s="94">
        <v>41759</v>
      </c>
      <c r="B459" s="94" t="s">
        <v>136</v>
      </c>
      <c r="C459" s="358" t="s">
        <v>343</v>
      </c>
      <c r="D459" s="374">
        <v>1285097.1943944299</v>
      </c>
      <c r="E459" s="9" t="e">
        <f t="shared" si="68"/>
        <v>#DIV/0!</v>
      </c>
      <c r="F459" s="98">
        <v>3</v>
      </c>
      <c r="G459" s="98">
        <v>0</v>
      </c>
      <c r="H459" s="98"/>
      <c r="I459" s="98">
        <v>0</v>
      </c>
      <c r="J459" s="98"/>
      <c r="K459" s="93"/>
      <c r="L459" s="93">
        <f t="shared" si="63"/>
        <v>0</v>
      </c>
      <c r="M459" s="95" t="e">
        <f t="shared" ca="1" si="64"/>
        <v>#DIV/0!</v>
      </c>
      <c r="N459" s="95">
        <f>IF(P459="Hedge Fund",IF(A459=Summary!$AD$3,M459-E459,M459),IF(A459=Summary!$AD$3,L459-D459,L459))</f>
        <v>0</v>
      </c>
      <c r="P459" s="107" t="s">
        <v>155</v>
      </c>
      <c r="Q459" s="107">
        <v>0</v>
      </c>
      <c r="R459" s="107">
        <v>0</v>
      </c>
      <c r="S459" s="107">
        <v>0</v>
      </c>
      <c r="T459" s="107">
        <v>0</v>
      </c>
      <c r="U459" s="107"/>
      <c r="V459" s="107"/>
      <c r="W459" s="107"/>
      <c r="X459" s="107"/>
      <c r="Y459" s="107"/>
      <c r="Z459" s="107"/>
      <c r="AA459" s="107"/>
      <c r="AB459" s="107"/>
      <c r="AC459" s="355"/>
      <c r="AD459" s="355"/>
      <c r="AE459" s="355"/>
      <c r="AF459" s="94">
        <f t="shared" si="65"/>
        <v>41759</v>
      </c>
      <c r="AG459" s="185">
        <f t="shared" si="61"/>
        <v>-3.1534514162099181E-2</v>
      </c>
      <c r="AH459" s="339" t="str">
        <f>VLOOKUP(B459,'MF PF'!A:B,2)</f>
        <v>FdMgt1</v>
      </c>
      <c r="AI459" s="358">
        <f t="shared" si="66"/>
        <v>0</v>
      </c>
      <c r="AJ459" s="94">
        <f t="shared" si="67"/>
        <v>41759</v>
      </c>
    </row>
    <row r="460" spans="1:36" ht="12.75" customHeight="1">
      <c r="A460" s="94">
        <v>41789</v>
      </c>
      <c r="B460" s="94" t="s">
        <v>136</v>
      </c>
      <c r="C460" s="358" t="s">
        <v>343</v>
      </c>
      <c r="D460" s="374">
        <v>1288476.21</v>
      </c>
      <c r="E460" s="9" t="e">
        <f t="shared" si="68"/>
        <v>#DIV/0!</v>
      </c>
      <c r="F460" s="98">
        <v>3</v>
      </c>
      <c r="G460" s="98">
        <v>0</v>
      </c>
      <c r="H460" s="98"/>
      <c r="I460" s="98">
        <v>0</v>
      </c>
      <c r="J460" s="98"/>
      <c r="L460" s="93">
        <f t="shared" si="63"/>
        <v>0</v>
      </c>
      <c r="M460" s="95" t="e">
        <f t="shared" ca="1" si="64"/>
        <v>#DIV/0!</v>
      </c>
      <c r="N460" s="95">
        <f>IF(P460="Hedge Fund",IF(A460=Summary!$AD$3,M460-E460,M460),IF(A460=Summary!$AD$3,L460-D460,L460))</f>
        <v>0</v>
      </c>
      <c r="P460" s="107" t="s">
        <v>155</v>
      </c>
      <c r="Q460" s="107">
        <v>0</v>
      </c>
      <c r="R460" s="107">
        <v>0</v>
      </c>
      <c r="S460" s="107">
        <v>0</v>
      </c>
      <c r="T460" s="107">
        <v>0</v>
      </c>
      <c r="U460" s="107"/>
      <c r="V460" s="107"/>
      <c r="W460" s="107"/>
      <c r="X460" s="107"/>
      <c r="Y460" s="107"/>
      <c r="Z460" s="107"/>
      <c r="AA460" s="107"/>
      <c r="AB460" s="107"/>
      <c r="AC460" s="355"/>
      <c r="AD460" s="355"/>
      <c r="AE460" s="355"/>
      <c r="AF460" s="94">
        <f t="shared" si="65"/>
        <v>41789</v>
      </c>
      <c r="AG460" s="185">
        <f t="shared" si="61"/>
        <v>2.6293852482981439E-3</v>
      </c>
      <c r="AH460" s="339" t="str">
        <f>VLOOKUP(B460,'MF PF'!A:B,2)</f>
        <v>FdMgt1</v>
      </c>
      <c r="AI460" s="358">
        <f t="shared" si="66"/>
        <v>0</v>
      </c>
      <c r="AJ460" s="94">
        <f t="shared" si="67"/>
        <v>41790</v>
      </c>
    </row>
    <row r="461" spans="1:36" ht="12.75" customHeight="1">
      <c r="A461" s="94">
        <v>41820</v>
      </c>
      <c r="B461" s="94" t="s">
        <v>136</v>
      </c>
      <c r="C461" s="358" t="s">
        <v>343</v>
      </c>
      <c r="D461" s="374">
        <v>1281756.1399999999</v>
      </c>
      <c r="E461" s="9" t="e">
        <f t="shared" si="68"/>
        <v>#DIV/0!</v>
      </c>
      <c r="F461" s="47">
        <v>3</v>
      </c>
      <c r="G461" s="47">
        <v>0</v>
      </c>
      <c r="H461" s="47"/>
      <c r="I461" s="47">
        <v>0</v>
      </c>
      <c r="J461" s="98"/>
      <c r="K461" s="93"/>
      <c r="L461" s="93">
        <f t="shared" si="63"/>
        <v>0</v>
      </c>
      <c r="M461" s="95" t="e">
        <f t="shared" ca="1" si="64"/>
        <v>#DIV/0!</v>
      </c>
      <c r="N461" s="95">
        <f>IF(P461="Hedge Fund",IF(A461=Summary!$AD$3,M461-E461,M461),IF(A461=Summary!$AD$3,L461-D461,L461))</f>
        <v>0</v>
      </c>
      <c r="O461" s="95"/>
      <c r="P461" s="89" t="s">
        <v>155</v>
      </c>
      <c r="Q461" s="89">
        <v>0</v>
      </c>
      <c r="R461" s="107">
        <v>0</v>
      </c>
      <c r="S461" s="89">
        <v>0</v>
      </c>
      <c r="T461" s="89">
        <v>0</v>
      </c>
      <c r="U461" s="89"/>
      <c r="V461" s="89"/>
      <c r="W461" s="89"/>
      <c r="X461" s="89"/>
      <c r="Y461" s="89"/>
      <c r="Z461" s="89"/>
      <c r="AA461" s="89"/>
      <c r="AB461" s="89"/>
      <c r="AC461" s="355"/>
      <c r="AD461" s="355"/>
      <c r="AE461" s="355"/>
      <c r="AF461" s="94">
        <f t="shared" si="65"/>
        <v>41820</v>
      </c>
      <c r="AG461" s="185">
        <f t="shared" si="61"/>
        <v>-5.2155173280227229E-3</v>
      </c>
      <c r="AH461" s="339" t="str">
        <f>VLOOKUP(B461,'MF PF'!A:B,2)</f>
        <v>FdMgt1</v>
      </c>
      <c r="AI461" s="358">
        <f t="shared" si="66"/>
        <v>0</v>
      </c>
      <c r="AJ461" s="94">
        <f t="shared" si="67"/>
        <v>41820</v>
      </c>
    </row>
    <row r="462" spans="1:36" ht="12.75" customHeight="1">
      <c r="A462" s="8">
        <v>41851</v>
      </c>
      <c r="B462" s="8" t="s">
        <v>136</v>
      </c>
      <c r="C462" s="6" t="s">
        <v>343</v>
      </c>
      <c r="D462" s="374">
        <v>1310185.48</v>
      </c>
      <c r="E462" s="9" t="e">
        <f t="shared" si="68"/>
        <v>#DIV/0!</v>
      </c>
      <c r="F462" s="47">
        <v>3</v>
      </c>
      <c r="G462" s="47">
        <v>0</v>
      </c>
      <c r="H462" s="47"/>
      <c r="I462" s="47">
        <v>0</v>
      </c>
      <c r="J462" s="98"/>
      <c r="K462" s="93"/>
      <c r="L462" s="93">
        <f t="shared" si="63"/>
        <v>0</v>
      </c>
      <c r="M462" s="95" t="e">
        <f t="shared" ca="1" si="64"/>
        <v>#DIV/0!</v>
      </c>
      <c r="N462" s="95">
        <f>IF(P462="Hedge Fund",IF(A462=Summary!$AD$3,M462-E462,M462),IF(A462=Summary!$AD$3,L462-D462,L462))</f>
        <v>0</v>
      </c>
      <c r="P462" s="89" t="s">
        <v>155</v>
      </c>
      <c r="Q462" s="89">
        <v>0</v>
      </c>
      <c r="R462" s="89">
        <v>0</v>
      </c>
      <c r="S462" s="89">
        <v>0</v>
      </c>
      <c r="T462" s="89">
        <v>0</v>
      </c>
      <c r="U462" s="89"/>
      <c r="V462" s="89"/>
      <c r="W462" s="89"/>
      <c r="X462" s="89"/>
      <c r="Y462" s="89"/>
      <c r="Z462" s="89"/>
      <c r="AA462" s="89"/>
      <c r="AB462" s="89"/>
      <c r="AC462" s="355"/>
      <c r="AD462" s="355"/>
      <c r="AE462" s="355"/>
      <c r="AF462" s="94">
        <f t="shared" si="65"/>
        <v>41851</v>
      </c>
      <c r="AG462" s="185">
        <f t="shared" si="61"/>
        <v>2.2179991273535204E-2</v>
      </c>
      <c r="AH462" s="339" t="str">
        <f>VLOOKUP(B462,'MF PF'!A:B,2)</f>
        <v>FdMgt1</v>
      </c>
      <c r="AI462" s="358">
        <f t="shared" si="66"/>
        <v>0</v>
      </c>
      <c r="AJ462" s="94">
        <f t="shared" si="67"/>
        <v>41851</v>
      </c>
    </row>
    <row r="463" spans="1:36" ht="12.75" customHeight="1">
      <c r="A463" s="94">
        <v>41880</v>
      </c>
      <c r="B463" s="8" t="s">
        <v>136</v>
      </c>
      <c r="C463" s="92" t="s">
        <v>343</v>
      </c>
      <c r="D463" s="374">
        <v>1960050.6895000001</v>
      </c>
      <c r="E463" s="9" t="e">
        <f t="shared" si="68"/>
        <v>#DIV/0!</v>
      </c>
      <c r="F463" s="47">
        <v>3</v>
      </c>
      <c r="G463" s="47">
        <v>633000</v>
      </c>
      <c r="H463" s="47"/>
      <c r="I463" s="47">
        <v>0</v>
      </c>
      <c r="J463" s="98"/>
      <c r="L463" s="93">
        <f t="shared" si="63"/>
        <v>633000</v>
      </c>
      <c r="M463" s="95" t="e">
        <f t="shared" ca="1" si="64"/>
        <v>#DIV/0!</v>
      </c>
      <c r="N463" s="95">
        <f>IF(P463="Hedge Fund",IF(A463=Summary!$AD$3,M463-E463,M463),IF(A463=Summary!$AD$3,L463-D463,L463))</f>
        <v>633000</v>
      </c>
      <c r="P463" s="89" t="s">
        <v>155</v>
      </c>
      <c r="Q463" s="89">
        <v>0</v>
      </c>
      <c r="R463" s="89">
        <v>0</v>
      </c>
      <c r="S463" s="89">
        <v>0</v>
      </c>
      <c r="T463" s="89">
        <v>0</v>
      </c>
      <c r="U463" s="89"/>
      <c r="V463" s="89"/>
      <c r="W463" s="89"/>
      <c r="X463" s="89"/>
      <c r="Y463" s="89"/>
      <c r="Z463" s="89"/>
      <c r="AA463" s="89"/>
      <c r="AB463" s="89"/>
      <c r="AC463" s="355"/>
      <c r="AD463" s="355"/>
      <c r="AE463" s="355"/>
      <c r="AF463" s="94">
        <f t="shared" si="65"/>
        <v>41880</v>
      </c>
      <c r="AG463" s="185">
        <f t="shared" si="61"/>
        <v>1.2872383152956468E-2</v>
      </c>
      <c r="AH463" s="339" t="str">
        <f>VLOOKUP(B463,'MF PF'!A:B,2)</f>
        <v>FdMgt1</v>
      </c>
      <c r="AI463" s="358">
        <f t="shared" si="66"/>
        <v>0</v>
      </c>
      <c r="AJ463" s="94">
        <f t="shared" si="67"/>
        <v>41882</v>
      </c>
    </row>
    <row r="464" spans="1:36" ht="12.75" customHeight="1">
      <c r="A464" s="94">
        <v>41912</v>
      </c>
      <c r="B464" s="8" t="s">
        <v>136</v>
      </c>
      <c r="C464" s="358" t="s">
        <v>343</v>
      </c>
      <c r="D464" s="374">
        <v>1900953.38</v>
      </c>
      <c r="E464" s="9" t="e">
        <f t="shared" si="68"/>
        <v>#DIV/0!</v>
      </c>
      <c r="F464" s="47">
        <v>3</v>
      </c>
      <c r="G464" s="47">
        <v>0</v>
      </c>
      <c r="H464" s="47"/>
      <c r="I464" s="47">
        <v>0</v>
      </c>
      <c r="J464" s="98"/>
      <c r="K464" s="93"/>
      <c r="L464" s="93">
        <f t="shared" si="63"/>
        <v>0</v>
      </c>
      <c r="M464" s="95" t="e">
        <f t="shared" ca="1" si="64"/>
        <v>#DIV/0!</v>
      </c>
      <c r="N464" s="95">
        <f>IF(P464="Hedge Fund",IF(A464=Summary!$AD$3,M464-E464,M464),IF(A464=Summary!$AD$3,L464-D464,L464))</f>
        <v>0</v>
      </c>
      <c r="P464" s="89" t="s">
        <v>155</v>
      </c>
      <c r="Q464" s="89">
        <v>0</v>
      </c>
      <c r="R464" s="89">
        <v>0</v>
      </c>
      <c r="S464" s="89">
        <v>0</v>
      </c>
      <c r="T464" s="89">
        <v>0</v>
      </c>
      <c r="U464" s="89"/>
      <c r="V464" s="89"/>
      <c r="W464" s="89"/>
      <c r="X464" s="89"/>
      <c r="Y464" s="89"/>
      <c r="Z464" s="89"/>
      <c r="AA464" s="89"/>
      <c r="AB464" s="89"/>
      <c r="AC464" s="355"/>
      <c r="AD464" s="355"/>
      <c r="AE464" s="355"/>
      <c r="AF464" s="94">
        <f t="shared" si="65"/>
        <v>41912</v>
      </c>
      <c r="AG464" s="185">
        <f t="shared" si="61"/>
        <v>-3.0150908757913597E-2</v>
      </c>
      <c r="AH464" s="339" t="str">
        <f>VLOOKUP(B464,'MF PF'!A:B,2)</f>
        <v>FdMgt1</v>
      </c>
      <c r="AI464" s="358">
        <f t="shared" si="66"/>
        <v>0</v>
      </c>
      <c r="AJ464" s="94">
        <f t="shared" si="67"/>
        <v>41912</v>
      </c>
    </row>
    <row r="465" spans="1:36" ht="12.75" customHeight="1">
      <c r="A465" s="94">
        <v>41943</v>
      </c>
      <c r="B465" s="8" t="s">
        <v>136</v>
      </c>
      <c r="C465" s="358" t="s">
        <v>343</v>
      </c>
      <c r="D465" s="374">
        <v>2367955.6800000002</v>
      </c>
      <c r="E465" s="9" t="e">
        <f t="shared" si="68"/>
        <v>#DIV/0!</v>
      </c>
      <c r="F465" s="47">
        <v>3</v>
      </c>
      <c r="G465" s="47">
        <v>507000</v>
      </c>
      <c r="H465" s="47"/>
      <c r="I465" s="47">
        <v>0</v>
      </c>
      <c r="J465" s="98"/>
      <c r="L465" s="93">
        <f t="shared" si="63"/>
        <v>507000</v>
      </c>
      <c r="M465" s="95" t="e">
        <f t="shared" ca="1" si="64"/>
        <v>#DIV/0!</v>
      </c>
      <c r="N465" s="95">
        <f>IF(P465="Hedge Fund",IF(A465=Summary!$AD$3,M465-E465,M465),IF(A465=Summary!$AD$3,L465-D465,L465))</f>
        <v>507000</v>
      </c>
      <c r="P465" s="89" t="s">
        <v>155</v>
      </c>
      <c r="Q465" s="89">
        <v>0</v>
      </c>
      <c r="R465" s="89">
        <v>0</v>
      </c>
      <c r="S465" s="89">
        <v>0</v>
      </c>
      <c r="T465" s="89">
        <v>0</v>
      </c>
      <c r="U465" s="89"/>
      <c r="V465" s="89"/>
      <c r="W465" s="89"/>
      <c r="X465" s="89"/>
      <c r="Y465" s="89"/>
      <c r="Z465" s="89"/>
      <c r="AA465" s="89"/>
      <c r="AB465" s="89"/>
      <c r="AC465" s="355"/>
      <c r="AD465" s="355"/>
      <c r="AE465" s="355"/>
      <c r="AF465" s="94">
        <f t="shared" si="65"/>
        <v>41943</v>
      </c>
      <c r="AG465" s="185">
        <f t="shared" si="61"/>
        <v>-2.1040863190447956E-2</v>
      </c>
      <c r="AH465" s="339" t="str">
        <f>VLOOKUP(B465,'MF PF'!A:B,2)</f>
        <v>FdMgt1</v>
      </c>
      <c r="AI465" s="358">
        <f t="shared" si="66"/>
        <v>0</v>
      </c>
      <c r="AJ465" s="94">
        <f t="shared" si="67"/>
        <v>41943</v>
      </c>
    </row>
    <row r="466" spans="1:36" ht="12.75" customHeight="1">
      <c r="A466" s="8">
        <v>41971</v>
      </c>
      <c r="B466" s="8" t="s">
        <v>136</v>
      </c>
      <c r="C466" s="6" t="s">
        <v>343</v>
      </c>
      <c r="D466" s="374">
        <v>2408646.9284999999</v>
      </c>
      <c r="E466" s="9" t="e">
        <f t="shared" si="68"/>
        <v>#DIV/0!</v>
      </c>
      <c r="F466" s="47">
        <v>3</v>
      </c>
      <c r="G466" s="47">
        <v>0</v>
      </c>
      <c r="H466" s="47"/>
      <c r="I466" s="47">
        <v>0</v>
      </c>
      <c r="J466" s="98"/>
      <c r="L466" s="93">
        <f t="shared" si="63"/>
        <v>0</v>
      </c>
      <c r="M466" s="95" t="e">
        <f t="shared" ca="1" si="64"/>
        <v>#DIV/0!</v>
      </c>
      <c r="N466" s="95">
        <f>IF(P466="Hedge Fund",IF(A466=Summary!$AD$3,M466-E466,M466),IF(A466=Summary!$AD$3,L466-D466,L466))</f>
        <v>0</v>
      </c>
      <c r="P466" s="89" t="s">
        <v>155</v>
      </c>
      <c r="Q466" s="89">
        <v>0</v>
      </c>
      <c r="R466" s="89">
        <v>0</v>
      </c>
      <c r="S466" s="89">
        <v>0</v>
      </c>
      <c r="T466" s="89">
        <v>0</v>
      </c>
      <c r="U466" s="89"/>
      <c r="V466" s="89"/>
      <c r="W466" s="89"/>
      <c r="X466" s="89"/>
      <c r="Y466" s="89"/>
      <c r="Z466" s="89"/>
      <c r="AA466" s="89"/>
      <c r="AB466" s="89"/>
      <c r="AC466" s="355"/>
      <c r="AD466" s="355"/>
      <c r="AE466" s="355"/>
      <c r="AF466" s="94">
        <f t="shared" si="65"/>
        <v>41971</v>
      </c>
      <c r="AG466" s="185">
        <f t="shared" si="61"/>
        <v>1.7184125887018231E-2</v>
      </c>
      <c r="AH466" s="339" t="str">
        <f>VLOOKUP(B466,'MF PF'!A:B,2)</f>
        <v>FdMgt1</v>
      </c>
      <c r="AI466" s="358">
        <f t="shared" si="66"/>
        <v>0</v>
      </c>
      <c r="AJ466" s="94">
        <f t="shared" si="67"/>
        <v>41973</v>
      </c>
    </row>
    <row r="467" spans="1:36" ht="12.75" customHeight="1">
      <c r="A467" s="94">
        <v>42004</v>
      </c>
      <c r="B467" s="8" t="s">
        <v>136</v>
      </c>
      <c r="C467" s="92" t="s">
        <v>343</v>
      </c>
      <c r="D467" s="374">
        <v>2394687.2174999998</v>
      </c>
      <c r="E467" s="9" t="e">
        <f t="shared" si="68"/>
        <v>#DIV/0!</v>
      </c>
      <c r="F467" s="47">
        <v>3</v>
      </c>
      <c r="G467" s="47">
        <v>0</v>
      </c>
      <c r="H467" s="47"/>
      <c r="I467" s="47">
        <v>0</v>
      </c>
      <c r="J467" s="98"/>
      <c r="K467" s="93"/>
      <c r="L467" s="93">
        <f t="shared" si="63"/>
        <v>0</v>
      </c>
      <c r="M467" s="95" t="e">
        <f t="shared" ca="1" si="64"/>
        <v>#DIV/0!</v>
      </c>
      <c r="N467" s="95">
        <f>IF(P467="Hedge Fund",IF(A467=Summary!$AD$3,M467-E467,M467),IF(A467=Summary!$AD$3,L467-D467,L467))</f>
        <v>0</v>
      </c>
      <c r="P467" s="89" t="s">
        <v>155</v>
      </c>
      <c r="Q467" s="89">
        <v>0</v>
      </c>
      <c r="R467" s="89">
        <v>0</v>
      </c>
      <c r="S467" s="89">
        <v>0</v>
      </c>
      <c r="T467" s="89">
        <v>0</v>
      </c>
      <c r="U467" s="89"/>
      <c r="V467" s="89"/>
      <c r="W467" s="89"/>
      <c r="X467" s="89"/>
      <c r="Y467" s="89"/>
      <c r="Z467" s="89"/>
      <c r="AA467" s="89"/>
      <c r="AB467" s="89"/>
      <c r="AC467" s="355"/>
      <c r="AD467" s="355"/>
      <c r="AE467" s="355"/>
      <c r="AF467" s="94">
        <f t="shared" si="65"/>
        <v>42004</v>
      </c>
      <c r="AG467" s="185">
        <f t="shared" si="61"/>
        <v>-5.795665124192162E-3</v>
      </c>
      <c r="AH467" s="339" t="str">
        <f>VLOOKUP(B467,'MF PF'!A:B,2)</f>
        <v>FdMgt1</v>
      </c>
      <c r="AI467" s="358">
        <f t="shared" si="66"/>
        <v>0</v>
      </c>
      <c r="AJ467" s="94">
        <f t="shared" si="67"/>
        <v>42004</v>
      </c>
    </row>
    <row r="468" spans="1:36" ht="12.75" customHeight="1">
      <c r="A468" s="94">
        <v>42034</v>
      </c>
      <c r="B468" s="8" t="s">
        <v>136</v>
      </c>
      <c r="C468" s="92" t="s">
        <v>343</v>
      </c>
      <c r="D468" s="374">
        <v>2827147.6724999999</v>
      </c>
      <c r="E468" s="9" t="e">
        <f t="shared" si="68"/>
        <v>#DIV/0!</v>
      </c>
      <c r="F468" s="47">
        <v>3</v>
      </c>
      <c r="G468" s="47">
        <v>348000</v>
      </c>
      <c r="H468" s="47"/>
      <c r="I468" s="47">
        <v>0</v>
      </c>
      <c r="J468" s="98"/>
      <c r="K468" s="93"/>
      <c r="L468" s="93">
        <f t="shared" si="63"/>
        <v>348000</v>
      </c>
      <c r="M468" s="95" t="e">
        <f t="shared" ca="1" si="64"/>
        <v>#DIV/0!</v>
      </c>
      <c r="N468" s="95">
        <f>IF(P468="Hedge Fund",IF(A468=Summary!$AD$3,M468-E468,M468),IF(A468=Summary!$AD$3,L468-D468,L468))</f>
        <v>348000</v>
      </c>
      <c r="P468" s="89" t="s">
        <v>155</v>
      </c>
      <c r="Q468" s="89">
        <v>0</v>
      </c>
      <c r="R468" s="89">
        <v>0</v>
      </c>
      <c r="S468" s="89">
        <v>0</v>
      </c>
      <c r="T468" s="89">
        <v>0</v>
      </c>
      <c r="U468" s="89"/>
      <c r="V468" s="89"/>
      <c r="W468" s="89"/>
      <c r="X468" s="89"/>
      <c r="Y468" s="89"/>
      <c r="Z468" s="89"/>
      <c r="AA468" s="89"/>
      <c r="AB468" s="89"/>
      <c r="AC468" s="355"/>
      <c r="AD468" s="355"/>
      <c r="AE468" s="355"/>
      <c r="AF468" s="94">
        <f t="shared" si="65"/>
        <v>42034</v>
      </c>
      <c r="AG468" s="185">
        <f t="shared" si="61"/>
        <v>3.526993186532934E-2</v>
      </c>
      <c r="AH468" s="339" t="str">
        <f>VLOOKUP(B468,'MF PF'!A:B,2)</f>
        <v>FdMgt1</v>
      </c>
      <c r="AI468" s="358">
        <f t="shared" si="66"/>
        <v>0</v>
      </c>
      <c r="AJ468" s="94">
        <f t="shared" si="67"/>
        <v>42035</v>
      </c>
    </row>
    <row r="469" spans="1:36" ht="12.75" customHeight="1">
      <c r="A469" s="94">
        <v>42062</v>
      </c>
      <c r="B469" s="8" t="s">
        <v>136</v>
      </c>
      <c r="C469" s="6" t="s">
        <v>343</v>
      </c>
      <c r="D469" s="374">
        <v>2864701.7703</v>
      </c>
      <c r="E469" s="9" t="e">
        <f t="shared" si="68"/>
        <v>#DIV/0!</v>
      </c>
      <c r="F469" s="47">
        <v>3</v>
      </c>
      <c r="G469" s="47">
        <v>0</v>
      </c>
      <c r="H469" s="47"/>
      <c r="I469" s="47">
        <v>0</v>
      </c>
      <c r="J469" s="98"/>
      <c r="L469" s="93">
        <f t="shared" si="63"/>
        <v>0</v>
      </c>
      <c r="M469" s="95" t="e">
        <f t="shared" ca="1" si="64"/>
        <v>#DIV/0!</v>
      </c>
      <c r="N469" s="95">
        <f>IF(P469="Hedge Fund",IF(A469=Summary!$AD$3,M469-E469,M469),IF(A469=Summary!$AD$3,L469-D469,L469))</f>
        <v>0</v>
      </c>
      <c r="P469" s="89" t="s">
        <v>155</v>
      </c>
      <c r="Q469" s="89">
        <v>0</v>
      </c>
      <c r="R469" s="89">
        <v>0</v>
      </c>
      <c r="S469" s="89">
        <v>0</v>
      </c>
      <c r="T469" s="89">
        <v>0</v>
      </c>
      <c r="U469" s="89"/>
      <c r="V469" s="89"/>
      <c r="W469" s="89"/>
      <c r="X469" s="89"/>
      <c r="Y469" s="89"/>
      <c r="Z469" s="89"/>
      <c r="AA469" s="89"/>
      <c r="AB469" s="89"/>
      <c r="AC469" s="355"/>
      <c r="AD469" s="355"/>
      <c r="AE469" s="355"/>
      <c r="AF469" s="94">
        <f t="shared" si="65"/>
        <v>42062</v>
      </c>
      <c r="AG469" s="185">
        <f t="shared" si="61"/>
        <v>1.3283387410319314E-2</v>
      </c>
      <c r="AH469" s="339" t="str">
        <f>VLOOKUP(B469,'MF PF'!A:B,2)</f>
        <v>FdMgt1</v>
      </c>
      <c r="AI469" s="358">
        <f t="shared" si="66"/>
        <v>0</v>
      </c>
      <c r="AJ469" s="94">
        <f t="shared" si="67"/>
        <v>42063</v>
      </c>
    </row>
    <row r="470" spans="1:36" ht="12.75" customHeight="1">
      <c r="A470" s="94">
        <v>42094</v>
      </c>
      <c r="B470" s="8" t="s">
        <v>136</v>
      </c>
      <c r="C470" s="358" t="s">
        <v>343</v>
      </c>
      <c r="D470" s="374">
        <v>3185872.1850999999</v>
      </c>
      <c r="E470" s="9" t="e">
        <f t="shared" si="68"/>
        <v>#DIV/0!</v>
      </c>
      <c r="F470" s="47">
        <v>3</v>
      </c>
      <c r="G470" s="47">
        <v>132000</v>
      </c>
      <c r="H470" s="47"/>
      <c r="I470" s="47">
        <v>0</v>
      </c>
      <c r="J470" s="98"/>
      <c r="K470" s="93"/>
      <c r="L470" s="93">
        <f t="shared" si="63"/>
        <v>132000</v>
      </c>
      <c r="M470" s="95" t="e">
        <f t="shared" ca="1" si="64"/>
        <v>#DIV/0!</v>
      </c>
      <c r="N470" s="95">
        <f>IF(P470="Hedge Fund",IF(A470=Summary!$AD$3,M470-E470,M470),IF(A470=Summary!$AD$3,L470-D470,L470))</f>
        <v>132000</v>
      </c>
      <c r="P470" s="89" t="s">
        <v>155</v>
      </c>
      <c r="Q470" s="107">
        <v>0</v>
      </c>
      <c r="R470" s="107">
        <v>0</v>
      </c>
      <c r="S470" s="89">
        <v>0</v>
      </c>
      <c r="T470" s="89">
        <v>0</v>
      </c>
      <c r="U470" s="89"/>
      <c r="V470" s="89"/>
      <c r="W470" s="89"/>
      <c r="X470" s="89"/>
      <c r="Y470" s="89"/>
      <c r="Z470" s="89"/>
      <c r="AA470" s="89"/>
      <c r="AB470" s="89"/>
      <c r="AC470" s="355"/>
      <c r="AD470" s="355"/>
      <c r="AE470" s="355"/>
      <c r="AF470" s="94">
        <f t="shared" si="65"/>
        <v>42094</v>
      </c>
      <c r="AG470" s="185">
        <f t="shared" si="61"/>
        <v>6.6034941843244432E-2</v>
      </c>
      <c r="AH470" s="339" t="str">
        <f>VLOOKUP(B470,'MF PF'!A:B,2)</f>
        <v>FdMgt1</v>
      </c>
      <c r="AI470" s="358">
        <f t="shared" si="66"/>
        <v>0</v>
      </c>
      <c r="AJ470" s="94">
        <f t="shared" si="67"/>
        <v>42094</v>
      </c>
    </row>
    <row r="471" spans="1:36" ht="12.75" customHeight="1">
      <c r="A471" s="8">
        <v>42124</v>
      </c>
      <c r="B471" s="8" t="s">
        <v>136</v>
      </c>
      <c r="C471" s="6" t="s">
        <v>343</v>
      </c>
      <c r="D471" s="374">
        <v>4069761.0416000006</v>
      </c>
      <c r="E471" s="9" t="e">
        <f t="shared" si="68"/>
        <v>#DIV/0!</v>
      </c>
      <c r="F471" s="47">
        <v>3</v>
      </c>
      <c r="G471" s="47">
        <v>60000</v>
      </c>
      <c r="H471" s="47"/>
      <c r="I471" s="47">
        <v>0</v>
      </c>
      <c r="J471" s="98"/>
      <c r="K471" s="93"/>
      <c r="L471" s="93">
        <f t="shared" si="63"/>
        <v>60000</v>
      </c>
      <c r="M471" s="95" t="e">
        <f t="shared" ca="1" si="64"/>
        <v>#DIV/0!</v>
      </c>
      <c r="N471" s="95">
        <f>IF(P471="Hedge Fund",IF(A471=Summary!$AD$3,M471-E471,M471),IF(A471=Summary!$AD$3,L471-D471,L471))</f>
        <v>60000</v>
      </c>
      <c r="P471" s="89" t="s">
        <v>155</v>
      </c>
      <c r="Q471" s="89">
        <v>0</v>
      </c>
      <c r="R471" s="89">
        <v>0</v>
      </c>
      <c r="S471" s="89">
        <v>0</v>
      </c>
      <c r="T471" s="89">
        <v>0</v>
      </c>
      <c r="U471" s="89"/>
      <c r="V471" s="89"/>
      <c r="W471" s="89"/>
      <c r="X471" s="89"/>
      <c r="Y471" s="89"/>
      <c r="Z471" s="89"/>
      <c r="AA471" s="89"/>
      <c r="AB471" s="89"/>
      <c r="AC471" s="355"/>
      <c r="AD471" s="355"/>
      <c r="AE471" s="355"/>
      <c r="AF471" s="94">
        <f t="shared" si="65"/>
        <v>42124</v>
      </c>
      <c r="AG471" s="185">
        <f t="shared" si="61"/>
        <v>0.25860700261399217</v>
      </c>
      <c r="AH471" s="339" t="str">
        <f>VLOOKUP(B471,'MF PF'!A:B,2)</f>
        <v>FdMgt1</v>
      </c>
      <c r="AI471" s="358">
        <f t="shared" si="66"/>
        <v>0</v>
      </c>
      <c r="AJ471" s="94">
        <f t="shared" si="67"/>
        <v>42124</v>
      </c>
    </row>
    <row r="472" spans="1:36" ht="12.75" customHeight="1">
      <c r="A472" s="94">
        <v>42153</v>
      </c>
      <c r="B472" s="8" t="s">
        <v>136</v>
      </c>
      <c r="C472" s="6" t="s">
        <v>343</v>
      </c>
      <c r="D472" s="374">
        <v>4220792.3057000004</v>
      </c>
      <c r="E472" s="9" t="e">
        <f t="shared" si="68"/>
        <v>#DIV/0!</v>
      </c>
      <c r="F472" s="47">
        <v>3</v>
      </c>
      <c r="G472" s="47">
        <v>0</v>
      </c>
      <c r="H472" s="47"/>
      <c r="I472" s="47">
        <v>0</v>
      </c>
      <c r="J472" s="98"/>
      <c r="K472" s="93"/>
      <c r="L472" s="93">
        <f t="shared" si="63"/>
        <v>0</v>
      </c>
      <c r="M472" s="95" t="e">
        <f t="shared" ca="1" si="64"/>
        <v>#DIV/0!</v>
      </c>
      <c r="N472" s="95">
        <f>IF(P472="Hedge Fund",IF(A472=Summary!$AD$3,M472-E472,M472),IF(A472=Summary!$AD$3,L472-D472,L472))</f>
        <v>0</v>
      </c>
      <c r="P472" s="89" t="s">
        <v>155</v>
      </c>
      <c r="Q472" s="89">
        <v>0</v>
      </c>
      <c r="R472" s="89">
        <v>0</v>
      </c>
      <c r="S472" s="89">
        <v>0</v>
      </c>
      <c r="T472" s="89">
        <v>0</v>
      </c>
      <c r="U472" s="89"/>
      <c r="V472" s="89"/>
      <c r="W472" s="89"/>
      <c r="X472" s="89"/>
      <c r="Y472" s="89"/>
      <c r="Z472" s="89"/>
      <c r="AA472" s="89"/>
      <c r="AB472" s="89"/>
      <c r="AC472" s="355"/>
      <c r="AD472" s="355"/>
      <c r="AE472" s="355"/>
      <c r="AF472" s="94">
        <f t="shared" si="65"/>
        <v>42153</v>
      </c>
      <c r="AG472" s="185">
        <f t="shared" si="61"/>
        <v>3.7110597540297663E-2</v>
      </c>
      <c r="AH472" s="339" t="str">
        <f>VLOOKUP(B472,'MF PF'!A:B,2)</f>
        <v>FdMgt1</v>
      </c>
      <c r="AI472" s="358">
        <f t="shared" si="66"/>
        <v>0</v>
      </c>
      <c r="AJ472" s="94">
        <f t="shared" si="67"/>
        <v>42155</v>
      </c>
    </row>
    <row r="473" spans="1:36" ht="12.75" customHeight="1">
      <c r="A473" s="94">
        <v>42185</v>
      </c>
      <c r="B473" s="8" t="s">
        <v>136</v>
      </c>
      <c r="C473" s="6" t="s">
        <v>343</v>
      </c>
      <c r="D473" s="374">
        <v>4078696.8763999995</v>
      </c>
      <c r="E473" s="9" t="e">
        <f t="shared" si="68"/>
        <v>#DIV/0!</v>
      </c>
      <c r="F473" s="47">
        <v>3</v>
      </c>
      <c r="G473" s="47">
        <v>0</v>
      </c>
      <c r="H473" s="47"/>
      <c r="I473" s="47">
        <v>0</v>
      </c>
      <c r="J473" s="98"/>
      <c r="K473" s="93"/>
      <c r="L473" s="93">
        <f t="shared" si="63"/>
        <v>0</v>
      </c>
      <c r="M473" s="95" t="e">
        <f t="shared" ca="1" si="64"/>
        <v>#DIV/0!</v>
      </c>
      <c r="N473" s="95">
        <f>IF(P473="Hedge Fund",IF(A473=Summary!$AD$3,M473-E473,M473),IF(A473=Summary!$AD$3,L473-D473,L473))</f>
        <v>0</v>
      </c>
      <c r="P473" s="89" t="s">
        <v>155</v>
      </c>
      <c r="Q473" s="89">
        <v>0</v>
      </c>
      <c r="R473" s="89">
        <v>0</v>
      </c>
      <c r="S473" s="89">
        <v>0</v>
      </c>
      <c r="T473" s="89">
        <v>0</v>
      </c>
      <c r="U473" s="89"/>
      <c r="V473" s="89"/>
      <c r="W473" s="89"/>
      <c r="X473" s="89"/>
      <c r="Y473" s="89"/>
      <c r="Z473" s="89"/>
      <c r="AA473" s="89"/>
      <c r="AB473" s="89"/>
      <c r="AC473" s="355"/>
      <c r="AD473" s="355"/>
      <c r="AE473" s="355"/>
      <c r="AF473" s="94">
        <f t="shared" si="65"/>
        <v>42185</v>
      </c>
      <c r="AG473" s="185">
        <f t="shared" si="61"/>
        <v>-3.3665581959128166E-2</v>
      </c>
      <c r="AH473" s="339" t="str">
        <f>VLOOKUP(B473,'MF PF'!A:B,2)</f>
        <v>FdMgt1</v>
      </c>
      <c r="AI473" s="358">
        <f t="shared" si="66"/>
        <v>0</v>
      </c>
      <c r="AJ473" s="94">
        <f t="shared" si="67"/>
        <v>42185</v>
      </c>
    </row>
    <row r="474" spans="1:36" ht="12.75" customHeight="1">
      <c r="A474" s="94">
        <v>42216</v>
      </c>
      <c r="B474" s="8" t="s">
        <v>136</v>
      </c>
      <c r="C474" s="358" t="s">
        <v>343</v>
      </c>
      <c r="D474" s="374">
        <v>3865713.5321</v>
      </c>
      <c r="E474" s="9" t="e">
        <f t="shared" si="68"/>
        <v>#DIV/0!</v>
      </c>
      <c r="F474" s="47">
        <v>3</v>
      </c>
      <c r="G474" s="47">
        <v>0</v>
      </c>
      <c r="H474" s="47"/>
      <c r="I474" s="47">
        <v>0</v>
      </c>
      <c r="J474" s="98"/>
      <c r="K474" s="93"/>
      <c r="L474" s="93">
        <f t="shared" si="63"/>
        <v>0</v>
      </c>
      <c r="M474" s="95" t="e">
        <f t="shared" ca="1" si="64"/>
        <v>#DIV/0!</v>
      </c>
      <c r="N474" s="95">
        <f>IF(P474="Hedge Fund",IF(A474=Summary!$AD$3,M474-E474,M474),IF(A474=Summary!$AD$3,L474-D474,L474))</f>
        <v>0</v>
      </c>
      <c r="P474" s="89" t="s">
        <v>155</v>
      </c>
      <c r="Q474" s="89">
        <v>0</v>
      </c>
      <c r="R474" s="89">
        <v>0</v>
      </c>
      <c r="S474" s="89">
        <v>0</v>
      </c>
      <c r="T474" s="89">
        <v>0</v>
      </c>
      <c r="U474" s="89"/>
      <c r="V474" s="89"/>
      <c r="W474" s="89"/>
      <c r="X474" s="89"/>
      <c r="Y474" s="89"/>
      <c r="Z474" s="89"/>
      <c r="AA474" s="89"/>
      <c r="AB474" s="89"/>
      <c r="AC474" s="355"/>
      <c r="AD474" s="355"/>
      <c r="AE474" s="355"/>
      <c r="AF474" s="94">
        <f t="shared" si="65"/>
        <v>42216</v>
      </c>
      <c r="AG474" s="185">
        <f t="shared" si="61"/>
        <v>-5.2218478292014203E-2</v>
      </c>
      <c r="AH474" s="339" t="str">
        <f>VLOOKUP(B474,'MF PF'!A:B,2)</f>
        <v>FdMgt1</v>
      </c>
      <c r="AI474" s="358">
        <f t="shared" si="66"/>
        <v>0</v>
      </c>
      <c r="AJ474" s="94">
        <f t="shared" si="67"/>
        <v>42216</v>
      </c>
    </row>
    <row r="475" spans="1:36" ht="12.75" customHeight="1">
      <c r="A475" s="94">
        <v>42247</v>
      </c>
      <c r="B475" s="8" t="s">
        <v>136</v>
      </c>
      <c r="C475" s="358" t="s">
        <v>343</v>
      </c>
      <c r="D475" s="374">
        <v>3650081.2052000002</v>
      </c>
      <c r="E475" s="9" t="e">
        <f t="shared" si="68"/>
        <v>#DIV/0!</v>
      </c>
      <c r="F475" s="47">
        <v>3</v>
      </c>
      <c r="G475" s="47">
        <v>0</v>
      </c>
      <c r="H475" s="47"/>
      <c r="I475" s="47">
        <v>0</v>
      </c>
      <c r="J475" s="98"/>
      <c r="K475" s="93"/>
      <c r="L475" s="93">
        <f t="shared" si="63"/>
        <v>0</v>
      </c>
      <c r="M475" s="95" t="e">
        <f t="shared" ca="1" si="64"/>
        <v>#DIV/0!</v>
      </c>
      <c r="N475" s="95">
        <f>IF(P475="Hedge Fund",IF(A475=Summary!$AD$3,M475-E475,M475),IF(A475=Summary!$AD$3,L475-D475,L475))</f>
        <v>0</v>
      </c>
      <c r="P475" s="89" t="s">
        <v>155</v>
      </c>
      <c r="Q475" s="107">
        <v>0</v>
      </c>
      <c r="R475" s="107">
        <v>0</v>
      </c>
      <c r="S475" s="89">
        <v>0</v>
      </c>
      <c r="T475" s="89">
        <v>0</v>
      </c>
      <c r="U475" s="89"/>
      <c r="V475" s="89"/>
      <c r="W475" s="89"/>
      <c r="X475" s="89"/>
      <c r="Y475" s="89"/>
      <c r="Z475" s="89"/>
      <c r="AA475" s="89"/>
      <c r="AB475" s="89"/>
      <c r="AC475" s="355"/>
      <c r="AD475" s="355"/>
      <c r="AE475" s="355"/>
      <c r="AF475" s="94">
        <f t="shared" si="65"/>
        <v>42247</v>
      </c>
      <c r="AG475" s="185">
        <f t="shared" si="61"/>
        <v>-5.5780731062826661E-2</v>
      </c>
      <c r="AH475" s="339" t="str">
        <f>VLOOKUP(B475,'MF PF'!A:B,2)</f>
        <v>FdMgt1</v>
      </c>
      <c r="AI475" s="358">
        <f t="shared" si="66"/>
        <v>0</v>
      </c>
      <c r="AJ475" s="94">
        <f t="shared" si="67"/>
        <v>42247</v>
      </c>
    </row>
    <row r="476" spans="1:36" ht="12.75" customHeight="1">
      <c r="A476" s="94">
        <v>42277</v>
      </c>
      <c r="B476" s="8" t="s">
        <v>136</v>
      </c>
      <c r="C476" s="6" t="s">
        <v>343</v>
      </c>
      <c r="D476" s="374">
        <v>3689699.3336999998</v>
      </c>
      <c r="E476" s="9" t="e">
        <f t="shared" si="68"/>
        <v>#DIV/0!</v>
      </c>
      <c r="F476" s="47">
        <v>3</v>
      </c>
      <c r="G476" s="47">
        <v>0</v>
      </c>
      <c r="H476" s="47"/>
      <c r="I476" s="47">
        <v>0</v>
      </c>
      <c r="J476" s="98"/>
      <c r="K476" s="93"/>
      <c r="L476" s="93">
        <f t="shared" si="63"/>
        <v>0</v>
      </c>
      <c r="M476" s="95" t="e">
        <f t="shared" ca="1" si="64"/>
        <v>#DIV/0!</v>
      </c>
      <c r="N476" s="95">
        <f>IF(P476="Hedge Fund",IF(A476=Summary!$AD$3,M476-E476,M476),IF(A476=Summary!$AD$3,L476-D476,L476))</f>
        <v>0</v>
      </c>
      <c r="P476" s="89" t="s">
        <v>155</v>
      </c>
      <c r="Q476" s="107">
        <v>0</v>
      </c>
      <c r="R476" s="107">
        <v>0</v>
      </c>
      <c r="S476" s="89">
        <v>0</v>
      </c>
      <c r="T476" s="89">
        <v>0</v>
      </c>
      <c r="U476" s="89"/>
      <c r="V476" s="89"/>
      <c r="W476" s="89"/>
      <c r="X476" s="89"/>
      <c r="Y476" s="89"/>
      <c r="Z476" s="89"/>
      <c r="AA476" s="89"/>
      <c r="AB476" s="89"/>
      <c r="AC476" s="355"/>
      <c r="AD476" s="355"/>
      <c r="AE476" s="355"/>
      <c r="AF476" s="94">
        <f t="shared" si="65"/>
        <v>42277</v>
      </c>
      <c r="AG476" s="185">
        <f t="shared" si="61"/>
        <v>1.085404030013315E-2</v>
      </c>
      <c r="AH476" s="339" t="str">
        <f>VLOOKUP(B476,'MF PF'!A:B,2)</f>
        <v>FdMgt1</v>
      </c>
      <c r="AI476" s="358">
        <f t="shared" si="66"/>
        <v>0</v>
      </c>
      <c r="AJ476" s="94">
        <f t="shared" si="67"/>
        <v>42277</v>
      </c>
    </row>
    <row r="477" spans="1:36" ht="12.75" customHeight="1">
      <c r="A477" s="94">
        <v>42307</v>
      </c>
      <c r="B477" s="8" t="s">
        <v>136</v>
      </c>
      <c r="C477" s="92" t="s">
        <v>343</v>
      </c>
      <c r="D477" s="374">
        <v>4043769.9460000005</v>
      </c>
      <c r="E477" s="9" t="e">
        <f t="shared" si="68"/>
        <v>#DIV/0!</v>
      </c>
      <c r="F477" s="47">
        <v>3</v>
      </c>
      <c r="G477" s="47">
        <v>0</v>
      </c>
      <c r="H477" s="47"/>
      <c r="I477" s="47">
        <v>0</v>
      </c>
      <c r="J477" s="98"/>
      <c r="K477" s="93"/>
      <c r="L477" s="93">
        <f t="shared" si="63"/>
        <v>0</v>
      </c>
      <c r="M477" s="95" t="e">
        <f t="shared" ca="1" si="64"/>
        <v>#DIV/0!</v>
      </c>
      <c r="N477" s="95">
        <f>IF(P477="Hedge Fund",IF(A477=Summary!$AD$3,M477-E477,M477),IF(A477=Summary!$AD$3,L477-D477,L477))</f>
        <v>0</v>
      </c>
      <c r="P477" s="89" t="s">
        <v>155</v>
      </c>
      <c r="Q477" s="107">
        <v>0</v>
      </c>
      <c r="R477" s="107">
        <v>0</v>
      </c>
      <c r="S477" s="89">
        <v>0</v>
      </c>
      <c r="T477" s="89">
        <v>0</v>
      </c>
      <c r="U477" s="89"/>
      <c r="V477" s="89"/>
      <c r="W477" s="89"/>
      <c r="X477" s="89"/>
      <c r="Y477" s="89"/>
      <c r="Z477" s="89"/>
      <c r="AA477" s="89"/>
      <c r="AB477" s="89"/>
      <c r="AC477" s="355"/>
      <c r="AD477" s="355"/>
      <c r="AE477" s="355"/>
      <c r="AF477" s="94">
        <f t="shared" si="65"/>
        <v>42307</v>
      </c>
      <c r="AG477" s="185">
        <f t="shared" si="61"/>
        <v>9.5961914583685415E-2</v>
      </c>
      <c r="AH477" s="339" t="str">
        <f>VLOOKUP(B477,'MF PF'!A:B,2)</f>
        <v>FdMgt1</v>
      </c>
      <c r="AI477" s="358">
        <f t="shared" si="66"/>
        <v>0</v>
      </c>
      <c r="AJ477" s="94">
        <f t="shared" si="67"/>
        <v>42308</v>
      </c>
    </row>
    <row r="478" spans="1:36" ht="12.75" customHeight="1">
      <c r="A478" s="94">
        <v>42338</v>
      </c>
      <c r="B478" s="8" t="s">
        <v>136</v>
      </c>
      <c r="C478" s="6" t="s">
        <v>343</v>
      </c>
      <c r="D478" s="374">
        <v>3982468.3794999998</v>
      </c>
      <c r="E478" s="9" t="e">
        <f t="shared" si="68"/>
        <v>#DIV/0!</v>
      </c>
      <c r="F478" s="47">
        <v>3</v>
      </c>
      <c r="G478" s="47">
        <v>0</v>
      </c>
      <c r="H478" s="47"/>
      <c r="I478" s="47">
        <v>0</v>
      </c>
      <c r="J478" s="98"/>
      <c r="L478" s="93">
        <f t="shared" si="63"/>
        <v>0</v>
      </c>
      <c r="M478" s="95" t="e">
        <f t="shared" ca="1" si="64"/>
        <v>#DIV/0!</v>
      </c>
      <c r="N478" s="95">
        <f>IF(P478="Hedge Fund",IF(A478=Summary!$AD$3,M478-E478,M478),IF(A478=Summary!$AD$3,L478-D478,L478))</f>
        <v>0</v>
      </c>
      <c r="P478" s="89" t="s">
        <v>155</v>
      </c>
      <c r="Q478" s="107">
        <v>0</v>
      </c>
      <c r="R478" s="107">
        <v>0</v>
      </c>
      <c r="S478" s="89">
        <v>0</v>
      </c>
      <c r="T478" s="89">
        <v>0</v>
      </c>
      <c r="U478" s="89"/>
      <c r="V478" s="89"/>
      <c r="W478" s="89"/>
      <c r="X478" s="89"/>
      <c r="Y478" s="89"/>
      <c r="Z478" s="89"/>
      <c r="AA478" s="89"/>
      <c r="AB478" s="89"/>
      <c r="AC478" s="355"/>
      <c r="AD478" s="355"/>
      <c r="AE478" s="355"/>
      <c r="AF478" s="94">
        <f t="shared" si="65"/>
        <v>42338</v>
      </c>
      <c r="AG478" s="185">
        <f t="shared" si="61"/>
        <v>-1.5159508903477281E-2</v>
      </c>
      <c r="AH478" s="339" t="str">
        <f>VLOOKUP(B478,'MF PF'!A:B,2)</f>
        <v>FdMgt1</v>
      </c>
      <c r="AI478" s="358">
        <f t="shared" si="66"/>
        <v>0</v>
      </c>
      <c r="AJ478" s="94">
        <f t="shared" si="67"/>
        <v>42338</v>
      </c>
    </row>
    <row r="479" spans="1:36" ht="12.75" customHeight="1">
      <c r="A479" s="94">
        <v>42369</v>
      </c>
      <c r="B479" s="94" t="s">
        <v>136</v>
      </c>
      <c r="C479" s="358" t="s">
        <v>343</v>
      </c>
      <c r="D479" s="374">
        <v>4061089.0263000005</v>
      </c>
      <c r="E479" s="9" t="e">
        <f t="shared" si="68"/>
        <v>#DIV/0!</v>
      </c>
      <c r="F479" s="47">
        <v>3</v>
      </c>
      <c r="G479" s="47">
        <v>0</v>
      </c>
      <c r="H479" s="47"/>
      <c r="I479" s="98">
        <v>0</v>
      </c>
      <c r="J479" s="98"/>
      <c r="L479" s="93">
        <f t="shared" si="63"/>
        <v>0</v>
      </c>
      <c r="M479" s="95" t="e">
        <f t="shared" ca="1" si="64"/>
        <v>#DIV/0!</v>
      </c>
      <c r="N479" s="95">
        <f>IF(P479="Hedge Fund",IF(A479=Summary!$AD$3,M479-E479,M479),IF(A479=Summary!$AD$3,L479-D479,L479))</f>
        <v>0</v>
      </c>
      <c r="P479" s="89" t="s">
        <v>155</v>
      </c>
      <c r="Q479" s="107">
        <v>0</v>
      </c>
      <c r="R479" s="107">
        <v>0</v>
      </c>
      <c r="S479" s="89">
        <v>0</v>
      </c>
      <c r="T479" s="89">
        <v>0</v>
      </c>
      <c r="U479" s="89"/>
      <c r="V479" s="89"/>
      <c r="W479" s="89"/>
      <c r="X479" s="89"/>
      <c r="Y479" s="89"/>
      <c r="Z479" s="89"/>
      <c r="AA479" s="89"/>
      <c r="AB479" s="89"/>
      <c r="AC479" s="355"/>
      <c r="AD479" s="355"/>
      <c r="AE479" s="355"/>
      <c r="AF479" s="94">
        <f t="shared" si="65"/>
        <v>42369</v>
      </c>
      <c r="AG479" s="185">
        <f t="shared" si="61"/>
        <v>1.97416876439509E-2</v>
      </c>
      <c r="AH479" s="339" t="str">
        <f>VLOOKUP(B479,'MF PF'!A:B,2)</f>
        <v>FdMgt1</v>
      </c>
      <c r="AI479" s="358">
        <f t="shared" si="66"/>
        <v>0</v>
      </c>
      <c r="AJ479" s="94">
        <f t="shared" si="67"/>
        <v>42369</v>
      </c>
    </row>
    <row r="480" spans="1:36" ht="12.75" customHeight="1">
      <c r="A480" s="94">
        <v>42398</v>
      </c>
      <c r="B480" s="94" t="s">
        <v>136</v>
      </c>
      <c r="C480" s="358" t="s">
        <v>343</v>
      </c>
      <c r="D480" s="374">
        <v>3895394.3670999999</v>
      </c>
      <c r="E480" s="9" t="e">
        <f t="shared" si="68"/>
        <v>#DIV/0!</v>
      </c>
      <c r="F480" s="47">
        <v>3</v>
      </c>
      <c r="G480" s="47">
        <v>0</v>
      </c>
      <c r="H480" s="47"/>
      <c r="I480" s="98">
        <v>0</v>
      </c>
      <c r="J480" s="98"/>
      <c r="K480" s="93"/>
      <c r="L480" s="93">
        <f t="shared" si="63"/>
        <v>0</v>
      </c>
      <c r="M480" s="95" t="e">
        <f t="shared" ca="1" si="64"/>
        <v>#DIV/0!</v>
      </c>
      <c r="N480" s="95">
        <f>IF(P480="Hedge Fund",IF(A480=Summary!$AD$3,M480-E480,M480),IF(A480=Summary!$AD$3,L480-D480,L480))</f>
        <v>0</v>
      </c>
      <c r="P480" s="89" t="s">
        <v>155</v>
      </c>
      <c r="Q480" s="107">
        <v>0</v>
      </c>
      <c r="R480" s="107">
        <v>0</v>
      </c>
      <c r="S480" s="89">
        <v>0</v>
      </c>
      <c r="T480" s="89">
        <v>0</v>
      </c>
      <c r="U480" s="89"/>
      <c r="V480" s="89"/>
      <c r="W480" s="89"/>
      <c r="X480" s="89"/>
      <c r="Y480" s="89"/>
      <c r="Z480" s="89"/>
      <c r="AA480" s="89"/>
      <c r="AB480" s="89"/>
      <c r="AC480" s="355"/>
      <c r="AD480" s="355"/>
      <c r="AE480" s="355"/>
      <c r="AF480" s="94">
        <f t="shared" si="65"/>
        <v>42398</v>
      </c>
      <c r="AG480" s="185">
        <f t="shared" si="61"/>
        <v>-4.0800548357090016E-2</v>
      </c>
      <c r="AH480" s="339" t="str">
        <f>VLOOKUP(B480,'MF PF'!A:B,2)</f>
        <v>FdMgt1</v>
      </c>
      <c r="AI480" s="358">
        <f t="shared" si="66"/>
        <v>0</v>
      </c>
      <c r="AJ480" s="94">
        <f t="shared" si="67"/>
        <v>42400</v>
      </c>
    </row>
    <row r="481" spans="1:36" ht="12.75" customHeight="1">
      <c r="A481" s="94">
        <v>42429</v>
      </c>
      <c r="B481" s="94" t="s">
        <v>136</v>
      </c>
      <c r="C481" s="358" t="s">
        <v>343</v>
      </c>
      <c r="D481" s="374">
        <v>4134414.9668999999</v>
      </c>
      <c r="E481" s="9" t="e">
        <f t="shared" si="68"/>
        <v>#DIV/0!</v>
      </c>
      <c r="F481" s="47">
        <v>3</v>
      </c>
      <c r="G481" s="47">
        <v>0</v>
      </c>
      <c r="H481" s="47"/>
      <c r="I481" s="98">
        <v>0</v>
      </c>
      <c r="J481" s="98"/>
      <c r="K481" s="93"/>
      <c r="L481" s="93">
        <f t="shared" si="63"/>
        <v>0</v>
      </c>
      <c r="M481" s="95" t="e">
        <f t="shared" ca="1" si="64"/>
        <v>#DIV/0!</v>
      </c>
      <c r="N481" s="95">
        <f>IF(P481="Hedge Fund",IF(A481=Summary!$AD$3,M481-E481,M481),IF(A481=Summary!$AD$3,L481-D481,L481))</f>
        <v>0</v>
      </c>
      <c r="P481" s="89" t="s">
        <v>155</v>
      </c>
      <c r="Q481" s="107">
        <v>0</v>
      </c>
      <c r="R481" s="107">
        <v>0</v>
      </c>
      <c r="S481" s="89">
        <v>0</v>
      </c>
      <c r="T481" s="89">
        <v>0</v>
      </c>
      <c r="U481" s="89"/>
      <c r="V481" s="89"/>
      <c r="W481" s="89"/>
      <c r="X481" s="89"/>
      <c r="Y481" s="89"/>
      <c r="Z481" s="89"/>
      <c r="AA481" s="89"/>
      <c r="AB481" s="89"/>
      <c r="AC481" s="355"/>
      <c r="AD481" s="355"/>
      <c r="AE481" s="355"/>
      <c r="AF481" s="94">
        <f t="shared" si="65"/>
        <v>42429</v>
      </c>
      <c r="AG481" s="185">
        <f t="shared" si="61"/>
        <v>6.1359794997584149E-2</v>
      </c>
      <c r="AH481" s="339" t="str">
        <f>VLOOKUP(B481,'MF PF'!A:B,2)</f>
        <v>FdMgt1</v>
      </c>
      <c r="AI481" s="358">
        <f t="shared" si="66"/>
        <v>0</v>
      </c>
      <c r="AJ481" s="94">
        <f t="shared" si="67"/>
        <v>42429</v>
      </c>
    </row>
    <row r="482" spans="1:36" ht="12.75" customHeight="1">
      <c r="A482" s="94">
        <v>42460</v>
      </c>
      <c r="B482" s="94" t="s">
        <v>136</v>
      </c>
      <c r="C482" s="358" t="s">
        <v>343</v>
      </c>
      <c r="D482" s="374">
        <v>4314428.3945000004</v>
      </c>
      <c r="E482" s="9" t="e">
        <f t="shared" si="68"/>
        <v>#DIV/0!</v>
      </c>
      <c r="F482" s="47">
        <v>3</v>
      </c>
      <c r="G482" s="47">
        <v>0</v>
      </c>
      <c r="H482" s="47"/>
      <c r="I482" s="98">
        <v>0</v>
      </c>
      <c r="J482" s="98"/>
      <c r="L482" s="93">
        <f t="shared" si="63"/>
        <v>0</v>
      </c>
      <c r="M482" s="95" t="e">
        <f t="shared" ca="1" si="64"/>
        <v>#DIV/0!</v>
      </c>
      <c r="N482" s="95">
        <f>IF(P482="Hedge Fund",IF(A482=Summary!$AD$3,M482-E482,M482),IF(A482=Summary!$AD$3,L482-D482,L482))</f>
        <v>0</v>
      </c>
      <c r="P482" s="89" t="s">
        <v>155</v>
      </c>
      <c r="Q482" s="107">
        <v>0</v>
      </c>
      <c r="R482" s="107">
        <v>0</v>
      </c>
      <c r="S482" s="89">
        <v>0</v>
      </c>
      <c r="T482" s="89">
        <v>0</v>
      </c>
      <c r="U482" s="89"/>
      <c r="V482" s="89"/>
      <c r="W482" s="89"/>
      <c r="X482" s="89"/>
      <c r="Y482" s="89"/>
      <c r="Z482" s="89"/>
      <c r="AA482" s="89"/>
      <c r="AB482" s="89"/>
      <c r="AC482" s="355"/>
      <c r="AD482" s="355"/>
      <c r="AE482" s="355"/>
      <c r="AF482" s="94">
        <f t="shared" si="65"/>
        <v>42460</v>
      </c>
      <c r="AG482" s="185">
        <f t="shared" si="61"/>
        <v>4.3540241857961126E-2</v>
      </c>
      <c r="AH482" s="339" t="str">
        <f>VLOOKUP(B482,'MF PF'!A:B,2)</f>
        <v>FdMgt1</v>
      </c>
      <c r="AI482" s="358">
        <f t="shared" si="66"/>
        <v>0</v>
      </c>
      <c r="AJ482" s="94">
        <f t="shared" si="67"/>
        <v>42460</v>
      </c>
    </row>
    <row r="483" spans="1:36" ht="12.75" customHeight="1">
      <c r="A483" s="94">
        <v>42489</v>
      </c>
      <c r="B483" s="94" t="s">
        <v>136</v>
      </c>
      <c r="C483" s="358" t="s">
        <v>343</v>
      </c>
      <c r="D483" s="374">
        <v>4549045.8778999997</v>
      </c>
      <c r="E483" s="9" t="e">
        <f t="shared" si="68"/>
        <v>#DIV/0!</v>
      </c>
      <c r="F483" s="98">
        <v>3</v>
      </c>
      <c r="G483" s="98">
        <v>0</v>
      </c>
      <c r="H483" s="98"/>
      <c r="I483" s="98">
        <v>0</v>
      </c>
      <c r="J483" s="98"/>
      <c r="L483" s="93">
        <f t="shared" si="63"/>
        <v>0</v>
      </c>
      <c r="M483" s="95" t="e">
        <f t="shared" ca="1" si="64"/>
        <v>#DIV/0!</v>
      </c>
      <c r="N483" s="95">
        <f>IF(P483="Hedge Fund",IF(A483=Summary!$AD$3,M483-E483,M483),IF(A483=Summary!$AD$3,L483-D483,L483))</f>
        <v>0</v>
      </c>
      <c r="P483" s="107" t="s">
        <v>155</v>
      </c>
      <c r="Q483" s="107">
        <v>0</v>
      </c>
      <c r="R483" s="107">
        <v>0</v>
      </c>
      <c r="S483" s="107">
        <v>0</v>
      </c>
      <c r="T483" s="107">
        <v>0</v>
      </c>
      <c r="U483" s="107"/>
      <c r="V483" s="107"/>
      <c r="W483" s="107"/>
      <c r="X483" s="107"/>
      <c r="Y483" s="107"/>
      <c r="Z483" s="107"/>
      <c r="AA483" s="107"/>
      <c r="AB483" s="107"/>
      <c r="AC483" s="355"/>
      <c r="AD483" s="355"/>
      <c r="AE483" s="355"/>
      <c r="AF483" s="94">
        <f t="shared" si="65"/>
        <v>42489</v>
      </c>
      <c r="AG483" s="185">
        <f t="shared" si="61"/>
        <v>5.437973746396807E-2</v>
      </c>
      <c r="AH483" s="339" t="str">
        <f>VLOOKUP(B483,'MF PF'!A:B,2)</f>
        <v>FdMgt1</v>
      </c>
      <c r="AI483" s="358">
        <f t="shared" si="66"/>
        <v>0</v>
      </c>
      <c r="AJ483" s="94">
        <f t="shared" si="67"/>
        <v>42490</v>
      </c>
    </row>
    <row r="484" spans="1:36" ht="12.75" customHeight="1">
      <c r="A484" s="94">
        <v>42521</v>
      </c>
      <c r="B484" s="94" t="s">
        <v>136</v>
      </c>
      <c r="C484" s="358" t="s">
        <v>343</v>
      </c>
      <c r="D484" s="374">
        <v>4877021.4655999998</v>
      </c>
      <c r="E484" s="9" t="e">
        <f t="shared" si="68"/>
        <v>#DIV/0!</v>
      </c>
      <c r="F484" s="98">
        <v>3</v>
      </c>
      <c r="G484" s="98">
        <v>0</v>
      </c>
      <c r="H484" s="98"/>
      <c r="I484" s="98">
        <v>0</v>
      </c>
      <c r="J484" s="98"/>
      <c r="L484" s="93">
        <f t="shared" si="63"/>
        <v>0</v>
      </c>
      <c r="M484" s="95" t="e">
        <f t="shared" ca="1" si="64"/>
        <v>#DIV/0!</v>
      </c>
      <c r="N484" s="95">
        <f>IF(P484="Hedge Fund",IF(A484=Summary!$AD$3,M484-E484,M484),IF(A484=Summary!$AD$3,L484-D484,L484))</f>
        <v>0</v>
      </c>
      <c r="P484" s="107" t="s">
        <v>155</v>
      </c>
      <c r="Q484" s="107">
        <v>0</v>
      </c>
      <c r="R484" s="107">
        <v>0</v>
      </c>
      <c r="S484" s="107">
        <v>0</v>
      </c>
      <c r="T484" s="107">
        <v>0</v>
      </c>
      <c r="U484" s="107"/>
      <c r="V484" s="107"/>
      <c r="W484" s="107"/>
      <c r="X484" s="107"/>
      <c r="Y484" s="107"/>
      <c r="Z484" s="107"/>
      <c r="AA484" s="107"/>
      <c r="AB484" s="107"/>
      <c r="AC484" s="355"/>
      <c r="AD484" s="355"/>
      <c r="AE484" s="355"/>
      <c r="AF484" s="94">
        <f t="shared" si="65"/>
        <v>42521</v>
      </c>
      <c r="AG484" s="185">
        <f t="shared" si="61"/>
        <v>7.2097665423283219E-2</v>
      </c>
      <c r="AH484" s="339" t="str">
        <f>VLOOKUP(B484,'MF PF'!A:B,2)</f>
        <v>FdMgt1</v>
      </c>
      <c r="AI484" s="358">
        <f t="shared" si="66"/>
        <v>0</v>
      </c>
      <c r="AJ484" s="94">
        <f t="shared" si="67"/>
        <v>42521</v>
      </c>
    </row>
    <row r="485" spans="1:36" ht="12.75" customHeight="1">
      <c r="A485" s="94">
        <v>42551</v>
      </c>
      <c r="B485" s="94" t="s">
        <v>136</v>
      </c>
      <c r="C485" s="358" t="s">
        <v>343</v>
      </c>
      <c r="D485" s="374">
        <v>5279719.1511000004</v>
      </c>
      <c r="E485" s="9" t="e">
        <f t="shared" ref="E485:E509" si="69">D485/K485</f>
        <v>#DIV/0!</v>
      </c>
      <c r="F485" s="98">
        <v>3</v>
      </c>
      <c r="G485" s="98">
        <v>0</v>
      </c>
      <c r="H485" s="98"/>
      <c r="I485" s="98">
        <v>0</v>
      </c>
      <c r="J485" s="98"/>
      <c r="K485" s="93"/>
      <c r="L485" s="93">
        <f t="shared" si="63"/>
        <v>0</v>
      </c>
      <c r="M485" s="95" t="e">
        <f t="shared" ca="1" si="64"/>
        <v>#DIV/0!</v>
      </c>
      <c r="N485" s="95">
        <f>IF(P485="Hedge Fund",IF(A485=Summary!$AD$3,M485-E485,M485),IF(A485=Summary!$AD$3,L485-D485,L485))</f>
        <v>0</v>
      </c>
      <c r="P485" s="107" t="s">
        <v>155</v>
      </c>
      <c r="Q485" s="107">
        <v>0</v>
      </c>
      <c r="R485" s="107">
        <v>0</v>
      </c>
      <c r="S485" s="107">
        <v>0</v>
      </c>
      <c r="T485" s="107">
        <v>0</v>
      </c>
      <c r="U485" s="107"/>
      <c r="V485" s="107"/>
      <c r="W485" s="107"/>
      <c r="X485" s="107"/>
      <c r="Y485" s="107"/>
      <c r="Z485" s="107"/>
      <c r="AA485" s="107"/>
      <c r="AB485" s="107"/>
      <c r="AC485" s="355"/>
      <c r="AD485" s="355"/>
      <c r="AE485" s="355"/>
      <c r="AF485" s="94">
        <f t="shared" si="65"/>
        <v>42551</v>
      </c>
      <c r="AG485" s="185">
        <f t="shared" si="61"/>
        <v>8.2570414819869598E-2</v>
      </c>
      <c r="AH485" s="339" t="str">
        <f>VLOOKUP(B485,'MF PF'!A:B,2)</f>
        <v>FdMgt1</v>
      </c>
      <c r="AI485" s="358">
        <f t="shared" si="66"/>
        <v>0</v>
      </c>
      <c r="AJ485" s="94">
        <f t="shared" si="67"/>
        <v>42551</v>
      </c>
    </row>
    <row r="486" spans="1:36" ht="12.75" customHeight="1">
      <c r="A486" s="94">
        <v>42580</v>
      </c>
      <c r="B486" s="94" t="s">
        <v>136</v>
      </c>
      <c r="C486" s="358" t="s">
        <v>343</v>
      </c>
      <c r="D486" s="374">
        <v>5480885.3323999997</v>
      </c>
      <c r="E486" s="9" t="e">
        <f t="shared" si="69"/>
        <v>#DIV/0!</v>
      </c>
      <c r="F486" s="98">
        <v>3</v>
      </c>
      <c r="G486" s="98">
        <v>0</v>
      </c>
      <c r="H486" s="98"/>
      <c r="I486" s="98">
        <v>0</v>
      </c>
      <c r="J486" s="98"/>
      <c r="K486" s="93"/>
      <c r="L486" s="93">
        <f t="shared" si="63"/>
        <v>0</v>
      </c>
      <c r="M486" s="95" t="e">
        <f t="shared" ca="1" si="64"/>
        <v>#DIV/0!</v>
      </c>
      <c r="N486" s="95">
        <f>IF(P486="Hedge Fund",IF(A486=Summary!$AD$3,M486-E486,M486),IF(A486=Summary!$AD$3,L486-D486,L486))</f>
        <v>0</v>
      </c>
      <c r="P486" s="89" t="s">
        <v>155</v>
      </c>
      <c r="Q486" s="107">
        <v>0</v>
      </c>
      <c r="R486" s="107">
        <v>0</v>
      </c>
      <c r="S486" s="107">
        <v>0</v>
      </c>
      <c r="T486" s="107">
        <v>0</v>
      </c>
      <c r="U486" s="107"/>
      <c r="V486" s="107"/>
      <c r="W486" s="107"/>
      <c r="X486" s="107"/>
      <c r="Y486" s="107"/>
      <c r="Z486" s="107"/>
      <c r="AA486" s="107"/>
      <c r="AB486" s="107"/>
      <c r="AC486" s="355"/>
      <c r="AD486" s="355"/>
      <c r="AE486" s="355"/>
      <c r="AF486" s="94">
        <f t="shared" si="65"/>
        <v>42580</v>
      </c>
      <c r="AG486" s="185">
        <f t="shared" si="61"/>
        <v>3.8101682218852018E-2</v>
      </c>
      <c r="AH486" s="339" t="str">
        <f>VLOOKUP(B486,'MF PF'!A:B,2)</f>
        <v>FdMgt1</v>
      </c>
      <c r="AI486" s="358">
        <f t="shared" si="66"/>
        <v>0</v>
      </c>
      <c r="AJ486" s="94">
        <f t="shared" si="67"/>
        <v>42582</v>
      </c>
    </row>
    <row r="487" spans="1:36" ht="12.75" customHeight="1">
      <c r="A487" s="94">
        <v>42613</v>
      </c>
      <c r="B487" s="94" t="s">
        <v>136</v>
      </c>
      <c r="C487" s="92" t="s">
        <v>343</v>
      </c>
      <c r="D487" s="374">
        <v>5425331.6677999999</v>
      </c>
      <c r="E487" s="9" t="e">
        <f t="shared" si="69"/>
        <v>#DIV/0!</v>
      </c>
      <c r="F487" s="98">
        <v>3</v>
      </c>
      <c r="G487" s="98">
        <v>0</v>
      </c>
      <c r="H487" s="98"/>
      <c r="I487" s="98">
        <v>0</v>
      </c>
      <c r="J487" s="98"/>
      <c r="K487" s="93"/>
      <c r="L487" s="93">
        <f t="shared" si="63"/>
        <v>0</v>
      </c>
      <c r="M487" s="95" t="e">
        <f t="shared" ca="1" si="64"/>
        <v>#DIV/0!</v>
      </c>
      <c r="N487" s="95">
        <f>IF(P487="Hedge Fund",IF(A487=Summary!$AD$3,M487-E487,M487),IF(A487=Summary!$AD$3,L487-D487,L487))</f>
        <v>0</v>
      </c>
      <c r="P487" s="107" t="s">
        <v>155</v>
      </c>
      <c r="Q487" s="107">
        <v>0</v>
      </c>
      <c r="R487" s="107">
        <v>0</v>
      </c>
      <c r="S487" s="107">
        <v>0</v>
      </c>
      <c r="T487" s="107">
        <v>0</v>
      </c>
      <c r="U487" s="107"/>
      <c r="V487" s="107"/>
      <c r="W487" s="107"/>
      <c r="X487" s="107"/>
      <c r="Y487" s="107"/>
      <c r="Z487" s="107"/>
      <c r="AA487" s="107"/>
      <c r="AB487" s="107"/>
      <c r="AC487" s="355"/>
      <c r="AD487" s="355"/>
      <c r="AE487" s="355"/>
      <c r="AF487" s="94">
        <f t="shared" si="65"/>
        <v>42613</v>
      </c>
      <c r="AG487" s="185">
        <f t="shared" si="61"/>
        <v>-1.0135892512035727E-2</v>
      </c>
      <c r="AH487" s="339" t="str">
        <f>VLOOKUP(B487,'MF PF'!A:B,2)</f>
        <v>FdMgt1</v>
      </c>
      <c r="AI487" s="358">
        <f t="shared" si="66"/>
        <v>0</v>
      </c>
      <c r="AJ487" s="94">
        <f t="shared" si="67"/>
        <v>42613</v>
      </c>
    </row>
    <row r="488" spans="1:36" ht="12.75" customHeight="1">
      <c r="A488" s="94">
        <v>42643</v>
      </c>
      <c r="B488" s="94" t="s">
        <v>136</v>
      </c>
      <c r="C488" s="358" t="s">
        <v>343</v>
      </c>
      <c r="D488" s="374">
        <v>6208452.7115000002</v>
      </c>
      <c r="E488" s="9" t="e">
        <f t="shared" si="69"/>
        <v>#DIV/0!</v>
      </c>
      <c r="F488" s="98">
        <v>3</v>
      </c>
      <c r="G488" s="98">
        <v>0</v>
      </c>
      <c r="H488" s="98"/>
      <c r="I488" s="98">
        <v>0</v>
      </c>
      <c r="J488" s="98"/>
      <c r="K488" s="93"/>
      <c r="L488" s="93">
        <f t="shared" si="63"/>
        <v>0</v>
      </c>
      <c r="M488" s="95" t="e">
        <f t="shared" ca="1" si="64"/>
        <v>#DIV/0!</v>
      </c>
      <c r="N488" s="95">
        <f>IF(P488="Hedge Fund",IF(A488=Summary!$AD$3,M488-E488,M488),IF(A488=Summary!$AD$3,L488-D488,L488))</f>
        <v>0</v>
      </c>
      <c r="O488" s="95"/>
      <c r="P488" s="107" t="s">
        <v>155</v>
      </c>
      <c r="Q488" s="107">
        <v>0</v>
      </c>
      <c r="R488" s="107">
        <v>0</v>
      </c>
      <c r="S488" s="107">
        <v>0</v>
      </c>
      <c r="T488" s="107">
        <v>0</v>
      </c>
      <c r="U488" s="107"/>
      <c r="V488" s="107"/>
      <c r="W488" s="107"/>
      <c r="X488" s="107"/>
      <c r="Y488" s="107"/>
      <c r="Z488" s="107"/>
      <c r="AA488" s="107"/>
      <c r="AB488" s="107"/>
      <c r="AC488" s="355"/>
      <c r="AD488" s="355"/>
      <c r="AE488" s="355"/>
      <c r="AF488" s="94">
        <f t="shared" si="65"/>
        <v>42643</v>
      </c>
      <c r="AG488" s="185">
        <f t="shared" si="61"/>
        <v>0.14434528461143104</v>
      </c>
      <c r="AH488" s="339" t="str">
        <f>VLOOKUP(B488,'MF PF'!A:B,2)</f>
        <v>FdMgt1</v>
      </c>
      <c r="AI488" s="358">
        <f t="shared" si="66"/>
        <v>0</v>
      </c>
      <c r="AJ488" s="94">
        <f t="shared" si="67"/>
        <v>42643</v>
      </c>
    </row>
    <row r="489" spans="1:36" ht="12.75" customHeight="1">
      <c r="A489" s="94">
        <v>42674</v>
      </c>
      <c r="B489" s="94" t="s">
        <v>136</v>
      </c>
      <c r="C489" s="6" t="s">
        <v>343</v>
      </c>
      <c r="D489" s="374">
        <v>6837924.6140000001</v>
      </c>
      <c r="E489" s="9" t="e">
        <f t="shared" si="69"/>
        <v>#DIV/0!</v>
      </c>
      <c r="F489" s="98">
        <v>3</v>
      </c>
      <c r="G489" s="98">
        <v>0</v>
      </c>
      <c r="H489" s="98"/>
      <c r="I489" s="98">
        <v>0</v>
      </c>
      <c r="J489" s="98"/>
      <c r="K489" s="93"/>
      <c r="L489" s="93">
        <f t="shared" si="63"/>
        <v>0</v>
      </c>
      <c r="M489" s="95" t="e">
        <f t="shared" ca="1" si="64"/>
        <v>#DIV/0!</v>
      </c>
      <c r="N489" s="95">
        <f>IF(P489="Hedge Fund",IF(A489=Summary!$AD$3,M489-E489,M489),IF(A489=Summary!$AD$3,L489-D489,L489))</f>
        <v>0</v>
      </c>
      <c r="O489" s="95"/>
      <c r="P489" s="107" t="s">
        <v>155</v>
      </c>
      <c r="Q489" s="107">
        <v>0</v>
      </c>
      <c r="R489" s="107">
        <v>0</v>
      </c>
      <c r="S489" s="107">
        <v>0</v>
      </c>
      <c r="T489" s="107">
        <v>0</v>
      </c>
      <c r="U489" s="107"/>
      <c r="V489" s="107"/>
      <c r="W489" s="107"/>
      <c r="X489" s="107"/>
      <c r="Y489" s="107"/>
      <c r="Z489" s="107"/>
      <c r="AA489" s="107"/>
      <c r="AB489" s="107"/>
      <c r="AC489" s="355"/>
      <c r="AD489" s="355"/>
      <c r="AE489" s="355"/>
      <c r="AF489" s="94">
        <f t="shared" si="65"/>
        <v>42674</v>
      </c>
      <c r="AG489" s="185">
        <f t="shared" si="61"/>
        <v>0.10138949779451822</v>
      </c>
      <c r="AH489" s="339" t="str">
        <f>VLOOKUP(B489,'MF PF'!A:B,2)</f>
        <v>FdMgt1</v>
      </c>
      <c r="AI489" s="358">
        <f t="shared" si="66"/>
        <v>0</v>
      </c>
      <c r="AJ489" s="94">
        <f t="shared" si="67"/>
        <v>42674</v>
      </c>
    </row>
    <row r="490" spans="1:36" ht="12.75" customHeight="1">
      <c r="A490" s="94">
        <v>42704</v>
      </c>
      <c r="B490" s="94" t="s">
        <v>136</v>
      </c>
      <c r="C490" s="6" t="s">
        <v>343</v>
      </c>
      <c r="D490" s="374">
        <v>6956428.8748000003</v>
      </c>
      <c r="E490" s="9" t="e">
        <f t="shared" si="69"/>
        <v>#DIV/0!</v>
      </c>
      <c r="F490" s="98">
        <v>3</v>
      </c>
      <c r="G490" s="98">
        <v>0</v>
      </c>
      <c r="H490" s="98"/>
      <c r="I490" s="98">
        <v>0</v>
      </c>
      <c r="J490" s="98"/>
      <c r="K490" s="93"/>
      <c r="L490" s="93">
        <f t="shared" si="63"/>
        <v>0</v>
      </c>
      <c r="M490" s="95" t="e">
        <f t="shared" ca="1" si="64"/>
        <v>#DIV/0!</v>
      </c>
      <c r="N490" s="95">
        <f>IF(P490="Hedge Fund",IF(A490=Summary!$AD$3,M490-E490,M490),IF(A490=Summary!$AD$3,L490-D490,L490))</f>
        <v>0</v>
      </c>
      <c r="P490" s="107" t="s">
        <v>155</v>
      </c>
      <c r="Q490" s="107">
        <v>0</v>
      </c>
      <c r="R490" s="107">
        <v>0</v>
      </c>
      <c r="S490" s="107">
        <v>0</v>
      </c>
      <c r="T490" s="107">
        <v>0</v>
      </c>
      <c r="U490" s="107"/>
      <c r="V490" s="107"/>
      <c r="W490" s="107"/>
      <c r="X490" s="107"/>
      <c r="Y490" s="107"/>
      <c r="Z490" s="107"/>
      <c r="AA490" s="107"/>
      <c r="AB490" s="107"/>
      <c r="AC490" s="355"/>
      <c r="AD490" s="355"/>
      <c r="AE490" s="355"/>
      <c r="AF490" s="94">
        <f t="shared" si="65"/>
        <v>42704</v>
      </c>
      <c r="AG490" s="185">
        <f t="shared" si="61"/>
        <v>1.7330442713184402E-2</v>
      </c>
      <c r="AH490" s="339" t="str">
        <f>VLOOKUP(B490,'MF PF'!A:B,2)</f>
        <v>FdMgt1</v>
      </c>
      <c r="AI490" s="358">
        <f t="shared" si="66"/>
        <v>0</v>
      </c>
      <c r="AJ490" s="94">
        <f t="shared" si="67"/>
        <v>42704</v>
      </c>
    </row>
    <row r="491" spans="1:36" s="358" customFormat="1" ht="12.75" customHeight="1">
      <c r="A491" s="94">
        <v>42734</v>
      </c>
      <c r="B491" s="94" t="s">
        <v>136</v>
      </c>
      <c r="C491" s="358" t="s">
        <v>343</v>
      </c>
      <c r="D491" s="374">
        <v>6774999.5607000003</v>
      </c>
      <c r="E491" s="95" t="e">
        <f t="shared" si="69"/>
        <v>#DIV/0!</v>
      </c>
      <c r="F491" s="98">
        <v>3</v>
      </c>
      <c r="G491" s="98">
        <v>0</v>
      </c>
      <c r="H491" s="98"/>
      <c r="I491" s="98">
        <v>0</v>
      </c>
      <c r="J491" s="98"/>
      <c r="K491" s="93"/>
      <c r="L491" s="93">
        <f t="shared" si="63"/>
        <v>0</v>
      </c>
      <c r="M491" s="95" t="e">
        <f t="shared" ca="1" si="64"/>
        <v>#DIV/0!</v>
      </c>
      <c r="N491" s="95">
        <f>IF(P491="Hedge Fund",IF(A491=Summary!$AD$3,M491-E491,M491),IF(A491=Summary!$AD$3,L491-D491,L491))</f>
        <v>0</v>
      </c>
      <c r="O491" s="95"/>
      <c r="P491" s="107" t="s">
        <v>155</v>
      </c>
      <c r="Q491" s="107">
        <v>0</v>
      </c>
      <c r="R491" s="107">
        <v>0</v>
      </c>
      <c r="S491" s="107">
        <v>0</v>
      </c>
      <c r="T491" s="107">
        <v>0</v>
      </c>
      <c r="U491" s="107"/>
      <c r="V491" s="107"/>
      <c r="W491" s="107"/>
      <c r="X491" s="107"/>
      <c r="Y491" s="107"/>
      <c r="Z491" s="107"/>
      <c r="AA491" s="107"/>
      <c r="AB491" s="107"/>
      <c r="AF491" s="94">
        <f t="shared" si="65"/>
        <v>42734</v>
      </c>
      <c r="AG491" s="185">
        <f t="shared" si="61"/>
        <v>-2.6080812061090253E-2</v>
      </c>
      <c r="AH491" s="339" t="str">
        <f>VLOOKUP(B491,'MF PF'!A:B,2)</f>
        <v>FdMgt1</v>
      </c>
      <c r="AI491" s="358">
        <f t="shared" si="66"/>
        <v>0</v>
      </c>
      <c r="AJ491" s="94">
        <f t="shared" si="67"/>
        <v>42735</v>
      </c>
    </row>
    <row r="492" spans="1:36" ht="12.75" customHeight="1">
      <c r="A492" s="94">
        <v>42762</v>
      </c>
      <c r="B492" s="94" t="s">
        <v>136</v>
      </c>
      <c r="C492" s="358" t="s">
        <v>343</v>
      </c>
      <c r="D492" s="374">
        <v>7129025.3021999998</v>
      </c>
      <c r="E492" s="9" t="e">
        <f t="shared" si="69"/>
        <v>#DIV/0!</v>
      </c>
      <c r="F492" s="98">
        <v>3</v>
      </c>
      <c r="G492" s="98">
        <v>0</v>
      </c>
      <c r="H492" s="98"/>
      <c r="I492" s="98">
        <v>0</v>
      </c>
      <c r="J492" s="98"/>
      <c r="K492" s="93"/>
      <c r="L492" s="93">
        <f t="shared" si="63"/>
        <v>0</v>
      </c>
      <c r="M492" s="95" t="e">
        <f t="shared" ca="1" si="64"/>
        <v>#DIV/0!</v>
      </c>
      <c r="N492" s="95">
        <f>IF(P492="Hedge Fund",IF(A492=Summary!$AD$3,M492-E492,M492),IF(A492=Summary!$AD$3,L492-D492,L492))</f>
        <v>0</v>
      </c>
      <c r="P492" s="89" t="s">
        <v>155</v>
      </c>
      <c r="Q492" s="107">
        <v>0</v>
      </c>
      <c r="R492" s="107">
        <v>0</v>
      </c>
      <c r="S492" s="107">
        <v>0</v>
      </c>
      <c r="T492" s="107">
        <v>0</v>
      </c>
      <c r="U492" s="107"/>
      <c r="V492" s="107"/>
      <c r="W492" s="107"/>
      <c r="X492" s="107"/>
      <c r="Y492" s="107"/>
      <c r="Z492" s="107"/>
      <c r="AA492" s="107"/>
      <c r="AB492" s="107"/>
      <c r="AC492" s="355"/>
      <c r="AD492" s="355"/>
      <c r="AE492" s="355"/>
      <c r="AF492" s="94">
        <f t="shared" si="65"/>
        <v>42762</v>
      </c>
      <c r="AG492" s="185">
        <f t="shared" si="61"/>
        <v>5.2254725380885603E-2</v>
      </c>
      <c r="AH492" s="339" t="str">
        <f>VLOOKUP(B492,'MF PF'!A:B,2)</f>
        <v>FdMgt1</v>
      </c>
      <c r="AI492" s="358">
        <f t="shared" si="66"/>
        <v>0</v>
      </c>
      <c r="AJ492" s="94">
        <f t="shared" si="67"/>
        <v>42766</v>
      </c>
    </row>
    <row r="493" spans="1:36" ht="12.75" customHeight="1">
      <c r="A493" s="94">
        <v>42794</v>
      </c>
      <c r="B493" s="94" t="s">
        <v>136</v>
      </c>
      <c r="C493" s="358" t="s">
        <v>343</v>
      </c>
      <c r="D493" s="374">
        <v>7986363.4462000001</v>
      </c>
      <c r="E493" s="9" t="e">
        <f t="shared" si="69"/>
        <v>#DIV/0!</v>
      </c>
      <c r="F493" s="47">
        <v>3</v>
      </c>
      <c r="G493" s="47">
        <v>0</v>
      </c>
      <c r="H493" s="47"/>
      <c r="I493" s="98">
        <v>0</v>
      </c>
      <c r="J493" s="98"/>
      <c r="K493" s="93"/>
      <c r="L493" s="93">
        <f t="shared" si="63"/>
        <v>0</v>
      </c>
      <c r="M493" s="95" t="e">
        <f t="shared" ca="1" si="64"/>
        <v>#DIV/0!</v>
      </c>
      <c r="N493" s="95">
        <f>IF(P493="Hedge Fund",IF(A493=Summary!$AD$3,M493-E493,M493),IF(A493=Summary!$AD$3,L493-D493,L493))</f>
        <v>0</v>
      </c>
      <c r="O493" s="95"/>
      <c r="P493" s="89" t="s">
        <v>155</v>
      </c>
      <c r="Q493" s="107">
        <v>0</v>
      </c>
      <c r="R493" s="107">
        <v>0</v>
      </c>
      <c r="S493" s="89">
        <v>0</v>
      </c>
      <c r="T493" s="89">
        <v>0</v>
      </c>
      <c r="U493" s="89"/>
      <c r="V493" s="89"/>
      <c r="W493" s="89"/>
      <c r="X493" s="89"/>
      <c r="Y493" s="89"/>
      <c r="Z493" s="89"/>
      <c r="AA493" s="89"/>
      <c r="AB493" s="89"/>
      <c r="AC493" s="355"/>
      <c r="AD493" s="355"/>
      <c r="AE493" s="355"/>
      <c r="AF493" s="94">
        <f t="shared" si="65"/>
        <v>42794</v>
      </c>
      <c r="AG493" s="185">
        <f t="shared" si="61"/>
        <v>0.12026021898609729</v>
      </c>
      <c r="AH493" s="339" t="str">
        <f>VLOOKUP(B493,'MF PF'!A:B,2)</f>
        <v>FdMgt1</v>
      </c>
      <c r="AI493" s="358">
        <f t="shared" si="66"/>
        <v>0</v>
      </c>
      <c r="AJ493" s="94">
        <f t="shared" si="67"/>
        <v>42794</v>
      </c>
    </row>
    <row r="494" spans="1:36" ht="12.75" customHeight="1">
      <c r="A494" s="94">
        <v>42825</v>
      </c>
      <c r="B494" s="94" t="s">
        <v>136</v>
      </c>
      <c r="C494" s="92" t="s">
        <v>343</v>
      </c>
      <c r="D494" s="374">
        <v>7714559.4543000003</v>
      </c>
      <c r="E494" s="9" t="e">
        <f t="shared" si="69"/>
        <v>#DIV/0!</v>
      </c>
      <c r="F494" s="47">
        <v>3</v>
      </c>
      <c r="G494" s="47">
        <v>0</v>
      </c>
      <c r="H494" s="47"/>
      <c r="I494" s="98">
        <v>0</v>
      </c>
      <c r="J494" s="98"/>
      <c r="K494" s="93"/>
      <c r="L494" s="93">
        <f t="shared" si="63"/>
        <v>0</v>
      </c>
      <c r="M494" s="95" t="e">
        <f t="shared" ca="1" si="64"/>
        <v>#DIV/0!</v>
      </c>
      <c r="N494" s="95">
        <f>IF(P494="Hedge Fund",IF(A494=Summary!$AD$3,M494-E494,M494),IF(A494=Summary!$AD$3,L494-D494,L494))</f>
        <v>0</v>
      </c>
      <c r="O494" s="95"/>
      <c r="P494" s="89" t="s">
        <v>155</v>
      </c>
      <c r="Q494" s="107">
        <v>0</v>
      </c>
      <c r="R494" s="107">
        <v>0</v>
      </c>
      <c r="S494" s="89">
        <v>0</v>
      </c>
      <c r="T494" s="89">
        <v>0</v>
      </c>
      <c r="U494" s="89"/>
      <c r="V494" s="89"/>
      <c r="W494" s="89"/>
      <c r="X494" s="89"/>
      <c r="Y494" s="89"/>
      <c r="Z494" s="89"/>
      <c r="AA494" s="89"/>
      <c r="AB494" s="89"/>
      <c r="AC494" s="355"/>
      <c r="AD494" s="355"/>
      <c r="AE494" s="355"/>
      <c r="AF494" s="94">
        <f t="shared" si="65"/>
        <v>42825</v>
      </c>
      <c r="AG494" s="185">
        <f t="shared" si="61"/>
        <v>-3.4033511463759769E-2</v>
      </c>
      <c r="AH494" s="339" t="str">
        <f>VLOOKUP(B494,'MF PF'!A:B,2)</f>
        <v>FdMgt1</v>
      </c>
      <c r="AI494" s="358">
        <f t="shared" si="66"/>
        <v>0</v>
      </c>
      <c r="AJ494" s="94">
        <f t="shared" si="67"/>
        <v>42825</v>
      </c>
    </row>
    <row r="495" spans="1:36" s="92" customFormat="1" ht="12.75" customHeight="1">
      <c r="A495" s="94">
        <v>42853</v>
      </c>
      <c r="B495" s="94" t="s">
        <v>136</v>
      </c>
      <c r="C495" s="92" t="s">
        <v>343</v>
      </c>
      <c r="D495" s="374">
        <v>7711987.9679999994</v>
      </c>
      <c r="E495" s="95" t="e">
        <f t="shared" si="69"/>
        <v>#DIV/0!</v>
      </c>
      <c r="F495" s="98">
        <v>3</v>
      </c>
      <c r="G495" s="98">
        <v>0</v>
      </c>
      <c r="H495" s="98"/>
      <c r="I495" s="98">
        <v>0</v>
      </c>
      <c r="J495" s="98"/>
      <c r="K495" s="93"/>
      <c r="L495" s="93">
        <f t="shared" si="63"/>
        <v>0</v>
      </c>
      <c r="M495" s="95" t="e">
        <f t="shared" ca="1" si="64"/>
        <v>#DIV/0!</v>
      </c>
      <c r="N495" s="95">
        <f>IF(P495="Hedge Fund",IF(A495=Summary!$AD$3,M495-E495,M495),IF(A495=Summary!$AD$3,L495-D495,L495))</f>
        <v>0</v>
      </c>
      <c r="O495" s="95"/>
      <c r="P495" s="107" t="s">
        <v>155</v>
      </c>
      <c r="Q495" s="107">
        <v>0</v>
      </c>
      <c r="R495" s="107">
        <v>0</v>
      </c>
      <c r="S495" s="107">
        <v>0</v>
      </c>
      <c r="T495" s="107">
        <v>0</v>
      </c>
      <c r="U495" s="107"/>
      <c r="V495" s="107"/>
      <c r="W495" s="107"/>
      <c r="X495" s="107"/>
      <c r="Y495" s="107"/>
      <c r="Z495" s="107"/>
      <c r="AA495" s="107"/>
      <c r="AB495" s="107"/>
      <c r="AC495" s="355"/>
      <c r="AD495" s="355"/>
      <c r="AE495" s="355"/>
      <c r="AF495" s="94">
        <f t="shared" si="65"/>
        <v>42853</v>
      </c>
      <c r="AG495" s="185">
        <f t="shared" si="61"/>
        <v>-3.3332898854876447E-4</v>
      </c>
      <c r="AH495" s="339" t="str">
        <f>VLOOKUP(B495,'MF PF'!A:B,2)</f>
        <v>FdMgt1</v>
      </c>
      <c r="AI495" s="358">
        <f t="shared" si="66"/>
        <v>0</v>
      </c>
      <c r="AJ495" s="94">
        <f t="shared" si="67"/>
        <v>42855</v>
      </c>
    </row>
    <row r="496" spans="1:36" ht="12.75" customHeight="1">
      <c r="A496" s="94">
        <v>42886</v>
      </c>
      <c r="B496" s="8" t="s">
        <v>136</v>
      </c>
      <c r="C496" s="358" t="s">
        <v>343</v>
      </c>
      <c r="D496" s="374">
        <v>7453411.1123000002</v>
      </c>
      <c r="E496" s="9" t="e">
        <f t="shared" si="69"/>
        <v>#DIV/0!</v>
      </c>
      <c r="F496" s="47">
        <v>3</v>
      </c>
      <c r="G496" s="47">
        <v>0</v>
      </c>
      <c r="H496" s="47"/>
      <c r="I496" s="47">
        <v>0</v>
      </c>
      <c r="J496" s="98"/>
      <c r="K496" s="93"/>
      <c r="L496" s="93">
        <f t="shared" si="63"/>
        <v>0</v>
      </c>
      <c r="M496" s="95" t="e">
        <f t="shared" ca="1" si="64"/>
        <v>#DIV/0!</v>
      </c>
      <c r="N496" s="95">
        <f>IF(P496="Hedge Fund",IF(A496=Summary!$AD$3,M496-E496,M496),IF(A496=Summary!$AD$3,L496-D496,L496))</f>
        <v>0</v>
      </c>
      <c r="O496" s="95"/>
      <c r="P496" s="89" t="s">
        <v>155</v>
      </c>
      <c r="Q496" s="107">
        <v>0</v>
      </c>
      <c r="R496" s="107">
        <v>0</v>
      </c>
      <c r="S496" s="89">
        <v>0</v>
      </c>
      <c r="T496" s="89">
        <v>0</v>
      </c>
      <c r="U496" s="89"/>
      <c r="V496" s="89"/>
      <c r="W496" s="89"/>
      <c r="X496" s="89"/>
      <c r="Y496" s="89"/>
      <c r="Z496" s="89"/>
      <c r="AA496" s="89"/>
      <c r="AB496" s="89"/>
      <c r="AC496" s="355"/>
      <c r="AD496" s="355"/>
      <c r="AE496" s="355"/>
      <c r="AF496" s="94">
        <f t="shared" si="65"/>
        <v>42886</v>
      </c>
      <c r="AG496" s="185">
        <f t="shared" si="61"/>
        <v>-3.3529208911234565E-2</v>
      </c>
      <c r="AH496" s="339" t="str">
        <f>VLOOKUP(B496,'MF PF'!A:B,2)</f>
        <v>FdMgt1</v>
      </c>
      <c r="AI496" s="358">
        <f t="shared" si="66"/>
        <v>0</v>
      </c>
      <c r="AJ496" s="94">
        <f t="shared" si="67"/>
        <v>42886</v>
      </c>
    </row>
    <row r="497" spans="1:36" ht="12.75" customHeight="1">
      <c r="A497" s="94">
        <v>42916</v>
      </c>
      <c r="B497" s="8" t="s">
        <v>136</v>
      </c>
      <c r="C497" s="358" t="s">
        <v>343</v>
      </c>
      <c r="D497" s="374">
        <v>7987115.8896000003</v>
      </c>
      <c r="E497" s="9" t="e">
        <f t="shared" si="69"/>
        <v>#DIV/0!</v>
      </c>
      <c r="F497" s="47">
        <v>3</v>
      </c>
      <c r="G497" s="47">
        <v>0</v>
      </c>
      <c r="H497" s="47"/>
      <c r="I497" s="47">
        <v>0</v>
      </c>
      <c r="J497" s="98"/>
      <c r="L497" s="93">
        <f t="shared" si="63"/>
        <v>0</v>
      </c>
      <c r="M497" s="95" t="e">
        <f t="shared" ca="1" si="64"/>
        <v>#DIV/0!</v>
      </c>
      <c r="N497" s="95">
        <f>IF(P497="Hedge Fund",IF(A497=Summary!$AD$3,M497-E497,M497),IF(A497=Summary!$AD$3,L497-D497,L497))</f>
        <v>0</v>
      </c>
      <c r="O497" s="95"/>
      <c r="P497" s="89" t="s">
        <v>155</v>
      </c>
      <c r="Q497" s="107">
        <v>0</v>
      </c>
      <c r="R497" s="107">
        <v>0</v>
      </c>
      <c r="S497" s="89">
        <v>0</v>
      </c>
      <c r="T497" s="89">
        <v>0</v>
      </c>
      <c r="U497" s="89"/>
      <c r="V497" s="89"/>
      <c r="W497" s="89"/>
      <c r="X497" s="89"/>
      <c r="Y497" s="89"/>
      <c r="Z497" s="89"/>
      <c r="AA497" s="89"/>
      <c r="AB497" s="89"/>
      <c r="AC497" s="355"/>
      <c r="AD497" s="355"/>
      <c r="AE497" s="355"/>
      <c r="AF497" s="94">
        <f t="shared" si="65"/>
        <v>42916</v>
      </c>
      <c r="AG497" s="185">
        <f t="shared" si="61"/>
        <v>7.1605439342967925E-2</v>
      </c>
      <c r="AH497" s="339" t="str">
        <f>VLOOKUP(B497,'MF PF'!A:B,2)</f>
        <v>FdMgt1</v>
      </c>
      <c r="AI497" s="358">
        <f t="shared" si="66"/>
        <v>0</v>
      </c>
      <c r="AJ497" s="94">
        <f t="shared" si="67"/>
        <v>42916</v>
      </c>
    </row>
    <row r="498" spans="1:36" ht="12.75" customHeight="1">
      <c r="A498" s="94">
        <v>42947</v>
      </c>
      <c r="B498" s="94" t="s">
        <v>136</v>
      </c>
      <c r="C498" s="358" t="s">
        <v>343</v>
      </c>
      <c r="D498" s="374">
        <v>8497206.1649999991</v>
      </c>
      <c r="E498" s="9" t="e">
        <f t="shared" si="69"/>
        <v>#DIV/0!</v>
      </c>
      <c r="F498" s="47">
        <v>3</v>
      </c>
      <c r="G498" s="47">
        <v>0</v>
      </c>
      <c r="H498" s="47"/>
      <c r="I498" s="98">
        <v>0</v>
      </c>
      <c r="J498" s="98"/>
      <c r="K498" s="93"/>
      <c r="L498" s="93">
        <f t="shared" si="63"/>
        <v>0</v>
      </c>
      <c r="M498" s="95" t="e">
        <f t="shared" ca="1" si="64"/>
        <v>#DIV/0!</v>
      </c>
      <c r="N498" s="95">
        <f>IF(P498="Hedge Fund",IF(A498=Summary!$AD$3,M498-E498,M498),IF(A498=Summary!$AD$3,L498-D498,L498))</f>
        <v>0</v>
      </c>
      <c r="O498" s="95"/>
      <c r="P498" s="89" t="s">
        <v>155</v>
      </c>
      <c r="Q498" s="107">
        <v>0</v>
      </c>
      <c r="R498" s="107">
        <v>0</v>
      </c>
      <c r="S498" s="89">
        <v>0</v>
      </c>
      <c r="T498" s="89">
        <v>0</v>
      </c>
      <c r="U498" s="89"/>
      <c r="V498" s="89"/>
      <c r="W498" s="89"/>
      <c r="X498" s="89"/>
      <c r="Y498" s="89"/>
      <c r="Z498" s="89"/>
      <c r="AA498" s="89"/>
      <c r="AB498" s="89"/>
      <c r="AC498" s="355"/>
      <c r="AD498" s="355"/>
      <c r="AE498" s="355"/>
      <c r="AF498" s="94">
        <f t="shared" si="65"/>
        <v>42947</v>
      </c>
      <c r="AG498" s="185">
        <f t="shared" si="61"/>
        <v>6.3864138501381396E-2</v>
      </c>
      <c r="AH498" s="339" t="str">
        <f>VLOOKUP(B498,'MF PF'!A:B,2)</f>
        <v>FdMgt1</v>
      </c>
      <c r="AI498" s="358">
        <f t="shared" si="66"/>
        <v>0</v>
      </c>
      <c r="AJ498" s="94">
        <f t="shared" si="67"/>
        <v>42947</v>
      </c>
    </row>
    <row r="499" spans="1:36" ht="12.75" customHeight="1">
      <c r="A499" s="94">
        <v>42978</v>
      </c>
      <c r="B499" s="94" t="s">
        <v>136</v>
      </c>
      <c r="C499" s="358" t="s">
        <v>343</v>
      </c>
      <c r="D499" s="374">
        <v>8548900</v>
      </c>
      <c r="E499" s="9" t="e">
        <f t="shared" si="69"/>
        <v>#DIV/0!</v>
      </c>
      <c r="F499" s="47">
        <v>3</v>
      </c>
      <c r="G499" s="47">
        <v>0</v>
      </c>
      <c r="H499" s="47"/>
      <c r="I499" s="98">
        <v>0</v>
      </c>
      <c r="J499" s="98"/>
      <c r="L499" s="93">
        <f t="shared" si="63"/>
        <v>0</v>
      </c>
      <c r="M499" s="95" t="e">
        <f t="shared" ca="1" si="64"/>
        <v>#DIV/0!</v>
      </c>
      <c r="N499" s="95">
        <f>IF(P499="Hedge Fund",IF(A499=Summary!$AD$3,M499-E499,M499),IF(A499=Summary!$AD$3,L499-D499,L499))</f>
        <v>0</v>
      </c>
      <c r="O499" s="95"/>
      <c r="P499" s="89" t="s">
        <v>155</v>
      </c>
      <c r="Q499" s="107">
        <v>0</v>
      </c>
      <c r="R499" s="107">
        <v>0</v>
      </c>
      <c r="S499" s="89">
        <v>0</v>
      </c>
      <c r="T499" s="89">
        <v>0</v>
      </c>
      <c r="U499" s="89"/>
      <c r="V499" s="89"/>
      <c r="W499" s="89"/>
      <c r="X499" s="89"/>
      <c r="Y499" s="89"/>
      <c r="Z499" s="89"/>
      <c r="AA499" s="89"/>
      <c r="AB499" s="89"/>
      <c r="AC499" s="355"/>
      <c r="AD499" s="355"/>
      <c r="AE499" s="355"/>
      <c r="AF499" s="94">
        <f t="shared" si="65"/>
        <v>42978</v>
      </c>
      <c r="AG499" s="185">
        <f t="shared" si="61"/>
        <v>6.0836272530291335E-3</v>
      </c>
      <c r="AH499" s="339" t="str">
        <f>VLOOKUP(B499,'MF PF'!A:B,2)</f>
        <v>FdMgt1</v>
      </c>
      <c r="AI499" s="358">
        <f t="shared" si="66"/>
        <v>0</v>
      </c>
      <c r="AJ499" s="94">
        <f t="shared" si="67"/>
        <v>42978</v>
      </c>
    </row>
    <row r="500" spans="1:36" ht="12.75" customHeight="1">
      <c r="A500" s="94">
        <v>43007</v>
      </c>
      <c r="B500" s="94" t="s">
        <v>136</v>
      </c>
      <c r="C500" s="358" t="s">
        <v>343</v>
      </c>
      <c r="D500" s="374">
        <v>8497472.9574262202</v>
      </c>
      <c r="E500" s="95" t="e">
        <f t="shared" si="69"/>
        <v>#DIV/0!</v>
      </c>
      <c r="F500" s="47">
        <v>3</v>
      </c>
      <c r="G500" s="47">
        <v>0</v>
      </c>
      <c r="H500" s="47"/>
      <c r="I500" s="98">
        <v>0</v>
      </c>
      <c r="J500" s="98"/>
      <c r="L500" s="93">
        <f t="shared" si="63"/>
        <v>0</v>
      </c>
      <c r="M500" s="95" t="e">
        <f t="shared" ca="1" si="64"/>
        <v>#DIV/0!</v>
      </c>
      <c r="N500" s="95">
        <f>IF(P500="Hedge Fund",IF(A500=Summary!$AD$3,M500-E500,M500),IF(A500=Summary!$AD$3,L500-D500,L500))</f>
        <v>0</v>
      </c>
      <c r="O500" s="95"/>
      <c r="P500" s="89" t="s">
        <v>155</v>
      </c>
      <c r="Q500" s="107">
        <v>0</v>
      </c>
      <c r="R500" s="107">
        <v>0</v>
      </c>
      <c r="S500" s="89">
        <v>0</v>
      </c>
      <c r="T500" s="89">
        <v>0</v>
      </c>
      <c r="U500" s="89"/>
      <c r="V500" s="89"/>
      <c r="W500" s="89"/>
      <c r="X500" s="89"/>
      <c r="Y500" s="89"/>
      <c r="Z500" s="89"/>
      <c r="AA500" s="89"/>
      <c r="AB500" s="89"/>
      <c r="AC500" s="355"/>
      <c r="AD500" s="355"/>
      <c r="AE500" s="355"/>
      <c r="AF500" s="94">
        <f t="shared" si="65"/>
        <v>43007</v>
      </c>
      <c r="AG500" s="185">
        <f t="shared" si="61"/>
        <v>-6.0156327216109862E-3</v>
      </c>
      <c r="AH500" s="339" t="str">
        <f>VLOOKUP(B500,'MF PF'!A:B,2)</f>
        <v>FdMgt1</v>
      </c>
      <c r="AI500" s="358">
        <f t="shared" si="66"/>
        <v>0</v>
      </c>
      <c r="AJ500" s="94">
        <f t="shared" si="67"/>
        <v>43008</v>
      </c>
    </row>
    <row r="501" spans="1:36" ht="12.75" customHeight="1">
      <c r="A501" s="94">
        <v>43039</v>
      </c>
      <c r="B501" s="94" t="s">
        <v>136</v>
      </c>
      <c r="C501" s="358" t="s">
        <v>343</v>
      </c>
      <c r="D501" s="374">
        <v>8659000</v>
      </c>
      <c r="E501" s="95" t="e">
        <f t="shared" si="69"/>
        <v>#DIV/0!</v>
      </c>
      <c r="F501" s="47">
        <v>3</v>
      </c>
      <c r="G501" s="47">
        <v>0</v>
      </c>
      <c r="H501" s="47"/>
      <c r="I501" s="98">
        <v>0</v>
      </c>
      <c r="J501" s="98"/>
      <c r="L501" s="93">
        <f t="shared" si="63"/>
        <v>0</v>
      </c>
      <c r="M501" s="95" t="e">
        <f t="shared" ca="1" si="64"/>
        <v>#DIV/0!</v>
      </c>
      <c r="N501" s="95">
        <f>IF(P501="Hedge Fund",IF(A501=Summary!$AD$3,M501-E501,M501),IF(A501=Summary!$AD$3,L501-D501,L501))</f>
        <v>0</v>
      </c>
      <c r="O501" s="95"/>
      <c r="P501" s="89" t="s">
        <v>155</v>
      </c>
      <c r="Q501" s="107">
        <v>0</v>
      </c>
      <c r="R501" s="107">
        <v>0</v>
      </c>
      <c r="S501" s="89">
        <v>0</v>
      </c>
      <c r="T501" s="89">
        <v>0</v>
      </c>
      <c r="U501" s="89"/>
      <c r="V501" s="89"/>
      <c r="W501" s="89"/>
      <c r="X501" s="89"/>
      <c r="Y501" s="89"/>
      <c r="Z501" s="89"/>
      <c r="AA501" s="89"/>
      <c r="AB501" s="89"/>
      <c r="AC501" s="355"/>
      <c r="AD501" s="355"/>
      <c r="AE501" s="355"/>
      <c r="AF501" s="94">
        <f t="shared" si="65"/>
        <v>43039</v>
      </c>
      <c r="AG501" s="185">
        <f t="shared" si="61"/>
        <v>1.9008832788648844E-2</v>
      </c>
      <c r="AH501" s="339" t="str">
        <f>VLOOKUP(B501,'MF PF'!A:B,2)</f>
        <v>FdMgt1</v>
      </c>
      <c r="AI501" s="358">
        <f t="shared" si="66"/>
        <v>0</v>
      </c>
      <c r="AJ501" s="94">
        <f t="shared" si="67"/>
        <v>43039</v>
      </c>
    </row>
    <row r="502" spans="1:36" ht="12.75" customHeight="1">
      <c r="A502" s="94">
        <v>43069</v>
      </c>
      <c r="B502" s="94" t="s">
        <v>136</v>
      </c>
      <c r="C502" s="358" t="s">
        <v>343</v>
      </c>
      <c r="D502" s="374">
        <v>8678800</v>
      </c>
      <c r="E502" s="9" t="e">
        <f t="shared" si="69"/>
        <v>#DIV/0!</v>
      </c>
      <c r="F502" s="47">
        <v>3</v>
      </c>
      <c r="G502" s="47">
        <v>0</v>
      </c>
      <c r="H502" s="47"/>
      <c r="I502" s="98">
        <v>0</v>
      </c>
      <c r="J502" s="98"/>
      <c r="L502" s="93">
        <f t="shared" si="63"/>
        <v>0</v>
      </c>
      <c r="M502" s="95" t="e">
        <f t="shared" ca="1" si="64"/>
        <v>#DIV/0!</v>
      </c>
      <c r="N502" s="95">
        <f>IF(P502="Hedge Fund",IF(A502=Summary!$AD$3,M502-E502,M502),IF(A502=Summary!$AD$3,L502-D502,L502))</f>
        <v>0</v>
      </c>
      <c r="O502" s="95"/>
      <c r="P502" s="89" t="s">
        <v>155</v>
      </c>
      <c r="Q502" s="107">
        <v>0</v>
      </c>
      <c r="R502" s="107">
        <v>0</v>
      </c>
      <c r="S502" s="89">
        <v>0</v>
      </c>
      <c r="T502" s="89">
        <v>0</v>
      </c>
      <c r="U502" s="89"/>
      <c r="V502" s="89"/>
      <c r="W502" s="89"/>
      <c r="X502" s="89"/>
      <c r="Y502" s="89"/>
      <c r="Z502" s="89"/>
      <c r="AA502" s="89"/>
      <c r="AB502" s="89"/>
      <c r="AC502" s="355"/>
      <c r="AD502" s="355"/>
      <c r="AE502" s="355"/>
      <c r="AF502" s="94">
        <f t="shared" si="65"/>
        <v>43069</v>
      </c>
      <c r="AG502" s="185">
        <f t="shared" si="61"/>
        <v>2.2866381799284685E-3</v>
      </c>
      <c r="AH502" s="339" t="str">
        <f>VLOOKUP(B502,'MF PF'!A:B,2)</f>
        <v>FdMgt1</v>
      </c>
      <c r="AI502" s="358">
        <f t="shared" si="66"/>
        <v>0</v>
      </c>
      <c r="AJ502" s="94">
        <f t="shared" si="67"/>
        <v>43069</v>
      </c>
    </row>
    <row r="503" spans="1:36" ht="12.75" customHeight="1">
      <c r="A503" s="106">
        <v>43098</v>
      </c>
      <c r="B503" s="94" t="s">
        <v>136</v>
      </c>
      <c r="C503" s="358" t="s">
        <v>343</v>
      </c>
      <c r="D503" s="374">
        <v>9979700</v>
      </c>
      <c r="E503" s="9" t="e">
        <f t="shared" si="69"/>
        <v>#DIV/0!</v>
      </c>
      <c r="F503" s="98">
        <v>3</v>
      </c>
      <c r="G503" s="98">
        <v>0</v>
      </c>
      <c r="H503" s="98"/>
      <c r="I503" s="98">
        <v>0</v>
      </c>
      <c r="J503" s="98"/>
      <c r="K503" s="93"/>
      <c r="L503" s="93">
        <f t="shared" si="63"/>
        <v>0</v>
      </c>
      <c r="M503" s="95" t="e">
        <f t="shared" ca="1" si="64"/>
        <v>#DIV/0!</v>
      </c>
      <c r="N503" s="95">
        <f>IF(P503="Hedge Fund",IF(A503=Summary!$AD$3,M503-E503,M503),IF(A503=Summary!$AD$3,L503-D503,L503))</f>
        <v>0</v>
      </c>
      <c r="O503" s="95"/>
      <c r="P503" s="107" t="s">
        <v>155</v>
      </c>
      <c r="Q503" s="107">
        <v>0</v>
      </c>
      <c r="R503" s="107">
        <v>0</v>
      </c>
      <c r="S503" s="107">
        <v>0</v>
      </c>
      <c r="T503" s="107">
        <v>0</v>
      </c>
      <c r="U503" s="107"/>
      <c r="V503" s="107"/>
      <c r="W503" s="107"/>
      <c r="X503" s="107"/>
      <c r="Y503" s="107"/>
      <c r="Z503" s="107"/>
      <c r="AA503" s="107"/>
      <c r="AB503" s="107"/>
      <c r="AC503" s="355"/>
      <c r="AD503" s="355"/>
      <c r="AE503" s="355"/>
      <c r="AF503" s="94">
        <f t="shared" si="65"/>
        <v>43098</v>
      </c>
      <c r="AG503" s="185">
        <f t="shared" si="61"/>
        <v>0.14989399456146013</v>
      </c>
      <c r="AH503" s="339" t="str">
        <f>VLOOKUP(B503,'MF PF'!A:B,2)</f>
        <v>FdMgt1</v>
      </c>
      <c r="AI503" s="358">
        <f t="shared" si="66"/>
        <v>0</v>
      </c>
      <c r="AJ503" s="94">
        <f t="shared" si="67"/>
        <v>43100</v>
      </c>
    </row>
    <row r="504" spans="1:36" ht="12.75" customHeight="1">
      <c r="A504" s="106">
        <v>43131</v>
      </c>
      <c r="B504" s="94" t="s">
        <v>136</v>
      </c>
      <c r="C504" s="358" t="s">
        <v>343</v>
      </c>
      <c r="D504" s="374">
        <v>10423200</v>
      </c>
      <c r="E504" s="9" t="e">
        <f t="shared" si="69"/>
        <v>#DIV/0!</v>
      </c>
      <c r="F504" s="98">
        <v>3</v>
      </c>
      <c r="G504" s="98">
        <v>0</v>
      </c>
      <c r="H504" s="98"/>
      <c r="I504" s="98">
        <v>0</v>
      </c>
      <c r="J504" s="98"/>
      <c r="K504" s="93"/>
      <c r="L504" s="93">
        <f t="shared" si="63"/>
        <v>0</v>
      </c>
      <c r="M504" s="95" t="e">
        <f t="shared" ca="1" si="64"/>
        <v>#DIV/0!</v>
      </c>
      <c r="N504" s="95">
        <f>IF(P504="Hedge Fund",IF(A504=Summary!$AD$3,M504-E504,M504),IF(A504=Summary!$AD$3,L504-D504,L504))</f>
        <v>0</v>
      </c>
      <c r="O504" s="95"/>
      <c r="P504" s="107" t="s">
        <v>155</v>
      </c>
      <c r="Q504" s="107">
        <v>0</v>
      </c>
      <c r="R504" s="107">
        <v>0</v>
      </c>
      <c r="S504" s="107">
        <v>0</v>
      </c>
      <c r="T504" s="107">
        <v>0</v>
      </c>
      <c r="U504" s="107"/>
      <c r="V504" s="107"/>
      <c r="W504" s="107"/>
      <c r="X504" s="107"/>
      <c r="Y504" s="107"/>
      <c r="Z504" s="107"/>
      <c r="AA504" s="107"/>
      <c r="AB504" s="107"/>
      <c r="AC504" s="355"/>
      <c r="AD504" s="355"/>
      <c r="AE504" s="355"/>
      <c r="AF504" s="94">
        <f t="shared" si="65"/>
        <v>43131</v>
      </c>
      <c r="AG504" s="185">
        <f t="shared" si="61"/>
        <v>4.444021363367634E-2</v>
      </c>
      <c r="AH504" s="339" t="str">
        <f>VLOOKUP(B504,'MF PF'!A:B,2)</f>
        <v>FdMgt1</v>
      </c>
      <c r="AI504" s="358">
        <f t="shared" si="66"/>
        <v>0</v>
      </c>
      <c r="AJ504" s="94">
        <f t="shared" si="67"/>
        <v>43131</v>
      </c>
    </row>
    <row r="505" spans="1:36" ht="12.75" customHeight="1">
      <c r="A505" s="106">
        <v>43159</v>
      </c>
      <c r="B505" s="94" t="s">
        <v>136</v>
      </c>
      <c r="C505" s="358" t="s">
        <v>343</v>
      </c>
      <c r="D505" s="374">
        <v>10674736.699999999</v>
      </c>
      <c r="E505" s="9" t="e">
        <f t="shared" si="69"/>
        <v>#DIV/0!</v>
      </c>
      <c r="F505" s="98">
        <v>3</v>
      </c>
      <c r="G505" s="98">
        <v>0</v>
      </c>
      <c r="H505" s="98"/>
      <c r="I505" s="98">
        <v>0</v>
      </c>
      <c r="J505" s="98"/>
      <c r="K505" s="93"/>
      <c r="L505" s="93">
        <f t="shared" si="63"/>
        <v>0</v>
      </c>
      <c r="M505" s="95" t="e">
        <f t="shared" ca="1" si="64"/>
        <v>#DIV/0!</v>
      </c>
      <c r="N505" s="95">
        <f>IF(P505="Hedge Fund",IF(A505=Summary!$AD$3,M505-E505,M505),IF(A505=Summary!$AD$3,L505-D505,L505))</f>
        <v>0</v>
      </c>
      <c r="O505" s="95"/>
      <c r="P505" s="107" t="s">
        <v>155</v>
      </c>
      <c r="Q505" s="107">
        <v>0</v>
      </c>
      <c r="R505" s="107">
        <v>0</v>
      </c>
      <c r="S505" s="107">
        <v>0</v>
      </c>
      <c r="T505" s="107">
        <v>0</v>
      </c>
      <c r="U505" s="107"/>
      <c r="V505" s="107"/>
      <c r="W505" s="107"/>
      <c r="X505" s="107"/>
      <c r="Y505" s="107"/>
      <c r="Z505" s="107"/>
      <c r="AA505" s="107"/>
      <c r="AB505" s="107"/>
      <c r="AC505" s="355"/>
      <c r="AD505" s="355"/>
      <c r="AE505" s="355"/>
      <c r="AF505" s="94">
        <f t="shared" si="65"/>
        <v>43159</v>
      </c>
      <c r="AG505" s="185">
        <f t="shared" ref="AG505:AG525" si="70">IF(C505&lt;&gt;C504,D505/G505-1,(D505-G505-I505-H505)/(D504)-1)</f>
        <v>2.4132387366643471E-2</v>
      </c>
      <c r="AH505" s="339" t="str">
        <f>VLOOKUP(B505,'MF PF'!A:B,2)</f>
        <v>FdMgt1</v>
      </c>
      <c r="AI505" s="358">
        <f t="shared" si="66"/>
        <v>0</v>
      </c>
      <c r="AJ505" s="94">
        <f t="shared" si="67"/>
        <v>43159</v>
      </c>
    </row>
    <row r="506" spans="1:36" ht="12.75" customHeight="1">
      <c r="A506" s="106">
        <v>43188</v>
      </c>
      <c r="B506" s="94" t="s">
        <v>136</v>
      </c>
      <c r="C506" s="358" t="s">
        <v>343</v>
      </c>
      <c r="D506" s="374">
        <v>10930650.250600001</v>
      </c>
      <c r="E506" s="95" t="e">
        <f t="shared" si="69"/>
        <v>#DIV/0!</v>
      </c>
      <c r="F506" s="98">
        <v>3</v>
      </c>
      <c r="G506" s="98">
        <v>0</v>
      </c>
      <c r="H506" s="98"/>
      <c r="I506" s="98">
        <v>0</v>
      </c>
      <c r="J506" s="98"/>
      <c r="K506" s="93"/>
      <c r="L506" s="93">
        <f t="shared" si="63"/>
        <v>0</v>
      </c>
      <c r="M506" s="95" t="e">
        <f t="shared" ca="1" si="64"/>
        <v>#DIV/0!</v>
      </c>
      <c r="N506" s="95">
        <f>IF(P506="Hedge Fund",IF(A506=Summary!$AD$3,M506-E506,M506),IF(A506=Summary!$AD$3,L506-D506,L506))</f>
        <v>0</v>
      </c>
      <c r="O506" s="95"/>
      <c r="P506" s="107" t="s">
        <v>155</v>
      </c>
      <c r="Q506" s="109">
        <v>0</v>
      </c>
      <c r="R506" s="109"/>
      <c r="S506" s="107">
        <v>0</v>
      </c>
      <c r="T506" s="107">
        <v>0</v>
      </c>
      <c r="U506" s="107"/>
      <c r="V506" s="107"/>
      <c r="W506" s="107"/>
      <c r="X506" s="107"/>
      <c r="Y506" s="107"/>
      <c r="Z506" s="107"/>
      <c r="AA506" s="107"/>
      <c r="AB506" s="107"/>
      <c r="AC506" s="355"/>
      <c r="AD506" s="355"/>
      <c r="AE506" s="355"/>
      <c r="AF506" s="94">
        <f t="shared" si="65"/>
        <v>43188</v>
      </c>
      <c r="AG506" s="185">
        <f t="shared" si="70"/>
        <v>2.3973757647811844E-2</v>
      </c>
      <c r="AH506" s="339" t="str">
        <f>VLOOKUP(B506,'MF PF'!A:B,2)</f>
        <v>FdMgt1</v>
      </c>
      <c r="AI506" s="358">
        <f t="shared" si="66"/>
        <v>0</v>
      </c>
      <c r="AJ506" s="94">
        <f t="shared" si="67"/>
        <v>43190</v>
      </c>
    </row>
    <row r="507" spans="1:36" ht="12.75" customHeight="1">
      <c r="A507" s="106">
        <v>43220</v>
      </c>
      <c r="B507" s="94" t="s">
        <v>136</v>
      </c>
      <c r="C507" s="358" t="s">
        <v>343</v>
      </c>
      <c r="D507" s="374">
        <v>11225271.3255</v>
      </c>
      <c r="E507" s="9" t="e">
        <f t="shared" si="69"/>
        <v>#DIV/0!</v>
      </c>
      <c r="F507" s="98">
        <v>3</v>
      </c>
      <c r="G507" s="98">
        <v>0</v>
      </c>
      <c r="H507" s="98"/>
      <c r="I507" s="98">
        <v>0</v>
      </c>
      <c r="J507" s="98"/>
      <c r="K507" s="93"/>
      <c r="L507" s="93">
        <f t="shared" si="63"/>
        <v>0</v>
      </c>
      <c r="M507" s="95" t="e">
        <f t="shared" ca="1" si="64"/>
        <v>#DIV/0!</v>
      </c>
      <c r="N507" s="95">
        <f>IF(P507="Hedge Fund",IF(A507=Summary!$AD$3,M507-E507,M507),IF(A507=Summary!$AD$3,L507-D507,L507))</f>
        <v>0</v>
      </c>
      <c r="O507" s="95"/>
      <c r="P507" s="107" t="s">
        <v>155</v>
      </c>
      <c r="Q507" s="109">
        <v>0</v>
      </c>
      <c r="R507" s="109"/>
      <c r="S507" s="107">
        <v>0</v>
      </c>
      <c r="T507" s="107">
        <v>0</v>
      </c>
      <c r="U507" s="107"/>
      <c r="V507" s="107"/>
      <c r="W507" s="107"/>
      <c r="X507" s="107"/>
      <c r="Y507" s="107"/>
      <c r="Z507" s="107"/>
      <c r="AA507" s="107"/>
      <c r="AB507" s="107"/>
      <c r="AC507" s="355"/>
      <c r="AD507" s="355"/>
      <c r="AE507" s="355"/>
      <c r="AF507" s="94">
        <f t="shared" si="65"/>
        <v>43220</v>
      </c>
      <c r="AG507" s="185">
        <f t="shared" si="70"/>
        <v>2.6953664068048111E-2</v>
      </c>
      <c r="AH507" s="339" t="str">
        <f>VLOOKUP(B507,'MF PF'!A:B,2)</f>
        <v>FdMgt1</v>
      </c>
      <c r="AI507" s="358">
        <f t="shared" si="66"/>
        <v>0</v>
      </c>
      <c r="AJ507" s="94">
        <f t="shared" si="67"/>
        <v>43220</v>
      </c>
    </row>
    <row r="508" spans="1:36" ht="12.75" customHeight="1">
      <c r="A508" s="94">
        <v>43251</v>
      </c>
      <c r="B508" s="358" t="s">
        <v>136</v>
      </c>
      <c r="C508" s="94" t="s">
        <v>343</v>
      </c>
      <c r="D508" s="374">
        <v>11416671.114399999</v>
      </c>
      <c r="E508" s="9" t="e">
        <f t="shared" si="69"/>
        <v>#DIV/0!</v>
      </c>
      <c r="F508" s="98">
        <v>3</v>
      </c>
      <c r="G508" s="98">
        <v>0</v>
      </c>
      <c r="H508" s="98"/>
      <c r="I508" s="110">
        <v>0</v>
      </c>
      <c r="J508" s="110"/>
      <c r="K508" s="93"/>
      <c r="L508" s="93">
        <f t="shared" si="63"/>
        <v>0</v>
      </c>
      <c r="M508" s="95" t="e">
        <f t="shared" ca="1" si="64"/>
        <v>#DIV/0!</v>
      </c>
      <c r="N508" s="95">
        <f>IF(P508="Hedge Fund",IF(A508=Summary!$AD$3,M508-E508,M508),IF(A508=Summary!$AD$3,L508-D508,L508))</f>
        <v>0</v>
      </c>
      <c r="O508" s="95"/>
      <c r="P508" s="107" t="s">
        <v>155</v>
      </c>
      <c r="Q508" s="109">
        <v>0</v>
      </c>
      <c r="R508" s="107"/>
      <c r="S508" s="107">
        <v>0</v>
      </c>
      <c r="T508" s="107">
        <v>0</v>
      </c>
      <c r="U508" s="107"/>
      <c r="V508" s="107"/>
      <c r="W508" s="107"/>
      <c r="X508" s="107"/>
      <c r="Y508" s="107"/>
      <c r="Z508" s="107"/>
      <c r="AA508" s="107"/>
      <c r="AB508" s="107"/>
      <c r="AC508" s="355"/>
      <c r="AD508" s="355"/>
      <c r="AE508" s="355"/>
      <c r="AF508" s="94">
        <f t="shared" si="65"/>
        <v>43251</v>
      </c>
      <c r="AG508" s="185">
        <f t="shared" si="70"/>
        <v>1.7050793994190849E-2</v>
      </c>
      <c r="AH508" s="339" t="str">
        <f>VLOOKUP(B508,'MF PF'!A:B,2)</f>
        <v>FdMgt1</v>
      </c>
      <c r="AI508" s="358">
        <f t="shared" si="66"/>
        <v>0</v>
      </c>
      <c r="AJ508" s="94">
        <f t="shared" si="67"/>
        <v>43251</v>
      </c>
    </row>
    <row r="509" spans="1:36" ht="12.75" customHeight="1">
      <c r="A509" s="94">
        <v>43280</v>
      </c>
      <c r="B509" s="358" t="s">
        <v>136</v>
      </c>
      <c r="C509" s="94" t="s">
        <v>343</v>
      </c>
      <c r="D509" s="374">
        <v>11511267.4134</v>
      </c>
      <c r="E509" s="9" t="e">
        <f t="shared" si="69"/>
        <v>#DIV/0!</v>
      </c>
      <c r="F509" s="98">
        <v>3</v>
      </c>
      <c r="G509" s="98">
        <v>0</v>
      </c>
      <c r="H509" s="98"/>
      <c r="I509" s="110">
        <v>0</v>
      </c>
      <c r="J509" s="110"/>
      <c r="K509" s="93"/>
      <c r="L509" s="93">
        <f t="shared" si="63"/>
        <v>0</v>
      </c>
      <c r="M509" s="95" t="e">
        <f t="shared" ca="1" si="64"/>
        <v>#DIV/0!</v>
      </c>
      <c r="N509" s="95">
        <f>IF(P509="Hedge Fund",IF(A509=Summary!$AD$3,M509-E509,M509),IF(A509=Summary!$AD$3,L509-D509,L509))</f>
        <v>0</v>
      </c>
      <c r="O509" s="95"/>
      <c r="P509" s="107" t="s">
        <v>155</v>
      </c>
      <c r="Q509" s="109">
        <v>0</v>
      </c>
      <c r="R509" s="107">
        <v>0</v>
      </c>
      <c r="S509" s="107">
        <v>0</v>
      </c>
      <c r="T509" s="107">
        <v>0</v>
      </c>
      <c r="U509" s="107"/>
      <c r="V509" s="107"/>
      <c r="W509" s="107"/>
      <c r="X509" s="107"/>
      <c r="Y509" s="107"/>
      <c r="Z509" s="107"/>
      <c r="AA509" s="107"/>
      <c r="AB509" s="107"/>
      <c r="AC509" s="355"/>
      <c r="AD509" s="355"/>
      <c r="AE509" s="355"/>
      <c r="AF509" s="94">
        <f t="shared" si="65"/>
        <v>43280</v>
      </c>
      <c r="AG509" s="185">
        <f t="shared" si="70"/>
        <v>8.2858039836748443E-3</v>
      </c>
      <c r="AH509" s="339" t="str">
        <f>VLOOKUP(B509,'MF PF'!A:B,2)</f>
        <v>FdMgt1</v>
      </c>
      <c r="AI509" s="358">
        <f t="shared" si="66"/>
        <v>0</v>
      </c>
      <c r="AJ509" s="94">
        <f t="shared" si="67"/>
        <v>43281</v>
      </c>
    </row>
    <row r="510" spans="1:36" ht="12.75" customHeight="1">
      <c r="A510" s="94">
        <v>43312</v>
      </c>
      <c r="B510" s="358" t="s">
        <v>136</v>
      </c>
      <c r="C510" s="94" t="s">
        <v>343</v>
      </c>
      <c r="D510" s="374">
        <v>7448321.3964999998</v>
      </c>
      <c r="E510" s="95" t="str">
        <f>IF(K510="","",D510/K510)</f>
        <v/>
      </c>
      <c r="F510" s="98">
        <v>3</v>
      </c>
      <c r="G510" s="98">
        <v>0</v>
      </c>
      <c r="H510" s="98"/>
      <c r="I510" s="98">
        <v>0</v>
      </c>
      <c r="J510" s="98"/>
      <c r="K510" s="93"/>
      <c r="L510" s="93">
        <f t="shared" si="63"/>
        <v>0</v>
      </c>
      <c r="M510" s="95" t="e">
        <f t="shared" ca="1" si="64"/>
        <v>#DIV/0!</v>
      </c>
      <c r="N510" s="95">
        <f>IF(P510="Hedge Fund",IF(A510=Summary!$AD$3,M510-E510,M510),IF(A510=Summary!$AD$3,L510-D510,L510))</f>
        <v>0</v>
      </c>
      <c r="O510" s="95"/>
      <c r="P510" s="107" t="s">
        <v>155</v>
      </c>
      <c r="Q510" s="107">
        <v>0</v>
      </c>
      <c r="R510" s="107">
        <v>0</v>
      </c>
      <c r="S510" s="107">
        <v>0</v>
      </c>
      <c r="T510" s="107">
        <v>0</v>
      </c>
      <c r="U510" s="107"/>
      <c r="V510" s="107"/>
      <c r="W510" s="107"/>
      <c r="X510" s="107"/>
      <c r="Y510" s="107"/>
      <c r="Z510" s="107"/>
      <c r="AA510" s="107"/>
      <c r="AB510" s="107"/>
      <c r="AC510" s="355"/>
      <c r="AD510" s="355"/>
      <c r="AE510" s="355"/>
      <c r="AF510" s="94">
        <f t="shared" si="65"/>
        <v>43312</v>
      </c>
      <c r="AG510" s="185">
        <f t="shared" si="70"/>
        <v>-0.35295383826896587</v>
      </c>
      <c r="AH510" s="339" t="str">
        <f>VLOOKUP(B510,'MF PF'!A:B,2)</f>
        <v>FdMgt1</v>
      </c>
      <c r="AI510" s="358">
        <f t="shared" si="66"/>
        <v>0</v>
      </c>
      <c r="AJ510" s="94">
        <f t="shared" si="67"/>
        <v>43312</v>
      </c>
    </row>
    <row r="511" spans="1:36" ht="12.75" customHeight="1">
      <c r="A511" s="94">
        <v>43343</v>
      </c>
      <c r="B511" s="358" t="s">
        <v>136</v>
      </c>
      <c r="C511" s="94" t="s">
        <v>343</v>
      </c>
      <c r="D511" s="374">
        <v>7429964.5773</v>
      </c>
      <c r="E511" s="9" t="str">
        <f>IF(K511="","",D511/K511)</f>
        <v/>
      </c>
      <c r="F511" s="98">
        <v>3</v>
      </c>
      <c r="G511" s="98">
        <v>0</v>
      </c>
      <c r="H511" s="98">
        <v>0</v>
      </c>
      <c r="I511" s="98">
        <v>-33569.160000000003</v>
      </c>
      <c r="J511" s="98"/>
      <c r="K511" s="93"/>
      <c r="L511" s="93">
        <f t="shared" si="63"/>
        <v>-33569.160000000003</v>
      </c>
      <c r="M511" s="95" t="e">
        <f t="shared" ca="1" si="64"/>
        <v>#DIV/0!</v>
      </c>
      <c r="N511" s="95">
        <f>IF(P511="Hedge Fund",IF(A511=Summary!$AD$3,M511-E511,M511),IF(A511=Summary!$AD$3,L511-D511,L511))</f>
        <v>-33569.160000000003</v>
      </c>
      <c r="O511" s="95"/>
      <c r="P511" s="107" t="s">
        <v>155</v>
      </c>
      <c r="Q511" s="107">
        <v>0</v>
      </c>
      <c r="R511" s="107">
        <v>0</v>
      </c>
      <c r="S511" s="107">
        <v>0</v>
      </c>
      <c r="T511" s="107">
        <v>0</v>
      </c>
      <c r="U511" s="107"/>
      <c r="V511" s="107"/>
      <c r="W511" s="107"/>
      <c r="X511" s="107"/>
      <c r="Y511" s="107"/>
      <c r="Z511" s="107"/>
      <c r="AA511" s="107"/>
      <c r="AB511" s="107"/>
      <c r="AC511" s="355"/>
      <c r="AD511" s="355"/>
      <c r="AE511" s="355"/>
      <c r="AF511" s="94">
        <f t="shared" si="65"/>
        <v>43343</v>
      </c>
      <c r="AG511" s="185">
        <f t="shared" si="70"/>
        <v>2.0423851214514954E-3</v>
      </c>
      <c r="AH511" s="339" t="str">
        <f>VLOOKUP(B511,'MF PF'!A:B,2)</f>
        <v>FdMgt1</v>
      </c>
      <c r="AI511" s="358">
        <f t="shared" si="66"/>
        <v>0</v>
      </c>
      <c r="AJ511" s="94">
        <f t="shared" si="67"/>
        <v>43343</v>
      </c>
    </row>
    <row r="512" spans="1:36" ht="12.75" customHeight="1">
      <c r="A512" s="94">
        <v>43371</v>
      </c>
      <c r="B512" s="358" t="s">
        <v>136</v>
      </c>
      <c r="C512" s="358" t="s">
        <v>343</v>
      </c>
      <c r="D512" s="374">
        <v>6649805.5535000004</v>
      </c>
      <c r="F512" s="105">
        <v>0.15300000164685079</v>
      </c>
      <c r="G512" s="93">
        <v>0</v>
      </c>
      <c r="H512" s="93">
        <v>0</v>
      </c>
      <c r="I512" s="93">
        <v>0</v>
      </c>
      <c r="K512" s="93">
        <v>0</v>
      </c>
      <c r="L512" s="93">
        <f t="shared" si="63"/>
        <v>0</v>
      </c>
      <c r="M512" s="95" t="e">
        <f t="shared" ca="1" si="64"/>
        <v>#DIV/0!</v>
      </c>
      <c r="N512" s="95">
        <f>IF(P512="Hedge Fund",IF(A512=Summary!$AD$3,M512-E512,M512),IF(A512=Summary!$AD$3,L512-D512,L512))</f>
        <v>0</v>
      </c>
      <c r="O512" s="95"/>
      <c r="P512" s="95" t="s">
        <v>155</v>
      </c>
      <c r="Q512" s="95">
        <v>0</v>
      </c>
      <c r="R512" s="95">
        <v>0</v>
      </c>
      <c r="S512" s="95"/>
      <c r="T512" s="95"/>
      <c r="U512" s="95"/>
      <c r="V512" s="95"/>
      <c r="W512" s="95"/>
      <c r="X512" s="95"/>
      <c r="Y512" s="95"/>
      <c r="Z512" s="95"/>
      <c r="AA512" s="95"/>
      <c r="AB512" s="95"/>
      <c r="AC512" s="355"/>
      <c r="AD512" s="355"/>
      <c r="AE512" s="355"/>
      <c r="AF512" s="94">
        <f t="shared" si="65"/>
        <v>43371</v>
      </c>
      <c r="AG512" s="185">
        <f t="shared" si="70"/>
        <v>-0.10500171510689815</v>
      </c>
      <c r="AH512" s="339" t="str">
        <f>VLOOKUP(B512,'MF PF'!A:B,2)</f>
        <v>FdMgt1</v>
      </c>
      <c r="AI512" s="358">
        <f t="shared" si="66"/>
        <v>0</v>
      </c>
      <c r="AJ512" s="94">
        <f t="shared" si="67"/>
        <v>43373</v>
      </c>
    </row>
    <row r="513" spans="1:36" ht="12.75" customHeight="1">
      <c r="A513" s="94">
        <v>43404</v>
      </c>
      <c r="B513" s="358" t="s">
        <v>136</v>
      </c>
      <c r="C513" s="358" t="s">
        <v>343</v>
      </c>
      <c r="D513" s="374">
        <v>6573257.1261</v>
      </c>
      <c r="F513" s="105">
        <v>0.15300000164685079</v>
      </c>
      <c r="G513" s="93">
        <v>0</v>
      </c>
      <c r="H513" s="93">
        <v>0</v>
      </c>
      <c r="I513" s="93">
        <v>0</v>
      </c>
      <c r="J513" s="93">
        <v>0</v>
      </c>
      <c r="K513" s="93"/>
      <c r="L513" s="93">
        <f t="shared" si="63"/>
        <v>0</v>
      </c>
      <c r="M513" s="95" t="e">
        <f t="shared" ca="1" si="64"/>
        <v>#DIV/0!</v>
      </c>
      <c r="N513" s="95">
        <f>IF(P513="Hedge Fund",IF(A513=Summary!$AD$3,M513-E513,M513),IF(A513=Summary!$AD$3,L513-D513,L513))</f>
        <v>0</v>
      </c>
      <c r="O513" s="95"/>
      <c r="P513" s="95" t="s">
        <v>155</v>
      </c>
      <c r="Q513" s="95">
        <v>0</v>
      </c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  <c r="AC513" s="355"/>
      <c r="AD513" s="355"/>
      <c r="AE513" s="355"/>
      <c r="AF513" s="94">
        <f t="shared" si="65"/>
        <v>43404</v>
      </c>
      <c r="AG513" s="185">
        <f t="shared" si="70"/>
        <v>-1.1511378307852982E-2</v>
      </c>
      <c r="AH513" s="339" t="str">
        <f>VLOOKUP(B513,'MF PF'!A:B,2)</f>
        <v>FdMgt1</v>
      </c>
      <c r="AI513" s="358">
        <f t="shared" si="66"/>
        <v>0</v>
      </c>
      <c r="AJ513" s="94">
        <f t="shared" si="67"/>
        <v>43404</v>
      </c>
    </row>
    <row r="514" spans="1:36" ht="12.75" customHeight="1">
      <c r="A514" s="94">
        <v>43434</v>
      </c>
      <c r="B514" s="358" t="s">
        <v>136</v>
      </c>
      <c r="C514" s="358" t="s">
        <v>343</v>
      </c>
      <c r="D514" s="374">
        <v>6771885.7199999997</v>
      </c>
      <c r="F514" s="105">
        <v>0.15300000164685079</v>
      </c>
      <c r="G514" s="93">
        <v>0</v>
      </c>
      <c r="H514" s="93">
        <v>0</v>
      </c>
      <c r="I514" s="93">
        <v>0</v>
      </c>
      <c r="K514" s="7">
        <v>0</v>
      </c>
      <c r="L514" s="93">
        <f t="shared" si="63"/>
        <v>0</v>
      </c>
      <c r="M514" s="95" t="e">
        <f t="shared" ca="1" si="64"/>
        <v>#DIV/0!</v>
      </c>
      <c r="N514" s="95">
        <f>IF(P514="Hedge Fund",IF(A514=Summary!$AD$3,M514-E514,M514),IF(A514=Summary!$AD$3,L514-D514,L514))</f>
        <v>0</v>
      </c>
      <c r="O514" s="95"/>
      <c r="P514" s="95" t="s">
        <v>155</v>
      </c>
      <c r="Q514" s="95">
        <v>0</v>
      </c>
      <c r="R514" s="93">
        <v>0</v>
      </c>
      <c r="S514" s="95"/>
      <c r="T514" s="95"/>
      <c r="U514" s="95"/>
      <c r="V514" s="95"/>
      <c r="W514" s="95"/>
      <c r="X514" s="95"/>
      <c r="Y514" s="95"/>
      <c r="Z514" s="95"/>
      <c r="AA514" s="95"/>
      <c r="AB514" s="95"/>
      <c r="AC514" s="355"/>
      <c r="AD514" s="355"/>
      <c r="AE514" s="355"/>
      <c r="AF514" s="94">
        <f t="shared" si="65"/>
        <v>43434</v>
      </c>
      <c r="AG514" s="185">
        <f t="shared" si="70"/>
        <v>3.0217682054657136E-2</v>
      </c>
      <c r="AH514" s="339" t="str">
        <f>VLOOKUP(B514,'MF PF'!A:B,2)</f>
        <v>FdMgt1</v>
      </c>
      <c r="AI514" s="358">
        <f t="shared" si="66"/>
        <v>0</v>
      </c>
      <c r="AJ514" s="94">
        <f t="shared" si="67"/>
        <v>43434</v>
      </c>
    </row>
    <row r="515" spans="1:36" s="358" customFormat="1" ht="12.75" customHeight="1">
      <c r="A515" s="94">
        <v>43452</v>
      </c>
      <c r="B515" s="358" t="s">
        <v>136</v>
      </c>
      <c r="C515" s="358" t="s">
        <v>343</v>
      </c>
      <c r="D515" s="93"/>
      <c r="E515" s="95"/>
      <c r="F515" s="93"/>
      <c r="G515" s="93"/>
      <c r="H515" s="93"/>
      <c r="I515" s="93">
        <v>-3495.5574850019366</v>
      </c>
      <c r="J515" s="93"/>
      <c r="K515" s="93"/>
      <c r="L515" s="93">
        <f t="shared" ref="L515:L578" si="71">G515+H515+I515</f>
        <v>-3495.5574850019366</v>
      </c>
      <c r="M515" s="95" t="e">
        <f t="shared" ref="M515:M578" ca="1" si="72">IF(A515&gt;INDIRECT("A"&amp;ROW()-1),I515/K515,E515)</f>
        <v>#DIV/0!</v>
      </c>
      <c r="N515" s="95">
        <f>IF(P515="Hedge Fund",IF(A515=Summary!$AD$3,M515-E515,M515),IF(A515=Summary!$AD$3,L515-D515,L515))</f>
        <v>-3495.5574850019366</v>
      </c>
      <c r="O515" s="95"/>
      <c r="P515" s="95" t="s">
        <v>155</v>
      </c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  <c r="AF515" s="94">
        <f t="shared" ref="AF515:AF578" si="73">A515</f>
        <v>43452</v>
      </c>
      <c r="AG515" s="185">
        <f t="shared" si="70"/>
        <v>-0.99948381327896918</v>
      </c>
      <c r="AH515" s="339" t="str">
        <f>VLOOKUP(B515,'MF PF'!A:B,2)</f>
        <v>FdMgt1</v>
      </c>
      <c r="AI515" s="358">
        <f t="shared" ref="AI515:AI578" si="74">AF515-A515</f>
        <v>0</v>
      </c>
      <c r="AJ515" s="94">
        <f t="shared" ref="AJ515:AJ578" si="75">EOMONTH(A515,0)</f>
        <v>43465</v>
      </c>
    </row>
    <row r="516" spans="1:36" ht="12.75" customHeight="1">
      <c r="A516" s="94">
        <v>43465</v>
      </c>
      <c r="B516" s="358" t="s">
        <v>136</v>
      </c>
      <c r="C516" s="358" t="s">
        <v>343</v>
      </c>
      <c r="D516" s="93">
        <v>7142174.6292000003</v>
      </c>
      <c r="F516" s="93">
        <v>0.15300000164685079</v>
      </c>
      <c r="G516" s="93">
        <v>0</v>
      </c>
      <c r="H516" s="93">
        <v>0</v>
      </c>
      <c r="I516" s="93">
        <v>0</v>
      </c>
      <c r="K516" s="93">
        <v>0</v>
      </c>
      <c r="L516" s="93">
        <f t="shared" si="71"/>
        <v>0</v>
      </c>
      <c r="M516" s="95" t="e">
        <f t="shared" ca="1" si="72"/>
        <v>#DIV/0!</v>
      </c>
      <c r="N516" s="95">
        <f>IF(P516="Hedge Fund",IF(A516=Summary!$AD$3,M516-E516,M516),IF(A516=Summary!$AD$3,L516-D516,L516))</f>
        <v>0</v>
      </c>
      <c r="O516" s="95"/>
      <c r="P516" s="95" t="s">
        <v>155</v>
      </c>
      <c r="Q516" s="95">
        <v>0</v>
      </c>
      <c r="R516" s="95">
        <v>0</v>
      </c>
      <c r="S516" s="95"/>
      <c r="T516" s="95"/>
      <c r="U516" s="95"/>
      <c r="V516" s="95"/>
      <c r="W516" s="95"/>
      <c r="X516" s="95"/>
      <c r="Y516" s="95"/>
      <c r="Z516" s="95"/>
      <c r="AA516" s="95"/>
      <c r="AB516" s="95"/>
      <c r="AC516" s="355"/>
      <c r="AD516" s="355"/>
      <c r="AE516" s="355"/>
      <c r="AF516" s="94">
        <f t="shared" si="73"/>
        <v>43465</v>
      </c>
      <c r="AG516" s="185" t="e">
        <f t="shared" si="70"/>
        <v>#DIV/0!</v>
      </c>
      <c r="AH516" s="339" t="str">
        <f>VLOOKUP(B516,'MF PF'!A:B,2)</f>
        <v>FdMgt1</v>
      </c>
      <c r="AI516" s="358">
        <f t="shared" si="74"/>
        <v>0</v>
      </c>
      <c r="AJ516" s="94">
        <f t="shared" si="75"/>
        <v>43465</v>
      </c>
    </row>
    <row r="517" spans="1:36" ht="12.75" customHeight="1">
      <c r="A517" s="94">
        <v>43487</v>
      </c>
      <c r="B517" s="358" t="s">
        <v>136</v>
      </c>
      <c r="C517" s="358" t="s">
        <v>343</v>
      </c>
      <c r="D517" s="93"/>
      <c r="F517" s="93"/>
      <c r="G517" s="93"/>
      <c r="H517" s="93"/>
      <c r="I517" s="93">
        <v>-11071.488648240056</v>
      </c>
      <c r="L517" s="93">
        <f t="shared" si="71"/>
        <v>-11071.488648240056</v>
      </c>
      <c r="M517" s="95" t="e">
        <f t="shared" ca="1" si="72"/>
        <v>#DIV/0!</v>
      </c>
      <c r="N517" s="95">
        <f>IF(P517="Hedge Fund",IF(A517=Summary!$AD$3,M517-E517,M517),IF(A517=Summary!$AD$3,L517-D517,L517))</f>
        <v>-11071.488648240056</v>
      </c>
      <c r="O517" s="95">
        <f>N517</f>
        <v>-11071.488648240056</v>
      </c>
      <c r="P517" s="95" t="s">
        <v>155</v>
      </c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  <c r="AC517" s="355"/>
      <c r="AD517" s="355"/>
      <c r="AE517" s="355"/>
      <c r="AF517" s="94">
        <f t="shared" si="73"/>
        <v>43487</v>
      </c>
      <c r="AG517" s="185">
        <f t="shared" si="70"/>
        <v>-0.99844984346882593</v>
      </c>
      <c r="AH517" s="339" t="str">
        <f>VLOOKUP(B517,'MF PF'!A:B,2)</f>
        <v>FdMgt1</v>
      </c>
      <c r="AI517" s="358">
        <f t="shared" si="74"/>
        <v>0</v>
      </c>
      <c r="AJ517" s="94">
        <f t="shared" si="75"/>
        <v>43496</v>
      </c>
    </row>
    <row r="518" spans="1:36" ht="12.75" customHeight="1">
      <c r="A518" s="94">
        <v>43496</v>
      </c>
      <c r="B518" s="358" t="s">
        <v>136</v>
      </c>
      <c r="C518" s="358" t="s">
        <v>343</v>
      </c>
      <c r="D518" s="93">
        <v>7261310.9900000002</v>
      </c>
      <c r="F518" s="93">
        <v>0.15</v>
      </c>
      <c r="G518" s="93">
        <v>0</v>
      </c>
      <c r="H518" s="93">
        <v>0</v>
      </c>
      <c r="I518" s="93">
        <v>0</v>
      </c>
      <c r="K518" s="7">
        <v>0</v>
      </c>
      <c r="L518" s="93">
        <f t="shared" si="71"/>
        <v>0</v>
      </c>
      <c r="M518" s="95" t="e">
        <f t="shared" ca="1" si="72"/>
        <v>#DIV/0!</v>
      </c>
      <c r="N518" s="95">
        <f>IF(P518="Hedge Fund",IF(A518=Summary!$AD$3,M518-E518,M518),IF(A518=Summary!$AD$3,L518-D518,L518))</f>
        <v>-7261310.9900000002</v>
      </c>
      <c r="O518" s="95"/>
      <c r="P518" s="95" t="s">
        <v>155</v>
      </c>
      <c r="Q518" s="95">
        <v>0</v>
      </c>
      <c r="R518" s="95">
        <v>0</v>
      </c>
      <c r="S518" s="95"/>
      <c r="T518" s="95"/>
      <c r="U518" s="95"/>
      <c r="V518" s="95"/>
      <c r="W518" s="95"/>
      <c r="X518" s="95"/>
      <c r="Y518" s="95"/>
      <c r="Z518" s="95"/>
      <c r="AA518" s="95"/>
      <c r="AB518" s="95"/>
      <c r="AC518" s="355"/>
      <c r="AD518" s="355"/>
      <c r="AE518" s="355"/>
      <c r="AF518" s="94">
        <f t="shared" si="73"/>
        <v>43496</v>
      </c>
      <c r="AG518" s="185" t="e">
        <f t="shared" si="70"/>
        <v>#DIV/0!</v>
      </c>
      <c r="AH518" s="339" t="str">
        <f>VLOOKUP(B518,'MF PF'!A:B,2)</f>
        <v>FdMgt1</v>
      </c>
      <c r="AI518" s="358">
        <f t="shared" si="74"/>
        <v>0</v>
      </c>
      <c r="AJ518" s="94">
        <f t="shared" si="75"/>
        <v>43496</v>
      </c>
    </row>
    <row r="519" spans="1:36" ht="12.75" customHeight="1">
      <c r="A519" s="8">
        <v>43371</v>
      </c>
      <c r="B519" s="358" t="s">
        <v>136</v>
      </c>
      <c r="C519" s="358" t="s">
        <v>341</v>
      </c>
      <c r="D519" s="374">
        <v>3863684.12</v>
      </c>
      <c r="F519" s="105">
        <v>2.847</v>
      </c>
      <c r="G519" s="93">
        <v>0</v>
      </c>
      <c r="H519" s="93">
        <v>0</v>
      </c>
      <c r="I519" s="93">
        <v>0</v>
      </c>
      <c r="K519" s="7">
        <v>0</v>
      </c>
      <c r="L519" s="93">
        <f t="shared" si="71"/>
        <v>0</v>
      </c>
      <c r="M519" s="95">
        <f t="shared" ca="1" si="72"/>
        <v>0</v>
      </c>
      <c r="N519" s="95">
        <f>IF(P519="Hedge Fund",IF(A519=Summary!$AD$3,M519-E519,M519),IF(A519=Summary!$AD$3,L519-D519,L519))</f>
        <v>0</v>
      </c>
      <c r="O519" s="95"/>
      <c r="P519" s="95" t="s">
        <v>155</v>
      </c>
      <c r="Q519" s="95">
        <v>0</v>
      </c>
      <c r="R519" s="95">
        <v>0</v>
      </c>
      <c r="S519" s="95"/>
      <c r="T519" s="95"/>
      <c r="U519" s="95"/>
      <c r="V519" s="95"/>
      <c r="W519" s="95"/>
      <c r="X519" s="95"/>
      <c r="Y519" s="95"/>
      <c r="Z519" s="95"/>
      <c r="AA519" s="95"/>
      <c r="AB519" s="95"/>
      <c r="AC519" s="355"/>
      <c r="AD519" s="355"/>
      <c r="AE519" s="355"/>
      <c r="AF519" s="94">
        <f t="shared" si="73"/>
        <v>43371</v>
      </c>
      <c r="AG519" s="185" t="e">
        <f t="shared" si="70"/>
        <v>#DIV/0!</v>
      </c>
      <c r="AH519" s="339" t="str">
        <f>VLOOKUP(B519,'MF PF'!A:B,2)</f>
        <v>FdMgt1</v>
      </c>
      <c r="AI519" s="358">
        <f t="shared" si="74"/>
        <v>0</v>
      </c>
      <c r="AJ519" s="94">
        <f t="shared" si="75"/>
        <v>43373</v>
      </c>
    </row>
    <row r="520" spans="1:36" ht="12.75" customHeight="1">
      <c r="A520" s="8">
        <v>43404</v>
      </c>
      <c r="B520" s="358" t="s">
        <v>136</v>
      </c>
      <c r="C520" s="358" t="s">
        <v>341</v>
      </c>
      <c r="D520" s="374">
        <v>3812982.58</v>
      </c>
      <c r="F520" s="105">
        <v>2.847</v>
      </c>
      <c r="G520" s="93">
        <v>0</v>
      </c>
      <c r="H520" s="93">
        <v>0</v>
      </c>
      <c r="I520" s="93">
        <v>0</v>
      </c>
      <c r="J520" s="93">
        <v>0</v>
      </c>
      <c r="K520" s="93"/>
      <c r="L520" s="93">
        <f t="shared" si="71"/>
        <v>0</v>
      </c>
      <c r="M520" s="95" t="e">
        <f t="shared" ca="1" si="72"/>
        <v>#DIV/0!</v>
      </c>
      <c r="N520" s="95">
        <f>IF(P520="Hedge Fund",IF(A520=Summary!$AD$3,M520-E520,M520),IF(A520=Summary!$AD$3,L520-D520,L520))</f>
        <v>0</v>
      </c>
      <c r="O520" s="95"/>
      <c r="P520" s="89" t="s">
        <v>155</v>
      </c>
      <c r="Q520" s="95">
        <v>0</v>
      </c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  <c r="AC520" s="355"/>
      <c r="AD520" s="355"/>
      <c r="AE520" s="355"/>
      <c r="AF520" s="94">
        <f t="shared" si="73"/>
        <v>43404</v>
      </c>
      <c r="AG520" s="185">
        <f t="shared" si="70"/>
        <v>-1.3122589328032341E-2</v>
      </c>
      <c r="AH520" s="339" t="str">
        <f>VLOOKUP(B520,'MF PF'!A:B,2)</f>
        <v>FdMgt1</v>
      </c>
      <c r="AI520" s="358">
        <f t="shared" si="74"/>
        <v>0</v>
      </c>
      <c r="AJ520" s="94">
        <f t="shared" si="75"/>
        <v>43404</v>
      </c>
    </row>
    <row r="521" spans="1:36" ht="12.75" customHeight="1">
      <c r="A521" s="8">
        <v>43434</v>
      </c>
      <c r="B521" s="358" t="s">
        <v>136</v>
      </c>
      <c r="C521" s="358" t="s">
        <v>341</v>
      </c>
      <c r="D521" s="374">
        <v>3846568.75</v>
      </c>
      <c r="F521" s="105">
        <v>2.847</v>
      </c>
      <c r="G521" s="93">
        <v>0</v>
      </c>
      <c r="H521" s="93">
        <v>0</v>
      </c>
      <c r="I521" s="93">
        <v>0</v>
      </c>
      <c r="J521" s="93">
        <v>0</v>
      </c>
      <c r="K521" s="93"/>
      <c r="L521" s="93">
        <f t="shared" si="71"/>
        <v>0</v>
      </c>
      <c r="M521" s="95" t="e">
        <f t="shared" ca="1" si="72"/>
        <v>#DIV/0!</v>
      </c>
      <c r="N521" s="95">
        <f>IF(P521="Hedge Fund",IF(A521=Summary!$AD$3,M521-E521,M521),IF(A521=Summary!$AD$3,L521-D521,L521))</f>
        <v>0</v>
      </c>
      <c r="O521" s="95"/>
      <c r="P521" s="89" t="s">
        <v>155</v>
      </c>
      <c r="Q521" s="95">
        <v>0</v>
      </c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  <c r="AC521" s="355"/>
      <c r="AD521" s="355"/>
      <c r="AE521" s="355"/>
      <c r="AF521" s="94">
        <f t="shared" si="73"/>
        <v>43434</v>
      </c>
      <c r="AG521" s="185">
        <f t="shared" si="70"/>
        <v>8.8083722637934958E-3</v>
      </c>
      <c r="AH521" s="339" t="str">
        <f>VLOOKUP(B521,'MF PF'!A:B,2)</f>
        <v>FdMgt1</v>
      </c>
      <c r="AI521" s="358">
        <f t="shared" si="74"/>
        <v>0</v>
      </c>
      <c r="AJ521" s="94">
        <f t="shared" si="75"/>
        <v>43434</v>
      </c>
    </row>
    <row r="522" spans="1:36" ht="12.75" customHeight="1">
      <c r="A522" s="94">
        <v>43452</v>
      </c>
      <c r="B522" s="358" t="s">
        <v>136</v>
      </c>
      <c r="C522" s="92" t="s">
        <v>341</v>
      </c>
      <c r="D522" s="93"/>
      <c r="F522" s="93"/>
      <c r="G522" s="93"/>
      <c r="H522" s="93"/>
      <c r="I522" s="93">
        <v>-65044.784620423503</v>
      </c>
      <c r="K522" s="93"/>
      <c r="L522" s="93">
        <f t="shared" si="71"/>
        <v>-65044.784620423503</v>
      </c>
      <c r="M522" s="95" t="e">
        <f t="shared" ca="1" si="72"/>
        <v>#DIV/0!</v>
      </c>
      <c r="N522" s="95">
        <f>IF(P522="Hedge Fund",IF(A522=Summary!$AD$3,M522-E522,M522),IF(A522=Summary!$AD$3,L522-D522,L522))</f>
        <v>-65044.784620423503</v>
      </c>
      <c r="O522" s="95"/>
      <c r="P522" s="95" t="s">
        <v>155</v>
      </c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  <c r="AC522" s="355"/>
      <c r="AD522" s="355"/>
      <c r="AE522" s="355"/>
      <c r="AF522" s="94">
        <f t="shared" si="73"/>
        <v>43452</v>
      </c>
      <c r="AG522" s="185">
        <f t="shared" si="70"/>
        <v>-0.98309018014550664</v>
      </c>
      <c r="AH522" s="339" t="str">
        <f>VLOOKUP(B522,'MF PF'!A:B,2)</f>
        <v>FdMgt1</v>
      </c>
      <c r="AI522" s="358">
        <f t="shared" si="74"/>
        <v>0</v>
      </c>
      <c r="AJ522" s="94">
        <f t="shared" si="75"/>
        <v>43465</v>
      </c>
    </row>
    <row r="523" spans="1:36" ht="12.75" customHeight="1">
      <c r="A523" s="94">
        <v>43465</v>
      </c>
      <c r="B523" s="358" t="s">
        <v>136</v>
      </c>
      <c r="C523" s="358" t="s">
        <v>341</v>
      </c>
      <c r="D523" s="93">
        <v>3890582.35</v>
      </c>
      <c r="F523" s="93">
        <v>2.8469999983531502</v>
      </c>
      <c r="G523" s="93">
        <v>0</v>
      </c>
      <c r="H523" s="93">
        <v>0</v>
      </c>
      <c r="I523" s="93">
        <v>0</v>
      </c>
      <c r="K523" s="93">
        <v>0</v>
      </c>
      <c r="L523" s="93">
        <f t="shared" si="71"/>
        <v>0</v>
      </c>
      <c r="M523" s="95" t="e">
        <f t="shared" ca="1" si="72"/>
        <v>#DIV/0!</v>
      </c>
      <c r="N523" s="95">
        <f>IF(P523="Hedge Fund",IF(A523=Summary!$AD$3,M523-E523,M523),IF(A523=Summary!$AD$3,L523-D523,L523))</f>
        <v>0</v>
      </c>
      <c r="O523" s="95">
        <f>N523</f>
        <v>0</v>
      </c>
      <c r="P523" s="95" t="s">
        <v>155</v>
      </c>
      <c r="Q523" s="95">
        <v>0</v>
      </c>
      <c r="R523" s="95">
        <v>0</v>
      </c>
      <c r="S523" s="95"/>
      <c r="T523" s="95"/>
      <c r="U523" s="95"/>
      <c r="V523" s="95"/>
      <c r="W523" s="95"/>
      <c r="X523" s="95"/>
      <c r="Y523" s="95"/>
      <c r="Z523" s="95"/>
      <c r="AA523" s="95"/>
      <c r="AB523" s="95"/>
      <c r="AC523" s="355"/>
      <c r="AD523" s="355"/>
      <c r="AE523" s="355"/>
      <c r="AF523" s="94">
        <f t="shared" si="73"/>
        <v>43465</v>
      </c>
      <c r="AG523" s="185" t="e">
        <f t="shared" si="70"/>
        <v>#DIV/0!</v>
      </c>
      <c r="AH523" s="339" t="str">
        <f>VLOOKUP(B523,'MF PF'!A:B,2)</f>
        <v>FdMgt1</v>
      </c>
      <c r="AI523" s="358">
        <f t="shared" si="74"/>
        <v>0</v>
      </c>
      <c r="AJ523" s="94">
        <f t="shared" si="75"/>
        <v>43465</v>
      </c>
    </row>
    <row r="524" spans="1:36" ht="12.75" customHeight="1">
      <c r="A524" s="8">
        <v>43487</v>
      </c>
      <c r="B524" s="358" t="s">
        <v>136</v>
      </c>
      <c r="C524" s="6" t="s">
        <v>341</v>
      </c>
      <c r="D524" s="93"/>
      <c r="F524" s="93"/>
      <c r="G524" s="93"/>
      <c r="H524" s="93"/>
      <c r="I524" s="93">
        <v>-206016.52172567238</v>
      </c>
      <c r="K524" s="93"/>
      <c r="L524" s="93">
        <f t="shared" si="71"/>
        <v>-206016.52172567238</v>
      </c>
      <c r="M524" s="95" t="e">
        <f t="shared" ca="1" si="72"/>
        <v>#DIV/0!</v>
      </c>
      <c r="N524" s="95">
        <f>IF(P524="Hedge Fund",IF(A524=Summary!$AD$3,M524-E524,M524),IF(A524=Summary!$AD$3,L524-D524,L524))</f>
        <v>-206016.52172567238</v>
      </c>
      <c r="O524" s="95">
        <f>N524</f>
        <v>-206016.52172567238</v>
      </c>
      <c r="P524" s="95" t="s">
        <v>155</v>
      </c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  <c r="AC524" s="355"/>
      <c r="AD524" s="355"/>
      <c r="AE524" s="355"/>
      <c r="AF524" s="94">
        <f t="shared" si="73"/>
        <v>43487</v>
      </c>
      <c r="AG524" s="185">
        <f t="shared" si="70"/>
        <v>-0.94704738180759174</v>
      </c>
      <c r="AH524" s="339" t="str">
        <f>VLOOKUP(B524,'MF PF'!A:B,2)</f>
        <v>FdMgt1</v>
      </c>
      <c r="AI524" s="358">
        <f t="shared" si="74"/>
        <v>0</v>
      </c>
      <c r="AJ524" s="94">
        <f t="shared" si="75"/>
        <v>43496</v>
      </c>
    </row>
    <row r="525" spans="1:36" ht="12.75" customHeight="1">
      <c r="A525" s="8">
        <v>43496</v>
      </c>
      <c r="B525" s="358" t="s">
        <v>136</v>
      </c>
      <c r="C525" s="6" t="s">
        <v>341</v>
      </c>
      <c r="D525" s="374">
        <v>3669217.82</v>
      </c>
      <c r="F525" s="93">
        <v>2.85</v>
      </c>
      <c r="G525" s="93">
        <v>0</v>
      </c>
      <c r="H525" s="93">
        <v>0</v>
      </c>
      <c r="I525" s="93">
        <v>0</v>
      </c>
      <c r="K525" s="93">
        <v>0</v>
      </c>
      <c r="L525" s="93">
        <f t="shared" si="71"/>
        <v>0</v>
      </c>
      <c r="M525" s="95" t="e">
        <f t="shared" ca="1" si="72"/>
        <v>#DIV/0!</v>
      </c>
      <c r="N525" s="95">
        <f>IF(P525="Hedge Fund",IF(A525=Summary!$AD$3,M525-E525,M525),IF(A525=Summary!$AD$3,L525-D525,L525))</f>
        <v>-3669217.82</v>
      </c>
      <c r="O525" s="95"/>
      <c r="P525" s="95" t="s">
        <v>155</v>
      </c>
      <c r="Q525" s="95">
        <v>0</v>
      </c>
      <c r="R525" s="95">
        <v>0</v>
      </c>
      <c r="S525" s="95"/>
      <c r="T525" s="95"/>
      <c r="U525" s="95"/>
      <c r="V525" s="95"/>
      <c r="W525" s="95"/>
      <c r="X525" s="95"/>
      <c r="Y525" s="95"/>
      <c r="Z525" s="95"/>
      <c r="AA525" s="95"/>
      <c r="AB525" s="95"/>
      <c r="AC525" s="355"/>
      <c r="AD525" s="355"/>
      <c r="AE525" s="355"/>
      <c r="AF525" s="94">
        <f t="shared" si="73"/>
        <v>43496</v>
      </c>
      <c r="AG525" s="185" t="e">
        <f t="shared" si="70"/>
        <v>#DIV/0!</v>
      </c>
      <c r="AH525" s="339" t="str">
        <f>VLOOKUP(B525,'MF PF'!A:B,2)</f>
        <v>FdMgt1</v>
      </c>
      <c r="AI525" s="358">
        <f t="shared" si="74"/>
        <v>0</v>
      </c>
      <c r="AJ525" s="94">
        <f t="shared" si="75"/>
        <v>43496</v>
      </c>
    </row>
    <row r="526" spans="1:36" ht="12.75" customHeight="1">
      <c r="A526" s="94">
        <v>41578</v>
      </c>
      <c r="B526" s="8" t="s">
        <v>136</v>
      </c>
      <c r="C526" s="358" t="s">
        <v>301</v>
      </c>
      <c r="D526" s="374">
        <v>530000</v>
      </c>
      <c r="E526" s="9" t="e">
        <f t="shared" ref="E526:E557" si="76">D526/K526</f>
        <v>#DIV/0!</v>
      </c>
      <c r="F526" s="47">
        <v>10.6</v>
      </c>
      <c r="G526" s="47">
        <v>530000</v>
      </c>
      <c r="H526" s="47"/>
      <c r="I526" s="47">
        <v>0</v>
      </c>
      <c r="J526" s="98"/>
      <c r="K526" s="93"/>
      <c r="L526" s="93">
        <f t="shared" si="71"/>
        <v>530000</v>
      </c>
      <c r="M526" s="95" t="e">
        <f t="shared" ca="1" si="72"/>
        <v>#DIV/0!</v>
      </c>
      <c r="N526" s="95">
        <f>IF(P526="Hedge Fund",IF(A526=Summary!$AD$3,M526-E526,M526),IF(A526=Summary!$AD$3,L526-D526,L526))</f>
        <v>530000</v>
      </c>
      <c r="O526" s="95">
        <f t="shared" ref="O526:O589" si="77">N526</f>
        <v>530000</v>
      </c>
      <c r="P526" s="89" t="s">
        <v>155</v>
      </c>
      <c r="Q526" s="107">
        <v>0</v>
      </c>
      <c r="R526" s="107">
        <v>0</v>
      </c>
      <c r="S526" s="89">
        <v>0</v>
      </c>
      <c r="T526" s="89">
        <v>0</v>
      </c>
      <c r="U526" s="89"/>
      <c r="V526" s="89"/>
      <c r="W526" s="89"/>
      <c r="X526" s="89"/>
      <c r="Y526" s="89"/>
      <c r="Z526" s="89"/>
      <c r="AA526" s="89"/>
      <c r="AB526" s="89"/>
      <c r="AC526" s="355"/>
      <c r="AD526" s="355"/>
      <c r="AE526" s="355"/>
      <c r="AF526" s="94">
        <f t="shared" si="73"/>
        <v>41578</v>
      </c>
      <c r="AG526" s="185">
        <f>IF(C526&lt;&gt;C524,D526/G526-1,(D526-G526-I526-H526)/(D524)-1)</f>
        <v>0</v>
      </c>
      <c r="AH526" s="339" t="str">
        <f>VLOOKUP(B526,'MF PF'!A:B,2)</f>
        <v>FdMgt1</v>
      </c>
      <c r="AI526" s="358">
        <f t="shared" si="74"/>
        <v>0</v>
      </c>
      <c r="AJ526" s="94">
        <f t="shared" si="75"/>
        <v>41578</v>
      </c>
    </row>
    <row r="527" spans="1:36" ht="12.75" customHeight="1">
      <c r="A527" s="94">
        <v>41607</v>
      </c>
      <c r="B527" s="8" t="s">
        <v>136</v>
      </c>
      <c r="C527" s="358" t="s">
        <v>301</v>
      </c>
      <c r="D527" s="374">
        <v>518631.39</v>
      </c>
      <c r="E527" s="9" t="e">
        <f t="shared" si="76"/>
        <v>#DIV/0!</v>
      </c>
      <c r="F527" s="47">
        <v>10.6</v>
      </c>
      <c r="G527" s="47">
        <v>0</v>
      </c>
      <c r="H527" s="47"/>
      <c r="I527" s="47">
        <v>0</v>
      </c>
      <c r="J527" s="98"/>
      <c r="K527" s="93"/>
      <c r="L527" s="93">
        <f t="shared" si="71"/>
        <v>0</v>
      </c>
      <c r="M527" s="95" t="e">
        <f t="shared" ca="1" si="72"/>
        <v>#DIV/0!</v>
      </c>
      <c r="N527" s="95">
        <f>IF(P527="Hedge Fund",IF(A527=Summary!$AD$3,M527-E527,M527),IF(A527=Summary!$AD$3,L527-D527,L527))</f>
        <v>0</v>
      </c>
      <c r="O527" s="95">
        <f t="shared" si="77"/>
        <v>0</v>
      </c>
      <c r="P527" s="89" t="s">
        <v>155</v>
      </c>
      <c r="Q527" s="89">
        <v>0</v>
      </c>
      <c r="R527" s="89">
        <v>0</v>
      </c>
      <c r="S527" s="89">
        <v>0</v>
      </c>
      <c r="T527" s="89">
        <v>0</v>
      </c>
      <c r="U527" s="89"/>
      <c r="V527" s="89"/>
      <c r="W527" s="89"/>
      <c r="X527" s="89"/>
      <c r="Y527" s="89"/>
      <c r="Z527" s="89"/>
      <c r="AA527" s="89"/>
      <c r="AB527" s="89"/>
      <c r="AC527" s="355"/>
      <c r="AD527" s="355"/>
      <c r="AE527" s="355"/>
      <c r="AF527" s="94">
        <f t="shared" si="73"/>
        <v>41607</v>
      </c>
      <c r="AG527" s="185">
        <f t="shared" ref="AG527:AG590" si="78">IF(C527&lt;&gt;C526,D527/G527-1,(D527-G527-I527-H527)/(D526)-1)</f>
        <v>-2.1450207547169753E-2</v>
      </c>
      <c r="AH527" s="339" t="str">
        <f>VLOOKUP(B527,'MF PF'!A:B,2)</f>
        <v>FdMgt1</v>
      </c>
      <c r="AI527" s="358">
        <f t="shared" si="74"/>
        <v>0</v>
      </c>
      <c r="AJ527" s="94">
        <f t="shared" si="75"/>
        <v>41608</v>
      </c>
    </row>
    <row r="528" spans="1:36" ht="12.75" customHeight="1">
      <c r="A528" s="94">
        <v>41639</v>
      </c>
      <c r="B528" s="8" t="s">
        <v>136</v>
      </c>
      <c r="C528" s="358" t="s">
        <v>301</v>
      </c>
      <c r="D528" s="374">
        <v>1105197.1065</v>
      </c>
      <c r="E528" s="9" t="e">
        <f t="shared" si="76"/>
        <v>#DIV/0!</v>
      </c>
      <c r="F528" s="47">
        <v>10.6</v>
      </c>
      <c r="G528" s="47">
        <v>551200</v>
      </c>
      <c r="H528" s="47"/>
      <c r="I528" s="47">
        <v>0</v>
      </c>
      <c r="J528" s="98"/>
      <c r="K528" s="93"/>
      <c r="L528" s="93">
        <f t="shared" si="71"/>
        <v>551200</v>
      </c>
      <c r="M528" s="95" t="e">
        <f t="shared" ca="1" si="72"/>
        <v>#DIV/0!</v>
      </c>
      <c r="N528" s="95">
        <f>IF(P528="Hedge Fund",IF(A528=Summary!$AD$3,M528-E528,M528),IF(A528=Summary!$AD$3,L528-D528,L528))</f>
        <v>551200</v>
      </c>
      <c r="O528" s="95">
        <f t="shared" si="77"/>
        <v>551200</v>
      </c>
      <c r="P528" s="89" t="s">
        <v>155</v>
      </c>
      <c r="Q528" s="89">
        <v>0</v>
      </c>
      <c r="R528" s="89">
        <v>0</v>
      </c>
      <c r="S528" s="89">
        <v>0</v>
      </c>
      <c r="T528" s="89">
        <v>0</v>
      </c>
      <c r="U528" s="89"/>
      <c r="V528" s="89"/>
      <c r="W528" s="89"/>
      <c r="X528" s="89"/>
      <c r="Y528" s="89"/>
      <c r="Z528" s="89"/>
      <c r="AA528" s="89"/>
      <c r="AB528" s="89"/>
      <c r="AC528" s="355"/>
      <c r="AD528" s="355"/>
      <c r="AE528" s="355"/>
      <c r="AF528" s="94">
        <f t="shared" si="73"/>
        <v>41639</v>
      </c>
      <c r="AG528" s="185">
        <f t="shared" si="78"/>
        <v>6.8190466643370806E-2</v>
      </c>
      <c r="AH528" s="339" t="str">
        <f>VLOOKUP(B528,'MF PF'!A:B,2)</f>
        <v>FdMgt1</v>
      </c>
      <c r="AI528" s="358">
        <f t="shared" si="74"/>
        <v>0</v>
      </c>
      <c r="AJ528" s="94">
        <f t="shared" si="75"/>
        <v>41639</v>
      </c>
    </row>
    <row r="529" spans="1:36" ht="12.75" customHeight="1">
      <c r="A529" s="8">
        <v>41669</v>
      </c>
      <c r="B529" s="8" t="s">
        <v>136</v>
      </c>
      <c r="C529" s="6" t="s">
        <v>301</v>
      </c>
      <c r="D529" s="374">
        <v>4726343.17</v>
      </c>
      <c r="E529" s="9" t="e">
        <f t="shared" si="76"/>
        <v>#DIV/0!</v>
      </c>
      <c r="F529" s="47">
        <v>10.6</v>
      </c>
      <c r="G529" s="47">
        <v>3657000</v>
      </c>
      <c r="H529" s="47"/>
      <c r="I529" s="47">
        <v>0</v>
      </c>
      <c r="J529" s="98"/>
      <c r="K529" s="93"/>
      <c r="L529" s="93">
        <f t="shared" si="71"/>
        <v>3657000</v>
      </c>
      <c r="M529" s="95" t="e">
        <f t="shared" ca="1" si="72"/>
        <v>#DIV/0!</v>
      </c>
      <c r="N529" s="95">
        <f>IF(P529="Hedge Fund",IF(A529=Summary!$AD$3,M529-E529,M529),IF(A529=Summary!$AD$3,L529-D529,L529))</f>
        <v>3657000</v>
      </c>
      <c r="O529" s="95">
        <f t="shared" si="77"/>
        <v>3657000</v>
      </c>
      <c r="P529" s="89" t="s">
        <v>155</v>
      </c>
      <c r="Q529" s="89">
        <v>0</v>
      </c>
      <c r="R529" s="89">
        <v>0</v>
      </c>
      <c r="S529" s="89">
        <v>0</v>
      </c>
      <c r="T529" s="89">
        <v>0</v>
      </c>
      <c r="U529" s="89"/>
      <c r="V529" s="89"/>
      <c r="W529" s="89"/>
      <c r="X529" s="89"/>
      <c r="Y529" s="89"/>
      <c r="Z529" s="89"/>
      <c r="AA529" s="89"/>
      <c r="AB529" s="89"/>
      <c r="AC529" s="355"/>
      <c r="AD529" s="355"/>
      <c r="AE529" s="355"/>
      <c r="AF529" s="94">
        <f t="shared" si="73"/>
        <v>41669</v>
      </c>
      <c r="AG529" s="185">
        <f t="shared" si="78"/>
        <v>-3.2441214593426082E-2</v>
      </c>
      <c r="AH529" s="339" t="str">
        <f>VLOOKUP(B529,'MF PF'!A:B,2)</f>
        <v>FdMgt1</v>
      </c>
      <c r="AI529" s="358">
        <f t="shared" si="74"/>
        <v>0</v>
      </c>
      <c r="AJ529" s="94">
        <f t="shared" si="75"/>
        <v>41670</v>
      </c>
    </row>
    <row r="530" spans="1:36" ht="12.75" customHeight="1">
      <c r="A530" s="8">
        <v>41698</v>
      </c>
      <c r="B530" s="8" t="s">
        <v>136</v>
      </c>
      <c r="C530" s="92" t="s">
        <v>301</v>
      </c>
      <c r="D530" s="374">
        <v>4728777.5999999996</v>
      </c>
      <c r="E530" s="9" t="e">
        <f t="shared" si="76"/>
        <v>#DIV/0!</v>
      </c>
      <c r="F530" s="47">
        <v>10.6</v>
      </c>
      <c r="G530" s="47">
        <v>0</v>
      </c>
      <c r="H530" s="47"/>
      <c r="I530" s="47">
        <v>0</v>
      </c>
      <c r="J530" s="98"/>
      <c r="K530" s="93"/>
      <c r="L530" s="93">
        <f t="shared" si="71"/>
        <v>0</v>
      </c>
      <c r="M530" s="95" t="e">
        <f t="shared" ca="1" si="72"/>
        <v>#DIV/0!</v>
      </c>
      <c r="N530" s="95">
        <f>IF(P530="Hedge Fund",IF(A530=Summary!$AD$3,M530-E530,M530),IF(A530=Summary!$AD$3,L530-D530,L530))</f>
        <v>0</v>
      </c>
      <c r="O530" s="95">
        <f t="shared" si="77"/>
        <v>0</v>
      </c>
      <c r="P530" s="89" t="s">
        <v>155</v>
      </c>
      <c r="Q530" s="89">
        <v>0</v>
      </c>
      <c r="R530" s="89">
        <v>0</v>
      </c>
      <c r="S530" s="89">
        <v>0</v>
      </c>
      <c r="T530" s="89">
        <v>0</v>
      </c>
      <c r="U530" s="89"/>
      <c r="V530" s="89"/>
      <c r="W530" s="89"/>
      <c r="X530" s="89"/>
      <c r="Y530" s="89"/>
      <c r="Z530" s="89"/>
      <c r="AA530" s="89"/>
      <c r="AB530" s="89"/>
      <c r="AC530" s="355"/>
      <c r="AD530" s="355"/>
      <c r="AE530" s="355"/>
      <c r="AF530" s="94">
        <f t="shared" si="73"/>
        <v>41698</v>
      </c>
      <c r="AG530" s="185">
        <f t="shared" si="78"/>
        <v>5.1507686015095366E-4</v>
      </c>
      <c r="AH530" s="339" t="str">
        <f>VLOOKUP(B530,'MF PF'!A:B,2)</f>
        <v>FdMgt1</v>
      </c>
      <c r="AI530" s="358">
        <f t="shared" si="74"/>
        <v>0</v>
      </c>
      <c r="AJ530" s="94">
        <f t="shared" si="75"/>
        <v>41698</v>
      </c>
    </row>
    <row r="531" spans="1:36" ht="12.75" customHeight="1">
      <c r="A531" s="94">
        <v>41729</v>
      </c>
      <c r="B531" s="8" t="s">
        <v>136</v>
      </c>
      <c r="C531" s="358" t="s">
        <v>301</v>
      </c>
      <c r="D531" s="374">
        <v>4739082.6059999997</v>
      </c>
      <c r="E531" s="9" t="e">
        <f t="shared" si="76"/>
        <v>#DIV/0!</v>
      </c>
      <c r="F531" s="47">
        <v>10.6</v>
      </c>
      <c r="G531" s="47">
        <v>0</v>
      </c>
      <c r="H531" s="47"/>
      <c r="I531" s="47">
        <v>0</v>
      </c>
      <c r="J531" s="98"/>
      <c r="K531" s="93"/>
      <c r="L531" s="93">
        <f t="shared" si="71"/>
        <v>0</v>
      </c>
      <c r="M531" s="95" t="e">
        <f t="shared" ca="1" si="72"/>
        <v>#DIV/0!</v>
      </c>
      <c r="N531" s="95">
        <f>IF(P531="Hedge Fund",IF(A531=Summary!$AD$3,M531-E531,M531),IF(A531=Summary!$AD$3,L531-D531,L531))</f>
        <v>0</v>
      </c>
      <c r="O531" s="95">
        <f t="shared" si="77"/>
        <v>0</v>
      </c>
      <c r="P531" s="89" t="s">
        <v>155</v>
      </c>
      <c r="Q531" s="89">
        <v>0</v>
      </c>
      <c r="R531" s="89">
        <v>0</v>
      </c>
      <c r="S531" s="89">
        <v>0</v>
      </c>
      <c r="T531" s="89">
        <v>0</v>
      </c>
      <c r="U531" s="89"/>
      <c r="V531" s="89"/>
      <c r="W531" s="89"/>
      <c r="X531" s="89"/>
      <c r="Y531" s="89"/>
      <c r="Z531" s="89"/>
      <c r="AA531" s="89"/>
      <c r="AB531" s="89"/>
      <c r="AC531" s="355"/>
      <c r="AD531" s="355"/>
      <c r="AE531" s="355"/>
      <c r="AF531" s="94">
        <f t="shared" si="73"/>
        <v>41729</v>
      </c>
      <c r="AG531" s="185">
        <f t="shared" si="78"/>
        <v>2.1792113885839015E-3</v>
      </c>
      <c r="AH531" s="339" t="str">
        <f>VLOOKUP(B531,'MF PF'!A:B,2)</f>
        <v>FdMgt1</v>
      </c>
      <c r="AI531" s="358">
        <f t="shared" si="74"/>
        <v>0</v>
      </c>
      <c r="AJ531" s="94">
        <f t="shared" si="75"/>
        <v>41729</v>
      </c>
    </row>
    <row r="532" spans="1:36" ht="12.75" customHeight="1">
      <c r="A532" s="94">
        <v>41759</v>
      </c>
      <c r="B532" s="8" t="s">
        <v>136</v>
      </c>
      <c r="C532" s="358" t="s">
        <v>301</v>
      </c>
      <c r="D532" s="374">
        <v>4588830.3771351697</v>
      </c>
      <c r="E532" s="9" t="e">
        <f t="shared" si="76"/>
        <v>#DIV/0!</v>
      </c>
      <c r="F532" s="47">
        <v>10.6</v>
      </c>
      <c r="G532" s="47">
        <v>0</v>
      </c>
      <c r="H532" s="47"/>
      <c r="I532" s="47">
        <v>0</v>
      </c>
      <c r="J532" s="98"/>
      <c r="L532" s="93">
        <f t="shared" si="71"/>
        <v>0</v>
      </c>
      <c r="M532" s="95" t="e">
        <f t="shared" ca="1" si="72"/>
        <v>#DIV/0!</v>
      </c>
      <c r="N532" s="95">
        <f>IF(P532="Hedge Fund",IF(A532=Summary!$AD$3,M532-E532,M532),IF(A532=Summary!$AD$3,L532-D532,L532))</f>
        <v>0</v>
      </c>
      <c r="O532" s="95">
        <f t="shared" si="77"/>
        <v>0</v>
      </c>
      <c r="P532" s="89" t="s">
        <v>155</v>
      </c>
      <c r="Q532" s="107">
        <v>0</v>
      </c>
      <c r="R532" s="107">
        <v>0</v>
      </c>
      <c r="S532" s="89">
        <v>0</v>
      </c>
      <c r="T532" s="89">
        <v>0</v>
      </c>
      <c r="U532" s="89"/>
      <c r="V532" s="89"/>
      <c r="W532" s="89"/>
      <c r="X532" s="89"/>
      <c r="Y532" s="89"/>
      <c r="Z532" s="89"/>
      <c r="AA532" s="89"/>
      <c r="AB532" s="89"/>
      <c r="AC532" s="355"/>
      <c r="AD532" s="355"/>
      <c r="AE532" s="355"/>
      <c r="AF532" s="94">
        <f t="shared" si="73"/>
        <v>41759</v>
      </c>
      <c r="AG532" s="185">
        <f t="shared" si="78"/>
        <v>-3.1704918727223808E-2</v>
      </c>
      <c r="AH532" s="339" t="str">
        <f>VLOOKUP(B532,'MF PF'!A:B,2)</f>
        <v>FdMgt1</v>
      </c>
      <c r="AI532" s="358">
        <f t="shared" si="74"/>
        <v>0</v>
      </c>
      <c r="AJ532" s="94">
        <f t="shared" si="75"/>
        <v>41759</v>
      </c>
    </row>
    <row r="533" spans="1:36" ht="12.75" customHeight="1">
      <c r="A533" s="94">
        <v>41789</v>
      </c>
      <c r="B533" s="8" t="s">
        <v>136</v>
      </c>
      <c r="C533" s="358" t="s">
        <v>301</v>
      </c>
      <c r="D533" s="374">
        <v>4600754.8585462701</v>
      </c>
      <c r="E533" s="9" t="e">
        <f t="shared" si="76"/>
        <v>#DIV/0!</v>
      </c>
      <c r="F533" s="47">
        <v>10.6</v>
      </c>
      <c r="G533" s="47">
        <v>0</v>
      </c>
      <c r="H533" s="47"/>
      <c r="I533" s="47">
        <v>0</v>
      </c>
      <c r="J533" s="98"/>
      <c r="K533" s="93"/>
      <c r="L533" s="93">
        <f t="shared" si="71"/>
        <v>0</v>
      </c>
      <c r="M533" s="95" t="e">
        <f t="shared" ca="1" si="72"/>
        <v>#DIV/0!</v>
      </c>
      <c r="N533" s="95">
        <f>IF(P533="Hedge Fund",IF(A533=Summary!$AD$3,M533-E533,M533),IF(A533=Summary!$AD$3,L533-D533,L533))</f>
        <v>0</v>
      </c>
      <c r="O533" s="95">
        <f t="shared" si="77"/>
        <v>0</v>
      </c>
      <c r="P533" s="89" t="s">
        <v>155</v>
      </c>
      <c r="Q533" s="107">
        <v>0</v>
      </c>
      <c r="R533" s="107">
        <v>0</v>
      </c>
      <c r="S533" s="89">
        <v>0</v>
      </c>
      <c r="T533" s="89">
        <v>0</v>
      </c>
      <c r="U533" s="89"/>
      <c r="V533" s="89"/>
      <c r="W533" s="89"/>
      <c r="X533" s="89"/>
      <c r="Y533" s="89"/>
      <c r="Z533" s="89"/>
      <c r="AA533" s="89"/>
      <c r="AB533" s="89"/>
      <c r="AC533" s="355"/>
      <c r="AD533" s="355"/>
      <c r="AE533" s="355"/>
      <c r="AF533" s="94">
        <f t="shared" si="73"/>
        <v>41789</v>
      </c>
      <c r="AG533" s="185">
        <f t="shared" si="78"/>
        <v>2.59858840512317E-3</v>
      </c>
      <c r="AH533" s="339" t="str">
        <f>VLOOKUP(B533,'MF PF'!A:B,2)</f>
        <v>FdMgt1</v>
      </c>
      <c r="AI533" s="358">
        <f t="shared" si="74"/>
        <v>0</v>
      </c>
      <c r="AJ533" s="94">
        <f t="shared" si="75"/>
        <v>41790</v>
      </c>
    </row>
    <row r="534" spans="1:36" ht="12.75" customHeight="1">
      <c r="A534" s="94">
        <v>41820</v>
      </c>
      <c r="B534" s="8" t="s">
        <v>136</v>
      </c>
      <c r="C534" s="92" t="s">
        <v>301</v>
      </c>
      <c r="D534" s="374">
        <v>4565551.7699999996</v>
      </c>
      <c r="E534" s="9" t="e">
        <f t="shared" si="76"/>
        <v>#DIV/0!</v>
      </c>
      <c r="F534" s="47">
        <v>10.6</v>
      </c>
      <c r="G534" s="47">
        <v>0</v>
      </c>
      <c r="H534" s="47"/>
      <c r="I534" s="47">
        <v>0</v>
      </c>
      <c r="J534" s="98"/>
      <c r="L534" s="93">
        <f t="shared" si="71"/>
        <v>0</v>
      </c>
      <c r="M534" s="95" t="e">
        <f t="shared" ca="1" si="72"/>
        <v>#DIV/0!</v>
      </c>
      <c r="N534" s="95">
        <f>IF(P534="Hedge Fund",IF(A534=Summary!$AD$3,M534-E534,M534),IF(A534=Summary!$AD$3,L534-D534,L534))</f>
        <v>0</v>
      </c>
      <c r="O534" s="95">
        <f t="shared" si="77"/>
        <v>0</v>
      </c>
      <c r="P534" s="89" t="s">
        <v>155</v>
      </c>
      <c r="Q534" s="89">
        <v>0</v>
      </c>
      <c r="R534" s="89">
        <v>0</v>
      </c>
      <c r="S534" s="89">
        <v>0</v>
      </c>
      <c r="T534" s="89">
        <v>0</v>
      </c>
      <c r="U534" s="89"/>
      <c r="V534" s="89"/>
      <c r="W534" s="89"/>
      <c r="X534" s="89"/>
      <c r="Y534" s="89"/>
      <c r="Z534" s="89"/>
      <c r="AA534" s="89"/>
      <c r="AB534" s="89"/>
      <c r="AC534" s="355"/>
      <c r="AD534" s="355"/>
      <c r="AE534" s="355"/>
      <c r="AF534" s="94">
        <f t="shared" si="73"/>
        <v>41820</v>
      </c>
      <c r="AG534" s="185">
        <f t="shared" si="78"/>
        <v>-7.6515897126919752E-3</v>
      </c>
      <c r="AH534" s="339" t="str">
        <f>VLOOKUP(B534,'MF PF'!A:B,2)</f>
        <v>FdMgt1</v>
      </c>
      <c r="AI534" s="358">
        <f t="shared" si="74"/>
        <v>0</v>
      </c>
      <c r="AJ534" s="94">
        <f t="shared" si="75"/>
        <v>41820</v>
      </c>
    </row>
    <row r="535" spans="1:36" ht="12.75" customHeight="1">
      <c r="A535" s="94">
        <v>41851</v>
      </c>
      <c r="B535" s="8" t="s">
        <v>136</v>
      </c>
      <c r="C535" s="358" t="s">
        <v>301</v>
      </c>
      <c r="D535" s="374">
        <v>4660057.74</v>
      </c>
      <c r="E535" s="9" t="e">
        <f t="shared" si="76"/>
        <v>#DIV/0!</v>
      </c>
      <c r="F535" s="47">
        <v>10.6</v>
      </c>
      <c r="G535" s="47">
        <v>0</v>
      </c>
      <c r="H535" s="47"/>
      <c r="I535" s="47">
        <v>0</v>
      </c>
      <c r="J535" s="98"/>
      <c r="L535" s="93">
        <f t="shared" si="71"/>
        <v>0</v>
      </c>
      <c r="M535" s="95" t="e">
        <f t="shared" ca="1" si="72"/>
        <v>#DIV/0!</v>
      </c>
      <c r="N535" s="95">
        <f>IF(P535="Hedge Fund",IF(A535=Summary!$AD$3,M535-E535,M535),IF(A535=Summary!$AD$3,L535-D535,L535))</f>
        <v>0</v>
      </c>
      <c r="O535" s="95">
        <f t="shared" si="77"/>
        <v>0</v>
      </c>
      <c r="P535" s="89" t="s">
        <v>155</v>
      </c>
      <c r="Q535" s="89">
        <v>0</v>
      </c>
      <c r="R535" s="89">
        <v>0</v>
      </c>
      <c r="S535" s="89">
        <v>0</v>
      </c>
      <c r="T535" s="89">
        <v>0</v>
      </c>
      <c r="U535" s="89"/>
      <c r="V535" s="89"/>
      <c r="W535" s="89"/>
      <c r="X535" s="89"/>
      <c r="Y535" s="89"/>
      <c r="Z535" s="89"/>
      <c r="AA535" s="89"/>
      <c r="AB535" s="89"/>
      <c r="AC535" s="355"/>
      <c r="AD535" s="355"/>
      <c r="AE535" s="355"/>
      <c r="AF535" s="94">
        <f t="shared" si="73"/>
        <v>41851</v>
      </c>
      <c r="AG535" s="185">
        <f t="shared" si="78"/>
        <v>2.0699791561010095E-2</v>
      </c>
      <c r="AH535" s="339" t="str">
        <f>VLOOKUP(B535,'MF PF'!A:B,2)</f>
        <v>FdMgt1</v>
      </c>
      <c r="AI535" s="358">
        <f t="shared" si="74"/>
        <v>0</v>
      </c>
      <c r="AJ535" s="94">
        <f t="shared" si="75"/>
        <v>41851</v>
      </c>
    </row>
    <row r="536" spans="1:36" ht="12.75" customHeight="1">
      <c r="A536" s="8">
        <v>41880</v>
      </c>
      <c r="B536" s="8" t="s">
        <v>136</v>
      </c>
      <c r="C536" s="6" t="s">
        <v>301</v>
      </c>
      <c r="D536" s="374">
        <v>6976515.1399999997</v>
      </c>
      <c r="E536" s="9" t="e">
        <f t="shared" si="76"/>
        <v>#DIV/0!</v>
      </c>
      <c r="F536" s="47">
        <v>10.6</v>
      </c>
      <c r="G536" s="47">
        <v>2279000</v>
      </c>
      <c r="H536" s="47"/>
      <c r="I536" s="47">
        <v>0</v>
      </c>
      <c r="J536" s="98"/>
      <c r="L536" s="93">
        <f t="shared" si="71"/>
        <v>2279000</v>
      </c>
      <c r="M536" s="95" t="e">
        <f t="shared" ca="1" si="72"/>
        <v>#DIV/0!</v>
      </c>
      <c r="N536" s="95">
        <f>IF(P536="Hedge Fund",IF(A536=Summary!$AD$3,M536-E536,M536),IF(A536=Summary!$AD$3,L536-D536,L536))</f>
        <v>2279000</v>
      </c>
      <c r="O536" s="95">
        <f t="shared" si="77"/>
        <v>2279000</v>
      </c>
      <c r="P536" s="89" t="s">
        <v>155</v>
      </c>
      <c r="Q536" s="89">
        <v>0</v>
      </c>
      <c r="R536" s="89">
        <v>0</v>
      </c>
      <c r="S536" s="89">
        <v>0</v>
      </c>
      <c r="T536" s="89">
        <v>0</v>
      </c>
      <c r="U536" s="89"/>
      <c r="V536" s="89"/>
      <c r="W536" s="89"/>
      <c r="X536" s="89"/>
      <c r="Y536" s="89"/>
      <c r="Z536" s="89"/>
      <c r="AA536" s="89"/>
      <c r="AB536" s="89"/>
      <c r="AC536" s="355"/>
      <c r="AD536" s="355"/>
      <c r="AE536" s="355"/>
      <c r="AF536" s="94">
        <f t="shared" si="73"/>
        <v>41880</v>
      </c>
      <c r="AG536" s="185">
        <f t="shared" si="78"/>
        <v>8.0379690746061883E-3</v>
      </c>
      <c r="AH536" s="339" t="str">
        <f>VLOOKUP(B536,'MF PF'!A:B,2)</f>
        <v>FdMgt1</v>
      </c>
      <c r="AI536" s="358">
        <f t="shared" si="74"/>
        <v>0</v>
      </c>
      <c r="AJ536" s="94">
        <f t="shared" si="75"/>
        <v>41882</v>
      </c>
    </row>
    <row r="537" spans="1:36" ht="12.75" customHeight="1">
      <c r="A537" s="8">
        <v>41912</v>
      </c>
      <c r="B537" s="8" t="s">
        <v>136</v>
      </c>
      <c r="C537" s="6" t="s">
        <v>301</v>
      </c>
      <c r="D537" s="374">
        <v>6770088.3600000003</v>
      </c>
      <c r="E537" s="9" t="e">
        <f t="shared" si="76"/>
        <v>#DIV/0!</v>
      </c>
      <c r="F537" s="47">
        <v>10.6</v>
      </c>
      <c r="G537" s="47">
        <v>0</v>
      </c>
      <c r="H537" s="47"/>
      <c r="I537" s="47">
        <v>0</v>
      </c>
      <c r="J537" s="98"/>
      <c r="K537" s="93"/>
      <c r="L537" s="93">
        <f t="shared" si="71"/>
        <v>0</v>
      </c>
      <c r="M537" s="95" t="e">
        <f t="shared" ca="1" si="72"/>
        <v>#DIV/0!</v>
      </c>
      <c r="N537" s="95">
        <f>IF(P537="Hedge Fund",IF(A537=Summary!$AD$3,M537-E537,M537),IF(A537=Summary!$AD$3,L537-D537,L537))</f>
        <v>0</v>
      </c>
      <c r="O537" s="95">
        <f t="shared" si="77"/>
        <v>0</v>
      </c>
      <c r="P537" s="89" t="s">
        <v>155</v>
      </c>
      <c r="Q537" s="107">
        <v>0</v>
      </c>
      <c r="R537" s="107">
        <v>0</v>
      </c>
      <c r="S537" s="89">
        <v>0</v>
      </c>
      <c r="T537" s="89">
        <v>0</v>
      </c>
      <c r="U537" s="89"/>
      <c r="V537" s="89"/>
      <c r="W537" s="89"/>
      <c r="X537" s="89"/>
      <c r="Y537" s="89"/>
      <c r="Z537" s="89"/>
      <c r="AA537" s="89"/>
      <c r="AB537" s="89"/>
      <c r="AC537" s="355"/>
      <c r="AD537" s="355"/>
      <c r="AE537" s="355"/>
      <c r="AF537" s="94">
        <f t="shared" si="73"/>
        <v>41912</v>
      </c>
      <c r="AG537" s="185">
        <f t="shared" si="78"/>
        <v>-2.9588809865321863E-2</v>
      </c>
      <c r="AH537" s="339" t="str">
        <f>VLOOKUP(B537,'MF PF'!A:B,2)</f>
        <v>FdMgt1</v>
      </c>
      <c r="AI537" s="358">
        <f t="shared" si="74"/>
        <v>0</v>
      </c>
      <c r="AJ537" s="94">
        <f t="shared" si="75"/>
        <v>41912</v>
      </c>
    </row>
    <row r="538" spans="1:36" ht="12.75" customHeight="1">
      <c r="A538" s="8">
        <v>41943</v>
      </c>
      <c r="B538" s="8" t="s">
        <v>136</v>
      </c>
      <c r="C538" s="6" t="s">
        <v>301</v>
      </c>
      <c r="D538" s="374">
        <v>8409436.1199999992</v>
      </c>
      <c r="E538" s="9" t="e">
        <f t="shared" si="76"/>
        <v>#DIV/0!</v>
      </c>
      <c r="F538" s="47">
        <v>10.6</v>
      </c>
      <c r="G538" s="47">
        <v>1791400</v>
      </c>
      <c r="H538" s="47"/>
      <c r="I538" s="47">
        <v>0</v>
      </c>
      <c r="J538" s="98"/>
      <c r="K538" s="93"/>
      <c r="L538" s="93">
        <f t="shared" si="71"/>
        <v>1791400</v>
      </c>
      <c r="M538" s="95" t="e">
        <f t="shared" ca="1" si="72"/>
        <v>#DIV/0!</v>
      </c>
      <c r="N538" s="95">
        <f>IF(P538="Hedge Fund",IF(A538=Summary!$AD$3,M538-E538,M538),IF(A538=Summary!$AD$3,L538-D538,L538))</f>
        <v>1791400</v>
      </c>
      <c r="O538" s="95">
        <f t="shared" si="77"/>
        <v>1791400</v>
      </c>
      <c r="P538" s="89" t="s">
        <v>155</v>
      </c>
      <c r="Q538" s="107">
        <v>0</v>
      </c>
      <c r="R538" s="107">
        <v>0</v>
      </c>
      <c r="S538" s="89">
        <v>0</v>
      </c>
      <c r="T538" s="89">
        <v>0</v>
      </c>
      <c r="U538" s="89"/>
      <c r="V538" s="89"/>
      <c r="W538" s="89"/>
      <c r="X538" s="89"/>
      <c r="Y538" s="89"/>
      <c r="Z538" s="89"/>
      <c r="AA538" s="89"/>
      <c r="AB538" s="89"/>
      <c r="AC538" s="355"/>
      <c r="AD538" s="355"/>
      <c r="AE538" s="355"/>
      <c r="AF538" s="94">
        <f t="shared" si="73"/>
        <v>41943</v>
      </c>
      <c r="AG538" s="185">
        <f t="shared" si="78"/>
        <v>-2.2459417353897115E-2</v>
      </c>
      <c r="AH538" s="339" t="str">
        <f>VLOOKUP(B538,'MF PF'!A:B,2)</f>
        <v>FdMgt1</v>
      </c>
      <c r="AI538" s="358">
        <f t="shared" si="74"/>
        <v>0</v>
      </c>
      <c r="AJ538" s="94">
        <f t="shared" si="75"/>
        <v>41943</v>
      </c>
    </row>
    <row r="539" spans="1:36" ht="12.75" customHeight="1">
      <c r="A539" s="94">
        <v>41971</v>
      </c>
      <c r="B539" s="94" t="s">
        <v>136</v>
      </c>
      <c r="C539" s="358" t="s">
        <v>301</v>
      </c>
      <c r="D539" s="374">
        <v>8514549.3300000001</v>
      </c>
      <c r="E539" s="9" t="e">
        <f t="shared" si="76"/>
        <v>#DIV/0!</v>
      </c>
      <c r="F539" s="47">
        <v>10.6</v>
      </c>
      <c r="G539" s="47">
        <v>0</v>
      </c>
      <c r="H539" s="47"/>
      <c r="I539" s="98">
        <v>0</v>
      </c>
      <c r="J539" s="98"/>
      <c r="K539" s="93"/>
      <c r="L539" s="93">
        <f t="shared" si="71"/>
        <v>0</v>
      </c>
      <c r="M539" s="95" t="e">
        <f t="shared" ca="1" si="72"/>
        <v>#DIV/0!</v>
      </c>
      <c r="N539" s="95">
        <f>IF(P539="Hedge Fund",IF(A539=Summary!$AD$3,M539-E539,M539),IF(A539=Summary!$AD$3,L539-D539,L539))</f>
        <v>0</v>
      </c>
      <c r="O539" s="95">
        <f t="shared" si="77"/>
        <v>0</v>
      </c>
      <c r="P539" s="89" t="s">
        <v>155</v>
      </c>
      <c r="Q539" s="107">
        <v>0</v>
      </c>
      <c r="R539" s="107">
        <v>0</v>
      </c>
      <c r="S539" s="89">
        <v>0</v>
      </c>
      <c r="T539" s="89">
        <v>0</v>
      </c>
      <c r="U539" s="89"/>
      <c r="V539" s="89"/>
      <c r="W539" s="89"/>
      <c r="X539" s="89"/>
      <c r="Y539" s="89"/>
      <c r="Z539" s="89"/>
      <c r="AA539" s="89"/>
      <c r="AB539" s="89"/>
      <c r="AC539" s="355"/>
      <c r="AD539" s="355"/>
      <c r="AE539" s="355"/>
      <c r="AF539" s="94">
        <f t="shared" si="73"/>
        <v>41971</v>
      </c>
      <c r="AG539" s="185">
        <f t="shared" si="78"/>
        <v>1.2499436169092437E-2</v>
      </c>
      <c r="AH539" s="339" t="str">
        <f>VLOOKUP(B539,'MF PF'!A:B,2)</f>
        <v>FdMgt1</v>
      </c>
      <c r="AI539" s="358">
        <f t="shared" si="74"/>
        <v>0</v>
      </c>
      <c r="AJ539" s="94">
        <f t="shared" si="75"/>
        <v>41973</v>
      </c>
    </row>
    <row r="540" spans="1:36" ht="12.75" customHeight="1">
      <c r="A540" s="94">
        <v>42004</v>
      </c>
      <c r="B540" s="94" t="s">
        <v>136</v>
      </c>
      <c r="C540" s="358" t="s">
        <v>301</v>
      </c>
      <c r="D540" s="374">
        <v>8436051.6899999995</v>
      </c>
      <c r="E540" s="9" t="e">
        <f t="shared" si="76"/>
        <v>#DIV/0!</v>
      </c>
      <c r="F540" s="47">
        <v>10.6</v>
      </c>
      <c r="G540" s="47">
        <v>0</v>
      </c>
      <c r="H540" s="47"/>
      <c r="I540" s="98">
        <v>0</v>
      </c>
      <c r="J540" s="98"/>
      <c r="K540" s="93"/>
      <c r="L540" s="93">
        <f t="shared" si="71"/>
        <v>0</v>
      </c>
      <c r="M540" s="95" t="e">
        <f t="shared" ca="1" si="72"/>
        <v>#DIV/0!</v>
      </c>
      <c r="N540" s="95">
        <f>IF(P540="Hedge Fund",IF(A540=Summary!$AD$3,M540-E540,M540),IF(A540=Summary!$AD$3,L540-D540,L540))</f>
        <v>0</v>
      </c>
      <c r="O540" s="95">
        <f t="shared" si="77"/>
        <v>0</v>
      </c>
      <c r="P540" s="89" t="s">
        <v>155</v>
      </c>
      <c r="Q540" s="107">
        <v>0</v>
      </c>
      <c r="R540" s="107">
        <v>0</v>
      </c>
      <c r="S540" s="89">
        <v>0</v>
      </c>
      <c r="T540" s="89">
        <v>0</v>
      </c>
      <c r="U540" s="89"/>
      <c r="V540" s="89"/>
      <c r="W540" s="89"/>
      <c r="X540" s="89"/>
      <c r="Y540" s="89"/>
      <c r="Z540" s="89"/>
      <c r="AA540" s="89"/>
      <c r="AB540" s="89"/>
      <c r="AC540" s="355"/>
      <c r="AD540" s="355"/>
      <c r="AE540" s="355"/>
      <c r="AF540" s="94">
        <f t="shared" si="73"/>
        <v>42004</v>
      </c>
      <c r="AG540" s="185">
        <f t="shared" si="78"/>
        <v>-9.2192360344220958E-3</v>
      </c>
      <c r="AH540" s="339" t="str">
        <f>VLOOKUP(B540,'MF PF'!A:B,2)</f>
        <v>FdMgt1</v>
      </c>
      <c r="AI540" s="358">
        <f t="shared" si="74"/>
        <v>0</v>
      </c>
      <c r="AJ540" s="94">
        <f t="shared" si="75"/>
        <v>42004</v>
      </c>
    </row>
    <row r="541" spans="1:36" ht="12.75" customHeight="1">
      <c r="A541" s="8">
        <v>42034</v>
      </c>
      <c r="B541" s="8" t="s">
        <v>136</v>
      </c>
      <c r="C541" s="6" t="s">
        <v>301</v>
      </c>
      <c r="D541" s="374">
        <v>9887172.3200000003</v>
      </c>
      <c r="E541" s="9" t="e">
        <f t="shared" si="76"/>
        <v>#DIV/0!</v>
      </c>
      <c r="F541" s="47">
        <v>10.6</v>
      </c>
      <c r="G541" s="47">
        <v>1229600</v>
      </c>
      <c r="H541" s="47"/>
      <c r="I541" s="47">
        <v>0</v>
      </c>
      <c r="J541" s="98"/>
      <c r="K541" s="93"/>
      <c r="L541" s="93">
        <f t="shared" si="71"/>
        <v>1229600</v>
      </c>
      <c r="M541" s="95" t="e">
        <f t="shared" ca="1" si="72"/>
        <v>#DIV/0!</v>
      </c>
      <c r="N541" s="95">
        <f>IF(P541="Hedge Fund",IF(A541=Summary!$AD$3,M541-E541,M541),IF(A541=Summary!$AD$3,L541-D541,L541))</f>
        <v>1229600</v>
      </c>
      <c r="O541" s="95">
        <f t="shared" si="77"/>
        <v>1229600</v>
      </c>
      <c r="P541" s="89" t="s">
        <v>155</v>
      </c>
      <c r="Q541" s="89">
        <v>0</v>
      </c>
      <c r="R541" s="89">
        <v>0</v>
      </c>
      <c r="S541" s="89">
        <v>0</v>
      </c>
      <c r="T541" s="89">
        <v>0</v>
      </c>
      <c r="U541" s="89"/>
      <c r="V541" s="89"/>
      <c r="W541" s="89"/>
      <c r="X541" s="89"/>
      <c r="Y541" s="89"/>
      <c r="Z541" s="89"/>
      <c r="AA541" s="89"/>
      <c r="AB541" s="89"/>
      <c r="AC541" s="355"/>
      <c r="AD541" s="355"/>
      <c r="AE541" s="355"/>
      <c r="AF541" s="94">
        <f t="shared" si="73"/>
        <v>42034</v>
      </c>
      <c r="AG541" s="185">
        <f t="shared" si="78"/>
        <v>2.6258804253486145E-2</v>
      </c>
      <c r="AH541" s="339" t="str">
        <f>VLOOKUP(B541,'MF PF'!A:B,2)</f>
        <v>FdMgt1</v>
      </c>
      <c r="AI541" s="358">
        <f t="shared" si="74"/>
        <v>0</v>
      </c>
      <c r="AJ541" s="94">
        <f t="shared" si="75"/>
        <v>42035</v>
      </c>
    </row>
    <row r="542" spans="1:36" ht="12.75" customHeight="1">
      <c r="A542" s="8">
        <v>42062</v>
      </c>
      <c r="B542" s="8" t="s">
        <v>136</v>
      </c>
      <c r="C542" s="6" t="s">
        <v>301</v>
      </c>
      <c r="D542" s="374">
        <v>9953578.0299999993</v>
      </c>
      <c r="E542" s="9" t="e">
        <f t="shared" si="76"/>
        <v>#DIV/0!</v>
      </c>
      <c r="F542" s="47">
        <v>10.6</v>
      </c>
      <c r="G542" s="47">
        <v>0</v>
      </c>
      <c r="H542" s="47"/>
      <c r="I542" s="47">
        <v>0</v>
      </c>
      <c r="J542" s="98"/>
      <c r="K542" s="93"/>
      <c r="L542" s="93">
        <f t="shared" si="71"/>
        <v>0</v>
      </c>
      <c r="M542" s="95" t="e">
        <f t="shared" ca="1" si="72"/>
        <v>#DIV/0!</v>
      </c>
      <c r="N542" s="95">
        <f>IF(P542="Hedge Fund",IF(A542=Summary!$AD$3,M542-E542,M542),IF(A542=Summary!$AD$3,L542-D542,L542))</f>
        <v>0</v>
      </c>
      <c r="O542" s="95">
        <f t="shared" si="77"/>
        <v>0</v>
      </c>
      <c r="P542" s="89" t="s">
        <v>155</v>
      </c>
      <c r="Q542" s="107">
        <v>0</v>
      </c>
      <c r="R542" s="107">
        <v>0</v>
      </c>
      <c r="S542" s="89">
        <v>0</v>
      </c>
      <c r="T542" s="89">
        <v>0</v>
      </c>
      <c r="U542" s="89"/>
      <c r="V542" s="89"/>
      <c r="W542" s="89"/>
      <c r="X542" s="89"/>
      <c r="Y542" s="89"/>
      <c r="Z542" s="89"/>
      <c r="AA542" s="89"/>
      <c r="AB542" s="89"/>
      <c r="AC542" s="355"/>
      <c r="AD542" s="355"/>
      <c r="AE542" s="355"/>
      <c r="AF542" s="94">
        <f t="shared" si="73"/>
        <v>42062</v>
      </c>
      <c r="AG542" s="185">
        <f t="shared" si="78"/>
        <v>6.7163500190718928E-3</v>
      </c>
      <c r="AH542" s="339" t="str">
        <f>VLOOKUP(B542,'MF PF'!A:B,2)</f>
        <v>FdMgt1</v>
      </c>
      <c r="AI542" s="358">
        <f t="shared" si="74"/>
        <v>0</v>
      </c>
      <c r="AJ542" s="94">
        <f t="shared" si="75"/>
        <v>42063</v>
      </c>
    </row>
    <row r="543" spans="1:36" ht="12.75" customHeight="1">
      <c r="A543" s="94">
        <v>42094</v>
      </c>
      <c r="B543" s="8" t="s">
        <v>136</v>
      </c>
      <c r="C543" s="358" t="s">
        <v>301</v>
      </c>
      <c r="D543" s="374">
        <v>10649062.6165</v>
      </c>
      <c r="E543" s="9" t="e">
        <f t="shared" si="76"/>
        <v>#DIV/0!</v>
      </c>
      <c r="F543" s="47">
        <v>10.6</v>
      </c>
      <c r="G543" s="47">
        <v>530000</v>
      </c>
      <c r="H543" s="47"/>
      <c r="I543" s="47">
        <v>0</v>
      </c>
      <c r="J543" s="98"/>
      <c r="K543" s="93"/>
      <c r="L543" s="93">
        <f t="shared" si="71"/>
        <v>530000</v>
      </c>
      <c r="M543" s="95" t="e">
        <f t="shared" ca="1" si="72"/>
        <v>#DIV/0!</v>
      </c>
      <c r="N543" s="95">
        <f>IF(P543="Hedge Fund",IF(A543=Summary!$AD$3,M543-E543,M543),IF(A543=Summary!$AD$3,L543-D543,L543))</f>
        <v>530000</v>
      </c>
      <c r="O543" s="95">
        <f t="shared" si="77"/>
        <v>530000</v>
      </c>
      <c r="P543" s="89" t="s">
        <v>155</v>
      </c>
      <c r="Q543" s="107">
        <v>0</v>
      </c>
      <c r="R543" s="107">
        <v>0</v>
      </c>
      <c r="S543" s="89">
        <v>0</v>
      </c>
      <c r="T543" s="89">
        <v>0</v>
      </c>
      <c r="U543" s="89"/>
      <c r="V543" s="89"/>
      <c r="W543" s="89"/>
      <c r="X543" s="89"/>
      <c r="Y543" s="89"/>
      <c r="Z543" s="89"/>
      <c r="AA543" s="89"/>
      <c r="AB543" s="89"/>
      <c r="AC543" s="355"/>
      <c r="AD543" s="355"/>
      <c r="AE543" s="355"/>
      <c r="AF543" s="94">
        <f t="shared" si="73"/>
        <v>42094</v>
      </c>
      <c r="AG543" s="185">
        <f t="shared" si="78"/>
        <v>1.6625638137484966E-2</v>
      </c>
      <c r="AH543" s="339" t="str">
        <f>VLOOKUP(B543,'MF PF'!A:B,2)</f>
        <v>FdMgt1</v>
      </c>
      <c r="AI543" s="358">
        <f t="shared" si="74"/>
        <v>0</v>
      </c>
      <c r="AJ543" s="94">
        <f t="shared" si="75"/>
        <v>42094</v>
      </c>
    </row>
    <row r="544" spans="1:36" ht="12.75" customHeight="1">
      <c r="A544" s="94">
        <v>42124</v>
      </c>
      <c r="B544" s="94" t="s">
        <v>136</v>
      </c>
      <c r="C544" s="358" t="s">
        <v>301</v>
      </c>
      <c r="D544" s="374">
        <v>11413470.706</v>
      </c>
      <c r="E544" s="9" t="e">
        <f t="shared" si="76"/>
        <v>#DIV/0!</v>
      </c>
      <c r="F544" s="47">
        <v>10.6</v>
      </c>
      <c r="G544" s="47">
        <v>31800.000000000004</v>
      </c>
      <c r="H544" s="47"/>
      <c r="I544" s="98">
        <v>0</v>
      </c>
      <c r="J544" s="98"/>
      <c r="K544" s="93"/>
      <c r="L544" s="93">
        <f t="shared" si="71"/>
        <v>31800.000000000004</v>
      </c>
      <c r="M544" s="95" t="e">
        <f t="shared" ca="1" si="72"/>
        <v>#DIV/0!</v>
      </c>
      <c r="N544" s="95">
        <f>IF(P544="Hedge Fund",IF(A544=Summary!$AD$3,M544-E544,M544),IF(A544=Summary!$AD$3,L544-D544,L544))</f>
        <v>31800.000000000004</v>
      </c>
      <c r="O544" s="95">
        <f t="shared" si="77"/>
        <v>31800.000000000004</v>
      </c>
      <c r="P544" s="89" t="s">
        <v>155</v>
      </c>
      <c r="Q544" s="107">
        <v>0</v>
      </c>
      <c r="R544" s="107">
        <v>0</v>
      </c>
      <c r="S544" s="89">
        <v>0</v>
      </c>
      <c r="T544" s="89">
        <v>0</v>
      </c>
      <c r="U544" s="89"/>
      <c r="V544" s="89"/>
      <c r="W544" s="89"/>
      <c r="X544" s="89"/>
      <c r="Y544" s="89"/>
      <c r="Z544" s="89"/>
      <c r="AA544" s="89"/>
      <c r="AB544" s="89"/>
      <c r="AC544" s="355"/>
      <c r="AD544" s="355"/>
      <c r="AE544" s="355"/>
      <c r="AF544" s="94">
        <f t="shared" si="73"/>
        <v>42124</v>
      </c>
      <c r="AG544" s="185">
        <f t="shared" si="78"/>
        <v>6.8795547165332094E-2</v>
      </c>
      <c r="AH544" s="339" t="str">
        <f>VLOOKUP(B544,'MF PF'!A:B,2)</f>
        <v>FdMgt1</v>
      </c>
      <c r="AI544" s="358">
        <f t="shared" si="74"/>
        <v>0</v>
      </c>
      <c r="AJ544" s="94">
        <f t="shared" si="75"/>
        <v>42124</v>
      </c>
    </row>
    <row r="545" spans="1:36" ht="12.75" customHeight="1">
      <c r="A545" s="94">
        <v>42153</v>
      </c>
      <c r="B545" s="94" t="s">
        <v>136</v>
      </c>
      <c r="C545" s="358" t="s">
        <v>301</v>
      </c>
      <c r="D545" s="374">
        <v>11574110.5995</v>
      </c>
      <c r="E545" s="9" t="e">
        <f t="shared" si="76"/>
        <v>#DIV/0!</v>
      </c>
      <c r="F545" s="47">
        <v>10.6</v>
      </c>
      <c r="G545" s="47">
        <v>0</v>
      </c>
      <c r="H545" s="47"/>
      <c r="I545" s="98">
        <v>0</v>
      </c>
      <c r="J545" s="98"/>
      <c r="K545" s="93"/>
      <c r="L545" s="93">
        <f t="shared" si="71"/>
        <v>0</v>
      </c>
      <c r="M545" s="95" t="e">
        <f t="shared" ca="1" si="72"/>
        <v>#DIV/0!</v>
      </c>
      <c r="N545" s="95">
        <f>IF(P545="Hedge Fund",IF(A545=Summary!$AD$3,M545-E545,M545),IF(A545=Summary!$AD$3,L545-D545,L545))</f>
        <v>0</v>
      </c>
      <c r="O545" s="95">
        <f t="shared" si="77"/>
        <v>0</v>
      </c>
      <c r="P545" s="89" t="s">
        <v>155</v>
      </c>
      <c r="Q545" s="107">
        <v>0</v>
      </c>
      <c r="R545" s="107">
        <v>0</v>
      </c>
      <c r="S545" s="89">
        <v>0</v>
      </c>
      <c r="T545" s="89">
        <v>0</v>
      </c>
      <c r="U545" s="89"/>
      <c r="V545" s="89"/>
      <c r="W545" s="89"/>
      <c r="X545" s="89"/>
      <c r="Y545" s="89"/>
      <c r="Z545" s="89"/>
      <c r="AA545" s="89"/>
      <c r="AB545" s="89"/>
      <c r="AC545" s="355"/>
      <c r="AD545" s="355"/>
      <c r="AE545" s="355"/>
      <c r="AF545" s="94">
        <f t="shared" si="73"/>
        <v>42153</v>
      </c>
      <c r="AG545" s="185">
        <f t="shared" si="78"/>
        <v>1.4074587620008794E-2</v>
      </c>
      <c r="AH545" s="339" t="str">
        <f>VLOOKUP(B545,'MF PF'!A:B,2)</f>
        <v>FdMgt1</v>
      </c>
      <c r="AI545" s="358">
        <f t="shared" si="74"/>
        <v>0</v>
      </c>
      <c r="AJ545" s="94">
        <f t="shared" si="75"/>
        <v>42155</v>
      </c>
    </row>
    <row r="546" spans="1:36" ht="12.75" customHeight="1">
      <c r="A546" s="8">
        <v>42185</v>
      </c>
      <c r="B546" s="94" t="s">
        <v>136</v>
      </c>
      <c r="C546" s="358" t="s">
        <v>301</v>
      </c>
      <c r="D546" s="374">
        <v>11463405.375499999</v>
      </c>
      <c r="E546" s="9" t="e">
        <f t="shared" si="76"/>
        <v>#DIV/0!</v>
      </c>
      <c r="F546" s="47">
        <v>10.6</v>
      </c>
      <c r="G546" s="47">
        <v>0</v>
      </c>
      <c r="H546" s="47"/>
      <c r="I546" s="98">
        <v>0</v>
      </c>
      <c r="J546" s="98"/>
      <c r="K546" s="93"/>
      <c r="L546" s="93">
        <f t="shared" si="71"/>
        <v>0</v>
      </c>
      <c r="M546" s="95" t="e">
        <f t="shared" ca="1" si="72"/>
        <v>#DIV/0!</v>
      </c>
      <c r="N546" s="95">
        <f>IF(P546="Hedge Fund",IF(A546=Summary!$AD$3,M546-E546,M546),IF(A546=Summary!$AD$3,L546-D546,L546))</f>
        <v>0</v>
      </c>
      <c r="O546" s="95">
        <f t="shared" si="77"/>
        <v>0</v>
      </c>
      <c r="P546" s="89" t="s">
        <v>155</v>
      </c>
      <c r="Q546" s="107">
        <v>0</v>
      </c>
      <c r="R546" s="107">
        <v>0</v>
      </c>
      <c r="S546" s="89">
        <v>0</v>
      </c>
      <c r="T546" s="89">
        <v>0</v>
      </c>
      <c r="U546" s="89"/>
      <c r="V546" s="89"/>
      <c r="W546" s="89"/>
      <c r="X546" s="89"/>
      <c r="Y546" s="89"/>
      <c r="Z546" s="89"/>
      <c r="AA546" s="89"/>
      <c r="AB546" s="89"/>
      <c r="AC546" s="355"/>
      <c r="AD546" s="355"/>
      <c r="AE546" s="355"/>
      <c r="AF546" s="94">
        <f t="shared" si="73"/>
        <v>42185</v>
      </c>
      <c r="AG546" s="185">
        <f t="shared" si="78"/>
        <v>-9.5649011687156671E-3</v>
      </c>
      <c r="AH546" s="339" t="str">
        <f>VLOOKUP(B546,'MF PF'!A:B,2)</f>
        <v>FdMgt1</v>
      </c>
      <c r="AI546" s="358">
        <f t="shared" si="74"/>
        <v>0</v>
      </c>
      <c r="AJ546" s="94">
        <f t="shared" si="75"/>
        <v>42185</v>
      </c>
    </row>
    <row r="547" spans="1:36" ht="12.75" customHeight="1">
      <c r="A547" s="94">
        <v>42216</v>
      </c>
      <c r="B547" s="94" t="s">
        <v>136</v>
      </c>
      <c r="C547" s="358" t="s">
        <v>301</v>
      </c>
      <c r="D547" s="374">
        <v>11286587.602</v>
      </c>
      <c r="E547" s="9" t="e">
        <f t="shared" si="76"/>
        <v>#DIV/0!</v>
      </c>
      <c r="F547" s="47">
        <v>10.6</v>
      </c>
      <c r="G547" s="47">
        <v>0</v>
      </c>
      <c r="H547" s="47"/>
      <c r="I547" s="98">
        <v>0</v>
      </c>
      <c r="J547" s="98"/>
      <c r="K547" s="93"/>
      <c r="L547" s="93">
        <f t="shared" si="71"/>
        <v>0</v>
      </c>
      <c r="M547" s="95" t="e">
        <f t="shared" ca="1" si="72"/>
        <v>#DIV/0!</v>
      </c>
      <c r="N547" s="95">
        <f>IF(P547="Hedge Fund",IF(A547=Summary!$AD$3,M547-E547,M547),IF(A547=Summary!$AD$3,L547-D547,L547))</f>
        <v>0</v>
      </c>
      <c r="O547" s="95">
        <f t="shared" si="77"/>
        <v>0</v>
      </c>
      <c r="P547" s="89" t="s">
        <v>155</v>
      </c>
      <c r="Q547" s="107">
        <v>0</v>
      </c>
      <c r="R547" s="107">
        <v>0</v>
      </c>
      <c r="S547" s="107">
        <v>0</v>
      </c>
      <c r="T547" s="107">
        <v>0</v>
      </c>
      <c r="U547" s="107"/>
      <c r="V547" s="107"/>
      <c r="W547" s="107"/>
      <c r="X547" s="107"/>
      <c r="Y547" s="89"/>
      <c r="Z547" s="89"/>
      <c r="AA547" s="89"/>
      <c r="AB547" s="89"/>
      <c r="AC547" s="355"/>
      <c r="AD547" s="355"/>
      <c r="AE547" s="355"/>
      <c r="AF547" s="94">
        <f t="shared" si="73"/>
        <v>42216</v>
      </c>
      <c r="AG547" s="185">
        <f t="shared" si="78"/>
        <v>-1.5424541635585931E-2</v>
      </c>
      <c r="AH547" s="339" t="str">
        <f>VLOOKUP(B547,'MF PF'!A:B,2)</f>
        <v>FdMgt1</v>
      </c>
      <c r="AI547" s="358">
        <f t="shared" si="74"/>
        <v>0</v>
      </c>
      <c r="AJ547" s="94">
        <f t="shared" si="75"/>
        <v>42216</v>
      </c>
    </row>
    <row r="548" spans="1:36" ht="12.75" customHeight="1">
      <c r="A548" s="94">
        <v>42247</v>
      </c>
      <c r="B548" s="94" t="s">
        <v>136</v>
      </c>
      <c r="C548" s="358" t="s">
        <v>301</v>
      </c>
      <c r="D548" s="374">
        <v>11103813.683</v>
      </c>
      <c r="E548" s="9" t="e">
        <f t="shared" si="76"/>
        <v>#DIV/0!</v>
      </c>
      <c r="F548" s="98">
        <v>10.6</v>
      </c>
      <c r="G548" s="98">
        <v>0</v>
      </c>
      <c r="H548" s="98"/>
      <c r="I548" s="98">
        <v>0</v>
      </c>
      <c r="J548" s="98"/>
      <c r="K548" s="93"/>
      <c r="L548" s="93">
        <f t="shared" si="71"/>
        <v>0</v>
      </c>
      <c r="M548" s="95" t="e">
        <f t="shared" ca="1" si="72"/>
        <v>#DIV/0!</v>
      </c>
      <c r="N548" s="95">
        <f>IF(P548="Hedge Fund",IF(A548=Summary!$AD$3,M548-E548,M548),IF(A548=Summary!$AD$3,L548-D548,L548))</f>
        <v>0</v>
      </c>
      <c r="O548" s="95">
        <f t="shared" si="77"/>
        <v>0</v>
      </c>
      <c r="P548" s="107" t="s">
        <v>155</v>
      </c>
      <c r="Q548" s="107">
        <v>0</v>
      </c>
      <c r="R548" s="107">
        <v>0</v>
      </c>
      <c r="S548" s="107">
        <v>0</v>
      </c>
      <c r="T548" s="107">
        <v>0</v>
      </c>
      <c r="U548" s="107"/>
      <c r="V548" s="107"/>
      <c r="W548" s="107"/>
      <c r="X548" s="107"/>
      <c r="Y548" s="107"/>
      <c r="Z548" s="107"/>
      <c r="AA548" s="107"/>
      <c r="AB548" s="107"/>
      <c r="AC548" s="355"/>
      <c r="AD548" s="355"/>
      <c r="AE548" s="355"/>
      <c r="AF548" s="94">
        <f t="shared" si="73"/>
        <v>42247</v>
      </c>
      <c r="AG548" s="185">
        <f t="shared" si="78"/>
        <v>-1.6193904255668246E-2</v>
      </c>
      <c r="AH548" s="339" t="str">
        <f>VLOOKUP(B548,'MF PF'!A:B,2)</f>
        <v>FdMgt1</v>
      </c>
      <c r="AI548" s="358">
        <f t="shared" si="74"/>
        <v>0</v>
      </c>
      <c r="AJ548" s="94">
        <f t="shared" si="75"/>
        <v>42247</v>
      </c>
    </row>
    <row r="549" spans="1:36" ht="12.75" customHeight="1">
      <c r="A549" s="94">
        <v>42277</v>
      </c>
      <c r="B549" s="94" t="s">
        <v>136</v>
      </c>
      <c r="C549" s="358" t="s">
        <v>301</v>
      </c>
      <c r="D549" s="374">
        <v>11134637.1395</v>
      </c>
      <c r="E549" s="9" t="e">
        <f t="shared" si="76"/>
        <v>#DIV/0!</v>
      </c>
      <c r="F549" s="98">
        <v>10.6</v>
      </c>
      <c r="G549" s="98">
        <v>0</v>
      </c>
      <c r="H549" s="98"/>
      <c r="I549" s="98">
        <v>0</v>
      </c>
      <c r="J549" s="98"/>
      <c r="L549" s="93">
        <f t="shared" si="71"/>
        <v>0</v>
      </c>
      <c r="M549" s="95" t="e">
        <f t="shared" ca="1" si="72"/>
        <v>#DIV/0!</v>
      </c>
      <c r="N549" s="95">
        <f>IF(P549="Hedge Fund",IF(A549=Summary!$AD$3,M549-E549,M549),IF(A549=Summary!$AD$3,L549-D549,L549))</f>
        <v>0</v>
      </c>
      <c r="O549" s="95">
        <f t="shared" si="77"/>
        <v>0</v>
      </c>
      <c r="P549" s="107" t="s">
        <v>155</v>
      </c>
      <c r="Q549" s="107">
        <v>0</v>
      </c>
      <c r="R549" s="107">
        <v>0</v>
      </c>
      <c r="S549" s="107">
        <v>0</v>
      </c>
      <c r="T549" s="107">
        <v>0</v>
      </c>
      <c r="U549" s="107"/>
      <c r="V549" s="107"/>
      <c r="W549" s="107"/>
      <c r="X549" s="107"/>
      <c r="Y549" s="107"/>
      <c r="Z549" s="107"/>
      <c r="AA549" s="107"/>
      <c r="AB549" s="107"/>
      <c r="AC549" s="355"/>
      <c r="AD549" s="355"/>
      <c r="AE549" s="355"/>
      <c r="AF549" s="94">
        <f t="shared" si="73"/>
        <v>42277</v>
      </c>
      <c r="AG549" s="185">
        <f t="shared" si="78"/>
        <v>2.7759342312443369E-3</v>
      </c>
      <c r="AH549" s="339" t="str">
        <f>VLOOKUP(B549,'MF PF'!A:B,2)</f>
        <v>FdMgt1</v>
      </c>
      <c r="AI549" s="358">
        <f t="shared" si="74"/>
        <v>0</v>
      </c>
      <c r="AJ549" s="94">
        <f t="shared" si="75"/>
        <v>42277</v>
      </c>
    </row>
    <row r="550" spans="1:36" ht="12.75" customHeight="1">
      <c r="A550" s="94">
        <v>42307</v>
      </c>
      <c r="B550" s="94" t="s">
        <v>136</v>
      </c>
      <c r="C550" s="358" t="s">
        <v>301</v>
      </c>
      <c r="D550" s="374">
        <v>11432695.3685</v>
      </c>
      <c r="E550" s="9" t="e">
        <f t="shared" si="76"/>
        <v>#DIV/0!</v>
      </c>
      <c r="F550" s="47">
        <v>10.6</v>
      </c>
      <c r="G550" s="47">
        <v>0</v>
      </c>
      <c r="H550" s="47"/>
      <c r="I550" s="98">
        <v>0</v>
      </c>
      <c r="J550" s="98"/>
      <c r="K550" s="93"/>
      <c r="L550" s="93">
        <f t="shared" si="71"/>
        <v>0</v>
      </c>
      <c r="M550" s="95" t="e">
        <f t="shared" ca="1" si="72"/>
        <v>#DIV/0!</v>
      </c>
      <c r="N550" s="95">
        <f>IF(P550="Hedge Fund",IF(A550=Summary!$AD$3,M550-E550,M550),IF(A550=Summary!$AD$3,L550-D550,L550))</f>
        <v>0</v>
      </c>
      <c r="O550" s="95">
        <f t="shared" si="77"/>
        <v>0</v>
      </c>
      <c r="P550" s="89" t="s">
        <v>155</v>
      </c>
      <c r="Q550" s="107">
        <v>0</v>
      </c>
      <c r="R550" s="107">
        <v>0</v>
      </c>
      <c r="S550" s="89">
        <v>0</v>
      </c>
      <c r="T550" s="89">
        <v>0</v>
      </c>
      <c r="U550" s="89"/>
      <c r="V550" s="89"/>
      <c r="W550" s="89"/>
      <c r="X550" s="89"/>
      <c r="Y550" s="89"/>
      <c r="Z550" s="89"/>
      <c r="AA550" s="89"/>
      <c r="AB550" s="89"/>
      <c r="AC550" s="355"/>
      <c r="AD550" s="355"/>
      <c r="AE550" s="355"/>
      <c r="AF550" s="94">
        <f t="shared" si="73"/>
        <v>42307</v>
      </c>
      <c r="AG550" s="185">
        <f t="shared" si="78"/>
        <v>2.6768562393707729E-2</v>
      </c>
      <c r="AH550" s="339" t="str">
        <f>VLOOKUP(B550,'MF PF'!A:B,2)</f>
        <v>FdMgt1</v>
      </c>
      <c r="AI550" s="358">
        <f t="shared" si="74"/>
        <v>0</v>
      </c>
      <c r="AJ550" s="94">
        <f t="shared" si="75"/>
        <v>42308</v>
      </c>
    </row>
    <row r="551" spans="1:36" ht="12.75" customHeight="1">
      <c r="A551" s="94">
        <v>42338</v>
      </c>
      <c r="B551" s="94" t="s">
        <v>136</v>
      </c>
      <c r="C551" s="358" t="s">
        <v>301</v>
      </c>
      <c r="D551" s="374">
        <v>11347949.357000001</v>
      </c>
      <c r="E551" s="9" t="e">
        <f t="shared" si="76"/>
        <v>#DIV/0!</v>
      </c>
      <c r="F551" s="47">
        <v>10.6</v>
      </c>
      <c r="G551" s="47">
        <v>0</v>
      </c>
      <c r="H551" s="47"/>
      <c r="I551" s="47">
        <v>0</v>
      </c>
      <c r="J551" s="98"/>
      <c r="L551" s="93">
        <f t="shared" si="71"/>
        <v>0</v>
      </c>
      <c r="M551" s="95" t="e">
        <f t="shared" ca="1" si="72"/>
        <v>#DIV/0!</v>
      </c>
      <c r="N551" s="95">
        <f>IF(P551="Hedge Fund",IF(A551=Summary!$AD$3,M551-E551,M551),IF(A551=Summary!$AD$3,L551-D551,L551))</f>
        <v>0</v>
      </c>
      <c r="O551" s="95">
        <f t="shared" si="77"/>
        <v>0</v>
      </c>
      <c r="P551" s="89" t="s">
        <v>155</v>
      </c>
      <c r="Q551" s="107">
        <v>0</v>
      </c>
      <c r="R551" s="107">
        <v>0</v>
      </c>
      <c r="S551" s="89">
        <v>0</v>
      </c>
      <c r="T551" s="89">
        <v>0</v>
      </c>
      <c r="U551" s="89"/>
      <c r="V551" s="89"/>
      <c r="W551" s="89"/>
      <c r="X551" s="89"/>
      <c r="Y551" s="89"/>
      <c r="Z551" s="89"/>
      <c r="AA551" s="89"/>
      <c r="AB551" s="89"/>
      <c r="AC551" s="355"/>
      <c r="AD551" s="355"/>
      <c r="AE551" s="355"/>
      <c r="AF551" s="94">
        <f t="shared" si="73"/>
        <v>42338</v>
      </c>
      <c r="AG551" s="185">
        <f t="shared" si="78"/>
        <v>-7.4126012080665271E-3</v>
      </c>
      <c r="AH551" s="339" t="str">
        <f>VLOOKUP(B551,'MF PF'!A:B,2)</f>
        <v>FdMgt1</v>
      </c>
      <c r="AI551" s="358">
        <f t="shared" si="74"/>
        <v>0</v>
      </c>
      <c r="AJ551" s="94">
        <f t="shared" si="75"/>
        <v>42338</v>
      </c>
    </row>
    <row r="552" spans="1:36" ht="12.75" customHeight="1">
      <c r="A552" s="94">
        <v>42369</v>
      </c>
      <c r="B552" s="94" t="s">
        <v>136</v>
      </c>
      <c r="C552" s="358" t="s">
        <v>301</v>
      </c>
      <c r="D552" s="374">
        <v>11400477.852499999</v>
      </c>
      <c r="E552" s="9" t="e">
        <f t="shared" si="76"/>
        <v>#DIV/0!</v>
      </c>
      <c r="F552" s="47">
        <v>10.6</v>
      </c>
      <c r="G552" s="47">
        <v>0</v>
      </c>
      <c r="H552" s="47"/>
      <c r="I552" s="98">
        <v>0</v>
      </c>
      <c r="J552" s="98"/>
      <c r="L552" s="93">
        <f t="shared" si="71"/>
        <v>0</v>
      </c>
      <c r="M552" s="95" t="e">
        <f t="shared" ca="1" si="72"/>
        <v>#DIV/0!</v>
      </c>
      <c r="N552" s="95">
        <f>IF(P552="Hedge Fund",IF(A552=Summary!$AD$3,M552-E552,M552),IF(A552=Summary!$AD$3,L552-D552,L552))</f>
        <v>0</v>
      </c>
      <c r="O552" s="95">
        <f t="shared" si="77"/>
        <v>0</v>
      </c>
      <c r="P552" s="89" t="s">
        <v>155</v>
      </c>
      <c r="Q552" s="107">
        <v>0</v>
      </c>
      <c r="R552" s="107">
        <v>0</v>
      </c>
      <c r="S552" s="89">
        <v>0</v>
      </c>
      <c r="T552" s="89">
        <v>0</v>
      </c>
      <c r="U552" s="89"/>
      <c r="V552" s="89"/>
      <c r="W552" s="89"/>
      <c r="X552" s="89"/>
      <c r="Y552" s="89"/>
      <c r="Z552" s="89"/>
      <c r="AA552" s="89"/>
      <c r="AB552" s="89"/>
      <c r="AC552" s="355"/>
      <c r="AD552" s="355"/>
      <c r="AE552" s="355"/>
      <c r="AF552" s="94">
        <f t="shared" si="73"/>
        <v>42369</v>
      </c>
      <c r="AG552" s="185">
        <f t="shared" si="78"/>
        <v>4.6288975961630285E-3</v>
      </c>
      <c r="AH552" s="339" t="str">
        <f>VLOOKUP(B552,'MF PF'!A:B,2)</f>
        <v>FdMgt1</v>
      </c>
      <c r="AI552" s="358">
        <f t="shared" si="74"/>
        <v>0</v>
      </c>
      <c r="AJ552" s="94">
        <f t="shared" si="75"/>
        <v>42369</v>
      </c>
    </row>
    <row r="553" spans="1:36" ht="12.75" customHeight="1">
      <c r="A553" s="8">
        <v>42398</v>
      </c>
      <c r="B553" s="94" t="s">
        <v>136</v>
      </c>
      <c r="C553" s="358" t="s">
        <v>301</v>
      </c>
      <c r="D553" s="374">
        <v>11294442.299000001</v>
      </c>
      <c r="E553" s="9" t="e">
        <f t="shared" si="76"/>
        <v>#DIV/0!</v>
      </c>
      <c r="F553" s="98">
        <v>10.6</v>
      </c>
      <c r="G553" s="98">
        <v>0</v>
      </c>
      <c r="H553" s="98"/>
      <c r="I553" s="98">
        <v>0</v>
      </c>
      <c r="J553" s="98"/>
      <c r="L553" s="93">
        <f t="shared" si="71"/>
        <v>0</v>
      </c>
      <c r="M553" s="95" t="e">
        <f t="shared" ca="1" si="72"/>
        <v>#DIV/0!</v>
      </c>
      <c r="N553" s="95">
        <f>IF(P553="Hedge Fund",IF(A553=Summary!$AD$3,M553-E553,M553),IF(A553=Summary!$AD$3,L553-D553,L553))</f>
        <v>0</v>
      </c>
      <c r="O553" s="95">
        <f t="shared" si="77"/>
        <v>0</v>
      </c>
      <c r="P553" s="107" t="s">
        <v>155</v>
      </c>
      <c r="Q553" s="107">
        <v>0</v>
      </c>
      <c r="R553" s="107">
        <v>0</v>
      </c>
      <c r="S553" s="107">
        <v>0</v>
      </c>
      <c r="T553" s="107">
        <v>0</v>
      </c>
      <c r="U553" s="107"/>
      <c r="V553" s="107"/>
      <c r="W553" s="107"/>
      <c r="X553" s="107"/>
      <c r="Y553" s="107"/>
      <c r="Z553" s="107"/>
      <c r="AA553" s="107"/>
      <c r="AB553" s="107"/>
      <c r="AC553" s="355"/>
      <c r="AD553" s="355"/>
      <c r="AE553" s="355"/>
      <c r="AF553" s="94">
        <f t="shared" si="73"/>
        <v>42398</v>
      </c>
      <c r="AG553" s="185">
        <f t="shared" si="78"/>
        <v>-9.3009744742187372E-3</v>
      </c>
      <c r="AH553" s="339" t="str">
        <f>VLOOKUP(B553,'MF PF'!A:B,2)</f>
        <v>FdMgt1</v>
      </c>
      <c r="AI553" s="358">
        <f t="shared" si="74"/>
        <v>0</v>
      </c>
      <c r="AJ553" s="94">
        <f t="shared" si="75"/>
        <v>42400</v>
      </c>
    </row>
    <row r="554" spans="1:36" s="92" customFormat="1" ht="12.75" customHeight="1">
      <c r="A554" s="94">
        <v>42429</v>
      </c>
      <c r="B554" s="94" t="s">
        <v>136</v>
      </c>
      <c r="C554" s="358" t="s">
        <v>301</v>
      </c>
      <c r="D554" s="374">
        <v>11470431.679500001</v>
      </c>
      <c r="E554" s="95" t="e">
        <f t="shared" si="76"/>
        <v>#DIV/0!</v>
      </c>
      <c r="F554" s="98">
        <v>10.6</v>
      </c>
      <c r="G554" s="98">
        <v>0</v>
      </c>
      <c r="H554" s="98"/>
      <c r="I554" s="98">
        <v>0</v>
      </c>
      <c r="J554" s="98"/>
      <c r="K554" s="93"/>
      <c r="L554" s="93">
        <f t="shared" si="71"/>
        <v>0</v>
      </c>
      <c r="M554" s="95" t="e">
        <f t="shared" ca="1" si="72"/>
        <v>#DIV/0!</v>
      </c>
      <c r="N554" s="95">
        <f>IF(P554="Hedge Fund",IF(A554=Summary!$AD$3,M554-E554,M554),IF(A554=Summary!$AD$3,L554-D554,L554))</f>
        <v>0</v>
      </c>
      <c r="O554" s="95">
        <f t="shared" si="77"/>
        <v>0</v>
      </c>
      <c r="P554" s="107" t="s">
        <v>155</v>
      </c>
      <c r="Q554" s="107">
        <v>0</v>
      </c>
      <c r="R554" s="107">
        <v>0</v>
      </c>
      <c r="S554" s="107">
        <v>0</v>
      </c>
      <c r="T554" s="107">
        <v>0</v>
      </c>
      <c r="U554" s="107"/>
      <c r="V554" s="107"/>
      <c r="W554" s="107"/>
      <c r="X554" s="107"/>
      <c r="Y554" s="107"/>
      <c r="Z554" s="107"/>
      <c r="AA554" s="107"/>
      <c r="AB554" s="107"/>
      <c r="AC554" s="355"/>
      <c r="AD554" s="355"/>
      <c r="AE554" s="355"/>
      <c r="AF554" s="94">
        <f t="shared" si="73"/>
        <v>42429</v>
      </c>
      <c r="AG554" s="185">
        <f t="shared" si="78"/>
        <v>1.5581945158600785E-2</v>
      </c>
      <c r="AH554" s="339" t="str">
        <f>VLOOKUP(B554,'MF PF'!A:B,2)</f>
        <v>FdMgt1</v>
      </c>
      <c r="AI554" s="358">
        <f t="shared" si="74"/>
        <v>0</v>
      </c>
      <c r="AJ554" s="94">
        <f t="shared" si="75"/>
        <v>42429</v>
      </c>
    </row>
    <row r="555" spans="1:36" ht="12.75" customHeight="1">
      <c r="A555" s="8">
        <v>42460</v>
      </c>
      <c r="B555" s="94" t="s">
        <v>136</v>
      </c>
      <c r="C555" s="6" t="s">
        <v>301</v>
      </c>
      <c r="D555" s="374">
        <v>11604795.055500001</v>
      </c>
      <c r="E555" s="9" t="e">
        <f t="shared" si="76"/>
        <v>#DIV/0!</v>
      </c>
      <c r="F555" s="98">
        <v>10.6</v>
      </c>
      <c r="G555" s="98">
        <v>0</v>
      </c>
      <c r="H555" s="98"/>
      <c r="I555" s="98">
        <v>0</v>
      </c>
      <c r="J555" s="98"/>
      <c r="K555" s="93"/>
      <c r="L555" s="93">
        <f t="shared" si="71"/>
        <v>0</v>
      </c>
      <c r="M555" s="95" t="e">
        <f t="shared" ca="1" si="72"/>
        <v>#DIV/0!</v>
      </c>
      <c r="N555" s="95">
        <f>IF(P555="Hedge Fund",IF(A555=Summary!$AD$3,M555-E555,M555),IF(A555=Summary!$AD$3,L555-D555,L555))</f>
        <v>0</v>
      </c>
      <c r="O555" s="95">
        <f t="shared" si="77"/>
        <v>0</v>
      </c>
      <c r="P555" s="107" t="s">
        <v>155</v>
      </c>
      <c r="Q555" s="107">
        <v>0</v>
      </c>
      <c r="R555" s="107">
        <v>0</v>
      </c>
      <c r="S555" s="107">
        <v>0</v>
      </c>
      <c r="T555" s="107">
        <v>0</v>
      </c>
      <c r="U555" s="107"/>
      <c r="V555" s="107"/>
      <c r="W555" s="107"/>
      <c r="X555" s="107"/>
      <c r="Y555" s="107"/>
      <c r="Z555" s="107"/>
      <c r="AA555" s="107"/>
      <c r="AB555" s="107"/>
      <c r="AC555" s="355"/>
      <c r="AD555" s="355"/>
      <c r="AE555" s="355"/>
      <c r="AF555" s="94">
        <f t="shared" si="73"/>
        <v>42460</v>
      </c>
      <c r="AG555" s="185">
        <f t="shared" si="78"/>
        <v>1.1713890091872958E-2</v>
      </c>
      <c r="AH555" s="339" t="str">
        <f>VLOOKUP(B555,'MF PF'!A:B,2)</f>
        <v>FdMgt1</v>
      </c>
      <c r="AI555" s="358">
        <f t="shared" si="74"/>
        <v>0</v>
      </c>
      <c r="AJ555" s="94">
        <f t="shared" si="75"/>
        <v>42460</v>
      </c>
    </row>
    <row r="556" spans="1:36" ht="12.75" customHeight="1">
      <c r="A556" s="94">
        <v>42489</v>
      </c>
      <c r="B556" s="8" t="s">
        <v>136</v>
      </c>
      <c r="C556" s="92" t="s">
        <v>301</v>
      </c>
      <c r="D556" s="374">
        <v>11813649.788000001</v>
      </c>
      <c r="E556" s="9" t="e">
        <f t="shared" si="76"/>
        <v>#DIV/0!</v>
      </c>
      <c r="F556" s="47">
        <v>10.6</v>
      </c>
      <c r="G556" s="47">
        <v>0</v>
      </c>
      <c r="H556" s="47"/>
      <c r="I556" s="47">
        <v>0</v>
      </c>
      <c r="J556" s="98"/>
      <c r="K556" s="93"/>
      <c r="L556" s="93">
        <f t="shared" si="71"/>
        <v>0</v>
      </c>
      <c r="M556" s="95" t="e">
        <f t="shared" ca="1" si="72"/>
        <v>#DIV/0!</v>
      </c>
      <c r="N556" s="95">
        <f>IF(P556="Hedge Fund",IF(A556=Summary!$AD$3,M556-E556,M556),IF(A556=Summary!$AD$3,L556-D556,L556))</f>
        <v>0</v>
      </c>
      <c r="O556" s="95">
        <f t="shared" si="77"/>
        <v>0</v>
      </c>
      <c r="P556" s="89" t="s">
        <v>155</v>
      </c>
      <c r="Q556" s="107">
        <v>0</v>
      </c>
      <c r="R556" s="107">
        <v>0</v>
      </c>
      <c r="S556" s="89">
        <v>0</v>
      </c>
      <c r="T556" s="89">
        <v>0</v>
      </c>
      <c r="U556" s="89"/>
      <c r="V556" s="89"/>
      <c r="W556" s="89"/>
      <c r="X556" s="89"/>
      <c r="Y556" s="89"/>
      <c r="Z556" s="89"/>
      <c r="AA556" s="89"/>
      <c r="AB556" s="89"/>
      <c r="AC556" s="355"/>
      <c r="AD556" s="355"/>
      <c r="AE556" s="355"/>
      <c r="AF556" s="94">
        <f t="shared" si="73"/>
        <v>42489</v>
      </c>
      <c r="AG556" s="185">
        <f t="shared" si="78"/>
        <v>1.7997278840440556E-2</v>
      </c>
      <c r="AH556" s="339" t="str">
        <f>VLOOKUP(B556,'MF PF'!A:B,2)</f>
        <v>FdMgt1</v>
      </c>
      <c r="AI556" s="358">
        <f t="shared" si="74"/>
        <v>0</v>
      </c>
      <c r="AJ556" s="94">
        <f t="shared" si="75"/>
        <v>42490</v>
      </c>
    </row>
    <row r="557" spans="1:36" ht="12.75" customHeight="1">
      <c r="A557" s="94">
        <v>42521</v>
      </c>
      <c r="B557" s="8" t="s">
        <v>136</v>
      </c>
      <c r="C557" s="358" t="s">
        <v>301</v>
      </c>
      <c r="D557" s="374">
        <v>12065563.497500001</v>
      </c>
      <c r="E557" s="9" t="e">
        <f t="shared" si="76"/>
        <v>#DIV/0!</v>
      </c>
      <c r="F557" s="47">
        <v>10.6</v>
      </c>
      <c r="G557" s="47">
        <v>0</v>
      </c>
      <c r="H557" s="47"/>
      <c r="I557" s="47">
        <v>0</v>
      </c>
      <c r="J557" s="98"/>
      <c r="K557" s="93"/>
      <c r="L557" s="93">
        <f t="shared" si="71"/>
        <v>0</v>
      </c>
      <c r="M557" s="95" t="e">
        <f t="shared" ca="1" si="72"/>
        <v>#DIV/0!</v>
      </c>
      <c r="N557" s="95">
        <f>IF(P557="Hedge Fund",IF(A557=Summary!$AD$3,M557-E557,M557),IF(A557=Summary!$AD$3,L557-D557,L557))</f>
        <v>0</v>
      </c>
      <c r="O557" s="95">
        <f t="shared" si="77"/>
        <v>0</v>
      </c>
      <c r="P557" s="89" t="s">
        <v>155</v>
      </c>
      <c r="Q557" s="107">
        <v>0</v>
      </c>
      <c r="R557" s="107">
        <v>0</v>
      </c>
      <c r="S557" s="89">
        <v>0</v>
      </c>
      <c r="T557" s="89">
        <v>0</v>
      </c>
      <c r="U557" s="89"/>
      <c r="V557" s="89"/>
      <c r="W557" s="89"/>
      <c r="X557" s="89"/>
      <c r="Y557" s="89"/>
      <c r="Z557" s="89"/>
      <c r="AA557" s="89"/>
      <c r="AB557" s="89"/>
      <c r="AC557" s="355"/>
      <c r="AD557" s="355"/>
      <c r="AE557" s="355"/>
      <c r="AF557" s="94">
        <f t="shared" si="73"/>
        <v>42521</v>
      </c>
      <c r="AG557" s="185">
        <f t="shared" si="78"/>
        <v>2.1323952717464678E-2</v>
      </c>
      <c r="AH557" s="339" t="str">
        <f>VLOOKUP(B557,'MF PF'!A:B,2)</f>
        <v>FdMgt1</v>
      </c>
      <c r="AI557" s="358">
        <f t="shared" si="74"/>
        <v>0</v>
      </c>
      <c r="AJ557" s="94">
        <f t="shared" si="75"/>
        <v>42521</v>
      </c>
    </row>
    <row r="558" spans="1:36" ht="12.75" customHeight="1">
      <c r="A558" s="8">
        <v>42551</v>
      </c>
      <c r="B558" s="94" t="s">
        <v>136</v>
      </c>
      <c r="C558" s="92" t="s">
        <v>301</v>
      </c>
      <c r="D558" s="374">
        <v>12337020.288000001</v>
      </c>
      <c r="E558" s="9" t="e">
        <f t="shared" ref="E558:E582" si="79">D558/K558</f>
        <v>#DIV/0!</v>
      </c>
      <c r="F558" s="47">
        <v>10.6</v>
      </c>
      <c r="G558" s="47">
        <v>0</v>
      </c>
      <c r="H558" s="47"/>
      <c r="I558" s="98">
        <v>0</v>
      </c>
      <c r="J558" s="98"/>
      <c r="K558" s="93"/>
      <c r="L558" s="93">
        <f t="shared" si="71"/>
        <v>0</v>
      </c>
      <c r="M558" s="95" t="e">
        <f t="shared" ca="1" si="72"/>
        <v>#DIV/0!</v>
      </c>
      <c r="N558" s="95">
        <f>IF(P558="Hedge Fund",IF(A558=Summary!$AD$3,M558-E558,M558),IF(A558=Summary!$AD$3,L558-D558,L558))</f>
        <v>0</v>
      </c>
      <c r="O558" s="95">
        <f t="shared" si="77"/>
        <v>0</v>
      </c>
      <c r="P558" s="89" t="s">
        <v>155</v>
      </c>
      <c r="Q558" s="107">
        <v>0</v>
      </c>
      <c r="R558" s="107">
        <v>0</v>
      </c>
      <c r="S558" s="89">
        <v>0</v>
      </c>
      <c r="T558" s="89">
        <v>0</v>
      </c>
      <c r="U558" s="89"/>
      <c r="V558" s="89"/>
      <c r="W558" s="89"/>
      <c r="X558" s="89"/>
      <c r="Y558" s="89"/>
      <c r="Z558" s="89"/>
      <c r="AA558" s="89"/>
      <c r="AB558" s="89"/>
      <c r="AC558" s="355"/>
      <c r="AD558" s="355"/>
      <c r="AE558" s="355"/>
      <c r="AF558" s="94">
        <f t="shared" si="73"/>
        <v>42551</v>
      </c>
      <c r="AG558" s="185">
        <f t="shared" si="78"/>
        <v>2.2498475977209553E-2</v>
      </c>
      <c r="AH558" s="339" t="str">
        <f>VLOOKUP(B558,'MF PF'!A:B,2)</f>
        <v>FdMgt1</v>
      </c>
      <c r="AI558" s="358">
        <f t="shared" si="74"/>
        <v>0</v>
      </c>
      <c r="AJ558" s="94">
        <f t="shared" si="75"/>
        <v>42551</v>
      </c>
    </row>
    <row r="559" spans="1:36" ht="12.75" customHeight="1">
      <c r="A559" s="8">
        <v>42580</v>
      </c>
      <c r="B559" s="94" t="s">
        <v>136</v>
      </c>
      <c r="C559" s="92" t="s">
        <v>301</v>
      </c>
      <c r="D559" s="374">
        <v>12529891.527000001</v>
      </c>
      <c r="E559" s="9" t="e">
        <f t="shared" si="79"/>
        <v>#DIV/0!</v>
      </c>
      <c r="F559" s="47">
        <v>10.6</v>
      </c>
      <c r="G559" s="47">
        <v>0</v>
      </c>
      <c r="H559" s="47">
        <v>0</v>
      </c>
      <c r="I559" s="98">
        <v>0</v>
      </c>
      <c r="J559" s="98"/>
      <c r="K559" s="93"/>
      <c r="L559" s="93">
        <f t="shared" si="71"/>
        <v>0</v>
      </c>
      <c r="M559" s="95" t="e">
        <f t="shared" ca="1" si="72"/>
        <v>#DIV/0!</v>
      </c>
      <c r="N559" s="95">
        <f>IF(P559="Hedge Fund",IF(A559=Summary!$AD$3,M559-E559,M559),IF(A559=Summary!$AD$3,L559-D559,L559))</f>
        <v>0</v>
      </c>
      <c r="O559" s="95">
        <f t="shared" si="77"/>
        <v>0</v>
      </c>
      <c r="P559" s="89" t="s">
        <v>155</v>
      </c>
      <c r="Q559" s="107">
        <v>0</v>
      </c>
      <c r="R559" s="107">
        <v>0</v>
      </c>
      <c r="S559" s="89">
        <v>0</v>
      </c>
      <c r="T559" s="89">
        <v>0</v>
      </c>
      <c r="U559" s="89"/>
      <c r="V559" s="89"/>
      <c r="W559" s="89"/>
      <c r="X559" s="89"/>
      <c r="Y559" s="89"/>
      <c r="Z559" s="89"/>
      <c r="AA559" s="89"/>
      <c r="AB559" s="89"/>
      <c r="AC559" s="355"/>
      <c r="AD559" s="355"/>
      <c r="AE559" s="355"/>
      <c r="AF559" s="94">
        <f t="shared" si="73"/>
        <v>42580</v>
      </c>
      <c r="AG559" s="185">
        <f t="shared" si="78"/>
        <v>1.5633535043109381E-2</v>
      </c>
      <c r="AH559" s="339" t="str">
        <f>VLOOKUP(B559,'MF PF'!A:B,2)</f>
        <v>FdMgt1</v>
      </c>
      <c r="AI559" s="358">
        <f t="shared" si="74"/>
        <v>0</v>
      </c>
      <c r="AJ559" s="94">
        <f t="shared" si="75"/>
        <v>42582</v>
      </c>
    </row>
    <row r="560" spans="1:36" ht="12.75" customHeight="1">
      <c r="A560" s="94">
        <v>42613</v>
      </c>
      <c r="B560" s="94" t="s">
        <v>136</v>
      </c>
      <c r="C560" s="358" t="s">
        <v>301</v>
      </c>
      <c r="D560" s="374">
        <v>12495096.1395</v>
      </c>
      <c r="E560" s="95" t="e">
        <f t="shared" si="79"/>
        <v>#DIV/0!</v>
      </c>
      <c r="F560" s="47">
        <v>10.6</v>
      </c>
      <c r="G560" s="47">
        <v>0</v>
      </c>
      <c r="H560" s="47">
        <v>0</v>
      </c>
      <c r="I560" s="98">
        <v>0</v>
      </c>
      <c r="J560" s="98"/>
      <c r="K560" s="93"/>
      <c r="L560" s="93">
        <f t="shared" si="71"/>
        <v>0</v>
      </c>
      <c r="M560" s="95" t="e">
        <f t="shared" ca="1" si="72"/>
        <v>#DIV/0!</v>
      </c>
      <c r="N560" s="95">
        <f>IF(P560="Hedge Fund",IF(A560=Summary!$AD$3,M560-E560,M560),IF(A560=Summary!$AD$3,L560-D560,L560))</f>
        <v>0</v>
      </c>
      <c r="O560" s="95">
        <f t="shared" si="77"/>
        <v>0</v>
      </c>
      <c r="P560" s="89" t="s">
        <v>155</v>
      </c>
      <c r="Q560" s="107">
        <v>0</v>
      </c>
      <c r="R560" s="107">
        <v>0</v>
      </c>
      <c r="S560" s="89">
        <v>0</v>
      </c>
      <c r="T560" s="89">
        <v>0</v>
      </c>
      <c r="U560" s="89"/>
      <c r="V560" s="89"/>
      <c r="W560" s="89"/>
      <c r="X560" s="89"/>
      <c r="Y560" s="89"/>
      <c r="Z560" s="89"/>
      <c r="AA560" s="89"/>
      <c r="AB560" s="89"/>
      <c r="AC560" s="355"/>
      <c r="AD560" s="355"/>
      <c r="AE560" s="355"/>
      <c r="AF560" s="94">
        <f t="shared" si="73"/>
        <v>42613</v>
      </c>
      <c r="AG560" s="185">
        <f t="shared" si="78"/>
        <v>-2.7769903215061342E-3</v>
      </c>
      <c r="AH560" s="339" t="str">
        <f>VLOOKUP(B560,'MF PF'!A:B,2)</f>
        <v>FdMgt1</v>
      </c>
      <c r="AI560" s="358">
        <f t="shared" si="74"/>
        <v>0</v>
      </c>
      <c r="AJ560" s="94">
        <f t="shared" si="75"/>
        <v>42613</v>
      </c>
    </row>
    <row r="561" spans="1:36" ht="12.75" customHeight="1">
      <c r="A561" s="94">
        <v>42643</v>
      </c>
      <c r="B561" s="94" t="s">
        <v>136</v>
      </c>
      <c r="C561" s="358" t="s">
        <v>301</v>
      </c>
      <c r="D561" s="374">
        <v>12906612.054</v>
      </c>
      <c r="E561" s="95" t="e">
        <f t="shared" si="79"/>
        <v>#DIV/0!</v>
      </c>
      <c r="F561" s="47">
        <v>10.6</v>
      </c>
      <c r="G561" s="47">
        <v>0</v>
      </c>
      <c r="H561" s="47">
        <v>0</v>
      </c>
      <c r="I561" s="98">
        <v>0</v>
      </c>
      <c r="J561" s="98"/>
      <c r="K561" s="93"/>
      <c r="L561" s="93">
        <f t="shared" si="71"/>
        <v>0</v>
      </c>
      <c r="M561" s="95" t="e">
        <f t="shared" ca="1" si="72"/>
        <v>#DIV/0!</v>
      </c>
      <c r="N561" s="95">
        <f>IF(P561="Hedge Fund",IF(A561=Summary!$AD$3,M561-E561,M561),IF(A561=Summary!$AD$3,L561-D561,L561))</f>
        <v>0</v>
      </c>
      <c r="O561" s="95">
        <f t="shared" si="77"/>
        <v>0</v>
      </c>
      <c r="P561" s="89" t="s">
        <v>155</v>
      </c>
      <c r="Q561" s="107">
        <v>0</v>
      </c>
      <c r="R561" s="107">
        <v>0</v>
      </c>
      <c r="S561" s="89">
        <v>0</v>
      </c>
      <c r="T561" s="89">
        <v>0</v>
      </c>
      <c r="U561" s="89"/>
      <c r="V561" s="89"/>
      <c r="W561" s="89"/>
      <c r="X561" s="89"/>
      <c r="Y561" s="89"/>
      <c r="Z561" s="89"/>
      <c r="AA561" s="89"/>
      <c r="AB561" s="89"/>
      <c r="AC561" s="355"/>
      <c r="AD561" s="355"/>
      <c r="AE561" s="355"/>
      <c r="AF561" s="94">
        <f t="shared" si="73"/>
        <v>42643</v>
      </c>
      <c r="AG561" s="185">
        <f t="shared" si="78"/>
        <v>3.2934193535262057E-2</v>
      </c>
      <c r="AH561" s="339" t="str">
        <f>VLOOKUP(B561,'MF PF'!A:B,2)</f>
        <v>FdMgt1</v>
      </c>
      <c r="AI561" s="358">
        <f t="shared" si="74"/>
        <v>0</v>
      </c>
      <c r="AJ561" s="94">
        <f t="shared" si="75"/>
        <v>42643</v>
      </c>
    </row>
    <row r="562" spans="1:36" ht="12.75" customHeight="1">
      <c r="A562" s="94">
        <v>42674</v>
      </c>
      <c r="B562" s="94" t="s">
        <v>136</v>
      </c>
      <c r="C562" s="358" t="s">
        <v>301</v>
      </c>
      <c r="D562" s="374">
        <v>13305670.759500001</v>
      </c>
      <c r="E562" s="9" t="e">
        <f t="shared" si="79"/>
        <v>#DIV/0!</v>
      </c>
      <c r="F562" s="47">
        <v>10.6</v>
      </c>
      <c r="G562" s="47">
        <v>0</v>
      </c>
      <c r="H562" s="47">
        <v>0</v>
      </c>
      <c r="I562" s="47">
        <v>0</v>
      </c>
      <c r="J562" s="98"/>
      <c r="K562" s="93"/>
      <c r="L562" s="93">
        <f t="shared" si="71"/>
        <v>0</v>
      </c>
      <c r="M562" s="95" t="e">
        <f t="shared" ca="1" si="72"/>
        <v>#DIV/0!</v>
      </c>
      <c r="N562" s="95">
        <f>IF(P562="Hedge Fund",IF(A562=Summary!$AD$3,M562-E562,M562),IF(A562=Summary!$AD$3,L562-D562,L562))</f>
        <v>0</v>
      </c>
      <c r="O562" s="95">
        <f t="shared" si="77"/>
        <v>0</v>
      </c>
      <c r="P562" s="89" t="s">
        <v>155</v>
      </c>
      <c r="Q562" s="107">
        <v>0</v>
      </c>
      <c r="R562" s="107">
        <v>0</v>
      </c>
      <c r="S562" s="89">
        <v>0</v>
      </c>
      <c r="T562" s="89">
        <v>0</v>
      </c>
      <c r="U562" s="89"/>
      <c r="V562" s="89"/>
      <c r="W562" s="89"/>
      <c r="X562" s="89"/>
      <c r="Y562" s="89"/>
      <c r="Z562" s="89"/>
      <c r="AA562" s="89"/>
      <c r="AB562" s="89"/>
      <c r="AC562" s="355"/>
      <c r="AD562" s="355"/>
      <c r="AE562" s="355"/>
      <c r="AF562" s="94">
        <f t="shared" si="73"/>
        <v>42674</v>
      </c>
      <c r="AG562" s="185">
        <f t="shared" si="78"/>
        <v>3.0918935490613642E-2</v>
      </c>
      <c r="AH562" s="339" t="str">
        <f>VLOOKUP(B562,'MF PF'!A:B,2)</f>
        <v>FdMgt1</v>
      </c>
      <c r="AI562" s="358">
        <f t="shared" si="74"/>
        <v>0</v>
      </c>
      <c r="AJ562" s="94">
        <f t="shared" si="75"/>
        <v>42674</v>
      </c>
    </row>
    <row r="563" spans="1:36" ht="12.75" customHeight="1">
      <c r="A563" s="8">
        <v>42704</v>
      </c>
      <c r="B563" s="94" t="s">
        <v>136</v>
      </c>
      <c r="C563" s="92" t="s">
        <v>301</v>
      </c>
      <c r="D563" s="374">
        <v>13363494.763499999</v>
      </c>
      <c r="E563" s="9" t="e">
        <f t="shared" si="79"/>
        <v>#DIV/0!</v>
      </c>
      <c r="F563" s="47">
        <v>10.6</v>
      </c>
      <c r="G563" s="47">
        <v>0</v>
      </c>
      <c r="H563" s="47">
        <v>0</v>
      </c>
      <c r="I563" s="47">
        <v>0</v>
      </c>
      <c r="J563" s="98"/>
      <c r="K563" s="93"/>
      <c r="L563" s="93">
        <f t="shared" si="71"/>
        <v>0</v>
      </c>
      <c r="M563" s="95" t="e">
        <f t="shared" ca="1" si="72"/>
        <v>#DIV/0!</v>
      </c>
      <c r="N563" s="95">
        <f>IF(P563="Hedge Fund",IF(A563=Summary!$AD$3,M563-E563,M563),IF(A563=Summary!$AD$3,L563-D563,L563))</f>
        <v>0</v>
      </c>
      <c r="O563" s="95">
        <f t="shared" si="77"/>
        <v>0</v>
      </c>
      <c r="P563" s="89" t="s">
        <v>155</v>
      </c>
      <c r="Q563" s="107">
        <v>0</v>
      </c>
      <c r="R563" s="107">
        <v>0</v>
      </c>
      <c r="S563" s="89">
        <v>0</v>
      </c>
      <c r="T563" s="89">
        <v>0</v>
      </c>
      <c r="U563" s="89"/>
      <c r="V563" s="89"/>
      <c r="W563" s="89"/>
      <c r="X563" s="89"/>
      <c r="Y563" s="89"/>
      <c r="Z563" s="89"/>
      <c r="AA563" s="89"/>
      <c r="AB563" s="89"/>
      <c r="AC563" s="355"/>
      <c r="AD563" s="355"/>
      <c r="AE563" s="355"/>
      <c r="AF563" s="94">
        <f t="shared" si="73"/>
        <v>42704</v>
      </c>
      <c r="AG563" s="185">
        <f t="shared" si="78"/>
        <v>4.3458165353078559E-3</v>
      </c>
      <c r="AH563" s="339" t="str">
        <f>VLOOKUP(B563,'MF PF'!A:B,2)</f>
        <v>FdMgt1</v>
      </c>
      <c r="AI563" s="358">
        <f t="shared" si="74"/>
        <v>0</v>
      </c>
      <c r="AJ563" s="94">
        <f t="shared" si="75"/>
        <v>42704</v>
      </c>
    </row>
    <row r="564" spans="1:36" ht="12.75" customHeight="1">
      <c r="A564" s="8">
        <v>42734</v>
      </c>
      <c r="B564" s="8" t="s">
        <v>136</v>
      </c>
      <c r="C564" s="92" t="s">
        <v>301</v>
      </c>
      <c r="D564" s="374">
        <v>13205800.239</v>
      </c>
      <c r="E564" s="9" t="e">
        <f t="shared" si="79"/>
        <v>#DIV/0!</v>
      </c>
      <c r="F564" s="47">
        <v>10.6</v>
      </c>
      <c r="G564" s="47">
        <v>0</v>
      </c>
      <c r="H564" s="47">
        <v>0</v>
      </c>
      <c r="I564" s="47">
        <v>0</v>
      </c>
      <c r="J564" s="98"/>
      <c r="K564" s="93"/>
      <c r="L564" s="93">
        <f t="shared" si="71"/>
        <v>0</v>
      </c>
      <c r="M564" s="95" t="e">
        <f t="shared" ca="1" si="72"/>
        <v>#DIV/0!</v>
      </c>
      <c r="N564" s="95">
        <f>IF(P564="Hedge Fund",IF(A564=Summary!$AD$3,M564-E564,M564),IF(A564=Summary!$AD$3,L564-D564,L564))</f>
        <v>0</v>
      </c>
      <c r="O564" s="95">
        <f t="shared" si="77"/>
        <v>0</v>
      </c>
      <c r="P564" s="89" t="s">
        <v>155</v>
      </c>
      <c r="Q564" s="107">
        <v>0</v>
      </c>
      <c r="R564" s="107">
        <v>0</v>
      </c>
      <c r="S564" s="89">
        <v>0</v>
      </c>
      <c r="T564" s="89">
        <v>0</v>
      </c>
      <c r="U564" s="89"/>
      <c r="V564" s="89"/>
      <c r="W564" s="89"/>
      <c r="X564" s="89"/>
      <c r="Y564" s="89"/>
      <c r="Z564" s="89"/>
      <c r="AA564" s="89"/>
      <c r="AB564" s="89"/>
      <c r="AC564" s="355"/>
      <c r="AD564" s="355"/>
      <c r="AE564" s="355"/>
      <c r="AF564" s="94">
        <f t="shared" si="73"/>
        <v>42734</v>
      </c>
      <c r="AG564" s="185">
        <f t="shared" si="78"/>
        <v>-1.1800395576964884E-2</v>
      </c>
      <c r="AH564" s="339" t="str">
        <f>VLOOKUP(B564,'MF PF'!A:B,2)</f>
        <v>FdMgt1</v>
      </c>
      <c r="AI564" s="358">
        <f t="shared" si="74"/>
        <v>0</v>
      </c>
      <c r="AJ564" s="94">
        <f t="shared" si="75"/>
        <v>42735</v>
      </c>
    </row>
    <row r="565" spans="1:36" ht="12.75" customHeight="1">
      <c r="A565" s="94">
        <v>42762</v>
      </c>
      <c r="B565" s="94" t="s">
        <v>136</v>
      </c>
      <c r="C565" s="358" t="s">
        <v>301</v>
      </c>
      <c r="D565" s="374">
        <v>13403996.082</v>
      </c>
      <c r="E565" s="9" t="e">
        <f t="shared" si="79"/>
        <v>#DIV/0!</v>
      </c>
      <c r="F565" s="47">
        <v>10.6</v>
      </c>
      <c r="G565" s="47">
        <v>0</v>
      </c>
      <c r="H565" s="47">
        <v>0</v>
      </c>
      <c r="I565" s="98">
        <v>0</v>
      </c>
      <c r="J565" s="98"/>
      <c r="K565" s="93"/>
      <c r="L565" s="93">
        <f t="shared" si="71"/>
        <v>0</v>
      </c>
      <c r="M565" s="95" t="e">
        <f t="shared" ca="1" si="72"/>
        <v>#DIV/0!</v>
      </c>
      <c r="N565" s="95">
        <f>IF(P565="Hedge Fund",IF(A565=Summary!$AD$3,M565-E565,M565),IF(A565=Summary!$AD$3,L565-D565,L565))</f>
        <v>0</v>
      </c>
      <c r="O565" s="95">
        <f t="shared" si="77"/>
        <v>0</v>
      </c>
      <c r="P565" s="89" t="s">
        <v>155</v>
      </c>
      <c r="Q565" s="107">
        <v>0</v>
      </c>
      <c r="R565" s="107">
        <v>0</v>
      </c>
      <c r="S565" s="89">
        <v>0</v>
      </c>
      <c r="T565" s="89">
        <v>0</v>
      </c>
      <c r="U565" s="89"/>
      <c r="V565" s="89"/>
      <c r="W565" s="89"/>
      <c r="X565" s="89"/>
      <c r="Y565" s="89"/>
      <c r="Z565" s="89"/>
      <c r="AA565" s="89"/>
      <c r="AB565" s="89"/>
      <c r="AC565" s="355"/>
      <c r="AD565" s="355"/>
      <c r="AE565" s="355"/>
      <c r="AF565" s="94">
        <f t="shared" si="73"/>
        <v>42762</v>
      </c>
      <c r="AG565" s="185">
        <f t="shared" si="78"/>
        <v>1.5008241788686094E-2</v>
      </c>
      <c r="AH565" s="339" t="str">
        <f>VLOOKUP(B565,'MF PF'!A:B,2)</f>
        <v>FdMgt1</v>
      </c>
      <c r="AI565" s="358">
        <f t="shared" si="74"/>
        <v>0</v>
      </c>
      <c r="AJ565" s="94">
        <f t="shared" si="75"/>
        <v>42766</v>
      </c>
    </row>
    <row r="566" spans="1:36" ht="12.75" customHeight="1">
      <c r="A566" s="94">
        <v>42794</v>
      </c>
      <c r="B566" s="94" t="s">
        <v>136</v>
      </c>
      <c r="C566" s="358" t="s">
        <v>301</v>
      </c>
      <c r="D566" s="374">
        <v>13952193.9005</v>
      </c>
      <c r="E566" s="9" t="e">
        <f t="shared" si="79"/>
        <v>#DIV/0!</v>
      </c>
      <c r="F566" s="47">
        <v>10.6</v>
      </c>
      <c r="G566" s="47">
        <v>0</v>
      </c>
      <c r="H566" s="47">
        <v>0</v>
      </c>
      <c r="I566" s="98">
        <v>0</v>
      </c>
      <c r="J566" s="98"/>
      <c r="L566" s="93">
        <f t="shared" si="71"/>
        <v>0</v>
      </c>
      <c r="M566" s="95" t="e">
        <f t="shared" ca="1" si="72"/>
        <v>#DIV/0!</v>
      </c>
      <c r="N566" s="95">
        <f>IF(P566="Hedge Fund",IF(A566=Summary!$AD$3,M566-E566,M566),IF(A566=Summary!$AD$3,L566-D566,L566))</f>
        <v>0</v>
      </c>
      <c r="O566" s="95">
        <f t="shared" si="77"/>
        <v>0</v>
      </c>
      <c r="P566" s="89" t="s">
        <v>155</v>
      </c>
      <c r="Q566" s="107">
        <v>0</v>
      </c>
      <c r="R566" s="107">
        <v>0</v>
      </c>
      <c r="S566" s="89">
        <v>0</v>
      </c>
      <c r="T566" s="89">
        <v>0</v>
      </c>
      <c r="U566" s="89"/>
      <c r="V566" s="89"/>
      <c r="W566" s="89"/>
      <c r="X566" s="89"/>
      <c r="Y566" s="89"/>
      <c r="Z566" s="89"/>
      <c r="AA566" s="89"/>
      <c r="AB566" s="89"/>
      <c r="AC566" s="355"/>
      <c r="AD566" s="355"/>
      <c r="AE566" s="355"/>
      <c r="AF566" s="94">
        <f t="shared" si="73"/>
        <v>42794</v>
      </c>
      <c r="AG566" s="185">
        <f t="shared" si="78"/>
        <v>4.0898088536161614E-2</v>
      </c>
      <c r="AH566" s="339" t="str">
        <f>VLOOKUP(B566,'MF PF'!A:B,2)</f>
        <v>FdMgt1</v>
      </c>
      <c r="AI566" s="358">
        <f t="shared" si="74"/>
        <v>0</v>
      </c>
      <c r="AJ566" s="94">
        <f t="shared" si="75"/>
        <v>42794</v>
      </c>
    </row>
    <row r="567" spans="1:36" ht="12.75" customHeight="1">
      <c r="A567" s="94">
        <v>42825</v>
      </c>
      <c r="B567" s="94" t="s">
        <v>136</v>
      </c>
      <c r="C567" s="358" t="s">
        <v>301</v>
      </c>
      <c r="D567" s="374">
        <v>13789553.7105</v>
      </c>
      <c r="E567" s="9" t="e">
        <f t="shared" si="79"/>
        <v>#DIV/0!</v>
      </c>
      <c r="F567" s="47">
        <v>10.6</v>
      </c>
      <c r="G567" s="47">
        <v>0</v>
      </c>
      <c r="H567" s="47">
        <v>0</v>
      </c>
      <c r="I567" s="98">
        <v>0</v>
      </c>
      <c r="J567" s="98"/>
      <c r="K567" s="93"/>
      <c r="L567" s="93">
        <f t="shared" si="71"/>
        <v>0</v>
      </c>
      <c r="M567" s="95" t="e">
        <f t="shared" ca="1" si="72"/>
        <v>#DIV/0!</v>
      </c>
      <c r="N567" s="95">
        <f>IF(P567="Hedge Fund",IF(A567=Summary!$AD$3,M567-E567,M567),IF(A567=Summary!$AD$3,L567-D567,L567))</f>
        <v>0</v>
      </c>
      <c r="O567" s="95">
        <f t="shared" si="77"/>
        <v>0</v>
      </c>
      <c r="P567" s="89" t="s">
        <v>155</v>
      </c>
      <c r="Q567" s="107">
        <v>0</v>
      </c>
      <c r="R567" s="107">
        <v>0</v>
      </c>
      <c r="S567" s="89">
        <v>0</v>
      </c>
      <c r="T567" s="89">
        <v>0</v>
      </c>
      <c r="U567" s="89"/>
      <c r="V567" s="89"/>
      <c r="W567" s="89"/>
      <c r="X567" s="89"/>
      <c r="Y567" s="89"/>
      <c r="Z567" s="89"/>
      <c r="AA567" s="89"/>
      <c r="AB567" s="89"/>
      <c r="AC567" s="355"/>
      <c r="AD567" s="355"/>
      <c r="AE567" s="355"/>
      <c r="AF567" s="94">
        <f t="shared" si="73"/>
        <v>42825</v>
      </c>
      <c r="AG567" s="185">
        <f t="shared" si="78"/>
        <v>-1.1656961705081459E-2</v>
      </c>
      <c r="AH567" s="339" t="str">
        <f>VLOOKUP(B567,'MF PF'!A:B,2)</f>
        <v>FdMgt1</v>
      </c>
      <c r="AI567" s="358">
        <f t="shared" si="74"/>
        <v>0</v>
      </c>
      <c r="AJ567" s="94">
        <f t="shared" si="75"/>
        <v>42825</v>
      </c>
    </row>
    <row r="568" spans="1:36" ht="12.75" customHeight="1">
      <c r="A568" s="94">
        <v>42853</v>
      </c>
      <c r="B568" s="94" t="s">
        <v>136</v>
      </c>
      <c r="C568" s="358" t="s">
        <v>301</v>
      </c>
      <c r="D568" s="374">
        <v>13770736.460000001</v>
      </c>
      <c r="E568" s="9" t="e">
        <f t="shared" si="79"/>
        <v>#DIV/0!</v>
      </c>
      <c r="F568" s="47">
        <v>10.6</v>
      </c>
      <c r="G568" s="47">
        <v>0</v>
      </c>
      <c r="H568" s="47">
        <v>0</v>
      </c>
      <c r="I568" s="98">
        <v>0</v>
      </c>
      <c r="J568" s="98"/>
      <c r="L568" s="93">
        <f t="shared" si="71"/>
        <v>0</v>
      </c>
      <c r="M568" s="95" t="e">
        <f t="shared" ca="1" si="72"/>
        <v>#DIV/0!</v>
      </c>
      <c r="N568" s="95">
        <f>IF(P568="Hedge Fund",IF(A568=Summary!$AD$3,M568-E568,M568),IF(A568=Summary!$AD$3,L568-D568,L568))</f>
        <v>0</v>
      </c>
      <c r="O568" s="95">
        <f t="shared" si="77"/>
        <v>0</v>
      </c>
      <c r="P568" s="89" t="s">
        <v>155</v>
      </c>
      <c r="Q568" s="107">
        <v>0</v>
      </c>
      <c r="R568" s="107">
        <v>0</v>
      </c>
      <c r="S568" s="89">
        <v>0</v>
      </c>
      <c r="T568" s="89">
        <v>0</v>
      </c>
      <c r="U568" s="89"/>
      <c r="V568" s="89"/>
      <c r="W568" s="89"/>
      <c r="X568" s="89"/>
      <c r="Y568" s="89"/>
      <c r="Z568" s="89"/>
      <c r="AA568" s="89"/>
      <c r="AB568" s="89"/>
      <c r="AC568" s="355"/>
      <c r="AD568" s="355"/>
      <c r="AE568" s="355"/>
      <c r="AF568" s="94">
        <f t="shared" si="73"/>
        <v>42853</v>
      </c>
      <c r="AG568" s="185">
        <f t="shared" si="78"/>
        <v>-1.3646018497082135E-3</v>
      </c>
      <c r="AH568" s="339" t="str">
        <f>VLOOKUP(B568,'MF PF'!A:B,2)</f>
        <v>FdMgt1</v>
      </c>
      <c r="AI568" s="358">
        <f t="shared" si="74"/>
        <v>0</v>
      </c>
      <c r="AJ568" s="94">
        <f t="shared" si="75"/>
        <v>42855</v>
      </c>
    </row>
    <row r="569" spans="1:36" ht="12.75" customHeight="1">
      <c r="A569" s="94">
        <v>42886</v>
      </c>
      <c r="B569" s="94" t="s">
        <v>136</v>
      </c>
      <c r="C569" s="358" t="s">
        <v>301</v>
      </c>
      <c r="D569" s="374">
        <v>13352113.2125</v>
      </c>
      <c r="E569" s="9" t="e">
        <f t="shared" si="79"/>
        <v>#DIV/0!</v>
      </c>
      <c r="F569" s="98">
        <v>10.6</v>
      </c>
      <c r="G569" s="98">
        <v>0</v>
      </c>
      <c r="H569" s="98">
        <v>0</v>
      </c>
      <c r="I569" s="98">
        <v>0</v>
      </c>
      <c r="J569" s="98"/>
      <c r="L569" s="93">
        <f t="shared" si="71"/>
        <v>0</v>
      </c>
      <c r="M569" s="95" t="e">
        <f t="shared" ca="1" si="72"/>
        <v>#DIV/0!</v>
      </c>
      <c r="N569" s="95">
        <f>IF(P569="Hedge Fund",IF(A569=Summary!$AD$3,M569-E569,M569),IF(A569=Summary!$AD$3,L569-D569,L569))</f>
        <v>0</v>
      </c>
      <c r="O569" s="95">
        <f t="shared" si="77"/>
        <v>0</v>
      </c>
      <c r="P569" s="107" t="s">
        <v>155</v>
      </c>
      <c r="Q569" s="107">
        <v>0</v>
      </c>
      <c r="R569" s="107">
        <v>0</v>
      </c>
      <c r="S569" s="107">
        <v>0</v>
      </c>
      <c r="T569" s="107">
        <v>0</v>
      </c>
      <c r="U569" s="107"/>
      <c r="V569" s="107"/>
      <c r="W569" s="107"/>
      <c r="X569" s="107"/>
      <c r="Y569" s="107"/>
      <c r="Z569" s="107"/>
      <c r="AA569" s="107"/>
      <c r="AB569" s="107"/>
      <c r="AC569" s="355"/>
      <c r="AD569" s="355"/>
      <c r="AE569" s="355"/>
      <c r="AF569" s="94">
        <f t="shared" si="73"/>
        <v>42886</v>
      </c>
      <c r="AG569" s="185">
        <f t="shared" si="78"/>
        <v>-3.0399481445017806E-2</v>
      </c>
      <c r="AH569" s="339" t="str">
        <f>VLOOKUP(B569,'MF PF'!A:B,2)</f>
        <v>FdMgt1</v>
      </c>
      <c r="AI569" s="358">
        <f t="shared" si="74"/>
        <v>0</v>
      </c>
      <c r="AJ569" s="94">
        <f t="shared" si="75"/>
        <v>42886</v>
      </c>
    </row>
    <row r="570" spans="1:36" ht="12.75" customHeight="1">
      <c r="A570" s="8">
        <v>42916</v>
      </c>
      <c r="B570" s="94" t="s">
        <v>136</v>
      </c>
      <c r="C570" s="358" t="s">
        <v>301</v>
      </c>
      <c r="D570" s="374">
        <v>13777107.6535</v>
      </c>
      <c r="E570" s="9" t="e">
        <f t="shared" si="79"/>
        <v>#DIV/0!</v>
      </c>
      <c r="F570" s="47">
        <v>10.6</v>
      </c>
      <c r="G570" s="47">
        <v>0</v>
      </c>
      <c r="H570" s="47">
        <v>0</v>
      </c>
      <c r="I570" s="98">
        <v>0</v>
      </c>
      <c r="J570" s="98"/>
      <c r="L570" s="93">
        <f t="shared" si="71"/>
        <v>0</v>
      </c>
      <c r="M570" s="95" t="e">
        <f t="shared" ca="1" si="72"/>
        <v>#DIV/0!</v>
      </c>
      <c r="N570" s="95">
        <f>IF(P570="Hedge Fund",IF(A570=Summary!$AD$3,M570-E570,M570),IF(A570=Summary!$AD$3,L570-D570,L570))</f>
        <v>0</v>
      </c>
      <c r="O570" s="95">
        <f t="shared" si="77"/>
        <v>0</v>
      </c>
      <c r="P570" s="89" t="s">
        <v>155</v>
      </c>
      <c r="Q570" s="107">
        <v>0</v>
      </c>
      <c r="R570" s="107">
        <v>0</v>
      </c>
      <c r="S570" s="89">
        <v>0</v>
      </c>
      <c r="T570" s="89">
        <v>0</v>
      </c>
      <c r="U570" s="89"/>
      <c r="V570" s="89"/>
      <c r="W570" s="89"/>
      <c r="X570" s="89"/>
      <c r="Y570" s="89"/>
      <c r="Z570" s="89"/>
      <c r="AA570" s="89"/>
      <c r="AB570" s="89"/>
      <c r="AC570" s="355"/>
      <c r="AD570" s="355"/>
      <c r="AE570" s="355"/>
      <c r="AF570" s="94">
        <f t="shared" si="73"/>
        <v>42916</v>
      </c>
      <c r="AG570" s="185">
        <f t="shared" si="78"/>
        <v>3.1829751158949815E-2</v>
      </c>
      <c r="AH570" s="339" t="str">
        <f>VLOOKUP(B570,'MF PF'!A:B,2)</f>
        <v>FdMgt1</v>
      </c>
      <c r="AI570" s="358">
        <f t="shared" si="74"/>
        <v>0</v>
      </c>
      <c r="AJ570" s="94">
        <f t="shared" si="75"/>
        <v>42916</v>
      </c>
    </row>
    <row r="571" spans="1:36" ht="12.75" customHeight="1">
      <c r="A571" s="8">
        <v>42947</v>
      </c>
      <c r="B571" s="94" t="s">
        <v>136</v>
      </c>
      <c r="C571" s="358" t="s">
        <v>301</v>
      </c>
      <c r="D571" s="374">
        <v>14151754.560000001</v>
      </c>
      <c r="E571" s="9" t="e">
        <f t="shared" si="79"/>
        <v>#DIV/0!</v>
      </c>
      <c r="F571" s="98">
        <v>10.6</v>
      </c>
      <c r="G571" s="98">
        <v>0</v>
      </c>
      <c r="H571" s="98">
        <v>-1.862645149230957E-9</v>
      </c>
      <c r="I571" s="98">
        <v>0</v>
      </c>
      <c r="J571" s="98"/>
      <c r="K571" s="93"/>
      <c r="L571" s="93">
        <f t="shared" si="71"/>
        <v>-1.862645149230957E-9</v>
      </c>
      <c r="M571" s="95" t="e">
        <f t="shared" ca="1" si="72"/>
        <v>#DIV/0!</v>
      </c>
      <c r="N571" s="95">
        <f>IF(P571="Hedge Fund",IF(A571=Summary!$AD$3,M571-E571,M571),IF(A571=Summary!$AD$3,L571-D571,L571))</f>
        <v>-1.862645149230957E-9</v>
      </c>
      <c r="O571" s="95">
        <f t="shared" si="77"/>
        <v>-1.862645149230957E-9</v>
      </c>
      <c r="P571" s="107" t="s">
        <v>155</v>
      </c>
      <c r="Q571" s="107">
        <v>0</v>
      </c>
      <c r="R571" s="107">
        <v>0</v>
      </c>
      <c r="S571" s="107">
        <v>0</v>
      </c>
      <c r="T571" s="107">
        <v>0</v>
      </c>
      <c r="U571" s="107"/>
      <c r="V571" s="107"/>
      <c r="W571" s="107"/>
      <c r="X571" s="107"/>
      <c r="Y571" s="107"/>
      <c r="Z571" s="107"/>
      <c r="AA571" s="107"/>
      <c r="AB571" s="107"/>
      <c r="AC571" s="355"/>
      <c r="AD571" s="355"/>
      <c r="AE571" s="355"/>
      <c r="AF571" s="94">
        <f t="shared" si="73"/>
        <v>42947</v>
      </c>
      <c r="AG571" s="185">
        <f t="shared" si="78"/>
        <v>2.7193436817257055E-2</v>
      </c>
      <c r="AH571" s="339" t="str">
        <f>VLOOKUP(B571,'MF PF'!A:B,2)</f>
        <v>FdMgt1</v>
      </c>
      <c r="AI571" s="358">
        <f t="shared" si="74"/>
        <v>0</v>
      </c>
      <c r="AJ571" s="94">
        <f t="shared" si="75"/>
        <v>42947</v>
      </c>
    </row>
    <row r="572" spans="1:36" ht="12.75" customHeight="1">
      <c r="A572" s="8">
        <v>42978</v>
      </c>
      <c r="B572" s="94" t="s">
        <v>136</v>
      </c>
      <c r="C572" s="358" t="s">
        <v>301</v>
      </c>
      <c r="D572" s="374">
        <v>14176200</v>
      </c>
      <c r="E572" s="9" t="e">
        <f t="shared" si="79"/>
        <v>#DIV/0!</v>
      </c>
      <c r="F572" s="98">
        <v>10.6</v>
      </c>
      <c r="G572" s="98">
        <v>0</v>
      </c>
      <c r="H572" s="98">
        <v>0</v>
      </c>
      <c r="I572" s="98">
        <v>0</v>
      </c>
      <c r="J572" s="98"/>
      <c r="K572" s="93"/>
      <c r="L572" s="93">
        <f t="shared" si="71"/>
        <v>0</v>
      </c>
      <c r="M572" s="95" t="e">
        <f t="shared" ca="1" si="72"/>
        <v>#DIV/0!</v>
      </c>
      <c r="N572" s="95">
        <f>IF(P572="Hedge Fund",IF(A572=Summary!$AD$3,M572-E572,M572),IF(A572=Summary!$AD$3,L572-D572,L572))</f>
        <v>0</v>
      </c>
      <c r="O572" s="95">
        <f t="shared" si="77"/>
        <v>0</v>
      </c>
      <c r="P572" s="107" t="s">
        <v>155</v>
      </c>
      <c r="Q572" s="107">
        <v>0</v>
      </c>
      <c r="R572" s="107">
        <v>0</v>
      </c>
      <c r="S572" s="107">
        <v>0</v>
      </c>
      <c r="T572" s="107">
        <v>0</v>
      </c>
      <c r="U572" s="107"/>
      <c r="V572" s="107"/>
      <c r="W572" s="107"/>
      <c r="X572" s="107"/>
      <c r="Y572" s="107"/>
      <c r="Z572" s="107"/>
      <c r="AA572" s="107"/>
      <c r="AB572" s="107"/>
      <c r="AC572" s="355"/>
      <c r="AD572" s="355"/>
      <c r="AE572" s="355"/>
      <c r="AF572" s="94">
        <f t="shared" si="73"/>
        <v>42978</v>
      </c>
      <c r="AG572" s="185">
        <f t="shared" si="78"/>
        <v>1.7273787427811715E-3</v>
      </c>
      <c r="AH572" s="339" t="str">
        <f>VLOOKUP(B572,'MF PF'!A:B,2)</f>
        <v>FdMgt1</v>
      </c>
      <c r="AI572" s="358">
        <f t="shared" si="74"/>
        <v>0</v>
      </c>
      <c r="AJ572" s="94">
        <f t="shared" si="75"/>
        <v>42978</v>
      </c>
    </row>
    <row r="573" spans="1:36" ht="12.75" customHeight="1">
      <c r="A573" s="94">
        <v>43007</v>
      </c>
      <c r="B573" s="94" t="s">
        <v>136</v>
      </c>
      <c r="C573" s="358" t="s">
        <v>301</v>
      </c>
      <c r="D573" s="374">
        <v>14102883.024617514</v>
      </c>
      <c r="E573" s="9" t="e">
        <f t="shared" si="79"/>
        <v>#DIV/0!</v>
      </c>
      <c r="F573" s="98">
        <v>10.6</v>
      </c>
      <c r="G573" s="98">
        <v>0</v>
      </c>
      <c r="H573" s="98">
        <v>0</v>
      </c>
      <c r="I573" s="98">
        <v>0</v>
      </c>
      <c r="J573" s="98"/>
      <c r="K573" s="93"/>
      <c r="L573" s="93">
        <f t="shared" si="71"/>
        <v>0</v>
      </c>
      <c r="M573" s="95" t="e">
        <f t="shared" ca="1" si="72"/>
        <v>#DIV/0!</v>
      </c>
      <c r="N573" s="95">
        <f>IF(P573="Hedge Fund",IF(A573=Summary!$AD$3,M573-E573,M573),IF(A573=Summary!$AD$3,L573-D573,L573))</f>
        <v>0</v>
      </c>
      <c r="O573" s="95">
        <f t="shared" si="77"/>
        <v>0</v>
      </c>
      <c r="P573" s="107" t="s">
        <v>155</v>
      </c>
      <c r="Q573" s="107">
        <v>0</v>
      </c>
      <c r="R573" s="107">
        <v>0</v>
      </c>
      <c r="S573" s="107">
        <v>0</v>
      </c>
      <c r="T573" s="107">
        <v>0</v>
      </c>
      <c r="U573" s="107"/>
      <c r="V573" s="107"/>
      <c r="W573" s="107"/>
      <c r="X573" s="107"/>
      <c r="Y573" s="107"/>
      <c r="Z573" s="107"/>
      <c r="AA573" s="107"/>
      <c r="AB573" s="107"/>
      <c r="AC573" s="355"/>
      <c r="AD573" s="355"/>
      <c r="AE573" s="355"/>
      <c r="AF573" s="94">
        <f t="shared" si="73"/>
        <v>43007</v>
      </c>
      <c r="AG573" s="185">
        <f t="shared" si="78"/>
        <v>-5.1718355682401906E-3</v>
      </c>
      <c r="AH573" s="339" t="str">
        <f>VLOOKUP(B573,'MF PF'!A:B,2)</f>
        <v>FdMgt1</v>
      </c>
      <c r="AI573" s="358">
        <f t="shared" si="74"/>
        <v>0</v>
      </c>
      <c r="AJ573" s="94">
        <f t="shared" si="75"/>
        <v>43008</v>
      </c>
    </row>
    <row r="574" spans="1:36" ht="12.75" customHeight="1">
      <c r="A574" s="94">
        <v>43039</v>
      </c>
      <c r="B574" s="94" t="s">
        <v>136</v>
      </c>
      <c r="C574" s="358" t="s">
        <v>301</v>
      </c>
      <c r="D574" s="374">
        <v>14156000</v>
      </c>
      <c r="E574" s="95" t="e">
        <f t="shared" si="79"/>
        <v>#DIV/0!</v>
      </c>
      <c r="F574" s="98">
        <v>10.6</v>
      </c>
      <c r="G574" s="98">
        <v>0</v>
      </c>
      <c r="H574" s="98">
        <v>-1.862645149230957E-9</v>
      </c>
      <c r="I574" s="98">
        <v>0</v>
      </c>
      <c r="J574" s="98"/>
      <c r="K574" s="93"/>
      <c r="L574" s="93">
        <f t="shared" si="71"/>
        <v>-1.862645149230957E-9</v>
      </c>
      <c r="M574" s="95" t="e">
        <f t="shared" ca="1" si="72"/>
        <v>#DIV/0!</v>
      </c>
      <c r="N574" s="95">
        <f>IF(P574="Hedge Fund",IF(A574=Summary!$AD$3,M574-E574,M574),IF(A574=Summary!$AD$3,L574-D574,L574))</f>
        <v>-1.862645149230957E-9</v>
      </c>
      <c r="O574" s="95">
        <f t="shared" si="77"/>
        <v>-1.862645149230957E-9</v>
      </c>
      <c r="P574" s="107" t="s">
        <v>155</v>
      </c>
      <c r="Q574" s="107">
        <v>0</v>
      </c>
      <c r="R574" s="107">
        <v>0</v>
      </c>
      <c r="S574" s="107">
        <v>0</v>
      </c>
      <c r="T574" s="107">
        <v>0</v>
      </c>
      <c r="U574" s="107"/>
      <c r="V574" s="107"/>
      <c r="W574" s="107"/>
      <c r="X574" s="107"/>
      <c r="Y574" s="107"/>
      <c r="Z574" s="107"/>
      <c r="AA574" s="107"/>
      <c r="AB574" s="107"/>
      <c r="AC574" s="355"/>
      <c r="AD574" s="355"/>
      <c r="AE574" s="355"/>
      <c r="AF574" s="94">
        <f t="shared" si="73"/>
        <v>43039</v>
      </c>
      <c r="AG574" s="185">
        <f t="shared" si="78"/>
        <v>3.7663912612597716E-3</v>
      </c>
      <c r="AH574" s="339" t="str">
        <f>VLOOKUP(B574,'MF PF'!A:B,2)</f>
        <v>FdMgt1</v>
      </c>
      <c r="AI574" s="358">
        <f t="shared" si="74"/>
        <v>0</v>
      </c>
      <c r="AJ574" s="94">
        <f t="shared" si="75"/>
        <v>43039</v>
      </c>
    </row>
    <row r="575" spans="1:36" ht="12.75" customHeight="1">
      <c r="A575" s="8">
        <v>43069</v>
      </c>
      <c r="B575" s="94" t="s">
        <v>136</v>
      </c>
      <c r="C575" s="358" t="s">
        <v>301</v>
      </c>
      <c r="D575" s="374">
        <v>14141100</v>
      </c>
      <c r="E575" s="9" t="e">
        <f t="shared" si="79"/>
        <v>#DIV/0!</v>
      </c>
      <c r="F575" s="98">
        <v>10.6</v>
      </c>
      <c r="G575" s="98">
        <v>0</v>
      </c>
      <c r="H575" s="98">
        <v>0</v>
      </c>
      <c r="I575" s="98">
        <v>0</v>
      </c>
      <c r="J575" s="98"/>
      <c r="K575" s="93"/>
      <c r="L575" s="93">
        <f t="shared" si="71"/>
        <v>0</v>
      </c>
      <c r="M575" s="95" t="e">
        <f t="shared" ca="1" si="72"/>
        <v>#DIV/0!</v>
      </c>
      <c r="N575" s="95">
        <f>IF(P575="Hedge Fund",IF(A575=Summary!$AD$3,M575-E575,M575),IF(A575=Summary!$AD$3,L575-D575,L575))</f>
        <v>0</v>
      </c>
      <c r="O575" s="95">
        <f t="shared" si="77"/>
        <v>0</v>
      </c>
      <c r="P575" s="107" t="s">
        <v>155</v>
      </c>
      <c r="Q575" s="107">
        <v>0</v>
      </c>
      <c r="R575" s="107">
        <v>0</v>
      </c>
      <c r="S575" s="107">
        <v>0</v>
      </c>
      <c r="T575" s="107">
        <v>0</v>
      </c>
      <c r="U575" s="107"/>
      <c r="V575" s="107"/>
      <c r="W575" s="107"/>
      <c r="X575" s="107"/>
      <c r="Y575" s="107"/>
      <c r="Z575" s="107"/>
      <c r="AA575" s="107"/>
      <c r="AB575" s="107"/>
      <c r="AC575" s="355"/>
      <c r="AD575" s="355"/>
      <c r="AE575" s="355"/>
      <c r="AF575" s="94">
        <f t="shared" si="73"/>
        <v>43069</v>
      </c>
      <c r="AG575" s="185">
        <f t="shared" si="78"/>
        <v>-1.0525572195535515E-3</v>
      </c>
      <c r="AH575" s="339" t="str">
        <f>VLOOKUP(B575,'MF PF'!A:B,2)</f>
        <v>FdMgt1</v>
      </c>
      <c r="AI575" s="358">
        <f t="shared" si="74"/>
        <v>0</v>
      </c>
      <c r="AJ575" s="94">
        <f t="shared" si="75"/>
        <v>43069</v>
      </c>
    </row>
    <row r="576" spans="1:36" ht="12.75" customHeight="1">
      <c r="A576" s="8">
        <v>43098</v>
      </c>
      <c r="B576" s="94" t="s">
        <v>136</v>
      </c>
      <c r="C576" s="358" t="s">
        <v>301</v>
      </c>
      <c r="D576" s="374">
        <v>14516200</v>
      </c>
      <c r="E576" s="9" t="e">
        <f t="shared" si="79"/>
        <v>#DIV/0!</v>
      </c>
      <c r="F576" s="98">
        <v>10.6</v>
      </c>
      <c r="G576" s="98">
        <v>0</v>
      </c>
      <c r="H576" s="98">
        <v>0</v>
      </c>
      <c r="I576" s="98">
        <v>0</v>
      </c>
      <c r="J576" s="98"/>
      <c r="K576" s="93"/>
      <c r="L576" s="93">
        <f t="shared" si="71"/>
        <v>0</v>
      </c>
      <c r="M576" s="95" t="e">
        <f t="shared" ca="1" si="72"/>
        <v>#DIV/0!</v>
      </c>
      <c r="N576" s="95">
        <f>IF(P576="Hedge Fund",IF(A576=Summary!$AD$3,M576-E576,M576),IF(A576=Summary!$AD$3,L576-D576,L576))</f>
        <v>0</v>
      </c>
      <c r="O576" s="95">
        <f t="shared" si="77"/>
        <v>0</v>
      </c>
      <c r="P576" s="107" t="s">
        <v>155</v>
      </c>
      <c r="Q576" s="107">
        <v>0</v>
      </c>
      <c r="R576" s="107">
        <v>0</v>
      </c>
      <c r="S576" s="107">
        <v>0</v>
      </c>
      <c r="T576" s="107">
        <v>0</v>
      </c>
      <c r="U576" s="107"/>
      <c r="V576" s="107"/>
      <c r="W576" s="107"/>
      <c r="X576" s="107"/>
      <c r="Y576" s="107"/>
      <c r="Z576" s="107"/>
      <c r="AA576" s="107"/>
      <c r="AB576" s="107"/>
      <c r="AC576" s="355"/>
      <c r="AD576" s="355"/>
      <c r="AE576" s="355"/>
      <c r="AF576" s="94">
        <f t="shared" si="73"/>
        <v>43098</v>
      </c>
      <c r="AG576" s="185">
        <f t="shared" si="78"/>
        <v>2.6525517816859967E-2</v>
      </c>
      <c r="AH576" s="339" t="str">
        <f>VLOOKUP(B576,'MF PF'!A:B,2)</f>
        <v>FdMgt1</v>
      </c>
      <c r="AI576" s="358">
        <f t="shared" si="74"/>
        <v>0</v>
      </c>
      <c r="AJ576" s="94">
        <f t="shared" si="75"/>
        <v>43100</v>
      </c>
    </row>
    <row r="577" spans="1:36" ht="12.75" customHeight="1">
      <c r="A577" s="94">
        <v>43131</v>
      </c>
      <c r="B577" s="94" t="s">
        <v>136</v>
      </c>
      <c r="C577" s="358" t="s">
        <v>301</v>
      </c>
      <c r="D577" s="374">
        <v>14653600</v>
      </c>
      <c r="E577" s="9" t="e">
        <f t="shared" si="79"/>
        <v>#DIV/0!</v>
      </c>
      <c r="F577" s="98">
        <v>10.6</v>
      </c>
      <c r="G577" s="98">
        <v>0</v>
      </c>
      <c r="H577" s="98">
        <v>0</v>
      </c>
      <c r="I577" s="98">
        <v>0</v>
      </c>
      <c r="J577" s="98"/>
      <c r="K577" s="93"/>
      <c r="L577" s="93">
        <f t="shared" si="71"/>
        <v>0</v>
      </c>
      <c r="M577" s="95" t="e">
        <f t="shared" ca="1" si="72"/>
        <v>#DIV/0!</v>
      </c>
      <c r="N577" s="95">
        <f>IF(P577="Hedge Fund",IF(A577=Summary!$AD$3,M577-E577,M577),IF(A577=Summary!$AD$3,L577-D577,L577))</f>
        <v>0</v>
      </c>
      <c r="O577" s="95">
        <f t="shared" si="77"/>
        <v>0</v>
      </c>
      <c r="P577" s="107" t="s">
        <v>155</v>
      </c>
      <c r="Q577" s="107">
        <v>0</v>
      </c>
      <c r="R577" s="107">
        <v>0</v>
      </c>
      <c r="S577" s="107">
        <v>0</v>
      </c>
      <c r="T577" s="107">
        <v>0</v>
      </c>
      <c r="U577" s="107"/>
      <c r="V577" s="107"/>
      <c r="W577" s="107"/>
      <c r="X577" s="107"/>
      <c r="Y577" s="107"/>
      <c r="Z577" s="107"/>
      <c r="AA577" s="107"/>
      <c r="AB577" s="107"/>
      <c r="AC577" s="355"/>
      <c r="AD577" s="355"/>
      <c r="AE577" s="355"/>
      <c r="AF577" s="94">
        <f t="shared" si="73"/>
        <v>43131</v>
      </c>
      <c r="AG577" s="185">
        <f t="shared" si="78"/>
        <v>9.4652870585965054E-3</v>
      </c>
      <c r="AH577" s="339" t="str">
        <f>VLOOKUP(B577,'MF PF'!A:B,2)</f>
        <v>FdMgt1</v>
      </c>
      <c r="AI577" s="358">
        <f t="shared" si="74"/>
        <v>0</v>
      </c>
      <c r="AJ577" s="94">
        <f t="shared" si="75"/>
        <v>43131</v>
      </c>
    </row>
    <row r="578" spans="1:36" ht="12.75" customHeight="1">
      <c r="A578" s="94">
        <v>43159</v>
      </c>
      <c r="B578" s="94" t="s">
        <v>136</v>
      </c>
      <c r="C578" s="358" t="s">
        <v>301</v>
      </c>
      <c r="D578" s="374">
        <v>14810746.539999999</v>
      </c>
      <c r="E578" s="9" t="e">
        <f t="shared" si="79"/>
        <v>#DIV/0!</v>
      </c>
      <c r="F578" s="98">
        <v>10.6</v>
      </c>
      <c r="G578" s="98">
        <v>0</v>
      </c>
      <c r="H578" s="98">
        <v>0</v>
      </c>
      <c r="I578" s="98">
        <v>0</v>
      </c>
      <c r="J578" s="98"/>
      <c r="K578" s="93"/>
      <c r="L578" s="93">
        <f t="shared" si="71"/>
        <v>0</v>
      </c>
      <c r="M578" s="95" t="e">
        <f t="shared" ca="1" si="72"/>
        <v>#DIV/0!</v>
      </c>
      <c r="N578" s="95">
        <f>IF(P578="Hedge Fund",IF(A578=Summary!$AD$3,M578-E578,M578),IF(A578=Summary!$AD$3,L578-D578,L578))</f>
        <v>0</v>
      </c>
      <c r="O578" s="95">
        <f t="shared" si="77"/>
        <v>0</v>
      </c>
      <c r="P578" s="107" t="s">
        <v>155</v>
      </c>
      <c r="Q578" s="107">
        <v>0</v>
      </c>
      <c r="R578" s="107">
        <v>0</v>
      </c>
      <c r="S578" s="107">
        <v>0</v>
      </c>
      <c r="T578" s="107">
        <v>0</v>
      </c>
      <c r="U578" s="107"/>
      <c r="V578" s="107"/>
      <c r="W578" s="107"/>
      <c r="X578" s="107"/>
      <c r="Y578" s="107"/>
      <c r="Z578" s="107"/>
      <c r="AA578" s="107"/>
      <c r="AB578" s="107"/>
      <c r="AC578" s="355"/>
      <c r="AD578" s="355"/>
      <c r="AE578" s="355"/>
      <c r="AF578" s="94">
        <f t="shared" si="73"/>
        <v>43159</v>
      </c>
      <c r="AG578" s="185">
        <f t="shared" si="78"/>
        <v>1.072409100835281E-2</v>
      </c>
      <c r="AH578" s="339" t="str">
        <f>VLOOKUP(B578,'MF PF'!A:B,2)</f>
        <v>FdMgt1</v>
      </c>
      <c r="AI578" s="358">
        <f t="shared" si="74"/>
        <v>0</v>
      </c>
      <c r="AJ578" s="94">
        <f t="shared" si="75"/>
        <v>43159</v>
      </c>
    </row>
    <row r="579" spans="1:36" ht="12.75" customHeight="1">
      <c r="A579" s="94">
        <v>43188</v>
      </c>
      <c r="B579" s="94" t="s">
        <v>136</v>
      </c>
      <c r="C579" s="358" t="s">
        <v>301</v>
      </c>
      <c r="D579" s="374">
        <v>14915524.239</v>
      </c>
      <c r="E579" s="9" t="e">
        <f t="shared" si="79"/>
        <v>#DIV/0!</v>
      </c>
      <c r="F579" s="98">
        <v>10.6</v>
      </c>
      <c r="G579" s="98">
        <v>0</v>
      </c>
      <c r="H579" s="98">
        <v>0</v>
      </c>
      <c r="I579" s="98">
        <v>0</v>
      </c>
      <c r="J579" s="98"/>
      <c r="K579" s="93"/>
      <c r="L579" s="93">
        <f t="shared" ref="L579:L642" si="80">G579+H579+I579</f>
        <v>0</v>
      </c>
      <c r="M579" s="95" t="e">
        <f t="shared" ref="M579:M642" ca="1" si="81">IF(A579&gt;INDIRECT("A"&amp;ROW()-1),I579/K579,E579)</f>
        <v>#DIV/0!</v>
      </c>
      <c r="N579" s="95">
        <f>IF(P579="Hedge Fund",IF(A579=Summary!$AD$3,M579-E579,M579),IF(A579=Summary!$AD$3,L579-D579,L579))</f>
        <v>0</v>
      </c>
      <c r="O579" s="95">
        <f t="shared" si="77"/>
        <v>0</v>
      </c>
      <c r="P579" s="107" t="s">
        <v>155</v>
      </c>
      <c r="Q579" s="361">
        <v>5.8199004298520839E-2</v>
      </c>
      <c r="R579" s="109">
        <v>0.76156310099999991</v>
      </c>
      <c r="S579" s="107">
        <v>0</v>
      </c>
      <c r="T579" s="107">
        <v>0</v>
      </c>
      <c r="U579" s="107"/>
      <c r="V579" s="107"/>
      <c r="W579" s="107"/>
      <c r="X579" s="107"/>
      <c r="Y579" s="107"/>
      <c r="Z579" s="107"/>
      <c r="AA579" s="107"/>
      <c r="AB579" s="107"/>
      <c r="AC579" s="355"/>
      <c r="AD579" s="355"/>
      <c r="AE579" s="355"/>
      <c r="AF579" s="94">
        <f t="shared" ref="AF579:AF642" si="82">A579</f>
        <v>43188</v>
      </c>
      <c r="AG579" s="185">
        <f t="shared" si="78"/>
        <v>7.0744373834921159E-3</v>
      </c>
      <c r="AH579" s="339" t="str">
        <f>VLOOKUP(B579,'MF PF'!A:B,2)</f>
        <v>FdMgt1</v>
      </c>
      <c r="AI579" s="358">
        <f t="shared" ref="AI579:AI642" si="83">AF579-A579</f>
        <v>0</v>
      </c>
      <c r="AJ579" s="94">
        <f t="shared" ref="AJ579:AJ642" si="84">EOMONTH(A579,0)</f>
        <v>43190</v>
      </c>
    </row>
    <row r="580" spans="1:36" ht="12.75" customHeight="1">
      <c r="A580" s="8">
        <v>43220</v>
      </c>
      <c r="B580" s="94" t="s">
        <v>136</v>
      </c>
      <c r="C580" s="6" t="s">
        <v>301</v>
      </c>
      <c r="D580" s="374">
        <v>15121138.7885</v>
      </c>
      <c r="E580" s="9" t="e">
        <f t="shared" si="79"/>
        <v>#DIV/0!</v>
      </c>
      <c r="F580" s="98">
        <v>10.6</v>
      </c>
      <c r="G580" s="98">
        <v>0</v>
      </c>
      <c r="H580" s="98">
        <v>0</v>
      </c>
      <c r="I580" s="98">
        <v>0</v>
      </c>
      <c r="J580" s="98"/>
      <c r="K580" s="93"/>
      <c r="L580" s="93">
        <f t="shared" si="80"/>
        <v>0</v>
      </c>
      <c r="M580" s="95" t="e">
        <f t="shared" ca="1" si="81"/>
        <v>#DIV/0!</v>
      </c>
      <c r="N580" s="95">
        <f>IF(P580="Hedge Fund",IF(A580=Summary!$AD$3,M580-E580,M580),IF(A580=Summary!$AD$3,L580-D580,L580))</f>
        <v>0</v>
      </c>
      <c r="O580" s="95">
        <f t="shared" si="77"/>
        <v>0</v>
      </c>
      <c r="P580" s="107" t="s">
        <v>155</v>
      </c>
      <c r="Q580" s="109">
        <v>0</v>
      </c>
      <c r="R580" s="109">
        <v>0.79784801999999999</v>
      </c>
      <c r="S580" s="107">
        <v>0</v>
      </c>
      <c r="T580" s="107">
        <v>0</v>
      </c>
      <c r="U580" s="107"/>
      <c r="V580" s="107"/>
      <c r="W580" s="107"/>
      <c r="X580" s="107"/>
      <c r="Y580" s="107"/>
      <c r="Z580" s="107"/>
      <c r="AA580" s="107"/>
      <c r="AB580" s="107"/>
      <c r="AC580" s="355"/>
      <c r="AD580" s="355"/>
      <c r="AE580" s="355"/>
      <c r="AF580" s="94">
        <f t="shared" si="82"/>
        <v>43220</v>
      </c>
      <c r="AG580" s="185">
        <f t="shared" si="78"/>
        <v>1.3785271386062004E-2</v>
      </c>
      <c r="AH580" s="339" t="str">
        <f>VLOOKUP(B580,'MF PF'!A:B,2)</f>
        <v>FdMgt1</v>
      </c>
      <c r="AI580" s="358">
        <f t="shared" si="83"/>
        <v>0</v>
      </c>
      <c r="AJ580" s="94">
        <f t="shared" si="84"/>
        <v>43220</v>
      </c>
    </row>
    <row r="581" spans="1:36" ht="12.75" customHeight="1">
      <c r="A581" s="94">
        <v>43251</v>
      </c>
      <c r="B581" s="358" t="s">
        <v>136</v>
      </c>
      <c r="C581" s="94" t="s">
        <v>301</v>
      </c>
      <c r="D581" s="374">
        <v>15209589.771500001</v>
      </c>
      <c r="E581" s="9" t="e">
        <f t="shared" si="79"/>
        <v>#DIV/0!</v>
      </c>
      <c r="F581" s="47">
        <v>10.6</v>
      </c>
      <c r="G581" s="47">
        <v>0</v>
      </c>
      <c r="H581" s="47">
        <v>0</v>
      </c>
      <c r="I581" s="110">
        <v>0</v>
      </c>
      <c r="J581" s="110"/>
      <c r="K581" s="93"/>
      <c r="L581" s="93">
        <f t="shared" si="80"/>
        <v>0</v>
      </c>
      <c r="M581" s="95" t="e">
        <f t="shared" ca="1" si="81"/>
        <v>#DIV/0!</v>
      </c>
      <c r="N581" s="95">
        <f>IF(P581="Hedge Fund",IF(A581=Summary!$AD$3,M581-E581,M581),IF(A581=Summary!$AD$3,L581-D581,L581))</f>
        <v>0</v>
      </c>
      <c r="O581" s="95">
        <f t="shared" si="77"/>
        <v>0</v>
      </c>
      <c r="P581" s="89" t="s">
        <v>155</v>
      </c>
      <c r="Q581" s="109">
        <v>0</v>
      </c>
      <c r="R581" s="109">
        <v>0.81345701999999998</v>
      </c>
      <c r="S581" s="89">
        <v>0</v>
      </c>
      <c r="T581" s="89">
        <v>0</v>
      </c>
      <c r="U581" s="89"/>
      <c r="V581" s="89"/>
      <c r="W581" s="89"/>
      <c r="X581" s="89"/>
      <c r="Y581" s="89"/>
      <c r="Z581" s="89"/>
      <c r="AA581" s="89"/>
      <c r="AB581" s="89"/>
      <c r="AC581" s="355"/>
      <c r="AD581" s="355"/>
      <c r="AE581" s="355"/>
      <c r="AF581" s="94">
        <f t="shared" si="82"/>
        <v>43251</v>
      </c>
      <c r="AG581" s="185">
        <f t="shared" si="78"/>
        <v>5.8494921736496064E-3</v>
      </c>
      <c r="AH581" s="339" t="str">
        <f>VLOOKUP(B581,'MF PF'!A:B,2)</f>
        <v>FdMgt1</v>
      </c>
      <c r="AI581" s="358">
        <f t="shared" si="83"/>
        <v>0</v>
      </c>
      <c r="AJ581" s="94">
        <f t="shared" si="84"/>
        <v>43251</v>
      </c>
    </row>
    <row r="582" spans="1:36" ht="12.75" customHeight="1">
      <c r="A582" s="94">
        <v>43280</v>
      </c>
      <c r="B582" s="358" t="s">
        <v>136</v>
      </c>
      <c r="C582" s="94" t="s">
        <v>301</v>
      </c>
      <c r="D582" s="374">
        <v>15256892.093</v>
      </c>
      <c r="E582" s="9" t="e">
        <f t="shared" si="79"/>
        <v>#DIV/0!</v>
      </c>
      <c r="F582" s="47">
        <v>10.6</v>
      </c>
      <c r="G582" s="47">
        <v>0</v>
      </c>
      <c r="H582" s="47">
        <v>0</v>
      </c>
      <c r="I582" s="110">
        <v>0</v>
      </c>
      <c r="J582" s="110"/>
      <c r="K582" s="93"/>
      <c r="L582" s="93">
        <f t="shared" si="80"/>
        <v>0</v>
      </c>
      <c r="M582" s="95" t="e">
        <f t="shared" ca="1" si="81"/>
        <v>#DIV/0!</v>
      </c>
      <c r="N582" s="95">
        <f>IF(P582="Hedge Fund",IF(A582=Summary!$AD$3,M582-E582,M582),IF(A582=Summary!$AD$3,L582-D582,L582))</f>
        <v>0</v>
      </c>
      <c r="O582" s="95">
        <f t="shared" si="77"/>
        <v>0</v>
      </c>
      <c r="P582" s="89" t="s">
        <v>155</v>
      </c>
      <c r="Q582" s="109">
        <v>6.1021400000000003E-2</v>
      </c>
      <c r="R582" s="109">
        <v>0.82180448699999997</v>
      </c>
      <c r="S582" s="89">
        <v>0</v>
      </c>
      <c r="T582" s="89">
        <v>0</v>
      </c>
      <c r="U582" s="89"/>
      <c r="V582" s="89"/>
      <c r="W582" s="89"/>
      <c r="X582" s="89"/>
      <c r="Y582" s="89"/>
      <c r="Z582" s="89"/>
      <c r="AA582" s="89"/>
      <c r="AB582" s="89"/>
      <c r="AC582" s="355"/>
      <c r="AD582" s="355"/>
      <c r="AE582" s="355"/>
      <c r="AF582" s="94">
        <f t="shared" si="82"/>
        <v>43280</v>
      </c>
      <c r="AG582" s="185">
        <f t="shared" si="78"/>
        <v>3.1100326971760239E-3</v>
      </c>
      <c r="AH582" s="339" t="str">
        <f>VLOOKUP(B582,'MF PF'!A:B,2)</f>
        <v>FdMgt1</v>
      </c>
      <c r="AI582" s="358">
        <f t="shared" si="83"/>
        <v>0</v>
      </c>
      <c r="AJ582" s="94">
        <f t="shared" si="84"/>
        <v>43281</v>
      </c>
    </row>
    <row r="583" spans="1:36" ht="12.75" customHeight="1">
      <c r="A583" s="94">
        <v>43312</v>
      </c>
      <c r="B583" s="358" t="s">
        <v>136</v>
      </c>
      <c r="C583" s="94" t="s">
        <v>301</v>
      </c>
      <c r="D583" s="374">
        <v>15658718.458000001</v>
      </c>
      <c r="E583" s="9" t="str">
        <f>IF(K583="","",D583/K583)</f>
        <v/>
      </c>
      <c r="F583" s="47">
        <v>10.6</v>
      </c>
      <c r="G583" s="47">
        <v>0</v>
      </c>
      <c r="H583" s="47">
        <v>0</v>
      </c>
      <c r="I583" s="47">
        <v>0</v>
      </c>
      <c r="J583" s="98"/>
      <c r="L583" s="93">
        <f t="shared" si="80"/>
        <v>0</v>
      </c>
      <c r="M583" s="95" t="e">
        <f t="shared" ca="1" si="81"/>
        <v>#DIV/0!</v>
      </c>
      <c r="N583" s="95">
        <f>IF(P583="Hedge Fund",IF(A583=Summary!$AD$3,M583-E583,M583),IF(A583=Summary!$AD$3,L583-D583,L583))</f>
        <v>0</v>
      </c>
      <c r="O583" s="95">
        <f t="shared" si="77"/>
        <v>0</v>
      </c>
      <c r="P583" s="89" t="s">
        <v>155</v>
      </c>
      <c r="Q583" s="89">
        <v>0</v>
      </c>
      <c r="R583" s="109">
        <f>892715.022/10^6</f>
        <v>0.89271502199999997</v>
      </c>
      <c r="S583" s="89">
        <v>0</v>
      </c>
      <c r="T583" s="89">
        <v>0</v>
      </c>
      <c r="U583" s="89"/>
      <c r="V583" s="89"/>
      <c r="W583" s="89"/>
      <c r="X583" s="89"/>
      <c r="Y583" s="89"/>
      <c r="Z583" s="89"/>
      <c r="AA583" s="89"/>
      <c r="AB583" s="89"/>
      <c r="AC583" s="355"/>
      <c r="AD583" s="355"/>
      <c r="AE583" s="355"/>
      <c r="AF583" s="94">
        <f t="shared" si="82"/>
        <v>43312</v>
      </c>
      <c r="AG583" s="185">
        <f t="shared" si="78"/>
        <v>2.6337366912646765E-2</v>
      </c>
      <c r="AH583" s="339" t="str">
        <f>VLOOKUP(B583,'MF PF'!A:B,2)</f>
        <v>FdMgt1</v>
      </c>
      <c r="AI583" s="358">
        <f t="shared" si="83"/>
        <v>0</v>
      </c>
      <c r="AJ583" s="94">
        <f t="shared" si="84"/>
        <v>43312</v>
      </c>
    </row>
    <row r="584" spans="1:36" ht="12.75" customHeight="1">
      <c r="A584" s="94">
        <v>43343</v>
      </c>
      <c r="B584" s="358" t="s">
        <v>136</v>
      </c>
      <c r="C584" s="94" t="s">
        <v>301</v>
      </c>
      <c r="D584" s="374">
        <v>13353128.341499999</v>
      </c>
      <c r="E584" s="9" t="str">
        <f>IF(K584="","",D584/K584)</f>
        <v/>
      </c>
      <c r="F584" s="47">
        <v>10.6</v>
      </c>
      <c r="G584" s="47">
        <v>0</v>
      </c>
      <c r="H584" s="47">
        <v>0</v>
      </c>
      <c r="I584" s="47">
        <v>-2325706.65</v>
      </c>
      <c r="J584" s="98"/>
      <c r="K584" s="93"/>
      <c r="L584" s="93">
        <f t="shared" si="80"/>
        <v>-2325706.65</v>
      </c>
      <c r="M584" s="95" t="e">
        <f t="shared" ca="1" si="81"/>
        <v>#DIV/0!</v>
      </c>
      <c r="N584" s="95">
        <f>IF(P584="Hedge Fund",IF(A584=Summary!$AD$3,M584-E584,M584),IF(A584=Summary!$AD$3,L584-D584,L584))</f>
        <v>-2325706.65</v>
      </c>
      <c r="O584" s="95">
        <f t="shared" si="77"/>
        <v>-2325706.65</v>
      </c>
      <c r="P584" s="89" t="s">
        <v>155</v>
      </c>
      <c r="Q584" s="89">
        <v>0</v>
      </c>
      <c r="R584" s="109">
        <v>0.89626499849999997</v>
      </c>
      <c r="S584" s="89">
        <v>0</v>
      </c>
      <c r="T584" s="89">
        <v>0</v>
      </c>
      <c r="U584" s="89"/>
      <c r="V584" s="89"/>
      <c r="W584" s="89"/>
      <c r="X584" s="89"/>
      <c r="Y584" s="89"/>
      <c r="Z584" s="89"/>
      <c r="AA584" s="89"/>
      <c r="AB584" s="89"/>
      <c r="AC584" s="355"/>
      <c r="AD584" s="355"/>
      <c r="AE584" s="355"/>
      <c r="AF584" s="94">
        <f t="shared" si="82"/>
        <v>43343</v>
      </c>
      <c r="AG584" s="185">
        <f t="shared" si="78"/>
        <v>1.2846858160171504E-3</v>
      </c>
      <c r="AH584" s="339" t="str">
        <f>VLOOKUP(B584,'MF PF'!A:B,2)</f>
        <v>FdMgt1</v>
      </c>
      <c r="AI584" s="358">
        <f t="shared" si="83"/>
        <v>0</v>
      </c>
      <c r="AJ584" s="94">
        <f t="shared" si="84"/>
        <v>43343</v>
      </c>
    </row>
    <row r="585" spans="1:36" ht="12.75" customHeight="1">
      <c r="A585" s="94">
        <v>43371</v>
      </c>
      <c r="B585" s="358" t="s">
        <v>136</v>
      </c>
      <c r="C585" s="92" t="s">
        <v>301</v>
      </c>
      <c r="D585" s="374">
        <v>12747967.8325</v>
      </c>
      <c r="F585" s="105">
        <v>10.6</v>
      </c>
      <c r="G585" s="93">
        <v>0</v>
      </c>
      <c r="H585" s="93">
        <v>0</v>
      </c>
      <c r="I585" s="93">
        <v>0</v>
      </c>
      <c r="K585" s="7">
        <v>0</v>
      </c>
      <c r="L585" s="93">
        <f t="shared" si="80"/>
        <v>0</v>
      </c>
      <c r="M585" s="95" t="e">
        <f t="shared" ca="1" si="81"/>
        <v>#DIV/0!</v>
      </c>
      <c r="N585" s="95">
        <f>IF(P585="Hedge Fund",IF(A585=Summary!$AD$3,M585-E585,M585),IF(A585=Summary!$AD$3,L585-D585,L585))</f>
        <v>0</v>
      </c>
      <c r="O585" s="95">
        <f t="shared" si="77"/>
        <v>0</v>
      </c>
      <c r="P585" s="95" t="s">
        <v>155</v>
      </c>
      <c r="Q585" s="95">
        <v>5.0816355213805425E-2</v>
      </c>
      <c r="R585" s="95">
        <v>0.78947196750000015</v>
      </c>
      <c r="S585" s="95"/>
      <c r="T585" s="95"/>
      <c r="U585" s="95"/>
      <c r="V585" s="95"/>
      <c r="W585" s="95"/>
      <c r="X585" s="95"/>
      <c r="Y585" s="95"/>
      <c r="Z585" s="95"/>
      <c r="AA585" s="95"/>
      <c r="AB585" s="95"/>
      <c r="AC585" s="355"/>
      <c r="AD585" s="355"/>
      <c r="AE585" s="355"/>
      <c r="AF585" s="94">
        <f t="shared" si="82"/>
        <v>43371</v>
      </c>
      <c r="AG585" s="185">
        <f t="shared" si="78"/>
        <v>-4.5319755305521126E-2</v>
      </c>
      <c r="AH585" s="339" t="str">
        <f>VLOOKUP(B585,'MF PF'!A:B,2)</f>
        <v>FdMgt1</v>
      </c>
      <c r="AI585" s="358">
        <f t="shared" si="83"/>
        <v>0</v>
      </c>
      <c r="AJ585" s="94">
        <f t="shared" si="84"/>
        <v>43373</v>
      </c>
    </row>
    <row r="586" spans="1:36" ht="12.75" customHeight="1">
      <c r="A586" s="94">
        <v>43404</v>
      </c>
      <c r="B586" s="358" t="s">
        <v>136</v>
      </c>
      <c r="C586" s="358" t="s">
        <v>301</v>
      </c>
      <c r="D586" s="374">
        <v>12743254.463500001</v>
      </c>
      <c r="F586" s="105">
        <v>10.6</v>
      </c>
      <c r="G586" s="93">
        <v>0</v>
      </c>
      <c r="H586" s="93">
        <v>0</v>
      </c>
      <c r="I586" s="93">
        <v>0</v>
      </c>
      <c r="J586" s="93">
        <v>0</v>
      </c>
      <c r="L586" s="93">
        <f t="shared" si="80"/>
        <v>0</v>
      </c>
      <c r="M586" s="95" t="e">
        <f t="shared" ca="1" si="81"/>
        <v>#DIV/0!</v>
      </c>
      <c r="N586" s="95">
        <f>IF(P586="Hedge Fund",IF(A586=Summary!$AD$3,M586-E586,M586),IF(A586=Summary!$AD$3,L586-D586,L586))</f>
        <v>0</v>
      </c>
      <c r="O586" s="95">
        <f t="shared" si="77"/>
        <v>0</v>
      </c>
      <c r="P586" s="95" t="s">
        <v>155</v>
      </c>
      <c r="Q586" s="95">
        <v>1.8376394991231525E-2</v>
      </c>
      <c r="R586" s="95">
        <v>0.78864019650000006</v>
      </c>
      <c r="S586" s="95"/>
      <c r="T586" s="95"/>
      <c r="U586" s="95"/>
      <c r="V586" s="95"/>
      <c r="W586" s="95"/>
      <c r="X586" s="95"/>
      <c r="Y586" s="95"/>
      <c r="Z586" s="95"/>
      <c r="AA586" s="95"/>
      <c r="AB586" s="95"/>
      <c r="AC586" s="355"/>
      <c r="AD586" s="355"/>
      <c r="AE586" s="355"/>
      <c r="AF586" s="94">
        <f t="shared" si="82"/>
        <v>43404</v>
      </c>
      <c r="AG586" s="185">
        <f t="shared" si="78"/>
        <v>-3.6973493045555639E-4</v>
      </c>
      <c r="AH586" s="339" t="str">
        <f>VLOOKUP(B586,'MF PF'!A:B,2)</f>
        <v>FdMgt1</v>
      </c>
      <c r="AI586" s="358">
        <f t="shared" si="83"/>
        <v>0</v>
      </c>
      <c r="AJ586" s="94">
        <f t="shared" si="84"/>
        <v>43404</v>
      </c>
    </row>
    <row r="587" spans="1:36" ht="12.75" customHeight="1">
      <c r="A587" s="8">
        <v>43434</v>
      </c>
      <c r="B587" s="358" t="s">
        <v>136</v>
      </c>
      <c r="C587" s="6" t="s">
        <v>301</v>
      </c>
      <c r="D587" s="374">
        <v>12835067.6555</v>
      </c>
      <c r="F587" s="105">
        <v>10.6</v>
      </c>
      <c r="G587" s="93">
        <v>0</v>
      </c>
      <c r="H587" s="93">
        <v>0</v>
      </c>
      <c r="I587" s="93">
        <v>0</v>
      </c>
      <c r="K587" s="7">
        <v>0</v>
      </c>
      <c r="L587" s="93">
        <f t="shared" si="80"/>
        <v>0</v>
      </c>
      <c r="M587" s="95" t="e">
        <f t="shared" ca="1" si="81"/>
        <v>#DIV/0!</v>
      </c>
      <c r="N587" s="95">
        <f>IF(P587="Hedge Fund",IF(A587=Summary!$AD$3,M587-E587,M587),IF(A587=Summary!$AD$3,L587-D587,L587))</f>
        <v>0</v>
      </c>
      <c r="O587" s="95">
        <f t="shared" si="77"/>
        <v>0</v>
      </c>
      <c r="P587" s="95" t="s">
        <v>155</v>
      </c>
      <c r="Q587" s="95">
        <v>3.5405955473588789E-2</v>
      </c>
      <c r="R587" s="95">
        <v>0.80484252449999993</v>
      </c>
      <c r="S587" s="95"/>
      <c r="T587" s="95"/>
      <c r="U587" s="95"/>
      <c r="V587" s="95"/>
      <c r="W587" s="95"/>
      <c r="X587" s="95"/>
      <c r="Y587" s="95"/>
      <c r="Z587" s="95"/>
      <c r="AA587" s="95"/>
      <c r="AB587" s="95"/>
      <c r="AC587" s="355"/>
      <c r="AD587" s="355"/>
      <c r="AE587" s="355"/>
      <c r="AF587" s="94">
        <f t="shared" si="82"/>
        <v>43434</v>
      </c>
      <c r="AG587" s="185">
        <f t="shared" si="78"/>
        <v>7.2048464748919461E-3</v>
      </c>
      <c r="AH587" s="339" t="str">
        <f>VLOOKUP(B587,'MF PF'!A:B,2)</f>
        <v>FdMgt1</v>
      </c>
      <c r="AI587" s="358">
        <f t="shared" si="83"/>
        <v>0</v>
      </c>
      <c r="AJ587" s="94">
        <f t="shared" si="84"/>
        <v>43434</v>
      </c>
    </row>
    <row r="588" spans="1:36" ht="12.75" customHeight="1">
      <c r="A588" s="8">
        <v>43452</v>
      </c>
      <c r="B588" s="358" t="s">
        <v>136</v>
      </c>
      <c r="C588" s="6" t="s">
        <v>301</v>
      </c>
      <c r="D588" s="93"/>
      <c r="F588" s="93"/>
      <c r="G588" s="93"/>
      <c r="H588" s="93"/>
      <c r="I588" s="93">
        <v>-242175.87543916987</v>
      </c>
      <c r="K588" s="93"/>
      <c r="L588" s="93">
        <f t="shared" si="80"/>
        <v>-242175.87543916987</v>
      </c>
      <c r="M588" s="95" t="e">
        <f t="shared" ca="1" si="81"/>
        <v>#DIV/0!</v>
      </c>
      <c r="N588" s="95">
        <f>IF(P588="Hedge Fund",IF(A588=Summary!$AD$3,M588-E588,M588),IF(A588=Summary!$AD$3,L588-D588,L588))</f>
        <v>-242175.87543916987</v>
      </c>
      <c r="O588" s="95">
        <f t="shared" si="77"/>
        <v>-242175.87543916987</v>
      </c>
      <c r="P588" s="95" t="s">
        <v>155</v>
      </c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  <c r="AC588" s="355"/>
      <c r="AD588" s="355"/>
      <c r="AE588" s="355"/>
      <c r="AF588" s="94">
        <f t="shared" si="82"/>
        <v>43452</v>
      </c>
      <c r="AG588" s="185">
        <f t="shared" si="78"/>
        <v>-0.98113170246240233</v>
      </c>
      <c r="AH588" s="339" t="str">
        <f>VLOOKUP(B588,'MF PF'!A:B,2)</f>
        <v>FdMgt1</v>
      </c>
      <c r="AI588" s="358">
        <f t="shared" si="83"/>
        <v>0</v>
      </c>
      <c r="AJ588" s="94">
        <f t="shared" si="84"/>
        <v>43465</v>
      </c>
    </row>
    <row r="589" spans="1:36" ht="12.75" customHeight="1">
      <c r="A589" s="94">
        <v>43465</v>
      </c>
      <c r="B589" s="358" t="s">
        <v>136</v>
      </c>
      <c r="C589" s="92" t="s">
        <v>301</v>
      </c>
      <c r="D589" s="93">
        <v>12773937.208699999</v>
      </c>
      <c r="F589" s="93">
        <v>10.6</v>
      </c>
      <c r="G589" s="93">
        <v>0</v>
      </c>
      <c r="H589" s="93">
        <v>0</v>
      </c>
      <c r="I589" s="93">
        <v>0</v>
      </c>
      <c r="K589" s="93">
        <v>0</v>
      </c>
      <c r="L589" s="93">
        <f t="shared" si="80"/>
        <v>0</v>
      </c>
      <c r="M589" s="95" t="e">
        <f t="shared" ca="1" si="81"/>
        <v>#DIV/0!</v>
      </c>
      <c r="N589" s="95">
        <f>IF(P589="Hedge Fund",IF(A589=Summary!$AD$3,M589-E589,M589),IF(A589=Summary!$AD$3,L589-D589,L589))</f>
        <v>0</v>
      </c>
      <c r="O589" s="95">
        <f t="shared" si="77"/>
        <v>0</v>
      </c>
      <c r="P589" s="95" t="s">
        <v>155</v>
      </c>
      <c r="Q589" s="95">
        <v>1.8494810780922168E-2</v>
      </c>
      <c r="R589" s="95">
        <v>0.84515573128493005</v>
      </c>
      <c r="S589" s="95"/>
      <c r="T589" s="95"/>
      <c r="U589" s="95"/>
      <c r="V589" s="95"/>
      <c r="W589" s="95"/>
      <c r="X589" s="95"/>
      <c r="Y589" s="95"/>
      <c r="Z589" s="95"/>
      <c r="AA589" s="95"/>
      <c r="AB589" s="95"/>
      <c r="AC589" s="355"/>
      <c r="AD589" s="355"/>
      <c r="AE589" s="355"/>
      <c r="AF589" s="94">
        <f t="shared" si="82"/>
        <v>43465</v>
      </c>
      <c r="AG589" s="185" t="e">
        <f t="shared" si="78"/>
        <v>#DIV/0!</v>
      </c>
      <c r="AH589" s="339" t="str">
        <f>VLOOKUP(B589,'MF PF'!A:B,2)</f>
        <v>FdMgt1</v>
      </c>
      <c r="AI589" s="358">
        <f t="shared" si="83"/>
        <v>0</v>
      </c>
      <c r="AJ589" s="94">
        <f t="shared" si="84"/>
        <v>43465</v>
      </c>
    </row>
    <row r="590" spans="1:36" ht="12.75" customHeight="1">
      <c r="A590" s="94">
        <v>43487</v>
      </c>
      <c r="B590" s="358" t="s">
        <v>136</v>
      </c>
      <c r="C590" s="92" t="s">
        <v>301</v>
      </c>
      <c r="D590" s="93"/>
      <c r="F590" s="93"/>
      <c r="G590" s="93"/>
      <c r="H590" s="93"/>
      <c r="I590" s="93">
        <v>-767044.30332115735</v>
      </c>
      <c r="K590" s="93"/>
      <c r="L590" s="93">
        <f t="shared" si="80"/>
        <v>-767044.30332115735</v>
      </c>
      <c r="M590" s="95" t="e">
        <f t="shared" ca="1" si="81"/>
        <v>#DIV/0!</v>
      </c>
      <c r="N590" s="95">
        <f>IF(P590="Hedge Fund",IF(A590=Summary!$AD$3,M590-E590,M590),IF(A590=Summary!$AD$3,L590-D590,L590))</f>
        <v>-767044.30332115735</v>
      </c>
      <c r="O590" s="95">
        <f t="shared" ref="O590:O653" si="85">N590</f>
        <v>-767044.30332115735</v>
      </c>
      <c r="P590" s="95" t="s">
        <v>155</v>
      </c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  <c r="AC590" s="355"/>
      <c r="AD590" s="355"/>
      <c r="AE590" s="355"/>
      <c r="AF590" s="94">
        <f t="shared" si="82"/>
        <v>43487</v>
      </c>
      <c r="AG590" s="185">
        <f t="shared" si="78"/>
        <v>-0.93995239754280746</v>
      </c>
      <c r="AH590" s="339" t="str">
        <f>VLOOKUP(B590,'MF PF'!A:B,2)</f>
        <v>FdMgt1</v>
      </c>
      <c r="AI590" s="358">
        <f t="shared" si="83"/>
        <v>0</v>
      </c>
      <c r="AJ590" s="94">
        <f t="shared" si="84"/>
        <v>43496</v>
      </c>
    </row>
    <row r="591" spans="1:36" ht="12.75" customHeight="1">
      <c r="A591" s="94">
        <v>43496</v>
      </c>
      <c r="B591" s="358" t="s">
        <v>136</v>
      </c>
      <c r="C591" s="358" t="s">
        <v>301</v>
      </c>
      <c r="D591" s="93">
        <v>12141544.8193</v>
      </c>
      <c r="F591" s="93">
        <v>10.6</v>
      </c>
      <c r="G591" s="93">
        <v>0</v>
      </c>
      <c r="H591" s="93">
        <v>0</v>
      </c>
      <c r="I591" s="93">
        <v>0</v>
      </c>
      <c r="K591" s="93">
        <v>0</v>
      </c>
      <c r="L591" s="93">
        <f t="shared" si="80"/>
        <v>0</v>
      </c>
      <c r="M591" s="95" t="e">
        <f t="shared" ca="1" si="81"/>
        <v>#DIV/0!</v>
      </c>
      <c r="N591" s="95">
        <f>IF(P591="Hedge Fund",IF(A591=Summary!$AD$3,M591-E591,M591),IF(A591=Summary!$AD$3,L591-D591,L591))</f>
        <v>-12141544.8193</v>
      </c>
      <c r="O591" s="95">
        <f t="shared" si="85"/>
        <v>-12141544.8193</v>
      </c>
      <c r="P591" s="95" t="s">
        <v>155</v>
      </c>
      <c r="Q591" s="95">
        <v>0</v>
      </c>
      <c r="R591" s="95">
        <v>0.87397948072013065</v>
      </c>
      <c r="S591" s="95"/>
      <c r="T591" s="95"/>
      <c r="U591" s="95"/>
      <c r="V591" s="95"/>
      <c r="W591" s="95"/>
      <c r="X591" s="95"/>
      <c r="Y591" s="95"/>
      <c r="Z591" s="95"/>
      <c r="AA591" s="95"/>
      <c r="AB591" s="95"/>
      <c r="AC591" s="355"/>
      <c r="AD591" s="355"/>
      <c r="AE591" s="355"/>
      <c r="AF591" s="94">
        <f t="shared" si="82"/>
        <v>43496</v>
      </c>
      <c r="AG591" s="185" t="e">
        <f t="shared" ref="AG591:AG654" si="86">IF(C591&lt;&gt;C590,D591/G591-1,(D591-G591-I591-H591)/(D590)-1)</f>
        <v>#DIV/0!</v>
      </c>
      <c r="AH591" s="339" t="str">
        <f>VLOOKUP(B591,'MF PF'!A:B,2)</f>
        <v>FdMgt1</v>
      </c>
      <c r="AI591" s="358">
        <f t="shared" si="83"/>
        <v>0</v>
      </c>
      <c r="AJ591" s="94">
        <f t="shared" si="84"/>
        <v>43496</v>
      </c>
    </row>
    <row r="592" spans="1:36" ht="12.75" customHeight="1">
      <c r="A592" s="8">
        <v>41578</v>
      </c>
      <c r="B592" s="8" t="s">
        <v>136</v>
      </c>
      <c r="C592" s="6" t="s">
        <v>302</v>
      </c>
      <c r="D592" s="374">
        <v>625000</v>
      </c>
      <c r="E592" s="9" t="e">
        <f t="shared" ref="E592:E623" si="87">D592/K592</f>
        <v>#DIV/0!</v>
      </c>
      <c r="F592" s="47">
        <v>12.5</v>
      </c>
      <c r="G592" s="47">
        <v>625000</v>
      </c>
      <c r="H592" s="47">
        <v>0</v>
      </c>
      <c r="I592" s="47">
        <v>0</v>
      </c>
      <c r="J592" s="98"/>
      <c r="K592" s="93"/>
      <c r="L592" s="93">
        <f t="shared" si="80"/>
        <v>625000</v>
      </c>
      <c r="M592" s="95" t="e">
        <f t="shared" ca="1" si="81"/>
        <v>#DIV/0!</v>
      </c>
      <c r="N592" s="95">
        <f>IF(P592="Hedge Fund",IF(A592=Summary!$AD$3,M592-E592,M592),IF(A592=Summary!$AD$3,L592-D592,L592))</f>
        <v>625000</v>
      </c>
      <c r="O592" s="95">
        <f t="shared" si="85"/>
        <v>625000</v>
      </c>
      <c r="P592" s="89" t="s">
        <v>155</v>
      </c>
      <c r="Q592" s="89">
        <v>0</v>
      </c>
      <c r="R592" s="89">
        <v>0</v>
      </c>
      <c r="S592" s="89">
        <v>0</v>
      </c>
      <c r="T592" s="89">
        <v>0</v>
      </c>
      <c r="U592" s="89"/>
      <c r="V592" s="89"/>
      <c r="W592" s="89"/>
      <c r="X592" s="89"/>
      <c r="Y592" s="89"/>
      <c r="Z592" s="89"/>
      <c r="AA592" s="89"/>
      <c r="AB592" s="89"/>
      <c r="AC592" s="355"/>
      <c r="AD592" s="355"/>
      <c r="AE592" s="355"/>
      <c r="AF592" s="94">
        <f t="shared" si="82"/>
        <v>41578</v>
      </c>
      <c r="AG592" s="185">
        <f t="shared" si="86"/>
        <v>0</v>
      </c>
      <c r="AH592" s="339" t="str">
        <f>VLOOKUP(B592,'MF PF'!A:B,2)</f>
        <v>FdMgt1</v>
      </c>
      <c r="AI592" s="358">
        <f t="shared" si="83"/>
        <v>0</v>
      </c>
      <c r="AJ592" s="94">
        <f t="shared" si="84"/>
        <v>41578</v>
      </c>
    </row>
    <row r="593" spans="1:36" ht="12.75" customHeight="1">
      <c r="A593" s="8">
        <v>41607</v>
      </c>
      <c r="B593" s="8" t="s">
        <v>136</v>
      </c>
      <c r="C593" s="6" t="s">
        <v>302</v>
      </c>
      <c r="D593" s="374">
        <v>615087.06000000006</v>
      </c>
      <c r="E593" s="9" t="e">
        <f t="shared" si="87"/>
        <v>#DIV/0!</v>
      </c>
      <c r="F593" s="47">
        <v>12.5</v>
      </c>
      <c r="G593" s="47">
        <v>0</v>
      </c>
      <c r="H593" s="47">
        <v>0</v>
      </c>
      <c r="I593" s="47">
        <v>0</v>
      </c>
      <c r="J593" s="98"/>
      <c r="K593" s="93"/>
      <c r="L593" s="93">
        <f t="shared" si="80"/>
        <v>0</v>
      </c>
      <c r="M593" s="95" t="e">
        <f t="shared" ca="1" si="81"/>
        <v>#DIV/0!</v>
      </c>
      <c r="N593" s="95">
        <f>IF(P593="Hedge Fund",IF(A593=Summary!$AD$3,M593-E593,M593),IF(A593=Summary!$AD$3,L593-D593,L593))</f>
        <v>0</v>
      </c>
      <c r="O593" s="95">
        <f t="shared" si="85"/>
        <v>0</v>
      </c>
      <c r="P593" s="89" t="s">
        <v>155</v>
      </c>
      <c r="Q593" s="107">
        <v>0</v>
      </c>
      <c r="R593" s="107">
        <v>0</v>
      </c>
      <c r="S593" s="89">
        <v>0</v>
      </c>
      <c r="T593" s="89">
        <v>0</v>
      </c>
      <c r="U593" s="89"/>
      <c r="V593" s="89"/>
      <c r="W593" s="89"/>
      <c r="X593" s="89"/>
      <c r="Y593" s="89"/>
      <c r="Z593" s="89"/>
      <c r="AA593" s="89"/>
      <c r="AB593" s="89"/>
      <c r="AC593" s="355"/>
      <c r="AD593" s="355"/>
      <c r="AE593" s="355"/>
      <c r="AF593" s="94">
        <f t="shared" si="82"/>
        <v>41607</v>
      </c>
      <c r="AG593" s="185">
        <f t="shared" si="86"/>
        <v>-1.5860703999999948E-2</v>
      </c>
      <c r="AH593" s="339" t="str">
        <f>VLOOKUP(B593,'MF PF'!A:B,2)</f>
        <v>FdMgt1</v>
      </c>
      <c r="AI593" s="358">
        <f t="shared" si="83"/>
        <v>0</v>
      </c>
      <c r="AJ593" s="94">
        <f t="shared" si="84"/>
        <v>41608</v>
      </c>
    </row>
    <row r="594" spans="1:36" ht="12.75" customHeight="1">
      <c r="A594" s="94">
        <v>41639</v>
      </c>
      <c r="B594" s="8" t="s">
        <v>136</v>
      </c>
      <c r="C594" s="358" t="s">
        <v>302</v>
      </c>
      <c r="D594" s="374">
        <v>1304875.9208</v>
      </c>
      <c r="E594" s="9" t="e">
        <f t="shared" si="87"/>
        <v>#DIV/0!</v>
      </c>
      <c r="F594" s="47">
        <v>12.5</v>
      </c>
      <c r="G594" s="47">
        <v>650000</v>
      </c>
      <c r="H594" s="47">
        <v>0</v>
      </c>
      <c r="I594" s="47">
        <v>0</v>
      </c>
      <c r="J594" s="98"/>
      <c r="K594" s="93"/>
      <c r="L594" s="93">
        <f t="shared" si="80"/>
        <v>650000</v>
      </c>
      <c r="M594" s="95" t="e">
        <f t="shared" ca="1" si="81"/>
        <v>#DIV/0!</v>
      </c>
      <c r="N594" s="95">
        <f>IF(P594="Hedge Fund",IF(A594=Summary!$AD$3,M594-E594,M594),IF(A594=Summary!$AD$3,L594-D594,L594))</f>
        <v>650000</v>
      </c>
      <c r="O594" s="95">
        <f t="shared" si="85"/>
        <v>650000</v>
      </c>
      <c r="P594" s="89" t="s">
        <v>155</v>
      </c>
      <c r="Q594" s="107">
        <v>0</v>
      </c>
      <c r="R594" s="107">
        <v>0</v>
      </c>
      <c r="S594" s="89">
        <v>0</v>
      </c>
      <c r="T594" s="89">
        <v>0</v>
      </c>
      <c r="U594" s="89"/>
      <c r="V594" s="89"/>
      <c r="W594" s="89"/>
      <c r="X594" s="89"/>
      <c r="Y594" s="89"/>
      <c r="Z594" s="89"/>
      <c r="AA594" s="89"/>
      <c r="AB594" s="89"/>
      <c r="AC594" s="355"/>
      <c r="AD594" s="355"/>
      <c r="AE594" s="355"/>
      <c r="AF594" s="94">
        <f t="shared" si="82"/>
        <v>41639</v>
      </c>
      <c r="AG594" s="185">
        <f t="shared" si="86"/>
        <v>6.4688177312655304E-2</v>
      </c>
      <c r="AH594" s="339" t="str">
        <f>VLOOKUP(B594,'MF PF'!A:B,2)</f>
        <v>FdMgt1</v>
      </c>
      <c r="AI594" s="358">
        <f t="shared" si="83"/>
        <v>0</v>
      </c>
      <c r="AJ594" s="94">
        <f t="shared" si="84"/>
        <v>41639</v>
      </c>
    </row>
    <row r="595" spans="1:36" ht="12.75" customHeight="1">
      <c r="A595" s="94">
        <v>41669</v>
      </c>
      <c r="B595" s="94" t="s">
        <v>136</v>
      </c>
      <c r="C595" s="358" t="s">
        <v>302</v>
      </c>
      <c r="D595" s="374">
        <v>5575550.8099999996</v>
      </c>
      <c r="E595" s="9" t="e">
        <f t="shared" si="87"/>
        <v>#DIV/0!</v>
      </c>
      <c r="F595" s="47">
        <v>12.5</v>
      </c>
      <c r="G595" s="47">
        <v>4312500</v>
      </c>
      <c r="H595" s="47">
        <v>0</v>
      </c>
      <c r="I595" s="98">
        <v>0</v>
      </c>
      <c r="J595" s="98"/>
      <c r="K595" s="93"/>
      <c r="L595" s="93">
        <f t="shared" si="80"/>
        <v>4312500</v>
      </c>
      <c r="M595" s="95" t="e">
        <f t="shared" ca="1" si="81"/>
        <v>#DIV/0!</v>
      </c>
      <c r="N595" s="95">
        <f>IF(P595="Hedge Fund",IF(A595=Summary!$AD$3,M595-E595,M595),IF(A595=Summary!$AD$3,L595-D595,L595))</f>
        <v>4312500</v>
      </c>
      <c r="O595" s="95">
        <f t="shared" si="85"/>
        <v>4312500</v>
      </c>
      <c r="P595" s="89" t="s">
        <v>155</v>
      </c>
      <c r="Q595" s="107">
        <v>0</v>
      </c>
      <c r="R595" s="107">
        <v>0</v>
      </c>
      <c r="S595" s="89">
        <v>0</v>
      </c>
      <c r="T595" s="89">
        <v>0</v>
      </c>
      <c r="U595" s="89"/>
      <c r="V595" s="89"/>
      <c r="W595" s="89"/>
      <c r="X595" s="89"/>
      <c r="Y595" s="89"/>
      <c r="Z595" s="89"/>
      <c r="AA595" s="89"/>
      <c r="AB595" s="89"/>
      <c r="AC595" s="355"/>
      <c r="AD595" s="355"/>
      <c r="AE595" s="355"/>
      <c r="AF595" s="94">
        <f t="shared" si="82"/>
        <v>41669</v>
      </c>
      <c r="AG595" s="185">
        <f t="shared" si="86"/>
        <v>-3.2052940922044137E-2</v>
      </c>
      <c r="AH595" s="339" t="str">
        <f>VLOOKUP(B595,'MF PF'!A:B,2)</f>
        <v>FdMgt1</v>
      </c>
      <c r="AI595" s="358">
        <f t="shared" si="83"/>
        <v>0</v>
      </c>
      <c r="AJ595" s="94">
        <f t="shared" si="84"/>
        <v>41670</v>
      </c>
    </row>
    <row r="596" spans="1:36" ht="12.75" customHeight="1">
      <c r="A596" s="94">
        <v>41698</v>
      </c>
      <c r="B596" s="94" t="s">
        <v>136</v>
      </c>
      <c r="C596" s="358" t="s">
        <v>302</v>
      </c>
      <c r="D596" s="374">
        <v>5581128.4000000004</v>
      </c>
      <c r="E596" s="9" t="e">
        <f t="shared" si="87"/>
        <v>#DIV/0!</v>
      </c>
      <c r="F596" s="47">
        <v>12.5</v>
      </c>
      <c r="G596" s="47">
        <v>0</v>
      </c>
      <c r="H596" s="47">
        <v>0</v>
      </c>
      <c r="I596" s="98">
        <v>0</v>
      </c>
      <c r="J596" s="98"/>
      <c r="K596" s="93"/>
      <c r="L596" s="93">
        <f t="shared" si="80"/>
        <v>0</v>
      </c>
      <c r="M596" s="95" t="e">
        <f t="shared" ca="1" si="81"/>
        <v>#DIV/0!</v>
      </c>
      <c r="N596" s="95">
        <f>IF(P596="Hedge Fund",IF(A596=Summary!$AD$3,M596-E596,M596),IF(A596=Summary!$AD$3,L596-D596,L596))</f>
        <v>0</v>
      </c>
      <c r="O596" s="95">
        <f t="shared" si="85"/>
        <v>0</v>
      </c>
      <c r="P596" s="89" t="s">
        <v>155</v>
      </c>
      <c r="Q596" s="107">
        <v>0</v>
      </c>
      <c r="R596" s="107">
        <v>0</v>
      </c>
      <c r="S596" s="89">
        <v>0</v>
      </c>
      <c r="T596" s="89">
        <v>0</v>
      </c>
      <c r="U596" s="89"/>
      <c r="V596" s="89"/>
      <c r="W596" s="89"/>
      <c r="X596" s="89"/>
      <c r="Y596" s="89"/>
      <c r="Z596" s="89"/>
      <c r="AA596" s="89"/>
      <c r="AB596" s="89"/>
      <c r="AC596" s="355"/>
      <c r="AD596" s="355"/>
      <c r="AE596" s="355"/>
      <c r="AF596" s="94">
        <f t="shared" si="82"/>
        <v>41698</v>
      </c>
      <c r="AG596" s="185">
        <f t="shared" si="86"/>
        <v>1.0003657378563346E-3</v>
      </c>
      <c r="AH596" s="339" t="str">
        <f>VLOOKUP(B596,'MF PF'!A:B,2)</f>
        <v>FdMgt1</v>
      </c>
      <c r="AI596" s="358">
        <f t="shared" si="83"/>
        <v>0</v>
      </c>
      <c r="AJ596" s="94">
        <f t="shared" si="84"/>
        <v>41698</v>
      </c>
    </row>
    <row r="597" spans="1:36" ht="12.75" customHeight="1">
      <c r="A597" s="8">
        <v>41729</v>
      </c>
      <c r="B597" s="94" t="s">
        <v>136</v>
      </c>
      <c r="C597" s="358" t="s">
        <v>302</v>
      </c>
      <c r="D597" s="374">
        <v>5592806.0392000005</v>
      </c>
      <c r="E597" s="9" t="e">
        <f t="shared" si="87"/>
        <v>#DIV/0!</v>
      </c>
      <c r="F597" s="47">
        <v>12.5</v>
      </c>
      <c r="G597" s="47">
        <v>0</v>
      </c>
      <c r="H597" s="47">
        <v>-9.3132257461547852E-10</v>
      </c>
      <c r="I597" s="98">
        <v>0</v>
      </c>
      <c r="J597" s="98"/>
      <c r="K597" s="93"/>
      <c r="L597" s="93">
        <f t="shared" si="80"/>
        <v>-9.3132257461547852E-10</v>
      </c>
      <c r="M597" s="95" t="e">
        <f t="shared" ca="1" si="81"/>
        <v>#DIV/0!</v>
      </c>
      <c r="N597" s="95">
        <f>IF(P597="Hedge Fund",IF(A597=Summary!$AD$3,M597-E597,M597),IF(A597=Summary!$AD$3,L597-D597,L597))</f>
        <v>-9.3132257461547852E-10</v>
      </c>
      <c r="O597" s="95">
        <f t="shared" si="85"/>
        <v>-9.3132257461547852E-10</v>
      </c>
      <c r="P597" s="89" t="s">
        <v>155</v>
      </c>
      <c r="Q597" s="107">
        <v>0</v>
      </c>
      <c r="R597" s="107">
        <v>0</v>
      </c>
      <c r="S597" s="89">
        <v>0</v>
      </c>
      <c r="T597" s="89">
        <v>0</v>
      </c>
      <c r="U597" s="89"/>
      <c r="V597" s="89"/>
      <c r="W597" s="89"/>
      <c r="X597" s="89"/>
      <c r="Y597" s="89"/>
      <c r="Z597" s="89"/>
      <c r="AA597" s="89"/>
      <c r="AB597" s="89"/>
      <c r="AC597" s="355"/>
      <c r="AD597" s="355"/>
      <c r="AE597" s="355"/>
      <c r="AF597" s="94">
        <f t="shared" si="82"/>
        <v>41729</v>
      </c>
      <c r="AG597" s="185">
        <f t="shared" si="86"/>
        <v>2.0923437633151298E-3</v>
      </c>
      <c r="AH597" s="339" t="str">
        <f>VLOOKUP(B597,'MF PF'!A:B,2)</f>
        <v>FdMgt1</v>
      </c>
      <c r="AI597" s="358">
        <f t="shared" si="83"/>
        <v>0</v>
      </c>
      <c r="AJ597" s="94">
        <f t="shared" si="84"/>
        <v>41729</v>
      </c>
    </row>
    <row r="598" spans="1:36" ht="12.75" customHeight="1">
      <c r="A598" s="8">
        <v>41759</v>
      </c>
      <c r="B598" s="94" t="s">
        <v>136</v>
      </c>
      <c r="C598" s="358" t="s">
        <v>302</v>
      </c>
      <c r="D598" s="374">
        <v>5417492.9050840503</v>
      </c>
      <c r="E598" s="9" t="e">
        <f t="shared" si="87"/>
        <v>#DIV/0!</v>
      </c>
      <c r="F598" s="47">
        <v>12.5</v>
      </c>
      <c r="G598" s="47">
        <v>0</v>
      </c>
      <c r="H598" s="47">
        <v>0</v>
      </c>
      <c r="I598" s="98">
        <v>0</v>
      </c>
      <c r="J598" s="98"/>
      <c r="K598" s="93"/>
      <c r="L598" s="93">
        <f t="shared" si="80"/>
        <v>0</v>
      </c>
      <c r="M598" s="95" t="e">
        <f t="shared" ca="1" si="81"/>
        <v>#DIV/0!</v>
      </c>
      <c r="N598" s="95">
        <f>IF(P598="Hedge Fund",IF(A598=Summary!$AD$3,M598-E598,M598),IF(A598=Summary!$AD$3,L598-D598,L598))</f>
        <v>0</v>
      </c>
      <c r="O598" s="95">
        <f t="shared" si="85"/>
        <v>0</v>
      </c>
      <c r="P598" s="89" t="s">
        <v>155</v>
      </c>
      <c r="Q598" s="107">
        <v>0</v>
      </c>
      <c r="R598" s="107">
        <v>0</v>
      </c>
      <c r="S598" s="89">
        <v>0</v>
      </c>
      <c r="T598" s="89">
        <v>0</v>
      </c>
      <c r="U598" s="89"/>
      <c r="V598" s="89"/>
      <c r="W598" s="89"/>
      <c r="X598" s="89"/>
      <c r="Y598" s="89"/>
      <c r="Z598" s="89"/>
      <c r="AA598" s="89"/>
      <c r="AB598" s="89"/>
      <c r="AC598" s="355"/>
      <c r="AD598" s="355"/>
      <c r="AE598" s="355"/>
      <c r="AF598" s="94">
        <f t="shared" si="82"/>
        <v>41759</v>
      </c>
      <c r="AG598" s="185">
        <f t="shared" si="86"/>
        <v>-3.1346185239963575E-2</v>
      </c>
      <c r="AH598" s="339" t="str">
        <f>VLOOKUP(B598,'MF PF'!A:B,2)</f>
        <v>FdMgt1</v>
      </c>
      <c r="AI598" s="358">
        <f t="shared" si="83"/>
        <v>0</v>
      </c>
      <c r="AJ598" s="94">
        <f t="shared" si="84"/>
        <v>41759</v>
      </c>
    </row>
    <row r="599" spans="1:36" ht="12.75" customHeight="1">
      <c r="A599" s="94">
        <v>41789</v>
      </c>
      <c r="B599" s="94" t="s">
        <v>136</v>
      </c>
      <c r="C599" s="358" t="s">
        <v>302</v>
      </c>
      <c r="D599" s="374">
        <v>5431558.2651355499</v>
      </c>
      <c r="E599" s="9" t="e">
        <f t="shared" si="87"/>
        <v>#DIV/0!</v>
      </c>
      <c r="F599" s="47">
        <v>12.5</v>
      </c>
      <c r="G599" s="47">
        <v>0</v>
      </c>
      <c r="H599" s="47">
        <v>0</v>
      </c>
      <c r="I599" s="47">
        <v>0</v>
      </c>
      <c r="J599" s="98"/>
      <c r="K599" s="93"/>
      <c r="L599" s="93">
        <f t="shared" si="80"/>
        <v>0</v>
      </c>
      <c r="M599" s="95" t="e">
        <f t="shared" ca="1" si="81"/>
        <v>#DIV/0!</v>
      </c>
      <c r="N599" s="95">
        <f>IF(P599="Hedge Fund",IF(A599=Summary!$AD$3,M599-E599,M599),IF(A599=Summary!$AD$3,L599-D599,L599))</f>
        <v>0</v>
      </c>
      <c r="O599" s="95">
        <f t="shared" si="85"/>
        <v>0</v>
      </c>
      <c r="P599" s="89" t="s">
        <v>155</v>
      </c>
      <c r="Q599" s="107">
        <v>0</v>
      </c>
      <c r="R599" s="107">
        <v>0</v>
      </c>
      <c r="S599" s="89">
        <v>0</v>
      </c>
      <c r="T599" s="89">
        <v>0</v>
      </c>
      <c r="U599" s="89"/>
      <c r="V599" s="89"/>
      <c r="W599" s="89"/>
      <c r="X599" s="89"/>
      <c r="Y599" s="89"/>
      <c r="Z599" s="89"/>
      <c r="AA599" s="89"/>
      <c r="AB599" s="89"/>
      <c r="AC599" s="355"/>
      <c r="AD599" s="355"/>
      <c r="AE599" s="355"/>
      <c r="AF599" s="94">
        <f t="shared" si="82"/>
        <v>41789</v>
      </c>
      <c r="AG599" s="185">
        <f t="shared" si="86"/>
        <v>2.5962858277672751E-3</v>
      </c>
      <c r="AH599" s="339" t="str">
        <f>VLOOKUP(B599,'MF PF'!A:B,2)</f>
        <v>FdMgt1</v>
      </c>
      <c r="AI599" s="358">
        <f t="shared" si="83"/>
        <v>0</v>
      </c>
      <c r="AJ599" s="94">
        <f t="shared" si="84"/>
        <v>41790</v>
      </c>
    </row>
    <row r="600" spans="1:36" ht="12.75" customHeight="1">
      <c r="A600" s="94">
        <v>41820</v>
      </c>
      <c r="B600" s="94" t="s">
        <v>136</v>
      </c>
      <c r="C600" s="358" t="s">
        <v>302</v>
      </c>
      <c r="D600" s="374">
        <v>5392738.1100000003</v>
      </c>
      <c r="E600" s="9" t="e">
        <f t="shared" si="87"/>
        <v>#DIV/0!</v>
      </c>
      <c r="F600" s="47">
        <v>12.5</v>
      </c>
      <c r="G600" s="47">
        <v>0</v>
      </c>
      <c r="H600" s="47">
        <v>0</v>
      </c>
      <c r="I600" s="47">
        <v>0</v>
      </c>
      <c r="J600" s="98"/>
      <c r="L600" s="93">
        <f t="shared" si="80"/>
        <v>0</v>
      </c>
      <c r="M600" s="95" t="e">
        <f t="shared" ca="1" si="81"/>
        <v>#DIV/0!</v>
      </c>
      <c r="N600" s="95">
        <f>IF(P600="Hedge Fund",IF(A600=Summary!$AD$3,M600-E600,M600),IF(A600=Summary!$AD$3,L600-D600,L600))</f>
        <v>0</v>
      </c>
      <c r="O600" s="95">
        <f t="shared" si="85"/>
        <v>0</v>
      </c>
      <c r="P600" s="89" t="s">
        <v>155</v>
      </c>
      <c r="Q600" s="107">
        <v>0</v>
      </c>
      <c r="R600" s="107">
        <v>0</v>
      </c>
      <c r="S600" s="89">
        <v>0</v>
      </c>
      <c r="T600" s="89">
        <v>0</v>
      </c>
      <c r="U600" s="89"/>
      <c r="V600" s="89"/>
      <c r="W600" s="89"/>
      <c r="X600" s="89"/>
      <c r="Y600" s="89"/>
      <c r="Z600" s="89"/>
      <c r="AA600" s="89"/>
      <c r="AB600" s="89"/>
      <c r="AC600" s="355"/>
      <c r="AD600" s="355"/>
      <c r="AE600" s="355"/>
      <c r="AF600" s="94">
        <f t="shared" si="82"/>
        <v>41820</v>
      </c>
      <c r="AG600" s="185">
        <f t="shared" si="86"/>
        <v>-7.1471487997709637E-3</v>
      </c>
      <c r="AH600" s="339" t="str">
        <f>VLOOKUP(B600,'MF PF'!A:B,2)</f>
        <v>FdMgt1</v>
      </c>
      <c r="AI600" s="358">
        <f t="shared" si="83"/>
        <v>0</v>
      </c>
      <c r="AJ600" s="94">
        <f t="shared" si="84"/>
        <v>41820</v>
      </c>
    </row>
    <row r="601" spans="1:36" ht="12.75" customHeight="1">
      <c r="A601" s="94">
        <v>41851</v>
      </c>
      <c r="B601" s="94" t="s">
        <v>136</v>
      </c>
      <c r="C601" s="358" t="s">
        <v>302</v>
      </c>
      <c r="D601" s="374">
        <v>5505576.7999999998</v>
      </c>
      <c r="E601" s="9" t="e">
        <f t="shared" si="87"/>
        <v>#DIV/0!</v>
      </c>
      <c r="F601" s="47">
        <v>12.5</v>
      </c>
      <c r="G601" s="47">
        <v>0</v>
      </c>
      <c r="H601" s="47">
        <v>0</v>
      </c>
      <c r="I601" s="98">
        <v>0</v>
      </c>
      <c r="J601" s="98"/>
      <c r="K601" s="93"/>
      <c r="L601" s="93">
        <f t="shared" si="80"/>
        <v>0</v>
      </c>
      <c r="M601" s="95" t="e">
        <f t="shared" ca="1" si="81"/>
        <v>#DIV/0!</v>
      </c>
      <c r="N601" s="95">
        <f>IF(P601="Hedge Fund",IF(A601=Summary!$AD$3,M601-E601,M601),IF(A601=Summary!$AD$3,L601-D601,L601))</f>
        <v>0</v>
      </c>
      <c r="O601" s="95">
        <f t="shared" si="85"/>
        <v>0</v>
      </c>
      <c r="P601" s="89" t="s">
        <v>155</v>
      </c>
      <c r="Q601" s="107">
        <v>0</v>
      </c>
      <c r="R601" s="107">
        <v>0</v>
      </c>
      <c r="S601" s="89">
        <v>0</v>
      </c>
      <c r="T601" s="89">
        <v>0</v>
      </c>
      <c r="U601" s="89"/>
      <c r="V601" s="89"/>
      <c r="W601" s="89"/>
      <c r="X601" s="89"/>
      <c r="Y601" s="89"/>
      <c r="Z601" s="89"/>
      <c r="AA601" s="89"/>
      <c r="AB601" s="89"/>
      <c r="AC601" s="355"/>
      <c r="AD601" s="355"/>
      <c r="AE601" s="355"/>
      <c r="AF601" s="94">
        <f t="shared" si="82"/>
        <v>41851</v>
      </c>
      <c r="AG601" s="185">
        <f t="shared" si="86"/>
        <v>2.0924192441453382E-2</v>
      </c>
      <c r="AH601" s="339" t="str">
        <f>VLOOKUP(B601,'MF PF'!A:B,2)</f>
        <v>FdMgt1</v>
      </c>
      <c r="AI601" s="358">
        <f t="shared" si="83"/>
        <v>0</v>
      </c>
      <c r="AJ601" s="94">
        <f t="shared" si="84"/>
        <v>41851</v>
      </c>
    </row>
    <row r="602" spans="1:36" ht="12.75" customHeight="1">
      <c r="A602" s="94">
        <v>41880</v>
      </c>
      <c r="B602" s="94" t="s">
        <v>136</v>
      </c>
      <c r="C602" s="358" t="s">
        <v>302</v>
      </c>
      <c r="D602" s="374">
        <v>8237810.1699999999</v>
      </c>
      <c r="E602" s="9" t="e">
        <f t="shared" si="87"/>
        <v>#DIV/0!</v>
      </c>
      <c r="F602" s="47">
        <v>12.5</v>
      </c>
      <c r="G602" s="47">
        <v>2687500</v>
      </c>
      <c r="H602" s="47">
        <v>0</v>
      </c>
      <c r="I602" s="98">
        <v>0</v>
      </c>
      <c r="J602" s="98"/>
      <c r="L602" s="93">
        <f t="shared" si="80"/>
        <v>2687500</v>
      </c>
      <c r="M602" s="95" t="e">
        <f t="shared" ca="1" si="81"/>
        <v>#DIV/0!</v>
      </c>
      <c r="N602" s="95">
        <f>IF(P602="Hedge Fund",IF(A602=Summary!$AD$3,M602-E602,M602),IF(A602=Summary!$AD$3,L602-D602,L602))</f>
        <v>2687500</v>
      </c>
      <c r="O602" s="95">
        <f t="shared" si="85"/>
        <v>2687500</v>
      </c>
      <c r="P602" s="89" t="s">
        <v>155</v>
      </c>
      <c r="Q602" s="107">
        <v>0</v>
      </c>
      <c r="R602" s="107">
        <v>0</v>
      </c>
      <c r="S602" s="89">
        <v>0</v>
      </c>
      <c r="T602" s="89">
        <v>0</v>
      </c>
      <c r="U602" s="89"/>
      <c r="V602" s="89"/>
      <c r="W602" s="89"/>
      <c r="X602" s="89"/>
      <c r="Y602" s="89"/>
      <c r="Z602" s="89"/>
      <c r="AA602" s="89"/>
      <c r="AB602" s="89"/>
      <c r="AC602" s="355"/>
      <c r="AD602" s="355"/>
      <c r="AE602" s="355"/>
      <c r="AF602" s="94">
        <f t="shared" si="82"/>
        <v>41880</v>
      </c>
      <c r="AG602" s="185">
        <f t="shared" si="86"/>
        <v>8.1251014425953727E-3</v>
      </c>
      <c r="AH602" s="339" t="str">
        <f>VLOOKUP(B602,'MF PF'!A:B,2)</f>
        <v>FdMgt1</v>
      </c>
      <c r="AI602" s="358">
        <f t="shared" si="83"/>
        <v>0</v>
      </c>
      <c r="AJ602" s="94">
        <f t="shared" si="84"/>
        <v>41882</v>
      </c>
    </row>
    <row r="603" spans="1:36" ht="12.75" customHeight="1">
      <c r="A603" s="94">
        <v>41912</v>
      </c>
      <c r="B603" s="94" t="s">
        <v>136</v>
      </c>
      <c r="C603" s="358" t="s">
        <v>302</v>
      </c>
      <c r="D603" s="374">
        <v>7998460.5800000001</v>
      </c>
      <c r="E603" s="9" t="e">
        <f t="shared" si="87"/>
        <v>#DIV/0!</v>
      </c>
      <c r="F603" s="47">
        <v>12.5</v>
      </c>
      <c r="G603" s="47">
        <v>0</v>
      </c>
      <c r="H603" s="47">
        <v>0</v>
      </c>
      <c r="I603" s="98">
        <v>0</v>
      </c>
      <c r="J603" s="98"/>
      <c r="L603" s="93">
        <f t="shared" si="80"/>
        <v>0</v>
      </c>
      <c r="M603" s="95" t="e">
        <f t="shared" ca="1" si="81"/>
        <v>#DIV/0!</v>
      </c>
      <c r="N603" s="95">
        <f>IF(P603="Hedge Fund",IF(A603=Summary!$AD$3,M603-E603,M603),IF(A603=Summary!$AD$3,L603-D603,L603))</f>
        <v>0</v>
      </c>
      <c r="O603" s="95">
        <f t="shared" si="85"/>
        <v>0</v>
      </c>
      <c r="P603" s="89" t="s">
        <v>155</v>
      </c>
      <c r="Q603" s="107">
        <v>0</v>
      </c>
      <c r="R603" s="107">
        <v>0</v>
      </c>
      <c r="S603" s="89">
        <v>0</v>
      </c>
      <c r="T603" s="89">
        <v>0</v>
      </c>
      <c r="U603" s="89"/>
      <c r="V603" s="89"/>
      <c r="W603" s="89"/>
      <c r="X603" s="89"/>
      <c r="Y603" s="89"/>
      <c r="Z603" s="89"/>
      <c r="AA603" s="89"/>
      <c r="AB603" s="89"/>
      <c r="AC603" s="355"/>
      <c r="AD603" s="355"/>
      <c r="AE603" s="355"/>
      <c r="AF603" s="94">
        <f t="shared" si="82"/>
        <v>41912</v>
      </c>
      <c r="AG603" s="185">
        <f t="shared" si="86"/>
        <v>-2.9055001882860809E-2</v>
      </c>
      <c r="AH603" s="339" t="str">
        <f>VLOOKUP(B603,'MF PF'!A:B,2)</f>
        <v>FdMgt1</v>
      </c>
      <c r="AI603" s="358">
        <f t="shared" si="83"/>
        <v>0</v>
      </c>
      <c r="AJ603" s="94">
        <f t="shared" si="84"/>
        <v>41912</v>
      </c>
    </row>
    <row r="604" spans="1:36" ht="12.75" customHeight="1">
      <c r="A604" s="8">
        <v>41943</v>
      </c>
      <c r="B604" s="94" t="s">
        <v>136</v>
      </c>
      <c r="C604" s="92" t="s">
        <v>302</v>
      </c>
      <c r="D604" s="374">
        <v>9934168.5199999996</v>
      </c>
      <c r="E604" s="9" t="e">
        <f t="shared" si="87"/>
        <v>#DIV/0!</v>
      </c>
      <c r="F604" s="47">
        <v>12.5</v>
      </c>
      <c r="G604" s="47">
        <v>2112500</v>
      </c>
      <c r="H604" s="47">
        <v>0</v>
      </c>
      <c r="I604" s="98">
        <v>0</v>
      </c>
      <c r="J604" s="98"/>
      <c r="L604" s="93">
        <f t="shared" si="80"/>
        <v>2112500</v>
      </c>
      <c r="M604" s="95" t="e">
        <f t="shared" ca="1" si="81"/>
        <v>#DIV/0!</v>
      </c>
      <c r="N604" s="95">
        <f>IF(P604="Hedge Fund",IF(A604=Summary!$AD$3,M604-E604,M604),IF(A604=Summary!$AD$3,L604-D604,L604))</f>
        <v>2112500</v>
      </c>
      <c r="O604" s="95">
        <f t="shared" si="85"/>
        <v>2112500</v>
      </c>
      <c r="P604" s="89" t="s">
        <v>155</v>
      </c>
      <c r="Q604" s="107">
        <v>0</v>
      </c>
      <c r="R604" s="107">
        <v>0</v>
      </c>
      <c r="S604" s="107">
        <v>0</v>
      </c>
      <c r="T604" s="107">
        <v>0</v>
      </c>
      <c r="U604" s="107"/>
      <c r="V604" s="107"/>
      <c r="W604" s="107"/>
      <c r="X604" s="107"/>
      <c r="Y604" s="89"/>
      <c r="Z604" s="89"/>
      <c r="AA604" s="89"/>
      <c r="AB604" s="89"/>
      <c r="AC604" s="355"/>
      <c r="AD604" s="355"/>
      <c r="AE604" s="355"/>
      <c r="AF604" s="94">
        <f t="shared" si="82"/>
        <v>41943</v>
      </c>
      <c r="AG604" s="185">
        <f t="shared" si="86"/>
        <v>-2.2103260775212852E-2</v>
      </c>
      <c r="AH604" s="339" t="str">
        <f>VLOOKUP(B604,'MF PF'!A:B,2)</f>
        <v>FdMgt1</v>
      </c>
      <c r="AI604" s="358">
        <f t="shared" si="83"/>
        <v>0</v>
      </c>
      <c r="AJ604" s="94">
        <f t="shared" si="84"/>
        <v>41943</v>
      </c>
    </row>
    <row r="605" spans="1:36" ht="12.75" customHeight="1">
      <c r="A605" s="8">
        <v>41971</v>
      </c>
      <c r="B605" s="94" t="s">
        <v>136</v>
      </c>
      <c r="C605" s="358" t="s">
        <v>302</v>
      </c>
      <c r="D605" s="374">
        <v>10057907.689999999</v>
      </c>
      <c r="E605" s="9" t="e">
        <f t="shared" si="87"/>
        <v>#DIV/0!</v>
      </c>
      <c r="F605" s="47">
        <v>12.5</v>
      </c>
      <c r="G605" s="47">
        <v>0</v>
      </c>
      <c r="H605" s="47">
        <v>0</v>
      </c>
      <c r="I605" s="98">
        <v>0</v>
      </c>
      <c r="J605" s="98"/>
      <c r="K605" s="93"/>
      <c r="L605" s="93">
        <f t="shared" si="80"/>
        <v>0</v>
      </c>
      <c r="M605" s="95" t="e">
        <f t="shared" ca="1" si="81"/>
        <v>#DIV/0!</v>
      </c>
      <c r="N605" s="95">
        <f>IF(P605="Hedge Fund",IF(A605=Summary!$AD$3,M605-E605,M605),IF(A605=Summary!$AD$3,L605-D605,L605))</f>
        <v>0</v>
      </c>
      <c r="O605" s="95">
        <f t="shared" si="85"/>
        <v>0</v>
      </c>
      <c r="P605" s="89" t="s">
        <v>155</v>
      </c>
      <c r="Q605" s="107">
        <v>0</v>
      </c>
      <c r="R605" s="107">
        <v>0</v>
      </c>
      <c r="S605" s="89">
        <v>0</v>
      </c>
      <c r="T605" s="89">
        <v>0</v>
      </c>
      <c r="U605" s="89"/>
      <c r="V605" s="89"/>
      <c r="W605" s="89"/>
      <c r="X605" s="89"/>
      <c r="Y605" s="89"/>
      <c r="Z605" s="89"/>
      <c r="AA605" s="89"/>
      <c r="AB605" s="89"/>
      <c r="AC605" s="355"/>
      <c r="AD605" s="355"/>
      <c r="AE605" s="355"/>
      <c r="AF605" s="94">
        <f t="shared" si="82"/>
        <v>41971</v>
      </c>
      <c r="AG605" s="185">
        <f t="shared" si="86"/>
        <v>1.2455916139421319E-2</v>
      </c>
      <c r="AH605" s="339" t="str">
        <f>VLOOKUP(B605,'MF PF'!A:B,2)</f>
        <v>FdMgt1</v>
      </c>
      <c r="AI605" s="358">
        <f t="shared" si="83"/>
        <v>0</v>
      </c>
      <c r="AJ605" s="94">
        <f t="shared" si="84"/>
        <v>41973</v>
      </c>
    </row>
    <row r="606" spans="1:36" ht="12.75" customHeight="1">
      <c r="A606" s="8">
        <v>42004</v>
      </c>
      <c r="B606" s="94" t="s">
        <v>136</v>
      </c>
      <c r="C606" s="358" t="s">
        <v>302</v>
      </c>
      <c r="D606" s="374">
        <v>9970545.9600000009</v>
      </c>
      <c r="E606" s="9" t="e">
        <f t="shared" si="87"/>
        <v>#DIV/0!</v>
      </c>
      <c r="F606" s="47">
        <v>12.5</v>
      </c>
      <c r="G606" s="47">
        <v>0</v>
      </c>
      <c r="H606" s="47">
        <v>0</v>
      </c>
      <c r="I606" s="98">
        <v>0</v>
      </c>
      <c r="J606" s="98"/>
      <c r="K606" s="93"/>
      <c r="L606" s="93">
        <f t="shared" si="80"/>
        <v>0</v>
      </c>
      <c r="M606" s="95" t="e">
        <f t="shared" ca="1" si="81"/>
        <v>#DIV/0!</v>
      </c>
      <c r="N606" s="95">
        <f>IF(P606="Hedge Fund",IF(A606=Summary!$AD$3,M606-E606,M606),IF(A606=Summary!$AD$3,L606-D606,L606))</f>
        <v>0</v>
      </c>
      <c r="O606" s="95">
        <f t="shared" si="85"/>
        <v>0</v>
      </c>
      <c r="P606" s="89" t="s">
        <v>155</v>
      </c>
      <c r="Q606" s="107">
        <v>0</v>
      </c>
      <c r="R606" s="107">
        <v>0</v>
      </c>
      <c r="S606" s="89">
        <v>0</v>
      </c>
      <c r="T606" s="89">
        <v>0</v>
      </c>
      <c r="U606" s="89"/>
      <c r="V606" s="89"/>
      <c r="W606" s="89"/>
      <c r="X606" s="89"/>
      <c r="Y606" s="89"/>
      <c r="Z606" s="89"/>
      <c r="AA606" s="89"/>
      <c r="AB606" s="89"/>
      <c r="AC606" s="355"/>
      <c r="AD606" s="355"/>
      <c r="AE606" s="355"/>
      <c r="AF606" s="94">
        <f t="shared" si="82"/>
        <v>42004</v>
      </c>
      <c r="AG606" s="185">
        <f t="shared" si="86"/>
        <v>-8.6858751037114379E-3</v>
      </c>
      <c r="AH606" s="339" t="str">
        <f>VLOOKUP(B606,'MF PF'!A:B,2)</f>
        <v>FdMgt1</v>
      </c>
      <c r="AI606" s="358">
        <f t="shared" si="83"/>
        <v>0</v>
      </c>
      <c r="AJ606" s="94">
        <f t="shared" si="84"/>
        <v>42004</v>
      </c>
    </row>
    <row r="607" spans="1:36" ht="12.75" customHeight="1">
      <c r="A607" s="94">
        <v>42034</v>
      </c>
      <c r="B607" s="94" t="s">
        <v>136</v>
      </c>
      <c r="C607" s="358" t="s">
        <v>302</v>
      </c>
      <c r="D607" s="374">
        <v>11677130.890000001</v>
      </c>
      <c r="E607" s="9" t="e">
        <f t="shared" si="87"/>
        <v>#DIV/0!</v>
      </c>
      <c r="F607" s="47">
        <v>12.5</v>
      </c>
      <c r="G607" s="47">
        <v>1450000</v>
      </c>
      <c r="H607" s="47">
        <v>0</v>
      </c>
      <c r="I607" s="47">
        <v>0</v>
      </c>
      <c r="J607" s="98"/>
      <c r="K607" s="93"/>
      <c r="L607" s="93">
        <f t="shared" si="80"/>
        <v>1450000</v>
      </c>
      <c r="M607" s="95" t="e">
        <f t="shared" ca="1" si="81"/>
        <v>#DIV/0!</v>
      </c>
      <c r="N607" s="95">
        <f>IF(P607="Hedge Fund",IF(A607=Summary!$AD$3,M607-E607,M607),IF(A607=Summary!$AD$3,L607-D607,L607))</f>
        <v>1450000</v>
      </c>
      <c r="O607" s="95">
        <f t="shared" si="85"/>
        <v>1450000</v>
      </c>
      <c r="P607" s="89" t="s">
        <v>155</v>
      </c>
      <c r="Q607" s="89">
        <v>0</v>
      </c>
      <c r="R607" s="107">
        <v>0</v>
      </c>
      <c r="S607" s="89">
        <v>0</v>
      </c>
      <c r="T607" s="89">
        <v>0</v>
      </c>
      <c r="U607" s="89"/>
      <c r="V607" s="89"/>
      <c r="W607" s="89"/>
      <c r="X607" s="89"/>
      <c r="Y607" s="89"/>
      <c r="Z607" s="89"/>
      <c r="AA607" s="89"/>
      <c r="AB607" s="89"/>
      <c r="AC607" s="355"/>
      <c r="AD607" s="355"/>
      <c r="AE607" s="355"/>
      <c r="AF607" s="94">
        <f t="shared" si="82"/>
        <v>42034</v>
      </c>
      <c r="AG607" s="185">
        <f t="shared" si="86"/>
        <v>2.5734290883304922E-2</v>
      </c>
      <c r="AH607" s="339" t="str">
        <f>VLOOKUP(B607,'MF PF'!A:B,2)</f>
        <v>FdMgt1</v>
      </c>
      <c r="AI607" s="358">
        <f t="shared" si="83"/>
        <v>0</v>
      </c>
      <c r="AJ607" s="94">
        <f t="shared" si="84"/>
        <v>42035</v>
      </c>
    </row>
    <row r="608" spans="1:36" ht="12.75" customHeight="1">
      <c r="A608" s="94">
        <v>42062</v>
      </c>
      <c r="B608" s="94" t="s">
        <v>136</v>
      </c>
      <c r="C608" s="358" t="s">
        <v>302</v>
      </c>
      <c r="D608" s="374">
        <v>11758156.24</v>
      </c>
      <c r="E608" s="9" t="e">
        <f t="shared" si="87"/>
        <v>#DIV/0!</v>
      </c>
      <c r="F608" s="47">
        <v>12.5</v>
      </c>
      <c r="G608" s="47">
        <v>0</v>
      </c>
      <c r="H608" s="47">
        <v>0</v>
      </c>
      <c r="I608" s="47">
        <v>0</v>
      </c>
      <c r="J608" s="98"/>
      <c r="K608" s="93"/>
      <c r="L608" s="93">
        <f t="shared" si="80"/>
        <v>0</v>
      </c>
      <c r="M608" s="95" t="e">
        <f t="shared" ca="1" si="81"/>
        <v>#DIV/0!</v>
      </c>
      <c r="N608" s="95">
        <f>IF(P608="Hedge Fund",IF(A608=Summary!$AD$3,M608-E608,M608),IF(A608=Summary!$AD$3,L608-D608,L608))</f>
        <v>0</v>
      </c>
      <c r="O608" s="95">
        <f t="shared" si="85"/>
        <v>0</v>
      </c>
      <c r="P608" s="89" t="s">
        <v>155</v>
      </c>
      <c r="Q608" s="107">
        <v>0</v>
      </c>
      <c r="R608" s="107">
        <v>0</v>
      </c>
      <c r="S608" s="89">
        <v>0</v>
      </c>
      <c r="T608" s="89">
        <v>0</v>
      </c>
      <c r="U608" s="89"/>
      <c r="V608" s="89"/>
      <c r="W608" s="89"/>
      <c r="X608" s="89"/>
      <c r="Y608" s="89"/>
      <c r="Z608" s="89"/>
      <c r="AA608" s="89"/>
      <c r="AB608" s="89"/>
      <c r="AC608" s="355"/>
      <c r="AD608" s="355"/>
      <c r="AE608" s="355"/>
      <c r="AF608" s="94">
        <f t="shared" si="82"/>
        <v>42062</v>
      </c>
      <c r="AG608" s="185">
        <f t="shared" si="86"/>
        <v>6.9388063526278909E-3</v>
      </c>
      <c r="AH608" s="339" t="str">
        <f>VLOOKUP(B608,'MF PF'!A:B,2)</f>
        <v>FdMgt1</v>
      </c>
      <c r="AI608" s="358">
        <f t="shared" si="83"/>
        <v>0</v>
      </c>
      <c r="AJ608" s="94">
        <f t="shared" si="84"/>
        <v>42063</v>
      </c>
    </row>
    <row r="609" spans="1:36" ht="12.75" customHeight="1">
      <c r="A609" s="8">
        <v>42094</v>
      </c>
      <c r="B609" s="94" t="s">
        <v>136</v>
      </c>
      <c r="C609" s="6" t="s">
        <v>302</v>
      </c>
      <c r="D609" s="374">
        <v>12576599.862400001</v>
      </c>
      <c r="E609" s="9" t="e">
        <f t="shared" si="87"/>
        <v>#DIV/0!</v>
      </c>
      <c r="F609" s="98">
        <v>12.5</v>
      </c>
      <c r="G609" s="98">
        <v>612500</v>
      </c>
      <c r="H609" s="98">
        <v>0</v>
      </c>
      <c r="I609" s="98">
        <v>0</v>
      </c>
      <c r="J609" s="98"/>
      <c r="K609" s="93"/>
      <c r="L609" s="93">
        <f t="shared" si="80"/>
        <v>612500</v>
      </c>
      <c r="M609" s="95" t="e">
        <f t="shared" ca="1" si="81"/>
        <v>#DIV/0!</v>
      </c>
      <c r="N609" s="95">
        <f>IF(P609="Hedge Fund",IF(A609=Summary!$AD$3,M609-E609,M609),IF(A609=Summary!$AD$3,L609-D609,L609))</f>
        <v>612500</v>
      </c>
      <c r="O609" s="95">
        <f t="shared" si="85"/>
        <v>612500</v>
      </c>
      <c r="P609" s="107" t="s">
        <v>155</v>
      </c>
      <c r="Q609" s="107">
        <v>0</v>
      </c>
      <c r="R609" s="107">
        <v>0</v>
      </c>
      <c r="S609" s="107">
        <v>0</v>
      </c>
      <c r="T609" s="107">
        <v>0</v>
      </c>
      <c r="U609" s="107"/>
      <c r="V609" s="107"/>
      <c r="W609" s="107"/>
      <c r="X609" s="107"/>
      <c r="Y609" s="107"/>
      <c r="Z609" s="107"/>
      <c r="AA609" s="107"/>
      <c r="AB609" s="107"/>
      <c r="AC609" s="355"/>
      <c r="AD609" s="355"/>
      <c r="AE609" s="355"/>
      <c r="AF609" s="94">
        <f t="shared" si="82"/>
        <v>42094</v>
      </c>
      <c r="AG609" s="185">
        <f t="shared" si="86"/>
        <v>1.7514958824871085E-2</v>
      </c>
      <c r="AH609" s="339" t="str">
        <f>VLOOKUP(B609,'MF PF'!A:B,2)</f>
        <v>FdMgt1</v>
      </c>
      <c r="AI609" s="358">
        <f t="shared" si="83"/>
        <v>0</v>
      </c>
      <c r="AJ609" s="94">
        <f t="shared" si="84"/>
        <v>42094</v>
      </c>
    </row>
    <row r="610" spans="1:36" ht="12.75" customHeight="1">
      <c r="A610" s="94">
        <v>42124</v>
      </c>
      <c r="B610" s="94" t="s">
        <v>136</v>
      </c>
      <c r="C610" s="92" t="s">
        <v>302</v>
      </c>
      <c r="D610" s="374">
        <v>13509168.309599999</v>
      </c>
      <c r="E610" s="9" t="e">
        <f t="shared" si="87"/>
        <v>#DIV/0!</v>
      </c>
      <c r="F610" s="98">
        <v>12.5</v>
      </c>
      <c r="G610" s="98">
        <v>50000</v>
      </c>
      <c r="H610" s="98">
        <v>0</v>
      </c>
      <c r="I610" s="98">
        <v>0</v>
      </c>
      <c r="J610" s="98"/>
      <c r="K610" s="93"/>
      <c r="L610" s="93">
        <f t="shared" si="80"/>
        <v>50000</v>
      </c>
      <c r="M610" s="95" t="e">
        <f t="shared" ca="1" si="81"/>
        <v>#DIV/0!</v>
      </c>
      <c r="N610" s="95">
        <f>IF(P610="Hedge Fund",IF(A610=Summary!$AD$3,M610-E610,M610),IF(A610=Summary!$AD$3,L610-D610,L610))</f>
        <v>50000</v>
      </c>
      <c r="O610" s="95">
        <f t="shared" si="85"/>
        <v>50000</v>
      </c>
      <c r="P610" s="107" t="s">
        <v>155</v>
      </c>
      <c r="Q610" s="107">
        <v>0</v>
      </c>
      <c r="R610" s="107">
        <v>0</v>
      </c>
      <c r="S610" s="107">
        <v>0</v>
      </c>
      <c r="T610" s="107">
        <v>0</v>
      </c>
      <c r="U610" s="107"/>
      <c r="V610" s="107"/>
      <c r="W610" s="107"/>
      <c r="X610" s="107"/>
      <c r="Y610" s="107"/>
      <c r="Z610" s="107"/>
      <c r="AA610" s="107"/>
      <c r="AB610" s="107"/>
      <c r="AC610" s="355"/>
      <c r="AD610" s="355"/>
      <c r="AE610" s="355"/>
      <c r="AF610" s="94">
        <f t="shared" si="82"/>
        <v>42124</v>
      </c>
      <c r="AG610" s="185">
        <f t="shared" si="86"/>
        <v>7.0175441443326436E-2</v>
      </c>
      <c r="AH610" s="339" t="str">
        <f>VLOOKUP(B610,'MF PF'!A:B,2)</f>
        <v>FdMgt1</v>
      </c>
      <c r="AI610" s="358">
        <f t="shared" si="83"/>
        <v>0</v>
      </c>
      <c r="AJ610" s="94">
        <f t="shared" si="84"/>
        <v>42124</v>
      </c>
    </row>
    <row r="611" spans="1:36" ht="12.75" customHeight="1">
      <c r="A611" s="94">
        <v>42153</v>
      </c>
      <c r="B611" s="94" t="s">
        <v>136</v>
      </c>
      <c r="C611" s="358" t="s">
        <v>302</v>
      </c>
      <c r="D611" s="374">
        <v>13716734.534399999</v>
      </c>
      <c r="E611" s="9" t="e">
        <f t="shared" si="87"/>
        <v>#DIV/0!</v>
      </c>
      <c r="F611" s="47">
        <v>12.5</v>
      </c>
      <c r="G611" s="47">
        <v>0</v>
      </c>
      <c r="H611" s="47">
        <v>0</v>
      </c>
      <c r="I611" s="98">
        <v>0</v>
      </c>
      <c r="J611" s="98"/>
      <c r="K611" s="93"/>
      <c r="L611" s="93">
        <f t="shared" si="80"/>
        <v>0</v>
      </c>
      <c r="M611" s="95" t="e">
        <f t="shared" ca="1" si="81"/>
        <v>#DIV/0!</v>
      </c>
      <c r="N611" s="95">
        <f>IF(P611="Hedge Fund",IF(A611=Summary!$AD$3,M611-E611,M611),IF(A611=Summary!$AD$3,L611-D611,L611))</f>
        <v>0</v>
      </c>
      <c r="O611" s="95">
        <f t="shared" si="85"/>
        <v>0</v>
      </c>
      <c r="P611" s="89" t="s">
        <v>155</v>
      </c>
      <c r="Q611" s="107">
        <v>0</v>
      </c>
      <c r="R611" s="107">
        <v>0</v>
      </c>
      <c r="S611" s="89">
        <v>0</v>
      </c>
      <c r="T611" s="89">
        <v>0</v>
      </c>
      <c r="U611" s="89"/>
      <c r="V611" s="89"/>
      <c r="W611" s="89"/>
      <c r="X611" s="89"/>
      <c r="Y611" s="89"/>
      <c r="Z611" s="89"/>
      <c r="AA611" s="89"/>
      <c r="AB611" s="89"/>
      <c r="AC611" s="355"/>
      <c r="AD611" s="355"/>
      <c r="AE611" s="355"/>
      <c r="AF611" s="94">
        <f t="shared" si="82"/>
        <v>42153</v>
      </c>
      <c r="AG611" s="185">
        <f t="shared" si="86"/>
        <v>1.5364841124416051E-2</v>
      </c>
      <c r="AH611" s="339" t="str">
        <f>VLOOKUP(B611,'MF PF'!A:B,2)</f>
        <v>FdMgt1</v>
      </c>
      <c r="AI611" s="358">
        <f t="shared" si="83"/>
        <v>0</v>
      </c>
      <c r="AJ611" s="94">
        <f t="shared" si="84"/>
        <v>42155</v>
      </c>
    </row>
    <row r="612" spans="1:36" s="92" customFormat="1" ht="12.75" customHeight="1">
      <c r="A612" s="94">
        <v>42185</v>
      </c>
      <c r="B612" s="94" t="s">
        <v>136</v>
      </c>
      <c r="C612" s="358" t="s">
        <v>302</v>
      </c>
      <c r="D612" s="374">
        <v>13590945.723999999</v>
      </c>
      <c r="E612" s="95" t="e">
        <f t="shared" si="87"/>
        <v>#DIV/0!</v>
      </c>
      <c r="F612" s="98">
        <v>12.5</v>
      </c>
      <c r="G612" s="98">
        <v>0</v>
      </c>
      <c r="H612" s="98">
        <v>0</v>
      </c>
      <c r="I612" s="98">
        <v>0</v>
      </c>
      <c r="J612" s="98"/>
      <c r="K612" s="93"/>
      <c r="L612" s="93">
        <f t="shared" si="80"/>
        <v>0</v>
      </c>
      <c r="M612" s="95" t="e">
        <f t="shared" ca="1" si="81"/>
        <v>#DIV/0!</v>
      </c>
      <c r="N612" s="95">
        <f>IF(P612="Hedge Fund",IF(A612=Summary!$AD$3,M612-E612,M612),IF(A612=Summary!$AD$3,L612-D612,L612))</f>
        <v>0</v>
      </c>
      <c r="O612" s="95">
        <f t="shared" si="85"/>
        <v>0</v>
      </c>
      <c r="P612" s="107" t="s">
        <v>155</v>
      </c>
      <c r="Q612" s="107">
        <v>0</v>
      </c>
      <c r="R612" s="107">
        <v>0</v>
      </c>
      <c r="S612" s="107">
        <v>0</v>
      </c>
      <c r="T612" s="107">
        <v>0</v>
      </c>
      <c r="U612" s="107"/>
      <c r="V612" s="107"/>
      <c r="W612" s="107"/>
      <c r="X612" s="107"/>
      <c r="Y612" s="107"/>
      <c r="Z612" s="107"/>
      <c r="AA612" s="107"/>
      <c r="AB612" s="107"/>
      <c r="AC612" s="355"/>
      <c r="AD612" s="355"/>
      <c r="AE612" s="355"/>
      <c r="AF612" s="94">
        <f t="shared" si="82"/>
        <v>42185</v>
      </c>
      <c r="AG612" s="185">
        <f t="shared" si="86"/>
        <v>-9.1704632822436905E-3</v>
      </c>
      <c r="AH612" s="339" t="str">
        <f>VLOOKUP(B612,'MF PF'!A:B,2)</f>
        <v>FdMgt1</v>
      </c>
      <c r="AI612" s="358">
        <f t="shared" si="83"/>
        <v>0</v>
      </c>
      <c r="AJ612" s="94">
        <f t="shared" si="84"/>
        <v>42185</v>
      </c>
    </row>
    <row r="613" spans="1:36" ht="12.75" customHeight="1">
      <c r="A613" s="94">
        <v>42216</v>
      </c>
      <c r="B613" s="94" t="s">
        <v>136</v>
      </c>
      <c r="C613" s="358" t="s">
        <v>302</v>
      </c>
      <c r="D613" s="374">
        <v>13378057.584799999</v>
      </c>
      <c r="E613" s="9" t="e">
        <f t="shared" si="87"/>
        <v>#DIV/0!</v>
      </c>
      <c r="F613" s="47">
        <v>12.5</v>
      </c>
      <c r="G613" s="47">
        <v>0</v>
      </c>
      <c r="H613" s="47">
        <v>-1.862645149230957E-9</v>
      </c>
      <c r="I613" s="47">
        <v>0</v>
      </c>
      <c r="J613" s="98"/>
      <c r="K613" s="93"/>
      <c r="L613" s="93">
        <f t="shared" si="80"/>
        <v>-1.862645149230957E-9</v>
      </c>
      <c r="M613" s="95" t="e">
        <f t="shared" ca="1" si="81"/>
        <v>#DIV/0!</v>
      </c>
      <c r="N613" s="95">
        <f>IF(P613="Hedge Fund",IF(A613=Summary!$AD$3,M613-E613,M613),IF(A613=Summary!$AD$3,L613-D613,L613))</f>
        <v>-1.862645149230957E-9</v>
      </c>
      <c r="O613" s="95">
        <f t="shared" si="85"/>
        <v>-1.862645149230957E-9</v>
      </c>
      <c r="P613" s="89" t="s">
        <v>155</v>
      </c>
      <c r="Q613" s="89">
        <v>0</v>
      </c>
      <c r="R613" s="107">
        <v>0</v>
      </c>
      <c r="S613" s="89">
        <v>0</v>
      </c>
      <c r="T613" s="89">
        <v>0</v>
      </c>
      <c r="U613" s="89"/>
      <c r="V613" s="89"/>
      <c r="W613" s="89"/>
      <c r="X613" s="89"/>
      <c r="Y613" s="89"/>
      <c r="Z613" s="89"/>
      <c r="AA613" s="89"/>
      <c r="AB613" s="89"/>
      <c r="AC613" s="355"/>
      <c r="AD613" s="355"/>
      <c r="AE613" s="355"/>
      <c r="AF613" s="94">
        <f t="shared" si="82"/>
        <v>42216</v>
      </c>
      <c r="AG613" s="185">
        <f t="shared" si="86"/>
        <v>-1.5663968021302765E-2</v>
      </c>
      <c r="AH613" s="339" t="str">
        <f>VLOOKUP(B613,'MF PF'!A:B,2)</f>
        <v>FdMgt1</v>
      </c>
      <c r="AI613" s="358">
        <f t="shared" si="83"/>
        <v>0</v>
      </c>
      <c r="AJ613" s="94">
        <f t="shared" si="84"/>
        <v>42216</v>
      </c>
    </row>
    <row r="614" spans="1:36" ht="12.75" customHeight="1">
      <c r="A614" s="8">
        <v>42247</v>
      </c>
      <c r="B614" s="94" t="s">
        <v>136</v>
      </c>
      <c r="C614" s="358" t="s">
        <v>302</v>
      </c>
      <c r="D614" s="374">
        <v>13157791.499199999</v>
      </c>
      <c r="E614" s="9" t="e">
        <f t="shared" si="87"/>
        <v>#DIV/0!</v>
      </c>
      <c r="F614" s="47">
        <v>12.5</v>
      </c>
      <c r="G614" s="47">
        <v>0</v>
      </c>
      <c r="H614" s="47">
        <v>0</v>
      </c>
      <c r="I614" s="47">
        <v>0</v>
      </c>
      <c r="J614" s="98"/>
      <c r="K614" s="93"/>
      <c r="L614" s="93">
        <f t="shared" si="80"/>
        <v>0</v>
      </c>
      <c r="M614" s="95" t="e">
        <f t="shared" ca="1" si="81"/>
        <v>#DIV/0!</v>
      </c>
      <c r="N614" s="95">
        <f>IF(P614="Hedge Fund",IF(A614=Summary!$AD$3,M614-E614,M614),IF(A614=Summary!$AD$3,L614-D614,L614))</f>
        <v>0</v>
      </c>
      <c r="O614" s="95">
        <f t="shared" si="85"/>
        <v>0</v>
      </c>
      <c r="P614" s="89" t="s">
        <v>155</v>
      </c>
      <c r="Q614" s="89">
        <v>0</v>
      </c>
      <c r="R614" s="107">
        <v>0</v>
      </c>
      <c r="S614" s="89">
        <v>0</v>
      </c>
      <c r="T614" s="89">
        <v>0</v>
      </c>
      <c r="U614" s="89"/>
      <c r="V614" s="89"/>
      <c r="W614" s="89"/>
      <c r="X614" s="89"/>
      <c r="Y614" s="89"/>
      <c r="Z614" s="89"/>
      <c r="AA614" s="89"/>
      <c r="AB614" s="89"/>
      <c r="AC614" s="355"/>
      <c r="AD614" s="355"/>
      <c r="AE614" s="355"/>
      <c r="AF614" s="94">
        <f t="shared" si="82"/>
        <v>42247</v>
      </c>
      <c r="AG614" s="185">
        <f t="shared" si="86"/>
        <v>-1.6464728470765744E-2</v>
      </c>
      <c r="AH614" s="339" t="str">
        <f>VLOOKUP(B614,'MF PF'!A:B,2)</f>
        <v>FdMgt1</v>
      </c>
      <c r="AI614" s="358">
        <f t="shared" si="83"/>
        <v>0</v>
      </c>
      <c r="AJ614" s="94">
        <f t="shared" si="84"/>
        <v>42247</v>
      </c>
    </row>
    <row r="615" spans="1:36" ht="12.75" customHeight="1">
      <c r="A615" s="8">
        <v>42277</v>
      </c>
      <c r="B615" s="94" t="s">
        <v>136</v>
      </c>
      <c r="C615" s="92" t="s">
        <v>302</v>
      </c>
      <c r="D615" s="374">
        <v>13198297.2304</v>
      </c>
      <c r="E615" s="9" t="e">
        <f t="shared" si="87"/>
        <v>#DIV/0!</v>
      </c>
      <c r="F615" s="98">
        <v>12.5</v>
      </c>
      <c r="G615" s="98">
        <v>0</v>
      </c>
      <c r="H615" s="98">
        <v>0</v>
      </c>
      <c r="I615" s="98">
        <v>0</v>
      </c>
      <c r="J615" s="98"/>
      <c r="K615" s="93"/>
      <c r="L615" s="93">
        <f t="shared" si="80"/>
        <v>0</v>
      </c>
      <c r="M615" s="95" t="e">
        <f t="shared" ca="1" si="81"/>
        <v>#DIV/0!</v>
      </c>
      <c r="N615" s="95">
        <f>IF(P615="Hedge Fund",IF(A615=Summary!$AD$3,M615-E615,M615),IF(A615=Summary!$AD$3,L615-D615,L615))</f>
        <v>0</v>
      </c>
      <c r="O615" s="95">
        <f t="shared" si="85"/>
        <v>0</v>
      </c>
      <c r="P615" s="107" t="s">
        <v>155</v>
      </c>
      <c r="Q615" s="107">
        <v>0</v>
      </c>
      <c r="R615" s="107">
        <v>0</v>
      </c>
      <c r="S615" s="107">
        <v>0</v>
      </c>
      <c r="T615" s="107">
        <v>0</v>
      </c>
      <c r="U615" s="107"/>
      <c r="V615" s="107"/>
      <c r="W615" s="107"/>
      <c r="X615" s="107"/>
      <c r="Y615" s="107"/>
      <c r="Z615" s="107"/>
      <c r="AA615" s="107"/>
      <c r="AB615" s="107"/>
      <c r="AC615" s="355"/>
      <c r="AD615" s="355"/>
      <c r="AE615" s="355"/>
      <c r="AF615" s="94">
        <f t="shared" si="82"/>
        <v>42277</v>
      </c>
      <c r="AG615" s="185">
        <f t="shared" si="86"/>
        <v>3.0784597249822188E-3</v>
      </c>
      <c r="AH615" s="339" t="str">
        <f>VLOOKUP(B615,'MF PF'!A:B,2)</f>
        <v>FdMgt1</v>
      </c>
      <c r="AI615" s="358">
        <f t="shared" si="83"/>
        <v>0</v>
      </c>
      <c r="AJ615" s="94">
        <f t="shared" si="84"/>
        <v>42277</v>
      </c>
    </row>
    <row r="616" spans="1:36" ht="12.75" customHeight="1">
      <c r="A616" s="94">
        <v>42307</v>
      </c>
      <c r="B616" s="94" t="s">
        <v>136</v>
      </c>
      <c r="C616" s="358" t="s">
        <v>302</v>
      </c>
      <c r="D616" s="374">
        <v>13556383.2576</v>
      </c>
      <c r="E616" s="9" t="e">
        <f t="shared" si="87"/>
        <v>#DIV/0!</v>
      </c>
      <c r="F616" s="98">
        <v>12.5</v>
      </c>
      <c r="G616" s="98">
        <v>0</v>
      </c>
      <c r="H616" s="98">
        <v>-1.862645149230957E-9</v>
      </c>
      <c r="I616" s="98">
        <v>0</v>
      </c>
      <c r="J616" s="98"/>
      <c r="K616" s="93"/>
      <c r="L616" s="93">
        <f t="shared" si="80"/>
        <v>-1.862645149230957E-9</v>
      </c>
      <c r="M616" s="95" t="e">
        <f t="shared" ca="1" si="81"/>
        <v>#DIV/0!</v>
      </c>
      <c r="N616" s="95">
        <f>IF(P616="Hedge Fund",IF(A616=Summary!$AD$3,M616-E616,M616),IF(A616=Summary!$AD$3,L616-D616,L616))</f>
        <v>-1.862645149230957E-9</v>
      </c>
      <c r="O616" s="95">
        <f t="shared" si="85"/>
        <v>-1.862645149230957E-9</v>
      </c>
      <c r="P616" s="107" t="s">
        <v>155</v>
      </c>
      <c r="Q616" s="107">
        <v>0</v>
      </c>
      <c r="R616" s="107">
        <v>0</v>
      </c>
      <c r="S616" s="107">
        <v>0</v>
      </c>
      <c r="T616" s="107">
        <v>0</v>
      </c>
      <c r="U616" s="107"/>
      <c r="V616" s="107"/>
      <c r="W616" s="107"/>
      <c r="X616" s="107"/>
      <c r="Y616" s="107"/>
      <c r="Z616" s="107"/>
      <c r="AA616" s="107"/>
      <c r="AB616" s="107"/>
      <c r="AC616" s="355"/>
      <c r="AD616" s="355"/>
      <c r="AE616" s="355"/>
      <c r="AF616" s="94">
        <f t="shared" si="82"/>
        <v>42307</v>
      </c>
      <c r="AG616" s="185">
        <f t="shared" si="86"/>
        <v>2.7131229199416129E-2</v>
      </c>
      <c r="AH616" s="339" t="str">
        <f>VLOOKUP(B616,'MF PF'!A:B,2)</f>
        <v>FdMgt1</v>
      </c>
      <c r="AI616" s="358">
        <f t="shared" si="83"/>
        <v>0</v>
      </c>
      <c r="AJ616" s="94">
        <f t="shared" si="84"/>
        <v>42308</v>
      </c>
    </row>
    <row r="617" spans="1:36" ht="12.75" customHeight="1">
      <c r="A617" s="94">
        <v>42338</v>
      </c>
      <c r="B617" s="94" t="s">
        <v>136</v>
      </c>
      <c r="C617" s="358" t="s">
        <v>302</v>
      </c>
      <c r="D617" s="374">
        <v>13466546.389599999</v>
      </c>
      <c r="E617" s="9" t="e">
        <f t="shared" si="87"/>
        <v>#DIV/0!</v>
      </c>
      <c r="F617" s="98">
        <v>12.5</v>
      </c>
      <c r="G617" s="98">
        <v>0</v>
      </c>
      <c r="H617" s="98">
        <v>0</v>
      </c>
      <c r="I617" s="98">
        <v>0</v>
      </c>
      <c r="J617" s="98"/>
      <c r="L617" s="93">
        <f t="shared" si="80"/>
        <v>0</v>
      </c>
      <c r="M617" s="95" t="e">
        <f t="shared" ca="1" si="81"/>
        <v>#DIV/0!</v>
      </c>
      <c r="N617" s="95">
        <f>IF(P617="Hedge Fund",IF(A617=Summary!$AD$3,M617-E617,M617),IF(A617=Summary!$AD$3,L617-D617,L617))</f>
        <v>0</v>
      </c>
      <c r="O617" s="95">
        <f t="shared" si="85"/>
        <v>0</v>
      </c>
      <c r="P617" s="107" t="s">
        <v>155</v>
      </c>
      <c r="Q617" s="107">
        <v>0</v>
      </c>
      <c r="R617" s="107">
        <v>0</v>
      </c>
      <c r="S617" s="107">
        <v>0</v>
      </c>
      <c r="T617" s="107">
        <v>0</v>
      </c>
      <c r="U617" s="107"/>
      <c r="V617" s="107"/>
      <c r="W617" s="107"/>
      <c r="X617" s="107"/>
      <c r="Y617" s="107"/>
      <c r="Z617" s="107"/>
      <c r="AA617" s="107"/>
      <c r="AB617" s="107"/>
      <c r="AC617" s="355"/>
      <c r="AD617" s="355"/>
      <c r="AE617" s="355"/>
      <c r="AF617" s="94">
        <f t="shared" si="82"/>
        <v>42338</v>
      </c>
      <c r="AG617" s="185">
        <f t="shared" si="86"/>
        <v>-6.6269052956758889E-3</v>
      </c>
      <c r="AH617" s="339" t="str">
        <f>VLOOKUP(B617,'MF PF'!A:B,2)</f>
        <v>FdMgt1</v>
      </c>
      <c r="AI617" s="358">
        <f t="shared" si="83"/>
        <v>0</v>
      </c>
      <c r="AJ617" s="94">
        <f t="shared" si="84"/>
        <v>42338</v>
      </c>
    </row>
    <row r="618" spans="1:36" ht="12.75" customHeight="1">
      <c r="A618" s="94">
        <v>42369</v>
      </c>
      <c r="B618" s="94" t="s">
        <v>136</v>
      </c>
      <c r="C618" s="358" t="s">
        <v>302</v>
      </c>
      <c r="D618" s="374">
        <v>13531806.5824</v>
      </c>
      <c r="E618" s="9" t="e">
        <f t="shared" si="87"/>
        <v>#DIV/0!</v>
      </c>
      <c r="F618" s="47">
        <v>12.5</v>
      </c>
      <c r="G618" s="47">
        <v>0</v>
      </c>
      <c r="H618" s="47">
        <v>0</v>
      </c>
      <c r="I618" s="98">
        <v>0</v>
      </c>
      <c r="J618" s="98"/>
      <c r="K618" s="93"/>
      <c r="L618" s="93">
        <f t="shared" si="80"/>
        <v>0</v>
      </c>
      <c r="M618" s="95" t="e">
        <f t="shared" ca="1" si="81"/>
        <v>#DIV/0!</v>
      </c>
      <c r="N618" s="95">
        <f>IF(P618="Hedge Fund",IF(A618=Summary!$AD$3,M618-E618,M618),IF(A618=Summary!$AD$3,L618-D618,L618))</f>
        <v>0</v>
      </c>
      <c r="O618" s="95">
        <f t="shared" si="85"/>
        <v>0</v>
      </c>
      <c r="P618" s="89" t="s">
        <v>155</v>
      </c>
      <c r="Q618" s="107">
        <v>0</v>
      </c>
      <c r="R618" s="107">
        <v>0</v>
      </c>
      <c r="S618" s="89">
        <v>0</v>
      </c>
      <c r="T618" s="89">
        <v>0</v>
      </c>
      <c r="U618" s="89"/>
      <c r="V618" s="89"/>
      <c r="W618" s="89"/>
      <c r="X618" s="89"/>
      <c r="Y618" s="89"/>
      <c r="Z618" s="89"/>
      <c r="AA618" s="89"/>
      <c r="AB618" s="89"/>
      <c r="AC618" s="355"/>
      <c r="AD618" s="355"/>
      <c r="AE618" s="355"/>
      <c r="AF618" s="94">
        <f t="shared" si="82"/>
        <v>42369</v>
      </c>
      <c r="AG618" s="185">
        <f t="shared" si="86"/>
        <v>4.8460972035413441E-3</v>
      </c>
      <c r="AH618" s="339" t="str">
        <f>VLOOKUP(B618,'MF PF'!A:B,2)</f>
        <v>FdMgt1</v>
      </c>
      <c r="AI618" s="358">
        <f t="shared" si="83"/>
        <v>0</v>
      </c>
      <c r="AJ618" s="94">
        <f t="shared" si="84"/>
        <v>42369</v>
      </c>
    </row>
    <row r="619" spans="1:36" ht="12.75" customHeight="1">
      <c r="A619" s="94">
        <v>42398</v>
      </c>
      <c r="B619" s="94" t="s">
        <v>136</v>
      </c>
      <c r="C619" s="92" t="s">
        <v>302</v>
      </c>
      <c r="D619" s="374">
        <v>13396181.791999999</v>
      </c>
      <c r="E619" s="95" t="e">
        <f t="shared" si="87"/>
        <v>#DIV/0!</v>
      </c>
      <c r="F619" s="47">
        <v>12.5</v>
      </c>
      <c r="G619" s="47">
        <v>0</v>
      </c>
      <c r="H619" s="47">
        <v>0</v>
      </c>
      <c r="I619" s="98">
        <v>0</v>
      </c>
      <c r="J619" s="98"/>
      <c r="L619" s="93">
        <f t="shared" si="80"/>
        <v>0</v>
      </c>
      <c r="M619" s="95" t="e">
        <f t="shared" ca="1" si="81"/>
        <v>#DIV/0!</v>
      </c>
      <c r="N619" s="95">
        <f>IF(P619="Hedge Fund",IF(A619=Summary!$AD$3,M619-E619,M619),IF(A619=Summary!$AD$3,L619-D619,L619))</f>
        <v>0</v>
      </c>
      <c r="O619" s="95">
        <f t="shared" si="85"/>
        <v>0</v>
      </c>
      <c r="P619" s="89" t="s">
        <v>155</v>
      </c>
      <c r="Q619" s="107">
        <v>0</v>
      </c>
      <c r="R619" s="107">
        <v>0</v>
      </c>
      <c r="S619" s="89">
        <v>0</v>
      </c>
      <c r="T619" s="89">
        <v>0</v>
      </c>
      <c r="U619" s="89"/>
      <c r="V619" s="89"/>
      <c r="W619" s="89"/>
      <c r="X619" s="89"/>
      <c r="Y619" s="89"/>
      <c r="Z619" s="89"/>
      <c r="AA619" s="89"/>
      <c r="AB619" s="89"/>
      <c r="AC619" s="355"/>
      <c r="AD619" s="355"/>
      <c r="AE619" s="355"/>
      <c r="AF619" s="94">
        <f t="shared" si="82"/>
        <v>42398</v>
      </c>
      <c r="AG619" s="185">
        <f t="shared" si="86"/>
        <v>-1.0022666934687008E-2</v>
      </c>
      <c r="AH619" s="339" t="str">
        <f>VLOOKUP(B619,'MF PF'!A:B,2)</f>
        <v>FdMgt1</v>
      </c>
      <c r="AI619" s="358">
        <f t="shared" si="83"/>
        <v>0</v>
      </c>
      <c r="AJ619" s="94">
        <f t="shared" si="84"/>
        <v>42400</v>
      </c>
    </row>
    <row r="620" spans="1:36" ht="12.75" customHeight="1">
      <c r="A620" s="94">
        <v>42429</v>
      </c>
      <c r="B620" s="94" t="s">
        <v>136</v>
      </c>
      <c r="C620" s="358" t="s">
        <v>302</v>
      </c>
      <c r="D620" s="374">
        <v>13614130.7936</v>
      </c>
      <c r="E620" s="95" t="e">
        <f t="shared" si="87"/>
        <v>#DIV/0!</v>
      </c>
      <c r="F620" s="47">
        <v>12.5</v>
      </c>
      <c r="G620" s="47">
        <v>0</v>
      </c>
      <c r="H620" s="47">
        <v>0</v>
      </c>
      <c r="I620" s="98">
        <v>0</v>
      </c>
      <c r="J620" s="98"/>
      <c r="L620" s="93">
        <f t="shared" si="80"/>
        <v>0</v>
      </c>
      <c r="M620" s="95" t="e">
        <f t="shared" ca="1" si="81"/>
        <v>#DIV/0!</v>
      </c>
      <c r="N620" s="95">
        <f>IF(P620="Hedge Fund",IF(A620=Summary!$AD$3,M620-E620,M620),IF(A620=Summary!$AD$3,L620-D620,L620))</f>
        <v>0</v>
      </c>
      <c r="O620" s="95">
        <f t="shared" si="85"/>
        <v>0</v>
      </c>
      <c r="P620" s="89" t="s">
        <v>155</v>
      </c>
      <c r="Q620" s="107">
        <v>0</v>
      </c>
      <c r="R620" s="107">
        <v>0</v>
      </c>
      <c r="S620" s="89">
        <v>0</v>
      </c>
      <c r="T620" s="89">
        <v>0</v>
      </c>
      <c r="U620" s="89"/>
      <c r="V620" s="89"/>
      <c r="W620" s="89"/>
      <c r="X620" s="89"/>
      <c r="Y620" s="89"/>
      <c r="Z620" s="89"/>
      <c r="AA620" s="89"/>
      <c r="AB620" s="89"/>
      <c r="AC620" s="355"/>
      <c r="AD620" s="355"/>
      <c r="AE620" s="355"/>
      <c r="AF620" s="94">
        <f t="shared" si="82"/>
        <v>42429</v>
      </c>
      <c r="AG620" s="185">
        <f t="shared" si="86"/>
        <v>1.6269486707783942E-2</v>
      </c>
      <c r="AH620" s="339" t="str">
        <f>VLOOKUP(B620,'MF PF'!A:B,2)</f>
        <v>FdMgt1</v>
      </c>
      <c r="AI620" s="358">
        <f t="shared" si="83"/>
        <v>0</v>
      </c>
      <c r="AJ620" s="94">
        <f t="shared" si="84"/>
        <v>42429</v>
      </c>
    </row>
    <row r="621" spans="1:36" ht="12.75" customHeight="1">
      <c r="A621" s="8">
        <v>42460</v>
      </c>
      <c r="B621" s="94" t="s">
        <v>136</v>
      </c>
      <c r="C621" s="92" t="s">
        <v>302</v>
      </c>
      <c r="D621" s="374">
        <v>13790241.8144</v>
      </c>
      <c r="E621" s="9" t="e">
        <f t="shared" si="87"/>
        <v>#DIV/0!</v>
      </c>
      <c r="F621" s="47">
        <v>12.5</v>
      </c>
      <c r="G621" s="47">
        <v>0</v>
      </c>
      <c r="H621" s="47">
        <v>0</v>
      </c>
      <c r="I621" s="47">
        <v>0</v>
      </c>
      <c r="J621" s="98"/>
      <c r="L621" s="93">
        <f t="shared" si="80"/>
        <v>0</v>
      </c>
      <c r="M621" s="95" t="e">
        <f t="shared" ca="1" si="81"/>
        <v>#DIV/0!</v>
      </c>
      <c r="N621" s="95">
        <f>IF(P621="Hedge Fund",IF(A621=Summary!$AD$3,M621-E621,M621),IF(A621=Summary!$AD$3,L621-D621,L621))</f>
        <v>0</v>
      </c>
      <c r="O621" s="95">
        <f t="shared" si="85"/>
        <v>0</v>
      </c>
      <c r="P621" s="89" t="s">
        <v>155</v>
      </c>
      <c r="Q621" s="107">
        <v>0</v>
      </c>
      <c r="R621" s="107">
        <v>0</v>
      </c>
      <c r="S621" s="89">
        <v>0</v>
      </c>
      <c r="T621" s="89">
        <v>0</v>
      </c>
      <c r="U621" s="89"/>
      <c r="V621" s="89"/>
      <c r="W621" s="89"/>
      <c r="X621" s="89"/>
      <c r="Y621" s="89"/>
      <c r="Z621" s="89"/>
      <c r="AA621" s="89"/>
      <c r="AB621" s="89"/>
      <c r="AC621" s="355"/>
      <c r="AD621" s="355"/>
      <c r="AE621" s="355"/>
      <c r="AF621" s="94">
        <f t="shared" si="82"/>
        <v>42460</v>
      </c>
      <c r="AG621" s="185">
        <f t="shared" si="86"/>
        <v>1.2935898991273787E-2</v>
      </c>
      <c r="AH621" s="339" t="str">
        <f>VLOOKUP(B621,'MF PF'!A:B,2)</f>
        <v>FdMgt1</v>
      </c>
      <c r="AI621" s="358">
        <f t="shared" si="83"/>
        <v>0</v>
      </c>
      <c r="AJ621" s="94">
        <f t="shared" si="84"/>
        <v>42460</v>
      </c>
    </row>
    <row r="622" spans="1:36" ht="12.75" customHeight="1">
      <c r="A622" s="8">
        <v>42489</v>
      </c>
      <c r="B622" s="94" t="s">
        <v>136</v>
      </c>
      <c r="C622" s="92" t="s">
        <v>302</v>
      </c>
      <c r="D622" s="374">
        <v>14030215.676000001</v>
      </c>
      <c r="E622" s="9" t="e">
        <f t="shared" si="87"/>
        <v>#DIV/0!</v>
      </c>
      <c r="F622" s="47">
        <v>12.5</v>
      </c>
      <c r="G622" s="47">
        <v>0</v>
      </c>
      <c r="H622" s="47">
        <v>0</v>
      </c>
      <c r="I622" s="47">
        <v>0</v>
      </c>
      <c r="J622" s="98"/>
      <c r="K622" s="93"/>
      <c r="L622" s="93">
        <f t="shared" si="80"/>
        <v>0</v>
      </c>
      <c r="M622" s="95" t="e">
        <f t="shared" ca="1" si="81"/>
        <v>#DIV/0!</v>
      </c>
      <c r="N622" s="95">
        <f>IF(P622="Hedge Fund",IF(A622=Summary!$AD$3,M622-E622,M622),IF(A622=Summary!$AD$3,L622-D622,L622))</f>
        <v>0</v>
      </c>
      <c r="O622" s="95">
        <f t="shared" si="85"/>
        <v>0</v>
      </c>
      <c r="P622" s="89" t="s">
        <v>155</v>
      </c>
      <c r="Q622" s="107">
        <v>0</v>
      </c>
      <c r="R622" s="107">
        <v>0</v>
      </c>
      <c r="S622" s="89">
        <v>0</v>
      </c>
      <c r="T622" s="89">
        <v>0</v>
      </c>
      <c r="U622" s="89"/>
      <c r="V622" s="89"/>
      <c r="W622" s="89"/>
      <c r="X622" s="89"/>
      <c r="Y622" s="89"/>
      <c r="Z622" s="89"/>
      <c r="AA622" s="89"/>
      <c r="AB622" s="89"/>
      <c r="AC622" s="355"/>
      <c r="AD622" s="355"/>
      <c r="AE622" s="355"/>
      <c r="AF622" s="94">
        <f t="shared" si="82"/>
        <v>42489</v>
      </c>
      <c r="AG622" s="185">
        <f t="shared" si="86"/>
        <v>1.7401715272999496E-2</v>
      </c>
      <c r="AH622" s="339" t="str">
        <f>VLOOKUP(B622,'MF PF'!A:B,2)</f>
        <v>FdMgt1</v>
      </c>
      <c r="AI622" s="358">
        <f t="shared" si="83"/>
        <v>0</v>
      </c>
      <c r="AJ622" s="94">
        <f t="shared" si="84"/>
        <v>42490</v>
      </c>
    </row>
    <row r="623" spans="1:36" ht="12.75" customHeight="1">
      <c r="A623" s="94">
        <v>42521</v>
      </c>
      <c r="B623" s="8" t="s">
        <v>136</v>
      </c>
      <c r="C623" s="358" t="s">
        <v>302</v>
      </c>
      <c r="D623" s="374">
        <v>14341170.161599999</v>
      </c>
      <c r="E623" s="9" t="e">
        <f t="shared" si="87"/>
        <v>#DIV/0!</v>
      </c>
      <c r="F623" s="47">
        <v>12.5</v>
      </c>
      <c r="G623" s="47">
        <v>0</v>
      </c>
      <c r="H623" s="47">
        <v>0</v>
      </c>
      <c r="I623" s="47">
        <v>0</v>
      </c>
      <c r="J623" s="98"/>
      <c r="K623" s="93"/>
      <c r="L623" s="93">
        <f t="shared" si="80"/>
        <v>0</v>
      </c>
      <c r="M623" s="95" t="e">
        <f t="shared" ca="1" si="81"/>
        <v>#DIV/0!</v>
      </c>
      <c r="N623" s="95">
        <f>IF(P623="Hedge Fund",IF(A623=Summary!$AD$3,M623-E623,M623),IF(A623=Summary!$AD$3,L623-D623,L623))</f>
        <v>0</v>
      </c>
      <c r="O623" s="95">
        <f t="shared" si="85"/>
        <v>0</v>
      </c>
      <c r="P623" s="89" t="s">
        <v>155</v>
      </c>
      <c r="Q623" s="107">
        <v>0</v>
      </c>
      <c r="R623" s="107">
        <v>0</v>
      </c>
      <c r="S623" s="89">
        <v>0</v>
      </c>
      <c r="T623" s="89">
        <v>0</v>
      </c>
      <c r="U623" s="89"/>
      <c r="V623" s="89"/>
      <c r="W623" s="89"/>
      <c r="X623" s="89"/>
      <c r="Y623" s="89"/>
      <c r="Z623" s="89"/>
      <c r="AA623" s="89"/>
      <c r="AB623" s="89"/>
      <c r="AC623" s="355"/>
      <c r="AD623" s="355"/>
      <c r="AE623" s="355"/>
      <c r="AF623" s="94">
        <f t="shared" si="82"/>
        <v>42521</v>
      </c>
      <c r="AG623" s="185">
        <f t="shared" si="86"/>
        <v>2.216320067922517E-2</v>
      </c>
      <c r="AH623" s="339" t="str">
        <f>VLOOKUP(B623,'MF PF'!A:B,2)</f>
        <v>FdMgt1</v>
      </c>
      <c r="AI623" s="358">
        <f t="shared" si="83"/>
        <v>0</v>
      </c>
      <c r="AJ623" s="94">
        <f t="shared" si="84"/>
        <v>42521</v>
      </c>
    </row>
    <row r="624" spans="1:36" ht="12.75" customHeight="1">
      <c r="A624" s="94">
        <v>42551</v>
      </c>
      <c r="B624" s="8" t="s">
        <v>136</v>
      </c>
      <c r="C624" s="92" t="s">
        <v>302</v>
      </c>
      <c r="D624" s="374">
        <v>14693824.2568</v>
      </c>
      <c r="E624" s="9" t="e">
        <f t="shared" ref="E624:E648" si="88">D624/K624</f>
        <v>#DIV/0!</v>
      </c>
      <c r="F624" s="47">
        <v>12.5</v>
      </c>
      <c r="G624" s="47">
        <v>0</v>
      </c>
      <c r="H624" s="47">
        <v>0</v>
      </c>
      <c r="I624" s="47">
        <v>0</v>
      </c>
      <c r="J624" s="98"/>
      <c r="K624" s="93"/>
      <c r="L624" s="93">
        <f t="shared" si="80"/>
        <v>0</v>
      </c>
      <c r="M624" s="95" t="e">
        <f t="shared" ca="1" si="81"/>
        <v>#DIV/0!</v>
      </c>
      <c r="N624" s="95">
        <f>IF(P624="Hedge Fund",IF(A624=Summary!$AD$3,M624-E624,M624),IF(A624=Summary!$AD$3,L624-D624,L624))</f>
        <v>0</v>
      </c>
      <c r="O624" s="95">
        <f t="shared" si="85"/>
        <v>0</v>
      </c>
      <c r="P624" s="89" t="s">
        <v>155</v>
      </c>
      <c r="Q624" s="107">
        <v>0</v>
      </c>
      <c r="R624" s="107">
        <v>0</v>
      </c>
      <c r="S624" s="89">
        <v>0</v>
      </c>
      <c r="T624" s="89">
        <v>0</v>
      </c>
      <c r="U624" s="89"/>
      <c r="V624" s="89"/>
      <c r="W624" s="89"/>
      <c r="X624" s="89"/>
      <c r="Y624" s="89"/>
      <c r="Z624" s="89"/>
      <c r="AA624" s="89"/>
      <c r="AB624" s="89"/>
      <c r="AC624" s="355"/>
      <c r="AD624" s="355"/>
      <c r="AE624" s="355"/>
      <c r="AF624" s="94">
        <f t="shared" si="82"/>
        <v>42551</v>
      </c>
      <c r="AG624" s="185">
        <f t="shared" si="86"/>
        <v>2.4590329186963356E-2</v>
      </c>
      <c r="AH624" s="339" t="str">
        <f>VLOOKUP(B624,'MF PF'!A:B,2)</f>
        <v>FdMgt1</v>
      </c>
      <c r="AI624" s="358">
        <f t="shared" si="83"/>
        <v>0</v>
      </c>
      <c r="AJ624" s="94">
        <f t="shared" si="84"/>
        <v>42551</v>
      </c>
    </row>
    <row r="625" spans="1:36" ht="12.75" customHeight="1">
      <c r="A625" s="94">
        <v>42580</v>
      </c>
      <c r="B625" s="94" t="s">
        <v>136</v>
      </c>
      <c r="C625" s="358" t="s">
        <v>302</v>
      </c>
      <c r="D625" s="374">
        <v>14904850.720799999</v>
      </c>
      <c r="E625" s="9" t="e">
        <f t="shared" si="88"/>
        <v>#DIV/0!</v>
      </c>
      <c r="F625" s="47">
        <v>12.5</v>
      </c>
      <c r="G625" s="47">
        <v>0</v>
      </c>
      <c r="H625" s="47">
        <v>0</v>
      </c>
      <c r="I625" s="98">
        <v>0</v>
      </c>
      <c r="J625" s="98"/>
      <c r="K625" s="93"/>
      <c r="L625" s="93">
        <f t="shared" si="80"/>
        <v>0</v>
      </c>
      <c r="M625" s="95" t="e">
        <f t="shared" ca="1" si="81"/>
        <v>#DIV/0!</v>
      </c>
      <c r="N625" s="95">
        <f>IF(P625="Hedge Fund",IF(A625=Summary!$AD$3,M625-E625,M625),IF(A625=Summary!$AD$3,L625-D625,L625))</f>
        <v>0</v>
      </c>
      <c r="O625" s="95">
        <f t="shared" si="85"/>
        <v>0</v>
      </c>
      <c r="P625" s="89" t="s">
        <v>155</v>
      </c>
      <c r="Q625" s="107">
        <v>0</v>
      </c>
      <c r="R625" s="107">
        <v>0</v>
      </c>
      <c r="S625" s="89">
        <v>0</v>
      </c>
      <c r="T625" s="89">
        <v>0</v>
      </c>
      <c r="U625" s="89"/>
      <c r="V625" s="89"/>
      <c r="W625" s="89"/>
      <c r="X625" s="89"/>
      <c r="Y625" s="89"/>
      <c r="Z625" s="89"/>
      <c r="AA625" s="89"/>
      <c r="AB625" s="89"/>
      <c r="AC625" s="355"/>
      <c r="AD625" s="355"/>
      <c r="AE625" s="355"/>
      <c r="AF625" s="94">
        <f t="shared" si="82"/>
        <v>42580</v>
      </c>
      <c r="AG625" s="185">
        <f t="shared" si="86"/>
        <v>1.4361575333415422E-2</v>
      </c>
      <c r="AH625" s="339" t="str">
        <f>VLOOKUP(B625,'MF PF'!A:B,2)</f>
        <v>FdMgt1</v>
      </c>
      <c r="AI625" s="358">
        <f t="shared" si="83"/>
        <v>0</v>
      </c>
      <c r="AJ625" s="94">
        <f t="shared" si="84"/>
        <v>42582</v>
      </c>
    </row>
    <row r="626" spans="1:36" ht="12.75" customHeight="1">
      <c r="A626" s="8">
        <v>42613</v>
      </c>
      <c r="B626" s="94" t="s">
        <v>136</v>
      </c>
      <c r="C626" s="358" t="s">
        <v>302</v>
      </c>
      <c r="D626" s="374">
        <v>14865943.8968</v>
      </c>
      <c r="E626" s="9" t="e">
        <f t="shared" si="88"/>
        <v>#DIV/0!</v>
      </c>
      <c r="F626" s="47">
        <v>12.5</v>
      </c>
      <c r="G626" s="47">
        <v>0</v>
      </c>
      <c r="H626" s="47">
        <v>0</v>
      </c>
      <c r="I626" s="98">
        <v>0</v>
      </c>
      <c r="J626" s="98"/>
      <c r="K626" s="93"/>
      <c r="L626" s="93">
        <f t="shared" si="80"/>
        <v>0</v>
      </c>
      <c r="M626" s="95" t="e">
        <f t="shared" ca="1" si="81"/>
        <v>#DIV/0!</v>
      </c>
      <c r="N626" s="95">
        <f>IF(P626="Hedge Fund",IF(A626=Summary!$AD$3,M626-E626,M626),IF(A626=Summary!$AD$3,L626-D626,L626))</f>
        <v>0</v>
      </c>
      <c r="O626" s="95">
        <f t="shared" si="85"/>
        <v>0</v>
      </c>
      <c r="P626" s="89" t="s">
        <v>155</v>
      </c>
      <c r="Q626" s="107">
        <v>0</v>
      </c>
      <c r="R626" s="107">
        <v>0</v>
      </c>
      <c r="S626" s="89">
        <v>0</v>
      </c>
      <c r="T626" s="89">
        <v>0</v>
      </c>
      <c r="U626" s="89"/>
      <c r="V626" s="89"/>
      <c r="W626" s="89"/>
      <c r="X626" s="89"/>
      <c r="Y626" s="89"/>
      <c r="Z626" s="89"/>
      <c r="AA626" s="89"/>
      <c r="AB626" s="89"/>
      <c r="AC626" s="355"/>
      <c r="AD626" s="355"/>
      <c r="AE626" s="355"/>
      <c r="AF626" s="94">
        <f t="shared" si="82"/>
        <v>42613</v>
      </c>
      <c r="AG626" s="185">
        <f t="shared" si="86"/>
        <v>-2.6103464388076425E-3</v>
      </c>
      <c r="AH626" s="339" t="str">
        <f>VLOOKUP(B626,'MF PF'!A:B,2)</f>
        <v>FdMgt1</v>
      </c>
      <c r="AI626" s="358">
        <f t="shared" si="83"/>
        <v>0</v>
      </c>
      <c r="AJ626" s="94">
        <f t="shared" si="84"/>
        <v>42613</v>
      </c>
    </row>
    <row r="627" spans="1:36" ht="12.75" customHeight="1">
      <c r="A627" s="8">
        <v>42643</v>
      </c>
      <c r="B627" s="94" t="s">
        <v>136</v>
      </c>
      <c r="C627" s="358" t="s">
        <v>302</v>
      </c>
      <c r="D627" s="374">
        <v>15399456.7448</v>
      </c>
      <c r="E627" s="9" t="e">
        <f t="shared" si="88"/>
        <v>#DIV/0!</v>
      </c>
      <c r="F627" s="47">
        <v>12.5</v>
      </c>
      <c r="G627" s="47">
        <v>0</v>
      </c>
      <c r="H627" s="47">
        <v>0</v>
      </c>
      <c r="I627" s="47">
        <v>0</v>
      </c>
      <c r="J627" s="98"/>
      <c r="K627" s="93"/>
      <c r="L627" s="93">
        <f t="shared" si="80"/>
        <v>0</v>
      </c>
      <c r="M627" s="95" t="e">
        <f t="shared" ca="1" si="81"/>
        <v>#DIV/0!</v>
      </c>
      <c r="N627" s="95">
        <f>IF(P627="Hedge Fund",IF(A627=Summary!$AD$3,M627-E627,M627),IF(A627=Summary!$AD$3,L627-D627,L627))</f>
        <v>0</v>
      </c>
      <c r="O627" s="95">
        <f t="shared" si="85"/>
        <v>0</v>
      </c>
      <c r="P627" s="89" t="s">
        <v>155</v>
      </c>
      <c r="Q627" s="107">
        <v>0</v>
      </c>
      <c r="R627" s="107">
        <v>0</v>
      </c>
      <c r="S627" s="89">
        <v>0</v>
      </c>
      <c r="T627" s="89">
        <v>0</v>
      </c>
      <c r="U627" s="89"/>
      <c r="V627" s="89"/>
      <c r="W627" s="89"/>
      <c r="X627" s="89"/>
      <c r="Y627" s="89"/>
      <c r="Z627" s="89"/>
      <c r="AA627" s="89"/>
      <c r="AB627" s="89"/>
      <c r="AC627" s="355"/>
      <c r="AD627" s="355"/>
      <c r="AE627" s="355"/>
      <c r="AF627" s="94">
        <f t="shared" si="82"/>
        <v>42643</v>
      </c>
      <c r="AG627" s="185">
        <f t="shared" si="86"/>
        <v>3.5888259212039753E-2</v>
      </c>
      <c r="AH627" s="339" t="str">
        <f>VLOOKUP(B627,'MF PF'!A:B,2)</f>
        <v>FdMgt1</v>
      </c>
      <c r="AI627" s="358">
        <f t="shared" si="83"/>
        <v>0</v>
      </c>
      <c r="AJ627" s="94">
        <f t="shared" si="84"/>
        <v>42643</v>
      </c>
    </row>
    <row r="628" spans="1:36" ht="12.75" customHeight="1">
      <c r="A628" s="94">
        <v>42674</v>
      </c>
      <c r="B628" s="94" t="s">
        <v>136</v>
      </c>
      <c r="C628" s="358" t="s">
        <v>302</v>
      </c>
      <c r="D628" s="374">
        <v>15890217.732000001</v>
      </c>
      <c r="E628" s="9" t="e">
        <f t="shared" si="88"/>
        <v>#DIV/0!</v>
      </c>
      <c r="F628" s="47">
        <v>12.5</v>
      </c>
      <c r="G628" s="47">
        <v>0</v>
      </c>
      <c r="H628" s="47">
        <v>0</v>
      </c>
      <c r="I628" s="47">
        <v>0</v>
      </c>
      <c r="J628" s="98"/>
      <c r="K628" s="93"/>
      <c r="L628" s="93">
        <f t="shared" si="80"/>
        <v>0</v>
      </c>
      <c r="M628" s="95" t="e">
        <f t="shared" ca="1" si="81"/>
        <v>#DIV/0!</v>
      </c>
      <c r="N628" s="95">
        <f>IF(P628="Hedge Fund",IF(A628=Summary!$AD$3,M628-E628,M628),IF(A628=Summary!$AD$3,L628-D628,L628))</f>
        <v>0</v>
      </c>
      <c r="O628" s="95">
        <f t="shared" si="85"/>
        <v>0</v>
      </c>
      <c r="P628" s="89" t="s">
        <v>155</v>
      </c>
      <c r="Q628" s="107">
        <v>0</v>
      </c>
      <c r="R628" s="107">
        <v>0</v>
      </c>
      <c r="S628" s="89">
        <v>0</v>
      </c>
      <c r="T628" s="89">
        <v>0</v>
      </c>
      <c r="U628" s="89"/>
      <c r="V628" s="89"/>
      <c r="W628" s="89"/>
      <c r="X628" s="89"/>
      <c r="Y628" s="89"/>
      <c r="Z628" s="89"/>
      <c r="AA628" s="89"/>
      <c r="AB628" s="89"/>
      <c r="AC628" s="355"/>
      <c r="AD628" s="355"/>
      <c r="AE628" s="355"/>
      <c r="AF628" s="94">
        <f t="shared" si="82"/>
        <v>42674</v>
      </c>
      <c r="AG628" s="185">
        <f t="shared" si="86"/>
        <v>3.186872078235603E-2</v>
      </c>
      <c r="AH628" s="339" t="str">
        <f>VLOOKUP(B628,'MF PF'!A:B,2)</f>
        <v>FdMgt1</v>
      </c>
      <c r="AI628" s="358">
        <f t="shared" si="83"/>
        <v>0</v>
      </c>
      <c r="AJ628" s="94">
        <f t="shared" si="84"/>
        <v>42674</v>
      </c>
    </row>
    <row r="629" spans="1:36" ht="12.75" customHeight="1">
      <c r="A629" s="94">
        <v>42704</v>
      </c>
      <c r="B629" s="94" t="s">
        <v>136</v>
      </c>
      <c r="C629" s="358" t="s">
        <v>302</v>
      </c>
      <c r="D629" s="374">
        <v>15960715.385600001</v>
      </c>
      <c r="E629" s="9" t="e">
        <f t="shared" si="88"/>
        <v>#DIV/0!</v>
      </c>
      <c r="F629" s="98">
        <v>12.5</v>
      </c>
      <c r="G629" s="98">
        <v>0</v>
      </c>
      <c r="H629" s="98">
        <v>0</v>
      </c>
      <c r="I629" s="98">
        <v>0</v>
      </c>
      <c r="J629" s="98"/>
      <c r="L629" s="93">
        <f t="shared" si="80"/>
        <v>0</v>
      </c>
      <c r="M629" s="95" t="e">
        <f t="shared" ca="1" si="81"/>
        <v>#DIV/0!</v>
      </c>
      <c r="N629" s="95">
        <f>IF(P629="Hedge Fund",IF(A629=Summary!$AD$3,M629-E629,M629),IF(A629=Summary!$AD$3,L629-D629,L629))</f>
        <v>0</v>
      </c>
      <c r="O629" s="95">
        <f t="shared" si="85"/>
        <v>0</v>
      </c>
      <c r="P629" s="107" t="s">
        <v>155</v>
      </c>
      <c r="Q629" s="107">
        <v>0</v>
      </c>
      <c r="R629" s="107">
        <v>0</v>
      </c>
      <c r="S629" s="107">
        <v>0</v>
      </c>
      <c r="T629" s="107">
        <v>0</v>
      </c>
      <c r="U629" s="107"/>
      <c r="V629" s="107"/>
      <c r="W629" s="107"/>
      <c r="X629" s="107"/>
      <c r="Y629" s="107"/>
      <c r="Z629" s="107"/>
      <c r="AA629" s="107"/>
      <c r="AB629" s="107"/>
      <c r="AC629" s="355"/>
      <c r="AD629" s="355"/>
      <c r="AE629" s="355"/>
      <c r="AF629" s="94">
        <f t="shared" si="82"/>
        <v>42704</v>
      </c>
      <c r="AG629" s="185">
        <f t="shared" si="86"/>
        <v>4.4365442178950776E-3</v>
      </c>
      <c r="AH629" s="339" t="str">
        <f>VLOOKUP(B629,'MF PF'!A:B,2)</f>
        <v>FdMgt1</v>
      </c>
      <c r="AI629" s="358">
        <f t="shared" si="83"/>
        <v>0</v>
      </c>
      <c r="AJ629" s="94">
        <f t="shared" si="84"/>
        <v>42704</v>
      </c>
    </row>
    <row r="630" spans="1:36" ht="12.75" customHeight="1">
      <c r="A630" s="94">
        <v>42734</v>
      </c>
      <c r="B630" s="94" t="s">
        <v>136</v>
      </c>
      <c r="C630" s="358" t="s">
        <v>302</v>
      </c>
      <c r="D630" s="374">
        <v>15775094.0024</v>
      </c>
      <c r="E630" s="9" t="e">
        <f t="shared" si="88"/>
        <v>#DIV/0!</v>
      </c>
      <c r="F630" s="47">
        <v>12.5</v>
      </c>
      <c r="G630" s="47">
        <v>0</v>
      </c>
      <c r="H630" s="47">
        <v>0</v>
      </c>
      <c r="I630" s="98">
        <v>0</v>
      </c>
      <c r="J630" s="98"/>
      <c r="K630" s="93"/>
      <c r="L630" s="93">
        <f t="shared" si="80"/>
        <v>0</v>
      </c>
      <c r="M630" s="95" t="e">
        <f t="shared" ca="1" si="81"/>
        <v>#DIV/0!</v>
      </c>
      <c r="N630" s="95">
        <f>IF(P630="Hedge Fund",IF(A630=Summary!$AD$3,M630-E630,M630),IF(A630=Summary!$AD$3,L630-D630,L630))</f>
        <v>0</v>
      </c>
      <c r="O630" s="95">
        <f t="shared" si="85"/>
        <v>0</v>
      </c>
      <c r="P630" s="89" t="s">
        <v>155</v>
      </c>
      <c r="Q630" s="107">
        <v>0</v>
      </c>
      <c r="R630" s="107">
        <v>0</v>
      </c>
      <c r="S630" s="89">
        <v>0</v>
      </c>
      <c r="T630" s="89">
        <v>0</v>
      </c>
      <c r="U630" s="89"/>
      <c r="V630" s="89"/>
      <c r="W630" s="89"/>
      <c r="X630" s="89"/>
      <c r="Y630" s="89"/>
      <c r="Z630" s="89"/>
      <c r="AA630" s="89"/>
      <c r="AB630" s="89"/>
      <c r="AC630" s="355"/>
      <c r="AD630" s="355"/>
      <c r="AE630" s="355"/>
      <c r="AF630" s="94">
        <f t="shared" si="82"/>
        <v>42734</v>
      </c>
      <c r="AG630" s="185">
        <f t="shared" si="86"/>
        <v>-1.162989118692459E-2</v>
      </c>
      <c r="AH630" s="339" t="str">
        <f>VLOOKUP(B630,'MF PF'!A:B,2)</f>
        <v>FdMgt1</v>
      </c>
      <c r="AI630" s="358">
        <f t="shared" si="83"/>
        <v>0</v>
      </c>
      <c r="AJ630" s="94">
        <f t="shared" si="84"/>
        <v>42735</v>
      </c>
    </row>
    <row r="631" spans="1:36" ht="12.75" customHeight="1">
      <c r="A631" s="8">
        <v>42762</v>
      </c>
      <c r="B631" s="94" t="s">
        <v>136</v>
      </c>
      <c r="C631" s="358" t="s">
        <v>302</v>
      </c>
      <c r="D631" s="374">
        <v>16009942.242400002</v>
      </c>
      <c r="E631" s="9" t="e">
        <f t="shared" si="88"/>
        <v>#DIV/0!</v>
      </c>
      <c r="F631" s="47">
        <v>12.5</v>
      </c>
      <c r="G631" s="47">
        <v>0</v>
      </c>
      <c r="H631" s="47">
        <v>-1.862645149230957E-9</v>
      </c>
      <c r="I631" s="98">
        <v>0</v>
      </c>
      <c r="J631" s="98"/>
      <c r="K631" s="93"/>
      <c r="L631" s="93">
        <f t="shared" si="80"/>
        <v>-1.862645149230957E-9</v>
      </c>
      <c r="M631" s="95" t="e">
        <f t="shared" ca="1" si="81"/>
        <v>#DIV/0!</v>
      </c>
      <c r="N631" s="95">
        <f>IF(P631="Hedge Fund",IF(A631=Summary!$AD$3,M631-E631,M631),IF(A631=Summary!$AD$3,L631-D631,L631))</f>
        <v>-1.862645149230957E-9</v>
      </c>
      <c r="O631" s="95">
        <f t="shared" si="85"/>
        <v>-1.862645149230957E-9</v>
      </c>
      <c r="P631" s="89" t="s">
        <v>155</v>
      </c>
      <c r="Q631" s="107">
        <v>0</v>
      </c>
      <c r="R631" s="107">
        <v>0</v>
      </c>
      <c r="S631" s="89">
        <v>0</v>
      </c>
      <c r="T631" s="89">
        <v>0</v>
      </c>
      <c r="U631" s="89"/>
      <c r="V631" s="89"/>
      <c r="W631" s="89"/>
      <c r="X631" s="89"/>
      <c r="Y631" s="89"/>
      <c r="Z631" s="89"/>
      <c r="AA631" s="89"/>
      <c r="AB631" s="89"/>
      <c r="AC631" s="355"/>
      <c r="AD631" s="355"/>
      <c r="AE631" s="355"/>
      <c r="AF631" s="94">
        <f t="shared" si="82"/>
        <v>42762</v>
      </c>
      <c r="AG631" s="185">
        <f t="shared" si="86"/>
        <v>1.4887279908714079E-2</v>
      </c>
      <c r="AH631" s="339" t="str">
        <f>VLOOKUP(B631,'MF PF'!A:B,2)</f>
        <v>FdMgt1</v>
      </c>
      <c r="AI631" s="358">
        <f t="shared" si="83"/>
        <v>0</v>
      </c>
      <c r="AJ631" s="94">
        <f t="shared" si="84"/>
        <v>42766</v>
      </c>
    </row>
    <row r="632" spans="1:36" ht="12.75" customHeight="1">
      <c r="A632" s="8">
        <v>42794</v>
      </c>
      <c r="B632" s="94" t="s">
        <v>136</v>
      </c>
      <c r="C632" s="358" t="s">
        <v>302</v>
      </c>
      <c r="D632" s="374">
        <v>16683268.575199999</v>
      </c>
      <c r="E632" s="9" t="e">
        <f t="shared" si="88"/>
        <v>#DIV/0!</v>
      </c>
      <c r="F632" s="47">
        <v>12.5</v>
      </c>
      <c r="G632" s="47">
        <v>0</v>
      </c>
      <c r="H632" s="47">
        <v>0</v>
      </c>
      <c r="I632" s="98">
        <v>0</v>
      </c>
      <c r="J632" s="98"/>
      <c r="K632" s="93"/>
      <c r="L632" s="93">
        <f t="shared" si="80"/>
        <v>0</v>
      </c>
      <c r="M632" s="95" t="e">
        <f t="shared" ca="1" si="81"/>
        <v>#DIV/0!</v>
      </c>
      <c r="N632" s="95">
        <f>IF(P632="Hedge Fund",IF(A632=Summary!$AD$3,M632-E632,M632),IF(A632=Summary!$AD$3,L632-D632,L632))</f>
        <v>0</v>
      </c>
      <c r="O632" s="95">
        <f t="shared" si="85"/>
        <v>0</v>
      </c>
      <c r="P632" s="89" t="s">
        <v>155</v>
      </c>
      <c r="Q632" s="107">
        <v>0</v>
      </c>
      <c r="R632" s="107">
        <v>0</v>
      </c>
      <c r="S632" s="89">
        <v>0</v>
      </c>
      <c r="T632" s="89">
        <v>0</v>
      </c>
      <c r="U632" s="89"/>
      <c r="V632" s="89"/>
      <c r="W632" s="89"/>
      <c r="X632" s="89"/>
      <c r="Y632" s="89"/>
      <c r="Z632" s="89"/>
      <c r="AA632" s="89"/>
      <c r="AB632" s="89"/>
      <c r="AC632" s="355"/>
      <c r="AD632" s="355"/>
      <c r="AE632" s="355"/>
      <c r="AF632" s="94">
        <f t="shared" si="82"/>
        <v>42794</v>
      </c>
      <c r="AG632" s="185">
        <f t="shared" si="86"/>
        <v>4.2056762142263615E-2</v>
      </c>
      <c r="AH632" s="339" t="str">
        <f>VLOOKUP(B632,'MF PF'!A:B,2)</f>
        <v>FdMgt1</v>
      </c>
      <c r="AI632" s="358">
        <f t="shared" si="83"/>
        <v>0</v>
      </c>
      <c r="AJ632" s="94">
        <f t="shared" si="84"/>
        <v>42794</v>
      </c>
    </row>
    <row r="633" spans="1:36" ht="12.75" customHeight="1">
      <c r="A633" s="94">
        <v>42825</v>
      </c>
      <c r="B633" s="94" t="s">
        <v>136</v>
      </c>
      <c r="C633" s="358" t="s">
        <v>302</v>
      </c>
      <c r="D633" s="374">
        <v>16498679.476</v>
      </c>
      <c r="E633" s="9" t="e">
        <f t="shared" si="88"/>
        <v>#DIV/0!</v>
      </c>
      <c r="F633" s="47">
        <v>12.5</v>
      </c>
      <c r="G633" s="47">
        <v>0</v>
      </c>
      <c r="H633" s="47">
        <v>0</v>
      </c>
      <c r="I633" s="98">
        <v>0</v>
      </c>
      <c r="J633" s="98"/>
      <c r="K633" s="93"/>
      <c r="L633" s="93">
        <f t="shared" si="80"/>
        <v>0</v>
      </c>
      <c r="M633" s="95" t="e">
        <f t="shared" ca="1" si="81"/>
        <v>#DIV/0!</v>
      </c>
      <c r="N633" s="95">
        <f>IF(P633="Hedge Fund",IF(A633=Summary!$AD$3,M633-E633,M633),IF(A633=Summary!$AD$3,L633-D633,L633))</f>
        <v>0</v>
      </c>
      <c r="O633" s="95">
        <f t="shared" si="85"/>
        <v>0</v>
      </c>
      <c r="P633" s="89" t="s">
        <v>155</v>
      </c>
      <c r="Q633" s="107">
        <v>0</v>
      </c>
      <c r="R633" s="107">
        <v>0</v>
      </c>
      <c r="S633" s="89">
        <v>0</v>
      </c>
      <c r="T633" s="89">
        <v>0</v>
      </c>
      <c r="U633" s="89"/>
      <c r="V633" s="89"/>
      <c r="W633" s="89"/>
      <c r="X633" s="89"/>
      <c r="Y633" s="89"/>
      <c r="Z633" s="89"/>
      <c r="AA633" s="89"/>
      <c r="AB633" s="89"/>
      <c r="AC633" s="355"/>
      <c r="AD633" s="355"/>
      <c r="AE633" s="355"/>
      <c r="AF633" s="94">
        <f t="shared" si="82"/>
        <v>42825</v>
      </c>
      <c r="AG633" s="185">
        <f t="shared" si="86"/>
        <v>-1.1064324617682808E-2</v>
      </c>
      <c r="AH633" s="339" t="str">
        <f>VLOOKUP(B633,'MF PF'!A:B,2)</f>
        <v>FdMgt1</v>
      </c>
      <c r="AI633" s="358">
        <f t="shared" si="83"/>
        <v>0</v>
      </c>
      <c r="AJ633" s="94">
        <f t="shared" si="84"/>
        <v>42825</v>
      </c>
    </row>
    <row r="634" spans="1:36" ht="12.75" customHeight="1">
      <c r="A634" s="94">
        <v>42853</v>
      </c>
      <c r="B634" s="94" t="s">
        <v>136</v>
      </c>
      <c r="C634" s="358" t="s">
        <v>302</v>
      </c>
      <c r="D634" s="374">
        <v>16468145.270000001</v>
      </c>
      <c r="E634" s="9" t="e">
        <f t="shared" si="88"/>
        <v>#DIV/0!</v>
      </c>
      <c r="F634" s="98">
        <v>12.5</v>
      </c>
      <c r="G634" s="98">
        <v>0</v>
      </c>
      <c r="H634" s="98">
        <v>0</v>
      </c>
      <c r="I634" s="98">
        <v>0</v>
      </c>
      <c r="J634" s="98"/>
      <c r="K634" s="93"/>
      <c r="L634" s="93">
        <f t="shared" si="80"/>
        <v>0</v>
      </c>
      <c r="M634" s="95" t="e">
        <f t="shared" ca="1" si="81"/>
        <v>#DIV/0!</v>
      </c>
      <c r="N634" s="95">
        <f>IF(P634="Hedge Fund",IF(A634=Summary!$AD$3,M634-E634,M634),IF(A634=Summary!$AD$3,L634-D634,L634))</f>
        <v>0</v>
      </c>
      <c r="O634" s="95">
        <f t="shared" si="85"/>
        <v>0</v>
      </c>
      <c r="P634" s="107" t="s">
        <v>155</v>
      </c>
      <c r="Q634" s="107">
        <v>0</v>
      </c>
      <c r="R634" s="107">
        <v>0</v>
      </c>
      <c r="S634" s="107">
        <v>0</v>
      </c>
      <c r="T634" s="107">
        <v>0</v>
      </c>
      <c r="U634" s="107"/>
      <c r="V634" s="107"/>
      <c r="W634" s="107"/>
      <c r="X634" s="107"/>
      <c r="Y634" s="107"/>
      <c r="Z634" s="107"/>
      <c r="AA634" s="107"/>
      <c r="AB634" s="107"/>
      <c r="AC634" s="355"/>
      <c r="AD634" s="355"/>
      <c r="AE634" s="355"/>
      <c r="AF634" s="94">
        <f t="shared" si="82"/>
        <v>42853</v>
      </c>
      <c r="AG634" s="185">
        <f t="shared" si="86"/>
        <v>-1.8507060546520959E-3</v>
      </c>
      <c r="AH634" s="339" t="str">
        <f>VLOOKUP(B634,'MF PF'!A:B,2)</f>
        <v>FdMgt1</v>
      </c>
      <c r="AI634" s="358">
        <f t="shared" si="83"/>
        <v>0</v>
      </c>
      <c r="AJ634" s="94">
        <f t="shared" si="84"/>
        <v>42855</v>
      </c>
    </row>
    <row r="635" spans="1:36" ht="12.75" customHeight="1">
      <c r="A635" s="94">
        <v>42886</v>
      </c>
      <c r="B635" s="94" t="s">
        <v>136</v>
      </c>
      <c r="C635" s="358" t="s">
        <v>302</v>
      </c>
      <c r="D635" s="374">
        <v>15971631.2224</v>
      </c>
      <c r="E635" s="9" t="e">
        <f t="shared" si="88"/>
        <v>#DIV/0!</v>
      </c>
      <c r="F635" s="98">
        <v>12.5</v>
      </c>
      <c r="G635" s="98">
        <v>0</v>
      </c>
      <c r="H635" s="98">
        <v>0</v>
      </c>
      <c r="I635" s="98">
        <v>0</v>
      </c>
      <c r="J635" s="98"/>
      <c r="L635" s="93">
        <f t="shared" si="80"/>
        <v>0</v>
      </c>
      <c r="M635" s="95" t="e">
        <f t="shared" ca="1" si="81"/>
        <v>#DIV/0!</v>
      </c>
      <c r="N635" s="95">
        <f>IF(P635="Hedge Fund",IF(A635=Summary!$AD$3,M635-E635,M635),IF(A635=Summary!$AD$3,L635-D635,L635))</f>
        <v>0</v>
      </c>
      <c r="O635" s="95">
        <f t="shared" si="85"/>
        <v>0</v>
      </c>
      <c r="P635" s="107" t="s">
        <v>155</v>
      </c>
      <c r="Q635" s="107">
        <v>0</v>
      </c>
      <c r="R635" s="107">
        <v>0</v>
      </c>
      <c r="S635" s="107">
        <v>0</v>
      </c>
      <c r="T635" s="107">
        <v>0</v>
      </c>
      <c r="U635" s="107"/>
      <c r="V635" s="107"/>
      <c r="W635" s="107"/>
      <c r="X635" s="107"/>
      <c r="Y635" s="107"/>
      <c r="Z635" s="107"/>
      <c r="AA635" s="107"/>
      <c r="AB635" s="107"/>
      <c r="AC635" s="355"/>
      <c r="AD635" s="355"/>
      <c r="AE635" s="355"/>
      <c r="AF635" s="94">
        <f t="shared" si="82"/>
        <v>42886</v>
      </c>
      <c r="AG635" s="185">
        <f t="shared" si="86"/>
        <v>-3.014996767756839E-2</v>
      </c>
      <c r="AH635" s="339" t="str">
        <f>VLOOKUP(B635,'MF PF'!A:B,2)</f>
        <v>FdMgt1</v>
      </c>
      <c r="AI635" s="358">
        <f t="shared" si="83"/>
        <v>0</v>
      </c>
      <c r="AJ635" s="94">
        <f t="shared" si="84"/>
        <v>42886</v>
      </c>
    </row>
    <row r="636" spans="1:36" ht="12.75" customHeight="1">
      <c r="A636" s="8">
        <v>42916</v>
      </c>
      <c r="B636" s="94" t="s">
        <v>136</v>
      </c>
      <c r="C636" s="358" t="s">
        <v>302</v>
      </c>
      <c r="D636" s="374">
        <v>16494341.7096</v>
      </c>
      <c r="E636" s="9" t="e">
        <f t="shared" si="88"/>
        <v>#DIV/0!</v>
      </c>
      <c r="F636" s="98">
        <v>12.5</v>
      </c>
      <c r="G636" s="98">
        <v>0</v>
      </c>
      <c r="H636" s="98">
        <v>0</v>
      </c>
      <c r="I636" s="98">
        <v>0</v>
      </c>
      <c r="J636" s="98"/>
      <c r="L636" s="93">
        <f t="shared" si="80"/>
        <v>0</v>
      </c>
      <c r="M636" s="95" t="e">
        <f t="shared" ca="1" si="81"/>
        <v>#DIV/0!</v>
      </c>
      <c r="N636" s="95">
        <f>IF(P636="Hedge Fund",IF(A636=Summary!$AD$3,M636-E636,M636),IF(A636=Summary!$AD$3,L636-D636,L636))</f>
        <v>0</v>
      </c>
      <c r="O636" s="95">
        <f t="shared" si="85"/>
        <v>0</v>
      </c>
      <c r="P636" s="107" t="s">
        <v>155</v>
      </c>
      <c r="Q636" s="107">
        <v>0</v>
      </c>
      <c r="R636" s="107">
        <v>0</v>
      </c>
      <c r="S636" s="107">
        <v>0</v>
      </c>
      <c r="T636" s="107">
        <v>0</v>
      </c>
      <c r="U636" s="107"/>
      <c r="V636" s="107"/>
      <c r="W636" s="107"/>
      <c r="X636" s="107"/>
      <c r="Y636" s="107"/>
      <c r="Z636" s="107"/>
      <c r="AA636" s="107"/>
      <c r="AB636" s="107"/>
      <c r="AC636" s="355"/>
      <c r="AD636" s="355"/>
      <c r="AE636" s="355"/>
      <c r="AF636" s="94">
        <f t="shared" si="82"/>
        <v>42916</v>
      </c>
      <c r="AG636" s="185">
        <f t="shared" si="86"/>
        <v>3.2727432778870025E-2</v>
      </c>
      <c r="AH636" s="339" t="str">
        <f>VLOOKUP(B636,'MF PF'!A:B,2)</f>
        <v>FdMgt1</v>
      </c>
      <c r="AI636" s="358">
        <f t="shared" si="83"/>
        <v>0</v>
      </c>
      <c r="AJ636" s="94">
        <f t="shared" si="84"/>
        <v>42916</v>
      </c>
    </row>
    <row r="637" spans="1:36" ht="12.75" customHeight="1">
      <c r="A637" s="8">
        <v>42947</v>
      </c>
      <c r="B637" s="94" t="s">
        <v>136</v>
      </c>
      <c r="C637" s="358" t="s">
        <v>302</v>
      </c>
      <c r="D637" s="374">
        <v>16944683.969999999</v>
      </c>
      <c r="E637" s="95" t="e">
        <f t="shared" si="88"/>
        <v>#DIV/0!</v>
      </c>
      <c r="F637" s="98">
        <v>12.5</v>
      </c>
      <c r="G637" s="98">
        <v>0</v>
      </c>
      <c r="H637" s="98">
        <v>0</v>
      </c>
      <c r="I637" s="98">
        <v>0</v>
      </c>
      <c r="J637" s="98"/>
      <c r="L637" s="93">
        <f t="shared" si="80"/>
        <v>0</v>
      </c>
      <c r="M637" s="95" t="e">
        <f t="shared" ca="1" si="81"/>
        <v>#DIV/0!</v>
      </c>
      <c r="N637" s="95">
        <f>IF(P637="Hedge Fund",IF(A637=Summary!$AD$3,M637-E637,M637),IF(A637=Summary!$AD$3,L637-D637,L637))</f>
        <v>0</v>
      </c>
      <c r="O637" s="95">
        <f t="shared" si="85"/>
        <v>0</v>
      </c>
      <c r="P637" s="107" t="s">
        <v>155</v>
      </c>
      <c r="Q637" s="107">
        <v>0</v>
      </c>
      <c r="R637" s="107">
        <v>0</v>
      </c>
      <c r="S637" s="107">
        <v>0</v>
      </c>
      <c r="T637" s="107">
        <v>0</v>
      </c>
      <c r="U637" s="107"/>
      <c r="V637" s="107"/>
      <c r="W637" s="107"/>
      <c r="X637" s="107"/>
      <c r="Y637" s="107"/>
      <c r="Z637" s="107"/>
      <c r="AA637" s="107"/>
      <c r="AB637" s="107"/>
      <c r="AC637" s="355"/>
      <c r="AD637" s="355"/>
      <c r="AE637" s="355"/>
      <c r="AF637" s="94">
        <f t="shared" si="82"/>
        <v>42947</v>
      </c>
      <c r="AG637" s="185">
        <f t="shared" si="86"/>
        <v>2.7302833197513587E-2</v>
      </c>
      <c r="AH637" s="339" t="str">
        <f>VLOOKUP(B637,'MF PF'!A:B,2)</f>
        <v>FdMgt1</v>
      </c>
      <c r="AI637" s="358">
        <f t="shared" si="83"/>
        <v>0</v>
      </c>
      <c r="AJ637" s="94">
        <f t="shared" si="84"/>
        <v>42947</v>
      </c>
    </row>
    <row r="638" spans="1:36" ht="12.75" customHeight="1">
      <c r="A638" s="94">
        <v>42978</v>
      </c>
      <c r="B638" s="94" t="s">
        <v>136</v>
      </c>
      <c r="C638" s="358" t="s">
        <v>302</v>
      </c>
      <c r="D638" s="374">
        <v>16989200</v>
      </c>
      <c r="E638" s="9" t="e">
        <f t="shared" si="88"/>
        <v>#DIV/0!</v>
      </c>
      <c r="F638" s="98">
        <v>12.5</v>
      </c>
      <c r="G638" s="98">
        <v>0</v>
      </c>
      <c r="H638" s="98">
        <v>0</v>
      </c>
      <c r="I638" s="98">
        <v>0</v>
      </c>
      <c r="J638" s="98"/>
      <c r="K638" s="93"/>
      <c r="L638" s="93">
        <f t="shared" si="80"/>
        <v>0</v>
      </c>
      <c r="M638" s="95" t="e">
        <f t="shared" ca="1" si="81"/>
        <v>#DIV/0!</v>
      </c>
      <c r="N638" s="95">
        <f>IF(P638="Hedge Fund",IF(A638=Summary!$AD$3,M638-E638,M638),IF(A638=Summary!$AD$3,L638-D638,L638))</f>
        <v>0</v>
      </c>
      <c r="O638" s="95">
        <f t="shared" si="85"/>
        <v>0</v>
      </c>
      <c r="P638" s="107" t="s">
        <v>155</v>
      </c>
      <c r="Q638" s="107">
        <v>0</v>
      </c>
      <c r="R638" s="107">
        <v>0</v>
      </c>
      <c r="S638" s="107">
        <v>0</v>
      </c>
      <c r="T638" s="107">
        <v>0</v>
      </c>
      <c r="U638" s="107"/>
      <c r="V638" s="107"/>
      <c r="W638" s="107"/>
      <c r="X638" s="107"/>
      <c r="Y638" s="107"/>
      <c r="Z638" s="107"/>
      <c r="AA638" s="107"/>
      <c r="AB638" s="107"/>
      <c r="AC638" s="355"/>
      <c r="AD638" s="355"/>
      <c r="AE638" s="355"/>
      <c r="AF638" s="94">
        <f t="shared" si="82"/>
        <v>42978</v>
      </c>
      <c r="AG638" s="185">
        <f t="shared" si="86"/>
        <v>2.6271384039273649E-3</v>
      </c>
      <c r="AH638" s="339" t="str">
        <f>VLOOKUP(B638,'MF PF'!A:B,2)</f>
        <v>FdMgt1</v>
      </c>
      <c r="AI638" s="358">
        <f t="shared" si="83"/>
        <v>0</v>
      </c>
      <c r="AJ638" s="94">
        <f t="shared" si="84"/>
        <v>42978</v>
      </c>
    </row>
    <row r="639" spans="1:36" ht="12.75" customHeight="1">
      <c r="A639" s="94">
        <v>43007</v>
      </c>
      <c r="B639" s="94" t="s">
        <v>136</v>
      </c>
      <c r="C639" s="358" t="s">
        <v>302</v>
      </c>
      <c r="D639" s="374">
        <v>16903192.986779157</v>
      </c>
      <c r="E639" s="9" t="e">
        <f t="shared" si="88"/>
        <v>#DIV/0!</v>
      </c>
      <c r="F639" s="98">
        <v>12.5</v>
      </c>
      <c r="G639" s="98">
        <v>0</v>
      </c>
      <c r="H639" s="98">
        <v>-1.862645149230957E-9</v>
      </c>
      <c r="I639" s="98">
        <v>0</v>
      </c>
      <c r="J639" s="98"/>
      <c r="K639" s="93"/>
      <c r="L639" s="93">
        <f t="shared" si="80"/>
        <v>-1.862645149230957E-9</v>
      </c>
      <c r="M639" s="95" t="e">
        <f t="shared" ca="1" si="81"/>
        <v>#DIV/0!</v>
      </c>
      <c r="N639" s="95">
        <f>IF(P639="Hedge Fund",IF(A639=Summary!$AD$3,M639-E639,M639),IF(A639=Summary!$AD$3,L639-D639,L639))</f>
        <v>-1.862645149230957E-9</v>
      </c>
      <c r="O639" s="95">
        <f t="shared" si="85"/>
        <v>-1.862645149230957E-9</v>
      </c>
      <c r="P639" s="107" t="s">
        <v>155</v>
      </c>
      <c r="Q639" s="107">
        <v>0</v>
      </c>
      <c r="R639" s="107">
        <v>0</v>
      </c>
      <c r="S639" s="107">
        <v>0</v>
      </c>
      <c r="T639" s="107">
        <v>0</v>
      </c>
      <c r="U639" s="107"/>
      <c r="V639" s="107"/>
      <c r="W639" s="107"/>
      <c r="X639" s="107"/>
      <c r="Y639" s="107"/>
      <c r="Z639" s="107"/>
      <c r="AA639" s="107"/>
      <c r="AB639" s="107"/>
      <c r="AC639" s="355"/>
      <c r="AD639" s="355"/>
      <c r="AE639" s="355"/>
      <c r="AF639" s="94">
        <f t="shared" si="82"/>
        <v>43007</v>
      </c>
      <c r="AG639" s="185">
        <f t="shared" si="86"/>
        <v>-5.0624522179290032E-3</v>
      </c>
      <c r="AH639" s="339" t="str">
        <f>VLOOKUP(B639,'MF PF'!A:B,2)</f>
        <v>FdMgt1</v>
      </c>
      <c r="AI639" s="358">
        <f t="shared" si="83"/>
        <v>0</v>
      </c>
      <c r="AJ639" s="94">
        <f t="shared" si="84"/>
        <v>43008</v>
      </c>
    </row>
    <row r="640" spans="1:36" ht="12.75" customHeight="1">
      <c r="A640" s="8">
        <v>43039</v>
      </c>
      <c r="B640" s="94" t="s">
        <v>136</v>
      </c>
      <c r="C640" s="358" t="s">
        <v>302</v>
      </c>
      <c r="D640" s="374">
        <v>16960800</v>
      </c>
      <c r="E640" s="9" t="e">
        <f t="shared" si="88"/>
        <v>#DIV/0!</v>
      </c>
      <c r="F640" s="98">
        <v>12.5</v>
      </c>
      <c r="G640" s="98">
        <v>0</v>
      </c>
      <c r="H640" s="98">
        <v>0</v>
      </c>
      <c r="I640" s="98">
        <v>0</v>
      </c>
      <c r="J640" s="98"/>
      <c r="K640" s="93"/>
      <c r="L640" s="93">
        <f t="shared" si="80"/>
        <v>0</v>
      </c>
      <c r="M640" s="95" t="e">
        <f t="shared" ca="1" si="81"/>
        <v>#DIV/0!</v>
      </c>
      <c r="N640" s="95">
        <f>IF(P640="Hedge Fund",IF(A640=Summary!$AD$3,M640-E640,M640),IF(A640=Summary!$AD$3,L640-D640,L640))</f>
        <v>0</v>
      </c>
      <c r="O640" s="95">
        <f t="shared" si="85"/>
        <v>0</v>
      </c>
      <c r="P640" s="107" t="s">
        <v>155</v>
      </c>
      <c r="Q640" s="107">
        <v>0</v>
      </c>
      <c r="R640" s="107">
        <v>0</v>
      </c>
      <c r="S640" s="107">
        <v>0</v>
      </c>
      <c r="T640" s="107">
        <v>0</v>
      </c>
      <c r="U640" s="107"/>
      <c r="V640" s="107"/>
      <c r="W640" s="107"/>
      <c r="X640" s="107"/>
      <c r="Y640" s="107"/>
      <c r="Z640" s="107"/>
      <c r="AA640" s="107"/>
      <c r="AB640" s="107"/>
      <c r="AC640" s="355"/>
      <c r="AD640" s="355"/>
      <c r="AE640" s="355"/>
      <c r="AF640" s="94">
        <f t="shared" si="82"/>
        <v>43039</v>
      </c>
      <c r="AG640" s="185">
        <f t="shared" si="86"/>
        <v>3.4080551092270372E-3</v>
      </c>
      <c r="AH640" s="339" t="str">
        <f>VLOOKUP(B640,'MF PF'!A:B,2)</f>
        <v>FdMgt1</v>
      </c>
      <c r="AI640" s="358">
        <f t="shared" si="83"/>
        <v>0</v>
      </c>
      <c r="AJ640" s="94">
        <f t="shared" si="84"/>
        <v>43039</v>
      </c>
    </row>
    <row r="641" spans="1:36" ht="12.75" customHeight="1">
      <c r="A641" s="94">
        <v>43069</v>
      </c>
      <c r="B641" s="94" t="s">
        <v>136</v>
      </c>
      <c r="C641" s="358" t="s">
        <v>302</v>
      </c>
      <c r="D641" s="374">
        <v>16957500</v>
      </c>
      <c r="E641" s="9" t="e">
        <f t="shared" si="88"/>
        <v>#DIV/0!</v>
      </c>
      <c r="F641" s="98">
        <v>12.5</v>
      </c>
      <c r="G641" s="98">
        <v>0</v>
      </c>
      <c r="H641" s="98">
        <v>0</v>
      </c>
      <c r="I641" s="98">
        <v>0</v>
      </c>
      <c r="J641" s="98"/>
      <c r="K641" s="93"/>
      <c r="L641" s="93">
        <f t="shared" si="80"/>
        <v>0</v>
      </c>
      <c r="M641" s="95" t="e">
        <f t="shared" ca="1" si="81"/>
        <v>#DIV/0!</v>
      </c>
      <c r="N641" s="95">
        <f>IF(P641="Hedge Fund",IF(A641=Summary!$AD$3,M641-E641,M641),IF(A641=Summary!$AD$3,L641-D641,L641))</f>
        <v>0</v>
      </c>
      <c r="O641" s="95">
        <f t="shared" si="85"/>
        <v>0</v>
      </c>
      <c r="P641" s="107" t="s">
        <v>155</v>
      </c>
      <c r="Q641" s="107">
        <v>0</v>
      </c>
      <c r="R641" s="107">
        <v>0</v>
      </c>
      <c r="S641" s="107">
        <v>0</v>
      </c>
      <c r="T641" s="107">
        <v>0</v>
      </c>
      <c r="U641" s="107"/>
      <c r="V641" s="107"/>
      <c r="W641" s="107"/>
      <c r="X641" s="107"/>
      <c r="Y641" s="107"/>
      <c r="Z641" s="107"/>
      <c r="AA641" s="107"/>
      <c r="AB641" s="107"/>
      <c r="AC641" s="355"/>
      <c r="AD641" s="355"/>
      <c r="AE641" s="355"/>
      <c r="AF641" s="94">
        <f t="shared" si="82"/>
        <v>43069</v>
      </c>
      <c r="AG641" s="185">
        <f t="shared" si="86"/>
        <v>-1.9456629404268622E-4</v>
      </c>
      <c r="AH641" s="339" t="str">
        <f>VLOOKUP(B641,'MF PF'!A:B,2)</f>
        <v>FdMgt1</v>
      </c>
      <c r="AI641" s="358">
        <f t="shared" si="83"/>
        <v>0</v>
      </c>
      <c r="AJ641" s="94">
        <f t="shared" si="84"/>
        <v>43069</v>
      </c>
    </row>
    <row r="642" spans="1:36" ht="12.75" customHeight="1">
      <c r="A642" s="8">
        <v>43098</v>
      </c>
      <c r="B642" s="94" t="s">
        <v>136</v>
      </c>
      <c r="C642" s="358" t="s">
        <v>302</v>
      </c>
      <c r="D642" s="374">
        <v>17419300</v>
      </c>
      <c r="E642" s="9" t="e">
        <f t="shared" si="88"/>
        <v>#DIV/0!</v>
      </c>
      <c r="F642" s="98">
        <v>12.5</v>
      </c>
      <c r="G642" s="98">
        <v>0</v>
      </c>
      <c r="H642" s="98">
        <v>0</v>
      </c>
      <c r="I642" s="98">
        <v>0</v>
      </c>
      <c r="J642" s="98"/>
      <c r="K642" s="93"/>
      <c r="L642" s="93">
        <f t="shared" si="80"/>
        <v>0</v>
      </c>
      <c r="M642" s="95" t="e">
        <f t="shared" ca="1" si="81"/>
        <v>#DIV/0!</v>
      </c>
      <c r="N642" s="95">
        <f>IF(P642="Hedge Fund",IF(A642=Summary!$AD$3,M642-E642,M642),IF(A642=Summary!$AD$3,L642-D642,L642))</f>
        <v>0</v>
      </c>
      <c r="O642" s="95">
        <f t="shared" si="85"/>
        <v>0</v>
      </c>
      <c r="P642" s="107" t="s">
        <v>155</v>
      </c>
      <c r="Q642" s="107">
        <v>0</v>
      </c>
      <c r="R642" s="107">
        <v>0</v>
      </c>
      <c r="S642" s="107">
        <v>0</v>
      </c>
      <c r="T642" s="107">
        <v>0</v>
      </c>
      <c r="U642" s="107"/>
      <c r="V642" s="107"/>
      <c r="W642" s="107"/>
      <c r="X642" s="107"/>
      <c r="Y642" s="107"/>
      <c r="Z642" s="107"/>
      <c r="AA642" s="107"/>
      <c r="AB642" s="107"/>
      <c r="AC642" s="355"/>
      <c r="AD642" s="355"/>
      <c r="AE642" s="355"/>
      <c r="AF642" s="94">
        <f t="shared" si="82"/>
        <v>43098</v>
      </c>
      <c r="AG642" s="185">
        <f t="shared" si="86"/>
        <v>2.7232787851982909E-2</v>
      </c>
      <c r="AH642" s="339" t="str">
        <f>VLOOKUP(B642,'MF PF'!A:B,2)</f>
        <v>FdMgt1</v>
      </c>
      <c r="AI642" s="358">
        <f t="shared" si="83"/>
        <v>0</v>
      </c>
      <c r="AJ642" s="94">
        <f t="shared" si="84"/>
        <v>43100</v>
      </c>
    </row>
    <row r="643" spans="1:36" ht="12.75" customHeight="1">
      <c r="A643" s="94">
        <v>43131</v>
      </c>
      <c r="B643" s="94" t="s">
        <v>136</v>
      </c>
      <c r="C643" s="358" t="s">
        <v>302</v>
      </c>
      <c r="D643" s="374">
        <v>17579700</v>
      </c>
      <c r="E643" s="9" t="e">
        <f t="shared" si="88"/>
        <v>#DIV/0!</v>
      </c>
      <c r="F643" s="98">
        <v>12.5</v>
      </c>
      <c r="G643" s="98">
        <v>0</v>
      </c>
      <c r="H643" s="98">
        <v>0</v>
      </c>
      <c r="I643" s="98">
        <v>0</v>
      </c>
      <c r="J643" s="98"/>
      <c r="K643" s="93"/>
      <c r="L643" s="93">
        <f t="shared" ref="L643:L706" si="89">G643+H643+I643</f>
        <v>0</v>
      </c>
      <c r="M643" s="95" t="e">
        <f t="shared" ref="M643:M706" ca="1" si="90">IF(A643&gt;INDIRECT("A"&amp;ROW()-1),I643/K643,E643)</f>
        <v>#DIV/0!</v>
      </c>
      <c r="N643" s="95">
        <f>IF(P643="Hedge Fund",IF(A643=Summary!$AD$3,M643-E643,M643),IF(A643=Summary!$AD$3,L643-D643,L643))</f>
        <v>0</v>
      </c>
      <c r="O643" s="95">
        <f t="shared" si="85"/>
        <v>0</v>
      </c>
      <c r="P643" s="107" t="s">
        <v>155</v>
      </c>
      <c r="Q643" s="107">
        <v>0</v>
      </c>
      <c r="R643" s="107">
        <v>0</v>
      </c>
      <c r="S643" s="107">
        <v>0</v>
      </c>
      <c r="T643" s="107">
        <v>0</v>
      </c>
      <c r="U643" s="107"/>
      <c r="V643" s="107"/>
      <c r="W643" s="107"/>
      <c r="X643" s="107"/>
      <c r="Y643" s="107"/>
      <c r="Z643" s="107"/>
      <c r="AA643" s="107"/>
      <c r="AB643" s="107"/>
      <c r="AC643" s="355"/>
      <c r="AD643" s="355"/>
      <c r="AE643" s="355"/>
      <c r="AF643" s="94">
        <f t="shared" ref="AF643:AF706" si="91">A643</f>
        <v>43131</v>
      </c>
      <c r="AG643" s="185">
        <f t="shared" si="86"/>
        <v>9.2081771368539567E-3</v>
      </c>
      <c r="AH643" s="339" t="str">
        <f>VLOOKUP(B643,'MF PF'!A:B,2)</f>
        <v>FdMgt1</v>
      </c>
      <c r="AI643" s="358">
        <f t="shared" ref="AI643:AI706" si="92">AF643-A643</f>
        <v>0</v>
      </c>
      <c r="AJ643" s="94">
        <f t="shared" ref="AJ643:AJ706" si="93">EOMONTH(A643,0)</f>
        <v>43131</v>
      </c>
    </row>
    <row r="644" spans="1:36" ht="12.75" customHeight="1">
      <c r="A644" s="8">
        <v>43159</v>
      </c>
      <c r="B644" s="94" t="s">
        <v>136</v>
      </c>
      <c r="C644" s="358" t="s">
        <v>302</v>
      </c>
      <c r="D644" s="374">
        <v>17774999.809999999</v>
      </c>
      <c r="E644" s="9" t="e">
        <f t="shared" si="88"/>
        <v>#DIV/0!</v>
      </c>
      <c r="F644" s="47">
        <v>12.5</v>
      </c>
      <c r="G644" s="47">
        <v>0</v>
      </c>
      <c r="H644" s="47">
        <v>0</v>
      </c>
      <c r="I644" s="47">
        <v>0</v>
      </c>
      <c r="J644" s="98"/>
      <c r="K644" s="93"/>
      <c r="L644" s="93">
        <f t="shared" si="89"/>
        <v>0</v>
      </c>
      <c r="M644" s="95" t="e">
        <f t="shared" ca="1" si="90"/>
        <v>#DIV/0!</v>
      </c>
      <c r="N644" s="95">
        <f>IF(P644="Hedge Fund",IF(A644=Summary!$AD$3,M644-E644,M644),IF(A644=Summary!$AD$3,L644-D644,L644))</f>
        <v>0</v>
      </c>
      <c r="O644" s="95">
        <f t="shared" si="85"/>
        <v>0</v>
      </c>
      <c r="P644" s="89" t="s">
        <v>155</v>
      </c>
      <c r="Q644" s="89">
        <v>0</v>
      </c>
      <c r="R644" s="107">
        <v>0</v>
      </c>
      <c r="S644" s="89">
        <v>0</v>
      </c>
      <c r="T644" s="89">
        <v>0</v>
      </c>
      <c r="U644" s="89"/>
      <c r="V644" s="89"/>
      <c r="W644" s="89"/>
      <c r="X644" s="89"/>
      <c r="Y644" s="89"/>
      <c r="Z644" s="89"/>
      <c r="AA644" s="89"/>
      <c r="AB644" s="89"/>
      <c r="AC644" s="355"/>
      <c r="AD644" s="355"/>
      <c r="AE644" s="355"/>
      <c r="AF644" s="94">
        <f t="shared" si="91"/>
        <v>43159</v>
      </c>
      <c r="AG644" s="185">
        <f t="shared" si="86"/>
        <v>1.1109393789427546E-2</v>
      </c>
      <c r="AH644" s="339" t="str">
        <f>VLOOKUP(B644,'MF PF'!A:B,2)</f>
        <v>FdMgt1</v>
      </c>
      <c r="AI644" s="358">
        <f t="shared" si="92"/>
        <v>0</v>
      </c>
      <c r="AJ644" s="94">
        <f t="shared" si="93"/>
        <v>43159</v>
      </c>
    </row>
    <row r="645" spans="1:36" ht="12.75" customHeight="1">
      <c r="A645" s="8">
        <v>43188</v>
      </c>
      <c r="B645" s="94" t="s">
        <v>136</v>
      </c>
      <c r="C645" s="358" t="s">
        <v>302</v>
      </c>
      <c r="D645" s="374">
        <v>17918458.056000002</v>
      </c>
      <c r="E645" s="9" t="e">
        <f t="shared" si="88"/>
        <v>#DIV/0!</v>
      </c>
      <c r="F645" s="47">
        <v>12.5</v>
      </c>
      <c r="G645" s="47">
        <v>0</v>
      </c>
      <c r="H645" s="47">
        <v>0</v>
      </c>
      <c r="I645" s="47">
        <v>0</v>
      </c>
      <c r="J645" s="98"/>
      <c r="K645" s="93"/>
      <c r="L645" s="93">
        <f t="shared" si="89"/>
        <v>0</v>
      </c>
      <c r="M645" s="95" t="e">
        <f t="shared" ca="1" si="90"/>
        <v>#DIV/0!</v>
      </c>
      <c r="N645" s="95">
        <f>IF(P645="Hedge Fund",IF(A645=Summary!$AD$3,M645-E645,M645),IF(A645=Summary!$AD$3,L645-D645,L645))</f>
        <v>0</v>
      </c>
      <c r="O645" s="95">
        <f t="shared" si="85"/>
        <v>0</v>
      </c>
      <c r="P645" s="89" t="s">
        <v>155</v>
      </c>
      <c r="Q645" s="109">
        <v>5.5369108026619186E-2</v>
      </c>
      <c r="R645" s="109">
        <v>0.73888064399999986</v>
      </c>
      <c r="S645" s="89">
        <v>0</v>
      </c>
      <c r="T645" s="89">
        <v>0</v>
      </c>
      <c r="U645" s="89"/>
      <c r="V645" s="89"/>
      <c r="W645" s="89"/>
      <c r="X645" s="89"/>
      <c r="Y645" s="89"/>
      <c r="Z645" s="89"/>
      <c r="AA645" s="89"/>
      <c r="AB645" s="89"/>
      <c r="AC645" s="355"/>
      <c r="AD645" s="355"/>
      <c r="AE645" s="355"/>
      <c r="AF645" s="94">
        <f t="shared" si="91"/>
        <v>43188</v>
      </c>
      <c r="AG645" s="185">
        <f t="shared" si="86"/>
        <v>8.0707874843011229E-3</v>
      </c>
      <c r="AH645" s="339" t="str">
        <f>VLOOKUP(B645,'MF PF'!A:B,2)</f>
        <v>FdMgt1</v>
      </c>
      <c r="AI645" s="358">
        <f t="shared" si="92"/>
        <v>0</v>
      </c>
      <c r="AJ645" s="94">
        <f t="shared" si="93"/>
        <v>43190</v>
      </c>
    </row>
    <row r="646" spans="1:36" ht="12.75" customHeight="1">
      <c r="A646" s="94">
        <v>43220</v>
      </c>
      <c r="B646" s="94" t="s">
        <v>136</v>
      </c>
      <c r="C646" s="358" t="s">
        <v>302</v>
      </c>
      <c r="D646" s="374">
        <v>18150563.9168</v>
      </c>
      <c r="E646" s="9" t="e">
        <f t="shared" si="88"/>
        <v>#DIV/0!</v>
      </c>
      <c r="F646" s="98">
        <v>12.5</v>
      </c>
      <c r="G646" s="98">
        <v>0</v>
      </c>
      <c r="H646" s="98">
        <v>0</v>
      </c>
      <c r="I646" s="98">
        <v>0</v>
      </c>
      <c r="J646" s="98"/>
      <c r="K646" s="93"/>
      <c r="L646" s="93">
        <f t="shared" si="89"/>
        <v>0</v>
      </c>
      <c r="M646" s="95" t="e">
        <f t="shared" ca="1" si="90"/>
        <v>#DIV/0!</v>
      </c>
      <c r="N646" s="95">
        <f>IF(P646="Hedge Fund",IF(A646=Summary!$AD$3,M646-E646,M646),IF(A646=Summary!$AD$3,L646-D646,L646))</f>
        <v>0</v>
      </c>
      <c r="O646" s="95">
        <f t="shared" si="85"/>
        <v>0</v>
      </c>
      <c r="P646" s="107" t="s">
        <v>155</v>
      </c>
      <c r="Q646" s="109">
        <v>0</v>
      </c>
      <c r="R646" s="109">
        <v>0.77053143999999996</v>
      </c>
      <c r="S646" s="107">
        <v>0</v>
      </c>
      <c r="T646" s="107">
        <v>0</v>
      </c>
      <c r="U646" s="107"/>
      <c r="V646" s="107"/>
      <c r="W646" s="107"/>
      <c r="X646" s="107"/>
      <c r="Y646" s="107"/>
      <c r="Z646" s="107"/>
      <c r="AA646" s="107"/>
      <c r="AB646" s="107"/>
      <c r="AC646" s="355"/>
      <c r="AD646" s="355"/>
      <c r="AE646" s="355"/>
      <c r="AF646" s="94">
        <f t="shared" si="91"/>
        <v>43220</v>
      </c>
      <c r="AG646" s="185">
        <f t="shared" si="86"/>
        <v>1.2953450574519465E-2</v>
      </c>
      <c r="AH646" s="339" t="str">
        <f>VLOOKUP(B646,'MF PF'!A:B,2)</f>
        <v>FdMgt1</v>
      </c>
      <c r="AI646" s="358">
        <f t="shared" si="92"/>
        <v>0</v>
      </c>
      <c r="AJ646" s="94">
        <f t="shared" si="93"/>
        <v>43220</v>
      </c>
    </row>
    <row r="647" spans="1:36" ht="12.75" customHeight="1">
      <c r="A647" s="8">
        <v>43251</v>
      </c>
      <c r="B647" s="358" t="s">
        <v>136</v>
      </c>
      <c r="C647" s="94" t="s">
        <v>302</v>
      </c>
      <c r="D647" s="374">
        <v>18262436.899999999</v>
      </c>
      <c r="E647" s="9" t="e">
        <f t="shared" si="88"/>
        <v>#DIV/0!</v>
      </c>
      <c r="F647" s="98">
        <v>12.5</v>
      </c>
      <c r="G647" s="98">
        <v>0</v>
      </c>
      <c r="H647" s="98">
        <v>0</v>
      </c>
      <c r="I647" s="110">
        <v>0</v>
      </c>
      <c r="J647" s="110"/>
      <c r="K647" s="93"/>
      <c r="L647" s="93">
        <f t="shared" si="89"/>
        <v>0</v>
      </c>
      <c r="M647" s="95" t="e">
        <f t="shared" ca="1" si="90"/>
        <v>#DIV/0!</v>
      </c>
      <c r="N647" s="95">
        <f>IF(P647="Hedge Fund",IF(A647=Summary!$AD$3,M647-E647,M647),IF(A647=Summary!$AD$3,L647-D647,L647))</f>
        <v>0</v>
      </c>
      <c r="O647" s="95">
        <f t="shared" si="85"/>
        <v>0</v>
      </c>
      <c r="P647" s="107" t="s">
        <v>155</v>
      </c>
      <c r="Q647" s="109">
        <v>0</v>
      </c>
      <c r="R647" s="109">
        <v>0.78578685000000004</v>
      </c>
      <c r="S647" s="107">
        <v>0</v>
      </c>
      <c r="T647" s="107">
        <v>0</v>
      </c>
      <c r="U647" s="107"/>
      <c r="V647" s="107"/>
      <c r="W647" s="107"/>
      <c r="X647" s="107"/>
      <c r="Y647" s="107"/>
      <c r="Z647" s="107"/>
      <c r="AA647" s="107"/>
      <c r="AB647" s="107"/>
      <c r="AC647" s="355"/>
      <c r="AD647" s="355"/>
      <c r="AE647" s="355"/>
      <c r="AF647" s="94">
        <f t="shared" si="91"/>
        <v>43251</v>
      </c>
      <c r="AG647" s="185">
        <f t="shared" si="86"/>
        <v>6.1636092251904362E-3</v>
      </c>
      <c r="AH647" s="339" t="str">
        <f>VLOOKUP(B647,'MF PF'!A:B,2)</f>
        <v>FdMgt1</v>
      </c>
      <c r="AI647" s="358">
        <f t="shared" si="92"/>
        <v>0</v>
      </c>
      <c r="AJ647" s="94">
        <f t="shared" si="93"/>
        <v>43251</v>
      </c>
    </row>
    <row r="648" spans="1:36" ht="12.75" customHeight="1">
      <c r="A648" s="8">
        <v>43280</v>
      </c>
      <c r="B648" s="358" t="s">
        <v>136</v>
      </c>
      <c r="C648" s="94" t="s">
        <v>302</v>
      </c>
      <c r="D648" s="374">
        <v>18347434.128800001</v>
      </c>
      <c r="E648" s="9" t="e">
        <f t="shared" si="88"/>
        <v>#DIV/0!</v>
      </c>
      <c r="F648" s="47">
        <v>12.5</v>
      </c>
      <c r="G648" s="47">
        <v>0</v>
      </c>
      <c r="H648" s="47">
        <v>0</v>
      </c>
      <c r="I648" s="110">
        <v>0</v>
      </c>
      <c r="J648" s="110"/>
      <c r="K648" s="93"/>
      <c r="L648" s="93">
        <f t="shared" si="89"/>
        <v>0</v>
      </c>
      <c r="M648" s="95" t="e">
        <f t="shared" ca="1" si="90"/>
        <v>#DIV/0!</v>
      </c>
      <c r="N648" s="95">
        <f>IF(P648="Hedge Fund",IF(A648=Summary!$AD$3,M648-E648,M648),IF(A648=Summary!$AD$3,L648-D648,L648))</f>
        <v>0</v>
      </c>
      <c r="O648" s="95">
        <f t="shared" si="85"/>
        <v>0</v>
      </c>
      <c r="P648" s="89" t="s">
        <v>155</v>
      </c>
      <c r="Q648" s="109">
        <v>5.8082179999999997E-2</v>
      </c>
      <c r="R648" s="109">
        <v>0.79737738120000012</v>
      </c>
      <c r="S648" s="89">
        <v>0</v>
      </c>
      <c r="T648" s="89">
        <v>0</v>
      </c>
      <c r="U648" s="89"/>
      <c r="V648" s="89"/>
      <c r="W648" s="89"/>
      <c r="X648" s="89"/>
      <c r="Y648" s="89"/>
      <c r="Z648" s="89"/>
      <c r="AA648" s="89"/>
      <c r="AB648" s="89"/>
      <c r="AC648" s="355"/>
      <c r="AD648" s="355"/>
      <c r="AE648" s="355"/>
      <c r="AF648" s="94">
        <f t="shared" si="91"/>
        <v>43280</v>
      </c>
      <c r="AG648" s="185">
        <f t="shared" si="86"/>
        <v>4.6542106765610214E-3</v>
      </c>
      <c r="AH648" s="339" t="str">
        <f>VLOOKUP(B648,'MF PF'!A:B,2)</f>
        <v>FdMgt1</v>
      </c>
      <c r="AI648" s="358">
        <f t="shared" si="92"/>
        <v>0</v>
      </c>
      <c r="AJ648" s="94">
        <f t="shared" si="93"/>
        <v>43281</v>
      </c>
    </row>
    <row r="649" spans="1:36" ht="12.75" customHeight="1">
      <c r="A649" s="94">
        <v>43312</v>
      </c>
      <c r="B649" s="358" t="s">
        <v>136</v>
      </c>
      <c r="C649" s="94" t="s">
        <v>302</v>
      </c>
      <c r="D649" s="374">
        <v>16928343.462400001</v>
      </c>
      <c r="E649" s="9" t="str">
        <f>IF(K649="","",D649/K649)</f>
        <v/>
      </c>
      <c r="F649" s="47">
        <v>12.5</v>
      </c>
      <c r="G649" s="47">
        <v>0</v>
      </c>
      <c r="H649" s="47">
        <v>0</v>
      </c>
      <c r="I649" s="47">
        <v>0</v>
      </c>
      <c r="J649" s="98"/>
      <c r="K649" s="93"/>
      <c r="L649" s="93">
        <f t="shared" si="89"/>
        <v>0</v>
      </c>
      <c r="M649" s="95" t="e">
        <f t="shared" ca="1" si="90"/>
        <v>#DIV/0!</v>
      </c>
      <c r="N649" s="95">
        <f>IF(P649="Hedge Fund",IF(A649=Summary!$AD$3,M649-E649,M649),IF(A649=Summary!$AD$3,L649-D649,L649))</f>
        <v>0</v>
      </c>
      <c r="O649" s="95">
        <f t="shared" si="85"/>
        <v>0</v>
      </c>
      <c r="P649" s="89" t="s">
        <v>155</v>
      </c>
      <c r="Q649" s="107">
        <v>0</v>
      </c>
      <c r="R649" s="109">
        <f>603865.0176/10^6</f>
        <v>0.6038650176</v>
      </c>
      <c r="S649" s="89">
        <v>0</v>
      </c>
      <c r="T649" s="89">
        <v>0</v>
      </c>
      <c r="U649" s="89"/>
      <c r="V649" s="89"/>
      <c r="W649" s="89"/>
      <c r="X649" s="89"/>
      <c r="Y649" s="89"/>
      <c r="Z649" s="89"/>
      <c r="AA649" s="89"/>
      <c r="AB649" s="89"/>
      <c r="AC649" s="355"/>
      <c r="AD649" s="355"/>
      <c r="AE649" s="355"/>
      <c r="AF649" s="94">
        <f t="shared" si="91"/>
        <v>43312</v>
      </c>
      <c r="AG649" s="185">
        <f t="shared" si="86"/>
        <v>-7.7345456396676782E-2</v>
      </c>
      <c r="AH649" s="339" t="str">
        <f>VLOOKUP(B649,'MF PF'!A:B,2)</f>
        <v>FdMgt1</v>
      </c>
      <c r="AI649" s="358">
        <f t="shared" si="92"/>
        <v>0</v>
      </c>
      <c r="AJ649" s="94">
        <f t="shared" si="93"/>
        <v>43312</v>
      </c>
    </row>
    <row r="650" spans="1:36" ht="12.75" customHeight="1">
      <c r="A650" s="94">
        <v>43343</v>
      </c>
      <c r="B650" s="358" t="s">
        <v>136</v>
      </c>
      <c r="C650" s="94" t="s">
        <v>302</v>
      </c>
      <c r="D650" s="374">
        <v>14215265.427999999</v>
      </c>
      <c r="E650" s="9" t="str">
        <f>IF(K650="","",D650/K650)</f>
        <v/>
      </c>
      <c r="F650" s="47">
        <v>12.5</v>
      </c>
      <c r="G650" s="47">
        <v>0</v>
      </c>
      <c r="H650" s="47">
        <v>0</v>
      </c>
      <c r="I650" s="47">
        <v>-2742578.6</v>
      </c>
      <c r="J650" s="98"/>
      <c r="K650" s="93"/>
      <c r="L650" s="93">
        <f t="shared" si="89"/>
        <v>-2742578.6</v>
      </c>
      <c r="M650" s="95" t="e">
        <f t="shared" ca="1" si="90"/>
        <v>#DIV/0!</v>
      </c>
      <c r="N650" s="95">
        <f>IF(P650="Hedge Fund",IF(A650=Summary!$AD$3,M650-E650,M650),IF(A650=Summary!$AD$3,L650-D650,L650))</f>
        <v>-2742578.6</v>
      </c>
      <c r="O650" s="95">
        <f t="shared" si="85"/>
        <v>-2742578.6</v>
      </c>
      <c r="P650" s="89" t="s">
        <v>155</v>
      </c>
      <c r="Q650" s="107">
        <v>0</v>
      </c>
      <c r="R650" s="109">
        <v>0.60788782199999991</v>
      </c>
      <c r="S650" s="89">
        <v>0</v>
      </c>
      <c r="T650" s="89">
        <v>0</v>
      </c>
      <c r="U650" s="89"/>
      <c r="V650" s="89"/>
      <c r="W650" s="89"/>
      <c r="X650" s="89"/>
      <c r="Y650" s="89"/>
      <c r="Z650" s="89"/>
      <c r="AA650" s="89"/>
      <c r="AB650" s="89"/>
      <c r="AC650" s="355"/>
      <c r="AD650" s="355"/>
      <c r="AE650" s="355"/>
      <c r="AF650" s="94">
        <f t="shared" si="91"/>
        <v>43343</v>
      </c>
      <c r="AG650" s="185">
        <f t="shared" si="86"/>
        <v>1.7426729121798878E-3</v>
      </c>
      <c r="AH650" s="339" t="str">
        <f>VLOOKUP(B650,'MF PF'!A:B,2)</f>
        <v>FdMgt1</v>
      </c>
      <c r="AI650" s="358">
        <f t="shared" si="92"/>
        <v>0</v>
      </c>
      <c r="AJ650" s="94">
        <f t="shared" si="93"/>
        <v>43343</v>
      </c>
    </row>
    <row r="651" spans="1:36" ht="12.75" customHeight="1">
      <c r="A651" s="94">
        <v>43371</v>
      </c>
      <c r="B651" s="358" t="s">
        <v>136</v>
      </c>
      <c r="C651" s="358" t="s">
        <v>302</v>
      </c>
      <c r="D651" s="374">
        <v>15391233.584000001</v>
      </c>
      <c r="F651" s="105">
        <v>12.5</v>
      </c>
      <c r="G651" s="93">
        <v>0</v>
      </c>
      <c r="H651" s="93">
        <v>0</v>
      </c>
      <c r="I651" s="93">
        <v>0</v>
      </c>
      <c r="K651" s="93">
        <v>0</v>
      </c>
      <c r="L651" s="93">
        <f t="shared" si="89"/>
        <v>0</v>
      </c>
      <c r="M651" s="95" t="e">
        <f t="shared" ca="1" si="90"/>
        <v>#DIV/0!</v>
      </c>
      <c r="N651" s="95">
        <f>IF(P651="Hedge Fund",IF(A651=Summary!$AD$3,M651-E651,M651),IF(A651=Summary!$AD$3,L651-D651,L651))</f>
        <v>0</v>
      </c>
      <c r="O651" s="95">
        <f t="shared" si="85"/>
        <v>0</v>
      </c>
      <c r="P651" s="95" t="s">
        <v>155</v>
      </c>
      <c r="Q651" s="95">
        <v>4.8490697976908977E-2</v>
      </c>
      <c r="R651" s="95">
        <v>0.76824711599999984</v>
      </c>
      <c r="S651" s="95"/>
      <c r="T651" s="95"/>
      <c r="U651" s="95"/>
      <c r="V651" s="95"/>
      <c r="W651" s="95"/>
      <c r="X651" s="95"/>
      <c r="Y651" s="95"/>
      <c r="Z651" s="95"/>
      <c r="AA651" s="95"/>
      <c r="AB651" s="95"/>
      <c r="AC651" s="355"/>
      <c r="AD651" s="355"/>
      <c r="AE651" s="355"/>
      <c r="AF651" s="94">
        <f t="shared" si="91"/>
        <v>43371</v>
      </c>
      <c r="AG651" s="185">
        <f t="shared" si="86"/>
        <v>8.2725726224125218E-2</v>
      </c>
      <c r="AH651" s="339" t="str">
        <f>VLOOKUP(B651,'MF PF'!A:B,2)</f>
        <v>FdMgt1</v>
      </c>
      <c r="AI651" s="358">
        <f t="shared" si="92"/>
        <v>0</v>
      </c>
      <c r="AJ651" s="94">
        <f t="shared" si="93"/>
        <v>43373</v>
      </c>
    </row>
    <row r="652" spans="1:36" ht="12.75" customHeight="1">
      <c r="A652" s="94">
        <v>43404</v>
      </c>
      <c r="B652" s="358" t="s">
        <v>136</v>
      </c>
      <c r="C652" s="358" t="s">
        <v>302</v>
      </c>
      <c r="D652" s="374">
        <v>15343742.5624</v>
      </c>
      <c r="F652" s="105">
        <v>12.5</v>
      </c>
      <c r="G652" s="93">
        <v>0</v>
      </c>
      <c r="H652" s="93">
        <v>0</v>
      </c>
      <c r="I652" s="93">
        <v>0</v>
      </c>
      <c r="J652" s="93">
        <v>0</v>
      </c>
      <c r="K652" s="93"/>
      <c r="L652" s="93">
        <f t="shared" si="89"/>
        <v>0</v>
      </c>
      <c r="M652" s="95" t="e">
        <f t="shared" ca="1" si="90"/>
        <v>#DIV/0!</v>
      </c>
      <c r="N652" s="95">
        <f>IF(P652="Hedge Fund",IF(A652=Summary!$AD$3,M652-E652,M652),IF(A652=Summary!$AD$3,L652-D652,L652))</f>
        <v>0</v>
      </c>
      <c r="O652" s="95">
        <f t="shared" si="85"/>
        <v>0</v>
      </c>
      <c r="P652" s="95" t="s">
        <v>155</v>
      </c>
      <c r="Q652" s="95">
        <v>1.7492357180470468E-2</v>
      </c>
      <c r="R652" s="95">
        <v>0.76177106760000002</v>
      </c>
      <c r="S652" s="95"/>
      <c r="T652" s="95"/>
      <c r="U652" s="95"/>
      <c r="V652" s="95"/>
      <c r="W652" s="95"/>
      <c r="X652" s="95"/>
      <c r="Y652" s="95"/>
      <c r="Z652" s="95"/>
      <c r="AA652" s="95"/>
      <c r="AB652" s="95"/>
      <c r="AC652" s="355"/>
      <c r="AD652" s="355"/>
      <c r="AE652" s="355"/>
      <c r="AF652" s="94">
        <f t="shared" si="91"/>
        <v>43404</v>
      </c>
      <c r="AG652" s="185">
        <f t="shared" si="86"/>
        <v>-3.0855890361750626E-3</v>
      </c>
      <c r="AH652" s="339" t="str">
        <f>VLOOKUP(B652,'MF PF'!A:B,2)</f>
        <v>FdMgt1</v>
      </c>
      <c r="AI652" s="358">
        <f t="shared" si="92"/>
        <v>0</v>
      </c>
      <c r="AJ652" s="94">
        <f t="shared" si="93"/>
        <v>43404</v>
      </c>
    </row>
    <row r="653" spans="1:36" ht="12.75" customHeight="1">
      <c r="A653" s="8">
        <v>43434</v>
      </c>
      <c r="B653" s="358" t="s">
        <v>136</v>
      </c>
      <c r="C653" s="92" t="s">
        <v>302</v>
      </c>
      <c r="D653" s="374">
        <v>15459243.6712</v>
      </c>
      <c r="F653" s="105">
        <v>12.5</v>
      </c>
      <c r="G653" s="93">
        <v>0</v>
      </c>
      <c r="H653" s="93">
        <v>0</v>
      </c>
      <c r="I653" s="93">
        <v>0</v>
      </c>
      <c r="K653" s="93">
        <v>0</v>
      </c>
      <c r="L653" s="93">
        <f t="shared" si="89"/>
        <v>0</v>
      </c>
      <c r="M653" s="95" t="e">
        <f t="shared" ca="1" si="90"/>
        <v>#DIV/0!</v>
      </c>
      <c r="N653" s="95">
        <f>IF(P653="Hedge Fund",IF(A653=Summary!$AD$3,M653-E653,M653),IF(A653=Summary!$AD$3,L653-D653,L653))</f>
        <v>0</v>
      </c>
      <c r="O653" s="95">
        <f t="shared" si="85"/>
        <v>0</v>
      </c>
      <c r="P653" s="95" t="s">
        <v>155</v>
      </c>
      <c r="Q653" s="95">
        <v>3.3699921632151547E-2</v>
      </c>
      <c r="R653" s="95">
        <v>0.77752121880000002</v>
      </c>
      <c r="S653" s="95"/>
      <c r="T653" s="95"/>
      <c r="U653" s="95"/>
      <c r="V653" s="95"/>
      <c r="W653" s="95"/>
      <c r="X653" s="95"/>
      <c r="Y653" s="95"/>
      <c r="Z653" s="95"/>
      <c r="AA653" s="95"/>
      <c r="AB653" s="95"/>
      <c r="AC653" s="355"/>
      <c r="AD653" s="355"/>
      <c r="AE653" s="355"/>
      <c r="AF653" s="94">
        <f t="shared" si="91"/>
        <v>43434</v>
      </c>
      <c r="AG653" s="185">
        <f t="shared" si="86"/>
        <v>7.5275708211526293E-3</v>
      </c>
      <c r="AH653" s="339" t="str">
        <f>VLOOKUP(B653,'MF PF'!A:B,2)</f>
        <v>FdMgt1</v>
      </c>
      <c r="AI653" s="358">
        <f t="shared" si="92"/>
        <v>0</v>
      </c>
      <c r="AJ653" s="94">
        <f t="shared" si="93"/>
        <v>43434</v>
      </c>
    </row>
    <row r="654" spans="1:36" ht="12.75" customHeight="1">
      <c r="A654" s="94">
        <v>43452</v>
      </c>
      <c r="B654" s="358" t="s">
        <v>136</v>
      </c>
      <c r="C654" s="358" t="s">
        <v>302</v>
      </c>
      <c r="D654" s="93"/>
      <c r="F654" s="93"/>
      <c r="G654" s="93"/>
      <c r="H654" s="93"/>
      <c r="I654" s="93">
        <v>-285584.75877260597</v>
      </c>
      <c r="K654" s="93"/>
      <c r="L654" s="93">
        <f t="shared" si="89"/>
        <v>-285584.75877260597</v>
      </c>
      <c r="M654" s="95" t="e">
        <f t="shared" ca="1" si="90"/>
        <v>#DIV/0!</v>
      </c>
      <c r="N654" s="95">
        <f>IF(P654="Hedge Fund",IF(A654=Summary!$AD$3,M654-E654,M654),IF(A654=Summary!$AD$3,L654-D654,L654))</f>
        <v>-285584.75877260597</v>
      </c>
      <c r="O654" s="95">
        <f t="shared" ref="O654:O717" si="94">N654</f>
        <v>-285584.75877260597</v>
      </c>
      <c r="P654" s="95" t="s">
        <v>155</v>
      </c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  <c r="AC654" s="355"/>
      <c r="AD654" s="355"/>
      <c r="AE654" s="355"/>
      <c r="AF654" s="94">
        <f t="shared" si="91"/>
        <v>43452</v>
      </c>
      <c r="AG654" s="185">
        <f t="shared" si="86"/>
        <v>-0.98152660215165377</v>
      </c>
      <c r="AH654" s="339" t="str">
        <f>VLOOKUP(B654,'MF PF'!A:B,2)</f>
        <v>FdMgt1</v>
      </c>
      <c r="AI654" s="358">
        <f t="shared" si="92"/>
        <v>0</v>
      </c>
      <c r="AJ654" s="94">
        <f t="shared" si="93"/>
        <v>43465</v>
      </c>
    </row>
    <row r="655" spans="1:36" ht="12.75" customHeight="1">
      <c r="A655" s="94">
        <v>43465</v>
      </c>
      <c r="B655" s="358" t="s">
        <v>136</v>
      </c>
      <c r="C655" s="358" t="s">
        <v>302</v>
      </c>
      <c r="D655" s="93">
        <v>15438642.688200001</v>
      </c>
      <c r="F655" s="93">
        <v>12.5</v>
      </c>
      <c r="G655" s="93">
        <v>0</v>
      </c>
      <c r="H655" s="93">
        <v>0</v>
      </c>
      <c r="I655" s="93">
        <v>0</v>
      </c>
      <c r="K655" s="7">
        <v>0</v>
      </c>
      <c r="L655" s="93">
        <f t="shared" si="89"/>
        <v>0</v>
      </c>
      <c r="M655" s="95" t="e">
        <f t="shared" ca="1" si="90"/>
        <v>#DIV/0!</v>
      </c>
      <c r="N655" s="95">
        <f>IF(P655="Hedge Fund",IF(A655=Summary!$AD$3,M655-E655,M655),IF(A655=Summary!$AD$3,L655-D655,L655))</f>
        <v>0</v>
      </c>
      <c r="O655" s="95">
        <f t="shared" si="94"/>
        <v>0</v>
      </c>
      <c r="P655" s="95" t="s">
        <v>155</v>
      </c>
      <c r="Q655" s="95">
        <v>1.7660059066085795E-2</v>
      </c>
      <c r="R655" s="95">
        <v>0.82127695180729998</v>
      </c>
      <c r="S655" s="95"/>
      <c r="T655" s="95"/>
      <c r="U655" s="95"/>
      <c r="V655" s="95"/>
      <c r="W655" s="95"/>
      <c r="X655" s="95"/>
      <c r="Y655" s="95"/>
      <c r="Z655" s="95"/>
      <c r="AA655" s="95"/>
      <c r="AB655" s="95"/>
      <c r="AC655" s="355"/>
      <c r="AD655" s="355"/>
      <c r="AE655" s="355"/>
      <c r="AF655" s="94">
        <f t="shared" si="91"/>
        <v>43465</v>
      </c>
      <c r="AG655" s="185" t="e">
        <f t="shared" ref="AG655:AG718" si="95">IF(C655&lt;&gt;C654,D655/G655-1,(D655-G655-I655-H655)/(D654)-1)</f>
        <v>#DIV/0!</v>
      </c>
      <c r="AH655" s="339" t="str">
        <f>VLOOKUP(B655,'MF PF'!A:B,2)</f>
        <v>FdMgt1</v>
      </c>
      <c r="AI655" s="358">
        <f t="shared" si="92"/>
        <v>0</v>
      </c>
      <c r="AJ655" s="94">
        <f t="shared" si="93"/>
        <v>43465</v>
      </c>
    </row>
    <row r="656" spans="1:36" ht="12.75" customHeight="1">
      <c r="A656" s="94">
        <v>43487</v>
      </c>
      <c r="B656" s="358" t="s">
        <v>136</v>
      </c>
      <c r="C656" s="358" t="s">
        <v>302</v>
      </c>
      <c r="D656" s="93"/>
      <c r="F656" s="93"/>
      <c r="G656" s="93"/>
      <c r="H656" s="93"/>
      <c r="I656" s="93">
        <v>-904533.37655796844</v>
      </c>
      <c r="L656" s="93">
        <f t="shared" si="89"/>
        <v>-904533.37655796844</v>
      </c>
      <c r="M656" s="95" t="e">
        <f t="shared" ca="1" si="90"/>
        <v>#DIV/0!</v>
      </c>
      <c r="N656" s="95">
        <f>IF(P656="Hedge Fund",IF(A656=Summary!$AD$3,M656-E656,M656),IF(A656=Summary!$AD$3,L656-D656,L656))</f>
        <v>-904533.37655796844</v>
      </c>
      <c r="O656" s="95">
        <f t="shared" si="94"/>
        <v>-904533.37655796844</v>
      </c>
      <c r="P656" s="95" t="s">
        <v>155</v>
      </c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  <c r="AC656" s="355"/>
      <c r="AD656" s="355"/>
      <c r="AE656" s="355"/>
      <c r="AF656" s="94">
        <f t="shared" si="91"/>
        <v>43487</v>
      </c>
      <c r="AG656" s="185">
        <f t="shared" si="95"/>
        <v>-0.94141108160697851</v>
      </c>
      <c r="AH656" s="339" t="str">
        <f>VLOOKUP(B656,'MF PF'!A:B,2)</f>
        <v>FdMgt1</v>
      </c>
      <c r="AI656" s="358">
        <f t="shared" si="92"/>
        <v>0</v>
      </c>
      <c r="AJ656" s="94">
        <f t="shared" si="93"/>
        <v>43496</v>
      </c>
    </row>
    <row r="657" spans="1:36" ht="12.75" customHeight="1">
      <c r="A657" s="94">
        <v>43496</v>
      </c>
      <c r="B657" s="358" t="s">
        <v>136</v>
      </c>
      <c r="C657" s="92" t="s">
        <v>302</v>
      </c>
      <c r="D657" s="93">
        <v>14650629.923900001</v>
      </c>
      <c r="F657" s="93">
        <v>12.5</v>
      </c>
      <c r="G657" s="93">
        <v>0</v>
      </c>
      <c r="H657" s="93">
        <v>0</v>
      </c>
      <c r="I657" s="93">
        <v>0</v>
      </c>
      <c r="K657" s="93">
        <v>0</v>
      </c>
      <c r="L657" s="93">
        <f t="shared" si="89"/>
        <v>0</v>
      </c>
      <c r="M657" s="95" t="e">
        <f t="shared" ca="1" si="90"/>
        <v>#DIV/0!</v>
      </c>
      <c r="N657" s="95">
        <f>IF(P657="Hedge Fund",IF(A657=Summary!$AD$3,M657-E657,M657),IF(A657=Summary!$AD$3,L657-D657,L657))</f>
        <v>-14650629.923900001</v>
      </c>
      <c r="O657" s="95">
        <f t="shared" si="94"/>
        <v>-14650629.923900001</v>
      </c>
      <c r="P657" s="95" t="s">
        <v>155</v>
      </c>
      <c r="Q657" s="380">
        <v>0</v>
      </c>
      <c r="R657" s="95">
        <v>0.8417784760580731</v>
      </c>
      <c r="S657" s="95"/>
      <c r="T657" s="95"/>
      <c r="U657" s="95"/>
      <c r="V657" s="95"/>
      <c r="W657" s="95"/>
      <c r="X657" s="95"/>
      <c r="Y657" s="95"/>
      <c r="Z657" s="95"/>
      <c r="AA657" s="95"/>
      <c r="AB657" s="95"/>
      <c r="AC657" s="355"/>
      <c r="AD657" s="355"/>
      <c r="AE657" s="355"/>
      <c r="AF657" s="94">
        <f t="shared" si="91"/>
        <v>43496</v>
      </c>
      <c r="AG657" s="185" t="e">
        <f t="shared" si="95"/>
        <v>#DIV/0!</v>
      </c>
      <c r="AH657" s="339" t="str">
        <f>VLOOKUP(B657,'MF PF'!A:B,2)</f>
        <v>FdMgt1</v>
      </c>
      <c r="AI657" s="358">
        <f t="shared" si="92"/>
        <v>0</v>
      </c>
      <c r="AJ657" s="94">
        <f t="shared" si="93"/>
        <v>43496</v>
      </c>
    </row>
    <row r="658" spans="1:36" ht="12.75" customHeight="1">
      <c r="A658" s="94">
        <v>41578</v>
      </c>
      <c r="B658" s="94" t="s">
        <v>136</v>
      </c>
      <c r="C658" s="92" t="s">
        <v>303</v>
      </c>
      <c r="D658" s="374">
        <v>250000</v>
      </c>
      <c r="E658" s="9" t="e">
        <f t="shared" ref="E658:E689" si="96">D658/K658</f>
        <v>#DIV/0!</v>
      </c>
      <c r="F658" s="47">
        <v>5</v>
      </c>
      <c r="G658" s="47">
        <v>250000</v>
      </c>
      <c r="H658" s="47">
        <v>0</v>
      </c>
      <c r="I658" s="98">
        <v>0</v>
      </c>
      <c r="J658" s="98"/>
      <c r="L658" s="93">
        <f t="shared" si="89"/>
        <v>250000</v>
      </c>
      <c r="M658" s="95" t="e">
        <f t="shared" ca="1" si="90"/>
        <v>#DIV/0!</v>
      </c>
      <c r="N658" s="95">
        <f>IF(P658="Hedge Fund",IF(A658=Summary!$AD$3,M658-E658,M658),IF(A658=Summary!$AD$3,L658-D658,L658))</f>
        <v>250000</v>
      </c>
      <c r="O658" s="95">
        <f t="shared" si="94"/>
        <v>250000</v>
      </c>
      <c r="P658" s="89" t="s">
        <v>155</v>
      </c>
      <c r="Q658" s="107">
        <v>0</v>
      </c>
      <c r="R658" s="107">
        <v>0</v>
      </c>
      <c r="S658" s="89">
        <v>0</v>
      </c>
      <c r="T658" s="89">
        <v>0</v>
      </c>
      <c r="U658" s="89"/>
      <c r="V658" s="89"/>
      <c r="W658" s="89"/>
      <c r="X658" s="89"/>
      <c r="Y658" s="89"/>
      <c r="Z658" s="89"/>
      <c r="AA658" s="89"/>
      <c r="AB658" s="89"/>
      <c r="AC658" s="355"/>
      <c r="AD658" s="355"/>
      <c r="AE658" s="355"/>
      <c r="AF658" s="94">
        <f t="shared" si="91"/>
        <v>41578</v>
      </c>
      <c r="AG658" s="185">
        <f t="shared" si="95"/>
        <v>0</v>
      </c>
      <c r="AH658" s="339" t="str">
        <f>VLOOKUP(B658,'MF PF'!A:B,2)</f>
        <v>FdMgt1</v>
      </c>
      <c r="AI658" s="358">
        <f t="shared" si="92"/>
        <v>0</v>
      </c>
      <c r="AJ658" s="94">
        <f t="shared" si="93"/>
        <v>41578</v>
      </c>
    </row>
    <row r="659" spans="1:36" ht="12.75" customHeight="1">
      <c r="A659" s="94">
        <v>41607</v>
      </c>
      <c r="B659" s="94" t="s">
        <v>136</v>
      </c>
      <c r="C659" s="358" t="s">
        <v>303</v>
      </c>
      <c r="D659" s="374">
        <v>244123.25</v>
      </c>
      <c r="E659" s="9" t="e">
        <f t="shared" si="96"/>
        <v>#DIV/0!</v>
      </c>
      <c r="F659" s="47">
        <v>5</v>
      </c>
      <c r="G659" s="47">
        <v>0</v>
      </c>
      <c r="H659" s="47">
        <v>0</v>
      </c>
      <c r="I659" s="98">
        <v>0</v>
      </c>
      <c r="J659" s="98"/>
      <c r="L659" s="93">
        <f t="shared" si="89"/>
        <v>0</v>
      </c>
      <c r="M659" s="95" t="e">
        <f t="shared" ca="1" si="90"/>
        <v>#DIV/0!</v>
      </c>
      <c r="N659" s="95">
        <f>IF(P659="Hedge Fund",IF(A659=Summary!$AD$3,M659-E659,M659),IF(A659=Summary!$AD$3,L659-D659,L659))</f>
        <v>0</v>
      </c>
      <c r="O659" s="95">
        <f t="shared" si="94"/>
        <v>0</v>
      </c>
      <c r="P659" s="89" t="s">
        <v>155</v>
      </c>
      <c r="Q659" s="107">
        <v>0</v>
      </c>
      <c r="R659" s="107">
        <v>0</v>
      </c>
      <c r="S659" s="89">
        <v>0</v>
      </c>
      <c r="T659" s="89">
        <v>0</v>
      </c>
      <c r="U659" s="89"/>
      <c r="V659" s="89"/>
      <c r="W659" s="89"/>
      <c r="X659" s="89"/>
      <c r="Y659" s="89"/>
      <c r="Z659" s="89"/>
      <c r="AA659" s="89"/>
      <c r="AB659" s="89"/>
      <c r="AC659" s="355"/>
      <c r="AD659" s="355"/>
      <c r="AE659" s="355"/>
      <c r="AF659" s="94">
        <f t="shared" si="91"/>
        <v>41607</v>
      </c>
      <c r="AG659" s="185">
        <f t="shared" si="95"/>
        <v>-2.3506999999999945E-2</v>
      </c>
      <c r="AH659" s="339" t="str">
        <f>VLOOKUP(B659,'MF PF'!A:B,2)</f>
        <v>FdMgt1</v>
      </c>
      <c r="AI659" s="358">
        <f t="shared" si="92"/>
        <v>0</v>
      </c>
      <c r="AJ659" s="94">
        <f t="shared" si="93"/>
        <v>41608</v>
      </c>
    </row>
    <row r="660" spans="1:36" ht="12.75" customHeight="1">
      <c r="A660" s="8">
        <v>41639</v>
      </c>
      <c r="B660" s="94" t="s">
        <v>136</v>
      </c>
      <c r="C660" s="92" t="s">
        <v>303</v>
      </c>
      <c r="D660" s="374">
        <v>529195.446</v>
      </c>
      <c r="E660" s="9" t="e">
        <f t="shared" si="96"/>
        <v>#DIV/0!</v>
      </c>
      <c r="F660" s="47">
        <v>5</v>
      </c>
      <c r="G660" s="47">
        <v>270000</v>
      </c>
      <c r="H660" s="47">
        <v>0</v>
      </c>
      <c r="I660" s="98">
        <v>0</v>
      </c>
      <c r="J660" s="98"/>
      <c r="K660" s="93"/>
      <c r="L660" s="93">
        <f t="shared" si="89"/>
        <v>270000</v>
      </c>
      <c r="M660" s="95" t="e">
        <f t="shared" ca="1" si="90"/>
        <v>#DIV/0!</v>
      </c>
      <c r="N660" s="95">
        <f>IF(P660="Hedge Fund",IF(A660=Summary!$AD$3,M660-E660,M660),IF(A660=Summary!$AD$3,L660-D660,L660))</f>
        <v>270000</v>
      </c>
      <c r="O660" s="95">
        <f t="shared" si="94"/>
        <v>270000</v>
      </c>
      <c r="P660" s="89" t="s">
        <v>155</v>
      </c>
      <c r="Q660" s="107">
        <v>0</v>
      </c>
      <c r="R660" s="107">
        <v>0</v>
      </c>
      <c r="S660" s="89">
        <v>0</v>
      </c>
      <c r="T660" s="89">
        <v>0</v>
      </c>
      <c r="U660" s="89"/>
      <c r="V660" s="89"/>
      <c r="W660" s="89"/>
      <c r="X660" s="89"/>
      <c r="Y660" s="89"/>
      <c r="Z660" s="89"/>
      <c r="AA660" s="89"/>
      <c r="AB660" s="89"/>
      <c r="AC660" s="355"/>
      <c r="AD660" s="355"/>
      <c r="AE660" s="355"/>
      <c r="AF660" s="94">
        <f t="shared" si="91"/>
        <v>41639</v>
      </c>
      <c r="AG660" s="185">
        <f t="shared" si="95"/>
        <v>6.1740108736058508E-2</v>
      </c>
      <c r="AH660" s="339" t="str">
        <f>VLOOKUP(B660,'MF PF'!A:B,2)</f>
        <v>FdMgt1</v>
      </c>
      <c r="AI660" s="358">
        <f t="shared" si="92"/>
        <v>0</v>
      </c>
      <c r="AJ660" s="94">
        <f t="shared" si="93"/>
        <v>41639</v>
      </c>
    </row>
    <row r="661" spans="1:36" ht="12.75" customHeight="1">
      <c r="A661" s="8">
        <v>41669</v>
      </c>
      <c r="B661" s="94" t="s">
        <v>136</v>
      </c>
      <c r="C661" s="92" t="s">
        <v>303</v>
      </c>
      <c r="D661" s="374">
        <v>2235864.92</v>
      </c>
      <c r="E661" s="9" t="e">
        <f t="shared" si="96"/>
        <v>#DIV/0!</v>
      </c>
      <c r="F661" s="47">
        <v>5</v>
      </c>
      <c r="G661" s="47">
        <v>1725000</v>
      </c>
      <c r="H661" s="47">
        <v>0</v>
      </c>
      <c r="I661" s="98">
        <v>0</v>
      </c>
      <c r="J661" s="98"/>
      <c r="K661" s="93"/>
      <c r="L661" s="93">
        <f t="shared" si="89"/>
        <v>1725000</v>
      </c>
      <c r="M661" s="95" t="e">
        <f t="shared" ca="1" si="90"/>
        <v>#DIV/0!</v>
      </c>
      <c r="N661" s="95">
        <f>IF(P661="Hedge Fund",IF(A661=Summary!$AD$3,M661-E661,M661),IF(A661=Summary!$AD$3,L661-D661,L661))</f>
        <v>1725000</v>
      </c>
      <c r="O661" s="95">
        <f t="shared" si="94"/>
        <v>1725000</v>
      </c>
      <c r="P661" s="89" t="s">
        <v>155</v>
      </c>
      <c r="Q661" s="107">
        <v>0</v>
      </c>
      <c r="R661" s="107">
        <v>0</v>
      </c>
      <c r="S661" s="107">
        <v>0</v>
      </c>
      <c r="T661" s="107">
        <v>0</v>
      </c>
      <c r="U661" s="107"/>
      <c r="V661" s="107"/>
      <c r="W661" s="107"/>
      <c r="X661" s="107"/>
      <c r="Y661" s="89"/>
      <c r="Z661" s="89"/>
      <c r="AA661" s="89"/>
      <c r="AB661" s="89"/>
      <c r="AC661" s="355"/>
      <c r="AD661" s="355"/>
      <c r="AE661" s="355"/>
      <c r="AF661" s="94">
        <f t="shared" si="91"/>
        <v>41669</v>
      </c>
      <c r="AG661" s="185">
        <f t="shared" si="95"/>
        <v>-3.4638480241192537E-2</v>
      </c>
      <c r="AH661" s="339" t="str">
        <f>VLOOKUP(B661,'MF PF'!A:B,2)</f>
        <v>FdMgt1</v>
      </c>
      <c r="AI661" s="358">
        <f t="shared" si="92"/>
        <v>0</v>
      </c>
      <c r="AJ661" s="94">
        <f t="shared" si="93"/>
        <v>41670</v>
      </c>
    </row>
    <row r="662" spans="1:36" ht="12.75" customHeight="1">
      <c r="A662" s="94">
        <v>41698</v>
      </c>
      <c r="B662" s="8" t="s">
        <v>136</v>
      </c>
      <c r="C662" s="92" t="s">
        <v>303</v>
      </c>
      <c r="D662" s="374">
        <v>2236583.31</v>
      </c>
      <c r="E662" s="9" t="e">
        <f t="shared" si="96"/>
        <v>#DIV/0!</v>
      </c>
      <c r="F662" s="47">
        <v>5</v>
      </c>
      <c r="G662" s="47">
        <v>0</v>
      </c>
      <c r="H662" s="47">
        <v>0</v>
      </c>
      <c r="I662" s="47">
        <v>0</v>
      </c>
      <c r="J662" s="98"/>
      <c r="K662" s="93"/>
      <c r="L662" s="93">
        <f t="shared" si="89"/>
        <v>0</v>
      </c>
      <c r="M662" s="95" t="e">
        <f t="shared" ca="1" si="90"/>
        <v>#DIV/0!</v>
      </c>
      <c r="N662" s="95">
        <f>IF(P662="Hedge Fund",IF(A662=Summary!$AD$3,M662-E662,M662),IF(A662=Summary!$AD$3,L662-D662,L662))</f>
        <v>0</v>
      </c>
      <c r="O662" s="95">
        <f t="shared" si="94"/>
        <v>0</v>
      </c>
      <c r="P662" s="89" t="s">
        <v>155</v>
      </c>
      <c r="Q662" s="89">
        <v>0</v>
      </c>
      <c r="R662" s="89">
        <v>0</v>
      </c>
      <c r="S662" s="89">
        <v>0</v>
      </c>
      <c r="T662" s="89">
        <v>0</v>
      </c>
      <c r="U662" s="89"/>
      <c r="V662" s="89"/>
      <c r="W662" s="89"/>
      <c r="X662" s="89"/>
      <c r="Y662" s="89"/>
      <c r="Z662" s="89"/>
      <c r="AA662" s="89"/>
      <c r="AB662" s="89"/>
      <c r="AC662" s="355"/>
      <c r="AD662" s="355"/>
      <c r="AE662" s="355"/>
      <c r="AF662" s="94">
        <f t="shared" si="91"/>
        <v>41698</v>
      </c>
      <c r="AG662" s="185">
        <f t="shared" si="95"/>
        <v>3.2130295241628026E-4</v>
      </c>
      <c r="AH662" s="339" t="str">
        <f>VLOOKUP(B662,'MF PF'!A:B,2)</f>
        <v>FdMgt1</v>
      </c>
      <c r="AI662" s="358">
        <f t="shared" si="92"/>
        <v>0</v>
      </c>
      <c r="AJ662" s="94">
        <f t="shared" si="93"/>
        <v>41698</v>
      </c>
    </row>
    <row r="663" spans="1:36" ht="12.75" customHeight="1">
      <c r="A663" s="8">
        <v>41729</v>
      </c>
      <c r="B663" s="8" t="s">
        <v>136</v>
      </c>
      <c r="C663" s="6" t="s">
        <v>303</v>
      </c>
      <c r="D663" s="374">
        <v>2241521.1800000002</v>
      </c>
      <c r="E663" s="9" t="e">
        <f t="shared" si="96"/>
        <v>#DIV/0!</v>
      </c>
      <c r="F663" s="47">
        <v>5</v>
      </c>
      <c r="G663" s="47">
        <v>0</v>
      </c>
      <c r="H663" s="47">
        <v>0</v>
      </c>
      <c r="I663" s="47">
        <v>0</v>
      </c>
      <c r="J663" s="98"/>
      <c r="K663" s="93"/>
      <c r="L663" s="93">
        <f t="shared" si="89"/>
        <v>0</v>
      </c>
      <c r="M663" s="95" t="e">
        <f t="shared" ca="1" si="90"/>
        <v>#DIV/0!</v>
      </c>
      <c r="N663" s="95">
        <f>IF(P663="Hedge Fund",IF(A663=Summary!$AD$3,M663-E663,M663),IF(A663=Summary!$AD$3,L663-D663,L663))</f>
        <v>0</v>
      </c>
      <c r="O663" s="95">
        <f t="shared" si="94"/>
        <v>0</v>
      </c>
      <c r="P663" s="89" t="s">
        <v>155</v>
      </c>
      <c r="Q663" s="89">
        <v>0</v>
      </c>
      <c r="R663" s="89">
        <v>0</v>
      </c>
      <c r="S663" s="89">
        <v>0</v>
      </c>
      <c r="T663" s="89">
        <v>0</v>
      </c>
      <c r="U663" s="89"/>
      <c r="V663" s="89"/>
      <c r="W663" s="89"/>
      <c r="X663" s="89"/>
      <c r="Y663" s="89"/>
      <c r="Z663" s="89"/>
      <c r="AA663" s="89"/>
      <c r="AB663" s="89"/>
      <c r="AC663" s="355"/>
      <c r="AD663" s="355"/>
      <c r="AE663" s="355"/>
      <c r="AF663" s="94">
        <f t="shared" si="91"/>
        <v>41729</v>
      </c>
      <c r="AG663" s="185">
        <f t="shared" si="95"/>
        <v>2.2077737850954016E-3</v>
      </c>
      <c r="AH663" s="339" t="str">
        <f>VLOOKUP(B663,'MF PF'!A:B,2)</f>
        <v>FdMgt1</v>
      </c>
      <c r="AI663" s="358">
        <f t="shared" si="92"/>
        <v>0</v>
      </c>
      <c r="AJ663" s="94">
        <f t="shared" si="93"/>
        <v>41729</v>
      </c>
    </row>
    <row r="664" spans="1:36" ht="12.75" customHeight="1">
      <c r="A664" s="8">
        <v>41759</v>
      </c>
      <c r="B664" s="94" t="s">
        <v>136</v>
      </c>
      <c r="C664" s="6" t="s">
        <v>303</v>
      </c>
      <c r="D664" s="374">
        <v>2170327.5079307701</v>
      </c>
      <c r="E664" s="9" t="e">
        <f t="shared" si="96"/>
        <v>#DIV/0!</v>
      </c>
      <c r="F664" s="98">
        <v>5</v>
      </c>
      <c r="G664" s="98">
        <v>0</v>
      </c>
      <c r="H664" s="98">
        <v>0</v>
      </c>
      <c r="I664" s="98">
        <v>0</v>
      </c>
      <c r="J664" s="98"/>
      <c r="K664" s="93"/>
      <c r="L664" s="93">
        <f t="shared" si="89"/>
        <v>0</v>
      </c>
      <c r="M664" s="95" t="e">
        <f t="shared" ca="1" si="90"/>
        <v>#DIV/0!</v>
      </c>
      <c r="N664" s="95">
        <f>IF(P664="Hedge Fund",IF(A664=Summary!$AD$3,M664-E664,M664),IF(A664=Summary!$AD$3,L664-D664,L664))</f>
        <v>0</v>
      </c>
      <c r="O664" s="95">
        <f t="shared" si="94"/>
        <v>0</v>
      </c>
      <c r="P664" s="89" t="s">
        <v>155</v>
      </c>
      <c r="Q664" s="107">
        <v>0</v>
      </c>
      <c r="R664" s="107">
        <v>0</v>
      </c>
      <c r="S664" s="107">
        <v>0</v>
      </c>
      <c r="T664" s="107">
        <v>0</v>
      </c>
      <c r="U664" s="107"/>
      <c r="V664" s="107"/>
      <c r="W664" s="107"/>
      <c r="X664" s="107"/>
      <c r="Y664" s="107"/>
      <c r="Z664" s="107"/>
      <c r="AA664" s="107"/>
      <c r="AB664" s="107"/>
      <c r="AC664" s="355"/>
      <c r="AD664" s="355"/>
      <c r="AE664" s="355"/>
      <c r="AF664" s="94">
        <f t="shared" si="91"/>
        <v>41759</v>
      </c>
      <c r="AG664" s="185">
        <f t="shared" si="95"/>
        <v>-3.1761320260748183E-2</v>
      </c>
      <c r="AH664" s="339" t="str">
        <f>VLOOKUP(B664,'MF PF'!A:B,2)</f>
        <v>FdMgt1</v>
      </c>
      <c r="AI664" s="358">
        <f t="shared" si="92"/>
        <v>0</v>
      </c>
      <c r="AJ664" s="94">
        <f t="shared" si="93"/>
        <v>41759</v>
      </c>
    </row>
    <row r="665" spans="1:36" ht="12.75" customHeight="1">
      <c r="A665" s="94">
        <v>41789</v>
      </c>
      <c r="B665" s="94" t="s">
        <v>136</v>
      </c>
      <c r="C665" s="358" t="s">
        <v>303</v>
      </c>
      <c r="D665" s="374">
        <v>2175954.5777100399</v>
      </c>
      <c r="E665" s="9" t="e">
        <f t="shared" si="96"/>
        <v>#DIV/0!</v>
      </c>
      <c r="F665" s="98">
        <v>5</v>
      </c>
      <c r="G665" s="98">
        <v>0</v>
      </c>
      <c r="H665" s="98">
        <v>0</v>
      </c>
      <c r="I665" s="98">
        <v>0</v>
      </c>
      <c r="J665" s="98"/>
      <c r="L665" s="93">
        <f t="shared" si="89"/>
        <v>0</v>
      </c>
      <c r="M665" s="95" t="e">
        <f t="shared" ca="1" si="90"/>
        <v>#DIV/0!</v>
      </c>
      <c r="N665" s="95">
        <f>IF(P665="Hedge Fund",IF(A665=Summary!$AD$3,M665-E665,M665),IF(A665=Summary!$AD$3,L665-D665,L665))</f>
        <v>0</v>
      </c>
      <c r="O665" s="95">
        <f t="shared" si="94"/>
        <v>0</v>
      </c>
      <c r="P665" s="89" t="s">
        <v>155</v>
      </c>
      <c r="Q665" s="107">
        <v>0</v>
      </c>
      <c r="R665" s="107">
        <v>0</v>
      </c>
      <c r="S665" s="107">
        <v>0</v>
      </c>
      <c r="T665" s="107">
        <v>0</v>
      </c>
      <c r="U665" s="107"/>
      <c r="V665" s="107"/>
      <c r="W665" s="107"/>
      <c r="X665" s="107"/>
      <c r="Y665" s="107"/>
      <c r="Z665" s="107"/>
      <c r="AA665" s="107"/>
      <c r="AB665" s="107"/>
      <c r="AC665" s="355"/>
      <c r="AD665" s="355"/>
      <c r="AE665" s="355"/>
      <c r="AF665" s="94">
        <f t="shared" si="91"/>
        <v>41789</v>
      </c>
      <c r="AG665" s="185">
        <f t="shared" si="95"/>
        <v>2.5927284056013189E-3</v>
      </c>
      <c r="AH665" s="339" t="str">
        <f>VLOOKUP(B665,'MF PF'!A:B,2)</f>
        <v>FdMgt1</v>
      </c>
      <c r="AI665" s="358">
        <f t="shared" si="92"/>
        <v>0</v>
      </c>
      <c r="AJ665" s="94">
        <f t="shared" si="93"/>
        <v>41790</v>
      </c>
    </row>
    <row r="666" spans="1:36" ht="12.75" customHeight="1">
      <c r="A666" s="8">
        <v>41820</v>
      </c>
      <c r="B666" s="94" t="s">
        <v>136</v>
      </c>
      <c r="C666" s="358" t="s">
        <v>303</v>
      </c>
      <c r="D666" s="374">
        <v>2158838.85</v>
      </c>
      <c r="E666" s="9" t="e">
        <f t="shared" si="96"/>
        <v>#DIV/0!</v>
      </c>
      <c r="F666" s="98">
        <v>5</v>
      </c>
      <c r="G666" s="98">
        <v>0</v>
      </c>
      <c r="H666" s="98">
        <v>0</v>
      </c>
      <c r="I666" s="98">
        <v>0</v>
      </c>
      <c r="J666" s="98"/>
      <c r="K666" s="93"/>
      <c r="L666" s="93">
        <f t="shared" si="89"/>
        <v>0</v>
      </c>
      <c r="M666" s="95" t="e">
        <f t="shared" ca="1" si="90"/>
        <v>#DIV/0!</v>
      </c>
      <c r="N666" s="95">
        <f>IF(P666="Hedge Fund",IF(A666=Summary!$AD$3,M666-E666,M666),IF(A666=Summary!$AD$3,L666-D666,L666))</f>
        <v>0</v>
      </c>
      <c r="O666" s="95">
        <f t="shared" si="94"/>
        <v>0</v>
      </c>
      <c r="P666" s="89" t="s">
        <v>155</v>
      </c>
      <c r="Q666" s="107">
        <v>0</v>
      </c>
      <c r="R666" s="107">
        <v>0</v>
      </c>
      <c r="S666" s="107">
        <v>0</v>
      </c>
      <c r="T666" s="107">
        <v>0</v>
      </c>
      <c r="U666" s="107"/>
      <c r="V666" s="107"/>
      <c r="W666" s="107"/>
      <c r="X666" s="107"/>
      <c r="Y666" s="107"/>
      <c r="Z666" s="107"/>
      <c r="AA666" s="107"/>
      <c r="AB666" s="107"/>
      <c r="AC666" s="355"/>
      <c r="AD666" s="355"/>
      <c r="AE666" s="355"/>
      <c r="AF666" s="94">
        <f t="shared" si="91"/>
        <v>41820</v>
      </c>
      <c r="AG666" s="185">
        <f t="shared" si="95"/>
        <v>-7.8658478836687307E-3</v>
      </c>
      <c r="AH666" s="339" t="str">
        <f>VLOOKUP(B666,'MF PF'!A:B,2)</f>
        <v>FdMgt1</v>
      </c>
      <c r="AI666" s="358">
        <f t="shared" si="92"/>
        <v>0</v>
      </c>
      <c r="AJ666" s="94">
        <f t="shared" si="93"/>
        <v>41820</v>
      </c>
    </row>
    <row r="667" spans="1:36" ht="12.75" customHeight="1">
      <c r="A667" s="94">
        <v>41851</v>
      </c>
      <c r="B667" s="94" t="s">
        <v>136</v>
      </c>
      <c r="C667" s="358" t="s">
        <v>303</v>
      </c>
      <c r="D667" s="374">
        <v>2203177.37</v>
      </c>
      <c r="E667" s="9" t="e">
        <f t="shared" si="96"/>
        <v>#DIV/0!</v>
      </c>
      <c r="F667" s="47">
        <v>5</v>
      </c>
      <c r="G667" s="47">
        <v>0</v>
      </c>
      <c r="H667" s="47">
        <v>0</v>
      </c>
      <c r="I667" s="98">
        <v>0</v>
      </c>
      <c r="J667" s="98"/>
      <c r="K667" s="93"/>
      <c r="L667" s="93">
        <f t="shared" si="89"/>
        <v>0</v>
      </c>
      <c r="M667" s="95" t="e">
        <f t="shared" ca="1" si="90"/>
        <v>#DIV/0!</v>
      </c>
      <c r="N667" s="95">
        <f>IF(P667="Hedge Fund",IF(A667=Summary!$AD$3,M667-E667,M667),IF(A667=Summary!$AD$3,L667-D667,L667))</f>
        <v>0</v>
      </c>
      <c r="O667" s="95">
        <f t="shared" si="94"/>
        <v>0</v>
      </c>
      <c r="P667" s="89" t="s">
        <v>155</v>
      </c>
      <c r="Q667" s="107">
        <v>0</v>
      </c>
      <c r="R667" s="107">
        <v>0</v>
      </c>
      <c r="S667" s="89">
        <v>0</v>
      </c>
      <c r="T667" s="89">
        <v>0</v>
      </c>
      <c r="U667" s="89"/>
      <c r="V667" s="89"/>
      <c r="W667" s="89"/>
      <c r="X667" s="89"/>
      <c r="Y667" s="89"/>
      <c r="Z667" s="89"/>
      <c r="AA667" s="89"/>
      <c r="AB667" s="89"/>
      <c r="AC667" s="355"/>
      <c r="AD667" s="355"/>
      <c r="AE667" s="355"/>
      <c r="AF667" s="94">
        <f t="shared" si="91"/>
        <v>41851</v>
      </c>
      <c r="AG667" s="185">
        <f t="shared" si="95"/>
        <v>2.053813326548215E-2</v>
      </c>
      <c r="AH667" s="339" t="str">
        <f>VLOOKUP(B667,'MF PF'!A:B,2)</f>
        <v>FdMgt1</v>
      </c>
      <c r="AI667" s="358">
        <f t="shared" si="92"/>
        <v>0</v>
      </c>
      <c r="AJ667" s="94">
        <f t="shared" si="93"/>
        <v>41851</v>
      </c>
    </row>
    <row r="668" spans="1:36" ht="12.75" customHeight="1">
      <c r="A668" s="94">
        <v>41880</v>
      </c>
      <c r="B668" s="94" t="s">
        <v>136</v>
      </c>
      <c r="C668" s="358" t="s">
        <v>303</v>
      </c>
      <c r="D668" s="374">
        <v>3306719.03</v>
      </c>
      <c r="E668" s="9" t="e">
        <f t="shared" si="96"/>
        <v>#DIV/0!</v>
      </c>
      <c r="F668" s="47">
        <v>5</v>
      </c>
      <c r="G668" s="47">
        <v>1085000</v>
      </c>
      <c r="H668" s="47">
        <v>0</v>
      </c>
      <c r="I668" s="98">
        <v>0</v>
      </c>
      <c r="J668" s="98"/>
      <c r="K668" s="93"/>
      <c r="L668" s="93">
        <f t="shared" si="89"/>
        <v>1085000</v>
      </c>
      <c r="M668" s="95" t="e">
        <f t="shared" ca="1" si="90"/>
        <v>#DIV/0!</v>
      </c>
      <c r="N668" s="95">
        <f>IF(P668="Hedge Fund",IF(A668=Summary!$AD$3,M668-E668,M668),IF(A668=Summary!$AD$3,L668-D668,L668))</f>
        <v>1085000</v>
      </c>
      <c r="O668" s="95">
        <f t="shared" si="94"/>
        <v>1085000</v>
      </c>
      <c r="P668" s="89" t="s">
        <v>155</v>
      </c>
      <c r="Q668" s="107">
        <v>0</v>
      </c>
      <c r="R668" s="107">
        <v>0</v>
      </c>
      <c r="S668" s="89">
        <v>0</v>
      </c>
      <c r="T668" s="89">
        <v>0</v>
      </c>
      <c r="U668" s="89"/>
      <c r="V668" s="89"/>
      <c r="W668" s="89"/>
      <c r="X668" s="89"/>
      <c r="Y668" s="89"/>
      <c r="Z668" s="89"/>
      <c r="AA668" s="89"/>
      <c r="AB668" s="89"/>
      <c r="AC668" s="355"/>
      <c r="AD668" s="355"/>
      <c r="AE668" s="355"/>
      <c r="AF668" s="94">
        <f t="shared" si="91"/>
        <v>41880</v>
      </c>
      <c r="AG668" s="185">
        <f t="shared" si="95"/>
        <v>8.4158725722567329E-3</v>
      </c>
      <c r="AH668" s="339" t="str">
        <f>VLOOKUP(B668,'MF PF'!A:B,2)</f>
        <v>FdMgt1</v>
      </c>
      <c r="AI668" s="358">
        <f t="shared" si="92"/>
        <v>0</v>
      </c>
      <c r="AJ668" s="94">
        <f t="shared" si="93"/>
        <v>41882</v>
      </c>
    </row>
    <row r="669" spans="1:36" ht="12.75" customHeight="1">
      <c r="A669" s="94">
        <v>41912</v>
      </c>
      <c r="B669" s="94" t="s">
        <v>136</v>
      </c>
      <c r="C669" s="358" t="s">
        <v>303</v>
      </c>
      <c r="D669" s="374">
        <v>3210611.31</v>
      </c>
      <c r="E669" s="9" t="e">
        <f t="shared" si="96"/>
        <v>#DIV/0!</v>
      </c>
      <c r="F669" s="47">
        <v>5</v>
      </c>
      <c r="G669" s="47">
        <v>0</v>
      </c>
      <c r="H669" s="47">
        <v>0</v>
      </c>
      <c r="I669" s="98">
        <v>0</v>
      </c>
      <c r="J669" s="98"/>
      <c r="K669" s="93"/>
      <c r="L669" s="93">
        <f t="shared" si="89"/>
        <v>0</v>
      </c>
      <c r="M669" s="95" t="e">
        <f t="shared" ca="1" si="90"/>
        <v>#DIV/0!</v>
      </c>
      <c r="N669" s="95">
        <f>IF(P669="Hedge Fund",IF(A669=Summary!$AD$3,M669-E669,M669),IF(A669=Summary!$AD$3,L669-D669,L669))</f>
        <v>0</v>
      </c>
      <c r="O669" s="95">
        <f t="shared" si="94"/>
        <v>0</v>
      </c>
      <c r="P669" s="89" t="s">
        <v>155</v>
      </c>
      <c r="Q669" s="107">
        <v>0</v>
      </c>
      <c r="R669" s="107">
        <v>0</v>
      </c>
      <c r="S669" s="89">
        <v>0</v>
      </c>
      <c r="T669" s="89">
        <v>0</v>
      </c>
      <c r="U669" s="89"/>
      <c r="V669" s="89"/>
      <c r="W669" s="89"/>
      <c r="X669" s="89"/>
      <c r="Y669" s="89"/>
      <c r="Z669" s="89"/>
      <c r="AA669" s="89"/>
      <c r="AB669" s="89"/>
      <c r="AC669" s="355"/>
      <c r="AD669" s="355"/>
      <c r="AE669" s="355"/>
      <c r="AF669" s="94">
        <f t="shared" si="91"/>
        <v>41912</v>
      </c>
      <c r="AG669" s="185">
        <f t="shared" si="95"/>
        <v>-2.9064374423127148E-2</v>
      </c>
      <c r="AH669" s="339" t="str">
        <f>VLOOKUP(B669,'MF PF'!A:B,2)</f>
        <v>FdMgt1</v>
      </c>
      <c r="AI669" s="358">
        <f t="shared" si="92"/>
        <v>0</v>
      </c>
      <c r="AJ669" s="94">
        <f t="shared" si="93"/>
        <v>41912</v>
      </c>
    </row>
    <row r="670" spans="1:36" s="92" customFormat="1" ht="12.75" customHeight="1">
      <c r="A670" s="94">
        <v>41943</v>
      </c>
      <c r="B670" s="94" t="s">
        <v>136</v>
      </c>
      <c r="C670" s="358" t="s">
        <v>303</v>
      </c>
      <c r="D670" s="374">
        <v>3985210.28</v>
      </c>
      <c r="E670" s="95" t="e">
        <f t="shared" si="96"/>
        <v>#DIV/0!</v>
      </c>
      <c r="F670" s="98">
        <v>5</v>
      </c>
      <c r="G670" s="98">
        <v>845000</v>
      </c>
      <c r="H670" s="98">
        <v>0</v>
      </c>
      <c r="I670" s="98">
        <v>0</v>
      </c>
      <c r="J670" s="98"/>
      <c r="K670" s="93"/>
      <c r="L670" s="93">
        <f t="shared" si="89"/>
        <v>845000</v>
      </c>
      <c r="M670" s="95" t="e">
        <f t="shared" ca="1" si="90"/>
        <v>#DIV/0!</v>
      </c>
      <c r="N670" s="95">
        <f>IF(P670="Hedge Fund",IF(A670=Summary!$AD$3,M670-E670,M670),IF(A670=Summary!$AD$3,L670-D670,L670))</f>
        <v>845000</v>
      </c>
      <c r="O670" s="95">
        <f t="shared" si="94"/>
        <v>845000</v>
      </c>
      <c r="P670" s="107" t="s">
        <v>155</v>
      </c>
      <c r="Q670" s="107">
        <v>0</v>
      </c>
      <c r="R670" s="107">
        <v>0</v>
      </c>
      <c r="S670" s="107">
        <v>0</v>
      </c>
      <c r="T670" s="107">
        <v>0</v>
      </c>
      <c r="U670" s="107"/>
      <c r="V670" s="107"/>
      <c r="W670" s="107"/>
      <c r="X670" s="107"/>
      <c r="Y670" s="107"/>
      <c r="Z670" s="107"/>
      <c r="AA670" s="107"/>
      <c r="AB670" s="107"/>
      <c r="AC670" s="355"/>
      <c r="AD670" s="355"/>
      <c r="AE670" s="355"/>
      <c r="AF670" s="94">
        <f t="shared" si="91"/>
        <v>41943</v>
      </c>
      <c r="AG670" s="185">
        <f t="shared" si="95"/>
        <v>-2.1927609169233309E-2</v>
      </c>
      <c r="AH670" s="339" t="str">
        <f>VLOOKUP(B670,'MF PF'!A:B,2)</f>
        <v>FdMgt1</v>
      </c>
      <c r="AI670" s="358">
        <f t="shared" si="92"/>
        <v>0</v>
      </c>
      <c r="AJ670" s="94">
        <f t="shared" si="93"/>
        <v>41943</v>
      </c>
    </row>
    <row r="671" spans="1:36" ht="12.75" customHeight="1">
      <c r="A671" s="8">
        <v>41971</v>
      </c>
      <c r="B671" s="94" t="s">
        <v>136</v>
      </c>
      <c r="C671" s="6" t="s">
        <v>303</v>
      </c>
      <c r="D671" s="374">
        <v>4034682.9299999997</v>
      </c>
      <c r="E671" s="9" t="e">
        <f t="shared" si="96"/>
        <v>#DIV/0!</v>
      </c>
      <c r="F671" s="98">
        <v>5</v>
      </c>
      <c r="G671" s="98">
        <v>0</v>
      </c>
      <c r="H671" s="98">
        <v>0</v>
      </c>
      <c r="I671" s="98">
        <v>0</v>
      </c>
      <c r="J671" s="98"/>
      <c r="K671" s="93"/>
      <c r="L671" s="93">
        <f t="shared" si="89"/>
        <v>0</v>
      </c>
      <c r="M671" s="95" t="e">
        <f t="shared" ca="1" si="90"/>
        <v>#DIV/0!</v>
      </c>
      <c r="N671" s="95">
        <f>IF(P671="Hedge Fund",IF(A671=Summary!$AD$3,M671-E671,M671),IF(A671=Summary!$AD$3,L671-D671,L671))</f>
        <v>0</v>
      </c>
      <c r="O671" s="95">
        <f t="shared" si="94"/>
        <v>0</v>
      </c>
      <c r="P671" s="107" t="s">
        <v>155</v>
      </c>
      <c r="Q671" s="107">
        <v>0</v>
      </c>
      <c r="R671" s="107">
        <v>0</v>
      </c>
      <c r="S671" s="107">
        <v>0</v>
      </c>
      <c r="T671" s="107">
        <v>0</v>
      </c>
      <c r="U671" s="107"/>
      <c r="V671" s="107"/>
      <c r="W671" s="107"/>
      <c r="X671" s="107"/>
      <c r="Y671" s="107"/>
      <c r="Z671" s="107"/>
      <c r="AA671" s="107"/>
      <c r="AB671" s="107"/>
      <c r="AC671" s="355"/>
      <c r="AD671" s="355"/>
      <c r="AE671" s="355"/>
      <c r="AF671" s="94">
        <f t="shared" si="91"/>
        <v>41971</v>
      </c>
      <c r="AG671" s="185">
        <f t="shared" si="95"/>
        <v>1.2414062627581046E-2</v>
      </c>
      <c r="AH671" s="339" t="str">
        <f>VLOOKUP(B671,'MF PF'!A:B,2)</f>
        <v>FdMgt1</v>
      </c>
      <c r="AI671" s="358">
        <f t="shared" si="92"/>
        <v>0</v>
      </c>
      <c r="AJ671" s="94">
        <f t="shared" si="93"/>
        <v>41973</v>
      </c>
    </row>
    <row r="672" spans="1:36" ht="12.75" customHeight="1">
      <c r="A672" s="8">
        <v>42004</v>
      </c>
      <c r="B672" s="94" t="s">
        <v>136</v>
      </c>
      <c r="C672" s="92" t="s">
        <v>303</v>
      </c>
      <c r="D672" s="374">
        <v>4000393.95</v>
      </c>
      <c r="E672" s="9" t="e">
        <f t="shared" si="96"/>
        <v>#DIV/0!</v>
      </c>
      <c r="F672" s="47">
        <v>5</v>
      </c>
      <c r="G672" s="47">
        <v>0</v>
      </c>
      <c r="H672" s="47">
        <v>0</v>
      </c>
      <c r="I672" s="47">
        <v>0</v>
      </c>
      <c r="J672" s="98"/>
      <c r="L672" s="93">
        <f t="shared" si="89"/>
        <v>0</v>
      </c>
      <c r="M672" s="95" t="e">
        <f t="shared" ca="1" si="90"/>
        <v>#DIV/0!</v>
      </c>
      <c r="N672" s="95">
        <f>IF(P672="Hedge Fund",IF(A672=Summary!$AD$3,M672-E672,M672),IF(A672=Summary!$AD$3,L672-D672,L672))</f>
        <v>0</v>
      </c>
      <c r="O672" s="95">
        <f t="shared" si="94"/>
        <v>0</v>
      </c>
      <c r="P672" s="89" t="s">
        <v>155</v>
      </c>
      <c r="Q672" s="107">
        <v>0</v>
      </c>
      <c r="R672" s="107">
        <v>0</v>
      </c>
      <c r="S672" s="89">
        <v>0</v>
      </c>
      <c r="T672" s="89">
        <v>0</v>
      </c>
      <c r="U672" s="89"/>
      <c r="V672" s="89"/>
      <c r="W672" s="89"/>
      <c r="X672" s="89"/>
      <c r="Y672" s="89"/>
      <c r="Z672" s="89"/>
      <c r="AA672" s="89"/>
      <c r="AB672" s="89"/>
      <c r="AC672" s="355"/>
      <c r="AD672" s="355"/>
      <c r="AE672" s="355"/>
      <c r="AF672" s="94">
        <f t="shared" si="91"/>
        <v>42004</v>
      </c>
      <c r="AG672" s="185">
        <f t="shared" si="95"/>
        <v>-8.4985562917578861E-3</v>
      </c>
      <c r="AH672" s="339" t="str">
        <f>VLOOKUP(B672,'MF PF'!A:B,2)</f>
        <v>FdMgt1</v>
      </c>
      <c r="AI672" s="358">
        <f t="shared" si="92"/>
        <v>0</v>
      </c>
      <c r="AJ672" s="94">
        <f t="shared" si="93"/>
        <v>42004</v>
      </c>
    </row>
    <row r="673" spans="1:36" ht="12.75" customHeight="1">
      <c r="A673" s="8">
        <v>42034</v>
      </c>
      <c r="B673" s="94" t="s">
        <v>136</v>
      </c>
      <c r="C673" s="358" t="s">
        <v>303</v>
      </c>
      <c r="D673" s="374">
        <v>4682738.01</v>
      </c>
      <c r="E673" s="9" t="e">
        <f t="shared" si="96"/>
        <v>#DIV/0!</v>
      </c>
      <c r="F673" s="47">
        <v>5</v>
      </c>
      <c r="G673" s="47">
        <v>580000</v>
      </c>
      <c r="H673" s="47">
        <v>0</v>
      </c>
      <c r="I673" s="98">
        <v>0</v>
      </c>
      <c r="J673" s="98"/>
      <c r="K673" s="93"/>
      <c r="L673" s="93">
        <f t="shared" si="89"/>
        <v>580000</v>
      </c>
      <c r="M673" s="95" t="e">
        <f t="shared" ca="1" si="90"/>
        <v>#DIV/0!</v>
      </c>
      <c r="N673" s="95">
        <f>IF(P673="Hedge Fund",IF(A673=Summary!$AD$3,M673-E673,M673),IF(A673=Summary!$AD$3,L673-D673,L673))</f>
        <v>580000</v>
      </c>
      <c r="O673" s="95">
        <f t="shared" si="94"/>
        <v>580000</v>
      </c>
      <c r="P673" s="89" t="s">
        <v>155</v>
      </c>
      <c r="Q673" s="107">
        <v>0</v>
      </c>
      <c r="R673" s="107">
        <v>0</v>
      </c>
      <c r="S673" s="89">
        <v>0</v>
      </c>
      <c r="T673" s="89">
        <v>0</v>
      </c>
      <c r="U673" s="89"/>
      <c r="V673" s="89"/>
      <c r="W673" s="89"/>
      <c r="X673" s="89"/>
      <c r="Y673" s="89"/>
      <c r="Z673" s="89"/>
      <c r="AA673" s="89"/>
      <c r="AB673" s="89"/>
      <c r="AC673" s="355"/>
      <c r="AD673" s="355"/>
      <c r="AE673" s="355"/>
      <c r="AF673" s="94">
        <f t="shared" si="91"/>
        <v>42034</v>
      </c>
      <c r="AG673" s="185">
        <f t="shared" si="95"/>
        <v>2.5583495345502083E-2</v>
      </c>
      <c r="AH673" s="339" t="str">
        <f>VLOOKUP(B673,'MF PF'!A:B,2)</f>
        <v>FdMgt1</v>
      </c>
      <c r="AI673" s="358">
        <f t="shared" si="92"/>
        <v>0</v>
      </c>
      <c r="AJ673" s="94">
        <f t="shared" si="93"/>
        <v>42035</v>
      </c>
    </row>
    <row r="674" spans="1:36" ht="12.75" customHeight="1">
      <c r="A674" s="94">
        <v>42062</v>
      </c>
      <c r="B674" s="94" t="s">
        <v>136</v>
      </c>
      <c r="C674" s="358" t="s">
        <v>303</v>
      </c>
      <c r="D674" s="374">
        <v>4715774.58</v>
      </c>
      <c r="E674" s="9" t="e">
        <f t="shared" si="96"/>
        <v>#DIV/0!</v>
      </c>
      <c r="F674" s="47">
        <v>5</v>
      </c>
      <c r="G674" s="47">
        <v>0</v>
      </c>
      <c r="H674" s="47">
        <v>0</v>
      </c>
      <c r="I674" s="98">
        <v>0</v>
      </c>
      <c r="J674" s="98"/>
      <c r="K674" s="93"/>
      <c r="L674" s="93">
        <f t="shared" si="89"/>
        <v>0</v>
      </c>
      <c r="M674" s="95" t="e">
        <f t="shared" ca="1" si="90"/>
        <v>#DIV/0!</v>
      </c>
      <c r="N674" s="95">
        <f>IF(P674="Hedge Fund",IF(A674=Summary!$AD$3,M674-E674,M674),IF(A674=Summary!$AD$3,L674-D674,L674))</f>
        <v>0</v>
      </c>
      <c r="O674" s="95">
        <f t="shared" si="94"/>
        <v>0</v>
      </c>
      <c r="P674" s="89" t="s">
        <v>155</v>
      </c>
      <c r="Q674" s="107">
        <v>0</v>
      </c>
      <c r="R674" s="107">
        <v>0</v>
      </c>
      <c r="S674" s="89">
        <v>0</v>
      </c>
      <c r="T674" s="89">
        <v>0</v>
      </c>
      <c r="U674" s="89"/>
      <c r="V674" s="89"/>
      <c r="W674" s="89"/>
      <c r="X674" s="89"/>
      <c r="Y674" s="89"/>
      <c r="Z674" s="89"/>
      <c r="AA674" s="89"/>
      <c r="AB674" s="89"/>
      <c r="AC674" s="355"/>
      <c r="AD674" s="355"/>
      <c r="AE674" s="355"/>
      <c r="AF674" s="94">
        <f t="shared" si="91"/>
        <v>42062</v>
      </c>
      <c r="AG674" s="185">
        <f t="shared" si="95"/>
        <v>7.0549686805989609E-3</v>
      </c>
      <c r="AH674" s="339" t="str">
        <f>VLOOKUP(B674,'MF PF'!A:B,2)</f>
        <v>FdMgt1</v>
      </c>
      <c r="AI674" s="358">
        <f t="shared" si="92"/>
        <v>0</v>
      </c>
      <c r="AJ674" s="94">
        <f t="shared" si="93"/>
        <v>42063</v>
      </c>
    </row>
    <row r="675" spans="1:36" ht="12.75" customHeight="1">
      <c r="A675" s="94">
        <v>42094</v>
      </c>
      <c r="B675" s="94" t="s">
        <v>136</v>
      </c>
      <c r="C675" s="358" t="s">
        <v>303</v>
      </c>
      <c r="D675" s="374">
        <v>5043013.6500000004</v>
      </c>
      <c r="E675" s="9" t="e">
        <f t="shared" si="96"/>
        <v>#DIV/0!</v>
      </c>
      <c r="F675" s="47">
        <v>5</v>
      </c>
      <c r="G675" s="47">
        <v>240000</v>
      </c>
      <c r="H675" s="47">
        <v>0</v>
      </c>
      <c r="I675" s="47">
        <v>0</v>
      </c>
      <c r="J675" s="98"/>
      <c r="K675" s="93"/>
      <c r="L675" s="93">
        <f t="shared" si="89"/>
        <v>240000</v>
      </c>
      <c r="M675" s="95" t="e">
        <f t="shared" ca="1" si="90"/>
        <v>#DIV/0!</v>
      </c>
      <c r="N675" s="95">
        <f>IF(P675="Hedge Fund",IF(A675=Summary!$AD$3,M675-E675,M675),IF(A675=Summary!$AD$3,L675-D675,L675))</f>
        <v>240000</v>
      </c>
      <c r="O675" s="95">
        <f t="shared" si="94"/>
        <v>240000</v>
      </c>
      <c r="P675" s="89" t="s">
        <v>155</v>
      </c>
      <c r="Q675" s="107">
        <v>0</v>
      </c>
      <c r="R675" s="107">
        <v>0</v>
      </c>
      <c r="S675" s="89">
        <v>0</v>
      </c>
      <c r="T675" s="89">
        <v>0</v>
      </c>
      <c r="U675" s="89"/>
      <c r="V675" s="89"/>
      <c r="W675" s="89"/>
      <c r="X675" s="89"/>
      <c r="Y675" s="89"/>
      <c r="Z675" s="89"/>
      <c r="AA675" s="89"/>
      <c r="AB675" s="89"/>
      <c r="AC675" s="355"/>
      <c r="AD675" s="355"/>
      <c r="AE675" s="355"/>
      <c r="AF675" s="94">
        <f t="shared" si="91"/>
        <v>42094</v>
      </c>
      <c r="AG675" s="185">
        <f t="shared" si="95"/>
        <v>1.849941478754924E-2</v>
      </c>
      <c r="AH675" s="339" t="str">
        <f>VLOOKUP(B675,'MF PF'!A:B,2)</f>
        <v>FdMgt1</v>
      </c>
      <c r="AI675" s="358">
        <f t="shared" si="92"/>
        <v>0</v>
      </c>
      <c r="AJ675" s="94">
        <f t="shared" si="93"/>
        <v>42094</v>
      </c>
    </row>
    <row r="676" spans="1:36" ht="12.75" customHeight="1">
      <c r="A676" s="94">
        <v>42124</v>
      </c>
      <c r="B676" s="94" t="s">
        <v>136</v>
      </c>
      <c r="C676" s="358" t="s">
        <v>303</v>
      </c>
      <c r="D676" s="374">
        <v>5408016.7063999996</v>
      </c>
      <c r="E676" s="9" t="e">
        <f t="shared" si="96"/>
        <v>#DIV/0!</v>
      </c>
      <c r="F676" s="47">
        <v>5</v>
      </c>
      <c r="G676" s="47">
        <v>5000</v>
      </c>
      <c r="H676" s="47">
        <v>0</v>
      </c>
      <c r="I676" s="98">
        <v>0</v>
      </c>
      <c r="J676" s="98"/>
      <c r="K676" s="93"/>
      <c r="L676" s="93">
        <f t="shared" si="89"/>
        <v>5000</v>
      </c>
      <c r="M676" s="95" t="e">
        <f t="shared" ca="1" si="90"/>
        <v>#DIV/0!</v>
      </c>
      <c r="N676" s="95">
        <f>IF(P676="Hedge Fund",IF(A676=Summary!$AD$3,M676-E676,M676),IF(A676=Summary!$AD$3,L676-D676,L676))</f>
        <v>5000</v>
      </c>
      <c r="O676" s="95">
        <f t="shared" si="94"/>
        <v>5000</v>
      </c>
      <c r="P676" s="89" t="s">
        <v>155</v>
      </c>
      <c r="Q676" s="107">
        <v>0</v>
      </c>
      <c r="R676" s="107">
        <v>0</v>
      </c>
      <c r="S676" s="89">
        <v>0</v>
      </c>
      <c r="T676" s="89">
        <v>0</v>
      </c>
      <c r="U676" s="89"/>
      <c r="V676" s="89"/>
      <c r="W676" s="89"/>
      <c r="X676" s="89"/>
      <c r="Y676" s="89"/>
      <c r="Z676" s="89"/>
      <c r="AA676" s="89"/>
      <c r="AB676" s="89"/>
      <c r="AC676" s="355"/>
      <c r="AD676" s="355"/>
      <c r="AE676" s="355"/>
      <c r="AF676" s="94">
        <f t="shared" si="91"/>
        <v>42124</v>
      </c>
      <c r="AG676" s="185">
        <f t="shared" si="95"/>
        <v>7.1386492558868975E-2</v>
      </c>
      <c r="AH676" s="339" t="str">
        <f>VLOOKUP(B676,'MF PF'!A:B,2)</f>
        <v>FdMgt1</v>
      </c>
      <c r="AI676" s="358">
        <f t="shared" si="92"/>
        <v>0</v>
      </c>
      <c r="AJ676" s="94">
        <f t="shared" si="93"/>
        <v>42124</v>
      </c>
    </row>
    <row r="677" spans="1:36" ht="12.75" customHeight="1">
      <c r="A677" s="8">
        <v>42153</v>
      </c>
      <c r="B677" s="94" t="s">
        <v>136</v>
      </c>
      <c r="C677" s="358" t="s">
        <v>303</v>
      </c>
      <c r="D677" s="374">
        <v>5503822.2772000004</v>
      </c>
      <c r="E677" s="9" t="e">
        <f t="shared" si="96"/>
        <v>#DIV/0!</v>
      </c>
      <c r="F677" s="98">
        <v>5</v>
      </c>
      <c r="G677" s="98">
        <v>0</v>
      </c>
      <c r="H677" s="98">
        <v>0</v>
      </c>
      <c r="I677" s="98">
        <v>0</v>
      </c>
      <c r="J677" s="98"/>
      <c r="K677" s="93"/>
      <c r="L677" s="93">
        <f t="shared" si="89"/>
        <v>0</v>
      </c>
      <c r="M677" s="95" t="e">
        <f t="shared" ca="1" si="90"/>
        <v>#DIV/0!</v>
      </c>
      <c r="N677" s="95">
        <f>IF(P677="Hedge Fund",IF(A677=Summary!$AD$3,M677-E677,M677),IF(A677=Summary!$AD$3,L677-D677,L677))</f>
        <v>0</v>
      </c>
      <c r="O677" s="95">
        <f t="shared" si="94"/>
        <v>0</v>
      </c>
      <c r="P677" s="107" t="s">
        <v>155</v>
      </c>
      <c r="Q677" s="107">
        <v>0</v>
      </c>
      <c r="R677" s="107">
        <v>0</v>
      </c>
      <c r="S677" s="107">
        <v>0</v>
      </c>
      <c r="T677" s="107">
        <v>0</v>
      </c>
      <c r="U677" s="107"/>
      <c r="V677" s="107"/>
      <c r="W677" s="107"/>
      <c r="X677" s="107"/>
      <c r="Y677" s="107"/>
      <c r="Z677" s="107"/>
      <c r="AA677" s="107"/>
      <c r="AB677" s="107"/>
      <c r="AC677" s="355"/>
      <c r="AD677" s="355"/>
      <c r="AE677" s="355"/>
      <c r="AF677" s="94">
        <f t="shared" si="91"/>
        <v>42153</v>
      </c>
      <c r="AG677" s="185">
        <f t="shared" si="95"/>
        <v>1.7715472418312173E-2</v>
      </c>
      <c r="AH677" s="339" t="str">
        <f>VLOOKUP(B677,'MF PF'!A:B,2)</f>
        <v>FdMgt1</v>
      </c>
      <c r="AI677" s="358">
        <f t="shared" si="92"/>
        <v>0</v>
      </c>
      <c r="AJ677" s="94">
        <f t="shared" si="93"/>
        <v>42155</v>
      </c>
    </row>
    <row r="678" spans="1:36" ht="12.75" customHeight="1">
      <c r="A678" s="8">
        <v>42185</v>
      </c>
      <c r="B678" s="94" t="s">
        <v>136</v>
      </c>
      <c r="C678" s="358" t="s">
        <v>303</v>
      </c>
      <c r="D678" s="374">
        <v>5453826.5883999998</v>
      </c>
      <c r="E678" s="95" t="e">
        <f t="shared" si="96"/>
        <v>#DIV/0!</v>
      </c>
      <c r="F678" s="98">
        <v>5</v>
      </c>
      <c r="G678" s="98">
        <v>0</v>
      </c>
      <c r="H678" s="98">
        <v>-9.3132257461547852E-10</v>
      </c>
      <c r="I678" s="98">
        <v>0</v>
      </c>
      <c r="J678" s="98"/>
      <c r="K678" s="93"/>
      <c r="L678" s="93">
        <f t="shared" si="89"/>
        <v>-9.3132257461547852E-10</v>
      </c>
      <c r="M678" s="95" t="e">
        <f t="shared" ca="1" si="90"/>
        <v>#DIV/0!</v>
      </c>
      <c r="N678" s="95">
        <f>IF(P678="Hedge Fund",IF(A678=Summary!$AD$3,M678-E678,M678),IF(A678=Summary!$AD$3,L678-D678,L678))</f>
        <v>-9.3132257461547852E-10</v>
      </c>
      <c r="O678" s="95">
        <f t="shared" si="94"/>
        <v>-9.3132257461547852E-10</v>
      </c>
      <c r="P678" s="107" t="s">
        <v>155</v>
      </c>
      <c r="Q678" s="107">
        <v>0</v>
      </c>
      <c r="R678" s="107">
        <v>0</v>
      </c>
      <c r="S678" s="107">
        <v>0</v>
      </c>
      <c r="T678" s="107">
        <v>0</v>
      </c>
      <c r="U678" s="107"/>
      <c r="V678" s="107"/>
      <c r="W678" s="107"/>
      <c r="X678" s="107"/>
      <c r="Y678" s="107"/>
      <c r="Z678" s="107"/>
      <c r="AA678" s="107"/>
      <c r="AB678" s="107"/>
      <c r="AC678" s="355"/>
      <c r="AD678" s="355"/>
      <c r="AE678" s="355"/>
      <c r="AF678" s="94">
        <f t="shared" si="91"/>
        <v>42185</v>
      </c>
      <c r="AG678" s="185">
        <f t="shared" si="95"/>
        <v>-9.0838123547539729E-3</v>
      </c>
      <c r="AH678" s="339" t="str">
        <f>VLOOKUP(B678,'MF PF'!A:B,2)</f>
        <v>FdMgt1</v>
      </c>
      <c r="AI678" s="358">
        <f t="shared" si="92"/>
        <v>0</v>
      </c>
      <c r="AJ678" s="94">
        <f t="shared" si="93"/>
        <v>42185</v>
      </c>
    </row>
    <row r="679" spans="1:36" ht="12.75" customHeight="1">
      <c r="A679" s="94">
        <v>42216</v>
      </c>
      <c r="B679" s="94" t="s">
        <v>136</v>
      </c>
      <c r="C679" s="358" t="s">
        <v>303</v>
      </c>
      <c r="D679" s="374">
        <v>5365647.2655999996</v>
      </c>
      <c r="E679" s="95" t="e">
        <f t="shared" si="96"/>
        <v>#DIV/0!</v>
      </c>
      <c r="F679" s="98">
        <v>5</v>
      </c>
      <c r="G679" s="98">
        <v>0</v>
      </c>
      <c r="H679" s="98">
        <v>0</v>
      </c>
      <c r="I679" s="98">
        <v>0</v>
      </c>
      <c r="J679" s="98"/>
      <c r="L679" s="93">
        <f t="shared" si="89"/>
        <v>0</v>
      </c>
      <c r="M679" s="95" t="e">
        <f t="shared" ca="1" si="90"/>
        <v>#DIV/0!</v>
      </c>
      <c r="N679" s="95">
        <f>IF(P679="Hedge Fund",IF(A679=Summary!$AD$3,M679-E679,M679),IF(A679=Summary!$AD$3,L679-D679,L679))</f>
        <v>0</v>
      </c>
      <c r="O679" s="95">
        <f t="shared" si="94"/>
        <v>0</v>
      </c>
      <c r="P679" s="107" t="s">
        <v>155</v>
      </c>
      <c r="Q679" s="107">
        <v>0</v>
      </c>
      <c r="R679" s="107">
        <v>0</v>
      </c>
      <c r="S679" s="107">
        <v>0</v>
      </c>
      <c r="T679" s="107">
        <v>0</v>
      </c>
      <c r="U679" s="107"/>
      <c r="V679" s="107"/>
      <c r="W679" s="107"/>
      <c r="X679" s="107"/>
      <c r="Y679" s="107"/>
      <c r="Z679" s="107"/>
      <c r="AA679" s="107"/>
      <c r="AB679" s="107"/>
      <c r="AC679" s="355"/>
      <c r="AD679" s="355"/>
      <c r="AE679" s="355"/>
      <c r="AF679" s="94">
        <f t="shared" si="91"/>
        <v>42216</v>
      </c>
      <c r="AG679" s="185">
        <f t="shared" si="95"/>
        <v>-1.6168340039918516E-2</v>
      </c>
      <c r="AH679" s="339" t="str">
        <f>VLOOKUP(B679,'MF PF'!A:B,2)</f>
        <v>FdMgt1</v>
      </c>
      <c r="AI679" s="358">
        <f t="shared" si="92"/>
        <v>0</v>
      </c>
      <c r="AJ679" s="94">
        <f t="shared" si="93"/>
        <v>42216</v>
      </c>
    </row>
    <row r="680" spans="1:36" ht="12.75" customHeight="1">
      <c r="A680" s="94">
        <v>42247</v>
      </c>
      <c r="B680" s="94" t="s">
        <v>136</v>
      </c>
      <c r="C680" s="358" t="s">
        <v>303</v>
      </c>
      <c r="D680" s="374">
        <v>5274352.9884000001</v>
      </c>
      <c r="E680" s="9" t="e">
        <f t="shared" si="96"/>
        <v>#DIV/0!</v>
      </c>
      <c r="F680" s="47">
        <v>5</v>
      </c>
      <c r="G680" s="47">
        <v>0</v>
      </c>
      <c r="H680" s="47">
        <v>0</v>
      </c>
      <c r="I680" s="47">
        <v>0</v>
      </c>
      <c r="J680" s="98"/>
      <c r="L680" s="93">
        <f t="shared" si="89"/>
        <v>0</v>
      </c>
      <c r="M680" s="95" t="e">
        <f t="shared" ca="1" si="90"/>
        <v>#DIV/0!</v>
      </c>
      <c r="N680" s="95">
        <f>IF(P680="Hedge Fund",IF(A680=Summary!$AD$3,M680-E680,M680),IF(A680=Summary!$AD$3,L680-D680,L680))</f>
        <v>0</v>
      </c>
      <c r="O680" s="95">
        <f t="shared" si="94"/>
        <v>0</v>
      </c>
      <c r="P680" s="89" t="s">
        <v>155</v>
      </c>
      <c r="Q680" s="107">
        <v>0</v>
      </c>
      <c r="R680" s="107">
        <v>0</v>
      </c>
      <c r="S680" s="89">
        <v>0</v>
      </c>
      <c r="T680" s="89">
        <v>0</v>
      </c>
      <c r="U680" s="89"/>
      <c r="V680" s="89"/>
      <c r="W680" s="89"/>
      <c r="X680" s="89"/>
      <c r="Y680" s="89"/>
      <c r="Z680" s="89"/>
      <c r="AA680" s="89"/>
      <c r="AB680" s="89"/>
      <c r="AC680" s="355"/>
      <c r="AD680" s="355"/>
      <c r="AE680" s="355"/>
      <c r="AF680" s="94">
        <f t="shared" si="91"/>
        <v>42247</v>
      </c>
      <c r="AG680" s="185">
        <f t="shared" si="95"/>
        <v>-1.7014587929642944E-2</v>
      </c>
      <c r="AH680" s="339" t="str">
        <f>VLOOKUP(B680,'MF PF'!A:B,2)</f>
        <v>FdMgt1</v>
      </c>
      <c r="AI680" s="358">
        <f t="shared" si="92"/>
        <v>0</v>
      </c>
      <c r="AJ680" s="94">
        <f t="shared" si="93"/>
        <v>42247</v>
      </c>
    </row>
    <row r="681" spans="1:36" ht="12.75" customHeight="1">
      <c r="A681" s="94">
        <v>42277</v>
      </c>
      <c r="B681" s="94" t="s">
        <v>136</v>
      </c>
      <c r="C681" s="358" t="s">
        <v>303</v>
      </c>
      <c r="D681" s="374">
        <v>5292107.7372000003</v>
      </c>
      <c r="E681" s="9" t="e">
        <f t="shared" si="96"/>
        <v>#DIV/0!</v>
      </c>
      <c r="F681" s="47">
        <v>5</v>
      </c>
      <c r="G681" s="47">
        <v>0</v>
      </c>
      <c r="H681" s="47">
        <v>0</v>
      </c>
      <c r="I681" s="47">
        <v>0</v>
      </c>
      <c r="J681" s="98"/>
      <c r="K681" s="93"/>
      <c r="L681" s="93">
        <f t="shared" si="89"/>
        <v>0</v>
      </c>
      <c r="M681" s="95" t="e">
        <f t="shared" ca="1" si="90"/>
        <v>#DIV/0!</v>
      </c>
      <c r="N681" s="95">
        <f>IF(P681="Hedge Fund",IF(A681=Summary!$AD$3,M681-E681,M681),IF(A681=Summary!$AD$3,L681-D681,L681))</f>
        <v>0</v>
      </c>
      <c r="O681" s="95">
        <f t="shared" si="94"/>
        <v>0</v>
      </c>
      <c r="P681" s="89" t="s">
        <v>155</v>
      </c>
      <c r="Q681" s="107">
        <v>0</v>
      </c>
      <c r="R681" s="107">
        <v>0</v>
      </c>
      <c r="S681" s="89">
        <v>0</v>
      </c>
      <c r="T681" s="89">
        <v>0</v>
      </c>
      <c r="U681" s="89"/>
      <c r="V681" s="89"/>
      <c r="W681" s="89"/>
      <c r="X681" s="89"/>
      <c r="Y681" s="89"/>
      <c r="Z681" s="89"/>
      <c r="AA681" s="89"/>
      <c r="AB681" s="89"/>
      <c r="AC681" s="355"/>
      <c r="AD681" s="355"/>
      <c r="AE681" s="355"/>
      <c r="AF681" s="94">
        <f t="shared" si="91"/>
        <v>42277</v>
      </c>
      <c r="AG681" s="185">
        <f t="shared" si="95"/>
        <v>3.3662420469484644E-3</v>
      </c>
      <c r="AH681" s="339" t="str">
        <f>VLOOKUP(B681,'MF PF'!A:B,2)</f>
        <v>FdMgt1</v>
      </c>
      <c r="AI681" s="358">
        <f t="shared" si="92"/>
        <v>0</v>
      </c>
      <c r="AJ681" s="94">
        <f t="shared" si="93"/>
        <v>42277</v>
      </c>
    </row>
    <row r="682" spans="1:36" ht="12.75" customHeight="1">
      <c r="A682" s="94">
        <v>42307</v>
      </c>
      <c r="B682" s="8" t="s">
        <v>136</v>
      </c>
      <c r="C682" s="92" t="s">
        <v>303</v>
      </c>
      <c r="D682" s="374">
        <v>5440204.7463999996</v>
      </c>
      <c r="E682" s="9" t="e">
        <f t="shared" si="96"/>
        <v>#DIV/0!</v>
      </c>
      <c r="F682" s="47">
        <v>5</v>
      </c>
      <c r="G682" s="47">
        <v>0</v>
      </c>
      <c r="H682" s="47">
        <v>0</v>
      </c>
      <c r="I682" s="47">
        <v>0</v>
      </c>
      <c r="J682" s="98"/>
      <c r="L682" s="93">
        <f t="shared" si="89"/>
        <v>0</v>
      </c>
      <c r="M682" s="95" t="e">
        <f t="shared" ca="1" si="90"/>
        <v>#DIV/0!</v>
      </c>
      <c r="N682" s="95">
        <f>IF(P682="Hedge Fund",IF(A682=Summary!$AD$3,M682-E682,M682),IF(A682=Summary!$AD$3,L682-D682,L682))</f>
        <v>0</v>
      </c>
      <c r="O682" s="95">
        <f t="shared" si="94"/>
        <v>0</v>
      </c>
      <c r="P682" s="89" t="s">
        <v>155</v>
      </c>
      <c r="Q682" s="89">
        <v>0</v>
      </c>
      <c r="R682" s="89">
        <v>0</v>
      </c>
      <c r="S682" s="89">
        <v>0</v>
      </c>
      <c r="T682" s="89">
        <v>0</v>
      </c>
      <c r="U682" s="89"/>
      <c r="V682" s="89"/>
      <c r="W682" s="89"/>
      <c r="X682" s="89"/>
      <c r="Y682" s="89"/>
      <c r="Z682" s="89"/>
      <c r="AA682" s="89"/>
      <c r="AB682" s="89"/>
      <c r="AC682" s="355"/>
      <c r="AD682" s="355"/>
      <c r="AE682" s="355"/>
      <c r="AF682" s="94">
        <f t="shared" si="91"/>
        <v>42307</v>
      </c>
      <c r="AG682" s="185">
        <f t="shared" si="95"/>
        <v>2.7984503822357176E-2</v>
      </c>
      <c r="AH682" s="339" t="str">
        <f>VLOOKUP(B682,'MF PF'!A:B,2)</f>
        <v>FdMgt1</v>
      </c>
      <c r="AI682" s="358">
        <f t="shared" si="92"/>
        <v>0</v>
      </c>
      <c r="AJ682" s="94">
        <f t="shared" si="93"/>
        <v>42308</v>
      </c>
    </row>
    <row r="683" spans="1:36" ht="12.75" customHeight="1">
      <c r="A683" s="94">
        <v>42338</v>
      </c>
      <c r="B683" s="8" t="s">
        <v>136</v>
      </c>
      <c r="C683" s="358" t="s">
        <v>303</v>
      </c>
      <c r="D683" s="374">
        <v>5406503.8032</v>
      </c>
      <c r="E683" s="9" t="e">
        <f t="shared" si="96"/>
        <v>#DIV/0!</v>
      </c>
      <c r="F683" s="47">
        <v>5</v>
      </c>
      <c r="G683" s="47">
        <v>0</v>
      </c>
      <c r="H683" s="47">
        <v>0</v>
      </c>
      <c r="I683" s="47">
        <v>0</v>
      </c>
      <c r="J683" s="98"/>
      <c r="L683" s="93">
        <f t="shared" si="89"/>
        <v>0</v>
      </c>
      <c r="M683" s="95" t="e">
        <f t="shared" ca="1" si="90"/>
        <v>#DIV/0!</v>
      </c>
      <c r="N683" s="95">
        <f>IF(P683="Hedge Fund",IF(A683=Summary!$AD$3,M683-E683,M683),IF(A683=Summary!$AD$3,L683-D683,L683))</f>
        <v>0</v>
      </c>
      <c r="O683" s="95">
        <f t="shared" si="94"/>
        <v>0</v>
      </c>
      <c r="P683" s="89" t="s">
        <v>155</v>
      </c>
      <c r="Q683" s="107">
        <v>0</v>
      </c>
      <c r="R683" s="107">
        <v>0</v>
      </c>
      <c r="S683" s="89">
        <v>0</v>
      </c>
      <c r="T683" s="89">
        <v>0</v>
      </c>
      <c r="U683" s="89"/>
      <c r="V683" s="89"/>
      <c r="W683" s="89"/>
      <c r="X683" s="89"/>
      <c r="Y683" s="89"/>
      <c r="Z683" s="89"/>
      <c r="AA683" s="89"/>
      <c r="AB683" s="89"/>
      <c r="AC683" s="355"/>
      <c r="AD683" s="355"/>
      <c r="AE683" s="355"/>
      <c r="AF683" s="94">
        <f t="shared" si="91"/>
        <v>42338</v>
      </c>
      <c r="AG683" s="185">
        <f t="shared" si="95"/>
        <v>-6.1947931688234315E-3</v>
      </c>
      <c r="AH683" s="339" t="str">
        <f>VLOOKUP(B683,'MF PF'!A:B,2)</f>
        <v>FdMgt1</v>
      </c>
      <c r="AI683" s="358">
        <f t="shared" si="92"/>
        <v>0</v>
      </c>
      <c r="AJ683" s="94">
        <f t="shared" si="93"/>
        <v>42338</v>
      </c>
    </row>
    <row r="684" spans="1:36" ht="12.75" customHeight="1">
      <c r="A684" s="8">
        <v>42369</v>
      </c>
      <c r="B684" s="8" t="s">
        <v>136</v>
      </c>
      <c r="C684" s="6" t="s">
        <v>303</v>
      </c>
      <c r="D684" s="374">
        <v>5434118.6336000003</v>
      </c>
      <c r="E684" s="9" t="e">
        <f t="shared" si="96"/>
        <v>#DIV/0!</v>
      </c>
      <c r="F684" s="47">
        <v>5</v>
      </c>
      <c r="G684" s="47">
        <v>0</v>
      </c>
      <c r="H684" s="47">
        <v>0</v>
      </c>
      <c r="I684" s="47">
        <v>0</v>
      </c>
      <c r="J684" s="98"/>
      <c r="L684" s="93">
        <f t="shared" si="89"/>
        <v>0</v>
      </c>
      <c r="M684" s="95" t="e">
        <f t="shared" ca="1" si="90"/>
        <v>#DIV/0!</v>
      </c>
      <c r="N684" s="95">
        <f>IF(P684="Hedge Fund",IF(A684=Summary!$AD$3,M684-E684,M684),IF(A684=Summary!$AD$3,L684-D684,L684))</f>
        <v>0</v>
      </c>
      <c r="O684" s="95">
        <f t="shared" si="94"/>
        <v>0</v>
      </c>
      <c r="P684" s="89" t="s">
        <v>155</v>
      </c>
      <c r="Q684" s="107">
        <v>0</v>
      </c>
      <c r="R684" s="107">
        <v>0</v>
      </c>
      <c r="S684" s="89">
        <v>0</v>
      </c>
      <c r="T684" s="89">
        <v>0</v>
      </c>
      <c r="U684" s="89"/>
      <c r="V684" s="89"/>
      <c r="W684" s="89"/>
      <c r="X684" s="89"/>
      <c r="Y684" s="89"/>
      <c r="Z684" s="89"/>
      <c r="AA684" s="89"/>
      <c r="AB684" s="89"/>
      <c r="AC684" s="355"/>
      <c r="AD684" s="355"/>
      <c r="AE684" s="355"/>
      <c r="AF684" s="94">
        <f t="shared" si="91"/>
        <v>42369</v>
      </c>
      <c r="AG684" s="185">
        <f t="shared" si="95"/>
        <v>5.1077057198509745E-3</v>
      </c>
      <c r="AH684" s="339" t="str">
        <f>VLOOKUP(B684,'MF PF'!A:B,2)</f>
        <v>FdMgt1</v>
      </c>
      <c r="AI684" s="358">
        <f t="shared" si="92"/>
        <v>0</v>
      </c>
      <c r="AJ684" s="94">
        <f t="shared" si="93"/>
        <v>42369</v>
      </c>
    </row>
    <row r="685" spans="1:36" ht="12.75" customHeight="1">
      <c r="A685" s="8">
        <v>42398</v>
      </c>
      <c r="B685" s="94" t="s">
        <v>136</v>
      </c>
      <c r="C685" s="358" t="s">
        <v>303</v>
      </c>
      <c r="D685" s="374">
        <v>5375650.6464</v>
      </c>
      <c r="E685" s="9" t="e">
        <f t="shared" si="96"/>
        <v>#DIV/0!</v>
      </c>
      <c r="F685" s="47">
        <v>5</v>
      </c>
      <c r="G685" s="47">
        <v>0</v>
      </c>
      <c r="H685" s="47">
        <v>0</v>
      </c>
      <c r="I685" s="98">
        <v>0</v>
      </c>
      <c r="J685" s="98"/>
      <c r="K685" s="93"/>
      <c r="L685" s="93">
        <f t="shared" si="89"/>
        <v>0</v>
      </c>
      <c r="M685" s="95" t="e">
        <f t="shared" ca="1" si="90"/>
        <v>#DIV/0!</v>
      </c>
      <c r="N685" s="95">
        <f>IF(P685="Hedge Fund",IF(A685=Summary!$AD$3,M685-E685,M685),IF(A685=Summary!$AD$3,L685-D685,L685))</f>
        <v>0</v>
      </c>
      <c r="O685" s="95">
        <f t="shared" si="94"/>
        <v>0</v>
      </c>
      <c r="P685" s="89" t="s">
        <v>155</v>
      </c>
      <c r="Q685" s="107">
        <v>0</v>
      </c>
      <c r="R685" s="107">
        <v>0</v>
      </c>
      <c r="S685" s="89">
        <v>0</v>
      </c>
      <c r="T685" s="89">
        <v>0</v>
      </c>
      <c r="U685" s="89"/>
      <c r="V685" s="89"/>
      <c r="W685" s="89"/>
      <c r="X685" s="89"/>
      <c r="Y685" s="89"/>
      <c r="Z685" s="89"/>
      <c r="AA685" s="89"/>
      <c r="AB685" s="89"/>
      <c r="AC685" s="355"/>
      <c r="AD685" s="355"/>
      <c r="AE685" s="355"/>
      <c r="AF685" s="94">
        <f t="shared" si="91"/>
        <v>42398</v>
      </c>
      <c r="AG685" s="185">
        <f t="shared" si="95"/>
        <v>-1.0759424138899631E-2</v>
      </c>
      <c r="AH685" s="339" t="str">
        <f>VLOOKUP(B685,'MF PF'!A:B,2)</f>
        <v>FdMgt1</v>
      </c>
      <c r="AI685" s="358">
        <f t="shared" si="92"/>
        <v>0</v>
      </c>
      <c r="AJ685" s="94">
        <f t="shared" si="93"/>
        <v>42400</v>
      </c>
    </row>
    <row r="686" spans="1:36" ht="12.75" customHeight="1">
      <c r="A686" s="94">
        <v>42429</v>
      </c>
      <c r="B686" s="94" t="s">
        <v>136</v>
      </c>
      <c r="C686" s="358" t="s">
        <v>303</v>
      </c>
      <c r="D686" s="374">
        <v>5467670.4172</v>
      </c>
      <c r="E686" s="9" t="e">
        <f t="shared" si="96"/>
        <v>#DIV/0!</v>
      </c>
      <c r="F686" s="47">
        <v>5</v>
      </c>
      <c r="G686" s="47">
        <v>0</v>
      </c>
      <c r="H686" s="47">
        <v>0</v>
      </c>
      <c r="I686" s="98">
        <v>0</v>
      </c>
      <c r="J686" s="98"/>
      <c r="K686" s="93"/>
      <c r="L686" s="93">
        <f t="shared" si="89"/>
        <v>0</v>
      </c>
      <c r="M686" s="95" t="e">
        <f t="shared" ca="1" si="90"/>
        <v>#DIV/0!</v>
      </c>
      <c r="N686" s="95">
        <f>IF(P686="Hedge Fund",IF(A686=Summary!$AD$3,M686-E686,M686),IF(A686=Summary!$AD$3,L686-D686,L686))</f>
        <v>0</v>
      </c>
      <c r="O686" s="95">
        <f t="shared" si="94"/>
        <v>0</v>
      </c>
      <c r="P686" s="89" t="s">
        <v>155</v>
      </c>
      <c r="Q686" s="107">
        <v>0</v>
      </c>
      <c r="R686" s="107">
        <v>0</v>
      </c>
      <c r="S686" s="89">
        <v>0</v>
      </c>
      <c r="T686" s="89">
        <v>0</v>
      </c>
      <c r="U686" s="89"/>
      <c r="V686" s="89"/>
      <c r="W686" s="89"/>
      <c r="X686" s="89"/>
      <c r="Y686" s="89"/>
      <c r="Z686" s="89"/>
      <c r="AA686" s="89"/>
      <c r="AB686" s="89"/>
      <c r="AC686" s="355"/>
      <c r="AD686" s="355"/>
      <c r="AE686" s="355"/>
      <c r="AF686" s="94">
        <f t="shared" si="91"/>
        <v>42429</v>
      </c>
      <c r="AG686" s="185">
        <f t="shared" si="95"/>
        <v>1.7117885229692931E-2</v>
      </c>
      <c r="AH686" s="339" t="str">
        <f>VLOOKUP(B686,'MF PF'!A:B,2)</f>
        <v>FdMgt1</v>
      </c>
      <c r="AI686" s="358">
        <f t="shared" si="92"/>
        <v>0</v>
      </c>
      <c r="AJ686" s="94">
        <f t="shared" si="93"/>
        <v>42429</v>
      </c>
    </row>
    <row r="687" spans="1:36" ht="12.75" customHeight="1">
      <c r="A687" s="8">
        <v>42460</v>
      </c>
      <c r="B687" s="94" t="s">
        <v>136</v>
      </c>
      <c r="C687" s="358" t="s">
        <v>303</v>
      </c>
      <c r="D687" s="374">
        <v>5544748.3760000002</v>
      </c>
      <c r="E687" s="9" t="e">
        <f t="shared" si="96"/>
        <v>#DIV/0!</v>
      </c>
      <c r="F687" s="47">
        <v>5</v>
      </c>
      <c r="G687" s="47">
        <v>0</v>
      </c>
      <c r="H687" s="47">
        <v>-9.3132257461547852E-10</v>
      </c>
      <c r="I687" s="47">
        <v>0</v>
      </c>
      <c r="J687" s="98"/>
      <c r="K687" s="93"/>
      <c r="L687" s="93">
        <f t="shared" si="89"/>
        <v>-9.3132257461547852E-10</v>
      </c>
      <c r="M687" s="95" t="e">
        <f t="shared" ca="1" si="90"/>
        <v>#DIV/0!</v>
      </c>
      <c r="N687" s="95">
        <f>IF(P687="Hedge Fund",IF(A687=Summary!$AD$3,M687-E687,M687),IF(A687=Summary!$AD$3,L687-D687,L687))</f>
        <v>-9.3132257461547852E-10</v>
      </c>
      <c r="O687" s="95">
        <f t="shared" si="94"/>
        <v>-9.3132257461547852E-10</v>
      </c>
      <c r="P687" s="89" t="s">
        <v>155</v>
      </c>
      <c r="Q687" s="107">
        <v>0</v>
      </c>
      <c r="R687" s="107">
        <v>0</v>
      </c>
      <c r="S687" s="89">
        <v>0</v>
      </c>
      <c r="T687" s="89">
        <v>0</v>
      </c>
      <c r="U687" s="89"/>
      <c r="V687" s="89"/>
      <c r="W687" s="89"/>
      <c r="X687" s="89"/>
      <c r="Y687" s="89"/>
      <c r="Z687" s="89"/>
      <c r="AA687" s="89"/>
      <c r="AB687" s="89"/>
      <c r="AC687" s="355"/>
      <c r="AD687" s="355"/>
      <c r="AE687" s="355"/>
      <c r="AF687" s="94">
        <f t="shared" si="91"/>
        <v>42460</v>
      </c>
      <c r="AG687" s="185">
        <f t="shared" si="95"/>
        <v>1.4097038211654533E-2</v>
      </c>
      <c r="AH687" s="339" t="str">
        <f>VLOOKUP(B687,'MF PF'!A:B,2)</f>
        <v>FdMgt1</v>
      </c>
      <c r="AI687" s="358">
        <f t="shared" si="92"/>
        <v>0</v>
      </c>
      <c r="AJ687" s="94">
        <f t="shared" si="93"/>
        <v>42460</v>
      </c>
    </row>
    <row r="688" spans="1:36" ht="12.75" customHeight="1">
      <c r="A688" s="8">
        <v>42489</v>
      </c>
      <c r="B688" s="94" t="s">
        <v>136</v>
      </c>
      <c r="C688" s="358" t="s">
        <v>303</v>
      </c>
      <c r="D688" s="374">
        <v>5640834.2615999999</v>
      </c>
      <c r="E688" s="9" t="e">
        <f t="shared" si="96"/>
        <v>#DIV/0!</v>
      </c>
      <c r="F688" s="47">
        <v>5</v>
      </c>
      <c r="G688" s="47">
        <v>0</v>
      </c>
      <c r="H688" s="47">
        <v>0</v>
      </c>
      <c r="I688" s="47">
        <v>0</v>
      </c>
      <c r="J688" s="98"/>
      <c r="K688" s="93"/>
      <c r="L688" s="93">
        <f t="shared" si="89"/>
        <v>0</v>
      </c>
      <c r="M688" s="95" t="e">
        <f t="shared" ca="1" si="90"/>
        <v>#DIV/0!</v>
      </c>
      <c r="N688" s="95">
        <f>IF(P688="Hedge Fund",IF(A688=Summary!$AD$3,M688-E688,M688),IF(A688=Summary!$AD$3,L688-D688,L688))</f>
        <v>0</v>
      </c>
      <c r="O688" s="95">
        <f t="shared" si="94"/>
        <v>0</v>
      </c>
      <c r="P688" s="89" t="s">
        <v>155</v>
      </c>
      <c r="Q688" s="107">
        <v>0</v>
      </c>
      <c r="R688" s="107">
        <v>0</v>
      </c>
      <c r="S688" s="89">
        <v>0</v>
      </c>
      <c r="T688" s="89">
        <v>0</v>
      </c>
      <c r="U688" s="89"/>
      <c r="V688" s="89"/>
      <c r="W688" s="89"/>
      <c r="X688" s="89"/>
      <c r="Y688" s="89"/>
      <c r="Z688" s="89"/>
      <c r="AA688" s="89"/>
      <c r="AB688" s="89"/>
      <c r="AC688" s="355"/>
      <c r="AD688" s="355"/>
      <c r="AE688" s="355"/>
      <c r="AF688" s="94">
        <f t="shared" si="91"/>
        <v>42489</v>
      </c>
      <c r="AG688" s="185">
        <f t="shared" si="95"/>
        <v>1.7329169708746317E-2</v>
      </c>
      <c r="AH688" s="339" t="str">
        <f>VLOOKUP(B688,'MF PF'!A:B,2)</f>
        <v>FdMgt1</v>
      </c>
      <c r="AI688" s="358">
        <f t="shared" si="92"/>
        <v>0</v>
      </c>
      <c r="AJ688" s="94">
        <f t="shared" si="93"/>
        <v>42490</v>
      </c>
    </row>
    <row r="689" spans="1:36" ht="12.75" customHeight="1">
      <c r="A689" s="94">
        <v>42521</v>
      </c>
      <c r="B689" s="94" t="s">
        <v>136</v>
      </c>
      <c r="C689" s="358" t="s">
        <v>303</v>
      </c>
      <c r="D689" s="374">
        <v>5771834.7544</v>
      </c>
      <c r="E689" s="9" t="e">
        <f t="shared" si="96"/>
        <v>#DIV/0!</v>
      </c>
      <c r="F689" s="98">
        <v>5</v>
      </c>
      <c r="G689" s="98">
        <v>0</v>
      </c>
      <c r="H689" s="98">
        <v>0</v>
      </c>
      <c r="I689" s="98">
        <v>0</v>
      </c>
      <c r="J689" s="98"/>
      <c r="K689" s="93"/>
      <c r="L689" s="93">
        <f t="shared" si="89"/>
        <v>0</v>
      </c>
      <c r="M689" s="95" t="e">
        <f t="shared" ca="1" si="90"/>
        <v>#DIV/0!</v>
      </c>
      <c r="N689" s="95">
        <f>IF(P689="Hedge Fund",IF(A689=Summary!$AD$3,M689-E689,M689),IF(A689=Summary!$AD$3,L689-D689,L689))</f>
        <v>0</v>
      </c>
      <c r="O689" s="95">
        <f t="shared" si="94"/>
        <v>0</v>
      </c>
      <c r="P689" s="107" t="s">
        <v>155</v>
      </c>
      <c r="Q689" s="107">
        <v>0</v>
      </c>
      <c r="R689" s="107">
        <v>0</v>
      </c>
      <c r="S689" s="107">
        <v>0</v>
      </c>
      <c r="T689" s="107">
        <v>0</v>
      </c>
      <c r="U689" s="107"/>
      <c r="V689" s="107"/>
      <c r="W689" s="107"/>
      <c r="X689" s="107"/>
      <c r="Y689" s="107"/>
      <c r="Z689" s="107"/>
      <c r="AA689" s="107"/>
      <c r="AB689" s="107"/>
      <c r="AC689" s="355"/>
      <c r="AD689" s="355"/>
      <c r="AE689" s="355"/>
      <c r="AF689" s="94">
        <f t="shared" si="91"/>
        <v>42521</v>
      </c>
      <c r="AG689" s="185">
        <f t="shared" si="95"/>
        <v>2.3223602524858222E-2</v>
      </c>
      <c r="AH689" s="339" t="str">
        <f>VLOOKUP(B689,'MF PF'!A:B,2)</f>
        <v>FdMgt1</v>
      </c>
      <c r="AI689" s="358">
        <f t="shared" si="92"/>
        <v>0</v>
      </c>
      <c r="AJ689" s="94">
        <f t="shared" si="93"/>
        <v>42521</v>
      </c>
    </row>
    <row r="690" spans="1:36" ht="12.75" customHeight="1">
      <c r="A690" s="8">
        <v>42551</v>
      </c>
      <c r="B690" s="94" t="s">
        <v>136</v>
      </c>
      <c r="C690" s="6" t="s">
        <v>303</v>
      </c>
      <c r="D690" s="374">
        <v>5925349.2019999996</v>
      </c>
      <c r="E690" s="9" t="e">
        <f t="shared" ref="E690:E714" si="97">D690/K690</f>
        <v>#DIV/0!</v>
      </c>
      <c r="F690" s="47">
        <v>5</v>
      </c>
      <c r="G690" s="47">
        <v>0</v>
      </c>
      <c r="H690" s="47">
        <v>0</v>
      </c>
      <c r="I690" s="47">
        <v>0</v>
      </c>
      <c r="J690" s="98"/>
      <c r="K690" s="93"/>
      <c r="L690" s="93">
        <f t="shared" si="89"/>
        <v>0</v>
      </c>
      <c r="M690" s="95" t="e">
        <f t="shared" ca="1" si="90"/>
        <v>#DIV/0!</v>
      </c>
      <c r="N690" s="95">
        <f>IF(P690="Hedge Fund",IF(A690=Summary!$AD$3,M690-E690,M690),IF(A690=Summary!$AD$3,L690-D690,L690))</f>
        <v>0</v>
      </c>
      <c r="O690" s="95">
        <f t="shared" si="94"/>
        <v>0</v>
      </c>
      <c r="P690" s="89" t="s">
        <v>155</v>
      </c>
      <c r="Q690" s="89">
        <v>0</v>
      </c>
      <c r="R690" s="89">
        <v>0</v>
      </c>
      <c r="S690" s="89">
        <v>0</v>
      </c>
      <c r="T690" s="89">
        <v>0</v>
      </c>
      <c r="U690" s="89"/>
      <c r="V690" s="89"/>
      <c r="W690" s="89"/>
      <c r="X690" s="89"/>
      <c r="Y690" s="89"/>
      <c r="Z690" s="89"/>
      <c r="AA690" s="89"/>
      <c r="AB690" s="89"/>
      <c r="AC690" s="355"/>
      <c r="AD690" s="355"/>
      <c r="AE690" s="355"/>
      <c r="AF690" s="94">
        <f t="shared" si="91"/>
        <v>42551</v>
      </c>
      <c r="AG690" s="185">
        <f t="shared" si="95"/>
        <v>2.659716608881979E-2</v>
      </c>
      <c r="AH690" s="339" t="str">
        <f>VLOOKUP(B690,'MF PF'!A:B,2)</f>
        <v>FdMgt1</v>
      </c>
      <c r="AI690" s="358">
        <f t="shared" si="92"/>
        <v>0</v>
      </c>
      <c r="AJ690" s="94">
        <f t="shared" si="93"/>
        <v>42551</v>
      </c>
    </row>
    <row r="691" spans="1:36" ht="12.75" customHeight="1">
      <c r="A691" s="94">
        <v>42580</v>
      </c>
      <c r="B691" s="94" t="s">
        <v>136</v>
      </c>
      <c r="C691" s="92" t="s">
        <v>303</v>
      </c>
      <c r="D691" s="374">
        <v>6006646.4740000004</v>
      </c>
      <c r="E691" s="9" t="e">
        <f t="shared" si="97"/>
        <v>#DIV/0!</v>
      </c>
      <c r="F691" s="47">
        <v>5</v>
      </c>
      <c r="G691" s="47">
        <v>0</v>
      </c>
      <c r="H691" s="47">
        <v>0</v>
      </c>
      <c r="I691" s="47">
        <v>0</v>
      </c>
      <c r="J691" s="98"/>
      <c r="K691" s="93"/>
      <c r="L691" s="93">
        <f t="shared" si="89"/>
        <v>0</v>
      </c>
      <c r="M691" s="95" t="e">
        <f t="shared" ca="1" si="90"/>
        <v>#DIV/0!</v>
      </c>
      <c r="N691" s="95">
        <f>IF(P691="Hedge Fund",IF(A691=Summary!$AD$3,M691-E691,M691),IF(A691=Summary!$AD$3,L691-D691,L691))</f>
        <v>0</v>
      </c>
      <c r="O691" s="95">
        <f t="shared" si="94"/>
        <v>0</v>
      </c>
      <c r="P691" s="89" t="s">
        <v>155</v>
      </c>
      <c r="Q691" s="107">
        <v>0</v>
      </c>
      <c r="R691" s="107">
        <v>0</v>
      </c>
      <c r="S691" s="89">
        <v>0</v>
      </c>
      <c r="T691" s="89">
        <v>0</v>
      </c>
      <c r="U691" s="89"/>
      <c r="V691" s="89"/>
      <c r="W691" s="89"/>
      <c r="X691" s="89"/>
      <c r="Y691" s="89"/>
      <c r="Z691" s="89"/>
      <c r="AA691" s="89"/>
      <c r="AB691" s="89"/>
      <c r="AC691" s="355"/>
      <c r="AD691" s="355"/>
      <c r="AE691" s="355"/>
      <c r="AF691" s="94">
        <f t="shared" si="91"/>
        <v>42580</v>
      </c>
      <c r="AG691" s="185">
        <f t="shared" si="95"/>
        <v>1.3720249934393802E-2</v>
      </c>
      <c r="AH691" s="339" t="str">
        <f>VLOOKUP(B691,'MF PF'!A:B,2)</f>
        <v>FdMgt1</v>
      </c>
      <c r="AI691" s="358">
        <f t="shared" si="92"/>
        <v>0</v>
      </c>
      <c r="AJ691" s="94">
        <f t="shared" si="93"/>
        <v>42582</v>
      </c>
    </row>
    <row r="692" spans="1:36" ht="12.75" customHeight="1">
      <c r="A692" s="94">
        <v>42613</v>
      </c>
      <c r="B692" s="8" t="s">
        <v>136</v>
      </c>
      <c r="C692" s="358" t="s">
        <v>303</v>
      </c>
      <c r="D692" s="374">
        <v>5991389.8380000005</v>
      </c>
      <c r="E692" s="9" t="e">
        <f t="shared" si="97"/>
        <v>#DIV/0!</v>
      </c>
      <c r="F692" s="47">
        <v>5</v>
      </c>
      <c r="G692" s="47">
        <v>0</v>
      </c>
      <c r="H692" s="47">
        <v>0</v>
      </c>
      <c r="I692" s="47">
        <v>0</v>
      </c>
      <c r="J692" s="98"/>
      <c r="K692" s="93"/>
      <c r="L692" s="93">
        <f t="shared" si="89"/>
        <v>0</v>
      </c>
      <c r="M692" s="95" t="e">
        <f t="shared" ca="1" si="90"/>
        <v>#DIV/0!</v>
      </c>
      <c r="N692" s="95">
        <f>IF(P692="Hedge Fund",IF(A692=Summary!$AD$3,M692-E692,M692),IF(A692=Summary!$AD$3,L692-D692,L692))</f>
        <v>0</v>
      </c>
      <c r="O692" s="95">
        <f t="shared" si="94"/>
        <v>0</v>
      </c>
      <c r="P692" s="89" t="s">
        <v>155</v>
      </c>
      <c r="Q692" s="107">
        <v>0</v>
      </c>
      <c r="R692" s="107">
        <v>0</v>
      </c>
      <c r="S692" s="89">
        <v>0</v>
      </c>
      <c r="T692" s="89">
        <v>0</v>
      </c>
      <c r="U692" s="89"/>
      <c r="V692" s="89"/>
      <c r="W692" s="89"/>
      <c r="X692" s="89"/>
      <c r="Y692" s="89"/>
      <c r="Z692" s="89"/>
      <c r="AA692" s="89"/>
      <c r="AB692" s="89"/>
      <c r="AC692" s="355"/>
      <c r="AD692" s="355"/>
      <c r="AE692" s="355"/>
      <c r="AF692" s="94">
        <f t="shared" si="91"/>
        <v>42613</v>
      </c>
      <c r="AG692" s="185">
        <f t="shared" si="95"/>
        <v>-2.5399590380487114E-3</v>
      </c>
      <c r="AH692" s="339" t="str">
        <f>VLOOKUP(B692,'MF PF'!A:B,2)</f>
        <v>FdMgt1</v>
      </c>
      <c r="AI692" s="358">
        <f t="shared" si="92"/>
        <v>0</v>
      </c>
      <c r="AJ692" s="94">
        <f t="shared" si="93"/>
        <v>42613</v>
      </c>
    </row>
    <row r="693" spans="1:36" ht="12.75" customHeight="1">
      <c r="A693" s="94">
        <v>42643</v>
      </c>
      <c r="B693" s="94" t="s">
        <v>136</v>
      </c>
      <c r="C693" s="358" t="s">
        <v>303</v>
      </c>
      <c r="D693" s="374">
        <v>6223342.9060000004</v>
      </c>
      <c r="E693" s="9" t="e">
        <f t="shared" si="97"/>
        <v>#DIV/0!</v>
      </c>
      <c r="F693" s="47">
        <v>5</v>
      </c>
      <c r="G693" s="47">
        <v>0</v>
      </c>
      <c r="H693" s="47">
        <v>-9.3132257461547852E-10</v>
      </c>
      <c r="I693" s="98">
        <v>0</v>
      </c>
      <c r="J693" s="98"/>
      <c r="K693" s="93"/>
      <c r="L693" s="93">
        <f t="shared" si="89"/>
        <v>-9.3132257461547852E-10</v>
      </c>
      <c r="M693" s="95" t="e">
        <f t="shared" ca="1" si="90"/>
        <v>#DIV/0!</v>
      </c>
      <c r="N693" s="95">
        <f>IF(P693="Hedge Fund",IF(A693=Summary!$AD$3,M693-E693,M693),IF(A693=Summary!$AD$3,L693-D693,L693))</f>
        <v>-9.3132257461547852E-10</v>
      </c>
      <c r="O693" s="95">
        <f t="shared" si="94"/>
        <v>-9.3132257461547852E-10</v>
      </c>
      <c r="P693" s="89" t="s">
        <v>155</v>
      </c>
      <c r="Q693" s="107">
        <v>0</v>
      </c>
      <c r="R693" s="107">
        <v>0</v>
      </c>
      <c r="S693" s="89">
        <v>0</v>
      </c>
      <c r="T693" s="89">
        <v>0</v>
      </c>
      <c r="U693" s="89"/>
      <c r="V693" s="89"/>
      <c r="W693" s="89"/>
      <c r="X693" s="89"/>
      <c r="Y693" s="89"/>
      <c r="Z693" s="89"/>
      <c r="AA693" s="89"/>
      <c r="AB693" s="89"/>
      <c r="AC693" s="355"/>
      <c r="AD693" s="355"/>
      <c r="AE693" s="355"/>
      <c r="AF693" s="94">
        <f t="shared" si="91"/>
        <v>42643</v>
      </c>
      <c r="AG693" s="185">
        <f t="shared" si="95"/>
        <v>3.871440087721445E-2</v>
      </c>
      <c r="AH693" s="339" t="str">
        <f>VLOOKUP(B693,'MF PF'!A:B,2)</f>
        <v>FdMgt1</v>
      </c>
      <c r="AI693" s="358">
        <f t="shared" si="92"/>
        <v>0</v>
      </c>
      <c r="AJ693" s="94">
        <f t="shared" si="93"/>
        <v>42643</v>
      </c>
    </row>
    <row r="694" spans="1:36" ht="12.75" customHeight="1">
      <c r="A694" s="94">
        <v>42674</v>
      </c>
      <c r="B694" s="94" t="s">
        <v>136</v>
      </c>
      <c r="C694" s="358" t="s">
        <v>303</v>
      </c>
      <c r="D694" s="374">
        <v>6429584.642</v>
      </c>
      <c r="E694" s="9" t="e">
        <f t="shared" si="97"/>
        <v>#DIV/0!</v>
      </c>
      <c r="F694" s="47">
        <v>5</v>
      </c>
      <c r="G694" s="47">
        <v>0</v>
      </c>
      <c r="H694" s="47">
        <v>0</v>
      </c>
      <c r="I694" s="98">
        <v>0</v>
      </c>
      <c r="J694" s="98"/>
      <c r="L694" s="93">
        <f t="shared" si="89"/>
        <v>0</v>
      </c>
      <c r="M694" s="95" t="e">
        <f t="shared" ca="1" si="90"/>
        <v>#DIV/0!</v>
      </c>
      <c r="N694" s="95">
        <f>IF(P694="Hedge Fund",IF(A694=Summary!$AD$3,M694-E694,M694),IF(A694=Summary!$AD$3,L694-D694,L694))</f>
        <v>0</v>
      </c>
      <c r="O694" s="95">
        <f t="shared" si="94"/>
        <v>0</v>
      </c>
      <c r="P694" s="89" t="s">
        <v>155</v>
      </c>
      <c r="Q694" s="107">
        <v>0</v>
      </c>
      <c r="R694" s="107">
        <v>0</v>
      </c>
      <c r="S694" s="89">
        <v>0</v>
      </c>
      <c r="T694" s="89">
        <v>0</v>
      </c>
      <c r="U694" s="89"/>
      <c r="V694" s="89"/>
      <c r="W694" s="89"/>
      <c r="X694" s="89"/>
      <c r="Y694" s="89"/>
      <c r="Z694" s="89"/>
      <c r="AA694" s="89"/>
      <c r="AB694" s="89"/>
      <c r="AC694" s="355"/>
      <c r="AD694" s="355"/>
      <c r="AE694" s="355"/>
      <c r="AF694" s="94">
        <f t="shared" si="91"/>
        <v>42674</v>
      </c>
      <c r="AG694" s="185">
        <f t="shared" si="95"/>
        <v>3.3140024439463067E-2</v>
      </c>
      <c r="AH694" s="339" t="str">
        <f>VLOOKUP(B694,'MF PF'!A:B,2)</f>
        <v>FdMgt1</v>
      </c>
      <c r="AI694" s="358">
        <f t="shared" si="92"/>
        <v>0</v>
      </c>
      <c r="AJ694" s="94">
        <f t="shared" si="93"/>
        <v>42674</v>
      </c>
    </row>
    <row r="695" spans="1:36" ht="12.75" customHeight="1">
      <c r="A695" s="8">
        <v>42704</v>
      </c>
      <c r="B695" s="94" t="s">
        <v>136</v>
      </c>
      <c r="C695" s="358" t="s">
        <v>303</v>
      </c>
      <c r="D695" s="374">
        <v>6459037.5864000004</v>
      </c>
      <c r="E695" s="9" t="e">
        <f t="shared" si="97"/>
        <v>#DIV/0!</v>
      </c>
      <c r="F695" s="47">
        <v>5</v>
      </c>
      <c r="G695" s="47">
        <v>0</v>
      </c>
      <c r="H695" s="47">
        <v>0</v>
      </c>
      <c r="I695" s="98">
        <v>0</v>
      </c>
      <c r="J695" s="98"/>
      <c r="K695" s="93"/>
      <c r="L695" s="93">
        <f t="shared" si="89"/>
        <v>0</v>
      </c>
      <c r="M695" s="95" t="e">
        <f t="shared" ca="1" si="90"/>
        <v>#DIV/0!</v>
      </c>
      <c r="N695" s="95">
        <f>IF(P695="Hedge Fund",IF(A695=Summary!$AD$3,M695-E695,M695),IF(A695=Summary!$AD$3,L695-D695,L695))</f>
        <v>0</v>
      </c>
      <c r="O695" s="95">
        <f t="shared" si="94"/>
        <v>0</v>
      </c>
      <c r="P695" s="89" t="s">
        <v>155</v>
      </c>
      <c r="Q695" s="107">
        <v>0</v>
      </c>
      <c r="R695" s="107">
        <v>0</v>
      </c>
      <c r="S695" s="89">
        <v>0</v>
      </c>
      <c r="T695" s="89">
        <v>0</v>
      </c>
      <c r="U695" s="89"/>
      <c r="V695" s="89"/>
      <c r="W695" s="89"/>
      <c r="X695" s="89"/>
      <c r="Y695" s="89"/>
      <c r="Z695" s="89"/>
      <c r="AA695" s="89"/>
      <c r="AB695" s="89"/>
      <c r="AC695" s="355"/>
      <c r="AD695" s="355"/>
      <c r="AE695" s="355"/>
      <c r="AF695" s="94">
        <f t="shared" si="91"/>
        <v>42704</v>
      </c>
      <c r="AG695" s="185">
        <f t="shared" si="95"/>
        <v>4.5808471370927251E-3</v>
      </c>
      <c r="AH695" s="339" t="str">
        <f>VLOOKUP(B695,'MF PF'!A:B,2)</f>
        <v>FdMgt1</v>
      </c>
      <c r="AI695" s="358">
        <f t="shared" si="92"/>
        <v>0</v>
      </c>
      <c r="AJ695" s="94">
        <f t="shared" si="93"/>
        <v>42704</v>
      </c>
    </row>
    <row r="696" spans="1:36" ht="12.75" customHeight="1">
      <c r="A696" s="8">
        <v>42734</v>
      </c>
      <c r="B696" s="94" t="s">
        <v>136</v>
      </c>
      <c r="C696" s="358" t="s">
        <v>303</v>
      </c>
      <c r="D696" s="374">
        <v>6383377.9916000003</v>
      </c>
      <c r="E696" s="9" t="e">
        <f t="shared" si="97"/>
        <v>#DIV/0!</v>
      </c>
      <c r="F696" s="47">
        <v>5</v>
      </c>
      <c r="G696" s="47">
        <v>0</v>
      </c>
      <c r="H696" s="47">
        <v>0</v>
      </c>
      <c r="I696" s="47">
        <v>0</v>
      </c>
      <c r="J696" s="98"/>
      <c r="L696" s="93">
        <f t="shared" si="89"/>
        <v>0</v>
      </c>
      <c r="M696" s="95" t="e">
        <f t="shared" ca="1" si="90"/>
        <v>#DIV/0!</v>
      </c>
      <c r="N696" s="95">
        <f>IF(P696="Hedge Fund",IF(A696=Summary!$AD$3,M696-E696,M696),IF(A696=Summary!$AD$3,L696-D696,L696))</f>
        <v>0</v>
      </c>
      <c r="O696" s="95">
        <f t="shared" si="94"/>
        <v>0</v>
      </c>
      <c r="P696" s="89" t="s">
        <v>155</v>
      </c>
      <c r="Q696" s="107">
        <v>0</v>
      </c>
      <c r="R696" s="107">
        <v>0</v>
      </c>
      <c r="S696" s="89">
        <v>0</v>
      </c>
      <c r="T696" s="89">
        <v>0</v>
      </c>
      <c r="U696" s="89"/>
      <c r="V696" s="89"/>
      <c r="W696" s="89"/>
      <c r="X696" s="89"/>
      <c r="Y696" s="89"/>
      <c r="Z696" s="89"/>
      <c r="AA696" s="89"/>
      <c r="AB696" s="89"/>
      <c r="AC696" s="355"/>
      <c r="AD696" s="355"/>
      <c r="AE696" s="355"/>
      <c r="AF696" s="94">
        <f t="shared" si="91"/>
        <v>42734</v>
      </c>
      <c r="AG696" s="185">
        <f t="shared" si="95"/>
        <v>-1.1713756699497591E-2</v>
      </c>
      <c r="AH696" s="339" t="str">
        <f>VLOOKUP(B696,'MF PF'!A:B,2)</f>
        <v>FdMgt1</v>
      </c>
      <c r="AI696" s="358">
        <f t="shared" si="92"/>
        <v>0</v>
      </c>
      <c r="AJ696" s="94">
        <f t="shared" si="93"/>
        <v>42735</v>
      </c>
    </row>
    <row r="697" spans="1:36" ht="12.75" customHeight="1">
      <c r="A697" s="94">
        <v>42762</v>
      </c>
      <c r="B697" s="94" t="s">
        <v>136</v>
      </c>
      <c r="C697" s="358" t="s">
        <v>303</v>
      </c>
      <c r="D697" s="374">
        <v>6479560.3300000001</v>
      </c>
      <c r="E697" s="9" t="e">
        <f t="shared" si="97"/>
        <v>#DIV/0!</v>
      </c>
      <c r="F697" s="98">
        <v>5</v>
      </c>
      <c r="G697" s="98">
        <v>0</v>
      </c>
      <c r="H697" s="98">
        <v>0</v>
      </c>
      <c r="I697" s="98">
        <v>0</v>
      </c>
      <c r="J697" s="98"/>
      <c r="K697" s="93"/>
      <c r="L697" s="93">
        <f t="shared" si="89"/>
        <v>0</v>
      </c>
      <c r="M697" s="95" t="e">
        <f t="shared" ca="1" si="90"/>
        <v>#DIV/0!</v>
      </c>
      <c r="N697" s="95">
        <f>IF(P697="Hedge Fund",IF(A697=Summary!$AD$3,M697-E697,M697),IF(A697=Summary!$AD$3,L697-D697,L697))</f>
        <v>0</v>
      </c>
      <c r="O697" s="95">
        <f t="shared" si="94"/>
        <v>0</v>
      </c>
      <c r="P697" s="107" t="s">
        <v>155</v>
      </c>
      <c r="Q697" s="107">
        <v>0</v>
      </c>
      <c r="R697" s="107">
        <v>0</v>
      </c>
      <c r="S697" s="107">
        <v>0</v>
      </c>
      <c r="T697" s="107">
        <v>0</v>
      </c>
      <c r="U697" s="107"/>
      <c r="V697" s="107"/>
      <c r="W697" s="107"/>
      <c r="X697" s="107"/>
      <c r="Y697" s="107"/>
      <c r="Z697" s="107"/>
      <c r="AA697" s="107"/>
      <c r="AB697" s="107"/>
      <c r="AC697" s="355"/>
      <c r="AD697" s="355"/>
      <c r="AE697" s="355"/>
      <c r="AF697" s="94">
        <f t="shared" si="91"/>
        <v>42762</v>
      </c>
      <c r="AG697" s="185">
        <f t="shared" si="95"/>
        <v>1.506762383906568E-2</v>
      </c>
      <c r="AH697" s="339" t="str">
        <f>VLOOKUP(B697,'MF PF'!A:B,2)</f>
        <v>FdMgt1</v>
      </c>
      <c r="AI697" s="358">
        <f t="shared" si="92"/>
        <v>0</v>
      </c>
      <c r="AJ697" s="94">
        <f t="shared" si="93"/>
        <v>42766</v>
      </c>
    </row>
    <row r="698" spans="1:36" ht="12.75" customHeight="1">
      <c r="A698" s="94">
        <v>42794</v>
      </c>
      <c r="B698" s="94" t="s">
        <v>136</v>
      </c>
      <c r="C698" s="358" t="s">
        <v>303</v>
      </c>
      <c r="D698" s="374">
        <v>6762283.4415999996</v>
      </c>
      <c r="E698" s="9" t="e">
        <f t="shared" si="97"/>
        <v>#DIV/0!</v>
      </c>
      <c r="F698" s="98">
        <v>5</v>
      </c>
      <c r="G698" s="98">
        <v>0</v>
      </c>
      <c r="H698" s="98">
        <v>0</v>
      </c>
      <c r="I698" s="98">
        <v>0</v>
      </c>
      <c r="J698" s="98"/>
      <c r="K698" s="93"/>
      <c r="L698" s="93">
        <f t="shared" si="89"/>
        <v>0</v>
      </c>
      <c r="M698" s="95" t="e">
        <f t="shared" ca="1" si="90"/>
        <v>#DIV/0!</v>
      </c>
      <c r="N698" s="95">
        <f>IF(P698="Hedge Fund",IF(A698=Summary!$AD$3,M698-E698,M698),IF(A698=Summary!$AD$3,L698-D698,L698))</f>
        <v>0</v>
      </c>
      <c r="O698" s="95">
        <f t="shared" si="94"/>
        <v>0</v>
      </c>
      <c r="P698" s="107" t="s">
        <v>155</v>
      </c>
      <c r="Q698" s="107">
        <v>0</v>
      </c>
      <c r="R698" s="107">
        <v>0</v>
      </c>
      <c r="S698" s="107">
        <v>0</v>
      </c>
      <c r="T698" s="107">
        <v>0</v>
      </c>
      <c r="U698" s="107"/>
      <c r="V698" s="107"/>
      <c r="W698" s="107"/>
      <c r="X698" s="107"/>
      <c r="Y698" s="107"/>
      <c r="Z698" s="107"/>
      <c r="AA698" s="107"/>
      <c r="AB698" s="107"/>
      <c r="AC698" s="355"/>
      <c r="AD698" s="355"/>
      <c r="AE698" s="355"/>
      <c r="AF698" s="94">
        <f t="shared" si="91"/>
        <v>42794</v>
      </c>
      <c r="AG698" s="185">
        <f t="shared" si="95"/>
        <v>4.3633070332103729E-2</v>
      </c>
      <c r="AH698" s="339" t="str">
        <f>VLOOKUP(B698,'MF PF'!A:B,2)</f>
        <v>FdMgt1</v>
      </c>
      <c r="AI698" s="358">
        <f t="shared" si="92"/>
        <v>0</v>
      </c>
      <c r="AJ698" s="94">
        <f t="shared" si="93"/>
        <v>42794</v>
      </c>
    </row>
    <row r="699" spans="1:36" ht="12.75" customHeight="1">
      <c r="A699" s="94">
        <v>42825</v>
      </c>
      <c r="B699" s="94" t="s">
        <v>136</v>
      </c>
      <c r="C699" s="358" t="s">
        <v>303</v>
      </c>
      <c r="D699" s="374">
        <v>6689070.6787999999</v>
      </c>
      <c r="E699" s="9" t="e">
        <f t="shared" si="97"/>
        <v>#DIV/0!</v>
      </c>
      <c r="F699" s="98">
        <v>5</v>
      </c>
      <c r="G699" s="98">
        <v>0</v>
      </c>
      <c r="H699" s="98">
        <v>0</v>
      </c>
      <c r="I699" s="98">
        <v>0</v>
      </c>
      <c r="J699" s="98"/>
      <c r="K699" s="93"/>
      <c r="L699" s="93">
        <f t="shared" si="89"/>
        <v>0</v>
      </c>
      <c r="M699" s="95" t="e">
        <f t="shared" ca="1" si="90"/>
        <v>#DIV/0!</v>
      </c>
      <c r="N699" s="95">
        <f>IF(P699="Hedge Fund",IF(A699=Summary!$AD$3,M699-E699,M699),IF(A699=Summary!$AD$3,L699-D699,L699))</f>
        <v>0</v>
      </c>
      <c r="O699" s="95">
        <f t="shared" si="94"/>
        <v>0</v>
      </c>
      <c r="P699" s="107" t="s">
        <v>155</v>
      </c>
      <c r="Q699" s="107">
        <v>0</v>
      </c>
      <c r="R699" s="107">
        <v>0</v>
      </c>
      <c r="S699" s="107">
        <v>0</v>
      </c>
      <c r="T699" s="107">
        <v>0</v>
      </c>
      <c r="U699" s="107"/>
      <c r="V699" s="107"/>
      <c r="W699" s="107"/>
      <c r="X699" s="107"/>
      <c r="Y699" s="107"/>
      <c r="Z699" s="107"/>
      <c r="AA699" s="107"/>
      <c r="AB699" s="107"/>
      <c r="AC699" s="355"/>
      <c r="AD699" s="355"/>
      <c r="AE699" s="355"/>
      <c r="AF699" s="94">
        <f t="shared" si="91"/>
        <v>42825</v>
      </c>
      <c r="AG699" s="185">
        <f t="shared" si="95"/>
        <v>-1.0826633256691309E-2</v>
      </c>
      <c r="AH699" s="339" t="str">
        <f>VLOOKUP(B699,'MF PF'!A:B,2)</f>
        <v>FdMgt1</v>
      </c>
      <c r="AI699" s="358">
        <f t="shared" si="92"/>
        <v>0</v>
      </c>
      <c r="AJ699" s="94">
        <f t="shared" si="93"/>
        <v>42825</v>
      </c>
    </row>
    <row r="700" spans="1:36" ht="12.75" customHeight="1">
      <c r="A700" s="94">
        <v>42853</v>
      </c>
      <c r="B700" s="94" t="s">
        <v>136</v>
      </c>
      <c r="C700" s="358" t="s">
        <v>303</v>
      </c>
      <c r="D700" s="374">
        <v>6674150.0729999999</v>
      </c>
      <c r="E700" s="95" t="e">
        <f t="shared" si="97"/>
        <v>#DIV/0!</v>
      </c>
      <c r="F700" s="98">
        <v>5</v>
      </c>
      <c r="G700" s="98">
        <v>0</v>
      </c>
      <c r="H700" s="98">
        <v>0</v>
      </c>
      <c r="I700" s="98">
        <v>0</v>
      </c>
      <c r="J700" s="98"/>
      <c r="K700" s="93"/>
      <c r="L700" s="93">
        <f t="shared" si="89"/>
        <v>0</v>
      </c>
      <c r="M700" s="95" t="e">
        <f t="shared" ca="1" si="90"/>
        <v>#DIV/0!</v>
      </c>
      <c r="N700" s="95">
        <f>IF(P700="Hedge Fund",IF(A700=Summary!$AD$3,M700-E700,M700),IF(A700=Summary!$AD$3,L700-D700,L700))</f>
        <v>0</v>
      </c>
      <c r="O700" s="95">
        <f t="shared" si="94"/>
        <v>0</v>
      </c>
      <c r="P700" s="107" t="s">
        <v>155</v>
      </c>
      <c r="Q700" s="107">
        <v>0</v>
      </c>
      <c r="R700" s="107">
        <v>0</v>
      </c>
      <c r="S700" s="107">
        <v>0</v>
      </c>
      <c r="T700" s="107">
        <v>0</v>
      </c>
      <c r="U700" s="107"/>
      <c r="V700" s="107"/>
      <c r="W700" s="107"/>
      <c r="X700" s="107"/>
      <c r="Y700" s="107"/>
      <c r="Z700" s="107"/>
      <c r="AA700" s="107"/>
      <c r="AB700" s="107"/>
      <c r="AC700" s="355"/>
      <c r="AD700" s="355"/>
      <c r="AE700" s="355"/>
      <c r="AF700" s="94">
        <f t="shared" si="91"/>
        <v>42853</v>
      </c>
      <c r="AG700" s="185">
        <f t="shared" si="95"/>
        <v>-2.2305947292931005E-3</v>
      </c>
      <c r="AH700" s="339" t="str">
        <f>VLOOKUP(B700,'MF PF'!A:B,2)</f>
        <v>FdMgt1</v>
      </c>
      <c r="AI700" s="358">
        <f t="shared" si="92"/>
        <v>0</v>
      </c>
      <c r="AJ700" s="94">
        <f t="shared" si="93"/>
        <v>42855</v>
      </c>
    </row>
    <row r="701" spans="1:36" ht="12.75" customHeight="1">
      <c r="A701" s="8">
        <v>42886</v>
      </c>
      <c r="B701" s="94" t="s">
        <v>136</v>
      </c>
      <c r="C701" s="358" t="s">
        <v>303</v>
      </c>
      <c r="D701" s="374">
        <v>6470667.2879999997</v>
      </c>
      <c r="E701" s="9" t="e">
        <f t="shared" si="97"/>
        <v>#DIV/0!</v>
      </c>
      <c r="F701" s="98">
        <v>5</v>
      </c>
      <c r="G701" s="98">
        <v>0</v>
      </c>
      <c r="H701" s="98">
        <v>0</v>
      </c>
      <c r="I701" s="98">
        <v>0</v>
      </c>
      <c r="J701" s="98"/>
      <c r="K701" s="93"/>
      <c r="L701" s="93">
        <f t="shared" si="89"/>
        <v>0</v>
      </c>
      <c r="M701" s="95" t="e">
        <f t="shared" ca="1" si="90"/>
        <v>#DIV/0!</v>
      </c>
      <c r="N701" s="95">
        <f>IF(P701="Hedge Fund",IF(A701=Summary!$AD$3,M701-E701,M701),IF(A701=Summary!$AD$3,L701-D701,L701))</f>
        <v>0</v>
      </c>
      <c r="O701" s="95">
        <f t="shared" si="94"/>
        <v>0</v>
      </c>
      <c r="P701" s="107" t="s">
        <v>155</v>
      </c>
      <c r="Q701" s="107">
        <v>0</v>
      </c>
      <c r="R701" s="107">
        <v>0</v>
      </c>
      <c r="S701" s="107">
        <v>0</v>
      </c>
      <c r="T701" s="107">
        <v>0</v>
      </c>
      <c r="U701" s="107"/>
      <c r="V701" s="107"/>
      <c r="W701" s="107"/>
      <c r="X701" s="107"/>
      <c r="Y701" s="107"/>
      <c r="Z701" s="107"/>
      <c r="AA701" s="107"/>
      <c r="AB701" s="107"/>
      <c r="AC701" s="355"/>
      <c r="AD701" s="355"/>
      <c r="AE701" s="355"/>
      <c r="AF701" s="94">
        <f t="shared" si="91"/>
        <v>42886</v>
      </c>
      <c r="AG701" s="185">
        <f t="shared" si="95"/>
        <v>-3.0488194417920167E-2</v>
      </c>
      <c r="AH701" s="339" t="str">
        <f>VLOOKUP(B701,'MF PF'!A:B,2)</f>
        <v>FdMgt1</v>
      </c>
      <c r="AI701" s="358">
        <f t="shared" si="92"/>
        <v>0</v>
      </c>
      <c r="AJ701" s="94">
        <f t="shared" si="93"/>
        <v>42886</v>
      </c>
    </row>
    <row r="702" spans="1:36" ht="12.75" customHeight="1">
      <c r="A702" s="8">
        <v>42916</v>
      </c>
      <c r="B702" s="94" t="s">
        <v>136</v>
      </c>
      <c r="C702" s="358" t="s">
        <v>303</v>
      </c>
      <c r="D702" s="374">
        <v>6690350.5460000001</v>
      </c>
      <c r="E702" s="9" t="e">
        <f t="shared" si="97"/>
        <v>#DIV/0!</v>
      </c>
      <c r="F702" s="98">
        <v>5</v>
      </c>
      <c r="G702" s="98">
        <v>0</v>
      </c>
      <c r="H702" s="98">
        <v>0</v>
      </c>
      <c r="I702" s="98">
        <v>0</v>
      </c>
      <c r="J702" s="98"/>
      <c r="K702" s="93"/>
      <c r="L702" s="93">
        <f t="shared" si="89"/>
        <v>0</v>
      </c>
      <c r="M702" s="95" t="e">
        <f t="shared" ca="1" si="90"/>
        <v>#DIV/0!</v>
      </c>
      <c r="N702" s="95">
        <f>IF(P702="Hedge Fund",IF(A702=Summary!$AD$3,M702-E702,M702),IF(A702=Summary!$AD$3,L702-D702,L702))</f>
        <v>0</v>
      </c>
      <c r="O702" s="95">
        <f t="shared" si="94"/>
        <v>0</v>
      </c>
      <c r="P702" s="107" t="s">
        <v>155</v>
      </c>
      <c r="Q702" s="107">
        <v>0</v>
      </c>
      <c r="R702" s="107">
        <v>0</v>
      </c>
      <c r="S702" s="107">
        <v>0</v>
      </c>
      <c r="T702" s="107">
        <v>0</v>
      </c>
      <c r="U702" s="107"/>
      <c r="V702" s="107"/>
      <c r="W702" s="107"/>
      <c r="X702" s="107"/>
      <c r="Y702" s="107"/>
      <c r="Z702" s="107"/>
      <c r="AA702" s="107"/>
      <c r="AB702" s="107"/>
      <c r="AC702" s="355"/>
      <c r="AD702" s="355"/>
      <c r="AE702" s="355"/>
      <c r="AF702" s="94">
        <f t="shared" si="91"/>
        <v>42916</v>
      </c>
      <c r="AG702" s="185">
        <f t="shared" si="95"/>
        <v>3.3950634180713868E-2</v>
      </c>
      <c r="AH702" s="339" t="str">
        <f>VLOOKUP(B702,'MF PF'!A:B,2)</f>
        <v>FdMgt1</v>
      </c>
      <c r="AI702" s="358">
        <f t="shared" si="92"/>
        <v>0</v>
      </c>
      <c r="AJ702" s="94">
        <f t="shared" si="93"/>
        <v>42916</v>
      </c>
    </row>
    <row r="703" spans="1:36" ht="12.75" customHeight="1">
      <c r="A703" s="94">
        <v>42947</v>
      </c>
      <c r="B703" s="94" t="s">
        <v>136</v>
      </c>
      <c r="C703" s="358" t="s">
        <v>303</v>
      </c>
      <c r="D703" s="374">
        <v>6876665.5049999999</v>
      </c>
      <c r="E703" s="9" t="e">
        <f t="shared" si="97"/>
        <v>#DIV/0!</v>
      </c>
      <c r="F703" s="98">
        <v>5</v>
      </c>
      <c r="G703" s="98">
        <v>0</v>
      </c>
      <c r="H703" s="98">
        <v>0</v>
      </c>
      <c r="I703" s="98">
        <v>0</v>
      </c>
      <c r="J703" s="98"/>
      <c r="L703" s="93">
        <f t="shared" si="89"/>
        <v>0</v>
      </c>
      <c r="M703" s="95" t="e">
        <f t="shared" ca="1" si="90"/>
        <v>#DIV/0!</v>
      </c>
      <c r="N703" s="95">
        <f>IF(P703="Hedge Fund",IF(A703=Summary!$AD$3,M703-E703,M703),IF(A703=Summary!$AD$3,L703-D703,L703))</f>
        <v>0</v>
      </c>
      <c r="O703" s="95">
        <f t="shared" si="94"/>
        <v>0</v>
      </c>
      <c r="P703" s="107" t="s">
        <v>155</v>
      </c>
      <c r="Q703" s="107">
        <v>0</v>
      </c>
      <c r="R703" s="107">
        <v>0</v>
      </c>
      <c r="S703" s="107">
        <v>0</v>
      </c>
      <c r="T703" s="107">
        <v>0</v>
      </c>
      <c r="U703" s="107"/>
      <c r="V703" s="107"/>
      <c r="W703" s="107"/>
      <c r="X703" s="107"/>
      <c r="Y703" s="107"/>
      <c r="Z703" s="107"/>
      <c r="AA703" s="107"/>
      <c r="AB703" s="107"/>
      <c r="AC703" s="355"/>
      <c r="AD703" s="355"/>
      <c r="AE703" s="355"/>
      <c r="AF703" s="94">
        <f t="shared" si="91"/>
        <v>42947</v>
      </c>
      <c r="AG703" s="185">
        <f t="shared" si="95"/>
        <v>2.7848310446362712E-2</v>
      </c>
      <c r="AH703" s="339" t="str">
        <f>VLOOKUP(B703,'MF PF'!A:B,2)</f>
        <v>FdMgt1</v>
      </c>
      <c r="AI703" s="358">
        <f t="shared" si="92"/>
        <v>0</v>
      </c>
      <c r="AJ703" s="94">
        <f t="shared" si="93"/>
        <v>42947</v>
      </c>
    </row>
    <row r="704" spans="1:36" ht="12.75" customHeight="1">
      <c r="A704" s="94">
        <v>42978</v>
      </c>
      <c r="B704" s="94" t="s">
        <v>136</v>
      </c>
      <c r="C704" s="358" t="s">
        <v>303</v>
      </c>
      <c r="D704" s="374">
        <v>6899500</v>
      </c>
      <c r="E704" s="9" t="e">
        <f t="shared" si="97"/>
        <v>#DIV/0!</v>
      </c>
      <c r="F704" s="98">
        <v>5</v>
      </c>
      <c r="G704" s="98">
        <v>0</v>
      </c>
      <c r="H704" s="98">
        <v>0</v>
      </c>
      <c r="I704" s="98">
        <v>0</v>
      </c>
      <c r="J704" s="98"/>
      <c r="L704" s="93">
        <f t="shared" si="89"/>
        <v>0</v>
      </c>
      <c r="M704" s="95" t="e">
        <f t="shared" ca="1" si="90"/>
        <v>#DIV/0!</v>
      </c>
      <c r="N704" s="95">
        <f>IF(P704="Hedge Fund",IF(A704=Summary!$AD$3,M704-E704,M704),IF(A704=Summary!$AD$3,L704-D704,L704))</f>
        <v>0</v>
      </c>
      <c r="O704" s="95">
        <f t="shared" si="94"/>
        <v>0</v>
      </c>
      <c r="P704" s="107" t="s">
        <v>155</v>
      </c>
      <c r="Q704" s="107">
        <v>0</v>
      </c>
      <c r="R704" s="107">
        <v>0</v>
      </c>
      <c r="S704" s="107">
        <v>0</v>
      </c>
      <c r="T704" s="107">
        <v>0</v>
      </c>
      <c r="U704" s="107"/>
      <c r="V704" s="107"/>
      <c r="W704" s="107"/>
      <c r="X704" s="107"/>
      <c r="Y704" s="107"/>
      <c r="Z704" s="107"/>
      <c r="AA704" s="107"/>
      <c r="AB704" s="107"/>
      <c r="AC704" s="355"/>
      <c r="AD704" s="355"/>
      <c r="AE704" s="355"/>
      <c r="AF704" s="94">
        <f t="shared" si="91"/>
        <v>42978</v>
      </c>
      <c r="AG704" s="185">
        <f t="shared" si="95"/>
        <v>3.3205766637038892E-3</v>
      </c>
      <c r="AH704" s="339" t="str">
        <f>VLOOKUP(B704,'MF PF'!A:B,2)</f>
        <v>FdMgt1</v>
      </c>
      <c r="AI704" s="358">
        <f t="shared" si="92"/>
        <v>0</v>
      </c>
      <c r="AJ704" s="94">
        <f t="shared" si="93"/>
        <v>42978</v>
      </c>
    </row>
    <row r="705" spans="1:36" ht="12.75" customHeight="1">
      <c r="A705" s="94">
        <v>43007</v>
      </c>
      <c r="B705" s="94" t="s">
        <v>136</v>
      </c>
      <c r="C705" s="358" t="s">
        <v>303</v>
      </c>
      <c r="D705" s="374">
        <v>6864496.3640779322</v>
      </c>
      <c r="E705" s="9" t="e">
        <f t="shared" si="97"/>
        <v>#DIV/0!</v>
      </c>
      <c r="F705" s="98">
        <v>5</v>
      </c>
      <c r="G705" s="98">
        <v>0</v>
      </c>
      <c r="H705" s="98">
        <v>0</v>
      </c>
      <c r="I705" s="98">
        <v>0</v>
      </c>
      <c r="J705" s="98"/>
      <c r="K705" s="93"/>
      <c r="L705" s="93">
        <f t="shared" si="89"/>
        <v>0</v>
      </c>
      <c r="M705" s="95" t="e">
        <f t="shared" ca="1" si="90"/>
        <v>#DIV/0!</v>
      </c>
      <c r="N705" s="95">
        <f>IF(P705="Hedge Fund",IF(A705=Summary!$AD$3,M705-E705,M705),IF(A705=Summary!$AD$3,L705-D705,L705))</f>
        <v>0</v>
      </c>
      <c r="O705" s="95">
        <f t="shared" si="94"/>
        <v>0</v>
      </c>
      <c r="P705" s="107" t="s">
        <v>155</v>
      </c>
      <c r="Q705" s="107">
        <v>0</v>
      </c>
      <c r="R705" s="107">
        <v>0</v>
      </c>
      <c r="S705" s="107">
        <v>0</v>
      </c>
      <c r="T705" s="107">
        <v>0</v>
      </c>
      <c r="U705" s="107"/>
      <c r="V705" s="107"/>
      <c r="W705" s="107"/>
      <c r="X705" s="107"/>
      <c r="Y705" s="107"/>
      <c r="Z705" s="107"/>
      <c r="AA705" s="107"/>
      <c r="AB705" s="107"/>
      <c r="AC705" s="355"/>
      <c r="AD705" s="355"/>
      <c r="AE705" s="355"/>
      <c r="AF705" s="94">
        <f t="shared" si="91"/>
        <v>43007</v>
      </c>
      <c r="AG705" s="185">
        <f t="shared" si="95"/>
        <v>-5.0733583480060407E-3</v>
      </c>
      <c r="AH705" s="339" t="str">
        <f>VLOOKUP(B705,'MF PF'!A:B,2)</f>
        <v>FdMgt1</v>
      </c>
      <c r="AI705" s="358">
        <f t="shared" si="92"/>
        <v>0</v>
      </c>
      <c r="AJ705" s="94">
        <f t="shared" si="93"/>
        <v>43008</v>
      </c>
    </row>
    <row r="706" spans="1:36" ht="12.75" customHeight="1">
      <c r="A706" s="8">
        <v>43039</v>
      </c>
      <c r="B706" s="94" t="s">
        <v>136</v>
      </c>
      <c r="C706" s="358" t="s">
        <v>303</v>
      </c>
      <c r="D706" s="374">
        <v>6886500</v>
      </c>
      <c r="E706" s="9" t="e">
        <f t="shared" si="97"/>
        <v>#DIV/0!</v>
      </c>
      <c r="F706" s="98">
        <v>5</v>
      </c>
      <c r="G706" s="98">
        <v>0</v>
      </c>
      <c r="H706" s="98">
        <v>0</v>
      </c>
      <c r="I706" s="98">
        <v>0</v>
      </c>
      <c r="J706" s="98"/>
      <c r="L706" s="93">
        <f t="shared" si="89"/>
        <v>0</v>
      </c>
      <c r="M706" s="95" t="e">
        <f t="shared" ca="1" si="90"/>
        <v>#DIV/0!</v>
      </c>
      <c r="N706" s="95">
        <f>IF(P706="Hedge Fund",IF(A706=Summary!$AD$3,M706-E706,M706),IF(A706=Summary!$AD$3,L706-D706,L706))</f>
        <v>0</v>
      </c>
      <c r="O706" s="95">
        <f t="shared" si="94"/>
        <v>0</v>
      </c>
      <c r="P706" s="107" t="s">
        <v>155</v>
      </c>
      <c r="Q706" s="107">
        <v>0</v>
      </c>
      <c r="R706" s="107">
        <v>0</v>
      </c>
      <c r="S706" s="107">
        <v>0</v>
      </c>
      <c r="T706" s="107">
        <v>0</v>
      </c>
      <c r="U706" s="107"/>
      <c r="V706" s="107"/>
      <c r="W706" s="107"/>
      <c r="X706" s="107"/>
      <c r="Y706" s="107"/>
      <c r="Z706" s="107"/>
      <c r="AA706" s="107"/>
      <c r="AB706" s="107"/>
      <c r="AC706" s="355"/>
      <c r="AD706" s="355"/>
      <c r="AE706" s="355"/>
      <c r="AF706" s="94">
        <f t="shared" si="91"/>
        <v>43039</v>
      </c>
      <c r="AG706" s="185">
        <f t="shared" si="95"/>
        <v>3.2054261165048725E-3</v>
      </c>
      <c r="AH706" s="339" t="str">
        <f>VLOOKUP(B706,'MF PF'!A:B,2)</f>
        <v>FdMgt1</v>
      </c>
      <c r="AI706" s="358">
        <f t="shared" si="92"/>
        <v>0</v>
      </c>
      <c r="AJ706" s="94">
        <f t="shared" si="93"/>
        <v>43039</v>
      </c>
    </row>
    <row r="707" spans="1:36" ht="12.75" customHeight="1">
      <c r="A707" s="94">
        <v>43069</v>
      </c>
      <c r="B707" s="94" t="s">
        <v>136</v>
      </c>
      <c r="C707" s="358" t="s">
        <v>303</v>
      </c>
      <c r="D707" s="374">
        <v>6889300</v>
      </c>
      <c r="E707" s="9" t="e">
        <f t="shared" si="97"/>
        <v>#DIV/0!</v>
      </c>
      <c r="F707" s="98">
        <v>5</v>
      </c>
      <c r="G707" s="98">
        <v>0</v>
      </c>
      <c r="H707" s="98">
        <v>0</v>
      </c>
      <c r="I707" s="98">
        <v>0</v>
      </c>
      <c r="J707" s="98"/>
      <c r="L707" s="93">
        <f t="shared" ref="L707:L770" si="98">G707+H707+I707</f>
        <v>0</v>
      </c>
      <c r="M707" s="95" t="e">
        <f t="shared" ref="M707:M770" ca="1" si="99">IF(A707&gt;INDIRECT("A"&amp;ROW()-1),I707/K707,E707)</f>
        <v>#DIV/0!</v>
      </c>
      <c r="N707" s="95">
        <f>IF(P707="Hedge Fund",IF(A707=Summary!$AD$3,M707-E707,M707),IF(A707=Summary!$AD$3,L707-D707,L707))</f>
        <v>0</v>
      </c>
      <c r="O707" s="95">
        <f t="shared" si="94"/>
        <v>0</v>
      </c>
      <c r="P707" s="107" t="s">
        <v>155</v>
      </c>
      <c r="Q707" s="107">
        <v>0</v>
      </c>
      <c r="R707" s="107">
        <v>0</v>
      </c>
      <c r="S707" s="107">
        <v>0</v>
      </c>
      <c r="T707" s="107">
        <v>0</v>
      </c>
      <c r="U707" s="107"/>
      <c r="V707" s="107"/>
      <c r="W707" s="107"/>
      <c r="X707" s="107"/>
      <c r="Y707" s="107"/>
      <c r="Z707" s="107"/>
      <c r="AA707" s="107"/>
      <c r="AB707" s="107"/>
      <c r="AC707" s="355"/>
      <c r="AD707" s="355"/>
      <c r="AE707" s="355"/>
      <c r="AF707" s="94">
        <f t="shared" ref="AF707:AF770" si="100">A707</f>
        <v>43069</v>
      </c>
      <c r="AG707" s="185">
        <f t="shared" si="95"/>
        <v>4.0659260872732972E-4</v>
      </c>
      <c r="AH707" s="339" t="str">
        <f>VLOOKUP(B707,'MF PF'!A:B,2)</f>
        <v>FdMgt1</v>
      </c>
      <c r="AI707" s="358">
        <f t="shared" ref="AI707:AI770" si="101">AF707-A707</f>
        <v>0</v>
      </c>
      <c r="AJ707" s="94">
        <f t="shared" ref="AJ707:AJ770" si="102">EOMONTH(A707,0)</f>
        <v>43069</v>
      </c>
    </row>
    <row r="708" spans="1:36" ht="12.75" customHeight="1">
      <c r="A708" s="8">
        <v>43098</v>
      </c>
      <c r="B708" s="94" t="s">
        <v>136</v>
      </c>
      <c r="C708" s="6" t="s">
        <v>303</v>
      </c>
      <c r="D708" s="374">
        <v>7083600</v>
      </c>
      <c r="E708" s="9" t="e">
        <f t="shared" si="97"/>
        <v>#DIV/0!</v>
      </c>
      <c r="F708" s="98">
        <v>5</v>
      </c>
      <c r="G708" s="98">
        <v>0</v>
      </c>
      <c r="H708" s="98">
        <v>-9.3132257461547852E-10</v>
      </c>
      <c r="I708" s="98">
        <v>0</v>
      </c>
      <c r="J708" s="98"/>
      <c r="L708" s="93">
        <f t="shared" si="98"/>
        <v>-9.3132257461547852E-10</v>
      </c>
      <c r="M708" s="95" t="e">
        <f t="shared" ca="1" si="99"/>
        <v>#DIV/0!</v>
      </c>
      <c r="N708" s="95">
        <f>IF(P708="Hedge Fund",IF(A708=Summary!$AD$3,M708-E708,M708),IF(A708=Summary!$AD$3,L708-D708,L708))</f>
        <v>-9.3132257461547852E-10</v>
      </c>
      <c r="O708" s="95">
        <f t="shared" si="94"/>
        <v>-9.3132257461547852E-10</v>
      </c>
      <c r="P708" s="107" t="s">
        <v>155</v>
      </c>
      <c r="Q708" s="107">
        <v>0</v>
      </c>
      <c r="R708" s="107">
        <v>0</v>
      </c>
      <c r="S708" s="107">
        <v>0</v>
      </c>
      <c r="T708" s="107">
        <v>0</v>
      </c>
      <c r="U708" s="107"/>
      <c r="V708" s="107"/>
      <c r="W708" s="107"/>
      <c r="X708" s="107"/>
      <c r="Y708" s="107"/>
      <c r="Z708" s="107"/>
      <c r="AA708" s="107"/>
      <c r="AB708" s="107"/>
      <c r="AC708" s="355"/>
      <c r="AD708" s="355"/>
      <c r="AE708" s="355"/>
      <c r="AF708" s="94">
        <f t="shared" si="100"/>
        <v>43098</v>
      </c>
      <c r="AG708" s="185">
        <f t="shared" si="95"/>
        <v>2.820315561813258E-2</v>
      </c>
      <c r="AH708" s="339" t="str">
        <f>VLOOKUP(B708,'MF PF'!A:B,2)</f>
        <v>FdMgt1</v>
      </c>
      <c r="AI708" s="358">
        <f t="shared" si="101"/>
        <v>0</v>
      </c>
      <c r="AJ708" s="94">
        <f t="shared" si="102"/>
        <v>43100</v>
      </c>
    </row>
    <row r="709" spans="1:36" ht="12.75" customHeight="1">
      <c r="A709" s="94">
        <v>43131</v>
      </c>
      <c r="B709" s="8" t="s">
        <v>136</v>
      </c>
      <c r="C709" s="92" t="s">
        <v>303</v>
      </c>
      <c r="D709" s="374">
        <v>7148600</v>
      </c>
      <c r="E709" s="9" t="e">
        <f t="shared" si="97"/>
        <v>#DIV/0!</v>
      </c>
      <c r="F709" s="47">
        <v>5</v>
      </c>
      <c r="G709" s="47">
        <v>0</v>
      </c>
      <c r="H709" s="47">
        <v>0</v>
      </c>
      <c r="I709" s="47">
        <v>0</v>
      </c>
      <c r="J709" s="98"/>
      <c r="K709" s="93"/>
      <c r="L709" s="93">
        <f t="shared" si="98"/>
        <v>0</v>
      </c>
      <c r="M709" s="95" t="e">
        <f t="shared" ca="1" si="99"/>
        <v>#DIV/0!</v>
      </c>
      <c r="N709" s="95">
        <f>IF(P709="Hedge Fund",IF(A709=Summary!$AD$3,M709-E709,M709),IF(A709=Summary!$AD$3,L709-D709,L709))</f>
        <v>0</v>
      </c>
      <c r="O709" s="95">
        <f t="shared" si="94"/>
        <v>0</v>
      </c>
      <c r="P709" s="89" t="s">
        <v>155</v>
      </c>
      <c r="Q709" s="89">
        <v>0</v>
      </c>
      <c r="R709" s="89">
        <v>0</v>
      </c>
      <c r="S709" s="89">
        <v>0</v>
      </c>
      <c r="T709" s="89">
        <v>0</v>
      </c>
      <c r="U709" s="89"/>
      <c r="V709" s="89"/>
      <c r="W709" s="89"/>
      <c r="X709" s="89"/>
      <c r="Y709" s="89"/>
      <c r="Z709" s="89"/>
      <c r="AA709" s="89"/>
      <c r="AB709" s="89"/>
      <c r="AC709" s="355"/>
      <c r="AD709" s="355"/>
      <c r="AE709" s="355"/>
      <c r="AF709" s="94">
        <f t="shared" si="100"/>
        <v>43131</v>
      </c>
      <c r="AG709" s="185">
        <f t="shared" si="95"/>
        <v>9.1761251341127004E-3</v>
      </c>
      <c r="AH709" s="339" t="str">
        <f>VLOOKUP(B709,'MF PF'!A:B,2)</f>
        <v>FdMgt1</v>
      </c>
      <c r="AI709" s="358">
        <f t="shared" si="101"/>
        <v>0</v>
      </c>
      <c r="AJ709" s="94">
        <f t="shared" si="102"/>
        <v>43131</v>
      </c>
    </row>
    <row r="710" spans="1:36" ht="12.75" customHeight="1">
      <c r="A710" s="94">
        <v>43159</v>
      </c>
      <c r="B710" s="8" t="s">
        <v>136</v>
      </c>
      <c r="C710" s="358" t="s">
        <v>303</v>
      </c>
      <c r="D710" s="374">
        <v>7231237.2300000004</v>
      </c>
      <c r="E710" s="9" t="e">
        <f t="shared" si="97"/>
        <v>#DIV/0!</v>
      </c>
      <c r="F710" s="47">
        <v>5</v>
      </c>
      <c r="G710" s="47">
        <v>0</v>
      </c>
      <c r="H710" s="47">
        <v>0</v>
      </c>
      <c r="I710" s="47">
        <v>0</v>
      </c>
      <c r="J710" s="98"/>
      <c r="K710" s="93"/>
      <c r="L710" s="93">
        <f t="shared" si="98"/>
        <v>0</v>
      </c>
      <c r="M710" s="95" t="e">
        <f t="shared" ca="1" si="99"/>
        <v>#DIV/0!</v>
      </c>
      <c r="N710" s="95">
        <f>IF(P710="Hedge Fund",IF(A710=Summary!$AD$3,M710-E710,M710),IF(A710=Summary!$AD$3,L710-D710,L710))</f>
        <v>0</v>
      </c>
      <c r="O710" s="95">
        <f t="shared" si="94"/>
        <v>0</v>
      </c>
      <c r="P710" s="89" t="s">
        <v>155</v>
      </c>
      <c r="Q710" s="89">
        <v>0</v>
      </c>
      <c r="R710" s="89">
        <v>0</v>
      </c>
      <c r="S710" s="89">
        <v>0</v>
      </c>
      <c r="T710" s="89">
        <v>0</v>
      </c>
      <c r="U710" s="89"/>
      <c r="V710" s="89"/>
      <c r="W710" s="89"/>
      <c r="X710" s="89"/>
      <c r="Y710" s="89"/>
      <c r="Z710" s="89"/>
      <c r="AA710" s="89"/>
      <c r="AB710" s="89"/>
      <c r="AC710" s="355"/>
      <c r="AD710" s="355"/>
      <c r="AE710" s="355"/>
      <c r="AF710" s="94">
        <f t="shared" si="100"/>
        <v>43159</v>
      </c>
      <c r="AG710" s="185">
        <f t="shared" si="95"/>
        <v>1.1559918025907168E-2</v>
      </c>
      <c r="AH710" s="339" t="str">
        <f>VLOOKUP(B710,'MF PF'!A:B,2)</f>
        <v>FdMgt1</v>
      </c>
      <c r="AI710" s="358">
        <f t="shared" si="101"/>
        <v>0</v>
      </c>
      <c r="AJ710" s="94">
        <f t="shared" si="102"/>
        <v>43159</v>
      </c>
    </row>
    <row r="711" spans="1:36" ht="12.75" customHeight="1">
      <c r="A711" s="8">
        <v>43188</v>
      </c>
      <c r="B711" s="8" t="s">
        <v>136</v>
      </c>
      <c r="C711" s="6" t="s">
        <v>303</v>
      </c>
      <c r="D711" s="374">
        <v>7295664.2331999997</v>
      </c>
      <c r="E711" s="9" t="e">
        <f t="shared" si="97"/>
        <v>#DIV/0!</v>
      </c>
      <c r="F711" s="47">
        <v>5</v>
      </c>
      <c r="G711" s="47">
        <v>0</v>
      </c>
      <c r="H711" s="47">
        <v>0</v>
      </c>
      <c r="I711" s="47">
        <v>0</v>
      </c>
      <c r="J711" s="98"/>
      <c r="K711" s="93"/>
      <c r="L711" s="93">
        <f t="shared" si="98"/>
        <v>0</v>
      </c>
      <c r="M711" s="95" t="e">
        <f t="shared" ca="1" si="99"/>
        <v>#DIV/0!</v>
      </c>
      <c r="N711" s="95">
        <f>IF(P711="Hedge Fund",IF(A711=Summary!$AD$3,M711-E711,M711),IF(A711=Summary!$AD$3,L711-D711,L711))</f>
        <v>0</v>
      </c>
      <c r="O711" s="95">
        <f t="shared" si="94"/>
        <v>0</v>
      </c>
      <c r="P711" s="89" t="s">
        <v>155</v>
      </c>
      <c r="Q711" s="109">
        <v>1.8527213647000065E-2</v>
      </c>
      <c r="R711" s="109">
        <v>0.19962297679999999</v>
      </c>
      <c r="S711" s="89">
        <v>0</v>
      </c>
      <c r="T711" s="89">
        <v>0</v>
      </c>
      <c r="U711" s="89"/>
      <c r="V711" s="89"/>
      <c r="W711" s="89"/>
      <c r="X711" s="89"/>
      <c r="Y711" s="89"/>
      <c r="Z711" s="89"/>
      <c r="AA711" s="89"/>
      <c r="AB711" s="89"/>
      <c r="AC711" s="355"/>
      <c r="AD711" s="355"/>
      <c r="AE711" s="355"/>
      <c r="AF711" s="94">
        <f t="shared" si="100"/>
        <v>43188</v>
      </c>
      <c r="AG711" s="185">
        <f t="shared" si="95"/>
        <v>8.9095408089658878E-3</v>
      </c>
      <c r="AH711" s="339" t="str">
        <f>VLOOKUP(B711,'MF PF'!A:B,2)</f>
        <v>FdMgt1</v>
      </c>
      <c r="AI711" s="358">
        <f t="shared" si="101"/>
        <v>0</v>
      </c>
      <c r="AJ711" s="94">
        <f t="shared" si="102"/>
        <v>43190</v>
      </c>
    </row>
    <row r="712" spans="1:36" ht="12.75" customHeight="1">
      <c r="A712" s="8">
        <v>43220</v>
      </c>
      <c r="B712" s="8" t="s">
        <v>136</v>
      </c>
      <c r="C712" s="6" t="s">
        <v>303</v>
      </c>
      <c r="D712" s="374">
        <v>7387326.0872</v>
      </c>
      <c r="E712" s="9" t="e">
        <f t="shared" si="97"/>
        <v>#DIV/0!</v>
      </c>
      <c r="F712" s="47">
        <v>5</v>
      </c>
      <c r="G712" s="47">
        <v>0</v>
      </c>
      <c r="H712" s="47">
        <v>0</v>
      </c>
      <c r="I712" s="47">
        <v>0</v>
      </c>
      <c r="J712" s="98"/>
      <c r="K712" s="93"/>
      <c r="L712" s="93">
        <f t="shared" si="98"/>
        <v>0</v>
      </c>
      <c r="M712" s="95" t="e">
        <f t="shared" ca="1" si="99"/>
        <v>#DIV/0!</v>
      </c>
      <c r="N712" s="95">
        <f>IF(P712="Hedge Fund",IF(A712=Summary!$AD$3,M712-E712,M712),IF(A712=Summary!$AD$3,L712-D712,L712))</f>
        <v>0</v>
      </c>
      <c r="O712" s="95">
        <f t="shared" si="94"/>
        <v>0</v>
      </c>
      <c r="P712" s="89" t="s">
        <v>155</v>
      </c>
      <c r="Q712" s="109">
        <v>0</v>
      </c>
      <c r="R712" s="109">
        <v>0.20759357000000001</v>
      </c>
      <c r="S712" s="89">
        <v>0</v>
      </c>
      <c r="T712" s="89">
        <v>0</v>
      </c>
      <c r="U712" s="89"/>
      <c r="V712" s="89"/>
      <c r="W712" s="89"/>
      <c r="X712" s="89"/>
      <c r="Y712" s="89"/>
      <c r="Z712" s="89"/>
      <c r="AA712" s="89"/>
      <c r="AB712" s="89"/>
      <c r="AC712" s="355"/>
      <c r="AD712" s="355"/>
      <c r="AE712" s="355"/>
      <c r="AF712" s="94">
        <f t="shared" si="100"/>
        <v>43220</v>
      </c>
      <c r="AG712" s="185">
        <f t="shared" si="95"/>
        <v>1.2563880555642726E-2</v>
      </c>
      <c r="AH712" s="339" t="str">
        <f>VLOOKUP(B712,'MF PF'!A:B,2)</f>
        <v>FdMgt1</v>
      </c>
      <c r="AI712" s="358">
        <f t="shared" si="101"/>
        <v>0</v>
      </c>
      <c r="AJ712" s="94">
        <f t="shared" si="102"/>
        <v>43220</v>
      </c>
    </row>
    <row r="713" spans="1:36" ht="12.75" customHeight="1">
      <c r="A713" s="8">
        <v>43251</v>
      </c>
      <c r="B713" s="358" t="s">
        <v>136</v>
      </c>
      <c r="C713" s="94" t="s">
        <v>303</v>
      </c>
      <c r="D713" s="374">
        <v>7435216.4387999997</v>
      </c>
      <c r="E713" s="9" t="e">
        <f t="shared" si="97"/>
        <v>#DIV/0!</v>
      </c>
      <c r="F713" s="47">
        <v>5</v>
      </c>
      <c r="G713" s="47">
        <v>0</v>
      </c>
      <c r="H713" s="47">
        <v>0</v>
      </c>
      <c r="I713" s="110">
        <v>0</v>
      </c>
      <c r="J713" s="110"/>
      <c r="K713" s="93"/>
      <c r="L713" s="93">
        <f t="shared" si="98"/>
        <v>0</v>
      </c>
      <c r="M713" s="95" t="e">
        <f t="shared" ca="1" si="99"/>
        <v>#DIV/0!</v>
      </c>
      <c r="N713" s="95">
        <f>IF(P713="Hedge Fund",IF(A713=Summary!$AD$3,M713-E713,M713),IF(A713=Summary!$AD$3,L713-D713,L713))</f>
        <v>0</v>
      </c>
      <c r="O713" s="95">
        <f t="shared" si="94"/>
        <v>0</v>
      </c>
      <c r="P713" s="89" t="s">
        <v>155</v>
      </c>
      <c r="Q713" s="109">
        <v>0</v>
      </c>
      <c r="R713" s="109">
        <v>0.21175795</v>
      </c>
      <c r="S713" s="89">
        <v>0</v>
      </c>
      <c r="T713" s="89">
        <v>0</v>
      </c>
      <c r="U713" s="89"/>
      <c r="V713" s="89"/>
      <c r="W713" s="89"/>
      <c r="X713" s="89"/>
      <c r="Y713" s="89"/>
      <c r="Z713" s="89"/>
      <c r="AA713" s="89"/>
      <c r="AB713" s="89"/>
      <c r="AC713" s="355"/>
      <c r="AD713" s="355"/>
      <c r="AE713" s="355"/>
      <c r="AF713" s="94">
        <f t="shared" si="100"/>
        <v>43251</v>
      </c>
      <c r="AG713" s="185">
        <f t="shared" si="95"/>
        <v>6.4827721200746424E-3</v>
      </c>
      <c r="AH713" s="339" t="str">
        <f>VLOOKUP(B713,'MF PF'!A:B,2)</f>
        <v>FdMgt1</v>
      </c>
      <c r="AI713" s="358">
        <f t="shared" si="101"/>
        <v>0</v>
      </c>
      <c r="AJ713" s="94">
        <f t="shared" si="102"/>
        <v>43251</v>
      </c>
    </row>
    <row r="714" spans="1:36" ht="12.75" customHeight="1">
      <c r="A714" s="94">
        <v>43280</v>
      </c>
      <c r="B714" s="358" t="s">
        <v>136</v>
      </c>
      <c r="C714" s="94" t="s">
        <v>303</v>
      </c>
      <c r="D714" s="374">
        <v>7478541.5848000003</v>
      </c>
      <c r="E714" s="9" t="e">
        <f t="shared" si="97"/>
        <v>#DIV/0!</v>
      </c>
      <c r="F714" s="47">
        <v>5</v>
      </c>
      <c r="G714" s="47">
        <v>0</v>
      </c>
      <c r="H714" s="47">
        <v>0</v>
      </c>
      <c r="I714" s="110">
        <v>0</v>
      </c>
      <c r="J714" s="110"/>
      <c r="K714" s="93"/>
      <c r="L714" s="93">
        <f t="shared" si="98"/>
        <v>0</v>
      </c>
      <c r="M714" s="95" t="e">
        <f t="shared" ca="1" si="99"/>
        <v>#DIV/0!</v>
      </c>
      <c r="N714" s="95">
        <f>IF(P714="Hedge Fund",IF(A714=Summary!$AD$3,M714-E714,M714),IF(A714=Summary!$AD$3,L714-D714,L714))</f>
        <v>0</v>
      </c>
      <c r="O714" s="95">
        <f t="shared" si="94"/>
        <v>0</v>
      </c>
      <c r="P714" s="89" t="s">
        <v>155</v>
      </c>
      <c r="Q714" s="109">
        <v>1.9442270000000001E-2</v>
      </c>
      <c r="R714" s="109">
        <v>0.21552535520000005</v>
      </c>
      <c r="S714" s="89">
        <v>0</v>
      </c>
      <c r="T714" s="89">
        <v>0</v>
      </c>
      <c r="U714" s="89"/>
      <c r="V714" s="89"/>
      <c r="W714" s="89"/>
      <c r="X714" s="89"/>
      <c r="Y714" s="89"/>
      <c r="Z714" s="89"/>
      <c r="AA714" s="89"/>
      <c r="AB714" s="89"/>
      <c r="AC714" s="355"/>
      <c r="AD714" s="355"/>
      <c r="AE714" s="355"/>
      <c r="AF714" s="94">
        <f t="shared" si="100"/>
        <v>43280</v>
      </c>
      <c r="AG714" s="185">
        <f t="shared" si="95"/>
        <v>5.8270188039062365E-3</v>
      </c>
      <c r="AH714" s="339" t="str">
        <f>VLOOKUP(B714,'MF PF'!A:B,2)</f>
        <v>FdMgt1</v>
      </c>
      <c r="AI714" s="358">
        <f t="shared" si="101"/>
        <v>0</v>
      </c>
      <c r="AJ714" s="94">
        <f t="shared" si="102"/>
        <v>43281</v>
      </c>
    </row>
    <row r="715" spans="1:36" ht="12.75" customHeight="1">
      <c r="A715" s="8">
        <v>43312</v>
      </c>
      <c r="B715" s="358" t="s">
        <v>136</v>
      </c>
      <c r="C715" s="94" t="s">
        <v>303</v>
      </c>
      <c r="D715" s="374">
        <v>6472772.3676000005</v>
      </c>
      <c r="E715" s="9" t="str">
        <f>IF(K715="","",D715/K715)</f>
        <v/>
      </c>
      <c r="F715" s="47">
        <v>5</v>
      </c>
      <c r="G715" s="47">
        <v>0</v>
      </c>
      <c r="H715" s="47">
        <v>0</v>
      </c>
      <c r="I715" s="98">
        <v>0</v>
      </c>
      <c r="J715" s="98"/>
      <c r="K715" s="93"/>
      <c r="L715" s="93">
        <f t="shared" si="98"/>
        <v>0</v>
      </c>
      <c r="M715" s="95" t="e">
        <f t="shared" ca="1" si="99"/>
        <v>#DIV/0!</v>
      </c>
      <c r="N715" s="95">
        <f>IF(P715="Hedge Fund",IF(A715=Summary!$AD$3,M715-E715,M715),IF(A715=Summary!$AD$3,L715-D715,L715))</f>
        <v>0</v>
      </c>
      <c r="O715" s="95">
        <f t="shared" si="94"/>
        <v>0</v>
      </c>
      <c r="P715" s="89" t="s">
        <v>155</v>
      </c>
      <c r="Q715" s="107">
        <v>0</v>
      </c>
      <c r="R715" s="109">
        <f>128067.1624/10^6</f>
        <v>0.12806716239999999</v>
      </c>
      <c r="S715" s="89">
        <v>0</v>
      </c>
      <c r="T715" s="89">
        <v>0</v>
      </c>
      <c r="U715" s="89"/>
      <c r="V715" s="89"/>
      <c r="W715" s="89"/>
      <c r="X715" s="89"/>
      <c r="Y715" s="89"/>
      <c r="Z715" s="89"/>
      <c r="AA715" s="89"/>
      <c r="AB715" s="89"/>
      <c r="AC715" s="355"/>
      <c r="AD715" s="355"/>
      <c r="AE715" s="355"/>
      <c r="AF715" s="94">
        <f t="shared" si="100"/>
        <v>43312</v>
      </c>
      <c r="AG715" s="185">
        <f t="shared" si="95"/>
        <v>-0.13448734700415488</v>
      </c>
      <c r="AH715" s="339" t="str">
        <f>VLOOKUP(B715,'MF PF'!A:B,2)</f>
        <v>FdMgt1</v>
      </c>
      <c r="AI715" s="358">
        <f t="shared" si="101"/>
        <v>0</v>
      </c>
      <c r="AJ715" s="94">
        <f t="shared" si="102"/>
        <v>43312</v>
      </c>
    </row>
    <row r="716" spans="1:36" ht="12.75" customHeight="1">
      <c r="A716" s="94">
        <v>43343</v>
      </c>
      <c r="B716" s="358" t="s">
        <v>136</v>
      </c>
      <c r="C716" s="94" t="s">
        <v>303</v>
      </c>
      <c r="D716" s="374">
        <v>5389155.2359999996</v>
      </c>
      <c r="E716" s="9" t="str">
        <f>IF(K716="","",D716/K716)</f>
        <v/>
      </c>
      <c r="F716" s="47">
        <v>5</v>
      </c>
      <c r="G716" s="47">
        <v>0</v>
      </c>
      <c r="H716" s="47">
        <v>0</v>
      </c>
      <c r="I716" s="98">
        <v>-1097031.44</v>
      </c>
      <c r="J716" s="98"/>
      <c r="K716" s="93"/>
      <c r="L716" s="93">
        <f t="shared" si="98"/>
        <v>-1097031.44</v>
      </c>
      <c r="M716" s="95" t="e">
        <f t="shared" ca="1" si="99"/>
        <v>#DIV/0!</v>
      </c>
      <c r="N716" s="95">
        <f>IF(P716="Hedge Fund",IF(A716=Summary!$AD$3,M716-E716,M716),IF(A716=Summary!$AD$3,L716-D716,L716))</f>
        <v>-1097031.44</v>
      </c>
      <c r="O716" s="95">
        <f t="shared" si="94"/>
        <v>-1097031.44</v>
      </c>
      <c r="P716" s="89" t="s">
        <v>155</v>
      </c>
      <c r="Q716" s="107">
        <v>0</v>
      </c>
      <c r="R716" s="109">
        <v>0.12923362400000002</v>
      </c>
      <c r="S716" s="107">
        <v>0</v>
      </c>
      <c r="T716" s="107">
        <v>0</v>
      </c>
      <c r="U716" s="107"/>
      <c r="V716" s="107"/>
      <c r="W716" s="107"/>
      <c r="X716" s="107"/>
      <c r="Y716" s="89"/>
      <c r="Z716" s="89"/>
      <c r="AA716" s="89"/>
      <c r="AB716" s="89"/>
      <c r="AC716" s="355"/>
      <c r="AD716" s="355"/>
      <c r="AE716" s="355"/>
      <c r="AF716" s="94">
        <f t="shared" si="100"/>
        <v>43343</v>
      </c>
      <c r="AG716" s="185">
        <f t="shared" si="95"/>
        <v>2.0724208481586182E-3</v>
      </c>
      <c r="AH716" s="339" t="str">
        <f>VLOOKUP(B716,'MF PF'!A:B,2)</f>
        <v>FdMgt1</v>
      </c>
      <c r="AI716" s="358">
        <f t="shared" si="101"/>
        <v>0</v>
      </c>
      <c r="AJ716" s="94">
        <f t="shared" si="102"/>
        <v>43343</v>
      </c>
    </row>
    <row r="717" spans="1:36" ht="12.75" customHeight="1">
      <c r="A717" s="94">
        <v>43371</v>
      </c>
      <c r="B717" s="358" t="s">
        <v>136</v>
      </c>
      <c r="C717" s="358" t="s">
        <v>303</v>
      </c>
      <c r="D717" s="374">
        <v>6295068.5272000004</v>
      </c>
      <c r="F717" s="105">
        <v>5</v>
      </c>
      <c r="G717" s="93">
        <v>0</v>
      </c>
      <c r="H717" s="93">
        <v>0</v>
      </c>
      <c r="I717" s="93">
        <v>0</v>
      </c>
      <c r="K717" s="7">
        <v>0</v>
      </c>
      <c r="L717" s="93">
        <f t="shared" si="98"/>
        <v>0</v>
      </c>
      <c r="M717" s="95" t="e">
        <f t="shared" ca="1" si="99"/>
        <v>#DIV/0!</v>
      </c>
      <c r="N717" s="95">
        <f>IF(P717="Hedge Fund",IF(A717=Summary!$AD$3,M717-E717,M717),IF(A717=Summary!$AD$3,L717-D717,L717))</f>
        <v>0</v>
      </c>
      <c r="O717" s="95">
        <f t="shared" si="94"/>
        <v>0</v>
      </c>
      <c r="P717" s="95" t="s">
        <v>155</v>
      </c>
      <c r="Q717" s="95">
        <v>1.6253674272088788E-2</v>
      </c>
      <c r="R717" s="95">
        <v>0.20800869279999998</v>
      </c>
      <c r="S717" s="95"/>
      <c r="T717" s="95"/>
      <c r="U717" s="95"/>
      <c r="V717" s="95"/>
      <c r="W717" s="95"/>
      <c r="X717" s="95"/>
      <c r="Y717" s="95"/>
      <c r="Z717" s="95"/>
      <c r="AA717" s="95"/>
      <c r="AB717" s="95"/>
      <c r="AC717" s="355"/>
      <c r="AD717" s="355"/>
      <c r="AE717" s="355"/>
      <c r="AF717" s="94">
        <f t="shared" si="100"/>
        <v>43371</v>
      </c>
      <c r="AG717" s="185">
        <f t="shared" si="95"/>
        <v>0.168099312699034</v>
      </c>
      <c r="AH717" s="339" t="str">
        <f>VLOOKUP(B717,'MF PF'!A:B,2)</f>
        <v>FdMgt1</v>
      </c>
      <c r="AI717" s="358">
        <f t="shared" si="101"/>
        <v>0</v>
      </c>
      <c r="AJ717" s="94">
        <f t="shared" si="102"/>
        <v>43373</v>
      </c>
    </row>
    <row r="718" spans="1:36" ht="12.75" customHeight="1">
      <c r="A718" s="94">
        <v>43404</v>
      </c>
      <c r="B718" s="358" t="s">
        <v>136</v>
      </c>
      <c r="C718" s="358" t="s">
        <v>303</v>
      </c>
      <c r="D718" s="374">
        <v>6263279.5372000001</v>
      </c>
      <c r="F718" s="105">
        <v>5</v>
      </c>
      <c r="G718" s="93">
        <v>0</v>
      </c>
      <c r="H718" s="93">
        <v>0</v>
      </c>
      <c r="I718" s="93">
        <v>0</v>
      </c>
      <c r="J718" s="93">
        <v>0</v>
      </c>
      <c r="L718" s="93">
        <f t="shared" si="98"/>
        <v>0</v>
      </c>
      <c r="M718" s="95" t="e">
        <f t="shared" ca="1" si="99"/>
        <v>#DIV/0!</v>
      </c>
      <c r="N718" s="95">
        <f>IF(P718="Hedge Fund",IF(A718=Summary!$AD$3,M718-E718,M718),IF(A718=Summary!$AD$3,L718-D718,L718))</f>
        <v>0</v>
      </c>
      <c r="O718" s="95">
        <f t="shared" ref="O718:O781" si="103">N718</f>
        <v>0</v>
      </c>
      <c r="P718" s="95" t="s">
        <v>155</v>
      </c>
      <c r="Q718" s="95">
        <v>5.853546798801435E-3</v>
      </c>
      <c r="R718" s="95">
        <v>0.20524443279999999</v>
      </c>
      <c r="S718" s="95"/>
      <c r="T718" s="95"/>
      <c r="U718" s="95"/>
      <c r="V718" s="95"/>
      <c r="W718" s="95"/>
      <c r="X718" s="95"/>
      <c r="Y718" s="95"/>
      <c r="Z718" s="95"/>
      <c r="AA718" s="95"/>
      <c r="AB718" s="95"/>
      <c r="AC718" s="355"/>
      <c r="AD718" s="355"/>
      <c r="AE718" s="355"/>
      <c r="AF718" s="94">
        <f t="shared" si="100"/>
        <v>43404</v>
      </c>
      <c r="AG718" s="185">
        <f t="shared" si="95"/>
        <v>-5.0498242970103968E-3</v>
      </c>
      <c r="AH718" s="339" t="str">
        <f>VLOOKUP(B718,'MF PF'!A:B,2)</f>
        <v>FdMgt1</v>
      </c>
      <c r="AI718" s="358">
        <f t="shared" si="101"/>
        <v>0</v>
      </c>
      <c r="AJ718" s="94">
        <f t="shared" si="102"/>
        <v>43404</v>
      </c>
    </row>
    <row r="719" spans="1:36" ht="12.75" customHeight="1">
      <c r="A719" s="94">
        <v>43434</v>
      </c>
      <c r="B719" s="358" t="s">
        <v>136</v>
      </c>
      <c r="C719" s="92" t="s">
        <v>303</v>
      </c>
      <c r="D719" s="374">
        <v>6312555.0316000003</v>
      </c>
      <c r="F719" s="105">
        <v>5</v>
      </c>
      <c r="G719" s="93">
        <v>0</v>
      </c>
      <c r="H719" s="93">
        <v>0</v>
      </c>
      <c r="I719" s="93">
        <v>0</v>
      </c>
      <c r="K719" s="7">
        <v>0</v>
      </c>
      <c r="L719" s="93">
        <f t="shared" si="98"/>
        <v>0</v>
      </c>
      <c r="M719" s="95" t="e">
        <f t="shared" ca="1" si="99"/>
        <v>#DIV/0!</v>
      </c>
      <c r="N719" s="95">
        <f>IF(P719="Hedge Fund",IF(A719=Summary!$AD$3,M719-E719,M719),IF(A719=Summary!$AD$3,L719-D719,L719))</f>
        <v>0</v>
      </c>
      <c r="O719" s="95">
        <f t="shared" si="103"/>
        <v>0</v>
      </c>
      <c r="P719" s="95" t="s">
        <v>155</v>
      </c>
      <c r="Q719" s="95">
        <v>1.1276760166311442E-2</v>
      </c>
      <c r="R719" s="95">
        <v>0.2095292584</v>
      </c>
      <c r="S719" s="95"/>
      <c r="T719" s="95"/>
      <c r="U719" s="95"/>
      <c r="V719" s="95"/>
      <c r="W719" s="95"/>
      <c r="X719" s="95"/>
      <c r="Y719" s="95"/>
      <c r="Z719" s="95"/>
      <c r="AA719" s="95"/>
      <c r="AB719" s="95"/>
      <c r="AC719" s="355"/>
      <c r="AD719" s="355"/>
      <c r="AE719" s="355"/>
      <c r="AF719" s="94">
        <f t="shared" si="100"/>
        <v>43434</v>
      </c>
      <c r="AG719" s="185">
        <f t="shared" ref="AG719:AG782" si="104">IF(C719&lt;&gt;C718,D719/G719-1,(D719-G719-I719-H719)/(D718)-1)</f>
        <v>7.867363113419179E-3</v>
      </c>
      <c r="AH719" s="339" t="str">
        <f>VLOOKUP(B719,'MF PF'!A:B,2)</f>
        <v>FdMgt1</v>
      </c>
      <c r="AI719" s="358">
        <f t="shared" si="101"/>
        <v>0</v>
      </c>
      <c r="AJ719" s="94">
        <f t="shared" si="102"/>
        <v>43434</v>
      </c>
    </row>
    <row r="720" spans="1:36" ht="12.75" customHeight="1">
      <c r="A720" s="8">
        <v>43452</v>
      </c>
      <c r="B720" s="358" t="s">
        <v>136</v>
      </c>
      <c r="C720" s="6" t="s">
        <v>303</v>
      </c>
      <c r="D720" s="93"/>
      <c r="F720" s="93"/>
      <c r="G720" s="93"/>
      <c r="H720" s="93"/>
      <c r="I720" s="93">
        <v>-114233.9035090424</v>
      </c>
      <c r="K720" s="93"/>
      <c r="L720" s="93">
        <f t="shared" si="98"/>
        <v>-114233.9035090424</v>
      </c>
      <c r="M720" s="95" t="e">
        <f t="shared" ca="1" si="99"/>
        <v>#DIV/0!</v>
      </c>
      <c r="N720" s="95">
        <f>IF(P720="Hedge Fund",IF(A720=Summary!$AD$3,M720-E720,M720),IF(A720=Summary!$AD$3,L720-D720,L720))</f>
        <v>-114233.9035090424</v>
      </c>
      <c r="O720" s="95">
        <f t="shared" si="103"/>
        <v>-114233.9035090424</v>
      </c>
      <c r="P720" s="95" t="s">
        <v>155</v>
      </c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  <c r="AC720" s="355"/>
      <c r="AD720" s="355"/>
      <c r="AE720" s="355"/>
      <c r="AF720" s="94">
        <f t="shared" si="100"/>
        <v>43452</v>
      </c>
      <c r="AG720" s="185">
        <f t="shared" si="104"/>
        <v>-0.98190369779951236</v>
      </c>
      <c r="AH720" s="339" t="str">
        <f>VLOOKUP(B720,'MF PF'!A:B,2)</f>
        <v>FdMgt1</v>
      </c>
      <c r="AI720" s="358">
        <f t="shared" si="101"/>
        <v>0</v>
      </c>
      <c r="AJ720" s="94">
        <f t="shared" si="102"/>
        <v>43465</v>
      </c>
    </row>
    <row r="721" spans="1:36" ht="12.75" customHeight="1">
      <c r="A721" s="8">
        <v>43465</v>
      </c>
      <c r="B721" s="358" t="s">
        <v>136</v>
      </c>
      <c r="C721" s="6" t="s">
        <v>303</v>
      </c>
      <c r="D721" s="93">
        <v>6322153.2824999997</v>
      </c>
      <c r="F721" s="93">
        <v>5</v>
      </c>
      <c r="G721" s="93">
        <v>0</v>
      </c>
      <c r="H721" s="93">
        <v>0</v>
      </c>
      <c r="I721" s="93">
        <v>0</v>
      </c>
      <c r="K721" s="93">
        <v>0</v>
      </c>
      <c r="L721" s="93">
        <f t="shared" si="98"/>
        <v>0</v>
      </c>
      <c r="M721" s="95" t="e">
        <f t="shared" ca="1" si="99"/>
        <v>#DIV/0!</v>
      </c>
      <c r="N721" s="95">
        <f>IF(P721="Hedge Fund",IF(A721=Summary!$AD$3,M721-E721,M721),IF(A721=Summary!$AD$3,L721-D721,L721))</f>
        <v>0</v>
      </c>
      <c r="O721" s="95">
        <f t="shared" si="103"/>
        <v>0</v>
      </c>
      <c r="P721" s="95" t="s">
        <v>155</v>
      </c>
      <c r="Q721" s="95">
        <v>5.9222042463208347E-3</v>
      </c>
      <c r="R721" s="95">
        <v>0.2222413274686133</v>
      </c>
      <c r="S721" s="95"/>
      <c r="T721" s="95"/>
      <c r="U721" s="95"/>
      <c r="V721" s="95"/>
      <c r="W721" s="95"/>
      <c r="X721" s="95"/>
      <c r="Y721" s="95"/>
      <c r="Z721" s="95"/>
      <c r="AA721" s="95"/>
      <c r="AB721" s="95"/>
      <c r="AC721" s="355"/>
      <c r="AD721" s="355"/>
      <c r="AE721" s="355"/>
      <c r="AF721" s="94">
        <f t="shared" si="100"/>
        <v>43465</v>
      </c>
      <c r="AG721" s="185" t="e">
        <f t="shared" si="104"/>
        <v>#DIV/0!</v>
      </c>
      <c r="AH721" s="339" t="str">
        <f>VLOOKUP(B721,'MF PF'!A:B,2)</f>
        <v>FdMgt1</v>
      </c>
      <c r="AI721" s="358">
        <f t="shared" si="101"/>
        <v>0</v>
      </c>
      <c r="AJ721" s="94">
        <f t="shared" si="102"/>
        <v>43465</v>
      </c>
    </row>
    <row r="722" spans="1:36" ht="12.75" customHeight="1">
      <c r="A722" s="94">
        <v>43487</v>
      </c>
      <c r="B722" s="358" t="s">
        <v>136</v>
      </c>
      <c r="C722" s="358" t="s">
        <v>303</v>
      </c>
      <c r="D722" s="93"/>
      <c r="F722" s="93"/>
      <c r="G722" s="93"/>
      <c r="H722" s="93"/>
      <c r="I722" s="93">
        <v>-361813.35062318738</v>
      </c>
      <c r="L722" s="93">
        <f t="shared" si="98"/>
        <v>-361813.35062318738</v>
      </c>
      <c r="M722" s="95" t="e">
        <f t="shared" ca="1" si="99"/>
        <v>#DIV/0!</v>
      </c>
      <c r="N722" s="95">
        <f>IF(P722="Hedge Fund",IF(A722=Summary!$AD$3,M722-E722,M722),IF(A722=Summary!$AD$3,L722-D722,L722))</f>
        <v>-361813.35062318738</v>
      </c>
      <c r="O722" s="95">
        <f t="shared" si="103"/>
        <v>-361813.35062318738</v>
      </c>
      <c r="P722" s="95" t="s">
        <v>155</v>
      </c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  <c r="AC722" s="355"/>
      <c r="AD722" s="355"/>
      <c r="AE722" s="355"/>
      <c r="AF722" s="94">
        <f t="shared" si="100"/>
        <v>43487</v>
      </c>
      <c r="AG722" s="185">
        <f t="shared" si="104"/>
        <v>-0.94277055071968874</v>
      </c>
      <c r="AH722" s="339" t="str">
        <f>VLOOKUP(B722,'MF PF'!A:B,2)</f>
        <v>FdMgt1</v>
      </c>
      <c r="AI722" s="358">
        <f t="shared" si="101"/>
        <v>0</v>
      </c>
      <c r="AJ722" s="94">
        <f t="shared" si="102"/>
        <v>43496</v>
      </c>
    </row>
    <row r="723" spans="1:36" ht="12.75" customHeight="1">
      <c r="A723" s="8">
        <v>43496</v>
      </c>
      <c r="B723" s="358" t="s">
        <v>136</v>
      </c>
      <c r="C723" s="6" t="s">
        <v>303</v>
      </c>
      <c r="D723" s="93">
        <v>5995650.2100999998</v>
      </c>
      <c r="F723" s="93">
        <v>5</v>
      </c>
      <c r="G723" s="93">
        <v>0</v>
      </c>
      <c r="H723" s="93">
        <v>0</v>
      </c>
      <c r="I723" s="93">
        <v>0</v>
      </c>
      <c r="K723" s="93">
        <v>0</v>
      </c>
      <c r="L723" s="93">
        <f t="shared" si="98"/>
        <v>0</v>
      </c>
      <c r="M723" s="95" t="e">
        <f t="shared" ca="1" si="99"/>
        <v>#DIV/0!</v>
      </c>
      <c r="N723" s="95">
        <f>IF(P723="Hedge Fund",IF(A723=Summary!$AD$3,M723-E723,M723),IF(A723=Summary!$AD$3,L723-D723,L723))</f>
        <v>-5995650.2100999998</v>
      </c>
      <c r="O723" s="95">
        <f t="shared" si="103"/>
        <v>-5995650.2100999998</v>
      </c>
      <c r="P723" s="95" t="s">
        <v>155</v>
      </c>
      <c r="Q723" s="380">
        <v>0</v>
      </c>
      <c r="R723" s="95">
        <v>0.22648826988215282</v>
      </c>
      <c r="S723" s="95"/>
      <c r="T723" s="95"/>
      <c r="U723" s="95"/>
      <c r="V723" s="95"/>
      <c r="W723" s="95"/>
      <c r="X723" s="95"/>
      <c r="Y723" s="95"/>
      <c r="Z723" s="95"/>
      <c r="AA723" s="95"/>
      <c r="AB723" s="95"/>
      <c r="AC723" s="355"/>
      <c r="AD723" s="355"/>
      <c r="AE723" s="355"/>
      <c r="AF723" s="94">
        <f t="shared" si="100"/>
        <v>43496</v>
      </c>
      <c r="AG723" s="185" t="e">
        <f t="shared" si="104"/>
        <v>#DIV/0!</v>
      </c>
      <c r="AH723" s="339" t="str">
        <f>VLOOKUP(B723,'MF PF'!A:B,2)</f>
        <v>FdMgt1</v>
      </c>
      <c r="AI723" s="358">
        <f t="shared" si="101"/>
        <v>0</v>
      </c>
      <c r="AJ723" s="94">
        <f t="shared" si="102"/>
        <v>43496</v>
      </c>
    </row>
    <row r="724" spans="1:36" ht="12.75" customHeight="1">
      <c r="A724" s="8">
        <v>41639</v>
      </c>
      <c r="B724" s="94" t="s">
        <v>136</v>
      </c>
      <c r="C724" s="92" t="s">
        <v>304</v>
      </c>
      <c r="D724" s="374">
        <v>478860</v>
      </c>
      <c r="E724" s="9" t="e">
        <f t="shared" ref="E724:E755" si="105">D724/K724</f>
        <v>#DIV/0!</v>
      </c>
      <c r="F724" s="47">
        <v>1.3879999999999999</v>
      </c>
      <c r="G724" s="47">
        <v>478860</v>
      </c>
      <c r="H724" s="47">
        <v>0</v>
      </c>
      <c r="I724" s="98">
        <v>0</v>
      </c>
      <c r="J724" s="98"/>
      <c r="L724" s="93">
        <f t="shared" si="98"/>
        <v>478860</v>
      </c>
      <c r="M724" s="95" t="e">
        <f t="shared" ca="1" si="99"/>
        <v>#DIV/0!</v>
      </c>
      <c r="N724" s="95">
        <f>IF(P724="Hedge Fund",IF(A724=Summary!$AD$3,M724-E724,M724),IF(A724=Summary!$AD$3,L724-D724,L724))</f>
        <v>478860</v>
      </c>
      <c r="O724" s="95">
        <f t="shared" si="103"/>
        <v>478860</v>
      </c>
      <c r="P724" s="89" t="s">
        <v>155</v>
      </c>
      <c r="Q724" s="107">
        <v>0</v>
      </c>
      <c r="R724" s="107">
        <v>0</v>
      </c>
      <c r="S724" s="89">
        <v>0</v>
      </c>
      <c r="T724" s="89">
        <v>0</v>
      </c>
      <c r="U724" s="89"/>
      <c r="V724" s="89"/>
      <c r="W724" s="89"/>
      <c r="X724" s="89"/>
      <c r="Y724" s="89"/>
      <c r="Z724" s="89"/>
      <c r="AA724" s="89"/>
      <c r="AB724" s="89"/>
      <c r="AC724" s="355"/>
      <c r="AD724" s="355"/>
      <c r="AE724" s="355"/>
      <c r="AF724" s="94">
        <f t="shared" si="100"/>
        <v>41639</v>
      </c>
      <c r="AG724" s="185">
        <f t="shared" si="104"/>
        <v>0</v>
      </c>
      <c r="AH724" s="339" t="str">
        <f>VLOOKUP(B724,'MF PF'!A:B,2)</f>
        <v>FdMgt1</v>
      </c>
      <c r="AI724" s="358">
        <f t="shared" si="101"/>
        <v>0</v>
      </c>
      <c r="AJ724" s="94">
        <f t="shared" si="102"/>
        <v>41639</v>
      </c>
    </row>
    <row r="725" spans="1:36" ht="12.75" customHeight="1">
      <c r="A725" s="8">
        <v>41669</v>
      </c>
      <c r="B725" s="94" t="s">
        <v>136</v>
      </c>
      <c r="C725" s="358" t="s">
        <v>304</v>
      </c>
      <c r="D725" s="374">
        <v>476919.8</v>
      </c>
      <c r="E725" s="9" t="e">
        <f t="shared" si="105"/>
        <v>#DIV/0!</v>
      </c>
      <c r="F725" s="47">
        <v>1.3879999999999999</v>
      </c>
      <c r="G725" s="47">
        <v>0</v>
      </c>
      <c r="H725" s="47">
        <v>0</v>
      </c>
      <c r="I725" s="98">
        <v>0</v>
      </c>
      <c r="J725" s="98"/>
      <c r="K725" s="93"/>
      <c r="L725" s="93">
        <f t="shared" si="98"/>
        <v>0</v>
      </c>
      <c r="M725" s="95" t="e">
        <f t="shared" ca="1" si="99"/>
        <v>#DIV/0!</v>
      </c>
      <c r="N725" s="95">
        <f>IF(P725="Hedge Fund",IF(A725=Summary!$AD$3,M725-E725,M725),IF(A725=Summary!$AD$3,L725-D725,L725))</f>
        <v>0</v>
      </c>
      <c r="O725" s="95">
        <f t="shared" si="103"/>
        <v>0</v>
      </c>
      <c r="P725" s="89" t="s">
        <v>155</v>
      </c>
      <c r="Q725" s="107">
        <v>0</v>
      </c>
      <c r="R725" s="107">
        <v>0</v>
      </c>
      <c r="S725" s="89">
        <v>0</v>
      </c>
      <c r="T725" s="89">
        <v>0</v>
      </c>
      <c r="U725" s="89"/>
      <c r="V725" s="89"/>
      <c r="W725" s="89"/>
      <c r="X725" s="89"/>
      <c r="Y725" s="89"/>
      <c r="Z725" s="89"/>
      <c r="AA725" s="89"/>
      <c r="AB725" s="89"/>
      <c r="AC725" s="355"/>
      <c r="AD725" s="355"/>
      <c r="AE725" s="355"/>
      <c r="AF725" s="94">
        <f t="shared" si="100"/>
        <v>41669</v>
      </c>
      <c r="AG725" s="185">
        <f t="shared" si="104"/>
        <v>-4.0517061354049533E-3</v>
      </c>
      <c r="AH725" s="339" t="str">
        <f>VLOOKUP(B725,'MF PF'!A:B,2)</f>
        <v>FdMgt1</v>
      </c>
      <c r="AI725" s="358">
        <f t="shared" si="101"/>
        <v>0</v>
      </c>
      <c r="AJ725" s="94">
        <f t="shared" si="102"/>
        <v>41670</v>
      </c>
    </row>
    <row r="726" spans="1:36" s="92" customFormat="1" ht="12.75" customHeight="1">
      <c r="A726" s="94">
        <v>41698</v>
      </c>
      <c r="B726" s="94" t="s">
        <v>136</v>
      </c>
      <c r="C726" s="358" t="s">
        <v>304</v>
      </c>
      <c r="D726" s="374">
        <v>475396.4</v>
      </c>
      <c r="E726" s="95" t="e">
        <f t="shared" si="105"/>
        <v>#DIV/0!</v>
      </c>
      <c r="F726" s="98">
        <v>1.3879999999999999</v>
      </c>
      <c r="G726" s="98">
        <v>0</v>
      </c>
      <c r="H726" s="98">
        <v>0</v>
      </c>
      <c r="I726" s="98">
        <v>0</v>
      </c>
      <c r="J726" s="98"/>
      <c r="K726" s="93"/>
      <c r="L726" s="93">
        <f t="shared" si="98"/>
        <v>0</v>
      </c>
      <c r="M726" s="95" t="e">
        <f t="shared" ca="1" si="99"/>
        <v>#DIV/0!</v>
      </c>
      <c r="N726" s="95">
        <f>IF(P726="Hedge Fund",IF(A726=Summary!$AD$3,M726-E726,M726),IF(A726=Summary!$AD$3,L726-D726,L726))</f>
        <v>0</v>
      </c>
      <c r="O726" s="95">
        <f t="shared" si="103"/>
        <v>0</v>
      </c>
      <c r="P726" s="107" t="s">
        <v>155</v>
      </c>
      <c r="Q726" s="107">
        <v>0</v>
      </c>
      <c r="R726" s="107">
        <v>0</v>
      </c>
      <c r="S726" s="107">
        <v>0</v>
      </c>
      <c r="T726" s="107">
        <v>0</v>
      </c>
      <c r="U726" s="107"/>
      <c r="V726" s="107"/>
      <c r="W726" s="107"/>
      <c r="X726" s="107"/>
      <c r="Y726" s="107"/>
      <c r="Z726" s="107"/>
      <c r="AA726" s="107"/>
      <c r="AB726" s="107"/>
      <c r="AC726" s="355"/>
      <c r="AD726" s="355"/>
      <c r="AE726" s="355"/>
      <c r="AF726" s="94">
        <f t="shared" si="100"/>
        <v>41698</v>
      </c>
      <c r="AG726" s="185">
        <f t="shared" si="104"/>
        <v>-3.1942477540247705E-3</v>
      </c>
      <c r="AH726" s="339" t="str">
        <f>VLOOKUP(B726,'MF PF'!A:B,2)</f>
        <v>FdMgt1</v>
      </c>
      <c r="AI726" s="358">
        <f t="shared" si="101"/>
        <v>0</v>
      </c>
      <c r="AJ726" s="94">
        <f t="shared" si="102"/>
        <v>41698</v>
      </c>
    </row>
    <row r="727" spans="1:36" ht="12.75" customHeight="1">
      <c r="A727" s="94">
        <v>41729</v>
      </c>
      <c r="B727" s="94" t="s">
        <v>136</v>
      </c>
      <c r="C727" s="358" t="s">
        <v>304</v>
      </c>
      <c r="D727" s="374">
        <v>475500.91</v>
      </c>
      <c r="E727" s="9" t="e">
        <f t="shared" si="105"/>
        <v>#DIV/0!</v>
      </c>
      <c r="F727" s="47">
        <v>1.3879999999999999</v>
      </c>
      <c r="G727" s="47">
        <v>0</v>
      </c>
      <c r="H727" s="47">
        <v>0</v>
      </c>
      <c r="I727" s="47">
        <v>0</v>
      </c>
      <c r="J727" s="98"/>
      <c r="K727" s="93"/>
      <c r="L727" s="93">
        <f t="shared" si="98"/>
        <v>0</v>
      </c>
      <c r="M727" s="95" t="e">
        <f t="shared" ca="1" si="99"/>
        <v>#DIV/0!</v>
      </c>
      <c r="N727" s="95">
        <f>IF(P727="Hedge Fund",IF(A727=Summary!$AD$3,M727-E727,M727),IF(A727=Summary!$AD$3,L727-D727,L727))</f>
        <v>0</v>
      </c>
      <c r="O727" s="95">
        <f t="shared" si="103"/>
        <v>0</v>
      </c>
      <c r="P727" s="89" t="s">
        <v>155</v>
      </c>
      <c r="Q727" s="89">
        <v>0</v>
      </c>
      <c r="R727" s="107">
        <v>0</v>
      </c>
      <c r="S727" s="89">
        <v>0</v>
      </c>
      <c r="T727" s="89">
        <v>0</v>
      </c>
      <c r="U727" s="89"/>
      <c r="V727" s="89"/>
      <c r="W727" s="89"/>
      <c r="X727" s="89"/>
      <c r="Y727" s="89"/>
      <c r="Z727" s="89"/>
      <c r="AA727" s="89"/>
      <c r="AB727" s="89"/>
      <c r="AC727" s="355"/>
      <c r="AD727" s="355"/>
      <c r="AE727" s="355"/>
      <c r="AF727" s="94">
        <f t="shared" si="100"/>
        <v>41729</v>
      </c>
      <c r="AG727" s="185">
        <f t="shared" si="104"/>
        <v>2.1983759237542699E-4</v>
      </c>
      <c r="AH727" s="339" t="str">
        <f>VLOOKUP(B727,'MF PF'!A:B,2)</f>
        <v>FdMgt1</v>
      </c>
      <c r="AI727" s="358">
        <f t="shared" si="101"/>
        <v>0</v>
      </c>
      <c r="AJ727" s="94">
        <f t="shared" si="102"/>
        <v>41729</v>
      </c>
    </row>
    <row r="728" spans="1:36" ht="12.75" customHeight="1">
      <c r="A728" s="94">
        <v>41759</v>
      </c>
      <c r="B728" s="94" t="s">
        <v>136</v>
      </c>
      <c r="C728" s="358" t="s">
        <v>304</v>
      </c>
      <c r="D728" s="374">
        <v>462809.92089053302</v>
      </c>
      <c r="E728" s="9" t="e">
        <f t="shared" si="105"/>
        <v>#DIV/0!</v>
      </c>
      <c r="F728" s="47">
        <v>1.3879999999999999</v>
      </c>
      <c r="G728" s="47">
        <v>0</v>
      </c>
      <c r="H728" s="47">
        <v>0</v>
      </c>
      <c r="I728" s="47">
        <v>0</v>
      </c>
      <c r="J728" s="98"/>
      <c r="K728" s="93"/>
      <c r="L728" s="93">
        <f t="shared" si="98"/>
        <v>0</v>
      </c>
      <c r="M728" s="95" t="e">
        <f t="shared" ca="1" si="99"/>
        <v>#DIV/0!</v>
      </c>
      <c r="N728" s="95">
        <f>IF(P728="Hedge Fund",IF(A728=Summary!$AD$3,M728-E728,M728),IF(A728=Summary!$AD$3,L728-D728,L728))</f>
        <v>0</v>
      </c>
      <c r="O728" s="95">
        <f t="shared" si="103"/>
        <v>0</v>
      </c>
      <c r="P728" s="89" t="s">
        <v>155</v>
      </c>
      <c r="Q728" s="89">
        <v>0</v>
      </c>
      <c r="R728" s="107">
        <v>0</v>
      </c>
      <c r="S728" s="89">
        <v>0</v>
      </c>
      <c r="T728" s="89">
        <v>0</v>
      </c>
      <c r="U728" s="89"/>
      <c r="V728" s="89"/>
      <c r="W728" s="89"/>
      <c r="X728" s="89"/>
      <c r="Y728" s="89"/>
      <c r="Z728" s="89"/>
      <c r="AA728" s="89"/>
      <c r="AB728" s="89"/>
      <c r="AC728" s="355"/>
      <c r="AD728" s="355"/>
      <c r="AE728" s="355"/>
      <c r="AF728" s="94">
        <f t="shared" si="100"/>
        <v>41759</v>
      </c>
      <c r="AG728" s="185">
        <f t="shared" si="104"/>
        <v>-2.6689726228845578E-2</v>
      </c>
      <c r="AH728" s="339" t="str">
        <f>VLOOKUP(B728,'MF PF'!A:B,2)</f>
        <v>FdMgt1</v>
      </c>
      <c r="AI728" s="358">
        <f t="shared" si="101"/>
        <v>0</v>
      </c>
      <c r="AJ728" s="94">
        <f t="shared" si="102"/>
        <v>41759</v>
      </c>
    </row>
    <row r="729" spans="1:36" ht="12.75" customHeight="1">
      <c r="A729" s="8">
        <v>41789</v>
      </c>
      <c r="B729" s="94" t="s">
        <v>136</v>
      </c>
      <c r="C729" s="92" t="s">
        <v>304</v>
      </c>
      <c r="D729" s="374">
        <v>461337.102301398</v>
      </c>
      <c r="E729" s="9" t="e">
        <f t="shared" si="105"/>
        <v>#DIV/0!</v>
      </c>
      <c r="F729" s="98">
        <v>1.3879999999999999</v>
      </c>
      <c r="G729" s="98">
        <v>0</v>
      </c>
      <c r="H729" s="98">
        <v>0</v>
      </c>
      <c r="I729" s="98">
        <v>0</v>
      </c>
      <c r="J729" s="98"/>
      <c r="K729" s="93"/>
      <c r="L729" s="93">
        <f t="shared" si="98"/>
        <v>0</v>
      </c>
      <c r="M729" s="95" t="e">
        <f t="shared" ca="1" si="99"/>
        <v>#DIV/0!</v>
      </c>
      <c r="N729" s="95">
        <f>IF(P729="Hedge Fund",IF(A729=Summary!$AD$3,M729-E729,M729),IF(A729=Summary!$AD$3,L729-D729,L729))</f>
        <v>0</v>
      </c>
      <c r="O729" s="95">
        <f t="shared" si="103"/>
        <v>0</v>
      </c>
      <c r="P729" s="107" t="s">
        <v>155</v>
      </c>
      <c r="Q729" s="107">
        <v>0</v>
      </c>
      <c r="R729" s="107">
        <v>0</v>
      </c>
      <c r="S729" s="107">
        <v>0</v>
      </c>
      <c r="T729" s="107">
        <v>0</v>
      </c>
      <c r="U729" s="107"/>
      <c r="V729" s="107"/>
      <c r="W729" s="107"/>
      <c r="X729" s="107"/>
      <c r="Y729" s="107"/>
      <c r="Z729" s="107"/>
      <c r="AA729" s="107"/>
      <c r="AB729" s="107"/>
      <c r="AC729" s="355"/>
      <c r="AD729" s="355"/>
      <c r="AE729" s="355"/>
      <c r="AF729" s="94">
        <f t="shared" si="100"/>
        <v>41789</v>
      </c>
      <c r="AG729" s="185">
        <f t="shared" si="104"/>
        <v>-3.1823401415013164E-3</v>
      </c>
      <c r="AH729" s="339" t="str">
        <f>VLOOKUP(B729,'MF PF'!A:B,2)</f>
        <v>FdMgt1</v>
      </c>
      <c r="AI729" s="358">
        <f t="shared" si="101"/>
        <v>0</v>
      </c>
      <c r="AJ729" s="94">
        <f t="shared" si="102"/>
        <v>41790</v>
      </c>
    </row>
    <row r="730" spans="1:36" ht="12.75" customHeight="1">
      <c r="A730" s="8">
        <v>41820</v>
      </c>
      <c r="B730" s="94" t="s">
        <v>136</v>
      </c>
      <c r="C730" s="6" t="s">
        <v>304</v>
      </c>
      <c r="D730" s="374">
        <v>462119.32</v>
      </c>
      <c r="E730" s="9" t="e">
        <f t="shared" si="105"/>
        <v>#DIV/0!</v>
      </c>
      <c r="F730" s="98">
        <v>1.3879999999999999</v>
      </c>
      <c r="G730" s="98">
        <v>0</v>
      </c>
      <c r="H730" s="98">
        <v>0</v>
      </c>
      <c r="I730" s="98">
        <v>0</v>
      </c>
      <c r="J730" s="98"/>
      <c r="K730" s="93"/>
      <c r="L730" s="93">
        <f t="shared" si="98"/>
        <v>0</v>
      </c>
      <c r="M730" s="95" t="e">
        <f t="shared" ca="1" si="99"/>
        <v>#DIV/0!</v>
      </c>
      <c r="N730" s="95">
        <f>IF(P730="Hedge Fund",IF(A730=Summary!$AD$3,M730-E730,M730),IF(A730=Summary!$AD$3,L730-D730,L730))</f>
        <v>0</v>
      </c>
      <c r="O730" s="95">
        <f t="shared" si="103"/>
        <v>0</v>
      </c>
      <c r="P730" s="107" t="s">
        <v>155</v>
      </c>
      <c r="Q730" s="107">
        <v>0</v>
      </c>
      <c r="R730" s="107">
        <v>0</v>
      </c>
      <c r="S730" s="107">
        <v>0</v>
      </c>
      <c r="T730" s="107">
        <v>0</v>
      </c>
      <c r="U730" s="107"/>
      <c r="V730" s="107"/>
      <c r="W730" s="107"/>
      <c r="X730" s="107"/>
      <c r="Y730" s="107"/>
      <c r="Z730" s="107"/>
      <c r="AA730" s="107"/>
      <c r="AB730" s="107"/>
      <c r="AC730" s="355"/>
      <c r="AD730" s="355"/>
      <c r="AE730" s="355"/>
      <c r="AF730" s="94">
        <f t="shared" si="100"/>
        <v>41820</v>
      </c>
      <c r="AG730" s="185">
        <f t="shared" si="104"/>
        <v>1.6955447430955228E-3</v>
      </c>
      <c r="AH730" s="339" t="str">
        <f>VLOOKUP(B730,'MF PF'!A:B,2)</f>
        <v>FdMgt1</v>
      </c>
      <c r="AI730" s="358">
        <f t="shared" si="101"/>
        <v>0</v>
      </c>
      <c r="AJ730" s="94">
        <f t="shared" si="102"/>
        <v>41820</v>
      </c>
    </row>
    <row r="731" spans="1:36" ht="12.75" customHeight="1">
      <c r="A731" s="94">
        <v>41851</v>
      </c>
      <c r="B731" s="8" t="s">
        <v>136</v>
      </c>
      <c r="C731" s="358" t="s">
        <v>304</v>
      </c>
      <c r="D731" s="374">
        <v>471061.43</v>
      </c>
      <c r="E731" s="9" t="e">
        <f t="shared" si="105"/>
        <v>#DIV/0!</v>
      </c>
      <c r="F731" s="47">
        <v>1.3879999999999999</v>
      </c>
      <c r="G731" s="47">
        <v>0</v>
      </c>
      <c r="H731" s="47">
        <v>0</v>
      </c>
      <c r="I731" s="47">
        <v>0</v>
      </c>
      <c r="J731" s="98"/>
      <c r="L731" s="93">
        <f t="shared" si="98"/>
        <v>0</v>
      </c>
      <c r="M731" s="95" t="e">
        <f t="shared" ca="1" si="99"/>
        <v>#DIV/0!</v>
      </c>
      <c r="N731" s="95">
        <f>IF(P731="Hedge Fund",IF(A731=Summary!$AD$3,M731-E731,M731),IF(A731=Summary!$AD$3,L731-D731,L731))</f>
        <v>0</v>
      </c>
      <c r="O731" s="95">
        <f t="shared" si="103"/>
        <v>0</v>
      </c>
      <c r="P731" s="89" t="s">
        <v>155</v>
      </c>
      <c r="Q731" s="107">
        <v>0</v>
      </c>
      <c r="R731" s="107">
        <v>0</v>
      </c>
      <c r="S731" s="89">
        <v>0</v>
      </c>
      <c r="T731" s="89">
        <v>0</v>
      </c>
      <c r="U731" s="89"/>
      <c r="V731" s="89"/>
      <c r="W731" s="89"/>
      <c r="X731" s="89"/>
      <c r="Y731" s="89"/>
      <c r="Z731" s="89"/>
      <c r="AA731" s="89"/>
      <c r="AB731" s="89"/>
      <c r="AC731" s="355"/>
      <c r="AD731" s="355"/>
      <c r="AE731" s="355"/>
      <c r="AF731" s="94">
        <f t="shared" si="100"/>
        <v>41851</v>
      </c>
      <c r="AG731" s="185">
        <f t="shared" si="104"/>
        <v>1.9350218900174854E-2</v>
      </c>
      <c r="AH731" s="339" t="str">
        <f>VLOOKUP(B731,'MF PF'!A:B,2)</f>
        <v>FdMgt1</v>
      </c>
      <c r="AI731" s="358">
        <f t="shared" si="101"/>
        <v>0</v>
      </c>
      <c r="AJ731" s="94">
        <f t="shared" si="102"/>
        <v>41851</v>
      </c>
    </row>
    <row r="732" spans="1:36" ht="12.75" customHeight="1">
      <c r="A732" s="94">
        <v>41880</v>
      </c>
      <c r="B732" s="94" t="s">
        <v>136</v>
      </c>
      <c r="C732" s="358" t="s">
        <v>304</v>
      </c>
      <c r="D732" s="374">
        <v>789189.67</v>
      </c>
      <c r="E732" s="9" t="e">
        <f t="shared" si="105"/>
        <v>#DIV/0!</v>
      </c>
      <c r="F732" s="47">
        <v>1.3879999999999999</v>
      </c>
      <c r="G732" s="47">
        <v>312300</v>
      </c>
      <c r="H732" s="47">
        <v>0</v>
      </c>
      <c r="I732" s="47">
        <v>0</v>
      </c>
      <c r="J732" s="98"/>
      <c r="L732" s="93">
        <f t="shared" si="98"/>
        <v>312300</v>
      </c>
      <c r="M732" s="95" t="e">
        <f t="shared" ca="1" si="99"/>
        <v>#DIV/0!</v>
      </c>
      <c r="N732" s="95">
        <f>IF(P732="Hedge Fund",IF(A732=Summary!$AD$3,M732-E732,M732),IF(A732=Summary!$AD$3,L732-D732,L732))</f>
        <v>312300</v>
      </c>
      <c r="O732" s="95">
        <f t="shared" si="103"/>
        <v>312300</v>
      </c>
      <c r="P732" s="89" t="s">
        <v>155</v>
      </c>
      <c r="Q732" s="107">
        <v>0</v>
      </c>
      <c r="R732" s="107">
        <v>0</v>
      </c>
      <c r="S732" s="89">
        <v>0</v>
      </c>
      <c r="T732" s="89">
        <v>0</v>
      </c>
      <c r="U732" s="89"/>
      <c r="V732" s="89"/>
      <c r="W732" s="89"/>
      <c r="X732" s="89"/>
      <c r="Y732" s="89"/>
      <c r="Z732" s="89"/>
      <c r="AA732" s="89"/>
      <c r="AB732" s="89"/>
      <c r="AC732" s="355"/>
      <c r="AD732" s="355"/>
      <c r="AE732" s="355"/>
      <c r="AF732" s="94">
        <f t="shared" si="100"/>
        <v>41880</v>
      </c>
      <c r="AG732" s="185">
        <f t="shared" si="104"/>
        <v>1.2372568902531578E-2</v>
      </c>
      <c r="AH732" s="339" t="str">
        <f>VLOOKUP(B732,'MF PF'!A:B,2)</f>
        <v>FdMgt1</v>
      </c>
      <c r="AI732" s="358">
        <f t="shared" si="101"/>
        <v>0</v>
      </c>
      <c r="AJ732" s="94">
        <f t="shared" si="102"/>
        <v>41882</v>
      </c>
    </row>
    <row r="733" spans="1:36" ht="12.75" customHeight="1">
      <c r="A733" s="94">
        <v>41912</v>
      </c>
      <c r="B733" s="94" t="s">
        <v>136</v>
      </c>
      <c r="C733" s="358" t="s">
        <v>304</v>
      </c>
      <c r="D733" s="374">
        <v>769409.41</v>
      </c>
      <c r="E733" s="9" t="e">
        <f t="shared" si="105"/>
        <v>#DIV/0!</v>
      </c>
      <c r="F733" s="47">
        <v>1.3879999999999999</v>
      </c>
      <c r="G733" s="47">
        <v>0</v>
      </c>
      <c r="H733" s="47">
        <v>0</v>
      </c>
      <c r="I733" s="98">
        <v>0</v>
      </c>
      <c r="J733" s="98"/>
      <c r="K733" s="93"/>
      <c r="L733" s="93">
        <f t="shared" si="98"/>
        <v>0</v>
      </c>
      <c r="M733" s="95" t="e">
        <f t="shared" ca="1" si="99"/>
        <v>#DIV/0!</v>
      </c>
      <c r="N733" s="95">
        <f>IF(P733="Hedge Fund",IF(A733=Summary!$AD$3,M733-E733,M733),IF(A733=Summary!$AD$3,L733-D733,L733))</f>
        <v>0</v>
      </c>
      <c r="O733" s="95">
        <f t="shared" si="103"/>
        <v>0</v>
      </c>
      <c r="P733" s="89" t="s">
        <v>155</v>
      </c>
      <c r="Q733" s="107">
        <v>0</v>
      </c>
      <c r="R733" s="107">
        <v>0</v>
      </c>
      <c r="S733" s="89">
        <v>0</v>
      </c>
      <c r="T733" s="89">
        <v>0</v>
      </c>
      <c r="U733" s="89"/>
      <c r="V733" s="89"/>
      <c r="W733" s="89"/>
      <c r="X733" s="89"/>
      <c r="Y733" s="89"/>
      <c r="Z733" s="89"/>
      <c r="AA733" s="89"/>
      <c r="AB733" s="89"/>
      <c r="AC733" s="355"/>
      <c r="AD733" s="355"/>
      <c r="AE733" s="355"/>
      <c r="AF733" s="94">
        <f t="shared" si="100"/>
        <v>41912</v>
      </c>
      <c r="AG733" s="185">
        <f t="shared" si="104"/>
        <v>-2.5064012812027858E-2</v>
      </c>
      <c r="AH733" s="339" t="str">
        <f>VLOOKUP(B733,'MF PF'!A:B,2)</f>
        <v>FdMgt1</v>
      </c>
      <c r="AI733" s="358">
        <f t="shared" si="101"/>
        <v>0</v>
      </c>
      <c r="AJ733" s="94">
        <f t="shared" si="102"/>
        <v>41912</v>
      </c>
    </row>
    <row r="734" spans="1:36" ht="12.75" customHeight="1">
      <c r="A734" s="8">
        <v>41943</v>
      </c>
      <c r="B734" s="94" t="s">
        <v>136</v>
      </c>
      <c r="C734" s="358" t="s">
        <v>304</v>
      </c>
      <c r="D734" s="374">
        <v>995186.97</v>
      </c>
      <c r="E734" s="9" t="e">
        <f t="shared" si="105"/>
        <v>#DIV/0!</v>
      </c>
      <c r="F734" s="47">
        <v>1.3879999999999999</v>
      </c>
      <c r="G734" s="47">
        <v>234572</v>
      </c>
      <c r="H734" s="47">
        <v>0</v>
      </c>
      <c r="I734" s="98">
        <v>0</v>
      </c>
      <c r="J734" s="98"/>
      <c r="L734" s="93">
        <f t="shared" si="98"/>
        <v>234572</v>
      </c>
      <c r="M734" s="95" t="e">
        <f t="shared" ca="1" si="99"/>
        <v>#DIV/0!</v>
      </c>
      <c r="N734" s="95">
        <f>IF(P734="Hedge Fund",IF(A734=Summary!$AD$3,M734-E734,M734),IF(A734=Summary!$AD$3,L734-D734,L734))</f>
        <v>234572</v>
      </c>
      <c r="O734" s="95">
        <f t="shared" si="103"/>
        <v>234572</v>
      </c>
      <c r="P734" s="89" t="s">
        <v>155</v>
      </c>
      <c r="Q734" s="107">
        <v>0</v>
      </c>
      <c r="R734" s="107">
        <v>0</v>
      </c>
      <c r="S734" s="89">
        <v>0</v>
      </c>
      <c r="T734" s="89">
        <v>0</v>
      </c>
      <c r="U734" s="89"/>
      <c r="V734" s="89"/>
      <c r="W734" s="89"/>
      <c r="X734" s="89"/>
      <c r="Y734" s="89"/>
      <c r="Z734" s="89"/>
      <c r="AA734" s="89"/>
      <c r="AB734" s="89"/>
      <c r="AC734" s="355"/>
      <c r="AD734" s="355"/>
      <c r="AE734" s="355"/>
      <c r="AF734" s="94">
        <f t="shared" si="100"/>
        <v>41943</v>
      </c>
      <c r="AG734" s="185">
        <f t="shared" si="104"/>
        <v>-1.1430117549511176E-2</v>
      </c>
      <c r="AH734" s="339" t="str">
        <f>VLOOKUP(B734,'MF PF'!A:B,2)</f>
        <v>FdMgt1</v>
      </c>
      <c r="AI734" s="358">
        <f t="shared" si="101"/>
        <v>0</v>
      </c>
      <c r="AJ734" s="94">
        <f t="shared" si="102"/>
        <v>41943</v>
      </c>
    </row>
    <row r="735" spans="1:36" ht="12.75" customHeight="1">
      <c r="A735" s="94">
        <v>41971</v>
      </c>
      <c r="B735" s="94" t="s">
        <v>136</v>
      </c>
      <c r="C735" s="358" t="s">
        <v>304</v>
      </c>
      <c r="D735" s="374">
        <v>1005153.68</v>
      </c>
      <c r="E735" s="95" t="e">
        <f t="shared" si="105"/>
        <v>#DIV/0!</v>
      </c>
      <c r="F735" s="47">
        <v>1.3879999999999999</v>
      </c>
      <c r="G735" s="47">
        <v>0</v>
      </c>
      <c r="H735" s="47">
        <v>0</v>
      </c>
      <c r="I735" s="98">
        <v>0</v>
      </c>
      <c r="J735" s="98"/>
      <c r="L735" s="93">
        <f t="shared" si="98"/>
        <v>0</v>
      </c>
      <c r="M735" s="95" t="e">
        <f t="shared" ca="1" si="99"/>
        <v>#DIV/0!</v>
      </c>
      <c r="N735" s="95">
        <f>IF(P735="Hedge Fund",IF(A735=Summary!$AD$3,M735-E735,M735),IF(A735=Summary!$AD$3,L735-D735,L735))</f>
        <v>0</v>
      </c>
      <c r="O735" s="95">
        <f t="shared" si="103"/>
        <v>0</v>
      </c>
      <c r="P735" s="89" t="s">
        <v>155</v>
      </c>
      <c r="Q735" s="107">
        <v>0</v>
      </c>
      <c r="R735" s="107">
        <v>0</v>
      </c>
      <c r="S735" s="89">
        <v>0</v>
      </c>
      <c r="T735" s="89">
        <v>0</v>
      </c>
      <c r="U735" s="89"/>
      <c r="V735" s="89"/>
      <c r="W735" s="89"/>
      <c r="X735" s="89"/>
      <c r="Y735" s="89"/>
      <c r="Z735" s="89"/>
      <c r="AA735" s="89"/>
      <c r="AB735" s="89"/>
      <c r="AC735" s="355"/>
      <c r="AD735" s="355"/>
      <c r="AE735" s="355"/>
      <c r="AF735" s="94">
        <f t="shared" si="100"/>
        <v>41971</v>
      </c>
      <c r="AG735" s="185">
        <f t="shared" si="104"/>
        <v>1.0014912072251247E-2</v>
      </c>
      <c r="AH735" s="339" t="str">
        <f>VLOOKUP(B735,'MF PF'!A:B,2)</f>
        <v>FdMgt1</v>
      </c>
      <c r="AI735" s="358">
        <f t="shared" si="101"/>
        <v>0</v>
      </c>
      <c r="AJ735" s="94">
        <f t="shared" si="102"/>
        <v>41973</v>
      </c>
    </row>
    <row r="736" spans="1:36" ht="12.75" customHeight="1">
      <c r="A736" s="8">
        <v>42004</v>
      </c>
      <c r="B736" s="94" t="s">
        <v>136</v>
      </c>
      <c r="C736" s="358" t="s">
        <v>304</v>
      </c>
      <c r="D736" s="374">
        <v>998082.15</v>
      </c>
      <c r="E736" s="95" t="e">
        <f t="shared" si="105"/>
        <v>#DIV/0!</v>
      </c>
      <c r="F736" s="47">
        <v>1.3879999999999999</v>
      </c>
      <c r="G736" s="47">
        <v>0</v>
      </c>
      <c r="H736" s="47">
        <v>0</v>
      </c>
      <c r="I736" s="98">
        <v>0</v>
      </c>
      <c r="J736" s="98"/>
      <c r="L736" s="93">
        <f t="shared" si="98"/>
        <v>0</v>
      </c>
      <c r="M736" s="95" t="e">
        <f t="shared" ca="1" si="99"/>
        <v>#DIV/0!</v>
      </c>
      <c r="N736" s="95">
        <f>IF(P736="Hedge Fund",IF(A736=Summary!$AD$3,M736-E736,M736),IF(A736=Summary!$AD$3,L736-D736,L736))</f>
        <v>0</v>
      </c>
      <c r="O736" s="95">
        <f t="shared" si="103"/>
        <v>0</v>
      </c>
      <c r="P736" s="89" t="s">
        <v>155</v>
      </c>
      <c r="Q736" s="107">
        <v>0</v>
      </c>
      <c r="R736" s="107">
        <v>0</v>
      </c>
      <c r="S736" s="89">
        <v>0</v>
      </c>
      <c r="T736" s="89">
        <v>0</v>
      </c>
      <c r="U736" s="89"/>
      <c r="V736" s="89"/>
      <c r="W736" s="89"/>
      <c r="X736" s="89"/>
      <c r="Y736" s="89"/>
      <c r="Z736" s="89"/>
      <c r="AA736" s="89"/>
      <c r="AB736" s="89"/>
      <c r="AC736" s="355"/>
      <c r="AD736" s="355"/>
      <c r="AE736" s="355"/>
      <c r="AF736" s="94">
        <f t="shared" si="100"/>
        <v>42004</v>
      </c>
      <c r="AG736" s="185">
        <f t="shared" si="104"/>
        <v>-7.0352724570436065E-3</v>
      </c>
      <c r="AH736" s="339" t="str">
        <f>VLOOKUP(B736,'MF PF'!A:B,2)</f>
        <v>FdMgt1</v>
      </c>
      <c r="AI736" s="358">
        <f t="shared" si="101"/>
        <v>0</v>
      </c>
      <c r="AJ736" s="94">
        <f t="shared" si="102"/>
        <v>42004</v>
      </c>
    </row>
    <row r="737" spans="1:36" ht="12.75" customHeight="1">
      <c r="A737" s="94">
        <v>42034</v>
      </c>
      <c r="B737" s="94" t="s">
        <v>136</v>
      </c>
      <c r="C737" s="92" t="s">
        <v>304</v>
      </c>
      <c r="D737" s="374">
        <v>1186700.83</v>
      </c>
      <c r="E737" s="9" t="e">
        <f t="shared" si="105"/>
        <v>#DIV/0!</v>
      </c>
      <c r="F737" s="98">
        <v>1.3879999999999999</v>
      </c>
      <c r="G737" s="98">
        <v>161008</v>
      </c>
      <c r="H737" s="98">
        <v>0</v>
      </c>
      <c r="I737" s="98">
        <v>0</v>
      </c>
      <c r="J737" s="98"/>
      <c r="K737" s="93"/>
      <c r="L737" s="93">
        <f t="shared" si="98"/>
        <v>161008</v>
      </c>
      <c r="M737" s="95" t="e">
        <f t="shared" ca="1" si="99"/>
        <v>#DIV/0!</v>
      </c>
      <c r="N737" s="95">
        <f>IF(P737="Hedge Fund",IF(A737=Summary!$AD$3,M737-E737,M737),IF(A737=Summary!$AD$3,L737-D737,L737))</f>
        <v>161008</v>
      </c>
      <c r="O737" s="95">
        <f t="shared" si="103"/>
        <v>161008</v>
      </c>
      <c r="P737" s="107" t="s">
        <v>155</v>
      </c>
      <c r="Q737" s="107">
        <v>0</v>
      </c>
      <c r="R737" s="107">
        <v>0</v>
      </c>
      <c r="S737" s="107">
        <v>0</v>
      </c>
      <c r="T737" s="107">
        <v>0</v>
      </c>
      <c r="U737" s="107"/>
      <c r="V737" s="107"/>
      <c r="W737" s="107"/>
      <c r="X737" s="107"/>
      <c r="Y737" s="107"/>
      <c r="Z737" s="107"/>
      <c r="AA737" s="107"/>
      <c r="AB737" s="107"/>
      <c r="AC737" s="355"/>
      <c r="AD737" s="355"/>
      <c r="AE737" s="355"/>
      <c r="AF737" s="94">
        <f t="shared" si="100"/>
        <v>42034</v>
      </c>
      <c r="AG737" s="185">
        <f t="shared" si="104"/>
        <v>2.7663734893966341E-2</v>
      </c>
      <c r="AH737" s="339" t="str">
        <f>VLOOKUP(B737,'MF PF'!A:B,2)</f>
        <v>FdMgt1</v>
      </c>
      <c r="AI737" s="358">
        <f t="shared" si="101"/>
        <v>0</v>
      </c>
      <c r="AJ737" s="94">
        <f t="shared" si="102"/>
        <v>42035</v>
      </c>
    </row>
    <row r="738" spans="1:36" ht="12.75" customHeight="1">
      <c r="A738" s="94">
        <v>42062</v>
      </c>
      <c r="B738" s="94" t="s">
        <v>136</v>
      </c>
      <c r="C738" s="92" t="s">
        <v>304</v>
      </c>
      <c r="D738" s="374">
        <v>1213847.8740000001</v>
      </c>
      <c r="E738" s="9" t="e">
        <f t="shared" si="105"/>
        <v>#DIV/0!</v>
      </c>
      <c r="F738" s="98">
        <v>1.3879999999999999</v>
      </c>
      <c r="G738" s="98">
        <v>19432</v>
      </c>
      <c r="H738" s="98">
        <v>0</v>
      </c>
      <c r="I738" s="98">
        <v>0</v>
      </c>
      <c r="J738" s="98"/>
      <c r="K738" s="93"/>
      <c r="L738" s="93">
        <f t="shared" si="98"/>
        <v>19432</v>
      </c>
      <c r="M738" s="95" t="e">
        <f t="shared" ca="1" si="99"/>
        <v>#DIV/0!</v>
      </c>
      <c r="N738" s="95">
        <f>IF(P738="Hedge Fund",IF(A738=Summary!$AD$3,M738-E738,M738),IF(A738=Summary!$AD$3,L738-D738,L738))</f>
        <v>19432</v>
      </c>
      <c r="O738" s="95">
        <f t="shared" si="103"/>
        <v>19432</v>
      </c>
      <c r="P738" s="107" t="s">
        <v>155</v>
      </c>
      <c r="Q738" s="107">
        <v>0</v>
      </c>
      <c r="R738" s="107">
        <v>0</v>
      </c>
      <c r="S738" s="107">
        <v>0</v>
      </c>
      <c r="T738" s="107">
        <v>0</v>
      </c>
      <c r="U738" s="107"/>
      <c r="V738" s="107"/>
      <c r="W738" s="107"/>
      <c r="X738" s="107"/>
      <c r="Y738" s="107"/>
      <c r="Z738" s="107"/>
      <c r="AA738" s="107"/>
      <c r="AB738" s="107"/>
      <c r="AC738" s="355"/>
      <c r="AD738" s="355"/>
      <c r="AE738" s="355"/>
      <c r="AF738" s="94">
        <f t="shared" si="100"/>
        <v>42062</v>
      </c>
      <c r="AG738" s="185">
        <f t="shared" si="104"/>
        <v>6.5012544063021149E-3</v>
      </c>
      <c r="AH738" s="339" t="str">
        <f>VLOOKUP(B738,'MF PF'!A:B,2)</f>
        <v>FdMgt1</v>
      </c>
      <c r="AI738" s="358">
        <f t="shared" si="101"/>
        <v>0</v>
      </c>
      <c r="AJ738" s="94">
        <f t="shared" si="102"/>
        <v>42063</v>
      </c>
    </row>
    <row r="739" spans="1:36" ht="12.75" customHeight="1">
      <c r="A739" s="94">
        <v>42094</v>
      </c>
      <c r="B739" s="94" t="s">
        <v>136</v>
      </c>
      <c r="C739" s="358" t="s">
        <v>304</v>
      </c>
      <c r="D739" s="374">
        <v>1317230.17</v>
      </c>
      <c r="E739" s="9" t="e">
        <f t="shared" si="105"/>
        <v>#DIV/0!</v>
      </c>
      <c r="F739" s="98">
        <v>1.3879999999999999</v>
      </c>
      <c r="G739" s="98">
        <v>83280</v>
      </c>
      <c r="H739" s="98">
        <v>0</v>
      </c>
      <c r="I739" s="98">
        <v>0</v>
      </c>
      <c r="J739" s="98"/>
      <c r="K739" s="93"/>
      <c r="L739" s="93">
        <f t="shared" si="98"/>
        <v>83280</v>
      </c>
      <c r="M739" s="95" t="e">
        <f t="shared" ca="1" si="99"/>
        <v>#DIV/0!</v>
      </c>
      <c r="N739" s="95">
        <f>IF(P739="Hedge Fund",IF(A739=Summary!$AD$3,M739-E739,M739),IF(A739=Summary!$AD$3,L739-D739,L739))</f>
        <v>83280</v>
      </c>
      <c r="O739" s="95">
        <f t="shared" si="103"/>
        <v>83280</v>
      </c>
      <c r="P739" s="107" t="s">
        <v>155</v>
      </c>
      <c r="Q739" s="107">
        <v>0</v>
      </c>
      <c r="R739" s="107">
        <v>0</v>
      </c>
      <c r="S739" s="107">
        <v>0</v>
      </c>
      <c r="T739" s="107">
        <v>0</v>
      </c>
      <c r="U739" s="107"/>
      <c r="V739" s="107"/>
      <c r="W739" s="107"/>
      <c r="X739" s="107"/>
      <c r="Y739" s="107"/>
      <c r="Z739" s="107"/>
      <c r="AA739" s="107"/>
      <c r="AB739" s="107"/>
      <c r="AC739" s="355"/>
      <c r="AD739" s="355"/>
      <c r="AE739" s="355"/>
      <c r="AF739" s="94">
        <f t="shared" si="100"/>
        <v>42094</v>
      </c>
      <c r="AG739" s="185">
        <f t="shared" si="104"/>
        <v>1.6560803400970325E-2</v>
      </c>
      <c r="AH739" s="339" t="str">
        <f>VLOOKUP(B739,'MF PF'!A:B,2)</f>
        <v>FdMgt1</v>
      </c>
      <c r="AI739" s="358">
        <f t="shared" si="101"/>
        <v>0</v>
      </c>
      <c r="AJ739" s="94">
        <f t="shared" si="102"/>
        <v>42094</v>
      </c>
    </row>
    <row r="740" spans="1:36" ht="12.75" customHeight="1">
      <c r="A740" s="8">
        <v>42124</v>
      </c>
      <c r="B740" s="8" t="s">
        <v>136</v>
      </c>
      <c r="C740" s="6" t="s">
        <v>304</v>
      </c>
      <c r="D740" s="374">
        <v>1404798.632</v>
      </c>
      <c r="E740" s="9" t="e">
        <f t="shared" si="105"/>
        <v>#DIV/0!</v>
      </c>
      <c r="F740" s="47">
        <v>1.3879999999999999</v>
      </c>
      <c r="G740" s="47">
        <v>0</v>
      </c>
      <c r="H740" s="47">
        <v>0</v>
      </c>
      <c r="I740" s="47">
        <v>0</v>
      </c>
      <c r="J740" s="98"/>
      <c r="K740" s="93"/>
      <c r="L740" s="93">
        <f t="shared" si="98"/>
        <v>0</v>
      </c>
      <c r="M740" s="95" t="e">
        <f t="shared" ca="1" si="99"/>
        <v>#DIV/0!</v>
      </c>
      <c r="N740" s="95">
        <f>IF(P740="Hedge Fund",IF(A740=Summary!$AD$3,M740-E740,M740),IF(A740=Summary!$AD$3,L740-D740,L740))</f>
        <v>0</v>
      </c>
      <c r="O740" s="95">
        <f t="shared" si="103"/>
        <v>0</v>
      </c>
      <c r="P740" s="89" t="s">
        <v>155</v>
      </c>
      <c r="Q740" s="89">
        <v>0</v>
      </c>
      <c r="R740" s="89">
        <v>0</v>
      </c>
      <c r="S740" s="89">
        <v>0</v>
      </c>
      <c r="T740" s="89">
        <v>0</v>
      </c>
      <c r="U740" s="89"/>
      <c r="V740" s="89"/>
      <c r="W740" s="89"/>
      <c r="X740" s="89"/>
      <c r="Y740" s="89"/>
      <c r="Z740" s="89"/>
      <c r="AA740" s="89"/>
      <c r="AB740" s="89"/>
      <c r="AC740" s="355"/>
      <c r="AD740" s="355"/>
      <c r="AE740" s="355"/>
      <c r="AF740" s="94">
        <f t="shared" si="100"/>
        <v>42124</v>
      </c>
      <c r="AG740" s="185">
        <f t="shared" si="104"/>
        <v>6.6479241057772143E-2</v>
      </c>
      <c r="AH740" s="339" t="str">
        <f>VLOOKUP(B740,'MF PF'!A:B,2)</f>
        <v>FdMgt1</v>
      </c>
      <c r="AI740" s="358">
        <f t="shared" si="101"/>
        <v>0</v>
      </c>
      <c r="AJ740" s="94">
        <f t="shared" si="102"/>
        <v>42124</v>
      </c>
    </row>
    <row r="741" spans="1:36" ht="12.75" customHeight="1">
      <c r="A741" s="8">
        <v>42153</v>
      </c>
      <c r="B741" s="94" t="s">
        <v>136</v>
      </c>
      <c r="C741" s="6" t="s">
        <v>304</v>
      </c>
      <c r="D741" s="374">
        <v>1424749.5430000001</v>
      </c>
      <c r="E741" s="9" t="e">
        <f t="shared" si="105"/>
        <v>#DIV/0!</v>
      </c>
      <c r="F741" s="47">
        <v>1.3879999999999999</v>
      </c>
      <c r="G741" s="47">
        <v>0</v>
      </c>
      <c r="H741" s="47">
        <v>0</v>
      </c>
      <c r="I741" s="47">
        <v>0</v>
      </c>
      <c r="J741" s="98"/>
      <c r="K741" s="93"/>
      <c r="L741" s="93">
        <f t="shared" si="98"/>
        <v>0</v>
      </c>
      <c r="M741" s="95" t="e">
        <f t="shared" ca="1" si="99"/>
        <v>#DIV/0!</v>
      </c>
      <c r="N741" s="95">
        <f>IF(P741="Hedge Fund",IF(A741=Summary!$AD$3,M741-E741,M741),IF(A741=Summary!$AD$3,L741-D741,L741))</f>
        <v>0</v>
      </c>
      <c r="O741" s="95">
        <f t="shared" si="103"/>
        <v>0</v>
      </c>
      <c r="P741" s="89" t="s">
        <v>155</v>
      </c>
      <c r="Q741" s="107">
        <v>0</v>
      </c>
      <c r="R741" s="107">
        <v>0</v>
      </c>
      <c r="S741" s="89">
        <v>0</v>
      </c>
      <c r="T741" s="89">
        <v>0</v>
      </c>
      <c r="U741" s="89"/>
      <c r="V741" s="89"/>
      <c r="W741" s="89"/>
      <c r="X741" s="89"/>
      <c r="Y741" s="89"/>
      <c r="Z741" s="89"/>
      <c r="AA741" s="89"/>
      <c r="AB741" s="89"/>
      <c r="AC741" s="355"/>
      <c r="AD741" s="355"/>
      <c r="AE741" s="355"/>
      <c r="AF741" s="94">
        <f t="shared" si="100"/>
        <v>42153</v>
      </c>
      <c r="AG741" s="185">
        <f t="shared" si="104"/>
        <v>1.4201972115815753E-2</v>
      </c>
      <c r="AH741" s="339" t="str">
        <f>VLOOKUP(B741,'MF PF'!A:B,2)</f>
        <v>FdMgt1</v>
      </c>
      <c r="AI741" s="358">
        <f t="shared" si="101"/>
        <v>0</v>
      </c>
      <c r="AJ741" s="94">
        <f t="shared" si="102"/>
        <v>42155</v>
      </c>
    </row>
    <row r="742" spans="1:36" ht="12.75" customHeight="1">
      <c r="A742" s="94">
        <v>42185</v>
      </c>
      <c r="B742" s="94" t="s">
        <v>136</v>
      </c>
      <c r="C742" s="92" t="s">
        <v>304</v>
      </c>
      <c r="D742" s="374">
        <v>1410189.3064999999</v>
      </c>
      <c r="E742" s="9" t="e">
        <f t="shared" si="105"/>
        <v>#DIV/0!</v>
      </c>
      <c r="F742" s="47">
        <v>1.3879999999999999</v>
      </c>
      <c r="G742" s="47">
        <v>0</v>
      </c>
      <c r="H742" s="47">
        <v>0</v>
      </c>
      <c r="I742" s="47">
        <v>0</v>
      </c>
      <c r="J742" s="98"/>
      <c r="K742" s="93"/>
      <c r="L742" s="93">
        <f t="shared" si="98"/>
        <v>0</v>
      </c>
      <c r="M742" s="95" t="e">
        <f t="shared" ca="1" si="99"/>
        <v>#DIV/0!</v>
      </c>
      <c r="N742" s="95">
        <f>IF(P742="Hedge Fund",IF(A742=Summary!$AD$3,M742-E742,M742),IF(A742=Summary!$AD$3,L742-D742,L742))</f>
        <v>0</v>
      </c>
      <c r="O742" s="95">
        <f t="shared" si="103"/>
        <v>0</v>
      </c>
      <c r="P742" s="89" t="s">
        <v>155</v>
      </c>
      <c r="Q742" s="107">
        <v>0</v>
      </c>
      <c r="R742" s="107">
        <v>0</v>
      </c>
      <c r="S742" s="89">
        <v>0</v>
      </c>
      <c r="T742" s="89">
        <v>0</v>
      </c>
      <c r="U742" s="89"/>
      <c r="V742" s="89"/>
      <c r="W742" s="89"/>
      <c r="X742" s="89"/>
      <c r="Y742" s="89"/>
      <c r="Z742" s="89"/>
      <c r="AA742" s="89"/>
      <c r="AB742" s="89"/>
      <c r="AC742" s="355"/>
      <c r="AD742" s="355"/>
      <c r="AE742" s="355"/>
      <c r="AF742" s="94">
        <f t="shared" si="100"/>
        <v>42185</v>
      </c>
      <c r="AG742" s="185">
        <f t="shared" si="104"/>
        <v>-1.0219505997764111E-2</v>
      </c>
      <c r="AH742" s="339" t="str">
        <f>VLOOKUP(B742,'MF PF'!A:B,2)</f>
        <v>FdMgt1</v>
      </c>
      <c r="AI742" s="358">
        <f t="shared" si="101"/>
        <v>0</v>
      </c>
      <c r="AJ742" s="94">
        <f t="shared" si="102"/>
        <v>42185</v>
      </c>
    </row>
    <row r="743" spans="1:36" ht="12.75" customHeight="1">
      <c r="A743" s="8">
        <v>42216</v>
      </c>
      <c r="B743" s="94" t="s">
        <v>136</v>
      </c>
      <c r="C743" s="358" t="s">
        <v>304</v>
      </c>
      <c r="D743" s="374">
        <v>1487748.469</v>
      </c>
      <c r="E743" s="9" t="e">
        <f t="shared" si="105"/>
        <v>#DIV/0!</v>
      </c>
      <c r="F743" s="47">
        <v>1.3879999999999999</v>
      </c>
      <c r="G743" s="47">
        <v>98548</v>
      </c>
      <c r="H743" s="47">
        <v>0</v>
      </c>
      <c r="I743" s="98">
        <v>0</v>
      </c>
      <c r="J743" s="98"/>
      <c r="K743" s="93"/>
      <c r="L743" s="93">
        <f t="shared" si="98"/>
        <v>98548</v>
      </c>
      <c r="M743" s="95" t="e">
        <f t="shared" ca="1" si="99"/>
        <v>#DIV/0!</v>
      </c>
      <c r="N743" s="95">
        <f>IF(P743="Hedge Fund",IF(A743=Summary!$AD$3,M743-E743,M743),IF(A743=Summary!$AD$3,L743-D743,L743))</f>
        <v>98548</v>
      </c>
      <c r="O743" s="95">
        <f t="shared" si="103"/>
        <v>98548</v>
      </c>
      <c r="P743" s="89" t="s">
        <v>155</v>
      </c>
      <c r="Q743" s="107">
        <v>0</v>
      </c>
      <c r="R743" s="107">
        <v>0</v>
      </c>
      <c r="S743" s="89">
        <v>0</v>
      </c>
      <c r="T743" s="89">
        <v>0</v>
      </c>
      <c r="U743" s="89"/>
      <c r="V743" s="89"/>
      <c r="W743" s="89"/>
      <c r="X743" s="89"/>
      <c r="Y743" s="89"/>
      <c r="Z743" s="89"/>
      <c r="AA743" s="89"/>
      <c r="AB743" s="89"/>
      <c r="AC743" s="355"/>
      <c r="AD743" s="355"/>
      <c r="AE743" s="355"/>
      <c r="AF743" s="94">
        <f t="shared" si="100"/>
        <v>42216</v>
      </c>
      <c r="AG743" s="185">
        <f t="shared" si="104"/>
        <v>-1.4883702069825588E-2</v>
      </c>
      <c r="AH743" s="339" t="str">
        <f>VLOOKUP(B743,'MF PF'!A:B,2)</f>
        <v>FdMgt1</v>
      </c>
      <c r="AI743" s="358">
        <f t="shared" si="101"/>
        <v>0</v>
      </c>
      <c r="AJ743" s="94">
        <f t="shared" si="102"/>
        <v>42216</v>
      </c>
    </row>
    <row r="744" spans="1:36" ht="12.75" customHeight="1">
      <c r="A744" s="94">
        <v>42247</v>
      </c>
      <c r="B744" s="94" t="s">
        <v>136</v>
      </c>
      <c r="C744" s="358" t="s">
        <v>304</v>
      </c>
      <c r="D744" s="374">
        <v>1466421.5355</v>
      </c>
      <c r="E744" s="9" t="e">
        <f t="shared" si="105"/>
        <v>#DIV/0!</v>
      </c>
      <c r="F744" s="47">
        <v>1.3879999999999999</v>
      </c>
      <c r="G744" s="47">
        <v>0</v>
      </c>
      <c r="H744" s="47">
        <v>0</v>
      </c>
      <c r="I744" s="98">
        <v>0</v>
      </c>
      <c r="J744" s="98"/>
      <c r="K744" s="93"/>
      <c r="L744" s="93">
        <f t="shared" si="98"/>
        <v>0</v>
      </c>
      <c r="M744" s="95" t="e">
        <f t="shared" ca="1" si="99"/>
        <v>#DIV/0!</v>
      </c>
      <c r="N744" s="95">
        <f>IF(P744="Hedge Fund",IF(A744=Summary!$AD$3,M744-E744,M744),IF(A744=Summary!$AD$3,L744-D744,L744))</f>
        <v>0</v>
      </c>
      <c r="O744" s="95">
        <f t="shared" si="103"/>
        <v>0</v>
      </c>
      <c r="P744" s="89" t="s">
        <v>155</v>
      </c>
      <c r="Q744" s="107">
        <v>0</v>
      </c>
      <c r="R744" s="107">
        <v>0</v>
      </c>
      <c r="S744" s="89">
        <v>0</v>
      </c>
      <c r="T744" s="89">
        <v>0</v>
      </c>
      <c r="U744" s="89"/>
      <c r="V744" s="89"/>
      <c r="W744" s="89"/>
      <c r="X744" s="89"/>
      <c r="Y744" s="89"/>
      <c r="Z744" s="89"/>
      <c r="AA744" s="89"/>
      <c r="AB744" s="89"/>
      <c r="AC744" s="355"/>
      <c r="AD744" s="355"/>
      <c r="AE744" s="355"/>
      <c r="AF744" s="94">
        <f t="shared" si="100"/>
        <v>42247</v>
      </c>
      <c r="AG744" s="185">
        <f t="shared" si="104"/>
        <v>-1.4335039789578841E-2</v>
      </c>
      <c r="AH744" s="339" t="str">
        <f>VLOOKUP(B744,'MF PF'!A:B,2)</f>
        <v>FdMgt1</v>
      </c>
      <c r="AI744" s="358">
        <f t="shared" si="101"/>
        <v>0</v>
      </c>
      <c r="AJ744" s="94">
        <f t="shared" si="102"/>
        <v>42247</v>
      </c>
    </row>
    <row r="745" spans="1:36" ht="12.75" customHeight="1">
      <c r="A745" s="94">
        <v>42277</v>
      </c>
      <c r="B745" s="94" t="s">
        <v>136</v>
      </c>
      <c r="C745" s="358" t="s">
        <v>304</v>
      </c>
      <c r="D745" s="374">
        <v>1469571.304</v>
      </c>
      <c r="E745" s="9" t="e">
        <f t="shared" si="105"/>
        <v>#DIV/0!</v>
      </c>
      <c r="F745" s="47">
        <v>1.3879999999999999</v>
      </c>
      <c r="G745" s="47">
        <v>0</v>
      </c>
      <c r="H745" s="47">
        <v>0</v>
      </c>
      <c r="I745" s="47">
        <v>0</v>
      </c>
      <c r="J745" s="98"/>
      <c r="L745" s="93">
        <f t="shared" si="98"/>
        <v>0</v>
      </c>
      <c r="M745" s="95" t="e">
        <f t="shared" ca="1" si="99"/>
        <v>#DIV/0!</v>
      </c>
      <c r="N745" s="95">
        <f>IF(P745="Hedge Fund",IF(A745=Summary!$AD$3,M745-E745,M745),IF(A745=Summary!$AD$3,L745-D745,L745))</f>
        <v>0</v>
      </c>
      <c r="O745" s="95">
        <f t="shared" si="103"/>
        <v>0</v>
      </c>
      <c r="P745" s="89" t="s">
        <v>155</v>
      </c>
      <c r="Q745" s="107">
        <v>0</v>
      </c>
      <c r="R745" s="107">
        <v>0</v>
      </c>
      <c r="S745" s="89">
        <v>0</v>
      </c>
      <c r="T745" s="89">
        <v>0</v>
      </c>
      <c r="U745" s="89"/>
      <c r="V745" s="89"/>
      <c r="W745" s="89"/>
      <c r="X745" s="89"/>
      <c r="Y745" s="89"/>
      <c r="Z745" s="89"/>
      <c r="AA745" s="89"/>
      <c r="AB745" s="89"/>
      <c r="AC745" s="355"/>
      <c r="AD745" s="355"/>
      <c r="AE745" s="355"/>
      <c r="AF745" s="94">
        <f t="shared" si="100"/>
        <v>42277</v>
      </c>
      <c r="AG745" s="185">
        <f t="shared" si="104"/>
        <v>2.1479284255914166E-3</v>
      </c>
      <c r="AH745" s="339" t="str">
        <f>VLOOKUP(B745,'MF PF'!A:B,2)</f>
        <v>FdMgt1</v>
      </c>
      <c r="AI745" s="358">
        <f t="shared" si="101"/>
        <v>0</v>
      </c>
      <c r="AJ745" s="94">
        <f t="shared" si="102"/>
        <v>42277</v>
      </c>
    </row>
    <row r="746" spans="1:36" ht="12.75" customHeight="1">
      <c r="A746" s="94">
        <v>42307</v>
      </c>
      <c r="B746" s="94" t="s">
        <v>136</v>
      </c>
      <c r="C746" s="358" t="s">
        <v>304</v>
      </c>
      <c r="D746" s="374">
        <v>1506584.7834999999</v>
      </c>
      <c r="E746" s="9" t="e">
        <f t="shared" si="105"/>
        <v>#DIV/0!</v>
      </c>
      <c r="F746" s="47">
        <v>1.3879999999999999</v>
      </c>
      <c r="G746" s="47">
        <v>0</v>
      </c>
      <c r="H746" s="47">
        <v>0</v>
      </c>
      <c r="I746" s="47">
        <v>0</v>
      </c>
      <c r="J746" s="98"/>
      <c r="L746" s="93">
        <f t="shared" si="98"/>
        <v>0</v>
      </c>
      <c r="M746" s="95" t="e">
        <f t="shared" ca="1" si="99"/>
        <v>#DIV/0!</v>
      </c>
      <c r="N746" s="95">
        <f>IF(P746="Hedge Fund",IF(A746=Summary!$AD$3,M746-E746,M746),IF(A746=Summary!$AD$3,L746-D746,L746))</f>
        <v>0</v>
      </c>
      <c r="O746" s="95">
        <f t="shared" si="103"/>
        <v>0</v>
      </c>
      <c r="P746" s="89" t="s">
        <v>155</v>
      </c>
      <c r="Q746" s="107">
        <v>0</v>
      </c>
      <c r="R746" s="107">
        <v>0</v>
      </c>
      <c r="S746" s="89">
        <v>0</v>
      </c>
      <c r="T746" s="89">
        <v>0</v>
      </c>
      <c r="U746" s="89"/>
      <c r="V746" s="89"/>
      <c r="W746" s="89"/>
      <c r="X746" s="89"/>
      <c r="Y746" s="89"/>
      <c r="Z746" s="89"/>
      <c r="AA746" s="89"/>
      <c r="AB746" s="89"/>
      <c r="AC746" s="355"/>
      <c r="AD746" s="355"/>
      <c r="AE746" s="355"/>
      <c r="AF746" s="94">
        <f t="shared" si="100"/>
        <v>42307</v>
      </c>
      <c r="AG746" s="185">
        <f t="shared" si="104"/>
        <v>2.5186582916564504E-2</v>
      </c>
      <c r="AH746" s="339" t="str">
        <f>VLOOKUP(B746,'MF PF'!A:B,2)</f>
        <v>FdMgt1</v>
      </c>
      <c r="AI746" s="358">
        <f t="shared" si="101"/>
        <v>0</v>
      </c>
      <c r="AJ746" s="94">
        <f t="shared" si="102"/>
        <v>42308</v>
      </c>
    </row>
    <row r="747" spans="1:36" ht="12.75" customHeight="1">
      <c r="A747" s="94">
        <v>42338</v>
      </c>
      <c r="B747" s="94" t="s">
        <v>136</v>
      </c>
      <c r="C747" s="92" t="s">
        <v>304</v>
      </c>
      <c r="D747" s="374">
        <v>1497037.048</v>
      </c>
      <c r="E747" s="9" t="e">
        <f t="shared" si="105"/>
        <v>#DIV/0!</v>
      </c>
      <c r="F747" s="98">
        <v>1.3879999999999999</v>
      </c>
      <c r="G747" s="98">
        <v>0</v>
      </c>
      <c r="H747" s="98">
        <v>0</v>
      </c>
      <c r="I747" s="98">
        <v>0</v>
      </c>
      <c r="J747" s="98"/>
      <c r="L747" s="93">
        <f t="shared" si="98"/>
        <v>0</v>
      </c>
      <c r="M747" s="95" t="e">
        <f t="shared" ca="1" si="99"/>
        <v>#DIV/0!</v>
      </c>
      <c r="N747" s="95">
        <f>IF(P747="Hedge Fund",IF(A747=Summary!$AD$3,M747-E747,M747),IF(A747=Summary!$AD$3,L747-D747,L747))</f>
        <v>0</v>
      </c>
      <c r="O747" s="95">
        <f t="shared" si="103"/>
        <v>0</v>
      </c>
      <c r="P747" s="107" t="s">
        <v>155</v>
      </c>
      <c r="Q747" s="107">
        <v>0</v>
      </c>
      <c r="R747" s="107">
        <v>0</v>
      </c>
      <c r="S747" s="107">
        <v>0</v>
      </c>
      <c r="T747" s="107">
        <v>0</v>
      </c>
      <c r="U747" s="107"/>
      <c r="V747" s="107"/>
      <c r="W747" s="107"/>
      <c r="X747" s="107"/>
      <c r="Y747" s="107"/>
      <c r="Z747" s="107"/>
      <c r="AA747" s="107"/>
      <c r="AB747" s="107"/>
      <c r="AC747" s="355"/>
      <c r="AD747" s="355"/>
      <c r="AE747" s="355"/>
      <c r="AF747" s="94">
        <f t="shared" si="100"/>
        <v>42338</v>
      </c>
      <c r="AG747" s="185">
        <f t="shared" si="104"/>
        <v>-6.3373370052359768E-3</v>
      </c>
      <c r="AH747" s="339" t="str">
        <f>VLOOKUP(B747,'MF PF'!A:B,2)</f>
        <v>FdMgt1</v>
      </c>
      <c r="AI747" s="358">
        <f t="shared" si="101"/>
        <v>0</v>
      </c>
      <c r="AJ747" s="94">
        <f t="shared" si="102"/>
        <v>42338</v>
      </c>
    </row>
    <row r="748" spans="1:36" ht="12.75" customHeight="1">
      <c r="A748" s="8">
        <v>42369</v>
      </c>
      <c r="B748" s="8" t="s">
        <v>136</v>
      </c>
      <c r="C748" s="6" t="s">
        <v>304</v>
      </c>
      <c r="D748" s="374">
        <v>1506154.3435</v>
      </c>
      <c r="E748" s="9" t="e">
        <f t="shared" si="105"/>
        <v>#DIV/0!</v>
      </c>
      <c r="F748" s="47">
        <v>1.3879999999999999</v>
      </c>
      <c r="G748" s="47">
        <v>0</v>
      </c>
      <c r="H748" s="47">
        <v>0</v>
      </c>
      <c r="I748" s="47">
        <v>0</v>
      </c>
      <c r="J748" s="98"/>
      <c r="K748" s="93"/>
      <c r="L748" s="93">
        <f t="shared" si="98"/>
        <v>0</v>
      </c>
      <c r="M748" s="95" t="e">
        <f t="shared" ca="1" si="99"/>
        <v>#DIV/0!</v>
      </c>
      <c r="N748" s="95">
        <f>IF(P748="Hedge Fund",IF(A748=Summary!$AD$3,M748-E748,M748),IF(A748=Summary!$AD$3,L748-D748,L748))</f>
        <v>0</v>
      </c>
      <c r="O748" s="95">
        <f t="shared" si="103"/>
        <v>0</v>
      </c>
      <c r="P748" s="89" t="s">
        <v>155</v>
      </c>
      <c r="Q748" s="89">
        <v>0</v>
      </c>
      <c r="R748" s="89">
        <v>0</v>
      </c>
      <c r="S748" s="89">
        <v>0</v>
      </c>
      <c r="T748" s="89">
        <v>0</v>
      </c>
      <c r="U748" s="89"/>
      <c r="V748" s="89"/>
      <c r="W748" s="89"/>
      <c r="X748" s="89"/>
      <c r="Y748" s="89"/>
      <c r="Z748" s="89"/>
      <c r="AA748" s="89"/>
      <c r="AB748" s="89"/>
      <c r="AC748" s="355"/>
      <c r="AD748" s="355"/>
      <c r="AE748" s="355"/>
      <c r="AF748" s="94">
        <f t="shared" si="100"/>
        <v>42369</v>
      </c>
      <c r="AG748" s="185">
        <f t="shared" si="104"/>
        <v>6.0902270335796427E-3</v>
      </c>
      <c r="AH748" s="339" t="str">
        <f>VLOOKUP(B748,'MF PF'!A:B,2)</f>
        <v>FdMgt1</v>
      </c>
      <c r="AI748" s="358">
        <f t="shared" si="101"/>
        <v>0</v>
      </c>
      <c r="AJ748" s="94">
        <f t="shared" si="102"/>
        <v>42369</v>
      </c>
    </row>
    <row r="749" spans="1:36" ht="12.75" customHeight="1">
      <c r="A749" s="8">
        <v>42398</v>
      </c>
      <c r="B749" s="8" t="s">
        <v>136</v>
      </c>
      <c r="C749" s="358" t="s">
        <v>304</v>
      </c>
      <c r="D749" s="374">
        <v>1495063.858</v>
      </c>
      <c r="E749" s="9" t="e">
        <f t="shared" si="105"/>
        <v>#DIV/0!</v>
      </c>
      <c r="F749" s="47">
        <v>1.3879999999999999</v>
      </c>
      <c r="G749" s="47">
        <v>0</v>
      </c>
      <c r="H749" s="47">
        <v>0</v>
      </c>
      <c r="I749" s="47">
        <v>0</v>
      </c>
      <c r="J749" s="98"/>
      <c r="K749" s="93"/>
      <c r="L749" s="93">
        <f t="shared" si="98"/>
        <v>0</v>
      </c>
      <c r="M749" s="95" t="e">
        <f t="shared" ca="1" si="99"/>
        <v>#DIV/0!</v>
      </c>
      <c r="N749" s="95">
        <f>IF(P749="Hedge Fund",IF(A749=Summary!$AD$3,M749-E749,M749),IF(A749=Summary!$AD$3,L749-D749,L749))</f>
        <v>0</v>
      </c>
      <c r="O749" s="95">
        <f t="shared" si="103"/>
        <v>0</v>
      </c>
      <c r="P749" s="89" t="s">
        <v>155</v>
      </c>
      <c r="Q749" s="89">
        <v>0</v>
      </c>
      <c r="R749" s="89">
        <v>0</v>
      </c>
      <c r="S749" s="89">
        <v>0</v>
      </c>
      <c r="T749" s="89">
        <v>0</v>
      </c>
      <c r="U749" s="89"/>
      <c r="V749" s="89"/>
      <c r="W749" s="89"/>
      <c r="X749" s="89"/>
      <c r="Y749" s="89"/>
      <c r="Z749" s="89"/>
      <c r="AA749" s="89"/>
      <c r="AB749" s="89"/>
      <c r="AC749" s="355"/>
      <c r="AD749" s="355"/>
      <c r="AE749" s="355"/>
      <c r="AF749" s="94">
        <f t="shared" si="100"/>
        <v>42398</v>
      </c>
      <c r="AG749" s="185">
        <f t="shared" si="104"/>
        <v>-7.3634455511564223E-3</v>
      </c>
      <c r="AH749" s="339" t="str">
        <f>VLOOKUP(B749,'MF PF'!A:B,2)</f>
        <v>FdMgt1</v>
      </c>
      <c r="AI749" s="358">
        <f t="shared" si="101"/>
        <v>0</v>
      </c>
      <c r="AJ749" s="94">
        <f t="shared" si="102"/>
        <v>42400</v>
      </c>
    </row>
    <row r="750" spans="1:36" ht="12.75" customHeight="1">
      <c r="A750" s="94">
        <v>42429</v>
      </c>
      <c r="B750" s="8" t="s">
        <v>136</v>
      </c>
      <c r="C750" s="358" t="s">
        <v>304</v>
      </c>
      <c r="D750" s="374">
        <v>1517727.3145000001</v>
      </c>
      <c r="E750" s="9" t="e">
        <f t="shared" si="105"/>
        <v>#DIV/0!</v>
      </c>
      <c r="F750" s="47">
        <v>1.3879999999999999</v>
      </c>
      <c r="G750" s="47">
        <v>0</v>
      </c>
      <c r="H750" s="47">
        <v>0</v>
      </c>
      <c r="I750" s="47">
        <v>0</v>
      </c>
      <c r="J750" s="98"/>
      <c r="L750" s="93">
        <f t="shared" si="98"/>
        <v>0</v>
      </c>
      <c r="M750" s="95" t="e">
        <f t="shared" ca="1" si="99"/>
        <v>#DIV/0!</v>
      </c>
      <c r="N750" s="95">
        <f>IF(P750="Hedge Fund",IF(A750=Summary!$AD$3,M750-E750,M750),IF(A750=Summary!$AD$3,L750-D750,L750))</f>
        <v>0</v>
      </c>
      <c r="O750" s="95">
        <f t="shared" si="103"/>
        <v>0</v>
      </c>
      <c r="P750" s="89" t="s">
        <v>155</v>
      </c>
      <c r="Q750" s="89">
        <v>0</v>
      </c>
      <c r="R750" s="89">
        <v>0</v>
      </c>
      <c r="S750" s="89">
        <v>0</v>
      </c>
      <c r="T750" s="89">
        <v>0</v>
      </c>
      <c r="U750" s="89"/>
      <c r="V750" s="89"/>
      <c r="W750" s="89"/>
      <c r="X750" s="89"/>
      <c r="Y750" s="89"/>
      <c r="Z750" s="89"/>
      <c r="AA750" s="89"/>
      <c r="AB750" s="89"/>
      <c r="AC750" s="355"/>
      <c r="AD750" s="355"/>
      <c r="AE750" s="355"/>
      <c r="AF750" s="94">
        <f t="shared" si="100"/>
        <v>42429</v>
      </c>
      <c r="AG750" s="185">
        <f t="shared" si="104"/>
        <v>1.5158855174465691E-2</v>
      </c>
      <c r="AH750" s="339" t="str">
        <f>VLOOKUP(B750,'MF PF'!A:B,2)</f>
        <v>FdMgt1</v>
      </c>
      <c r="AI750" s="358">
        <f t="shared" si="101"/>
        <v>0</v>
      </c>
      <c r="AJ750" s="94">
        <f t="shared" si="102"/>
        <v>42429</v>
      </c>
    </row>
    <row r="751" spans="1:36" ht="12.75" customHeight="1">
      <c r="A751" s="8">
        <v>42460</v>
      </c>
      <c r="B751" s="8" t="s">
        <v>136</v>
      </c>
      <c r="C751" s="358" t="s">
        <v>304</v>
      </c>
      <c r="D751" s="374">
        <v>1535606.8095</v>
      </c>
      <c r="E751" s="9" t="e">
        <f t="shared" si="105"/>
        <v>#DIV/0!</v>
      </c>
      <c r="F751" s="47">
        <v>1.3879999999999999</v>
      </c>
      <c r="G751" s="47">
        <v>0</v>
      </c>
      <c r="H751" s="47">
        <v>-2.3283064365386963E-10</v>
      </c>
      <c r="I751" s="47">
        <v>0</v>
      </c>
      <c r="J751" s="98"/>
      <c r="K751" s="93"/>
      <c r="L751" s="93">
        <f t="shared" si="98"/>
        <v>-2.3283064365386963E-10</v>
      </c>
      <c r="M751" s="95" t="e">
        <f t="shared" ca="1" si="99"/>
        <v>#DIV/0!</v>
      </c>
      <c r="N751" s="95">
        <f>IF(P751="Hedge Fund",IF(A751=Summary!$AD$3,M751-E751,M751),IF(A751=Summary!$AD$3,L751-D751,L751))</f>
        <v>-2.3283064365386963E-10</v>
      </c>
      <c r="O751" s="95">
        <f t="shared" si="103"/>
        <v>-2.3283064365386963E-10</v>
      </c>
      <c r="P751" s="89" t="s">
        <v>155</v>
      </c>
      <c r="Q751" s="107">
        <v>0</v>
      </c>
      <c r="R751" s="107">
        <v>0</v>
      </c>
      <c r="S751" s="89">
        <v>0</v>
      </c>
      <c r="T751" s="89">
        <v>0</v>
      </c>
      <c r="U751" s="89"/>
      <c r="V751" s="89"/>
      <c r="W751" s="89"/>
      <c r="X751" s="89"/>
      <c r="Y751" s="89"/>
      <c r="Z751" s="89"/>
      <c r="AA751" s="89"/>
      <c r="AB751" s="89"/>
      <c r="AC751" s="355"/>
      <c r="AD751" s="355"/>
      <c r="AE751" s="355"/>
      <c r="AF751" s="94">
        <f t="shared" si="100"/>
        <v>42460</v>
      </c>
      <c r="AG751" s="185">
        <f t="shared" si="104"/>
        <v>1.1780439627846029E-2</v>
      </c>
      <c r="AH751" s="339" t="str">
        <f>VLOOKUP(B751,'MF PF'!A:B,2)</f>
        <v>FdMgt1</v>
      </c>
      <c r="AI751" s="358">
        <f t="shared" si="101"/>
        <v>0</v>
      </c>
      <c r="AJ751" s="94">
        <f t="shared" si="102"/>
        <v>42460</v>
      </c>
    </row>
    <row r="752" spans="1:36" ht="12.75" customHeight="1">
      <c r="A752" s="8">
        <v>42489</v>
      </c>
      <c r="B752" s="94" t="s">
        <v>136</v>
      </c>
      <c r="C752" s="358" t="s">
        <v>304</v>
      </c>
      <c r="D752" s="374">
        <v>1561607.4</v>
      </c>
      <c r="E752" s="9" t="e">
        <f t="shared" si="105"/>
        <v>#DIV/0!</v>
      </c>
      <c r="F752" s="47">
        <v>1.3879999999999999</v>
      </c>
      <c r="G752" s="47">
        <v>0</v>
      </c>
      <c r="H752" s="47">
        <v>0</v>
      </c>
      <c r="I752" s="47">
        <v>0</v>
      </c>
      <c r="J752" s="98"/>
      <c r="L752" s="93">
        <f t="shared" si="98"/>
        <v>0</v>
      </c>
      <c r="M752" s="95" t="e">
        <f t="shared" ca="1" si="99"/>
        <v>#DIV/0!</v>
      </c>
      <c r="N752" s="95">
        <f>IF(P752="Hedge Fund",IF(A752=Summary!$AD$3,M752-E752,M752),IF(A752=Summary!$AD$3,L752-D752,L752))</f>
        <v>0</v>
      </c>
      <c r="O752" s="95">
        <f t="shared" si="103"/>
        <v>0</v>
      </c>
      <c r="P752" s="89" t="s">
        <v>155</v>
      </c>
      <c r="Q752" s="107">
        <v>0</v>
      </c>
      <c r="R752" s="107">
        <v>0</v>
      </c>
      <c r="S752" s="89">
        <v>0</v>
      </c>
      <c r="T752" s="89">
        <v>0</v>
      </c>
      <c r="U752" s="89"/>
      <c r="V752" s="89"/>
      <c r="W752" s="89"/>
      <c r="X752" s="89"/>
      <c r="Y752" s="89"/>
      <c r="Z752" s="89"/>
      <c r="AA752" s="89"/>
      <c r="AB752" s="89"/>
      <c r="AC752" s="355"/>
      <c r="AD752" s="355"/>
      <c r="AE752" s="355"/>
      <c r="AF752" s="94">
        <f t="shared" si="100"/>
        <v>42489</v>
      </c>
      <c r="AG752" s="185">
        <f t="shared" si="104"/>
        <v>1.6931802033663734E-2</v>
      </c>
      <c r="AH752" s="339" t="str">
        <f>VLOOKUP(B752,'MF PF'!A:B,2)</f>
        <v>FdMgt1</v>
      </c>
      <c r="AI752" s="358">
        <f t="shared" si="101"/>
        <v>0</v>
      </c>
      <c r="AJ752" s="94">
        <f t="shared" si="102"/>
        <v>42490</v>
      </c>
    </row>
    <row r="753" spans="1:36" ht="12.75" customHeight="1">
      <c r="A753" s="8">
        <v>42521</v>
      </c>
      <c r="B753" s="94" t="s">
        <v>136</v>
      </c>
      <c r="C753" s="358" t="s">
        <v>304</v>
      </c>
      <c r="D753" s="374">
        <v>1595990.852</v>
      </c>
      <c r="E753" s="9" t="e">
        <f t="shared" si="105"/>
        <v>#DIV/0!</v>
      </c>
      <c r="F753" s="47">
        <v>1.3879999999999999</v>
      </c>
      <c r="G753" s="47">
        <v>0</v>
      </c>
      <c r="H753" s="47">
        <v>0</v>
      </c>
      <c r="I753" s="98">
        <v>0</v>
      </c>
      <c r="J753" s="98"/>
      <c r="K753" s="93"/>
      <c r="L753" s="93">
        <f t="shared" si="98"/>
        <v>0</v>
      </c>
      <c r="M753" s="95" t="e">
        <f t="shared" ca="1" si="99"/>
        <v>#DIV/0!</v>
      </c>
      <c r="N753" s="95">
        <f>IF(P753="Hedge Fund",IF(A753=Summary!$AD$3,M753-E753,M753),IF(A753=Summary!$AD$3,L753-D753,L753))</f>
        <v>0</v>
      </c>
      <c r="O753" s="95">
        <f t="shared" si="103"/>
        <v>0</v>
      </c>
      <c r="P753" s="89" t="s">
        <v>155</v>
      </c>
      <c r="Q753" s="107">
        <v>0</v>
      </c>
      <c r="R753" s="107">
        <v>0</v>
      </c>
      <c r="S753" s="89">
        <v>0</v>
      </c>
      <c r="T753" s="89">
        <v>0</v>
      </c>
      <c r="U753" s="89"/>
      <c r="V753" s="89"/>
      <c r="W753" s="89"/>
      <c r="X753" s="89"/>
      <c r="Y753" s="89"/>
      <c r="Z753" s="89"/>
      <c r="AA753" s="89"/>
      <c r="AB753" s="89"/>
      <c r="AC753" s="355"/>
      <c r="AD753" s="355"/>
      <c r="AE753" s="355"/>
      <c r="AF753" s="94">
        <f t="shared" si="100"/>
        <v>42521</v>
      </c>
      <c r="AG753" s="185">
        <f t="shared" si="104"/>
        <v>2.2017987363533331E-2</v>
      </c>
      <c r="AH753" s="339" t="str">
        <f>VLOOKUP(B753,'MF PF'!A:B,2)</f>
        <v>FdMgt1</v>
      </c>
      <c r="AI753" s="358">
        <f t="shared" si="101"/>
        <v>0</v>
      </c>
      <c r="AJ753" s="94">
        <f t="shared" si="102"/>
        <v>42521</v>
      </c>
    </row>
    <row r="754" spans="1:36" ht="12.75" customHeight="1">
      <c r="A754" s="94">
        <v>42551</v>
      </c>
      <c r="B754" s="94" t="s">
        <v>136</v>
      </c>
      <c r="C754" s="358" t="s">
        <v>304</v>
      </c>
      <c r="D754" s="374">
        <v>1631030.6059999999</v>
      </c>
      <c r="E754" s="9" t="e">
        <f t="shared" si="105"/>
        <v>#DIV/0!</v>
      </c>
      <c r="F754" s="47">
        <v>1.3879999999999999</v>
      </c>
      <c r="G754" s="47">
        <v>0</v>
      </c>
      <c r="H754" s="47">
        <v>0</v>
      </c>
      <c r="I754" s="98">
        <v>0</v>
      </c>
      <c r="J754" s="98"/>
      <c r="K754" s="93"/>
      <c r="L754" s="93">
        <f t="shared" si="98"/>
        <v>0</v>
      </c>
      <c r="M754" s="95" t="e">
        <f t="shared" ca="1" si="99"/>
        <v>#DIV/0!</v>
      </c>
      <c r="N754" s="95">
        <f>IF(P754="Hedge Fund",IF(A754=Summary!$AD$3,M754-E754,M754),IF(A754=Summary!$AD$3,L754-D754,L754))</f>
        <v>0</v>
      </c>
      <c r="O754" s="95">
        <f t="shared" si="103"/>
        <v>0</v>
      </c>
      <c r="P754" s="89" t="s">
        <v>155</v>
      </c>
      <c r="Q754" s="107">
        <v>0</v>
      </c>
      <c r="R754" s="107">
        <v>0</v>
      </c>
      <c r="S754" s="89">
        <v>0</v>
      </c>
      <c r="T754" s="89">
        <v>0</v>
      </c>
      <c r="U754" s="89"/>
      <c r="V754" s="89"/>
      <c r="W754" s="89"/>
      <c r="X754" s="89"/>
      <c r="Y754" s="89"/>
      <c r="Z754" s="89"/>
      <c r="AA754" s="89"/>
      <c r="AB754" s="89"/>
      <c r="AC754" s="355"/>
      <c r="AD754" s="355"/>
      <c r="AE754" s="355"/>
      <c r="AF754" s="94">
        <f t="shared" si="100"/>
        <v>42551</v>
      </c>
      <c r="AG754" s="185">
        <f t="shared" si="104"/>
        <v>2.1954858924216447E-2</v>
      </c>
      <c r="AH754" s="339" t="str">
        <f>VLOOKUP(B754,'MF PF'!A:B,2)</f>
        <v>FdMgt1</v>
      </c>
      <c r="AI754" s="358">
        <f t="shared" si="101"/>
        <v>0</v>
      </c>
      <c r="AJ754" s="94">
        <f t="shared" si="102"/>
        <v>42551</v>
      </c>
    </row>
    <row r="755" spans="1:36" ht="12.75" customHeight="1">
      <c r="A755" s="94">
        <v>42580</v>
      </c>
      <c r="B755" s="94" t="s">
        <v>136</v>
      </c>
      <c r="C755" s="358" t="s">
        <v>304</v>
      </c>
      <c r="D755" s="374">
        <v>1656591.1854999999</v>
      </c>
      <c r="E755" s="9" t="e">
        <f t="shared" si="105"/>
        <v>#DIV/0!</v>
      </c>
      <c r="F755" s="47">
        <v>1.3879999999999999</v>
      </c>
      <c r="G755" s="47">
        <v>0</v>
      </c>
      <c r="H755" s="47">
        <v>0</v>
      </c>
      <c r="I755" s="98">
        <v>0</v>
      </c>
      <c r="J755" s="98"/>
      <c r="K755" s="93"/>
      <c r="L755" s="93">
        <f t="shared" si="98"/>
        <v>0</v>
      </c>
      <c r="M755" s="95" t="e">
        <f t="shared" ca="1" si="99"/>
        <v>#DIV/0!</v>
      </c>
      <c r="N755" s="95">
        <f>IF(P755="Hedge Fund",IF(A755=Summary!$AD$3,M755-E755,M755),IF(A755=Summary!$AD$3,L755-D755,L755))</f>
        <v>0</v>
      </c>
      <c r="O755" s="95">
        <f t="shared" si="103"/>
        <v>0</v>
      </c>
      <c r="P755" s="89" t="s">
        <v>155</v>
      </c>
      <c r="Q755" s="107">
        <v>0</v>
      </c>
      <c r="R755" s="107">
        <v>0</v>
      </c>
      <c r="S755" s="89">
        <v>0</v>
      </c>
      <c r="T755" s="89">
        <v>0</v>
      </c>
      <c r="U755" s="89"/>
      <c r="V755" s="89"/>
      <c r="W755" s="89"/>
      <c r="X755" s="89"/>
      <c r="Y755" s="89"/>
      <c r="Z755" s="89"/>
      <c r="AA755" s="89"/>
      <c r="AB755" s="89"/>
      <c r="AC755" s="355"/>
      <c r="AD755" s="355"/>
      <c r="AE755" s="355"/>
      <c r="AF755" s="94">
        <f t="shared" si="100"/>
        <v>42580</v>
      </c>
      <c r="AG755" s="185">
        <f t="shared" si="104"/>
        <v>1.5671428485750871E-2</v>
      </c>
      <c r="AH755" s="339" t="str">
        <f>VLOOKUP(B755,'MF PF'!A:B,2)</f>
        <v>FdMgt1</v>
      </c>
      <c r="AI755" s="358">
        <f t="shared" si="101"/>
        <v>0</v>
      </c>
      <c r="AJ755" s="94">
        <f t="shared" si="102"/>
        <v>42582</v>
      </c>
    </row>
    <row r="756" spans="1:36" ht="12.75" customHeight="1">
      <c r="A756" s="94">
        <v>42613</v>
      </c>
      <c r="B756" s="94" t="s">
        <v>136</v>
      </c>
      <c r="C756" s="358" t="s">
        <v>304</v>
      </c>
      <c r="D756" s="374">
        <v>1652188.7975000001</v>
      </c>
      <c r="E756" s="9" t="e">
        <f t="shared" ref="E756:E778" si="106">D756/K756</f>
        <v>#DIV/0!</v>
      </c>
      <c r="F756" s="47">
        <v>1.3879999999999999</v>
      </c>
      <c r="G756" s="47">
        <v>0</v>
      </c>
      <c r="H756" s="47">
        <v>0</v>
      </c>
      <c r="I756" s="98">
        <v>0</v>
      </c>
      <c r="J756" s="98"/>
      <c r="K756" s="93"/>
      <c r="L756" s="93">
        <f t="shared" si="98"/>
        <v>0</v>
      </c>
      <c r="M756" s="95" t="e">
        <f t="shared" ca="1" si="99"/>
        <v>#DIV/0!</v>
      </c>
      <c r="N756" s="95">
        <f>IF(P756="Hedge Fund",IF(A756=Summary!$AD$3,M756-E756,M756),IF(A756=Summary!$AD$3,L756-D756,L756))</f>
        <v>0</v>
      </c>
      <c r="O756" s="95">
        <f t="shared" si="103"/>
        <v>0</v>
      </c>
      <c r="P756" s="89" t="s">
        <v>155</v>
      </c>
      <c r="Q756" s="107">
        <v>0</v>
      </c>
      <c r="R756" s="107">
        <v>0</v>
      </c>
      <c r="S756" s="89">
        <v>0</v>
      </c>
      <c r="T756" s="89">
        <v>0</v>
      </c>
      <c r="U756" s="89"/>
      <c r="V756" s="89"/>
      <c r="W756" s="89"/>
      <c r="X756" s="89"/>
      <c r="Y756" s="89"/>
      <c r="Z756" s="89"/>
      <c r="AA756" s="89"/>
      <c r="AB756" s="89"/>
      <c r="AC756" s="355"/>
      <c r="AD756" s="355"/>
      <c r="AE756" s="355"/>
      <c r="AF756" s="94">
        <f t="shared" si="100"/>
        <v>42613</v>
      </c>
      <c r="AG756" s="185">
        <f t="shared" si="104"/>
        <v>-2.657498143497028E-3</v>
      </c>
      <c r="AH756" s="339" t="str">
        <f>VLOOKUP(B756,'MF PF'!A:B,2)</f>
        <v>FdMgt1</v>
      </c>
      <c r="AI756" s="358">
        <f t="shared" si="101"/>
        <v>0</v>
      </c>
      <c r="AJ756" s="94">
        <f t="shared" si="102"/>
        <v>42613</v>
      </c>
    </row>
    <row r="757" spans="1:36" ht="12.75" customHeight="1">
      <c r="A757" s="8">
        <v>42643</v>
      </c>
      <c r="B757" s="94" t="s">
        <v>136</v>
      </c>
      <c r="C757" s="358" t="s">
        <v>304</v>
      </c>
      <c r="D757" s="374">
        <v>1705542.4475</v>
      </c>
      <c r="E757" s="9" t="e">
        <f t="shared" si="106"/>
        <v>#DIV/0!</v>
      </c>
      <c r="F757" s="47">
        <v>1.3879999999999999</v>
      </c>
      <c r="G757" s="47">
        <v>0</v>
      </c>
      <c r="H757" s="47">
        <v>0</v>
      </c>
      <c r="I757" s="98">
        <v>0</v>
      </c>
      <c r="J757" s="98"/>
      <c r="K757" s="93"/>
      <c r="L757" s="93">
        <f t="shared" si="98"/>
        <v>0</v>
      </c>
      <c r="M757" s="95" t="e">
        <f t="shared" ca="1" si="99"/>
        <v>#DIV/0!</v>
      </c>
      <c r="N757" s="95">
        <f>IF(P757="Hedge Fund",IF(A757=Summary!$AD$3,M757-E757,M757),IF(A757=Summary!$AD$3,L757-D757,L757))</f>
        <v>0</v>
      </c>
      <c r="O757" s="95">
        <f t="shared" si="103"/>
        <v>0</v>
      </c>
      <c r="P757" s="89" t="s">
        <v>155</v>
      </c>
      <c r="Q757" s="107">
        <v>0</v>
      </c>
      <c r="R757" s="107">
        <v>0</v>
      </c>
      <c r="S757" s="89">
        <v>0</v>
      </c>
      <c r="T757" s="89">
        <v>0</v>
      </c>
      <c r="U757" s="89"/>
      <c r="V757" s="89"/>
      <c r="W757" s="89"/>
      <c r="X757" s="89"/>
      <c r="Y757" s="89"/>
      <c r="Z757" s="89"/>
      <c r="AA757" s="89"/>
      <c r="AB757" s="89"/>
      <c r="AC757" s="355"/>
      <c r="AD757" s="355"/>
      <c r="AE757" s="355"/>
      <c r="AF757" s="94">
        <f t="shared" si="100"/>
        <v>42643</v>
      </c>
      <c r="AG757" s="185">
        <f t="shared" si="104"/>
        <v>3.2292707758781347E-2</v>
      </c>
      <c r="AH757" s="339" t="str">
        <f>VLOOKUP(B757,'MF PF'!A:B,2)</f>
        <v>FdMgt1</v>
      </c>
      <c r="AI757" s="358">
        <f t="shared" si="101"/>
        <v>0</v>
      </c>
      <c r="AJ757" s="94">
        <f t="shared" si="102"/>
        <v>42643</v>
      </c>
    </row>
    <row r="758" spans="1:36" ht="12.75" customHeight="1">
      <c r="A758" s="8">
        <v>42674</v>
      </c>
      <c r="B758" s="94" t="s">
        <v>136</v>
      </c>
      <c r="C758" s="358" t="s">
        <v>304</v>
      </c>
      <c r="D758" s="374">
        <v>1757509.6880000001</v>
      </c>
      <c r="E758" s="9" t="e">
        <f t="shared" si="106"/>
        <v>#DIV/0!</v>
      </c>
      <c r="F758" s="98">
        <v>1.3879999999999999</v>
      </c>
      <c r="G758" s="98">
        <v>0</v>
      </c>
      <c r="H758" s="98">
        <v>-2.3283064365386963E-10</v>
      </c>
      <c r="I758" s="98">
        <v>0</v>
      </c>
      <c r="J758" s="98"/>
      <c r="K758" s="93"/>
      <c r="L758" s="93">
        <f t="shared" si="98"/>
        <v>-2.3283064365386963E-10</v>
      </c>
      <c r="M758" s="95" t="e">
        <f t="shared" ca="1" si="99"/>
        <v>#DIV/0!</v>
      </c>
      <c r="N758" s="95">
        <f>IF(P758="Hedge Fund",IF(A758=Summary!$AD$3,M758-E758,M758),IF(A758=Summary!$AD$3,L758-D758,L758))</f>
        <v>-2.3283064365386963E-10</v>
      </c>
      <c r="O758" s="95">
        <f t="shared" si="103"/>
        <v>-2.3283064365386963E-10</v>
      </c>
      <c r="P758" s="107" t="s">
        <v>155</v>
      </c>
      <c r="Q758" s="107">
        <v>0</v>
      </c>
      <c r="R758" s="107">
        <v>0</v>
      </c>
      <c r="S758" s="107">
        <v>0</v>
      </c>
      <c r="T758" s="107">
        <v>0</v>
      </c>
      <c r="U758" s="107"/>
      <c r="V758" s="107"/>
      <c r="W758" s="107"/>
      <c r="X758" s="107"/>
      <c r="Y758" s="107"/>
      <c r="Z758" s="107"/>
      <c r="AA758" s="107"/>
      <c r="AB758" s="107"/>
      <c r="AC758" s="355"/>
      <c r="AD758" s="355"/>
      <c r="AE758" s="355"/>
      <c r="AF758" s="94">
        <f t="shared" si="100"/>
        <v>42674</v>
      </c>
      <c r="AG758" s="185">
        <f t="shared" si="104"/>
        <v>3.0469625998563954E-2</v>
      </c>
      <c r="AH758" s="339" t="str">
        <f>VLOOKUP(B758,'MF PF'!A:B,2)</f>
        <v>FdMgt1</v>
      </c>
      <c r="AI758" s="358">
        <f t="shared" si="101"/>
        <v>0</v>
      </c>
      <c r="AJ758" s="94">
        <f t="shared" si="102"/>
        <v>42674</v>
      </c>
    </row>
    <row r="759" spans="1:36" ht="12.75" customHeight="1">
      <c r="A759" s="94">
        <v>42704</v>
      </c>
      <c r="B759" s="94" t="s">
        <v>136</v>
      </c>
      <c r="C759" s="358" t="s">
        <v>304</v>
      </c>
      <c r="D759" s="374">
        <v>1765985.2675000001</v>
      </c>
      <c r="E759" s="9" t="e">
        <f t="shared" si="106"/>
        <v>#DIV/0!</v>
      </c>
      <c r="F759" s="98">
        <v>1.3879999999999999</v>
      </c>
      <c r="G759" s="98">
        <v>0</v>
      </c>
      <c r="H759" s="98">
        <v>0</v>
      </c>
      <c r="I759" s="98">
        <v>0</v>
      </c>
      <c r="J759" s="98"/>
      <c r="L759" s="93">
        <f t="shared" si="98"/>
        <v>0</v>
      </c>
      <c r="M759" s="95" t="e">
        <f t="shared" ca="1" si="99"/>
        <v>#DIV/0!</v>
      </c>
      <c r="N759" s="95">
        <f>IF(P759="Hedge Fund",IF(A759=Summary!$AD$3,M759-E759,M759),IF(A759=Summary!$AD$3,L759-D759,L759))</f>
        <v>0</v>
      </c>
      <c r="O759" s="95">
        <f t="shared" si="103"/>
        <v>0</v>
      </c>
      <c r="P759" s="107" t="s">
        <v>155</v>
      </c>
      <c r="Q759" s="107">
        <v>0</v>
      </c>
      <c r="R759" s="107">
        <v>0</v>
      </c>
      <c r="S759" s="107">
        <v>0</v>
      </c>
      <c r="T759" s="107">
        <v>0</v>
      </c>
      <c r="U759" s="107"/>
      <c r="V759" s="107"/>
      <c r="W759" s="107"/>
      <c r="X759" s="107"/>
      <c r="Y759" s="107"/>
      <c r="Z759" s="107"/>
      <c r="AA759" s="107"/>
      <c r="AB759" s="107"/>
      <c r="AC759" s="355"/>
      <c r="AD759" s="355"/>
      <c r="AE759" s="355"/>
      <c r="AF759" s="94">
        <f t="shared" si="100"/>
        <v>42704</v>
      </c>
      <c r="AG759" s="185">
        <f t="shared" si="104"/>
        <v>4.8224937579974814E-3</v>
      </c>
      <c r="AH759" s="339" t="str">
        <f>VLOOKUP(B759,'MF PF'!A:B,2)</f>
        <v>FdMgt1</v>
      </c>
      <c r="AI759" s="358">
        <f t="shared" si="101"/>
        <v>0</v>
      </c>
      <c r="AJ759" s="94">
        <f t="shared" si="102"/>
        <v>42704</v>
      </c>
    </row>
    <row r="760" spans="1:36" ht="12.75" customHeight="1">
      <c r="A760" s="94">
        <v>42734</v>
      </c>
      <c r="B760" s="94" t="s">
        <v>136</v>
      </c>
      <c r="C760" s="358" t="s">
        <v>304</v>
      </c>
      <c r="D760" s="374">
        <v>1749611.1735</v>
      </c>
      <c r="E760" s="9" t="e">
        <f t="shared" si="106"/>
        <v>#DIV/0!</v>
      </c>
      <c r="F760" s="98">
        <v>1.3879999999999999</v>
      </c>
      <c r="G760" s="98">
        <v>0</v>
      </c>
      <c r="H760" s="98">
        <v>0</v>
      </c>
      <c r="I760" s="98">
        <v>0</v>
      </c>
      <c r="J760" s="98"/>
      <c r="L760" s="93">
        <f t="shared" si="98"/>
        <v>0</v>
      </c>
      <c r="M760" s="95" t="e">
        <f t="shared" ca="1" si="99"/>
        <v>#DIV/0!</v>
      </c>
      <c r="N760" s="95">
        <f>IF(P760="Hedge Fund",IF(A760=Summary!$AD$3,M760-E760,M760),IF(A760=Summary!$AD$3,L760-D760,L760))</f>
        <v>0</v>
      </c>
      <c r="O760" s="95">
        <f t="shared" si="103"/>
        <v>0</v>
      </c>
      <c r="P760" s="107" t="s">
        <v>155</v>
      </c>
      <c r="Q760" s="107">
        <v>0</v>
      </c>
      <c r="R760" s="107">
        <v>0</v>
      </c>
      <c r="S760" s="107">
        <v>0</v>
      </c>
      <c r="T760" s="107">
        <v>0</v>
      </c>
      <c r="U760" s="107"/>
      <c r="V760" s="107"/>
      <c r="W760" s="107"/>
      <c r="X760" s="107"/>
      <c r="Y760" s="107"/>
      <c r="Z760" s="107"/>
      <c r="AA760" s="107"/>
      <c r="AB760" s="107"/>
      <c r="AC760" s="355"/>
      <c r="AD760" s="355"/>
      <c r="AE760" s="355"/>
      <c r="AF760" s="94">
        <f t="shared" si="100"/>
        <v>42734</v>
      </c>
      <c r="AG760" s="185">
        <f t="shared" si="104"/>
        <v>-9.2719312563575018E-3</v>
      </c>
      <c r="AH760" s="339" t="str">
        <f>VLOOKUP(B760,'MF PF'!A:B,2)</f>
        <v>FdMgt1</v>
      </c>
      <c r="AI760" s="358">
        <f t="shared" si="101"/>
        <v>0</v>
      </c>
      <c r="AJ760" s="94">
        <f t="shared" si="102"/>
        <v>42735</v>
      </c>
    </row>
    <row r="761" spans="1:36" ht="12.75" customHeight="1">
      <c r="A761" s="94">
        <v>42762</v>
      </c>
      <c r="B761" s="94" t="s">
        <v>136</v>
      </c>
      <c r="C761" s="358" t="s">
        <v>304</v>
      </c>
      <c r="D761" s="374">
        <v>1776669.1044999999</v>
      </c>
      <c r="E761" s="95" t="e">
        <f t="shared" si="106"/>
        <v>#DIV/0!</v>
      </c>
      <c r="F761" s="98">
        <v>1.3879999999999999</v>
      </c>
      <c r="G761" s="98">
        <v>0</v>
      </c>
      <c r="H761" s="98">
        <v>-2.3283064365386963E-10</v>
      </c>
      <c r="I761" s="98">
        <v>0</v>
      </c>
      <c r="J761" s="98"/>
      <c r="K761" s="93"/>
      <c r="L761" s="93">
        <f t="shared" si="98"/>
        <v>-2.3283064365386963E-10</v>
      </c>
      <c r="M761" s="95" t="e">
        <f t="shared" ca="1" si="99"/>
        <v>#DIV/0!</v>
      </c>
      <c r="N761" s="95">
        <f>IF(P761="Hedge Fund",IF(A761=Summary!$AD$3,M761-E761,M761),IF(A761=Summary!$AD$3,L761-D761,L761))</f>
        <v>-2.3283064365386963E-10</v>
      </c>
      <c r="O761" s="95">
        <f t="shared" si="103"/>
        <v>-2.3283064365386963E-10</v>
      </c>
      <c r="P761" s="107" t="s">
        <v>155</v>
      </c>
      <c r="Q761" s="107">
        <v>0</v>
      </c>
      <c r="R761" s="107">
        <v>0</v>
      </c>
      <c r="S761" s="107">
        <v>0</v>
      </c>
      <c r="T761" s="107">
        <v>0</v>
      </c>
      <c r="U761" s="107"/>
      <c r="V761" s="107"/>
      <c r="W761" s="107"/>
      <c r="X761" s="107"/>
      <c r="Y761" s="107"/>
      <c r="Z761" s="107"/>
      <c r="AA761" s="107"/>
      <c r="AB761" s="107"/>
      <c r="AC761" s="355"/>
      <c r="AD761" s="355"/>
      <c r="AE761" s="355"/>
      <c r="AF761" s="94">
        <f t="shared" si="100"/>
        <v>42762</v>
      </c>
      <c r="AG761" s="185">
        <f t="shared" si="104"/>
        <v>1.5465110997132214E-2</v>
      </c>
      <c r="AH761" s="339" t="str">
        <f>VLOOKUP(B761,'MF PF'!A:B,2)</f>
        <v>FdMgt1</v>
      </c>
      <c r="AI761" s="358">
        <f t="shared" si="101"/>
        <v>0</v>
      </c>
      <c r="AJ761" s="94">
        <f t="shared" si="102"/>
        <v>42766</v>
      </c>
    </row>
    <row r="762" spans="1:36" ht="12.75" customHeight="1">
      <c r="A762" s="8">
        <v>42794</v>
      </c>
      <c r="B762" s="94" t="s">
        <v>136</v>
      </c>
      <c r="C762" s="358" t="s">
        <v>304</v>
      </c>
      <c r="D762" s="374">
        <v>1846777.861</v>
      </c>
      <c r="E762" s="9" t="e">
        <f t="shared" si="106"/>
        <v>#DIV/0!</v>
      </c>
      <c r="F762" s="98">
        <v>1.3879999999999999</v>
      </c>
      <c r="G762" s="98">
        <v>0</v>
      </c>
      <c r="H762" s="98">
        <v>0</v>
      </c>
      <c r="I762" s="98">
        <v>0</v>
      </c>
      <c r="J762" s="98"/>
      <c r="L762" s="93">
        <f t="shared" si="98"/>
        <v>0</v>
      </c>
      <c r="M762" s="95" t="e">
        <f t="shared" ca="1" si="99"/>
        <v>#DIV/0!</v>
      </c>
      <c r="N762" s="95">
        <f>IF(P762="Hedge Fund",IF(A762=Summary!$AD$3,M762-E762,M762),IF(A762=Summary!$AD$3,L762-D762,L762))</f>
        <v>0</v>
      </c>
      <c r="O762" s="95">
        <f t="shared" si="103"/>
        <v>0</v>
      </c>
      <c r="P762" s="107" t="s">
        <v>155</v>
      </c>
      <c r="Q762" s="107">
        <v>0</v>
      </c>
      <c r="R762" s="107">
        <v>0</v>
      </c>
      <c r="S762" s="107">
        <v>0</v>
      </c>
      <c r="T762" s="107">
        <v>0</v>
      </c>
      <c r="U762" s="107"/>
      <c r="V762" s="107"/>
      <c r="W762" s="107"/>
      <c r="X762" s="107"/>
      <c r="Y762" s="107"/>
      <c r="Z762" s="107"/>
      <c r="AA762" s="107"/>
      <c r="AB762" s="107"/>
      <c r="AC762" s="355"/>
      <c r="AD762" s="355"/>
      <c r="AE762" s="355"/>
      <c r="AF762" s="94">
        <f t="shared" si="100"/>
        <v>42794</v>
      </c>
      <c r="AG762" s="185">
        <f t="shared" si="104"/>
        <v>3.9460784409672378E-2</v>
      </c>
      <c r="AH762" s="339" t="str">
        <f>VLOOKUP(B762,'MF PF'!A:B,2)</f>
        <v>FdMgt1</v>
      </c>
      <c r="AI762" s="358">
        <f t="shared" si="101"/>
        <v>0</v>
      </c>
      <c r="AJ762" s="94">
        <f t="shared" si="102"/>
        <v>42794</v>
      </c>
    </row>
    <row r="763" spans="1:36" ht="12.75" customHeight="1">
      <c r="A763" s="94">
        <v>42825</v>
      </c>
      <c r="B763" s="94" t="s">
        <v>136</v>
      </c>
      <c r="C763" s="358" t="s">
        <v>304</v>
      </c>
      <c r="D763" s="374">
        <v>1822095.1869999999</v>
      </c>
      <c r="E763" s="9" t="e">
        <f t="shared" si="106"/>
        <v>#DIV/0!</v>
      </c>
      <c r="F763" s="98">
        <v>1.3879999999999999</v>
      </c>
      <c r="G763" s="98">
        <v>0</v>
      </c>
      <c r="H763" s="98">
        <v>0</v>
      </c>
      <c r="I763" s="98">
        <v>0</v>
      </c>
      <c r="J763" s="98"/>
      <c r="L763" s="93">
        <f t="shared" si="98"/>
        <v>0</v>
      </c>
      <c r="M763" s="95" t="e">
        <f t="shared" ca="1" si="99"/>
        <v>#DIV/0!</v>
      </c>
      <c r="N763" s="95">
        <f>IF(P763="Hedge Fund",IF(A763=Summary!$AD$3,M763-E763,M763),IF(A763=Summary!$AD$3,L763-D763,L763))</f>
        <v>0</v>
      </c>
      <c r="O763" s="95">
        <f t="shared" si="103"/>
        <v>0</v>
      </c>
      <c r="P763" s="107" t="s">
        <v>155</v>
      </c>
      <c r="Q763" s="107">
        <v>0</v>
      </c>
      <c r="R763" s="107">
        <v>0</v>
      </c>
      <c r="S763" s="107">
        <v>0</v>
      </c>
      <c r="T763" s="107">
        <v>0</v>
      </c>
      <c r="U763" s="107"/>
      <c r="V763" s="107"/>
      <c r="W763" s="107"/>
      <c r="X763" s="107"/>
      <c r="Y763" s="107"/>
      <c r="Z763" s="107"/>
      <c r="AA763" s="107"/>
      <c r="AB763" s="107"/>
      <c r="AC763" s="355"/>
      <c r="AD763" s="355"/>
      <c r="AE763" s="355"/>
      <c r="AF763" s="94">
        <f t="shared" si="100"/>
        <v>42825</v>
      </c>
      <c r="AG763" s="185">
        <f t="shared" si="104"/>
        <v>-1.3365264183227143E-2</v>
      </c>
      <c r="AH763" s="339" t="str">
        <f>VLOOKUP(B763,'MF PF'!A:B,2)</f>
        <v>FdMgt1</v>
      </c>
      <c r="AI763" s="358">
        <f t="shared" si="101"/>
        <v>0</v>
      </c>
      <c r="AJ763" s="94">
        <f t="shared" si="102"/>
        <v>42825</v>
      </c>
    </row>
    <row r="764" spans="1:36" ht="12.75" customHeight="1">
      <c r="A764" s="8">
        <v>42853</v>
      </c>
      <c r="B764" s="94" t="s">
        <v>136</v>
      </c>
      <c r="C764" s="358" t="s">
        <v>304</v>
      </c>
      <c r="D764" s="374">
        <v>1818473.7710000002</v>
      </c>
      <c r="E764" s="9" t="e">
        <f t="shared" si="106"/>
        <v>#DIV/0!</v>
      </c>
      <c r="F764" s="98">
        <v>1.3879999999999999</v>
      </c>
      <c r="G764" s="98">
        <v>0</v>
      </c>
      <c r="H764" s="98">
        <v>0</v>
      </c>
      <c r="I764" s="98">
        <v>0</v>
      </c>
      <c r="J764" s="98"/>
      <c r="L764" s="93">
        <f t="shared" si="98"/>
        <v>0</v>
      </c>
      <c r="M764" s="95" t="e">
        <f t="shared" ca="1" si="99"/>
        <v>#DIV/0!</v>
      </c>
      <c r="N764" s="95">
        <f>IF(P764="Hedge Fund",IF(A764=Summary!$AD$3,M764-E764,M764),IF(A764=Summary!$AD$3,L764-D764,L764))</f>
        <v>0</v>
      </c>
      <c r="O764" s="95">
        <f t="shared" si="103"/>
        <v>0</v>
      </c>
      <c r="P764" s="107" t="s">
        <v>155</v>
      </c>
      <c r="Q764" s="107">
        <v>0</v>
      </c>
      <c r="R764" s="107">
        <v>0</v>
      </c>
      <c r="S764" s="107">
        <v>0</v>
      </c>
      <c r="T764" s="107">
        <v>0</v>
      </c>
      <c r="U764" s="107"/>
      <c r="V764" s="107"/>
      <c r="W764" s="107"/>
      <c r="X764" s="107"/>
      <c r="Y764" s="107"/>
      <c r="Z764" s="107"/>
      <c r="AA764" s="107"/>
      <c r="AB764" s="107"/>
      <c r="AC764" s="355"/>
      <c r="AD764" s="355"/>
      <c r="AE764" s="355"/>
      <c r="AF764" s="94">
        <f t="shared" si="100"/>
        <v>42853</v>
      </c>
      <c r="AG764" s="185">
        <f t="shared" si="104"/>
        <v>-1.9875009965655277E-3</v>
      </c>
      <c r="AH764" s="339" t="str">
        <f>VLOOKUP(B764,'MF PF'!A:B,2)</f>
        <v>FdMgt1</v>
      </c>
      <c r="AI764" s="358">
        <f t="shared" si="101"/>
        <v>0</v>
      </c>
      <c r="AJ764" s="94">
        <f t="shared" si="102"/>
        <v>42855</v>
      </c>
    </row>
    <row r="765" spans="1:36" ht="12.75" customHeight="1">
      <c r="A765" s="94">
        <v>42886</v>
      </c>
      <c r="B765" s="94" t="s">
        <v>136</v>
      </c>
      <c r="C765" s="358" t="s">
        <v>304</v>
      </c>
      <c r="D765" s="374">
        <v>1766358.97</v>
      </c>
      <c r="E765" s="9" t="e">
        <f t="shared" si="106"/>
        <v>#DIV/0!</v>
      </c>
      <c r="F765" s="98">
        <v>1.3879999999999999</v>
      </c>
      <c r="G765" s="98">
        <v>0</v>
      </c>
      <c r="H765" s="98">
        <v>0</v>
      </c>
      <c r="I765" s="98">
        <v>0</v>
      </c>
      <c r="J765" s="98"/>
      <c r="K765" s="93"/>
      <c r="L765" s="93">
        <f t="shared" si="98"/>
        <v>0</v>
      </c>
      <c r="M765" s="95" t="e">
        <f t="shared" ca="1" si="99"/>
        <v>#DIV/0!</v>
      </c>
      <c r="N765" s="95">
        <f>IF(P765="Hedge Fund",IF(A765=Summary!$AD$3,M765-E765,M765),IF(A765=Summary!$AD$3,L765-D765,L765))</f>
        <v>0</v>
      </c>
      <c r="O765" s="95">
        <f t="shared" si="103"/>
        <v>0</v>
      </c>
      <c r="P765" s="107" t="s">
        <v>155</v>
      </c>
      <c r="Q765" s="107">
        <v>0</v>
      </c>
      <c r="R765" s="107">
        <v>0</v>
      </c>
      <c r="S765" s="107">
        <v>0</v>
      </c>
      <c r="T765" s="107">
        <v>0</v>
      </c>
      <c r="U765" s="107"/>
      <c r="V765" s="107"/>
      <c r="W765" s="107"/>
      <c r="X765" s="107"/>
      <c r="Y765" s="107"/>
      <c r="Z765" s="107"/>
      <c r="AA765" s="107"/>
      <c r="AB765" s="107"/>
      <c r="AC765" s="355"/>
      <c r="AD765" s="355"/>
      <c r="AE765" s="355"/>
      <c r="AF765" s="94">
        <f t="shared" si="100"/>
        <v>42886</v>
      </c>
      <c r="AG765" s="185">
        <f t="shared" si="104"/>
        <v>-2.8658538732368788E-2</v>
      </c>
      <c r="AH765" s="339" t="str">
        <f>VLOOKUP(B765,'MF PF'!A:B,2)</f>
        <v>FdMgt1</v>
      </c>
      <c r="AI765" s="358">
        <f t="shared" si="101"/>
        <v>0</v>
      </c>
      <c r="AJ765" s="94">
        <f t="shared" si="102"/>
        <v>42886</v>
      </c>
    </row>
    <row r="766" spans="1:36" ht="12.75" customHeight="1">
      <c r="A766" s="94">
        <v>42916</v>
      </c>
      <c r="B766" s="94" t="s">
        <v>136</v>
      </c>
      <c r="C766" s="358" t="s">
        <v>304</v>
      </c>
      <c r="D766" s="374">
        <v>1824437.9909999999</v>
      </c>
      <c r="E766" s="9" t="e">
        <f t="shared" si="106"/>
        <v>#DIV/0!</v>
      </c>
      <c r="F766" s="98">
        <v>1.3879999999999999</v>
      </c>
      <c r="G766" s="98">
        <v>0</v>
      </c>
      <c r="H766" s="98">
        <v>0</v>
      </c>
      <c r="I766" s="98">
        <v>0</v>
      </c>
      <c r="J766" s="98"/>
      <c r="K766" s="93"/>
      <c r="L766" s="93">
        <f t="shared" si="98"/>
        <v>0</v>
      </c>
      <c r="M766" s="95" t="e">
        <f t="shared" ca="1" si="99"/>
        <v>#DIV/0!</v>
      </c>
      <c r="N766" s="95">
        <f>IF(P766="Hedge Fund",IF(A766=Summary!$AD$3,M766-E766,M766),IF(A766=Summary!$AD$3,L766-D766,L766))</f>
        <v>0</v>
      </c>
      <c r="O766" s="95">
        <f t="shared" si="103"/>
        <v>0</v>
      </c>
      <c r="P766" s="107" t="s">
        <v>155</v>
      </c>
      <c r="Q766" s="107">
        <v>0</v>
      </c>
      <c r="R766" s="107">
        <v>0</v>
      </c>
      <c r="S766" s="107">
        <v>0</v>
      </c>
      <c r="T766" s="107">
        <v>0</v>
      </c>
      <c r="U766" s="107"/>
      <c r="V766" s="107"/>
      <c r="W766" s="107"/>
      <c r="X766" s="107"/>
      <c r="Y766" s="107"/>
      <c r="Z766" s="107"/>
      <c r="AA766" s="107"/>
      <c r="AB766" s="107"/>
      <c r="AC766" s="355"/>
      <c r="AD766" s="355"/>
      <c r="AE766" s="355"/>
      <c r="AF766" s="94">
        <f t="shared" si="100"/>
        <v>42916</v>
      </c>
      <c r="AG766" s="185">
        <f t="shared" si="104"/>
        <v>3.2880644300744777E-2</v>
      </c>
      <c r="AH766" s="339" t="str">
        <f>VLOOKUP(B766,'MF PF'!A:B,2)</f>
        <v>FdMgt1</v>
      </c>
      <c r="AI766" s="358">
        <f t="shared" si="101"/>
        <v>0</v>
      </c>
      <c r="AJ766" s="94">
        <f t="shared" si="102"/>
        <v>42916</v>
      </c>
    </row>
    <row r="767" spans="1:36" ht="12.75" customHeight="1">
      <c r="A767" s="8">
        <v>42947</v>
      </c>
      <c r="B767" s="94" t="s">
        <v>136</v>
      </c>
      <c r="C767" s="6" t="s">
        <v>304</v>
      </c>
      <c r="D767" s="374">
        <v>1869270.8330000001</v>
      </c>
      <c r="E767" s="9" t="e">
        <f t="shared" si="106"/>
        <v>#DIV/0!</v>
      </c>
      <c r="F767" s="98">
        <v>1.3879999999999999</v>
      </c>
      <c r="G767" s="98">
        <v>0</v>
      </c>
      <c r="H767" s="98">
        <v>-2.3283064365386963E-10</v>
      </c>
      <c r="I767" s="98">
        <v>0</v>
      </c>
      <c r="J767" s="98"/>
      <c r="K767" s="93"/>
      <c r="L767" s="93">
        <f t="shared" si="98"/>
        <v>-2.3283064365386963E-10</v>
      </c>
      <c r="M767" s="95" t="e">
        <f t="shared" ca="1" si="99"/>
        <v>#DIV/0!</v>
      </c>
      <c r="N767" s="95">
        <f>IF(P767="Hedge Fund",IF(A767=Summary!$AD$3,M767-E767,M767),IF(A767=Summary!$AD$3,L767-D767,L767))</f>
        <v>-2.3283064365386963E-10</v>
      </c>
      <c r="O767" s="95">
        <f t="shared" si="103"/>
        <v>-2.3283064365386963E-10</v>
      </c>
      <c r="P767" s="107" t="s">
        <v>155</v>
      </c>
      <c r="Q767" s="107">
        <v>0</v>
      </c>
      <c r="R767" s="107">
        <v>0</v>
      </c>
      <c r="S767" s="107">
        <v>0</v>
      </c>
      <c r="T767" s="107">
        <v>0</v>
      </c>
      <c r="U767" s="107"/>
      <c r="V767" s="107"/>
      <c r="W767" s="107"/>
      <c r="X767" s="107"/>
      <c r="Y767" s="107"/>
      <c r="Z767" s="107"/>
      <c r="AA767" s="107"/>
      <c r="AB767" s="107"/>
      <c r="AC767" s="355"/>
      <c r="AD767" s="355"/>
      <c r="AE767" s="355"/>
      <c r="AF767" s="94">
        <f t="shared" si="100"/>
        <v>42947</v>
      </c>
      <c r="AG767" s="185">
        <f t="shared" si="104"/>
        <v>2.457350823714588E-2</v>
      </c>
      <c r="AH767" s="339" t="str">
        <f>VLOOKUP(B767,'MF PF'!A:B,2)</f>
        <v>FdMgt1</v>
      </c>
      <c r="AI767" s="358">
        <f t="shared" si="101"/>
        <v>0</v>
      </c>
      <c r="AJ767" s="94">
        <f t="shared" si="102"/>
        <v>42947</v>
      </c>
    </row>
    <row r="768" spans="1:36" ht="12.75" customHeight="1">
      <c r="A768" s="94">
        <v>42978</v>
      </c>
      <c r="B768" s="94" t="s">
        <v>136</v>
      </c>
      <c r="C768" s="358" t="s">
        <v>304</v>
      </c>
      <c r="D768" s="374">
        <v>1875200</v>
      </c>
      <c r="E768" s="9" t="e">
        <f t="shared" si="106"/>
        <v>#DIV/0!</v>
      </c>
      <c r="F768" s="98">
        <v>1.3879999999999999</v>
      </c>
      <c r="G768" s="98">
        <v>0</v>
      </c>
      <c r="H768" s="98">
        <v>0</v>
      </c>
      <c r="I768" s="98">
        <v>0</v>
      </c>
      <c r="J768" s="98"/>
      <c r="K768" s="93"/>
      <c r="L768" s="93">
        <f t="shared" si="98"/>
        <v>0</v>
      </c>
      <c r="M768" s="95" t="e">
        <f t="shared" ca="1" si="99"/>
        <v>#DIV/0!</v>
      </c>
      <c r="N768" s="95">
        <f>IF(P768="Hedge Fund",IF(A768=Summary!$AD$3,M768-E768,M768),IF(A768=Summary!$AD$3,L768-D768,L768))</f>
        <v>0</v>
      </c>
      <c r="O768" s="95">
        <f t="shared" si="103"/>
        <v>0</v>
      </c>
      <c r="P768" s="107" t="s">
        <v>155</v>
      </c>
      <c r="Q768" s="107">
        <v>0</v>
      </c>
      <c r="R768" s="107">
        <v>0</v>
      </c>
      <c r="S768" s="107">
        <v>0</v>
      </c>
      <c r="T768" s="107">
        <v>0</v>
      </c>
      <c r="U768" s="107"/>
      <c r="V768" s="107"/>
      <c r="W768" s="107"/>
      <c r="X768" s="107"/>
      <c r="Y768" s="107"/>
      <c r="Z768" s="107"/>
      <c r="AA768" s="107"/>
      <c r="AB768" s="107"/>
      <c r="AC768" s="355"/>
      <c r="AD768" s="355"/>
      <c r="AE768" s="355"/>
      <c r="AF768" s="94">
        <f t="shared" si="100"/>
        <v>42978</v>
      </c>
      <c r="AG768" s="185">
        <f t="shared" si="104"/>
        <v>3.1719143611117495E-3</v>
      </c>
      <c r="AH768" s="339" t="str">
        <f>VLOOKUP(B768,'MF PF'!A:B,2)</f>
        <v>FdMgt1</v>
      </c>
      <c r="AI768" s="358">
        <f t="shared" si="101"/>
        <v>0</v>
      </c>
      <c r="AJ768" s="94">
        <f t="shared" si="102"/>
        <v>42978</v>
      </c>
    </row>
    <row r="769" spans="1:36" ht="12.75" customHeight="1">
      <c r="A769" s="8">
        <v>43007</v>
      </c>
      <c r="B769" s="94" t="s">
        <v>136</v>
      </c>
      <c r="C769" s="6" t="s">
        <v>304</v>
      </c>
      <c r="D769" s="374">
        <v>1860868.7768049261</v>
      </c>
      <c r="E769" s="9" t="e">
        <f t="shared" si="106"/>
        <v>#DIV/0!</v>
      </c>
      <c r="F769" s="98">
        <v>1.3879999999999999</v>
      </c>
      <c r="G769" s="98">
        <v>0</v>
      </c>
      <c r="H769" s="98">
        <v>0</v>
      </c>
      <c r="I769" s="98">
        <v>0</v>
      </c>
      <c r="J769" s="98"/>
      <c r="K769" s="93"/>
      <c r="L769" s="93">
        <f t="shared" si="98"/>
        <v>0</v>
      </c>
      <c r="M769" s="95" t="e">
        <f t="shared" ca="1" si="99"/>
        <v>#DIV/0!</v>
      </c>
      <c r="N769" s="95">
        <f>IF(P769="Hedge Fund",IF(A769=Summary!$AD$3,M769-E769,M769),IF(A769=Summary!$AD$3,L769-D769,L769))</f>
        <v>0</v>
      </c>
      <c r="O769" s="95">
        <f t="shared" si="103"/>
        <v>0</v>
      </c>
      <c r="P769" s="107" t="s">
        <v>155</v>
      </c>
      <c r="Q769" s="107">
        <v>0</v>
      </c>
      <c r="R769" s="107">
        <v>0</v>
      </c>
      <c r="S769" s="107">
        <v>0</v>
      </c>
      <c r="T769" s="107">
        <v>0</v>
      </c>
      <c r="U769" s="107"/>
      <c r="V769" s="107"/>
      <c r="W769" s="107"/>
      <c r="X769" s="107"/>
      <c r="Y769" s="107"/>
      <c r="Z769" s="107"/>
      <c r="AA769" s="107"/>
      <c r="AB769" s="107"/>
      <c r="AC769" s="355"/>
      <c r="AD769" s="355"/>
      <c r="AE769" s="355"/>
      <c r="AF769" s="94">
        <f t="shared" si="100"/>
        <v>43007</v>
      </c>
      <c r="AG769" s="185">
        <f t="shared" si="104"/>
        <v>-7.6425038369635212E-3</v>
      </c>
      <c r="AH769" s="339" t="str">
        <f>VLOOKUP(B769,'MF PF'!A:B,2)</f>
        <v>FdMgt1</v>
      </c>
      <c r="AI769" s="358">
        <f t="shared" si="101"/>
        <v>0</v>
      </c>
      <c r="AJ769" s="94">
        <f t="shared" si="102"/>
        <v>43008</v>
      </c>
    </row>
    <row r="770" spans="1:36" ht="12.75" customHeight="1">
      <c r="A770" s="94">
        <v>43039</v>
      </c>
      <c r="B770" s="94" t="s">
        <v>136</v>
      </c>
      <c r="C770" s="92" t="s">
        <v>304</v>
      </c>
      <c r="D770" s="374">
        <v>1874100</v>
      </c>
      <c r="E770" s="9" t="e">
        <f t="shared" si="106"/>
        <v>#DIV/0!</v>
      </c>
      <c r="F770" s="47">
        <v>1.3879999999999999</v>
      </c>
      <c r="G770" s="47">
        <v>0</v>
      </c>
      <c r="H770" s="47">
        <v>0</v>
      </c>
      <c r="I770" s="47">
        <v>0</v>
      </c>
      <c r="J770" s="98"/>
      <c r="K770" s="93"/>
      <c r="L770" s="93">
        <f t="shared" si="98"/>
        <v>0</v>
      </c>
      <c r="M770" s="95" t="e">
        <f t="shared" ca="1" si="99"/>
        <v>#DIV/0!</v>
      </c>
      <c r="N770" s="95">
        <f>IF(P770="Hedge Fund",IF(A770=Summary!$AD$3,M770-E770,M770),IF(A770=Summary!$AD$3,L770-D770,L770))</f>
        <v>0</v>
      </c>
      <c r="O770" s="95">
        <f t="shared" si="103"/>
        <v>0</v>
      </c>
      <c r="P770" s="89" t="s">
        <v>155</v>
      </c>
      <c r="Q770" s="89">
        <v>0</v>
      </c>
      <c r="R770" s="89">
        <v>0</v>
      </c>
      <c r="S770" s="89">
        <v>0</v>
      </c>
      <c r="T770" s="89">
        <v>0</v>
      </c>
      <c r="U770" s="89"/>
      <c r="V770" s="89"/>
      <c r="W770" s="89"/>
      <c r="X770" s="89"/>
      <c r="Y770" s="89"/>
      <c r="Z770" s="89"/>
      <c r="AA770" s="89"/>
      <c r="AB770" s="89"/>
      <c r="AC770" s="355"/>
      <c r="AD770" s="355"/>
      <c r="AE770" s="355"/>
      <c r="AF770" s="94">
        <f t="shared" si="100"/>
        <v>43039</v>
      </c>
      <c r="AG770" s="185">
        <f t="shared" si="104"/>
        <v>7.1102397761715341E-3</v>
      </c>
      <c r="AH770" s="339" t="str">
        <f>VLOOKUP(B770,'MF PF'!A:B,2)</f>
        <v>FdMgt1</v>
      </c>
      <c r="AI770" s="358">
        <f t="shared" si="101"/>
        <v>0</v>
      </c>
      <c r="AJ770" s="94">
        <f t="shared" si="102"/>
        <v>43039</v>
      </c>
    </row>
    <row r="771" spans="1:36" ht="12.75" customHeight="1">
      <c r="A771" s="8">
        <v>43069</v>
      </c>
      <c r="B771" s="94" t="s">
        <v>136</v>
      </c>
      <c r="C771" s="6" t="s">
        <v>304</v>
      </c>
      <c r="D771" s="374">
        <v>1872100</v>
      </c>
      <c r="E771" s="9" t="e">
        <f t="shared" si="106"/>
        <v>#DIV/0!</v>
      </c>
      <c r="F771" s="47">
        <v>1.3879999999999999</v>
      </c>
      <c r="G771" s="47">
        <v>0</v>
      </c>
      <c r="H771" s="47">
        <v>0</v>
      </c>
      <c r="I771" s="47">
        <v>0</v>
      </c>
      <c r="J771" s="98"/>
      <c r="K771" s="93"/>
      <c r="L771" s="93">
        <f t="shared" ref="L771:L834" si="107">G771+H771+I771</f>
        <v>0</v>
      </c>
      <c r="M771" s="95" t="e">
        <f t="shared" ref="M771:M834" ca="1" si="108">IF(A771&gt;INDIRECT("A"&amp;ROW()-1),I771/K771,E771)</f>
        <v>#DIV/0!</v>
      </c>
      <c r="N771" s="95">
        <f>IF(P771="Hedge Fund",IF(A771=Summary!$AD$3,M771-E771,M771),IF(A771=Summary!$AD$3,L771-D771,L771))</f>
        <v>0</v>
      </c>
      <c r="O771" s="95">
        <f t="shared" si="103"/>
        <v>0</v>
      </c>
      <c r="P771" s="89" t="s">
        <v>155</v>
      </c>
      <c r="Q771" s="89">
        <v>0</v>
      </c>
      <c r="R771" s="89">
        <v>0</v>
      </c>
      <c r="S771" s="89">
        <v>0</v>
      </c>
      <c r="T771" s="89">
        <v>0</v>
      </c>
      <c r="U771" s="89"/>
      <c r="V771" s="89"/>
      <c r="W771" s="89"/>
      <c r="X771" s="89"/>
      <c r="Y771" s="89"/>
      <c r="Z771" s="89"/>
      <c r="AA771" s="89"/>
      <c r="AB771" s="89"/>
      <c r="AC771" s="355"/>
      <c r="AD771" s="355"/>
      <c r="AE771" s="355"/>
      <c r="AF771" s="94">
        <f t="shared" ref="AF771:AF834" si="109">A771</f>
        <v>43069</v>
      </c>
      <c r="AG771" s="185">
        <f t="shared" si="104"/>
        <v>-1.0671789125447084E-3</v>
      </c>
      <c r="AH771" s="339" t="str">
        <f>VLOOKUP(B771,'MF PF'!A:B,2)</f>
        <v>FdMgt1</v>
      </c>
      <c r="AI771" s="358">
        <f t="shared" ref="AI771:AI834" si="110">AF771-A771</f>
        <v>0</v>
      </c>
      <c r="AJ771" s="94">
        <f t="shared" ref="AJ771:AJ834" si="111">EOMONTH(A771,0)</f>
        <v>43069</v>
      </c>
    </row>
    <row r="772" spans="1:36" ht="12.75" customHeight="1">
      <c r="A772" s="94">
        <v>43098</v>
      </c>
      <c r="B772" s="94" t="s">
        <v>136</v>
      </c>
      <c r="C772" s="358" t="s">
        <v>304</v>
      </c>
      <c r="D772" s="374">
        <v>1919600</v>
      </c>
      <c r="E772" s="9" t="e">
        <f t="shared" si="106"/>
        <v>#DIV/0!</v>
      </c>
      <c r="F772" s="47">
        <v>1.3879999999999999</v>
      </c>
      <c r="G772" s="47">
        <v>0</v>
      </c>
      <c r="H772" s="47">
        <v>0</v>
      </c>
      <c r="I772" s="47">
        <v>0</v>
      </c>
      <c r="J772" s="98"/>
      <c r="K772" s="93"/>
      <c r="L772" s="93">
        <f t="shared" si="107"/>
        <v>0</v>
      </c>
      <c r="M772" s="95" t="e">
        <f t="shared" ca="1" si="108"/>
        <v>#DIV/0!</v>
      </c>
      <c r="N772" s="95">
        <f>IF(P772="Hedge Fund",IF(A772=Summary!$AD$3,M772-E772,M772),IF(A772=Summary!$AD$3,L772-D772,L772))</f>
        <v>0</v>
      </c>
      <c r="O772" s="95">
        <f t="shared" si="103"/>
        <v>0</v>
      </c>
      <c r="P772" s="89" t="s">
        <v>155</v>
      </c>
      <c r="Q772" s="107">
        <v>0</v>
      </c>
      <c r="R772" s="107">
        <v>0</v>
      </c>
      <c r="S772" s="89">
        <v>0</v>
      </c>
      <c r="T772" s="89">
        <v>0</v>
      </c>
      <c r="U772" s="89"/>
      <c r="V772" s="89"/>
      <c r="W772" s="89"/>
      <c r="X772" s="89"/>
      <c r="Y772" s="89"/>
      <c r="Z772" s="89"/>
      <c r="AA772" s="89"/>
      <c r="AB772" s="89"/>
      <c r="AC772" s="355"/>
      <c r="AD772" s="355"/>
      <c r="AE772" s="355"/>
      <c r="AF772" s="94">
        <f t="shared" si="109"/>
        <v>43098</v>
      </c>
      <c r="AG772" s="185">
        <f t="shared" si="104"/>
        <v>2.5372576251268653E-2</v>
      </c>
      <c r="AH772" s="339" t="str">
        <f>VLOOKUP(B772,'MF PF'!A:B,2)</f>
        <v>FdMgt1</v>
      </c>
      <c r="AI772" s="358">
        <f t="shared" si="110"/>
        <v>0</v>
      </c>
      <c r="AJ772" s="94">
        <f t="shared" si="111"/>
        <v>43100</v>
      </c>
    </row>
    <row r="773" spans="1:36" ht="12.75" customHeight="1">
      <c r="A773" s="94">
        <v>43131</v>
      </c>
      <c r="B773" s="8" t="s">
        <v>136</v>
      </c>
      <c r="C773" s="358" t="s">
        <v>304</v>
      </c>
      <c r="D773" s="374">
        <v>1943800</v>
      </c>
      <c r="E773" s="9" t="e">
        <f t="shared" si="106"/>
        <v>#DIV/0!</v>
      </c>
      <c r="F773" s="47">
        <v>1.3879999999999999</v>
      </c>
      <c r="G773" s="47">
        <v>0</v>
      </c>
      <c r="H773" s="47">
        <v>0</v>
      </c>
      <c r="I773" s="47">
        <v>0</v>
      </c>
      <c r="J773" s="98"/>
      <c r="L773" s="93">
        <f t="shared" si="107"/>
        <v>0</v>
      </c>
      <c r="M773" s="95" t="e">
        <f t="shared" ca="1" si="108"/>
        <v>#DIV/0!</v>
      </c>
      <c r="N773" s="95">
        <f>IF(P773="Hedge Fund",IF(A773=Summary!$AD$3,M773-E773,M773),IF(A773=Summary!$AD$3,L773-D773,L773))</f>
        <v>0</v>
      </c>
      <c r="O773" s="95">
        <f t="shared" si="103"/>
        <v>0</v>
      </c>
      <c r="P773" s="89" t="s">
        <v>155</v>
      </c>
      <c r="Q773" s="107">
        <v>0</v>
      </c>
      <c r="R773" s="107">
        <v>0</v>
      </c>
      <c r="S773" s="89">
        <v>0</v>
      </c>
      <c r="T773" s="89">
        <v>0</v>
      </c>
      <c r="U773" s="89"/>
      <c r="V773" s="89"/>
      <c r="W773" s="89"/>
      <c r="X773" s="89"/>
      <c r="Y773" s="89"/>
      <c r="Z773" s="89"/>
      <c r="AA773" s="89"/>
      <c r="AB773" s="89"/>
      <c r="AC773" s="355"/>
      <c r="AD773" s="355"/>
      <c r="AE773" s="355"/>
      <c r="AF773" s="94">
        <f t="shared" si="109"/>
        <v>43131</v>
      </c>
      <c r="AG773" s="185">
        <f t="shared" si="104"/>
        <v>1.2606793081892054E-2</v>
      </c>
      <c r="AH773" s="339" t="str">
        <f>VLOOKUP(B773,'MF PF'!A:B,2)</f>
        <v>FdMgt1</v>
      </c>
      <c r="AI773" s="358">
        <f t="shared" si="110"/>
        <v>0</v>
      </c>
      <c r="AJ773" s="94">
        <f t="shared" si="111"/>
        <v>43131</v>
      </c>
    </row>
    <row r="774" spans="1:36" ht="12.75" customHeight="1">
      <c r="A774" s="94">
        <v>43159</v>
      </c>
      <c r="B774" s="94" t="s">
        <v>136</v>
      </c>
      <c r="C774" s="358" t="s">
        <v>304</v>
      </c>
      <c r="D774" s="374">
        <v>1962029.34</v>
      </c>
      <c r="E774" s="9" t="e">
        <f t="shared" si="106"/>
        <v>#DIV/0!</v>
      </c>
      <c r="F774" s="47">
        <v>1.3879999999999999</v>
      </c>
      <c r="G774" s="47">
        <v>0</v>
      </c>
      <c r="H774" s="47">
        <v>0</v>
      </c>
      <c r="I774" s="98">
        <v>0</v>
      </c>
      <c r="J774" s="98"/>
      <c r="L774" s="93">
        <f t="shared" si="107"/>
        <v>0</v>
      </c>
      <c r="M774" s="95" t="e">
        <f t="shared" ca="1" si="108"/>
        <v>#DIV/0!</v>
      </c>
      <c r="N774" s="95">
        <f>IF(P774="Hedge Fund",IF(A774=Summary!$AD$3,M774-E774,M774),IF(A774=Summary!$AD$3,L774-D774,L774))</f>
        <v>0</v>
      </c>
      <c r="O774" s="95">
        <f t="shared" si="103"/>
        <v>0</v>
      </c>
      <c r="P774" s="89" t="s">
        <v>155</v>
      </c>
      <c r="Q774" s="107">
        <v>0</v>
      </c>
      <c r="R774" s="107">
        <v>0</v>
      </c>
      <c r="S774" s="89">
        <v>0</v>
      </c>
      <c r="T774" s="89">
        <v>0</v>
      </c>
      <c r="U774" s="89"/>
      <c r="V774" s="89"/>
      <c r="W774" s="89"/>
      <c r="X774" s="89"/>
      <c r="Y774" s="89"/>
      <c r="Z774" s="89"/>
      <c r="AA774" s="89"/>
      <c r="AB774" s="89"/>
      <c r="AC774" s="355"/>
      <c r="AD774" s="355"/>
      <c r="AE774" s="355"/>
      <c r="AF774" s="94">
        <f t="shared" si="109"/>
        <v>43159</v>
      </c>
      <c r="AG774" s="185">
        <f t="shared" si="104"/>
        <v>9.3781973454059031E-3</v>
      </c>
      <c r="AH774" s="339" t="str">
        <f>VLOOKUP(B774,'MF PF'!A:B,2)</f>
        <v>FdMgt1</v>
      </c>
      <c r="AI774" s="358">
        <f t="shared" si="110"/>
        <v>0</v>
      </c>
      <c r="AJ774" s="94">
        <f t="shared" si="111"/>
        <v>43159</v>
      </c>
    </row>
    <row r="775" spans="1:36" ht="12.75" customHeight="1">
      <c r="A775" s="94">
        <v>43188</v>
      </c>
      <c r="B775" s="94" t="s">
        <v>136</v>
      </c>
      <c r="C775" s="92" t="s">
        <v>304</v>
      </c>
      <c r="D775" s="374">
        <v>1970710.4620000001</v>
      </c>
      <c r="E775" s="9" t="e">
        <f t="shared" si="106"/>
        <v>#DIV/0!</v>
      </c>
      <c r="F775" s="47">
        <v>1.3879999999999999</v>
      </c>
      <c r="G775" s="47">
        <v>0</v>
      </c>
      <c r="H775" s="47">
        <v>0</v>
      </c>
      <c r="I775" s="98">
        <v>0</v>
      </c>
      <c r="J775" s="98"/>
      <c r="L775" s="93">
        <f t="shared" si="107"/>
        <v>0</v>
      </c>
      <c r="M775" s="95" t="e">
        <f t="shared" ca="1" si="108"/>
        <v>#DIV/0!</v>
      </c>
      <c r="N775" s="95">
        <f>IF(P775="Hedge Fund",IF(A775=Summary!$AD$3,M775-E775,M775),IF(A775=Summary!$AD$3,L775-D775,L775))</f>
        <v>0</v>
      </c>
      <c r="O775" s="95">
        <f t="shared" si="103"/>
        <v>0</v>
      </c>
      <c r="P775" s="89" t="s">
        <v>155</v>
      </c>
      <c r="Q775" s="109">
        <v>7.6977349587588955E-3</v>
      </c>
      <c r="R775" s="109">
        <v>0.10283125799999998</v>
      </c>
      <c r="S775" s="89">
        <v>0</v>
      </c>
      <c r="T775" s="89">
        <v>0</v>
      </c>
      <c r="U775" s="89"/>
      <c r="V775" s="89"/>
      <c r="W775" s="89"/>
      <c r="X775" s="89"/>
      <c r="Y775" s="89"/>
      <c r="Z775" s="89"/>
      <c r="AA775" s="89"/>
      <c r="AB775" s="89"/>
      <c r="AC775" s="355"/>
      <c r="AD775" s="355"/>
      <c r="AE775" s="355"/>
      <c r="AF775" s="94">
        <f t="shared" si="109"/>
        <v>43188</v>
      </c>
      <c r="AG775" s="185">
        <f t="shared" si="104"/>
        <v>4.424562784570707E-3</v>
      </c>
      <c r="AH775" s="339" t="str">
        <f>VLOOKUP(B775,'MF PF'!A:B,2)</f>
        <v>FdMgt1</v>
      </c>
      <c r="AI775" s="358">
        <f t="shared" si="110"/>
        <v>0</v>
      </c>
      <c r="AJ775" s="94">
        <f t="shared" si="111"/>
        <v>43190</v>
      </c>
    </row>
    <row r="776" spans="1:36" s="92" customFormat="1" ht="12.75" customHeight="1">
      <c r="A776" s="94">
        <v>43220</v>
      </c>
      <c r="B776" s="94" t="s">
        <v>136</v>
      </c>
      <c r="C776" s="92" t="s">
        <v>304</v>
      </c>
      <c r="D776" s="374">
        <v>1996607.1484999999</v>
      </c>
      <c r="E776" s="95" t="e">
        <f t="shared" si="106"/>
        <v>#DIV/0!</v>
      </c>
      <c r="F776" s="98">
        <v>1.3879999999999999</v>
      </c>
      <c r="G776" s="98">
        <v>0</v>
      </c>
      <c r="H776" s="98">
        <v>0</v>
      </c>
      <c r="I776" s="98">
        <v>0</v>
      </c>
      <c r="J776" s="98"/>
      <c r="K776" s="93"/>
      <c r="L776" s="93">
        <f t="shared" si="107"/>
        <v>0</v>
      </c>
      <c r="M776" s="95" t="e">
        <f t="shared" ca="1" si="108"/>
        <v>#DIV/0!</v>
      </c>
      <c r="N776" s="95">
        <f>IF(P776="Hedge Fund",IF(A776=Summary!$AD$3,M776-E776,M776),IF(A776=Summary!$AD$3,L776-D776,L776))</f>
        <v>0</v>
      </c>
      <c r="O776" s="95">
        <f t="shared" si="103"/>
        <v>0</v>
      </c>
      <c r="P776" s="107" t="s">
        <v>155</v>
      </c>
      <c r="Q776" s="109">
        <v>0</v>
      </c>
      <c r="R776" s="109">
        <v>0.10740126</v>
      </c>
      <c r="S776" s="107">
        <v>0</v>
      </c>
      <c r="T776" s="107">
        <v>0</v>
      </c>
      <c r="U776" s="107"/>
      <c r="V776" s="107"/>
      <c r="W776" s="107"/>
      <c r="X776" s="107"/>
      <c r="Y776" s="107"/>
      <c r="Z776" s="107"/>
      <c r="AA776" s="107"/>
      <c r="AB776" s="107"/>
      <c r="AC776" s="355"/>
      <c r="AD776" s="355"/>
      <c r="AE776" s="355"/>
      <c r="AF776" s="94">
        <f t="shared" si="109"/>
        <v>43220</v>
      </c>
      <c r="AG776" s="185">
        <f t="shared" si="104"/>
        <v>1.3140787040688995E-2</v>
      </c>
      <c r="AH776" s="339" t="str">
        <f>VLOOKUP(B776,'MF PF'!A:B,2)</f>
        <v>FdMgt1</v>
      </c>
      <c r="AI776" s="358">
        <f t="shared" si="110"/>
        <v>0</v>
      </c>
      <c r="AJ776" s="94">
        <f t="shared" si="111"/>
        <v>43220</v>
      </c>
    </row>
    <row r="777" spans="1:36" ht="12.75" customHeight="1">
      <c r="A777" s="8">
        <v>43251</v>
      </c>
      <c r="B777" s="358" t="s">
        <v>136</v>
      </c>
      <c r="C777" s="94" t="s">
        <v>304</v>
      </c>
      <c r="D777" s="374">
        <v>2008032.0834999999</v>
      </c>
      <c r="E777" s="9" t="e">
        <f t="shared" si="106"/>
        <v>#DIV/0!</v>
      </c>
      <c r="F777" s="47">
        <v>1.3879999999999999</v>
      </c>
      <c r="G777" s="47">
        <v>0</v>
      </c>
      <c r="H777" s="47">
        <v>0</v>
      </c>
      <c r="I777" s="110">
        <v>0</v>
      </c>
      <c r="J777" s="110"/>
      <c r="K777" s="93"/>
      <c r="L777" s="93">
        <f t="shared" si="107"/>
        <v>0</v>
      </c>
      <c r="M777" s="95" t="e">
        <f t="shared" ca="1" si="108"/>
        <v>#DIV/0!</v>
      </c>
      <c r="N777" s="95">
        <f>IF(P777="Hedge Fund",IF(A777=Summary!$AD$3,M777-E777,M777),IF(A777=Summary!$AD$3,L777-D777,L777))</f>
        <v>0</v>
      </c>
      <c r="O777" s="95">
        <f t="shared" si="103"/>
        <v>0</v>
      </c>
      <c r="P777" s="89" t="s">
        <v>155</v>
      </c>
      <c r="Q777" s="109">
        <v>0</v>
      </c>
      <c r="R777" s="109">
        <v>0.10941743</v>
      </c>
      <c r="S777" s="89">
        <v>0</v>
      </c>
      <c r="T777" s="89">
        <v>0</v>
      </c>
      <c r="U777" s="89"/>
      <c r="V777" s="89"/>
      <c r="W777" s="89"/>
      <c r="X777" s="89"/>
      <c r="Y777" s="89"/>
      <c r="Z777" s="89"/>
      <c r="AA777" s="89"/>
      <c r="AB777" s="89"/>
      <c r="AC777" s="355"/>
      <c r="AD777" s="355"/>
      <c r="AE777" s="355"/>
      <c r="AF777" s="94">
        <f t="shared" si="109"/>
        <v>43251</v>
      </c>
      <c r="AG777" s="185">
        <f t="shared" si="104"/>
        <v>5.7221747445828086E-3</v>
      </c>
      <c r="AH777" s="339" t="str">
        <f>VLOOKUP(B777,'MF PF'!A:B,2)</f>
        <v>FdMgt1</v>
      </c>
      <c r="AI777" s="358">
        <f t="shared" si="110"/>
        <v>0</v>
      </c>
      <c r="AJ777" s="94">
        <f t="shared" si="111"/>
        <v>43251</v>
      </c>
    </row>
    <row r="778" spans="1:36" ht="12.75" customHeight="1">
      <c r="A778" s="94">
        <v>43280</v>
      </c>
      <c r="B778" s="358" t="s">
        <v>136</v>
      </c>
      <c r="C778" s="94" t="s">
        <v>304</v>
      </c>
      <c r="D778" s="374">
        <v>2012705.1115000001</v>
      </c>
      <c r="E778" s="9" t="e">
        <f t="shared" si="106"/>
        <v>#DIV/0!</v>
      </c>
      <c r="F778" s="47">
        <v>1.3879999999999999</v>
      </c>
      <c r="G778" s="47">
        <v>0</v>
      </c>
      <c r="H778" s="47">
        <v>0</v>
      </c>
      <c r="I778" s="110">
        <v>0</v>
      </c>
      <c r="J778" s="110"/>
      <c r="L778" s="93">
        <f t="shared" si="107"/>
        <v>0</v>
      </c>
      <c r="M778" s="95" t="e">
        <f t="shared" ca="1" si="108"/>
        <v>#DIV/0!</v>
      </c>
      <c r="N778" s="95">
        <f>IF(P778="Hedge Fund",IF(A778=Summary!$AD$3,M778-E778,M778),IF(A778=Summary!$AD$3,L778-D778,L778))</f>
        <v>0</v>
      </c>
      <c r="O778" s="95">
        <f t="shared" si="103"/>
        <v>0</v>
      </c>
      <c r="P778" s="89" t="s">
        <v>155</v>
      </c>
      <c r="Q778" s="109">
        <v>8.0569500000000002E-3</v>
      </c>
      <c r="R778" s="109">
        <v>0.11024207849999999</v>
      </c>
      <c r="S778" s="89">
        <v>0</v>
      </c>
      <c r="T778" s="89">
        <v>0</v>
      </c>
      <c r="U778" s="89"/>
      <c r="V778" s="89"/>
      <c r="W778" s="89"/>
      <c r="X778" s="89"/>
      <c r="Y778" s="89"/>
      <c r="Z778" s="89"/>
      <c r="AA778" s="89"/>
      <c r="AB778" s="89"/>
      <c r="AC778" s="355"/>
      <c r="AD778" s="355"/>
      <c r="AE778" s="355"/>
      <c r="AF778" s="94">
        <f t="shared" si="109"/>
        <v>43280</v>
      </c>
      <c r="AG778" s="185">
        <f t="shared" si="104"/>
        <v>2.3271679961682779E-3</v>
      </c>
      <c r="AH778" s="339" t="str">
        <f>VLOOKUP(B778,'MF PF'!A:B,2)</f>
        <v>FdMgt1</v>
      </c>
      <c r="AI778" s="358">
        <f t="shared" si="110"/>
        <v>0</v>
      </c>
      <c r="AJ778" s="94">
        <f t="shared" si="111"/>
        <v>43281</v>
      </c>
    </row>
    <row r="779" spans="1:36" ht="12.75" customHeight="1">
      <c r="A779" s="8">
        <v>43312</v>
      </c>
      <c r="B779" s="358" t="s">
        <v>136</v>
      </c>
      <c r="C779" s="94" t="s">
        <v>304</v>
      </c>
      <c r="D779" s="374">
        <v>2019547.2545</v>
      </c>
      <c r="E779" s="9" t="str">
        <f>IF(K779="","",D779/K779)</f>
        <v/>
      </c>
      <c r="F779" s="47">
        <v>1.3879999999999999</v>
      </c>
      <c r="G779" s="47">
        <v>0</v>
      </c>
      <c r="H779" s="47">
        <v>0</v>
      </c>
      <c r="I779" s="98">
        <v>0</v>
      </c>
      <c r="J779" s="98"/>
      <c r="K779" s="93"/>
      <c r="L779" s="93">
        <f t="shared" si="107"/>
        <v>0</v>
      </c>
      <c r="M779" s="95" t="e">
        <f t="shared" ca="1" si="108"/>
        <v>#DIV/0!</v>
      </c>
      <c r="N779" s="95">
        <f>IF(P779="Hedge Fund",IF(A779=Summary!$AD$3,M779-E779,M779),IF(A779=Summary!$AD$3,L779-D779,L779))</f>
        <v>0</v>
      </c>
      <c r="O779" s="95">
        <f t="shared" si="103"/>
        <v>0</v>
      </c>
      <c r="P779" s="89" t="s">
        <v>155</v>
      </c>
      <c r="Q779" s="107">
        <v>0</v>
      </c>
      <c r="R779" s="109">
        <f>111449.5155/10^6</f>
        <v>0.1114495155</v>
      </c>
      <c r="S779" s="89">
        <v>0</v>
      </c>
      <c r="T779" s="89">
        <v>0</v>
      </c>
      <c r="U779" s="89"/>
      <c r="V779" s="89"/>
      <c r="W779" s="89"/>
      <c r="X779" s="89"/>
      <c r="Y779" s="89"/>
      <c r="Z779" s="89"/>
      <c r="AA779" s="89"/>
      <c r="AB779" s="89"/>
      <c r="AC779" s="355"/>
      <c r="AD779" s="355"/>
      <c r="AE779" s="355"/>
      <c r="AF779" s="94">
        <f t="shared" si="109"/>
        <v>43312</v>
      </c>
      <c r="AG779" s="185">
        <f t="shared" si="104"/>
        <v>3.3994761383104866E-3</v>
      </c>
      <c r="AH779" s="339" t="str">
        <f>VLOOKUP(B779,'MF PF'!A:B,2)</f>
        <v>FdMgt1</v>
      </c>
      <c r="AI779" s="358">
        <f t="shared" si="110"/>
        <v>0</v>
      </c>
      <c r="AJ779" s="94">
        <f t="shared" si="111"/>
        <v>43312</v>
      </c>
    </row>
    <row r="780" spans="1:36" ht="12.75" customHeight="1">
      <c r="A780" s="8">
        <v>43343</v>
      </c>
      <c r="B780" s="358" t="s">
        <v>136</v>
      </c>
      <c r="C780" s="94" t="s">
        <v>304</v>
      </c>
      <c r="D780" s="374">
        <v>2024332.7715</v>
      </c>
      <c r="E780" s="9" t="str">
        <f>IF(K780="","",D780/K780)</f>
        <v/>
      </c>
      <c r="F780" s="47">
        <v>1.3879999999999999</v>
      </c>
      <c r="G780" s="47">
        <v>0</v>
      </c>
      <c r="H780" s="47">
        <v>0</v>
      </c>
      <c r="I780" s="47">
        <v>0</v>
      </c>
      <c r="J780" s="98"/>
      <c r="L780" s="93">
        <f t="shared" si="107"/>
        <v>0</v>
      </c>
      <c r="M780" s="95" t="e">
        <f t="shared" ca="1" si="108"/>
        <v>#DIV/0!</v>
      </c>
      <c r="N780" s="95">
        <f>IF(P780="Hedge Fund",IF(A780=Summary!$AD$3,M780-E780,M780),IF(A780=Summary!$AD$3,L780-D780,L780))</f>
        <v>0</v>
      </c>
      <c r="O780" s="95">
        <f t="shared" si="103"/>
        <v>0</v>
      </c>
      <c r="P780" s="89" t="s">
        <v>155</v>
      </c>
      <c r="Q780" s="89">
        <v>0</v>
      </c>
      <c r="R780" s="109">
        <v>0.11229401850000001</v>
      </c>
      <c r="S780" s="89">
        <v>0</v>
      </c>
      <c r="T780" s="89">
        <v>0</v>
      </c>
      <c r="U780" s="89"/>
      <c r="V780" s="89"/>
      <c r="W780" s="89"/>
      <c r="X780" s="89"/>
      <c r="Y780" s="89"/>
      <c r="Z780" s="89"/>
      <c r="AA780" s="89"/>
      <c r="AB780" s="89"/>
      <c r="AC780" s="355"/>
      <c r="AD780" s="355"/>
      <c r="AE780" s="355"/>
      <c r="AF780" s="94">
        <f t="shared" si="109"/>
        <v>43343</v>
      </c>
      <c r="AG780" s="185">
        <f t="shared" si="104"/>
        <v>2.3695989233907255E-3</v>
      </c>
      <c r="AH780" s="339" t="str">
        <f>VLOOKUP(B780,'MF PF'!A:B,2)</f>
        <v>FdMgt1</v>
      </c>
      <c r="AI780" s="358">
        <f t="shared" si="110"/>
        <v>0</v>
      </c>
      <c r="AJ780" s="94">
        <f t="shared" si="111"/>
        <v>43343</v>
      </c>
    </row>
    <row r="781" spans="1:36" ht="12.75" customHeight="1">
      <c r="A781" s="8">
        <v>43371</v>
      </c>
      <c r="B781" s="358" t="s">
        <v>136</v>
      </c>
      <c r="C781" s="358" t="s">
        <v>304</v>
      </c>
      <c r="D781" s="374">
        <v>1997981.6240000001</v>
      </c>
      <c r="F781" s="105">
        <v>1.3879999999999999</v>
      </c>
      <c r="G781" s="93">
        <v>0</v>
      </c>
      <c r="H781" s="93">
        <v>0</v>
      </c>
      <c r="I781" s="93">
        <v>0</v>
      </c>
      <c r="K781" s="93">
        <v>0</v>
      </c>
      <c r="L781" s="93">
        <f t="shared" si="107"/>
        <v>0</v>
      </c>
      <c r="M781" s="95" t="e">
        <f t="shared" ca="1" si="108"/>
        <v>#DIV/0!</v>
      </c>
      <c r="N781" s="95">
        <f>IF(P781="Hedge Fund",IF(A781=Summary!$AD$3,M781-E781,M781),IF(A781=Summary!$AD$3,L781-D781,L781))</f>
        <v>0</v>
      </c>
      <c r="O781" s="95">
        <f t="shared" si="103"/>
        <v>0</v>
      </c>
      <c r="P781" s="95" t="s">
        <v>155</v>
      </c>
      <c r="Q781" s="95">
        <v>7.9040211368797807E-3</v>
      </c>
      <c r="R781" s="95">
        <v>0.10764381599999999</v>
      </c>
      <c r="S781" s="95"/>
      <c r="T781" s="95"/>
      <c r="U781" s="95"/>
      <c r="V781" s="95"/>
      <c r="W781" s="95"/>
      <c r="X781" s="95"/>
      <c r="Y781" s="95"/>
      <c r="Z781" s="95"/>
      <c r="AA781" s="95"/>
      <c r="AB781" s="95"/>
      <c r="AC781" s="355"/>
      <c r="AD781" s="355"/>
      <c r="AE781" s="355"/>
      <c r="AF781" s="94">
        <f t="shared" si="109"/>
        <v>43371</v>
      </c>
      <c r="AG781" s="185">
        <f t="shared" si="104"/>
        <v>-1.3017201455704397E-2</v>
      </c>
      <c r="AH781" s="339" t="str">
        <f>VLOOKUP(B781,'MF PF'!A:B,2)</f>
        <v>FdMgt1</v>
      </c>
      <c r="AI781" s="358">
        <f t="shared" si="110"/>
        <v>0</v>
      </c>
      <c r="AJ781" s="94">
        <f t="shared" si="111"/>
        <v>43373</v>
      </c>
    </row>
    <row r="782" spans="1:36" ht="12.75" customHeight="1">
      <c r="A782" s="94">
        <v>43404</v>
      </c>
      <c r="B782" s="358" t="s">
        <v>136</v>
      </c>
      <c r="C782" s="358" t="s">
        <v>304</v>
      </c>
      <c r="D782" s="374">
        <v>2001814.5885000001</v>
      </c>
      <c r="E782" s="95"/>
      <c r="F782" s="105">
        <v>1.3879999999999999</v>
      </c>
      <c r="G782" s="93">
        <v>0</v>
      </c>
      <c r="H782" s="93">
        <v>0</v>
      </c>
      <c r="I782" s="93">
        <v>0</v>
      </c>
      <c r="J782" s="93">
        <v>0</v>
      </c>
      <c r="K782" s="93"/>
      <c r="L782" s="93">
        <f t="shared" si="107"/>
        <v>0</v>
      </c>
      <c r="M782" s="95" t="e">
        <f t="shared" ca="1" si="108"/>
        <v>#DIV/0!</v>
      </c>
      <c r="N782" s="95">
        <f>IF(P782="Hedge Fund",IF(A782=Summary!$AD$3,M782-E782,M782),IF(A782=Summary!$AD$3,L782-D782,L782))</f>
        <v>0</v>
      </c>
      <c r="O782" s="95">
        <f t="shared" ref="O782:O845" si="112">N782</f>
        <v>0</v>
      </c>
      <c r="P782" s="95" t="s">
        <v>155</v>
      </c>
      <c r="Q782" s="95">
        <v>2.8655758604566439E-3</v>
      </c>
      <c r="R782" s="95">
        <v>0.10832022149999999</v>
      </c>
      <c r="S782" s="95"/>
      <c r="T782" s="95"/>
      <c r="U782" s="95"/>
      <c r="V782" s="95"/>
      <c r="W782" s="95"/>
      <c r="X782" s="95"/>
      <c r="Y782" s="95"/>
      <c r="Z782" s="95"/>
      <c r="AA782" s="95"/>
      <c r="AB782" s="95"/>
      <c r="AC782" s="355"/>
      <c r="AD782" s="355"/>
      <c r="AE782" s="355"/>
      <c r="AF782" s="94">
        <f t="shared" si="109"/>
        <v>43404</v>
      </c>
      <c r="AG782" s="185">
        <f t="shared" si="104"/>
        <v>1.9184182947220574E-3</v>
      </c>
      <c r="AH782" s="339" t="str">
        <f>VLOOKUP(B782,'MF PF'!A:B,2)</f>
        <v>FdMgt1</v>
      </c>
      <c r="AI782" s="358">
        <f t="shared" si="110"/>
        <v>0</v>
      </c>
      <c r="AJ782" s="94">
        <f t="shared" si="111"/>
        <v>43404</v>
      </c>
    </row>
    <row r="783" spans="1:36" ht="12.75" customHeight="1">
      <c r="A783" s="94">
        <v>43434</v>
      </c>
      <c r="B783" s="358" t="s">
        <v>136</v>
      </c>
      <c r="C783" s="358" t="s">
        <v>304</v>
      </c>
      <c r="D783" s="374">
        <v>2026919.585</v>
      </c>
      <c r="F783" s="105">
        <v>1.3879999999999999</v>
      </c>
      <c r="G783" s="93">
        <v>0</v>
      </c>
      <c r="H783" s="93">
        <v>0</v>
      </c>
      <c r="I783" s="93">
        <v>0</v>
      </c>
      <c r="K783" s="93">
        <v>0</v>
      </c>
      <c r="L783" s="93">
        <f t="shared" si="107"/>
        <v>0</v>
      </c>
      <c r="M783" s="95" t="e">
        <f t="shared" ca="1" si="108"/>
        <v>#DIV/0!</v>
      </c>
      <c r="N783" s="95">
        <f>IF(P783="Hedge Fund",IF(A783=Summary!$AD$3,M783-E783,M783),IF(A783=Summary!$AD$3,L783-D783,L783))</f>
        <v>0</v>
      </c>
      <c r="O783" s="95">
        <f t="shared" si="112"/>
        <v>0</v>
      </c>
      <c r="P783" s="95" t="s">
        <v>155</v>
      </c>
      <c r="Q783" s="95">
        <v>5.5540735532548496E-3</v>
      </c>
      <c r="R783" s="95">
        <v>0.11275051500000001</v>
      </c>
      <c r="S783" s="95"/>
      <c r="T783" s="95"/>
      <c r="U783" s="95"/>
      <c r="V783" s="95"/>
      <c r="W783" s="95"/>
      <c r="X783" s="95"/>
      <c r="Y783" s="95"/>
      <c r="Z783" s="95"/>
      <c r="AA783" s="95"/>
      <c r="AB783" s="95"/>
      <c r="AC783" s="355"/>
      <c r="AD783" s="355"/>
      <c r="AE783" s="355"/>
      <c r="AF783" s="94">
        <f t="shared" si="109"/>
        <v>43434</v>
      </c>
      <c r="AG783" s="185">
        <f t="shared" ref="AG783:AG846" si="113">IF(C783&lt;&gt;C782,D783/G783-1,(D783-G783-I783-H783)/(D782)-1)</f>
        <v>1.25411197641494E-2</v>
      </c>
      <c r="AH783" s="339" t="str">
        <f>VLOOKUP(B783,'MF PF'!A:B,2)</f>
        <v>FdMgt1</v>
      </c>
      <c r="AI783" s="358">
        <f t="shared" si="110"/>
        <v>0</v>
      </c>
      <c r="AJ783" s="94">
        <f t="shared" si="111"/>
        <v>43434</v>
      </c>
    </row>
    <row r="784" spans="1:36" ht="12.75" customHeight="1">
      <c r="A784" s="94">
        <v>43452</v>
      </c>
      <c r="B784" s="358" t="s">
        <v>136</v>
      </c>
      <c r="C784" s="358" t="s">
        <v>304</v>
      </c>
      <c r="D784" s="93"/>
      <c r="F784" s="93"/>
      <c r="G784" s="93"/>
      <c r="H784" s="93"/>
      <c r="I784" s="93">
        <v>-31711.331614110168</v>
      </c>
      <c r="K784" s="93"/>
      <c r="L784" s="93">
        <f t="shared" si="107"/>
        <v>-31711.331614110168</v>
      </c>
      <c r="M784" s="95" t="e">
        <f t="shared" ca="1" si="108"/>
        <v>#DIV/0!</v>
      </c>
      <c r="N784" s="95">
        <f>IF(P784="Hedge Fund",IF(A784=Summary!$AD$3,M784-E784,M784),IF(A784=Summary!$AD$3,L784-D784,L784))</f>
        <v>-31711.331614110168</v>
      </c>
      <c r="O784" s="95">
        <f t="shared" si="112"/>
        <v>-31711.331614110168</v>
      </c>
      <c r="P784" s="95" t="s">
        <v>155</v>
      </c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  <c r="AC784" s="355"/>
      <c r="AD784" s="355"/>
      <c r="AE784" s="355"/>
      <c r="AF784" s="94">
        <f t="shared" si="109"/>
        <v>43452</v>
      </c>
      <c r="AG784" s="185">
        <f t="shared" si="113"/>
        <v>-0.98435491380675066</v>
      </c>
      <c r="AH784" s="339" t="str">
        <f>VLOOKUP(B784,'MF PF'!A:B,2)</f>
        <v>FdMgt1</v>
      </c>
      <c r="AI784" s="358">
        <f t="shared" si="110"/>
        <v>0</v>
      </c>
      <c r="AJ784" s="94">
        <f t="shared" si="111"/>
        <v>43465</v>
      </c>
    </row>
    <row r="785" spans="1:36" ht="12.75" customHeight="1">
      <c r="A785" s="8">
        <v>43465</v>
      </c>
      <c r="B785" s="358" t="s">
        <v>136</v>
      </c>
      <c r="C785" s="92" t="s">
        <v>304</v>
      </c>
      <c r="D785" s="93">
        <v>2020274.4426</v>
      </c>
      <c r="F785" s="93">
        <v>1.3879999999999999</v>
      </c>
      <c r="G785" s="93">
        <v>0</v>
      </c>
      <c r="H785" s="93">
        <v>0</v>
      </c>
      <c r="I785" s="93">
        <v>0</v>
      </c>
      <c r="K785" s="93">
        <v>0</v>
      </c>
      <c r="L785" s="93">
        <f t="shared" si="107"/>
        <v>0</v>
      </c>
      <c r="M785" s="95" t="e">
        <f t="shared" ca="1" si="108"/>
        <v>#DIV/0!</v>
      </c>
      <c r="N785" s="95">
        <f>IF(P785="Hedge Fund",IF(A785=Summary!$AD$3,M785-E785,M785),IF(A785=Summary!$AD$3,L785-D785,L785))</f>
        <v>0</v>
      </c>
      <c r="O785" s="95">
        <f t="shared" si="112"/>
        <v>0</v>
      </c>
      <c r="P785" s="95" t="s">
        <v>155</v>
      </c>
      <c r="Q785" s="95">
        <v>8.2918538991057222E-3</v>
      </c>
      <c r="R785" s="95">
        <v>0.11790651743777592</v>
      </c>
      <c r="S785" s="95"/>
      <c r="T785" s="95"/>
      <c r="U785" s="95"/>
      <c r="V785" s="95"/>
      <c r="W785" s="95"/>
      <c r="X785" s="95"/>
      <c r="Y785" s="95"/>
      <c r="Z785" s="95"/>
      <c r="AA785" s="95"/>
      <c r="AB785" s="95"/>
      <c r="AC785" s="355"/>
      <c r="AD785" s="355"/>
      <c r="AE785" s="355"/>
      <c r="AF785" s="94">
        <f t="shared" si="109"/>
        <v>43465</v>
      </c>
      <c r="AG785" s="185" t="e">
        <f t="shared" si="113"/>
        <v>#DIV/0!</v>
      </c>
      <c r="AH785" s="339" t="str">
        <f>VLOOKUP(B785,'MF PF'!A:B,2)</f>
        <v>FdMgt1</v>
      </c>
      <c r="AI785" s="358">
        <f t="shared" si="110"/>
        <v>0</v>
      </c>
      <c r="AJ785" s="94">
        <f t="shared" si="111"/>
        <v>43465</v>
      </c>
    </row>
    <row r="786" spans="1:36" ht="12.75" customHeight="1">
      <c r="A786" s="8">
        <v>43487</v>
      </c>
      <c r="B786" s="358" t="s">
        <v>136</v>
      </c>
      <c r="C786" s="92" t="s">
        <v>304</v>
      </c>
      <c r="D786" s="93"/>
      <c r="E786" s="95"/>
      <c r="F786" s="93"/>
      <c r="G786" s="93"/>
      <c r="H786" s="93"/>
      <c r="I786" s="93">
        <v>-100439.38613299682</v>
      </c>
      <c r="K786" s="93"/>
      <c r="L786" s="93">
        <f t="shared" si="107"/>
        <v>-100439.38613299682</v>
      </c>
      <c r="M786" s="95" t="e">
        <f t="shared" ca="1" si="108"/>
        <v>#DIV/0!</v>
      </c>
      <c r="N786" s="95">
        <f>IF(P786="Hedge Fund",IF(A786=Summary!$AD$3,M786-E786,M786),IF(A786=Summary!$AD$3,L786-D786,L786))</f>
        <v>-100439.38613299682</v>
      </c>
      <c r="O786" s="95">
        <f t="shared" si="112"/>
        <v>-100439.38613299682</v>
      </c>
      <c r="P786" s="95" t="s">
        <v>155</v>
      </c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  <c r="AC786" s="355"/>
      <c r="AD786" s="355"/>
      <c r="AE786" s="355"/>
      <c r="AF786" s="94">
        <f t="shared" si="109"/>
        <v>43487</v>
      </c>
      <c r="AG786" s="185">
        <f t="shared" si="113"/>
        <v>-0.95028428612711846</v>
      </c>
      <c r="AH786" s="339" t="str">
        <f>VLOOKUP(B786,'MF PF'!A:B,2)</f>
        <v>FdMgt1</v>
      </c>
      <c r="AI786" s="358">
        <f t="shared" si="110"/>
        <v>0</v>
      </c>
      <c r="AJ786" s="94">
        <f t="shared" si="111"/>
        <v>43496</v>
      </c>
    </row>
    <row r="787" spans="1:36" ht="12.75" customHeight="1">
      <c r="A787" s="94">
        <v>43496</v>
      </c>
      <c r="B787" s="358" t="s">
        <v>136</v>
      </c>
      <c r="C787" s="358" t="s">
        <v>304</v>
      </c>
      <c r="D787" s="93">
        <v>1950722.1013</v>
      </c>
      <c r="E787" s="95"/>
      <c r="F787" s="93">
        <v>1.3879999999999999</v>
      </c>
      <c r="G787" s="93">
        <v>0</v>
      </c>
      <c r="H787" s="93">
        <v>0</v>
      </c>
      <c r="I787" s="93">
        <v>0</v>
      </c>
      <c r="K787" s="7">
        <v>0</v>
      </c>
      <c r="L787" s="93">
        <f t="shared" si="107"/>
        <v>0</v>
      </c>
      <c r="M787" s="95" t="e">
        <f t="shared" ca="1" si="108"/>
        <v>#DIV/0!</v>
      </c>
      <c r="N787" s="95">
        <f>IF(P787="Hedge Fund",IF(A787=Summary!$AD$3,M787-E787,M787),IF(A787=Summary!$AD$3,L787-D787,L787))</f>
        <v>-1950722.1013</v>
      </c>
      <c r="O787" s="95">
        <f t="shared" si="112"/>
        <v>-1950722.1013</v>
      </c>
      <c r="P787" s="95" t="s">
        <v>155</v>
      </c>
      <c r="Q787" s="380">
        <v>2.5593141824249333E-3</v>
      </c>
      <c r="R787" s="95">
        <v>0.12260675871083114</v>
      </c>
      <c r="S787" s="95"/>
      <c r="T787" s="95"/>
      <c r="U787" s="95"/>
      <c r="V787" s="95"/>
      <c r="W787" s="95"/>
      <c r="X787" s="95"/>
      <c r="Y787" s="95"/>
      <c r="Z787" s="95"/>
      <c r="AA787" s="95"/>
      <c r="AB787" s="95"/>
      <c r="AC787" s="355"/>
      <c r="AD787" s="355"/>
      <c r="AE787" s="355"/>
      <c r="AF787" s="94">
        <f t="shared" si="109"/>
        <v>43496</v>
      </c>
      <c r="AG787" s="185" t="e">
        <f t="shared" si="113"/>
        <v>#DIV/0!</v>
      </c>
      <c r="AH787" s="339" t="str">
        <f>VLOOKUP(B787,'MF PF'!A:B,2)</f>
        <v>FdMgt1</v>
      </c>
      <c r="AI787" s="358">
        <f t="shared" si="110"/>
        <v>0</v>
      </c>
      <c r="AJ787" s="94">
        <f t="shared" si="111"/>
        <v>43496</v>
      </c>
    </row>
    <row r="788" spans="1:36" ht="12.75" customHeight="1">
      <c r="A788" s="94">
        <v>41856</v>
      </c>
      <c r="B788" s="94" t="s">
        <v>136</v>
      </c>
      <c r="C788" s="358" t="s">
        <v>305</v>
      </c>
      <c r="D788" s="374">
        <v>611040</v>
      </c>
      <c r="E788" s="9" t="e">
        <f t="shared" ref="E788:E819" si="114">D788/K788</f>
        <v>#DIV/0!</v>
      </c>
      <c r="F788" s="47">
        <v>5.36</v>
      </c>
      <c r="G788" s="47">
        <v>611040</v>
      </c>
      <c r="H788" s="47">
        <v>0</v>
      </c>
      <c r="I788" s="98">
        <v>0</v>
      </c>
      <c r="J788" s="98"/>
      <c r="L788" s="93">
        <f t="shared" si="107"/>
        <v>611040</v>
      </c>
      <c r="M788" s="95" t="e">
        <f t="shared" ca="1" si="108"/>
        <v>#DIV/0!</v>
      </c>
      <c r="N788" s="95">
        <f>IF(P788="Hedge Fund",IF(A788=Summary!$AD$3,M788-E788,M788),IF(A788=Summary!$AD$3,L788-D788,L788))</f>
        <v>611040</v>
      </c>
      <c r="O788" s="95">
        <f t="shared" si="112"/>
        <v>611040</v>
      </c>
      <c r="P788" s="89" t="s">
        <v>155</v>
      </c>
      <c r="Q788" s="107">
        <v>0</v>
      </c>
      <c r="R788" s="89">
        <v>0</v>
      </c>
      <c r="S788" s="89">
        <v>0</v>
      </c>
      <c r="T788" s="89">
        <v>0</v>
      </c>
      <c r="U788" s="89"/>
      <c r="V788" s="89"/>
      <c r="W788" s="89"/>
      <c r="X788" s="89"/>
      <c r="Y788" s="89"/>
      <c r="Z788" s="89"/>
      <c r="AA788" s="89"/>
      <c r="AB788" s="89"/>
      <c r="AC788" s="355"/>
      <c r="AD788" s="355"/>
      <c r="AE788" s="355"/>
      <c r="AF788" s="94">
        <f t="shared" si="109"/>
        <v>41856</v>
      </c>
      <c r="AG788" s="185">
        <f t="shared" si="113"/>
        <v>0</v>
      </c>
      <c r="AH788" s="339" t="str">
        <f>VLOOKUP(B788,'MF PF'!A:B,2)</f>
        <v>FdMgt1</v>
      </c>
      <c r="AI788" s="358">
        <f t="shared" si="110"/>
        <v>0</v>
      </c>
      <c r="AJ788" s="94">
        <f t="shared" si="111"/>
        <v>41882</v>
      </c>
    </row>
    <row r="789" spans="1:36" ht="12.75" customHeight="1">
      <c r="A789" s="94">
        <v>41870</v>
      </c>
      <c r="B789" s="94" t="s">
        <v>136</v>
      </c>
      <c r="C789" s="358" t="s">
        <v>305</v>
      </c>
      <c r="D789" s="374">
        <v>1356080</v>
      </c>
      <c r="E789" s="9" t="e">
        <f t="shared" si="114"/>
        <v>#DIV/0!</v>
      </c>
      <c r="F789" s="47">
        <v>5.36</v>
      </c>
      <c r="G789" s="47">
        <v>745040</v>
      </c>
      <c r="H789" s="47">
        <v>0</v>
      </c>
      <c r="I789" s="47">
        <v>0</v>
      </c>
      <c r="J789" s="98"/>
      <c r="K789" s="93"/>
      <c r="L789" s="93">
        <f t="shared" si="107"/>
        <v>745040</v>
      </c>
      <c r="M789" s="95" t="e">
        <f t="shared" ca="1" si="108"/>
        <v>#DIV/0!</v>
      </c>
      <c r="N789" s="95">
        <f>IF(P789="Hedge Fund",IF(A789=Summary!$AD$3,M789-E789,M789),IF(A789=Summary!$AD$3,L789-D789,L789))</f>
        <v>745040</v>
      </c>
      <c r="O789" s="95">
        <f t="shared" si="112"/>
        <v>745040</v>
      </c>
      <c r="P789" s="89" t="s">
        <v>155</v>
      </c>
      <c r="Q789" s="107">
        <v>0</v>
      </c>
      <c r="R789" s="107">
        <v>0</v>
      </c>
      <c r="S789" s="89">
        <v>0</v>
      </c>
      <c r="T789" s="89">
        <v>0</v>
      </c>
      <c r="U789" s="89"/>
      <c r="V789" s="89"/>
      <c r="W789" s="89"/>
      <c r="X789" s="89"/>
      <c r="Y789" s="89"/>
      <c r="Z789" s="89"/>
      <c r="AA789" s="89"/>
      <c r="AB789" s="89"/>
      <c r="AC789" s="355"/>
      <c r="AD789" s="355"/>
      <c r="AE789" s="355"/>
      <c r="AF789" s="94">
        <f t="shared" si="109"/>
        <v>41870</v>
      </c>
      <c r="AG789" s="185">
        <f t="shared" si="113"/>
        <v>0</v>
      </c>
      <c r="AH789" s="339" t="str">
        <f>VLOOKUP(B789,'MF PF'!A:B,2)</f>
        <v>FdMgt1</v>
      </c>
      <c r="AI789" s="358">
        <f t="shared" si="110"/>
        <v>0</v>
      </c>
      <c r="AJ789" s="94">
        <f t="shared" si="111"/>
        <v>41882</v>
      </c>
    </row>
    <row r="790" spans="1:36" ht="12.75" customHeight="1">
      <c r="A790" s="8">
        <v>41880</v>
      </c>
      <c r="B790" s="94" t="s">
        <v>136</v>
      </c>
      <c r="C790" s="358" t="s">
        <v>305</v>
      </c>
      <c r="D790" s="374">
        <v>1361855.26</v>
      </c>
      <c r="E790" s="9" t="e">
        <f t="shared" si="114"/>
        <v>#DIV/0!</v>
      </c>
      <c r="F790" s="47">
        <v>5.36</v>
      </c>
      <c r="G790" s="47">
        <v>0</v>
      </c>
      <c r="H790" s="47">
        <v>0</v>
      </c>
      <c r="I790" s="47">
        <v>0</v>
      </c>
      <c r="J790" s="98"/>
      <c r="L790" s="93">
        <f t="shared" si="107"/>
        <v>0</v>
      </c>
      <c r="M790" s="95" t="e">
        <f t="shared" ca="1" si="108"/>
        <v>#DIV/0!</v>
      </c>
      <c r="N790" s="95">
        <f>IF(P790="Hedge Fund",IF(A790=Summary!$AD$3,M790-E790,M790),IF(A790=Summary!$AD$3,L790-D790,L790))</f>
        <v>0</v>
      </c>
      <c r="O790" s="95">
        <f t="shared" si="112"/>
        <v>0</v>
      </c>
      <c r="P790" s="89" t="s">
        <v>155</v>
      </c>
      <c r="Q790" s="107">
        <v>0</v>
      </c>
      <c r="R790" s="107">
        <v>0</v>
      </c>
      <c r="S790" s="89">
        <v>0</v>
      </c>
      <c r="T790" s="89">
        <v>0</v>
      </c>
      <c r="U790" s="89"/>
      <c r="V790" s="89"/>
      <c r="W790" s="89"/>
      <c r="X790" s="89"/>
      <c r="Y790" s="89"/>
      <c r="Z790" s="89"/>
      <c r="AA790" s="89"/>
      <c r="AB790" s="89"/>
      <c r="AC790" s="355"/>
      <c r="AD790" s="355"/>
      <c r="AE790" s="355"/>
      <c r="AF790" s="94">
        <f t="shared" si="109"/>
        <v>41880</v>
      </c>
      <c r="AG790" s="185">
        <f t="shared" si="113"/>
        <v>4.2587900418853408E-3</v>
      </c>
      <c r="AH790" s="339" t="str">
        <f>VLOOKUP(B790,'MF PF'!A:B,2)</f>
        <v>FdMgt1</v>
      </c>
      <c r="AI790" s="358">
        <f t="shared" si="110"/>
        <v>0</v>
      </c>
      <c r="AJ790" s="94">
        <f t="shared" si="111"/>
        <v>41882</v>
      </c>
    </row>
    <row r="791" spans="1:36" ht="12.75" customHeight="1">
      <c r="A791" s="94">
        <v>41912</v>
      </c>
      <c r="B791" s="94" t="s">
        <v>136</v>
      </c>
      <c r="C791" s="358" t="s">
        <v>305</v>
      </c>
      <c r="D791" s="374">
        <v>1329933.1200000001</v>
      </c>
      <c r="E791" s="95" t="e">
        <f t="shared" si="114"/>
        <v>#DIV/0!</v>
      </c>
      <c r="F791" s="98">
        <v>5.36</v>
      </c>
      <c r="G791" s="98">
        <v>0</v>
      </c>
      <c r="H791" s="98">
        <v>0</v>
      </c>
      <c r="I791" s="98">
        <v>0</v>
      </c>
      <c r="J791" s="98"/>
      <c r="L791" s="93">
        <f t="shared" si="107"/>
        <v>0</v>
      </c>
      <c r="M791" s="95" t="e">
        <f t="shared" ca="1" si="108"/>
        <v>#DIV/0!</v>
      </c>
      <c r="N791" s="95">
        <f>IF(P791="Hedge Fund",IF(A791=Summary!$AD$3,M791-E791,M791),IF(A791=Summary!$AD$3,L791-D791,L791))</f>
        <v>0</v>
      </c>
      <c r="O791" s="95">
        <f t="shared" si="112"/>
        <v>0</v>
      </c>
      <c r="P791" s="107" t="s">
        <v>155</v>
      </c>
      <c r="Q791" s="107">
        <v>0</v>
      </c>
      <c r="R791" s="107">
        <v>0</v>
      </c>
      <c r="S791" s="107">
        <v>0</v>
      </c>
      <c r="T791" s="107">
        <v>0</v>
      </c>
      <c r="U791" s="107"/>
      <c r="V791" s="107"/>
      <c r="W791" s="107"/>
      <c r="X791" s="107"/>
      <c r="Y791" s="107"/>
      <c r="Z791" s="107"/>
      <c r="AA791" s="107"/>
      <c r="AB791" s="107"/>
      <c r="AC791" s="355"/>
      <c r="AD791" s="355"/>
      <c r="AE791" s="355"/>
      <c r="AF791" s="94">
        <f t="shared" si="109"/>
        <v>41912</v>
      </c>
      <c r="AG791" s="185">
        <f t="shared" si="113"/>
        <v>-2.3440185559807536E-2</v>
      </c>
      <c r="AH791" s="339" t="str">
        <f>VLOOKUP(B791,'MF PF'!A:B,2)</f>
        <v>FdMgt1</v>
      </c>
      <c r="AI791" s="358">
        <f t="shared" si="110"/>
        <v>0</v>
      </c>
      <c r="AJ791" s="94">
        <f t="shared" si="111"/>
        <v>41912</v>
      </c>
    </row>
    <row r="792" spans="1:36" ht="12.75" customHeight="1">
      <c r="A792" s="8">
        <v>41943</v>
      </c>
      <c r="B792" s="94" t="s">
        <v>136</v>
      </c>
      <c r="C792" s="358" t="s">
        <v>305</v>
      </c>
      <c r="D792" s="374">
        <v>2254028.6</v>
      </c>
      <c r="E792" s="9" t="e">
        <f t="shared" si="114"/>
        <v>#DIV/0!</v>
      </c>
      <c r="F792" s="98">
        <v>5.36</v>
      </c>
      <c r="G792" s="98">
        <v>905840</v>
      </c>
      <c r="H792" s="98">
        <v>0</v>
      </c>
      <c r="I792" s="98">
        <v>0</v>
      </c>
      <c r="J792" s="98"/>
      <c r="L792" s="93">
        <f t="shared" si="107"/>
        <v>905840</v>
      </c>
      <c r="M792" s="95" t="e">
        <f t="shared" ca="1" si="108"/>
        <v>#DIV/0!</v>
      </c>
      <c r="N792" s="95">
        <f>IF(P792="Hedge Fund",IF(A792=Summary!$AD$3,M792-E792,M792),IF(A792=Summary!$AD$3,L792-D792,L792))</f>
        <v>905840</v>
      </c>
      <c r="O792" s="95">
        <f t="shared" si="112"/>
        <v>905840</v>
      </c>
      <c r="P792" s="107" t="s">
        <v>155</v>
      </c>
      <c r="Q792" s="107">
        <v>0</v>
      </c>
      <c r="R792" s="107">
        <v>0</v>
      </c>
      <c r="S792" s="107">
        <v>0</v>
      </c>
      <c r="T792" s="107">
        <v>0</v>
      </c>
      <c r="U792" s="107"/>
      <c r="V792" s="107"/>
      <c r="W792" s="107"/>
      <c r="X792" s="107"/>
      <c r="Y792" s="107"/>
      <c r="Z792" s="107"/>
      <c r="AA792" s="107"/>
      <c r="AB792" s="107"/>
      <c r="AC792" s="355"/>
      <c r="AD792" s="355"/>
      <c r="AE792" s="355"/>
      <c r="AF792" s="94">
        <f t="shared" si="109"/>
        <v>41943</v>
      </c>
      <c r="AG792" s="185">
        <f t="shared" si="113"/>
        <v>1.372661506467332E-2</v>
      </c>
      <c r="AH792" s="339" t="str">
        <f>VLOOKUP(B792,'MF PF'!A:B,2)</f>
        <v>FdMgt1</v>
      </c>
      <c r="AI792" s="358">
        <f t="shared" si="110"/>
        <v>0</v>
      </c>
      <c r="AJ792" s="94">
        <f t="shared" si="111"/>
        <v>41943</v>
      </c>
    </row>
    <row r="793" spans="1:36" ht="12.75" customHeight="1">
      <c r="A793" s="94">
        <v>41971</v>
      </c>
      <c r="B793" s="94" t="s">
        <v>136</v>
      </c>
      <c r="C793" s="358" t="s">
        <v>305</v>
      </c>
      <c r="D793" s="374">
        <v>2306091.73</v>
      </c>
      <c r="E793" s="9" t="e">
        <f t="shared" si="114"/>
        <v>#DIV/0!</v>
      </c>
      <c r="F793" s="98">
        <v>5.36</v>
      </c>
      <c r="G793" s="98">
        <v>0</v>
      </c>
      <c r="H793" s="98">
        <v>0</v>
      </c>
      <c r="I793" s="98">
        <v>0</v>
      </c>
      <c r="J793" s="98"/>
      <c r="K793" s="93"/>
      <c r="L793" s="93">
        <f t="shared" si="107"/>
        <v>0</v>
      </c>
      <c r="M793" s="95" t="e">
        <f t="shared" ca="1" si="108"/>
        <v>#DIV/0!</v>
      </c>
      <c r="N793" s="95">
        <f>IF(P793="Hedge Fund",IF(A793=Summary!$AD$3,M793-E793,M793),IF(A793=Summary!$AD$3,L793-D793,L793))</f>
        <v>0</v>
      </c>
      <c r="O793" s="95">
        <f t="shared" si="112"/>
        <v>0</v>
      </c>
      <c r="P793" s="107" t="s">
        <v>155</v>
      </c>
      <c r="Q793" s="107">
        <v>0</v>
      </c>
      <c r="R793" s="107">
        <v>0</v>
      </c>
      <c r="S793" s="107">
        <v>0</v>
      </c>
      <c r="T793" s="107">
        <v>0</v>
      </c>
      <c r="U793" s="107"/>
      <c r="V793" s="107"/>
      <c r="W793" s="107"/>
      <c r="X793" s="107"/>
      <c r="Y793" s="107"/>
      <c r="Z793" s="107"/>
      <c r="AA793" s="107"/>
      <c r="AB793" s="107"/>
      <c r="AC793" s="355"/>
      <c r="AD793" s="355"/>
      <c r="AE793" s="355"/>
      <c r="AF793" s="94">
        <f t="shared" si="109"/>
        <v>41971</v>
      </c>
      <c r="AG793" s="185">
        <f t="shared" si="113"/>
        <v>2.3097812512228089E-2</v>
      </c>
      <c r="AH793" s="339" t="str">
        <f>VLOOKUP(B793,'MF PF'!A:B,2)</f>
        <v>FdMgt1</v>
      </c>
      <c r="AI793" s="358">
        <f t="shared" si="110"/>
        <v>0</v>
      </c>
      <c r="AJ793" s="94">
        <f t="shared" si="111"/>
        <v>41973</v>
      </c>
    </row>
    <row r="794" spans="1:36" ht="12.75" customHeight="1">
      <c r="A794" s="94">
        <v>42004</v>
      </c>
      <c r="B794" s="94" t="s">
        <v>136</v>
      </c>
      <c r="C794" s="358" t="s">
        <v>305</v>
      </c>
      <c r="D794" s="374">
        <v>2319192.5299999998</v>
      </c>
      <c r="E794" s="9" t="e">
        <f t="shared" si="114"/>
        <v>#DIV/0!</v>
      </c>
      <c r="F794" s="47">
        <v>5.36</v>
      </c>
      <c r="G794" s="47">
        <v>0</v>
      </c>
      <c r="H794" s="47">
        <v>0</v>
      </c>
      <c r="I794" s="47">
        <v>0</v>
      </c>
      <c r="J794" s="98"/>
      <c r="K794" s="93"/>
      <c r="L794" s="93">
        <f t="shared" si="107"/>
        <v>0</v>
      </c>
      <c r="M794" s="95" t="e">
        <f t="shared" ca="1" si="108"/>
        <v>#DIV/0!</v>
      </c>
      <c r="N794" s="95">
        <f>IF(P794="Hedge Fund",IF(A794=Summary!$AD$3,M794-E794,M794),IF(A794=Summary!$AD$3,L794-D794,L794))</f>
        <v>0</v>
      </c>
      <c r="O794" s="95">
        <f t="shared" si="112"/>
        <v>0</v>
      </c>
      <c r="P794" s="89" t="s">
        <v>155</v>
      </c>
      <c r="Q794" s="107">
        <v>0</v>
      </c>
      <c r="R794" s="107">
        <v>0</v>
      </c>
      <c r="S794" s="89">
        <v>0</v>
      </c>
      <c r="T794" s="89">
        <v>0</v>
      </c>
      <c r="U794" s="89"/>
      <c r="V794" s="89"/>
      <c r="W794" s="89"/>
      <c r="X794" s="89"/>
      <c r="Y794" s="89"/>
      <c r="Z794" s="89"/>
      <c r="AA794" s="89"/>
      <c r="AB794" s="89"/>
      <c r="AC794" s="355"/>
      <c r="AD794" s="355"/>
      <c r="AE794" s="355"/>
      <c r="AF794" s="94">
        <f t="shared" si="109"/>
        <v>42004</v>
      </c>
      <c r="AG794" s="185">
        <f t="shared" si="113"/>
        <v>5.6809535499264818E-3</v>
      </c>
      <c r="AH794" s="339" t="str">
        <f>VLOOKUP(B794,'MF PF'!A:B,2)</f>
        <v>FdMgt1</v>
      </c>
      <c r="AI794" s="358">
        <f t="shared" si="110"/>
        <v>0</v>
      </c>
      <c r="AJ794" s="94">
        <f t="shared" si="111"/>
        <v>42004</v>
      </c>
    </row>
    <row r="795" spans="1:36" ht="12.75" customHeight="1">
      <c r="A795" s="8">
        <v>42034</v>
      </c>
      <c r="B795" s="94" t="s">
        <v>136</v>
      </c>
      <c r="C795" s="358" t="s">
        <v>305</v>
      </c>
      <c r="D795" s="374">
        <v>3012891.62</v>
      </c>
      <c r="E795" s="9" t="e">
        <f t="shared" si="114"/>
        <v>#DIV/0!</v>
      </c>
      <c r="F795" s="47">
        <v>5.36</v>
      </c>
      <c r="G795" s="47">
        <v>621760</v>
      </c>
      <c r="H795" s="47">
        <v>0</v>
      </c>
      <c r="I795" s="98">
        <v>0</v>
      </c>
      <c r="J795" s="98"/>
      <c r="K795" s="93"/>
      <c r="L795" s="93">
        <f t="shared" si="107"/>
        <v>621760</v>
      </c>
      <c r="M795" s="95" t="e">
        <f t="shared" ca="1" si="108"/>
        <v>#DIV/0!</v>
      </c>
      <c r="N795" s="95">
        <f>IF(P795="Hedge Fund",IF(A795=Summary!$AD$3,M795-E795,M795),IF(A795=Summary!$AD$3,L795-D795,L795))</f>
        <v>621760</v>
      </c>
      <c r="O795" s="95">
        <f t="shared" si="112"/>
        <v>621760</v>
      </c>
      <c r="P795" s="89" t="s">
        <v>155</v>
      </c>
      <c r="Q795" s="107">
        <v>0</v>
      </c>
      <c r="R795" s="89">
        <v>0</v>
      </c>
      <c r="S795" s="89">
        <v>0</v>
      </c>
      <c r="T795" s="89">
        <v>0</v>
      </c>
      <c r="U795" s="89"/>
      <c r="V795" s="89"/>
      <c r="W795" s="89"/>
      <c r="X795" s="89"/>
      <c r="Y795" s="89"/>
      <c r="Z795" s="89"/>
      <c r="AA795" s="89"/>
      <c r="AB795" s="89"/>
      <c r="AC795" s="355"/>
      <c r="AD795" s="355"/>
      <c r="AE795" s="355"/>
      <c r="AF795" s="94">
        <f t="shared" si="109"/>
        <v>42034</v>
      </c>
      <c r="AG795" s="185">
        <f t="shared" si="113"/>
        <v>3.1019024539545414E-2</v>
      </c>
      <c r="AH795" s="339" t="str">
        <f>VLOOKUP(B795,'MF PF'!A:B,2)</f>
        <v>FdMgt1</v>
      </c>
      <c r="AI795" s="358">
        <f t="shared" si="110"/>
        <v>0</v>
      </c>
      <c r="AJ795" s="94">
        <f t="shared" si="111"/>
        <v>42035</v>
      </c>
    </row>
    <row r="796" spans="1:36" ht="12.75" customHeight="1">
      <c r="A796" s="8">
        <v>42062</v>
      </c>
      <c r="B796" s="94" t="s">
        <v>136</v>
      </c>
      <c r="C796" s="358" t="s">
        <v>305</v>
      </c>
      <c r="D796" s="374">
        <v>3307051.67</v>
      </c>
      <c r="E796" s="9" t="e">
        <f t="shared" si="114"/>
        <v>#DIV/0!</v>
      </c>
      <c r="F796" s="47">
        <v>5.36</v>
      </c>
      <c r="G796" s="47">
        <v>249240</v>
      </c>
      <c r="H796" s="47">
        <v>0</v>
      </c>
      <c r="I796" s="98">
        <v>0</v>
      </c>
      <c r="J796" s="98"/>
      <c r="K796" s="93"/>
      <c r="L796" s="93">
        <f t="shared" si="107"/>
        <v>249240</v>
      </c>
      <c r="M796" s="95" t="e">
        <f t="shared" ca="1" si="108"/>
        <v>#DIV/0!</v>
      </c>
      <c r="N796" s="95">
        <f>IF(P796="Hedge Fund",IF(A796=Summary!$AD$3,M796-E796,M796),IF(A796=Summary!$AD$3,L796-D796,L796))</f>
        <v>249240</v>
      </c>
      <c r="O796" s="95">
        <f t="shared" si="112"/>
        <v>249240</v>
      </c>
      <c r="P796" s="89" t="s">
        <v>155</v>
      </c>
      <c r="Q796" s="107">
        <v>0</v>
      </c>
      <c r="R796" s="89">
        <v>0</v>
      </c>
      <c r="S796" s="89">
        <v>0</v>
      </c>
      <c r="T796" s="89">
        <v>0</v>
      </c>
      <c r="U796" s="89"/>
      <c r="V796" s="89"/>
      <c r="W796" s="89"/>
      <c r="X796" s="89"/>
      <c r="Y796" s="89"/>
      <c r="Z796" s="89"/>
      <c r="AA796" s="89"/>
      <c r="AB796" s="89"/>
      <c r="AC796" s="355"/>
      <c r="AD796" s="355"/>
      <c r="AE796" s="355"/>
      <c r="AF796" s="94">
        <f t="shared" si="109"/>
        <v>42062</v>
      </c>
      <c r="AG796" s="185">
        <f t="shared" si="113"/>
        <v>1.4909281735132618E-2</v>
      </c>
      <c r="AH796" s="339" t="str">
        <f>VLOOKUP(B796,'MF PF'!A:B,2)</f>
        <v>FdMgt1</v>
      </c>
      <c r="AI796" s="358">
        <f t="shared" si="110"/>
        <v>0</v>
      </c>
      <c r="AJ796" s="94">
        <f t="shared" si="111"/>
        <v>42063</v>
      </c>
    </row>
    <row r="797" spans="1:36" ht="12.75" customHeight="1">
      <c r="A797" s="94">
        <v>42094</v>
      </c>
      <c r="B797" s="94" t="s">
        <v>136</v>
      </c>
      <c r="C797" s="358" t="s">
        <v>305</v>
      </c>
      <c r="D797" s="374">
        <v>3786701.32</v>
      </c>
      <c r="E797" s="9" t="e">
        <f t="shared" si="114"/>
        <v>#DIV/0!</v>
      </c>
      <c r="F797" s="47">
        <v>5.36</v>
      </c>
      <c r="G797" s="47">
        <v>380560</v>
      </c>
      <c r="H797" s="47">
        <v>0</v>
      </c>
      <c r="I797" s="47">
        <v>0</v>
      </c>
      <c r="J797" s="98"/>
      <c r="K797" s="93"/>
      <c r="L797" s="93">
        <f t="shared" si="107"/>
        <v>380560</v>
      </c>
      <c r="M797" s="95" t="e">
        <f t="shared" ca="1" si="108"/>
        <v>#DIV/0!</v>
      </c>
      <c r="N797" s="95">
        <f>IF(P797="Hedge Fund",IF(A797=Summary!$AD$3,M797-E797,M797),IF(A797=Summary!$AD$3,L797-D797,L797))</f>
        <v>380560</v>
      </c>
      <c r="O797" s="95">
        <f t="shared" si="112"/>
        <v>380560</v>
      </c>
      <c r="P797" s="89" t="s">
        <v>155</v>
      </c>
      <c r="Q797" s="107">
        <v>0</v>
      </c>
      <c r="R797" s="89">
        <v>0</v>
      </c>
      <c r="S797" s="89">
        <v>0</v>
      </c>
      <c r="T797" s="89">
        <v>0</v>
      </c>
      <c r="U797" s="89"/>
      <c r="V797" s="89"/>
      <c r="W797" s="89"/>
      <c r="X797" s="89"/>
      <c r="Y797" s="89"/>
      <c r="Z797" s="89"/>
      <c r="AA797" s="89"/>
      <c r="AB797" s="89"/>
      <c r="AC797" s="355"/>
      <c r="AD797" s="355"/>
      <c r="AE797" s="355"/>
      <c r="AF797" s="94">
        <f t="shared" si="109"/>
        <v>42094</v>
      </c>
      <c r="AG797" s="185">
        <f t="shared" si="113"/>
        <v>2.9963139342180201E-2</v>
      </c>
      <c r="AH797" s="339" t="str">
        <f>VLOOKUP(B797,'MF PF'!A:B,2)</f>
        <v>FdMgt1</v>
      </c>
      <c r="AI797" s="358">
        <f t="shared" si="110"/>
        <v>0</v>
      </c>
      <c r="AJ797" s="94">
        <f t="shared" si="111"/>
        <v>42094</v>
      </c>
    </row>
    <row r="798" spans="1:36" ht="12.75" customHeight="1">
      <c r="A798" s="94">
        <v>42124</v>
      </c>
      <c r="B798" s="94" t="s">
        <v>136</v>
      </c>
      <c r="C798" s="358" t="s">
        <v>305</v>
      </c>
      <c r="D798" s="374">
        <v>4155725.0000000005</v>
      </c>
      <c r="E798" s="9" t="e">
        <f t="shared" si="114"/>
        <v>#DIV/0!</v>
      </c>
      <c r="F798" s="47">
        <v>5.36</v>
      </c>
      <c r="G798" s="47">
        <v>53600</v>
      </c>
      <c r="H798" s="47">
        <v>0</v>
      </c>
      <c r="I798" s="47">
        <v>0</v>
      </c>
      <c r="J798" s="98"/>
      <c r="K798" s="93"/>
      <c r="L798" s="93">
        <f t="shared" si="107"/>
        <v>53600</v>
      </c>
      <c r="M798" s="95" t="e">
        <f t="shared" ca="1" si="108"/>
        <v>#DIV/0!</v>
      </c>
      <c r="N798" s="95">
        <f>IF(P798="Hedge Fund",IF(A798=Summary!$AD$3,M798-E798,M798),IF(A798=Summary!$AD$3,L798-D798,L798))</f>
        <v>53600</v>
      </c>
      <c r="O798" s="95">
        <f t="shared" si="112"/>
        <v>53600</v>
      </c>
      <c r="P798" s="89" t="s">
        <v>155</v>
      </c>
      <c r="Q798" s="107">
        <v>0</v>
      </c>
      <c r="R798" s="89">
        <v>0</v>
      </c>
      <c r="S798" s="89">
        <v>0</v>
      </c>
      <c r="T798" s="89">
        <v>0</v>
      </c>
      <c r="U798" s="89"/>
      <c r="V798" s="89"/>
      <c r="W798" s="89"/>
      <c r="X798" s="89"/>
      <c r="Y798" s="89"/>
      <c r="Z798" s="89"/>
      <c r="AA798" s="89"/>
      <c r="AB798" s="89"/>
      <c r="AC798" s="355"/>
      <c r="AD798" s="355"/>
      <c r="AE798" s="355"/>
      <c r="AF798" s="94">
        <f t="shared" si="109"/>
        <v>42124</v>
      </c>
      <c r="AG798" s="185">
        <f t="shared" si="113"/>
        <v>8.3297744750568503E-2</v>
      </c>
      <c r="AH798" s="339" t="str">
        <f>VLOOKUP(B798,'MF PF'!A:B,2)</f>
        <v>FdMgt1</v>
      </c>
      <c r="AI798" s="358">
        <f t="shared" si="110"/>
        <v>0</v>
      </c>
      <c r="AJ798" s="94">
        <f t="shared" si="111"/>
        <v>42124</v>
      </c>
    </row>
    <row r="799" spans="1:36" ht="12.75" customHeight="1">
      <c r="A799" s="8">
        <v>42153</v>
      </c>
      <c r="B799" s="94" t="s">
        <v>136</v>
      </c>
      <c r="C799" s="6" t="s">
        <v>305</v>
      </c>
      <c r="D799" s="374">
        <v>4340370.76</v>
      </c>
      <c r="E799" s="95" t="e">
        <f t="shared" si="114"/>
        <v>#DIV/0!</v>
      </c>
      <c r="F799" s="98">
        <v>5.36</v>
      </c>
      <c r="G799" s="98">
        <v>160800</v>
      </c>
      <c r="H799" s="98">
        <v>0</v>
      </c>
      <c r="I799" s="98">
        <v>0</v>
      </c>
      <c r="J799" s="98"/>
      <c r="K799" s="93"/>
      <c r="L799" s="93">
        <f t="shared" si="107"/>
        <v>160800</v>
      </c>
      <c r="M799" s="95" t="e">
        <f t="shared" ca="1" si="108"/>
        <v>#DIV/0!</v>
      </c>
      <c r="N799" s="95">
        <f>IF(P799="Hedge Fund",IF(A799=Summary!$AD$3,M799-E799,M799),IF(A799=Summary!$AD$3,L799-D799,L799))</f>
        <v>160800</v>
      </c>
      <c r="O799" s="95">
        <f t="shared" si="112"/>
        <v>160800</v>
      </c>
      <c r="P799" s="107" t="s">
        <v>155</v>
      </c>
      <c r="Q799" s="107">
        <v>0</v>
      </c>
      <c r="R799" s="107">
        <v>0</v>
      </c>
      <c r="S799" s="107">
        <v>0</v>
      </c>
      <c r="T799" s="107">
        <v>0</v>
      </c>
      <c r="U799" s="107"/>
      <c r="V799" s="107"/>
      <c r="W799" s="107"/>
      <c r="X799" s="107"/>
      <c r="Y799" s="107"/>
      <c r="Z799" s="107"/>
      <c r="AA799" s="107"/>
      <c r="AB799" s="107"/>
      <c r="AC799" s="355"/>
      <c r="AD799" s="355"/>
      <c r="AE799" s="355"/>
      <c r="AF799" s="94">
        <f t="shared" si="109"/>
        <v>42153</v>
      </c>
      <c r="AG799" s="185">
        <f t="shared" si="113"/>
        <v>5.7380505206670041E-3</v>
      </c>
      <c r="AH799" s="339" t="str">
        <f>VLOOKUP(B799,'MF PF'!A:B,2)</f>
        <v>FdMgt1</v>
      </c>
      <c r="AI799" s="358">
        <f t="shared" si="110"/>
        <v>0</v>
      </c>
      <c r="AJ799" s="94">
        <f t="shared" si="111"/>
        <v>42155</v>
      </c>
    </row>
    <row r="800" spans="1:36" ht="12.75" customHeight="1">
      <c r="A800" s="94">
        <v>42185</v>
      </c>
      <c r="B800" s="94" t="s">
        <v>136</v>
      </c>
      <c r="C800" s="358" t="s">
        <v>305</v>
      </c>
      <c r="D800" s="374">
        <v>4280901.6399999997</v>
      </c>
      <c r="E800" s="9" t="e">
        <f t="shared" si="114"/>
        <v>#DIV/0!</v>
      </c>
      <c r="F800" s="47">
        <v>5.36</v>
      </c>
      <c r="G800" s="47">
        <v>0</v>
      </c>
      <c r="H800" s="47">
        <v>0</v>
      </c>
      <c r="I800" s="47">
        <v>0</v>
      </c>
      <c r="J800" s="98"/>
      <c r="K800" s="93"/>
      <c r="L800" s="93">
        <f t="shared" si="107"/>
        <v>0</v>
      </c>
      <c r="M800" s="95" t="e">
        <f t="shared" ca="1" si="108"/>
        <v>#DIV/0!</v>
      </c>
      <c r="N800" s="95">
        <f>IF(P800="Hedge Fund",IF(A800=Summary!$AD$3,M800-E800,M800),IF(A800=Summary!$AD$3,L800-D800,L800))</f>
        <v>0</v>
      </c>
      <c r="O800" s="95">
        <f t="shared" si="112"/>
        <v>0</v>
      </c>
      <c r="P800" s="89" t="s">
        <v>155</v>
      </c>
      <c r="Q800" s="107">
        <v>0</v>
      </c>
      <c r="R800" s="107">
        <v>0</v>
      </c>
      <c r="S800" s="89">
        <v>0</v>
      </c>
      <c r="T800" s="89">
        <v>0</v>
      </c>
      <c r="U800" s="89"/>
      <c r="V800" s="89"/>
      <c r="W800" s="89"/>
      <c r="X800" s="89"/>
      <c r="Y800" s="89"/>
      <c r="Z800" s="89"/>
      <c r="AA800" s="89"/>
      <c r="AB800" s="89"/>
      <c r="AC800" s="355"/>
      <c r="AD800" s="355"/>
      <c r="AE800" s="355"/>
      <c r="AF800" s="94">
        <f t="shared" si="109"/>
        <v>42185</v>
      </c>
      <c r="AG800" s="185">
        <f t="shared" si="113"/>
        <v>-1.3701391721660183E-2</v>
      </c>
      <c r="AH800" s="339" t="str">
        <f>VLOOKUP(B800,'MF PF'!A:B,2)</f>
        <v>FdMgt1</v>
      </c>
      <c r="AI800" s="358">
        <f t="shared" si="110"/>
        <v>0</v>
      </c>
      <c r="AJ800" s="94">
        <f t="shared" si="111"/>
        <v>42185</v>
      </c>
    </row>
    <row r="801" spans="1:36" ht="12.75" customHeight="1">
      <c r="A801" s="94">
        <v>42216</v>
      </c>
      <c r="B801" s="94" t="s">
        <v>136</v>
      </c>
      <c r="C801" s="358" t="s">
        <v>305</v>
      </c>
      <c r="D801" s="374">
        <v>4359077.57</v>
      </c>
      <c r="E801" s="9" t="e">
        <f t="shared" si="114"/>
        <v>#DIV/0!</v>
      </c>
      <c r="F801" s="47">
        <v>5.36</v>
      </c>
      <c r="G801" s="47">
        <v>155440</v>
      </c>
      <c r="H801" s="47">
        <v>0</v>
      </c>
      <c r="I801" s="98">
        <v>0</v>
      </c>
      <c r="J801" s="98"/>
      <c r="L801" s="93">
        <f t="shared" si="107"/>
        <v>155440</v>
      </c>
      <c r="M801" s="95" t="e">
        <f t="shared" ca="1" si="108"/>
        <v>#DIV/0!</v>
      </c>
      <c r="N801" s="95">
        <f>IF(P801="Hedge Fund",IF(A801=Summary!$AD$3,M801-E801,M801),IF(A801=Summary!$AD$3,L801-D801,L801))</f>
        <v>155440</v>
      </c>
      <c r="O801" s="95">
        <f t="shared" si="112"/>
        <v>155440</v>
      </c>
      <c r="P801" s="89" t="s">
        <v>155</v>
      </c>
      <c r="Q801" s="107">
        <v>0</v>
      </c>
      <c r="R801" s="107">
        <v>0</v>
      </c>
      <c r="S801" s="89">
        <v>0</v>
      </c>
      <c r="T801" s="89">
        <v>0</v>
      </c>
      <c r="U801" s="89"/>
      <c r="V801" s="89"/>
      <c r="W801" s="89"/>
      <c r="X801" s="89"/>
      <c r="Y801" s="89"/>
      <c r="Z801" s="89"/>
      <c r="AA801" s="89"/>
      <c r="AB801" s="89"/>
      <c r="AC801" s="355"/>
      <c r="AD801" s="355"/>
      <c r="AE801" s="355"/>
      <c r="AF801" s="94">
        <f t="shared" si="109"/>
        <v>42216</v>
      </c>
      <c r="AG801" s="185">
        <f t="shared" si="113"/>
        <v>-1.8048550631964422E-2</v>
      </c>
      <c r="AH801" s="339" t="str">
        <f>VLOOKUP(B801,'MF PF'!A:B,2)</f>
        <v>FdMgt1</v>
      </c>
      <c r="AI801" s="358">
        <f t="shared" si="110"/>
        <v>0</v>
      </c>
      <c r="AJ801" s="94">
        <f t="shared" si="111"/>
        <v>42216</v>
      </c>
    </row>
    <row r="802" spans="1:36" ht="12.75" customHeight="1">
      <c r="A802" s="94">
        <v>42247</v>
      </c>
      <c r="B802" s="94" t="s">
        <v>136</v>
      </c>
      <c r="C802" s="358" t="s">
        <v>305</v>
      </c>
      <c r="D802" s="374">
        <v>4287609.03</v>
      </c>
      <c r="E802" s="9" t="e">
        <f t="shared" si="114"/>
        <v>#DIV/0!</v>
      </c>
      <c r="F802" s="47">
        <v>5.36</v>
      </c>
      <c r="G802" s="47">
        <v>0</v>
      </c>
      <c r="H802" s="47">
        <v>0</v>
      </c>
      <c r="I802" s="98">
        <v>0</v>
      </c>
      <c r="J802" s="98"/>
      <c r="L802" s="93">
        <f t="shared" si="107"/>
        <v>0</v>
      </c>
      <c r="M802" s="95" t="e">
        <f t="shared" ca="1" si="108"/>
        <v>#DIV/0!</v>
      </c>
      <c r="N802" s="95">
        <f>IF(P802="Hedge Fund",IF(A802=Summary!$AD$3,M802-E802,M802),IF(A802=Summary!$AD$3,L802-D802,L802))</f>
        <v>0</v>
      </c>
      <c r="O802" s="95">
        <f t="shared" si="112"/>
        <v>0</v>
      </c>
      <c r="P802" s="89" t="s">
        <v>155</v>
      </c>
      <c r="Q802" s="107">
        <v>0</v>
      </c>
      <c r="R802" s="107">
        <v>0</v>
      </c>
      <c r="S802" s="89">
        <v>0</v>
      </c>
      <c r="T802" s="89">
        <v>0</v>
      </c>
      <c r="U802" s="89"/>
      <c r="V802" s="89"/>
      <c r="W802" s="89"/>
      <c r="X802" s="89"/>
      <c r="Y802" s="89"/>
      <c r="Z802" s="89"/>
      <c r="AA802" s="89"/>
      <c r="AB802" s="89"/>
      <c r="AC802" s="355"/>
      <c r="AD802" s="355"/>
      <c r="AE802" s="355"/>
      <c r="AF802" s="94">
        <f t="shared" si="109"/>
        <v>42247</v>
      </c>
      <c r="AG802" s="185">
        <f t="shared" si="113"/>
        <v>-1.6395335676488099E-2</v>
      </c>
      <c r="AH802" s="339" t="str">
        <f>VLOOKUP(B802,'MF PF'!A:B,2)</f>
        <v>FdMgt1</v>
      </c>
      <c r="AI802" s="358">
        <f t="shared" si="110"/>
        <v>0</v>
      </c>
      <c r="AJ802" s="94">
        <f t="shared" si="111"/>
        <v>42247</v>
      </c>
    </row>
    <row r="803" spans="1:36" ht="12.75" customHeight="1">
      <c r="A803" s="94">
        <v>42277</v>
      </c>
      <c r="B803" s="8" t="s">
        <v>136</v>
      </c>
      <c r="C803" s="92" t="s">
        <v>305</v>
      </c>
      <c r="D803" s="374">
        <v>4310120.59</v>
      </c>
      <c r="E803" s="9" t="e">
        <f t="shared" si="114"/>
        <v>#DIV/0!</v>
      </c>
      <c r="F803" s="47">
        <v>5.36</v>
      </c>
      <c r="G803" s="47">
        <v>0</v>
      </c>
      <c r="H803" s="47">
        <v>0</v>
      </c>
      <c r="I803" s="47">
        <v>0</v>
      </c>
      <c r="J803" s="98"/>
      <c r="L803" s="93">
        <f t="shared" si="107"/>
        <v>0</v>
      </c>
      <c r="M803" s="95" t="e">
        <f t="shared" ca="1" si="108"/>
        <v>#DIV/0!</v>
      </c>
      <c r="N803" s="95">
        <f>IF(P803="Hedge Fund",IF(A803=Summary!$AD$3,M803-E803,M803),IF(A803=Summary!$AD$3,L803-D803,L803))</f>
        <v>0</v>
      </c>
      <c r="O803" s="95">
        <f t="shared" si="112"/>
        <v>0</v>
      </c>
      <c r="P803" s="89" t="s">
        <v>155</v>
      </c>
      <c r="Q803" s="89">
        <v>0</v>
      </c>
      <c r="R803" s="89">
        <v>0</v>
      </c>
      <c r="S803" s="89">
        <v>0</v>
      </c>
      <c r="T803" s="89">
        <v>0</v>
      </c>
      <c r="U803" s="89"/>
      <c r="V803" s="89"/>
      <c r="W803" s="89"/>
      <c r="X803" s="89"/>
      <c r="Y803" s="89"/>
      <c r="Z803" s="89"/>
      <c r="AA803" s="89"/>
      <c r="AB803" s="89"/>
      <c r="AC803" s="355"/>
      <c r="AD803" s="355"/>
      <c r="AE803" s="355"/>
      <c r="AF803" s="94">
        <f t="shared" si="109"/>
        <v>42277</v>
      </c>
      <c r="AG803" s="185">
        <f t="shared" si="113"/>
        <v>5.2503761053044329E-3</v>
      </c>
      <c r="AH803" s="339" t="str">
        <f>VLOOKUP(B803,'MF PF'!A:B,2)</f>
        <v>FdMgt1</v>
      </c>
      <c r="AI803" s="358">
        <f t="shared" si="110"/>
        <v>0</v>
      </c>
      <c r="AJ803" s="94">
        <f t="shared" si="111"/>
        <v>42277</v>
      </c>
    </row>
    <row r="804" spans="1:36" ht="12.75" customHeight="1">
      <c r="A804" s="8">
        <v>42307</v>
      </c>
      <c r="B804" s="8" t="s">
        <v>136</v>
      </c>
      <c r="C804" s="6" t="s">
        <v>305</v>
      </c>
      <c r="D804" s="374">
        <v>4443583.22</v>
      </c>
      <c r="E804" s="9" t="e">
        <f t="shared" si="114"/>
        <v>#DIV/0!</v>
      </c>
      <c r="F804" s="47">
        <v>5.36</v>
      </c>
      <c r="G804" s="47">
        <v>0</v>
      </c>
      <c r="H804" s="47">
        <v>0</v>
      </c>
      <c r="I804" s="47">
        <v>0</v>
      </c>
      <c r="J804" s="98"/>
      <c r="K804" s="93"/>
      <c r="L804" s="93">
        <f t="shared" si="107"/>
        <v>0</v>
      </c>
      <c r="M804" s="95" t="e">
        <f t="shared" ca="1" si="108"/>
        <v>#DIV/0!</v>
      </c>
      <c r="N804" s="95">
        <f>IF(P804="Hedge Fund",IF(A804=Summary!$AD$3,M804-E804,M804),IF(A804=Summary!$AD$3,L804-D804,L804))</f>
        <v>0</v>
      </c>
      <c r="O804" s="95">
        <f t="shared" si="112"/>
        <v>0</v>
      </c>
      <c r="P804" s="89" t="s">
        <v>155</v>
      </c>
      <c r="Q804" s="89">
        <v>0</v>
      </c>
      <c r="R804" s="89">
        <v>0</v>
      </c>
      <c r="S804" s="89">
        <v>0</v>
      </c>
      <c r="T804" s="89">
        <v>0</v>
      </c>
      <c r="U804" s="89"/>
      <c r="V804" s="89"/>
      <c r="W804" s="89"/>
      <c r="X804" s="89"/>
      <c r="Y804" s="89"/>
      <c r="Z804" s="89"/>
      <c r="AA804" s="89"/>
      <c r="AB804" s="89"/>
      <c r="AC804" s="355"/>
      <c r="AD804" s="355"/>
      <c r="AE804" s="355"/>
      <c r="AF804" s="94">
        <f t="shared" si="109"/>
        <v>42307</v>
      </c>
      <c r="AG804" s="185">
        <f t="shared" si="113"/>
        <v>3.0964941052844086E-2</v>
      </c>
      <c r="AH804" s="339" t="str">
        <f>VLOOKUP(B804,'MF PF'!A:B,2)</f>
        <v>FdMgt1</v>
      </c>
      <c r="AI804" s="358">
        <f t="shared" si="110"/>
        <v>0</v>
      </c>
      <c r="AJ804" s="94">
        <f t="shared" si="111"/>
        <v>42308</v>
      </c>
    </row>
    <row r="805" spans="1:36" ht="12.75" customHeight="1">
      <c r="A805" s="8">
        <v>42338</v>
      </c>
      <c r="B805" s="8" t="s">
        <v>136</v>
      </c>
      <c r="C805" s="6" t="s">
        <v>305</v>
      </c>
      <c r="D805" s="374">
        <v>4670845.82</v>
      </c>
      <c r="E805" s="9" t="e">
        <f t="shared" si="114"/>
        <v>#DIV/0!</v>
      </c>
      <c r="F805" s="47">
        <v>5.36</v>
      </c>
      <c r="G805" s="47">
        <v>230480</v>
      </c>
      <c r="H805" s="47">
        <v>0</v>
      </c>
      <c r="I805" s="47">
        <v>0</v>
      </c>
      <c r="J805" s="98"/>
      <c r="K805" s="93"/>
      <c r="L805" s="93">
        <f t="shared" si="107"/>
        <v>230480</v>
      </c>
      <c r="M805" s="95" t="e">
        <f t="shared" ca="1" si="108"/>
        <v>#DIV/0!</v>
      </c>
      <c r="N805" s="95">
        <f>IF(P805="Hedge Fund",IF(A805=Summary!$AD$3,M805-E805,M805),IF(A805=Summary!$AD$3,L805-D805,L805))</f>
        <v>230480</v>
      </c>
      <c r="O805" s="95">
        <f t="shared" si="112"/>
        <v>230480</v>
      </c>
      <c r="P805" s="89" t="s">
        <v>155</v>
      </c>
      <c r="Q805" s="89">
        <v>0</v>
      </c>
      <c r="R805" s="89">
        <v>0</v>
      </c>
      <c r="S805" s="89">
        <v>0</v>
      </c>
      <c r="T805" s="89">
        <v>0</v>
      </c>
      <c r="U805" s="89"/>
      <c r="V805" s="89"/>
      <c r="W805" s="89"/>
      <c r="X805" s="89"/>
      <c r="Y805" s="89"/>
      <c r="Z805" s="89"/>
      <c r="AA805" s="89"/>
      <c r="AB805" s="89"/>
      <c r="AC805" s="355"/>
      <c r="AD805" s="355"/>
      <c r="AE805" s="355"/>
      <c r="AF805" s="94">
        <f t="shared" si="109"/>
        <v>42338</v>
      </c>
      <c r="AG805" s="185">
        <f t="shared" si="113"/>
        <v>-7.2405530417851693E-4</v>
      </c>
      <c r="AH805" s="339" t="str">
        <f>VLOOKUP(B805,'MF PF'!A:B,2)</f>
        <v>FdMgt1</v>
      </c>
      <c r="AI805" s="358">
        <f t="shared" si="110"/>
        <v>0</v>
      </c>
      <c r="AJ805" s="94">
        <f t="shared" si="111"/>
        <v>42338</v>
      </c>
    </row>
    <row r="806" spans="1:36" ht="12.75" customHeight="1">
      <c r="A806" s="94">
        <v>42369</v>
      </c>
      <c r="B806" s="8" t="s">
        <v>136</v>
      </c>
      <c r="C806" s="358" t="s">
        <v>305</v>
      </c>
      <c r="D806" s="374">
        <v>4713172.1100000003</v>
      </c>
      <c r="E806" s="9" t="e">
        <f t="shared" si="114"/>
        <v>#DIV/0!</v>
      </c>
      <c r="F806" s="47">
        <v>5.36</v>
      </c>
      <c r="G806" s="47">
        <v>0</v>
      </c>
      <c r="H806" s="47">
        <v>0</v>
      </c>
      <c r="I806" s="47">
        <v>0</v>
      </c>
      <c r="J806" s="98"/>
      <c r="L806" s="93">
        <f t="shared" si="107"/>
        <v>0</v>
      </c>
      <c r="M806" s="95" t="e">
        <f t="shared" ca="1" si="108"/>
        <v>#DIV/0!</v>
      </c>
      <c r="N806" s="95">
        <f>IF(P806="Hedge Fund",IF(A806=Summary!$AD$3,M806-E806,M806),IF(A806=Summary!$AD$3,L806-D806,L806))</f>
        <v>0</v>
      </c>
      <c r="O806" s="95">
        <f t="shared" si="112"/>
        <v>0</v>
      </c>
      <c r="P806" s="89" t="s">
        <v>155</v>
      </c>
      <c r="Q806" s="89">
        <v>0</v>
      </c>
      <c r="R806" s="89">
        <v>0</v>
      </c>
      <c r="S806" s="89">
        <v>0</v>
      </c>
      <c r="T806" s="89">
        <v>0</v>
      </c>
      <c r="U806" s="89"/>
      <c r="V806" s="89"/>
      <c r="W806" s="89"/>
      <c r="X806" s="89"/>
      <c r="Y806" s="89"/>
      <c r="Z806" s="89"/>
      <c r="AA806" s="89"/>
      <c r="AB806" s="89"/>
      <c r="AC806" s="355"/>
      <c r="AD806" s="355"/>
      <c r="AE806" s="355"/>
      <c r="AF806" s="94">
        <f t="shared" si="109"/>
        <v>42369</v>
      </c>
      <c r="AG806" s="185">
        <f t="shared" si="113"/>
        <v>9.0618041423597973E-3</v>
      </c>
      <c r="AH806" s="339" t="str">
        <f>VLOOKUP(B806,'MF PF'!A:B,2)</f>
        <v>FdMgt1</v>
      </c>
      <c r="AI806" s="358">
        <f t="shared" si="110"/>
        <v>0</v>
      </c>
      <c r="AJ806" s="94">
        <f t="shared" si="111"/>
        <v>42369</v>
      </c>
    </row>
    <row r="807" spans="1:36" ht="12.75" customHeight="1">
      <c r="A807" s="8">
        <v>42398</v>
      </c>
      <c r="B807" s="8" t="s">
        <v>136</v>
      </c>
      <c r="C807" s="6" t="s">
        <v>305</v>
      </c>
      <c r="D807" s="374">
        <v>4645760.9000000004</v>
      </c>
      <c r="E807" s="9" t="e">
        <f t="shared" si="114"/>
        <v>#DIV/0!</v>
      </c>
      <c r="F807" s="47">
        <v>5.36</v>
      </c>
      <c r="G807" s="47">
        <v>0</v>
      </c>
      <c r="H807" s="47">
        <v>0</v>
      </c>
      <c r="I807" s="47">
        <v>0</v>
      </c>
      <c r="J807" s="98"/>
      <c r="K807" s="93"/>
      <c r="L807" s="93">
        <f t="shared" si="107"/>
        <v>0</v>
      </c>
      <c r="M807" s="95" t="e">
        <f t="shared" ca="1" si="108"/>
        <v>#DIV/0!</v>
      </c>
      <c r="N807" s="95">
        <f>IF(P807="Hedge Fund",IF(A807=Summary!$AD$3,M807-E807,M807),IF(A807=Summary!$AD$3,L807-D807,L807))</f>
        <v>0</v>
      </c>
      <c r="O807" s="95">
        <f t="shared" si="112"/>
        <v>0</v>
      </c>
      <c r="P807" s="89" t="s">
        <v>155</v>
      </c>
      <c r="Q807" s="107">
        <v>0</v>
      </c>
      <c r="R807" s="107">
        <v>0</v>
      </c>
      <c r="S807" s="89">
        <v>0</v>
      </c>
      <c r="T807" s="89">
        <v>0</v>
      </c>
      <c r="U807" s="89"/>
      <c r="V807" s="89"/>
      <c r="W807" s="89"/>
      <c r="X807" s="89"/>
      <c r="Y807" s="89"/>
      <c r="Z807" s="89"/>
      <c r="AA807" s="89"/>
      <c r="AB807" s="89"/>
      <c r="AC807" s="355"/>
      <c r="AD807" s="355"/>
      <c r="AE807" s="355"/>
      <c r="AF807" s="94">
        <f t="shared" si="109"/>
        <v>42398</v>
      </c>
      <c r="AG807" s="185">
        <f t="shared" si="113"/>
        <v>-1.4302726152726875E-2</v>
      </c>
      <c r="AH807" s="339" t="str">
        <f>VLOOKUP(B807,'MF PF'!A:B,2)</f>
        <v>FdMgt1</v>
      </c>
      <c r="AI807" s="358">
        <f t="shared" si="110"/>
        <v>0</v>
      </c>
      <c r="AJ807" s="94">
        <f t="shared" si="111"/>
        <v>42400</v>
      </c>
    </row>
    <row r="808" spans="1:36" ht="12.75" customHeight="1">
      <c r="A808" s="8">
        <v>42429</v>
      </c>
      <c r="B808" s="94" t="s">
        <v>136</v>
      </c>
      <c r="C808" s="92" t="s">
        <v>305</v>
      </c>
      <c r="D808" s="374">
        <v>5998952.4000000004</v>
      </c>
      <c r="E808" s="9" t="e">
        <f t="shared" si="114"/>
        <v>#DIV/0!</v>
      </c>
      <c r="F808" s="47">
        <v>5.36</v>
      </c>
      <c r="G808" s="47">
        <v>1246200</v>
      </c>
      <c r="H808" s="47">
        <v>0</v>
      </c>
      <c r="I808" s="47">
        <v>0</v>
      </c>
      <c r="J808" s="98"/>
      <c r="L808" s="93">
        <f t="shared" si="107"/>
        <v>1246200</v>
      </c>
      <c r="M808" s="95" t="e">
        <f t="shared" ca="1" si="108"/>
        <v>#DIV/0!</v>
      </c>
      <c r="N808" s="95">
        <f>IF(P808="Hedge Fund",IF(A808=Summary!$AD$3,M808-E808,M808),IF(A808=Summary!$AD$3,L808-D808,L808))</f>
        <v>1246200</v>
      </c>
      <c r="O808" s="95">
        <f t="shared" si="112"/>
        <v>1246200</v>
      </c>
      <c r="P808" s="89" t="s">
        <v>155</v>
      </c>
      <c r="Q808" s="107">
        <v>0</v>
      </c>
      <c r="R808" s="107">
        <v>0</v>
      </c>
      <c r="S808" s="89">
        <v>0</v>
      </c>
      <c r="T808" s="89">
        <v>0</v>
      </c>
      <c r="U808" s="89"/>
      <c r="V808" s="89"/>
      <c r="W808" s="89"/>
      <c r="X808" s="89"/>
      <c r="Y808" s="89"/>
      <c r="Z808" s="89"/>
      <c r="AA808" s="89"/>
      <c r="AB808" s="89"/>
      <c r="AC808" s="355"/>
      <c r="AD808" s="355"/>
      <c r="AE808" s="355"/>
      <c r="AF808" s="94">
        <f t="shared" si="109"/>
        <v>42429</v>
      </c>
      <c r="AG808" s="185">
        <f t="shared" si="113"/>
        <v>2.3029919598315907E-2</v>
      </c>
      <c r="AH808" s="339" t="str">
        <f>VLOOKUP(B808,'MF PF'!A:B,2)</f>
        <v>FdMgt1</v>
      </c>
      <c r="AI808" s="358">
        <f t="shared" si="110"/>
        <v>0</v>
      </c>
      <c r="AJ808" s="94">
        <f t="shared" si="111"/>
        <v>42429</v>
      </c>
    </row>
    <row r="809" spans="1:36" ht="12.75" customHeight="1">
      <c r="A809" s="8">
        <v>42460</v>
      </c>
      <c r="B809" s="94" t="s">
        <v>136</v>
      </c>
      <c r="C809" s="358" t="s">
        <v>305</v>
      </c>
      <c r="D809" s="374">
        <v>6073133.46</v>
      </c>
      <c r="E809" s="9" t="e">
        <f t="shared" si="114"/>
        <v>#DIV/0!</v>
      </c>
      <c r="F809" s="47">
        <v>5.36</v>
      </c>
      <c r="G809" s="47">
        <v>0</v>
      </c>
      <c r="H809" s="47">
        <v>0</v>
      </c>
      <c r="I809" s="98">
        <v>0</v>
      </c>
      <c r="J809" s="98"/>
      <c r="K809" s="93"/>
      <c r="L809" s="93">
        <f t="shared" si="107"/>
        <v>0</v>
      </c>
      <c r="M809" s="95" t="e">
        <f t="shared" ca="1" si="108"/>
        <v>#DIV/0!</v>
      </c>
      <c r="N809" s="95">
        <f>IF(P809="Hedge Fund",IF(A809=Summary!$AD$3,M809-E809,M809),IF(A809=Summary!$AD$3,L809-D809,L809))</f>
        <v>0</v>
      </c>
      <c r="O809" s="95">
        <f t="shared" si="112"/>
        <v>0</v>
      </c>
      <c r="P809" s="89" t="s">
        <v>155</v>
      </c>
      <c r="Q809" s="107">
        <v>0</v>
      </c>
      <c r="R809" s="107">
        <v>0</v>
      </c>
      <c r="S809" s="89">
        <v>0</v>
      </c>
      <c r="T809" s="89">
        <v>0</v>
      </c>
      <c r="U809" s="89"/>
      <c r="V809" s="89"/>
      <c r="W809" s="89"/>
      <c r="X809" s="89"/>
      <c r="Y809" s="89"/>
      <c r="Z809" s="89"/>
      <c r="AA809" s="89"/>
      <c r="AB809" s="89"/>
      <c r="AC809" s="355"/>
      <c r="AD809" s="355"/>
      <c r="AE809" s="355"/>
      <c r="AF809" s="94">
        <f t="shared" si="109"/>
        <v>42460</v>
      </c>
      <c r="AG809" s="185">
        <f t="shared" si="113"/>
        <v>1.2365669045815375E-2</v>
      </c>
      <c r="AH809" s="339" t="str">
        <f>VLOOKUP(B809,'MF PF'!A:B,2)</f>
        <v>FdMgt1</v>
      </c>
      <c r="AI809" s="358">
        <f t="shared" si="110"/>
        <v>0</v>
      </c>
      <c r="AJ809" s="94">
        <f t="shared" si="111"/>
        <v>42460</v>
      </c>
    </row>
    <row r="810" spans="1:36" ht="12.75" customHeight="1">
      <c r="A810" s="94">
        <v>42489</v>
      </c>
      <c r="B810" s="94" t="s">
        <v>136</v>
      </c>
      <c r="C810" s="358" t="s">
        <v>305</v>
      </c>
      <c r="D810" s="374">
        <v>6144593.5999999996</v>
      </c>
      <c r="E810" s="9" t="e">
        <f t="shared" si="114"/>
        <v>#DIV/0!</v>
      </c>
      <c r="F810" s="47">
        <v>5.36</v>
      </c>
      <c r="G810" s="47">
        <v>0</v>
      </c>
      <c r="H810" s="47">
        <v>0</v>
      </c>
      <c r="I810" s="98">
        <v>0</v>
      </c>
      <c r="J810" s="98"/>
      <c r="K810" s="93"/>
      <c r="L810" s="93">
        <f t="shared" si="107"/>
        <v>0</v>
      </c>
      <c r="M810" s="95" t="e">
        <f t="shared" ca="1" si="108"/>
        <v>#DIV/0!</v>
      </c>
      <c r="N810" s="95">
        <f>IF(P810="Hedge Fund",IF(A810=Summary!$AD$3,M810-E810,M810),IF(A810=Summary!$AD$3,L810-D810,L810))</f>
        <v>0</v>
      </c>
      <c r="O810" s="95">
        <f t="shared" si="112"/>
        <v>0</v>
      </c>
      <c r="P810" s="89" t="s">
        <v>155</v>
      </c>
      <c r="Q810" s="107">
        <v>0</v>
      </c>
      <c r="R810" s="107">
        <v>0</v>
      </c>
      <c r="S810" s="89">
        <v>0</v>
      </c>
      <c r="T810" s="89">
        <v>0</v>
      </c>
      <c r="U810" s="89"/>
      <c r="V810" s="89"/>
      <c r="W810" s="89"/>
      <c r="X810" s="89"/>
      <c r="Y810" s="89"/>
      <c r="Z810" s="89"/>
      <c r="AA810" s="89"/>
      <c r="AB810" s="89"/>
      <c r="AC810" s="355"/>
      <c r="AD810" s="355"/>
      <c r="AE810" s="355"/>
      <c r="AF810" s="94">
        <f t="shared" si="109"/>
        <v>42489</v>
      </c>
      <c r="AG810" s="185">
        <f t="shared" si="113"/>
        <v>1.1766601289213252E-2</v>
      </c>
      <c r="AH810" s="339" t="str">
        <f>VLOOKUP(B810,'MF PF'!A:B,2)</f>
        <v>FdMgt1</v>
      </c>
      <c r="AI810" s="358">
        <f t="shared" si="110"/>
        <v>0</v>
      </c>
      <c r="AJ810" s="94">
        <f t="shared" si="111"/>
        <v>42490</v>
      </c>
    </row>
    <row r="811" spans="1:36" ht="12.75" customHeight="1">
      <c r="A811" s="94">
        <v>42521</v>
      </c>
      <c r="B811" s="94" t="s">
        <v>136</v>
      </c>
      <c r="C811" s="358" t="s">
        <v>305</v>
      </c>
      <c r="D811" s="374">
        <v>6225331.6399999997</v>
      </c>
      <c r="E811" s="9" t="e">
        <f t="shared" si="114"/>
        <v>#DIV/0!</v>
      </c>
      <c r="F811" s="47">
        <v>5.36</v>
      </c>
      <c r="G811" s="47">
        <v>0</v>
      </c>
      <c r="H811" s="47">
        <v>0</v>
      </c>
      <c r="I811" s="98">
        <v>0</v>
      </c>
      <c r="J811" s="98"/>
      <c r="K811" s="93"/>
      <c r="L811" s="93">
        <f t="shared" si="107"/>
        <v>0</v>
      </c>
      <c r="M811" s="95" t="e">
        <f t="shared" ca="1" si="108"/>
        <v>#DIV/0!</v>
      </c>
      <c r="N811" s="95">
        <f>IF(P811="Hedge Fund",IF(A811=Summary!$AD$3,M811-E811,M811),IF(A811=Summary!$AD$3,L811-D811,L811))</f>
        <v>0</v>
      </c>
      <c r="O811" s="95">
        <f t="shared" si="112"/>
        <v>0</v>
      </c>
      <c r="P811" s="89" t="s">
        <v>155</v>
      </c>
      <c r="Q811" s="107">
        <v>0</v>
      </c>
      <c r="R811" s="107">
        <v>0</v>
      </c>
      <c r="S811" s="89">
        <v>0</v>
      </c>
      <c r="T811" s="89">
        <v>0</v>
      </c>
      <c r="U811" s="89"/>
      <c r="V811" s="89"/>
      <c r="W811" s="89"/>
      <c r="X811" s="89"/>
      <c r="Y811" s="89"/>
      <c r="Z811" s="89"/>
      <c r="AA811" s="89"/>
      <c r="AB811" s="89"/>
      <c r="AC811" s="355"/>
      <c r="AD811" s="355"/>
      <c r="AE811" s="355"/>
      <c r="AF811" s="94">
        <f t="shared" si="109"/>
        <v>42521</v>
      </c>
      <c r="AG811" s="185">
        <f t="shared" si="113"/>
        <v>1.3139687545812739E-2</v>
      </c>
      <c r="AH811" s="339" t="str">
        <f>VLOOKUP(B811,'MF PF'!A:B,2)</f>
        <v>FdMgt1</v>
      </c>
      <c r="AI811" s="358">
        <f t="shared" si="110"/>
        <v>0</v>
      </c>
      <c r="AJ811" s="94">
        <f t="shared" si="111"/>
        <v>42521</v>
      </c>
    </row>
    <row r="812" spans="1:36" ht="12.75" customHeight="1">
      <c r="A812" s="94">
        <v>42551</v>
      </c>
      <c r="B812" s="94" t="s">
        <v>136</v>
      </c>
      <c r="C812" s="358" t="s">
        <v>305</v>
      </c>
      <c r="D812" s="374">
        <v>6439846.71</v>
      </c>
      <c r="E812" s="9" t="e">
        <f t="shared" si="114"/>
        <v>#DIV/0!</v>
      </c>
      <c r="F812" s="47">
        <v>5.36</v>
      </c>
      <c r="G812" s="47">
        <v>0</v>
      </c>
      <c r="H812" s="47">
        <v>0</v>
      </c>
      <c r="I812" s="98">
        <v>0</v>
      </c>
      <c r="J812" s="98"/>
      <c r="K812" s="93"/>
      <c r="L812" s="93">
        <f t="shared" si="107"/>
        <v>0</v>
      </c>
      <c r="M812" s="95" t="e">
        <f t="shared" ca="1" si="108"/>
        <v>#DIV/0!</v>
      </c>
      <c r="N812" s="95">
        <f>IF(P812="Hedge Fund",IF(A812=Summary!$AD$3,M812-E812,M812),IF(A812=Summary!$AD$3,L812-D812,L812))</f>
        <v>0</v>
      </c>
      <c r="O812" s="95">
        <f t="shared" si="112"/>
        <v>0</v>
      </c>
      <c r="P812" s="89" t="s">
        <v>155</v>
      </c>
      <c r="Q812" s="107">
        <v>0</v>
      </c>
      <c r="R812" s="107">
        <v>0</v>
      </c>
      <c r="S812" s="89">
        <v>0</v>
      </c>
      <c r="T812" s="89">
        <v>0</v>
      </c>
      <c r="U812" s="89"/>
      <c r="V812" s="89"/>
      <c r="W812" s="89"/>
      <c r="X812" s="89"/>
      <c r="Y812" s="89"/>
      <c r="Z812" s="89"/>
      <c r="AA812" s="89"/>
      <c r="AB812" s="89"/>
      <c r="AC812" s="355"/>
      <c r="AD812" s="355"/>
      <c r="AE812" s="355"/>
      <c r="AF812" s="94">
        <f t="shared" si="109"/>
        <v>42551</v>
      </c>
      <c r="AG812" s="185">
        <f t="shared" si="113"/>
        <v>3.4458416419402171E-2</v>
      </c>
      <c r="AH812" s="339" t="str">
        <f>VLOOKUP(B812,'MF PF'!A:B,2)</f>
        <v>FdMgt1</v>
      </c>
      <c r="AI812" s="358">
        <f t="shared" si="110"/>
        <v>0</v>
      </c>
      <c r="AJ812" s="94">
        <f t="shared" si="111"/>
        <v>42551</v>
      </c>
    </row>
    <row r="813" spans="1:36" ht="12.75" customHeight="1">
      <c r="A813" s="94">
        <v>42580</v>
      </c>
      <c r="B813" s="94" t="s">
        <v>136</v>
      </c>
      <c r="C813" s="358" t="s">
        <v>305</v>
      </c>
      <c r="D813" s="374">
        <v>6491037.9299999997</v>
      </c>
      <c r="E813" s="95" t="e">
        <f t="shared" si="114"/>
        <v>#DIV/0!</v>
      </c>
      <c r="F813" s="98">
        <v>5.36</v>
      </c>
      <c r="G813" s="98">
        <v>0</v>
      </c>
      <c r="H813" s="98">
        <v>0</v>
      </c>
      <c r="I813" s="98">
        <v>0</v>
      </c>
      <c r="J813" s="98"/>
      <c r="K813" s="93"/>
      <c r="L813" s="93">
        <f t="shared" si="107"/>
        <v>0</v>
      </c>
      <c r="M813" s="95" t="e">
        <f t="shared" ca="1" si="108"/>
        <v>#DIV/0!</v>
      </c>
      <c r="N813" s="95">
        <f>IF(P813="Hedge Fund",IF(A813=Summary!$AD$3,M813-E813,M813),IF(A813=Summary!$AD$3,L813-D813,L813))</f>
        <v>0</v>
      </c>
      <c r="O813" s="95">
        <f t="shared" si="112"/>
        <v>0</v>
      </c>
      <c r="P813" s="107" t="s">
        <v>155</v>
      </c>
      <c r="Q813" s="107">
        <v>0</v>
      </c>
      <c r="R813" s="107">
        <v>0</v>
      </c>
      <c r="S813" s="107">
        <v>0</v>
      </c>
      <c r="T813" s="107">
        <v>0</v>
      </c>
      <c r="U813" s="107"/>
      <c r="V813" s="107"/>
      <c r="W813" s="107"/>
      <c r="X813" s="107"/>
      <c r="Y813" s="107"/>
      <c r="Z813" s="107"/>
      <c r="AA813" s="107"/>
      <c r="AB813" s="107"/>
      <c r="AC813" s="355"/>
      <c r="AD813" s="355"/>
      <c r="AE813" s="355"/>
      <c r="AF813" s="94">
        <f t="shared" si="109"/>
        <v>42580</v>
      </c>
      <c r="AG813" s="185">
        <f t="shared" si="113"/>
        <v>7.9491364166337508E-3</v>
      </c>
      <c r="AH813" s="339" t="str">
        <f>VLOOKUP(B813,'MF PF'!A:B,2)</f>
        <v>FdMgt1</v>
      </c>
      <c r="AI813" s="358">
        <f t="shared" si="110"/>
        <v>0</v>
      </c>
      <c r="AJ813" s="94">
        <f t="shared" si="111"/>
        <v>42582</v>
      </c>
    </row>
    <row r="814" spans="1:36" ht="12.75" customHeight="1">
      <c r="A814" s="8">
        <v>42613</v>
      </c>
      <c r="B814" s="94" t="s">
        <v>136</v>
      </c>
      <c r="C814" s="92" t="s">
        <v>305</v>
      </c>
      <c r="D814" s="374">
        <v>6480549.9699999997</v>
      </c>
      <c r="E814" s="95" t="e">
        <f t="shared" si="114"/>
        <v>#DIV/0!</v>
      </c>
      <c r="F814" s="98">
        <v>5.36</v>
      </c>
      <c r="G814" s="98">
        <v>0</v>
      </c>
      <c r="H814" s="98">
        <v>0</v>
      </c>
      <c r="I814" s="98">
        <v>0</v>
      </c>
      <c r="J814" s="98"/>
      <c r="K814" s="93"/>
      <c r="L814" s="93">
        <f t="shared" si="107"/>
        <v>0</v>
      </c>
      <c r="M814" s="95" t="e">
        <f t="shared" ca="1" si="108"/>
        <v>#DIV/0!</v>
      </c>
      <c r="N814" s="95">
        <f>IF(P814="Hedge Fund",IF(A814=Summary!$AD$3,M814-E814,M814),IF(A814=Summary!$AD$3,L814-D814,L814))</f>
        <v>0</v>
      </c>
      <c r="O814" s="95">
        <f t="shared" si="112"/>
        <v>0</v>
      </c>
      <c r="P814" s="107" t="s">
        <v>155</v>
      </c>
      <c r="Q814" s="107">
        <v>0</v>
      </c>
      <c r="R814" s="107">
        <v>0</v>
      </c>
      <c r="S814" s="107">
        <v>0</v>
      </c>
      <c r="T814" s="107">
        <v>0</v>
      </c>
      <c r="U814" s="107"/>
      <c r="V814" s="107"/>
      <c r="W814" s="107"/>
      <c r="X814" s="107"/>
      <c r="Y814" s="107"/>
      <c r="Z814" s="107"/>
      <c r="AA814" s="107"/>
      <c r="AB814" s="107"/>
      <c r="AC814" s="355"/>
      <c r="AD814" s="355"/>
      <c r="AE814" s="355"/>
      <c r="AF814" s="94">
        <f t="shared" si="109"/>
        <v>42613</v>
      </c>
      <c r="AG814" s="185">
        <f t="shared" si="113"/>
        <v>-1.615760085382778E-3</v>
      </c>
      <c r="AH814" s="339" t="str">
        <f>VLOOKUP(B814,'MF PF'!A:B,2)</f>
        <v>FdMgt1</v>
      </c>
      <c r="AI814" s="358">
        <f t="shared" si="110"/>
        <v>0</v>
      </c>
      <c r="AJ814" s="94">
        <f t="shared" si="111"/>
        <v>42613</v>
      </c>
    </row>
    <row r="815" spans="1:36" ht="12.75" customHeight="1">
      <c r="A815" s="94">
        <v>42643</v>
      </c>
      <c r="B815" s="94" t="s">
        <v>136</v>
      </c>
      <c r="C815" s="358" t="s">
        <v>305</v>
      </c>
      <c r="D815" s="374">
        <v>6803889.1299999999</v>
      </c>
      <c r="E815" s="9" t="e">
        <f t="shared" si="114"/>
        <v>#DIV/0!</v>
      </c>
      <c r="F815" s="98">
        <v>5.36</v>
      </c>
      <c r="G815" s="98">
        <v>0</v>
      </c>
      <c r="H815" s="98">
        <v>0</v>
      </c>
      <c r="I815" s="98">
        <v>0</v>
      </c>
      <c r="J815" s="98"/>
      <c r="L815" s="93">
        <f t="shared" si="107"/>
        <v>0</v>
      </c>
      <c r="M815" s="95" t="e">
        <f t="shared" ca="1" si="108"/>
        <v>#DIV/0!</v>
      </c>
      <c r="N815" s="95">
        <f>IF(P815="Hedge Fund",IF(A815=Summary!$AD$3,M815-E815,M815),IF(A815=Summary!$AD$3,L815-D815,L815))</f>
        <v>0</v>
      </c>
      <c r="O815" s="95">
        <f t="shared" si="112"/>
        <v>0</v>
      </c>
      <c r="P815" s="107" t="s">
        <v>155</v>
      </c>
      <c r="Q815" s="107">
        <v>0</v>
      </c>
      <c r="R815" s="107">
        <v>0</v>
      </c>
      <c r="S815" s="107">
        <v>0</v>
      </c>
      <c r="T815" s="107">
        <v>0</v>
      </c>
      <c r="U815" s="107"/>
      <c r="V815" s="107"/>
      <c r="W815" s="107"/>
      <c r="X815" s="107"/>
      <c r="Y815" s="107"/>
      <c r="Z815" s="107"/>
      <c r="AA815" s="107"/>
      <c r="AB815" s="107"/>
      <c r="AC815" s="355"/>
      <c r="AD815" s="355"/>
      <c r="AE815" s="355"/>
      <c r="AF815" s="94">
        <f t="shared" si="109"/>
        <v>42643</v>
      </c>
      <c r="AG815" s="185">
        <f t="shared" si="113"/>
        <v>4.9893783937599911E-2</v>
      </c>
      <c r="AH815" s="339" t="str">
        <f>VLOOKUP(B815,'MF PF'!A:B,2)</f>
        <v>FdMgt1</v>
      </c>
      <c r="AI815" s="358">
        <f t="shared" si="110"/>
        <v>0</v>
      </c>
      <c r="AJ815" s="94">
        <f t="shared" si="111"/>
        <v>42643</v>
      </c>
    </row>
    <row r="816" spans="1:36" ht="12.75" customHeight="1">
      <c r="A816" s="94">
        <v>42674</v>
      </c>
      <c r="B816" s="94" t="s">
        <v>136</v>
      </c>
      <c r="C816" s="358" t="s">
        <v>305</v>
      </c>
      <c r="D816" s="374">
        <v>7047647.7400000002</v>
      </c>
      <c r="E816" s="95" t="e">
        <f t="shared" si="114"/>
        <v>#DIV/0!</v>
      </c>
      <c r="F816" s="98">
        <v>5.36</v>
      </c>
      <c r="G816" s="98">
        <v>0</v>
      </c>
      <c r="H816" s="98">
        <v>0</v>
      </c>
      <c r="I816" s="98">
        <v>0</v>
      </c>
      <c r="J816" s="98"/>
      <c r="L816" s="93">
        <f t="shared" si="107"/>
        <v>0</v>
      </c>
      <c r="M816" s="95" t="e">
        <f t="shared" ca="1" si="108"/>
        <v>#DIV/0!</v>
      </c>
      <c r="N816" s="95">
        <f>IF(P816="Hedge Fund",IF(A816=Summary!$AD$3,M816-E816,M816),IF(A816=Summary!$AD$3,L816-D816,L816))</f>
        <v>0</v>
      </c>
      <c r="O816" s="95">
        <f t="shared" si="112"/>
        <v>0</v>
      </c>
      <c r="P816" s="107" t="s">
        <v>155</v>
      </c>
      <c r="Q816" s="107">
        <v>0</v>
      </c>
      <c r="R816" s="107">
        <v>0</v>
      </c>
      <c r="S816" s="107">
        <v>0</v>
      </c>
      <c r="T816" s="107">
        <v>0</v>
      </c>
      <c r="U816" s="107"/>
      <c r="V816" s="107"/>
      <c r="W816" s="107"/>
      <c r="X816" s="107"/>
      <c r="Y816" s="107"/>
      <c r="Z816" s="107"/>
      <c r="AA816" s="107"/>
      <c r="AB816" s="107"/>
      <c r="AC816" s="355"/>
      <c r="AD816" s="355"/>
      <c r="AE816" s="355"/>
      <c r="AF816" s="94">
        <f t="shared" si="109"/>
        <v>42674</v>
      </c>
      <c r="AG816" s="185">
        <f t="shared" si="113"/>
        <v>3.5826364207671935E-2</v>
      </c>
      <c r="AH816" s="339" t="str">
        <f>VLOOKUP(B816,'MF PF'!A:B,2)</f>
        <v>FdMgt1</v>
      </c>
      <c r="AI816" s="358">
        <f t="shared" si="110"/>
        <v>0</v>
      </c>
      <c r="AJ816" s="94">
        <f t="shared" si="111"/>
        <v>42674</v>
      </c>
    </row>
    <row r="817" spans="1:36" ht="12.75" customHeight="1">
      <c r="A817" s="94">
        <v>42704</v>
      </c>
      <c r="B817" s="94" t="s">
        <v>136</v>
      </c>
      <c r="C817" s="358" t="s">
        <v>305</v>
      </c>
      <c r="D817" s="374">
        <v>7085855.7599999998</v>
      </c>
      <c r="E817" s="9" t="e">
        <f t="shared" si="114"/>
        <v>#DIV/0!</v>
      </c>
      <c r="F817" s="98">
        <v>5.36</v>
      </c>
      <c r="G817" s="98">
        <v>0</v>
      </c>
      <c r="H817" s="98">
        <v>-9.3132257461547852E-10</v>
      </c>
      <c r="I817" s="98">
        <v>0</v>
      </c>
      <c r="J817" s="98"/>
      <c r="K817" s="93"/>
      <c r="L817" s="93">
        <f t="shared" si="107"/>
        <v>-9.3132257461547852E-10</v>
      </c>
      <c r="M817" s="95" t="e">
        <f t="shared" ca="1" si="108"/>
        <v>#DIV/0!</v>
      </c>
      <c r="N817" s="95">
        <f>IF(P817="Hedge Fund",IF(A817=Summary!$AD$3,M817-E817,M817),IF(A817=Summary!$AD$3,L817-D817,L817))</f>
        <v>-9.3132257461547852E-10</v>
      </c>
      <c r="O817" s="95">
        <f t="shared" si="112"/>
        <v>-9.3132257461547852E-10</v>
      </c>
      <c r="P817" s="107" t="s">
        <v>155</v>
      </c>
      <c r="Q817" s="107">
        <v>0</v>
      </c>
      <c r="R817" s="107">
        <v>0</v>
      </c>
      <c r="S817" s="107">
        <v>0</v>
      </c>
      <c r="T817" s="107">
        <v>0</v>
      </c>
      <c r="U817" s="107"/>
      <c r="V817" s="107"/>
      <c r="W817" s="107"/>
      <c r="X817" s="107"/>
      <c r="Y817" s="107"/>
      <c r="Z817" s="107"/>
      <c r="AA817" s="107"/>
      <c r="AB817" s="107"/>
      <c r="AC817" s="355"/>
      <c r="AD817" s="355"/>
      <c r="AE817" s="355"/>
      <c r="AF817" s="94">
        <f t="shared" si="109"/>
        <v>42704</v>
      </c>
      <c r="AG817" s="185">
        <f t="shared" si="113"/>
        <v>5.4213861716079226E-3</v>
      </c>
      <c r="AH817" s="339" t="str">
        <f>VLOOKUP(B817,'MF PF'!A:B,2)</f>
        <v>FdMgt1</v>
      </c>
      <c r="AI817" s="358">
        <f t="shared" si="110"/>
        <v>0</v>
      </c>
      <c r="AJ817" s="94">
        <f t="shared" si="111"/>
        <v>42704</v>
      </c>
    </row>
    <row r="818" spans="1:36" ht="12.75" customHeight="1">
      <c r="A818" s="8">
        <v>42734</v>
      </c>
      <c r="B818" s="94" t="s">
        <v>136</v>
      </c>
      <c r="C818" s="358" t="s">
        <v>305</v>
      </c>
      <c r="D818" s="374">
        <v>7050644.8899999997</v>
      </c>
      <c r="E818" s="9" t="e">
        <f t="shared" si="114"/>
        <v>#DIV/0!</v>
      </c>
      <c r="F818" s="47">
        <v>5.36</v>
      </c>
      <c r="G818" s="47">
        <v>0</v>
      </c>
      <c r="H818" s="47">
        <v>0</v>
      </c>
      <c r="I818" s="98">
        <v>0</v>
      </c>
      <c r="J818" s="98"/>
      <c r="L818" s="93">
        <f t="shared" si="107"/>
        <v>0</v>
      </c>
      <c r="M818" s="95" t="e">
        <f t="shared" ca="1" si="108"/>
        <v>#DIV/0!</v>
      </c>
      <c r="N818" s="95">
        <f>IF(P818="Hedge Fund",IF(A818=Summary!$AD$3,M818-E818,M818),IF(A818=Summary!$AD$3,L818-D818,L818))</f>
        <v>0</v>
      </c>
      <c r="O818" s="95">
        <f t="shared" si="112"/>
        <v>0</v>
      </c>
      <c r="P818" s="89" t="s">
        <v>155</v>
      </c>
      <c r="Q818" s="107">
        <v>0</v>
      </c>
      <c r="R818" s="89">
        <v>0</v>
      </c>
      <c r="S818" s="89">
        <v>0</v>
      </c>
      <c r="T818" s="89">
        <v>0</v>
      </c>
      <c r="U818" s="89"/>
      <c r="V818" s="89"/>
      <c r="W818" s="89"/>
      <c r="X818" s="89"/>
      <c r="Y818" s="89"/>
      <c r="Z818" s="89"/>
      <c r="AA818" s="89"/>
      <c r="AB818" s="89"/>
      <c r="AC818" s="355"/>
      <c r="AD818" s="355"/>
      <c r="AE818" s="355"/>
      <c r="AF818" s="94">
        <f t="shared" si="109"/>
        <v>42734</v>
      </c>
      <c r="AG818" s="185">
        <f t="shared" si="113"/>
        <v>-4.9691767928394803E-3</v>
      </c>
      <c r="AH818" s="339" t="str">
        <f>VLOOKUP(B818,'MF PF'!A:B,2)</f>
        <v>FdMgt1</v>
      </c>
      <c r="AI818" s="358">
        <f t="shared" si="110"/>
        <v>0</v>
      </c>
      <c r="AJ818" s="94">
        <f t="shared" si="111"/>
        <v>42735</v>
      </c>
    </row>
    <row r="819" spans="1:36" ht="12.75" customHeight="1">
      <c r="A819" s="94">
        <v>42762</v>
      </c>
      <c r="B819" s="94" t="s">
        <v>136</v>
      </c>
      <c r="C819" s="358" t="s">
        <v>305</v>
      </c>
      <c r="D819" s="374">
        <v>7160134.9800000004</v>
      </c>
      <c r="E819" s="95" t="e">
        <f t="shared" si="114"/>
        <v>#DIV/0!</v>
      </c>
      <c r="F819" s="98">
        <v>5.36</v>
      </c>
      <c r="G819" s="98">
        <v>0</v>
      </c>
      <c r="H819" s="98">
        <v>0</v>
      </c>
      <c r="I819" s="98">
        <v>0</v>
      </c>
      <c r="J819" s="98"/>
      <c r="L819" s="93">
        <f t="shared" si="107"/>
        <v>0</v>
      </c>
      <c r="M819" s="95" t="e">
        <f t="shared" ca="1" si="108"/>
        <v>#DIV/0!</v>
      </c>
      <c r="N819" s="95">
        <f>IF(P819="Hedge Fund",IF(A819=Summary!$AD$3,M819-E819,M819),IF(A819=Summary!$AD$3,L819-D819,L819))</f>
        <v>0</v>
      </c>
      <c r="O819" s="95">
        <f t="shared" si="112"/>
        <v>0</v>
      </c>
      <c r="P819" s="107" t="s">
        <v>155</v>
      </c>
      <c r="Q819" s="107">
        <v>0</v>
      </c>
      <c r="R819" s="107">
        <v>0</v>
      </c>
      <c r="S819" s="107">
        <v>0</v>
      </c>
      <c r="T819" s="107">
        <v>0</v>
      </c>
      <c r="U819" s="107"/>
      <c r="V819" s="107"/>
      <c r="W819" s="107"/>
      <c r="X819" s="107"/>
      <c r="Y819" s="107"/>
      <c r="Z819" s="107"/>
      <c r="AA819" s="107"/>
      <c r="AB819" s="107"/>
      <c r="AC819" s="355"/>
      <c r="AD819" s="355"/>
      <c r="AE819" s="355"/>
      <c r="AF819" s="94">
        <f t="shared" si="109"/>
        <v>42762</v>
      </c>
      <c r="AG819" s="185">
        <f t="shared" si="113"/>
        <v>1.5529088715741768E-2</v>
      </c>
      <c r="AH819" s="339" t="str">
        <f>VLOOKUP(B819,'MF PF'!A:B,2)</f>
        <v>FdMgt1</v>
      </c>
      <c r="AI819" s="358">
        <f t="shared" si="110"/>
        <v>0</v>
      </c>
      <c r="AJ819" s="94">
        <f t="shared" si="111"/>
        <v>42766</v>
      </c>
    </row>
    <row r="820" spans="1:36" ht="12.75" customHeight="1">
      <c r="A820" s="8">
        <v>42794</v>
      </c>
      <c r="B820" s="94" t="s">
        <v>136</v>
      </c>
      <c r="C820" s="358" t="s">
        <v>305</v>
      </c>
      <c r="D820" s="374">
        <v>7477471.9100000001</v>
      </c>
      <c r="E820" s="9" t="e">
        <f t="shared" ref="E820:E836" si="115">D820/K820</f>
        <v>#DIV/0!</v>
      </c>
      <c r="F820" s="98">
        <v>5.36</v>
      </c>
      <c r="G820" s="98">
        <v>0</v>
      </c>
      <c r="H820" s="98">
        <v>0</v>
      </c>
      <c r="I820" s="98">
        <v>0</v>
      </c>
      <c r="J820" s="98"/>
      <c r="L820" s="93">
        <f t="shared" si="107"/>
        <v>0</v>
      </c>
      <c r="M820" s="95" t="e">
        <f t="shared" ca="1" si="108"/>
        <v>#DIV/0!</v>
      </c>
      <c r="N820" s="95">
        <f>IF(P820="Hedge Fund",IF(A820=Summary!$AD$3,M820-E820,M820),IF(A820=Summary!$AD$3,L820-D820,L820))</f>
        <v>0</v>
      </c>
      <c r="O820" s="95">
        <f t="shared" si="112"/>
        <v>0</v>
      </c>
      <c r="P820" s="107" t="s">
        <v>155</v>
      </c>
      <c r="Q820" s="107">
        <v>0</v>
      </c>
      <c r="R820" s="107">
        <v>0</v>
      </c>
      <c r="S820" s="107">
        <v>0</v>
      </c>
      <c r="T820" s="107">
        <v>0</v>
      </c>
      <c r="U820" s="107"/>
      <c r="V820" s="107"/>
      <c r="W820" s="107"/>
      <c r="X820" s="107"/>
      <c r="Y820" s="107"/>
      <c r="Z820" s="107"/>
      <c r="AA820" s="107"/>
      <c r="AB820" s="107"/>
      <c r="AC820" s="355"/>
      <c r="AD820" s="355"/>
      <c r="AE820" s="355"/>
      <c r="AF820" s="94">
        <f t="shared" si="109"/>
        <v>42794</v>
      </c>
      <c r="AG820" s="185">
        <f t="shared" si="113"/>
        <v>4.4319964761334596E-2</v>
      </c>
      <c r="AH820" s="339" t="str">
        <f>VLOOKUP(B820,'MF PF'!A:B,2)</f>
        <v>FdMgt1</v>
      </c>
      <c r="AI820" s="358">
        <f t="shared" si="110"/>
        <v>0</v>
      </c>
      <c r="AJ820" s="94">
        <f t="shared" si="111"/>
        <v>42794</v>
      </c>
    </row>
    <row r="821" spans="1:36" ht="12.75" customHeight="1">
      <c r="A821" s="94">
        <v>42825</v>
      </c>
      <c r="B821" s="94" t="s">
        <v>136</v>
      </c>
      <c r="C821" s="92" t="s">
        <v>305</v>
      </c>
      <c r="D821" s="374">
        <v>7379042.8799999999</v>
      </c>
      <c r="E821" s="95" t="e">
        <f t="shared" si="115"/>
        <v>#DIV/0!</v>
      </c>
      <c r="F821" s="98">
        <v>5.36</v>
      </c>
      <c r="G821" s="98">
        <v>0</v>
      </c>
      <c r="H821" s="98">
        <v>0</v>
      </c>
      <c r="I821" s="98">
        <v>0</v>
      </c>
      <c r="J821" s="98"/>
      <c r="K821" s="93"/>
      <c r="L821" s="93">
        <f t="shared" si="107"/>
        <v>0</v>
      </c>
      <c r="M821" s="95" t="e">
        <f t="shared" ca="1" si="108"/>
        <v>#DIV/0!</v>
      </c>
      <c r="N821" s="95">
        <f>IF(P821="Hedge Fund",IF(A821=Summary!$AD$3,M821-E821,M821),IF(A821=Summary!$AD$3,L821-D821,L821))</f>
        <v>0</v>
      </c>
      <c r="O821" s="95">
        <f t="shared" si="112"/>
        <v>0</v>
      </c>
      <c r="P821" s="107" t="s">
        <v>155</v>
      </c>
      <c r="Q821" s="107">
        <v>0</v>
      </c>
      <c r="R821" s="107">
        <v>0</v>
      </c>
      <c r="S821" s="107">
        <v>0</v>
      </c>
      <c r="T821" s="107">
        <v>0</v>
      </c>
      <c r="U821" s="107"/>
      <c r="V821" s="107"/>
      <c r="W821" s="107"/>
      <c r="X821" s="107"/>
      <c r="Y821" s="107"/>
      <c r="Z821" s="107"/>
      <c r="AA821" s="107"/>
      <c r="AB821" s="107"/>
      <c r="AC821" s="355"/>
      <c r="AD821" s="355"/>
      <c r="AE821" s="355"/>
      <c r="AF821" s="94">
        <f t="shared" si="109"/>
        <v>42825</v>
      </c>
      <c r="AG821" s="185">
        <f t="shared" si="113"/>
        <v>-1.316341019862155E-2</v>
      </c>
      <c r="AH821" s="339" t="str">
        <f>VLOOKUP(B821,'MF PF'!A:B,2)</f>
        <v>FdMgt1</v>
      </c>
      <c r="AI821" s="358">
        <f t="shared" si="110"/>
        <v>0</v>
      </c>
      <c r="AJ821" s="94">
        <f t="shared" si="111"/>
        <v>42825</v>
      </c>
    </row>
    <row r="822" spans="1:36" ht="12.75" customHeight="1">
      <c r="A822" s="94">
        <v>42853</v>
      </c>
      <c r="B822" s="94" t="s">
        <v>136</v>
      </c>
      <c r="C822" s="358" t="s">
        <v>305</v>
      </c>
      <c r="D822" s="374">
        <v>7339903.3500000006</v>
      </c>
      <c r="E822" s="9" t="e">
        <f t="shared" si="115"/>
        <v>#DIV/0!</v>
      </c>
      <c r="F822" s="98">
        <v>5.36</v>
      </c>
      <c r="G822" s="98">
        <v>0</v>
      </c>
      <c r="H822" s="98">
        <v>0</v>
      </c>
      <c r="I822" s="98">
        <v>0</v>
      </c>
      <c r="J822" s="98"/>
      <c r="K822" s="93"/>
      <c r="L822" s="93">
        <f t="shared" si="107"/>
        <v>0</v>
      </c>
      <c r="M822" s="95" t="e">
        <f t="shared" ca="1" si="108"/>
        <v>#DIV/0!</v>
      </c>
      <c r="N822" s="95">
        <f>IF(P822="Hedge Fund",IF(A822=Summary!$AD$3,M822-E822,M822),IF(A822=Summary!$AD$3,L822-D822,L822))</f>
        <v>0</v>
      </c>
      <c r="O822" s="95">
        <f t="shared" si="112"/>
        <v>0</v>
      </c>
      <c r="P822" s="107" t="s">
        <v>155</v>
      </c>
      <c r="Q822" s="107">
        <v>0</v>
      </c>
      <c r="R822" s="107">
        <v>0</v>
      </c>
      <c r="S822" s="107">
        <v>0</v>
      </c>
      <c r="T822" s="107">
        <v>0</v>
      </c>
      <c r="U822" s="107"/>
      <c r="V822" s="107"/>
      <c r="W822" s="107"/>
      <c r="X822" s="107"/>
      <c r="Y822" s="107"/>
      <c r="Z822" s="107"/>
      <c r="AA822" s="107"/>
      <c r="AB822" s="107"/>
      <c r="AC822" s="355"/>
      <c r="AD822" s="355"/>
      <c r="AE822" s="355"/>
      <c r="AF822" s="94">
        <f t="shared" si="109"/>
        <v>42853</v>
      </c>
      <c r="AG822" s="185">
        <f t="shared" si="113"/>
        <v>-5.3041472500562348E-3</v>
      </c>
      <c r="AH822" s="339" t="str">
        <f>VLOOKUP(B822,'MF PF'!A:B,2)</f>
        <v>FdMgt1</v>
      </c>
      <c r="AI822" s="358">
        <f t="shared" si="110"/>
        <v>0</v>
      </c>
      <c r="AJ822" s="94">
        <f t="shared" si="111"/>
        <v>42855</v>
      </c>
    </row>
    <row r="823" spans="1:36" ht="12.75" customHeight="1">
      <c r="A823" s="8">
        <v>42886</v>
      </c>
      <c r="B823" s="94" t="s">
        <v>136</v>
      </c>
      <c r="C823" s="6" t="s">
        <v>305</v>
      </c>
      <c r="D823" s="374">
        <v>7155239.6299999999</v>
      </c>
      <c r="E823" s="9" t="e">
        <f t="shared" si="115"/>
        <v>#DIV/0!</v>
      </c>
      <c r="F823" s="98">
        <v>5.36</v>
      </c>
      <c r="G823" s="98">
        <v>0</v>
      </c>
      <c r="H823" s="98">
        <v>0</v>
      </c>
      <c r="I823" s="98">
        <v>0</v>
      </c>
      <c r="J823" s="98"/>
      <c r="K823" s="93"/>
      <c r="L823" s="93">
        <f t="shared" si="107"/>
        <v>0</v>
      </c>
      <c r="M823" s="95" t="e">
        <f t="shared" ca="1" si="108"/>
        <v>#DIV/0!</v>
      </c>
      <c r="N823" s="95">
        <f>IF(P823="Hedge Fund",IF(A823=Summary!$AD$3,M823-E823,M823),IF(A823=Summary!$AD$3,L823-D823,L823))</f>
        <v>0</v>
      </c>
      <c r="O823" s="95">
        <f t="shared" si="112"/>
        <v>0</v>
      </c>
      <c r="P823" s="107" t="s">
        <v>155</v>
      </c>
      <c r="Q823" s="107">
        <v>0</v>
      </c>
      <c r="R823" s="107">
        <v>0</v>
      </c>
      <c r="S823" s="107">
        <v>0</v>
      </c>
      <c r="T823" s="107">
        <v>0</v>
      </c>
      <c r="U823" s="107"/>
      <c r="V823" s="107"/>
      <c r="W823" s="107"/>
      <c r="X823" s="107"/>
      <c r="Y823" s="107"/>
      <c r="Z823" s="107"/>
      <c r="AA823" s="107"/>
      <c r="AB823" s="107"/>
      <c r="AC823" s="355"/>
      <c r="AD823" s="355"/>
      <c r="AE823" s="355"/>
      <c r="AF823" s="94">
        <f t="shared" si="109"/>
        <v>42886</v>
      </c>
      <c r="AG823" s="185">
        <f t="shared" si="113"/>
        <v>-2.515887624051627E-2</v>
      </c>
      <c r="AH823" s="339" t="str">
        <f>VLOOKUP(B823,'MF PF'!A:B,2)</f>
        <v>FdMgt1</v>
      </c>
      <c r="AI823" s="358">
        <f t="shared" si="110"/>
        <v>0</v>
      </c>
      <c r="AJ823" s="94">
        <f t="shared" si="111"/>
        <v>42886</v>
      </c>
    </row>
    <row r="824" spans="1:36" ht="12.75" customHeight="1">
      <c r="A824" s="8">
        <v>42916</v>
      </c>
      <c r="B824" s="94" t="s">
        <v>136</v>
      </c>
      <c r="C824" s="358" t="s">
        <v>305</v>
      </c>
      <c r="D824" s="374">
        <v>7447567.6100000003</v>
      </c>
      <c r="E824" s="9" t="e">
        <f t="shared" si="115"/>
        <v>#DIV/0!</v>
      </c>
      <c r="F824" s="98">
        <v>5.36</v>
      </c>
      <c r="G824" s="98">
        <v>0</v>
      </c>
      <c r="H824" s="98">
        <v>0</v>
      </c>
      <c r="I824" s="98">
        <v>0</v>
      </c>
      <c r="J824" s="98"/>
      <c r="K824" s="93"/>
      <c r="L824" s="93">
        <f t="shared" si="107"/>
        <v>0</v>
      </c>
      <c r="M824" s="95" t="e">
        <f t="shared" ca="1" si="108"/>
        <v>#DIV/0!</v>
      </c>
      <c r="N824" s="95">
        <f>IF(P824="Hedge Fund",IF(A824=Summary!$AD$3,M824-E824,M824),IF(A824=Summary!$AD$3,L824-D824,L824))</f>
        <v>0</v>
      </c>
      <c r="O824" s="95">
        <f t="shared" si="112"/>
        <v>0</v>
      </c>
      <c r="P824" s="107" t="s">
        <v>155</v>
      </c>
      <c r="Q824" s="107">
        <v>0</v>
      </c>
      <c r="R824" s="107">
        <v>0</v>
      </c>
      <c r="S824" s="107">
        <v>0</v>
      </c>
      <c r="T824" s="107">
        <v>0</v>
      </c>
      <c r="U824" s="107"/>
      <c r="V824" s="107"/>
      <c r="W824" s="107"/>
      <c r="X824" s="107"/>
      <c r="Y824" s="107"/>
      <c r="Z824" s="107"/>
      <c r="AA824" s="107"/>
      <c r="AB824" s="107"/>
      <c r="AC824" s="355"/>
      <c r="AD824" s="355"/>
      <c r="AE824" s="355"/>
      <c r="AF824" s="94">
        <f t="shared" si="109"/>
        <v>42916</v>
      </c>
      <c r="AG824" s="185">
        <f t="shared" si="113"/>
        <v>4.0855092927195358E-2</v>
      </c>
      <c r="AH824" s="339" t="str">
        <f>VLOOKUP(B824,'MF PF'!A:B,2)</f>
        <v>FdMgt1</v>
      </c>
      <c r="AI824" s="358">
        <f t="shared" si="110"/>
        <v>0</v>
      </c>
      <c r="AJ824" s="94">
        <f t="shared" si="111"/>
        <v>42916</v>
      </c>
    </row>
    <row r="825" spans="1:36" ht="12.75" customHeight="1">
      <c r="A825" s="8">
        <v>42947</v>
      </c>
      <c r="B825" s="94" t="s">
        <v>136</v>
      </c>
      <c r="C825" s="92" t="s">
        <v>305</v>
      </c>
      <c r="D825" s="374">
        <v>7613230.5</v>
      </c>
      <c r="E825" s="9" t="e">
        <f t="shared" si="115"/>
        <v>#DIV/0!</v>
      </c>
      <c r="F825" s="98">
        <v>5.36</v>
      </c>
      <c r="G825" s="98">
        <v>0</v>
      </c>
      <c r="H825" s="98">
        <v>0</v>
      </c>
      <c r="I825" s="98">
        <v>0</v>
      </c>
      <c r="J825" s="98"/>
      <c r="K825" s="93"/>
      <c r="L825" s="93">
        <f t="shared" si="107"/>
        <v>0</v>
      </c>
      <c r="M825" s="95" t="e">
        <f t="shared" ca="1" si="108"/>
        <v>#DIV/0!</v>
      </c>
      <c r="N825" s="95">
        <f>IF(P825="Hedge Fund",IF(A825=Summary!$AD$3,M825-E825,M825),IF(A825=Summary!$AD$3,L825-D825,L825))</f>
        <v>0</v>
      </c>
      <c r="O825" s="95">
        <f t="shared" si="112"/>
        <v>0</v>
      </c>
      <c r="P825" s="107" t="s">
        <v>155</v>
      </c>
      <c r="Q825" s="107">
        <v>0</v>
      </c>
      <c r="R825" s="107">
        <v>0</v>
      </c>
      <c r="S825" s="107">
        <v>0</v>
      </c>
      <c r="T825" s="107">
        <v>0</v>
      </c>
      <c r="U825" s="107"/>
      <c r="V825" s="107"/>
      <c r="W825" s="107"/>
      <c r="X825" s="107"/>
      <c r="Y825" s="107"/>
      <c r="Z825" s="107"/>
      <c r="AA825" s="107"/>
      <c r="AB825" s="107"/>
      <c r="AC825" s="355"/>
      <c r="AD825" s="355"/>
      <c r="AE825" s="355"/>
      <c r="AF825" s="94">
        <f t="shared" si="109"/>
        <v>42947</v>
      </c>
      <c r="AG825" s="185">
        <f t="shared" si="113"/>
        <v>2.2243892056456271E-2</v>
      </c>
      <c r="AH825" s="339" t="str">
        <f>VLOOKUP(B825,'MF PF'!A:B,2)</f>
        <v>FdMgt1</v>
      </c>
      <c r="AI825" s="358">
        <f t="shared" si="110"/>
        <v>0</v>
      </c>
      <c r="AJ825" s="94">
        <f t="shared" si="111"/>
        <v>42947</v>
      </c>
    </row>
    <row r="826" spans="1:36" s="92" customFormat="1" ht="12.75" customHeight="1">
      <c r="A826" s="94">
        <v>42978</v>
      </c>
      <c r="B826" s="94" t="s">
        <v>136</v>
      </c>
      <c r="C826" s="358" t="s">
        <v>305</v>
      </c>
      <c r="D826" s="374">
        <v>7662300</v>
      </c>
      <c r="E826" s="95" t="e">
        <f t="shared" si="115"/>
        <v>#DIV/0!</v>
      </c>
      <c r="F826" s="98">
        <v>5.36</v>
      </c>
      <c r="G826" s="98">
        <v>0</v>
      </c>
      <c r="H826" s="98">
        <v>0</v>
      </c>
      <c r="I826" s="98">
        <v>0</v>
      </c>
      <c r="J826" s="98"/>
      <c r="K826" s="93"/>
      <c r="L826" s="93">
        <f t="shared" si="107"/>
        <v>0</v>
      </c>
      <c r="M826" s="95" t="e">
        <f t="shared" ca="1" si="108"/>
        <v>#DIV/0!</v>
      </c>
      <c r="N826" s="95">
        <f>IF(P826="Hedge Fund",IF(A826=Summary!$AD$3,M826-E826,M826),IF(A826=Summary!$AD$3,L826-D826,L826))</f>
        <v>0</v>
      </c>
      <c r="O826" s="95">
        <f t="shared" si="112"/>
        <v>0</v>
      </c>
      <c r="P826" s="107" t="s">
        <v>155</v>
      </c>
      <c r="Q826" s="107">
        <v>0</v>
      </c>
      <c r="R826" s="107">
        <v>0</v>
      </c>
      <c r="S826" s="107">
        <v>0</v>
      </c>
      <c r="T826" s="107">
        <v>0</v>
      </c>
      <c r="U826" s="107"/>
      <c r="V826" s="107"/>
      <c r="W826" s="107"/>
      <c r="X826" s="107"/>
      <c r="Y826" s="107"/>
      <c r="Z826" s="107"/>
      <c r="AA826" s="107"/>
      <c r="AB826" s="107"/>
      <c r="AC826" s="355"/>
      <c r="AD826" s="355"/>
      <c r="AE826" s="355"/>
      <c r="AF826" s="94">
        <f t="shared" si="109"/>
        <v>42978</v>
      </c>
      <c r="AG826" s="185">
        <f t="shared" si="113"/>
        <v>6.445292835938643E-3</v>
      </c>
      <c r="AH826" s="339" t="str">
        <f>VLOOKUP(B826,'MF PF'!A:B,2)</f>
        <v>FdMgt1</v>
      </c>
      <c r="AI826" s="358">
        <f t="shared" si="110"/>
        <v>0</v>
      </c>
      <c r="AJ826" s="94">
        <f t="shared" si="111"/>
        <v>42978</v>
      </c>
    </row>
    <row r="827" spans="1:36" ht="12.75" customHeight="1">
      <c r="A827" s="8">
        <v>43007</v>
      </c>
      <c r="B827" s="94" t="s">
        <v>136</v>
      </c>
      <c r="C827" s="358" t="s">
        <v>305</v>
      </c>
      <c r="D827" s="374">
        <v>7625108.6931535918</v>
      </c>
      <c r="E827" s="9" t="e">
        <f t="shared" si="115"/>
        <v>#DIV/0!</v>
      </c>
      <c r="F827" s="47">
        <v>5.36</v>
      </c>
      <c r="G827" s="47">
        <v>0</v>
      </c>
      <c r="H827" s="47">
        <v>0</v>
      </c>
      <c r="I827" s="98">
        <v>0</v>
      </c>
      <c r="J827" s="98"/>
      <c r="K827" s="93"/>
      <c r="L827" s="93">
        <f t="shared" si="107"/>
        <v>0</v>
      </c>
      <c r="M827" s="95" t="e">
        <f t="shared" ca="1" si="108"/>
        <v>#DIV/0!</v>
      </c>
      <c r="N827" s="95">
        <f>IF(P827="Hedge Fund",IF(A827=Summary!$AD$3,M827-E827,M827),IF(A827=Summary!$AD$3,L827-D827,L827))</f>
        <v>0</v>
      </c>
      <c r="O827" s="95">
        <f t="shared" si="112"/>
        <v>0</v>
      </c>
      <c r="P827" s="89" t="s">
        <v>155</v>
      </c>
      <c r="Q827" s="107">
        <v>0</v>
      </c>
      <c r="R827" s="107">
        <v>0</v>
      </c>
      <c r="S827" s="89">
        <v>0</v>
      </c>
      <c r="T827" s="89">
        <v>0</v>
      </c>
      <c r="U827" s="89"/>
      <c r="V827" s="89"/>
      <c r="W827" s="89"/>
      <c r="X827" s="89"/>
      <c r="Y827" s="89"/>
      <c r="Z827" s="89"/>
      <c r="AA827" s="89"/>
      <c r="AB827" s="89"/>
      <c r="AC827" s="355"/>
      <c r="AD827" s="355"/>
      <c r="AE827" s="355"/>
      <c r="AF827" s="94">
        <f t="shared" si="109"/>
        <v>43007</v>
      </c>
      <c r="AG827" s="185">
        <f t="shared" si="113"/>
        <v>-4.8538045817062558E-3</v>
      </c>
      <c r="AH827" s="339" t="str">
        <f>VLOOKUP(B827,'MF PF'!A:B,2)</f>
        <v>FdMgt1</v>
      </c>
      <c r="AI827" s="358">
        <f t="shared" si="110"/>
        <v>0</v>
      </c>
      <c r="AJ827" s="94">
        <f t="shared" si="111"/>
        <v>43008</v>
      </c>
    </row>
    <row r="828" spans="1:36" ht="12.75" customHeight="1">
      <c r="A828" s="94">
        <v>43039</v>
      </c>
      <c r="B828" s="94" t="s">
        <v>136</v>
      </c>
      <c r="C828" s="358" t="s">
        <v>305</v>
      </c>
      <c r="D828" s="374">
        <v>7665296.4900000002</v>
      </c>
      <c r="E828" s="9" t="e">
        <f t="shared" si="115"/>
        <v>#DIV/0!</v>
      </c>
      <c r="F828" s="47">
        <v>5.36</v>
      </c>
      <c r="G828" s="47">
        <v>0</v>
      </c>
      <c r="H828" s="47">
        <v>0</v>
      </c>
      <c r="I828" s="98">
        <v>0</v>
      </c>
      <c r="J828" s="98"/>
      <c r="K828" s="93"/>
      <c r="L828" s="93">
        <f t="shared" si="107"/>
        <v>0</v>
      </c>
      <c r="M828" s="95" t="e">
        <f t="shared" ca="1" si="108"/>
        <v>#DIV/0!</v>
      </c>
      <c r="N828" s="95">
        <f>IF(P828="Hedge Fund",IF(A828=Summary!$AD$3,M828-E828,M828),IF(A828=Summary!$AD$3,L828-D828,L828))</f>
        <v>0</v>
      </c>
      <c r="O828" s="95">
        <f t="shared" si="112"/>
        <v>0</v>
      </c>
      <c r="P828" s="89" t="s">
        <v>155</v>
      </c>
      <c r="Q828" s="107">
        <v>0</v>
      </c>
      <c r="R828" s="107">
        <v>0</v>
      </c>
      <c r="S828" s="89">
        <v>0</v>
      </c>
      <c r="T828" s="89">
        <v>0</v>
      </c>
      <c r="U828" s="89"/>
      <c r="V828" s="89"/>
      <c r="W828" s="89"/>
      <c r="X828" s="89"/>
      <c r="Y828" s="89"/>
      <c r="Z828" s="89"/>
      <c r="AA828" s="89"/>
      <c r="AB828" s="89"/>
      <c r="AC828" s="355"/>
      <c r="AD828" s="355"/>
      <c r="AE828" s="355"/>
      <c r="AF828" s="94">
        <f t="shared" si="109"/>
        <v>43039</v>
      </c>
      <c r="AG828" s="185">
        <f t="shared" si="113"/>
        <v>5.2704556044547157E-3</v>
      </c>
      <c r="AH828" s="339" t="str">
        <f>VLOOKUP(B828,'MF PF'!A:B,2)</f>
        <v>FdMgt1</v>
      </c>
      <c r="AI828" s="358">
        <f t="shared" si="110"/>
        <v>0</v>
      </c>
      <c r="AJ828" s="94">
        <f t="shared" si="111"/>
        <v>43039</v>
      </c>
    </row>
    <row r="829" spans="1:36" ht="12.75" customHeight="1">
      <c r="A829" s="94">
        <v>43069</v>
      </c>
      <c r="B829" s="94" t="s">
        <v>136</v>
      </c>
      <c r="C829" s="358" t="s">
        <v>305</v>
      </c>
      <c r="D829" s="374">
        <v>7704700</v>
      </c>
      <c r="E829" s="9" t="e">
        <f t="shared" si="115"/>
        <v>#DIV/0!</v>
      </c>
      <c r="F829" s="47">
        <v>5.36</v>
      </c>
      <c r="G829" s="47">
        <v>0</v>
      </c>
      <c r="H829" s="47">
        <v>0</v>
      </c>
      <c r="I829" s="47">
        <v>0</v>
      </c>
      <c r="J829" s="98"/>
      <c r="L829" s="93">
        <f t="shared" si="107"/>
        <v>0</v>
      </c>
      <c r="M829" s="95" t="e">
        <f t="shared" ca="1" si="108"/>
        <v>#DIV/0!</v>
      </c>
      <c r="N829" s="95">
        <f>IF(P829="Hedge Fund",IF(A829=Summary!$AD$3,M829-E829,M829),IF(A829=Summary!$AD$3,L829-D829,L829))</f>
        <v>0</v>
      </c>
      <c r="O829" s="95">
        <f t="shared" si="112"/>
        <v>0</v>
      </c>
      <c r="P829" s="89" t="s">
        <v>155</v>
      </c>
      <c r="Q829" s="107">
        <v>0</v>
      </c>
      <c r="R829" s="107">
        <v>0</v>
      </c>
      <c r="S829" s="89">
        <v>0</v>
      </c>
      <c r="T829" s="89">
        <v>0</v>
      </c>
      <c r="U829" s="89"/>
      <c r="V829" s="89"/>
      <c r="W829" s="89"/>
      <c r="X829" s="89"/>
      <c r="Y829" s="89"/>
      <c r="Z829" s="89"/>
      <c r="AA829" s="89"/>
      <c r="AB829" s="89"/>
      <c r="AC829" s="355"/>
      <c r="AD829" s="355"/>
      <c r="AE829" s="355"/>
      <c r="AF829" s="94">
        <f t="shared" si="109"/>
        <v>43069</v>
      </c>
      <c r="AG829" s="185">
        <f t="shared" si="113"/>
        <v>5.1405069655694469E-3</v>
      </c>
      <c r="AH829" s="339" t="str">
        <f>VLOOKUP(B829,'MF PF'!A:B,2)</f>
        <v>FdMgt1</v>
      </c>
      <c r="AI829" s="358">
        <f t="shared" si="110"/>
        <v>0</v>
      </c>
      <c r="AJ829" s="94">
        <f t="shared" si="111"/>
        <v>43069</v>
      </c>
    </row>
    <row r="830" spans="1:36" ht="12.75" customHeight="1">
      <c r="A830" s="94">
        <v>43098</v>
      </c>
      <c r="B830" s="94" t="s">
        <v>136</v>
      </c>
      <c r="C830" s="358" t="s">
        <v>305</v>
      </c>
      <c r="D830" s="374">
        <v>8108400</v>
      </c>
      <c r="E830" s="9" t="e">
        <f t="shared" si="115"/>
        <v>#DIV/0!</v>
      </c>
      <c r="F830" s="47">
        <v>5.36</v>
      </c>
      <c r="G830" s="47">
        <v>0</v>
      </c>
      <c r="H830" s="47">
        <v>0</v>
      </c>
      <c r="I830" s="47">
        <v>0</v>
      </c>
      <c r="J830" s="98"/>
      <c r="L830" s="93">
        <f t="shared" si="107"/>
        <v>0</v>
      </c>
      <c r="M830" s="95" t="e">
        <f t="shared" ca="1" si="108"/>
        <v>#DIV/0!</v>
      </c>
      <c r="N830" s="95">
        <f>IF(P830="Hedge Fund",IF(A830=Summary!$AD$3,M830-E830,M830),IF(A830=Summary!$AD$3,L830-D830,L830))</f>
        <v>0</v>
      </c>
      <c r="O830" s="95">
        <f t="shared" si="112"/>
        <v>0</v>
      </c>
      <c r="P830" s="89" t="s">
        <v>155</v>
      </c>
      <c r="Q830" s="107">
        <v>0</v>
      </c>
      <c r="R830" s="107">
        <v>0</v>
      </c>
      <c r="S830" s="89">
        <v>0</v>
      </c>
      <c r="T830" s="89">
        <v>0</v>
      </c>
      <c r="U830" s="89"/>
      <c r="V830" s="89"/>
      <c r="W830" s="89"/>
      <c r="X830" s="89"/>
      <c r="Y830" s="89"/>
      <c r="Z830" s="89"/>
      <c r="AA830" s="89"/>
      <c r="AB830" s="89"/>
      <c r="AC830" s="355"/>
      <c r="AD830" s="355"/>
      <c r="AE830" s="355"/>
      <c r="AF830" s="94">
        <f t="shared" si="109"/>
        <v>43098</v>
      </c>
      <c r="AG830" s="185">
        <f t="shared" si="113"/>
        <v>5.2396589094968027E-2</v>
      </c>
      <c r="AH830" s="339" t="str">
        <f>VLOOKUP(B830,'MF PF'!A:B,2)</f>
        <v>FdMgt1</v>
      </c>
      <c r="AI830" s="358">
        <f t="shared" si="110"/>
        <v>0</v>
      </c>
      <c r="AJ830" s="94">
        <f t="shared" si="111"/>
        <v>43100</v>
      </c>
    </row>
    <row r="831" spans="1:36" ht="12.75" customHeight="1">
      <c r="A831" s="94">
        <v>43131</v>
      </c>
      <c r="B831" s="94" t="s">
        <v>136</v>
      </c>
      <c r="C831" s="358" t="s">
        <v>305</v>
      </c>
      <c r="D831" s="374">
        <v>8201800</v>
      </c>
      <c r="E831" s="9" t="e">
        <f t="shared" si="115"/>
        <v>#DIV/0!</v>
      </c>
      <c r="F831" s="47">
        <v>5.36</v>
      </c>
      <c r="G831" s="47">
        <v>0</v>
      </c>
      <c r="H831" s="47">
        <v>0</v>
      </c>
      <c r="I831" s="98">
        <v>0</v>
      </c>
      <c r="J831" s="98"/>
      <c r="L831" s="93">
        <f t="shared" si="107"/>
        <v>0</v>
      </c>
      <c r="M831" s="95" t="e">
        <f t="shared" ca="1" si="108"/>
        <v>#DIV/0!</v>
      </c>
      <c r="N831" s="95">
        <f>IF(P831="Hedge Fund",IF(A831=Summary!$AD$3,M831-E831,M831),IF(A831=Summary!$AD$3,L831-D831,L831))</f>
        <v>0</v>
      </c>
      <c r="O831" s="95">
        <f t="shared" si="112"/>
        <v>0</v>
      </c>
      <c r="P831" s="89" t="s">
        <v>155</v>
      </c>
      <c r="Q831" s="107">
        <v>0</v>
      </c>
      <c r="R831" s="107">
        <v>0</v>
      </c>
      <c r="S831" s="89">
        <v>0</v>
      </c>
      <c r="T831" s="89">
        <v>0</v>
      </c>
      <c r="U831" s="89"/>
      <c r="V831" s="89"/>
      <c r="W831" s="89"/>
      <c r="X831" s="89"/>
      <c r="Y831" s="89"/>
      <c r="Z831" s="89"/>
      <c r="AA831" s="89"/>
      <c r="AB831" s="89"/>
      <c r="AC831" s="355"/>
      <c r="AD831" s="355"/>
      <c r="AE831" s="355"/>
      <c r="AF831" s="94">
        <f t="shared" si="109"/>
        <v>43131</v>
      </c>
      <c r="AG831" s="185">
        <f t="shared" si="113"/>
        <v>1.1518918652261956E-2</v>
      </c>
      <c r="AH831" s="339" t="str">
        <f>VLOOKUP(B831,'MF PF'!A:B,2)</f>
        <v>FdMgt1</v>
      </c>
      <c r="AI831" s="358">
        <f t="shared" si="110"/>
        <v>0</v>
      </c>
      <c r="AJ831" s="94">
        <f t="shared" si="111"/>
        <v>43131</v>
      </c>
    </row>
    <row r="832" spans="1:36" ht="12.75" customHeight="1">
      <c r="A832" s="8">
        <v>43159</v>
      </c>
      <c r="B832" s="94" t="s">
        <v>136</v>
      </c>
      <c r="C832" s="358" t="s">
        <v>305</v>
      </c>
      <c r="D832" s="374">
        <v>8286601.4900000002</v>
      </c>
      <c r="E832" s="9" t="e">
        <f t="shared" si="115"/>
        <v>#DIV/0!</v>
      </c>
      <c r="F832" s="47">
        <v>5.36</v>
      </c>
      <c r="G832" s="47">
        <v>0</v>
      </c>
      <c r="H832" s="47">
        <v>0</v>
      </c>
      <c r="I832" s="98">
        <v>0</v>
      </c>
      <c r="J832" s="98"/>
      <c r="K832" s="93"/>
      <c r="L832" s="93">
        <f t="shared" si="107"/>
        <v>0</v>
      </c>
      <c r="M832" s="95" t="e">
        <f t="shared" ca="1" si="108"/>
        <v>#DIV/0!</v>
      </c>
      <c r="N832" s="95">
        <f>IF(P832="Hedge Fund",IF(A832=Summary!$AD$3,M832-E832,M832),IF(A832=Summary!$AD$3,L832-D832,L832))</f>
        <v>0</v>
      </c>
      <c r="O832" s="95">
        <f t="shared" si="112"/>
        <v>0</v>
      </c>
      <c r="P832" s="89" t="s">
        <v>155</v>
      </c>
      <c r="Q832" s="107">
        <v>0</v>
      </c>
      <c r="R832" s="107">
        <v>0</v>
      </c>
      <c r="S832" s="89">
        <v>0</v>
      </c>
      <c r="T832" s="89">
        <v>0</v>
      </c>
      <c r="U832" s="89"/>
      <c r="V832" s="89"/>
      <c r="W832" s="89"/>
      <c r="X832" s="89"/>
      <c r="Y832" s="89"/>
      <c r="Z832" s="89"/>
      <c r="AA832" s="89"/>
      <c r="AB832" s="89"/>
      <c r="AC832" s="355"/>
      <c r="AD832" s="355"/>
      <c r="AE832" s="355"/>
      <c r="AF832" s="94">
        <f t="shared" si="109"/>
        <v>43159</v>
      </c>
      <c r="AG832" s="185">
        <f t="shared" si="113"/>
        <v>1.0339375502938397E-2</v>
      </c>
      <c r="AH832" s="339" t="str">
        <f>VLOOKUP(B832,'MF PF'!A:B,2)</f>
        <v>FdMgt1</v>
      </c>
      <c r="AI832" s="358">
        <f t="shared" si="110"/>
        <v>0</v>
      </c>
      <c r="AJ832" s="94">
        <f t="shared" si="111"/>
        <v>43159</v>
      </c>
    </row>
    <row r="833" spans="1:36" ht="12.75" customHeight="1">
      <c r="A833" s="8">
        <v>43188</v>
      </c>
      <c r="B833" s="94" t="s">
        <v>136</v>
      </c>
      <c r="C833" s="358" t="s">
        <v>305</v>
      </c>
      <c r="D833" s="374">
        <v>8385406.5700000003</v>
      </c>
      <c r="E833" s="9" t="e">
        <f t="shared" si="115"/>
        <v>#DIV/0!</v>
      </c>
      <c r="F833" s="47">
        <v>5.36</v>
      </c>
      <c r="G833" s="47">
        <v>0</v>
      </c>
      <c r="H833" s="47">
        <v>0</v>
      </c>
      <c r="I833" s="47">
        <v>0</v>
      </c>
      <c r="J833" s="98"/>
      <c r="K833" s="93"/>
      <c r="L833" s="93">
        <f t="shared" si="107"/>
        <v>0</v>
      </c>
      <c r="M833" s="95" t="e">
        <f t="shared" ca="1" si="108"/>
        <v>#DIV/0!</v>
      </c>
      <c r="N833" s="95">
        <f>IF(P833="Hedge Fund",IF(A833=Summary!$AD$3,M833-E833,M833),IF(A833=Summary!$AD$3,L833-D833,L833))</f>
        <v>0</v>
      </c>
      <c r="O833" s="95">
        <f t="shared" si="112"/>
        <v>0</v>
      </c>
      <c r="P833" s="89" t="s">
        <v>155</v>
      </c>
      <c r="Q833" s="109">
        <v>0</v>
      </c>
      <c r="R833" s="109">
        <v>0</v>
      </c>
      <c r="S833" s="89">
        <v>0</v>
      </c>
      <c r="T833" s="89">
        <v>0</v>
      </c>
      <c r="U833" s="89"/>
      <c r="V833" s="89"/>
      <c r="W833" s="89"/>
      <c r="X833" s="89"/>
      <c r="Y833" s="89"/>
      <c r="Z833" s="89"/>
      <c r="AA833" s="89"/>
      <c r="AB833" s="89"/>
      <c r="AC833" s="355"/>
      <c r="AD833" s="355"/>
      <c r="AE833" s="355"/>
      <c r="AF833" s="94">
        <f t="shared" si="109"/>
        <v>43188</v>
      </c>
      <c r="AG833" s="185">
        <f t="shared" si="113"/>
        <v>1.1923474312024673E-2</v>
      </c>
      <c r="AH833" s="339" t="str">
        <f>VLOOKUP(B833,'MF PF'!A:B,2)</f>
        <v>FdMgt1</v>
      </c>
      <c r="AI833" s="358">
        <f t="shared" si="110"/>
        <v>0</v>
      </c>
      <c r="AJ833" s="94">
        <f t="shared" si="111"/>
        <v>43190</v>
      </c>
    </row>
    <row r="834" spans="1:36" ht="12.75" customHeight="1">
      <c r="A834" s="94">
        <v>43220</v>
      </c>
      <c r="B834" s="94" t="s">
        <v>136</v>
      </c>
      <c r="C834" s="358" t="s">
        <v>305</v>
      </c>
      <c r="D834" s="374">
        <v>8455532.5399999991</v>
      </c>
      <c r="E834" s="9" t="e">
        <f t="shared" si="115"/>
        <v>#DIV/0!</v>
      </c>
      <c r="F834" s="47">
        <v>5.36</v>
      </c>
      <c r="G834" s="47">
        <v>0</v>
      </c>
      <c r="H834" s="47">
        <v>0</v>
      </c>
      <c r="I834" s="47">
        <v>0</v>
      </c>
      <c r="J834" s="98"/>
      <c r="L834" s="93">
        <f t="shared" si="107"/>
        <v>0</v>
      </c>
      <c r="M834" s="95" t="e">
        <f t="shared" ca="1" si="108"/>
        <v>#DIV/0!</v>
      </c>
      <c r="N834" s="95">
        <f>IF(P834="Hedge Fund",IF(A834=Summary!$AD$3,M834-E834,M834),IF(A834=Summary!$AD$3,L834-D834,L834))</f>
        <v>0</v>
      </c>
      <c r="O834" s="95">
        <f t="shared" si="112"/>
        <v>0</v>
      </c>
      <c r="P834" s="89" t="s">
        <v>155</v>
      </c>
      <c r="Q834" s="109">
        <v>0</v>
      </c>
      <c r="R834" s="109">
        <v>0</v>
      </c>
      <c r="S834" s="89">
        <v>0</v>
      </c>
      <c r="T834" s="89">
        <v>0</v>
      </c>
      <c r="U834" s="89"/>
      <c r="V834" s="89"/>
      <c r="W834" s="89"/>
      <c r="X834" s="89"/>
      <c r="Y834" s="89"/>
      <c r="Z834" s="89"/>
      <c r="AA834" s="89"/>
      <c r="AB834" s="89"/>
      <c r="AC834" s="355"/>
      <c r="AD834" s="355"/>
      <c r="AE834" s="355"/>
      <c r="AF834" s="94">
        <f t="shared" si="109"/>
        <v>43220</v>
      </c>
      <c r="AG834" s="185">
        <f t="shared" si="113"/>
        <v>8.3628586657782389E-3</v>
      </c>
      <c r="AH834" s="339" t="str">
        <f>VLOOKUP(B834,'MF PF'!A:B,2)</f>
        <v>FdMgt1</v>
      </c>
      <c r="AI834" s="358">
        <f t="shared" si="110"/>
        <v>0</v>
      </c>
      <c r="AJ834" s="94">
        <f t="shared" si="111"/>
        <v>43220</v>
      </c>
    </row>
    <row r="835" spans="1:36" ht="12.75" customHeight="1">
      <c r="A835" s="8">
        <v>43251</v>
      </c>
      <c r="B835" s="358" t="s">
        <v>136</v>
      </c>
      <c r="C835" s="94" t="s">
        <v>305</v>
      </c>
      <c r="D835" s="374">
        <v>8521073.6699999999</v>
      </c>
      <c r="E835" s="9" t="e">
        <f t="shared" si="115"/>
        <v>#DIV/0!</v>
      </c>
      <c r="F835" s="98">
        <v>5.36</v>
      </c>
      <c r="G835" s="98">
        <v>0</v>
      </c>
      <c r="H835" s="98">
        <v>0</v>
      </c>
      <c r="I835" s="110">
        <v>0</v>
      </c>
      <c r="J835" s="110"/>
      <c r="K835" s="93"/>
      <c r="L835" s="93">
        <f t="shared" ref="L835:L898" si="116">G835+H835+I835</f>
        <v>0</v>
      </c>
      <c r="M835" s="95" t="e">
        <f t="shared" ref="M835:M898" ca="1" si="117">IF(A835&gt;INDIRECT("A"&amp;ROW()-1),I835/K835,E835)</f>
        <v>#DIV/0!</v>
      </c>
      <c r="N835" s="95">
        <f>IF(P835="Hedge Fund",IF(A835=Summary!$AD$3,M835-E835,M835),IF(A835=Summary!$AD$3,L835-D835,L835))</f>
        <v>0</v>
      </c>
      <c r="O835" s="95">
        <f t="shared" si="112"/>
        <v>0</v>
      </c>
      <c r="P835" s="107" t="s">
        <v>155</v>
      </c>
      <c r="Q835" s="109">
        <v>0</v>
      </c>
      <c r="R835" s="107">
        <v>0</v>
      </c>
      <c r="S835" s="107">
        <v>0</v>
      </c>
      <c r="T835" s="107">
        <v>0</v>
      </c>
      <c r="U835" s="107"/>
      <c r="V835" s="107"/>
      <c r="W835" s="107"/>
      <c r="X835" s="107"/>
      <c r="Y835" s="107"/>
      <c r="Z835" s="107"/>
      <c r="AA835" s="107"/>
      <c r="AB835" s="107"/>
      <c r="AC835" s="355"/>
      <c r="AD835" s="355"/>
      <c r="AE835" s="355"/>
      <c r="AF835" s="94">
        <f t="shared" ref="AF835:AF898" si="118">A835</f>
        <v>43251</v>
      </c>
      <c r="AG835" s="185">
        <f t="shared" si="113"/>
        <v>7.7512716898611167E-3</v>
      </c>
      <c r="AH835" s="339" t="str">
        <f>VLOOKUP(B835,'MF PF'!A:B,2)</f>
        <v>FdMgt1</v>
      </c>
      <c r="AI835" s="358">
        <f t="shared" ref="AI835:AI898" si="119">AF835-A835</f>
        <v>0</v>
      </c>
      <c r="AJ835" s="94">
        <f t="shared" ref="AJ835:AJ898" si="120">EOMONTH(A835,0)</f>
        <v>43251</v>
      </c>
    </row>
    <row r="836" spans="1:36" ht="12.75" customHeight="1">
      <c r="A836" s="8">
        <v>43280</v>
      </c>
      <c r="B836" s="358" t="s">
        <v>136</v>
      </c>
      <c r="C836" s="94" t="s">
        <v>305</v>
      </c>
      <c r="D836" s="374">
        <v>8604963.5</v>
      </c>
      <c r="E836" s="9" t="e">
        <f t="shared" si="115"/>
        <v>#DIV/0!</v>
      </c>
      <c r="F836" s="98">
        <v>5.36</v>
      </c>
      <c r="G836" s="98">
        <v>0</v>
      </c>
      <c r="H836" s="98">
        <v>0</v>
      </c>
      <c r="I836" s="110">
        <v>0</v>
      </c>
      <c r="J836" s="110"/>
      <c r="L836" s="93">
        <f t="shared" si="116"/>
        <v>0</v>
      </c>
      <c r="M836" s="95" t="e">
        <f t="shared" ca="1" si="117"/>
        <v>#DIV/0!</v>
      </c>
      <c r="N836" s="95">
        <f>IF(P836="Hedge Fund",IF(A836=Summary!$AD$3,M836-E836,M836),IF(A836=Summary!$AD$3,L836-D836,L836))</f>
        <v>0</v>
      </c>
      <c r="O836" s="95">
        <f t="shared" si="112"/>
        <v>0</v>
      </c>
      <c r="P836" s="107" t="s">
        <v>155</v>
      </c>
      <c r="Q836" s="109">
        <v>0</v>
      </c>
      <c r="R836" s="107">
        <v>0</v>
      </c>
      <c r="S836" s="107">
        <v>0</v>
      </c>
      <c r="T836" s="107">
        <v>0</v>
      </c>
      <c r="U836" s="107"/>
      <c r="V836" s="107"/>
      <c r="W836" s="107"/>
      <c r="X836" s="107"/>
      <c r="Y836" s="107"/>
      <c r="Z836" s="107"/>
      <c r="AA836" s="107"/>
      <c r="AB836" s="107"/>
      <c r="AC836" s="355"/>
      <c r="AD836" s="355"/>
      <c r="AE836" s="355"/>
      <c r="AF836" s="94">
        <f t="shared" si="118"/>
        <v>43280</v>
      </c>
      <c r="AG836" s="185">
        <f t="shared" si="113"/>
        <v>9.8449835371510197E-3</v>
      </c>
      <c r="AH836" s="339" t="str">
        <f>VLOOKUP(B836,'MF PF'!A:B,2)</f>
        <v>FdMgt1</v>
      </c>
      <c r="AI836" s="358">
        <f t="shared" si="119"/>
        <v>0</v>
      </c>
      <c r="AJ836" s="94">
        <f t="shared" si="120"/>
        <v>43281</v>
      </c>
    </row>
    <row r="837" spans="1:36" ht="12.75" customHeight="1">
      <c r="A837" s="8">
        <v>43312</v>
      </c>
      <c r="B837" s="358" t="s">
        <v>136</v>
      </c>
      <c r="C837" s="94" t="s">
        <v>305</v>
      </c>
      <c r="D837" s="374">
        <v>8562379.1999999993</v>
      </c>
      <c r="E837" s="95" t="str">
        <f>IF(K837="","",D837/K837)</f>
        <v/>
      </c>
      <c r="F837" s="47">
        <v>5.36</v>
      </c>
      <c r="G837" s="47">
        <v>0</v>
      </c>
      <c r="H837" s="47">
        <v>0</v>
      </c>
      <c r="I837" s="98">
        <v>0</v>
      </c>
      <c r="J837" s="98"/>
      <c r="K837" s="93"/>
      <c r="L837" s="93">
        <f t="shared" si="116"/>
        <v>0</v>
      </c>
      <c r="M837" s="95" t="e">
        <f t="shared" ca="1" si="117"/>
        <v>#DIV/0!</v>
      </c>
      <c r="N837" s="95">
        <f>IF(P837="Hedge Fund",IF(A837=Summary!$AD$3,M837-E837,M837),IF(A837=Summary!$AD$3,L837-D837,L837))</f>
        <v>0</v>
      </c>
      <c r="O837" s="95">
        <f t="shared" si="112"/>
        <v>0</v>
      </c>
      <c r="P837" s="89" t="s">
        <v>155</v>
      </c>
      <c r="Q837" s="107">
        <v>0</v>
      </c>
      <c r="R837" s="107">
        <v>0</v>
      </c>
      <c r="S837" s="89">
        <v>0</v>
      </c>
      <c r="T837" s="89">
        <v>0</v>
      </c>
      <c r="U837" s="89"/>
      <c r="V837" s="89"/>
      <c r="W837" s="89"/>
      <c r="X837" s="89"/>
      <c r="Y837" s="89"/>
      <c r="Z837" s="89"/>
      <c r="AA837" s="89"/>
      <c r="AB837" s="89"/>
      <c r="AC837" s="355"/>
      <c r="AD837" s="355"/>
      <c r="AE837" s="355"/>
      <c r="AF837" s="94">
        <f t="shared" si="118"/>
        <v>43312</v>
      </c>
      <c r="AG837" s="185">
        <f t="shared" si="113"/>
        <v>-4.9488065812249848E-3</v>
      </c>
      <c r="AH837" s="339" t="str">
        <f>VLOOKUP(B837,'MF PF'!A:B,2)</f>
        <v>FdMgt1</v>
      </c>
      <c r="AI837" s="358">
        <f t="shared" si="119"/>
        <v>0</v>
      </c>
      <c r="AJ837" s="94">
        <f t="shared" si="120"/>
        <v>43312</v>
      </c>
    </row>
    <row r="838" spans="1:36" ht="12.75" customHeight="1">
      <c r="A838" s="94">
        <v>43343</v>
      </c>
      <c r="B838" s="358" t="s">
        <v>136</v>
      </c>
      <c r="C838" s="94" t="s">
        <v>305</v>
      </c>
      <c r="D838" s="374">
        <v>8594662.0099999998</v>
      </c>
      <c r="E838" s="95" t="str">
        <f>IF(K838="","",D838/K838)</f>
        <v/>
      </c>
      <c r="F838" s="47">
        <v>5.36</v>
      </c>
      <c r="G838" s="47">
        <v>0</v>
      </c>
      <c r="H838" s="47">
        <v>0</v>
      </c>
      <c r="I838" s="98">
        <v>0</v>
      </c>
      <c r="J838" s="98"/>
      <c r="K838" s="93"/>
      <c r="L838" s="93">
        <f t="shared" si="116"/>
        <v>0</v>
      </c>
      <c r="M838" s="95" t="e">
        <f t="shared" ca="1" si="117"/>
        <v>#DIV/0!</v>
      </c>
      <c r="N838" s="95">
        <f>IF(P838="Hedge Fund",IF(A838=Summary!$AD$3,M838-E838,M838),IF(A838=Summary!$AD$3,L838-D838,L838))</f>
        <v>0</v>
      </c>
      <c r="O838" s="95">
        <f t="shared" si="112"/>
        <v>0</v>
      </c>
      <c r="P838" s="89" t="s">
        <v>155</v>
      </c>
      <c r="Q838" s="107">
        <v>0</v>
      </c>
      <c r="R838" s="107">
        <v>0</v>
      </c>
      <c r="S838" s="89">
        <v>0</v>
      </c>
      <c r="T838" s="89">
        <v>0</v>
      </c>
      <c r="U838" s="89"/>
      <c r="V838" s="89"/>
      <c r="W838" s="89"/>
      <c r="X838" s="89"/>
      <c r="Y838" s="89"/>
      <c r="Z838" s="89"/>
      <c r="AA838" s="89"/>
      <c r="AB838" s="89"/>
      <c r="AC838" s="355"/>
      <c r="AD838" s="355"/>
      <c r="AE838" s="355"/>
      <c r="AF838" s="94">
        <f t="shared" si="118"/>
        <v>43343</v>
      </c>
      <c r="AG838" s="185">
        <f t="shared" si="113"/>
        <v>3.7703083741025267E-3</v>
      </c>
      <c r="AH838" s="339" t="str">
        <f>VLOOKUP(B838,'MF PF'!A:B,2)</f>
        <v>FdMgt1</v>
      </c>
      <c r="AI838" s="358">
        <f t="shared" si="119"/>
        <v>0</v>
      </c>
      <c r="AJ838" s="94">
        <f t="shared" si="120"/>
        <v>43343</v>
      </c>
    </row>
    <row r="839" spans="1:36" ht="12.75" customHeight="1">
      <c r="A839" s="94">
        <v>43371</v>
      </c>
      <c r="B839" s="358" t="s">
        <v>136</v>
      </c>
      <c r="C839" s="358" t="s">
        <v>305</v>
      </c>
      <c r="D839" s="374">
        <v>8562986.9000000004</v>
      </c>
      <c r="E839" s="353"/>
      <c r="F839" s="105">
        <v>5.36</v>
      </c>
      <c r="G839" s="93">
        <v>0</v>
      </c>
      <c r="H839" s="93">
        <v>0</v>
      </c>
      <c r="I839" s="93">
        <v>0</v>
      </c>
      <c r="K839" s="93">
        <v>0</v>
      </c>
      <c r="L839" s="93">
        <f t="shared" si="116"/>
        <v>0</v>
      </c>
      <c r="M839" s="95" t="e">
        <f t="shared" ca="1" si="117"/>
        <v>#DIV/0!</v>
      </c>
      <c r="N839" s="95">
        <f>IF(P839="Hedge Fund",IF(A839=Summary!$AD$3,M839-E839,M839),IF(A839=Summary!$AD$3,L839-D839,L839))</f>
        <v>0</v>
      </c>
      <c r="O839" s="95">
        <f t="shared" si="112"/>
        <v>0</v>
      </c>
      <c r="P839" s="95" t="s">
        <v>155</v>
      </c>
      <c r="Q839" s="95">
        <v>0</v>
      </c>
      <c r="R839" s="95">
        <v>0</v>
      </c>
      <c r="S839" s="95"/>
      <c r="T839" s="95"/>
      <c r="U839" s="95"/>
      <c r="V839" s="95"/>
      <c r="W839" s="95"/>
      <c r="X839" s="95"/>
      <c r="Y839" s="95"/>
      <c r="Z839" s="95"/>
      <c r="AA839" s="95"/>
      <c r="AB839" s="95"/>
      <c r="AC839" s="355"/>
      <c r="AD839" s="355"/>
      <c r="AE839" s="355"/>
      <c r="AF839" s="94">
        <f t="shared" si="118"/>
        <v>43371</v>
      </c>
      <c r="AG839" s="185">
        <f t="shared" si="113"/>
        <v>-3.6854398652494957E-3</v>
      </c>
      <c r="AH839" s="339" t="str">
        <f>VLOOKUP(B839,'MF PF'!A:B,2)</f>
        <v>FdMgt1</v>
      </c>
      <c r="AI839" s="358">
        <f t="shared" si="119"/>
        <v>0</v>
      </c>
      <c r="AJ839" s="94">
        <f t="shared" si="120"/>
        <v>43373</v>
      </c>
    </row>
    <row r="840" spans="1:36" ht="12.75" customHeight="1">
      <c r="A840" s="94">
        <v>43404</v>
      </c>
      <c r="B840" s="358" t="s">
        <v>136</v>
      </c>
      <c r="C840" s="358" t="s">
        <v>305</v>
      </c>
      <c r="D840" s="374">
        <v>8468736.7400000002</v>
      </c>
      <c r="F840" s="105">
        <v>5.36</v>
      </c>
      <c r="G840" s="93">
        <v>0</v>
      </c>
      <c r="H840" s="93">
        <v>0</v>
      </c>
      <c r="I840" s="93">
        <v>0</v>
      </c>
      <c r="J840" s="93">
        <v>0</v>
      </c>
      <c r="K840" s="93"/>
      <c r="L840" s="93">
        <f t="shared" si="116"/>
        <v>0</v>
      </c>
      <c r="M840" s="95" t="e">
        <f t="shared" ca="1" si="117"/>
        <v>#DIV/0!</v>
      </c>
      <c r="N840" s="95">
        <f>IF(P840="Hedge Fund",IF(A840=Summary!$AD$3,M840-E840,M840),IF(A840=Summary!$AD$3,L840-D840,L840))</f>
        <v>0</v>
      </c>
      <c r="O840" s="95">
        <f t="shared" si="112"/>
        <v>0</v>
      </c>
      <c r="P840" s="95" t="s">
        <v>155</v>
      </c>
      <c r="Q840" s="95">
        <v>0</v>
      </c>
      <c r="R840" s="95">
        <v>0</v>
      </c>
      <c r="S840" s="95"/>
      <c r="T840" s="95"/>
      <c r="U840" s="95"/>
      <c r="V840" s="95"/>
      <c r="W840" s="95"/>
      <c r="X840" s="95"/>
      <c r="Y840" s="95"/>
      <c r="Z840" s="95"/>
      <c r="AA840" s="95"/>
      <c r="AB840" s="95"/>
      <c r="AC840" s="355"/>
      <c r="AD840" s="355"/>
      <c r="AE840" s="355"/>
      <c r="AF840" s="94">
        <f t="shared" si="118"/>
        <v>43404</v>
      </c>
      <c r="AG840" s="185">
        <f t="shared" si="113"/>
        <v>-1.1006692069095658E-2</v>
      </c>
      <c r="AH840" s="339" t="str">
        <f>VLOOKUP(B840,'MF PF'!A:B,2)</f>
        <v>FdMgt1</v>
      </c>
      <c r="AI840" s="358">
        <f t="shared" si="119"/>
        <v>0</v>
      </c>
      <c r="AJ840" s="94">
        <f t="shared" si="120"/>
        <v>43404</v>
      </c>
    </row>
    <row r="841" spans="1:36" ht="12.75" customHeight="1">
      <c r="A841" s="8">
        <v>43434</v>
      </c>
      <c r="B841" s="358" t="s">
        <v>136</v>
      </c>
      <c r="C841" s="358" t="s">
        <v>305</v>
      </c>
      <c r="D841" s="374">
        <v>8593440.8200000003</v>
      </c>
      <c r="F841" s="105">
        <v>5.36</v>
      </c>
      <c r="G841" s="93">
        <v>0</v>
      </c>
      <c r="H841" s="93">
        <v>0</v>
      </c>
      <c r="I841" s="93">
        <v>0</v>
      </c>
      <c r="K841" s="93">
        <v>0</v>
      </c>
      <c r="L841" s="93">
        <f t="shared" si="116"/>
        <v>0</v>
      </c>
      <c r="M841" s="95" t="e">
        <f t="shared" ca="1" si="117"/>
        <v>#DIV/0!</v>
      </c>
      <c r="N841" s="95">
        <f>IF(P841="Hedge Fund",IF(A841=Summary!$AD$3,M841-E841,M841),IF(A841=Summary!$AD$3,L841-D841,L841))</f>
        <v>0</v>
      </c>
      <c r="O841" s="95">
        <f t="shared" si="112"/>
        <v>0</v>
      </c>
      <c r="P841" s="95" t="s">
        <v>155</v>
      </c>
      <c r="Q841" s="95">
        <v>0</v>
      </c>
      <c r="R841" s="95">
        <v>0</v>
      </c>
      <c r="S841" s="95"/>
      <c r="T841" s="95"/>
      <c r="U841" s="95"/>
      <c r="V841" s="95"/>
      <c r="W841" s="95"/>
      <c r="X841" s="95"/>
      <c r="Y841" s="95"/>
      <c r="Z841" s="95"/>
      <c r="AA841" s="95"/>
      <c r="AB841" s="95"/>
      <c r="AC841" s="355"/>
      <c r="AD841" s="355"/>
      <c r="AE841" s="355"/>
      <c r="AF841" s="94">
        <f t="shared" si="118"/>
        <v>43434</v>
      </c>
      <c r="AG841" s="185">
        <f t="shared" si="113"/>
        <v>1.4725228074571106E-2</v>
      </c>
      <c r="AH841" s="339" t="str">
        <f>VLOOKUP(B841,'MF PF'!A:B,2)</f>
        <v>FdMgt1</v>
      </c>
      <c r="AI841" s="358">
        <f t="shared" si="119"/>
        <v>0</v>
      </c>
      <c r="AJ841" s="94">
        <f t="shared" si="120"/>
        <v>43434</v>
      </c>
    </row>
    <row r="842" spans="1:36" ht="12.75" customHeight="1">
      <c r="A842" s="94">
        <v>43452</v>
      </c>
      <c r="B842" s="358" t="s">
        <v>136</v>
      </c>
      <c r="C842" s="358" t="s">
        <v>305</v>
      </c>
      <c r="D842" s="93"/>
      <c r="F842" s="93"/>
      <c r="G842" s="93"/>
      <c r="H842" s="93"/>
      <c r="I842" s="93">
        <v>0</v>
      </c>
      <c r="K842" s="93"/>
      <c r="L842" s="93">
        <f t="shared" si="116"/>
        <v>0</v>
      </c>
      <c r="M842" s="95" t="e">
        <f t="shared" ca="1" si="117"/>
        <v>#DIV/0!</v>
      </c>
      <c r="N842" s="95">
        <f>IF(P842="Hedge Fund",IF(A842=Summary!$AD$3,M842-E842,M842),IF(A842=Summary!$AD$3,L842-D842,L842))</f>
        <v>0</v>
      </c>
      <c r="O842" s="95">
        <f t="shared" si="112"/>
        <v>0</v>
      </c>
      <c r="P842" s="95" t="s">
        <v>155</v>
      </c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  <c r="AC842" s="355"/>
      <c r="AD842" s="355"/>
      <c r="AE842" s="355"/>
      <c r="AF842" s="94">
        <f t="shared" si="118"/>
        <v>43452</v>
      </c>
      <c r="AG842" s="185">
        <f t="shared" si="113"/>
        <v>-1</v>
      </c>
      <c r="AH842" s="339" t="str">
        <f>VLOOKUP(B842,'MF PF'!A:B,2)</f>
        <v>FdMgt1</v>
      </c>
      <c r="AI842" s="358">
        <f t="shared" si="119"/>
        <v>0</v>
      </c>
      <c r="AJ842" s="94">
        <f t="shared" si="120"/>
        <v>43465</v>
      </c>
    </row>
    <row r="843" spans="1:36" ht="12.75" customHeight="1">
      <c r="A843" s="94">
        <v>43465</v>
      </c>
      <c r="B843" s="358" t="s">
        <v>136</v>
      </c>
      <c r="C843" s="358" t="s">
        <v>305</v>
      </c>
      <c r="D843" s="93">
        <v>8852794.3100000005</v>
      </c>
      <c r="F843" s="93">
        <v>5.36</v>
      </c>
      <c r="G843" s="93">
        <v>0</v>
      </c>
      <c r="H843" s="93">
        <v>0</v>
      </c>
      <c r="I843" s="93">
        <v>0</v>
      </c>
      <c r="K843" s="7">
        <v>0</v>
      </c>
      <c r="L843" s="93">
        <f t="shared" si="116"/>
        <v>0</v>
      </c>
      <c r="M843" s="95" t="e">
        <f t="shared" ca="1" si="117"/>
        <v>#DIV/0!</v>
      </c>
      <c r="N843" s="95">
        <f>IF(P843="Hedge Fund",IF(A843=Summary!$AD$3,M843-E843,M843),IF(A843=Summary!$AD$3,L843-D843,L843))</f>
        <v>0</v>
      </c>
      <c r="O843" s="95">
        <f t="shared" si="112"/>
        <v>0</v>
      </c>
      <c r="P843" s="95" t="s">
        <v>155</v>
      </c>
      <c r="Q843" s="95">
        <v>0</v>
      </c>
      <c r="R843" s="95">
        <v>0</v>
      </c>
      <c r="S843" s="95"/>
      <c r="T843" s="95"/>
      <c r="U843" s="95"/>
      <c r="V843" s="95"/>
      <c r="W843" s="95"/>
      <c r="X843" s="95"/>
      <c r="Y843" s="95"/>
      <c r="Z843" s="95"/>
      <c r="AA843" s="95"/>
      <c r="AB843" s="95"/>
      <c r="AC843" s="355"/>
      <c r="AD843" s="355"/>
      <c r="AE843" s="355"/>
      <c r="AF843" s="94">
        <f t="shared" si="118"/>
        <v>43465</v>
      </c>
      <c r="AG843" s="185" t="e">
        <f t="shared" si="113"/>
        <v>#DIV/0!</v>
      </c>
      <c r="AH843" s="339" t="str">
        <f>VLOOKUP(B843,'MF PF'!A:B,2)</f>
        <v>FdMgt1</v>
      </c>
      <c r="AI843" s="358">
        <f t="shared" si="119"/>
        <v>0</v>
      </c>
      <c r="AJ843" s="94">
        <f t="shared" si="120"/>
        <v>43465</v>
      </c>
    </row>
    <row r="844" spans="1:36" ht="12.75" customHeight="1">
      <c r="A844" s="94">
        <v>43487</v>
      </c>
      <c r="B844" s="358" t="s">
        <v>136</v>
      </c>
      <c r="C844" s="358" t="s">
        <v>305</v>
      </c>
      <c r="D844" s="93"/>
      <c r="F844" s="93"/>
      <c r="G844" s="93"/>
      <c r="H844" s="93"/>
      <c r="I844" s="93">
        <v>-79104.169063094756</v>
      </c>
      <c r="L844" s="93">
        <f t="shared" si="116"/>
        <v>-79104.169063094756</v>
      </c>
      <c r="M844" s="95" t="e">
        <f t="shared" ca="1" si="117"/>
        <v>#DIV/0!</v>
      </c>
      <c r="N844" s="95">
        <f>IF(P844="Hedge Fund",IF(A844=Summary!$AD$3,M844-E844,M844),IF(A844=Summary!$AD$3,L844-D844,L844))</f>
        <v>-79104.169063094756</v>
      </c>
      <c r="O844" s="95">
        <f t="shared" si="112"/>
        <v>-79104.169063094756</v>
      </c>
      <c r="P844" s="95" t="s">
        <v>155</v>
      </c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  <c r="AC844" s="355"/>
      <c r="AD844" s="355"/>
      <c r="AE844" s="355"/>
      <c r="AF844" s="94">
        <f t="shared" si="118"/>
        <v>43487</v>
      </c>
      <c r="AG844" s="185">
        <f t="shared" si="113"/>
        <v>-0.99106449711886568</v>
      </c>
      <c r="AH844" s="339" t="str">
        <f>VLOOKUP(B844,'MF PF'!A:B,2)</f>
        <v>FdMgt1</v>
      </c>
      <c r="AI844" s="358">
        <f t="shared" si="119"/>
        <v>0</v>
      </c>
      <c r="AJ844" s="94">
        <f t="shared" si="120"/>
        <v>43496</v>
      </c>
    </row>
    <row r="845" spans="1:36" ht="12.75" customHeight="1">
      <c r="A845" s="94">
        <v>43496</v>
      </c>
      <c r="B845" s="358" t="s">
        <v>136</v>
      </c>
      <c r="C845" s="358" t="s">
        <v>305</v>
      </c>
      <c r="D845" s="93">
        <v>8728406.4199999999</v>
      </c>
      <c r="F845" s="93">
        <v>5.36</v>
      </c>
      <c r="G845" s="93">
        <v>0</v>
      </c>
      <c r="H845" s="93">
        <v>0</v>
      </c>
      <c r="I845" s="93">
        <v>0</v>
      </c>
      <c r="K845" s="93">
        <v>0</v>
      </c>
      <c r="L845" s="93">
        <f t="shared" si="116"/>
        <v>0</v>
      </c>
      <c r="M845" s="95" t="e">
        <f t="shared" ca="1" si="117"/>
        <v>#DIV/0!</v>
      </c>
      <c r="N845" s="95">
        <f>IF(P845="Hedge Fund",IF(A845=Summary!$AD$3,M845-E845,M845),IF(A845=Summary!$AD$3,L845-D845,L845))</f>
        <v>-8728406.4199999999</v>
      </c>
      <c r="O845" s="95">
        <f t="shared" si="112"/>
        <v>-8728406.4199999999</v>
      </c>
      <c r="P845" s="95" t="s">
        <v>155</v>
      </c>
      <c r="Q845" s="95">
        <v>0</v>
      </c>
      <c r="R845" s="95">
        <v>0</v>
      </c>
      <c r="S845" s="95"/>
      <c r="T845" s="95"/>
      <c r="U845" s="95"/>
      <c r="V845" s="95"/>
      <c r="W845" s="95"/>
      <c r="X845" s="95"/>
      <c r="Y845" s="95"/>
      <c r="Z845" s="95"/>
      <c r="AA845" s="95"/>
      <c r="AB845" s="95"/>
      <c r="AC845" s="355"/>
      <c r="AD845" s="355"/>
      <c r="AE845" s="355"/>
      <c r="AF845" s="94">
        <f t="shared" si="118"/>
        <v>43496</v>
      </c>
      <c r="AG845" s="185" t="e">
        <f t="shared" si="113"/>
        <v>#DIV/0!</v>
      </c>
      <c r="AH845" s="339" t="str">
        <f>VLOOKUP(B845,'MF PF'!A:B,2)</f>
        <v>FdMgt1</v>
      </c>
      <c r="AI845" s="358">
        <f t="shared" si="119"/>
        <v>0</v>
      </c>
      <c r="AJ845" s="94">
        <f t="shared" si="120"/>
        <v>43496</v>
      </c>
    </row>
    <row r="846" spans="1:36" ht="12.75" customHeight="1">
      <c r="A846" s="8">
        <v>41856</v>
      </c>
      <c r="B846" s="94" t="s">
        <v>136</v>
      </c>
      <c r="C846" s="6" t="s">
        <v>306</v>
      </c>
      <c r="D846" s="374">
        <v>300080</v>
      </c>
      <c r="E846" s="9" t="e">
        <f t="shared" ref="E846:E877" si="121">D846/K846</f>
        <v>#DIV/0!</v>
      </c>
      <c r="F846" s="98">
        <v>2.63</v>
      </c>
      <c r="G846" s="98">
        <v>300080</v>
      </c>
      <c r="H846" s="98">
        <v>0</v>
      </c>
      <c r="I846" s="98">
        <v>0</v>
      </c>
      <c r="J846" s="98"/>
      <c r="L846" s="93">
        <f t="shared" si="116"/>
        <v>300080</v>
      </c>
      <c r="M846" s="95" t="e">
        <f t="shared" ca="1" si="117"/>
        <v>#DIV/0!</v>
      </c>
      <c r="N846" s="95">
        <f>IF(P846="Hedge Fund",IF(A846=Summary!$AD$3,M846-E846,M846),IF(A846=Summary!$AD$3,L846-D846,L846))</f>
        <v>300080</v>
      </c>
      <c r="O846" s="95">
        <f t="shared" ref="O846:O909" si="122">N846</f>
        <v>300080</v>
      </c>
      <c r="P846" s="107" t="s">
        <v>155</v>
      </c>
      <c r="Q846" s="107">
        <v>0</v>
      </c>
      <c r="R846" s="107">
        <v>0</v>
      </c>
      <c r="S846" s="107">
        <v>0</v>
      </c>
      <c r="T846" s="107">
        <v>0</v>
      </c>
      <c r="U846" s="107"/>
      <c r="V846" s="107"/>
      <c r="W846" s="107"/>
      <c r="X846" s="107"/>
      <c r="Y846" s="107"/>
      <c r="Z846" s="107"/>
      <c r="AA846" s="107"/>
      <c r="AB846" s="107"/>
      <c r="AC846" s="355"/>
      <c r="AD846" s="355"/>
      <c r="AE846" s="355"/>
      <c r="AF846" s="94">
        <f t="shared" si="118"/>
        <v>41856</v>
      </c>
      <c r="AG846" s="185">
        <f t="shared" si="113"/>
        <v>0</v>
      </c>
      <c r="AH846" s="339" t="str">
        <f>VLOOKUP(B846,'MF PF'!A:B,2)</f>
        <v>FdMgt1</v>
      </c>
      <c r="AI846" s="358">
        <f t="shared" si="119"/>
        <v>0</v>
      </c>
      <c r="AJ846" s="94">
        <f t="shared" si="120"/>
        <v>41882</v>
      </c>
    </row>
    <row r="847" spans="1:36" ht="12.75" customHeight="1">
      <c r="A847" s="94">
        <v>41870</v>
      </c>
      <c r="B847" s="94" t="s">
        <v>136</v>
      </c>
      <c r="C847" s="358" t="s">
        <v>306</v>
      </c>
      <c r="D847" s="374">
        <v>665910</v>
      </c>
      <c r="E847" s="9" t="e">
        <f t="shared" si="121"/>
        <v>#DIV/0!</v>
      </c>
      <c r="F847" s="98">
        <v>2.63</v>
      </c>
      <c r="G847" s="98">
        <v>365830</v>
      </c>
      <c r="H847" s="98">
        <v>0</v>
      </c>
      <c r="I847" s="98">
        <v>0</v>
      </c>
      <c r="J847" s="98"/>
      <c r="L847" s="93">
        <f t="shared" si="116"/>
        <v>365830</v>
      </c>
      <c r="M847" s="95" t="e">
        <f t="shared" ca="1" si="117"/>
        <v>#DIV/0!</v>
      </c>
      <c r="N847" s="95">
        <f>IF(P847="Hedge Fund",IF(A847=Summary!$AD$3,M847-E847,M847),IF(A847=Summary!$AD$3,L847-D847,L847))</f>
        <v>365830</v>
      </c>
      <c r="O847" s="95">
        <f t="shared" si="122"/>
        <v>365830</v>
      </c>
      <c r="P847" s="107" t="s">
        <v>155</v>
      </c>
      <c r="Q847" s="107">
        <v>0</v>
      </c>
      <c r="R847" s="107">
        <v>0</v>
      </c>
      <c r="S847" s="107">
        <v>0</v>
      </c>
      <c r="T847" s="107">
        <v>0</v>
      </c>
      <c r="U847" s="107"/>
      <c r="V847" s="107"/>
      <c r="W847" s="107"/>
      <c r="X847" s="107"/>
      <c r="Y847" s="107"/>
      <c r="Z847" s="107"/>
      <c r="AA847" s="107"/>
      <c r="AB847" s="107"/>
      <c r="AC847" s="355"/>
      <c r="AD847" s="355"/>
      <c r="AE847" s="355"/>
      <c r="AF847" s="94">
        <f t="shared" si="118"/>
        <v>41870</v>
      </c>
      <c r="AG847" s="185">
        <f t="shared" ref="AG847:AG910" si="123">IF(C847&lt;&gt;C846,D847/G847-1,(D847-G847-I847-H847)/(D846)-1)</f>
        <v>0</v>
      </c>
      <c r="AH847" s="339" t="str">
        <f>VLOOKUP(B847,'MF PF'!A:B,2)</f>
        <v>FdMgt1</v>
      </c>
      <c r="AI847" s="358">
        <f t="shared" si="119"/>
        <v>0</v>
      </c>
      <c r="AJ847" s="94">
        <f t="shared" si="120"/>
        <v>41882</v>
      </c>
    </row>
    <row r="848" spans="1:36" ht="12.75" customHeight="1">
      <c r="A848" s="8">
        <v>41880</v>
      </c>
      <c r="B848" s="94" t="s">
        <v>136</v>
      </c>
      <c r="C848" s="358" t="s">
        <v>306</v>
      </c>
      <c r="D848" s="374">
        <v>667641.24600000004</v>
      </c>
      <c r="E848" s="9" t="e">
        <f t="shared" si="121"/>
        <v>#DIV/0!</v>
      </c>
      <c r="F848" s="47">
        <v>2.63</v>
      </c>
      <c r="G848" s="47">
        <v>0</v>
      </c>
      <c r="H848" s="47">
        <v>0</v>
      </c>
      <c r="I848" s="98">
        <v>0</v>
      </c>
      <c r="J848" s="98"/>
      <c r="L848" s="93">
        <f t="shared" si="116"/>
        <v>0</v>
      </c>
      <c r="M848" s="95" t="e">
        <f t="shared" ca="1" si="117"/>
        <v>#DIV/0!</v>
      </c>
      <c r="N848" s="95">
        <f>IF(P848="Hedge Fund",IF(A848=Summary!$AD$3,M848-E848,M848),IF(A848=Summary!$AD$3,L848-D848,L848))</f>
        <v>0</v>
      </c>
      <c r="O848" s="95">
        <f t="shared" si="122"/>
        <v>0</v>
      </c>
      <c r="P848" s="89" t="s">
        <v>155</v>
      </c>
      <c r="Q848" s="107">
        <v>0</v>
      </c>
      <c r="R848" s="107">
        <v>0</v>
      </c>
      <c r="S848" s="89">
        <v>0</v>
      </c>
      <c r="T848" s="89">
        <v>0</v>
      </c>
      <c r="U848" s="89"/>
      <c r="V848" s="89"/>
      <c r="W848" s="89"/>
      <c r="X848" s="89"/>
      <c r="Y848" s="89"/>
      <c r="Z848" s="89"/>
      <c r="AA848" s="89"/>
      <c r="AB848" s="89"/>
      <c r="AC848" s="355"/>
      <c r="AD848" s="355"/>
      <c r="AE848" s="355"/>
      <c r="AF848" s="94">
        <f t="shared" si="118"/>
        <v>41880</v>
      </c>
      <c r="AG848" s="185">
        <f t="shared" si="123"/>
        <v>2.5998197954679725E-3</v>
      </c>
      <c r="AH848" s="339" t="str">
        <f>VLOOKUP(B848,'MF PF'!A:B,2)</f>
        <v>FdMgt1</v>
      </c>
      <c r="AI848" s="358">
        <f t="shared" si="119"/>
        <v>0</v>
      </c>
      <c r="AJ848" s="94">
        <f t="shared" si="120"/>
        <v>41882</v>
      </c>
    </row>
    <row r="849" spans="1:36" ht="12.75" customHeight="1">
      <c r="A849" s="94">
        <v>41912</v>
      </c>
      <c r="B849" s="94" t="s">
        <v>136</v>
      </c>
      <c r="C849" s="358" t="s">
        <v>306</v>
      </c>
      <c r="D849" s="374">
        <v>650611.29</v>
      </c>
      <c r="E849" s="9" t="e">
        <f t="shared" si="121"/>
        <v>#DIV/0!</v>
      </c>
      <c r="F849" s="47">
        <v>2.63</v>
      </c>
      <c r="G849" s="47">
        <v>0</v>
      </c>
      <c r="H849" s="47">
        <v>0</v>
      </c>
      <c r="I849" s="98">
        <v>0</v>
      </c>
      <c r="J849" s="98"/>
      <c r="K849" s="93"/>
      <c r="L849" s="93">
        <f t="shared" si="116"/>
        <v>0</v>
      </c>
      <c r="M849" s="95" t="e">
        <f t="shared" ca="1" si="117"/>
        <v>#DIV/0!</v>
      </c>
      <c r="N849" s="95">
        <f>IF(P849="Hedge Fund",IF(A849=Summary!$AD$3,M849-E849,M849),IF(A849=Summary!$AD$3,L849-D849,L849))</f>
        <v>0</v>
      </c>
      <c r="O849" s="95">
        <f t="shared" si="122"/>
        <v>0</v>
      </c>
      <c r="P849" s="89" t="s">
        <v>155</v>
      </c>
      <c r="Q849" s="107">
        <v>0</v>
      </c>
      <c r="R849" s="107">
        <v>0</v>
      </c>
      <c r="S849" s="89">
        <v>0</v>
      </c>
      <c r="T849" s="89">
        <v>0</v>
      </c>
      <c r="U849" s="89"/>
      <c r="V849" s="89"/>
      <c r="W849" s="89"/>
      <c r="X849" s="89"/>
      <c r="Y849" s="89"/>
      <c r="Z849" s="89"/>
      <c r="AA849" s="89"/>
      <c r="AB849" s="89"/>
      <c r="AC849" s="355"/>
      <c r="AD849" s="355"/>
      <c r="AE849" s="355"/>
      <c r="AF849" s="94">
        <f t="shared" si="118"/>
        <v>41912</v>
      </c>
      <c r="AG849" s="185">
        <f t="shared" si="123"/>
        <v>-2.5507645164271397E-2</v>
      </c>
      <c r="AH849" s="339" t="str">
        <f>VLOOKUP(B849,'MF PF'!A:B,2)</f>
        <v>FdMgt1</v>
      </c>
      <c r="AI849" s="358">
        <f t="shared" si="119"/>
        <v>0</v>
      </c>
      <c r="AJ849" s="94">
        <f t="shared" si="120"/>
        <v>41912</v>
      </c>
    </row>
    <row r="850" spans="1:36" ht="12.75" customHeight="1">
      <c r="A850" s="94">
        <v>41943</v>
      </c>
      <c r="B850" s="94" t="s">
        <v>136</v>
      </c>
      <c r="C850" s="358" t="s">
        <v>306</v>
      </c>
      <c r="D850" s="374">
        <v>1103306.8999999999</v>
      </c>
      <c r="E850" s="9" t="e">
        <f t="shared" si="121"/>
        <v>#DIV/0!</v>
      </c>
      <c r="F850" s="47">
        <v>2.63</v>
      </c>
      <c r="G850" s="47">
        <v>444470</v>
      </c>
      <c r="H850" s="47">
        <v>0</v>
      </c>
      <c r="I850" s="98">
        <v>0</v>
      </c>
      <c r="J850" s="98"/>
      <c r="K850" s="93"/>
      <c r="L850" s="93">
        <f t="shared" si="116"/>
        <v>444470</v>
      </c>
      <c r="M850" s="95" t="e">
        <f t="shared" ca="1" si="117"/>
        <v>#DIV/0!</v>
      </c>
      <c r="N850" s="95">
        <f>IF(P850="Hedge Fund",IF(A850=Summary!$AD$3,M850-E850,M850),IF(A850=Summary!$AD$3,L850-D850,L850))</f>
        <v>444470</v>
      </c>
      <c r="O850" s="95">
        <f t="shared" si="122"/>
        <v>444470</v>
      </c>
      <c r="P850" s="89" t="s">
        <v>155</v>
      </c>
      <c r="Q850" s="107">
        <v>0</v>
      </c>
      <c r="R850" s="107">
        <v>0</v>
      </c>
      <c r="S850" s="89">
        <v>0</v>
      </c>
      <c r="T850" s="89">
        <v>0</v>
      </c>
      <c r="U850" s="89"/>
      <c r="V850" s="89"/>
      <c r="W850" s="89"/>
      <c r="X850" s="89"/>
      <c r="Y850" s="89"/>
      <c r="Z850" s="89"/>
      <c r="AA850" s="89"/>
      <c r="AB850" s="89"/>
      <c r="AC850" s="355"/>
      <c r="AD850" s="355"/>
      <c r="AE850" s="355"/>
      <c r="AF850" s="94">
        <f t="shared" si="118"/>
        <v>41943</v>
      </c>
      <c r="AG850" s="185">
        <f t="shared" si="123"/>
        <v>1.2642894653733805E-2</v>
      </c>
      <c r="AH850" s="339" t="str">
        <f>VLOOKUP(B850,'MF PF'!A:B,2)</f>
        <v>FdMgt1</v>
      </c>
      <c r="AI850" s="358">
        <f t="shared" si="119"/>
        <v>0</v>
      </c>
      <c r="AJ850" s="94">
        <f t="shared" si="120"/>
        <v>41943</v>
      </c>
    </row>
    <row r="851" spans="1:36" ht="12.75" customHeight="1">
      <c r="A851" s="8">
        <v>41971</v>
      </c>
      <c r="B851" s="94" t="s">
        <v>136</v>
      </c>
      <c r="C851" s="6" t="s">
        <v>306</v>
      </c>
      <c r="D851" s="374">
        <v>1125599.1140000001</v>
      </c>
      <c r="E851" s="9" t="e">
        <f t="shared" si="121"/>
        <v>#DIV/0!</v>
      </c>
      <c r="F851" s="98">
        <v>2.63</v>
      </c>
      <c r="G851" s="98">
        <v>0</v>
      </c>
      <c r="H851" s="98">
        <v>0</v>
      </c>
      <c r="I851" s="98">
        <v>0</v>
      </c>
      <c r="J851" s="98"/>
      <c r="K851" s="93"/>
      <c r="L851" s="93">
        <f t="shared" si="116"/>
        <v>0</v>
      </c>
      <c r="M851" s="95" t="e">
        <f t="shared" ca="1" si="117"/>
        <v>#DIV/0!</v>
      </c>
      <c r="N851" s="95">
        <f>IF(P851="Hedge Fund",IF(A851=Summary!$AD$3,M851-E851,M851),IF(A851=Summary!$AD$3,L851-D851,L851))</f>
        <v>0</v>
      </c>
      <c r="O851" s="95">
        <f t="shared" si="122"/>
        <v>0</v>
      </c>
      <c r="P851" s="107" t="s">
        <v>155</v>
      </c>
      <c r="Q851" s="107">
        <v>0</v>
      </c>
      <c r="R851" s="107">
        <v>0</v>
      </c>
      <c r="S851" s="107">
        <v>0</v>
      </c>
      <c r="T851" s="107">
        <v>0</v>
      </c>
      <c r="U851" s="107"/>
      <c r="V851" s="107"/>
      <c r="W851" s="107"/>
      <c r="X851" s="107"/>
      <c r="Y851" s="107"/>
      <c r="Z851" s="107"/>
      <c r="AA851" s="107"/>
      <c r="AB851" s="107"/>
      <c r="AC851" s="355"/>
      <c r="AD851" s="355"/>
      <c r="AE851" s="355"/>
      <c r="AF851" s="94">
        <f t="shared" si="118"/>
        <v>41971</v>
      </c>
      <c r="AG851" s="185">
        <f t="shared" si="123"/>
        <v>2.0204907628149638E-2</v>
      </c>
      <c r="AH851" s="339" t="str">
        <f>VLOOKUP(B851,'MF PF'!A:B,2)</f>
        <v>FdMgt1</v>
      </c>
      <c r="AI851" s="358">
        <f t="shared" si="119"/>
        <v>0</v>
      </c>
      <c r="AJ851" s="94">
        <f t="shared" si="120"/>
        <v>41973</v>
      </c>
    </row>
    <row r="852" spans="1:36" ht="12.75" customHeight="1">
      <c r="A852" s="8">
        <v>42004</v>
      </c>
      <c r="B852" s="8" t="s">
        <v>136</v>
      </c>
      <c r="C852" s="6" t="s">
        <v>306</v>
      </c>
      <c r="D852" s="374">
        <v>1128516.96</v>
      </c>
      <c r="E852" s="9" t="e">
        <f t="shared" si="121"/>
        <v>#DIV/0!</v>
      </c>
      <c r="F852" s="47">
        <v>2.63</v>
      </c>
      <c r="G852" s="47">
        <v>0</v>
      </c>
      <c r="H852" s="47">
        <v>0</v>
      </c>
      <c r="I852" s="47">
        <v>0</v>
      </c>
      <c r="J852" s="98"/>
      <c r="K852" s="93"/>
      <c r="L852" s="93">
        <f t="shared" si="116"/>
        <v>0</v>
      </c>
      <c r="M852" s="95" t="e">
        <f t="shared" ca="1" si="117"/>
        <v>#DIV/0!</v>
      </c>
      <c r="N852" s="95">
        <f>IF(P852="Hedge Fund",IF(A852=Summary!$AD$3,M852-E852,M852),IF(A852=Summary!$AD$3,L852-D852,L852))</f>
        <v>0</v>
      </c>
      <c r="O852" s="95">
        <f t="shared" si="122"/>
        <v>0</v>
      </c>
      <c r="P852" s="89" t="s">
        <v>155</v>
      </c>
      <c r="Q852" s="89">
        <v>0</v>
      </c>
      <c r="R852" s="89">
        <v>0</v>
      </c>
      <c r="S852" s="89">
        <v>0</v>
      </c>
      <c r="T852" s="89">
        <v>0</v>
      </c>
      <c r="U852" s="89"/>
      <c r="V852" s="89"/>
      <c r="W852" s="89"/>
      <c r="X852" s="89"/>
      <c r="Y852" s="89"/>
      <c r="Z852" s="89"/>
      <c r="AA852" s="89"/>
      <c r="AB852" s="89"/>
      <c r="AC852" s="355"/>
      <c r="AD852" s="355"/>
      <c r="AE852" s="355"/>
      <c r="AF852" s="94">
        <f t="shared" si="118"/>
        <v>42004</v>
      </c>
      <c r="AG852" s="185">
        <f t="shared" si="123"/>
        <v>2.592260391562462E-3</v>
      </c>
      <c r="AH852" s="339" t="str">
        <f>VLOOKUP(B852,'MF PF'!A:B,2)</f>
        <v>FdMgt1</v>
      </c>
      <c r="AI852" s="358">
        <f t="shared" si="119"/>
        <v>0</v>
      </c>
      <c r="AJ852" s="94">
        <f t="shared" si="120"/>
        <v>42004</v>
      </c>
    </row>
    <row r="853" spans="1:36" ht="12.75" customHeight="1">
      <c r="A853" s="8">
        <v>42034</v>
      </c>
      <c r="B853" s="94" t="s">
        <v>136</v>
      </c>
      <c r="C853" s="6" t="s">
        <v>306</v>
      </c>
      <c r="D853" s="374">
        <v>1465704.2904999999</v>
      </c>
      <c r="E853" s="9" t="e">
        <f t="shared" si="121"/>
        <v>#DIV/0!</v>
      </c>
      <c r="F853" s="47">
        <v>2.63</v>
      </c>
      <c r="G853" s="47">
        <v>305080</v>
      </c>
      <c r="H853" s="47">
        <v>0</v>
      </c>
      <c r="I853" s="47">
        <v>0</v>
      </c>
      <c r="J853" s="98"/>
      <c r="K853" s="93"/>
      <c r="L853" s="93">
        <f t="shared" si="116"/>
        <v>305080</v>
      </c>
      <c r="M853" s="95" t="e">
        <f t="shared" ca="1" si="117"/>
        <v>#DIV/0!</v>
      </c>
      <c r="N853" s="95">
        <f>IF(P853="Hedge Fund",IF(A853=Summary!$AD$3,M853-E853,M853),IF(A853=Summary!$AD$3,L853-D853,L853))</f>
        <v>305080</v>
      </c>
      <c r="O853" s="95">
        <f t="shared" si="122"/>
        <v>305080</v>
      </c>
      <c r="P853" s="89" t="s">
        <v>155</v>
      </c>
      <c r="Q853" s="89">
        <v>0</v>
      </c>
      <c r="R853" s="89">
        <v>0</v>
      </c>
      <c r="S853" s="89">
        <v>0</v>
      </c>
      <c r="T853" s="89">
        <v>0</v>
      </c>
      <c r="U853" s="89"/>
      <c r="V853" s="89"/>
      <c r="W853" s="89"/>
      <c r="X853" s="89"/>
      <c r="Y853" s="89"/>
      <c r="Z853" s="89"/>
      <c r="AA853" s="89"/>
      <c r="AB853" s="89"/>
      <c r="AC853" s="355"/>
      <c r="AD853" s="355"/>
      <c r="AE853" s="355"/>
      <c r="AF853" s="94">
        <f t="shared" si="118"/>
        <v>42034</v>
      </c>
      <c r="AG853" s="185">
        <f t="shared" si="123"/>
        <v>2.8450906488813432E-2</v>
      </c>
      <c r="AH853" s="339" t="str">
        <f>VLOOKUP(B853,'MF PF'!A:B,2)</f>
        <v>FdMgt1</v>
      </c>
      <c r="AI853" s="358">
        <f t="shared" si="119"/>
        <v>0</v>
      </c>
      <c r="AJ853" s="94">
        <f t="shared" si="120"/>
        <v>42035</v>
      </c>
    </row>
    <row r="854" spans="1:36" ht="12.75" customHeight="1">
      <c r="A854" s="94">
        <v>42062</v>
      </c>
      <c r="B854" s="94" t="s">
        <v>136</v>
      </c>
      <c r="C854" s="92" t="s">
        <v>306</v>
      </c>
      <c r="D854" s="374">
        <v>1604997.6754999999</v>
      </c>
      <c r="E854" s="9" t="e">
        <f t="shared" si="121"/>
        <v>#DIV/0!</v>
      </c>
      <c r="F854" s="47">
        <v>2.63</v>
      </c>
      <c r="G854" s="47">
        <v>122295</v>
      </c>
      <c r="H854" s="47">
        <v>0</v>
      </c>
      <c r="I854" s="47">
        <v>0</v>
      </c>
      <c r="J854" s="98"/>
      <c r="K854" s="93"/>
      <c r="L854" s="93">
        <f t="shared" si="116"/>
        <v>122295</v>
      </c>
      <c r="M854" s="95" t="e">
        <f t="shared" ca="1" si="117"/>
        <v>#DIV/0!</v>
      </c>
      <c r="N854" s="95">
        <f>IF(P854="Hedge Fund",IF(A854=Summary!$AD$3,M854-E854,M854),IF(A854=Summary!$AD$3,L854-D854,L854))</f>
        <v>122295</v>
      </c>
      <c r="O854" s="95">
        <f t="shared" si="122"/>
        <v>122295</v>
      </c>
      <c r="P854" s="89" t="s">
        <v>155</v>
      </c>
      <c r="Q854" s="89">
        <v>0</v>
      </c>
      <c r="R854" s="89">
        <v>0</v>
      </c>
      <c r="S854" s="89">
        <v>0</v>
      </c>
      <c r="T854" s="89">
        <v>0</v>
      </c>
      <c r="U854" s="89"/>
      <c r="V854" s="89"/>
      <c r="W854" s="89"/>
      <c r="X854" s="89"/>
      <c r="Y854" s="89"/>
      <c r="Z854" s="89"/>
      <c r="AA854" s="89"/>
      <c r="AB854" s="89"/>
      <c r="AC854" s="355"/>
      <c r="AD854" s="355"/>
      <c r="AE854" s="355"/>
      <c r="AF854" s="94">
        <f t="shared" si="118"/>
        <v>42062</v>
      </c>
      <c r="AG854" s="185">
        <f t="shared" si="123"/>
        <v>1.1597417780772945E-2</v>
      </c>
      <c r="AH854" s="339" t="str">
        <f>VLOOKUP(B854,'MF PF'!A:B,2)</f>
        <v>FdMgt1</v>
      </c>
      <c r="AI854" s="358">
        <f t="shared" si="119"/>
        <v>0</v>
      </c>
      <c r="AJ854" s="94">
        <f t="shared" si="120"/>
        <v>42063</v>
      </c>
    </row>
    <row r="855" spans="1:36" ht="12.75" customHeight="1">
      <c r="A855" s="94">
        <v>42094</v>
      </c>
      <c r="B855" s="94" t="s">
        <v>136</v>
      </c>
      <c r="C855" s="358" t="s">
        <v>306</v>
      </c>
      <c r="D855" s="374">
        <v>1837353.1429999999</v>
      </c>
      <c r="E855" s="9" t="e">
        <f t="shared" si="121"/>
        <v>#DIV/0!</v>
      </c>
      <c r="F855" s="98">
        <v>2.63</v>
      </c>
      <c r="G855" s="98">
        <v>197250</v>
      </c>
      <c r="H855" s="98">
        <v>0</v>
      </c>
      <c r="I855" s="98">
        <v>0</v>
      </c>
      <c r="J855" s="98"/>
      <c r="K855" s="93"/>
      <c r="L855" s="93">
        <f t="shared" si="116"/>
        <v>197250</v>
      </c>
      <c r="M855" s="95" t="e">
        <f t="shared" ca="1" si="117"/>
        <v>#DIV/0!</v>
      </c>
      <c r="N855" s="95">
        <f>IF(P855="Hedge Fund",IF(A855=Summary!$AD$3,M855-E855,M855),IF(A855=Summary!$AD$3,L855-D855,L855))</f>
        <v>197250</v>
      </c>
      <c r="O855" s="95">
        <f t="shared" si="122"/>
        <v>197250</v>
      </c>
      <c r="P855" s="89" t="s">
        <v>155</v>
      </c>
      <c r="Q855" s="107">
        <v>0</v>
      </c>
      <c r="R855" s="107">
        <v>0</v>
      </c>
      <c r="S855" s="107">
        <v>0</v>
      </c>
      <c r="T855" s="107">
        <v>0</v>
      </c>
      <c r="U855" s="107"/>
      <c r="V855" s="107"/>
      <c r="W855" s="107"/>
      <c r="X855" s="107"/>
      <c r="Y855" s="107"/>
      <c r="Z855" s="107"/>
      <c r="AA855" s="107"/>
      <c r="AB855" s="107"/>
      <c r="AC855" s="355"/>
      <c r="AD855" s="355"/>
      <c r="AE855" s="355"/>
      <c r="AF855" s="94">
        <f t="shared" si="118"/>
        <v>42094</v>
      </c>
      <c r="AG855" s="185">
        <f t="shared" si="123"/>
        <v>2.187259709835021E-2</v>
      </c>
      <c r="AH855" s="339" t="str">
        <f>VLOOKUP(B855,'MF PF'!A:B,2)</f>
        <v>FdMgt1</v>
      </c>
      <c r="AI855" s="358">
        <f t="shared" si="119"/>
        <v>0</v>
      </c>
      <c r="AJ855" s="94">
        <f t="shared" si="120"/>
        <v>42094</v>
      </c>
    </row>
    <row r="856" spans="1:36" ht="12.75" customHeight="1">
      <c r="A856" s="8">
        <v>42124</v>
      </c>
      <c r="B856" s="94" t="s">
        <v>136</v>
      </c>
      <c r="C856" s="6" t="s">
        <v>306</v>
      </c>
      <c r="D856" s="374">
        <v>2002566.909</v>
      </c>
      <c r="E856" s="9" t="e">
        <f t="shared" si="121"/>
        <v>#DIV/0!</v>
      </c>
      <c r="F856" s="98">
        <v>2.63</v>
      </c>
      <c r="G856" s="98">
        <v>26300</v>
      </c>
      <c r="H856" s="98">
        <v>0</v>
      </c>
      <c r="I856" s="98">
        <v>0</v>
      </c>
      <c r="J856" s="98"/>
      <c r="K856" s="93"/>
      <c r="L856" s="93">
        <f t="shared" si="116"/>
        <v>26300</v>
      </c>
      <c r="M856" s="95" t="e">
        <f t="shared" ca="1" si="117"/>
        <v>#DIV/0!</v>
      </c>
      <c r="N856" s="95">
        <f>IF(P856="Hedge Fund",IF(A856=Summary!$AD$3,M856-E856,M856),IF(A856=Summary!$AD$3,L856-D856,L856))</f>
        <v>26300</v>
      </c>
      <c r="O856" s="95">
        <f t="shared" si="122"/>
        <v>26300</v>
      </c>
      <c r="P856" s="89" t="s">
        <v>155</v>
      </c>
      <c r="Q856" s="107">
        <v>0</v>
      </c>
      <c r="R856" s="107">
        <v>0</v>
      </c>
      <c r="S856" s="107">
        <v>0</v>
      </c>
      <c r="T856" s="107">
        <v>0</v>
      </c>
      <c r="U856" s="107"/>
      <c r="V856" s="107"/>
      <c r="W856" s="107"/>
      <c r="X856" s="107"/>
      <c r="Y856" s="107"/>
      <c r="Z856" s="107"/>
      <c r="AA856" s="107"/>
      <c r="AB856" s="107"/>
      <c r="AC856" s="355"/>
      <c r="AD856" s="355"/>
      <c r="AE856" s="355"/>
      <c r="AF856" s="94">
        <f t="shared" si="118"/>
        <v>42124</v>
      </c>
      <c r="AG856" s="185">
        <f t="shared" si="123"/>
        <v>7.5605370981206121E-2</v>
      </c>
      <c r="AH856" s="339" t="str">
        <f>VLOOKUP(B856,'MF PF'!A:B,2)</f>
        <v>FdMgt1</v>
      </c>
      <c r="AI856" s="358">
        <f t="shared" si="119"/>
        <v>0</v>
      </c>
      <c r="AJ856" s="94">
        <f t="shared" si="120"/>
        <v>42124</v>
      </c>
    </row>
    <row r="857" spans="1:36" ht="12.75" customHeight="1">
      <c r="A857" s="94">
        <v>42153</v>
      </c>
      <c r="B857" s="94" t="s">
        <v>136</v>
      </c>
      <c r="C857" s="358" t="s">
        <v>306</v>
      </c>
      <c r="D857" s="374">
        <v>2084092.9754999999</v>
      </c>
      <c r="E857" s="9" t="e">
        <f t="shared" si="121"/>
        <v>#DIV/0!</v>
      </c>
      <c r="F857" s="98">
        <v>2.63</v>
      </c>
      <c r="G857" s="98">
        <v>78900</v>
      </c>
      <c r="H857" s="98">
        <v>0</v>
      </c>
      <c r="I857" s="98">
        <v>0</v>
      </c>
      <c r="J857" s="98"/>
      <c r="L857" s="93">
        <f t="shared" si="116"/>
        <v>78900</v>
      </c>
      <c r="M857" s="95" t="e">
        <f t="shared" ca="1" si="117"/>
        <v>#DIV/0!</v>
      </c>
      <c r="N857" s="95">
        <f>IF(P857="Hedge Fund",IF(A857=Summary!$AD$3,M857-E857,M857),IF(A857=Summary!$AD$3,L857-D857,L857))</f>
        <v>78900</v>
      </c>
      <c r="O857" s="95">
        <f t="shared" si="122"/>
        <v>78900</v>
      </c>
      <c r="P857" s="89" t="s">
        <v>155</v>
      </c>
      <c r="Q857" s="107">
        <v>0</v>
      </c>
      <c r="R857" s="107">
        <v>0</v>
      </c>
      <c r="S857" s="107">
        <v>0</v>
      </c>
      <c r="T857" s="107">
        <v>0</v>
      </c>
      <c r="U857" s="107"/>
      <c r="V857" s="107"/>
      <c r="W857" s="107"/>
      <c r="X857" s="107"/>
      <c r="Y857" s="107"/>
      <c r="Z857" s="107"/>
      <c r="AA857" s="107"/>
      <c r="AB857" s="107"/>
      <c r="AC857" s="355"/>
      <c r="AD857" s="355"/>
      <c r="AE857" s="355"/>
      <c r="AF857" s="94">
        <f t="shared" si="118"/>
        <v>42153</v>
      </c>
      <c r="AG857" s="185">
        <f t="shared" si="123"/>
        <v>1.3113501916954817E-3</v>
      </c>
      <c r="AH857" s="339" t="str">
        <f>VLOOKUP(B857,'MF PF'!A:B,2)</f>
        <v>FdMgt1</v>
      </c>
      <c r="AI857" s="358">
        <f t="shared" si="119"/>
        <v>0</v>
      </c>
      <c r="AJ857" s="94">
        <f t="shared" si="120"/>
        <v>42155</v>
      </c>
    </row>
    <row r="858" spans="1:36" ht="12.75" customHeight="1">
      <c r="A858" s="94">
        <v>42185</v>
      </c>
      <c r="B858" s="8" t="s">
        <v>136</v>
      </c>
      <c r="C858" s="358" t="s">
        <v>306</v>
      </c>
      <c r="D858" s="374">
        <v>2052580.9595000001</v>
      </c>
      <c r="E858" s="9" t="e">
        <f t="shared" si="121"/>
        <v>#DIV/0!</v>
      </c>
      <c r="F858" s="47">
        <v>2.63</v>
      </c>
      <c r="G858" s="47">
        <v>0</v>
      </c>
      <c r="H858" s="47">
        <v>0</v>
      </c>
      <c r="I858" s="47">
        <v>0</v>
      </c>
      <c r="J858" s="98"/>
      <c r="L858" s="93">
        <f t="shared" si="116"/>
        <v>0</v>
      </c>
      <c r="M858" s="95" t="e">
        <f t="shared" ca="1" si="117"/>
        <v>#DIV/0!</v>
      </c>
      <c r="N858" s="95">
        <f>IF(P858="Hedge Fund",IF(A858=Summary!$AD$3,M858-E858,M858),IF(A858=Summary!$AD$3,L858-D858,L858))</f>
        <v>0</v>
      </c>
      <c r="O858" s="95">
        <f t="shared" si="122"/>
        <v>0</v>
      </c>
      <c r="P858" s="89" t="s">
        <v>155</v>
      </c>
      <c r="Q858" s="107">
        <v>0</v>
      </c>
      <c r="R858" s="107">
        <v>0</v>
      </c>
      <c r="S858" s="89">
        <v>0</v>
      </c>
      <c r="T858" s="89">
        <v>0</v>
      </c>
      <c r="U858" s="89"/>
      <c r="V858" s="89"/>
      <c r="W858" s="89"/>
      <c r="X858" s="89"/>
      <c r="Y858" s="89"/>
      <c r="Z858" s="89"/>
      <c r="AA858" s="89"/>
      <c r="AB858" s="89"/>
      <c r="AC858" s="355"/>
      <c r="AD858" s="355"/>
      <c r="AE858" s="355"/>
      <c r="AF858" s="94">
        <f t="shared" si="118"/>
        <v>42185</v>
      </c>
      <c r="AG858" s="185">
        <f t="shared" si="123"/>
        <v>-1.5120254408246714E-2</v>
      </c>
      <c r="AH858" s="339" t="str">
        <f>VLOOKUP(B858,'MF PF'!A:B,2)</f>
        <v>FdMgt1</v>
      </c>
      <c r="AI858" s="358">
        <f t="shared" si="119"/>
        <v>0</v>
      </c>
      <c r="AJ858" s="94">
        <f t="shared" si="120"/>
        <v>42185</v>
      </c>
    </row>
    <row r="859" spans="1:36" ht="12.75" customHeight="1">
      <c r="A859" s="94">
        <v>42216</v>
      </c>
      <c r="B859" s="8" t="s">
        <v>136</v>
      </c>
      <c r="C859" s="358" t="s">
        <v>306</v>
      </c>
      <c r="D859" s="374">
        <v>2094321.554</v>
      </c>
      <c r="E859" s="9" t="e">
        <f t="shared" si="121"/>
        <v>#DIV/0!</v>
      </c>
      <c r="F859" s="47">
        <v>2.63</v>
      </c>
      <c r="G859" s="47">
        <v>76270</v>
      </c>
      <c r="H859" s="47">
        <v>0</v>
      </c>
      <c r="I859" s="47">
        <v>0</v>
      </c>
      <c r="J859" s="98"/>
      <c r="L859" s="93">
        <f t="shared" si="116"/>
        <v>76270</v>
      </c>
      <c r="M859" s="95" t="e">
        <f t="shared" ca="1" si="117"/>
        <v>#DIV/0!</v>
      </c>
      <c r="N859" s="95">
        <f>IF(P859="Hedge Fund",IF(A859=Summary!$AD$3,M859-E859,M859),IF(A859=Summary!$AD$3,L859-D859,L859))</f>
        <v>76270</v>
      </c>
      <c r="O859" s="95">
        <f t="shared" si="122"/>
        <v>76270</v>
      </c>
      <c r="P859" s="89" t="s">
        <v>155</v>
      </c>
      <c r="Q859" s="107">
        <v>0</v>
      </c>
      <c r="R859" s="107">
        <v>0</v>
      </c>
      <c r="S859" s="89">
        <v>0</v>
      </c>
      <c r="T859" s="89">
        <v>0</v>
      </c>
      <c r="U859" s="89"/>
      <c r="V859" s="89"/>
      <c r="W859" s="89"/>
      <c r="X859" s="89"/>
      <c r="Y859" s="89"/>
      <c r="Z859" s="89"/>
      <c r="AA859" s="89"/>
      <c r="AB859" s="89"/>
      <c r="AC859" s="355"/>
      <c r="AD859" s="355"/>
      <c r="AE859" s="355"/>
      <c r="AF859" s="94">
        <f t="shared" si="118"/>
        <v>42216</v>
      </c>
      <c r="AG859" s="185">
        <f t="shared" si="123"/>
        <v>-1.6822432918022989E-2</v>
      </c>
      <c r="AH859" s="339" t="str">
        <f>VLOOKUP(B859,'MF PF'!A:B,2)</f>
        <v>FdMgt1</v>
      </c>
      <c r="AI859" s="358">
        <f t="shared" si="119"/>
        <v>0</v>
      </c>
      <c r="AJ859" s="94">
        <f t="shared" si="120"/>
        <v>42216</v>
      </c>
    </row>
    <row r="860" spans="1:36" ht="12.75" customHeight="1">
      <c r="A860" s="8">
        <v>42247</v>
      </c>
      <c r="B860" s="94" t="s">
        <v>136</v>
      </c>
      <c r="C860" s="92" t="s">
        <v>306</v>
      </c>
      <c r="D860" s="374">
        <v>2062285.2410000002</v>
      </c>
      <c r="E860" s="9" t="e">
        <f t="shared" si="121"/>
        <v>#DIV/0!</v>
      </c>
      <c r="F860" s="47">
        <v>2.63</v>
      </c>
      <c r="G860" s="47">
        <v>0</v>
      </c>
      <c r="H860" s="47">
        <v>0</v>
      </c>
      <c r="I860" s="98">
        <v>0</v>
      </c>
      <c r="J860" s="98"/>
      <c r="K860" s="93"/>
      <c r="L860" s="93">
        <f t="shared" si="116"/>
        <v>0</v>
      </c>
      <c r="M860" s="95" t="e">
        <f t="shared" ca="1" si="117"/>
        <v>#DIV/0!</v>
      </c>
      <c r="N860" s="95">
        <f>IF(P860="Hedge Fund",IF(A860=Summary!$AD$3,M860-E860,M860),IF(A860=Summary!$AD$3,L860-D860,L860))</f>
        <v>0</v>
      </c>
      <c r="O860" s="95">
        <f t="shared" si="122"/>
        <v>0</v>
      </c>
      <c r="P860" s="89" t="s">
        <v>155</v>
      </c>
      <c r="Q860" s="107">
        <v>0</v>
      </c>
      <c r="R860" s="107">
        <v>0</v>
      </c>
      <c r="S860" s="89">
        <v>0</v>
      </c>
      <c r="T860" s="89">
        <v>0</v>
      </c>
      <c r="U860" s="89"/>
      <c r="V860" s="89"/>
      <c r="W860" s="89"/>
      <c r="X860" s="89"/>
      <c r="Y860" s="89"/>
      <c r="Z860" s="89"/>
      <c r="AA860" s="89"/>
      <c r="AB860" s="89"/>
      <c r="AC860" s="355"/>
      <c r="AD860" s="355"/>
      <c r="AE860" s="355"/>
      <c r="AF860" s="94">
        <f t="shared" si="118"/>
        <v>42247</v>
      </c>
      <c r="AG860" s="185">
        <f t="shared" si="123"/>
        <v>-1.5296749889630257E-2</v>
      </c>
      <c r="AH860" s="339" t="str">
        <f>VLOOKUP(B860,'MF PF'!A:B,2)</f>
        <v>FdMgt1</v>
      </c>
      <c r="AI860" s="358">
        <f t="shared" si="119"/>
        <v>0</v>
      </c>
      <c r="AJ860" s="94">
        <f t="shared" si="120"/>
        <v>42247</v>
      </c>
    </row>
    <row r="861" spans="1:36" ht="12.75" customHeight="1">
      <c r="A861" s="8">
        <v>42277</v>
      </c>
      <c r="B861" s="94" t="s">
        <v>136</v>
      </c>
      <c r="C861" s="92" t="s">
        <v>306</v>
      </c>
      <c r="D861" s="374">
        <v>2069444.9439999999</v>
      </c>
      <c r="E861" s="9" t="e">
        <f t="shared" si="121"/>
        <v>#DIV/0!</v>
      </c>
      <c r="F861" s="47">
        <v>2.63</v>
      </c>
      <c r="G861" s="47">
        <v>0</v>
      </c>
      <c r="H861" s="47">
        <v>0</v>
      </c>
      <c r="I861" s="98">
        <v>0</v>
      </c>
      <c r="J861" s="98"/>
      <c r="K861" s="93"/>
      <c r="L861" s="93">
        <f t="shared" si="116"/>
        <v>0</v>
      </c>
      <c r="M861" s="95" t="e">
        <f t="shared" ca="1" si="117"/>
        <v>#DIV/0!</v>
      </c>
      <c r="N861" s="95">
        <f>IF(P861="Hedge Fund",IF(A861=Summary!$AD$3,M861-E861,M861),IF(A861=Summary!$AD$3,L861-D861,L861))</f>
        <v>0</v>
      </c>
      <c r="O861" s="95">
        <f t="shared" si="122"/>
        <v>0</v>
      </c>
      <c r="P861" s="89" t="s">
        <v>155</v>
      </c>
      <c r="Q861" s="107">
        <v>0</v>
      </c>
      <c r="R861" s="107">
        <v>0</v>
      </c>
      <c r="S861" s="89">
        <v>0</v>
      </c>
      <c r="T861" s="89">
        <v>0</v>
      </c>
      <c r="U861" s="89"/>
      <c r="V861" s="89"/>
      <c r="W861" s="89"/>
      <c r="X861" s="89"/>
      <c r="Y861" s="89"/>
      <c r="Z861" s="89"/>
      <c r="AA861" s="89"/>
      <c r="AB861" s="89"/>
      <c r="AC861" s="355"/>
      <c r="AD861" s="355"/>
      <c r="AE861" s="355"/>
      <c r="AF861" s="94">
        <f t="shared" si="118"/>
        <v>42277</v>
      </c>
      <c r="AG861" s="185">
        <f t="shared" si="123"/>
        <v>3.4717326476758625E-3</v>
      </c>
      <c r="AH861" s="339" t="str">
        <f>VLOOKUP(B861,'MF PF'!A:B,2)</f>
        <v>FdMgt1</v>
      </c>
      <c r="AI861" s="358">
        <f t="shared" si="119"/>
        <v>0</v>
      </c>
      <c r="AJ861" s="94">
        <f t="shared" si="120"/>
        <v>42277</v>
      </c>
    </row>
    <row r="862" spans="1:36" ht="12.75" customHeight="1">
      <c r="A862" s="94">
        <v>42307</v>
      </c>
      <c r="B862" s="94" t="s">
        <v>136</v>
      </c>
      <c r="C862" s="358" t="s">
        <v>306</v>
      </c>
      <c r="D862" s="374">
        <v>2129597.2935000001</v>
      </c>
      <c r="E862" s="9" t="e">
        <f t="shared" si="121"/>
        <v>#DIV/0!</v>
      </c>
      <c r="F862" s="47">
        <v>2.63</v>
      </c>
      <c r="G862" s="47">
        <v>0</v>
      </c>
      <c r="H862" s="47">
        <v>0</v>
      </c>
      <c r="I862" s="98">
        <v>0</v>
      </c>
      <c r="J862" s="98"/>
      <c r="L862" s="93">
        <f t="shared" si="116"/>
        <v>0</v>
      </c>
      <c r="M862" s="95" t="e">
        <f t="shared" ca="1" si="117"/>
        <v>#DIV/0!</v>
      </c>
      <c r="N862" s="95">
        <f>IF(P862="Hedge Fund",IF(A862=Summary!$AD$3,M862-E862,M862),IF(A862=Summary!$AD$3,L862-D862,L862))</f>
        <v>0</v>
      </c>
      <c r="O862" s="95">
        <f t="shared" si="122"/>
        <v>0</v>
      </c>
      <c r="P862" s="89" t="s">
        <v>155</v>
      </c>
      <c r="Q862" s="107">
        <v>0</v>
      </c>
      <c r="R862" s="107">
        <v>0</v>
      </c>
      <c r="S862" s="89">
        <v>0</v>
      </c>
      <c r="T862" s="89">
        <v>0</v>
      </c>
      <c r="U862" s="89"/>
      <c r="V862" s="89"/>
      <c r="W862" s="89"/>
      <c r="X862" s="89"/>
      <c r="Y862" s="89"/>
      <c r="Z862" s="89"/>
      <c r="AA862" s="89"/>
      <c r="AB862" s="89"/>
      <c r="AC862" s="355"/>
      <c r="AD862" s="355"/>
      <c r="AE862" s="355"/>
      <c r="AF862" s="94">
        <f t="shared" si="118"/>
        <v>42307</v>
      </c>
      <c r="AG862" s="185">
        <f t="shared" si="123"/>
        <v>2.9066900124307127E-2</v>
      </c>
      <c r="AH862" s="339" t="str">
        <f>VLOOKUP(B862,'MF PF'!A:B,2)</f>
        <v>FdMgt1</v>
      </c>
      <c r="AI862" s="358">
        <f t="shared" si="119"/>
        <v>0</v>
      </c>
      <c r="AJ862" s="94">
        <f t="shared" si="120"/>
        <v>42308</v>
      </c>
    </row>
    <row r="863" spans="1:36" ht="12.75" customHeight="1">
      <c r="A863" s="8">
        <v>42338</v>
      </c>
      <c r="B863" s="94" t="s">
        <v>136</v>
      </c>
      <c r="C863" s="358" t="s">
        <v>306</v>
      </c>
      <c r="D863" s="374">
        <v>2230071.602</v>
      </c>
      <c r="E863" s="9" t="e">
        <f t="shared" si="121"/>
        <v>#DIV/0!</v>
      </c>
      <c r="F863" s="47">
        <v>2.63</v>
      </c>
      <c r="G863" s="47">
        <v>113090</v>
      </c>
      <c r="H863" s="47">
        <v>0</v>
      </c>
      <c r="I863" s="98">
        <v>0</v>
      </c>
      <c r="J863" s="98"/>
      <c r="K863" s="93"/>
      <c r="L863" s="93">
        <f t="shared" si="116"/>
        <v>113090</v>
      </c>
      <c r="M863" s="95" t="e">
        <f t="shared" ca="1" si="117"/>
        <v>#DIV/0!</v>
      </c>
      <c r="N863" s="95">
        <f>IF(P863="Hedge Fund",IF(A863=Summary!$AD$3,M863-E863,M863),IF(A863=Summary!$AD$3,L863-D863,L863))</f>
        <v>113090</v>
      </c>
      <c r="O863" s="95">
        <f t="shared" si="122"/>
        <v>113090</v>
      </c>
      <c r="P863" s="89" t="s">
        <v>155</v>
      </c>
      <c r="Q863" s="107">
        <v>0</v>
      </c>
      <c r="R863" s="107">
        <v>0</v>
      </c>
      <c r="S863" s="107">
        <v>0</v>
      </c>
      <c r="T863" s="107">
        <v>0</v>
      </c>
      <c r="U863" s="107"/>
      <c r="V863" s="107"/>
      <c r="W863" s="107"/>
      <c r="X863" s="107"/>
      <c r="Y863" s="89"/>
      <c r="Z863" s="89"/>
      <c r="AA863" s="89"/>
      <c r="AB863" s="89"/>
      <c r="AC863" s="355"/>
      <c r="AD863" s="355"/>
      <c r="AE863" s="355"/>
      <c r="AF863" s="94">
        <f t="shared" si="118"/>
        <v>42338</v>
      </c>
      <c r="AG863" s="185">
        <f t="shared" si="123"/>
        <v>-5.9239798709859182E-3</v>
      </c>
      <c r="AH863" s="339" t="str">
        <f>VLOOKUP(B863,'MF PF'!A:B,2)</f>
        <v>FdMgt1</v>
      </c>
      <c r="AI863" s="358">
        <f t="shared" si="119"/>
        <v>0</v>
      </c>
      <c r="AJ863" s="94">
        <f t="shared" si="120"/>
        <v>42338</v>
      </c>
    </row>
    <row r="864" spans="1:36" ht="12.75" customHeight="1">
      <c r="A864" s="8">
        <v>42369</v>
      </c>
      <c r="B864" s="94" t="s">
        <v>136</v>
      </c>
      <c r="C864" s="358" t="s">
        <v>306</v>
      </c>
      <c r="D864" s="374">
        <v>2247136.7544999998</v>
      </c>
      <c r="E864" s="9" t="e">
        <f t="shared" si="121"/>
        <v>#DIV/0!</v>
      </c>
      <c r="F864" s="47">
        <v>2.63</v>
      </c>
      <c r="G864" s="47">
        <v>0</v>
      </c>
      <c r="H864" s="47">
        <v>0</v>
      </c>
      <c r="I864" s="98">
        <v>0</v>
      </c>
      <c r="J864" s="98"/>
      <c r="L864" s="93">
        <f t="shared" si="116"/>
        <v>0</v>
      </c>
      <c r="M864" s="95" t="e">
        <f t="shared" ca="1" si="117"/>
        <v>#DIV/0!</v>
      </c>
      <c r="N864" s="95">
        <f>IF(P864="Hedge Fund",IF(A864=Summary!$AD$3,M864-E864,M864),IF(A864=Summary!$AD$3,L864-D864,L864))</f>
        <v>0</v>
      </c>
      <c r="O864" s="95">
        <f t="shared" si="122"/>
        <v>0</v>
      </c>
      <c r="P864" s="89" t="s">
        <v>155</v>
      </c>
      <c r="Q864" s="107">
        <v>0</v>
      </c>
      <c r="R864" s="107">
        <v>0</v>
      </c>
      <c r="S864" s="89">
        <v>0</v>
      </c>
      <c r="T864" s="89">
        <v>0</v>
      </c>
      <c r="U864" s="89"/>
      <c r="V864" s="89"/>
      <c r="W864" s="89"/>
      <c r="X864" s="89"/>
      <c r="Y864" s="89"/>
      <c r="Z864" s="89"/>
      <c r="AA864" s="89"/>
      <c r="AB864" s="89"/>
      <c r="AC864" s="355"/>
      <c r="AD864" s="355"/>
      <c r="AE864" s="355"/>
      <c r="AF864" s="94">
        <f t="shared" si="118"/>
        <v>42369</v>
      </c>
      <c r="AG864" s="185">
        <f t="shared" si="123"/>
        <v>7.6522890496857343E-3</v>
      </c>
      <c r="AH864" s="339" t="str">
        <f>VLOOKUP(B864,'MF PF'!A:B,2)</f>
        <v>FdMgt1</v>
      </c>
      <c r="AI864" s="358">
        <f t="shared" si="119"/>
        <v>0</v>
      </c>
      <c r="AJ864" s="94">
        <f t="shared" si="120"/>
        <v>42369</v>
      </c>
    </row>
    <row r="865" spans="1:36" ht="12.75" customHeight="1">
      <c r="A865" s="8">
        <v>42398</v>
      </c>
      <c r="B865" s="94" t="s">
        <v>136</v>
      </c>
      <c r="C865" s="358" t="s">
        <v>306</v>
      </c>
      <c r="D865" s="374">
        <v>2224103.6924999999</v>
      </c>
      <c r="E865" s="9" t="e">
        <f t="shared" si="121"/>
        <v>#DIV/0!</v>
      </c>
      <c r="F865" s="47">
        <v>2.63</v>
      </c>
      <c r="G865" s="47">
        <v>0</v>
      </c>
      <c r="H865" s="47">
        <v>0</v>
      </c>
      <c r="I865" s="98">
        <v>0</v>
      </c>
      <c r="J865" s="98"/>
      <c r="K865" s="93"/>
      <c r="L865" s="93">
        <f t="shared" si="116"/>
        <v>0</v>
      </c>
      <c r="M865" s="95" t="e">
        <f t="shared" ca="1" si="117"/>
        <v>#DIV/0!</v>
      </c>
      <c r="N865" s="95">
        <f>IF(P865="Hedge Fund",IF(A865=Summary!$AD$3,M865-E865,M865),IF(A865=Summary!$AD$3,L865-D865,L865))</f>
        <v>0</v>
      </c>
      <c r="O865" s="95">
        <f t="shared" si="122"/>
        <v>0</v>
      </c>
      <c r="P865" s="89" t="s">
        <v>155</v>
      </c>
      <c r="Q865" s="107">
        <v>0</v>
      </c>
      <c r="R865" s="107">
        <v>0</v>
      </c>
      <c r="S865" s="89">
        <v>0</v>
      </c>
      <c r="T865" s="89">
        <v>0</v>
      </c>
      <c r="U865" s="89"/>
      <c r="V865" s="89"/>
      <c r="W865" s="89"/>
      <c r="X865" s="89"/>
      <c r="Y865" s="89"/>
      <c r="Z865" s="89"/>
      <c r="AA865" s="89"/>
      <c r="AB865" s="89"/>
      <c r="AC865" s="355"/>
      <c r="AD865" s="355"/>
      <c r="AE865" s="355"/>
      <c r="AF865" s="94">
        <f t="shared" si="118"/>
        <v>42398</v>
      </c>
      <c r="AG865" s="185">
        <f t="shared" si="123"/>
        <v>-1.0249960067572728E-2</v>
      </c>
      <c r="AH865" s="339" t="str">
        <f>VLOOKUP(B865,'MF PF'!A:B,2)</f>
        <v>FdMgt1</v>
      </c>
      <c r="AI865" s="358">
        <f t="shared" si="119"/>
        <v>0</v>
      </c>
      <c r="AJ865" s="94">
        <f t="shared" si="120"/>
        <v>42400</v>
      </c>
    </row>
    <row r="866" spans="1:36" ht="12.75" customHeight="1">
      <c r="A866" s="8">
        <v>42429</v>
      </c>
      <c r="B866" s="94" t="s">
        <v>136</v>
      </c>
      <c r="C866" s="358" t="s">
        <v>306</v>
      </c>
      <c r="D866" s="374">
        <v>2865344.7275</v>
      </c>
      <c r="E866" s="9" t="e">
        <f t="shared" si="121"/>
        <v>#DIV/0!</v>
      </c>
      <c r="F866" s="98">
        <v>2.63</v>
      </c>
      <c r="G866" s="98">
        <v>600435</v>
      </c>
      <c r="H866" s="98">
        <v>0</v>
      </c>
      <c r="I866" s="98">
        <v>0</v>
      </c>
      <c r="J866" s="98"/>
      <c r="K866" s="93"/>
      <c r="L866" s="93">
        <f t="shared" si="116"/>
        <v>600435</v>
      </c>
      <c r="M866" s="95" t="e">
        <f t="shared" ca="1" si="117"/>
        <v>#DIV/0!</v>
      </c>
      <c r="N866" s="95">
        <f>IF(P866="Hedge Fund",IF(A866=Summary!$AD$3,M866-E866,M866),IF(A866=Summary!$AD$3,L866-D866,L866))</f>
        <v>600435</v>
      </c>
      <c r="O866" s="95">
        <f t="shared" si="122"/>
        <v>600435</v>
      </c>
      <c r="P866" s="107" t="s">
        <v>155</v>
      </c>
      <c r="Q866" s="107">
        <v>0</v>
      </c>
      <c r="R866" s="107">
        <v>0</v>
      </c>
      <c r="S866" s="107">
        <v>0</v>
      </c>
      <c r="T866" s="107">
        <v>0</v>
      </c>
      <c r="U866" s="107"/>
      <c r="V866" s="107"/>
      <c r="W866" s="107"/>
      <c r="X866" s="107"/>
      <c r="Y866" s="107"/>
      <c r="Z866" s="107"/>
      <c r="AA866" s="107"/>
      <c r="AB866" s="107"/>
      <c r="AC866" s="355"/>
      <c r="AD866" s="355"/>
      <c r="AE866" s="355"/>
      <c r="AF866" s="94">
        <f t="shared" si="118"/>
        <v>42429</v>
      </c>
      <c r="AG866" s="185">
        <f t="shared" si="123"/>
        <v>1.8347181895162601E-2</v>
      </c>
      <c r="AH866" s="339" t="str">
        <f>VLOOKUP(B866,'MF PF'!A:B,2)</f>
        <v>FdMgt1</v>
      </c>
      <c r="AI866" s="358">
        <f t="shared" si="119"/>
        <v>0</v>
      </c>
      <c r="AJ866" s="94">
        <f t="shared" si="120"/>
        <v>42429</v>
      </c>
    </row>
    <row r="867" spans="1:36" ht="12.75" customHeight="1">
      <c r="A867" s="94">
        <v>42460</v>
      </c>
      <c r="B867" s="94" t="s">
        <v>136</v>
      </c>
      <c r="C867" s="358" t="s">
        <v>306</v>
      </c>
      <c r="D867" s="374">
        <v>2885692.6055000001</v>
      </c>
      <c r="E867" s="9" t="e">
        <f t="shared" si="121"/>
        <v>#DIV/0!</v>
      </c>
      <c r="F867" s="98">
        <v>2.63</v>
      </c>
      <c r="G867" s="98">
        <v>0</v>
      </c>
      <c r="H867" s="98">
        <v>0</v>
      </c>
      <c r="I867" s="98">
        <v>0</v>
      </c>
      <c r="J867" s="98"/>
      <c r="K867" s="93"/>
      <c r="L867" s="93">
        <f t="shared" si="116"/>
        <v>0</v>
      </c>
      <c r="M867" s="95" t="e">
        <f t="shared" ca="1" si="117"/>
        <v>#DIV/0!</v>
      </c>
      <c r="N867" s="95">
        <f>IF(P867="Hedge Fund",IF(A867=Summary!$AD$3,M867-E867,M867),IF(A867=Summary!$AD$3,L867-D867,L867))</f>
        <v>0</v>
      </c>
      <c r="O867" s="95">
        <f t="shared" si="122"/>
        <v>0</v>
      </c>
      <c r="P867" s="107" t="s">
        <v>155</v>
      </c>
      <c r="Q867" s="107">
        <v>0</v>
      </c>
      <c r="R867" s="107">
        <v>0</v>
      </c>
      <c r="S867" s="107">
        <v>0</v>
      </c>
      <c r="T867" s="107">
        <v>0</v>
      </c>
      <c r="U867" s="107"/>
      <c r="V867" s="107"/>
      <c r="W867" s="107"/>
      <c r="X867" s="107"/>
      <c r="Y867" s="107"/>
      <c r="Z867" s="107"/>
      <c r="AA867" s="107"/>
      <c r="AB867" s="107"/>
      <c r="AC867" s="355"/>
      <c r="AD867" s="355"/>
      <c r="AE867" s="355"/>
      <c r="AF867" s="94">
        <f t="shared" si="118"/>
        <v>42460</v>
      </c>
      <c r="AG867" s="185">
        <f t="shared" si="123"/>
        <v>7.101371714444138E-3</v>
      </c>
      <c r="AH867" s="339" t="str">
        <f>VLOOKUP(B867,'MF PF'!A:B,2)</f>
        <v>FdMgt1</v>
      </c>
      <c r="AI867" s="358">
        <f t="shared" si="119"/>
        <v>0</v>
      </c>
      <c r="AJ867" s="94">
        <f t="shared" si="120"/>
        <v>42460</v>
      </c>
    </row>
    <row r="868" spans="1:36" ht="12.75" customHeight="1">
      <c r="A868" s="94">
        <v>42489</v>
      </c>
      <c r="B868" s="94" t="s">
        <v>136</v>
      </c>
      <c r="C868" s="358" t="s">
        <v>306</v>
      </c>
      <c r="D868" s="374">
        <v>2929170.6154999998</v>
      </c>
      <c r="E868" s="9" t="e">
        <f t="shared" si="121"/>
        <v>#DIV/0!</v>
      </c>
      <c r="F868" s="98">
        <v>2.63</v>
      </c>
      <c r="G868" s="98">
        <v>0</v>
      </c>
      <c r="H868" s="98">
        <v>0</v>
      </c>
      <c r="I868" s="98">
        <v>0</v>
      </c>
      <c r="J868" s="98"/>
      <c r="K868" s="93"/>
      <c r="L868" s="93">
        <f t="shared" si="116"/>
        <v>0</v>
      </c>
      <c r="M868" s="95" t="e">
        <f t="shared" ca="1" si="117"/>
        <v>#DIV/0!</v>
      </c>
      <c r="N868" s="95">
        <f>IF(P868="Hedge Fund",IF(A868=Summary!$AD$3,M868-E868,M868),IF(A868=Summary!$AD$3,L868-D868,L868))</f>
        <v>0</v>
      </c>
      <c r="O868" s="95">
        <f t="shared" si="122"/>
        <v>0</v>
      </c>
      <c r="P868" s="107" t="s">
        <v>155</v>
      </c>
      <c r="Q868" s="107">
        <v>0</v>
      </c>
      <c r="R868" s="107">
        <v>0</v>
      </c>
      <c r="S868" s="107">
        <v>0</v>
      </c>
      <c r="T868" s="107">
        <v>0</v>
      </c>
      <c r="U868" s="107"/>
      <c r="V868" s="107"/>
      <c r="W868" s="107"/>
      <c r="X868" s="107"/>
      <c r="Y868" s="107"/>
      <c r="Z868" s="107"/>
      <c r="AA868" s="107"/>
      <c r="AB868" s="107"/>
      <c r="AC868" s="355"/>
      <c r="AD868" s="355"/>
      <c r="AE868" s="355"/>
      <c r="AF868" s="94">
        <f t="shared" si="118"/>
        <v>42489</v>
      </c>
      <c r="AG868" s="185">
        <f t="shared" si="123"/>
        <v>1.5066750324387534E-2</v>
      </c>
      <c r="AH868" s="339" t="str">
        <f>VLOOKUP(B868,'MF PF'!A:B,2)</f>
        <v>FdMgt1</v>
      </c>
      <c r="AI868" s="358">
        <f t="shared" si="119"/>
        <v>0</v>
      </c>
      <c r="AJ868" s="94">
        <f t="shared" si="120"/>
        <v>42490</v>
      </c>
    </row>
    <row r="869" spans="1:36" ht="12.75" customHeight="1">
      <c r="A869" s="94">
        <v>42521</v>
      </c>
      <c r="B869" s="94" t="s">
        <v>136</v>
      </c>
      <c r="C869" s="358" t="s">
        <v>306</v>
      </c>
      <c r="D869" s="374">
        <v>2959422.4470000002</v>
      </c>
      <c r="E869" s="9" t="e">
        <f t="shared" si="121"/>
        <v>#DIV/0!</v>
      </c>
      <c r="F869" s="98">
        <v>2.63</v>
      </c>
      <c r="G869" s="98">
        <v>0</v>
      </c>
      <c r="H869" s="98">
        <v>0</v>
      </c>
      <c r="I869" s="98">
        <v>0</v>
      </c>
      <c r="J869" s="98"/>
      <c r="K869" s="93"/>
      <c r="L869" s="93">
        <f t="shared" si="116"/>
        <v>0</v>
      </c>
      <c r="M869" s="95" t="e">
        <f t="shared" ca="1" si="117"/>
        <v>#DIV/0!</v>
      </c>
      <c r="N869" s="95">
        <f>IF(P869="Hedge Fund",IF(A869=Summary!$AD$3,M869-E869,M869),IF(A869=Summary!$AD$3,L869-D869,L869))</f>
        <v>0</v>
      </c>
      <c r="O869" s="95">
        <f t="shared" si="122"/>
        <v>0</v>
      </c>
      <c r="P869" s="107" t="s">
        <v>155</v>
      </c>
      <c r="Q869" s="107">
        <v>0</v>
      </c>
      <c r="R869" s="107">
        <v>0</v>
      </c>
      <c r="S869" s="107">
        <v>0</v>
      </c>
      <c r="T869" s="107">
        <v>0</v>
      </c>
      <c r="U869" s="107"/>
      <c r="V869" s="107"/>
      <c r="W869" s="107"/>
      <c r="X869" s="107"/>
      <c r="Y869" s="107"/>
      <c r="Z869" s="107"/>
      <c r="AA869" s="107"/>
      <c r="AB869" s="107"/>
      <c r="AC869" s="355"/>
      <c r="AD869" s="355"/>
      <c r="AE869" s="355"/>
      <c r="AF869" s="94">
        <f t="shared" si="118"/>
        <v>42521</v>
      </c>
      <c r="AG869" s="185">
        <f t="shared" si="123"/>
        <v>1.032778061473083E-2</v>
      </c>
      <c r="AH869" s="339" t="str">
        <f>VLOOKUP(B869,'MF PF'!A:B,2)</f>
        <v>FdMgt1</v>
      </c>
      <c r="AI869" s="358">
        <f t="shared" si="119"/>
        <v>0</v>
      </c>
      <c r="AJ869" s="94">
        <f t="shared" si="120"/>
        <v>42521</v>
      </c>
    </row>
    <row r="870" spans="1:36" ht="12.75" customHeight="1">
      <c r="A870" s="8">
        <v>42551</v>
      </c>
      <c r="B870" s="94" t="s">
        <v>136</v>
      </c>
      <c r="C870" s="358" t="s">
        <v>306</v>
      </c>
      <c r="D870" s="374">
        <v>3028777.0325000002</v>
      </c>
      <c r="E870" s="9" t="e">
        <f t="shared" si="121"/>
        <v>#DIV/0!</v>
      </c>
      <c r="F870" s="98">
        <v>2.63</v>
      </c>
      <c r="G870" s="98">
        <v>0</v>
      </c>
      <c r="H870" s="98">
        <v>0</v>
      </c>
      <c r="I870" s="98">
        <v>0</v>
      </c>
      <c r="J870" s="98"/>
      <c r="K870" s="93"/>
      <c r="L870" s="93">
        <f t="shared" si="116"/>
        <v>0</v>
      </c>
      <c r="M870" s="95" t="e">
        <f t="shared" ca="1" si="117"/>
        <v>#DIV/0!</v>
      </c>
      <c r="N870" s="95">
        <f>IF(P870="Hedge Fund",IF(A870=Summary!$AD$3,M870-E870,M870),IF(A870=Summary!$AD$3,L870-D870,L870))</f>
        <v>0</v>
      </c>
      <c r="O870" s="95">
        <f t="shared" si="122"/>
        <v>0</v>
      </c>
      <c r="P870" s="107" t="s">
        <v>155</v>
      </c>
      <c r="Q870" s="107">
        <v>0</v>
      </c>
      <c r="R870" s="107">
        <v>0</v>
      </c>
      <c r="S870" s="107">
        <v>0</v>
      </c>
      <c r="T870" s="107">
        <v>0</v>
      </c>
      <c r="U870" s="107"/>
      <c r="V870" s="107"/>
      <c r="W870" s="107"/>
      <c r="X870" s="107"/>
      <c r="Y870" s="107"/>
      <c r="Z870" s="107"/>
      <c r="AA870" s="107"/>
      <c r="AB870" s="107"/>
      <c r="AC870" s="355"/>
      <c r="AD870" s="355"/>
      <c r="AE870" s="355"/>
      <c r="AF870" s="94">
        <f t="shared" si="118"/>
        <v>42551</v>
      </c>
      <c r="AG870" s="185">
        <f t="shared" si="123"/>
        <v>2.3435175863556035E-2</v>
      </c>
      <c r="AH870" s="339" t="str">
        <f>VLOOKUP(B870,'MF PF'!A:B,2)</f>
        <v>FdMgt1</v>
      </c>
      <c r="AI870" s="358">
        <f t="shared" si="119"/>
        <v>0</v>
      </c>
      <c r="AJ870" s="94">
        <f t="shared" si="120"/>
        <v>42551</v>
      </c>
    </row>
    <row r="871" spans="1:36" ht="12.75" customHeight="1">
      <c r="A871" s="94">
        <v>42580</v>
      </c>
      <c r="B871" s="94" t="s">
        <v>136</v>
      </c>
      <c r="C871" s="358" t="s">
        <v>306</v>
      </c>
      <c r="D871" s="374">
        <v>3073498.9920000001</v>
      </c>
      <c r="E871" s="95" t="e">
        <f t="shared" si="121"/>
        <v>#DIV/0!</v>
      </c>
      <c r="F871" s="98">
        <v>2.63</v>
      </c>
      <c r="G871" s="98">
        <v>0</v>
      </c>
      <c r="H871" s="98">
        <v>0</v>
      </c>
      <c r="I871" s="98">
        <v>0</v>
      </c>
      <c r="J871" s="98"/>
      <c r="L871" s="93">
        <f t="shared" si="116"/>
        <v>0</v>
      </c>
      <c r="M871" s="95" t="e">
        <f t="shared" ca="1" si="117"/>
        <v>#DIV/0!</v>
      </c>
      <c r="N871" s="95">
        <f>IF(P871="Hedge Fund",IF(A871=Summary!$AD$3,M871-E871,M871),IF(A871=Summary!$AD$3,L871-D871,L871))</f>
        <v>0</v>
      </c>
      <c r="O871" s="95">
        <f t="shared" si="122"/>
        <v>0</v>
      </c>
      <c r="P871" s="107" t="s">
        <v>155</v>
      </c>
      <c r="Q871" s="107">
        <v>0</v>
      </c>
      <c r="R871" s="107">
        <v>0</v>
      </c>
      <c r="S871" s="107">
        <v>0</v>
      </c>
      <c r="T871" s="107">
        <v>0</v>
      </c>
      <c r="U871" s="107"/>
      <c r="V871" s="107"/>
      <c r="W871" s="107"/>
      <c r="X871" s="107"/>
      <c r="Y871" s="107"/>
      <c r="Z871" s="107"/>
      <c r="AA871" s="107"/>
      <c r="AB871" s="107"/>
      <c r="AC871" s="355"/>
      <c r="AD871" s="355"/>
      <c r="AE871" s="355"/>
      <c r="AF871" s="94">
        <f t="shared" si="118"/>
        <v>42580</v>
      </c>
      <c r="AG871" s="185">
        <f t="shared" si="123"/>
        <v>1.4765682326600915E-2</v>
      </c>
      <c r="AH871" s="339" t="str">
        <f>VLOOKUP(B871,'MF PF'!A:B,2)</f>
        <v>FdMgt1</v>
      </c>
      <c r="AI871" s="358">
        <f t="shared" si="119"/>
        <v>0</v>
      </c>
      <c r="AJ871" s="94">
        <f t="shared" si="120"/>
        <v>42582</v>
      </c>
    </row>
    <row r="872" spans="1:36" ht="12.75" customHeight="1">
      <c r="A872" s="94">
        <v>42613</v>
      </c>
      <c r="B872" s="94" t="s">
        <v>136</v>
      </c>
      <c r="C872" s="358" t="s">
        <v>306</v>
      </c>
      <c r="D872" s="374">
        <v>3065489.6970000002</v>
      </c>
      <c r="E872" s="9" t="e">
        <f t="shared" si="121"/>
        <v>#DIV/0!</v>
      </c>
      <c r="F872" s="98">
        <v>2.63</v>
      </c>
      <c r="G872" s="98">
        <v>0</v>
      </c>
      <c r="H872" s="98">
        <v>0</v>
      </c>
      <c r="I872" s="98">
        <v>0</v>
      </c>
      <c r="J872" s="98"/>
      <c r="L872" s="93">
        <f t="shared" si="116"/>
        <v>0</v>
      </c>
      <c r="M872" s="95" t="e">
        <f t="shared" ca="1" si="117"/>
        <v>#DIV/0!</v>
      </c>
      <c r="N872" s="95">
        <f>IF(P872="Hedge Fund",IF(A872=Summary!$AD$3,M872-E872,M872),IF(A872=Summary!$AD$3,L872-D872,L872))</f>
        <v>0</v>
      </c>
      <c r="O872" s="95">
        <f t="shared" si="122"/>
        <v>0</v>
      </c>
      <c r="P872" s="107" t="s">
        <v>155</v>
      </c>
      <c r="Q872" s="107">
        <v>0</v>
      </c>
      <c r="R872" s="107">
        <v>0</v>
      </c>
      <c r="S872" s="107">
        <v>0</v>
      </c>
      <c r="T872" s="107">
        <v>0</v>
      </c>
      <c r="U872" s="107"/>
      <c r="V872" s="107"/>
      <c r="W872" s="107"/>
      <c r="X872" s="107"/>
      <c r="Y872" s="107"/>
      <c r="Z872" s="107"/>
      <c r="AA872" s="107"/>
      <c r="AB872" s="107"/>
      <c r="AC872" s="355"/>
      <c r="AD872" s="355"/>
      <c r="AE872" s="355"/>
      <c r="AF872" s="94">
        <f t="shared" si="118"/>
        <v>42613</v>
      </c>
      <c r="AG872" s="185">
        <f t="shared" si="123"/>
        <v>-2.6059208156069547E-3</v>
      </c>
      <c r="AH872" s="339" t="str">
        <f>VLOOKUP(B872,'MF PF'!A:B,2)</f>
        <v>FdMgt1</v>
      </c>
      <c r="AI872" s="358">
        <f t="shared" si="119"/>
        <v>0</v>
      </c>
      <c r="AJ872" s="94">
        <f t="shared" si="120"/>
        <v>42613</v>
      </c>
    </row>
    <row r="873" spans="1:36" ht="12.75" customHeight="1">
      <c r="A873" s="94">
        <v>42643</v>
      </c>
      <c r="B873" s="94" t="s">
        <v>136</v>
      </c>
      <c r="C873" s="358" t="s">
        <v>306</v>
      </c>
      <c r="D873" s="374">
        <v>3170103.5235000001</v>
      </c>
      <c r="E873" s="9" t="e">
        <f t="shared" si="121"/>
        <v>#DIV/0!</v>
      </c>
      <c r="F873" s="98">
        <v>2.63</v>
      </c>
      <c r="G873" s="98">
        <v>0</v>
      </c>
      <c r="H873" s="98">
        <v>0</v>
      </c>
      <c r="I873" s="98">
        <v>0</v>
      </c>
      <c r="J873" s="98"/>
      <c r="K873" s="93"/>
      <c r="L873" s="93">
        <f t="shared" si="116"/>
        <v>0</v>
      </c>
      <c r="M873" s="95" t="e">
        <f t="shared" ca="1" si="117"/>
        <v>#DIV/0!</v>
      </c>
      <c r="N873" s="95">
        <f>IF(P873="Hedge Fund",IF(A873=Summary!$AD$3,M873-E873,M873),IF(A873=Summary!$AD$3,L873-D873,L873))</f>
        <v>0</v>
      </c>
      <c r="O873" s="95">
        <f t="shared" si="122"/>
        <v>0</v>
      </c>
      <c r="P873" s="107" t="s">
        <v>155</v>
      </c>
      <c r="Q873" s="107">
        <v>0</v>
      </c>
      <c r="R873" s="107">
        <v>0</v>
      </c>
      <c r="S873" s="107">
        <v>0</v>
      </c>
      <c r="T873" s="107">
        <v>0</v>
      </c>
      <c r="U873" s="107"/>
      <c r="V873" s="107"/>
      <c r="W873" s="107"/>
      <c r="X873" s="107"/>
      <c r="Y873" s="107"/>
      <c r="Z873" s="107"/>
      <c r="AA873" s="107"/>
      <c r="AB873" s="107"/>
      <c r="AC873" s="355"/>
      <c r="AD873" s="355"/>
      <c r="AE873" s="355"/>
      <c r="AF873" s="94">
        <f t="shared" si="118"/>
        <v>42643</v>
      </c>
      <c r="AG873" s="185">
        <f t="shared" si="123"/>
        <v>3.4126301778922619E-2</v>
      </c>
      <c r="AH873" s="339" t="str">
        <f>VLOOKUP(B873,'MF PF'!A:B,2)</f>
        <v>FdMgt1</v>
      </c>
      <c r="AI873" s="358">
        <f t="shared" si="119"/>
        <v>0</v>
      </c>
      <c r="AJ873" s="94">
        <f t="shared" si="120"/>
        <v>42643</v>
      </c>
    </row>
    <row r="874" spans="1:36" ht="12.75" customHeight="1">
      <c r="A874" s="94">
        <v>42674</v>
      </c>
      <c r="B874" s="94" t="s">
        <v>136</v>
      </c>
      <c r="C874" s="358" t="s">
        <v>306</v>
      </c>
      <c r="D874" s="374">
        <v>3268102.1060000001</v>
      </c>
      <c r="E874" s="9" t="e">
        <f t="shared" si="121"/>
        <v>#DIV/0!</v>
      </c>
      <c r="F874" s="47">
        <v>2.63</v>
      </c>
      <c r="G874" s="47">
        <v>0</v>
      </c>
      <c r="H874" s="47">
        <v>0</v>
      </c>
      <c r="I874" s="98">
        <v>0</v>
      </c>
      <c r="J874" s="98"/>
      <c r="L874" s="93">
        <f t="shared" si="116"/>
        <v>0</v>
      </c>
      <c r="M874" s="95" t="e">
        <f t="shared" ca="1" si="117"/>
        <v>#DIV/0!</v>
      </c>
      <c r="N874" s="95">
        <f>IF(P874="Hedge Fund",IF(A874=Summary!$AD$3,M874-E874,M874),IF(A874=Summary!$AD$3,L874-D874,L874))</f>
        <v>0</v>
      </c>
      <c r="O874" s="95">
        <f t="shared" si="122"/>
        <v>0</v>
      </c>
      <c r="P874" s="89" t="s">
        <v>155</v>
      </c>
      <c r="Q874" s="107">
        <v>0</v>
      </c>
      <c r="R874" s="107">
        <v>0</v>
      </c>
      <c r="S874" s="89">
        <v>0</v>
      </c>
      <c r="T874" s="89">
        <v>0</v>
      </c>
      <c r="U874" s="89"/>
      <c r="V874" s="89"/>
      <c r="W874" s="89"/>
      <c r="X874" s="89"/>
      <c r="Y874" s="89"/>
      <c r="Z874" s="89"/>
      <c r="AA874" s="89"/>
      <c r="AB874" s="89"/>
      <c r="AC874" s="355"/>
      <c r="AD874" s="355"/>
      <c r="AE874" s="355"/>
      <c r="AF874" s="94">
        <f t="shared" si="118"/>
        <v>42674</v>
      </c>
      <c r="AG874" s="185">
        <f t="shared" si="123"/>
        <v>3.0913369791723211E-2</v>
      </c>
      <c r="AH874" s="339" t="str">
        <f>VLOOKUP(B874,'MF PF'!A:B,2)</f>
        <v>FdMgt1</v>
      </c>
      <c r="AI874" s="358">
        <f t="shared" si="119"/>
        <v>0</v>
      </c>
      <c r="AJ874" s="94">
        <f t="shared" si="120"/>
        <v>42674</v>
      </c>
    </row>
    <row r="875" spans="1:36" ht="12.75" customHeight="1">
      <c r="A875" s="94">
        <v>42704</v>
      </c>
      <c r="B875" s="94" t="s">
        <v>136</v>
      </c>
      <c r="C875" s="358" t="s">
        <v>306</v>
      </c>
      <c r="D875" s="374">
        <v>3284136.1575000002</v>
      </c>
      <c r="E875" s="9" t="e">
        <f t="shared" si="121"/>
        <v>#DIV/0!</v>
      </c>
      <c r="F875" s="98">
        <v>2.63</v>
      </c>
      <c r="G875" s="98">
        <v>0</v>
      </c>
      <c r="H875" s="98">
        <v>0</v>
      </c>
      <c r="I875" s="98">
        <v>0</v>
      </c>
      <c r="J875" s="98"/>
      <c r="L875" s="93">
        <f t="shared" si="116"/>
        <v>0</v>
      </c>
      <c r="M875" s="95" t="e">
        <f t="shared" ca="1" si="117"/>
        <v>#DIV/0!</v>
      </c>
      <c r="N875" s="95">
        <f>IF(P875="Hedge Fund",IF(A875=Summary!$AD$3,M875-E875,M875),IF(A875=Summary!$AD$3,L875-D875,L875))</f>
        <v>0</v>
      </c>
      <c r="O875" s="95">
        <f t="shared" si="122"/>
        <v>0</v>
      </c>
      <c r="P875" s="107" t="s">
        <v>155</v>
      </c>
      <c r="Q875" s="107">
        <v>0</v>
      </c>
      <c r="R875" s="107">
        <v>0</v>
      </c>
      <c r="S875" s="107">
        <v>0</v>
      </c>
      <c r="T875" s="107">
        <v>0</v>
      </c>
      <c r="U875" s="107"/>
      <c r="V875" s="107"/>
      <c r="W875" s="107"/>
      <c r="X875" s="107"/>
      <c r="Y875" s="107"/>
      <c r="Z875" s="107"/>
      <c r="AA875" s="107"/>
      <c r="AB875" s="107"/>
      <c r="AC875" s="355"/>
      <c r="AD875" s="355"/>
      <c r="AE875" s="355"/>
      <c r="AF875" s="94">
        <f t="shared" si="118"/>
        <v>42704</v>
      </c>
      <c r="AG875" s="185">
        <f t="shared" si="123"/>
        <v>4.9062272168800547E-3</v>
      </c>
      <c r="AH875" s="339" t="str">
        <f>VLOOKUP(B875,'MF PF'!A:B,2)</f>
        <v>FdMgt1</v>
      </c>
      <c r="AI875" s="358">
        <f t="shared" si="119"/>
        <v>0</v>
      </c>
      <c r="AJ875" s="94">
        <f t="shared" si="120"/>
        <v>42704</v>
      </c>
    </row>
    <row r="876" spans="1:36" s="92" customFormat="1" ht="12.75" customHeight="1">
      <c r="A876" s="94">
        <v>42734</v>
      </c>
      <c r="B876" s="94" t="s">
        <v>136</v>
      </c>
      <c r="C876" s="358" t="s">
        <v>306</v>
      </c>
      <c r="D876" s="374">
        <v>3262282.7170000002</v>
      </c>
      <c r="E876" s="95" t="e">
        <f t="shared" si="121"/>
        <v>#DIV/0!</v>
      </c>
      <c r="F876" s="98">
        <v>2.63</v>
      </c>
      <c r="G876" s="98">
        <v>0</v>
      </c>
      <c r="H876" s="98">
        <v>0</v>
      </c>
      <c r="I876" s="98">
        <v>0</v>
      </c>
      <c r="J876" s="98"/>
      <c r="K876" s="93"/>
      <c r="L876" s="93">
        <f t="shared" si="116"/>
        <v>0</v>
      </c>
      <c r="M876" s="95" t="e">
        <f t="shared" ca="1" si="117"/>
        <v>#DIV/0!</v>
      </c>
      <c r="N876" s="95">
        <f>IF(P876="Hedge Fund",IF(A876=Summary!$AD$3,M876-E876,M876),IF(A876=Summary!$AD$3,L876-D876,L876))</f>
        <v>0</v>
      </c>
      <c r="O876" s="95">
        <f t="shared" si="122"/>
        <v>0</v>
      </c>
      <c r="P876" s="107" t="s">
        <v>155</v>
      </c>
      <c r="Q876" s="107">
        <v>0</v>
      </c>
      <c r="R876" s="107">
        <v>0</v>
      </c>
      <c r="S876" s="107">
        <v>0</v>
      </c>
      <c r="T876" s="107">
        <v>0</v>
      </c>
      <c r="U876" s="107"/>
      <c r="V876" s="107"/>
      <c r="W876" s="107"/>
      <c r="X876" s="107"/>
      <c r="Y876" s="107"/>
      <c r="Z876" s="107"/>
      <c r="AA876" s="107"/>
      <c r="AB876" s="107"/>
      <c r="AC876" s="355"/>
      <c r="AD876" s="355"/>
      <c r="AE876" s="355"/>
      <c r="AF876" s="94">
        <f t="shared" si="118"/>
        <v>42734</v>
      </c>
      <c r="AG876" s="185">
        <f t="shared" si="123"/>
        <v>-6.6542431409529756E-3</v>
      </c>
      <c r="AH876" s="339" t="str">
        <f>VLOOKUP(B876,'MF PF'!A:B,2)</f>
        <v>FdMgt1</v>
      </c>
      <c r="AI876" s="358">
        <f t="shared" si="119"/>
        <v>0</v>
      </c>
      <c r="AJ876" s="94">
        <f t="shared" si="120"/>
        <v>42735</v>
      </c>
    </row>
    <row r="877" spans="1:36" ht="12.75" customHeight="1">
      <c r="A877" s="94">
        <v>42762</v>
      </c>
      <c r="B877" s="94" t="s">
        <v>136</v>
      </c>
      <c r="C877" s="92" t="s">
        <v>306</v>
      </c>
      <c r="D877" s="374">
        <v>3315318.4925000002</v>
      </c>
      <c r="E877" s="9" t="e">
        <f t="shared" si="121"/>
        <v>#DIV/0!</v>
      </c>
      <c r="F877" s="98">
        <v>2.63</v>
      </c>
      <c r="G877" s="98">
        <v>0</v>
      </c>
      <c r="H877" s="98">
        <v>0</v>
      </c>
      <c r="I877" s="98">
        <v>0</v>
      </c>
      <c r="J877" s="98"/>
      <c r="L877" s="93">
        <f t="shared" si="116"/>
        <v>0</v>
      </c>
      <c r="M877" s="95" t="e">
        <f t="shared" ca="1" si="117"/>
        <v>#DIV/0!</v>
      </c>
      <c r="N877" s="95">
        <f>IF(P877="Hedge Fund",IF(A877=Summary!$AD$3,M877-E877,M877),IF(A877=Summary!$AD$3,L877-D877,L877))</f>
        <v>0</v>
      </c>
      <c r="O877" s="95">
        <f t="shared" si="122"/>
        <v>0</v>
      </c>
      <c r="P877" s="107" t="s">
        <v>155</v>
      </c>
      <c r="Q877" s="107">
        <v>0</v>
      </c>
      <c r="R877" s="107">
        <v>0</v>
      </c>
      <c r="S877" s="107">
        <v>0</v>
      </c>
      <c r="T877" s="107">
        <v>0</v>
      </c>
      <c r="U877" s="107"/>
      <c r="V877" s="107"/>
      <c r="W877" s="107"/>
      <c r="X877" s="107"/>
      <c r="Y877" s="107"/>
      <c r="Z877" s="107"/>
      <c r="AA877" s="107"/>
      <c r="AB877" s="107"/>
      <c r="AC877" s="355"/>
      <c r="AD877" s="355"/>
      <c r="AE877" s="355"/>
      <c r="AF877" s="94">
        <f t="shared" si="118"/>
        <v>42762</v>
      </c>
      <c r="AG877" s="185">
        <f t="shared" si="123"/>
        <v>1.6257259134417223E-2</v>
      </c>
      <c r="AH877" s="339" t="str">
        <f>VLOOKUP(B877,'MF PF'!A:B,2)</f>
        <v>FdMgt1</v>
      </c>
      <c r="AI877" s="358">
        <f t="shared" si="119"/>
        <v>0</v>
      </c>
      <c r="AJ877" s="94">
        <f t="shared" si="120"/>
        <v>42766</v>
      </c>
    </row>
    <row r="878" spans="1:36" ht="12.75" customHeight="1">
      <c r="A878" s="94">
        <v>42794</v>
      </c>
      <c r="B878" s="94" t="s">
        <v>136</v>
      </c>
      <c r="C878" s="358" t="s">
        <v>306</v>
      </c>
      <c r="D878" s="374">
        <v>3443498.6370000001</v>
      </c>
      <c r="E878" s="9" t="e">
        <f t="shared" ref="E878:E894" si="124">D878/K878</f>
        <v>#DIV/0!</v>
      </c>
      <c r="F878" s="98">
        <v>2.63</v>
      </c>
      <c r="G878" s="98">
        <v>0</v>
      </c>
      <c r="H878" s="98">
        <v>0</v>
      </c>
      <c r="I878" s="98">
        <v>0</v>
      </c>
      <c r="J878" s="98"/>
      <c r="K878" s="93"/>
      <c r="L878" s="93">
        <f t="shared" si="116"/>
        <v>0</v>
      </c>
      <c r="M878" s="95" t="e">
        <f t="shared" ca="1" si="117"/>
        <v>#DIV/0!</v>
      </c>
      <c r="N878" s="95">
        <f>IF(P878="Hedge Fund",IF(A878=Summary!$AD$3,M878-E878,M878),IF(A878=Summary!$AD$3,L878-D878,L878))</f>
        <v>0</v>
      </c>
      <c r="O878" s="95">
        <f t="shared" si="122"/>
        <v>0</v>
      </c>
      <c r="P878" s="107" t="s">
        <v>155</v>
      </c>
      <c r="Q878" s="107">
        <v>0</v>
      </c>
      <c r="R878" s="107">
        <v>0</v>
      </c>
      <c r="S878" s="107">
        <v>0</v>
      </c>
      <c r="T878" s="107">
        <v>0</v>
      </c>
      <c r="U878" s="107"/>
      <c r="V878" s="107"/>
      <c r="W878" s="107"/>
      <c r="X878" s="107"/>
      <c r="Y878" s="107"/>
      <c r="Z878" s="107"/>
      <c r="AA878" s="107"/>
      <c r="AB878" s="107"/>
      <c r="AC878" s="355"/>
      <c r="AD878" s="355"/>
      <c r="AE878" s="355"/>
      <c r="AF878" s="94">
        <f t="shared" si="118"/>
        <v>42794</v>
      </c>
      <c r="AG878" s="185">
        <f t="shared" si="123"/>
        <v>3.8662995663907518E-2</v>
      </c>
      <c r="AH878" s="339" t="str">
        <f>VLOOKUP(B878,'MF PF'!A:B,2)</f>
        <v>FdMgt1</v>
      </c>
      <c r="AI878" s="358">
        <f t="shared" si="119"/>
        <v>0</v>
      </c>
      <c r="AJ878" s="94">
        <f t="shared" si="120"/>
        <v>42794</v>
      </c>
    </row>
    <row r="879" spans="1:36" ht="12.75" customHeight="1">
      <c r="A879" s="8">
        <v>42825</v>
      </c>
      <c r="B879" s="94" t="s">
        <v>136</v>
      </c>
      <c r="C879" s="92" t="s">
        <v>306</v>
      </c>
      <c r="D879" s="374">
        <v>3388011.1894999999</v>
      </c>
      <c r="E879" s="9" t="e">
        <f t="shared" si="124"/>
        <v>#DIV/0!</v>
      </c>
      <c r="F879" s="98">
        <v>2.63</v>
      </c>
      <c r="G879" s="98">
        <v>0</v>
      </c>
      <c r="H879" s="98">
        <v>0</v>
      </c>
      <c r="I879" s="98">
        <v>0</v>
      </c>
      <c r="J879" s="98"/>
      <c r="K879" s="93"/>
      <c r="L879" s="93">
        <f t="shared" si="116"/>
        <v>0</v>
      </c>
      <c r="M879" s="95" t="e">
        <f t="shared" ca="1" si="117"/>
        <v>#DIV/0!</v>
      </c>
      <c r="N879" s="95">
        <f>IF(P879="Hedge Fund",IF(A879=Summary!$AD$3,M879-E879,M879),IF(A879=Summary!$AD$3,L879-D879,L879))</f>
        <v>0</v>
      </c>
      <c r="O879" s="95">
        <f t="shared" si="122"/>
        <v>0</v>
      </c>
      <c r="P879" s="107" t="s">
        <v>155</v>
      </c>
      <c r="Q879" s="107">
        <v>0</v>
      </c>
      <c r="R879" s="107">
        <v>0</v>
      </c>
      <c r="S879" s="107">
        <v>0</v>
      </c>
      <c r="T879" s="107">
        <v>0</v>
      </c>
      <c r="U879" s="107"/>
      <c r="V879" s="107"/>
      <c r="W879" s="107"/>
      <c r="X879" s="107"/>
      <c r="Y879" s="107"/>
      <c r="Z879" s="107"/>
      <c r="AA879" s="107"/>
      <c r="AB879" s="107"/>
      <c r="AC879" s="355"/>
      <c r="AD879" s="355"/>
      <c r="AE879" s="355"/>
      <c r="AF879" s="94">
        <f t="shared" si="118"/>
        <v>42825</v>
      </c>
      <c r="AG879" s="185">
        <f t="shared" si="123"/>
        <v>-1.6113683596036266E-2</v>
      </c>
      <c r="AH879" s="339" t="str">
        <f>VLOOKUP(B879,'MF PF'!A:B,2)</f>
        <v>FdMgt1</v>
      </c>
      <c r="AI879" s="358">
        <f t="shared" si="119"/>
        <v>0</v>
      </c>
      <c r="AJ879" s="94">
        <f t="shared" si="120"/>
        <v>42825</v>
      </c>
    </row>
    <row r="880" spans="1:36" ht="12.75" customHeight="1">
      <c r="A880" s="8">
        <v>42853</v>
      </c>
      <c r="B880" s="94" t="s">
        <v>136</v>
      </c>
      <c r="C880" s="358" t="s">
        <v>306</v>
      </c>
      <c r="D880" s="374">
        <v>3379414.0520000001</v>
      </c>
      <c r="E880" s="9" t="e">
        <f t="shared" si="124"/>
        <v>#DIV/0!</v>
      </c>
      <c r="F880" s="98">
        <v>2.63</v>
      </c>
      <c r="G880" s="98">
        <v>0</v>
      </c>
      <c r="H880" s="98">
        <v>0</v>
      </c>
      <c r="I880" s="98">
        <v>0</v>
      </c>
      <c r="J880" s="98"/>
      <c r="K880" s="93"/>
      <c r="L880" s="93">
        <f t="shared" si="116"/>
        <v>0</v>
      </c>
      <c r="M880" s="95" t="e">
        <f t="shared" ca="1" si="117"/>
        <v>#DIV/0!</v>
      </c>
      <c r="N880" s="95">
        <f>IF(P880="Hedge Fund",IF(A880=Summary!$AD$3,M880-E880,M880),IF(A880=Summary!$AD$3,L880-D880,L880))</f>
        <v>0</v>
      </c>
      <c r="O880" s="95">
        <f t="shared" si="122"/>
        <v>0</v>
      </c>
      <c r="P880" s="107" t="s">
        <v>155</v>
      </c>
      <c r="Q880" s="107">
        <v>0</v>
      </c>
      <c r="R880" s="107">
        <v>0</v>
      </c>
      <c r="S880" s="107">
        <v>0</v>
      </c>
      <c r="T880" s="107">
        <v>0</v>
      </c>
      <c r="U880" s="107"/>
      <c r="V880" s="107"/>
      <c r="W880" s="107"/>
      <c r="X880" s="107"/>
      <c r="Y880" s="107"/>
      <c r="Z880" s="107"/>
      <c r="AA880" s="107"/>
      <c r="AB880" s="107"/>
      <c r="AC880" s="355"/>
      <c r="AD880" s="355"/>
      <c r="AE880" s="355"/>
      <c r="AF880" s="94">
        <f t="shared" si="118"/>
        <v>42853</v>
      </c>
      <c r="AG880" s="185">
        <f t="shared" si="123"/>
        <v>-2.5375174458229788E-3</v>
      </c>
      <c r="AH880" s="339" t="str">
        <f>VLOOKUP(B880,'MF PF'!A:B,2)</f>
        <v>FdMgt1</v>
      </c>
      <c r="AI880" s="358">
        <f t="shared" si="119"/>
        <v>0</v>
      </c>
      <c r="AJ880" s="94">
        <f t="shared" si="120"/>
        <v>42855</v>
      </c>
    </row>
    <row r="881" spans="1:36" ht="12.75" customHeight="1">
      <c r="A881" s="8">
        <v>42886</v>
      </c>
      <c r="B881" s="94" t="s">
        <v>136</v>
      </c>
      <c r="C881" s="92" t="s">
        <v>306</v>
      </c>
      <c r="D881" s="374">
        <v>3287223.9780000001</v>
      </c>
      <c r="E881" s="9" t="e">
        <f t="shared" si="124"/>
        <v>#DIV/0!</v>
      </c>
      <c r="F881" s="98">
        <v>2.63</v>
      </c>
      <c r="G881" s="98">
        <v>0</v>
      </c>
      <c r="H881" s="98">
        <v>0</v>
      </c>
      <c r="I881" s="98">
        <v>0</v>
      </c>
      <c r="J881" s="98"/>
      <c r="K881" s="93"/>
      <c r="L881" s="93">
        <f t="shared" si="116"/>
        <v>0</v>
      </c>
      <c r="M881" s="95" t="e">
        <f t="shared" ca="1" si="117"/>
        <v>#DIV/0!</v>
      </c>
      <c r="N881" s="95">
        <f>IF(P881="Hedge Fund",IF(A881=Summary!$AD$3,M881-E881,M881),IF(A881=Summary!$AD$3,L881-D881,L881))</f>
        <v>0</v>
      </c>
      <c r="O881" s="95">
        <f t="shared" si="122"/>
        <v>0</v>
      </c>
      <c r="P881" s="107" t="s">
        <v>155</v>
      </c>
      <c r="Q881" s="107">
        <v>0</v>
      </c>
      <c r="R881" s="107">
        <v>0</v>
      </c>
      <c r="S881" s="107">
        <v>0</v>
      </c>
      <c r="T881" s="107">
        <v>0</v>
      </c>
      <c r="U881" s="107"/>
      <c r="V881" s="107"/>
      <c r="W881" s="107"/>
      <c r="X881" s="107"/>
      <c r="Y881" s="107"/>
      <c r="Z881" s="107"/>
      <c r="AA881" s="107"/>
      <c r="AB881" s="107"/>
      <c r="AC881" s="355"/>
      <c r="AD881" s="355"/>
      <c r="AE881" s="355"/>
      <c r="AF881" s="94">
        <f t="shared" si="118"/>
        <v>42886</v>
      </c>
      <c r="AG881" s="185">
        <f t="shared" si="123"/>
        <v>-2.7279898994750362E-2</v>
      </c>
      <c r="AH881" s="339" t="str">
        <f>VLOOKUP(B881,'MF PF'!A:B,2)</f>
        <v>FdMgt1</v>
      </c>
      <c r="AI881" s="358">
        <f t="shared" si="119"/>
        <v>0</v>
      </c>
      <c r="AJ881" s="94">
        <f t="shared" si="120"/>
        <v>42886</v>
      </c>
    </row>
    <row r="882" spans="1:36" ht="12.75" customHeight="1">
      <c r="A882" s="94">
        <v>42916</v>
      </c>
      <c r="B882" s="94" t="s">
        <v>136</v>
      </c>
      <c r="C882" s="92" t="s">
        <v>306</v>
      </c>
      <c r="D882" s="374">
        <v>3405044.0589999999</v>
      </c>
      <c r="E882" s="9" t="e">
        <f t="shared" si="124"/>
        <v>#DIV/0!</v>
      </c>
      <c r="F882" s="47">
        <v>2.63</v>
      </c>
      <c r="G882" s="47">
        <v>0</v>
      </c>
      <c r="H882" s="47">
        <v>0</v>
      </c>
      <c r="I882" s="47">
        <v>0</v>
      </c>
      <c r="J882" s="98"/>
      <c r="K882" s="93"/>
      <c r="L882" s="93">
        <f t="shared" si="116"/>
        <v>0</v>
      </c>
      <c r="M882" s="95" t="e">
        <f t="shared" ca="1" si="117"/>
        <v>#DIV/0!</v>
      </c>
      <c r="N882" s="95">
        <f>IF(P882="Hedge Fund",IF(A882=Summary!$AD$3,M882-E882,M882),IF(A882=Summary!$AD$3,L882-D882,L882))</f>
        <v>0</v>
      </c>
      <c r="O882" s="95">
        <f t="shared" si="122"/>
        <v>0</v>
      </c>
      <c r="P882" s="89" t="s">
        <v>155</v>
      </c>
      <c r="Q882" s="107">
        <v>0</v>
      </c>
      <c r="R882" s="107">
        <v>0</v>
      </c>
      <c r="S882" s="89">
        <v>0</v>
      </c>
      <c r="T882" s="89">
        <v>0</v>
      </c>
      <c r="U882" s="89"/>
      <c r="V882" s="89"/>
      <c r="W882" s="89"/>
      <c r="X882" s="89"/>
      <c r="Y882" s="89"/>
      <c r="Z882" s="89"/>
      <c r="AA882" s="89"/>
      <c r="AB882" s="89"/>
      <c r="AC882" s="355"/>
      <c r="AD882" s="355"/>
      <c r="AE882" s="355"/>
      <c r="AF882" s="94">
        <f t="shared" si="118"/>
        <v>42916</v>
      </c>
      <c r="AG882" s="185">
        <f t="shared" si="123"/>
        <v>3.5841817225878092E-2</v>
      </c>
      <c r="AH882" s="339" t="str">
        <f>VLOOKUP(B882,'MF PF'!A:B,2)</f>
        <v>FdMgt1</v>
      </c>
      <c r="AI882" s="358">
        <f t="shared" si="119"/>
        <v>0</v>
      </c>
      <c r="AJ882" s="94">
        <f t="shared" si="120"/>
        <v>42916</v>
      </c>
    </row>
    <row r="883" spans="1:36" ht="12.75" customHeight="1">
      <c r="A883" s="8">
        <v>42947</v>
      </c>
      <c r="B883" s="94" t="s">
        <v>136</v>
      </c>
      <c r="C883" s="92" t="s">
        <v>306</v>
      </c>
      <c r="D883" s="374">
        <v>3481511.3000000003</v>
      </c>
      <c r="E883" s="9" t="e">
        <f t="shared" si="124"/>
        <v>#DIV/0!</v>
      </c>
      <c r="F883" s="47">
        <v>2.63</v>
      </c>
      <c r="G883" s="47">
        <v>0</v>
      </c>
      <c r="H883" s="47">
        <v>0</v>
      </c>
      <c r="I883" s="47">
        <v>0</v>
      </c>
      <c r="J883" s="98"/>
      <c r="K883" s="93"/>
      <c r="L883" s="93">
        <f t="shared" si="116"/>
        <v>0</v>
      </c>
      <c r="M883" s="95" t="e">
        <f t="shared" ca="1" si="117"/>
        <v>#DIV/0!</v>
      </c>
      <c r="N883" s="95">
        <f>IF(P883="Hedge Fund",IF(A883=Summary!$AD$3,M883-E883,M883),IF(A883=Summary!$AD$3,L883-D883,L883))</f>
        <v>0</v>
      </c>
      <c r="O883" s="95">
        <f t="shared" si="122"/>
        <v>0</v>
      </c>
      <c r="P883" s="89" t="s">
        <v>155</v>
      </c>
      <c r="Q883" s="107">
        <v>0</v>
      </c>
      <c r="R883" s="107">
        <v>0</v>
      </c>
      <c r="S883" s="89">
        <v>0</v>
      </c>
      <c r="T883" s="89">
        <v>0</v>
      </c>
      <c r="U883" s="89"/>
      <c r="V883" s="89"/>
      <c r="W883" s="89"/>
      <c r="X883" s="89"/>
      <c r="Y883" s="89"/>
      <c r="Z883" s="89"/>
      <c r="AA883" s="89"/>
      <c r="AB883" s="89"/>
      <c r="AC883" s="355"/>
      <c r="AD883" s="355"/>
      <c r="AE883" s="355"/>
      <c r="AF883" s="94">
        <f t="shared" si="118"/>
        <v>42947</v>
      </c>
      <c r="AG883" s="185">
        <f t="shared" si="123"/>
        <v>2.2457048917733369E-2</v>
      </c>
      <c r="AH883" s="339" t="str">
        <f>VLOOKUP(B883,'MF PF'!A:B,2)</f>
        <v>FdMgt1</v>
      </c>
      <c r="AI883" s="358">
        <f t="shared" si="119"/>
        <v>0</v>
      </c>
      <c r="AJ883" s="94">
        <f t="shared" si="120"/>
        <v>42947</v>
      </c>
    </row>
    <row r="884" spans="1:36" ht="12.75" customHeight="1">
      <c r="A884" s="94">
        <v>42978</v>
      </c>
      <c r="B884" s="94" t="s">
        <v>136</v>
      </c>
      <c r="C884" s="358" t="s">
        <v>306</v>
      </c>
      <c r="D884" s="374">
        <v>3486600</v>
      </c>
      <c r="E884" s="9" t="e">
        <f t="shared" si="124"/>
        <v>#DIV/0!</v>
      </c>
      <c r="F884" s="47">
        <v>2.63</v>
      </c>
      <c r="G884" s="47">
        <v>0</v>
      </c>
      <c r="H884" s="47">
        <v>0</v>
      </c>
      <c r="I884" s="98">
        <v>0</v>
      </c>
      <c r="J884" s="98"/>
      <c r="K884" s="93"/>
      <c r="L884" s="93">
        <f t="shared" si="116"/>
        <v>0</v>
      </c>
      <c r="M884" s="95" t="e">
        <f t="shared" ca="1" si="117"/>
        <v>#DIV/0!</v>
      </c>
      <c r="N884" s="95">
        <f>IF(P884="Hedge Fund",IF(A884=Summary!$AD$3,M884-E884,M884),IF(A884=Summary!$AD$3,L884-D884,L884))</f>
        <v>0</v>
      </c>
      <c r="O884" s="95">
        <f t="shared" si="122"/>
        <v>0</v>
      </c>
      <c r="P884" s="89" t="s">
        <v>155</v>
      </c>
      <c r="Q884" s="107">
        <v>0</v>
      </c>
      <c r="R884" s="107">
        <v>0</v>
      </c>
      <c r="S884" s="89">
        <v>0</v>
      </c>
      <c r="T884" s="89">
        <v>0</v>
      </c>
      <c r="U884" s="89"/>
      <c r="V884" s="89"/>
      <c r="W884" s="89"/>
      <c r="X884" s="89"/>
      <c r="Y884" s="89"/>
      <c r="Z884" s="89"/>
      <c r="AA884" s="89"/>
      <c r="AB884" s="89"/>
      <c r="AC884" s="355"/>
      <c r="AD884" s="355"/>
      <c r="AE884" s="355"/>
      <c r="AF884" s="94">
        <f t="shared" si="118"/>
        <v>42978</v>
      </c>
      <c r="AG884" s="185">
        <f t="shared" si="123"/>
        <v>1.4616353535890081E-3</v>
      </c>
      <c r="AH884" s="339" t="str">
        <f>VLOOKUP(B884,'MF PF'!A:B,2)</f>
        <v>FdMgt1</v>
      </c>
      <c r="AI884" s="358">
        <f t="shared" si="119"/>
        <v>0</v>
      </c>
      <c r="AJ884" s="94">
        <f t="shared" si="120"/>
        <v>42978</v>
      </c>
    </row>
    <row r="885" spans="1:36" ht="12.75" customHeight="1">
      <c r="A885" s="94">
        <v>43007</v>
      </c>
      <c r="B885" s="94" t="s">
        <v>136</v>
      </c>
      <c r="C885" s="358" t="s">
        <v>306</v>
      </c>
      <c r="D885" s="374">
        <v>3467281.3861674946</v>
      </c>
      <c r="E885" s="9" t="e">
        <f t="shared" si="124"/>
        <v>#DIV/0!</v>
      </c>
      <c r="F885" s="47">
        <v>2.63</v>
      </c>
      <c r="G885" s="47">
        <v>0</v>
      </c>
      <c r="H885" s="47">
        <v>0</v>
      </c>
      <c r="I885" s="98">
        <v>0</v>
      </c>
      <c r="J885" s="98"/>
      <c r="K885" s="93"/>
      <c r="L885" s="93">
        <f t="shared" si="116"/>
        <v>0</v>
      </c>
      <c r="M885" s="95" t="e">
        <f t="shared" ca="1" si="117"/>
        <v>#DIV/0!</v>
      </c>
      <c r="N885" s="95">
        <f>IF(P885="Hedge Fund",IF(A885=Summary!$AD$3,M885-E885,M885),IF(A885=Summary!$AD$3,L885-D885,L885))</f>
        <v>0</v>
      </c>
      <c r="O885" s="95">
        <f t="shared" si="122"/>
        <v>0</v>
      </c>
      <c r="P885" s="89" t="s">
        <v>155</v>
      </c>
      <c r="Q885" s="107">
        <v>0</v>
      </c>
      <c r="R885" s="107">
        <v>0</v>
      </c>
      <c r="S885" s="89">
        <v>0</v>
      </c>
      <c r="T885" s="89">
        <v>0</v>
      </c>
      <c r="U885" s="89"/>
      <c r="V885" s="89"/>
      <c r="W885" s="89"/>
      <c r="X885" s="89"/>
      <c r="Y885" s="89"/>
      <c r="Z885" s="89"/>
      <c r="AA885" s="89"/>
      <c r="AB885" s="89"/>
      <c r="AC885" s="355"/>
      <c r="AD885" s="355"/>
      <c r="AE885" s="355"/>
      <c r="AF885" s="94">
        <f t="shared" si="118"/>
        <v>43007</v>
      </c>
      <c r="AG885" s="185">
        <f t="shared" si="123"/>
        <v>-5.5408173672074623E-3</v>
      </c>
      <c r="AH885" s="339" t="str">
        <f>VLOOKUP(B885,'MF PF'!A:B,2)</f>
        <v>FdMgt1</v>
      </c>
      <c r="AI885" s="358">
        <f t="shared" si="119"/>
        <v>0</v>
      </c>
      <c r="AJ885" s="94">
        <f t="shared" si="120"/>
        <v>43008</v>
      </c>
    </row>
    <row r="886" spans="1:36" ht="12.75" customHeight="1">
      <c r="A886" s="94">
        <v>43039</v>
      </c>
      <c r="B886" s="94" t="s">
        <v>136</v>
      </c>
      <c r="C886" s="358" t="s">
        <v>306</v>
      </c>
      <c r="D886" s="374">
        <v>3491400</v>
      </c>
      <c r="E886" s="9" t="e">
        <f t="shared" si="124"/>
        <v>#DIV/0!</v>
      </c>
      <c r="F886" s="47">
        <v>2.63</v>
      </c>
      <c r="G886" s="47">
        <v>0</v>
      </c>
      <c r="H886" s="47">
        <v>0</v>
      </c>
      <c r="I886" s="98">
        <v>0</v>
      </c>
      <c r="J886" s="98"/>
      <c r="L886" s="93">
        <f t="shared" si="116"/>
        <v>0</v>
      </c>
      <c r="M886" s="95" t="e">
        <f t="shared" ca="1" si="117"/>
        <v>#DIV/0!</v>
      </c>
      <c r="N886" s="95">
        <f>IF(P886="Hedge Fund",IF(A886=Summary!$AD$3,M886-E886,M886),IF(A886=Summary!$AD$3,L886-D886,L886))</f>
        <v>0</v>
      </c>
      <c r="O886" s="95">
        <f t="shared" si="122"/>
        <v>0</v>
      </c>
      <c r="P886" s="89" t="s">
        <v>155</v>
      </c>
      <c r="Q886" s="107">
        <v>0</v>
      </c>
      <c r="R886" s="107">
        <v>0</v>
      </c>
      <c r="S886" s="89">
        <v>0</v>
      </c>
      <c r="T886" s="89">
        <v>0</v>
      </c>
      <c r="U886" s="89"/>
      <c r="V886" s="89"/>
      <c r="W886" s="89"/>
      <c r="X886" s="89"/>
      <c r="Y886" s="89"/>
      <c r="Z886" s="89"/>
      <c r="AA886" s="89"/>
      <c r="AB886" s="89"/>
      <c r="AC886" s="355"/>
      <c r="AD886" s="355"/>
      <c r="AE886" s="355"/>
      <c r="AF886" s="94">
        <f t="shared" si="118"/>
        <v>43039</v>
      </c>
      <c r="AG886" s="185">
        <f t="shared" si="123"/>
        <v>6.9560589829038566E-3</v>
      </c>
      <c r="AH886" s="339" t="str">
        <f>VLOOKUP(B886,'MF PF'!A:B,2)</f>
        <v>FdMgt1</v>
      </c>
      <c r="AI886" s="358">
        <f t="shared" si="119"/>
        <v>0</v>
      </c>
      <c r="AJ886" s="94">
        <f t="shared" si="120"/>
        <v>43039</v>
      </c>
    </row>
    <row r="887" spans="1:36" ht="12.75" customHeight="1">
      <c r="A887" s="94">
        <v>43069</v>
      </c>
      <c r="B887" s="94" t="s">
        <v>136</v>
      </c>
      <c r="C887" s="358" t="s">
        <v>306</v>
      </c>
      <c r="D887" s="374">
        <v>3492400</v>
      </c>
      <c r="E887" s="9" t="e">
        <f t="shared" si="124"/>
        <v>#DIV/0!</v>
      </c>
      <c r="F887" s="47">
        <v>2.63</v>
      </c>
      <c r="G887" s="47">
        <v>0</v>
      </c>
      <c r="H887" s="47">
        <v>0</v>
      </c>
      <c r="I887" s="98">
        <v>0</v>
      </c>
      <c r="J887" s="98"/>
      <c r="L887" s="93">
        <f t="shared" si="116"/>
        <v>0</v>
      </c>
      <c r="M887" s="95" t="e">
        <f t="shared" ca="1" si="117"/>
        <v>#DIV/0!</v>
      </c>
      <c r="N887" s="95">
        <f>IF(P887="Hedge Fund",IF(A887=Summary!$AD$3,M887-E887,M887),IF(A887=Summary!$AD$3,L887-D887,L887))</f>
        <v>0</v>
      </c>
      <c r="O887" s="95">
        <f t="shared" si="122"/>
        <v>0</v>
      </c>
      <c r="P887" s="89" t="s">
        <v>155</v>
      </c>
      <c r="Q887" s="107">
        <v>0</v>
      </c>
      <c r="R887" s="107">
        <v>0</v>
      </c>
      <c r="S887" s="89">
        <v>0</v>
      </c>
      <c r="T887" s="89">
        <v>0</v>
      </c>
      <c r="U887" s="89"/>
      <c r="V887" s="89"/>
      <c r="W887" s="89"/>
      <c r="X887" s="89"/>
      <c r="Y887" s="89"/>
      <c r="Z887" s="89"/>
      <c r="AA887" s="89"/>
      <c r="AB887" s="89"/>
      <c r="AC887" s="355"/>
      <c r="AD887" s="355"/>
      <c r="AE887" s="355"/>
      <c r="AF887" s="94">
        <f t="shared" si="118"/>
        <v>43069</v>
      </c>
      <c r="AG887" s="185">
        <f t="shared" si="123"/>
        <v>2.8641805579421309E-4</v>
      </c>
      <c r="AH887" s="339" t="str">
        <f>VLOOKUP(B887,'MF PF'!A:B,2)</f>
        <v>FdMgt1</v>
      </c>
      <c r="AI887" s="358">
        <f t="shared" si="119"/>
        <v>0</v>
      </c>
      <c r="AJ887" s="94">
        <f t="shared" si="120"/>
        <v>43069</v>
      </c>
    </row>
    <row r="888" spans="1:36" ht="12.75" customHeight="1">
      <c r="A888" s="8">
        <v>43098</v>
      </c>
      <c r="B888" s="94" t="s">
        <v>136</v>
      </c>
      <c r="C888" s="92" t="s">
        <v>306</v>
      </c>
      <c r="D888" s="374">
        <v>3653800</v>
      </c>
      <c r="E888" s="95" t="e">
        <f t="shared" si="124"/>
        <v>#DIV/0!</v>
      </c>
      <c r="F888" s="98">
        <v>2.63</v>
      </c>
      <c r="G888" s="98">
        <v>0</v>
      </c>
      <c r="H888" s="98">
        <v>0</v>
      </c>
      <c r="I888" s="98">
        <v>0</v>
      </c>
      <c r="J888" s="98"/>
      <c r="K888" s="93"/>
      <c r="L888" s="93">
        <f t="shared" si="116"/>
        <v>0</v>
      </c>
      <c r="M888" s="95" t="e">
        <f t="shared" ca="1" si="117"/>
        <v>#DIV/0!</v>
      </c>
      <c r="N888" s="95">
        <f>IF(P888="Hedge Fund",IF(A888=Summary!$AD$3,M888-E888,M888),IF(A888=Summary!$AD$3,L888-D888,L888))</f>
        <v>0</v>
      </c>
      <c r="O888" s="95">
        <f t="shared" si="122"/>
        <v>0</v>
      </c>
      <c r="P888" s="107" t="s">
        <v>155</v>
      </c>
      <c r="Q888" s="107">
        <v>0</v>
      </c>
      <c r="R888" s="107">
        <v>0</v>
      </c>
      <c r="S888" s="107">
        <v>0</v>
      </c>
      <c r="T888" s="107">
        <v>0</v>
      </c>
      <c r="U888" s="107"/>
      <c r="V888" s="107"/>
      <c r="W888" s="107"/>
      <c r="X888" s="107"/>
      <c r="Y888" s="107"/>
      <c r="Z888" s="107"/>
      <c r="AA888" s="107"/>
      <c r="AB888" s="107"/>
      <c r="AC888" s="355"/>
      <c r="AD888" s="355"/>
      <c r="AE888" s="355"/>
      <c r="AF888" s="94">
        <f t="shared" si="118"/>
        <v>43098</v>
      </c>
      <c r="AG888" s="185">
        <f t="shared" si="123"/>
        <v>4.6214637498568356E-2</v>
      </c>
      <c r="AH888" s="339" t="str">
        <f>VLOOKUP(B888,'MF PF'!A:B,2)</f>
        <v>FdMgt1</v>
      </c>
      <c r="AI888" s="358">
        <f t="shared" si="119"/>
        <v>0</v>
      </c>
      <c r="AJ888" s="94">
        <f t="shared" si="120"/>
        <v>43100</v>
      </c>
    </row>
    <row r="889" spans="1:36" ht="12.75" customHeight="1">
      <c r="A889" s="8">
        <v>43131</v>
      </c>
      <c r="B889" s="94" t="s">
        <v>136</v>
      </c>
      <c r="C889" s="92" t="s">
        <v>306</v>
      </c>
      <c r="D889" s="374">
        <v>3700400</v>
      </c>
      <c r="E889" s="95" t="e">
        <f t="shared" si="124"/>
        <v>#DIV/0!</v>
      </c>
      <c r="F889" s="98">
        <v>2.63</v>
      </c>
      <c r="G889" s="98">
        <v>0</v>
      </c>
      <c r="H889" s="98">
        <v>0</v>
      </c>
      <c r="I889" s="98">
        <v>0</v>
      </c>
      <c r="J889" s="98"/>
      <c r="K889" s="93"/>
      <c r="L889" s="93">
        <f t="shared" si="116"/>
        <v>0</v>
      </c>
      <c r="M889" s="95" t="e">
        <f t="shared" ca="1" si="117"/>
        <v>#DIV/0!</v>
      </c>
      <c r="N889" s="95">
        <f>IF(P889="Hedge Fund",IF(A889=Summary!$AD$3,M889-E889,M889),IF(A889=Summary!$AD$3,L889-D889,L889))</f>
        <v>0</v>
      </c>
      <c r="O889" s="95">
        <f t="shared" si="122"/>
        <v>0</v>
      </c>
      <c r="P889" s="107" t="s">
        <v>155</v>
      </c>
      <c r="Q889" s="107">
        <v>0</v>
      </c>
      <c r="R889" s="107">
        <v>0</v>
      </c>
      <c r="S889" s="107">
        <v>0</v>
      </c>
      <c r="T889" s="107">
        <v>0</v>
      </c>
      <c r="U889" s="107"/>
      <c r="V889" s="107"/>
      <c r="W889" s="107"/>
      <c r="X889" s="107"/>
      <c r="Y889" s="107"/>
      <c r="Z889" s="107"/>
      <c r="AA889" s="107"/>
      <c r="AB889" s="107"/>
      <c r="AC889" s="355"/>
      <c r="AD889" s="355"/>
      <c r="AE889" s="355"/>
      <c r="AF889" s="94">
        <f t="shared" si="118"/>
        <v>43131</v>
      </c>
      <c r="AG889" s="185">
        <f t="shared" si="123"/>
        <v>1.2753845311730183E-2</v>
      </c>
      <c r="AH889" s="339" t="str">
        <f>VLOOKUP(B889,'MF PF'!A:B,2)</f>
        <v>FdMgt1</v>
      </c>
      <c r="AI889" s="358">
        <f t="shared" si="119"/>
        <v>0</v>
      </c>
      <c r="AJ889" s="94">
        <f t="shared" si="120"/>
        <v>43131</v>
      </c>
    </row>
    <row r="890" spans="1:36" ht="12.75" customHeight="1">
      <c r="A890" s="94">
        <v>43159</v>
      </c>
      <c r="B890" s="94" t="s">
        <v>136</v>
      </c>
      <c r="C890" s="358" t="s">
        <v>306</v>
      </c>
      <c r="D890" s="374">
        <v>3732083.6</v>
      </c>
      <c r="E890" s="9" t="e">
        <f t="shared" si="124"/>
        <v>#DIV/0!</v>
      </c>
      <c r="F890" s="47">
        <v>2.63</v>
      </c>
      <c r="G890" s="47">
        <v>0</v>
      </c>
      <c r="H890" s="47">
        <v>0</v>
      </c>
      <c r="I890" s="47">
        <v>0</v>
      </c>
      <c r="J890" s="98"/>
      <c r="L890" s="93">
        <f t="shared" si="116"/>
        <v>0</v>
      </c>
      <c r="M890" s="95" t="e">
        <f t="shared" ca="1" si="117"/>
        <v>#DIV/0!</v>
      </c>
      <c r="N890" s="95">
        <f>IF(P890="Hedge Fund",IF(A890=Summary!$AD$3,M890-E890,M890),IF(A890=Summary!$AD$3,L890-D890,L890))</f>
        <v>0</v>
      </c>
      <c r="O890" s="95">
        <f t="shared" si="122"/>
        <v>0</v>
      </c>
      <c r="P890" s="89" t="s">
        <v>155</v>
      </c>
      <c r="Q890" s="107">
        <v>0</v>
      </c>
      <c r="R890" s="107">
        <v>0</v>
      </c>
      <c r="S890" s="89">
        <v>0</v>
      </c>
      <c r="T890" s="89">
        <v>0</v>
      </c>
      <c r="U890" s="89"/>
      <c r="V890" s="89"/>
      <c r="W890" s="89"/>
      <c r="X890" s="89"/>
      <c r="Y890" s="89"/>
      <c r="Z890" s="89"/>
      <c r="AA890" s="89"/>
      <c r="AB890" s="89"/>
      <c r="AC890" s="355"/>
      <c r="AD890" s="355"/>
      <c r="AE890" s="355"/>
      <c r="AF890" s="94">
        <f t="shared" si="118"/>
        <v>43159</v>
      </c>
      <c r="AG890" s="185">
        <f t="shared" si="123"/>
        <v>8.5622094908659463E-3</v>
      </c>
      <c r="AH890" s="339" t="str">
        <f>VLOOKUP(B890,'MF PF'!A:B,2)</f>
        <v>FdMgt1</v>
      </c>
      <c r="AI890" s="358">
        <f t="shared" si="119"/>
        <v>0</v>
      </c>
      <c r="AJ890" s="94">
        <f t="shared" si="120"/>
        <v>43159</v>
      </c>
    </row>
    <row r="891" spans="1:36" ht="12.75" customHeight="1">
      <c r="A891" s="8">
        <v>43188</v>
      </c>
      <c r="B891" s="94" t="s">
        <v>136</v>
      </c>
      <c r="C891" s="92" t="s">
        <v>306</v>
      </c>
      <c r="D891" s="374">
        <v>3756526.6834999998</v>
      </c>
      <c r="E891" s="9" t="e">
        <f t="shared" si="124"/>
        <v>#DIV/0!</v>
      </c>
      <c r="F891" s="47">
        <v>2.63</v>
      </c>
      <c r="G891" s="47">
        <v>0</v>
      </c>
      <c r="H891" s="47">
        <v>0</v>
      </c>
      <c r="I891" s="47">
        <v>0</v>
      </c>
      <c r="J891" s="98"/>
      <c r="K891" s="93"/>
      <c r="L891" s="93">
        <f t="shared" si="116"/>
        <v>0</v>
      </c>
      <c r="M891" s="95" t="e">
        <f t="shared" ca="1" si="117"/>
        <v>#DIV/0!</v>
      </c>
      <c r="N891" s="95">
        <f>IF(P891="Hedge Fund",IF(A891=Summary!$AD$3,M891-E891,M891),IF(A891=Summary!$AD$3,L891-D891,L891))</f>
        <v>0</v>
      </c>
      <c r="O891" s="95">
        <f t="shared" si="122"/>
        <v>0</v>
      </c>
      <c r="P891" s="89" t="s">
        <v>155</v>
      </c>
      <c r="Q891" s="109">
        <v>1.4683595309372504E-2</v>
      </c>
      <c r="R891" s="109">
        <v>0.19879882649999997</v>
      </c>
      <c r="S891" s="89">
        <v>0</v>
      </c>
      <c r="T891" s="89">
        <v>0</v>
      </c>
      <c r="U891" s="89"/>
      <c r="V891" s="89"/>
      <c r="W891" s="89"/>
      <c r="X891" s="89"/>
      <c r="Y891" s="89"/>
      <c r="Z891" s="89"/>
      <c r="AA891" s="89"/>
      <c r="AB891" s="89"/>
      <c r="AC891" s="355"/>
      <c r="AD891" s="355"/>
      <c r="AE891" s="355"/>
      <c r="AF891" s="94">
        <f t="shared" si="118"/>
        <v>43188</v>
      </c>
      <c r="AG891" s="185">
        <f t="shared" si="123"/>
        <v>6.5494469362903374E-3</v>
      </c>
      <c r="AH891" s="339" t="str">
        <f>VLOOKUP(B891,'MF PF'!A:B,2)</f>
        <v>FdMgt1</v>
      </c>
      <c r="AI891" s="358">
        <f t="shared" si="119"/>
        <v>0</v>
      </c>
      <c r="AJ891" s="94">
        <f t="shared" si="120"/>
        <v>43190</v>
      </c>
    </row>
    <row r="892" spans="1:36" ht="12.75" customHeight="1">
      <c r="A892" s="8">
        <v>43220</v>
      </c>
      <c r="B892" s="94" t="s">
        <v>136</v>
      </c>
      <c r="C892" s="92" t="s">
        <v>306</v>
      </c>
      <c r="D892" s="374">
        <v>3805919.9794999999</v>
      </c>
      <c r="E892" s="9" t="e">
        <f t="shared" si="124"/>
        <v>#DIV/0!</v>
      </c>
      <c r="F892" s="47">
        <v>2.63</v>
      </c>
      <c r="G892" s="47">
        <v>0</v>
      </c>
      <c r="H892" s="47">
        <v>0</v>
      </c>
      <c r="I892" s="47">
        <v>0</v>
      </c>
      <c r="J892" s="98"/>
      <c r="L892" s="93">
        <f t="shared" si="116"/>
        <v>0</v>
      </c>
      <c r="M892" s="95" t="e">
        <f t="shared" ca="1" si="117"/>
        <v>#DIV/0!</v>
      </c>
      <c r="N892" s="95">
        <f>IF(P892="Hedge Fund",IF(A892=Summary!$AD$3,M892-E892,M892),IF(A892=Summary!$AD$3,L892-D892,L892))</f>
        <v>0</v>
      </c>
      <c r="O892" s="95">
        <f t="shared" si="122"/>
        <v>0</v>
      </c>
      <c r="P892" s="89" t="s">
        <v>155</v>
      </c>
      <c r="Q892" s="109">
        <v>0</v>
      </c>
      <c r="R892" s="109">
        <v>0.20751528999999999</v>
      </c>
      <c r="S892" s="89">
        <v>0</v>
      </c>
      <c r="T892" s="89">
        <v>0</v>
      </c>
      <c r="U892" s="89"/>
      <c r="V892" s="89"/>
      <c r="W892" s="89"/>
      <c r="X892" s="89"/>
      <c r="Y892" s="89"/>
      <c r="Z892" s="89"/>
      <c r="AA892" s="89"/>
      <c r="AB892" s="89"/>
      <c r="AC892" s="355"/>
      <c r="AD892" s="355"/>
      <c r="AE892" s="355"/>
      <c r="AF892" s="94">
        <f t="shared" si="118"/>
        <v>43220</v>
      </c>
      <c r="AG892" s="185">
        <f t="shared" si="123"/>
        <v>1.31486610269409E-2</v>
      </c>
      <c r="AH892" s="339" t="str">
        <f>VLOOKUP(B892,'MF PF'!A:B,2)</f>
        <v>FdMgt1</v>
      </c>
      <c r="AI892" s="358">
        <f t="shared" si="119"/>
        <v>0</v>
      </c>
      <c r="AJ892" s="94">
        <f t="shared" si="120"/>
        <v>43220</v>
      </c>
    </row>
    <row r="893" spans="1:36" ht="12.75" customHeight="1">
      <c r="A893" s="8">
        <v>43251</v>
      </c>
      <c r="B893" s="358" t="s">
        <v>136</v>
      </c>
      <c r="C893" s="94" t="s">
        <v>306</v>
      </c>
      <c r="D893" s="374">
        <v>3829040.5065000001</v>
      </c>
      <c r="E893" s="9" t="e">
        <f t="shared" si="124"/>
        <v>#DIV/0!</v>
      </c>
      <c r="F893" s="47">
        <v>2.63</v>
      </c>
      <c r="G893" s="47">
        <v>0</v>
      </c>
      <c r="H893" s="47">
        <v>0</v>
      </c>
      <c r="I893" s="110">
        <v>0</v>
      </c>
      <c r="J893" s="110"/>
      <c r="K893" s="93"/>
      <c r="L893" s="93">
        <f t="shared" si="116"/>
        <v>0</v>
      </c>
      <c r="M893" s="95" t="e">
        <f t="shared" ca="1" si="117"/>
        <v>#DIV/0!</v>
      </c>
      <c r="N893" s="95">
        <f>IF(P893="Hedge Fund",IF(A893=Summary!$AD$3,M893-E893,M893),IF(A893=Summary!$AD$3,L893-D893,L893))</f>
        <v>0</v>
      </c>
      <c r="O893" s="95">
        <f t="shared" si="122"/>
        <v>0</v>
      </c>
      <c r="P893" s="89" t="s">
        <v>155</v>
      </c>
      <c r="Q893" s="109">
        <v>0</v>
      </c>
      <c r="R893" s="109">
        <v>0.21159538</v>
      </c>
      <c r="S893" s="89">
        <v>0</v>
      </c>
      <c r="T893" s="89">
        <v>0</v>
      </c>
      <c r="U893" s="89"/>
      <c r="V893" s="89"/>
      <c r="W893" s="89"/>
      <c r="X893" s="89"/>
      <c r="Y893" s="89"/>
      <c r="Z893" s="89"/>
      <c r="AA893" s="89"/>
      <c r="AB893" s="89"/>
      <c r="AC893" s="355"/>
      <c r="AD893" s="355"/>
      <c r="AE893" s="355"/>
      <c r="AF893" s="94">
        <f t="shared" si="118"/>
        <v>43251</v>
      </c>
      <c r="AG893" s="185">
        <f t="shared" si="123"/>
        <v>6.0748852116008223E-3</v>
      </c>
      <c r="AH893" s="339" t="str">
        <f>VLOOKUP(B893,'MF PF'!A:B,2)</f>
        <v>FdMgt1</v>
      </c>
      <c r="AI893" s="358">
        <f t="shared" si="119"/>
        <v>0</v>
      </c>
      <c r="AJ893" s="94">
        <f t="shared" si="120"/>
        <v>43251</v>
      </c>
    </row>
    <row r="894" spans="1:36" ht="12.75" customHeight="1">
      <c r="A894" s="8">
        <v>43280</v>
      </c>
      <c r="B894" s="358" t="s">
        <v>136</v>
      </c>
      <c r="C894" s="94" t="s">
        <v>306</v>
      </c>
      <c r="D894" s="374">
        <v>3834910.7850000001</v>
      </c>
      <c r="E894" s="9" t="e">
        <f t="shared" si="124"/>
        <v>#DIV/0!</v>
      </c>
      <c r="F894" s="47">
        <v>2.63</v>
      </c>
      <c r="G894" s="47">
        <v>0</v>
      </c>
      <c r="H894" s="47">
        <v>0</v>
      </c>
      <c r="I894" s="110">
        <v>0</v>
      </c>
      <c r="J894" s="110"/>
      <c r="K894" s="93"/>
      <c r="L894" s="93">
        <f t="shared" si="116"/>
        <v>0</v>
      </c>
      <c r="M894" s="95" t="e">
        <f t="shared" ca="1" si="117"/>
        <v>#DIV/0!</v>
      </c>
      <c r="N894" s="95">
        <f>IF(P894="Hedge Fund",IF(A894=Summary!$AD$3,M894-E894,M894),IF(A894=Summary!$AD$3,L894-D894,L894))</f>
        <v>0</v>
      </c>
      <c r="O894" s="95">
        <f t="shared" si="122"/>
        <v>0</v>
      </c>
      <c r="P894" s="89" t="s">
        <v>155</v>
      </c>
      <c r="Q894" s="109">
        <v>1.5361110000000001E-2</v>
      </c>
      <c r="R894" s="109">
        <v>0.21263132000000001</v>
      </c>
      <c r="S894" s="89">
        <v>0</v>
      </c>
      <c r="T894" s="89">
        <v>0</v>
      </c>
      <c r="U894" s="89"/>
      <c r="V894" s="89"/>
      <c r="W894" s="89"/>
      <c r="X894" s="89"/>
      <c r="Y894" s="89"/>
      <c r="Z894" s="89"/>
      <c r="AA894" s="89"/>
      <c r="AB894" s="89"/>
      <c r="AC894" s="355"/>
      <c r="AD894" s="355"/>
      <c r="AE894" s="355"/>
      <c r="AF894" s="94">
        <f t="shared" si="118"/>
        <v>43280</v>
      </c>
      <c r="AG894" s="185">
        <f t="shared" si="123"/>
        <v>1.5330938625577328E-3</v>
      </c>
      <c r="AH894" s="339" t="str">
        <f>VLOOKUP(B894,'MF PF'!A:B,2)</f>
        <v>FdMgt1</v>
      </c>
      <c r="AI894" s="358">
        <f t="shared" si="119"/>
        <v>0</v>
      </c>
      <c r="AJ894" s="94">
        <f t="shared" si="120"/>
        <v>43281</v>
      </c>
    </row>
    <row r="895" spans="1:36" ht="12.75" customHeight="1">
      <c r="A895" s="94">
        <v>43312</v>
      </c>
      <c r="B895" s="358" t="s">
        <v>136</v>
      </c>
      <c r="C895" s="94" t="s">
        <v>306</v>
      </c>
      <c r="D895" s="374">
        <v>3850278.5894999998</v>
      </c>
      <c r="E895" s="9" t="str">
        <f>IF(K895="","",D895/K895)</f>
        <v/>
      </c>
      <c r="F895" s="47">
        <v>2.63</v>
      </c>
      <c r="G895" s="47">
        <v>0</v>
      </c>
      <c r="H895" s="47">
        <v>0</v>
      </c>
      <c r="I895" s="98">
        <v>0</v>
      </c>
      <c r="J895" s="98"/>
      <c r="K895" s="93"/>
      <c r="L895" s="93">
        <f t="shared" si="116"/>
        <v>0</v>
      </c>
      <c r="M895" s="95" t="e">
        <f t="shared" ca="1" si="117"/>
        <v>#DIV/0!</v>
      </c>
      <c r="N895" s="95">
        <f>IF(P895="Hedge Fund",IF(A895=Summary!$AD$3,M895-E895,M895),IF(A895=Summary!$AD$3,L895-D895,L895))</f>
        <v>0</v>
      </c>
      <c r="O895" s="95">
        <f t="shared" si="122"/>
        <v>0</v>
      </c>
      <c r="P895" s="89" t="s">
        <v>155</v>
      </c>
      <c r="Q895" s="107">
        <v>0</v>
      </c>
      <c r="R895" s="109">
        <f>215343.2805/10^6</f>
        <v>0.21534328049999998</v>
      </c>
      <c r="S895" s="89">
        <v>0</v>
      </c>
      <c r="T895" s="89">
        <v>0</v>
      </c>
      <c r="U895" s="89"/>
      <c r="V895" s="89"/>
      <c r="W895" s="89"/>
      <c r="X895" s="89"/>
      <c r="Y895" s="89"/>
      <c r="Z895" s="89"/>
      <c r="AA895" s="89"/>
      <c r="AB895" s="89"/>
      <c r="AC895" s="355"/>
      <c r="AD895" s="355"/>
      <c r="AE895" s="355"/>
      <c r="AF895" s="94">
        <f t="shared" si="118"/>
        <v>43312</v>
      </c>
      <c r="AG895" s="185">
        <f t="shared" si="123"/>
        <v>4.0073434198546476E-3</v>
      </c>
      <c r="AH895" s="339" t="str">
        <f>VLOOKUP(B895,'MF PF'!A:B,2)</f>
        <v>FdMgt1</v>
      </c>
      <c r="AI895" s="358">
        <f t="shared" si="119"/>
        <v>0</v>
      </c>
      <c r="AJ895" s="94">
        <f t="shared" si="120"/>
        <v>43312</v>
      </c>
    </row>
    <row r="896" spans="1:36" ht="12.75" customHeight="1">
      <c r="A896" s="94">
        <v>43343</v>
      </c>
      <c r="B896" s="358" t="s">
        <v>136</v>
      </c>
      <c r="C896" s="94" t="s">
        <v>306</v>
      </c>
      <c r="D896" s="374">
        <v>3859226.7179999999</v>
      </c>
      <c r="E896" s="9" t="str">
        <f>IF(K896="","",D896/K896)</f>
        <v/>
      </c>
      <c r="F896" s="47">
        <v>2.63</v>
      </c>
      <c r="G896" s="47">
        <v>0</v>
      </c>
      <c r="H896" s="47">
        <v>0</v>
      </c>
      <c r="I896" s="98">
        <v>0</v>
      </c>
      <c r="J896" s="98"/>
      <c r="K896" s="93"/>
      <c r="L896" s="93">
        <f t="shared" si="116"/>
        <v>0</v>
      </c>
      <c r="M896" s="95" t="e">
        <f t="shared" ca="1" si="117"/>
        <v>#DIV/0!</v>
      </c>
      <c r="N896" s="95">
        <f>IF(P896="Hedge Fund",IF(A896=Summary!$AD$3,M896-E896,M896),IF(A896=Summary!$AD$3,L896-D896,L896))</f>
        <v>0</v>
      </c>
      <c r="O896" s="95">
        <f t="shared" si="122"/>
        <v>0</v>
      </c>
      <c r="P896" s="89" t="s">
        <v>155</v>
      </c>
      <c r="Q896" s="107">
        <v>0</v>
      </c>
      <c r="R896" s="109">
        <v>0.21692236200000001</v>
      </c>
      <c r="S896" s="89">
        <v>0</v>
      </c>
      <c r="T896" s="89">
        <v>0</v>
      </c>
      <c r="U896" s="89"/>
      <c r="V896" s="89"/>
      <c r="W896" s="89"/>
      <c r="X896" s="89"/>
      <c r="Y896" s="89"/>
      <c r="Z896" s="89"/>
      <c r="AA896" s="89"/>
      <c r="AB896" s="89"/>
      <c r="AC896" s="355"/>
      <c r="AD896" s="355"/>
      <c r="AE896" s="355"/>
      <c r="AF896" s="94">
        <f t="shared" si="118"/>
        <v>43343</v>
      </c>
      <c r="AG896" s="185">
        <f t="shared" si="123"/>
        <v>2.3240210525030669E-3</v>
      </c>
      <c r="AH896" s="339" t="str">
        <f>VLOOKUP(B896,'MF PF'!A:B,2)</f>
        <v>FdMgt1</v>
      </c>
      <c r="AI896" s="358">
        <f t="shared" si="119"/>
        <v>0</v>
      </c>
      <c r="AJ896" s="94">
        <f t="shared" si="120"/>
        <v>43343</v>
      </c>
    </row>
    <row r="897" spans="1:36" ht="12.75" customHeight="1">
      <c r="A897" s="94">
        <v>43371</v>
      </c>
      <c r="B897" s="358" t="s">
        <v>136</v>
      </c>
      <c r="C897" s="358" t="s">
        <v>306</v>
      </c>
      <c r="D897" s="374">
        <v>3804708.5765</v>
      </c>
      <c r="F897" s="105">
        <v>2.63</v>
      </c>
      <c r="G897" s="93">
        <v>0</v>
      </c>
      <c r="H897" s="93">
        <v>0</v>
      </c>
      <c r="I897" s="93">
        <v>0</v>
      </c>
      <c r="K897" s="93">
        <v>0</v>
      </c>
      <c r="L897" s="93">
        <f t="shared" si="116"/>
        <v>0</v>
      </c>
      <c r="M897" s="95" t="e">
        <f t="shared" ca="1" si="117"/>
        <v>#DIV/0!</v>
      </c>
      <c r="N897" s="95">
        <f>IF(P897="Hedge Fund",IF(A897=Summary!$AD$3,M897-E897,M897),IF(A897=Summary!$AD$3,L897-D897,L897))</f>
        <v>0</v>
      </c>
      <c r="O897" s="95">
        <f t="shared" si="122"/>
        <v>0</v>
      </c>
      <c r="P897" s="95" t="s">
        <v>155</v>
      </c>
      <c r="Q897" s="353">
        <v>1.5060139345472665E-2</v>
      </c>
      <c r="R897" s="95">
        <v>0.20730151349999998</v>
      </c>
      <c r="S897" s="95"/>
      <c r="T897" s="95"/>
      <c r="U897" s="95"/>
      <c r="V897" s="95"/>
      <c r="W897" s="95"/>
      <c r="X897" s="95"/>
      <c r="Y897" s="95"/>
      <c r="Z897" s="95"/>
      <c r="AA897" s="95"/>
      <c r="AB897" s="95"/>
      <c r="AC897" s="355"/>
      <c r="AD897" s="355"/>
      <c r="AE897" s="355"/>
      <c r="AF897" s="94">
        <f t="shared" si="118"/>
        <v>43371</v>
      </c>
      <c r="AG897" s="185">
        <f t="shared" si="123"/>
        <v>-1.4126700886921029E-2</v>
      </c>
      <c r="AH897" s="339" t="str">
        <f>VLOOKUP(B897,'MF PF'!A:B,2)</f>
        <v>FdMgt1</v>
      </c>
      <c r="AI897" s="358">
        <f t="shared" si="119"/>
        <v>0</v>
      </c>
      <c r="AJ897" s="94">
        <f t="shared" si="120"/>
        <v>43373</v>
      </c>
    </row>
    <row r="898" spans="1:36" ht="12.75" customHeight="1">
      <c r="A898" s="8">
        <v>43404</v>
      </c>
      <c r="B898" s="358" t="s">
        <v>136</v>
      </c>
      <c r="C898" s="358" t="s">
        <v>306</v>
      </c>
      <c r="D898" s="374">
        <v>3811240.699</v>
      </c>
      <c r="F898" s="105">
        <v>2.63</v>
      </c>
      <c r="G898" s="93">
        <v>0</v>
      </c>
      <c r="H898" s="93">
        <v>0</v>
      </c>
      <c r="I898" s="93">
        <v>0</v>
      </c>
      <c r="J898" s="93">
        <v>0</v>
      </c>
      <c r="K898" s="93"/>
      <c r="L898" s="93">
        <f t="shared" si="116"/>
        <v>0</v>
      </c>
      <c r="M898" s="95" t="e">
        <f t="shared" ca="1" si="117"/>
        <v>#DIV/0!</v>
      </c>
      <c r="N898" s="95">
        <f>IF(P898="Hedge Fund",IF(A898=Summary!$AD$3,M898-E898,M898),IF(A898=Summary!$AD$3,L898-D898,L898))</f>
        <v>0</v>
      </c>
      <c r="O898" s="95">
        <f t="shared" si="122"/>
        <v>0</v>
      </c>
      <c r="P898" s="95" t="s">
        <v>155</v>
      </c>
      <c r="Q898" s="95">
        <v>5.4587700977269168E-3</v>
      </c>
      <c r="R898" s="95">
        <v>0.20845424099999998</v>
      </c>
      <c r="S898" s="95"/>
      <c r="T898" s="95"/>
      <c r="U898" s="95"/>
      <c r="V898" s="95"/>
      <c r="W898" s="95"/>
      <c r="X898" s="95"/>
      <c r="Y898" s="95"/>
      <c r="Z898" s="95"/>
      <c r="AA898" s="95"/>
      <c r="AB898" s="95"/>
      <c r="AC898" s="355"/>
      <c r="AD898" s="355"/>
      <c r="AE898" s="355"/>
      <c r="AF898" s="94">
        <f t="shared" si="118"/>
        <v>43404</v>
      </c>
      <c r="AG898" s="185">
        <f t="shared" si="123"/>
        <v>1.7168522552151178E-3</v>
      </c>
      <c r="AH898" s="339" t="str">
        <f>VLOOKUP(B898,'MF PF'!A:B,2)</f>
        <v>FdMgt1</v>
      </c>
      <c r="AI898" s="358">
        <f t="shared" si="119"/>
        <v>0</v>
      </c>
      <c r="AJ898" s="94">
        <f t="shared" si="120"/>
        <v>43404</v>
      </c>
    </row>
    <row r="899" spans="1:36" ht="12.75" customHeight="1">
      <c r="A899" s="8">
        <v>43434</v>
      </c>
      <c r="B899" s="358" t="s">
        <v>136</v>
      </c>
      <c r="C899" s="358" t="s">
        <v>306</v>
      </c>
      <c r="D899" s="374">
        <v>3858824.838</v>
      </c>
      <c r="F899" s="105">
        <v>2.63</v>
      </c>
      <c r="G899" s="93">
        <v>0</v>
      </c>
      <c r="H899" s="93">
        <v>0</v>
      </c>
      <c r="I899" s="93">
        <v>0</v>
      </c>
      <c r="K899" s="7">
        <v>0</v>
      </c>
      <c r="L899" s="93">
        <f t="shared" ref="L899:L962" si="125">G899+H899+I899</f>
        <v>0</v>
      </c>
      <c r="M899" s="95" t="e">
        <f t="shared" ref="M899:M962" ca="1" si="126">IF(A899&gt;INDIRECT("A"&amp;ROW()-1),I899/K899,E899)</f>
        <v>#DIV/0!</v>
      </c>
      <c r="N899" s="95">
        <f>IF(P899="Hedge Fund",IF(A899=Summary!$AD$3,M899-E899,M899),IF(A899=Summary!$AD$3,L899-D899,L899))</f>
        <v>0</v>
      </c>
      <c r="O899" s="95">
        <f t="shared" si="122"/>
        <v>0</v>
      </c>
      <c r="P899" s="95" t="s">
        <v>155</v>
      </c>
      <c r="Q899" s="95">
        <v>1.0579484106781903E-2</v>
      </c>
      <c r="R899" s="95">
        <v>0.21685144199999995</v>
      </c>
      <c r="S899" s="95"/>
      <c r="T899" s="95"/>
      <c r="U899" s="95"/>
      <c r="V899" s="95"/>
      <c r="W899" s="95"/>
      <c r="X899" s="95"/>
      <c r="Y899" s="95"/>
      <c r="Z899" s="95"/>
      <c r="AA899" s="95"/>
      <c r="AB899" s="95"/>
      <c r="AC899" s="355"/>
      <c r="AD899" s="355"/>
      <c r="AE899" s="355"/>
      <c r="AF899" s="94">
        <f t="shared" ref="AF899:AF962" si="127">A899</f>
        <v>43434</v>
      </c>
      <c r="AG899" s="185">
        <f t="shared" si="123"/>
        <v>1.2485209609691017E-2</v>
      </c>
      <c r="AH899" s="339" t="str">
        <f>VLOOKUP(B899,'MF PF'!A:B,2)</f>
        <v>FdMgt1</v>
      </c>
      <c r="AI899" s="358">
        <f t="shared" ref="AI899:AI962" si="128">AF899-A899</f>
        <v>0</v>
      </c>
      <c r="AJ899" s="94">
        <f t="shared" ref="AJ899:AJ962" si="129">EOMONTH(A899,0)</f>
        <v>43434</v>
      </c>
    </row>
    <row r="900" spans="1:36" ht="12.75" customHeight="1">
      <c r="A900" s="94">
        <v>43452</v>
      </c>
      <c r="B900" s="358" t="s">
        <v>136</v>
      </c>
      <c r="C900" s="358" t="s">
        <v>306</v>
      </c>
      <c r="D900" s="93"/>
      <c r="F900" s="93"/>
      <c r="G900" s="93"/>
      <c r="H900" s="93"/>
      <c r="I900" s="93">
        <v>0</v>
      </c>
      <c r="L900" s="93">
        <f t="shared" si="125"/>
        <v>0</v>
      </c>
      <c r="M900" s="95" t="e">
        <f t="shared" ca="1" si="126"/>
        <v>#DIV/0!</v>
      </c>
      <c r="N900" s="95">
        <f>IF(P900="Hedge Fund",IF(A900=Summary!$AD$3,M900-E900,M900),IF(A900=Summary!$AD$3,L900-D900,L900))</f>
        <v>0</v>
      </c>
      <c r="O900" s="95">
        <f t="shared" si="122"/>
        <v>0</v>
      </c>
      <c r="P900" s="95" t="s">
        <v>155</v>
      </c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  <c r="AC900" s="355"/>
      <c r="AD900" s="355"/>
      <c r="AE900" s="355"/>
      <c r="AF900" s="94">
        <f t="shared" si="127"/>
        <v>43452</v>
      </c>
      <c r="AG900" s="185">
        <f t="shared" si="123"/>
        <v>-1</v>
      </c>
      <c r="AH900" s="339" t="str">
        <f>VLOOKUP(B900,'MF PF'!A:B,2)</f>
        <v>FdMgt1</v>
      </c>
      <c r="AI900" s="358">
        <f t="shared" si="128"/>
        <v>0</v>
      </c>
      <c r="AJ900" s="94">
        <f t="shared" si="129"/>
        <v>43465</v>
      </c>
    </row>
    <row r="901" spans="1:36" ht="12.75" customHeight="1">
      <c r="A901" s="94">
        <v>43465</v>
      </c>
      <c r="B901" s="358" t="s">
        <v>136</v>
      </c>
      <c r="C901" s="358" t="s">
        <v>306</v>
      </c>
      <c r="D901" s="93">
        <v>3911979.7154999999</v>
      </c>
      <c r="F901" s="93">
        <v>2.63</v>
      </c>
      <c r="G901" s="93">
        <v>0</v>
      </c>
      <c r="H901" s="93">
        <v>0</v>
      </c>
      <c r="I901" s="93">
        <v>0</v>
      </c>
      <c r="K901" s="93">
        <v>0</v>
      </c>
      <c r="L901" s="93">
        <f t="shared" si="125"/>
        <v>0</v>
      </c>
      <c r="M901" s="95" t="e">
        <f t="shared" ca="1" si="126"/>
        <v>#DIV/0!</v>
      </c>
      <c r="N901" s="95">
        <f>IF(P901="Hedge Fund",IF(A901=Summary!$AD$3,M901-E901,M901),IF(A901=Summary!$AD$3,L901-D901,L901))</f>
        <v>0</v>
      </c>
      <c r="O901" s="95">
        <f t="shared" si="122"/>
        <v>0</v>
      </c>
      <c r="P901" s="95" t="s">
        <v>155</v>
      </c>
      <c r="Q901" s="95">
        <v>1.6047960939037518E-2</v>
      </c>
      <c r="R901" s="95">
        <v>0.22623171450000004</v>
      </c>
      <c r="S901" s="95"/>
      <c r="T901" s="95"/>
      <c r="U901" s="95"/>
      <c r="V901" s="95"/>
      <c r="W901" s="95"/>
      <c r="X901" s="95"/>
      <c r="Y901" s="95"/>
      <c r="Z901" s="95"/>
      <c r="AA901" s="95"/>
      <c r="AB901" s="95"/>
      <c r="AC901" s="355"/>
      <c r="AD901" s="355"/>
      <c r="AE901" s="355"/>
      <c r="AF901" s="94">
        <f t="shared" si="127"/>
        <v>43465</v>
      </c>
      <c r="AG901" s="185" t="e">
        <f t="shared" si="123"/>
        <v>#DIV/0!</v>
      </c>
      <c r="AH901" s="339" t="str">
        <f>VLOOKUP(B901,'MF PF'!A:B,2)</f>
        <v>FdMgt1</v>
      </c>
      <c r="AI901" s="358">
        <f t="shared" si="128"/>
        <v>0</v>
      </c>
      <c r="AJ901" s="94">
        <f t="shared" si="129"/>
        <v>43465</v>
      </c>
    </row>
    <row r="902" spans="1:36" ht="12.75" customHeight="1">
      <c r="A902" s="94">
        <v>43487</v>
      </c>
      <c r="B902" s="358" t="s">
        <v>136</v>
      </c>
      <c r="C902" s="358" t="s">
        <v>306</v>
      </c>
      <c r="D902" s="93"/>
      <c r="F902" s="93"/>
      <c r="G902" s="93"/>
      <c r="H902" s="93"/>
      <c r="I902" s="93">
        <v>-40902.708593790703</v>
      </c>
      <c r="L902" s="93">
        <f t="shared" si="125"/>
        <v>-40902.708593790703</v>
      </c>
      <c r="M902" s="95" t="e">
        <f t="shared" ca="1" si="126"/>
        <v>#DIV/0!</v>
      </c>
      <c r="N902" s="95">
        <f>IF(P902="Hedge Fund",IF(A902=Summary!$AD$3,M902-E902,M902),IF(A902=Summary!$AD$3,L902-D902,L902))</f>
        <v>-40902.708593790703</v>
      </c>
      <c r="O902" s="95">
        <f t="shared" si="122"/>
        <v>-40902.708593790703</v>
      </c>
      <c r="P902" s="95" t="s">
        <v>155</v>
      </c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  <c r="AC902" s="355"/>
      <c r="AD902" s="355"/>
      <c r="AE902" s="355"/>
      <c r="AF902" s="94">
        <f t="shared" si="127"/>
        <v>43487</v>
      </c>
      <c r="AG902" s="185">
        <f t="shared" si="123"/>
        <v>-0.98954424317904144</v>
      </c>
      <c r="AH902" s="339" t="str">
        <f>VLOOKUP(B902,'MF PF'!A:B,2)</f>
        <v>FdMgt1</v>
      </c>
      <c r="AI902" s="358">
        <f t="shared" si="128"/>
        <v>0</v>
      </c>
      <c r="AJ902" s="94">
        <f t="shared" si="129"/>
        <v>43496</v>
      </c>
    </row>
    <row r="903" spans="1:36" ht="12.75" customHeight="1">
      <c r="A903" s="94">
        <v>43496</v>
      </c>
      <c r="B903" s="358" t="s">
        <v>136</v>
      </c>
      <c r="C903" s="358" t="s">
        <v>306</v>
      </c>
      <c r="D903" s="93">
        <v>3918248.7374999998</v>
      </c>
      <c r="F903" s="93">
        <v>2.63</v>
      </c>
      <c r="G903" s="93">
        <v>0</v>
      </c>
      <c r="H903" s="93">
        <v>0</v>
      </c>
      <c r="I903" s="93">
        <v>0</v>
      </c>
      <c r="K903" s="7">
        <v>0</v>
      </c>
      <c r="L903" s="93">
        <f t="shared" si="125"/>
        <v>0</v>
      </c>
      <c r="M903" s="95" t="e">
        <f t="shared" ca="1" si="126"/>
        <v>#DIV/0!</v>
      </c>
      <c r="N903" s="95">
        <f>IF(P903="Hedge Fund",IF(A903=Summary!$AD$3,M903-E903,M903),IF(A903=Summary!$AD$3,L903-D903,L903))</f>
        <v>-3918248.7374999998</v>
      </c>
      <c r="O903" s="95">
        <f t="shared" si="122"/>
        <v>-3918248.7374999998</v>
      </c>
      <c r="P903" s="95" t="s">
        <v>155</v>
      </c>
      <c r="Q903" s="95">
        <v>5.28810083356671E-3</v>
      </c>
      <c r="R903" s="95">
        <v>0.22733801249999999</v>
      </c>
      <c r="S903" s="95"/>
      <c r="T903" s="95"/>
      <c r="U903" s="95"/>
      <c r="V903" s="95"/>
      <c r="W903" s="95"/>
      <c r="X903" s="95"/>
      <c r="Y903" s="95"/>
      <c r="Z903" s="95"/>
      <c r="AA903" s="95"/>
      <c r="AB903" s="95"/>
      <c r="AC903" s="355"/>
      <c r="AD903" s="355"/>
      <c r="AE903" s="355"/>
      <c r="AF903" s="94">
        <f t="shared" si="127"/>
        <v>43496</v>
      </c>
      <c r="AG903" s="185" t="e">
        <f t="shared" si="123"/>
        <v>#DIV/0!</v>
      </c>
      <c r="AH903" s="339" t="str">
        <f>VLOOKUP(B903,'MF PF'!A:B,2)</f>
        <v>FdMgt1</v>
      </c>
      <c r="AI903" s="358">
        <f t="shared" si="128"/>
        <v>0</v>
      </c>
      <c r="AJ903" s="94">
        <f t="shared" si="129"/>
        <v>43496</v>
      </c>
    </row>
    <row r="904" spans="1:36" ht="12.75" customHeight="1">
      <c r="A904" s="8">
        <v>41856</v>
      </c>
      <c r="B904" s="94" t="s">
        <v>136</v>
      </c>
      <c r="C904" s="358" t="s">
        <v>307</v>
      </c>
      <c r="D904" s="374">
        <v>319200</v>
      </c>
      <c r="E904" s="9" t="e">
        <f t="shared" ref="E904:E935" si="130">D904/K904</f>
        <v>#DIV/0!</v>
      </c>
      <c r="F904" s="47">
        <v>2.8</v>
      </c>
      <c r="G904" s="47">
        <v>319200</v>
      </c>
      <c r="H904" s="47">
        <v>0</v>
      </c>
      <c r="I904" s="98">
        <v>0</v>
      </c>
      <c r="J904" s="98"/>
      <c r="L904" s="93">
        <f t="shared" si="125"/>
        <v>319200</v>
      </c>
      <c r="M904" s="95" t="e">
        <f t="shared" ca="1" si="126"/>
        <v>#DIV/0!</v>
      </c>
      <c r="N904" s="95">
        <f>IF(P904="Hedge Fund",IF(A904=Summary!$AD$3,M904-E904,M904),IF(A904=Summary!$AD$3,L904-D904,L904))</f>
        <v>319200</v>
      </c>
      <c r="O904" s="95">
        <f t="shared" si="122"/>
        <v>319200</v>
      </c>
      <c r="P904" s="89" t="s">
        <v>155</v>
      </c>
      <c r="Q904" s="107">
        <v>0</v>
      </c>
      <c r="R904" s="107">
        <v>0</v>
      </c>
      <c r="S904" s="89">
        <v>0</v>
      </c>
      <c r="T904" s="89">
        <v>0</v>
      </c>
      <c r="U904" s="89"/>
      <c r="V904" s="89"/>
      <c r="W904" s="89"/>
      <c r="X904" s="89"/>
      <c r="Y904" s="89"/>
      <c r="Z904" s="89"/>
      <c r="AA904" s="89"/>
      <c r="AB904" s="89"/>
      <c r="AC904" s="355"/>
      <c r="AD904" s="355"/>
      <c r="AE904" s="355"/>
      <c r="AF904" s="94">
        <f t="shared" si="127"/>
        <v>41856</v>
      </c>
      <c r="AG904" s="185">
        <f t="shared" si="123"/>
        <v>0</v>
      </c>
      <c r="AH904" s="339" t="str">
        <f>VLOOKUP(B904,'MF PF'!A:B,2)</f>
        <v>FdMgt1</v>
      </c>
      <c r="AI904" s="358">
        <f t="shared" si="128"/>
        <v>0</v>
      </c>
      <c r="AJ904" s="94">
        <f t="shared" si="129"/>
        <v>41882</v>
      </c>
    </row>
    <row r="905" spans="1:36" ht="12.75" customHeight="1">
      <c r="A905" s="94">
        <v>41870</v>
      </c>
      <c r="B905" s="94" t="s">
        <v>136</v>
      </c>
      <c r="C905" s="358" t="s">
        <v>307</v>
      </c>
      <c r="D905" s="374">
        <v>708399.99999999988</v>
      </c>
      <c r="E905" s="9" t="e">
        <f t="shared" si="130"/>
        <v>#DIV/0!</v>
      </c>
      <c r="F905" s="47">
        <v>2.8</v>
      </c>
      <c r="G905" s="47">
        <v>389200</v>
      </c>
      <c r="H905" s="47">
        <v>0</v>
      </c>
      <c r="I905" s="98">
        <v>0</v>
      </c>
      <c r="J905" s="98"/>
      <c r="L905" s="93">
        <f t="shared" si="125"/>
        <v>389200</v>
      </c>
      <c r="M905" s="95" t="e">
        <f t="shared" ca="1" si="126"/>
        <v>#DIV/0!</v>
      </c>
      <c r="N905" s="95">
        <f>IF(P905="Hedge Fund",IF(A905=Summary!$AD$3,M905-E905,M905),IF(A905=Summary!$AD$3,L905-D905,L905))</f>
        <v>389200</v>
      </c>
      <c r="O905" s="95">
        <f t="shared" si="122"/>
        <v>389200</v>
      </c>
      <c r="P905" s="89" t="s">
        <v>155</v>
      </c>
      <c r="Q905" s="107">
        <v>0</v>
      </c>
      <c r="R905" s="107">
        <v>0</v>
      </c>
      <c r="S905" s="89">
        <v>0</v>
      </c>
      <c r="T905" s="89">
        <v>0</v>
      </c>
      <c r="U905" s="89"/>
      <c r="V905" s="89"/>
      <c r="W905" s="89"/>
      <c r="X905" s="89"/>
      <c r="Y905" s="89"/>
      <c r="Z905" s="89"/>
      <c r="AA905" s="89"/>
      <c r="AB905" s="89"/>
      <c r="AC905" s="355"/>
      <c r="AD905" s="355"/>
      <c r="AE905" s="355"/>
      <c r="AF905" s="94">
        <f t="shared" si="127"/>
        <v>41870</v>
      </c>
      <c r="AG905" s="185">
        <f t="shared" si="123"/>
        <v>-3.3306690738754696E-16</v>
      </c>
      <c r="AH905" s="339" t="str">
        <f>VLOOKUP(B905,'MF PF'!A:B,2)</f>
        <v>FdMgt1</v>
      </c>
      <c r="AI905" s="358">
        <f t="shared" si="128"/>
        <v>0</v>
      </c>
      <c r="AJ905" s="94">
        <f t="shared" si="129"/>
        <v>41882</v>
      </c>
    </row>
    <row r="906" spans="1:36" ht="12.75" customHeight="1">
      <c r="A906" s="94">
        <v>41880</v>
      </c>
      <c r="B906" s="94" t="s">
        <v>136</v>
      </c>
      <c r="C906" s="358" t="s">
        <v>307</v>
      </c>
      <c r="D906" s="374">
        <v>710243.71799999999</v>
      </c>
      <c r="E906" s="9" t="e">
        <f t="shared" si="130"/>
        <v>#DIV/0!</v>
      </c>
      <c r="F906" s="47">
        <v>2.8</v>
      </c>
      <c r="G906" s="47">
        <v>0</v>
      </c>
      <c r="H906" s="47">
        <v>0</v>
      </c>
      <c r="I906" s="47">
        <v>0</v>
      </c>
      <c r="J906" s="98"/>
      <c r="K906" s="93"/>
      <c r="L906" s="93">
        <f t="shared" si="125"/>
        <v>0</v>
      </c>
      <c r="M906" s="95" t="e">
        <f t="shared" ca="1" si="126"/>
        <v>#DIV/0!</v>
      </c>
      <c r="N906" s="95">
        <f>IF(P906="Hedge Fund",IF(A906=Summary!$AD$3,M906-E906,M906),IF(A906=Summary!$AD$3,L906-D906,L906))</f>
        <v>0</v>
      </c>
      <c r="O906" s="95">
        <f t="shared" si="122"/>
        <v>0</v>
      </c>
      <c r="P906" s="89" t="s">
        <v>155</v>
      </c>
      <c r="Q906" s="89">
        <v>0</v>
      </c>
      <c r="R906" s="107">
        <v>0</v>
      </c>
      <c r="S906" s="89">
        <v>0</v>
      </c>
      <c r="T906" s="89">
        <v>0</v>
      </c>
      <c r="U906" s="89"/>
      <c r="V906" s="89"/>
      <c r="W906" s="89"/>
      <c r="X906" s="89"/>
      <c r="Y906" s="89"/>
      <c r="Z906" s="89"/>
      <c r="AA906" s="89"/>
      <c r="AB906" s="89"/>
      <c r="AC906" s="355"/>
      <c r="AD906" s="355"/>
      <c r="AE906" s="355"/>
      <c r="AF906" s="94">
        <f t="shared" si="127"/>
        <v>41880</v>
      </c>
      <c r="AG906" s="185">
        <f t="shared" si="123"/>
        <v>2.6026510446077733E-3</v>
      </c>
      <c r="AH906" s="339" t="str">
        <f>VLOOKUP(B906,'MF PF'!A:B,2)</f>
        <v>FdMgt1</v>
      </c>
      <c r="AI906" s="358">
        <f t="shared" si="128"/>
        <v>0</v>
      </c>
      <c r="AJ906" s="94">
        <f t="shared" si="129"/>
        <v>41882</v>
      </c>
    </row>
    <row r="907" spans="1:36" ht="12.75" customHeight="1">
      <c r="A907" s="8">
        <v>41912</v>
      </c>
      <c r="B907" s="94" t="s">
        <v>136</v>
      </c>
      <c r="C907" s="358" t="s">
        <v>307</v>
      </c>
      <c r="D907" s="374">
        <v>689478.5</v>
      </c>
      <c r="E907" s="9" t="e">
        <f t="shared" si="130"/>
        <v>#DIV/0!</v>
      </c>
      <c r="F907" s="47">
        <v>2.8</v>
      </c>
      <c r="G907" s="47">
        <v>0</v>
      </c>
      <c r="H907" s="47">
        <v>-1.1641532182693481E-10</v>
      </c>
      <c r="I907" s="47">
        <v>0</v>
      </c>
      <c r="J907" s="98"/>
      <c r="K907" s="93"/>
      <c r="L907" s="93">
        <f t="shared" si="125"/>
        <v>-1.1641532182693481E-10</v>
      </c>
      <c r="M907" s="95" t="e">
        <f t="shared" ca="1" si="126"/>
        <v>#DIV/0!</v>
      </c>
      <c r="N907" s="95">
        <f>IF(P907="Hedge Fund",IF(A907=Summary!$AD$3,M907-E907,M907),IF(A907=Summary!$AD$3,L907-D907,L907))</f>
        <v>-1.1641532182693481E-10</v>
      </c>
      <c r="O907" s="95">
        <f t="shared" si="122"/>
        <v>-1.1641532182693481E-10</v>
      </c>
      <c r="P907" s="89" t="s">
        <v>155</v>
      </c>
      <c r="Q907" s="107">
        <v>0</v>
      </c>
      <c r="R907" s="107">
        <v>0</v>
      </c>
      <c r="S907" s="89">
        <v>0</v>
      </c>
      <c r="T907" s="89">
        <v>0</v>
      </c>
      <c r="U907" s="89"/>
      <c r="V907" s="89"/>
      <c r="W907" s="89"/>
      <c r="X907" s="89"/>
      <c r="Y907" s="89"/>
      <c r="Z907" s="89"/>
      <c r="AA907" s="89"/>
      <c r="AB907" s="89"/>
      <c r="AC907" s="355"/>
      <c r="AD907" s="355"/>
      <c r="AE907" s="355"/>
      <c r="AF907" s="94">
        <f t="shared" si="127"/>
        <v>41912</v>
      </c>
      <c r="AG907" s="185">
        <f t="shared" si="123"/>
        <v>-2.9236749968691522E-2</v>
      </c>
      <c r="AH907" s="339" t="str">
        <f>VLOOKUP(B907,'MF PF'!A:B,2)</f>
        <v>FdMgt1</v>
      </c>
      <c r="AI907" s="358">
        <f t="shared" si="128"/>
        <v>0</v>
      </c>
      <c r="AJ907" s="94">
        <f t="shared" si="129"/>
        <v>41912</v>
      </c>
    </row>
    <row r="908" spans="1:36" ht="12.75" customHeight="1">
      <c r="A908" s="8">
        <v>41943</v>
      </c>
      <c r="B908" s="8" t="s">
        <v>136</v>
      </c>
      <c r="C908" s="92" t="s">
        <v>307</v>
      </c>
      <c r="D908" s="374">
        <v>1170752.6000000001</v>
      </c>
      <c r="E908" s="9" t="e">
        <f t="shared" si="130"/>
        <v>#DIV/0!</v>
      </c>
      <c r="F908" s="47">
        <v>2.8</v>
      </c>
      <c r="G908" s="47">
        <v>473200</v>
      </c>
      <c r="H908" s="47">
        <v>0</v>
      </c>
      <c r="I908" s="47">
        <v>0</v>
      </c>
      <c r="J908" s="98"/>
      <c r="K908" s="93"/>
      <c r="L908" s="93">
        <f t="shared" si="125"/>
        <v>473200</v>
      </c>
      <c r="M908" s="95" t="e">
        <f t="shared" ca="1" si="126"/>
        <v>#DIV/0!</v>
      </c>
      <c r="N908" s="95">
        <f>IF(P908="Hedge Fund",IF(A908=Summary!$AD$3,M908-E908,M908),IF(A908=Summary!$AD$3,L908-D908,L908))</f>
        <v>473200</v>
      </c>
      <c r="O908" s="95">
        <f t="shared" si="122"/>
        <v>473200</v>
      </c>
      <c r="P908" s="89" t="s">
        <v>155</v>
      </c>
      <c r="Q908" s="107">
        <v>0</v>
      </c>
      <c r="R908" s="107">
        <v>0</v>
      </c>
      <c r="S908" s="89">
        <v>0</v>
      </c>
      <c r="T908" s="89">
        <v>0</v>
      </c>
      <c r="U908" s="89"/>
      <c r="V908" s="89"/>
      <c r="W908" s="89"/>
      <c r="X908" s="89"/>
      <c r="Y908" s="89"/>
      <c r="Z908" s="89"/>
      <c r="AA908" s="89"/>
      <c r="AB908" s="89"/>
      <c r="AC908" s="355"/>
      <c r="AD908" s="355"/>
      <c r="AE908" s="355"/>
      <c r="AF908" s="94">
        <f t="shared" si="127"/>
        <v>41943</v>
      </c>
      <c r="AG908" s="185">
        <f t="shared" si="123"/>
        <v>1.1710444923228369E-2</v>
      </c>
      <c r="AH908" s="339" t="str">
        <f>VLOOKUP(B908,'MF PF'!A:B,2)</f>
        <v>FdMgt1</v>
      </c>
      <c r="AI908" s="358">
        <f t="shared" si="128"/>
        <v>0</v>
      </c>
      <c r="AJ908" s="94">
        <f t="shared" si="129"/>
        <v>41943</v>
      </c>
    </row>
    <row r="909" spans="1:36" ht="12.75" customHeight="1">
      <c r="A909" s="8">
        <v>41971</v>
      </c>
      <c r="B909" s="94" t="s">
        <v>136</v>
      </c>
      <c r="C909" s="92" t="s">
        <v>307</v>
      </c>
      <c r="D909" s="374">
        <v>1195039.52</v>
      </c>
      <c r="E909" s="9" t="e">
        <f t="shared" si="130"/>
        <v>#DIV/0!</v>
      </c>
      <c r="F909" s="47">
        <v>2.8</v>
      </c>
      <c r="G909" s="47">
        <v>0</v>
      </c>
      <c r="H909" s="47">
        <v>0</v>
      </c>
      <c r="I909" s="98">
        <v>0</v>
      </c>
      <c r="J909" s="98"/>
      <c r="K909" s="93"/>
      <c r="L909" s="93">
        <f t="shared" si="125"/>
        <v>0</v>
      </c>
      <c r="M909" s="95" t="e">
        <f t="shared" ca="1" si="126"/>
        <v>#DIV/0!</v>
      </c>
      <c r="N909" s="95">
        <f>IF(P909="Hedge Fund",IF(A909=Summary!$AD$3,M909-E909,M909),IF(A909=Summary!$AD$3,L909-D909,L909))</f>
        <v>0</v>
      </c>
      <c r="O909" s="95">
        <f t="shared" si="122"/>
        <v>0</v>
      </c>
      <c r="P909" s="89" t="s">
        <v>155</v>
      </c>
      <c r="Q909" s="107">
        <v>0</v>
      </c>
      <c r="R909" s="107">
        <v>0</v>
      </c>
      <c r="S909" s="89">
        <v>0</v>
      </c>
      <c r="T909" s="89">
        <v>0</v>
      </c>
      <c r="U909" s="89"/>
      <c r="V909" s="89"/>
      <c r="W909" s="89"/>
      <c r="X909" s="89"/>
      <c r="Y909" s="89"/>
      <c r="Z909" s="89"/>
      <c r="AA909" s="89"/>
      <c r="AB909" s="89"/>
      <c r="AC909" s="355"/>
      <c r="AD909" s="355"/>
      <c r="AE909" s="355"/>
      <c r="AF909" s="94">
        <f t="shared" si="127"/>
        <v>41971</v>
      </c>
      <c r="AG909" s="185">
        <f t="shared" si="123"/>
        <v>2.0744707293411047E-2</v>
      </c>
      <c r="AH909" s="339" t="str">
        <f>VLOOKUP(B909,'MF PF'!A:B,2)</f>
        <v>FdMgt1</v>
      </c>
      <c r="AI909" s="358">
        <f t="shared" si="128"/>
        <v>0</v>
      </c>
      <c r="AJ909" s="94">
        <f t="shared" si="129"/>
        <v>41973</v>
      </c>
    </row>
    <row r="910" spans="1:36" ht="12.75" customHeight="1">
      <c r="A910" s="94">
        <v>42004</v>
      </c>
      <c r="B910" s="94" t="s">
        <v>136</v>
      </c>
      <c r="C910" s="92" t="s">
        <v>307</v>
      </c>
      <c r="D910" s="374">
        <v>1196947.0305000001</v>
      </c>
      <c r="E910" s="9" t="e">
        <f t="shared" si="130"/>
        <v>#DIV/0!</v>
      </c>
      <c r="F910" s="47">
        <v>2.8</v>
      </c>
      <c r="G910" s="47">
        <v>0</v>
      </c>
      <c r="H910" s="47">
        <v>0</v>
      </c>
      <c r="I910" s="98">
        <v>0</v>
      </c>
      <c r="J910" s="98"/>
      <c r="K910" s="93"/>
      <c r="L910" s="93">
        <f t="shared" si="125"/>
        <v>0</v>
      </c>
      <c r="M910" s="95" t="e">
        <f t="shared" ca="1" si="126"/>
        <v>#DIV/0!</v>
      </c>
      <c r="N910" s="95">
        <f>IF(P910="Hedge Fund",IF(A910=Summary!$AD$3,M910-E910,M910),IF(A910=Summary!$AD$3,L910-D910,L910))</f>
        <v>0</v>
      </c>
      <c r="O910" s="95">
        <f t="shared" ref="O910:O973" si="131">N910</f>
        <v>0</v>
      </c>
      <c r="P910" s="89" t="s">
        <v>155</v>
      </c>
      <c r="Q910" s="107">
        <v>0</v>
      </c>
      <c r="R910" s="107">
        <v>0</v>
      </c>
      <c r="S910" s="89">
        <v>0</v>
      </c>
      <c r="T910" s="89">
        <v>0</v>
      </c>
      <c r="U910" s="89"/>
      <c r="V910" s="89"/>
      <c r="W910" s="89"/>
      <c r="X910" s="89"/>
      <c r="Y910" s="89"/>
      <c r="Z910" s="89"/>
      <c r="AA910" s="89"/>
      <c r="AB910" s="89"/>
      <c r="AC910" s="355"/>
      <c r="AD910" s="355"/>
      <c r="AE910" s="355"/>
      <c r="AF910" s="94">
        <f t="shared" si="127"/>
        <v>42004</v>
      </c>
      <c r="AG910" s="185">
        <f t="shared" si="123"/>
        <v>1.5961903084176221E-3</v>
      </c>
      <c r="AH910" s="339" t="str">
        <f>VLOOKUP(B910,'MF PF'!A:B,2)</f>
        <v>FdMgt1</v>
      </c>
      <c r="AI910" s="358">
        <f t="shared" si="128"/>
        <v>0</v>
      </c>
      <c r="AJ910" s="94">
        <f t="shared" si="129"/>
        <v>42004</v>
      </c>
    </row>
    <row r="911" spans="1:36" ht="12.75" customHeight="1">
      <c r="A911" s="8">
        <v>42034</v>
      </c>
      <c r="B911" s="94" t="s">
        <v>136</v>
      </c>
      <c r="C911" s="92" t="s">
        <v>307</v>
      </c>
      <c r="D911" s="374">
        <v>1557204.6444999999</v>
      </c>
      <c r="E911" s="9" t="e">
        <f t="shared" si="130"/>
        <v>#DIV/0!</v>
      </c>
      <c r="F911" s="47">
        <v>2.8</v>
      </c>
      <c r="G911" s="47">
        <v>324800</v>
      </c>
      <c r="H911" s="47">
        <v>0</v>
      </c>
      <c r="I911" s="98">
        <v>0</v>
      </c>
      <c r="J911" s="98"/>
      <c r="K911" s="93"/>
      <c r="L911" s="93">
        <f t="shared" si="125"/>
        <v>324800</v>
      </c>
      <c r="M911" s="95" t="e">
        <f t="shared" ca="1" si="126"/>
        <v>#DIV/0!</v>
      </c>
      <c r="N911" s="95">
        <f>IF(P911="Hedge Fund",IF(A911=Summary!$AD$3,M911-E911,M911),IF(A911=Summary!$AD$3,L911-D911,L911))</f>
        <v>324800</v>
      </c>
      <c r="O911" s="95">
        <f t="shared" si="131"/>
        <v>324800</v>
      </c>
      <c r="P911" s="89" t="s">
        <v>155</v>
      </c>
      <c r="Q911" s="107">
        <v>0</v>
      </c>
      <c r="R911" s="107">
        <v>0</v>
      </c>
      <c r="S911" s="89">
        <v>0</v>
      </c>
      <c r="T911" s="89">
        <v>0</v>
      </c>
      <c r="U911" s="89"/>
      <c r="V911" s="89"/>
      <c r="W911" s="89"/>
      <c r="X911" s="89"/>
      <c r="Y911" s="89"/>
      <c r="Z911" s="89"/>
      <c r="AA911" s="89"/>
      <c r="AB911" s="89"/>
      <c r="AC911" s="355"/>
      <c r="AD911" s="355"/>
      <c r="AE911" s="355"/>
      <c r="AF911" s="94">
        <f t="shared" si="127"/>
        <v>42034</v>
      </c>
      <c r="AG911" s="185">
        <f t="shared" ref="AG911:AG974" si="132">IF(C911&lt;&gt;C910,D911/G911-1,(D911-G911-I911-H911)/(D910)-1)</f>
        <v>2.9623377723898114E-2</v>
      </c>
      <c r="AH911" s="339" t="str">
        <f>VLOOKUP(B911,'MF PF'!A:B,2)</f>
        <v>FdMgt1</v>
      </c>
      <c r="AI911" s="358">
        <f t="shared" si="128"/>
        <v>0</v>
      </c>
      <c r="AJ911" s="94">
        <f t="shared" si="129"/>
        <v>42035</v>
      </c>
    </row>
    <row r="912" spans="1:36" ht="12.75" customHeight="1">
      <c r="A912" s="8">
        <v>42062</v>
      </c>
      <c r="B912" s="94" t="s">
        <v>136</v>
      </c>
      <c r="C912" s="92" t="s">
        <v>307</v>
      </c>
      <c r="D912" s="374">
        <v>1705171.0895</v>
      </c>
      <c r="E912" s="9" t="e">
        <f t="shared" si="130"/>
        <v>#DIV/0!</v>
      </c>
      <c r="F912" s="47">
        <v>2.8</v>
      </c>
      <c r="G912" s="47">
        <v>130200.00000000001</v>
      </c>
      <c r="H912" s="47">
        <v>0</v>
      </c>
      <c r="I912" s="98">
        <v>0</v>
      </c>
      <c r="J912" s="98"/>
      <c r="K912" s="93"/>
      <c r="L912" s="93">
        <f t="shared" si="125"/>
        <v>130200.00000000001</v>
      </c>
      <c r="M912" s="95" t="e">
        <f t="shared" ca="1" si="126"/>
        <v>#DIV/0!</v>
      </c>
      <c r="N912" s="95">
        <f>IF(P912="Hedge Fund",IF(A912=Summary!$AD$3,M912-E912,M912),IF(A912=Summary!$AD$3,L912-D912,L912))</f>
        <v>130200.00000000001</v>
      </c>
      <c r="O912" s="95">
        <f t="shared" si="131"/>
        <v>130200.00000000001</v>
      </c>
      <c r="P912" s="89" t="s">
        <v>155</v>
      </c>
      <c r="Q912" s="107">
        <v>0</v>
      </c>
      <c r="R912" s="107">
        <v>0</v>
      </c>
      <c r="S912" s="107">
        <v>0</v>
      </c>
      <c r="T912" s="107">
        <v>0</v>
      </c>
      <c r="U912" s="107"/>
      <c r="V912" s="107"/>
      <c r="W912" s="107"/>
      <c r="X912" s="107"/>
      <c r="Y912" s="89"/>
      <c r="Z912" s="89"/>
      <c r="AA912" s="89"/>
      <c r="AB912" s="89"/>
      <c r="AC912" s="355"/>
      <c r="AD912" s="355"/>
      <c r="AE912" s="355"/>
      <c r="AF912" s="94">
        <f t="shared" si="127"/>
        <v>42062</v>
      </c>
      <c r="AG912" s="185">
        <f t="shared" si="132"/>
        <v>1.1409190861811691E-2</v>
      </c>
      <c r="AH912" s="339" t="str">
        <f>VLOOKUP(B912,'MF PF'!A:B,2)</f>
        <v>FdMgt1</v>
      </c>
      <c r="AI912" s="358">
        <f t="shared" si="128"/>
        <v>0</v>
      </c>
      <c r="AJ912" s="94">
        <f t="shared" si="129"/>
        <v>42063</v>
      </c>
    </row>
    <row r="913" spans="1:36" ht="12.75" customHeight="1">
      <c r="A913" s="94">
        <v>42094</v>
      </c>
      <c r="B913" s="8" t="s">
        <v>136</v>
      </c>
      <c r="C913" s="358" t="s">
        <v>307</v>
      </c>
      <c r="D913" s="374">
        <v>1953412.9445</v>
      </c>
      <c r="E913" s="9" t="e">
        <f t="shared" si="130"/>
        <v>#DIV/0!</v>
      </c>
      <c r="F913" s="47">
        <v>2.8</v>
      </c>
      <c r="G913" s="47">
        <v>212800</v>
      </c>
      <c r="H913" s="47">
        <v>0</v>
      </c>
      <c r="I913" s="47">
        <v>0</v>
      </c>
      <c r="J913" s="98"/>
      <c r="K913" s="93"/>
      <c r="L913" s="93">
        <f t="shared" si="125"/>
        <v>212800</v>
      </c>
      <c r="M913" s="95" t="e">
        <f t="shared" ca="1" si="126"/>
        <v>#DIV/0!</v>
      </c>
      <c r="N913" s="95">
        <f>IF(P913="Hedge Fund",IF(A913=Summary!$AD$3,M913-E913,M913),IF(A913=Summary!$AD$3,L913-D913,L913))</f>
        <v>212800</v>
      </c>
      <c r="O913" s="95">
        <f t="shared" si="131"/>
        <v>212800</v>
      </c>
      <c r="P913" s="89" t="s">
        <v>155</v>
      </c>
      <c r="Q913" s="107">
        <v>0</v>
      </c>
      <c r="R913" s="107">
        <v>0</v>
      </c>
      <c r="S913" s="89">
        <v>0</v>
      </c>
      <c r="T913" s="89">
        <v>0</v>
      </c>
      <c r="U913" s="89"/>
      <c r="V913" s="89"/>
      <c r="W913" s="89"/>
      <c r="X913" s="89"/>
      <c r="Y913" s="89"/>
      <c r="Z913" s="89"/>
      <c r="AA913" s="89"/>
      <c r="AB913" s="89"/>
      <c r="AC913" s="355"/>
      <c r="AD913" s="355"/>
      <c r="AE913" s="355"/>
      <c r="AF913" s="94">
        <f t="shared" si="127"/>
        <v>42094</v>
      </c>
      <c r="AG913" s="185">
        <f t="shared" si="132"/>
        <v>2.0784926051257591E-2</v>
      </c>
      <c r="AH913" s="339" t="str">
        <f>VLOOKUP(B913,'MF PF'!A:B,2)</f>
        <v>FdMgt1</v>
      </c>
      <c r="AI913" s="358">
        <f t="shared" si="128"/>
        <v>0</v>
      </c>
      <c r="AJ913" s="94">
        <f t="shared" si="129"/>
        <v>42094</v>
      </c>
    </row>
    <row r="914" spans="1:36" ht="12.75" customHeight="1">
      <c r="A914" s="94">
        <v>42124</v>
      </c>
      <c r="B914" s="8" t="s">
        <v>136</v>
      </c>
      <c r="C914" s="358" t="s">
        <v>307</v>
      </c>
      <c r="D914" s="374">
        <v>2131696.0809999998</v>
      </c>
      <c r="E914" s="9" t="e">
        <f t="shared" si="130"/>
        <v>#DIV/0!</v>
      </c>
      <c r="F914" s="47">
        <v>2.8</v>
      </c>
      <c r="G914" s="47">
        <v>28000</v>
      </c>
      <c r="H914" s="47">
        <v>0</v>
      </c>
      <c r="I914" s="47">
        <v>0</v>
      </c>
      <c r="J914" s="98"/>
      <c r="L914" s="93">
        <f t="shared" si="125"/>
        <v>28000</v>
      </c>
      <c r="M914" s="95" t="e">
        <f t="shared" ca="1" si="126"/>
        <v>#DIV/0!</v>
      </c>
      <c r="N914" s="95">
        <f>IF(P914="Hedge Fund",IF(A914=Summary!$AD$3,M914-E914,M914),IF(A914=Summary!$AD$3,L914-D914,L914))</f>
        <v>28000</v>
      </c>
      <c r="O914" s="95">
        <f t="shared" si="131"/>
        <v>28000</v>
      </c>
      <c r="P914" s="89" t="s">
        <v>155</v>
      </c>
      <c r="Q914" s="107">
        <v>0</v>
      </c>
      <c r="R914" s="107">
        <v>0</v>
      </c>
      <c r="S914" s="89">
        <v>0</v>
      </c>
      <c r="T914" s="89">
        <v>0</v>
      </c>
      <c r="U914" s="89"/>
      <c r="V914" s="89"/>
      <c r="W914" s="89"/>
      <c r="X914" s="89"/>
      <c r="Y914" s="89"/>
      <c r="Z914" s="89"/>
      <c r="AA914" s="89"/>
      <c r="AB914" s="89"/>
      <c r="AC914" s="355"/>
      <c r="AD914" s="355"/>
      <c r="AE914" s="355"/>
      <c r="AF914" s="94">
        <f t="shared" si="127"/>
        <v>42124</v>
      </c>
      <c r="AG914" s="185">
        <f t="shared" si="132"/>
        <v>7.6933623749722013E-2</v>
      </c>
      <c r="AH914" s="339" t="str">
        <f>VLOOKUP(B914,'MF PF'!A:B,2)</f>
        <v>FdMgt1</v>
      </c>
      <c r="AI914" s="358">
        <f t="shared" si="128"/>
        <v>0</v>
      </c>
      <c r="AJ914" s="94">
        <f t="shared" si="129"/>
        <v>42124</v>
      </c>
    </row>
    <row r="915" spans="1:36" ht="12.75" customHeight="1">
      <c r="A915" s="94">
        <v>42153</v>
      </c>
      <c r="B915" s="94" t="s">
        <v>136</v>
      </c>
      <c r="C915" s="358" t="s">
        <v>307</v>
      </c>
      <c r="D915" s="374">
        <v>2216335.2725</v>
      </c>
      <c r="E915" s="9" t="e">
        <f t="shared" si="130"/>
        <v>#DIV/0!</v>
      </c>
      <c r="F915" s="47">
        <v>2.8</v>
      </c>
      <c r="G915" s="47">
        <v>84000</v>
      </c>
      <c r="H915" s="47">
        <v>0</v>
      </c>
      <c r="I915" s="98">
        <v>0</v>
      </c>
      <c r="J915" s="98"/>
      <c r="L915" s="93">
        <f t="shared" si="125"/>
        <v>84000</v>
      </c>
      <c r="M915" s="95" t="e">
        <f t="shared" ca="1" si="126"/>
        <v>#DIV/0!</v>
      </c>
      <c r="N915" s="95">
        <f>IF(P915="Hedge Fund",IF(A915=Summary!$AD$3,M915-E915,M915),IF(A915=Summary!$AD$3,L915-D915,L915))</f>
        <v>84000</v>
      </c>
      <c r="O915" s="95">
        <f t="shared" si="131"/>
        <v>84000</v>
      </c>
      <c r="P915" s="89" t="s">
        <v>155</v>
      </c>
      <c r="Q915" s="107">
        <v>0</v>
      </c>
      <c r="R915" s="107">
        <v>0</v>
      </c>
      <c r="S915" s="89">
        <v>0</v>
      </c>
      <c r="T915" s="89">
        <v>0</v>
      </c>
      <c r="U915" s="89"/>
      <c r="V915" s="89"/>
      <c r="W915" s="89"/>
      <c r="X915" s="89"/>
      <c r="Y915" s="89"/>
      <c r="Z915" s="89"/>
      <c r="AA915" s="89"/>
      <c r="AB915" s="89"/>
      <c r="AC915" s="355"/>
      <c r="AD915" s="355"/>
      <c r="AE915" s="355"/>
      <c r="AF915" s="94">
        <f t="shared" si="127"/>
        <v>42153</v>
      </c>
      <c r="AG915" s="185">
        <f t="shared" si="132"/>
        <v>2.9985113999009272E-4</v>
      </c>
      <c r="AH915" s="339" t="str">
        <f>VLOOKUP(B915,'MF PF'!A:B,2)</f>
        <v>FdMgt1</v>
      </c>
      <c r="AI915" s="358">
        <f t="shared" si="128"/>
        <v>0</v>
      </c>
      <c r="AJ915" s="94">
        <f t="shared" si="129"/>
        <v>42155</v>
      </c>
    </row>
    <row r="916" spans="1:36" ht="12.75" customHeight="1">
      <c r="A916" s="8">
        <v>42185</v>
      </c>
      <c r="B916" s="94" t="s">
        <v>136</v>
      </c>
      <c r="C916" s="358" t="s">
        <v>307</v>
      </c>
      <c r="D916" s="374">
        <v>2181675.63</v>
      </c>
      <c r="E916" s="9" t="e">
        <f t="shared" si="130"/>
        <v>#DIV/0!</v>
      </c>
      <c r="F916" s="47">
        <v>2.8</v>
      </c>
      <c r="G916" s="47">
        <v>0</v>
      </c>
      <c r="H916" s="47">
        <v>0</v>
      </c>
      <c r="I916" s="98">
        <v>0</v>
      </c>
      <c r="J916" s="98"/>
      <c r="K916" s="93"/>
      <c r="L916" s="93">
        <f t="shared" si="125"/>
        <v>0</v>
      </c>
      <c r="M916" s="95" t="e">
        <f t="shared" ca="1" si="126"/>
        <v>#DIV/0!</v>
      </c>
      <c r="N916" s="95">
        <f>IF(P916="Hedge Fund",IF(A916=Summary!$AD$3,M916-E916,M916),IF(A916=Summary!$AD$3,L916-D916,L916))</f>
        <v>0</v>
      </c>
      <c r="O916" s="95">
        <f t="shared" si="131"/>
        <v>0</v>
      </c>
      <c r="P916" s="89" t="s">
        <v>155</v>
      </c>
      <c r="Q916" s="107">
        <v>0</v>
      </c>
      <c r="R916" s="107">
        <v>0</v>
      </c>
      <c r="S916" s="89">
        <v>0</v>
      </c>
      <c r="T916" s="89">
        <v>0</v>
      </c>
      <c r="U916" s="89"/>
      <c r="V916" s="89"/>
      <c r="W916" s="89"/>
      <c r="X916" s="89"/>
      <c r="Y916" s="89"/>
      <c r="Z916" s="89"/>
      <c r="AA916" s="89"/>
      <c r="AB916" s="89"/>
      <c r="AC916" s="355"/>
      <c r="AD916" s="355"/>
      <c r="AE916" s="355"/>
      <c r="AF916" s="94">
        <f t="shared" si="127"/>
        <v>42185</v>
      </c>
      <c r="AG916" s="185">
        <f t="shared" si="132"/>
        <v>-1.5638266885905083E-2</v>
      </c>
      <c r="AH916" s="339" t="str">
        <f>VLOOKUP(B916,'MF PF'!A:B,2)</f>
        <v>FdMgt1</v>
      </c>
      <c r="AI916" s="358">
        <f t="shared" si="128"/>
        <v>0</v>
      </c>
      <c r="AJ916" s="94">
        <f t="shared" si="129"/>
        <v>42185</v>
      </c>
    </row>
    <row r="917" spans="1:36" ht="12.75" customHeight="1">
      <c r="A917" s="8">
        <v>42216</v>
      </c>
      <c r="B917" s="94" t="s">
        <v>136</v>
      </c>
      <c r="C917" s="358" t="s">
        <v>307</v>
      </c>
      <c r="D917" s="374">
        <v>2225845.8815000001</v>
      </c>
      <c r="E917" s="9" t="e">
        <f t="shared" si="130"/>
        <v>#DIV/0!</v>
      </c>
      <c r="F917" s="47">
        <v>2.8</v>
      </c>
      <c r="G917" s="47">
        <v>81200</v>
      </c>
      <c r="H917" s="47">
        <v>0</v>
      </c>
      <c r="I917" s="47">
        <v>0</v>
      </c>
      <c r="J917" s="98"/>
      <c r="K917" s="93"/>
      <c r="L917" s="93">
        <f t="shared" si="125"/>
        <v>81200</v>
      </c>
      <c r="M917" s="95" t="e">
        <f t="shared" ca="1" si="126"/>
        <v>#DIV/0!</v>
      </c>
      <c r="N917" s="95">
        <f>IF(P917="Hedge Fund",IF(A917=Summary!$AD$3,M917-E917,M917),IF(A917=Summary!$AD$3,L917-D917,L917))</f>
        <v>81200</v>
      </c>
      <c r="O917" s="95">
        <f t="shared" si="131"/>
        <v>81200</v>
      </c>
      <c r="P917" s="89" t="s">
        <v>155</v>
      </c>
      <c r="Q917" s="107">
        <v>0</v>
      </c>
      <c r="R917" s="107">
        <v>0</v>
      </c>
      <c r="S917" s="89">
        <v>0</v>
      </c>
      <c r="T917" s="89">
        <v>0</v>
      </c>
      <c r="U917" s="89"/>
      <c r="V917" s="89"/>
      <c r="W917" s="89"/>
      <c r="X917" s="89"/>
      <c r="Y917" s="89"/>
      <c r="Z917" s="89"/>
      <c r="AA917" s="89"/>
      <c r="AB917" s="89"/>
      <c r="AC917" s="355"/>
      <c r="AD917" s="355"/>
      <c r="AE917" s="355"/>
      <c r="AF917" s="94">
        <f t="shared" si="127"/>
        <v>42216</v>
      </c>
      <c r="AG917" s="185">
        <f t="shared" si="132"/>
        <v>-1.6973077019703298E-2</v>
      </c>
      <c r="AH917" s="339" t="str">
        <f>VLOOKUP(B917,'MF PF'!A:B,2)</f>
        <v>FdMgt1</v>
      </c>
      <c r="AI917" s="358">
        <f t="shared" si="128"/>
        <v>0</v>
      </c>
      <c r="AJ917" s="94">
        <f t="shared" si="129"/>
        <v>42216</v>
      </c>
    </row>
    <row r="918" spans="1:36" ht="12.75" customHeight="1">
      <c r="A918" s="94">
        <v>42247</v>
      </c>
      <c r="B918" s="94" t="s">
        <v>136</v>
      </c>
      <c r="C918" s="358" t="s">
        <v>307</v>
      </c>
      <c r="D918" s="374">
        <v>2191470.3854999999</v>
      </c>
      <c r="E918" s="9" t="e">
        <f t="shared" si="130"/>
        <v>#DIV/0!</v>
      </c>
      <c r="F918" s="47">
        <v>2.8</v>
      </c>
      <c r="G918" s="47">
        <v>0</v>
      </c>
      <c r="H918" s="47">
        <v>0</v>
      </c>
      <c r="I918" s="47">
        <v>0</v>
      </c>
      <c r="J918" s="98"/>
      <c r="L918" s="93">
        <f t="shared" si="125"/>
        <v>0</v>
      </c>
      <c r="M918" s="95" t="e">
        <f t="shared" ca="1" si="126"/>
        <v>#DIV/0!</v>
      </c>
      <c r="N918" s="95">
        <f>IF(P918="Hedge Fund",IF(A918=Summary!$AD$3,M918-E918,M918),IF(A918=Summary!$AD$3,L918-D918,L918))</f>
        <v>0</v>
      </c>
      <c r="O918" s="95">
        <f t="shared" si="131"/>
        <v>0</v>
      </c>
      <c r="P918" s="89" t="s">
        <v>155</v>
      </c>
      <c r="Q918" s="107">
        <v>0</v>
      </c>
      <c r="R918" s="107">
        <v>0</v>
      </c>
      <c r="S918" s="89">
        <v>0</v>
      </c>
      <c r="T918" s="89">
        <v>0</v>
      </c>
      <c r="U918" s="89"/>
      <c r="V918" s="89"/>
      <c r="W918" s="89"/>
      <c r="X918" s="89"/>
      <c r="Y918" s="89"/>
      <c r="Z918" s="89"/>
      <c r="AA918" s="89"/>
      <c r="AB918" s="89"/>
      <c r="AC918" s="355"/>
      <c r="AD918" s="355"/>
      <c r="AE918" s="355"/>
      <c r="AF918" s="94">
        <f t="shared" si="127"/>
        <v>42247</v>
      </c>
      <c r="AG918" s="185">
        <f t="shared" si="132"/>
        <v>-1.5443789835455579E-2</v>
      </c>
      <c r="AH918" s="339" t="str">
        <f>VLOOKUP(B918,'MF PF'!A:B,2)</f>
        <v>FdMgt1</v>
      </c>
      <c r="AI918" s="358">
        <f t="shared" si="128"/>
        <v>0</v>
      </c>
      <c r="AJ918" s="94">
        <f t="shared" si="129"/>
        <v>42247</v>
      </c>
    </row>
    <row r="919" spans="1:36" ht="12.75" customHeight="1">
      <c r="A919" s="8">
        <v>42277</v>
      </c>
      <c r="B919" s="94" t="s">
        <v>136</v>
      </c>
      <c r="C919" s="358" t="s">
        <v>307</v>
      </c>
      <c r="D919" s="374">
        <v>2198833.1365</v>
      </c>
      <c r="E919" s="9" t="e">
        <f t="shared" si="130"/>
        <v>#DIV/0!</v>
      </c>
      <c r="F919" s="98">
        <v>2.8</v>
      </c>
      <c r="G919" s="98">
        <v>0</v>
      </c>
      <c r="H919" s="98">
        <v>0</v>
      </c>
      <c r="I919" s="98">
        <v>0</v>
      </c>
      <c r="J919" s="98"/>
      <c r="K919" s="93"/>
      <c r="L919" s="93">
        <f t="shared" si="125"/>
        <v>0</v>
      </c>
      <c r="M919" s="95" t="e">
        <f t="shared" ca="1" si="126"/>
        <v>#DIV/0!</v>
      </c>
      <c r="N919" s="95">
        <f>IF(P919="Hedge Fund",IF(A919=Summary!$AD$3,M919-E919,M919),IF(A919=Summary!$AD$3,L919-D919,L919))</f>
        <v>0</v>
      </c>
      <c r="O919" s="95">
        <f t="shared" si="131"/>
        <v>0</v>
      </c>
      <c r="P919" s="107" t="s">
        <v>155</v>
      </c>
      <c r="Q919" s="107">
        <v>0</v>
      </c>
      <c r="R919" s="107">
        <v>0</v>
      </c>
      <c r="S919" s="107">
        <v>0</v>
      </c>
      <c r="T919" s="107">
        <v>0</v>
      </c>
      <c r="U919" s="107"/>
      <c r="V919" s="107"/>
      <c r="W919" s="107"/>
      <c r="X919" s="107"/>
      <c r="Y919" s="107"/>
      <c r="Z919" s="107"/>
      <c r="AA919" s="107"/>
      <c r="AB919" s="107"/>
      <c r="AC919" s="355"/>
      <c r="AD919" s="355"/>
      <c r="AE919" s="355"/>
      <c r="AF919" s="94">
        <f t="shared" si="127"/>
        <v>42277</v>
      </c>
      <c r="AG919" s="185">
        <f t="shared" si="132"/>
        <v>3.3597310046789008E-3</v>
      </c>
      <c r="AH919" s="339" t="str">
        <f>VLOOKUP(B919,'MF PF'!A:B,2)</f>
        <v>FdMgt1</v>
      </c>
      <c r="AI919" s="358">
        <f t="shared" si="128"/>
        <v>0</v>
      </c>
      <c r="AJ919" s="94">
        <f t="shared" si="129"/>
        <v>42277</v>
      </c>
    </row>
    <row r="920" spans="1:36" ht="12.75" customHeight="1">
      <c r="A920" s="8">
        <v>42307</v>
      </c>
      <c r="B920" s="94" t="s">
        <v>136</v>
      </c>
      <c r="C920" s="358" t="s">
        <v>307</v>
      </c>
      <c r="D920" s="374">
        <v>2263410.4670000002</v>
      </c>
      <c r="E920" s="9" t="e">
        <f t="shared" si="130"/>
        <v>#DIV/0!</v>
      </c>
      <c r="F920" s="98">
        <v>2.8</v>
      </c>
      <c r="G920" s="98">
        <v>0</v>
      </c>
      <c r="H920" s="98">
        <v>0</v>
      </c>
      <c r="I920" s="98">
        <v>0</v>
      </c>
      <c r="J920" s="98"/>
      <c r="L920" s="93">
        <f t="shared" si="125"/>
        <v>0</v>
      </c>
      <c r="M920" s="95" t="e">
        <f t="shared" ca="1" si="126"/>
        <v>#DIV/0!</v>
      </c>
      <c r="N920" s="95">
        <f>IF(P920="Hedge Fund",IF(A920=Summary!$AD$3,M920-E920,M920),IF(A920=Summary!$AD$3,L920-D920,L920))</f>
        <v>0</v>
      </c>
      <c r="O920" s="95">
        <f t="shared" si="131"/>
        <v>0</v>
      </c>
      <c r="P920" s="107" t="s">
        <v>155</v>
      </c>
      <c r="Q920" s="107">
        <v>0</v>
      </c>
      <c r="R920" s="107">
        <v>0</v>
      </c>
      <c r="S920" s="107">
        <v>0</v>
      </c>
      <c r="T920" s="107">
        <v>0</v>
      </c>
      <c r="U920" s="107"/>
      <c r="V920" s="107"/>
      <c r="W920" s="107"/>
      <c r="X920" s="107"/>
      <c r="Y920" s="107"/>
      <c r="Z920" s="107"/>
      <c r="AA920" s="107"/>
      <c r="AB920" s="107"/>
      <c r="AC920" s="355"/>
      <c r="AD920" s="355"/>
      <c r="AE920" s="355"/>
      <c r="AF920" s="94">
        <f t="shared" si="127"/>
        <v>42307</v>
      </c>
      <c r="AG920" s="185">
        <f t="shared" si="132"/>
        <v>2.936890909457146E-2</v>
      </c>
      <c r="AH920" s="339" t="str">
        <f>VLOOKUP(B920,'MF PF'!A:B,2)</f>
        <v>FdMgt1</v>
      </c>
      <c r="AI920" s="358">
        <f t="shared" si="128"/>
        <v>0</v>
      </c>
      <c r="AJ920" s="94">
        <f t="shared" si="129"/>
        <v>42308</v>
      </c>
    </row>
    <row r="921" spans="1:36" ht="12.75" customHeight="1">
      <c r="A921" s="8">
        <v>42338</v>
      </c>
      <c r="B921" s="94" t="s">
        <v>136</v>
      </c>
      <c r="C921" s="358" t="s">
        <v>307</v>
      </c>
      <c r="D921" s="374">
        <v>2369405.517</v>
      </c>
      <c r="E921" s="9" t="e">
        <f t="shared" si="130"/>
        <v>#DIV/0!</v>
      </c>
      <c r="F921" s="47">
        <v>2.8</v>
      </c>
      <c r="G921" s="47">
        <v>120400</v>
      </c>
      <c r="H921" s="47">
        <v>0</v>
      </c>
      <c r="I921" s="98">
        <v>0</v>
      </c>
      <c r="J921" s="98"/>
      <c r="L921" s="93">
        <f t="shared" si="125"/>
        <v>120400</v>
      </c>
      <c r="M921" s="95" t="e">
        <f t="shared" ca="1" si="126"/>
        <v>#DIV/0!</v>
      </c>
      <c r="N921" s="95">
        <f>IF(P921="Hedge Fund",IF(A921=Summary!$AD$3,M921-E921,M921),IF(A921=Summary!$AD$3,L921-D921,L921))</f>
        <v>120400</v>
      </c>
      <c r="O921" s="95">
        <f t="shared" si="131"/>
        <v>120400</v>
      </c>
      <c r="P921" s="89" t="s">
        <v>155</v>
      </c>
      <c r="Q921" s="107">
        <v>0</v>
      </c>
      <c r="R921" s="107">
        <v>0</v>
      </c>
      <c r="S921" s="89">
        <v>0</v>
      </c>
      <c r="T921" s="89">
        <v>0</v>
      </c>
      <c r="U921" s="89"/>
      <c r="V921" s="89"/>
      <c r="W921" s="89"/>
      <c r="X921" s="89"/>
      <c r="Y921" s="89"/>
      <c r="Z921" s="89"/>
      <c r="AA921" s="89"/>
      <c r="AB921" s="89"/>
      <c r="AC921" s="355"/>
      <c r="AD921" s="355"/>
      <c r="AE921" s="355"/>
      <c r="AF921" s="94">
        <f t="shared" si="127"/>
        <v>42338</v>
      </c>
      <c r="AG921" s="185">
        <f t="shared" si="132"/>
        <v>-6.3642676439032986E-3</v>
      </c>
      <c r="AH921" s="339" t="str">
        <f>VLOOKUP(B921,'MF PF'!A:B,2)</f>
        <v>FdMgt1</v>
      </c>
      <c r="AI921" s="358">
        <f t="shared" si="128"/>
        <v>0</v>
      </c>
      <c r="AJ921" s="94">
        <f t="shared" si="129"/>
        <v>42338</v>
      </c>
    </row>
    <row r="922" spans="1:36" ht="12.75" customHeight="1">
      <c r="A922" s="8">
        <v>42369</v>
      </c>
      <c r="B922" s="94" t="s">
        <v>136</v>
      </c>
      <c r="C922" s="358" t="s">
        <v>307</v>
      </c>
      <c r="D922" s="374">
        <v>2387345.2684999998</v>
      </c>
      <c r="E922" s="9" t="e">
        <f t="shared" si="130"/>
        <v>#DIV/0!</v>
      </c>
      <c r="F922" s="47">
        <v>2.8</v>
      </c>
      <c r="G922" s="47">
        <v>0</v>
      </c>
      <c r="H922" s="47">
        <v>0</v>
      </c>
      <c r="I922" s="98">
        <v>0</v>
      </c>
      <c r="J922" s="98"/>
      <c r="L922" s="93">
        <f t="shared" si="125"/>
        <v>0</v>
      </c>
      <c r="M922" s="95" t="e">
        <f t="shared" ca="1" si="126"/>
        <v>#DIV/0!</v>
      </c>
      <c r="N922" s="95">
        <f>IF(P922="Hedge Fund",IF(A922=Summary!$AD$3,M922-E922,M922),IF(A922=Summary!$AD$3,L922-D922,L922))</f>
        <v>0</v>
      </c>
      <c r="O922" s="95">
        <f t="shared" si="131"/>
        <v>0</v>
      </c>
      <c r="P922" s="89" t="s">
        <v>155</v>
      </c>
      <c r="Q922" s="107">
        <v>0</v>
      </c>
      <c r="R922" s="107">
        <v>0</v>
      </c>
      <c r="S922" s="89">
        <v>0</v>
      </c>
      <c r="T922" s="89">
        <v>0</v>
      </c>
      <c r="U922" s="89"/>
      <c r="V922" s="89"/>
      <c r="W922" s="89"/>
      <c r="X922" s="89"/>
      <c r="Y922" s="89"/>
      <c r="Z922" s="89"/>
      <c r="AA922" s="89"/>
      <c r="AB922" s="89"/>
      <c r="AC922" s="355"/>
      <c r="AD922" s="355"/>
      <c r="AE922" s="355"/>
      <c r="AF922" s="94">
        <f t="shared" si="127"/>
        <v>42369</v>
      </c>
      <c r="AG922" s="185">
        <f t="shared" si="132"/>
        <v>7.5714145895608986E-3</v>
      </c>
      <c r="AH922" s="339" t="str">
        <f>VLOOKUP(B922,'MF PF'!A:B,2)</f>
        <v>FdMgt1</v>
      </c>
      <c r="AI922" s="358">
        <f t="shared" si="128"/>
        <v>0</v>
      </c>
      <c r="AJ922" s="94">
        <f t="shared" si="129"/>
        <v>42369</v>
      </c>
    </row>
    <row r="923" spans="1:36" ht="12.75" customHeight="1">
      <c r="A923" s="94">
        <v>42398</v>
      </c>
      <c r="B923" s="94" t="s">
        <v>136</v>
      </c>
      <c r="C923" s="358" t="s">
        <v>307</v>
      </c>
      <c r="D923" s="374">
        <v>2363279.3629999999</v>
      </c>
      <c r="E923" s="9" t="e">
        <f t="shared" si="130"/>
        <v>#DIV/0!</v>
      </c>
      <c r="F923" s="98">
        <v>2.8</v>
      </c>
      <c r="G923" s="98">
        <v>0</v>
      </c>
      <c r="H923" s="98">
        <v>0</v>
      </c>
      <c r="I923" s="98">
        <v>0</v>
      </c>
      <c r="J923" s="98"/>
      <c r="L923" s="93">
        <f t="shared" si="125"/>
        <v>0</v>
      </c>
      <c r="M923" s="95" t="e">
        <f t="shared" ca="1" si="126"/>
        <v>#DIV/0!</v>
      </c>
      <c r="N923" s="95">
        <f>IF(P923="Hedge Fund",IF(A923=Summary!$AD$3,M923-E923,M923),IF(A923=Summary!$AD$3,L923-D923,L923))</f>
        <v>0</v>
      </c>
      <c r="O923" s="95">
        <f t="shared" si="131"/>
        <v>0</v>
      </c>
      <c r="P923" s="107" t="s">
        <v>155</v>
      </c>
      <c r="Q923" s="107">
        <v>0</v>
      </c>
      <c r="R923" s="107">
        <v>0</v>
      </c>
      <c r="S923" s="107">
        <v>0</v>
      </c>
      <c r="T923" s="107">
        <v>0</v>
      </c>
      <c r="U923" s="107"/>
      <c r="V923" s="107"/>
      <c r="W923" s="107"/>
      <c r="X923" s="107"/>
      <c r="Y923" s="107"/>
      <c r="Z923" s="107"/>
      <c r="AA923" s="107"/>
      <c r="AB923" s="107"/>
      <c r="AC923" s="355"/>
      <c r="AD923" s="355"/>
      <c r="AE923" s="355"/>
      <c r="AF923" s="94">
        <f t="shared" si="127"/>
        <v>42398</v>
      </c>
      <c r="AG923" s="185">
        <f t="shared" si="132"/>
        <v>-1.0080613733396304E-2</v>
      </c>
      <c r="AH923" s="339" t="str">
        <f>VLOOKUP(B923,'MF PF'!A:B,2)</f>
        <v>FdMgt1</v>
      </c>
      <c r="AI923" s="358">
        <f t="shared" si="128"/>
        <v>0</v>
      </c>
      <c r="AJ923" s="94">
        <f t="shared" si="129"/>
        <v>42400</v>
      </c>
    </row>
    <row r="924" spans="1:36" ht="12.75" customHeight="1">
      <c r="A924" s="94">
        <v>42429</v>
      </c>
      <c r="B924" s="94" t="s">
        <v>136</v>
      </c>
      <c r="C924" s="358" t="s">
        <v>307</v>
      </c>
      <c r="D924" s="374">
        <v>3043948.8695</v>
      </c>
      <c r="E924" s="9" t="e">
        <f t="shared" si="130"/>
        <v>#DIV/0!</v>
      </c>
      <c r="F924" s="98">
        <v>2.8</v>
      </c>
      <c r="G924" s="98">
        <v>637000</v>
      </c>
      <c r="H924" s="98">
        <v>0</v>
      </c>
      <c r="I924" s="98">
        <v>0</v>
      </c>
      <c r="J924" s="98"/>
      <c r="K924" s="93"/>
      <c r="L924" s="93">
        <f t="shared" si="125"/>
        <v>637000</v>
      </c>
      <c r="M924" s="95" t="e">
        <f t="shared" ca="1" si="126"/>
        <v>#DIV/0!</v>
      </c>
      <c r="N924" s="95">
        <f>IF(P924="Hedge Fund",IF(A924=Summary!$AD$3,M924-E924,M924),IF(A924=Summary!$AD$3,L924-D924,L924))</f>
        <v>637000</v>
      </c>
      <c r="O924" s="95">
        <f t="shared" si="131"/>
        <v>637000</v>
      </c>
      <c r="P924" s="107" t="s">
        <v>155</v>
      </c>
      <c r="Q924" s="107">
        <v>0</v>
      </c>
      <c r="R924" s="107">
        <v>0</v>
      </c>
      <c r="S924" s="107">
        <v>0</v>
      </c>
      <c r="T924" s="107">
        <v>0</v>
      </c>
      <c r="U924" s="107"/>
      <c r="V924" s="107"/>
      <c r="W924" s="107"/>
      <c r="X924" s="107"/>
      <c r="Y924" s="107"/>
      <c r="Z924" s="107"/>
      <c r="AA924" s="107"/>
      <c r="AB924" s="107"/>
      <c r="AC924" s="355"/>
      <c r="AD924" s="355"/>
      <c r="AE924" s="355"/>
      <c r="AF924" s="94">
        <f t="shared" si="127"/>
        <v>42429</v>
      </c>
      <c r="AG924" s="185">
        <f t="shared" si="132"/>
        <v>1.8478351389048298E-2</v>
      </c>
      <c r="AH924" s="339" t="str">
        <f>VLOOKUP(B924,'MF PF'!A:B,2)</f>
        <v>FdMgt1</v>
      </c>
      <c r="AI924" s="358">
        <f t="shared" si="128"/>
        <v>0</v>
      </c>
      <c r="AJ924" s="94">
        <f t="shared" si="129"/>
        <v>42429</v>
      </c>
    </row>
    <row r="925" spans="1:36" ht="12.75" customHeight="1">
      <c r="A925" s="94">
        <v>42460</v>
      </c>
      <c r="B925" s="94" t="s">
        <v>136</v>
      </c>
      <c r="C925" s="358" t="s">
        <v>307</v>
      </c>
      <c r="D925" s="374">
        <v>3064957.3930000002</v>
      </c>
      <c r="E925" s="9" t="e">
        <f t="shared" si="130"/>
        <v>#DIV/0!</v>
      </c>
      <c r="F925" s="98">
        <v>2.8</v>
      </c>
      <c r="G925" s="98">
        <v>0</v>
      </c>
      <c r="H925" s="98">
        <v>0</v>
      </c>
      <c r="I925" s="98">
        <v>0</v>
      </c>
      <c r="J925" s="98"/>
      <c r="K925" s="93"/>
      <c r="L925" s="93">
        <f t="shared" si="125"/>
        <v>0</v>
      </c>
      <c r="M925" s="95" t="e">
        <f t="shared" ca="1" si="126"/>
        <v>#DIV/0!</v>
      </c>
      <c r="N925" s="95">
        <f>IF(P925="Hedge Fund",IF(A925=Summary!$AD$3,M925-E925,M925),IF(A925=Summary!$AD$3,L925-D925,L925))</f>
        <v>0</v>
      </c>
      <c r="O925" s="95">
        <f t="shared" si="131"/>
        <v>0</v>
      </c>
      <c r="P925" s="107" t="s">
        <v>155</v>
      </c>
      <c r="Q925" s="107">
        <v>0</v>
      </c>
      <c r="R925" s="107">
        <v>0</v>
      </c>
      <c r="S925" s="107">
        <v>0</v>
      </c>
      <c r="T925" s="107">
        <v>0</v>
      </c>
      <c r="U925" s="107"/>
      <c r="V925" s="107"/>
      <c r="W925" s="107"/>
      <c r="X925" s="107"/>
      <c r="Y925" s="107"/>
      <c r="Z925" s="107"/>
      <c r="AA925" s="107"/>
      <c r="AB925" s="107"/>
      <c r="AC925" s="355"/>
      <c r="AD925" s="355"/>
      <c r="AE925" s="355"/>
      <c r="AF925" s="94">
        <f t="shared" si="127"/>
        <v>42460</v>
      </c>
      <c r="AG925" s="185">
        <f t="shared" si="132"/>
        <v>6.9017333735474917E-3</v>
      </c>
      <c r="AH925" s="339" t="str">
        <f>VLOOKUP(B925,'MF PF'!A:B,2)</f>
        <v>FdMgt1</v>
      </c>
      <c r="AI925" s="358">
        <f t="shared" si="128"/>
        <v>0</v>
      </c>
      <c r="AJ925" s="94">
        <f t="shared" si="129"/>
        <v>42460</v>
      </c>
    </row>
    <row r="926" spans="1:36" s="92" customFormat="1" ht="12.75" customHeight="1">
      <c r="A926" s="94">
        <v>42489</v>
      </c>
      <c r="B926" s="94" t="s">
        <v>136</v>
      </c>
      <c r="C926" s="358" t="s">
        <v>307</v>
      </c>
      <c r="D926" s="374">
        <v>3111891.9449999998</v>
      </c>
      <c r="E926" s="95" t="e">
        <f t="shared" si="130"/>
        <v>#DIV/0!</v>
      </c>
      <c r="F926" s="98">
        <v>2.8</v>
      </c>
      <c r="G926" s="98">
        <v>0</v>
      </c>
      <c r="H926" s="98">
        <v>0</v>
      </c>
      <c r="I926" s="98">
        <v>0</v>
      </c>
      <c r="J926" s="98"/>
      <c r="K926" s="93"/>
      <c r="L926" s="93">
        <f t="shared" si="125"/>
        <v>0</v>
      </c>
      <c r="M926" s="95" t="e">
        <f t="shared" ca="1" si="126"/>
        <v>#DIV/0!</v>
      </c>
      <c r="N926" s="95">
        <f>IF(P926="Hedge Fund",IF(A926=Summary!$AD$3,M926-E926,M926),IF(A926=Summary!$AD$3,L926-D926,L926))</f>
        <v>0</v>
      </c>
      <c r="O926" s="95">
        <f t="shared" si="131"/>
        <v>0</v>
      </c>
      <c r="P926" s="107" t="s">
        <v>155</v>
      </c>
      <c r="Q926" s="107">
        <v>0</v>
      </c>
      <c r="R926" s="107">
        <v>0</v>
      </c>
      <c r="S926" s="107">
        <v>0</v>
      </c>
      <c r="T926" s="107">
        <v>0</v>
      </c>
      <c r="U926" s="107"/>
      <c r="V926" s="107"/>
      <c r="W926" s="107"/>
      <c r="X926" s="107"/>
      <c r="Y926" s="107"/>
      <c r="Z926" s="107"/>
      <c r="AA926" s="107"/>
      <c r="AB926" s="107"/>
      <c r="AC926" s="355"/>
      <c r="AD926" s="355"/>
      <c r="AE926" s="355"/>
      <c r="AF926" s="94">
        <f t="shared" si="127"/>
        <v>42489</v>
      </c>
      <c r="AG926" s="185">
        <f t="shared" si="132"/>
        <v>1.5313280408788987E-2</v>
      </c>
      <c r="AH926" s="339" t="str">
        <f>VLOOKUP(B926,'MF PF'!A:B,2)</f>
        <v>FdMgt1</v>
      </c>
      <c r="AI926" s="358">
        <f t="shared" si="128"/>
        <v>0</v>
      </c>
      <c r="AJ926" s="94">
        <f t="shared" si="129"/>
        <v>42490</v>
      </c>
    </row>
    <row r="927" spans="1:36" ht="12.75" customHeight="1">
      <c r="A927" s="8">
        <v>42521</v>
      </c>
      <c r="B927" s="94" t="s">
        <v>136</v>
      </c>
      <c r="C927" s="358" t="s">
        <v>307</v>
      </c>
      <c r="D927" s="374">
        <v>3144107.9224999999</v>
      </c>
      <c r="E927" s="9" t="e">
        <f t="shared" si="130"/>
        <v>#DIV/0!</v>
      </c>
      <c r="F927" s="98">
        <v>2.8</v>
      </c>
      <c r="G927" s="98">
        <v>0</v>
      </c>
      <c r="H927" s="98">
        <v>0</v>
      </c>
      <c r="I927" s="98">
        <v>0</v>
      </c>
      <c r="J927" s="98"/>
      <c r="L927" s="93">
        <f t="shared" si="125"/>
        <v>0</v>
      </c>
      <c r="M927" s="95" t="e">
        <f t="shared" ca="1" si="126"/>
        <v>#DIV/0!</v>
      </c>
      <c r="N927" s="95">
        <f>IF(P927="Hedge Fund",IF(A927=Summary!$AD$3,M927-E927,M927),IF(A927=Summary!$AD$3,L927-D927,L927))</f>
        <v>0</v>
      </c>
      <c r="O927" s="95">
        <f t="shared" si="131"/>
        <v>0</v>
      </c>
      <c r="P927" s="107" t="s">
        <v>155</v>
      </c>
      <c r="Q927" s="107">
        <v>0</v>
      </c>
      <c r="R927" s="107">
        <v>0</v>
      </c>
      <c r="S927" s="107">
        <v>0</v>
      </c>
      <c r="T927" s="107">
        <v>0</v>
      </c>
      <c r="U927" s="107"/>
      <c r="V927" s="107"/>
      <c r="W927" s="107"/>
      <c r="X927" s="107"/>
      <c r="Y927" s="107"/>
      <c r="Z927" s="107"/>
      <c r="AA927" s="107"/>
      <c r="AB927" s="107"/>
      <c r="AC927" s="355"/>
      <c r="AD927" s="355"/>
      <c r="AE927" s="355"/>
      <c r="AF927" s="94">
        <f t="shared" si="127"/>
        <v>42521</v>
      </c>
      <c r="AG927" s="185">
        <f t="shared" si="132"/>
        <v>1.0352537321150379E-2</v>
      </c>
      <c r="AH927" s="339" t="str">
        <f>VLOOKUP(B927,'MF PF'!A:B,2)</f>
        <v>FdMgt1</v>
      </c>
      <c r="AI927" s="358">
        <f t="shared" si="128"/>
        <v>0</v>
      </c>
      <c r="AJ927" s="94">
        <f t="shared" si="129"/>
        <v>42521</v>
      </c>
    </row>
    <row r="928" spans="1:36" ht="12.75" customHeight="1">
      <c r="A928" s="94">
        <v>42551</v>
      </c>
      <c r="B928" s="94" t="s">
        <v>136</v>
      </c>
      <c r="C928" s="358" t="s">
        <v>307</v>
      </c>
      <c r="D928" s="374">
        <v>3217317.9125000001</v>
      </c>
      <c r="E928" s="9" t="e">
        <f t="shared" si="130"/>
        <v>#DIV/0!</v>
      </c>
      <c r="F928" s="47">
        <v>2.8</v>
      </c>
      <c r="G928" s="47">
        <v>0</v>
      </c>
      <c r="H928" s="47">
        <v>0</v>
      </c>
      <c r="I928" s="98">
        <v>0</v>
      </c>
      <c r="J928" s="98"/>
      <c r="L928" s="93">
        <f t="shared" si="125"/>
        <v>0</v>
      </c>
      <c r="M928" s="95" t="e">
        <f t="shared" ca="1" si="126"/>
        <v>#DIV/0!</v>
      </c>
      <c r="N928" s="95">
        <f>IF(P928="Hedge Fund",IF(A928=Summary!$AD$3,M928-E928,M928),IF(A928=Summary!$AD$3,L928-D928,L928))</f>
        <v>0</v>
      </c>
      <c r="O928" s="95">
        <f t="shared" si="131"/>
        <v>0</v>
      </c>
      <c r="P928" s="89" t="s">
        <v>155</v>
      </c>
      <c r="Q928" s="107">
        <v>0</v>
      </c>
      <c r="R928" s="107">
        <v>0</v>
      </c>
      <c r="S928" s="89">
        <v>0</v>
      </c>
      <c r="T928" s="89">
        <v>0</v>
      </c>
      <c r="U928" s="89"/>
      <c r="V928" s="89"/>
      <c r="W928" s="89"/>
      <c r="X928" s="89"/>
      <c r="Y928" s="89"/>
      <c r="Z928" s="89"/>
      <c r="AA928" s="89"/>
      <c r="AB928" s="89"/>
      <c r="AC928" s="355"/>
      <c r="AD928" s="355"/>
      <c r="AE928" s="355"/>
      <c r="AF928" s="94">
        <f t="shared" si="127"/>
        <v>42551</v>
      </c>
      <c r="AG928" s="185">
        <f t="shared" si="132"/>
        <v>2.3284820942720108E-2</v>
      </c>
      <c r="AH928" s="339" t="str">
        <f>VLOOKUP(B928,'MF PF'!A:B,2)</f>
        <v>FdMgt1</v>
      </c>
      <c r="AI928" s="358">
        <f t="shared" si="128"/>
        <v>0</v>
      </c>
      <c r="AJ928" s="94">
        <f t="shared" si="129"/>
        <v>42551</v>
      </c>
    </row>
    <row r="929" spans="1:36" ht="12.75" customHeight="1">
      <c r="A929" s="94">
        <v>42580</v>
      </c>
      <c r="B929" s="94" t="s">
        <v>136</v>
      </c>
      <c r="C929" s="358" t="s">
        <v>307</v>
      </c>
      <c r="D929" s="374">
        <v>3265549.5134999999</v>
      </c>
      <c r="E929" s="9" t="e">
        <f t="shared" si="130"/>
        <v>#DIV/0!</v>
      </c>
      <c r="F929" s="47">
        <v>2.8</v>
      </c>
      <c r="G929" s="47">
        <v>0</v>
      </c>
      <c r="H929" s="47">
        <v>0</v>
      </c>
      <c r="I929" s="98">
        <v>0</v>
      </c>
      <c r="J929" s="98"/>
      <c r="L929" s="93">
        <f t="shared" si="125"/>
        <v>0</v>
      </c>
      <c r="M929" s="95" t="e">
        <f t="shared" ca="1" si="126"/>
        <v>#DIV/0!</v>
      </c>
      <c r="N929" s="95">
        <f>IF(P929="Hedge Fund",IF(A929=Summary!$AD$3,M929-E929,M929),IF(A929=Summary!$AD$3,L929-D929,L929))</f>
        <v>0</v>
      </c>
      <c r="O929" s="95">
        <f t="shared" si="131"/>
        <v>0</v>
      </c>
      <c r="P929" s="89" t="s">
        <v>155</v>
      </c>
      <c r="Q929" s="107">
        <v>0</v>
      </c>
      <c r="R929" s="107">
        <v>0</v>
      </c>
      <c r="S929" s="89">
        <v>0</v>
      </c>
      <c r="T929" s="89">
        <v>0</v>
      </c>
      <c r="U929" s="89"/>
      <c r="V929" s="89"/>
      <c r="W929" s="89"/>
      <c r="X929" s="89"/>
      <c r="Y929" s="89"/>
      <c r="Z929" s="89"/>
      <c r="AA929" s="89"/>
      <c r="AB929" s="89"/>
      <c r="AC929" s="355"/>
      <c r="AD929" s="355"/>
      <c r="AE929" s="355"/>
      <c r="AF929" s="94">
        <f t="shared" si="127"/>
        <v>42580</v>
      </c>
      <c r="AG929" s="185">
        <f t="shared" si="132"/>
        <v>1.4991244978498797E-2</v>
      </c>
      <c r="AH929" s="339" t="str">
        <f>VLOOKUP(B929,'MF PF'!A:B,2)</f>
        <v>FdMgt1</v>
      </c>
      <c r="AI929" s="358">
        <f t="shared" si="128"/>
        <v>0</v>
      </c>
      <c r="AJ929" s="94">
        <f t="shared" si="129"/>
        <v>42582</v>
      </c>
    </row>
    <row r="930" spans="1:36" ht="12.75" customHeight="1">
      <c r="A930" s="94">
        <v>42613</v>
      </c>
      <c r="B930" s="94" t="s">
        <v>136</v>
      </c>
      <c r="C930" s="358" t="s">
        <v>307</v>
      </c>
      <c r="D930" s="374">
        <v>3257031.5104999999</v>
      </c>
      <c r="E930" s="9" t="e">
        <f t="shared" si="130"/>
        <v>#DIV/0!</v>
      </c>
      <c r="F930" s="47">
        <v>2.8</v>
      </c>
      <c r="G930" s="47">
        <v>0</v>
      </c>
      <c r="H930" s="47">
        <v>0</v>
      </c>
      <c r="I930" s="98">
        <v>0</v>
      </c>
      <c r="J930" s="98"/>
      <c r="L930" s="93">
        <f t="shared" si="125"/>
        <v>0</v>
      </c>
      <c r="M930" s="95" t="e">
        <f t="shared" ca="1" si="126"/>
        <v>#DIV/0!</v>
      </c>
      <c r="N930" s="95">
        <f>IF(P930="Hedge Fund",IF(A930=Summary!$AD$3,M930-E930,M930),IF(A930=Summary!$AD$3,L930-D930,L930))</f>
        <v>0</v>
      </c>
      <c r="O930" s="95">
        <f t="shared" si="131"/>
        <v>0</v>
      </c>
      <c r="P930" s="89" t="s">
        <v>155</v>
      </c>
      <c r="Q930" s="107">
        <v>0</v>
      </c>
      <c r="R930" s="107">
        <v>0</v>
      </c>
      <c r="S930" s="89">
        <v>0</v>
      </c>
      <c r="T930" s="89">
        <v>0</v>
      </c>
      <c r="U930" s="89"/>
      <c r="V930" s="89"/>
      <c r="W930" s="89"/>
      <c r="X930" s="89"/>
      <c r="Y930" s="89"/>
      <c r="Z930" s="89"/>
      <c r="AA930" s="89"/>
      <c r="AB930" s="89"/>
      <c r="AC930" s="355"/>
      <c r="AD930" s="355"/>
      <c r="AE930" s="355"/>
      <c r="AF930" s="94">
        <f t="shared" si="127"/>
        <v>42613</v>
      </c>
      <c r="AG930" s="185">
        <f t="shared" si="132"/>
        <v>-2.6084439892232192E-3</v>
      </c>
      <c r="AH930" s="339" t="str">
        <f>VLOOKUP(B930,'MF PF'!A:B,2)</f>
        <v>FdMgt1</v>
      </c>
      <c r="AI930" s="358">
        <f t="shared" si="128"/>
        <v>0</v>
      </c>
      <c r="AJ930" s="94">
        <f t="shared" si="129"/>
        <v>42613</v>
      </c>
    </row>
    <row r="931" spans="1:36" ht="12.75" customHeight="1">
      <c r="A931" s="8">
        <v>42643</v>
      </c>
      <c r="B931" s="94" t="s">
        <v>136</v>
      </c>
      <c r="C931" s="358" t="s">
        <v>307</v>
      </c>
      <c r="D931" s="374">
        <v>3367806.8594999998</v>
      </c>
      <c r="E931" s="9" t="e">
        <f t="shared" si="130"/>
        <v>#DIV/0!</v>
      </c>
      <c r="F931" s="98">
        <v>2.8</v>
      </c>
      <c r="G931" s="98">
        <v>0</v>
      </c>
      <c r="H931" s="98">
        <v>0</v>
      </c>
      <c r="I931" s="98">
        <v>0</v>
      </c>
      <c r="J931" s="98"/>
      <c r="L931" s="93">
        <f t="shared" si="125"/>
        <v>0</v>
      </c>
      <c r="M931" s="95" t="e">
        <f t="shared" ca="1" si="126"/>
        <v>#DIV/0!</v>
      </c>
      <c r="N931" s="95">
        <f>IF(P931="Hedge Fund",IF(A931=Summary!$AD$3,M931-E931,M931),IF(A931=Summary!$AD$3,L931-D931,L931))</f>
        <v>0</v>
      </c>
      <c r="O931" s="95">
        <f t="shared" si="131"/>
        <v>0</v>
      </c>
      <c r="P931" s="107" t="s">
        <v>155</v>
      </c>
      <c r="Q931" s="107">
        <v>0</v>
      </c>
      <c r="R931" s="107">
        <v>0</v>
      </c>
      <c r="S931" s="107">
        <v>0</v>
      </c>
      <c r="T931" s="107">
        <v>0</v>
      </c>
      <c r="U931" s="107"/>
      <c r="V931" s="107"/>
      <c r="W931" s="107"/>
      <c r="X931" s="107"/>
      <c r="Y931" s="107"/>
      <c r="Z931" s="107"/>
      <c r="AA931" s="107"/>
      <c r="AB931" s="107"/>
      <c r="AC931" s="355"/>
      <c r="AD931" s="355"/>
      <c r="AE931" s="355"/>
      <c r="AF931" s="94">
        <f t="shared" si="127"/>
        <v>42643</v>
      </c>
      <c r="AG931" s="185">
        <f t="shared" si="132"/>
        <v>3.4011138253616124E-2</v>
      </c>
      <c r="AH931" s="339" t="str">
        <f>VLOOKUP(B931,'MF PF'!A:B,2)</f>
        <v>FdMgt1</v>
      </c>
      <c r="AI931" s="358">
        <f t="shared" si="128"/>
        <v>0</v>
      </c>
      <c r="AJ931" s="94">
        <f t="shared" si="129"/>
        <v>42643</v>
      </c>
    </row>
    <row r="932" spans="1:36" ht="12.75" customHeight="1">
      <c r="A932" s="8">
        <v>42674</v>
      </c>
      <c r="B932" s="94" t="s">
        <v>136</v>
      </c>
      <c r="C932" s="358" t="s">
        <v>307</v>
      </c>
      <c r="D932" s="374">
        <v>3472149.8505000002</v>
      </c>
      <c r="E932" s="9" t="e">
        <f t="shared" si="130"/>
        <v>#DIV/0!</v>
      </c>
      <c r="F932" s="98">
        <v>2.8</v>
      </c>
      <c r="G932" s="98">
        <v>0</v>
      </c>
      <c r="H932" s="98">
        <v>0</v>
      </c>
      <c r="I932" s="98">
        <v>0</v>
      </c>
      <c r="J932" s="98"/>
      <c r="L932" s="93">
        <f t="shared" si="125"/>
        <v>0</v>
      </c>
      <c r="M932" s="95" t="e">
        <f t="shared" ca="1" si="126"/>
        <v>#DIV/0!</v>
      </c>
      <c r="N932" s="95">
        <f>IF(P932="Hedge Fund",IF(A932=Summary!$AD$3,M932-E932,M932),IF(A932=Summary!$AD$3,L932-D932,L932))</f>
        <v>0</v>
      </c>
      <c r="O932" s="95">
        <f t="shared" si="131"/>
        <v>0</v>
      </c>
      <c r="P932" s="107" t="s">
        <v>155</v>
      </c>
      <c r="Q932" s="107">
        <v>0</v>
      </c>
      <c r="R932" s="107">
        <v>0</v>
      </c>
      <c r="S932" s="107">
        <v>0</v>
      </c>
      <c r="T932" s="107">
        <v>0</v>
      </c>
      <c r="U932" s="107"/>
      <c r="V932" s="107"/>
      <c r="W932" s="107"/>
      <c r="X932" s="107"/>
      <c r="Y932" s="107"/>
      <c r="Z932" s="107"/>
      <c r="AA932" s="107"/>
      <c r="AB932" s="107"/>
      <c r="AC932" s="355"/>
      <c r="AD932" s="355"/>
      <c r="AE932" s="355"/>
      <c r="AF932" s="94">
        <f t="shared" si="127"/>
        <v>42674</v>
      </c>
      <c r="AG932" s="185">
        <f t="shared" si="132"/>
        <v>3.0982474753760592E-2</v>
      </c>
      <c r="AH932" s="339" t="str">
        <f>VLOOKUP(B932,'MF PF'!A:B,2)</f>
        <v>FdMgt1</v>
      </c>
      <c r="AI932" s="358">
        <f t="shared" si="128"/>
        <v>0</v>
      </c>
      <c r="AJ932" s="94">
        <f t="shared" si="129"/>
        <v>42674</v>
      </c>
    </row>
    <row r="933" spans="1:36" ht="12.75" customHeight="1">
      <c r="A933" s="8">
        <v>42704</v>
      </c>
      <c r="B933" s="94" t="s">
        <v>136</v>
      </c>
      <c r="C933" s="358" t="s">
        <v>307</v>
      </c>
      <c r="D933" s="374">
        <v>3489220.0265000002</v>
      </c>
      <c r="E933" s="9" t="e">
        <f t="shared" si="130"/>
        <v>#DIV/0!</v>
      </c>
      <c r="F933" s="98">
        <v>2.8</v>
      </c>
      <c r="G933" s="98">
        <v>0</v>
      </c>
      <c r="H933" s="98">
        <v>0</v>
      </c>
      <c r="I933" s="98">
        <v>0</v>
      </c>
      <c r="J933" s="98"/>
      <c r="K933" s="93"/>
      <c r="L933" s="93">
        <f t="shared" si="125"/>
        <v>0</v>
      </c>
      <c r="M933" s="95" t="e">
        <f t="shared" ca="1" si="126"/>
        <v>#DIV/0!</v>
      </c>
      <c r="N933" s="95">
        <f>IF(P933="Hedge Fund",IF(A933=Summary!$AD$3,M933-E933,M933),IF(A933=Summary!$AD$3,L933-D933,L933))</f>
        <v>0</v>
      </c>
      <c r="O933" s="95">
        <f t="shared" si="131"/>
        <v>0</v>
      </c>
      <c r="P933" s="107" t="s">
        <v>155</v>
      </c>
      <c r="Q933" s="107">
        <v>0</v>
      </c>
      <c r="R933" s="107">
        <v>0</v>
      </c>
      <c r="S933" s="107">
        <v>0</v>
      </c>
      <c r="T933" s="107">
        <v>0</v>
      </c>
      <c r="U933" s="107"/>
      <c r="V933" s="107"/>
      <c r="W933" s="107"/>
      <c r="X933" s="107"/>
      <c r="Y933" s="107"/>
      <c r="Z933" s="107"/>
      <c r="AA933" s="107"/>
      <c r="AB933" s="107"/>
      <c r="AC933" s="355"/>
      <c r="AD933" s="355"/>
      <c r="AE933" s="355"/>
      <c r="AF933" s="94">
        <f t="shared" si="127"/>
        <v>42704</v>
      </c>
      <c r="AG933" s="185">
        <f t="shared" si="132"/>
        <v>4.9163131589904374E-3</v>
      </c>
      <c r="AH933" s="339" t="str">
        <f>VLOOKUP(B933,'MF PF'!A:B,2)</f>
        <v>FdMgt1</v>
      </c>
      <c r="AI933" s="358">
        <f t="shared" si="128"/>
        <v>0</v>
      </c>
      <c r="AJ933" s="94">
        <f t="shared" si="129"/>
        <v>42704</v>
      </c>
    </row>
    <row r="934" spans="1:36" ht="12.75" customHeight="1">
      <c r="A934" s="8">
        <v>42734</v>
      </c>
      <c r="B934" s="94" t="s">
        <v>136</v>
      </c>
      <c r="C934" s="358" t="s">
        <v>307</v>
      </c>
      <c r="D934" s="374">
        <v>3465971.2855000002</v>
      </c>
      <c r="E934" s="9" t="e">
        <f t="shared" si="130"/>
        <v>#DIV/0!</v>
      </c>
      <c r="F934" s="98">
        <v>2.8</v>
      </c>
      <c r="G934" s="98">
        <v>0</v>
      </c>
      <c r="H934" s="98">
        <v>0</v>
      </c>
      <c r="I934" s="98">
        <v>0</v>
      </c>
      <c r="J934" s="98"/>
      <c r="K934" s="93"/>
      <c r="L934" s="93">
        <f t="shared" si="125"/>
        <v>0</v>
      </c>
      <c r="M934" s="95" t="e">
        <f t="shared" ca="1" si="126"/>
        <v>#DIV/0!</v>
      </c>
      <c r="N934" s="95">
        <f>IF(P934="Hedge Fund",IF(A934=Summary!$AD$3,M934-E934,M934),IF(A934=Summary!$AD$3,L934-D934,L934))</f>
        <v>0</v>
      </c>
      <c r="O934" s="95">
        <f t="shared" si="131"/>
        <v>0</v>
      </c>
      <c r="P934" s="107" t="s">
        <v>155</v>
      </c>
      <c r="Q934" s="107">
        <v>0</v>
      </c>
      <c r="R934" s="107">
        <v>0</v>
      </c>
      <c r="S934" s="107">
        <v>0</v>
      </c>
      <c r="T934" s="107">
        <v>0</v>
      </c>
      <c r="U934" s="107"/>
      <c r="V934" s="107"/>
      <c r="W934" s="107"/>
      <c r="X934" s="107"/>
      <c r="Y934" s="107"/>
      <c r="Z934" s="107"/>
      <c r="AA934" s="107"/>
      <c r="AB934" s="107"/>
      <c r="AC934" s="355"/>
      <c r="AD934" s="355"/>
      <c r="AE934" s="355"/>
      <c r="AF934" s="94">
        <f t="shared" si="127"/>
        <v>42734</v>
      </c>
      <c r="AG934" s="185">
        <f t="shared" si="132"/>
        <v>-6.6630194781154284E-3</v>
      </c>
      <c r="AH934" s="339" t="str">
        <f>VLOOKUP(B934,'MF PF'!A:B,2)</f>
        <v>FdMgt1</v>
      </c>
      <c r="AI934" s="358">
        <f t="shared" si="128"/>
        <v>0</v>
      </c>
      <c r="AJ934" s="94">
        <f t="shared" si="129"/>
        <v>42735</v>
      </c>
    </row>
    <row r="935" spans="1:36" ht="12.75" customHeight="1">
      <c r="A935" s="94">
        <v>42762</v>
      </c>
      <c r="B935" s="94" t="s">
        <v>136</v>
      </c>
      <c r="C935" s="358" t="s">
        <v>307</v>
      </c>
      <c r="D935" s="374">
        <v>3522416.6405000002</v>
      </c>
      <c r="E935" s="9" t="e">
        <f t="shared" si="130"/>
        <v>#DIV/0!</v>
      </c>
      <c r="F935" s="98">
        <v>2.8</v>
      </c>
      <c r="G935" s="98">
        <v>0</v>
      </c>
      <c r="H935" s="98">
        <v>0</v>
      </c>
      <c r="I935" s="98">
        <v>0</v>
      </c>
      <c r="J935" s="98"/>
      <c r="K935" s="93"/>
      <c r="L935" s="93">
        <f t="shared" si="125"/>
        <v>0</v>
      </c>
      <c r="M935" s="95" t="e">
        <f t="shared" ca="1" si="126"/>
        <v>#DIV/0!</v>
      </c>
      <c r="N935" s="95">
        <f>IF(P935="Hedge Fund",IF(A935=Summary!$AD$3,M935-E935,M935),IF(A935=Summary!$AD$3,L935-D935,L935))</f>
        <v>0</v>
      </c>
      <c r="O935" s="95">
        <f t="shared" si="131"/>
        <v>0</v>
      </c>
      <c r="P935" s="107" t="s">
        <v>155</v>
      </c>
      <c r="Q935" s="107">
        <v>0</v>
      </c>
      <c r="R935" s="107">
        <v>0</v>
      </c>
      <c r="S935" s="107">
        <v>0</v>
      </c>
      <c r="T935" s="107">
        <v>0</v>
      </c>
      <c r="U935" s="107"/>
      <c r="V935" s="107"/>
      <c r="W935" s="107"/>
      <c r="X935" s="107"/>
      <c r="Y935" s="107"/>
      <c r="Z935" s="107"/>
      <c r="AA935" s="107"/>
      <c r="AB935" s="107"/>
      <c r="AC935" s="355"/>
      <c r="AD935" s="355"/>
      <c r="AE935" s="355"/>
      <c r="AF935" s="94">
        <f t="shared" si="127"/>
        <v>42762</v>
      </c>
      <c r="AG935" s="185">
        <f t="shared" si="132"/>
        <v>1.6285580678680356E-2</v>
      </c>
      <c r="AH935" s="339" t="str">
        <f>VLOOKUP(B935,'MF PF'!A:B,2)</f>
        <v>FdMgt1</v>
      </c>
      <c r="AI935" s="358">
        <f t="shared" si="128"/>
        <v>0</v>
      </c>
      <c r="AJ935" s="94">
        <f t="shared" si="129"/>
        <v>42766</v>
      </c>
    </row>
    <row r="936" spans="1:36" ht="12.75" customHeight="1">
      <c r="A936" s="8">
        <v>42794</v>
      </c>
      <c r="B936" s="94" t="s">
        <v>136</v>
      </c>
      <c r="C936" s="358" t="s">
        <v>307</v>
      </c>
      <c r="D936" s="374">
        <v>3658891.6715000002</v>
      </c>
      <c r="E936" s="9" t="e">
        <f t="shared" ref="E936:E952" si="133">D936/K936</f>
        <v>#DIV/0!</v>
      </c>
      <c r="F936" s="98">
        <v>2.8</v>
      </c>
      <c r="G936" s="98">
        <v>0</v>
      </c>
      <c r="H936" s="98">
        <v>0</v>
      </c>
      <c r="I936" s="98">
        <v>0</v>
      </c>
      <c r="J936" s="98"/>
      <c r="K936" s="93"/>
      <c r="L936" s="93">
        <f t="shared" si="125"/>
        <v>0</v>
      </c>
      <c r="M936" s="95" t="e">
        <f t="shared" ca="1" si="126"/>
        <v>#DIV/0!</v>
      </c>
      <c r="N936" s="95">
        <f>IF(P936="Hedge Fund",IF(A936=Summary!$AD$3,M936-E936,M936),IF(A936=Summary!$AD$3,L936-D936,L936))</f>
        <v>0</v>
      </c>
      <c r="O936" s="95">
        <f t="shared" si="131"/>
        <v>0</v>
      </c>
      <c r="P936" s="107" t="s">
        <v>155</v>
      </c>
      <c r="Q936" s="107">
        <v>0</v>
      </c>
      <c r="R936" s="107">
        <v>0</v>
      </c>
      <c r="S936" s="107">
        <v>0</v>
      </c>
      <c r="T936" s="107">
        <v>0</v>
      </c>
      <c r="U936" s="107"/>
      <c r="V936" s="107"/>
      <c r="W936" s="107"/>
      <c r="X936" s="107"/>
      <c r="Y936" s="107"/>
      <c r="Z936" s="107"/>
      <c r="AA936" s="107"/>
      <c r="AB936" s="107"/>
      <c r="AC936" s="355"/>
      <c r="AD936" s="355"/>
      <c r="AE936" s="355"/>
      <c r="AF936" s="94">
        <f t="shared" si="127"/>
        <v>42794</v>
      </c>
      <c r="AG936" s="185">
        <f t="shared" si="132"/>
        <v>3.874471561110604E-2</v>
      </c>
      <c r="AH936" s="339" t="str">
        <f>VLOOKUP(B936,'MF PF'!A:B,2)</f>
        <v>FdMgt1</v>
      </c>
      <c r="AI936" s="358">
        <f t="shared" si="128"/>
        <v>0</v>
      </c>
      <c r="AJ936" s="94">
        <f t="shared" si="129"/>
        <v>42794</v>
      </c>
    </row>
    <row r="937" spans="1:36" ht="12.75" customHeight="1">
      <c r="A937" s="8">
        <v>42825</v>
      </c>
      <c r="B937" s="94" t="s">
        <v>136</v>
      </c>
      <c r="C937" s="358" t="s">
        <v>307</v>
      </c>
      <c r="D937" s="374">
        <v>3599853.5104999999</v>
      </c>
      <c r="E937" s="9" t="e">
        <f t="shared" si="133"/>
        <v>#DIV/0!</v>
      </c>
      <c r="F937" s="98">
        <v>2.8</v>
      </c>
      <c r="G937" s="98">
        <v>0</v>
      </c>
      <c r="H937" s="98">
        <v>0</v>
      </c>
      <c r="I937" s="98">
        <v>0</v>
      </c>
      <c r="J937" s="98"/>
      <c r="K937" s="93"/>
      <c r="L937" s="93">
        <f t="shared" si="125"/>
        <v>0</v>
      </c>
      <c r="M937" s="95" t="e">
        <f t="shared" ca="1" si="126"/>
        <v>#DIV/0!</v>
      </c>
      <c r="N937" s="95">
        <f>IF(P937="Hedge Fund",IF(A937=Summary!$AD$3,M937-E937,M937),IF(A937=Summary!$AD$3,L937-D937,L937))</f>
        <v>0</v>
      </c>
      <c r="O937" s="95">
        <f t="shared" si="131"/>
        <v>0</v>
      </c>
      <c r="P937" s="107" t="s">
        <v>155</v>
      </c>
      <c r="Q937" s="107">
        <v>0</v>
      </c>
      <c r="R937" s="107">
        <v>0</v>
      </c>
      <c r="S937" s="107">
        <v>0</v>
      </c>
      <c r="T937" s="107">
        <v>0</v>
      </c>
      <c r="U937" s="107"/>
      <c r="V937" s="107"/>
      <c r="W937" s="107"/>
      <c r="X937" s="107"/>
      <c r="Y937" s="107"/>
      <c r="Z937" s="107"/>
      <c r="AA937" s="107"/>
      <c r="AB937" s="107"/>
      <c r="AC937" s="355"/>
      <c r="AD937" s="355"/>
      <c r="AE937" s="355"/>
      <c r="AF937" s="94">
        <f t="shared" si="127"/>
        <v>42825</v>
      </c>
      <c r="AG937" s="185">
        <f t="shared" si="132"/>
        <v>-1.6135531275731085E-2</v>
      </c>
      <c r="AH937" s="339" t="str">
        <f>VLOOKUP(B937,'MF PF'!A:B,2)</f>
        <v>FdMgt1</v>
      </c>
      <c r="AI937" s="358">
        <f t="shared" si="128"/>
        <v>0</v>
      </c>
      <c r="AJ937" s="94">
        <f t="shared" si="129"/>
        <v>42825</v>
      </c>
    </row>
    <row r="938" spans="1:36" ht="12.75" customHeight="1">
      <c r="A938" s="8">
        <v>42853</v>
      </c>
      <c r="B938" s="94" t="s">
        <v>136</v>
      </c>
      <c r="C938" s="358" t="s">
        <v>307</v>
      </c>
      <c r="D938" s="374">
        <v>3590667.62</v>
      </c>
      <c r="E938" s="9" t="e">
        <f t="shared" si="133"/>
        <v>#DIV/0!</v>
      </c>
      <c r="F938" s="47">
        <v>2.8</v>
      </c>
      <c r="G938" s="47">
        <v>0</v>
      </c>
      <c r="H938" s="47">
        <v>0</v>
      </c>
      <c r="I938" s="98">
        <v>0</v>
      </c>
      <c r="J938" s="98"/>
      <c r="K938" s="93"/>
      <c r="L938" s="93">
        <f t="shared" si="125"/>
        <v>0</v>
      </c>
      <c r="M938" s="95" t="e">
        <f t="shared" ca="1" si="126"/>
        <v>#DIV/0!</v>
      </c>
      <c r="N938" s="95">
        <f>IF(P938="Hedge Fund",IF(A938=Summary!$AD$3,M938-E938,M938),IF(A938=Summary!$AD$3,L938-D938,L938))</f>
        <v>0</v>
      </c>
      <c r="O938" s="95">
        <f t="shared" si="131"/>
        <v>0</v>
      </c>
      <c r="P938" s="89" t="s">
        <v>155</v>
      </c>
      <c r="Q938" s="107">
        <v>0</v>
      </c>
      <c r="R938" s="107">
        <v>0</v>
      </c>
      <c r="S938" s="89">
        <v>0</v>
      </c>
      <c r="T938" s="89">
        <v>0</v>
      </c>
      <c r="U938" s="89"/>
      <c r="V938" s="89"/>
      <c r="W938" s="89"/>
      <c r="X938" s="89"/>
      <c r="Y938" s="89"/>
      <c r="Z938" s="89"/>
      <c r="AA938" s="89"/>
      <c r="AB938" s="89"/>
      <c r="AC938" s="355"/>
      <c r="AD938" s="355"/>
      <c r="AE938" s="355"/>
      <c r="AF938" s="94">
        <f t="shared" si="127"/>
        <v>42853</v>
      </c>
      <c r="AG938" s="185">
        <f t="shared" si="132"/>
        <v>-2.5517400842024474E-3</v>
      </c>
      <c r="AH938" s="339" t="str">
        <f>VLOOKUP(B938,'MF PF'!A:B,2)</f>
        <v>FdMgt1</v>
      </c>
      <c r="AI938" s="358">
        <f t="shared" si="128"/>
        <v>0</v>
      </c>
      <c r="AJ938" s="94">
        <f t="shared" si="129"/>
        <v>42855</v>
      </c>
    </row>
    <row r="939" spans="1:36" ht="12.75" customHeight="1">
      <c r="A939" s="8">
        <v>42886</v>
      </c>
      <c r="B939" s="94" t="s">
        <v>136</v>
      </c>
      <c r="C939" s="358" t="s">
        <v>307</v>
      </c>
      <c r="D939" s="374">
        <v>3492533.8450000002</v>
      </c>
      <c r="E939" s="95" t="e">
        <f t="shared" si="133"/>
        <v>#DIV/0!</v>
      </c>
      <c r="F939" s="47">
        <v>2.8</v>
      </c>
      <c r="G939" s="47">
        <v>0</v>
      </c>
      <c r="H939" s="47">
        <v>0</v>
      </c>
      <c r="I939" s="98">
        <v>0</v>
      </c>
      <c r="J939" s="98"/>
      <c r="L939" s="93">
        <f t="shared" si="125"/>
        <v>0</v>
      </c>
      <c r="M939" s="95" t="e">
        <f t="shared" ca="1" si="126"/>
        <v>#DIV/0!</v>
      </c>
      <c r="N939" s="95">
        <f>IF(P939="Hedge Fund",IF(A939=Summary!$AD$3,M939-E939,M939),IF(A939=Summary!$AD$3,L939-D939,L939))</f>
        <v>0</v>
      </c>
      <c r="O939" s="95">
        <f t="shared" si="131"/>
        <v>0</v>
      </c>
      <c r="P939" s="89" t="s">
        <v>155</v>
      </c>
      <c r="Q939" s="107">
        <v>0</v>
      </c>
      <c r="R939" s="107">
        <v>0</v>
      </c>
      <c r="S939" s="89">
        <v>0</v>
      </c>
      <c r="T939" s="89">
        <v>0</v>
      </c>
      <c r="U939" s="89"/>
      <c r="V939" s="89"/>
      <c r="W939" s="89"/>
      <c r="X939" s="89"/>
      <c r="Y939" s="89"/>
      <c r="Z939" s="89"/>
      <c r="AA939" s="89"/>
      <c r="AB939" s="89"/>
      <c r="AC939" s="355"/>
      <c r="AD939" s="355"/>
      <c r="AE939" s="355"/>
      <c r="AF939" s="94">
        <f t="shared" si="127"/>
        <v>42886</v>
      </c>
      <c r="AG939" s="185">
        <f t="shared" si="132"/>
        <v>-2.7330230861078664E-2</v>
      </c>
      <c r="AH939" s="339" t="str">
        <f>VLOOKUP(B939,'MF PF'!A:B,2)</f>
        <v>FdMgt1</v>
      </c>
      <c r="AI939" s="358">
        <f t="shared" si="128"/>
        <v>0</v>
      </c>
      <c r="AJ939" s="94">
        <f t="shared" si="129"/>
        <v>42886</v>
      </c>
    </row>
    <row r="940" spans="1:36" ht="12.75" customHeight="1">
      <c r="A940" s="8">
        <v>42916</v>
      </c>
      <c r="B940" s="94" t="s">
        <v>136</v>
      </c>
      <c r="C940" s="358" t="s">
        <v>307</v>
      </c>
      <c r="D940" s="374">
        <v>3617964.2650000001</v>
      </c>
      <c r="E940" s="95" t="e">
        <f t="shared" si="133"/>
        <v>#DIV/0!</v>
      </c>
      <c r="F940" s="47">
        <v>2.8</v>
      </c>
      <c r="G940" s="47">
        <v>0</v>
      </c>
      <c r="H940" s="47">
        <v>0</v>
      </c>
      <c r="I940" s="98">
        <v>0</v>
      </c>
      <c r="J940" s="98"/>
      <c r="L940" s="93">
        <f t="shared" si="125"/>
        <v>0</v>
      </c>
      <c r="M940" s="95" t="e">
        <f t="shared" ca="1" si="126"/>
        <v>#DIV/0!</v>
      </c>
      <c r="N940" s="95">
        <f>IF(P940="Hedge Fund",IF(A940=Summary!$AD$3,M940-E940,M940),IF(A940=Summary!$AD$3,L940-D940,L940))</f>
        <v>0</v>
      </c>
      <c r="O940" s="95">
        <f t="shared" si="131"/>
        <v>0</v>
      </c>
      <c r="P940" s="89" t="s">
        <v>155</v>
      </c>
      <c r="Q940" s="107">
        <v>0</v>
      </c>
      <c r="R940" s="107">
        <v>0</v>
      </c>
      <c r="S940" s="89">
        <v>0</v>
      </c>
      <c r="T940" s="89">
        <v>0</v>
      </c>
      <c r="U940" s="89"/>
      <c r="V940" s="89"/>
      <c r="W940" s="89"/>
      <c r="X940" s="89"/>
      <c r="Y940" s="89"/>
      <c r="Z940" s="89"/>
      <c r="AA940" s="89"/>
      <c r="AB940" s="89"/>
      <c r="AC940" s="355"/>
      <c r="AD940" s="355"/>
      <c r="AE940" s="355"/>
      <c r="AF940" s="94">
        <f t="shared" si="127"/>
        <v>42916</v>
      </c>
      <c r="AG940" s="185">
        <f t="shared" si="132"/>
        <v>3.5913873871134872E-2</v>
      </c>
      <c r="AH940" s="339" t="str">
        <f>VLOOKUP(B940,'MF PF'!A:B,2)</f>
        <v>FdMgt1</v>
      </c>
      <c r="AI940" s="358">
        <f t="shared" si="128"/>
        <v>0</v>
      </c>
      <c r="AJ940" s="94">
        <f t="shared" si="129"/>
        <v>42916</v>
      </c>
    </row>
    <row r="941" spans="1:36" ht="12.75" customHeight="1">
      <c r="A941" s="8">
        <v>42947</v>
      </c>
      <c r="B941" s="94" t="s">
        <v>136</v>
      </c>
      <c r="C941" s="358" t="s">
        <v>307</v>
      </c>
      <c r="D941" s="374">
        <v>3699358.727</v>
      </c>
      <c r="E941" s="9" t="e">
        <f t="shared" si="133"/>
        <v>#DIV/0!</v>
      </c>
      <c r="F941" s="98">
        <v>2.8</v>
      </c>
      <c r="G941" s="98">
        <v>0</v>
      </c>
      <c r="H941" s="98">
        <v>0</v>
      </c>
      <c r="I941" s="98">
        <v>0</v>
      </c>
      <c r="J941" s="98"/>
      <c r="K941" s="93"/>
      <c r="L941" s="93">
        <f t="shared" si="125"/>
        <v>0</v>
      </c>
      <c r="M941" s="95" t="e">
        <f t="shared" ca="1" si="126"/>
        <v>#DIV/0!</v>
      </c>
      <c r="N941" s="95">
        <f>IF(P941="Hedge Fund",IF(A941=Summary!$AD$3,M941-E941,M941),IF(A941=Summary!$AD$3,L941-D941,L941))</f>
        <v>0</v>
      </c>
      <c r="O941" s="95">
        <f t="shared" si="131"/>
        <v>0</v>
      </c>
      <c r="P941" s="107" t="s">
        <v>155</v>
      </c>
      <c r="Q941" s="107">
        <v>0</v>
      </c>
      <c r="R941" s="107">
        <v>0</v>
      </c>
      <c r="S941" s="107">
        <v>0</v>
      </c>
      <c r="T941" s="107">
        <v>0</v>
      </c>
      <c r="U941" s="107"/>
      <c r="V941" s="107"/>
      <c r="W941" s="107"/>
      <c r="X941" s="107"/>
      <c r="Y941" s="107"/>
      <c r="Z941" s="107"/>
      <c r="AA941" s="107"/>
      <c r="AB941" s="107"/>
      <c r="AC941" s="355"/>
      <c r="AD941" s="355"/>
      <c r="AE941" s="355"/>
      <c r="AF941" s="94">
        <f t="shared" si="127"/>
        <v>42947</v>
      </c>
      <c r="AG941" s="185">
        <f t="shared" si="132"/>
        <v>2.2497309547085731E-2</v>
      </c>
      <c r="AH941" s="339" t="str">
        <f>VLOOKUP(B941,'MF PF'!A:B,2)</f>
        <v>FdMgt1</v>
      </c>
      <c r="AI941" s="358">
        <f t="shared" si="128"/>
        <v>0</v>
      </c>
      <c r="AJ941" s="94">
        <f t="shared" si="129"/>
        <v>42947</v>
      </c>
    </row>
    <row r="942" spans="1:36" ht="12.75" customHeight="1">
      <c r="A942" s="94">
        <v>42978</v>
      </c>
      <c r="B942" s="94" t="s">
        <v>136</v>
      </c>
      <c r="C942" s="358" t="s">
        <v>307</v>
      </c>
      <c r="D942" s="374">
        <v>3704800</v>
      </c>
      <c r="E942" s="9" t="e">
        <f t="shared" si="133"/>
        <v>#DIV/0!</v>
      </c>
      <c r="F942" s="98">
        <v>2.8</v>
      </c>
      <c r="G942" s="98">
        <v>0</v>
      </c>
      <c r="H942" s="98">
        <v>0</v>
      </c>
      <c r="I942" s="98">
        <v>0</v>
      </c>
      <c r="J942" s="98"/>
      <c r="L942" s="93">
        <f t="shared" si="125"/>
        <v>0</v>
      </c>
      <c r="M942" s="95" t="e">
        <f t="shared" ca="1" si="126"/>
        <v>#DIV/0!</v>
      </c>
      <c r="N942" s="95">
        <f>IF(P942="Hedge Fund",IF(A942=Summary!$AD$3,M942-E942,M942),IF(A942=Summary!$AD$3,L942-D942,L942))</f>
        <v>0</v>
      </c>
      <c r="O942" s="95">
        <f t="shared" si="131"/>
        <v>0</v>
      </c>
      <c r="P942" s="107" t="s">
        <v>155</v>
      </c>
      <c r="Q942" s="107">
        <v>0</v>
      </c>
      <c r="R942" s="107">
        <v>0</v>
      </c>
      <c r="S942" s="107">
        <v>0</v>
      </c>
      <c r="T942" s="107">
        <v>0</v>
      </c>
      <c r="U942" s="107"/>
      <c r="V942" s="107"/>
      <c r="W942" s="107"/>
      <c r="X942" s="107"/>
      <c r="Y942" s="107"/>
      <c r="Z942" s="107"/>
      <c r="AA942" s="107"/>
      <c r="AB942" s="107"/>
      <c r="AC942" s="355"/>
      <c r="AD942" s="355"/>
      <c r="AE942" s="355"/>
      <c r="AF942" s="94">
        <f t="shared" si="127"/>
        <v>42978</v>
      </c>
      <c r="AG942" s="185">
        <f t="shared" si="132"/>
        <v>1.4708692510101429E-3</v>
      </c>
      <c r="AH942" s="339" t="str">
        <f>VLOOKUP(B942,'MF PF'!A:B,2)</f>
        <v>FdMgt1</v>
      </c>
      <c r="AI942" s="358">
        <f t="shared" si="128"/>
        <v>0</v>
      </c>
      <c r="AJ942" s="94">
        <f t="shared" si="129"/>
        <v>42978</v>
      </c>
    </row>
    <row r="943" spans="1:36" ht="12.75" customHeight="1">
      <c r="A943" s="94">
        <v>43007</v>
      </c>
      <c r="B943" s="94" t="s">
        <v>136</v>
      </c>
      <c r="C943" s="358" t="s">
        <v>307</v>
      </c>
      <c r="D943" s="374">
        <v>3684195.5575059503</v>
      </c>
      <c r="E943" s="9" t="e">
        <f t="shared" si="133"/>
        <v>#DIV/0!</v>
      </c>
      <c r="F943" s="47">
        <v>2.8</v>
      </c>
      <c r="G943" s="47">
        <v>0</v>
      </c>
      <c r="H943" s="47">
        <v>0</v>
      </c>
      <c r="I943" s="47">
        <v>0</v>
      </c>
      <c r="J943" s="98"/>
      <c r="L943" s="93">
        <f t="shared" si="125"/>
        <v>0</v>
      </c>
      <c r="M943" s="95" t="e">
        <f t="shared" ca="1" si="126"/>
        <v>#DIV/0!</v>
      </c>
      <c r="N943" s="95">
        <f>IF(P943="Hedge Fund",IF(A943=Summary!$AD$3,M943-E943,M943),IF(A943=Summary!$AD$3,L943-D943,L943))</f>
        <v>0</v>
      </c>
      <c r="O943" s="95">
        <f t="shared" si="131"/>
        <v>0</v>
      </c>
      <c r="P943" s="89" t="s">
        <v>155</v>
      </c>
      <c r="Q943" s="89">
        <v>0</v>
      </c>
      <c r="R943" s="107">
        <v>0</v>
      </c>
      <c r="S943" s="89">
        <v>0</v>
      </c>
      <c r="T943" s="89">
        <v>0</v>
      </c>
      <c r="U943" s="89"/>
      <c r="V943" s="89"/>
      <c r="W943" s="89"/>
      <c r="X943" s="89"/>
      <c r="Y943" s="89"/>
      <c r="Z943" s="89"/>
      <c r="AA943" s="89"/>
      <c r="AB943" s="89"/>
      <c r="AC943" s="355"/>
      <c r="AD943" s="355"/>
      <c r="AE943" s="355"/>
      <c r="AF943" s="94">
        <f t="shared" si="127"/>
        <v>43007</v>
      </c>
      <c r="AG943" s="185">
        <f t="shared" si="132"/>
        <v>-5.5615532536303913E-3</v>
      </c>
      <c r="AH943" s="339" t="str">
        <f>VLOOKUP(B943,'MF PF'!A:B,2)</f>
        <v>FdMgt1</v>
      </c>
      <c r="AI943" s="358">
        <f t="shared" si="128"/>
        <v>0</v>
      </c>
      <c r="AJ943" s="94">
        <f t="shared" si="129"/>
        <v>43008</v>
      </c>
    </row>
    <row r="944" spans="1:36" ht="12.75" customHeight="1">
      <c r="A944" s="8">
        <v>43039</v>
      </c>
      <c r="B944" s="8" t="s">
        <v>136</v>
      </c>
      <c r="C944" s="358" t="s">
        <v>307</v>
      </c>
      <c r="D944" s="374">
        <v>3709800</v>
      </c>
      <c r="E944" s="9" t="e">
        <f t="shared" si="133"/>
        <v>#DIV/0!</v>
      </c>
      <c r="F944" s="47">
        <v>2.8</v>
      </c>
      <c r="G944" s="47">
        <v>0</v>
      </c>
      <c r="H944" s="47">
        <v>0</v>
      </c>
      <c r="I944" s="47">
        <v>0</v>
      </c>
      <c r="J944" s="98"/>
      <c r="L944" s="93">
        <f t="shared" si="125"/>
        <v>0</v>
      </c>
      <c r="M944" s="95" t="e">
        <f t="shared" ca="1" si="126"/>
        <v>#DIV/0!</v>
      </c>
      <c r="N944" s="95">
        <f>IF(P944="Hedge Fund",IF(A944=Summary!$AD$3,M944-E944,M944),IF(A944=Summary!$AD$3,L944-D944,L944))</f>
        <v>0</v>
      </c>
      <c r="O944" s="95">
        <f t="shared" si="131"/>
        <v>0</v>
      </c>
      <c r="P944" s="89" t="s">
        <v>155</v>
      </c>
      <c r="Q944" s="89">
        <v>0</v>
      </c>
      <c r="R944" s="89">
        <v>0</v>
      </c>
      <c r="S944" s="89">
        <v>0</v>
      </c>
      <c r="T944" s="89">
        <v>0</v>
      </c>
      <c r="U944" s="89"/>
      <c r="V944" s="89"/>
      <c r="W944" s="89"/>
      <c r="X944" s="89"/>
      <c r="Y944" s="89"/>
      <c r="Z944" s="89"/>
      <c r="AA944" s="89"/>
      <c r="AB944" s="89"/>
      <c r="AC944" s="355"/>
      <c r="AD944" s="355"/>
      <c r="AE944" s="355"/>
      <c r="AF944" s="94">
        <f t="shared" si="127"/>
        <v>43039</v>
      </c>
      <c r="AG944" s="185">
        <f t="shared" si="132"/>
        <v>6.9498054851850899E-3</v>
      </c>
      <c r="AH944" s="339" t="str">
        <f>VLOOKUP(B944,'MF PF'!A:B,2)</f>
        <v>FdMgt1</v>
      </c>
      <c r="AI944" s="358">
        <f t="shared" si="128"/>
        <v>0</v>
      </c>
      <c r="AJ944" s="94">
        <f t="shared" si="129"/>
        <v>43039</v>
      </c>
    </row>
    <row r="945" spans="1:36" ht="12.75" customHeight="1">
      <c r="A945" s="8">
        <v>43069</v>
      </c>
      <c r="B945" s="8" t="s">
        <v>136</v>
      </c>
      <c r="C945" s="358" t="s">
        <v>307</v>
      </c>
      <c r="D945" s="374">
        <v>3711000</v>
      </c>
      <c r="E945" s="9" t="e">
        <f t="shared" si="133"/>
        <v>#DIV/0!</v>
      </c>
      <c r="F945" s="47">
        <v>2.8</v>
      </c>
      <c r="G945" s="47">
        <v>0</v>
      </c>
      <c r="H945" s="47">
        <v>0</v>
      </c>
      <c r="I945" s="47">
        <v>0</v>
      </c>
      <c r="J945" s="98"/>
      <c r="L945" s="93">
        <f t="shared" si="125"/>
        <v>0</v>
      </c>
      <c r="M945" s="95" t="e">
        <f t="shared" ca="1" si="126"/>
        <v>#DIV/0!</v>
      </c>
      <c r="N945" s="95">
        <f>IF(P945="Hedge Fund",IF(A945=Summary!$AD$3,M945-E945,M945),IF(A945=Summary!$AD$3,L945-D945,L945))</f>
        <v>0</v>
      </c>
      <c r="O945" s="95">
        <f t="shared" si="131"/>
        <v>0</v>
      </c>
      <c r="P945" s="89" t="s">
        <v>155</v>
      </c>
      <c r="Q945" s="89">
        <v>0</v>
      </c>
      <c r="R945" s="89">
        <v>0</v>
      </c>
      <c r="S945" s="89">
        <v>0</v>
      </c>
      <c r="T945" s="89">
        <v>0</v>
      </c>
      <c r="U945" s="89"/>
      <c r="V945" s="89"/>
      <c r="W945" s="89"/>
      <c r="X945" s="89"/>
      <c r="Y945" s="89"/>
      <c r="Z945" s="89"/>
      <c r="AA945" s="89"/>
      <c r="AB945" s="89"/>
      <c r="AC945" s="355"/>
      <c r="AD945" s="355"/>
      <c r="AE945" s="355"/>
      <c r="AF945" s="94">
        <f t="shared" si="127"/>
        <v>43069</v>
      </c>
      <c r="AG945" s="185">
        <f t="shared" si="132"/>
        <v>3.2346757237577961E-4</v>
      </c>
      <c r="AH945" s="339" t="str">
        <f>VLOOKUP(B945,'MF PF'!A:B,2)</f>
        <v>FdMgt1</v>
      </c>
      <c r="AI945" s="358">
        <f t="shared" si="128"/>
        <v>0</v>
      </c>
      <c r="AJ945" s="94">
        <f t="shared" si="129"/>
        <v>43069</v>
      </c>
    </row>
    <row r="946" spans="1:36" ht="12.75" customHeight="1">
      <c r="A946" s="8">
        <v>43098</v>
      </c>
      <c r="B946" s="8" t="s">
        <v>136</v>
      </c>
      <c r="C946" s="358" t="s">
        <v>307</v>
      </c>
      <c r="D946" s="374">
        <v>3882200</v>
      </c>
      <c r="E946" s="9" t="e">
        <f t="shared" si="133"/>
        <v>#DIV/0!</v>
      </c>
      <c r="F946" s="47">
        <v>2.8</v>
      </c>
      <c r="G946" s="47">
        <v>0</v>
      </c>
      <c r="H946" s="47">
        <v>0</v>
      </c>
      <c r="I946" s="47">
        <v>0</v>
      </c>
      <c r="J946" s="98"/>
      <c r="L946" s="93">
        <f t="shared" si="125"/>
        <v>0</v>
      </c>
      <c r="M946" s="95" t="e">
        <f t="shared" ca="1" si="126"/>
        <v>#DIV/0!</v>
      </c>
      <c r="N946" s="95">
        <f>IF(P946="Hedge Fund",IF(A946=Summary!$AD$3,M946-E946,M946),IF(A946=Summary!$AD$3,L946-D946,L946))</f>
        <v>0</v>
      </c>
      <c r="O946" s="95">
        <f t="shared" si="131"/>
        <v>0</v>
      </c>
      <c r="P946" s="89" t="s">
        <v>155</v>
      </c>
      <c r="Q946" s="89">
        <v>0</v>
      </c>
      <c r="R946" s="89">
        <v>0</v>
      </c>
      <c r="S946" s="89">
        <v>0</v>
      </c>
      <c r="T946" s="89">
        <v>0</v>
      </c>
      <c r="U946" s="89"/>
      <c r="V946" s="89"/>
      <c r="W946" s="89"/>
      <c r="X946" s="89"/>
      <c r="Y946" s="89"/>
      <c r="Z946" s="89"/>
      <c r="AA946" s="89"/>
      <c r="AB946" s="89"/>
      <c r="AC946" s="355"/>
      <c r="AD946" s="355"/>
      <c r="AE946" s="355"/>
      <c r="AF946" s="94">
        <f t="shared" si="127"/>
        <v>43098</v>
      </c>
      <c r="AG946" s="185">
        <f t="shared" si="132"/>
        <v>4.6133117758016651E-2</v>
      </c>
      <c r="AH946" s="339" t="str">
        <f>VLOOKUP(B946,'MF PF'!A:B,2)</f>
        <v>FdMgt1</v>
      </c>
      <c r="AI946" s="358">
        <f t="shared" si="128"/>
        <v>0</v>
      </c>
      <c r="AJ946" s="94">
        <f t="shared" si="129"/>
        <v>43100</v>
      </c>
    </row>
    <row r="947" spans="1:36" ht="12.75" customHeight="1">
      <c r="A947" s="8">
        <v>43131</v>
      </c>
      <c r="B947" s="8" t="s">
        <v>136</v>
      </c>
      <c r="C947" s="358" t="s">
        <v>307</v>
      </c>
      <c r="D947" s="374">
        <v>3931800</v>
      </c>
      <c r="E947" s="9" t="e">
        <f t="shared" si="133"/>
        <v>#DIV/0!</v>
      </c>
      <c r="F947" s="47">
        <v>2.8</v>
      </c>
      <c r="G947" s="47">
        <v>0</v>
      </c>
      <c r="H947" s="47">
        <v>0</v>
      </c>
      <c r="I947" s="47">
        <v>0</v>
      </c>
      <c r="J947" s="98"/>
      <c r="L947" s="93">
        <f t="shared" si="125"/>
        <v>0</v>
      </c>
      <c r="M947" s="95" t="e">
        <f t="shared" ca="1" si="126"/>
        <v>#DIV/0!</v>
      </c>
      <c r="N947" s="95">
        <f>IF(P947="Hedge Fund",IF(A947=Summary!$AD$3,M947-E947,M947),IF(A947=Summary!$AD$3,L947-D947,L947))</f>
        <v>0</v>
      </c>
      <c r="O947" s="95">
        <f t="shared" si="131"/>
        <v>0</v>
      </c>
      <c r="P947" s="89" t="s">
        <v>155</v>
      </c>
      <c r="Q947" s="107">
        <v>0</v>
      </c>
      <c r="R947" s="107">
        <v>0</v>
      </c>
      <c r="S947" s="89">
        <v>0</v>
      </c>
      <c r="T947" s="89">
        <v>0</v>
      </c>
      <c r="U947" s="89"/>
      <c r="V947" s="89"/>
      <c r="W947" s="89"/>
      <c r="X947" s="89"/>
      <c r="Y947" s="89"/>
      <c r="Z947" s="89"/>
      <c r="AA947" s="89"/>
      <c r="AB947" s="89"/>
      <c r="AC947" s="355"/>
      <c r="AD947" s="355"/>
      <c r="AE947" s="355"/>
      <c r="AF947" s="94">
        <f t="shared" si="127"/>
        <v>43131</v>
      </c>
      <c r="AG947" s="185">
        <f t="shared" si="132"/>
        <v>1.2776260883004431E-2</v>
      </c>
      <c r="AH947" s="339" t="str">
        <f>VLOOKUP(B947,'MF PF'!A:B,2)</f>
        <v>FdMgt1</v>
      </c>
      <c r="AI947" s="358">
        <f t="shared" si="128"/>
        <v>0</v>
      </c>
      <c r="AJ947" s="94">
        <f t="shared" si="129"/>
        <v>43131</v>
      </c>
    </row>
    <row r="948" spans="1:36" ht="12.75" customHeight="1">
      <c r="A948" s="8">
        <v>43159</v>
      </c>
      <c r="B948" s="8" t="s">
        <v>136</v>
      </c>
      <c r="C948" s="358" t="s">
        <v>307</v>
      </c>
      <c r="D948" s="374">
        <v>3965527.85</v>
      </c>
      <c r="E948" s="9" t="e">
        <f t="shared" si="133"/>
        <v>#DIV/0!</v>
      </c>
      <c r="F948" s="47">
        <v>2.8</v>
      </c>
      <c r="G948" s="47">
        <v>0</v>
      </c>
      <c r="H948" s="47">
        <v>0</v>
      </c>
      <c r="I948" s="47">
        <v>0</v>
      </c>
      <c r="J948" s="98"/>
      <c r="L948" s="93">
        <f t="shared" si="125"/>
        <v>0</v>
      </c>
      <c r="M948" s="95" t="e">
        <f t="shared" ca="1" si="126"/>
        <v>#DIV/0!</v>
      </c>
      <c r="N948" s="95">
        <f>IF(P948="Hedge Fund",IF(A948=Summary!$AD$3,M948-E948,M948),IF(A948=Summary!$AD$3,L948-D948,L948))</f>
        <v>0</v>
      </c>
      <c r="O948" s="95">
        <f t="shared" si="131"/>
        <v>0</v>
      </c>
      <c r="P948" s="89" t="s">
        <v>155</v>
      </c>
      <c r="Q948" s="107">
        <v>0</v>
      </c>
      <c r="R948" s="107">
        <v>0</v>
      </c>
      <c r="S948" s="89">
        <v>0</v>
      </c>
      <c r="T948" s="89">
        <v>0</v>
      </c>
      <c r="U948" s="89"/>
      <c r="V948" s="89"/>
      <c r="W948" s="89"/>
      <c r="X948" s="89"/>
      <c r="Y948" s="89"/>
      <c r="Z948" s="89"/>
      <c r="AA948" s="89"/>
      <c r="AB948" s="89"/>
      <c r="AC948" s="355"/>
      <c r="AD948" s="355"/>
      <c r="AE948" s="355"/>
      <c r="AF948" s="94">
        <f t="shared" si="127"/>
        <v>43159</v>
      </c>
      <c r="AG948" s="185">
        <f t="shared" si="132"/>
        <v>8.5782211709650724E-3</v>
      </c>
      <c r="AH948" s="339" t="str">
        <f>VLOOKUP(B948,'MF PF'!A:B,2)</f>
        <v>FdMgt1</v>
      </c>
      <c r="AI948" s="358">
        <f t="shared" si="128"/>
        <v>0</v>
      </c>
      <c r="AJ948" s="94">
        <f t="shared" si="129"/>
        <v>43159</v>
      </c>
    </row>
    <row r="949" spans="1:36" ht="12.75" customHeight="1">
      <c r="A949" s="8">
        <v>43188</v>
      </c>
      <c r="B949" s="94" t="s">
        <v>136</v>
      </c>
      <c r="C949" s="358" t="s">
        <v>307</v>
      </c>
      <c r="D949" s="374">
        <v>3991556.9789999998</v>
      </c>
      <c r="E949" s="9" t="e">
        <f t="shared" si="133"/>
        <v>#DIV/0!</v>
      </c>
      <c r="F949" s="47">
        <v>2.8</v>
      </c>
      <c r="G949" s="47">
        <v>0</v>
      </c>
      <c r="H949" s="47">
        <v>0</v>
      </c>
      <c r="I949" s="98">
        <v>0</v>
      </c>
      <c r="J949" s="98"/>
      <c r="L949" s="93">
        <f t="shared" si="125"/>
        <v>0</v>
      </c>
      <c r="M949" s="95" t="e">
        <f t="shared" ca="1" si="126"/>
        <v>#DIV/0!</v>
      </c>
      <c r="N949" s="95">
        <f>IF(P949="Hedge Fund",IF(A949=Summary!$AD$3,M949-E949,M949),IF(A949=Summary!$AD$3,L949-D949,L949))</f>
        <v>0</v>
      </c>
      <c r="O949" s="95">
        <f t="shared" si="131"/>
        <v>0</v>
      </c>
      <c r="P949" s="89" t="s">
        <v>155</v>
      </c>
      <c r="Q949" s="109">
        <v>1.5598715376257248E-2</v>
      </c>
      <c r="R949" s="109">
        <v>0.21027476100000003</v>
      </c>
      <c r="S949" s="89">
        <v>0</v>
      </c>
      <c r="T949" s="89">
        <v>0</v>
      </c>
      <c r="U949" s="89"/>
      <c r="V949" s="89"/>
      <c r="W949" s="89"/>
      <c r="X949" s="89"/>
      <c r="Y949" s="89"/>
      <c r="Z949" s="89"/>
      <c r="AA949" s="89"/>
      <c r="AB949" s="89"/>
      <c r="AC949" s="355"/>
      <c r="AD949" s="355"/>
      <c r="AE949" s="355"/>
      <c r="AF949" s="94">
        <f t="shared" si="127"/>
        <v>43188</v>
      </c>
      <c r="AG949" s="185">
        <f t="shared" si="132"/>
        <v>6.5638497533184736E-3</v>
      </c>
      <c r="AH949" s="339" t="str">
        <f>VLOOKUP(B949,'MF PF'!A:B,2)</f>
        <v>FdMgt1</v>
      </c>
      <c r="AI949" s="358">
        <f t="shared" si="128"/>
        <v>0</v>
      </c>
      <c r="AJ949" s="94">
        <f t="shared" si="129"/>
        <v>43190</v>
      </c>
    </row>
    <row r="950" spans="1:36" ht="12.75" customHeight="1">
      <c r="A950" s="8">
        <v>43220</v>
      </c>
      <c r="B950" s="94" t="s">
        <v>136</v>
      </c>
      <c r="C950" s="358" t="s">
        <v>307</v>
      </c>
      <c r="D950" s="374">
        <v>4044079.5244999998</v>
      </c>
      <c r="E950" s="9" t="e">
        <f t="shared" si="133"/>
        <v>#DIV/0!</v>
      </c>
      <c r="F950" s="47">
        <v>2.8</v>
      </c>
      <c r="G950" s="47">
        <v>0</v>
      </c>
      <c r="H950" s="47">
        <v>0</v>
      </c>
      <c r="I950" s="98">
        <v>0</v>
      </c>
      <c r="J950" s="98"/>
      <c r="K950" s="93"/>
      <c r="L950" s="93">
        <f t="shared" si="125"/>
        <v>0</v>
      </c>
      <c r="M950" s="95" t="e">
        <f t="shared" ca="1" si="126"/>
        <v>#DIV/0!</v>
      </c>
      <c r="N950" s="95">
        <f>IF(P950="Hedge Fund",IF(A950=Summary!$AD$3,M950-E950,M950),IF(A950=Summary!$AD$3,L950-D950,L950))</f>
        <v>0</v>
      </c>
      <c r="O950" s="95">
        <f t="shared" si="131"/>
        <v>0</v>
      </c>
      <c r="P950" s="89" t="s">
        <v>155</v>
      </c>
      <c r="Q950" s="109">
        <v>0</v>
      </c>
      <c r="R950" s="109">
        <v>0.21954345</v>
      </c>
      <c r="S950" s="89">
        <v>0</v>
      </c>
      <c r="T950" s="89">
        <v>0</v>
      </c>
      <c r="U950" s="89"/>
      <c r="V950" s="89"/>
      <c r="W950" s="89"/>
      <c r="X950" s="89"/>
      <c r="Y950" s="89"/>
      <c r="Z950" s="89"/>
      <c r="AA950" s="89"/>
      <c r="AB950" s="89"/>
      <c r="AC950" s="355"/>
      <c r="AD950" s="355"/>
      <c r="AE950" s="355"/>
      <c r="AF950" s="94">
        <f t="shared" si="127"/>
        <v>43220</v>
      </c>
      <c r="AG950" s="185">
        <f t="shared" si="132"/>
        <v>1.3158410559169331E-2</v>
      </c>
      <c r="AH950" s="339" t="str">
        <f>VLOOKUP(B950,'MF PF'!A:B,2)</f>
        <v>FdMgt1</v>
      </c>
      <c r="AI950" s="358">
        <f t="shared" si="128"/>
        <v>0</v>
      </c>
      <c r="AJ950" s="94">
        <f t="shared" si="129"/>
        <v>43220</v>
      </c>
    </row>
    <row r="951" spans="1:36" ht="12.75" customHeight="1">
      <c r="A951" s="94">
        <v>43251</v>
      </c>
      <c r="B951" s="358" t="s">
        <v>136</v>
      </c>
      <c r="C951" s="94" t="s">
        <v>307</v>
      </c>
      <c r="D951" s="374">
        <v>4068688.5970000001</v>
      </c>
      <c r="E951" s="9" t="e">
        <f t="shared" si="133"/>
        <v>#DIV/0!</v>
      </c>
      <c r="F951" s="47">
        <v>2.8</v>
      </c>
      <c r="G951" s="47">
        <v>0</v>
      </c>
      <c r="H951" s="47">
        <v>0</v>
      </c>
      <c r="I951" s="110">
        <v>0</v>
      </c>
      <c r="J951" s="110"/>
      <c r="K951" s="93"/>
      <c r="L951" s="93">
        <f t="shared" si="125"/>
        <v>0</v>
      </c>
      <c r="M951" s="95" t="e">
        <f t="shared" ca="1" si="126"/>
        <v>#DIV/0!</v>
      </c>
      <c r="N951" s="95">
        <f>IF(P951="Hedge Fund",IF(A951=Summary!$AD$3,M951-E951,M951),IF(A951=Summary!$AD$3,L951-D951,L951))</f>
        <v>0</v>
      </c>
      <c r="O951" s="95">
        <f t="shared" si="131"/>
        <v>0</v>
      </c>
      <c r="P951" s="89" t="s">
        <v>155</v>
      </c>
      <c r="Q951" s="109">
        <v>0</v>
      </c>
      <c r="R951" s="109">
        <v>0.22388622</v>
      </c>
      <c r="S951" s="89">
        <v>0</v>
      </c>
      <c r="T951" s="89">
        <v>0</v>
      </c>
      <c r="U951" s="89"/>
      <c r="V951" s="89"/>
      <c r="W951" s="89"/>
      <c r="X951" s="89"/>
      <c r="Y951" s="89"/>
      <c r="Z951" s="89"/>
      <c r="AA951" s="89"/>
      <c r="AB951" s="89"/>
      <c r="AC951" s="355"/>
      <c r="AD951" s="355"/>
      <c r="AE951" s="355"/>
      <c r="AF951" s="94">
        <f t="shared" si="127"/>
        <v>43251</v>
      </c>
      <c r="AG951" s="185">
        <f t="shared" si="132"/>
        <v>6.0852098359867046E-3</v>
      </c>
      <c r="AH951" s="339" t="str">
        <f>VLOOKUP(B951,'MF PF'!A:B,2)</f>
        <v>FdMgt1</v>
      </c>
      <c r="AI951" s="358">
        <f t="shared" si="128"/>
        <v>0</v>
      </c>
      <c r="AJ951" s="94">
        <f t="shared" si="129"/>
        <v>43251</v>
      </c>
    </row>
    <row r="952" spans="1:36" ht="12.75" customHeight="1">
      <c r="A952" s="94">
        <v>43280</v>
      </c>
      <c r="B952" s="358" t="s">
        <v>136</v>
      </c>
      <c r="C952" s="94" t="s">
        <v>307</v>
      </c>
      <c r="D952" s="374">
        <v>4075010.8714999999</v>
      </c>
      <c r="E952" s="9" t="e">
        <f t="shared" si="133"/>
        <v>#DIV/0!</v>
      </c>
      <c r="F952" s="47">
        <v>2.8</v>
      </c>
      <c r="G952" s="47">
        <v>0</v>
      </c>
      <c r="H952" s="47">
        <v>0</v>
      </c>
      <c r="I952" s="110">
        <v>0</v>
      </c>
      <c r="J952" s="110"/>
      <c r="K952" s="93"/>
      <c r="L952" s="93">
        <f t="shared" si="125"/>
        <v>0</v>
      </c>
      <c r="M952" s="95" t="e">
        <f t="shared" ca="1" si="126"/>
        <v>#DIV/0!</v>
      </c>
      <c r="N952" s="95">
        <f>IF(P952="Hedge Fund",IF(A952=Summary!$AD$3,M952-E952,M952),IF(A952=Summary!$AD$3,L952-D952,L952))</f>
        <v>0</v>
      </c>
      <c r="O952" s="95">
        <f t="shared" si="131"/>
        <v>0</v>
      </c>
      <c r="P952" s="89" t="s">
        <v>155</v>
      </c>
      <c r="Q952" s="109">
        <v>1.6319279999999999E-2</v>
      </c>
      <c r="R952" s="109">
        <v>0.22500191999999999</v>
      </c>
      <c r="S952" s="89">
        <v>0</v>
      </c>
      <c r="T952" s="89">
        <v>0</v>
      </c>
      <c r="U952" s="89"/>
      <c r="V952" s="89"/>
      <c r="W952" s="89"/>
      <c r="X952" s="89"/>
      <c r="Y952" s="89"/>
      <c r="Z952" s="89"/>
      <c r="AA952" s="89"/>
      <c r="AB952" s="89"/>
      <c r="AC952" s="355"/>
      <c r="AD952" s="355"/>
      <c r="AE952" s="355"/>
      <c r="AF952" s="94">
        <f t="shared" si="127"/>
        <v>43280</v>
      </c>
      <c r="AG952" s="185">
        <f t="shared" si="132"/>
        <v>1.5538850785143943E-3</v>
      </c>
      <c r="AH952" s="339" t="str">
        <f>VLOOKUP(B952,'MF PF'!A:B,2)</f>
        <v>FdMgt1</v>
      </c>
      <c r="AI952" s="358">
        <f t="shared" si="128"/>
        <v>0</v>
      </c>
      <c r="AJ952" s="94">
        <f t="shared" si="129"/>
        <v>43281</v>
      </c>
    </row>
    <row r="953" spans="1:36" ht="12.75" customHeight="1">
      <c r="A953" s="94">
        <v>43312</v>
      </c>
      <c r="B953" s="358" t="s">
        <v>136</v>
      </c>
      <c r="C953" s="94" t="s">
        <v>307</v>
      </c>
      <c r="D953" s="374">
        <v>4091275.8254999998</v>
      </c>
      <c r="E953" s="9" t="str">
        <f>IF(K953="","",D953/K953)</f>
        <v/>
      </c>
      <c r="F953" s="98">
        <v>2.8</v>
      </c>
      <c r="G953" s="98">
        <v>0</v>
      </c>
      <c r="H953" s="98">
        <v>0</v>
      </c>
      <c r="I953" s="98">
        <v>0</v>
      </c>
      <c r="J953" s="98"/>
      <c r="K953" s="93"/>
      <c r="L953" s="93">
        <f t="shared" si="125"/>
        <v>0</v>
      </c>
      <c r="M953" s="95" t="e">
        <f t="shared" ca="1" si="126"/>
        <v>#DIV/0!</v>
      </c>
      <c r="N953" s="95">
        <f>IF(P953="Hedge Fund",IF(A953=Summary!$AD$3,M953-E953,M953),IF(A953=Summary!$AD$3,L953-D953,L953))</f>
        <v>0</v>
      </c>
      <c r="O953" s="95">
        <f t="shared" si="131"/>
        <v>0</v>
      </c>
      <c r="P953" s="107" t="s">
        <v>155</v>
      </c>
      <c r="Q953" s="107">
        <v>0</v>
      </c>
      <c r="R953" s="109">
        <f>227872.2045/10^6</f>
        <v>0.22787220449999998</v>
      </c>
      <c r="S953" s="107">
        <v>0</v>
      </c>
      <c r="T953" s="107">
        <v>0</v>
      </c>
      <c r="U953" s="107"/>
      <c r="V953" s="107"/>
      <c r="W953" s="107"/>
      <c r="X953" s="107"/>
      <c r="Y953" s="107"/>
      <c r="Z953" s="107"/>
      <c r="AA953" s="107"/>
      <c r="AB953" s="107"/>
      <c r="AC953" s="355"/>
      <c r="AD953" s="355"/>
      <c r="AE953" s="355"/>
      <c r="AF953" s="94">
        <f t="shared" si="127"/>
        <v>43312</v>
      </c>
      <c r="AG953" s="185">
        <f t="shared" si="132"/>
        <v>3.9913891061627016E-3</v>
      </c>
      <c r="AH953" s="339" t="str">
        <f>VLOOKUP(B953,'MF PF'!A:B,2)</f>
        <v>FdMgt1</v>
      </c>
      <c r="AI953" s="358">
        <f t="shared" si="128"/>
        <v>0</v>
      </c>
      <c r="AJ953" s="94">
        <f t="shared" si="129"/>
        <v>43312</v>
      </c>
    </row>
    <row r="954" spans="1:36" ht="12.75" customHeight="1">
      <c r="A954" s="94">
        <v>43343</v>
      </c>
      <c r="B954" s="358" t="s">
        <v>136</v>
      </c>
      <c r="C954" s="94" t="s">
        <v>307</v>
      </c>
      <c r="D954" s="374">
        <v>4100797.585</v>
      </c>
      <c r="E954" s="9" t="str">
        <f>IF(K954="","",D954/K954)</f>
        <v/>
      </c>
      <c r="F954" s="98">
        <v>2.8</v>
      </c>
      <c r="G954" s="98">
        <v>0</v>
      </c>
      <c r="H954" s="98">
        <v>0</v>
      </c>
      <c r="I954" s="98">
        <v>0</v>
      </c>
      <c r="J954" s="98"/>
      <c r="L954" s="93">
        <f t="shared" si="125"/>
        <v>0</v>
      </c>
      <c r="M954" s="95" t="e">
        <f t="shared" ca="1" si="126"/>
        <v>#DIV/0!</v>
      </c>
      <c r="N954" s="95">
        <f>IF(P954="Hedge Fund",IF(A954=Summary!$AD$3,M954-E954,M954),IF(A954=Summary!$AD$3,L954-D954,L954))</f>
        <v>0</v>
      </c>
      <c r="O954" s="95">
        <f t="shared" si="131"/>
        <v>0</v>
      </c>
      <c r="P954" s="107" t="s">
        <v>155</v>
      </c>
      <c r="Q954" s="107">
        <v>0</v>
      </c>
      <c r="R954" s="109">
        <v>0.22955251499999993</v>
      </c>
      <c r="S954" s="107">
        <v>0</v>
      </c>
      <c r="T954" s="107">
        <v>0</v>
      </c>
      <c r="U954" s="107"/>
      <c r="V954" s="107"/>
      <c r="W954" s="107"/>
      <c r="X954" s="107"/>
      <c r="Y954" s="107"/>
      <c r="Z954" s="107"/>
      <c r="AA954" s="107"/>
      <c r="AB954" s="107"/>
      <c r="AC954" s="355"/>
      <c r="AD954" s="355"/>
      <c r="AE954" s="355"/>
      <c r="AF954" s="94">
        <f t="shared" si="127"/>
        <v>43343</v>
      </c>
      <c r="AG954" s="185">
        <f t="shared" si="132"/>
        <v>2.3273325745121198E-3</v>
      </c>
      <c r="AH954" s="339" t="str">
        <f>VLOOKUP(B954,'MF PF'!A:B,2)</f>
        <v>FdMgt1</v>
      </c>
      <c r="AI954" s="358">
        <f t="shared" si="128"/>
        <v>0</v>
      </c>
      <c r="AJ954" s="94">
        <f t="shared" si="129"/>
        <v>43343</v>
      </c>
    </row>
    <row r="955" spans="1:36" ht="12.75" customHeight="1">
      <c r="A955" s="94">
        <v>43371</v>
      </c>
      <c r="B955" s="358" t="s">
        <v>136</v>
      </c>
      <c r="C955" s="358" t="s">
        <v>307</v>
      </c>
      <c r="D955" s="374">
        <v>4042907.0515000001</v>
      </c>
      <c r="F955" s="105">
        <v>2.8</v>
      </c>
      <c r="G955" s="93">
        <v>0</v>
      </c>
      <c r="H955" s="93">
        <v>0</v>
      </c>
      <c r="I955" s="93">
        <v>0</v>
      </c>
      <c r="K955" s="7">
        <v>0</v>
      </c>
      <c r="L955" s="93">
        <f t="shared" si="125"/>
        <v>0</v>
      </c>
      <c r="M955" s="95" t="e">
        <f t="shared" ca="1" si="126"/>
        <v>#DIV/0!</v>
      </c>
      <c r="N955" s="95">
        <f>IF(P955="Hedge Fund",IF(A955=Summary!$AD$3,M955-E955,M955),IF(A955=Summary!$AD$3,L955-D955,L955))</f>
        <v>0</v>
      </c>
      <c r="O955" s="95">
        <f t="shared" si="131"/>
        <v>0</v>
      </c>
      <c r="P955" s="95" t="s">
        <v>155</v>
      </c>
      <c r="Q955" s="353">
        <v>1.5999456882540623E-2</v>
      </c>
      <c r="R955" s="95">
        <v>0.21933653849999996</v>
      </c>
      <c r="S955" s="95"/>
      <c r="T955" s="95"/>
      <c r="U955" s="95"/>
      <c r="V955" s="95"/>
      <c r="W955" s="95"/>
      <c r="X955" s="95"/>
      <c r="Y955" s="95"/>
      <c r="Z955" s="95"/>
      <c r="AA955" s="95"/>
      <c r="AB955" s="95"/>
      <c r="AC955" s="355"/>
      <c r="AD955" s="355"/>
      <c r="AE955" s="355"/>
      <c r="AF955" s="94">
        <f t="shared" si="127"/>
        <v>43371</v>
      </c>
      <c r="AG955" s="185">
        <f t="shared" si="132"/>
        <v>-1.4116896115954014E-2</v>
      </c>
      <c r="AH955" s="339" t="str">
        <f>VLOOKUP(B955,'MF PF'!A:B,2)</f>
        <v>FdMgt1</v>
      </c>
      <c r="AI955" s="358">
        <f t="shared" si="128"/>
        <v>0</v>
      </c>
      <c r="AJ955" s="94">
        <f t="shared" si="129"/>
        <v>43373</v>
      </c>
    </row>
    <row r="956" spans="1:36" ht="12.75" customHeight="1">
      <c r="A956" s="94">
        <v>43404</v>
      </c>
      <c r="B956" s="358" t="s">
        <v>136</v>
      </c>
      <c r="C956" s="92" t="s">
        <v>307</v>
      </c>
      <c r="D956" s="374">
        <v>4049736.6485000001</v>
      </c>
      <c r="F956" s="105">
        <v>2.8</v>
      </c>
      <c r="G956" s="93">
        <v>0</v>
      </c>
      <c r="H956" s="93">
        <v>0</v>
      </c>
      <c r="I956" s="93">
        <v>0</v>
      </c>
      <c r="J956" s="93">
        <v>0</v>
      </c>
      <c r="L956" s="93">
        <f t="shared" si="125"/>
        <v>0</v>
      </c>
      <c r="M956" s="95" t="e">
        <f t="shared" ca="1" si="126"/>
        <v>#DIV/0!</v>
      </c>
      <c r="N956" s="95">
        <f>IF(P956="Hedge Fund",IF(A956=Summary!$AD$3,M956-E956,M956),IF(A956=Summary!$AD$3,L956-D956,L956))</f>
        <v>0</v>
      </c>
      <c r="O956" s="95">
        <f t="shared" si="131"/>
        <v>0</v>
      </c>
      <c r="P956" s="95" t="s">
        <v>155</v>
      </c>
      <c r="Q956" s="95">
        <v>5.7990639749147853E-3</v>
      </c>
      <c r="R956" s="95">
        <v>0.22054176150000002</v>
      </c>
      <c r="S956" s="95"/>
      <c r="T956" s="95"/>
      <c r="U956" s="95"/>
      <c r="V956" s="95"/>
      <c r="W956" s="95"/>
      <c r="X956" s="95"/>
      <c r="Y956" s="95"/>
      <c r="Z956" s="95"/>
      <c r="AA956" s="95"/>
      <c r="AB956" s="95"/>
      <c r="AC956" s="355"/>
      <c r="AD956" s="355"/>
      <c r="AE956" s="355"/>
      <c r="AF956" s="94">
        <f t="shared" si="127"/>
        <v>43404</v>
      </c>
      <c r="AG956" s="185">
        <f t="shared" si="132"/>
        <v>1.6892787573401513E-3</v>
      </c>
      <c r="AH956" s="339" t="str">
        <f>VLOOKUP(B956,'MF PF'!A:B,2)</f>
        <v>FdMgt1</v>
      </c>
      <c r="AI956" s="358">
        <f t="shared" si="128"/>
        <v>0</v>
      </c>
      <c r="AJ956" s="94">
        <f t="shared" si="129"/>
        <v>43404</v>
      </c>
    </row>
    <row r="957" spans="1:36" ht="12.75" customHeight="1">
      <c r="A957" s="8">
        <v>43434</v>
      </c>
      <c r="B957" s="358" t="s">
        <v>136</v>
      </c>
      <c r="C957" s="6" t="s">
        <v>307</v>
      </c>
      <c r="D957" s="374">
        <v>4100391.3190000001</v>
      </c>
      <c r="F957" s="105">
        <v>2.8</v>
      </c>
      <c r="G957" s="93">
        <v>0</v>
      </c>
      <c r="H957" s="93">
        <v>0</v>
      </c>
      <c r="I957" s="93">
        <v>0</v>
      </c>
      <c r="K957" s="7">
        <v>0</v>
      </c>
      <c r="L957" s="93">
        <f t="shared" si="125"/>
        <v>0</v>
      </c>
      <c r="M957" s="95" t="e">
        <f t="shared" ca="1" si="126"/>
        <v>#DIV/0!</v>
      </c>
      <c r="N957" s="95">
        <f>IF(P957="Hedge Fund",IF(A957=Summary!$AD$3,M957-E957,M957),IF(A957=Summary!$AD$3,L957-D957,L957))</f>
        <v>0</v>
      </c>
      <c r="O957" s="95">
        <f t="shared" si="131"/>
        <v>0</v>
      </c>
      <c r="P957" s="95" t="s">
        <v>155</v>
      </c>
      <c r="Q957" s="95">
        <v>1.1239315961359153E-2</v>
      </c>
      <c r="R957" s="95">
        <v>0.22948082099999995</v>
      </c>
      <c r="S957" s="95"/>
      <c r="T957" s="95"/>
      <c r="U957" s="95"/>
      <c r="V957" s="95"/>
      <c r="W957" s="95"/>
      <c r="X957" s="95"/>
      <c r="Y957" s="95"/>
      <c r="Z957" s="95"/>
      <c r="AA957" s="95"/>
      <c r="AB957" s="95"/>
      <c r="AC957" s="355"/>
      <c r="AD957" s="355"/>
      <c r="AE957" s="355"/>
      <c r="AF957" s="94">
        <f t="shared" si="127"/>
        <v>43434</v>
      </c>
      <c r="AG957" s="185">
        <f t="shared" si="132"/>
        <v>1.250813939191886E-2</v>
      </c>
      <c r="AH957" s="339" t="str">
        <f>VLOOKUP(B957,'MF PF'!A:B,2)</f>
        <v>FdMgt1</v>
      </c>
      <c r="AI957" s="358">
        <f t="shared" si="128"/>
        <v>0</v>
      </c>
      <c r="AJ957" s="94">
        <f t="shared" si="129"/>
        <v>43434</v>
      </c>
    </row>
    <row r="958" spans="1:36" ht="12.75" customHeight="1">
      <c r="A958" s="94">
        <v>43452</v>
      </c>
      <c r="B958" s="358" t="s">
        <v>136</v>
      </c>
      <c r="C958" s="92" t="s">
        <v>307</v>
      </c>
      <c r="D958" s="93"/>
      <c r="F958" s="93"/>
      <c r="G958" s="93"/>
      <c r="H958" s="93"/>
      <c r="I958" s="93">
        <v>0</v>
      </c>
      <c r="K958" s="93"/>
      <c r="L958" s="93">
        <f t="shared" si="125"/>
        <v>0</v>
      </c>
      <c r="M958" s="95" t="e">
        <f t="shared" ca="1" si="126"/>
        <v>#DIV/0!</v>
      </c>
      <c r="N958" s="95">
        <f>IF(P958="Hedge Fund",IF(A958=Summary!$AD$3,M958-E958,M958),IF(A958=Summary!$AD$3,L958-D958,L958))</f>
        <v>0</v>
      </c>
      <c r="O958" s="95">
        <f t="shared" si="131"/>
        <v>0</v>
      </c>
      <c r="P958" s="95" t="s">
        <v>155</v>
      </c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  <c r="AC958" s="355"/>
      <c r="AD958" s="355"/>
      <c r="AE958" s="355"/>
      <c r="AF958" s="94">
        <f t="shared" si="127"/>
        <v>43452</v>
      </c>
      <c r="AG958" s="185">
        <f t="shared" si="132"/>
        <v>-1</v>
      </c>
      <c r="AH958" s="339" t="str">
        <f>VLOOKUP(B958,'MF PF'!A:B,2)</f>
        <v>FdMgt1</v>
      </c>
      <c r="AI958" s="358">
        <f t="shared" si="128"/>
        <v>0</v>
      </c>
      <c r="AJ958" s="94">
        <f t="shared" si="129"/>
        <v>43465</v>
      </c>
    </row>
    <row r="959" spans="1:36" ht="12.75" customHeight="1">
      <c r="A959" s="94">
        <v>43465</v>
      </c>
      <c r="B959" s="358" t="s">
        <v>136</v>
      </c>
      <c r="C959" s="358" t="s">
        <v>307</v>
      </c>
      <c r="D959" s="93">
        <v>4157150.392</v>
      </c>
      <c r="F959" s="93">
        <v>2.8</v>
      </c>
      <c r="G959" s="93">
        <v>0</v>
      </c>
      <c r="H959" s="93">
        <v>0</v>
      </c>
      <c r="I959" s="93">
        <v>0</v>
      </c>
      <c r="K959" s="7">
        <v>0</v>
      </c>
      <c r="L959" s="93">
        <f t="shared" si="125"/>
        <v>0</v>
      </c>
      <c r="M959" s="95" t="e">
        <f t="shared" ca="1" si="126"/>
        <v>#DIV/0!</v>
      </c>
      <c r="N959" s="95">
        <f>IF(P959="Hedge Fund",IF(A959=Summary!$AD$3,M959-E959,M959),IF(A959=Summary!$AD$3,L959-D959,L959))</f>
        <v>0</v>
      </c>
      <c r="O959" s="95">
        <f t="shared" si="131"/>
        <v>0</v>
      </c>
      <c r="P959" s="95" t="s">
        <v>155</v>
      </c>
      <c r="Q959" s="95">
        <v>1.7050174636822308E-2</v>
      </c>
      <c r="R959" s="95">
        <v>0.23949712799999992</v>
      </c>
      <c r="S959" s="95"/>
      <c r="T959" s="95"/>
      <c r="U959" s="95"/>
      <c r="V959" s="95"/>
      <c r="W959" s="95"/>
      <c r="X959" s="95"/>
      <c r="Y959" s="95"/>
      <c r="Z959" s="95"/>
      <c r="AA959" s="95"/>
      <c r="AB959" s="95"/>
      <c r="AC959" s="355"/>
      <c r="AD959" s="355"/>
      <c r="AE959" s="355"/>
      <c r="AF959" s="94">
        <f t="shared" si="127"/>
        <v>43465</v>
      </c>
      <c r="AG959" s="185" t="e">
        <f t="shared" si="132"/>
        <v>#DIV/0!</v>
      </c>
      <c r="AH959" s="339" t="str">
        <f>VLOOKUP(B959,'MF PF'!A:B,2)</f>
        <v>FdMgt1</v>
      </c>
      <c r="AI959" s="358">
        <f t="shared" si="128"/>
        <v>0</v>
      </c>
      <c r="AJ959" s="94">
        <f t="shared" si="129"/>
        <v>43465</v>
      </c>
    </row>
    <row r="960" spans="1:36" ht="12.75" customHeight="1">
      <c r="A960" s="8">
        <v>43487</v>
      </c>
      <c r="B960" s="358" t="s">
        <v>136</v>
      </c>
      <c r="C960" s="6" t="s">
        <v>307</v>
      </c>
      <c r="D960" s="93"/>
      <c r="F960" s="93"/>
      <c r="G960" s="93"/>
      <c r="H960" s="93"/>
      <c r="I960" s="93">
        <v>-43971.579298705001</v>
      </c>
      <c r="L960" s="93">
        <f t="shared" si="125"/>
        <v>-43971.579298705001</v>
      </c>
      <c r="M960" s="95" t="e">
        <f t="shared" ca="1" si="126"/>
        <v>#DIV/0!</v>
      </c>
      <c r="N960" s="95">
        <f>IF(P960="Hedge Fund",IF(A960=Summary!$AD$3,M960-E960,M960),IF(A960=Summary!$AD$3,L960-D960,L960))</f>
        <v>-43971.579298705001</v>
      </c>
      <c r="O960" s="95">
        <f t="shared" si="131"/>
        <v>-43971.579298705001</v>
      </c>
      <c r="P960" s="95" t="s">
        <v>155</v>
      </c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  <c r="AC960" s="355"/>
      <c r="AD960" s="355"/>
      <c r="AE960" s="355"/>
      <c r="AF960" s="94">
        <f t="shared" si="127"/>
        <v>43487</v>
      </c>
      <c r="AG960" s="185">
        <f t="shared" si="132"/>
        <v>-0.98942266332646422</v>
      </c>
      <c r="AH960" s="339" t="str">
        <f>VLOOKUP(B960,'MF PF'!A:B,2)</f>
        <v>FdMgt1</v>
      </c>
      <c r="AI960" s="358">
        <f t="shared" si="128"/>
        <v>0</v>
      </c>
      <c r="AJ960" s="94">
        <f t="shared" si="129"/>
        <v>43496</v>
      </c>
    </row>
    <row r="961" spans="1:36" ht="12.75" customHeight="1">
      <c r="A961" s="94">
        <v>43496</v>
      </c>
      <c r="B961" s="358" t="s">
        <v>136</v>
      </c>
      <c r="C961" s="92" t="s">
        <v>307</v>
      </c>
      <c r="D961" s="93">
        <v>4163368.7455000002</v>
      </c>
      <c r="F961" s="93">
        <v>2.8</v>
      </c>
      <c r="G961" s="93">
        <v>0</v>
      </c>
      <c r="H961" s="93">
        <v>0</v>
      </c>
      <c r="I961" s="93">
        <v>0</v>
      </c>
      <c r="K961" s="7">
        <v>0</v>
      </c>
      <c r="L961" s="93">
        <f t="shared" si="125"/>
        <v>0</v>
      </c>
      <c r="M961" s="95" t="e">
        <f t="shared" ca="1" si="126"/>
        <v>#DIV/0!</v>
      </c>
      <c r="N961" s="95">
        <f>IF(P961="Hedge Fund",IF(A961=Summary!$AD$3,M961-E961,M961),IF(A961=Summary!$AD$3,L961-D961,L961))</f>
        <v>-4163368.7455000002</v>
      </c>
      <c r="O961" s="95">
        <f t="shared" si="131"/>
        <v>-4163368.7455000002</v>
      </c>
      <c r="P961" s="95" t="s">
        <v>155</v>
      </c>
      <c r="Q961" s="95">
        <v>5.617685274431114E-3</v>
      </c>
      <c r="R961" s="95">
        <v>0.24059448450000004</v>
      </c>
      <c r="S961" s="95"/>
      <c r="T961" s="95"/>
      <c r="U961" s="95"/>
      <c r="V961" s="95"/>
      <c r="W961" s="95"/>
      <c r="X961" s="95"/>
      <c r="Y961" s="95"/>
      <c r="Z961" s="95"/>
      <c r="AA961" s="95"/>
      <c r="AB961" s="95"/>
      <c r="AC961" s="355"/>
      <c r="AD961" s="355"/>
      <c r="AE961" s="355"/>
      <c r="AF961" s="94">
        <f t="shared" si="127"/>
        <v>43496</v>
      </c>
      <c r="AG961" s="185" t="e">
        <f t="shared" si="132"/>
        <v>#DIV/0!</v>
      </c>
      <c r="AH961" s="339" t="str">
        <f>VLOOKUP(B961,'MF PF'!A:B,2)</f>
        <v>FdMgt1</v>
      </c>
      <c r="AI961" s="358">
        <f t="shared" si="128"/>
        <v>0</v>
      </c>
      <c r="AJ961" s="94">
        <f t="shared" si="129"/>
        <v>43496</v>
      </c>
    </row>
    <row r="962" spans="1:36" ht="12.75" customHeight="1">
      <c r="A962" s="8">
        <v>41856</v>
      </c>
      <c r="B962" s="8" t="s">
        <v>136</v>
      </c>
      <c r="C962" s="358" t="s">
        <v>308</v>
      </c>
      <c r="D962" s="374">
        <v>592800</v>
      </c>
      <c r="E962" s="9" t="e">
        <f t="shared" ref="E962:E993" si="134">D962/K962</f>
        <v>#DIV/0!</v>
      </c>
      <c r="F962" s="47">
        <v>5.2</v>
      </c>
      <c r="G962" s="47">
        <v>592800</v>
      </c>
      <c r="H962" s="47">
        <v>0</v>
      </c>
      <c r="I962" s="47">
        <v>0</v>
      </c>
      <c r="J962" s="98"/>
      <c r="K962" s="93"/>
      <c r="L962" s="93">
        <f t="shared" si="125"/>
        <v>592800</v>
      </c>
      <c r="M962" s="95" t="e">
        <f t="shared" ca="1" si="126"/>
        <v>#DIV/0!</v>
      </c>
      <c r="N962" s="95">
        <f>IF(P962="Hedge Fund",IF(A962=Summary!$AD$3,M962-E962,M962),IF(A962=Summary!$AD$3,L962-D962,L962))</f>
        <v>592800</v>
      </c>
      <c r="O962" s="95">
        <f t="shared" si="131"/>
        <v>592800</v>
      </c>
      <c r="P962" s="89" t="s">
        <v>155</v>
      </c>
      <c r="Q962" s="89">
        <v>0</v>
      </c>
      <c r="R962" s="89">
        <v>0</v>
      </c>
      <c r="S962" s="89">
        <v>0</v>
      </c>
      <c r="T962" s="89">
        <v>0</v>
      </c>
      <c r="U962" s="89"/>
      <c r="V962" s="89"/>
      <c r="W962" s="89"/>
      <c r="X962" s="89"/>
      <c r="Y962" s="89"/>
      <c r="Z962" s="89"/>
      <c r="AA962" s="89"/>
      <c r="AB962" s="89"/>
      <c r="AC962" s="355"/>
      <c r="AD962" s="355"/>
      <c r="AE962" s="355"/>
      <c r="AF962" s="94">
        <f t="shared" si="127"/>
        <v>41856</v>
      </c>
      <c r="AG962" s="185">
        <f t="shared" si="132"/>
        <v>0</v>
      </c>
      <c r="AH962" s="339" t="str">
        <f>VLOOKUP(B962,'MF PF'!A:B,2)</f>
        <v>FdMgt1</v>
      </c>
      <c r="AI962" s="358">
        <f t="shared" si="128"/>
        <v>0</v>
      </c>
      <c r="AJ962" s="94">
        <f t="shared" si="129"/>
        <v>41882</v>
      </c>
    </row>
    <row r="963" spans="1:36" ht="12.75" customHeight="1">
      <c r="A963" s="8">
        <v>41870</v>
      </c>
      <c r="B963" s="8" t="s">
        <v>136</v>
      </c>
      <c r="C963" s="358" t="s">
        <v>308</v>
      </c>
      <c r="D963" s="374">
        <v>1315599.9999999998</v>
      </c>
      <c r="E963" s="9" t="e">
        <f t="shared" si="134"/>
        <v>#DIV/0!</v>
      </c>
      <c r="F963" s="47">
        <v>5.2</v>
      </c>
      <c r="G963" s="47">
        <v>722800</v>
      </c>
      <c r="H963" s="47">
        <v>0</v>
      </c>
      <c r="I963" s="47">
        <v>0</v>
      </c>
      <c r="J963" s="98"/>
      <c r="K963" s="93"/>
      <c r="L963" s="93">
        <f t="shared" ref="L963:L1026" si="135">G963+H963+I963</f>
        <v>722800</v>
      </c>
      <c r="M963" s="95" t="e">
        <f t="shared" ref="M963:M1026" ca="1" si="136">IF(A963&gt;INDIRECT("A"&amp;ROW()-1),I963/K963,E963)</f>
        <v>#DIV/0!</v>
      </c>
      <c r="N963" s="95">
        <f>IF(P963="Hedge Fund",IF(A963=Summary!$AD$3,M963-E963,M963),IF(A963=Summary!$AD$3,L963-D963,L963))</f>
        <v>722800</v>
      </c>
      <c r="O963" s="95">
        <f t="shared" si="131"/>
        <v>722800</v>
      </c>
      <c r="P963" s="89" t="s">
        <v>155</v>
      </c>
      <c r="Q963" s="89">
        <v>0</v>
      </c>
      <c r="R963" s="89">
        <v>0</v>
      </c>
      <c r="S963" s="89">
        <v>0</v>
      </c>
      <c r="T963" s="89">
        <v>0</v>
      </c>
      <c r="U963" s="89"/>
      <c r="V963" s="89"/>
      <c r="W963" s="89"/>
      <c r="X963" s="89"/>
      <c r="Y963" s="89"/>
      <c r="Z963" s="89"/>
      <c r="AA963" s="89"/>
      <c r="AB963" s="89"/>
      <c r="AC963" s="355"/>
      <c r="AD963" s="355"/>
      <c r="AE963" s="355"/>
      <c r="AF963" s="94">
        <f t="shared" ref="AF963:AF1026" si="137">A963</f>
        <v>41870</v>
      </c>
      <c r="AG963" s="185">
        <f t="shared" si="132"/>
        <v>-4.4408920985006262E-16</v>
      </c>
      <c r="AH963" s="339" t="str">
        <f>VLOOKUP(B963,'MF PF'!A:B,2)</f>
        <v>FdMgt1</v>
      </c>
      <c r="AI963" s="358">
        <f t="shared" ref="AI963:AI1026" si="138">AF963-A963</f>
        <v>0</v>
      </c>
      <c r="AJ963" s="94">
        <f t="shared" ref="AJ963:AJ1026" si="139">EOMONTH(A963,0)</f>
        <v>41882</v>
      </c>
    </row>
    <row r="964" spans="1:36" ht="12.75" customHeight="1">
      <c r="A964" s="94">
        <v>41880</v>
      </c>
      <c r="B964" s="8" t="s">
        <v>136</v>
      </c>
      <c r="C964" s="358" t="s">
        <v>308</v>
      </c>
      <c r="D964" s="374">
        <v>1319648.6265</v>
      </c>
      <c r="E964" s="9" t="e">
        <f t="shared" si="134"/>
        <v>#DIV/0!</v>
      </c>
      <c r="F964" s="47">
        <v>5.2</v>
      </c>
      <c r="G964" s="47">
        <v>0</v>
      </c>
      <c r="H964" s="47">
        <v>0</v>
      </c>
      <c r="I964" s="47">
        <v>0</v>
      </c>
      <c r="J964" s="98"/>
      <c r="L964" s="93">
        <f t="shared" si="135"/>
        <v>0</v>
      </c>
      <c r="M964" s="95" t="e">
        <f t="shared" ca="1" si="136"/>
        <v>#DIV/0!</v>
      </c>
      <c r="N964" s="95">
        <f>IF(P964="Hedge Fund",IF(A964=Summary!$AD$3,M964-E964,M964),IF(A964=Summary!$AD$3,L964-D964,L964))</f>
        <v>0</v>
      </c>
      <c r="O964" s="95">
        <f t="shared" si="131"/>
        <v>0</v>
      </c>
      <c r="P964" s="89" t="s">
        <v>155</v>
      </c>
      <c r="Q964" s="89">
        <v>0</v>
      </c>
      <c r="R964" s="89">
        <v>0</v>
      </c>
      <c r="S964" s="89">
        <v>0</v>
      </c>
      <c r="T964" s="89">
        <v>0</v>
      </c>
      <c r="U964" s="89"/>
      <c r="V964" s="89"/>
      <c r="W964" s="89"/>
      <c r="X964" s="89"/>
      <c r="Y964" s="89"/>
      <c r="Z964" s="89"/>
      <c r="AA964" s="89"/>
      <c r="AB964" s="89"/>
      <c r="AC964" s="355"/>
      <c r="AD964" s="355"/>
      <c r="AE964" s="355"/>
      <c r="AF964" s="94">
        <f t="shared" si="137"/>
        <v>41880</v>
      </c>
      <c r="AG964" s="185">
        <f t="shared" si="132"/>
        <v>3.0773992854973287E-3</v>
      </c>
      <c r="AH964" s="339" t="str">
        <f>VLOOKUP(B964,'MF PF'!A:B,2)</f>
        <v>FdMgt1</v>
      </c>
      <c r="AI964" s="358">
        <f t="shared" si="138"/>
        <v>0</v>
      </c>
      <c r="AJ964" s="94">
        <f t="shared" si="139"/>
        <v>41882</v>
      </c>
    </row>
    <row r="965" spans="1:36" ht="12.75" customHeight="1">
      <c r="A965" s="8">
        <v>41912</v>
      </c>
      <c r="B965" s="8" t="s">
        <v>136</v>
      </c>
      <c r="C965" s="358" t="s">
        <v>308</v>
      </c>
      <c r="D965" s="374">
        <v>1287631.95</v>
      </c>
      <c r="E965" s="9" t="e">
        <f t="shared" si="134"/>
        <v>#DIV/0!</v>
      </c>
      <c r="F965" s="47">
        <v>5.2</v>
      </c>
      <c r="G965" s="47">
        <v>0</v>
      </c>
      <c r="H965" s="47">
        <v>0</v>
      </c>
      <c r="I965" s="47">
        <v>0</v>
      </c>
      <c r="J965" s="98"/>
      <c r="K965" s="93"/>
      <c r="L965" s="93">
        <f t="shared" si="135"/>
        <v>0</v>
      </c>
      <c r="M965" s="95" t="e">
        <f t="shared" ca="1" si="136"/>
        <v>#DIV/0!</v>
      </c>
      <c r="N965" s="95">
        <f>IF(P965="Hedge Fund",IF(A965=Summary!$AD$3,M965-E965,M965),IF(A965=Summary!$AD$3,L965-D965,L965))</f>
        <v>0</v>
      </c>
      <c r="O965" s="95">
        <f t="shared" si="131"/>
        <v>0</v>
      </c>
      <c r="P965" s="89" t="s">
        <v>155</v>
      </c>
      <c r="Q965" s="107">
        <v>0</v>
      </c>
      <c r="R965" s="107">
        <v>0</v>
      </c>
      <c r="S965" s="89">
        <v>0</v>
      </c>
      <c r="T965" s="89">
        <v>0</v>
      </c>
      <c r="U965" s="89"/>
      <c r="V965" s="89"/>
      <c r="W965" s="89"/>
      <c r="X965" s="89"/>
      <c r="Y965" s="89"/>
      <c r="Z965" s="89"/>
      <c r="AA965" s="89"/>
      <c r="AB965" s="89"/>
      <c r="AC965" s="355"/>
      <c r="AD965" s="355"/>
      <c r="AE965" s="355"/>
      <c r="AF965" s="94">
        <f t="shared" si="137"/>
        <v>41912</v>
      </c>
      <c r="AG965" s="185">
        <f t="shared" si="132"/>
        <v>-2.4261516177162545E-2</v>
      </c>
      <c r="AH965" s="339" t="str">
        <f>VLOOKUP(B965,'MF PF'!A:B,2)</f>
        <v>FdMgt1</v>
      </c>
      <c r="AI965" s="358">
        <f t="shared" si="138"/>
        <v>0</v>
      </c>
      <c r="AJ965" s="94">
        <f t="shared" si="139"/>
        <v>41912</v>
      </c>
    </row>
    <row r="966" spans="1:36" ht="12.75" customHeight="1">
      <c r="A966" s="8">
        <v>41943</v>
      </c>
      <c r="B966" s="94" t="s">
        <v>136</v>
      </c>
      <c r="C966" s="358" t="s">
        <v>308</v>
      </c>
      <c r="D966" s="374">
        <v>2183993.2400000002</v>
      </c>
      <c r="E966" s="9" t="e">
        <f t="shared" si="134"/>
        <v>#DIV/0!</v>
      </c>
      <c r="F966" s="47">
        <v>5.2</v>
      </c>
      <c r="G966" s="47">
        <v>878800</v>
      </c>
      <c r="H966" s="47">
        <v>0</v>
      </c>
      <c r="I966" s="47">
        <v>0</v>
      </c>
      <c r="J966" s="98"/>
      <c r="K966" s="93"/>
      <c r="L966" s="93">
        <f t="shared" si="135"/>
        <v>878800</v>
      </c>
      <c r="M966" s="95" t="e">
        <f t="shared" ca="1" si="136"/>
        <v>#DIV/0!</v>
      </c>
      <c r="N966" s="95">
        <f>IF(P966="Hedge Fund",IF(A966=Summary!$AD$3,M966-E966,M966),IF(A966=Summary!$AD$3,L966-D966,L966))</f>
        <v>878800</v>
      </c>
      <c r="O966" s="95">
        <f t="shared" si="131"/>
        <v>878800</v>
      </c>
      <c r="P966" s="89" t="s">
        <v>155</v>
      </c>
      <c r="Q966" s="107">
        <v>0</v>
      </c>
      <c r="R966" s="107">
        <v>0</v>
      </c>
      <c r="S966" s="89">
        <v>0</v>
      </c>
      <c r="T966" s="89">
        <v>0</v>
      </c>
      <c r="U966" s="89"/>
      <c r="V966" s="89"/>
      <c r="W966" s="89"/>
      <c r="X966" s="89"/>
      <c r="Y966" s="89"/>
      <c r="Z966" s="89"/>
      <c r="AA966" s="89"/>
      <c r="AB966" s="89"/>
      <c r="AC966" s="355"/>
      <c r="AD966" s="355"/>
      <c r="AE966" s="355"/>
      <c r="AF966" s="94">
        <f t="shared" si="137"/>
        <v>41943</v>
      </c>
      <c r="AG966" s="185">
        <f t="shared" si="132"/>
        <v>1.3638439151809179E-2</v>
      </c>
      <c r="AH966" s="339" t="str">
        <f>VLOOKUP(B966,'MF PF'!A:B,2)</f>
        <v>FdMgt1</v>
      </c>
      <c r="AI966" s="358">
        <f t="shared" si="138"/>
        <v>0</v>
      </c>
      <c r="AJ966" s="94">
        <f t="shared" si="139"/>
        <v>41943</v>
      </c>
    </row>
    <row r="967" spans="1:36" ht="12.75" customHeight="1">
      <c r="A967" s="8">
        <v>41971</v>
      </c>
      <c r="B967" s="94" t="s">
        <v>136</v>
      </c>
      <c r="C967" s="358" t="s">
        <v>308</v>
      </c>
      <c r="D967" s="374">
        <v>2227448.085</v>
      </c>
      <c r="E967" s="9" t="e">
        <f t="shared" si="134"/>
        <v>#DIV/0!</v>
      </c>
      <c r="F967" s="47">
        <v>5.2</v>
      </c>
      <c r="G967" s="47">
        <v>0</v>
      </c>
      <c r="H967" s="47">
        <v>0</v>
      </c>
      <c r="I967" s="47">
        <v>0</v>
      </c>
      <c r="J967" s="98"/>
      <c r="L967" s="93">
        <f t="shared" si="135"/>
        <v>0</v>
      </c>
      <c r="M967" s="95" t="e">
        <f t="shared" ca="1" si="136"/>
        <v>#DIV/0!</v>
      </c>
      <c r="N967" s="95">
        <f>IF(P967="Hedge Fund",IF(A967=Summary!$AD$3,M967-E967,M967),IF(A967=Summary!$AD$3,L967-D967,L967))</f>
        <v>0</v>
      </c>
      <c r="O967" s="95">
        <f t="shared" si="131"/>
        <v>0</v>
      </c>
      <c r="P967" s="89" t="s">
        <v>155</v>
      </c>
      <c r="Q967" s="107">
        <v>0</v>
      </c>
      <c r="R967" s="107">
        <v>0</v>
      </c>
      <c r="S967" s="89">
        <v>0</v>
      </c>
      <c r="T967" s="89">
        <v>0</v>
      </c>
      <c r="U967" s="89"/>
      <c r="V967" s="89"/>
      <c r="W967" s="89"/>
      <c r="X967" s="89"/>
      <c r="Y967" s="89"/>
      <c r="Z967" s="89"/>
      <c r="AA967" s="89"/>
      <c r="AB967" s="89"/>
      <c r="AC967" s="355"/>
      <c r="AD967" s="355"/>
      <c r="AE967" s="355"/>
      <c r="AF967" s="94">
        <f t="shared" si="137"/>
        <v>41971</v>
      </c>
      <c r="AG967" s="185">
        <f t="shared" si="132"/>
        <v>1.9896968637137302E-2</v>
      </c>
      <c r="AH967" s="339" t="str">
        <f>VLOOKUP(B967,'MF PF'!A:B,2)</f>
        <v>FdMgt1</v>
      </c>
      <c r="AI967" s="358">
        <f t="shared" si="138"/>
        <v>0</v>
      </c>
      <c r="AJ967" s="94">
        <f t="shared" si="139"/>
        <v>41973</v>
      </c>
    </row>
    <row r="968" spans="1:36" ht="12.75" customHeight="1">
      <c r="A968" s="8">
        <v>42004</v>
      </c>
      <c r="B968" s="94" t="s">
        <v>136</v>
      </c>
      <c r="C968" s="358" t="s">
        <v>308</v>
      </c>
      <c r="D968" s="374">
        <v>2235564.7519999999</v>
      </c>
      <c r="E968" s="9" t="e">
        <f t="shared" si="134"/>
        <v>#DIV/0!</v>
      </c>
      <c r="F968" s="47">
        <v>5.2</v>
      </c>
      <c r="G968" s="47">
        <v>0</v>
      </c>
      <c r="H968" s="47">
        <v>0</v>
      </c>
      <c r="I968" s="98">
        <v>0</v>
      </c>
      <c r="J968" s="98"/>
      <c r="K968" s="93"/>
      <c r="L968" s="93">
        <f t="shared" si="135"/>
        <v>0</v>
      </c>
      <c r="M968" s="95" t="e">
        <f t="shared" ca="1" si="136"/>
        <v>#DIV/0!</v>
      </c>
      <c r="N968" s="95">
        <f>IF(P968="Hedge Fund",IF(A968=Summary!$AD$3,M968-E968,M968),IF(A968=Summary!$AD$3,L968-D968,L968))</f>
        <v>0</v>
      </c>
      <c r="O968" s="95">
        <f t="shared" si="131"/>
        <v>0</v>
      </c>
      <c r="P968" s="89" t="s">
        <v>155</v>
      </c>
      <c r="Q968" s="107">
        <v>0</v>
      </c>
      <c r="R968" s="107">
        <v>0</v>
      </c>
      <c r="S968" s="89">
        <v>0</v>
      </c>
      <c r="T968" s="89">
        <v>0</v>
      </c>
      <c r="U968" s="89"/>
      <c r="V968" s="89"/>
      <c r="W968" s="89"/>
      <c r="X968" s="89"/>
      <c r="Y968" s="89"/>
      <c r="Z968" s="89"/>
      <c r="AA968" s="89"/>
      <c r="AB968" s="89"/>
      <c r="AC968" s="355"/>
      <c r="AD968" s="355"/>
      <c r="AE968" s="355"/>
      <c r="AF968" s="94">
        <f t="shared" si="137"/>
        <v>42004</v>
      </c>
      <c r="AG968" s="185">
        <f t="shared" si="132"/>
        <v>3.643930942614837E-3</v>
      </c>
      <c r="AH968" s="339" t="str">
        <f>VLOOKUP(B968,'MF PF'!A:B,2)</f>
        <v>FdMgt1</v>
      </c>
      <c r="AI968" s="358">
        <f t="shared" si="138"/>
        <v>0</v>
      </c>
      <c r="AJ968" s="94">
        <f t="shared" si="139"/>
        <v>42004</v>
      </c>
    </row>
    <row r="969" spans="1:36" ht="12.75" customHeight="1">
      <c r="A969" s="94">
        <v>42034</v>
      </c>
      <c r="B969" s="94" t="s">
        <v>136</v>
      </c>
      <c r="C969" s="358" t="s">
        <v>308</v>
      </c>
      <c r="D969" s="374">
        <v>2900307.3870000001</v>
      </c>
      <c r="E969" s="9" t="e">
        <f t="shared" si="134"/>
        <v>#DIV/0!</v>
      </c>
      <c r="F969" s="47">
        <v>5.2</v>
      </c>
      <c r="G969" s="47">
        <v>603200</v>
      </c>
      <c r="H969" s="47">
        <v>0</v>
      </c>
      <c r="I969" s="98">
        <v>0</v>
      </c>
      <c r="J969" s="98"/>
      <c r="K969" s="93"/>
      <c r="L969" s="93">
        <f t="shared" si="135"/>
        <v>603200</v>
      </c>
      <c r="M969" s="95" t="e">
        <f t="shared" ca="1" si="136"/>
        <v>#DIV/0!</v>
      </c>
      <c r="N969" s="95">
        <f>IF(P969="Hedge Fund",IF(A969=Summary!$AD$3,M969-E969,M969),IF(A969=Summary!$AD$3,L969-D969,L969))</f>
        <v>603200</v>
      </c>
      <c r="O969" s="95">
        <f t="shared" si="131"/>
        <v>603200</v>
      </c>
      <c r="P969" s="89" t="s">
        <v>155</v>
      </c>
      <c r="Q969" s="107">
        <v>0</v>
      </c>
      <c r="R969" s="107">
        <v>0</v>
      </c>
      <c r="S969" s="89">
        <v>0</v>
      </c>
      <c r="T969" s="89">
        <v>0</v>
      </c>
      <c r="U969" s="89"/>
      <c r="V969" s="89"/>
      <c r="W969" s="89"/>
      <c r="X969" s="89"/>
      <c r="Y969" s="89"/>
      <c r="Z969" s="89"/>
      <c r="AA969" s="89"/>
      <c r="AB969" s="89"/>
      <c r="AC969" s="355"/>
      <c r="AD969" s="355"/>
      <c r="AE969" s="355"/>
      <c r="AF969" s="94">
        <f t="shared" si="137"/>
        <v>42034</v>
      </c>
      <c r="AG969" s="185">
        <f t="shared" si="132"/>
        <v>2.7528898433804017E-2</v>
      </c>
      <c r="AH969" s="339" t="str">
        <f>VLOOKUP(B969,'MF PF'!A:B,2)</f>
        <v>FdMgt1</v>
      </c>
      <c r="AI969" s="358">
        <f t="shared" si="138"/>
        <v>0</v>
      </c>
      <c r="AJ969" s="94">
        <f t="shared" si="139"/>
        <v>42035</v>
      </c>
    </row>
    <row r="970" spans="1:36" s="92" customFormat="1" ht="12.75" customHeight="1">
      <c r="A970" s="94">
        <v>42062</v>
      </c>
      <c r="B970" s="94" t="s">
        <v>136</v>
      </c>
      <c r="C970" s="358" t="s">
        <v>308</v>
      </c>
      <c r="D970" s="374">
        <v>3177317.9145</v>
      </c>
      <c r="E970" s="95" t="e">
        <f t="shared" si="134"/>
        <v>#DIV/0!</v>
      </c>
      <c r="F970" s="98">
        <v>5.2</v>
      </c>
      <c r="G970" s="98">
        <v>241800</v>
      </c>
      <c r="H970" s="98">
        <v>0</v>
      </c>
      <c r="I970" s="98">
        <v>0</v>
      </c>
      <c r="J970" s="98"/>
      <c r="K970" s="93"/>
      <c r="L970" s="93">
        <f t="shared" si="135"/>
        <v>241800</v>
      </c>
      <c r="M970" s="95" t="e">
        <f t="shared" ca="1" si="136"/>
        <v>#DIV/0!</v>
      </c>
      <c r="N970" s="95">
        <f>IF(P970="Hedge Fund",IF(A970=Summary!$AD$3,M970-E970,M970),IF(A970=Summary!$AD$3,L970-D970,L970))</f>
        <v>241800</v>
      </c>
      <c r="O970" s="95">
        <f t="shared" si="131"/>
        <v>241800</v>
      </c>
      <c r="P970" s="107" t="s">
        <v>155</v>
      </c>
      <c r="Q970" s="107">
        <v>0</v>
      </c>
      <c r="R970" s="107">
        <v>0</v>
      </c>
      <c r="S970" s="107">
        <v>0</v>
      </c>
      <c r="T970" s="107">
        <v>0</v>
      </c>
      <c r="U970" s="107"/>
      <c r="V970" s="107"/>
      <c r="W970" s="107"/>
      <c r="X970" s="107"/>
      <c r="Y970" s="107"/>
      <c r="Z970" s="107"/>
      <c r="AA970" s="107"/>
      <c r="AB970" s="107"/>
      <c r="AC970" s="355"/>
      <c r="AD970" s="355"/>
      <c r="AE970" s="355"/>
      <c r="AF970" s="94">
        <f t="shared" si="137"/>
        <v>42062</v>
      </c>
      <c r="AG970" s="185">
        <f t="shared" si="132"/>
        <v>1.2140274392232753E-2</v>
      </c>
      <c r="AH970" s="339" t="str">
        <f>VLOOKUP(B970,'MF PF'!A:B,2)</f>
        <v>FdMgt1</v>
      </c>
      <c r="AI970" s="358">
        <f t="shared" si="138"/>
        <v>0</v>
      </c>
      <c r="AJ970" s="94">
        <f t="shared" si="139"/>
        <v>42063</v>
      </c>
    </row>
    <row r="971" spans="1:36" ht="12.75" customHeight="1">
      <c r="A971" s="94">
        <v>42094</v>
      </c>
      <c r="B971" s="94" t="s">
        <v>136</v>
      </c>
      <c r="C971" s="358" t="s">
        <v>308</v>
      </c>
      <c r="D971" s="374">
        <v>3632076.7675000001</v>
      </c>
      <c r="E971" s="9" t="e">
        <f t="shared" si="134"/>
        <v>#DIV/0!</v>
      </c>
      <c r="F971" s="47">
        <v>5.2</v>
      </c>
      <c r="G971" s="47">
        <v>379600</v>
      </c>
      <c r="H971" s="47">
        <v>0</v>
      </c>
      <c r="I971" s="47">
        <v>0</v>
      </c>
      <c r="J971" s="98"/>
      <c r="K971" s="93"/>
      <c r="L971" s="93">
        <f t="shared" si="135"/>
        <v>379600</v>
      </c>
      <c r="M971" s="95" t="e">
        <f t="shared" ca="1" si="136"/>
        <v>#DIV/0!</v>
      </c>
      <c r="N971" s="95">
        <f>IF(P971="Hedge Fund",IF(A971=Summary!$AD$3,M971-E971,M971),IF(A971=Summary!$AD$3,L971-D971,L971))</f>
        <v>379600</v>
      </c>
      <c r="O971" s="95">
        <f t="shared" si="131"/>
        <v>379600</v>
      </c>
      <c r="P971" s="89" t="s">
        <v>155</v>
      </c>
      <c r="Q971" s="89">
        <v>0</v>
      </c>
      <c r="R971" s="107">
        <v>0</v>
      </c>
      <c r="S971" s="89">
        <v>0</v>
      </c>
      <c r="T971" s="89">
        <v>0</v>
      </c>
      <c r="U971" s="89"/>
      <c r="V971" s="89"/>
      <c r="W971" s="89"/>
      <c r="X971" s="89"/>
      <c r="Y971" s="89"/>
      <c r="Z971" s="89"/>
      <c r="AA971" s="89"/>
      <c r="AB971" s="89"/>
      <c r="AC971" s="355"/>
      <c r="AD971" s="355"/>
      <c r="AE971" s="355"/>
      <c r="AF971" s="94">
        <f t="shared" si="137"/>
        <v>42094</v>
      </c>
      <c r="AG971" s="185">
        <f t="shared" si="132"/>
        <v>2.3654810447832464E-2</v>
      </c>
      <c r="AH971" s="339" t="str">
        <f>VLOOKUP(B971,'MF PF'!A:B,2)</f>
        <v>FdMgt1</v>
      </c>
      <c r="AI971" s="358">
        <f t="shared" si="138"/>
        <v>0</v>
      </c>
      <c r="AJ971" s="94">
        <f t="shared" si="139"/>
        <v>42094</v>
      </c>
    </row>
    <row r="972" spans="1:36" ht="12.75" customHeight="1">
      <c r="A972" s="8">
        <v>42124</v>
      </c>
      <c r="B972" s="94" t="s">
        <v>136</v>
      </c>
      <c r="C972" s="358" t="s">
        <v>308</v>
      </c>
      <c r="D972" s="374">
        <v>3951943.0134999999</v>
      </c>
      <c r="E972" s="9" t="e">
        <f t="shared" si="134"/>
        <v>#DIV/0!</v>
      </c>
      <c r="F972" s="98">
        <v>5.2</v>
      </c>
      <c r="G972" s="98">
        <v>52000</v>
      </c>
      <c r="H972" s="98">
        <v>0</v>
      </c>
      <c r="I972" s="98">
        <v>0</v>
      </c>
      <c r="J972" s="98"/>
      <c r="K972" s="93"/>
      <c r="L972" s="93">
        <f t="shared" si="135"/>
        <v>52000</v>
      </c>
      <c r="M972" s="95" t="e">
        <f t="shared" ca="1" si="136"/>
        <v>#DIV/0!</v>
      </c>
      <c r="N972" s="95">
        <f>IF(P972="Hedge Fund",IF(A972=Summary!$AD$3,M972-E972,M972),IF(A972=Summary!$AD$3,L972-D972,L972))</f>
        <v>52000</v>
      </c>
      <c r="O972" s="95">
        <f t="shared" si="131"/>
        <v>52000</v>
      </c>
      <c r="P972" s="107" t="s">
        <v>155</v>
      </c>
      <c r="Q972" s="107">
        <v>0</v>
      </c>
      <c r="R972" s="107">
        <v>0</v>
      </c>
      <c r="S972" s="107">
        <v>0</v>
      </c>
      <c r="T972" s="107">
        <v>0</v>
      </c>
      <c r="U972" s="107"/>
      <c r="V972" s="107"/>
      <c r="W972" s="107"/>
      <c r="X972" s="107"/>
      <c r="Y972" s="107"/>
      <c r="Z972" s="107"/>
      <c r="AA972" s="107"/>
      <c r="AB972" s="107"/>
      <c r="AC972" s="355"/>
      <c r="AD972" s="355"/>
      <c r="AE972" s="355"/>
      <c r="AF972" s="94">
        <f t="shared" si="137"/>
        <v>42124</v>
      </c>
      <c r="AG972" s="185">
        <f t="shared" si="132"/>
        <v>7.375016089882247E-2</v>
      </c>
      <c r="AH972" s="339" t="str">
        <f>VLOOKUP(B972,'MF PF'!A:B,2)</f>
        <v>FdMgt1</v>
      </c>
      <c r="AI972" s="358">
        <f t="shared" si="138"/>
        <v>0</v>
      </c>
      <c r="AJ972" s="94">
        <f t="shared" si="139"/>
        <v>42124</v>
      </c>
    </row>
    <row r="973" spans="1:36" ht="12.75" customHeight="1">
      <c r="A973" s="8">
        <v>42153</v>
      </c>
      <c r="B973" s="94" t="s">
        <v>136</v>
      </c>
      <c r="C973" s="358" t="s">
        <v>308</v>
      </c>
      <c r="D973" s="374">
        <v>4119888.9389999998</v>
      </c>
      <c r="E973" s="9" t="e">
        <f t="shared" si="134"/>
        <v>#DIV/0!</v>
      </c>
      <c r="F973" s="98">
        <v>5.2</v>
      </c>
      <c r="G973" s="98">
        <v>156000</v>
      </c>
      <c r="H973" s="98">
        <v>0</v>
      </c>
      <c r="I973" s="98">
        <v>0</v>
      </c>
      <c r="J973" s="98"/>
      <c r="K973" s="93"/>
      <c r="L973" s="93">
        <f t="shared" si="135"/>
        <v>156000</v>
      </c>
      <c r="M973" s="95" t="e">
        <f t="shared" ca="1" si="136"/>
        <v>#DIV/0!</v>
      </c>
      <c r="N973" s="95">
        <f>IF(P973="Hedge Fund",IF(A973=Summary!$AD$3,M973-E973,M973),IF(A973=Summary!$AD$3,L973-D973,L973))</f>
        <v>156000</v>
      </c>
      <c r="O973" s="95">
        <f t="shared" si="131"/>
        <v>156000</v>
      </c>
      <c r="P973" s="107" t="s">
        <v>155</v>
      </c>
      <c r="Q973" s="107">
        <v>0</v>
      </c>
      <c r="R973" s="107">
        <v>0</v>
      </c>
      <c r="S973" s="107">
        <v>0</v>
      </c>
      <c r="T973" s="107">
        <v>0</v>
      </c>
      <c r="U973" s="107"/>
      <c r="V973" s="107"/>
      <c r="W973" s="107"/>
      <c r="X973" s="107"/>
      <c r="Y973" s="107"/>
      <c r="Z973" s="107"/>
      <c r="AA973" s="107"/>
      <c r="AB973" s="107"/>
      <c r="AC973" s="355"/>
      <c r="AD973" s="355"/>
      <c r="AE973" s="355"/>
      <c r="AF973" s="94">
        <f t="shared" si="137"/>
        <v>42153</v>
      </c>
      <c r="AG973" s="185">
        <f t="shared" si="132"/>
        <v>3.0227980158601397E-3</v>
      </c>
      <c r="AH973" s="339" t="str">
        <f>VLOOKUP(B973,'MF PF'!A:B,2)</f>
        <v>FdMgt1</v>
      </c>
      <c r="AI973" s="358">
        <f t="shared" si="138"/>
        <v>0</v>
      </c>
      <c r="AJ973" s="94">
        <f t="shared" si="139"/>
        <v>42155</v>
      </c>
    </row>
    <row r="974" spans="1:36" ht="12.75" customHeight="1">
      <c r="A974" s="94">
        <v>42185</v>
      </c>
      <c r="B974" s="94" t="s">
        <v>136</v>
      </c>
      <c r="C974" s="358" t="s">
        <v>308</v>
      </c>
      <c r="D974" s="374">
        <v>4063773.4434999996</v>
      </c>
      <c r="E974" s="9" t="e">
        <f t="shared" si="134"/>
        <v>#DIV/0!</v>
      </c>
      <c r="F974" s="47">
        <v>5.2</v>
      </c>
      <c r="G974" s="47">
        <v>0</v>
      </c>
      <c r="H974" s="47">
        <v>0</v>
      </c>
      <c r="I974" s="98">
        <v>0</v>
      </c>
      <c r="J974" s="98"/>
      <c r="K974" s="93"/>
      <c r="L974" s="93">
        <f t="shared" si="135"/>
        <v>0</v>
      </c>
      <c r="M974" s="95" t="e">
        <f t="shared" ca="1" si="136"/>
        <v>#DIV/0!</v>
      </c>
      <c r="N974" s="95">
        <f>IF(P974="Hedge Fund",IF(A974=Summary!$AD$3,M974-E974,M974),IF(A974=Summary!$AD$3,L974-D974,L974))</f>
        <v>0</v>
      </c>
      <c r="O974" s="95">
        <f t="shared" ref="O974:O1037" si="140">N974</f>
        <v>0</v>
      </c>
      <c r="P974" s="89" t="s">
        <v>155</v>
      </c>
      <c r="Q974" s="107">
        <v>0</v>
      </c>
      <c r="R974" s="107">
        <v>0</v>
      </c>
      <c r="S974" s="89">
        <v>0</v>
      </c>
      <c r="T974" s="89">
        <v>0</v>
      </c>
      <c r="U974" s="89"/>
      <c r="V974" s="89"/>
      <c r="W974" s="89"/>
      <c r="X974" s="89"/>
      <c r="Y974" s="89"/>
      <c r="Z974" s="89"/>
      <c r="AA974" s="89"/>
      <c r="AB974" s="89"/>
      <c r="AC974" s="355"/>
      <c r="AD974" s="355"/>
      <c r="AE974" s="355"/>
      <c r="AF974" s="94">
        <f t="shared" si="137"/>
        <v>42185</v>
      </c>
      <c r="AG974" s="185">
        <f t="shared" si="132"/>
        <v>-1.3620633063380794E-2</v>
      </c>
      <c r="AH974" s="339" t="str">
        <f>VLOOKUP(B974,'MF PF'!A:B,2)</f>
        <v>FdMgt1</v>
      </c>
      <c r="AI974" s="358">
        <f t="shared" si="138"/>
        <v>0</v>
      </c>
      <c r="AJ974" s="94">
        <f t="shared" si="139"/>
        <v>42185</v>
      </c>
    </row>
    <row r="975" spans="1:36" ht="12.75" customHeight="1">
      <c r="A975" s="94">
        <v>42216</v>
      </c>
      <c r="B975" s="94" t="s">
        <v>136</v>
      </c>
      <c r="C975" s="358" t="s">
        <v>308</v>
      </c>
      <c r="D975" s="374">
        <v>4148424.1315000006</v>
      </c>
      <c r="E975" s="9" t="e">
        <f t="shared" si="134"/>
        <v>#DIV/0!</v>
      </c>
      <c r="F975" s="47">
        <v>5.2</v>
      </c>
      <c r="G975" s="47">
        <v>150800</v>
      </c>
      <c r="H975" s="47">
        <v>0</v>
      </c>
      <c r="I975" s="98">
        <v>0</v>
      </c>
      <c r="J975" s="98"/>
      <c r="L975" s="93">
        <f t="shared" si="135"/>
        <v>150800</v>
      </c>
      <c r="M975" s="95" t="e">
        <f t="shared" ca="1" si="136"/>
        <v>#DIV/0!</v>
      </c>
      <c r="N975" s="95">
        <f>IF(P975="Hedge Fund",IF(A975=Summary!$AD$3,M975-E975,M975),IF(A975=Summary!$AD$3,L975-D975,L975))</f>
        <v>150800</v>
      </c>
      <c r="O975" s="95">
        <f t="shared" si="140"/>
        <v>150800</v>
      </c>
      <c r="P975" s="89" t="s">
        <v>155</v>
      </c>
      <c r="Q975" s="107">
        <v>0</v>
      </c>
      <c r="R975" s="107">
        <v>0</v>
      </c>
      <c r="S975" s="89">
        <v>0</v>
      </c>
      <c r="T975" s="89">
        <v>0</v>
      </c>
      <c r="U975" s="89"/>
      <c r="V975" s="89"/>
      <c r="W975" s="89"/>
      <c r="X975" s="89"/>
      <c r="Y975" s="89"/>
      <c r="Z975" s="89"/>
      <c r="AA975" s="89"/>
      <c r="AB975" s="89"/>
      <c r="AC975" s="355"/>
      <c r="AD975" s="355"/>
      <c r="AE975" s="355"/>
      <c r="AF975" s="94">
        <f t="shared" si="137"/>
        <v>42216</v>
      </c>
      <c r="AG975" s="185">
        <f t="shared" ref="AG975:AG1038" si="141">IF(C975&lt;&gt;C974,D975/G975-1,(D975-G975-I975-H975)/(D974)-1)</f>
        <v>-1.6277805079366492E-2</v>
      </c>
      <c r="AH975" s="339" t="str">
        <f>VLOOKUP(B975,'MF PF'!A:B,2)</f>
        <v>FdMgt1</v>
      </c>
      <c r="AI975" s="358">
        <f t="shared" si="138"/>
        <v>0</v>
      </c>
      <c r="AJ975" s="94">
        <f t="shared" si="139"/>
        <v>42216</v>
      </c>
    </row>
    <row r="976" spans="1:36" ht="12.75" customHeight="1">
      <c r="A976" s="94">
        <v>42247</v>
      </c>
      <c r="B976" s="94" t="s">
        <v>136</v>
      </c>
      <c r="C976" s="358" t="s">
        <v>308</v>
      </c>
      <c r="D976" s="374">
        <v>4087134.057</v>
      </c>
      <c r="E976" s="9" t="e">
        <f t="shared" si="134"/>
        <v>#DIV/0!</v>
      </c>
      <c r="F976" s="47">
        <v>5.2</v>
      </c>
      <c r="G976" s="47">
        <v>0</v>
      </c>
      <c r="H976" s="47">
        <v>0</v>
      </c>
      <c r="I976" s="98">
        <v>0</v>
      </c>
      <c r="J976" s="98"/>
      <c r="K976" s="93"/>
      <c r="L976" s="93">
        <f t="shared" si="135"/>
        <v>0</v>
      </c>
      <c r="M976" s="95" t="e">
        <f t="shared" ca="1" si="136"/>
        <v>#DIV/0!</v>
      </c>
      <c r="N976" s="95">
        <f>IF(P976="Hedge Fund",IF(A976=Summary!$AD$3,M976-E976,M976),IF(A976=Summary!$AD$3,L976-D976,L976))</f>
        <v>0</v>
      </c>
      <c r="O976" s="95">
        <f t="shared" si="140"/>
        <v>0</v>
      </c>
      <c r="P976" s="89" t="s">
        <v>155</v>
      </c>
      <c r="Q976" s="107">
        <v>0</v>
      </c>
      <c r="R976" s="107">
        <v>0</v>
      </c>
      <c r="S976" s="89">
        <v>0</v>
      </c>
      <c r="T976" s="89">
        <v>0</v>
      </c>
      <c r="U976" s="89"/>
      <c r="V976" s="89"/>
      <c r="W976" s="89"/>
      <c r="X976" s="89"/>
      <c r="Y976" s="89"/>
      <c r="Z976" s="89"/>
      <c r="AA976" s="89"/>
      <c r="AB976" s="89"/>
      <c r="AC976" s="355"/>
      <c r="AD976" s="355"/>
      <c r="AE976" s="355"/>
      <c r="AF976" s="94">
        <f t="shared" si="137"/>
        <v>42247</v>
      </c>
      <c r="AG976" s="185">
        <f t="shared" si="141"/>
        <v>-1.4774302857465837E-2</v>
      </c>
      <c r="AH976" s="339" t="str">
        <f>VLOOKUP(B976,'MF PF'!A:B,2)</f>
        <v>FdMgt1</v>
      </c>
      <c r="AI976" s="358">
        <f t="shared" si="138"/>
        <v>0</v>
      </c>
      <c r="AJ976" s="94">
        <f t="shared" si="139"/>
        <v>42247</v>
      </c>
    </row>
    <row r="977" spans="1:36" ht="12.75" customHeight="1">
      <c r="A977" s="8">
        <v>42277</v>
      </c>
      <c r="B977" s="94" t="s">
        <v>136</v>
      </c>
      <c r="C977" s="358" t="s">
        <v>308</v>
      </c>
      <c r="D977" s="374">
        <v>4103342.2819999997</v>
      </c>
      <c r="E977" s="9" t="e">
        <f t="shared" si="134"/>
        <v>#DIV/0!</v>
      </c>
      <c r="F977" s="47">
        <v>5.2</v>
      </c>
      <c r="G977" s="47">
        <v>0</v>
      </c>
      <c r="H977" s="47">
        <v>0</v>
      </c>
      <c r="I977" s="47">
        <v>0</v>
      </c>
      <c r="J977" s="98"/>
      <c r="L977" s="93">
        <f t="shared" si="135"/>
        <v>0</v>
      </c>
      <c r="M977" s="95" t="e">
        <f t="shared" ca="1" si="136"/>
        <v>#DIV/0!</v>
      </c>
      <c r="N977" s="95">
        <f>IF(P977="Hedge Fund",IF(A977=Summary!$AD$3,M977-E977,M977),IF(A977=Summary!$AD$3,L977-D977,L977))</f>
        <v>0</v>
      </c>
      <c r="O977" s="95">
        <f t="shared" si="140"/>
        <v>0</v>
      </c>
      <c r="P977" s="89" t="s">
        <v>155</v>
      </c>
      <c r="Q977" s="89">
        <v>0</v>
      </c>
      <c r="R977" s="107">
        <v>0</v>
      </c>
      <c r="S977" s="89">
        <v>0</v>
      </c>
      <c r="T977" s="89">
        <v>0</v>
      </c>
      <c r="U977" s="89"/>
      <c r="V977" s="89"/>
      <c r="W977" s="89"/>
      <c r="X977" s="89"/>
      <c r="Y977" s="89"/>
      <c r="Z977" s="89"/>
      <c r="AA977" s="89"/>
      <c r="AB977" s="89"/>
      <c r="AC977" s="355"/>
      <c r="AD977" s="355"/>
      <c r="AE977" s="355"/>
      <c r="AF977" s="94">
        <f t="shared" si="137"/>
        <v>42277</v>
      </c>
      <c r="AG977" s="185">
        <f t="shared" si="141"/>
        <v>3.9656700205954465E-3</v>
      </c>
      <c r="AH977" s="339" t="str">
        <f>VLOOKUP(B977,'MF PF'!A:B,2)</f>
        <v>FdMgt1</v>
      </c>
      <c r="AI977" s="358">
        <f t="shared" si="138"/>
        <v>0</v>
      </c>
      <c r="AJ977" s="94">
        <f t="shared" si="139"/>
        <v>42277</v>
      </c>
    </row>
    <row r="978" spans="1:36" ht="12.75" customHeight="1">
      <c r="A978" s="94">
        <v>42307</v>
      </c>
      <c r="B978" s="94" t="s">
        <v>136</v>
      </c>
      <c r="C978" s="358" t="s">
        <v>308</v>
      </c>
      <c r="D978" s="374">
        <v>4218142.5</v>
      </c>
      <c r="E978" s="9" t="e">
        <f t="shared" si="134"/>
        <v>#DIV/0!</v>
      </c>
      <c r="F978" s="98">
        <v>5.2</v>
      </c>
      <c r="G978" s="98">
        <v>0</v>
      </c>
      <c r="H978" s="98">
        <v>0</v>
      </c>
      <c r="I978" s="98">
        <v>0</v>
      </c>
      <c r="J978" s="98"/>
      <c r="L978" s="93">
        <f t="shared" si="135"/>
        <v>0</v>
      </c>
      <c r="M978" s="95" t="e">
        <f t="shared" ca="1" si="136"/>
        <v>#DIV/0!</v>
      </c>
      <c r="N978" s="95">
        <f>IF(P978="Hedge Fund",IF(A978=Summary!$AD$3,M978-E978,M978),IF(A978=Summary!$AD$3,L978-D978,L978))</f>
        <v>0</v>
      </c>
      <c r="O978" s="95">
        <f t="shared" si="140"/>
        <v>0</v>
      </c>
      <c r="P978" s="107" t="s">
        <v>155</v>
      </c>
      <c r="Q978" s="107">
        <v>0</v>
      </c>
      <c r="R978" s="107">
        <v>0</v>
      </c>
      <c r="S978" s="107">
        <v>0</v>
      </c>
      <c r="T978" s="107">
        <v>0</v>
      </c>
      <c r="U978" s="107"/>
      <c r="V978" s="107"/>
      <c r="W978" s="107"/>
      <c r="X978" s="107"/>
      <c r="Y978" s="107"/>
      <c r="Z978" s="107"/>
      <c r="AA978" s="107"/>
      <c r="AB978" s="107"/>
      <c r="AC978" s="355"/>
      <c r="AD978" s="355"/>
      <c r="AE978" s="355"/>
      <c r="AF978" s="94">
        <f t="shared" si="137"/>
        <v>42307</v>
      </c>
      <c r="AG978" s="185">
        <f t="shared" si="141"/>
        <v>2.797724637878507E-2</v>
      </c>
      <c r="AH978" s="339" t="str">
        <f>VLOOKUP(B978,'MF PF'!A:B,2)</f>
        <v>FdMgt1</v>
      </c>
      <c r="AI978" s="358">
        <f t="shared" si="138"/>
        <v>0</v>
      </c>
      <c r="AJ978" s="94">
        <f t="shared" si="139"/>
        <v>42308</v>
      </c>
    </row>
    <row r="979" spans="1:36" ht="12.75" customHeight="1">
      <c r="A979" s="8">
        <v>42338</v>
      </c>
      <c r="B979" s="94" t="s">
        <v>136</v>
      </c>
      <c r="C979" s="358" t="s">
        <v>308</v>
      </c>
      <c r="D979" s="374">
        <v>4427179.1694999998</v>
      </c>
      <c r="E979" s="9" t="e">
        <f t="shared" si="134"/>
        <v>#DIV/0!</v>
      </c>
      <c r="F979" s="98">
        <v>5.2</v>
      </c>
      <c r="G979" s="98">
        <v>223600</v>
      </c>
      <c r="H979" s="98">
        <v>0</v>
      </c>
      <c r="I979" s="98">
        <v>0</v>
      </c>
      <c r="J979" s="98"/>
      <c r="L979" s="93">
        <f t="shared" si="135"/>
        <v>223600</v>
      </c>
      <c r="M979" s="95" t="e">
        <f t="shared" ca="1" si="136"/>
        <v>#DIV/0!</v>
      </c>
      <c r="N979" s="95">
        <f>IF(P979="Hedge Fund",IF(A979=Summary!$AD$3,M979-E979,M979),IF(A979=Summary!$AD$3,L979-D979,L979))</f>
        <v>223600</v>
      </c>
      <c r="O979" s="95">
        <f t="shared" si="140"/>
        <v>223600</v>
      </c>
      <c r="P979" s="107" t="s">
        <v>155</v>
      </c>
      <c r="Q979" s="107">
        <v>0</v>
      </c>
      <c r="R979" s="107">
        <v>0</v>
      </c>
      <c r="S979" s="107">
        <v>0</v>
      </c>
      <c r="T979" s="107">
        <v>0</v>
      </c>
      <c r="U979" s="107"/>
      <c r="V979" s="107"/>
      <c r="W979" s="107"/>
      <c r="X979" s="107"/>
      <c r="Y979" s="107"/>
      <c r="Z979" s="107"/>
      <c r="AA979" s="107"/>
      <c r="AB979" s="107"/>
      <c r="AC979" s="355"/>
      <c r="AD979" s="355"/>
      <c r="AE979" s="355"/>
      <c r="AF979" s="94">
        <f t="shared" si="137"/>
        <v>42338</v>
      </c>
      <c r="AG979" s="185">
        <f t="shared" si="141"/>
        <v>-3.4525458777175944E-3</v>
      </c>
      <c r="AH979" s="339" t="str">
        <f>VLOOKUP(B979,'MF PF'!A:B,2)</f>
        <v>FdMgt1</v>
      </c>
      <c r="AI979" s="358">
        <f t="shared" si="138"/>
        <v>0</v>
      </c>
      <c r="AJ979" s="94">
        <f t="shared" si="139"/>
        <v>42338</v>
      </c>
    </row>
    <row r="980" spans="1:36" ht="12.75" customHeight="1">
      <c r="A980" s="8">
        <v>42369</v>
      </c>
      <c r="B980" s="94" t="s">
        <v>136</v>
      </c>
      <c r="C980" s="358" t="s">
        <v>308</v>
      </c>
      <c r="D980" s="374">
        <v>4461447.4464999996</v>
      </c>
      <c r="E980" s="9" t="e">
        <f t="shared" si="134"/>
        <v>#DIV/0!</v>
      </c>
      <c r="F980" s="98">
        <v>5.2</v>
      </c>
      <c r="G980" s="98">
        <v>0</v>
      </c>
      <c r="H980" s="98">
        <v>0</v>
      </c>
      <c r="I980" s="98">
        <v>0</v>
      </c>
      <c r="J980" s="98"/>
      <c r="K980" s="93"/>
      <c r="L980" s="93">
        <f t="shared" si="135"/>
        <v>0</v>
      </c>
      <c r="M980" s="95" t="e">
        <f t="shared" ca="1" si="136"/>
        <v>#DIV/0!</v>
      </c>
      <c r="N980" s="95">
        <f>IF(P980="Hedge Fund",IF(A980=Summary!$AD$3,M980-E980,M980),IF(A980=Summary!$AD$3,L980-D980,L980))</f>
        <v>0</v>
      </c>
      <c r="O980" s="95">
        <f t="shared" si="140"/>
        <v>0</v>
      </c>
      <c r="P980" s="107" t="s">
        <v>155</v>
      </c>
      <c r="Q980" s="107">
        <v>0</v>
      </c>
      <c r="R980" s="107">
        <v>0</v>
      </c>
      <c r="S980" s="107">
        <v>0</v>
      </c>
      <c r="T980" s="107">
        <v>0</v>
      </c>
      <c r="U980" s="107"/>
      <c r="V980" s="107"/>
      <c r="W980" s="107"/>
      <c r="X980" s="107"/>
      <c r="Y980" s="107"/>
      <c r="Z980" s="107"/>
      <c r="AA980" s="107"/>
      <c r="AB980" s="107"/>
      <c r="AC980" s="355"/>
      <c r="AD980" s="355"/>
      <c r="AE980" s="355"/>
      <c r="AF980" s="94">
        <f t="shared" si="137"/>
        <v>42369</v>
      </c>
      <c r="AG980" s="185">
        <f t="shared" si="141"/>
        <v>7.7404314774704996E-3</v>
      </c>
      <c r="AH980" s="339" t="str">
        <f>VLOOKUP(B980,'MF PF'!A:B,2)</f>
        <v>FdMgt1</v>
      </c>
      <c r="AI980" s="358">
        <f t="shared" si="138"/>
        <v>0</v>
      </c>
      <c r="AJ980" s="94">
        <f t="shared" si="139"/>
        <v>42369</v>
      </c>
    </row>
    <row r="981" spans="1:36" ht="12.75" customHeight="1">
      <c r="A981" s="8">
        <v>42398</v>
      </c>
      <c r="B981" s="94" t="s">
        <v>136</v>
      </c>
      <c r="C981" s="358" t="s">
        <v>308</v>
      </c>
      <c r="D981" s="374">
        <v>4411236.4079999998</v>
      </c>
      <c r="E981" s="95" t="e">
        <f t="shared" si="134"/>
        <v>#DIV/0!</v>
      </c>
      <c r="F981" s="98">
        <v>5.2</v>
      </c>
      <c r="G981" s="98">
        <v>0</v>
      </c>
      <c r="H981" s="98">
        <v>0</v>
      </c>
      <c r="I981" s="98">
        <v>0</v>
      </c>
      <c r="J981" s="98"/>
      <c r="K981" s="93"/>
      <c r="L981" s="93">
        <f t="shared" si="135"/>
        <v>0</v>
      </c>
      <c r="M981" s="95" t="e">
        <f t="shared" ca="1" si="136"/>
        <v>#DIV/0!</v>
      </c>
      <c r="N981" s="95">
        <f>IF(P981="Hedge Fund",IF(A981=Summary!$AD$3,M981-E981,M981),IF(A981=Summary!$AD$3,L981-D981,L981))</f>
        <v>0</v>
      </c>
      <c r="O981" s="95">
        <f t="shared" si="140"/>
        <v>0</v>
      </c>
      <c r="P981" s="107" t="s">
        <v>155</v>
      </c>
      <c r="Q981" s="107">
        <v>0</v>
      </c>
      <c r="R981" s="107">
        <v>0</v>
      </c>
      <c r="S981" s="107">
        <v>0</v>
      </c>
      <c r="T981" s="107">
        <v>0</v>
      </c>
      <c r="U981" s="107"/>
      <c r="V981" s="107"/>
      <c r="W981" s="107"/>
      <c r="X981" s="107"/>
      <c r="Y981" s="107"/>
      <c r="Z981" s="107"/>
      <c r="AA981" s="107"/>
      <c r="AB981" s="107"/>
      <c r="AC981" s="355"/>
      <c r="AD981" s="355"/>
      <c r="AE981" s="355"/>
      <c r="AF981" s="94">
        <f t="shared" si="137"/>
        <v>42398</v>
      </c>
      <c r="AG981" s="185">
        <f t="shared" si="141"/>
        <v>-1.1254427873938155E-2</v>
      </c>
      <c r="AH981" s="339" t="str">
        <f>VLOOKUP(B981,'MF PF'!A:B,2)</f>
        <v>FdMgt1</v>
      </c>
      <c r="AI981" s="358">
        <f t="shared" si="138"/>
        <v>0</v>
      </c>
      <c r="AJ981" s="94">
        <f t="shared" si="139"/>
        <v>42400</v>
      </c>
    </row>
    <row r="982" spans="1:36" ht="12.75" customHeight="1">
      <c r="A982" s="8">
        <v>42429</v>
      </c>
      <c r="B982" s="94" t="s">
        <v>136</v>
      </c>
      <c r="C982" s="358" t="s">
        <v>308</v>
      </c>
      <c r="D982" s="374">
        <v>5694017.5860000001</v>
      </c>
      <c r="E982" s="9" t="e">
        <f t="shared" si="134"/>
        <v>#DIV/0!</v>
      </c>
      <c r="F982" s="98">
        <v>5.2</v>
      </c>
      <c r="G982" s="98">
        <v>1198600</v>
      </c>
      <c r="H982" s="98">
        <v>0</v>
      </c>
      <c r="I982" s="98">
        <v>0</v>
      </c>
      <c r="J982" s="98"/>
      <c r="K982" s="93"/>
      <c r="L982" s="93">
        <f t="shared" si="135"/>
        <v>1198600</v>
      </c>
      <c r="M982" s="95" t="e">
        <f t="shared" ca="1" si="136"/>
        <v>#DIV/0!</v>
      </c>
      <c r="N982" s="95">
        <f>IF(P982="Hedge Fund",IF(A982=Summary!$AD$3,M982-E982,M982),IF(A982=Summary!$AD$3,L982-D982,L982))</f>
        <v>1198600</v>
      </c>
      <c r="O982" s="95">
        <f t="shared" si="140"/>
        <v>1198600</v>
      </c>
      <c r="P982" s="107" t="s">
        <v>155</v>
      </c>
      <c r="Q982" s="107">
        <v>0</v>
      </c>
      <c r="R982" s="107">
        <v>0</v>
      </c>
      <c r="S982" s="107">
        <v>0</v>
      </c>
      <c r="T982" s="107">
        <v>0</v>
      </c>
      <c r="U982" s="107"/>
      <c r="V982" s="107"/>
      <c r="W982" s="107"/>
      <c r="X982" s="107"/>
      <c r="Y982" s="107"/>
      <c r="Z982" s="107"/>
      <c r="AA982" s="107"/>
      <c r="AB982" s="107"/>
      <c r="AC982" s="355"/>
      <c r="AD982" s="355"/>
      <c r="AE982" s="355"/>
      <c r="AF982" s="94">
        <f t="shared" si="137"/>
        <v>42429</v>
      </c>
      <c r="AG982" s="185">
        <f t="shared" si="141"/>
        <v>1.9083352197432291E-2</v>
      </c>
      <c r="AH982" s="339" t="str">
        <f>VLOOKUP(B982,'MF PF'!A:B,2)</f>
        <v>FdMgt1</v>
      </c>
      <c r="AI982" s="358">
        <f t="shared" si="138"/>
        <v>0</v>
      </c>
      <c r="AJ982" s="94">
        <f t="shared" si="139"/>
        <v>42429</v>
      </c>
    </row>
    <row r="983" spans="1:36" ht="12.75" customHeight="1">
      <c r="A983" s="8">
        <v>42460</v>
      </c>
      <c r="B983" s="94" t="s">
        <v>136</v>
      </c>
      <c r="C983" s="358" t="s">
        <v>308</v>
      </c>
      <c r="D983" s="374">
        <v>5743964.7675000001</v>
      </c>
      <c r="E983" s="9" t="e">
        <f t="shared" si="134"/>
        <v>#DIV/0!</v>
      </c>
      <c r="F983" s="47">
        <v>5.2</v>
      </c>
      <c r="G983" s="47">
        <v>0</v>
      </c>
      <c r="H983" s="47">
        <v>0</v>
      </c>
      <c r="I983" s="98">
        <v>0</v>
      </c>
      <c r="J983" s="98"/>
      <c r="K983" s="93"/>
      <c r="L983" s="93">
        <f t="shared" si="135"/>
        <v>0</v>
      </c>
      <c r="M983" s="95" t="e">
        <f t="shared" ca="1" si="136"/>
        <v>#DIV/0!</v>
      </c>
      <c r="N983" s="95">
        <f>IF(P983="Hedge Fund",IF(A983=Summary!$AD$3,M983-E983,M983),IF(A983=Summary!$AD$3,L983-D983,L983))</f>
        <v>0</v>
      </c>
      <c r="O983" s="95">
        <f t="shared" si="140"/>
        <v>0</v>
      </c>
      <c r="P983" s="89" t="s">
        <v>155</v>
      </c>
      <c r="Q983" s="107">
        <v>0</v>
      </c>
      <c r="R983" s="107">
        <v>0</v>
      </c>
      <c r="S983" s="89">
        <v>0</v>
      </c>
      <c r="T983" s="89">
        <v>0</v>
      </c>
      <c r="U983" s="89"/>
      <c r="V983" s="89"/>
      <c r="W983" s="89"/>
      <c r="X983" s="89"/>
      <c r="Y983" s="89"/>
      <c r="Z983" s="89"/>
      <c r="AA983" s="89"/>
      <c r="AB983" s="89"/>
      <c r="AC983" s="355"/>
      <c r="AD983" s="355"/>
      <c r="AE983" s="355"/>
      <c r="AF983" s="94">
        <f t="shared" si="137"/>
        <v>42460</v>
      </c>
      <c r="AG983" s="185">
        <f t="shared" si="141"/>
        <v>8.7718699047938387E-3</v>
      </c>
      <c r="AH983" s="339" t="str">
        <f>VLOOKUP(B983,'MF PF'!A:B,2)</f>
        <v>FdMgt1</v>
      </c>
      <c r="AI983" s="358">
        <f t="shared" si="138"/>
        <v>0</v>
      </c>
      <c r="AJ983" s="94">
        <f t="shared" si="139"/>
        <v>42460</v>
      </c>
    </row>
    <row r="984" spans="1:36" ht="12.75" customHeight="1">
      <c r="A984" s="8">
        <v>42489</v>
      </c>
      <c r="B984" s="94" t="s">
        <v>136</v>
      </c>
      <c r="C984" s="358" t="s">
        <v>308</v>
      </c>
      <c r="D984" s="374">
        <v>5817384.1294999998</v>
      </c>
      <c r="E984" s="95" t="e">
        <f t="shared" si="134"/>
        <v>#DIV/0!</v>
      </c>
      <c r="F984" s="47">
        <v>5.2</v>
      </c>
      <c r="G984" s="47">
        <v>0</v>
      </c>
      <c r="H984" s="47">
        <v>0</v>
      </c>
      <c r="I984" s="98">
        <v>0</v>
      </c>
      <c r="J984" s="98"/>
      <c r="K984" s="93"/>
      <c r="L984" s="93">
        <f t="shared" si="135"/>
        <v>0</v>
      </c>
      <c r="M984" s="95" t="e">
        <f t="shared" ca="1" si="136"/>
        <v>#DIV/0!</v>
      </c>
      <c r="N984" s="95">
        <f>IF(P984="Hedge Fund",IF(A984=Summary!$AD$3,M984-E984,M984),IF(A984=Summary!$AD$3,L984-D984,L984))</f>
        <v>0</v>
      </c>
      <c r="O984" s="95">
        <f t="shared" si="140"/>
        <v>0</v>
      </c>
      <c r="P984" s="89" t="s">
        <v>155</v>
      </c>
      <c r="Q984" s="107">
        <v>0</v>
      </c>
      <c r="R984" s="107">
        <v>0</v>
      </c>
      <c r="S984" s="89">
        <v>0</v>
      </c>
      <c r="T984" s="89">
        <v>0</v>
      </c>
      <c r="U984" s="89"/>
      <c r="V984" s="89"/>
      <c r="W984" s="89"/>
      <c r="X984" s="89"/>
      <c r="Y984" s="89"/>
      <c r="Z984" s="89"/>
      <c r="AA984" s="89"/>
      <c r="AB984" s="89"/>
      <c r="AC984" s="355"/>
      <c r="AD984" s="355"/>
      <c r="AE984" s="355"/>
      <c r="AF984" s="94">
        <f t="shared" si="137"/>
        <v>42489</v>
      </c>
      <c r="AG984" s="185">
        <f t="shared" si="141"/>
        <v>1.2782000755891643E-2</v>
      </c>
      <c r="AH984" s="339" t="str">
        <f>VLOOKUP(B984,'MF PF'!A:B,2)</f>
        <v>FdMgt1</v>
      </c>
      <c r="AI984" s="358">
        <f t="shared" si="138"/>
        <v>0</v>
      </c>
      <c r="AJ984" s="94">
        <f t="shared" si="139"/>
        <v>42490</v>
      </c>
    </row>
    <row r="985" spans="1:36" ht="12.75" customHeight="1">
      <c r="A985" s="94">
        <v>42521</v>
      </c>
      <c r="B985" s="94" t="s">
        <v>136</v>
      </c>
      <c r="C985" s="358" t="s">
        <v>308</v>
      </c>
      <c r="D985" s="374">
        <v>5880338.5549999997</v>
      </c>
      <c r="E985" s="95" t="e">
        <f t="shared" si="134"/>
        <v>#DIV/0!</v>
      </c>
      <c r="F985" s="47">
        <v>5.2</v>
      </c>
      <c r="G985" s="47">
        <v>0</v>
      </c>
      <c r="H985" s="47">
        <v>0</v>
      </c>
      <c r="I985" s="98">
        <v>0</v>
      </c>
      <c r="J985" s="98"/>
      <c r="K985" s="93"/>
      <c r="L985" s="93">
        <f t="shared" si="135"/>
        <v>0</v>
      </c>
      <c r="M985" s="95" t="e">
        <f t="shared" ca="1" si="136"/>
        <v>#DIV/0!</v>
      </c>
      <c r="N985" s="95">
        <f>IF(P985="Hedge Fund",IF(A985=Summary!$AD$3,M985-E985,M985),IF(A985=Summary!$AD$3,L985-D985,L985))</f>
        <v>0</v>
      </c>
      <c r="O985" s="95">
        <f t="shared" si="140"/>
        <v>0</v>
      </c>
      <c r="P985" s="89" t="s">
        <v>155</v>
      </c>
      <c r="Q985" s="107">
        <v>0</v>
      </c>
      <c r="R985" s="107">
        <v>0</v>
      </c>
      <c r="S985" s="89">
        <v>0</v>
      </c>
      <c r="T985" s="89">
        <v>0</v>
      </c>
      <c r="U985" s="89"/>
      <c r="V985" s="89"/>
      <c r="W985" s="89"/>
      <c r="X985" s="89"/>
      <c r="Y985" s="89"/>
      <c r="Z985" s="89"/>
      <c r="AA985" s="89"/>
      <c r="AB985" s="89"/>
      <c r="AC985" s="355"/>
      <c r="AD985" s="355"/>
      <c r="AE985" s="355"/>
      <c r="AF985" s="94">
        <f t="shared" si="137"/>
        <v>42521</v>
      </c>
      <c r="AG985" s="185">
        <f t="shared" si="141"/>
        <v>1.0821775577919635E-2</v>
      </c>
      <c r="AH985" s="339" t="str">
        <f>VLOOKUP(B985,'MF PF'!A:B,2)</f>
        <v>FdMgt1</v>
      </c>
      <c r="AI985" s="358">
        <f t="shared" si="138"/>
        <v>0</v>
      </c>
      <c r="AJ985" s="94">
        <f t="shared" si="139"/>
        <v>42521</v>
      </c>
    </row>
    <row r="986" spans="1:36" ht="12.75" customHeight="1">
      <c r="A986" s="8">
        <v>42551</v>
      </c>
      <c r="B986" s="94" t="s">
        <v>136</v>
      </c>
      <c r="C986" s="358" t="s">
        <v>308</v>
      </c>
      <c r="D986" s="374">
        <v>6035891.9550000001</v>
      </c>
      <c r="E986" s="9" t="e">
        <f t="shared" si="134"/>
        <v>#DIV/0!</v>
      </c>
      <c r="F986" s="47">
        <v>5.2</v>
      </c>
      <c r="G986" s="47">
        <v>0</v>
      </c>
      <c r="H986" s="47">
        <v>0</v>
      </c>
      <c r="I986" s="98">
        <v>0</v>
      </c>
      <c r="J986" s="98"/>
      <c r="K986" s="93"/>
      <c r="L986" s="93">
        <f t="shared" si="135"/>
        <v>0</v>
      </c>
      <c r="M986" s="95" t="e">
        <f t="shared" ca="1" si="136"/>
        <v>#DIV/0!</v>
      </c>
      <c r="N986" s="95">
        <f>IF(P986="Hedge Fund",IF(A986=Summary!$AD$3,M986-E986,M986),IF(A986=Summary!$AD$3,L986-D986,L986))</f>
        <v>0</v>
      </c>
      <c r="O986" s="95">
        <f t="shared" si="140"/>
        <v>0</v>
      </c>
      <c r="P986" s="89" t="s">
        <v>155</v>
      </c>
      <c r="Q986" s="107">
        <v>0</v>
      </c>
      <c r="R986" s="107">
        <v>0</v>
      </c>
      <c r="S986" s="89">
        <v>0</v>
      </c>
      <c r="T986" s="89">
        <v>0</v>
      </c>
      <c r="U986" s="89"/>
      <c r="V986" s="89"/>
      <c r="W986" s="89"/>
      <c r="X986" s="89"/>
      <c r="Y986" s="89"/>
      <c r="Z986" s="89"/>
      <c r="AA986" s="89"/>
      <c r="AB986" s="89"/>
      <c r="AC986" s="355"/>
      <c r="AD986" s="355"/>
      <c r="AE986" s="355"/>
      <c r="AF986" s="94">
        <f t="shared" si="137"/>
        <v>42551</v>
      </c>
      <c r="AG986" s="185">
        <f t="shared" si="141"/>
        <v>2.6453136761612983E-2</v>
      </c>
      <c r="AH986" s="339" t="str">
        <f>VLOOKUP(B986,'MF PF'!A:B,2)</f>
        <v>FdMgt1</v>
      </c>
      <c r="AI986" s="358">
        <f t="shared" si="138"/>
        <v>0</v>
      </c>
      <c r="AJ986" s="94">
        <f t="shared" si="139"/>
        <v>42551</v>
      </c>
    </row>
    <row r="987" spans="1:36" ht="12.75" customHeight="1">
      <c r="A987" s="94">
        <v>42580</v>
      </c>
      <c r="B987" s="94" t="s">
        <v>136</v>
      </c>
      <c r="C987" s="358" t="s">
        <v>308</v>
      </c>
      <c r="D987" s="374">
        <v>6102899.0954999998</v>
      </c>
      <c r="E987" s="9" t="e">
        <f t="shared" si="134"/>
        <v>#DIV/0!</v>
      </c>
      <c r="F987" s="98">
        <v>5.2</v>
      </c>
      <c r="G987" s="98">
        <v>0</v>
      </c>
      <c r="H987" s="98">
        <v>0</v>
      </c>
      <c r="I987" s="98">
        <v>0</v>
      </c>
      <c r="J987" s="98"/>
      <c r="K987" s="93"/>
      <c r="L987" s="93">
        <f t="shared" si="135"/>
        <v>0</v>
      </c>
      <c r="M987" s="95" t="e">
        <f t="shared" ca="1" si="136"/>
        <v>#DIV/0!</v>
      </c>
      <c r="N987" s="95">
        <f>IF(P987="Hedge Fund",IF(A987=Summary!$AD$3,M987-E987,M987),IF(A987=Summary!$AD$3,L987-D987,L987))</f>
        <v>0</v>
      </c>
      <c r="O987" s="95">
        <f t="shared" si="140"/>
        <v>0</v>
      </c>
      <c r="P987" s="107" t="s">
        <v>155</v>
      </c>
      <c r="Q987" s="107">
        <v>0</v>
      </c>
      <c r="R987" s="107">
        <v>0</v>
      </c>
      <c r="S987" s="107">
        <v>0</v>
      </c>
      <c r="T987" s="107">
        <v>0</v>
      </c>
      <c r="U987" s="107"/>
      <c r="V987" s="107"/>
      <c r="W987" s="107"/>
      <c r="X987" s="107"/>
      <c r="Y987" s="107"/>
      <c r="Z987" s="107"/>
      <c r="AA987" s="107"/>
      <c r="AB987" s="107"/>
      <c r="AC987" s="355"/>
      <c r="AD987" s="355"/>
      <c r="AE987" s="355"/>
      <c r="AF987" s="94">
        <f t="shared" si="137"/>
        <v>42580</v>
      </c>
      <c r="AG987" s="185">
        <f t="shared" si="141"/>
        <v>1.110144797149526E-2</v>
      </c>
      <c r="AH987" s="339" t="str">
        <f>VLOOKUP(B987,'MF PF'!A:B,2)</f>
        <v>FdMgt1</v>
      </c>
      <c r="AI987" s="358">
        <f t="shared" si="138"/>
        <v>0</v>
      </c>
      <c r="AJ987" s="94">
        <f t="shared" si="139"/>
        <v>42582</v>
      </c>
    </row>
    <row r="988" spans="1:36" ht="12.75" customHeight="1">
      <c r="A988" s="94">
        <v>42613</v>
      </c>
      <c r="B988" s="94" t="s">
        <v>136</v>
      </c>
      <c r="C988" s="358" t="s">
        <v>308</v>
      </c>
      <c r="D988" s="374">
        <v>6090400.517</v>
      </c>
      <c r="E988" s="9" t="e">
        <f t="shared" si="134"/>
        <v>#DIV/0!</v>
      </c>
      <c r="F988" s="98">
        <v>5.2</v>
      </c>
      <c r="G988" s="98">
        <v>0</v>
      </c>
      <c r="H988" s="98">
        <v>0</v>
      </c>
      <c r="I988" s="98">
        <v>0</v>
      </c>
      <c r="J988" s="98"/>
      <c r="K988" s="93"/>
      <c r="L988" s="93">
        <f t="shared" si="135"/>
        <v>0</v>
      </c>
      <c r="M988" s="95" t="e">
        <f t="shared" ca="1" si="136"/>
        <v>#DIV/0!</v>
      </c>
      <c r="N988" s="95">
        <f>IF(P988="Hedge Fund",IF(A988=Summary!$AD$3,M988-E988,M988),IF(A988=Summary!$AD$3,L988-D988,L988))</f>
        <v>0</v>
      </c>
      <c r="O988" s="95">
        <f t="shared" si="140"/>
        <v>0</v>
      </c>
      <c r="P988" s="107" t="s">
        <v>155</v>
      </c>
      <c r="Q988" s="107">
        <v>0</v>
      </c>
      <c r="R988" s="107">
        <v>0</v>
      </c>
      <c r="S988" s="107">
        <v>0</v>
      </c>
      <c r="T988" s="107">
        <v>0</v>
      </c>
      <c r="U988" s="107"/>
      <c r="V988" s="107"/>
      <c r="W988" s="107"/>
      <c r="X988" s="107"/>
      <c r="Y988" s="107"/>
      <c r="Z988" s="107"/>
      <c r="AA988" s="107"/>
      <c r="AB988" s="107"/>
      <c r="AC988" s="355"/>
      <c r="AD988" s="355"/>
      <c r="AE988" s="355"/>
      <c r="AF988" s="94">
        <f t="shared" si="137"/>
        <v>42613</v>
      </c>
      <c r="AG988" s="185">
        <f t="shared" si="141"/>
        <v>-2.0479739717826906E-3</v>
      </c>
      <c r="AH988" s="339" t="str">
        <f>VLOOKUP(B988,'MF PF'!A:B,2)</f>
        <v>FdMgt1</v>
      </c>
      <c r="AI988" s="358">
        <f t="shared" si="138"/>
        <v>0</v>
      </c>
      <c r="AJ988" s="94">
        <f t="shared" si="139"/>
        <v>42613</v>
      </c>
    </row>
    <row r="989" spans="1:36" ht="12.75" customHeight="1">
      <c r="A989" s="94">
        <v>42643</v>
      </c>
      <c r="B989" s="94" t="s">
        <v>136</v>
      </c>
      <c r="C989" s="358" t="s">
        <v>308</v>
      </c>
      <c r="D989" s="374">
        <v>6324918.2029999997</v>
      </c>
      <c r="E989" s="9" t="e">
        <f t="shared" si="134"/>
        <v>#DIV/0!</v>
      </c>
      <c r="F989" s="98">
        <v>5.2</v>
      </c>
      <c r="G989" s="98">
        <v>0</v>
      </c>
      <c r="H989" s="98">
        <v>0</v>
      </c>
      <c r="I989" s="98">
        <v>0</v>
      </c>
      <c r="J989" s="98"/>
      <c r="L989" s="93">
        <f t="shared" si="135"/>
        <v>0</v>
      </c>
      <c r="M989" s="95" t="e">
        <f t="shared" ca="1" si="136"/>
        <v>#DIV/0!</v>
      </c>
      <c r="N989" s="95">
        <f>IF(P989="Hedge Fund",IF(A989=Summary!$AD$3,M989-E989,M989),IF(A989=Summary!$AD$3,L989-D989,L989))</f>
        <v>0</v>
      </c>
      <c r="O989" s="95">
        <f t="shared" si="140"/>
        <v>0</v>
      </c>
      <c r="P989" s="107" t="s">
        <v>155</v>
      </c>
      <c r="Q989" s="107">
        <v>0</v>
      </c>
      <c r="R989" s="107">
        <v>0</v>
      </c>
      <c r="S989" s="107">
        <v>0</v>
      </c>
      <c r="T989" s="107">
        <v>0</v>
      </c>
      <c r="U989" s="107"/>
      <c r="V989" s="107"/>
      <c r="W989" s="107"/>
      <c r="X989" s="107"/>
      <c r="Y989" s="107"/>
      <c r="Z989" s="107"/>
      <c r="AA989" s="107"/>
      <c r="AB989" s="107"/>
      <c r="AC989" s="355"/>
      <c r="AD989" s="355"/>
      <c r="AE989" s="355"/>
      <c r="AF989" s="94">
        <f t="shared" si="137"/>
        <v>42643</v>
      </c>
      <c r="AG989" s="185">
        <f t="shared" si="141"/>
        <v>3.8506118825091251E-2</v>
      </c>
      <c r="AH989" s="339" t="str">
        <f>VLOOKUP(B989,'MF PF'!A:B,2)</f>
        <v>FdMgt1</v>
      </c>
      <c r="AI989" s="358">
        <f t="shared" si="138"/>
        <v>0</v>
      </c>
      <c r="AJ989" s="94">
        <f t="shared" si="139"/>
        <v>42643</v>
      </c>
    </row>
    <row r="990" spans="1:36" ht="12.75" customHeight="1">
      <c r="A990" s="94">
        <v>42674</v>
      </c>
      <c r="B990" s="94" t="s">
        <v>136</v>
      </c>
      <c r="C990" s="358" t="s">
        <v>308</v>
      </c>
      <c r="D990" s="374">
        <v>6522023.5214999998</v>
      </c>
      <c r="E990" s="9" t="e">
        <f t="shared" si="134"/>
        <v>#DIV/0!</v>
      </c>
      <c r="F990" s="98">
        <v>5.2</v>
      </c>
      <c r="G990" s="98">
        <v>0</v>
      </c>
      <c r="H990" s="98">
        <v>0</v>
      </c>
      <c r="I990" s="98">
        <v>0</v>
      </c>
      <c r="J990" s="98"/>
      <c r="L990" s="93">
        <f t="shared" si="135"/>
        <v>0</v>
      </c>
      <c r="M990" s="95" t="e">
        <f t="shared" ca="1" si="136"/>
        <v>#DIV/0!</v>
      </c>
      <c r="N990" s="95">
        <f>IF(P990="Hedge Fund",IF(A990=Summary!$AD$3,M990-E990,M990),IF(A990=Summary!$AD$3,L990-D990,L990))</f>
        <v>0</v>
      </c>
      <c r="O990" s="95">
        <f t="shared" si="140"/>
        <v>0</v>
      </c>
      <c r="P990" s="107" t="s">
        <v>155</v>
      </c>
      <c r="Q990" s="107">
        <v>0</v>
      </c>
      <c r="R990" s="107">
        <v>0</v>
      </c>
      <c r="S990" s="107">
        <v>0</v>
      </c>
      <c r="T990" s="107">
        <v>0</v>
      </c>
      <c r="U990" s="107"/>
      <c r="V990" s="107"/>
      <c r="W990" s="107"/>
      <c r="X990" s="107"/>
      <c r="Y990" s="107"/>
      <c r="Z990" s="107"/>
      <c r="AA990" s="107"/>
      <c r="AB990" s="107"/>
      <c r="AC990" s="355"/>
      <c r="AD990" s="355"/>
      <c r="AE990" s="355"/>
      <c r="AF990" s="94">
        <f t="shared" si="137"/>
        <v>42674</v>
      </c>
      <c r="AG990" s="185">
        <f t="shared" si="141"/>
        <v>3.1163299219665763E-2</v>
      </c>
      <c r="AH990" s="339" t="str">
        <f>VLOOKUP(B990,'MF PF'!A:B,2)</f>
        <v>FdMgt1</v>
      </c>
      <c r="AI990" s="358">
        <f t="shared" si="138"/>
        <v>0</v>
      </c>
      <c r="AJ990" s="94">
        <f t="shared" si="139"/>
        <v>42674</v>
      </c>
    </row>
    <row r="991" spans="1:36" ht="12.75" customHeight="1">
      <c r="A991" s="8">
        <v>42704</v>
      </c>
      <c r="B991" s="94" t="s">
        <v>136</v>
      </c>
      <c r="C991" s="6" t="s">
        <v>308</v>
      </c>
      <c r="D991" s="374">
        <v>6553636.0925000003</v>
      </c>
      <c r="E991" s="9" t="e">
        <f t="shared" si="134"/>
        <v>#DIV/0!</v>
      </c>
      <c r="F991" s="98">
        <v>5.2</v>
      </c>
      <c r="G991" s="98">
        <v>0</v>
      </c>
      <c r="H991" s="98">
        <v>0</v>
      </c>
      <c r="I991" s="98">
        <v>0</v>
      </c>
      <c r="J991" s="98"/>
      <c r="L991" s="93">
        <f t="shared" si="135"/>
        <v>0</v>
      </c>
      <c r="M991" s="95" t="e">
        <f t="shared" ca="1" si="136"/>
        <v>#DIV/0!</v>
      </c>
      <c r="N991" s="95">
        <f>IF(P991="Hedge Fund",IF(A991=Summary!$AD$3,M991-E991,M991),IF(A991=Summary!$AD$3,L991-D991,L991))</f>
        <v>0</v>
      </c>
      <c r="O991" s="95">
        <f t="shared" si="140"/>
        <v>0</v>
      </c>
      <c r="P991" s="107" t="s">
        <v>155</v>
      </c>
      <c r="Q991" s="107">
        <v>0</v>
      </c>
      <c r="R991" s="107">
        <v>0</v>
      </c>
      <c r="S991" s="107">
        <v>0</v>
      </c>
      <c r="T991" s="107">
        <v>0</v>
      </c>
      <c r="U991" s="107"/>
      <c r="V991" s="107"/>
      <c r="W991" s="107"/>
      <c r="X991" s="107"/>
      <c r="Y991" s="107"/>
      <c r="Z991" s="107"/>
      <c r="AA991" s="107"/>
      <c r="AB991" s="107"/>
      <c r="AC991" s="355"/>
      <c r="AD991" s="355"/>
      <c r="AE991" s="355"/>
      <c r="AF991" s="94">
        <f t="shared" si="137"/>
        <v>42704</v>
      </c>
      <c r="AG991" s="185">
        <f t="shared" si="141"/>
        <v>4.8470495231716093E-3</v>
      </c>
      <c r="AH991" s="339" t="str">
        <f>VLOOKUP(B991,'MF PF'!A:B,2)</f>
        <v>FdMgt1</v>
      </c>
      <c r="AI991" s="358">
        <f t="shared" si="138"/>
        <v>0</v>
      </c>
      <c r="AJ991" s="94">
        <f t="shared" si="139"/>
        <v>42704</v>
      </c>
    </row>
    <row r="992" spans="1:36" ht="12.75" customHeight="1">
      <c r="A992" s="94">
        <v>42734</v>
      </c>
      <c r="B992" s="94" t="s">
        <v>136</v>
      </c>
      <c r="C992" s="358" t="s">
        <v>308</v>
      </c>
      <c r="D992" s="374">
        <v>6516965.6560000004</v>
      </c>
      <c r="E992" s="9" t="e">
        <f t="shared" si="134"/>
        <v>#DIV/0!</v>
      </c>
      <c r="F992" s="98">
        <v>5.2</v>
      </c>
      <c r="G992" s="98">
        <v>0</v>
      </c>
      <c r="H992" s="98">
        <v>0</v>
      </c>
      <c r="I992" s="98">
        <v>0</v>
      </c>
      <c r="J992" s="98"/>
      <c r="L992" s="93">
        <f t="shared" si="135"/>
        <v>0</v>
      </c>
      <c r="M992" s="95" t="e">
        <f t="shared" ca="1" si="136"/>
        <v>#DIV/0!</v>
      </c>
      <c r="N992" s="95">
        <f>IF(P992="Hedge Fund",IF(A992=Summary!$AD$3,M992-E992,M992),IF(A992=Summary!$AD$3,L992-D992,L992))</f>
        <v>0</v>
      </c>
      <c r="O992" s="95">
        <f t="shared" si="140"/>
        <v>0</v>
      </c>
      <c r="P992" s="107" t="s">
        <v>155</v>
      </c>
      <c r="Q992" s="107">
        <v>0</v>
      </c>
      <c r="R992" s="107">
        <v>0</v>
      </c>
      <c r="S992" s="107">
        <v>0</v>
      </c>
      <c r="T992" s="107">
        <v>0</v>
      </c>
      <c r="U992" s="107"/>
      <c r="V992" s="107"/>
      <c r="W992" s="107"/>
      <c r="X992" s="107"/>
      <c r="Y992" s="107"/>
      <c r="Z992" s="107"/>
      <c r="AA992" s="107"/>
      <c r="AB992" s="107"/>
      <c r="AC992" s="355"/>
      <c r="AD992" s="355"/>
      <c r="AE992" s="355"/>
      <c r="AF992" s="94">
        <f t="shared" si="137"/>
        <v>42734</v>
      </c>
      <c r="AG992" s="185">
        <f t="shared" si="141"/>
        <v>-5.5954337382213559E-3</v>
      </c>
      <c r="AH992" s="339" t="str">
        <f>VLOOKUP(B992,'MF PF'!A:B,2)</f>
        <v>FdMgt1</v>
      </c>
      <c r="AI992" s="358">
        <f t="shared" si="138"/>
        <v>0</v>
      </c>
      <c r="AJ992" s="94">
        <f t="shared" si="139"/>
        <v>42735</v>
      </c>
    </row>
    <row r="993" spans="1:36" ht="12.75" customHeight="1">
      <c r="A993" s="94">
        <v>42762</v>
      </c>
      <c r="B993" s="94" t="s">
        <v>136</v>
      </c>
      <c r="C993" s="358" t="s">
        <v>308</v>
      </c>
      <c r="D993" s="374">
        <v>6615104.9134999998</v>
      </c>
      <c r="E993" s="9" t="e">
        <f t="shared" si="134"/>
        <v>#DIV/0!</v>
      </c>
      <c r="F993" s="98">
        <v>5.2</v>
      </c>
      <c r="G993" s="98">
        <v>0</v>
      </c>
      <c r="H993" s="98">
        <v>0</v>
      </c>
      <c r="I993" s="98">
        <v>0</v>
      </c>
      <c r="J993" s="98"/>
      <c r="L993" s="93">
        <f t="shared" si="135"/>
        <v>0</v>
      </c>
      <c r="M993" s="95" t="e">
        <f t="shared" ca="1" si="136"/>
        <v>#DIV/0!</v>
      </c>
      <c r="N993" s="95">
        <f>IF(P993="Hedge Fund",IF(A993=Summary!$AD$3,M993-E993,M993),IF(A993=Summary!$AD$3,L993-D993,L993))</f>
        <v>0</v>
      </c>
      <c r="O993" s="95">
        <f t="shared" si="140"/>
        <v>0</v>
      </c>
      <c r="P993" s="107" t="s">
        <v>155</v>
      </c>
      <c r="Q993" s="107">
        <v>0</v>
      </c>
      <c r="R993" s="107">
        <v>0</v>
      </c>
      <c r="S993" s="107">
        <v>0</v>
      </c>
      <c r="T993" s="107">
        <v>0</v>
      </c>
      <c r="U993" s="107"/>
      <c r="V993" s="107"/>
      <c r="W993" s="107"/>
      <c r="X993" s="107"/>
      <c r="Y993" s="107"/>
      <c r="Z993" s="107"/>
      <c r="AA993" s="107"/>
      <c r="AB993" s="107"/>
      <c r="AC993" s="355"/>
      <c r="AD993" s="355"/>
      <c r="AE993" s="355"/>
      <c r="AF993" s="94">
        <f t="shared" si="137"/>
        <v>42762</v>
      </c>
      <c r="AG993" s="185">
        <f t="shared" si="141"/>
        <v>1.5059041689078789E-2</v>
      </c>
      <c r="AH993" s="339" t="str">
        <f>VLOOKUP(B993,'MF PF'!A:B,2)</f>
        <v>FdMgt1</v>
      </c>
      <c r="AI993" s="358">
        <f t="shared" si="138"/>
        <v>0</v>
      </c>
      <c r="AJ993" s="94">
        <f t="shared" si="139"/>
        <v>42766</v>
      </c>
    </row>
    <row r="994" spans="1:36" ht="12.75" customHeight="1">
      <c r="A994" s="8">
        <v>42794</v>
      </c>
      <c r="B994" s="8" t="s">
        <v>136</v>
      </c>
      <c r="C994" s="6" t="s">
        <v>308</v>
      </c>
      <c r="D994" s="374">
        <v>6872350.2479999997</v>
      </c>
      <c r="E994" s="9" t="e">
        <f t="shared" ref="E994:E1010" si="142">D994/K994</f>
        <v>#DIV/0!</v>
      </c>
      <c r="F994" s="47">
        <v>5.2</v>
      </c>
      <c r="G994" s="47">
        <v>0</v>
      </c>
      <c r="H994" s="47">
        <v>0</v>
      </c>
      <c r="I994" s="47">
        <v>0</v>
      </c>
      <c r="J994" s="98"/>
      <c r="L994" s="93">
        <f t="shared" si="135"/>
        <v>0</v>
      </c>
      <c r="M994" s="95" t="e">
        <f t="shared" ca="1" si="136"/>
        <v>#DIV/0!</v>
      </c>
      <c r="N994" s="95">
        <f>IF(P994="Hedge Fund",IF(A994=Summary!$AD$3,M994-E994,M994),IF(A994=Summary!$AD$3,L994-D994,L994))</f>
        <v>0</v>
      </c>
      <c r="O994" s="95">
        <f t="shared" si="140"/>
        <v>0</v>
      </c>
      <c r="P994" s="89" t="s">
        <v>155</v>
      </c>
      <c r="Q994" s="107">
        <v>0</v>
      </c>
      <c r="R994" s="107">
        <v>0</v>
      </c>
      <c r="S994" s="89">
        <v>0</v>
      </c>
      <c r="T994" s="89">
        <v>0</v>
      </c>
      <c r="U994" s="89"/>
      <c r="V994" s="89"/>
      <c r="W994" s="89"/>
      <c r="X994" s="89"/>
      <c r="Y994" s="89"/>
      <c r="Z994" s="89"/>
      <c r="AA994" s="89"/>
      <c r="AB994" s="89"/>
      <c r="AC994" s="355"/>
      <c r="AD994" s="355"/>
      <c r="AE994" s="355"/>
      <c r="AF994" s="94">
        <f t="shared" si="137"/>
        <v>42794</v>
      </c>
      <c r="AG994" s="185">
        <f t="shared" si="141"/>
        <v>3.8887566843424981E-2</v>
      </c>
      <c r="AH994" s="339" t="str">
        <f>VLOOKUP(B994,'MF PF'!A:B,2)</f>
        <v>FdMgt1</v>
      </c>
      <c r="AI994" s="358">
        <f t="shared" si="138"/>
        <v>0</v>
      </c>
      <c r="AJ994" s="94">
        <f t="shared" si="139"/>
        <v>42794</v>
      </c>
    </row>
    <row r="995" spans="1:36" ht="12.75" customHeight="1">
      <c r="A995" s="8">
        <v>42825</v>
      </c>
      <c r="B995" s="94" t="s">
        <v>136</v>
      </c>
      <c r="C995" s="92" t="s">
        <v>308</v>
      </c>
      <c r="D995" s="374">
        <v>6775789.0324999997</v>
      </c>
      <c r="E995" s="9" t="e">
        <f t="shared" si="142"/>
        <v>#DIV/0!</v>
      </c>
      <c r="F995" s="47">
        <v>5.2</v>
      </c>
      <c r="G995" s="47">
        <v>0</v>
      </c>
      <c r="H995" s="47">
        <v>0</v>
      </c>
      <c r="I995" s="98">
        <v>0</v>
      </c>
      <c r="J995" s="98"/>
      <c r="L995" s="93">
        <f t="shared" si="135"/>
        <v>0</v>
      </c>
      <c r="M995" s="95" t="e">
        <f t="shared" ca="1" si="136"/>
        <v>#DIV/0!</v>
      </c>
      <c r="N995" s="95">
        <f>IF(P995="Hedge Fund",IF(A995=Summary!$AD$3,M995-E995,M995),IF(A995=Summary!$AD$3,L995-D995,L995))</f>
        <v>0</v>
      </c>
      <c r="O995" s="95">
        <f t="shared" si="140"/>
        <v>0</v>
      </c>
      <c r="P995" s="89" t="s">
        <v>155</v>
      </c>
      <c r="Q995" s="107">
        <v>0</v>
      </c>
      <c r="R995" s="107">
        <v>0</v>
      </c>
      <c r="S995" s="89">
        <v>0</v>
      </c>
      <c r="T995" s="89">
        <v>0</v>
      </c>
      <c r="U995" s="89"/>
      <c r="V995" s="89"/>
      <c r="W995" s="89"/>
      <c r="X995" s="89"/>
      <c r="Y995" s="89"/>
      <c r="Z995" s="89"/>
      <c r="AA995" s="89"/>
      <c r="AB995" s="89"/>
      <c r="AC995" s="355"/>
      <c r="AD995" s="355"/>
      <c r="AE995" s="355"/>
      <c r="AF995" s="94">
        <f t="shared" si="137"/>
        <v>42825</v>
      </c>
      <c r="AG995" s="185">
        <f t="shared" si="141"/>
        <v>-1.405068310191282E-2</v>
      </c>
      <c r="AH995" s="339" t="str">
        <f>VLOOKUP(B995,'MF PF'!A:B,2)</f>
        <v>FdMgt1</v>
      </c>
      <c r="AI995" s="358">
        <f t="shared" si="138"/>
        <v>0</v>
      </c>
      <c r="AJ995" s="94">
        <f t="shared" si="139"/>
        <v>42825</v>
      </c>
    </row>
    <row r="996" spans="1:36" ht="12.75" customHeight="1">
      <c r="A996" s="8">
        <v>42853</v>
      </c>
      <c r="B996" s="94" t="s">
        <v>136</v>
      </c>
      <c r="C996" s="92" t="s">
        <v>308</v>
      </c>
      <c r="D996" s="374">
        <v>6751761.6749999998</v>
      </c>
      <c r="E996" s="9" t="e">
        <f t="shared" si="142"/>
        <v>#DIV/0!</v>
      </c>
      <c r="F996" s="47">
        <v>5.2</v>
      </c>
      <c r="G996" s="47">
        <v>0</v>
      </c>
      <c r="H996" s="47">
        <v>0</v>
      </c>
      <c r="I996" s="98">
        <v>0</v>
      </c>
      <c r="J996" s="98"/>
      <c r="K996" s="93"/>
      <c r="L996" s="93">
        <f t="shared" si="135"/>
        <v>0</v>
      </c>
      <c r="M996" s="95" t="e">
        <f t="shared" ca="1" si="136"/>
        <v>#DIV/0!</v>
      </c>
      <c r="N996" s="95">
        <f>IF(P996="Hedge Fund",IF(A996=Summary!$AD$3,M996-E996,M996),IF(A996=Summary!$AD$3,L996-D996,L996))</f>
        <v>0</v>
      </c>
      <c r="O996" s="95">
        <f t="shared" si="140"/>
        <v>0</v>
      </c>
      <c r="P996" s="89" t="s">
        <v>155</v>
      </c>
      <c r="Q996" s="107">
        <v>0</v>
      </c>
      <c r="R996" s="107">
        <v>0</v>
      </c>
      <c r="S996" s="89">
        <v>0</v>
      </c>
      <c r="T996" s="89">
        <v>0</v>
      </c>
      <c r="U996" s="89"/>
      <c r="V996" s="89"/>
      <c r="W996" s="89"/>
      <c r="X996" s="89"/>
      <c r="Y996" s="89"/>
      <c r="Z996" s="89"/>
      <c r="AA996" s="89"/>
      <c r="AB996" s="89"/>
      <c r="AC996" s="355"/>
      <c r="AD996" s="355"/>
      <c r="AE996" s="355"/>
      <c r="AF996" s="94">
        <f t="shared" si="137"/>
        <v>42853</v>
      </c>
      <c r="AG996" s="185">
        <f t="shared" si="141"/>
        <v>-3.546060449159949E-3</v>
      </c>
      <c r="AH996" s="339" t="str">
        <f>VLOOKUP(B996,'MF PF'!A:B,2)</f>
        <v>FdMgt1</v>
      </c>
      <c r="AI996" s="358">
        <f t="shared" si="138"/>
        <v>0</v>
      </c>
      <c r="AJ996" s="94">
        <f t="shared" si="139"/>
        <v>42855</v>
      </c>
    </row>
    <row r="997" spans="1:36" ht="12.75" customHeight="1">
      <c r="A997" s="94">
        <v>42886</v>
      </c>
      <c r="B997" s="94" t="s">
        <v>136</v>
      </c>
      <c r="C997" s="358" t="s">
        <v>308</v>
      </c>
      <c r="D997" s="374">
        <v>6583300.1744999997</v>
      </c>
      <c r="E997" s="9" t="e">
        <f t="shared" si="142"/>
        <v>#DIV/0!</v>
      </c>
      <c r="F997" s="47">
        <v>5.2</v>
      </c>
      <c r="G997" s="47">
        <v>0</v>
      </c>
      <c r="H997" s="47">
        <v>0</v>
      </c>
      <c r="I997" s="98">
        <v>0</v>
      </c>
      <c r="J997" s="98"/>
      <c r="K997" s="93"/>
      <c r="L997" s="93">
        <f t="shared" si="135"/>
        <v>0</v>
      </c>
      <c r="M997" s="95" t="e">
        <f t="shared" ca="1" si="136"/>
        <v>#DIV/0!</v>
      </c>
      <c r="N997" s="95">
        <f>IF(P997="Hedge Fund",IF(A997=Summary!$AD$3,M997-E997,M997),IF(A997=Summary!$AD$3,L997-D997,L997))</f>
        <v>0</v>
      </c>
      <c r="O997" s="95">
        <f t="shared" si="140"/>
        <v>0</v>
      </c>
      <c r="P997" s="89" t="s">
        <v>155</v>
      </c>
      <c r="Q997" s="107">
        <v>0</v>
      </c>
      <c r="R997" s="107">
        <v>0</v>
      </c>
      <c r="S997" s="89">
        <v>0</v>
      </c>
      <c r="T997" s="89">
        <v>0</v>
      </c>
      <c r="U997" s="89"/>
      <c r="V997" s="89"/>
      <c r="W997" s="89"/>
      <c r="X997" s="89"/>
      <c r="Y997" s="89"/>
      <c r="Z997" s="89"/>
      <c r="AA997" s="89"/>
      <c r="AB997" s="89"/>
      <c r="AC997" s="355"/>
      <c r="AD997" s="355"/>
      <c r="AE997" s="355"/>
      <c r="AF997" s="94">
        <f t="shared" si="137"/>
        <v>42886</v>
      </c>
      <c r="AG997" s="185">
        <f t="shared" si="141"/>
        <v>-2.4950747465475431E-2</v>
      </c>
      <c r="AH997" s="339" t="str">
        <f>VLOOKUP(B997,'MF PF'!A:B,2)</f>
        <v>FdMgt1</v>
      </c>
      <c r="AI997" s="358">
        <f t="shared" si="138"/>
        <v>0</v>
      </c>
      <c r="AJ997" s="94">
        <f t="shared" si="139"/>
        <v>42886</v>
      </c>
    </row>
    <row r="998" spans="1:36" ht="12.75" customHeight="1">
      <c r="A998" s="94">
        <v>42916</v>
      </c>
      <c r="B998" s="94" t="s">
        <v>136</v>
      </c>
      <c r="C998" s="358" t="s">
        <v>308</v>
      </c>
      <c r="D998" s="374">
        <v>6819993.7244999995</v>
      </c>
      <c r="E998" s="9" t="e">
        <f t="shared" si="142"/>
        <v>#DIV/0!</v>
      </c>
      <c r="F998" s="47">
        <v>5.2</v>
      </c>
      <c r="G998" s="47">
        <v>0</v>
      </c>
      <c r="H998" s="47">
        <v>0</v>
      </c>
      <c r="I998" s="98">
        <v>0</v>
      </c>
      <c r="J998" s="98"/>
      <c r="K998" s="93"/>
      <c r="L998" s="93">
        <f t="shared" si="135"/>
        <v>0</v>
      </c>
      <c r="M998" s="95" t="e">
        <f t="shared" ca="1" si="136"/>
        <v>#DIV/0!</v>
      </c>
      <c r="N998" s="95">
        <f>IF(P998="Hedge Fund",IF(A998=Summary!$AD$3,M998-E998,M998),IF(A998=Summary!$AD$3,L998-D998,L998))</f>
        <v>0</v>
      </c>
      <c r="O998" s="95">
        <f t="shared" si="140"/>
        <v>0</v>
      </c>
      <c r="P998" s="89" t="s">
        <v>155</v>
      </c>
      <c r="Q998" s="107">
        <v>0</v>
      </c>
      <c r="R998" s="107">
        <v>0</v>
      </c>
      <c r="S998" s="107">
        <v>0</v>
      </c>
      <c r="T998" s="107">
        <v>0</v>
      </c>
      <c r="U998" s="107"/>
      <c r="V998" s="107"/>
      <c r="W998" s="107"/>
      <c r="X998" s="107"/>
      <c r="Y998" s="89"/>
      <c r="Z998" s="89"/>
      <c r="AA998" s="89"/>
      <c r="AB998" s="89"/>
      <c r="AC998" s="355"/>
      <c r="AD998" s="355"/>
      <c r="AE998" s="355"/>
      <c r="AF998" s="94">
        <f t="shared" si="137"/>
        <v>42916</v>
      </c>
      <c r="AG998" s="185">
        <f t="shared" si="141"/>
        <v>3.5953631723617541E-2</v>
      </c>
      <c r="AH998" s="339" t="str">
        <f>VLOOKUP(B998,'MF PF'!A:B,2)</f>
        <v>FdMgt1</v>
      </c>
      <c r="AI998" s="358">
        <f t="shared" si="138"/>
        <v>0</v>
      </c>
      <c r="AJ998" s="94">
        <f t="shared" si="139"/>
        <v>42916</v>
      </c>
    </row>
    <row r="999" spans="1:36" ht="12.75" customHeight="1">
      <c r="A999" s="8">
        <v>42947</v>
      </c>
      <c r="B999" s="94" t="s">
        <v>136</v>
      </c>
      <c r="C999" s="358" t="s">
        <v>308</v>
      </c>
      <c r="D999" s="374">
        <v>6964480.193</v>
      </c>
      <c r="E999" s="9" t="e">
        <f t="shared" si="142"/>
        <v>#DIV/0!</v>
      </c>
      <c r="F999" s="47">
        <v>5.2</v>
      </c>
      <c r="G999" s="47">
        <v>0</v>
      </c>
      <c r="H999" s="47">
        <v>0</v>
      </c>
      <c r="I999" s="47">
        <v>0</v>
      </c>
      <c r="J999" s="98"/>
      <c r="L999" s="93">
        <f t="shared" si="135"/>
        <v>0</v>
      </c>
      <c r="M999" s="95" t="e">
        <f t="shared" ca="1" si="136"/>
        <v>#DIV/0!</v>
      </c>
      <c r="N999" s="95">
        <f>IF(P999="Hedge Fund",IF(A999=Summary!$AD$3,M999-E999,M999),IF(A999=Summary!$AD$3,L999-D999,L999))</f>
        <v>0</v>
      </c>
      <c r="O999" s="95">
        <f t="shared" si="140"/>
        <v>0</v>
      </c>
      <c r="P999" s="89" t="s">
        <v>155</v>
      </c>
      <c r="Q999" s="107">
        <v>0</v>
      </c>
      <c r="R999" s="89">
        <v>0</v>
      </c>
      <c r="S999" s="89">
        <v>0</v>
      </c>
      <c r="T999" s="89">
        <v>0</v>
      </c>
      <c r="U999" s="89"/>
      <c r="V999" s="89"/>
      <c r="W999" s="89"/>
      <c r="X999" s="89"/>
      <c r="Y999" s="89"/>
      <c r="Z999" s="89"/>
      <c r="AA999" s="89"/>
      <c r="AB999" s="89"/>
      <c r="AC999" s="355"/>
      <c r="AD999" s="355"/>
      <c r="AE999" s="355"/>
      <c r="AF999" s="94">
        <f t="shared" si="137"/>
        <v>42947</v>
      </c>
      <c r="AG999" s="185">
        <f t="shared" si="141"/>
        <v>2.1185718687826594E-2</v>
      </c>
      <c r="AH999" s="339" t="str">
        <f>VLOOKUP(B999,'MF PF'!A:B,2)</f>
        <v>FdMgt1</v>
      </c>
      <c r="AI999" s="358">
        <f t="shared" si="138"/>
        <v>0</v>
      </c>
      <c r="AJ999" s="94">
        <f t="shared" si="139"/>
        <v>42947</v>
      </c>
    </row>
    <row r="1000" spans="1:36" ht="12.75" customHeight="1">
      <c r="A1000" s="94">
        <v>42978</v>
      </c>
      <c r="B1000" s="94" t="s">
        <v>136</v>
      </c>
      <c r="C1000" s="358" t="s">
        <v>308</v>
      </c>
      <c r="D1000" s="374">
        <v>6988600</v>
      </c>
      <c r="E1000" s="9" t="e">
        <f t="shared" si="142"/>
        <v>#DIV/0!</v>
      </c>
      <c r="F1000" s="47">
        <v>5.2</v>
      </c>
      <c r="G1000" s="47">
        <v>0</v>
      </c>
      <c r="H1000" s="47">
        <v>0</v>
      </c>
      <c r="I1000" s="47">
        <v>0</v>
      </c>
      <c r="J1000" s="98"/>
      <c r="K1000" s="93"/>
      <c r="L1000" s="93">
        <f t="shared" si="135"/>
        <v>0</v>
      </c>
      <c r="M1000" s="95" t="e">
        <f t="shared" ca="1" si="136"/>
        <v>#DIV/0!</v>
      </c>
      <c r="N1000" s="95">
        <f>IF(P1000="Hedge Fund",IF(A1000=Summary!$AD$3,M1000-E1000,M1000),IF(A1000=Summary!$AD$3,L1000-D1000,L1000))</f>
        <v>0</v>
      </c>
      <c r="O1000" s="95">
        <f t="shared" si="140"/>
        <v>0</v>
      </c>
      <c r="P1000" s="89" t="s">
        <v>155</v>
      </c>
      <c r="Q1000" s="107">
        <v>0</v>
      </c>
      <c r="R1000" s="89">
        <v>0</v>
      </c>
      <c r="S1000" s="89">
        <v>0</v>
      </c>
      <c r="T1000" s="89">
        <v>0</v>
      </c>
      <c r="U1000" s="89"/>
      <c r="V1000" s="89"/>
      <c r="W1000" s="89"/>
      <c r="X1000" s="89"/>
      <c r="Y1000" s="89"/>
      <c r="Z1000" s="89"/>
      <c r="AA1000" s="89"/>
      <c r="AB1000" s="89"/>
      <c r="AC1000" s="355"/>
      <c r="AD1000" s="355"/>
      <c r="AE1000" s="355"/>
      <c r="AF1000" s="94">
        <f t="shared" si="137"/>
        <v>42978</v>
      </c>
      <c r="AG1000" s="185">
        <f t="shared" si="141"/>
        <v>3.4632601905082439E-3</v>
      </c>
      <c r="AH1000" s="339" t="str">
        <f>VLOOKUP(B1000,'MF PF'!A:B,2)</f>
        <v>FdMgt1</v>
      </c>
      <c r="AI1000" s="358">
        <f t="shared" si="138"/>
        <v>0</v>
      </c>
      <c r="AJ1000" s="94">
        <f t="shared" si="139"/>
        <v>42978</v>
      </c>
    </row>
    <row r="1001" spans="1:36" ht="12.75" customHeight="1">
      <c r="A1001" s="8">
        <v>43007</v>
      </c>
      <c r="B1001" s="94" t="s">
        <v>136</v>
      </c>
      <c r="C1001" s="6" t="s">
        <v>308</v>
      </c>
      <c r="D1001" s="374">
        <v>6953801.0628649574</v>
      </c>
      <c r="E1001" s="9" t="e">
        <f t="shared" si="142"/>
        <v>#DIV/0!</v>
      </c>
      <c r="F1001" s="98">
        <v>5.2</v>
      </c>
      <c r="G1001" s="98">
        <v>0</v>
      </c>
      <c r="H1001" s="98">
        <v>0</v>
      </c>
      <c r="I1001" s="98">
        <v>0</v>
      </c>
      <c r="J1001" s="98"/>
      <c r="K1001" s="93"/>
      <c r="L1001" s="93">
        <f t="shared" si="135"/>
        <v>0</v>
      </c>
      <c r="M1001" s="95" t="e">
        <f t="shared" ca="1" si="136"/>
        <v>#DIV/0!</v>
      </c>
      <c r="N1001" s="95">
        <f>IF(P1001="Hedge Fund",IF(A1001=Summary!$AD$3,M1001-E1001,M1001),IF(A1001=Summary!$AD$3,L1001-D1001,L1001))</f>
        <v>0</v>
      </c>
      <c r="O1001" s="95">
        <f t="shared" si="140"/>
        <v>0</v>
      </c>
      <c r="P1001" s="107" t="s">
        <v>155</v>
      </c>
      <c r="Q1001" s="107">
        <v>0</v>
      </c>
      <c r="R1001" s="107">
        <v>0</v>
      </c>
      <c r="S1001" s="107">
        <v>0</v>
      </c>
      <c r="T1001" s="107">
        <v>0</v>
      </c>
      <c r="U1001" s="107"/>
      <c r="V1001" s="107"/>
      <c r="W1001" s="107"/>
      <c r="X1001" s="107"/>
      <c r="Y1001" s="107"/>
      <c r="Z1001" s="107"/>
      <c r="AA1001" s="107"/>
      <c r="AB1001" s="107"/>
      <c r="AC1001" s="355"/>
      <c r="AD1001" s="355"/>
      <c r="AE1001" s="355"/>
      <c r="AF1001" s="94">
        <f t="shared" si="137"/>
        <v>43007</v>
      </c>
      <c r="AG1001" s="185">
        <f t="shared" si="141"/>
        <v>-4.9793860193805273E-3</v>
      </c>
      <c r="AH1001" s="339" t="str">
        <f>VLOOKUP(B1001,'MF PF'!A:B,2)</f>
        <v>FdMgt1</v>
      </c>
      <c r="AI1001" s="358">
        <f t="shared" si="138"/>
        <v>0</v>
      </c>
      <c r="AJ1001" s="94">
        <f t="shared" si="139"/>
        <v>43008</v>
      </c>
    </row>
    <row r="1002" spans="1:36" ht="12.75" customHeight="1">
      <c r="A1002" s="8">
        <v>43039</v>
      </c>
      <c r="B1002" s="94" t="s">
        <v>136</v>
      </c>
      <c r="C1002" s="92" t="s">
        <v>308</v>
      </c>
      <c r="D1002" s="374">
        <v>6994800</v>
      </c>
      <c r="E1002" s="9" t="e">
        <f t="shared" si="142"/>
        <v>#DIV/0!</v>
      </c>
      <c r="F1002" s="98">
        <v>5.2</v>
      </c>
      <c r="G1002" s="98">
        <v>0</v>
      </c>
      <c r="H1002" s="98">
        <v>0</v>
      </c>
      <c r="I1002" s="98">
        <v>0</v>
      </c>
      <c r="J1002" s="98"/>
      <c r="L1002" s="93">
        <f t="shared" si="135"/>
        <v>0</v>
      </c>
      <c r="M1002" s="95" t="e">
        <f t="shared" ca="1" si="136"/>
        <v>#DIV/0!</v>
      </c>
      <c r="N1002" s="95">
        <f>IF(P1002="Hedge Fund",IF(A1002=Summary!$AD$3,M1002-E1002,M1002),IF(A1002=Summary!$AD$3,L1002-D1002,L1002))</f>
        <v>0</v>
      </c>
      <c r="O1002" s="95">
        <f t="shared" si="140"/>
        <v>0</v>
      </c>
      <c r="P1002" s="107" t="s">
        <v>155</v>
      </c>
      <c r="Q1002" s="107">
        <v>0</v>
      </c>
      <c r="R1002" s="107">
        <v>0</v>
      </c>
      <c r="S1002" s="107">
        <v>0</v>
      </c>
      <c r="T1002" s="107">
        <v>0</v>
      </c>
      <c r="U1002" s="107"/>
      <c r="V1002" s="107"/>
      <c r="W1002" s="107"/>
      <c r="X1002" s="107"/>
      <c r="Y1002" s="107"/>
      <c r="Z1002" s="107"/>
      <c r="AA1002" s="107"/>
      <c r="AB1002" s="107"/>
      <c r="AC1002" s="355"/>
      <c r="AD1002" s="355"/>
      <c r="AE1002" s="355"/>
      <c r="AF1002" s="94">
        <f t="shared" si="137"/>
        <v>43039</v>
      </c>
      <c r="AG1002" s="185">
        <f t="shared" si="141"/>
        <v>5.8959030844276672E-3</v>
      </c>
      <c r="AH1002" s="339" t="str">
        <f>VLOOKUP(B1002,'MF PF'!A:B,2)</f>
        <v>FdMgt1</v>
      </c>
      <c r="AI1002" s="358">
        <f t="shared" si="138"/>
        <v>0</v>
      </c>
      <c r="AJ1002" s="94">
        <f t="shared" si="139"/>
        <v>43039</v>
      </c>
    </row>
    <row r="1003" spans="1:36" ht="12.75" customHeight="1">
      <c r="A1003" s="94">
        <v>43069</v>
      </c>
      <c r="B1003" s="94" t="s">
        <v>136</v>
      </c>
      <c r="C1003" s="96" t="s">
        <v>308</v>
      </c>
      <c r="D1003" s="374">
        <v>7010800</v>
      </c>
      <c r="E1003" s="9" t="e">
        <f t="shared" si="142"/>
        <v>#DIV/0!</v>
      </c>
      <c r="F1003" s="98">
        <v>5.2</v>
      </c>
      <c r="G1003" s="98">
        <v>0</v>
      </c>
      <c r="H1003" s="98">
        <v>0</v>
      </c>
      <c r="I1003" s="98">
        <v>0</v>
      </c>
      <c r="J1003" s="98"/>
      <c r="K1003" s="93"/>
      <c r="L1003" s="93">
        <f t="shared" si="135"/>
        <v>0</v>
      </c>
      <c r="M1003" s="95" t="e">
        <f t="shared" ca="1" si="136"/>
        <v>#DIV/0!</v>
      </c>
      <c r="N1003" s="95">
        <f>IF(P1003="Hedge Fund",IF(A1003=Summary!$AD$3,M1003-E1003,M1003),IF(A1003=Summary!$AD$3,L1003-D1003,L1003))</f>
        <v>0</v>
      </c>
      <c r="O1003" s="95">
        <f t="shared" si="140"/>
        <v>0</v>
      </c>
      <c r="P1003" s="107" t="s">
        <v>155</v>
      </c>
      <c r="Q1003" s="107">
        <v>0</v>
      </c>
      <c r="R1003" s="107">
        <v>0</v>
      </c>
      <c r="S1003" s="107">
        <v>0</v>
      </c>
      <c r="T1003" s="107">
        <v>0</v>
      </c>
      <c r="U1003" s="107"/>
      <c r="V1003" s="107"/>
      <c r="W1003" s="107"/>
      <c r="X1003" s="107"/>
      <c r="Y1003" s="107"/>
      <c r="Z1003" s="107"/>
      <c r="AA1003" s="107"/>
      <c r="AB1003" s="107"/>
      <c r="AC1003" s="355"/>
      <c r="AD1003" s="355"/>
      <c r="AE1003" s="355"/>
      <c r="AF1003" s="94">
        <f t="shared" si="137"/>
        <v>43069</v>
      </c>
      <c r="AG1003" s="185">
        <f t="shared" si="141"/>
        <v>2.2874135071766499E-3</v>
      </c>
      <c r="AH1003" s="339" t="str">
        <f>VLOOKUP(B1003,'MF PF'!A:B,2)</f>
        <v>FdMgt1</v>
      </c>
      <c r="AI1003" s="358">
        <f t="shared" si="138"/>
        <v>0</v>
      </c>
      <c r="AJ1003" s="94">
        <f t="shared" si="139"/>
        <v>43069</v>
      </c>
    </row>
    <row r="1004" spans="1:36" ht="12.75" customHeight="1">
      <c r="A1004" s="94">
        <v>43098</v>
      </c>
      <c r="B1004" s="8" t="s">
        <v>136</v>
      </c>
      <c r="C1004" s="96" t="s">
        <v>308</v>
      </c>
      <c r="D1004" s="374">
        <v>7336600</v>
      </c>
      <c r="E1004" s="9" t="e">
        <f t="shared" si="142"/>
        <v>#DIV/0!</v>
      </c>
      <c r="F1004" s="47">
        <v>5.2</v>
      </c>
      <c r="G1004" s="47">
        <v>0</v>
      </c>
      <c r="H1004" s="47">
        <v>0</v>
      </c>
      <c r="I1004" s="47">
        <v>0</v>
      </c>
      <c r="J1004" s="98"/>
      <c r="K1004" s="93"/>
      <c r="L1004" s="93">
        <f t="shared" si="135"/>
        <v>0</v>
      </c>
      <c r="M1004" s="95" t="e">
        <f t="shared" ca="1" si="136"/>
        <v>#DIV/0!</v>
      </c>
      <c r="N1004" s="95">
        <f>IF(P1004="Hedge Fund",IF(A1004=Summary!$AD$3,M1004-E1004,M1004),IF(A1004=Summary!$AD$3,L1004-D1004,L1004))</f>
        <v>0</v>
      </c>
      <c r="O1004" s="95">
        <f t="shared" si="140"/>
        <v>0</v>
      </c>
      <c r="P1004" s="89" t="s">
        <v>155</v>
      </c>
      <c r="Q1004" s="107">
        <v>0</v>
      </c>
      <c r="R1004" s="107">
        <v>0</v>
      </c>
      <c r="S1004" s="89">
        <v>0</v>
      </c>
      <c r="T1004" s="89">
        <v>0</v>
      </c>
      <c r="U1004" s="89"/>
      <c r="V1004" s="89"/>
      <c r="W1004" s="89"/>
      <c r="X1004" s="89"/>
      <c r="Y1004" s="89"/>
      <c r="Z1004" s="89"/>
      <c r="AA1004" s="89"/>
      <c r="AB1004" s="89"/>
      <c r="AC1004" s="355"/>
      <c r="AD1004" s="355"/>
      <c r="AE1004" s="355"/>
      <c r="AF1004" s="94">
        <f t="shared" si="137"/>
        <v>43098</v>
      </c>
      <c r="AG1004" s="185">
        <f t="shared" si="141"/>
        <v>4.6471158783591093E-2</v>
      </c>
      <c r="AH1004" s="339" t="str">
        <f>VLOOKUP(B1004,'MF PF'!A:B,2)</f>
        <v>FdMgt1</v>
      </c>
      <c r="AI1004" s="358">
        <f t="shared" si="138"/>
        <v>0</v>
      </c>
      <c r="AJ1004" s="94">
        <f t="shared" si="139"/>
        <v>43100</v>
      </c>
    </row>
    <row r="1005" spans="1:36" ht="12.75" customHeight="1">
      <c r="A1005" s="94">
        <v>43131</v>
      </c>
      <c r="B1005" s="94" t="s">
        <v>136</v>
      </c>
      <c r="C1005" s="96" t="s">
        <v>308</v>
      </c>
      <c r="D1005" s="374">
        <v>7421800</v>
      </c>
      <c r="E1005" s="9" t="e">
        <f t="shared" si="142"/>
        <v>#DIV/0!</v>
      </c>
      <c r="F1005" s="47">
        <v>5.2</v>
      </c>
      <c r="G1005" s="47">
        <v>0</v>
      </c>
      <c r="H1005" s="47">
        <v>0</v>
      </c>
      <c r="I1005" s="98">
        <v>0</v>
      </c>
      <c r="J1005" s="98"/>
      <c r="K1005" s="93"/>
      <c r="L1005" s="93">
        <f t="shared" si="135"/>
        <v>0</v>
      </c>
      <c r="M1005" s="95" t="e">
        <f t="shared" ca="1" si="136"/>
        <v>#DIV/0!</v>
      </c>
      <c r="N1005" s="95">
        <f>IF(P1005="Hedge Fund",IF(A1005=Summary!$AD$3,M1005-E1005,M1005),IF(A1005=Summary!$AD$3,L1005-D1005,L1005))</f>
        <v>0</v>
      </c>
      <c r="O1005" s="95">
        <f t="shared" si="140"/>
        <v>0</v>
      </c>
      <c r="P1005" s="89" t="s">
        <v>155</v>
      </c>
      <c r="Q1005" s="107">
        <v>0</v>
      </c>
      <c r="R1005" s="89">
        <v>0</v>
      </c>
      <c r="S1005" s="89">
        <v>0</v>
      </c>
      <c r="T1005" s="89">
        <v>0</v>
      </c>
      <c r="U1005" s="89"/>
      <c r="V1005" s="89"/>
      <c r="W1005" s="89"/>
      <c r="X1005" s="89"/>
      <c r="Y1005" s="89"/>
      <c r="Z1005" s="89"/>
      <c r="AA1005" s="89"/>
      <c r="AB1005" s="89"/>
      <c r="AC1005" s="355"/>
      <c r="AD1005" s="355"/>
      <c r="AE1005" s="355"/>
      <c r="AF1005" s="94">
        <f t="shared" si="137"/>
        <v>43131</v>
      </c>
      <c r="AG1005" s="185">
        <f t="shared" si="141"/>
        <v>1.1613008750647413E-2</v>
      </c>
      <c r="AH1005" s="339" t="str">
        <f>VLOOKUP(B1005,'MF PF'!A:B,2)</f>
        <v>FdMgt1</v>
      </c>
      <c r="AI1005" s="358">
        <f t="shared" si="138"/>
        <v>0</v>
      </c>
      <c r="AJ1005" s="94">
        <f t="shared" si="139"/>
        <v>43131</v>
      </c>
    </row>
    <row r="1006" spans="1:36" ht="12.75" customHeight="1">
      <c r="A1006" s="8">
        <v>43159</v>
      </c>
      <c r="B1006" s="94" t="s">
        <v>136</v>
      </c>
      <c r="C1006" s="96" t="s">
        <v>308</v>
      </c>
      <c r="D1006" s="374">
        <v>7487797.8200000003</v>
      </c>
      <c r="E1006" s="9" t="e">
        <f t="shared" si="142"/>
        <v>#DIV/0!</v>
      </c>
      <c r="F1006" s="47">
        <v>5.2</v>
      </c>
      <c r="G1006" s="47">
        <v>0</v>
      </c>
      <c r="H1006" s="47">
        <v>0</v>
      </c>
      <c r="I1006" s="98">
        <v>0</v>
      </c>
      <c r="J1006" s="98"/>
      <c r="K1006" s="93"/>
      <c r="L1006" s="93">
        <f t="shared" si="135"/>
        <v>0</v>
      </c>
      <c r="M1006" s="95" t="e">
        <f t="shared" ca="1" si="136"/>
        <v>#DIV/0!</v>
      </c>
      <c r="N1006" s="95">
        <f>IF(P1006="Hedge Fund",IF(A1006=Summary!$AD$3,M1006-E1006,M1006),IF(A1006=Summary!$AD$3,L1006-D1006,L1006))</f>
        <v>0</v>
      </c>
      <c r="O1006" s="95">
        <f t="shared" si="140"/>
        <v>0</v>
      </c>
      <c r="P1006" s="89" t="s">
        <v>155</v>
      </c>
      <c r="Q1006" s="107">
        <v>0</v>
      </c>
      <c r="R1006" s="107">
        <v>0</v>
      </c>
      <c r="S1006" s="89">
        <v>0</v>
      </c>
      <c r="T1006" s="89">
        <v>0</v>
      </c>
      <c r="U1006" s="89"/>
      <c r="V1006" s="89"/>
      <c r="W1006" s="89"/>
      <c r="X1006" s="89"/>
      <c r="Y1006" s="89"/>
      <c r="Z1006" s="89"/>
      <c r="AA1006" s="89"/>
      <c r="AB1006" s="89"/>
      <c r="AC1006" s="355"/>
      <c r="AD1006" s="355"/>
      <c r="AE1006" s="355"/>
      <c r="AF1006" s="94">
        <f t="shared" si="137"/>
        <v>43159</v>
      </c>
      <c r="AG1006" s="185">
        <f t="shared" si="141"/>
        <v>8.8924277129538432E-3</v>
      </c>
      <c r="AH1006" s="339" t="str">
        <f>VLOOKUP(B1006,'MF PF'!A:B,2)</f>
        <v>FdMgt1</v>
      </c>
      <c r="AI1006" s="358">
        <f t="shared" si="138"/>
        <v>0</v>
      </c>
      <c r="AJ1006" s="94">
        <f t="shared" si="139"/>
        <v>43159</v>
      </c>
    </row>
    <row r="1007" spans="1:36" ht="12.75" customHeight="1">
      <c r="A1007" s="8">
        <v>43188</v>
      </c>
      <c r="B1007" s="94" t="s">
        <v>136</v>
      </c>
      <c r="C1007" s="96" t="s">
        <v>308</v>
      </c>
      <c r="D1007" s="374">
        <v>7551320.983</v>
      </c>
      <c r="E1007" s="9" t="e">
        <f t="shared" si="142"/>
        <v>#DIV/0!</v>
      </c>
      <c r="F1007" s="47">
        <v>5.2</v>
      </c>
      <c r="G1007" s="47">
        <v>0</v>
      </c>
      <c r="H1007" s="47">
        <v>0</v>
      </c>
      <c r="I1007" s="47">
        <v>0</v>
      </c>
      <c r="J1007" s="98"/>
      <c r="K1007" s="93"/>
      <c r="L1007" s="93">
        <f t="shared" si="135"/>
        <v>0</v>
      </c>
      <c r="M1007" s="95" t="e">
        <f t="shared" ca="1" si="136"/>
        <v>#DIV/0!</v>
      </c>
      <c r="N1007" s="95">
        <f>IF(P1007="Hedge Fund",IF(A1007=Summary!$AD$3,M1007-E1007,M1007),IF(A1007=Summary!$AD$3,L1007-D1007,L1007))</f>
        <v>0</v>
      </c>
      <c r="O1007" s="95">
        <f t="shared" si="140"/>
        <v>0</v>
      </c>
      <c r="P1007" s="89" t="s">
        <v>155</v>
      </c>
      <c r="Q1007" s="109">
        <v>1.5745325537686965E-2</v>
      </c>
      <c r="R1007" s="109">
        <v>0.41493899700000003</v>
      </c>
      <c r="S1007" s="89">
        <v>0</v>
      </c>
      <c r="T1007" s="89">
        <v>0</v>
      </c>
      <c r="U1007" s="89"/>
      <c r="V1007" s="89"/>
      <c r="W1007" s="89"/>
      <c r="X1007" s="89"/>
      <c r="Y1007" s="89"/>
      <c r="Z1007" s="89"/>
      <c r="AA1007" s="89"/>
      <c r="AB1007" s="89"/>
      <c r="AC1007" s="355"/>
      <c r="AD1007" s="355"/>
      <c r="AE1007" s="355"/>
      <c r="AF1007" s="94">
        <f t="shared" si="137"/>
        <v>43188</v>
      </c>
      <c r="AG1007" s="185">
        <f t="shared" si="141"/>
        <v>8.4835574526769264E-3</v>
      </c>
      <c r="AH1007" s="339" t="str">
        <f>VLOOKUP(B1007,'MF PF'!A:B,2)</f>
        <v>FdMgt1</v>
      </c>
      <c r="AI1007" s="358">
        <f t="shared" si="138"/>
        <v>0</v>
      </c>
      <c r="AJ1007" s="94">
        <f t="shared" si="139"/>
        <v>43190</v>
      </c>
    </row>
    <row r="1008" spans="1:36" ht="12.75" customHeight="1">
      <c r="A1008" s="94">
        <v>43220</v>
      </c>
      <c r="B1008" s="94" t="s">
        <v>136</v>
      </c>
      <c r="C1008" s="96" t="s">
        <v>308</v>
      </c>
      <c r="D1008" s="374">
        <v>7630754.0949999997</v>
      </c>
      <c r="E1008" s="9" t="e">
        <f t="shared" si="142"/>
        <v>#DIV/0!</v>
      </c>
      <c r="F1008" s="47">
        <v>5.2</v>
      </c>
      <c r="G1008" s="47">
        <v>0</v>
      </c>
      <c r="H1008" s="47">
        <v>0</v>
      </c>
      <c r="I1008" s="47">
        <v>0</v>
      </c>
      <c r="J1008" s="98"/>
      <c r="L1008" s="93">
        <f t="shared" si="135"/>
        <v>0</v>
      </c>
      <c r="M1008" s="95" t="e">
        <f t="shared" ca="1" si="136"/>
        <v>#DIV/0!</v>
      </c>
      <c r="N1008" s="95">
        <f>IF(P1008="Hedge Fund",IF(A1008=Summary!$AD$3,M1008-E1008,M1008),IF(A1008=Summary!$AD$3,L1008-D1008,L1008))</f>
        <v>0</v>
      </c>
      <c r="O1008" s="95">
        <f t="shared" si="140"/>
        <v>0</v>
      </c>
      <c r="P1008" s="89" t="s">
        <v>155</v>
      </c>
      <c r="Q1008" s="109">
        <v>0</v>
      </c>
      <c r="R1008" s="109">
        <v>0.42895661000000002</v>
      </c>
      <c r="S1008" s="89">
        <v>0</v>
      </c>
      <c r="T1008" s="89">
        <v>0</v>
      </c>
      <c r="U1008" s="89"/>
      <c r="V1008" s="89"/>
      <c r="W1008" s="89"/>
      <c r="X1008" s="89"/>
      <c r="Y1008" s="89"/>
      <c r="Z1008" s="89"/>
      <c r="AA1008" s="89"/>
      <c r="AB1008" s="89"/>
      <c r="AC1008" s="355"/>
      <c r="AD1008" s="355"/>
      <c r="AE1008" s="355"/>
      <c r="AF1008" s="94">
        <f t="shared" si="137"/>
        <v>43220</v>
      </c>
      <c r="AG1008" s="185">
        <f t="shared" si="141"/>
        <v>1.051910151598956E-2</v>
      </c>
      <c r="AH1008" s="339" t="str">
        <f>VLOOKUP(B1008,'MF PF'!A:B,2)</f>
        <v>FdMgt1</v>
      </c>
      <c r="AI1008" s="358">
        <f t="shared" si="138"/>
        <v>0</v>
      </c>
      <c r="AJ1008" s="94">
        <f t="shared" si="139"/>
        <v>43220</v>
      </c>
    </row>
    <row r="1009" spans="1:36" ht="12.75" customHeight="1">
      <c r="A1009" s="94">
        <v>43251</v>
      </c>
      <c r="B1009" s="358" t="s">
        <v>136</v>
      </c>
      <c r="C1009" s="94" t="s">
        <v>308</v>
      </c>
      <c r="D1009" s="374">
        <v>7680300.3569999998</v>
      </c>
      <c r="E1009" s="9" t="e">
        <f t="shared" si="142"/>
        <v>#DIV/0!</v>
      </c>
      <c r="F1009" s="47">
        <v>5.2</v>
      </c>
      <c r="G1009" s="47">
        <v>0</v>
      </c>
      <c r="H1009" s="47">
        <v>0</v>
      </c>
      <c r="I1009" s="110">
        <v>0</v>
      </c>
      <c r="J1009" s="110"/>
      <c r="K1009" s="93"/>
      <c r="L1009" s="93">
        <f t="shared" si="135"/>
        <v>0</v>
      </c>
      <c r="M1009" s="95" t="e">
        <f t="shared" ca="1" si="136"/>
        <v>#DIV/0!</v>
      </c>
      <c r="N1009" s="95">
        <f>IF(P1009="Hedge Fund",IF(A1009=Summary!$AD$3,M1009-E1009,M1009),IF(A1009=Summary!$AD$3,L1009-D1009,L1009))</f>
        <v>0</v>
      </c>
      <c r="O1009" s="95">
        <f t="shared" si="140"/>
        <v>0</v>
      </c>
      <c r="P1009" s="89" t="s">
        <v>155</v>
      </c>
      <c r="Q1009" s="109">
        <v>0</v>
      </c>
      <c r="R1009" s="109">
        <v>0.43770006</v>
      </c>
      <c r="S1009" s="89">
        <v>0</v>
      </c>
      <c r="T1009" s="89">
        <v>0</v>
      </c>
      <c r="U1009" s="89"/>
      <c r="V1009" s="89"/>
      <c r="W1009" s="89"/>
      <c r="X1009" s="89"/>
      <c r="Y1009" s="89"/>
      <c r="Z1009" s="89"/>
      <c r="AA1009" s="89"/>
      <c r="AB1009" s="89"/>
      <c r="AC1009" s="355"/>
      <c r="AD1009" s="355"/>
      <c r="AE1009" s="355"/>
      <c r="AF1009" s="94">
        <f t="shared" si="137"/>
        <v>43251</v>
      </c>
      <c r="AG1009" s="185">
        <f t="shared" si="141"/>
        <v>6.4929706006993104E-3</v>
      </c>
      <c r="AH1009" s="339" t="str">
        <f>VLOOKUP(B1009,'MF PF'!A:B,2)</f>
        <v>FdMgt1</v>
      </c>
      <c r="AI1009" s="358">
        <f t="shared" si="138"/>
        <v>0</v>
      </c>
      <c r="AJ1009" s="94">
        <f t="shared" si="139"/>
        <v>43251</v>
      </c>
    </row>
    <row r="1010" spans="1:36" ht="12.75" customHeight="1">
      <c r="A1010" s="94">
        <v>43280</v>
      </c>
      <c r="B1010" s="358" t="s">
        <v>136</v>
      </c>
      <c r="C1010" s="94" t="s">
        <v>308</v>
      </c>
      <c r="D1010" s="374">
        <v>7718232.5080000004</v>
      </c>
      <c r="E1010" s="9" t="e">
        <f t="shared" si="142"/>
        <v>#DIV/0!</v>
      </c>
      <c r="F1010" s="47">
        <v>5.2</v>
      </c>
      <c r="G1010" s="47">
        <v>0</v>
      </c>
      <c r="H1010" s="47">
        <v>0</v>
      </c>
      <c r="I1010" s="110">
        <v>0</v>
      </c>
      <c r="J1010" s="110"/>
      <c r="L1010" s="93">
        <f t="shared" si="135"/>
        <v>0</v>
      </c>
      <c r="M1010" s="95" t="e">
        <f t="shared" ca="1" si="136"/>
        <v>#DIV/0!</v>
      </c>
      <c r="N1010" s="95">
        <f>IF(P1010="Hedge Fund",IF(A1010=Summary!$AD$3,M1010-E1010,M1010),IF(A1010=Summary!$AD$3,L1010-D1010,L1010))</f>
        <v>0</v>
      </c>
      <c r="O1010" s="95">
        <f t="shared" si="140"/>
        <v>0</v>
      </c>
      <c r="P1010" s="89" t="s">
        <v>155</v>
      </c>
      <c r="Q1010" s="109">
        <v>1.6492690000000001E-2</v>
      </c>
      <c r="R1010" s="109">
        <v>0.44439397000000003</v>
      </c>
      <c r="S1010" s="89">
        <v>0</v>
      </c>
      <c r="T1010" s="89">
        <v>0</v>
      </c>
      <c r="U1010" s="89"/>
      <c r="V1010" s="89"/>
      <c r="W1010" s="89"/>
      <c r="X1010" s="89"/>
      <c r="Y1010" s="89"/>
      <c r="Z1010" s="89"/>
      <c r="AA1010" s="89"/>
      <c r="AB1010" s="89"/>
      <c r="AC1010" s="355"/>
      <c r="AD1010" s="355"/>
      <c r="AE1010" s="355"/>
      <c r="AF1010" s="94">
        <f t="shared" si="137"/>
        <v>43280</v>
      </c>
      <c r="AG1010" s="185">
        <f t="shared" si="141"/>
        <v>4.9388890065253932E-3</v>
      </c>
      <c r="AH1010" s="339" t="str">
        <f>VLOOKUP(B1010,'MF PF'!A:B,2)</f>
        <v>FdMgt1</v>
      </c>
      <c r="AI1010" s="358">
        <f t="shared" si="138"/>
        <v>0</v>
      </c>
      <c r="AJ1010" s="94">
        <f t="shared" si="139"/>
        <v>43281</v>
      </c>
    </row>
    <row r="1011" spans="1:36" ht="12.75" customHeight="1">
      <c r="A1011" s="94">
        <v>43312</v>
      </c>
      <c r="B1011" s="358" t="s">
        <v>136</v>
      </c>
      <c r="C1011" s="94" t="s">
        <v>308</v>
      </c>
      <c r="D1011" s="374">
        <v>7718663.8490000004</v>
      </c>
      <c r="E1011" s="9" t="str">
        <f>IF(K1011="","",D1011/K1011)</f>
        <v/>
      </c>
      <c r="F1011" s="47">
        <v>5.2</v>
      </c>
      <c r="G1011" s="47">
        <v>0</v>
      </c>
      <c r="H1011" s="47">
        <v>0</v>
      </c>
      <c r="I1011" s="47">
        <v>0</v>
      </c>
      <c r="J1011" s="98"/>
      <c r="L1011" s="93">
        <f t="shared" si="135"/>
        <v>0</v>
      </c>
      <c r="M1011" s="95" t="e">
        <f t="shared" ca="1" si="136"/>
        <v>#DIV/0!</v>
      </c>
      <c r="N1011" s="95">
        <f>IF(P1011="Hedge Fund",IF(A1011=Summary!$AD$3,M1011-E1011,M1011),IF(A1011=Summary!$AD$3,L1011-D1011,L1011))</f>
        <v>0</v>
      </c>
      <c r="O1011" s="95">
        <f t="shared" si="140"/>
        <v>0</v>
      </c>
      <c r="P1011" s="89" t="s">
        <v>155</v>
      </c>
      <c r="Q1011" s="107">
        <v>0</v>
      </c>
      <c r="R1011" s="109">
        <f>444470.091/10^6</f>
        <v>0.44447009100000001</v>
      </c>
      <c r="S1011" s="89">
        <v>0</v>
      </c>
      <c r="T1011" s="89">
        <v>0</v>
      </c>
      <c r="U1011" s="89"/>
      <c r="V1011" s="89"/>
      <c r="W1011" s="89"/>
      <c r="X1011" s="89"/>
      <c r="Y1011" s="89"/>
      <c r="Z1011" s="89"/>
      <c r="AA1011" s="89"/>
      <c r="AB1011" s="89"/>
      <c r="AC1011" s="355"/>
      <c r="AD1011" s="355"/>
      <c r="AE1011" s="355"/>
      <c r="AF1011" s="94">
        <f t="shared" si="137"/>
        <v>43312</v>
      </c>
      <c r="AG1011" s="185">
        <f t="shared" si="141"/>
        <v>5.5885981609549162E-5</v>
      </c>
      <c r="AH1011" s="339" t="str">
        <f>VLOOKUP(B1011,'MF PF'!A:B,2)</f>
        <v>FdMgt1</v>
      </c>
      <c r="AI1011" s="358">
        <f t="shared" si="138"/>
        <v>0</v>
      </c>
      <c r="AJ1011" s="94">
        <f t="shared" si="139"/>
        <v>43312</v>
      </c>
    </row>
    <row r="1012" spans="1:36" ht="12.75" customHeight="1">
      <c r="A1012" s="8">
        <v>43343</v>
      </c>
      <c r="B1012" s="358" t="s">
        <v>136</v>
      </c>
      <c r="C1012" s="94" t="s">
        <v>308</v>
      </c>
      <c r="D1012" s="374">
        <v>7740461.8439999996</v>
      </c>
      <c r="E1012" s="9" t="str">
        <f>IF(K1012="","",D1012/K1012)</f>
        <v/>
      </c>
      <c r="F1012" s="47">
        <v>5.2</v>
      </c>
      <c r="G1012" s="47">
        <v>0</v>
      </c>
      <c r="H1012" s="47">
        <v>0</v>
      </c>
      <c r="I1012" s="98">
        <v>0</v>
      </c>
      <c r="J1012" s="98"/>
      <c r="L1012" s="93">
        <f t="shared" si="135"/>
        <v>0</v>
      </c>
      <c r="M1012" s="95" t="e">
        <f t="shared" ca="1" si="136"/>
        <v>#DIV/0!</v>
      </c>
      <c r="N1012" s="95">
        <f>IF(P1012="Hedge Fund",IF(A1012=Summary!$AD$3,M1012-E1012,M1012),IF(A1012=Summary!$AD$3,L1012-D1012,L1012))</f>
        <v>0</v>
      </c>
      <c r="O1012" s="95">
        <f t="shared" si="140"/>
        <v>0</v>
      </c>
      <c r="P1012" s="89" t="s">
        <v>155</v>
      </c>
      <c r="Q1012" s="107">
        <v>0</v>
      </c>
      <c r="R1012" s="109">
        <v>0.44831679599999991</v>
      </c>
      <c r="S1012" s="89">
        <v>0</v>
      </c>
      <c r="T1012" s="89">
        <v>0</v>
      </c>
      <c r="U1012" s="89"/>
      <c r="V1012" s="107"/>
      <c r="W1012" s="89"/>
      <c r="X1012" s="107"/>
      <c r="Y1012" s="89"/>
      <c r="Z1012" s="89"/>
      <c r="AA1012" s="89"/>
      <c r="AB1012" s="89"/>
      <c r="AC1012" s="355"/>
      <c r="AD1012" s="355"/>
      <c r="AE1012" s="355"/>
      <c r="AF1012" s="94">
        <f t="shared" si="137"/>
        <v>43343</v>
      </c>
      <c r="AG1012" s="185">
        <f t="shared" si="141"/>
        <v>2.8240632610037064E-3</v>
      </c>
      <c r="AH1012" s="339" t="str">
        <f>VLOOKUP(B1012,'MF PF'!A:B,2)</f>
        <v>FdMgt1</v>
      </c>
      <c r="AI1012" s="358">
        <f t="shared" si="138"/>
        <v>0</v>
      </c>
      <c r="AJ1012" s="94">
        <f t="shared" si="139"/>
        <v>43343</v>
      </c>
    </row>
    <row r="1013" spans="1:36" ht="12.75" customHeight="1">
      <c r="A1013" s="8">
        <v>43371</v>
      </c>
      <c r="B1013" s="358" t="s">
        <v>136</v>
      </c>
      <c r="C1013" s="92" t="s">
        <v>308</v>
      </c>
      <c r="D1013" s="374">
        <v>7669947.8415000001</v>
      </c>
      <c r="F1013" s="105">
        <v>5.2</v>
      </c>
      <c r="G1013" s="93">
        <v>0</v>
      </c>
      <c r="H1013" s="93">
        <v>0</v>
      </c>
      <c r="I1013" s="93">
        <v>0</v>
      </c>
      <c r="K1013" s="7">
        <v>0</v>
      </c>
      <c r="L1013" s="93">
        <f t="shared" si="135"/>
        <v>0</v>
      </c>
      <c r="M1013" s="95" t="e">
        <f t="shared" ca="1" si="136"/>
        <v>#DIV/0!</v>
      </c>
      <c r="N1013" s="95">
        <f>IF(P1013="Hedge Fund",IF(A1013=Summary!$AD$3,M1013-E1013,M1013),IF(A1013=Summary!$AD$3,L1013-D1013,L1013))</f>
        <v>0</v>
      </c>
      <c r="O1013" s="95">
        <f t="shared" si="140"/>
        <v>0</v>
      </c>
      <c r="P1013" s="95" t="s">
        <v>155</v>
      </c>
      <c r="Q1013" s="353">
        <v>1.6199536836271119E-2</v>
      </c>
      <c r="R1013" s="95">
        <v>0.43587314850000003</v>
      </c>
      <c r="S1013" s="95"/>
      <c r="T1013" s="95"/>
      <c r="U1013" s="95"/>
      <c r="V1013" s="95"/>
      <c r="W1013" s="95"/>
      <c r="X1013" s="95"/>
      <c r="Y1013" s="95"/>
      <c r="Z1013" s="95"/>
      <c r="AA1013" s="95"/>
      <c r="AB1013" s="95"/>
      <c r="AC1013" s="355"/>
      <c r="AD1013" s="355"/>
      <c r="AE1013" s="355"/>
      <c r="AF1013" s="94">
        <f t="shared" si="137"/>
        <v>43371</v>
      </c>
      <c r="AG1013" s="185">
        <f t="shared" si="141"/>
        <v>-9.1097926611004576E-3</v>
      </c>
      <c r="AH1013" s="339" t="str">
        <f>VLOOKUP(B1013,'MF PF'!A:B,2)</f>
        <v>FdMgt1</v>
      </c>
      <c r="AI1013" s="358">
        <f t="shared" si="138"/>
        <v>0</v>
      </c>
      <c r="AJ1013" s="94">
        <f t="shared" si="139"/>
        <v>43373</v>
      </c>
    </row>
    <row r="1014" spans="1:36" s="92" customFormat="1" ht="12.75" customHeight="1">
      <c r="A1014" s="94">
        <v>43404</v>
      </c>
      <c r="B1014" s="358" t="s">
        <v>136</v>
      </c>
      <c r="C1014" s="92" t="s">
        <v>308</v>
      </c>
      <c r="D1014" s="374">
        <v>7641448.1914999997</v>
      </c>
      <c r="E1014" s="95"/>
      <c r="F1014" s="105">
        <v>5.2</v>
      </c>
      <c r="G1014" s="93">
        <v>0</v>
      </c>
      <c r="H1014" s="93">
        <v>0</v>
      </c>
      <c r="I1014" s="93">
        <v>0</v>
      </c>
      <c r="J1014" s="93">
        <v>0</v>
      </c>
      <c r="K1014" s="93"/>
      <c r="L1014" s="93">
        <f t="shared" si="135"/>
        <v>0</v>
      </c>
      <c r="M1014" s="95" t="e">
        <f t="shared" ca="1" si="136"/>
        <v>#DIV/0!</v>
      </c>
      <c r="N1014" s="95">
        <f>IF(P1014="Hedge Fund",IF(A1014=Summary!$AD$3,M1014-E1014,M1014),IF(A1014=Summary!$AD$3,L1014-D1014,L1014))</f>
        <v>0</v>
      </c>
      <c r="O1014" s="95">
        <f t="shared" si="140"/>
        <v>0</v>
      </c>
      <c r="P1014" s="95" t="s">
        <v>155</v>
      </c>
      <c r="Q1014" s="95">
        <v>5.8428153100409672E-3</v>
      </c>
      <c r="R1014" s="95">
        <v>0.43084379850000004</v>
      </c>
      <c r="S1014" s="95"/>
      <c r="T1014" s="95"/>
      <c r="U1014" s="95"/>
      <c r="V1014" s="95"/>
      <c r="W1014" s="95"/>
      <c r="X1014" s="95"/>
      <c r="Y1014" s="95"/>
      <c r="Z1014" s="95"/>
      <c r="AA1014" s="95"/>
      <c r="AB1014" s="95"/>
      <c r="AC1014" s="355"/>
      <c r="AD1014" s="355"/>
      <c r="AE1014" s="355"/>
      <c r="AF1014" s="94">
        <f t="shared" si="137"/>
        <v>43404</v>
      </c>
      <c r="AG1014" s="185">
        <f t="shared" si="141"/>
        <v>-3.7157553856881353E-3</v>
      </c>
      <c r="AH1014" s="339" t="str">
        <f>VLOOKUP(B1014,'MF PF'!A:B,2)</f>
        <v>FdMgt1</v>
      </c>
      <c r="AI1014" s="358">
        <f t="shared" si="138"/>
        <v>0</v>
      </c>
      <c r="AJ1014" s="94">
        <f t="shared" si="139"/>
        <v>43404</v>
      </c>
    </row>
    <row r="1015" spans="1:36" ht="12.75" customHeight="1">
      <c r="A1015" s="8">
        <v>43434</v>
      </c>
      <c r="B1015" s="358" t="s">
        <v>136</v>
      </c>
      <c r="C1015" s="358" t="s">
        <v>308</v>
      </c>
      <c r="D1015" s="374">
        <v>7739556.2965000002</v>
      </c>
      <c r="F1015" s="105">
        <v>5.2</v>
      </c>
      <c r="G1015" s="93">
        <v>0</v>
      </c>
      <c r="H1015" s="93">
        <v>0</v>
      </c>
      <c r="I1015" s="93">
        <v>0</v>
      </c>
      <c r="K1015" s="93">
        <v>0</v>
      </c>
      <c r="L1015" s="93">
        <f t="shared" si="135"/>
        <v>0</v>
      </c>
      <c r="M1015" s="95" t="e">
        <f t="shared" ca="1" si="136"/>
        <v>#DIV/0!</v>
      </c>
      <c r="N1015" s="95">
        <f>IF(P1015="Hedge Fund",IF(A1015=Summary!$AD$3,M1015-E1015,M1015),IF(A1015=Summary!$AD$3,L1015-D1015,L1015))</f>
        <v>0</v>
      </c>
      <c r="O1015" s="95">
        <f t="shared" si="140"/>
        <v>0</v>
      </c>
      <c r="P1015" s="95" t="s">
        <v>155</v>
      </c>
      <c r="Q1015" s="95">
        <v>1.1321406819476621E-2</v>
      </c>
      <c r="R1015" s="95">
        <v>0.44815699349999999</v>
      </c>
      <c r="S1015" s="95"/>
      <c r="T1015" s="95"/>
      <c r="U1015" s="95"/>
      <c r="V1015" s="95"/>
      <c r="W1015" s="95"/>
      <c r="X1015" s="95"/>
      <c r="Y1015" s="95"/>
      <c r="Z1015" s="95"/>
      <c r="AA1015" s="95"/>
      <c r="AB1015" s="95"/>
      <c r="AC1015" s="355"/>
      <c r="AD1015" s="355"/>
      <c r="AE1015" s="355"/>
      <c r="AF1015" s="94">
        <f t="shared" si="137"/>
        <v>43434</v>
      </c>
      <c r="AG1015" s="185">
        <f t="shared" si="141"/>
        <v>1.2838941329096576E-2</v>
      </c>
      <c r="AH1015" s="339" t="str">
        <f>VLOOKUP(B1015,'MF PF'!A:B,2)</f>
        <v>FdMgt1</v>
      </c>
      <c r="AI1015" s="358">
        <f t="shared" si="138"/>
        <v>0</v>
      </c>
      <c r="AJ1015" s="94">
        <f t="shared" si="139"/>
        <v>43434</v>
      </c>
    </row>
    <row r="1016" spans="1:36" ht="12.75" customHeight="1">
      <c r="A1016" s="94">
        <v>43452</v>
      </c>
      <c r="B1016" s="358" t="s">
        <v>136</v>
      </c>
      <c r="C1016" s="358" t="s">
        <v>308</v>
      </c>
      <c r="D1016" s="93"/>
      <c r="F1016" s="93"/>
      <c r="G1016" s="93"/>
      <c r="H1016" s="93"/>
      <c r="I1016" s="93">
        <v>0</v>
      </c>
      <c r="K1016" s="93"/>
      <c r="L1016" s="93">
        <f t="shared" si="135"/>
        <v>0</v>
      </c>
      <c r="M1016" s="95" t="e">
        <f t="shared" ca="1" si="136"/>
        <v>#DIV/0!</v>
      </c>
      <c r="N1016" s="95">
        <f>IF(P1016="Hedge Fund",IF(A1016=Summary!$AD$3,M1016-E1016,M1016),IF(A1016=Summary!$AD$3,L1016-D1016,L1016))</f>
        <v>0</v>
      </c>
      <c r="O1016" s="95">
        <f t="shared" si="140"/>
        <v>0</v>
      </c>
      <c r="P1016" s="95" t="s">
        <v>155</v>
      </c>
      <c r="Q1016" s="95"/>
      <c r="R1016" s="95"/>
      <c r="S1016" s="95"/>
      <c r="T1016" s="95"/>
      <c r="U1016" s="95"/>
      <c r="V1016" s="95"/>
      <c r="W1016" s="95"/>
      <c r="X1016" s="95"/>
      <c r="Y1016" s="95"/>
      <c r="Z1016" s="95"/>
      <c r="AA1016" s="95"/>
      <c r="AB1016" s="95"/>
      <c r="AC1016" s="355"/>
      <c r="AD1016" s="355"/>
      <c r="AE1016" s="355"/>
      <c r="AF1016" s="94">
        <f t="shared" si="137"/>
        <v>43452</v>
      </c>
      <c r="AG1016" s="185">
        <f t="shared" si="141"/>
        <v>-1</v>
      </c>
      <c r="AH1016" s="339" t="str">
        <f>VLOOKUP(B1016,'MF PF'!A:B,2)</f>
        <v>FdMgt1</v>
      </c>
      <c r="AI1016" s="358">
        <f t="shared" si="138"/>
        <v>0</v>
      </c>
      <c r="AJ1016" s="94">
        <f t="shared" si="139"/>
        <v>43465</v>
      </c>
    </row>
    <row r="1017" spans="1:36" ht="12.75" customHeight="1">
      <c r="A1017" s="8">
        <v>43465</v>
      </c>
      <c r="B1017" s="358" t="s">
        <v>136</v>
      </c>
      <c r="C1017" s="358" t="s">
        <v>308</v>
      </c>
      <c r="D1017" s="93">
        <v>7894282.4424999999</v>
      </c>
      <c r="F1017" s="93">
        <v>5.2</v>
      </c>
      <c r="G1017" s="93">
        <v>0</v>
      </c>
      <c r="H1017" s="93">
        <v>0</v>
      </c>
      <c r="I1017" s="93">
        <v>0</v>
      </c>
      <c r="K1017" s="93">
        <v>0</v>
      </c>
      <c r="L1017" s="93">
        <f t="shared" si="135"/>
        <v>0</v>
      </c>
      <c r="M1017" s="95" t="e">
        <f t="shared" ca="1" si="136"/>
        <v>#DIV/0!</v>
      </c>
      <c r="N1017" s="95">
        <f>IF(P1017="Hedge Fund",IF(A1017=Summary!$AD$3,M1017-E1017,M1017),IF(A1017=Summary!$AD$3,L1017-D1017,L1017))</f>
        <v>0</v>
      </c>
      <c r="O1017" s="95">
        <f t="shared" si="140"/>
        <v>0</v>
      </c>
      <c r="P1017" s="95" t="s">
        <v>155</v>
      </c>
      <c r="Q1017" s="95">
        <v>1.7279566455992507E-2</v>
      </c>
      <c r="R1017" s="95">
        <v>0.47546160749999994</v>
      </c>
      <c r="S1017" s="95"/>
      <c r="T1017" s="95"/>
      <c r="U1017" s="95"/>
      <c r="V1017" s="95"/>
      <c r="W1017" s="95"/>
      <c r="X1017" s="95"/>
      <c r="Y1017" s="95"/>
      <c r="Z1017" s="95"/>
      <c r="AA1017" s="95"/>
      <c r="AB1017" s="95"/>
      <c r="AC1017" s="355"/>
      <c r="AD1017" s="355"/>
      <c r="AE1017" s="355"/>
      <c r="AF1017" s="94">
        <f t="shared" si="137"/>
        <v>43465</v>
      </c>
      <c r="AG1017" s="185" t="e">
        <f t="shared" si="141"/>
        <v>#DIV/0!</v>
      </c>
      <c r="AH1017" s="339" t="str">
        <f>VLOOKUP(B1017,'MF PF'!A:B,2)</f>
        <v>FdMgt1</v>
      </c>
      <c r="AI1017" s="358">
        <f t="shared" si="138"/>
        <v>0</v>
      </c>
      <c r="AJ1017" s="94">
        <f t="shared" si="139"/>
        <v>43465</v>
      </c>
    </row>
    <row r="1018" spans="1:36" ht="12.75" customHeight="1">
      <c r="A1018" s="94">
        <v>43487</v>
      </c>
      <c r="B1018" s="358" t="s">
        <v>136</v>
      </c>
      <c r="C1018" s="358" t="s">
        <v>308</v>
      </c>
      <c r="D1018" s="93"/>
      <c r="F1018" s="93"/>
      <c r="G1018" s="93"/>
      <c r="H1018" s="93"/>
      <c r="I1018" s="93">
        <v>-78710.312114911911</v>
      </c>
      <c r="K1018" s="93"/>
      <c r="L1018" s="93">
        <f t="shared" si="135"/>
        <v>-78710.312114911911</v>
      </c>
      <c r="M1018" s="95" t="e">
        <f t="shared" ca="1" si="136"/>
        <v>#DIV/0!</v>
      </c>
      <c r="N1018" s="95">
        <f>IF(P1018="Hedge Fund",IF(A1018=Summary!$AD$3,M1018-E1018,M1018),IF(A1018=Summary!$AD$3,L1018-D1018,L1018))</f>
        <v>-78710.312114911911</v>
      </c>
      <c r="O1018" s="95">
        <f t="shared" si="140"/>
        <v>-78710.312114911911</v>
      </c>
      <c r="P1018" s="95" t="s">
        <v>155</v>
      </c>
      <c r="Q1018" s="95"/>
      <c r="R1018" s="95"/>
      <c r="S1018" s="95"/>
      <c r="T1018" s="95"/>
      <c r="U1018" s="95"/>
      <c r="V1018" s="95"/>
      <c r="W1018" s="95"/>
      <c r="X1018" s="95"/>
      <c r="Y1018" s="95"/>
      <c r="Z1018" s="95"/>
      <c r="AA1018" s="95"/>
      <c r="AB1018" s="95"/>
      <c r="AC1018" s="355"/>
      <c r="AD1018" s="355"/>
      <c r="AE1018" s="355"/>
      <c r="AF1018" s="94">
        <f t="shared" si="137"/>
        <v>43487</v>
      </c>
      <c r="AG1018" s="185">
        <f t="shared" si="141"/>
        <v>-0.99002945325452718</v>
      </c>
      <c r="AH1018" s="339" t="str">
        <f>VLOOKUP(B1018,'MF PF'!A:B,2)</f>
        <v>FdMgt1</v>
      </c>
      <c r="AI1018" s="358">
        <f t="shared" si="138"/>
        <v>0</v>
      </c>
      <c r="AJ1018" s="94">
        <f t="shared" si="139"/>
        <v>43496</v>
      </c>
    </row>
    <row r="1019" spans="1:36" ht="12.75" customHeight="1">
      <c r="A1019" s="8">
        <v>43496</v>
      </c>
      <c r="B1019" s="358" t="s">
        <v>136</v>
      </c>
      <c r="C1019" s="6" t="s">
        <v>308</v>
      </c>
      <c r="D1019" s="93">
        <v>7854380.8499999996</v>
      </c>
      <c r="F1019" s="93">
        <v>5.2</v>
      </c>
      <c r="G1019" s="93">
        <v>0</v>
      </c>
      <c r="H1019" s="93">
        <v>0</v>
      </c>
      <c r="I1019" s="93">
        <v>0</v>
      </c>
      <c r="K1019" s="93">
        <v>0</v>
      </c>
      <c r="L1019" s="93">
        <f t="shared" si="135"/>
        <v>0</v>
      </c>
      <c r="M1019" s="95" t="e">
        <f t="shared" ca="1" si="136"/>
        <v>#DIV/0!</v>
      </c>
      <c r="N1019" s="95">
        <f>IF(P1019="Hedge Fund",IF(A1019=Summary!$AD$3,M1019-E1019,M1019),IF(A1019=Summary!$AD$3,L1019-D1019,L1019))</f>
        <v>-7854380.8499999996</v>
      </c>
      <c r="O1019" s="95">
        <f t="shared" si="140"/>
        <v>-7854380.8499999996</v>
      </c>
      <c r="P1019" s="95" t="s">
        <v>155</v>
      </c>
      <c r="Q1019" s="95">
        <v>5.6587891200971926E-3</v>
      </c>
      <c r="R1019" s="95">
        <v>0.46842014999999998</v>
      </c>
      <c r="S1019" s="95"/>
      <c r="T1019" s="95"/>
      <c r="U1019" s="95"/>
      <c r="V1019" s="95"/>
      <c r="W1019" s="95"/>
      <c r="X1019" s="95"/>
      <c r="Y1019" s="95"/>
      <c r="Z1019" s="95"/>
      <c r="AA1019" s="95"/>
      <c r="AB1019" s="95"/>
      <c r="AC1019" s="355"/>
      <c r="AD1019" s="355"/>
      <c r="AE1019" s="355"/>
      <c r="AF1019" s="94">
        <f t="shared" si="137"/>
        <v>43496</v>
      </c>
      <c r="AG1019" s="185" t="e">
        <f t="shared" si="141"/>
        <v>#DIV/0!</v>
      </c>
      <c r="AH1019" s="339" t="str">
        <f>VLOOKUP(B1019,'MF PF'!A:B,2)</f>
        <v>FdMgt1</v>
      </c>
      <c r="AI1019" s="358">
        <f t="shared" si="138"/>
        <v>0</v>
      </c>
      <c r="AJ1019" s="94">
        <f t="shared" si="139"/>
        <v>43496</v>
      </c>
    </row>
    <row r="1020" spans="1:36" ht="12.75" customHeight="1">
      <c r="A1020" s="8">
        <v>42019</v>
      </c>
      <c r="B1020" s="94" t="s">
        <v>136</v>
      </c>
      <c r="C1020" s="6" t="s">
        <v>309</v>
      </c>
      <c r="D1020" s="374">
        <v>859790</v>
      </c>
      <c r="E1020" s="9" t="e">
        <f t="shared" ref="E1020:E1062" si="143">D1020/K1020</f>
        <v>#DIV/0!</v>
      </c>
      <c r="F1020" s="98">
        <v>6.77</v>
      </c>
      <c r="G1020" s="98">
        <v>859790</v>
      </c>
      <c r="H1020" s="98">
        <v>0</v>
      </c>
      <c r="I1020" s="98">
        <v>0</v>
      </c>
      <c r="J1020" s="98"/>
      <c r="K1020" s="93"/>
      <c r="L1020" s="93">
        <f t="shared" si="135"/>
        <v>859790</v>
      </c>
      <c r="M1020" s="95" t="e">
        <f t="shared" ca="1" si="136"/>
        <v>#DIV/0!</v>
      </c>
      <c r="N1020" s="95">
        <f>IF(P1020="Hedge Fund",IF(A1020=Summary!$AD$3,M1020-E1020,M1020),IF(A1020=Summary!$AD$3,L1020-D1020,L1020))</f>
        <v>859790</v>
      </c>
      <c r="O1020" s="95">
        <f t="shared" si="140"/>
        <v>859790</v>
      </c>
      <c r="P1020" s="107" t="s">
        <v>155</v>
      </c>
      <c r="Q1020" s="107">
        <v>0</v>
      </c>
      <c r="R1020" s="107">
        <v>0</v>
      </c>
      <c r="S1020" s="107">
        <v>0</v>
      </c>
      <c r="T1020" s="107">
        <v>0</v>
      </c>
      <c r="U1020" s="107"/>
      <c r="V1020" s="107"/>
      <c r="W1020" s="107"/>
      <c r="X1020" s="107"/>
      <c r="Y1020" s="107"/>
      <c r="Z1020" s="107"/>
      <c r="AA1020" s="107"/>
      <c r="AB1020" s="107"/>
      <c r="AC1020" s="355"/>
      <c r="AD1020" s="355"/>
      <c r="AE1020" s="355"/>
      <c r="AF1020" s="94">
        <f t="shared" si="137"/>
        <v>42019</v>
      </c>
      <c r="AG1020" s="185">
        <f t="shared" si="141"/>
        <v>0</v>
      </c>
      <c r="AH1020" s="339" t="str">
        <f>VLOOKUP(B1020,'MF PF'!A:B,2)</f>
        <v>FdMgt1</v>
      </c>
      <c r="AI1020" s="358">
        <f t="shared" si="138"/>
        <v>0</v>
      </c>
      <c r="AJ1020" s="94">
        <f t="shared" si="139"/>
        <v>42035</v>
      </c>
    </row>
    <row r="1021" spans="1:36" ht="12.75" customHeight="1">
      <c r="A1021" s="8">
        <v>42034</v>
      </c>
      <c r="B1021" s="94" t="s">
        <v>136</v>
      </c>
      <c r="C1021" s="358" t="s">
        <v>309</v>
      </c>
      <c r="D1021" s="374">
        <v>857293.51</v>
      </c>
      <c r="E1021" s="9" t="e">
        <f t="shared" si="143"/>
        <v>#DIV/0!</v>
      </c>
      <c r="F1021" s="98">
        <v>6.77</v>
      </c>
      <c r="G1021" s="98">
        <v>0</v>
      </c>
      <c r="H1021" s="98">
        <v>0</v>
      </c>
      <c r="I1021" s="98">
        <v>0</v>
      </c>
      <c r="J1021" s="98"/>
      <c r="K1021" s="93"/>
      <c r="L1021" s="93">
        <f t="shared" si="135"/>
        <v>0</v>
      </c>
      <c r="M1021" s="95" t="e">
        <f t="shared" ca="1" si="136"/>
        <v>#DIV/0!</v>
      </c>
      <c r="N1021" s="95">
        <f>IF(P1021="Hedge Fund",IF(A1021=Summary!$AD$3,M1021-E1021,M1021),IF(A1021=Summary!$AD$3,L1021-D1021,L1021))</f>
        <v>0</v>
      </c>
      <c r="O1021" s="95">
        <f t="shared" si="140"/>
        <v>0</v>
      </c>
      <c r="P1021" s="89" t="s">
        <v>155</v>
      </c>
      <c r="Q1021" s="107">
        <v>0</v>
      </c>
      <c r="R1021" s="107">
        <v>0</v>
      </c>
      <c r="S1021" s="107">
        <v>0</v>
      </c>
      <c r="T1021" s="107">
        <v>0</v>
      </c>
      <c r="U1021" s="107"/>
      <c r="V1021" s="107"/>
      <c r="W1021" s="107"/>
      <c r="X1021" s="107"/>
      <c r="Y1021" s="107"/>
      <c r="Z1021" s="107"/>
      <c r="AA1021" s="107"/>
      <c r="AB1021" s="107"/>
      <c r="AC1021" s="355"/>
      <c r="AD1021" s="355"/>
      <c r="AE1021" s="355"/>
      <c r="AF1021" s="94">
        <f t="shared" si="137"/>
        <v>42034</v>
      </c>
      <c r="AG1021" s="185">
        <f t="shared" si="141"/>
        <v>-2.9036043685085611E-3</v>
      </c>
      <c r="AH1021" s="339" t="str">
        <f>VLOOKUP(B1021,'MF PF'!A:B,2)</f>
        <v>FdMgt1</v>
      </c>
      <c r="AI1021" s="358">
        <f t="shared" si="138"/>
        <v>0</v>
      </c>
      <c r="AJ1021" s="94">
        <f t="shared" si="139"/>
        <v>42035</v>
      </c>
    </row>
    <row r="1022" spans="1:36" ht="12.75" customHeight="1">
      <c r="A1022" s="94">
        <v>42062</v>
      </c>
      <c r="B1022" s="94" t="s">
        <v>136</v>
      </c>
      <c r="C1022" s="358" t="s">
        <v>309</v>
      </c>
      <c r="D1022" s="374">
        <v>1397700.68</v>
      </c>
      <c r="E1022" s="9" t="e">
        <f t="shared" si="143"/>
        <v>#DIV/0!</v>
      </c>
      <c r="F1022" s="47">
        <v>6.77</v>
      </c>
      <c r="G1022" s="47">
        <v>534830</v>
      </c>
      <c r="H1022" s="47">
        <v>0</v>
      </c>
      <c r="I1022" s="98">
        <v>0</v>
      </c>
      <c r="J1022" s="98"/>
      <c r="K1022" s="93"/>
      <c r="L1022" s="93">
        <f t="shared" si="135"/>
        <v>534830</v>
      </c>
      <c r="M1022" s="95" t="e">
        <f t="shared" ca="1" si="136"/>
        <v>#DIV/0!</v>
      </c>
      <c r="N1022" s="95">
        <f>IF(P1022="Hedge Fund",IF(A1022=Summary!$AD$3,M1022-E1022,M1022),IF(A1022=Summary!$AD$3,L1022-D1022,L1022))</f>
        <v>534830</v>
      </c>
      <c r="O1022" s="95">
        <f t="shared" si="140"/>
        <v>534830</v>
      </c>
      <c r="P1022" s="89" t="s">
        <v>155</v>
      </c>
      <c r="Q1022" s="107">
        <v>0</v>
      </c>
      <c r="R1022" s="107">
        <v>0</v>
      </c>
      <c r="S1022" s="89">
        <v>0</v>
      </c>
      <c r="T1022" s="89">
        <v>0</v>
      </c>
      <c r="U1022" s="89"/>
      <c r="V1022" s="89"/>
      <c r="W1022" s="89"/>
      <c r="X1022" s="89"/>
      <c r="Y1022" s="89"/>
      <c r="Z1022" s="89"/>
      <c r="AA1022" s="89"/>
      <c r="AB1022" s="89"/>
      <c r="AC1022" s="355"/>
      <c r="AD1022" s="355"/>
      <c r="AE1022" s="355"/>
      <c r="AF1022" s="94">
        <f t="shared" si="137"/>
        <v>42062</v>
      </c>
      <c r="AG1022" s="185">
        <f t="shared" si="141"/>
        <v>6.5055549061603379E-3</v>
      </c>
      <c r="AH1022" s="339" t="str">
        <f>VLOOKUP(B1022,'MF PF'!A:B,2)</f>
        <v>FdMgt1</v>
      </c>
      <c r="AI1022" s="358">
        <f t="shared" si="138"/>
        <v>0</v>
      </c>
      <c r="AJ1022" s="94">
        <f t="shared" si="139"/>
        <v>42063</v>
      </c>
    </row>
    <row r="1023" spans="1:36" ht="12.75" customHeight="1">
      <c r="A1023" s="94">
        <v>42094</v>
      </c>
      <c r="B1023" s="94" t="s">
        <v>136</v>
      </c>
      <c r="C1023" s="358" t="s">
        <v>309</v>
      </c>
      <c r="D1023" s="374">
        <v>2030467.2799999998</v>
      </c>
      <c r="E1023" s="9" t="e">
        <f t="shared" si="143"/>
        <v>#DIV/0!</v>
      </c>
      <c r="F1023" s="47">
        <v>6.77</v>
      </c>
      <c r="G1023" s="47">
        <v>541600</v>
      </c>
      <c r="H1023" s="47">
        <v>0</v>
      </c>
      <c r="I1023" s="98">
        <v>0</v>
      </c>
      <c r="J1023" s="98"/>
      <c r="L1023" s="93">
        <f t="shared" si="135"/>
        <v>541600</v>
      </c>
      <c r="M1023" s="95" t="e">
        <f t="shared" ca="1" si="136"/>
        <v>#DIV/0!</v>
      </c>
      <c r="N1023" s="95">
        <f>IF(P1023="Hedge Fund",IF(A1023=Summary!$AD$3,M1023-E1023,M1023),IF(A1023=Summary!$AD$3,L1023-D1023,L1023))</f>
        <v>541600</v>
      </c>
      <c r="O1023" s="95">
        <f t="shared" si="140"/>
        <v>541600</v>
      </c>
      <c r="P1023" s="89" t="s">
        <v>155</v>
      </c>
      <c r="Q1023" s="107">
        <v>0</v>
      </c>
      <c r="R1023" s="107">
        <v>0</v>
      </c>
      <c r="S1023" s="89">
        <v>0</v>
      </c>
      <c r="T1023" s="89">
        <v>0</v>
      </c>
      <c r="U1023" s="89"/>
      <c r="V1023" s="89"/>
      <c r="W1023" s="89"/>
      <c r="X1023" s="89"/>
      <c r="Y1023" s="89"/>
      <c r="Z1023" s="89"/>
      <c r="AA1023" s="89"/>
      <c r="AB1023" s="89"/>
      <c r="AC1023" s="355"/>
      <c r="AD1023" s="355"/>
      <c r="AE1023" s="355"/>
      <c r="AF1023" s="94">
        <f t="shared" si="137"/>
        <v>42094</v>
      </c>
      <c r="AG1023" s="185">
        <f t="shared" si="141"/>
        <v>6.5226125524958434E-2</v>
      </c>
      <c r="AH1023" s="339" t="str">
        <f>VLOOKUP(B1023,'MF PF'!A:B,2)</f>
        <v>FdMgt1</v>
      </c>
      <c r="AI1023" s="358">
        <f t="shared" si="138"/>
        <v>0</v>
      </c>
      <c r="AJ1023" s="94">
        <f t="shared" si="139"/>
        <v>42094</v>
      </c>
    </row>
    <row r="1024" spans="1:36" ht="12.75" customHeight="1">
      <c r="A1024" s="94">
        <v>42124</v>
      </c>
      <c r="B1024" s="94" t="s">
        <v>136</v>
      </c>
      <c r="C1024" s="358" t="s">
        <v>309</v>
      </c>
      <c r="D1024" s="374">
        <v>3046891.53</v>
      </c>
      <c r="E1024" s="9" t="e">
        <f t="shared" si="143"/>
        <v>#DIV/0!</v>
      </c>
      <c r="F1024" s="47">
        <v>6.77</v>
      </c>
      <c r="G1024" s="47">
        <v>771780</v>
      </c>
      <c r="H1024" s="47">
        <v>0</v>
      </c>
      <c r="I1024" s="98">
        <v>0</v>
      </c>
      <c r="J1024" s="98"/>
      <c r="L1024" s="93">
        <f t="shared" si="135"/>
        <v>771780</v>
      </c>
      <c r="M1024" s="95" t="e">
        <f t="shared" ca="1" si="136"/>
        <v>#DIV/0!</v>
      </c>
      <c r="N1024" s="95">
        <f>IF(P1024="Hedge Fund",IF(A1024=Summary!$AD$3,M1024-E1024,M1024),IF(A1024=Summary!$AD$3,L1024-D1024,L1024))</f>
        <v>771780</v>
      </c>
      <c r="O1024" s="95">
        <f t="shared" si="140"/>
        <v>771780</v>
      </c>
      <c r="P1024" s="89" t="s">
        <v>155</v>
      </c>
      <c r="Q1024" s="107">
        <v>0</v>
      </c>
      <c r="R1024" s="89">
        <v>0</v>
      </c>
      <c r="S1024" s="89">
        <v>0</v>
      </c>
      <c r="T1024" s="89">
        <v>0</v>
      </c>
      <c r="U1024" s="89"/>
      <c r="V1024" s="89"/>
      <c r="W1024" s="89"/>
      <c r="X1024" s="89"/>
      <c r="Y1024" s="89"/>
      <c r="Z1024" s="89"/>
      <c r="AA1024" s="89"/>
      <c r="AB1024" s="89"/>
      <c r="AC1024" s="355"/>
      <c r="AD1024" s="355"/>
      <c r="AE1024" s="355"/>
      <c r="AF1024" s="94">
        <f t="shared" si="137"/>
        <v>42124</v>
      </c>
      <c r="AG1024" s="185">
        <f t="shared" si="141"/>
        <v>0.12048667437773242</v>
      </c>
      <c r="AH1024" s="339" t="str">
        <f>VLOOKUP(B1024,'MF PF'!A:B,2)</f>
        <v>FdMgt1</v>
      </c>
      <c r="AI1024" s="358">
        <f t="shared" si="138"/>
        <v>0</v>
      </c>
      <c r="AJ1024" s="94">
        <f t="shared" si="139"/>
        <v>42124</v>
      </c>
    </row>
    <row r="1025" spans="1:36" ht="12.75" customHeight="1">
      <c r="A1025" s="8">
        <v>42153</v>
      </c>
      <c r="B1025" s="94" t="s">
        <v>136</v>
      </c>
      <c r="C1025" s="358" t="s">
        <v>309</v>
      </c>
      <c r="D1025" s="374">
        <v>3586142.68</v>
      </c>
      <c r="E1025" s="9" t="e">
        <f t="shared" si="143"/>
        <v>#DIV/0!</v>
      </c>
      <c r="F1025" s="98">
        <v>6.77</v>
      </c>
      <c r="G1025" s="98">
        <v>514520</v>
      </c>
      <c r="H1025" s="98">
        <v>0</v>
      </c>
      <c r="I1025" s="98">
        <v>0</v>
      </c>
      <c r="J1025" s="98"/>
      <c r="L1025" s="93">
        <f t="shared" si="135"/>
        <v>514520</v>
      </c>
      <c r="M1025" s="95" t="e">
        <f t="shared" ca="1" si="136"/>
        <v>#DIV/0!</v>
      </c>
      <c r="N1025" s="95">
        <f>IF(P1025="Hedge Fund",IF(A1025=Summary!$AD$3,M1025-E1025,M1025),IF(A1025=Summary!$AD$3,L1025-D1025,L1025))</f>
        <v>514520</v>
      </c>
      <c r="O1025" s="95">
        <f t="shared" si="140"/>
        <v>514520</v>
      </c>
      <c r="P1025" s="107" t="s">
        <v>155</v>
      </c>
      <c r="Q1025" s="107">
        <v>0</v>
      </c>
      <c r="R1025" s="107">
        <v>0</v>
      </c>
      <c r="S1025" s="107">
        <v>0</v>
      </c>
      <c r="T1025" s="107">
        <v>0</v>
      </c>
      <c r="U1025" s="107"/>
      <c r="V1025" s="107"/>
      <c r="W1025" s="107"/>
      <c r="X1025" s="107"/>
      <c r="Y1025" s="107"/>
      <c r="Z1025" s="107"/>
      <c r="AA1025" s="107"/>
      <c r="AB1025" s="107"/>
      <c r="AC1025" s="355"/>
      <c r="AD1025" s="355"/>
      <c r="AE1025" s="355"/>
      <c r="AF1025" s="94">
        <f t="shared" si="137"/>
        <v>42153</v>
      </c>
      <c r="AG1025" s="185">
        <f t="shared" si="141"/>
        <v>8.1168462206464564E-3</v>
      </c>
      <c r="AH1025" s="339" t="str">
        <f>VLOOKUP(B1025,'MF PF'!A:B,2)</f>
        <v>FdMgt1</v>
      </c>
      <c r="AI1025" s="358">
        <f t="shared" si="138"/>
        <v>0</v>
      </c>
      <c r="AJ1025" s="94">
        <f t="shared" si="139"/>
        <v>42155</v>
      </c>
    </row>
    <row r="1026" spans="1:36" ht="12.75" customHeight="1">
      <c r="A1026" s="94">
        <v>42185</v>
      </c>
      <c r="B1026" s="94" t="s">
        <v>136</v>
      </c>
      <c r="C1026" s="358" t="s">
        <v>309</v>
      </c>
      <c r="D1026" s="374">
        <v>3531947.41</v>
      </c>
      <c r="E1026" s="9" t="e">
        <f t="shared" si="143"/>
        <v>#DIV/0!</v>
      </c>
      <c r="F1026" s="98">
        <v>6.77</v>
      </c>
      <c r="G1026" s="98">
        <v>0</v>
      </c>
      <c r="H1026" s="98">
        <v>0</v>
      </c>
      <c r="I1026" s="98">
        <v>0</v>
      </c>
      <c r="J1026" s="98"/>
      <c r="L1026" s="93">
        <f t="shared" si="135"/>
        <v>0</v>
      </c>
      <c r="M1026" s="95" t="e">
        <f t="shared" ca="1" si="136"/>
        <v>#DIV/0!</v>
      </c>
      <c r="N1026" s="95">
        <f>IF(P1026="Hedge Fund",IF(A1026=Summary!$AD$3,M1026-E1026,M1026),IF(A1026=Summary!$AD$3,L1026-D1026,L1026))</f>
        <v>0</v>
      </c>
      <c r="O1026" s="95">
        <f t="shared" si="140"/>
        <v>0</v>
      </c>
      <c r="P1026" s="107" t="s">
        <v>155</v>
      </c>
      <c r="Q1026" s="107">
        <v>0</v>
      </c>
      <c r="R1026" s="107">
        <v>0</v>
      </c>
      <c r="S1026" s="107">
        <v>0</v>
      </c>
      <c r="T1026" s="107">
        <v>0</v>
      </c>
      <c r="U1026" s="107"/>
      <c r="V1026" s="107"/>
      <c r="W1026" s="107"/>
      <c r="X1026" s="107"/>
      <c r="Y1026" s="107"/>
      <c r="Z1026" s="107"/>
      <c r="AA1026" s="107"/>
      <c r="AB1026" s="107"/>
      <c r="AC1026" s="355"/>
      <c r="AD1026" s="355"/>
      <c r="AE1026" s="355"/>
      <c r="AF1026" s="94">
        <f t="shared" si="137"/>
        <v>42185</v>
      </c>
      <c r="AG1026" s="185">
        <f t="shared" si="141"/>
        <v>-1.5112413207162168E-2</v>
      </c>
      <c r="AH1026" s="339" t="str">
        <f>VLOOKUP(B1026,'MF PF'!A:B,2)</f>
        <v>FdMgt1</v>
      </c>
      <c r="AI1026" s="358">
        <f t="shared" si="138"/>
        <v>0</v>
      </c>
      <c r="AJ1026" s="94">
        <f t="shared" si="139"/>
        <v>42185</v>
      </c>
    </row>
    <row r="1027" spans="1:36" ht="12.75" customHeight="1">
      <c r="A1027" s="8">
        <v>42216</v>
      </c>
      <c r="B1027" s="94" t="s">
        <v>136</v>
      </c>
      <c r="C1027" s="358" t="s">
        <v>309</v>
      </c>
      <c r="D1027" s="374">
        <v>4044744.11</v>
      </c>
      <c r="E1027" s="9" t="e">
        <f t="shared" si="143"/>
        <v>#DIV/0!</v>
      </c>
      <c r="F1027" s="98">
        <v>6.77</v>
      </c>
      <c r="G1027" s="98">
        <v>588990</v>
      </c>
      <c r="H1027" s="98">
        <v>0</v>
      </c>
      <c r="I1027" s="98">
        <v>0</v>
      </c>
      <c r="J1027" s="98"/>
      <c r="L1027" s="93">
        <f t="shared" ref="L1027:L1090" si="144">G1027+H1027+I1027</f>
        <v>588990</v>
      </c>
      <c r="M1027" s="95" t="e">
        <f t="shared" ref="M1027:M1090" ca="1" si="145">IF(A1027&gt;INDIRECT("A"&amp;ROW()-1),I1027/K1027,E1027)</f>
        <v>#DIV/0!</v>
      </c>
      <c r="N1027" s="95">
        <f>IF(P1027="Hedge Fund",IF(A1027=Summary!$AD$3,M1027-E1027,M1027),IF(A1027=Summary!$AD$3,L1027-D1027,L1027))</f>
        <v>588990</v>
      </c>
      <c r="O1027" s="95">
        <f t="shared" si="140"/>
        <v>588990</v>
      </c>
      <c r="P1027" s="107" t="s">
        <v>155</v>
      </c>
      <c r="Q1027" s="107">
        <v>0</v>
      </c>
      <c r="R1027" s="107">
        <v>0</v>
      </c>
      <c r="S1027" s="107">
        <v>0</v>
      </c>
      <c r="T1027" s="107">
        <v>0</v>
      </c>
      <c r="U1027" s="107"/>
      <c r="V1027" s="107"/>
      <c r="W1027" s="107"/>
      <c r="X1027" s="107"/>
      <c r="Y1027" s="107"/>
      <c r="Z1027" s="107"/>
      <c r="AA1027" s="107"/>
      <c r="AB1027" s="107"/>
      <c r="AC1027" s="355"/>
      <c r="AD1027" s="355"/>
      <c r="AE1027" s="355"/>
      <c r="AF1027" s="94">
        <f t="shared" ref="AF1027:AF1090" si="146">A1027</f>
        <v>42216</v>
      </c>
      <c r="AG1027" s="185">
        <f t="shared" si="141"/>
        <v>-2.1572603200227247E-2</v>
      </c>
      <c r="AH1027" s="339" t="str">
        <f>VLOOKUP(B1027,'MF PF'!A:B,2)</f>
        <v>FdMgt1</v>
      </c>
      <c r="AI1027" s="358">
        <f t="shared" ref="AI1027:AI1090" si="147">AF1027-A1027</f>
        <v>0</v>
      </c>
      <c r="AJ1027" s="94">
        <f t="shared" ref="AJ1027:AJ1090" si="148">EOMONTH(A1027,0)</f>
        <v>42216</v>
      </c>
    </row>
    <row r="1028" spans="1:36" ht="12.75" customHeight="1">
      <c r="A1028" s="8">
        <v>42247</v>
      </c>
      <c r="B1028" s="94" t="s">
        <v>136</v>
      </c>
      <c r="C1028" s="92" t="s">
        <v>309</v>
      </c>
      <c r="D1028" s="374">
        <v>3968308.73</v>
      </c>
      <c r="E1028" s="9" t="e">
        <f t="shared" si="143"/>
        <v>#DIV/0!</v>
      </c>
      <c r="F1028" s="98">
        <v>6.77</v>
      </c>
      <c r="G1028" s="98">
        <v>0</v>
      </c>
      <c r="H1028" s="98">
        <v>0</v>
      </c>
      <c r="I1028" s="98">
        <v>0</v>
      </c>
      <c r="J1028" s="98"/>
      <c r="L1028" s="93">
        <f t="shared" si="144"/>
        <v>0</v>
      </c>
      <c r="M1028" s="95" t="e">
        <f t="shared" ca="1" si="145"/>
        <v>#DIV/0!</v>
      </c>
      <c r="N1028" s="95">
        <f>IF(P1028="Hedge Fund",IF(A1028=Summary!$AD$3,M1028-E1028,M1028),IF(A1028=Summary!$AD$3,L1028-D1028,L1028))</f>
        <v>0</v>
      </c>
      <c r="O1028" s="95">
        <f t="shared" si="140"/>
        <v>0</v>
      </c>
      <c r="P1028" s="107" t="s">
        <v>155</v>
      </c>
      <c r="Q1028" s="107">
        <v>0</v>
      </c>
      <c r="R1028" s="107">
        <v>0</v>
      </c>
      <c r="S1028" s="107">
        <v>0</v>
      </c>
      <c r="T1028" s="107">
        <v>0</v>
      </c>
      <c r="U1028" s="107"/>
      <c r="V1028" s="107"/>
      <c r="W1028" s="107"/>
      <c r="X1028" s="107"/>
      <c r="Y1028" s="107"/>
      <c r="Z1028" s="107"/>
      <c r="AA1028" s="107"/>
      <c r="AB1028" s="107"/>
      <c r="AC1028" s="355"/>
      <c r="AD1028" s="355"/>
      <c r="AE1028" s="355"/>
      <c r="AF1028" s="94">
        <f t="shared" si="146"/>
        <v>42247</v>
      </c>
      <c r="AG1028" s="185">
        <f t="shared" si="141"/>
        <v>-1.8897457520495653E-2</v>
      </c>
      <c r="AH1028" s="339" t="str">
        <f>VLOOKUP(B1028,'MF PF'!A:B,2)</f>
        <v>FdMgt1</v>
      </c>
      <c r="AI1028" s="358">
        <f t="shared" si="147"/>
        <v>0</v>
      </c>
      <c r="AJ1028" s="94">
        <f t="shared" si="148"/>
        <v>42247</v>
      </c>
    </row>
    <row r="1029" spans="1:36" ht="12.75" customHeight="1">
      <c r="A1029" s="94">
        <v>42277</v>
      </c>
      <c r="B1029" s="94" t="s">
        <v>136</v>
      </c>
      <c r="C1029" s="358" t="s">
        <v>309</v>
      </c>
      <c r="D1029" s="374">
        <v>3982092.54</v>
      </c>
      <c r="E1029" s="95" t="e">
        <f t="shared" si="143"/>
        <v>#DIV/0!</v>
      </c>
      <c r="F1029" s="98">
        <v>6.77</v>
      </c>
      <c r="G1029" s="98">
        <v>0</v>
      </c>
      <c r="H1029" s="98">
        <v>0</v>
      </c>
      <c r="I1029" s="98">
        <v>0</v>
      </c>
      <c r="J1029" s="98"/>
      <c r="K1029" s="93"/>
      <c r="L1029" s="93">
        <f t="shared" si="144"/>
        <v>0</v>
      </c>
      <c r="M1029" s="95" t="e">
        <f t="shared" ca="1" si="145"/>
        <v>#DIV/0!</v>
      </c>
      <c r="N1029" s="95">
        <f>IF(P1029="Hedge Fund",IF(A1029=Summary!$AD$3,M1029-E1029,M1029),IF(A1029=Summary!$AD$3,L1029-D1029,L1029))</f>
        <v>0</v>
      </c>
      <c r="O1029" s="95">
        <f t="shared" si="140"/>
        <v>0</v>
      </c>
      <c r="P1029" s="107" t="s">
        <v>155</v>
      </c>
      <c r="Q1029" s="107">
        <v>0</v>
      </c>
      <c r="R1029" s="107">
        <v>0</v>
      </c>
      <c r="S1029" s="107">
        <v>0</v>
      </c>
      <c r="T1029" s="107">
        <v>0</v>
      </c>
      <c r="U1029" s="107"/>
      <c r="V1029" s="107"/>
      <c r="W1029" s="107"/>
      <c r="X1029" s="107"/>
      <c r="Y1029" s="107"/>
      <c r="Z1029" s="107"/>
      <c r="AA1029" s="107"/>
      <c r="AB1029" s="107"/>
      <c r="AC1029" s="355"/>
      <c r="AD1029" s="355"/>
      <c r="AE1029" s="355"/>
      <c r="AF1029" s="94">
        <f t="shared" si="146"/>
        <v>42277</v>
      </c>
      <c r="AG1029" s="185">
        <f t="shared" si="141"/>
        <v>3.4734721862228479E-3</v>
      </c>
      <c r="AH1029" s="339" t="str">
        <f>VLOOKUP(B1029,'MF PF'!A:B,2)</f>
        <v>FdMgt1</v>
      </c>
      <c r="AI1029" s="358">
        <f t="shared" si="147"/>
        <v>0</v>
      </c>
      <c r="AJ1029" s="94">
        <f t="shared" si="148"/>
        <v>42277</v>
      </c>
    </row>
    <row r="1030" spans="1:36" ht="12.75" customHeight="1">
      <c r="A1030" s="8">
        <v>42307</v>
      </c>
      <c r="B1030" s="94" t="s">
        <v>136</v>
      </c>
      <c r="C1030" s="358" t="s">
        <v>309</v>
      </c>
      <c r="D1030" s="374">
        <v>4100663.63</v>
      </c>
      <c r="E1030" s="95" t="e">
        <f t="shared" si="143"/>
        <v>#DIV/0!</v>
      </c>
      <c r="F1030" s="98">
        <v>6.77</v>
      </c>
      <c r="G1030" s="98">
        <v>0</v>
      </c>
      <c r="H1030" s="98">
        <v>0</v>
      </c>
      <c r="I1030" s="98">
        <v>0</v>
      </c>
      <c r="J1030" s="98"/>
      <c r="K1030" s="93"/>
      <c r="L1030" s="93">
        <f t="shared" si="144"/>
        <v>0</v>
      </c>
      <c r="M1030" s="95" t="e">
        <f t="shared" ca="1" si="145"/>
        <v>#DIV/0!</v>
      </c>
      <c r="N1030" s="95">
        <f>IF(P1030="Hedge Fund",IF(A1030=Summary!$AD$3,M1030-E1030,M1030),IF(A1030=Summary!$AD$3,L1030-D1030,L1030))</f>
        <v>0</v>
      </c>
      <c r="O1030" s="95">
        <f t="shared" si="140"/>
        <v>0</v>
      </c>
      <c r="P1030" s="107" t="s">
        <v>155</v>
      </c>
      <c r="Q1030" s="107">
        <v>0</v>
      </c>
      <c r="R1030" s="107">
        <v>0</v>
      </c>
      <c r="S1030" s="107">
        <v>0</v>
      </c>
      <c r="T1030" s="107">
        <v>0</v>
      </c>
      <c r="U1030" s="107"/>
      <c r="V1030" s="107"/>
      <c r="W1030" s="107"/>
      <c r="X1030" s="107"/>
      <c r="Y1030" s="107"/>
      <c r="Z1030" s="107"/>
      <c r="AA1030" s="107"/>
      <c r="AB1030" s="107"/>
      <c r="AC1030" s="355"/>
      <c r="AD1030" s="355"/>
      <c r="AE1030" s="355"/>
      <c r="AF1030" s="94">
        <f t="shared" si="146"/>
        <v>42307</v>
      </c>
      <c r="AG1030" s="185">
        <f t="shared" si="141"/>
        <v>2.9776075972357985E-2</v>
      </c>
      <c r="AH1030" s="339" t="str">
        <f>VLOOKUP(B1030,'MF PF'!A:B,2)</f>
        <v>FdMgt1</v>
      </c>
      <c r="AI1030" s="358">
        <f t="shared" si="147"/>
        <v>0</v>
      </c>
      <c r="AJ1030" s="94">
        <f t="shared" si="148"/>
        <v>42308</v>
      </c>
    </row>
    <row r="1031" spans="1:36" ht="12.75" customHeight="1">
      <c r="A1031" s="94">
        <v>42338</v>
      </c>
      <c r="B1031" s="94" t="s">
        <v>136</v>
      </c>
      <c r="C1031" s="358" t="s">
        <v>309</v>
      </c>
      <c r="D1031" s="374">
        <v>4451253.05</v>
      </c>
      <c r="E1031" s="9" t="e">
        <f t="shared" si="143"/>
        <v>#DIV/0!</v>
      </c>
      <c r="F1031" s="98">
        <v>6.77</v>
      </c>
      <c r="G1031" s="98">
        <v>338500</v>
      </c>
      <c r="H1031" s="98">
        <v>0</v>
      </c>
      <c r="I1031" s="98">
        <v>0</v>
      </c>
      <c r="J1031" s="98"/>
      <c r="K1031" s="93"/>
      <c r="L1031" s="93">
        <f t="shared" si="144"/>
        <v>338500</v>
      </c>
      <c r="M1031" s="95" t="e">
        <f t="shared" ca="1" si="145"/>
        <v>#DIV/0!</v>
      </c>
      <c r="N1031" s="95">
        <f>IF(P1031="Hedge Fund",IF(A1031=Summary!$AD$3,M1031-E1031,M1031),IF(A1031=Summary!$AD$3,L1031-D1031,L1031))</f>
        <v>338500</v>
      </c>
      <c r="O1031" s="95">
        <f t="shared" si="140"/>
        <v>338500</v>
      </c>
      <c r="P1031" s="107" t="s">
        <v>155</v>
      </c>
      <c r="Q1031" s="107">
        <v>0</v>
      </c>
      <c r="R1031" s="107">
        <v>0</v>
      </c>
      <c r="S1031" s="107">
        <v>0</v>
      </c>
      <c r="T1031" s="107">
        <v>0</v>
      </c>
      <c r="U1031" s="107"/>
      <c r="V1031" s="107"/>
      <c r="W1031" s="107"/>
      <c r="X1031" s="107"/>
      <c r="Y1031" s="107"/>
      <c r="Z1031" s="107"/>
      <c r="AA1031" s="107"/>
      <c r="AB1031" s="107"/>
      <c r="AC1031" s="355"/>
      <c r="AD1031" s="355"/>
      <c r="AE1031" s="355"/>
      <c r="AF1031" s="94">
        <f t="shared" si="146"/>
        <v>42338</v>
      </c>
      <c r="AG1031" s="185">
        <f t="shared" si="141"/>
        <v>2.9481618320399416E-3</v>
      </c>
      <c r="AH1031" s="339" t="str">
        <f>VLOOKUP(B1031,'MF PF'!A:B,2)</f>
        <v>FdMgt1</v>
      </c>
      <c r="AI1031" s="358">
        <f t="shared" si="147"/>
        <v>0</v>
      </c>
      <c r="AJ1031" s="94">
        <f t="shared" si="148"/>
        <v>42338</v>
      </c>
    </row>
    <row r="1032" spans="1:36" ht="12.75" customHeight="1">
      <c r="A1032" s="8">
        <v>42369</v>
      </c>
      <c r="B1032" s="94" t="s">
        <v>136</v>
      </c>
      <c r="C1032" s="358" t="s">
        <v>309</v>
      </c>
      <c r="D1032" s="374">
        <v>4483105.8899999997</v>
      </c>
      <c r="E1032" s="9" t="e">
        <f t="shared" si="143"/>
        <v>#DIV/0!</v>
      </c>
      <c r="F1032" s="47">
        <v>6.77</v>
      </c>
      <c r="G1032" s="47">
        <v>0</v>
      </c>
      <c r="H1032" s="47">
        <v>0</v>
      </c>
      <c r="I1032" s="98">
        <v>0</v>
      </c>
      <c r="J1032" s="98"/>
      <c r="L1032" s="93">
        <f t="shared" si="144"/>
        <v>0</v>
      </c>
      <c r="M1032" s="95" t="e">
        <f t="shared" ca="1" si="145"/>
        <v>#DIV/0!</v>
      </c>
      <c r="N1032" s="95">
        <f>IF(P1032="Hedge Fund",IF(A1032=Summary!$AD$3,M1032-E1032,M1032),IF(A1032=Summary!$AD$3,L1032-D1032,L1032))</f>
        <v>0</v>
      </c>
      <c r="O1032" s="95">
        <f t="shared" si="140"/>
        <v>0</v>
      </c>
      <c r="P1032" s="89" t="s">
        <v>155</v>
      </c>
      <c r="Q1032" s="107">
        <v>0</v>
      </c>
      <c r="R1032" s="107">
        <v>0</v>
      </c>
      <c r="S1032" s="89">
        <v>0</v>
      </c>
      <c r="T1032" s="89">
        <v>0</v>
      </c>
      <c r="U1032" s="89"/>
      <c r="V1032" s="89"/>
      <c r="W1032" s="89"/>
      <c r="X1032" s="89"/>
      <c r="Y1032" s="89"/>
      <c r="Z1032" s="89"/>
      <c r="AA1032" s="89"/>
      <c r="AB1032" s="89"/>
      <c r="AC1032" s="355"/>
      <c r="AD1032" s="355"/>
      <c r="AE1032" s="355"/>
      <c r="AF1032" s="94">
        <f t="shared" si="146"/>
        <v>42369</v>
      </c>
      <c r="AG1032" s="185">
        <f t="shared" si="141"/>
        <v>7.1559265766747426E-3</v>
      </c>
      <c r="AH1032" s="339" t="str">
        <f>VLOOKUP(B1032,'MF PF'!A:B,2)</f>
        <v>FdMgt1</v>
      </c>
      <c r="AI1032" s="358">
        <f t="shared" si="147"/>
        <v>0</v>
      </c>
      <c r="AJ1032" s="94">
        <f t="shared" si="148"/>
        <v>42369</v>
      </c>
    </row>
    <row r="1033" spans="1:36" ht="12.75" customHeight="1">
      <c r="A1033" s="8">
        <v>42398</v>
      </c>
      <c r="B1033" s="94" t="s">
        <v>136</v>
      </c>
      <c r="C1033" s="358" t="s">
        <v>309</v>
      </c>
      <c r="D1033" s="374">
        <v>4389303.26</v>
      </c>
      <c r="E1033" s="9" t="e">
        <f t="shared" si="143"/>
        <v>#DIV/0!</v>
      </c>
      <c r="F1033" s="47">
        <v>6.77</v>
      </c>
      <c r="G1033" s="47">
        <v>0</v>
      </c>
      <c r="H1033" s="47">
        <v>0</v>
      </c>
      <c r="I1033" s="98">
        <v>0</v>
      </c>
      <c r="J1033" s="98"/>
      <c r="K1033" s="93"/>
      <c r="L1033" s="93">
        <f t="shared" si="144"/>
        <v>0</v>
      </c>
      <c r="M1033" s="95" t="e">
        <f t="shared" ca="1" si="145"/>
        <v>#DIV/0!</v>
      </c>
      <c r="N1033" s="95">
        <f>IF(P1033="Hedge Fund",IF(A1033=Summary!$AD$3,M1033-E1033,M1033),IF(A1033=Summary!$AD$3,L1033-D1033,L1033))</f>
        <v>0</v>
      </c>
      <c r="O1033" s="95">
        <f t="shared" si="140"/>
        <v>0</v>
      </c>
      <c r="P1033" s="89" t="s">
        <v>155</v>
      </c>
      <c r="Q1033" s="107">
        <v>0</v>
      </c>
      <c r="R1033" s="107">
        <v>0</v>
      </c>
      <c r="S1033" s="89">
        <v>0</v>
      </c>
      <c r="T1033" s="89">
        <v>0</v>
      </c>
      <c r="U1033" s="89"/>
      <c r="V1033" s="89"/>
      <c r="W1033" s="89"/>
      <c r="X1033" s="89"/>
      <c r="Y1033" s="89"/>
      <c r="Z1033" s="89"/>
      <c r="AA1033" s="89"/>
      <c r="AB1033" s="89"/>
      <c r="AC1033" s="355"/>
      <c r="AD1033" s="355"/>
      <c r="AE1033" s="355"/>
      <c r="AF1033" s="94">
        <f t="shared" si="146"/>
        <v>42398</v>
      </c>
      <c r="AG1033" s="185">
        <f t="shared" si="141"/>
        <v>-2.0923581173765249E-2</v>
      </c>
      <c r="AH1033" s="339" t="str">
        <f>VLOOKUP(B1033,'MF PF'!A:B,2)</f>
        <v>FdMgt1</v>
      </c>
      <c r="AI1033" s="358">
        <f t="shared" si="147"/>
        <v>0</v>
      </c>
      <c r="AJ1033" s="94">
        <f t="shared" si="148"/>
        <v>42400</v>
      </c>
    </row>
    <row r="1034" spans="1:36" ht="12.75" customHeight="1">
      <c r="A1034" s="8">
        <v>42429</v>
      </c>
      <c r="B1034" s="94" t="s">
        <v>136</v>
      </c>
      <c r="C1034" s="358" t="s">
        <v>309</v>
      </c>
      <c r="D1034" s="374">
        <v>6006931.2300000004</v>
      </c>
      <c r="E1034" s="9" t="e">
        <f t="shared" si="143"/>
        <v>#DIV/0!</v>
      </c>
      <c r="F1034" s="47">
        <v>6.77</v>
      </c>
      <c r="G1034" s="47">
        <v>1516480</v>
      </c>
      <c r="H1034" s="47">
        <v>0</v>
      </c>
      <c r="I1034" s="98">
        <v>0</v>
      </c>
      <c r="J1034" s="98"/>
      <c r="K1034" s="93"/>
      <c r="L1034" s="93">
        <f t="shared" si="144"/>
        <v>1516480</v>
      </c>
      <c r="M1034" s="95" t="e">
        <f t="shared" ca="1" si="145"/>
        <v>#DIV/0!</v>
      </c>
      <c r="N1034" s="95">
        <f>IF(P1034="Hedge Fund",IF(A1034=Summary!$AD$3,M1034-E1034,M1034),IF(A1034=Summary!$AD$3,L1034-D1034,L1034))</f>
        <v>1516480</v>
      </c>
      <c r="O1034" s="95">
        <f t="shared" si="140"/>
        <v>1516480</v>
      </c>
      <c r="P1034" s="89" t="s">
        <v>155</v>
      </c>
      <c r="Q1034" s="107">
        <v>0</v>
      </c>
      <c r="R1034" s="107">
        <v>0</v>
      </c>
      <c r="S1034" s="89">
        <v>0</v>
      </c>
      <c r="T1034" s="89">
        <v>0</v>
      </c>
      <c r="U1034" s="89"/>
      <c r="V1034" s="89"/>
      <c r="W1034" s="89"/>
      <c r="X1034" s="89"/>
      <c r="Y1034" s="89"/>
      <c r="Z1034" s="89"/>
      <c r="AA1034" s="89"/>
      <c r="AB1034" s="89"/>
      <c r="AC1034" s="355"/>
      <c r="AD1034" s="355"/>
      <c r="AE1034" s="355"/>
      <c r="AF1034" s="94">
        <f t="shared" si="146"/>
        <v>42429</v>
      </c>
      <c r="AG1034" s="185">
        <f t="shared" si="141"/>
        <v>2.3044197224139973E-2</v>
      </c>
      <c r="AH1034" s="339" t="str">
        <f>VLOOKUP(B1034,'MF PF'!A:B,2)</f>
        <v>FdMgt1</v>
      </c>
      <c r="AI1034" s="358">
        <f t="shared" si="147"/>
        <v>0</v>
      </c>
      <c r="AJ1034" s="94">
        <f t="shared" si="148"/>
        <v>42429</v>
      </c>
    </row>
    <row r="1035" spans="1:36" ht="12.75" customHeight="1">
      <c r="A1035" s="8">
        <v>42460</v>
      </c>
      <c r="B1035" s="94" t="s">
        <v>136</v>
      </c>
      <c r="C1035" s="358" t="s">
        <v>309</v>
      </c>
      <c r="D1035" s="374">
        <v>6079516.6500000004</v>
      </c>
      <c r="E1035" s="9" t="e">
        <f t="shared" si="143"/>
        <v>#DIV/0!</v>
      </c>
      <c r="F1035" s="98">
        <v>6.77</v>
      </c>
      <c r="G1035" s="98">
        <v>0</v>
      </c>
      <c r="H1035" s="98">
        <v>0</v>
      </c>
      <c r="I1035" s="98">
        <v>0</v>
      </c>
      <c r="J1035" s="98"/>
      <c r="L1035" s="93">
        <f t="shared" si="144"/>
        <v>0</v>
      </c>
      <c r="M1035" s="95" t="e">
        <f t="shared" ca="1" si="145"/>
        <v>#DIV/0!</v>
      </c>
      <c r="N1035" s="95">
        <f>IF(P1035="Hedge Fund",IF(A1035=Summary!$AD$3,M1035-E1035,M1035),IF(A1035=Summary!$AD$3,L1035-D1035,L1035))</f>
        <v>0</v>
      </c>
      <c r="O1035" s="95">
        <f t="shared" si="140"/>
        <v>0</v>
      </c>
      <c r="P1035" s="107" t="s">
        <v>155</v>
      </c>
      <c r="Q1035" s="107">
        <v>0</v>
      </c>
      <c r="R1035" s="107">
        <v>0</v>
      </c>
      <c r="S1035" s="107">
        <v>0</v>
      </c>
      <c r="T1035" s="107">
        <v>0</v>
      </c>
      <c r="U1035" s="107"/>
      <c r="V1035" s="107"/>
      <c r="W1035" s="107"/>
      <c r="X1035" s="107"/>
      <c r="Y1035" s="107"/>
      <c r="Z1035" s="107"/>
      <c r="AA1035" s="107"/>
      <c r="AB1035" s="107"/>
      <c r="AC1035" s="355"/>
      <c r="AD1035" s="355"/>
      <c r="AE1035" s="355"/>
      <c r="AF1035" s="94">
        <f t="shared" si="146"/>
        <v>42460</v>
      </c>
      <c r="AG1035" s="185">
        <f t="shared" si="141"/>
        <v>1.208361095221E-2</v>
      </c>
      <c r="AH1035" s="339" t="str">
        <f>VLOOKUP(B1035,'MF PF'!A:B,2)</f>
        <v>FdMgt1</v>
      </c>
      <c r="AI1035" s="358">
        <f t="shared" si="147"/>
        <v>0</v>
      </c>
      <c r="AJ1035" s="94">
        <f t="shared" si="148"/>
        <v>42460</v>
      </c>
    </row>
    <row r="1036" spans="1:36" ht="12.75" customHeight="1">
      <c r="A1036" s="94">
        <v>42489</v>
      </c>
      <c r="B1036" s="94" t="s">
        <v>136</v>
      </c>
      <c r="C1036" s="358" t="s">
        <v>309</v>
      </c>
      <c r="D1036" s="374">
        <v>7232755.7800000003</v>
      </c>
      <c r="E1036" s="9" t="e">
        <f t="shared" si="143"/>
        <v>#DIV/0!</v>
      </c>
      <c r="F1036" s="98">
        <v>6.77</v>
      </c>
      <c r="G1036" s="98">
        <v>1103510</v>
      </c>
      <c r="H1036" s="98">
        <v>0</v>
      </c>
      <c r="I1036" s="98">
        <v>0</v>
      </c>
      <c r="J1036" s="98"/>
      <c r="K1036" s="93"/>
      <c r="L1036" s="93">
        <f t="shared" si="144"/>
        <v>1103510</v>
      </c>
      <c r="M1036" s="95" t="e">
        <f t="shared" ca="1" si="145"/>
        <v>#DIV/0!</v>
      </c>
      <c r="N1036" s="95">
        <f>IF(P1036="Hedge Fund",IF(A1036=Summary!$AD$3,M1036-E1036,M1036),IF(A1036=Summary!$AD$3,L1036-D1036,L1036))</f>
        <v>1103510</v>
      </c>
      <c r="O1036" s="95">
        <f t="shared" si="140"/>
        <v>1103510</v>
      </c>
      <c r="P1036" s="107" t="s">
        <v>155</v>
      </c>
      <c r="Q1036" s="107">
        <v>0</v>
      </c>
      <c r="R1036" s="107">
        <v>0</v>
      </c>
      <c r="S1036" s="107">
        <v>0</v>
      </c>
      <c r="T1036" s="107">
        <v>0</v>
      </c>
      <c r="U1036" s="107"/>
      <c r="V1036" s="107"/>
      <c r="W1036" s="107"/>
      <c r="X1036" s="107"/>
      <c r="Y1036" s="107"/>
      <c r="Z1036" s="107"/>
      <c r="AA1036" s="107"/>
      <c r="AB1036" s="107"/>
      <c r="AC1036" s="355"/>
      <c r="AD1036" s="355"/>
      <c r="AE1036" s="355"/>
      <c r="AF1036" s="94">
        <f t="shared" si="146"/>
        <v>42489</v>
      </c>
      <c r="AG1036" s="185">
        <f t="shared" si="141"/>
        <v>8.1797835030190669E-3</v>
      </c>
      <c r="AH1036" s="339" t="str">
        <f>VLOOKUP(B1036,'MF PF'!A:B,2)</f>
        <v>FdMgt1</v>
      </c>
      <c r="AI1036" s="358">
        <f t="shared" si="147"/>
        <v>0</v>
      </c>
      <c r="AJ1036" s="94">
        <f t="shared" si="148"/>
        <v>42490</v>
      </c>
    </row>
    <row r="1037" spans="1:36" ht="12.75" customHeight="1">
      <c r="A1037" s="94">
        <v>42521</v>
      </c>
      <c r="B1037" s="94" t="s">
        <v>136</v>
      </c>
      <c r="C1037" s="358" t="s">
        <v>309</v>
      </c>
      <c r="D1037" s="374">
        <v>7331596.7800000003</v>
      </c>
      <c r="E1037" s="9" t="e">
        <f t="shared" si="143"/>
        <v>#DIV/0!</v>
      </c>
      <c r="F1037" s="98">
        <v>6.77</v>
      </c>
      <c r="G1037" s="98">
        <v>0</v>
      </c>
      <c r="H1037" s="98">
        <v>0</v>
      </c>
      <c r="I1037" s="98">
        <v>0</v>
      </c>
      <c r="J1037" s="98"/>
      <c r="K1037" s="93"/>
      <c r="L1037" s="93">
        <f t="shared" si="144"/>
        <v>0</v>
      </c>
      <c r="M1037" s="95" t="e">
        <f t="shared" ca="1" si="145"/>
        <v>#DIV/0!</v>
      </c>
      <c r="N1037" s="95">
        <f>IF(P1037="Hedge Fund",IF(A1037=Summary!$AD$3,M1037-E1037,M1037),IF(A1037=Summary!$AD$3,L1037-D1037,L1037))</f>
        <v>0</v>
      </c>
      <c r="O1037" s="95">
        <f t="shared" si="140"/>
        <v>0</v>
      </c>
      <c r="P1037" s="107" t="s">
        <v>155</v>
      </c>
      <c r="Q1037" s="107">
        <v>0</v>
      </c>
      <c r="R1037" s="107">
        <v>0</v>
      </c>
      <c r="S1037" s="107">
        <v>0</v>
      </c>
      <c r="T1037" s="107">
        <v>0</v>
      </c>
      <c r="U1037" s="107"/>
      <c r="V1037" s="107"/>
      <c r="W1037" s="107"/>
      <c r="X1037" s="107"/>
      <c r="Y1037" s="107"/>
      <c r="Z1037" s="107"/>
      <c r="AA1037" s="107"/>
      <c r="AB1037" s="107"/>
      <c r="AC1037" s="355"/>
      <c r="AD1037" s="355"/>
      <c r="AE1037" s="355"/>
      <c r="AF1037" s="94">
        <f t="shared" si="146"/>
        <v>42521</v>
      </c>
      <c r="AG1037" s="185">
        <f t="shared" si="141"/>
        <v>1.3665745534131579E-2</v>
      </c>
      <c r="AH1037" s="339" t="str">
        <f>VLOOKUP(B1037,'MF PF'!A:B,2)</f>
        <v>FdMgt1</v>
      </c>
      <c r="AI1037" s="358">
        <f t="shared" si="147"/>
        <v>0</v>
      </c>
      <c r="AJ1037" s="94">
        <f t="shared" si="148"/>
        <v>42521</v>
      </c>
    </row>
    <row r="1038" spans="1:36" ht="12.75" customHeight="1">
      <c r="A1038" s="94">
        <v>42551</v>
      </c>
      <c r="B1038" s="94" t="s">
        <v>136</v>
      </c>
      <c r="C1038" s="358" t="s">
        <v>309</v>
      </c>
      <c r="D1038" s="374">
        <v>7552291.6900000004</v>
      </c>
      <c r="E1038" s="9" t="e">
        <f t="shared" si="143"/>
        <v>#DIV/0!</v>
      </c>
      <c r="F1038" s="98">
        <v>6.77</v>
      </c>
      <c r="G1038" s="98">
        <v>0</v>
      </c>
      <c r="H1038" s="98">
        <v>0</v>
      </c>
      <c r="I1038" s="98">
        <v>0</v>
      </c>
      <c r="J1038" s="98"/>
      <c r="K1038" s="93"/>
      <c r="L1038" s="93">
        <f t="shared" si="144"/>
        <v>0</v>
      </c>
      <c r="M1038" s="95" t="e">
        <f t="shared" ca="1" si="145"/>
        <v>#DIV/0!</v>
      </c>
      <c r="N1038" s="95">
        <f>IF(P1038="Hedge Fund",IF(A1038=Summary!$AD$3,M1038-E1038,M1038),IF(A1038=Summary!$AD$3,L1038-D1038,L1038))</f>
        <v>0</v>
      </c>
      <c r="O1038" s="95">
        <f t="shared" ref="O1038:O1101" si="149">N1038</f>
        <v>0</v>
      </c>
      <c r="P1038" s="107" t="s">
        <v>155</v>
      </c>
      <c r="Q1038" s="107">
        <v>0</v>
      </c>
      <c r="R1038" s="107">
        <v>0</v>
      </c>
      <c r="S1038" s="107">
        <v>0</v>
      </c>
      <c r="T1038" s="107">
        <v>0</v>
      </c>
      <c r="U1038" s="107"/>
      <c r="V1038" s="107"/>
      <c r="W1038" s="107"/>
      <c r="X1038" s="107"/>
      <c r="Y1038" s="107"/>
      <c r="Z1038" s="107"/>
      <c r="AA1038" s="107"/>
      <c r="AB1038" s="107"/>
      <c r="AC1038" s="355"/>
      <c r="AD1038" s="355"/>
      <c r="AE1038" s="355"/>
      <c r="AF1038" s="94">
        <f t="shared" si="146"/>
        <v>42551</v>
      </c>
      <c r="AG1038" s="185">
        <f t="shared" si="141"/>
        <v>3.0101888663877086E-2</v>
      </c>
      <c r="AH1038" s="339" t="str">
        <f>VLOOKUP(B1038,'MF PF'!A:B,2)</f>
        <v>FdMgt1</v>
      </c>
      <c r="AI1038" s="358">
        <f t="shared" si="147"/>
        <v>0</v>
      </c>
      <c r="AJ1038" s="94">
        <f t="shared" si="148"/>
        <v>42551</v>
      </c>
    </row>
    <row r="1039" spans="1:36" ht="12.75" customHeight="1">
      <c r="A1039" s="94">
        <v>42580</v>
      </c>
      <c r="B1039" s="94" t="s">
        <v>136</v>
      </c>
      <c r="C1039" s="358" t="s">
        <v>309</v>
      </c>
      <c r="D1039" s="374">
        <v>7579551.1600000001</v>
      </c>
      <c r="E1039" s="9" t="e">
        <f t="shared" si="143"/>
        <v>#DIV/0!</v>
      </c>
      <c r="F1039" s="98">
        <v>6.77</v>
      </c>
      <c r="G1039" s="98">
        <v>0</v>
      </c>
      <c r="H1039" s="98">
        <v>0</v>
      </c>
      <c r="I1039" s="98">
        <v>0</v>
      </c>
      <c r="J1039" s="98"/>
      <c r="K1039" s="93"/>
      <c r="L1039" s="93">
        <f t="shared" si="144"/>
        <v>0</v>
      </c>
      <c r="M1039" s="95" t="e">
        <f t="shared" ca="1" si="145"/>
        <v>#DIV/0!</v>
      </c>
      <c r="N1039" s="95">
        <f>IF(P1039="Hedge Fund",IF(A1039=Summary!$AD$3,M1039-E1039,M1039),IF(A1039=Summary!$AD$3,L1039-D1039,L1039))</f>
        <v>0</v>
      </c>
      <c r="O1039" s="95">
        <f t="shared" si="149"/>
        <v>0</v>
      </c>
      <c r="P1039" s="107" t="s">
        <v>155</v>
      </c>
      <c r="Q1039" s="107">
        <v>0</v>
      </c>
      <c r="R1039" s="107">
        <v>0</v>
      </c>
      <c r="S1039" s="107">
        <v>0</v>
      </c>
      <c r="T1039" s="107">
        <v>0</v>
      </c>
      <c r="U1039" s="107"/>
      <c r="V1039" s="107"/>
      <c r="W1039" s="107"/>
      <c r="X1039" s="107"/>
      <c r="Y1039" s="107"/>
      <c r="Z1039" s="107"/>
      <c r="AA1039" s="107"/>
      <c r="AB1039" s="107"/>
      <c r="AC1039" s="355"/>
      <c r="AD1039" s="355"/>
      <c r="AE1039" s="355"/>
      <c r="AF1039" s="94">
        <f t="shared" si="146"/>
        <v>42580</v>
      </c>
      <c r="AG1039" s="185">
        <f t="shared" ref="AG1039:AG1102" si="150">IF(C1039&lt;&gt;C1038,D1039/G1039-1,(D1039-G1039-I1039-H1039)/(D1038)-1)</f>
        <v>3.6094302390483612E-3</v>
      </c>
      <c r="AH1039" s="339" t="str">
        <f>VLOOKUP(B1039,'MF PF'!A:B,2)</f>
        <v>FdMgt1</v>
      </c>
      <c r="AI1039" s="358">
        <f t="shared" si="147"/>
        <v>0</v>
      </c>
      <c r="AJ1039" s="94">
        <f t="shared" si="148"/>
        <v>42582</v>
      </c>
    </row>
    <row r="1040" spans="1:36" ht="12.75" customHeight="1">
      <c r="A1040" s="8">
        <v>42613</v>
      </c>
      <c r="B1040" s="94" t="s">
        <v>136</v>
      </c>
      <c r="C1040" s="358" t="s">
        <v>309</v>
      </c>
      <c r="D1040" s="374">
        <v>7551779.8300000001</v>
      </c>
      <c r="E1040" s="9" t="e">
        <f t="shared" si="143"/>
        <v>#DIV/0!</v>
      </c>
      <c r="F1040" s="98">
        <v>6.77</v>
      </c>
      <c r="G1040" s="98">
        <v>0</v>
      </c>
      <c r="H1040" s="98">
        <v>0</v>
      </c>
      <c r="I1040" s="98">
        <v>0</v>
      </c>
      <c r="J1040" s="98"/>
      <c r="K1040" s="93"/>
      <c r="L1040" s="93">
        <f t="shared" si="144"/>
        <v>0</v>
      </c>
      <c r="M1040" s="95" t="e">
        <f t="shared" ca="1" si="145"/>
        <v>#DIV/0!</v>
      </c>
      <c r="N1040" s="95">
        <f>IF(P1040="Hedge Fund",IF(A1040=Summary!$AD$3,M1040-E1040,M1040),IF(A1040=Summary!$AD$3,L1040-D1040,L1040))</f>
        <v>0</v>
      </c>
      <c r="O1040" s="95">
        <f t="shared" si="149"/>
        <v>0</v>
      </c>
      <c r="P1040" s="107" t="s">
        <v>155</v>
      </c>
      <c r="Q1040" s="107">
        <v>0</v>
      </c>
      <c r="R1040" s="107">
        <v>0</v>
      </c>
      <c r="S1040" s="107">
        <v>0</v>
      </c>
      <c r="T1040" s="107">
        <v>0</v>
      </c>
      <c r="U1040" s="107"/>
      <c r="V1040" s="107"/>
      <c r="W1040" s="107"/>
      <c r="X1040" s="107"/>
      <c r="Y1040" s="107"/>
      <c r="Z1040" s="107"/>
      <c r="AA1040" s="107"/>
      <c r="AB1040" s="107"/>
      <c r="AC1040" s="355"/>
      <c r="AD1040" s="355"/>
      <c r="AE1040" s="355"/>
      <c r="AF1040" s="94">
        <f t="shared" si="146"/>
        <v>42613</v>
      </c>
      <c r="AG1040" s="185">
        <f t="shared" si="150"/>
        <v>-3.6639808101777138E-3</v>
      </c>
      <c r="AH1040" s="339" t="str">
        <f>VLOOKUP(B1040,'MF PF'!A:B,2)</f>
        <v>FdMgt1</v>
      </c>
      <c r="AI1040" s="358">
        <f t="shared" si="147"/>
        <v>0</v>
      </c>
      <c r="AJ1040" s="94">
        <f t="shared" si="148"/>
        <v>42613</v>
      </c>
    </row>
    <row r="1041" spans="1:36" ht="12.75" customHeight="1">
      <c r="A1041" s="8">
        <v>42643</v>
      </c>
      <c r="B1041" s="94" t="s">
        <v>136</v>
      </c>
      <c r="C1041" s="92" t="s">
        <v>309</v>
      </c>
      <c r="D1041" s="374">
        <v>7943256.79</v>
      </c>
      <c r="E1041" s="9" t="e">
        <f t="shared" si="143"/>
        <v>#DIV/0!</v>
      </c>
      <c r="F1041" s="98">
        <v>6.77</v>
      </c>
      <c r="G1041" s="98">
        <v>0</v>
      </c>
      <c r="H1041" s="98">
        <v>0</v>
      </c>
      <c r="I1041" s="98">
        <v>0</v>
      </c>
      <c r="J1041" s="98"/>
      <c r="L1041" s="93">
        <f t="shared" si="144"/>
        <v>0</v>
      </c>
      <c r="M1041" s="95" t="e">
        <f t="shared" ca="1" si="145"/>
        <v>#DIV/0!</v>
      </c>
      <c r="N1041" s="95">
        <f>IF(P1041="Hedge Fund",IF(A1041=Summary!$AD$3,M1041-E1041,M1041),IF(A1041=Summary!$AD$3,L1041-D1041,L1041))</f>
        <v>0</v>
      </c>
      <c r="O1041" s="95">
        <f t="shared" si="149"/>
        <v>0</v>
      </c>
      <c r="P1041" s="107" t="s">
        <v>155</v>
      </c>
      <c r="Q1041" s="107">
        <v>0</v>
      </c>
      <c r="R1041" s="107">
        <v>0</v>
      </c>
      <c r="S1041" s="107">
        <v>0</v>
      </c>
      <c r="T1041" s="107">
        <v>0</v>
      </c>
      <c r="U1041" s="107"/>
      <c r="V1041" s="107"/>
      <c r="W1041" s="107"/>
      <c r="X1041" s="107"/>
      <c r="Y1041" s="107"/>
      <c r="Z1041" s="107"/>
      <c r="AA1041" s="107"/>
      <c r="AB1041" s="107"/>
      <c r="AC1041" s="355"/>
      <c r="AD1041" s="355"/>
      <c r="AE1041" s="355"/>
      <c r="AF1041" s="94">
        <f t="shared" si="146"/>
        <v>42643</v>
      </c>
      <c r="AG1041" s="185">
        <f t="shared" si="150"/>
        <v>5.1839032494674919E-2</v>
      </c>
      <c r="AH1041" s="339" t="str">
        <f>VLOOKUP(B1041,'MF PF'!A:B,2)</f>
        <v>FdMgt1</v>
      </c>
      <c r="AI1041" s="358">
        <f t="shared" si="147"/>
        <v>0</v>
      </c>
      <c r="AJ1041" s="94">
        <f t="shared" si="148"/>
        <v>42643</v>
      </c>
    </row>
    <row r="1042" spans="1:36" ht="12.75" customHeight="1">
      <c r="A1042" s="94">
        <v>42674</v>
      </c>
      <c r="B1042" s="94" t="s">
        <v>136</v>
      </c>
      <c r="C1042" s="358" t="s">
        <v>309</v>
      </c>
      <c r="D1042" s="374">
        <v>8157145.0599999996</v>
      </c>
      <c r="E1042" s="9" t="e">
        <f t="shared" si="143"/>
        <v>#DIV/0!</v>
      </c>
      <c r="F1042" s="98">
        <v>6.77</v>
      </c>
      <c r="G1042" s="98">
        <v>0</v>
      </c>
      <c r="H1042" s="98">
        <v>0</v>
      </c>
      <c r="I1042" s="98">
        <v>0</v>
      </c>
      <c r="J1042" s="98"/>
      <c r="K1042" s="93"/>
      <c r="L1042" s="93">
        <f t="shared" si="144"/>
        <v>0</v>
      </c>
      <c r="M1042" s="95" t="e">
        <f t="shared" ca="1" si="145"/>
        <v>#DIV/0!</v>
      </c>
      <c r="N1042" s="95">
        <f>IF(P1042="Hedge Fund",IF(A1042=Summary!$AD$3,M1042-E1042,M1042),IF(A1042=Summary!$AD$3,L1042-D1042,L1042))</f>
        <v>0</v>
      </c>
      <c r="O1042" s="95">
        <f t="shared" si="149"/>
        <v>0</v>
      </c>
      <c r="P1042" s="107" t="s">
        <v>155</v>
      </c>
      <c r="Q1042" s="107">
        <v>0</v>
      </c>
      <c r="R1042" s="107">
        <v>0</v>
      </c>
      <c r="S1042" s="107">
        <v>0</v>
      </c>
      <c r="T1042" s="107">
        <v>0</v>
      </c>
      <c r="U1042" s="107"/>
      <c r="V1042" s="107"/>
      <c r="W1042" s="107"/>
      <c r="X1042" s="107"/>
      <c r="Y1042" s="107"/>
      <c r="Z1042" s="107"/>
      <c r="AA1042" s="107"/>
      <c r="AB1042" s="107"/>
      <c r="AC1042" s="355"/>
      <c r="AD1042" s="355"/>
      <c r="AE1042" s="355"/>
      <c r="AF1042" s="94">
        <f t="shared" si="146"/>
        <v>42674</v>
      </c>
      <c r="AG1042" s="185">
        <f t="shared" si="150"/>
        <v>2.6927024475561501E-2</v>
      </c>
      <c r="AH1042" s="339" t="str">
        <f>VLOOKUP(B1042,'MF PF'!A:B,2)</f>
        <v>FdMgt1</v>
      </c>
      <c r="AI1042" s="358">
        <f t="shared" si="147"/>
        <v>0</v>
      </c>
      <c r="AJ1042" s="94">
        <f t="shared" si="148"/>
        <v>42674</v>
      </c>
    </row>
    <row r="1043" spans="1:36" ht="12.75" customHeight="1">
      <c r="A1043" s="94">
        <v>42704</v>
      </c>
      <c r="B1043" s="94" t="s">
        <v>136</v>
      </c>
      <c r="C1043" s="358" t="s">
        <v>309</v>
      </c>
      <c r="D1043" s="374">
        <v>8193606.9299999997</v>
      </c>
      <c r="E1043" s="9" t="e">
        <f t="shared" si="143"/>
        <v>#DIV/0!</v>
      </c>
      <c r="F1043" s="98">
        <v>6.77</v>
      </c>
      <c r="G1043" s="98">
        <v>0</v>
      </c>
      <c r="H1043" s="98">
        <v>0</v>
      </c>
      <c r="I1043" s="98">
        <v>0</v>
      </c>
      <c r="J1043" s="98"/>
      <c r="L1043" s="93">
        <f t="shared" si="144"/>
        <v>0</v>
      </c>
      <c r="M1043" s="95" t="e">
        <f t="shared" ca="1" si="145"/>
        <v>#DIV/0!</v>
      </c>
      <c r="N1043" s="95">
        <f>IF(P1043="Hedge Fund",IF(A1043=Summary!$AD$3,M1043-E1043,M1043),IF(A1043=Summary!$AD$3,L1043-D1043,L1043))</f>
        <v>0</v>
      </c>
      <c r="O1043" s="95">
        <f t="shared" si="149"/>
        <v>0</v>
      </c>
      <c r="P1043" s="107" t="s">
        <v>155</v>
      </c>
      <c r="Q1043" s="107">
        <v>0</v>
      </c>
      <c r="R1043" s="107">
        <v>0</v>
      </c>
      <c r="S1043" s="107">
        <v>0</v>
      </c>
      <c r="T1043" s="107">
        <v>0</v>
      </c>
      <c r="U1043" s="107"/>
      <c r="V1043" s="107"/>
      <c r="W1043" s="107"/>
      <c r="X1043" s="107"/>
      <c r="Y1043" s="107"/>
      <c r="Z1043" s="107"/>
      <c r="AA1043" s="107"/>
      <c r="AB1043" s="107"/>
      <c r="AC1043" s="355"/>
      <c r="AD1043" s="355"/>
      <c r="AE1043" s="355"/>
      <c r="AF1043" s="94">
        <f t="shared" si="146"/>
        <v>42704</v>
      </c>
      <c r="AG1043" s="185">
        <f t="shared" si="150"/>
        <v>4.4699303165267601E-3</v>
      </c>
      <c r="AH1043" s="339" t="str">
        <f>VLOOKUP(B1043,'MF PF'!A:B,2)</f>
        <v>FdMgt1</v>
      </c>
      <c r="AI1043" s="358">
        <f t="shared" si="147"/>
        <v>0</v>
      </c>
      <c r="AJ1043" s="94">
        <f t="shared" si="148"/>
        <v>42704</v>
      </c>
    </row>
    <row r="1044" spans="1:36" ht="12.75" customHeight="1">
      <c r="A1044" s="94">
        <v>42734</v>
      </c>
      <c r="B1044" s="94" t="s">
        <v>136</v>
      </c>
      <c r="C1044" s="358" t="s">
        <v>309</v>
      </c>
      <c r="D1044" s="374">
        <v>8162605.3600000003</v>
      </c>
      <c r="E1044" s="9" t="e">
        <f t="shared" si="143"/>
        <v>#DIV/0!</v>
      </c>
      <c r="F1044" s="47">
        <v>6.77</v>
      </c>
      <c r="G1044" s="47">
        <v>0</v>
      </c>
      <c r="H1044" s="47">
        <v>0</v>
      </c>
      <c r="I1044" s="98">
        <v>0</v>
      </c>
      <c r="J1044" s="98"/>
      <c r="L1044" s="93">
        <f t="shared" si="144"/>
        <v>0</v>
      </c>
      <c r="M1044" s="95" t="e">
        <f t="shared" ca="1" si="145"/>
        <v>#DIV/0!</v>
      </c>
      <c r="N1044" s="95">
        <f>IF(P1044="Hedge Fund",IF(A1044=Summary!$AD$3,M1044-E1044,M1044),IF(A1044=Summary!$AD$3,L1044-D1044,L1044))</f>
        <v>0</v>
      </c>
      <c r="O1044" s="95">
        <f t="shared" si="149"/>
        <v>0</v>
      </c>
      <c r="P1044" s="89" t="s">
        <v>155</v>
      </c>
      <c r="Q1044" s="107">
        <v>0</v>
      </c>
      <c r="R1044" s="107">
        <v>0</v>
      </c>
      <c r="S1044" s="89">
        <v>0</v>
      </c>
      <c r="T1044" s="89">
        <v>0</v>
      </c>
      <c r="U1044" s="89"/>
      <c r="V1044" s="89"/>
      <c r="W1044" s="89"/>
      <c r="X1044" s="89"/>
      <c r="Y1044" s="89"/>
      <c r="Z1044" s="89"/>
      <c r="AA1044" s="89"/>
      <c r="AB1044" s="89"/>
      <c r="AC1044" s="355"/>
      <c r="AD1044" s="355"/>
      <c r="AE1044" s="355"/>
      <c r="AF1044" s="94">
        <f t="shared" si="146"/>
        <v>42734</v>
      </c>
      <c r="AG1044" s="185">
        <f t="shared" si="150"/>
        <v>-3.7836291470719763E-3</v>
      </c>
      <c r="AH1044" s="339" t="str">
        <f>VLOOKUP(B1044,'MF PF'!A:B,2)</f>
        <v>FdMgt1</v>
      </c>
      <c r="AI1044" s="358">
        <f t="shared" si="147"/>
        <v>0</v>
      </c>
      <c r="AJ1044" s="94">
        <f t="shared" si="148"/>
        <v>42735</v>
      </c>
    </row>
    <row r="1045" spans="1:36" ht="12.75" customHeight="1">
      <c r="A1045" s="94">
        <v>42762</v>
      </c>
      <c r="B1045" s="94" t="s">
        <v>136</v>
      </c>
      <c r="C1045" s="358" t="s">
        <v>309</v>
      </c>
      <c r="D1045" s="374">
        <v>8276887.6900000004</v>
      </c>
      <c r="E1045" s="9" t="e">
        <f t="shared" si="143"/>
        <v>#DIV/0!</v>
      </c>
      <c r="F1045" s="47">
        <v>6.77</v>
      </c>
      <c r="G1045" s="47">
        <v>0</v>
      </c>
      <c r="H1045" s="47">
        <v>0</v>
      </c>
      <c r="I1045" s="98">
        <v>0</v>
      </c>
      <c r="J1045" s="98"/>
      <c r="L1045" s="93">
        <f t="shared" si="144"/>
        <v>0</v>
      </c>
      <c r="M1045" s="95" t="e">
        <f t="shared" ca="1" si="145"/>
        <v>#DIV/0!</v>
      </c>
      <c r="N1045" s="95">
        <f>IF(P1045="Hedge Fund",IF(A1045=Summary!$AD$3,M1045-E1045,M1045),IF(A1045=Summary!$AD$3,L1045-D1045,L1045))</f>
        <v>0</v>
      </c>
      <c r="O1045" s="95">
        <f t="shared" si="149"/>
        <v>0</v>
      </c>
      <c r="P1045" s="89" t="s">
        <v>155</v>
      </c>
      <c r="Q1045" s="107">
        <v>0</v>
      </c>
      <c r="R1045" s="107">
        <v>0</v>
      </c>
      <c r="S1045" s="89">
        <v>0</v>
      </c>
      <c r="T1045" s="89">
        <v>0</v>
      </c>
      <c r="U1045" s="89"/>
      <c r="V1045" s="89"/>
      <c r="W1045" s="89"/>
      <c r="X1045" s="89"/>
      <c r="Y1045" s="89"/>
      <c r="Z1045" s="89"/>
      <c r="AA1045" s="89"/>
      <c r="AB1045" s="89"/>
      <c r="AC1045" s="355"/>
      <c r="AD1045" s="355"/>
      <c r="AE1045" s="355"/>
      <c r="AF1045" s="94">
        <f t="shared" si="146"/>
        <v>42762</v>
      </c>
      <c r="AG1045" s="185">
        <f t="shared" si="150"/>
        <v>1.4000717290588272E-2</v>
      </c>
      <c r="AH1045" s="339" t="str">
        <f>VLOOKUP(B1045,'MF PF'!A:B,2)</f>
        <v>FdMgt1</v>
      </c>
      <c r="AI1045" s="358">
        <f t="shared" si="147"/>
        <v>0</v>
      </c>
      <c r="AJ1045" s="94">
        <f t="shared" si="148"/>
        <v>42766</v>
      </c>
    </row>
    <row r="1046" spans="1:36" ht="12.75" customHeight="1">
      <c r="A1046" s="8">
        <v>42794</v>
      </c>
      <c r="B1046" s="94" t="s">
        <v>136</v>
      </c>
      <c r="C1046" s="358" t="s">
        <v>309</v>
      </c>
      <c r="D1046" s="374">
        <v>8596559.8599999994</v>
      </c>
      <c r="E1046" s="9" t="e">
        <f t="shared" si="143"/>
        <v>#DIV/0!</v>
      </c>
      <c r="F1046" s="47">
        <v>6.77</v>
      </c>
      <c r="G1046" s="47">
        <v>0</v>
      </c>
      <c r="H1046" s="47">
        <v>0</v>
      </c>
      <c r="I1046" s="98">
        <v>0</v>
      </c>
      <c r="J1046" s="98"/>
      <c r="L1046" s="93">
        <f t="shared" si="144"/>
        <v>0</v>
      </c>
      <c r="M1046" s="95" t="e">
        <f t="shared" ca="1" si="145"/>
        <v>#DIV/0!</v>
      </c>
      <c r="N1046" s="95">
        <f>IF(P1046="Hedge Fund",IF(A1046=Summary!$AD$3,M1046-E1046,M1046),IF(A1046=Summary!$AD$3,L1046-D1046,L1046))</f>
        <v>0</v>
      </c>
      <c r="O1046" s="95">
        <f t="shared" si="149"/>
        <v>0</v>
      </c>
      <c r="P1046" s="89" t="s">
        <v>155</v>
      </c>
      <c r="Q1046" s="107">
        <v>0</v>
      </c>
      <c r="R1046" s="107">
        <v>0</v>
      </c>
      <c r="S1046" s="89">
        <v>0</v>
      </c>
      <c r="T1046" s="89">
        <v>0</v>
      </c>
      <c r="U1046" s="89"/>
      <c r="V1046" s="89"/>
      <c r="W1046" s="89"/>
      <c r="X1046" s="89"/>
      <c r="Y1046" s="89"/>
      <c r="Z1046" s="89"/>
      <c r="AA1046" s="89"/>
      <c r="AB1046" s="89"/>
      <c r="AC1046" s="355"/>
      <c r="AD1046" s="355"/>
      <c r="AE1046" s="355"/>
      <c r="AF1046" s="94">
        <f t="shared" si="146"/>
        <v>42794</v>
      </c>
      <c r="AG1046" s="185">
        <f t="shared" si="150"/>
        <v>3.8622267447971037E-2</v>
      </c>
      <c r="AH1046" s="339" t="str">
        <f>VLOOKUP(B1046,'MF PF'!A:B,2)</f>
        <v>FdMgt1</v>
      </c>
      <c r="AI1046" s="358">
        <f t="shared" si="147"/>
        <v>0</v>
      </c>
      <c r="AJ1046" s="94">
        <f t="shared" si="148"/>
        <v>42794</v>
      </c>
    </row>
    <row r="1047" spans="1:36" ht="12.75" customHeight="1">
      <c r="A1047" s="8">
        <v>42825</v>
      </c>
      <c r="B1047" s="94" t="s">
        <v>136</v>
      </c>
      <c r="C1047" s="358" t="s">
        <v>309</v>
      </c>
      <c r="D1047" s="374">
        <v>8507608.25</v>
      </c>
      <c r="E1047" s="9" t="e">
        <f t="shared" si="143"/>
        <v>#DIV/0!</v>
      </c>
      <c r="F1047" s="98">
        <v>6.77</v>
      </c>
      <c r="G1047" s="98">
        <v>0</v>
      </c>
      <c r="H1047" s="98">
        <v>0</v>
      </c>
      <c r="I1047" s="98">
        <v>0</v>
      </c>
      <c r="J1047" s="98"/>
      <c r="L1047" s="93">
        <f t="shared" si="144"/>
        <v>0</v>
      </c>
      <c r="M1047" s="95" t="e">
        <f t="shared" ca="1" si="145"/>
        <v>#DIV/0!</v>
      </c>
      <c r="N1047" s="95">
        <f>IF(P1047="Hedge Fund",IF(A1047=Summary!$AD$3,M1047-E1047,M1047),IF(A1047=Summary!$AD$3,L1047-D1047,L1047))</f>
        <v>0</v>
      </c>
      <c r="O1047" s="95">
        <f t="shared" si="149"/>
        <v>0</v>
      </c>
      <c r="P1047" s="107" t="s">
        <v>155</v>
      </c>
      <c r="Q1047" s="107">
        <v>0</v>
      </c>
      <c r="R1047" s="107">
        <v>0</v>
      </c>
      <c r="S1047" s="107">
        <v>0</v>
      </c>
      <c r="T1047" s="107">
        <v>0</v>
      </c>
      <c r="U1047" s="107"/>
      <c r="V1047" s="107"/>
      <c r="W1047" s="107"/>
      <c r="X1047" s="107"/>
      <c r="Y1047" s="107"/>
      <c r="Z1047" s="107"/>
      <c r="AA1047" s="107"/>
      <c r="AB1047" s="107"/>
      <c r="AC1047" s="355"/>
      <c r="AD1047" s="355"/>
      <c r="AE1047" s="355"/>
      <c r="AF1047" s="94">
        <f t="shared" si="146"/>
        <v>42825</v>
      </c>
      <c r="AG1047" s="185">
        <f t="shared" si="150"/>
        <v>-1.0347349573390785E-2</v>
      </c>
      <c r="AH1047" s="339" t="str">
        <f>VLOOKUP(B1047,'MF PF'!A:B,2)</f>
        <v>FdMgt1</v>
      </c>
      <c r="AI1047" s="358">
        <f t="shared" si="147"/>
        <v>0</v>
      </c>
      <c r="AJ1047" s="94">
        <f t="shared" si="148"/>
        <v>42825</v>
      </c>
    </row>
    <row r="1048" spans="1:36" ht="12.75" customHeight="1">
      <c r="A1048" s="8">
        <v>42853</v>
      </c>
      <c r="B1048" s="94" t="s">
        <v>136</v>
      </c>
      <c r="C1048" s="358" t="s">
        <v>309</v>
      </c>
      <c r="D1048" s="374">
        <v>8485080.4299999997</v>
      </c>
      <c r="E1048" s="9" t="e">
        <f t="shared" si="143"/>
        <v>#DIV/0!</v>
      </c>
      <c r="F1048" s="47">
        <v>6.77</v>
      </c>
      <c r="G1048" s="47">
        <v>0</v>
      </c>
      <c r="H1048" s="47">
        <v>0</v>
      </c>
      <c r="I1048" s="47">
        <v>0</v>
      </c>
      <c r="J1048" s="98"/>
      <c r="K1048" s="93"/>
      <c r="L1048" s="93">
        <f t="shared" si="144"/>
        <v>0</v>
      </c>
      <c r="M1048" s="95" t="e">
        <f t="shared" ca="1" si="145"/>
        <v>#DIV/0!</v>
      </c>
      <c r="N1048" s="95">
        <f>IF(P1048="Hedge Fund",IF(A1048=Summary!$AD$3,M1048-E1048,M1048),IF(A1048=Summary!$AD$3,L1048-D1048,L1048))</f>
        <v>0</v>
      </c>
      <c r="O1048" s="95">
        <f t="shared" si="149"/>
        <v>0</v>
      </c>
      <c r="P1048" s="89" t="s">
        <v>155</v>
      </c>
      <c r="Q1048" s="107">
        <v>0</v>
      </c>
      <c r="R1048" s="107">
        <v>0</v>
      </c>
      <c r="S1048" s="89">
        <v>0</v>
      </c>
      <c r="T1048" s="89">
        <v>0</v>
      </c>
      <c r="U1048" s="89"/>
      <c r="V1048" s="89"/>
      <c r="W1048" s="89"/>
      <c r="X1048" s="89"/>
      <c r="Y1048" s="89"/>
      <c r="Z1048" s="89"/>
      <c r="AA1048" s="89"/>
      <c r="AB1048" s="89"/>
      <c r="AC1048" s="355"/>
      <c r="AD1048" s="355"/>
      <c r="AE1048" s="355"/>
      <c r="AF1048" s="94">
        <f t="shared" si="146"/>
        <v>42853</v>
      </c>
      <c r="AG1048" s="185">
        <f t="shared" si="150"/>
        <v>-2.647961605425353E-3</v>
      </c>
      <c r="AH1048" s="339" t="str">
        <f>VLOOKUP(B1048,'MF PF'!A:B,2)</f>
        <v>FdMgt1</v>
      </c>
      <c r="AI1048" s="358">
        <f t="shared" si="147"/>
        <v>0</v>
      </c>
      <c r="AJ1048" s="94">
        <f t="shared" si="148"/>
        <v>42855</v>
      </c>
    </row>
    <row r="1049" spans="1:36" ht="12.75" customHeight="1">
      <c r="A1049" s="8">
        <v>42886</v>
      </c>
      <c r="B1049" s="94" t="s">
        <v>136</v>
      </c>
      <c r="C1049" s="6" t="s">
        <v>309</v>
      </c>
      <c r="D1049" s="374">
        <v>8553917.3000000007</v>
      </c>
      <c r="E1049" s="9" t="e">
        <f t="shared" si="143"/>
        <v>#DIV/0!</v>
      </c>
      <c r="F1049" s="98">
        <v>6.77</v>
      </c>
      <c r="G1049" s="98">
        <v>0</v>
      </c>
      <c r="H1049" s="98">
        <v>0</v>
      </c>
      <c r="I1049" s="98">
        <v>0</v>
      </c>
      <c r="J1049" s="98"/>
      <c r="K1049" s="93"/>
      <c r="L1049" s="93">
        <f t="shared" si="144"/>
        <v>0</v>
      </c>
      <c r="M1049" s="95" t="e">
        <f t="shared" ca="1" si="145"/>
        <v>#DIV/0!</v>
      </c>
      <c r="N1049" s="95">
        <f>IF(P1049="Hedge Fund",IF(A1049=Summary!$AD$3,M1049-E1049,M1049),IF(A1049=Summary!$AD$3,L1049-D1049,L1049))</f>
        <v>0</v>
      </c>
      <c r="O1049" s="95">
        <f t="shared" si="149"/>
        <v>0</v>
      </c>
      <c r="P1049" s="107" t="s">
        <v>155</v>
      </c>
      <c r="Q1049" s="107">
        <v>0</v>
      </c>
      <c r="R1049" s="107">
        <v>0</v>
      </c>
      <c r="S1049" s="107">
        <v>0</v>
      </c>
      <c r="T1049" s="107">
        <v>0</v>
      </c>
      <c r="U1049" s="107"/>
      <c r="V1049" s="107"/>
      <c r="W1049" s="107"/>
      <c r="X1049" s="107"/>
      <c r="Y1049" s="107"/>
      <c r="Z1049" s="107"/>
      <c r="AA1049" s="107"/>
      <c r="AB1049" s="107"/>
      <c r="AC1049" s="355"/>
      <c r="AD1049" s="355"/>
      <c r="AE1049" s="355"/>
      <c r="AF1049" s="94">
        <f t="shared" si="146"/>
        <v>42886</v>
      </c>
      <c r="AG1049" s="185">
        <f t="shared" si="150"/>
        <v>8.1126950496097638E-3</v>
      </c>
      <c r="AH1049" s="339" t="str">
        <f>VLOOKUP(B1049,'MF PF'!A:B,2)</f>
        <v>FdMgt1</v>
      </c>
      <c r="AI1049" s="358">
        <f t="shared" si="147"/>
        <v>0</v>
      </c>
      <c r="AJ1049" s="94">
        <f t="shared" si="148"/>
        <v>42886</v>
      </c>
    </row>
    <row r="1050" spans="1:36" ht="12.75" customHeight="1">
      <c r="A1050" s="8">
        <v>42916</v>
      </c>
      <c r="B1050" s="94" t="s">
        <v>136</v>
      </c>
      <c r="C1050" s="6" t="s">
        <v>309</v>
      </c>
      <c r="D1050" s="374">
        <v>8635086.4000000004</v>
      </c>
      <c r="E1050" s="9" t="e">
        <f t="shared" si="143"/>
        <v>#DIV/0!</v>
      </c>
      <c r="F1050" s="98">
        <v>6.77</v>
      </c>
      <c r="G1050" s="98">
        <v>0</v>
      </c>
      <c r="H1050" s="98">
        <v>0</v>
      </c>
      <c r="I1050" s="98">
        <v>0</v>
      </c>
      <c r="J1050" s="98"/>
      <c r="K1050" s="93"/>
      <c r="L1050" s="93">
        <f t="shared" si="144"/>
        <v>0</v>
      </c>
      <c r="M1050" s="95" t="e">
        <f t="shared" ca="1" si="145"/>
        <v>#DIV/0!</v>
      </c>
      <c r="N1050" s="95">
        <f>IF(P1050="Hedge Fund",IF(A1050=Summary!$AD$3,M1050-E1050,M1050),IF(A1050=Summary!$AD$3,L1050-D1050,L1050))</f>
        <v>0</v>
      </c>
      <c r="O1050" s="95">
        <f t="shared" si="149"/>
        <v>0</v>
      </c>
      <c r="P1050" s="107" t="s">
        <v>155</v>
      </c>
      <c r="Q1050" s="107">
        <v>0</v>
      </c>
      <c r="R1050" s="107">
        <v>0</v>
      </c>
      <c r="S1050" s="107">
        <v>0</v>
      </c>
      <c r="T1050" s="107">
        <v>0</v>
      </c>
      <c r="U1050" s="107"/>
      <c r="V1050" s="107"/>
      <c r="W1050" s="107"/>
      <c r="X1050" s="107"/>
      <c r="Y1050" s="107"/>
      <c r="Z1050" s="107"/>
      <c r="AA1050" s="107"/>
      <c r="AB1050" s="107"/>
      <c r="AC1050" s="355"/>
      <c r="AD1050" s="355"/>
      <c r="AE1050" s="355"/>
      <c r="AF1050" s="94">
        <f t="shared" si="146"/>
        <v>42916</v>
      </c>
      <c r="AG1050" s="185">
        <f t="shared" si="150"/>
        <v>9.4891144201265654E-3</v>
      </c>
      <c r="AH1050" s="339" t="str">
        <f>VLOOKUP(B1050,'MF PF'!A:B,2)</f>
        <v>FdMgt1</v>
      </c>
      <c r="AI1050" s="358">
        <f t="shared" si="147"/>
        <v>0</v>
      </c>
      <c r="AJ1050" s="94">
        <f t="shared" si="148"/>
        <v>42916</v>
      </c>
    </row>
    <row r="1051" spans="1:36" ht="12.75" customHeight="1">
      <c r="A1051" s="94">
        <v>42947</v>
      </c>
      <c r="B1051" s="94" t="s">
        <v>136</v>
      </c>
      <c r="C1051" s="92" t="s">
        <v>309</v>
      </c>
      <c r="D1051" s="374">
        <v>8787317.1899999995</v>
      </c>
      <c r="E1051" s="9" t="e">
        <f t="shared" si="143"/>
        <v>#DIV/0!</v>
      </c>
      <c r="F1051" s="98">
        <v>6.77</v>
      </c>
      <c r="G1051" s="98">
        <v>0</v>
      </c>
      <c r="H1051" s="98">
        <v>0</v>
      </c>
      <c r="I1051" s="98">
        <v>0</v>
      </c>
      <c r="J1051" s="98"/>
      <c r="K1051" s="93"/>
      <c r="L1051" s="93">
        <f t="shared" si="144"/>
        <v>0</v>
      </c>
      <c r="M1051" s="95" t="e">
        <f t="shared" ca="1" si="145"/>
        <v>#DIV/0!</v>
      </c>
      <c r="N1051" s="95">
        <f>IF(P1051="Hedge Fund",IF(A1051=Summary!$AD$3,M1051-E1051,M1051),IF(A1051=Summary!$AD$3,L1051-D1051,L1051))</f>
        <v>0</v>
      </c>
      <c r="O1051" s="95">
        <f t="shared" si="149"/>
        <v>0</v>
      </c>
      <c r="P1051" s="107" t="s">
        <v>155</v>
      </c>
      <c r="Q1051" s="107">
        <v>0</v>
      </c>
      <c r="R1051" s="107">
        <v>0</v>
      </c>
      <c r="S1051" s="107">
        <v>0</v>
      </c>
      <c r="T1051" s="107">
        <v>0</v>
      </c>
      <c r="U1051" s="107"/>
      <c r="V1051" s="107"/>
      <c r="W1051" s="107"/>
      <c r="X1051" s="107"/>
      <c r="Y1051" s="107"/>
      <c r="Z1051" s="107"/>
      <c r="AA1051" s="107"/>
      <c r="AB1051" s="107"/>
      <c r="AC1051" s="355"/>
      <c r="AD1051" s="355"/>
      <c r="AE1051" s="355"/>
      <c r="AF1051" s="94">
        <f t="shared" si="146"/>
        <v>42947</v>
      </c>
      <c r="AG1051" s="185">
        <f t="shared" si="150"/>
        <v>1.7629330263562837E-2</v>
      </c>
      <c r="AH1051" s="339" t="str">
        <f>VLOOKUP(B1051,'MF PF'!A:B,2)</f>
        <v>FdMgt1</v>
      </c>
      <c r="AI1051" s="358">
        <f t="shared" si="147"/>
        <v>0</v>
      </c>
      <c r="AJ1051" s="94">
        <f t="shared" si="148"/>
        <v>42947</v>
      </c>
    </row>
    <row r="1052" spans="1:36" ht="12.75" customHeight="1">
      <c r="A1052" s="8">
        <v>42978</v>
      </c>
      <c r="B1052" s="8" t="s">
        <v>136</v>
      </c>
      <c r="C1052" s="6" t="s">
        <v>309</v>
      </c>
      <c r="D1052" s="374">
        <v>8836200</v>
      </c>
      <c r="E1052" s="9" t="e">
        <f t="shared" si="143"/>
        <v>#DIV/0!</v>
      </c>
      <c r="F1052" s="47">
        <v>6.77</v>
      </c>
      <c r="G1052" s="47">
        <v>0</v>
      </c>
      <c r="H1052" s="47">
        <v>0</v>
      </c>
      <c r="I1052" s="47">
        <v>0</v>
      </c>
      <c r="J1052" s="98"/>
      <c r="K1052" s="93"/>
      <c r="L1052" s="93">
        <f t="shared" si="144"/>
        <v>0</v>
      </c>
      <c r="M1052" s="95" t="e">
        <f t="shared" ca="1" si="145"/>
        <v>#DIV/0!</v>
      </c>
      <c r="N1052" s="95">
        <f>IF(P1052="Hedge Fund",IF(A1052=Summary!$AD$3,M1052-E1052,M1052),IF(A1052=Summary!$AD$3,L1052-D1052,L1052))</f>
        <v>0</v>
      </c>
      <c r="O1052" s="95">
        <f t="shared" si="149"/>
        <v>0</v>
      </c>
      <c r="P1052" s="89" t="s">
        <v>155</v>
      </c>
      <c r="Q1052" s="89">
        <v>0</v>
      </c>
      <c r="R1052" s="89">
        <v>0</v>
      </c>
      <c r="S1052" s="89">
        <v>0</v>
      </c>
      <c r="T1052" s="89">
        <v>0</v>
      </c>
      <c r="U1052" s="89"/>
      <c r="V1052" s="89"/>
      <c r="W1052" s="89"/>
      <c r="X1052" s="89"/>
      <c r="Y1052" s="89"/>
      <c r="Z1052" s="89"/>
      <c r="AA1052" s="89"/>
      <c r="AB1052" s="89"/>
      <c r="AC1052" s="355"/>
      <c r="AD1052" s="355"/>
      <c r="AE1052" s="355"/>
      <c r="AF1052" s="94">
        <f t="shared" si="146"/>
        <v>42978</v>
      </c>
      <c r="AG1052" s="185">
        <f t="shared" si="150"/>
        <v>5.5628821565276709E-3</v>
      </c>
      <c r="AH1052" s="339" t="str">
        <f>VLOOKUP(B1052,'MF PF'!A:B,2)</f>
        <v>FdMgt1</v>
      </c>
      <c r="AI1052" s="358">
        <f t="shared" si="147"/>
        <v>0</v>
      </c>
      <c r="AJ1052" s="94">
        <f t="shared" si="148"/>
        <v>42978</v>
      </c>
    </row>
    <row r="1053" spans="1:36" ht="12.75" customHeight="1">
      <c r="A1053" s="8">
        <v>43007</v>
      </c>
      <c r="B1053" s="8" t="s">
        <v>136</v>
      </c>
      <c r="C1053" s="6" t="s">
        <v>309</v>
      </c>
      <c r="D1053" s="374">
        <v>8822200.01278718</v>
      </c>
      <c r="E1053" s="9" t="e">
        <f t="shared" si="143"/>
        <v>#DIV/0!</v>
      </c>
      <c r="F1053" s="47">
        <v>6.77</v>
      </c>
      <c r="G1053" s="47">
        <v>0</v>
      </c>
      <c r="H1053" s="47">
        <v>0</v>
      </c>
      <c r="I1053" s="47">
        <v>0</v>
      </c>
      <c r="J1053" s="98"/>
      <c r="K1053" s="93"/>
      <c r="L1053" s="93">
        <f t="shared" si="144"/>
        <v>0</v>
      </c>
      <c r="M1053" s="95" t="e">
        <f t="shared" ca="1" si="145"/>
        <v>#DIV/0!</v>
      </c>
      <c r="N1053" s="95">
        <f>IF(P1053="Hedge Fund",IF(A1053=Summary!$AD$3,M1053-E1053,M1053),IF(A1053=Summary!$AD$3,L1053-D1053,L1053))</f>
        <v>0</v>
      </c>
      <c r="O1053" s="95">
        <f t="shared" si="149"/>
        <v>0</v>
      </c>
      <c r="P1053" s="89" t="s">
        <v>155</v>
      </c>
      <c r="Q1053" s="89">
        <v>0</v>
      </c>
      <c r="R1053" s="89">
        <v>0</v>
      </c>
      <c r="S1053" s="89">
        <v>0</v>
      </c>
      <c r="T1053" s="89">
        <v>0</v>
      </c>
      <c r="U1053" s="89"/>
      <c r="V1053" s="89"/>
      <c r="W1053" s="89"/>
      <c r="X1053" s="89"/>
      <c r="Y1053" s="89"/>
      <c r="Z1053" s="89"/>
      <c r="AA1053" s="89"/>
      <c r="AB1053" s="89"/>
      <c r="AC1053" s="355"/>
      <c r="AD1053" s="355"/>
      <c r="AE1053" s="355"/>
      <c r="AF1053" s="94">
        <f t="shared" si="146"/>
        <v>43007</v>
      </c>
      <c r="AG1053" s="185">
        <f t="shared" si="150"/>
        <v>-1.5843900333649685E-3</v>
      </c>
      <c r="AH1053" s="339" t="str">
        <f>VLOOKUP(B1053,'MF PF'!A:B,2)</f>
        <v>FdMgt1</v>
      </c>
      <c r="AI1053" s="358">
        <f t="shared" si="147"/>
        <v>0</v>
      </c>
      <c r="AJ1053" s="94">
        <f t="shared" si="148"/>
        <v>43008</v>
      </c>
    </row>
    <row r="1054" spans="1:36" ht="12.75" customHeight="1">
      <c r="A1054" s="8">
        <v>43039</v>
      </c>
      <c r="B1054" s="8" t="s">
        <v>136</v>
      </c>
      <c r="C1054" s="6" t="s">
        <v>309</v>
      </c>
      <c r="D1054" s="374">
        <v>8863100</v>
      </c>
      <c r="E1054" s="9" t="e">
        <f t="shared" si="143"/>
        <v>#DIV/0!</v>
      </c>
      <c r="F1054" s="47">
        <v>6.77</v>
      </c>
      <c r="G1054" s="47">
        <v>0</v>
      </c>
      <c r="H1054" s="47">
        <v>0</v>
      </c>
      <c r="I1054" s="47">
        <v>0</v>
      </c>
      <c r="J1054" s="98"/>
      <c r="K1054" s="93"/>
      <c r="L1054" s="93">
        <f t="shared" si="144"/>
        <v>0</v>
      </c>
      <c r="M1054" s="95" t="e">
        <f t="shared" ca="1" si="145"/>
        <v>#DIV/0!</v>
      </c>
      <c r="N1054" s="95">
        <f>IF(P1054="Hedge Fund",IF(A1054=Summary!$AD$3,M1054-E1054,M1054),IF(A1054=Summary!$AD$3,L1054-D1054,L1054))</f>
        <v>0</v>
      </c>
      <c r="O1054" s="95">
        <f t="shared" si="149"/>
        <v>0</v>
      </c>
      <c r="P1054" s="89" t="s">
        <v>155</v>
      </c>
      <c r="Q1054" s="107">
        <v>0</v>
      </c>
      <c r="R1054" s="107">
        <v>0</v>
      </c>
      <c r="S1054" s="89">
        <v>0</v>
      </c>
      <c r="T1054" s="89">
        <v>0</v>
      </c>
      <c r="U1054" s="89"/>
      <c r="V1054" s="89"/>
      <c r="W1054" s="89"/>
      <c r="X1054" s="89"/>
      <c r="Y1054" s="89"/>
      <c r="Z1054" s="89"/>
      <c r="AA1054" s="89"/>
      <c r="AB1054" s="89"/>
      <c r="AC1054" s="355"/>
      <c r="AD1054" s="355"/>
      <c r="AE1054" s="355"/>
      <c r="AF1054" s="94">
        <f t="shared" si="146"/>
        <v>43039</v>
      </c>
      <c r="AG1054" s="185">
        <f t="shared" si="150"/>
        <v>4.6360303726438179E-3</v>
      </c>
      <c r="AH1054" s="339" t="str">
        <f>VLOOKUP(B1054,'MF PF'!A:B,2)</f>
        <v>FdMgt1</v>
      </c>
      <c r="AI1054" s="358">
        <f t="shared" si="147"/>
        <v>0</v>
      </c>
      <c r="AJ1054" s="94">
        <f t="shared" si="148"/>
        <v>43039</v>
      </c>
    </row>
    <row r="1055" spans="1:36" ht="12.75" customHeight="1">
      <c r="A1055" s="94">
        <v>43069</v>
      </c>
      <c r="B1055" s="8" t="s">
        <v>136</v>
      </c>
      <c r="C1055" s="358" t="s">
        <v>309</v>
      </c>
      <c r="D1055" s="374">
        <v>8906300</v>
      </c>
      <c r="E1055" s="9" t="e">
        <f t="shared" si="143"/>
        <v>#DIV/0!</v>
      </c>
      <c r="F1055" s="47">
        <v>6.77</v>
      </c>
      <c r="G1055" s="47">
        <v>0</v>
      </c>
      <c r="H1055" s="47">
        <v>0</v>
      </c>
      <c r="I1055" s="47">
        <v>0</v>
      </c>
      <c r="J1055" s="98"/>
      <c r="K1055" s="93"/>
      <c r="L1055" s="93">
        <f t="shared" si="144"/>
        <v>0</v>
      </c>
      <c r="M1055" s="95" t="e">
        <f t="shared" ca="1" si="145"/>
        <v>#DIV/0!</v>
      </c>
      <c r="N1055" s="95">
        <f>IF(P1055="Hedge Fund",IF(A1055=Summary!$AD$3,M1055-E1055,M1055),IF(A1055=Summary!$AD$3,L1055-D1055,L1055))</f>
        <v>0</v>
      </c>
      <c r="O1055" s="95">
        <f t="shared" si="149"/>
        <v>0</v>
      </c>
      <c r="P1055" s="89" t="s">
        <v>155</v>
      </c>
      <c r="Q1055" s="107">
        <v>0</v>
      </c>
      <c r="R1055" s="107">
        <v>0</v>
      </c>
      <c r="S1055" s="89">
        <v>0</v>
      </c>
      <c r="T1055" s="89">
        <v>0</v>
      </c>
      <c r="U1055" s="89"/>
      <c r="V1055" s="89"/>
      <c r="W1055" s="89"/>
      <c r="X1055" s="89"/>
      <c r="Y1055" s="89"/>
      <c r="Z1055" s="89"/>
      <c r="AA1055" s="89"/>
      <c r="AB1055" s="89"/>
      <c r="AC1055" s="355"/>
      <c r="AD1055" s="355"/>
      <c r="AE1055" s="355"/>
      <c r="AF1055" s="94">
        <f t="shared" si="146"/>
        <v>43069</v>
      </c>
      <c r="AG1055" s="185">
        <f t="shared" si="150"/>
        <v>4.8741411018717873E-3</v>
      </c>
      <c r="AH1055" s="339" t="str">
        <f>VLOOKUP(B1055,'MF PF'!A:B,2)</f>
        <v>FdMgt1</v>
      </c>
      <c r="AI1055" s="358">
        <f t="shared" si="147"/>
        <v>0</v>
      </c>
      <c r="AJ1055" s="94">
        <f t="shared" si="148"/>
        <v>43069</v>
      </c>
    </row>
    <row r="1056" spans="1:36" ht="12.75" customHeight="1">
      <c r="A1056" s="94">
        <v>43098</v>
      </c>
      <c r="B1056" s="94" t="s">
        <v>136</v>
      </c>
      <c r="C1056" s="358" t="s">
        <v>309</v>
      </c>
      <c r="D1056" s="374">
        <v>9385600</v>
      </c>
      <c r="E1056" s="9" t="e">
        <f t="shared" si="143"/>
        <v>#DIV/0!</v>
      </c>
      <c r="F1056" s="47">
        <v>6.77</v>
      </c>
      <c r="G1056" s="47">
        <v>0</v>
      </c>
      <c r="H1056" s="47">
        <v>0</v>
      </c>
      <c r="I1056" s="98">
        <v>0</v>
      </c>
      <c r="J1056" s="98"/>
      <c r="L1056" s="93">
        <f t="shared" si="144"/>
        <v>0</v>
      </c>
      <c r="M1056" s="95" t="e">
        <f t="shared" ca="1" si="145"/>
        <v>#DIV/0!</v>
      </c>
      <c r="N1056" s="95">
        <f>IF(P1056="Hedge Fund",IF(A1056=Summary!$AD$3,M1056-E1056,M1056),IF(A1056=Summary!$AD$3,L1056-D1056,L1056))</f>
        <v>0</v>
      </c>
      <c r="O1056" s="95">
        <f t="shared" si="149"/>
        <v>0</v>
      </c>
      <c r="P1056" s="89" t="s">
        <v>155</v>
      </c>
      <c r="Q1056" s="89">
        <v>0</v>
      </c>
      <c r="R1056" s="107">
        <v>0</v>
      </c>
      <c r="S1056" s="89">
        <v>0</v>
      </c>
      <c r="T1056" s="89">
        <v>0</v>
      </c>
      <c r="U1056" s="89"/>
      <c r="V1056" s="89"/>
      <c r="W1056" s="89"/>
      <c r="X1056" s="89"/>
      <c r="Y1056" s="89"/>
      <c r="Z1056" s="89"/>
      <c r="AA1056" s="89"/>
      <c r="AB1056" s="89"/>
      <c r="AC1056" s="355"/>
      <c r="AD1056" s="355"/>
      <c r="AE1056" s="355"/>
      <c r="AF1056" s="94">
        <f t="shared" si="146"/>
        <v>43098</v>
      </c>
      <c r="AG1056" s="185">
        <f t="shared" si="150"/>
        <v>5.3815838226873192E-2</v>
      </c>
      <c r="AH1056" s="339" t="str">
        <f>VLOOKUP(B1056,'MF PF'!A:B,2)</f>
        <v>FdMgt1</v>
      </c>
      <c r="AI1056" s="358">
        <f t="shared" si="147"/>
        <v>0</v>
      </c>
      <c r="AJ1056" s="94">
        <f t="shared" si="148"/>
        <v>43100</v>
      </c>
    </row>
    <row r="1057" spans="1:36" ht="12.75" customHeight="1">
      <c r="A1057" s="94">
        <v>43131</v>
      </c>
      <c r="B1057" s="94" t="s">
        <v>136</v>
      </c>
      <c r="C1057" s="358" t="s">
        <v>309</v>
      </c>
      <c r="D1057" s="374">
        <v>9519300</v>
      </c>
      <c r="E1057" s="9" t="e">
        <f t="shared" si="143"/>
        <v>#DIV/0!</v>
      </c>
      <c r="F1057" s="47">
        <v>6.77</v>
      </c>
      <c r="G1057" s="47">
        <v>0</v>
      </c>
      <c r="H1057" s="47">
        <v>0</v>
      </c>
      <c r="I1057" s="98">
        <v>0</v>
      </c>
      <c r="J1057" s="98"/>
      <c r="L1057" s="93">
        <f t="shared" si="144"/>
        <v>0</v>
      </c>
      <c r="M1057" s="95" t="e">
        <f t="shared" ca="1" si="145"/>
        <v>#DIV/0!</v>
      </c>
      <c r="N1057" s="95">
        <f>IF(P1057="Hedge Fund",IF(A1057=Summary!$AD$3,M1057-E1057,M1057),IF(A1057=Summary!$AD$3,L1057-D1057,L1057))</f>
        <v>0</v>
      </c>
      <c r="O1057" s="95">
        <f t="shared" si="149"/>
        <v>0</v>
      </c>
      <c r="P1057" s="89" t="s">
        <v>155</v>
      </c>
      <c r="Q1057" s="89">
        <v>0</v>
      </c>
      <c r="R1057" s="107">
        <v>0</v>
      </c>
      <c r="S1057" s="89">
        <v>0</v>
      </c>
      <c r="T1057" s="89">
        <v>0</v>
      </c>
      <c r="U1057" s="89"/>
      <c r="V1057" s="89"/>
      <c r="W1057" s="89"/>
      <c r="X1057" s="89"/>
      <c r="Y1057" s="89"/>
      <c r="Z1057" s="89"/>
      <c r="AA1057" s="89"/>
      <c r="AB1057" s="89"/>
      <c r="AC1057" s="355"/>
      <c r="AD1057" s="355"/>
      <c r="AE1057" s="355"/>
      <c r="AF1057" s="94">
        <f t="shared" si="146"/>
        <v>43131</v>
      </c>
      <c r="AG1057" s="185">
        <f t="shared" si="150"/>
        <v>1.4245226730310367E-2</v>
      </c>
      <c r="AH1057" s="339" t="str">
        <f>VLOOKUP(B1057,'MF PF'!A:B,2)</f>
        <v>FdMgt1</v>
      </c>
      <c r="AI1057" s="358">
        <f t="shared" si="147"/>
        <v>0</v>
      </c>
      <c r="AJ1057" s="94">
        <f t="shared" si="148"/>
        <v>43131</v>
      </c>
    </row>
    <row r="1058" spans="1:36" s="92" customFormat="1" ht="12.75" customHeight="1">
      <c r="A1058" s="94">
        <v>43159</v>
      </c>
      <c r="B1058" s="94" t="s">
        <v>136</v>
      </c>
      <c r="C1058" s="358" t="s">
        <v>309</v>
      </c>
      <c r="D1058" s="374">
        <v>9629991.9100000001</v>
      </c>
      <c r="E1058" s="95" t="e">
        <f t="shared" si="143"/>
        <v>#DIV/0!</v>
      </c>
      <c r="F1058" s="98">
        <v>6.77</v>
      </c>
      <c r="G1058" s="98">
        <v>0</v>
      </c>
      <c r="H1058" s="98">
        <v>0</v>
      </c>
      <c r="I1058" s="98">
        <v>0</v>
      </c>
      <c r="J1058" s="98"/>
      <c r="K1058" s="93"/>
      <c r="L1058" s="93">
        <f t="shared" si="144"/>
        <v>0</v>
      </c>
      <c r="M1058" s="95" t="e">
        <f t="shared" ca="1" si="145"/>
        <v>#DIV/0!</v>
      </c>
      <c r="N1058" s="95">
        <f>IF(P1058="Hedge Fund",IF(A1058=Summary!$AD$3,M1058-E1058,M1058),IF(A1058=Summary!$AD$3,L1058-D1058,L1058))</f>
        <v>0</v>
      </c>
      <c r="O1058" s="95">
        <f t="shared" si="149"/>
        <v>0</v>
      </c>
      <c r="P1058" s="107" t="s">
        <v>155</v>
      </c>
      <c r="Q1058" s="107">
        <v>0</v>
      </c>
      <c r="R1058" s="107">
        <v>0</v>
      </c>
      <c r="S1058" s="107">
        <v>0</v>
      </c>
      <c r="T1058" s="107">
        <v>0</v>
      </c>
      <c r="U1058" s="107"/>
      <c r="V1058" s="107"/>
      <c r="W1058" s="107"/>
      <c r="X1058" s="107"/>
      <c r="Y1058" s="107"/>
      <c r="Z1058" s="107"/>
      <c r="AA1058" s="107"/>
      <c r="AB1058" s="107"/>
      <c r="AC1058" s="355"/>
      <c r="AD1058" s="355"/>
      <c r="AE1058" s="355"/>
      <c r="AF1058" s="94">
        <f t="shared" si="146"/>
        <v>43159</v>
      </c>
      <c r="AG1058" s="185">
        <f t="shared" si="150"/>
        <v>1.1628156482094365E-2</v>
      </c>
      <c r="AH1058" s="339" t="str">
        <f>VLOOKUP(B1058,'MF PF'!A:B,2)</f>
        <v>FdMgt1</v>
      </c>
      <c r="AI1058" s="358">
        <f t="shared" si="147"/>
        <v>0</v>
      </c>
      <c r="AJ1058" s="94">
        <f t="shared" si="148"/>
        <v>43159</v>
      </c>
    </row>
    <row r="1059" spans="1:36" ht="12.75" customHeight="1">
      <c r="A1059" s="94">
        <v>43188</v>
      </c>
      <c r="B1059" s="8" t="s">
        <v>136</v>
      </c>
      <c r="C1059" s="358" t="s">
        <v>309</v>
      </c>
      <c r="D1059" s="374">
        <v>9765815.4600000009</v>
      </c>
      <c r="E1059" s="9" t="e">
        <f t="shared" si="143"/>
        <v>#DIV/0!</v>
      </c>
      <c r="F1059" s="47">
        <v>6.77</v>
      </c>
      <c r="G1059" s="47">
        <v>0</v>
      </c>
      <c r="H1059" s="47">
        <v>0</v>
      </c>
      <c r="I1059" s="47">
        <v>0</v>
      </c>
      <c r="J1059" s="98"/>
      <c r="L1059" s="93">
        <f t="shared" si="144"/>
        <v>0</v>
      </c>
      <c r="M1059" s="95" t="e">
        <f t="shared" ca="1" si="145"/>
        <v>#DIV/0!</v>
      </c>
      <c r="N1059" s="95">
        <f>IF(P1059="Hedge Fund",IF(A1059=Summary!$AD$3,M1059-E1059,M1059),IF(A1059=Summary!$AD$3,L1059-D1059,L1059))</f>
        <v>0</v>
      </c>
      <c r="O1059" s="95">
        <f t="shared" si="149"/>
        <v>0</v>
      </c>
      <c r="P1059" s="89" t="s">
        <v>155</v>
      </c>
      <c r="Q1059" s="109">
        <v>0</v>
      </c>
      <c r="R1059" s="109">
        <v>0</v>
      </c>
      <c r="S1059" s="89">
        <v>0</v>
      </c>
      <c r="T1059" s="89">
        <v>0</v>
      </c>
      <c r="U1059" s="89"/>
      <c r="V1059" s="89"/>
      <c r="W1059" s="89"/>
      <c r="X1059" s="89"/>
      <c r="Y1059" s="89"/>
      <c r="Z1059" s="89"/>
      <c r="AA1059" s="89"/>
      <c r="AB1059" s="89"/>
      <c r="AC1059" s="355"/>
      <c r="AD1059" s="355"/>
      <c r="AE1059" s="355"/>
      <c r="AF1059" s="94">
        <f t="shared" si="146"/>
        <v>43188</v>
      </c>
      <c r="AG1059" s="185">
        <f t="shared" si="150"/>
        <v>1.4104222648303466E-2</v>
      </c>
      <c r="AH1059" s="339" t="str">
        <f>VLOOKUP(B1059,'MF PF'!A:B,2)</f>
        <v>FdMgt1</v>
      </c>
      <c r="AI1059" s="358">
        <f t="shared" si="147"/>
        <v>0</v>
      </c>
      <c r="AJ1059" s="94">
        <f t="shared" si="148"/>
        <v>43190</v>
      </c>
    </row>
    <row r="1060" spans="1:36" ht="12.75" customHeight="1">
      <c r="A1060" s="8">
        <v>43220</v>
      </c>
      <c r="B1060" s="8" t="s">
        <v>136</v>
      </c>
      <c r="C1060" s="6" t="s">
        <v>309</v>
      </c>
      <c r="D1060" s="374">
        <v>9837125.0299999993</v>
      </c>
      <c r="E1060" s="9" t="e">
        <f t="shared" si="143"/>
        <v>#DIV/0!</v>
      </c>
      <c r="F1060" s="47">
        <v>6.77</v>
      </c>
      <c r="G1060" s="47">
        <v>0</v>
      </c>
      <c r="H1060" s="47">
        <v>0</v>
      </c>
      <c r="I1060" s="47">
        <v>0</v>
      </c>
      <c r="J1060" s="98"/>
      <c r="L1060" s="93">
        <f t="shared" si="144"/>
        <v>0</v>
      </c>
      <c r="M1060" s="95" t="e">
        <f t="shared" ca="1" si="145"/>
        <v>#DIV/0!</v>
      </c>
      <c r="N1060" s="95">
        <f>IF(P1060="Hedge Fund",IF(A1060=Summary!$AD$3,M1060-E1060,M1060),IF(A1060=Summary!$AD$3,L1060-D1060,L1060))</f>
        <v>0</v>
      </c>
      <c r="O1060" s="95">
        <f t="shared" si="149"/>
        <v>0</v>
      </c>
      <c r="P1060" s="89" t="s">
        <v>155</v>
      </c>
      <c r="Q1060" s="109">
        <v>0</v>
      </c>
      <c r="R1060" s="109">
        <v>0</v>
      </c>
      <c r="S1060" s="89">
        <v>0</v>
      </c>
      <c r="T1060" s="89">
        <v>0</v>
      </c>
      <c r="U1060" s="89"/>
      <c r="V1060" s="89"/>
      <c r="W1060" s="89"/>
      <c r="X1060" s="89"/>
      <c r="Y1060" s="89"/>
      <c r="Z1060" s="89"/>
      <c r="AA1060" s="89"/>
      <c r="AB1060" s="89"/>
      <c r="AC1060" s="355"/>
      <c r="AD1060" s="355"/>
      <c r="AE1060" s="355"/>
      <c r="AF1060" s="94">
        <f t="shared" si="146"/>
        <v>43220</v>
      </c>
      <c r="AG1060" s="185">
        <f t="shared" si="150"/>
        <v>7.3019575571622308E-3</v>
      </c>
      <c r="AH1060" s="339" t="str">
        <f>VLOOKUP(B1060,'MF PF'!A:B,2)</f>
        <v>FdMgt1</v>
      </c>
      <c r="AI1060" s="358">
        <f t="shared" si="147"/>
        <v>0</v>
      </c>
      <c r="AJ1060" s="94">
        <f t="shared" si="148"/>
        <v>43220</v>
      </c>
    </row>
    <row r="1061" spans="1:36" ht="12.75" customHeight="1">
      <c r="A1061" s="8">
        <v>43251</v>
      </c>
      <c r="B1061" s="358" t="s">
        <v>136</v>
      </c>
      <c r="C1061" s="94" t="s">
        <v>309</v>
      </c>
      <c r="D1061" s="374">
        <v>9916416.4800000004</v>
      </c>
      <c r="E1061" s="9" t="e">
        <f t="shared" si="143"/>
        <v>#DIV/0!</v>
      </c>
      <c r="F1061" s="47">
        <v>6.77</v>
      </c>
      <c r="G1061" s="47">
        <v>0</v>
      </c>
      <c r="H1061" s="47">
        <v>0</v>
      </c>
      <c r="I1061" s="110">
        <v>0</v>
      </c>
      <c r="J1061" s="110"/>
      <c r="L1061" s="93">
        <f t="shared" si="144"/>
        <v>0</v>
      </c>
      <c r="M1061" s="95" t="e">
        <f t="shared" ca="1" si="145"/>
        <v>#DIV/0!</v>
      </c>
      <c r="N1061" s="95">
        <f>IF(P1061="Hedge Fund",IF(A1061=Summary!$AD$3,M1061-E1061,M1061),IF(A1061=Summary!$AD$3,L1061-D1061,L1061))</f>
        <v>0</v>
      </c>
      <c r="O1061" s="95">
        <f t="shared" si="149"/>
        <v>0</v>
      </c>
      <c r="P1061" s="89" t="s">
        <v>155</v>
      </c>
      <c r="Q1061" s="109">
        <v>0</v>
      </c>
      <c r="R1061" s="107">
        <v>0</v>
      </c>
      <c r="S1061" s="89">
        <v>0</v>
      </c>
      <c r="T1061" s="89">
        <v>0</v>
      </c>
      <c r="U1061" s="89"/>
      <c r="V1061" s="89"/>
      <c r="W1061" s="89"/>
      <c r="X1061" s="89"/>
      <c r="Y1061" s="89"/>
      <c r="Z1061" s="89"/>
      <c r="AA1061" s="89"/>
      <c r="AB1061" s="89"/>
      <c r="AC1061" s="355"/>
      <c r="AD1061" s="355"/>
      <c r="AE1061" s="355"/>
      <c r="AF1061" s="94">
        <f t="shared" si="146"/>
        <v>43251</v>
      </c>
      <c r="AG1061" s="185">
        <f t="shared" si="150"/>
        <v>8.060429216685483E-3</v>
      </c>
      <c r="AH1061" s="339" t="str">
        <f>VLOOKUP(B1061,'MF PF'!A:B,2)</f>
        <v>FdMgt1</v>
      </c>
      <c r="AI1061" s="358">
        <f t="shared" si="147"/>
        <v>0</v>
      </c>
      <c r="AJ1061" s="94">
        <f t="shared" si="148"/>
        <v>43251</v>
      </c>
    </row>
    <row r="1062" spans="1:36" ht="12.75" customHeight="1">
      <c r="A1062" s="8">
        <v>43280</v>
      </c>
      <c r="B1062" s="358" t="s">
        <v>136</v>
      </c>
      <c r="C1062" s="94" t="s">
        <v>309</v>
      </c>
      <c r="D1062" s="374">
        <v>10017799.789999999</v>
      </c>
      <c r="E1062" s="9" t="e">
        <f t="shared" si="143"/>
        <v>#DIV/0!</v>
      </c>
      <c r="F1062" s="47">
        <v>6.77</v>
      </c>
      <c r="G1062" s="47">
        <v>0</v>
      </c>
      <c r="H1062" s="47">
        <v>0</v>
      </c>
      <c r="I1062" s="110">
        <v>0</v>
      </c>
      <c r="J1062" s="110"/>
      <c r="K1062" s="93"/>
      <c r="L1062" s="93">
        <f t="shared" si="144"/>
        <v>0</v>
      </c>
      <c r="M1062" s="95" t="e">
        <f t="shared" ca="1" si="145"/>
        <v>#DIV/0!</v>
      </c>
      <c r="N1062" s="95">
        <f>IF(P1062="Hedge Fund",IF(A1062=Summary!$AD$3,M1062-E1062,M1062),IF(A1062=Summary!$AD$3,L1062-D1062,L1062))</f>
        <v>0</v>
      </c>
      <c r="O1062" s="95">
        <f t="shared" si="149"/>
        <v>0</v>
      </c>
      <c r="P1062" s="89" t="s">
        <v>155</v>
      </c>
      <c r="Q1062" s="109">
        <v>0</v>
      </c>
      <c r="R1062" s="107">
        <v>0</v>
      </c>
      <c r="S1062" s="89">
        <v>0</v>
      </c>
      <c r="T1062" s="89">
        <v>0</v>
      </c>
      <c r="U1062" s="89"/>
      <c r="V1062" s="89"/>
      <c r="W1062" s="89"/>
      <c r="X1062" s="89"/>
      <c r="Y1062" s="89"/>
      <c r="Z1062" s="89"/>
      <c r="AA1062" s="89"/>
      <c r="AB1062" s="89"/>
      <c r="AC1062" s="355"/>
      <c r="AD1062" s="355"/>
      <c r="AE1062" s="355"/>
      <c r="AF1062" s="94">
        <f t="shared" si="146"/>
        <v>43280</v>
      </c>
      <c r="AG1062" s="185">
        <f t="shared" si="150"/>
        <v>1.0223784993749874E-2</v>
      </c>
      <c r="AH1062" s="339" t="str">
        <f>VLOOKUP(B1062,'MF PF'!A:B,2)</f>
        <v>FdMgt1</v>
      </c>
      <c r="AI1062" s="358">
        <f t="shared" si="147"/>
        <v>0</v>
      </c>
      <c r="AJ1062" s="94">
        <f t="shared" si="148"/>
        <v>43281</v>
      </c>
    </row>
    <row r="1063" spans="1:36" ht="12.75" customHeight="1">
      <c r="A1063" s="8">
        <v>43312</v>
      </c>
      <c r="B1063" s="358" t="s">
        <v>136</v>
      </c>
      <c r="C1063" s="94" t="s">
        <v>309</v>
      </c>
      <c r="D1063" s="374">
        <v>9965116.4167347848</v>
      </c>
      <c r="E1063" s="9" t="str">
        <f>IF(K1063="","",D1063/K1063)</f>
        <v/>
      </c>
      <c r="F1063" s="47">
        <v>6.77</v>
      </c>
      <c r="G1063" s="47">
        <v>0</v>
      </c>
      <c r="H1063" s="47">
        <v>0</v>
      </c>
      <c r="I1063" s="98">
        <v>0</v>
      </c>
      <c r="J1063" s="98"/>
      <c r="K1063" s="93"/>
      <c r="L1063" s="93">
        <f t="shared" si="144"/>
        <v>0</v>
      </c>
      <c r="M1063" s="95" t="e">
        <f t="shared" ca="1" si="145"/>
        <v>#DIV/0!</v>
      </c>
      <c r="N1063" s="95">
        <f>IF(P1063="Hedge Fund",IF(A1063=Summary!$AD$3,M1063-E1063,M1063),IF(A1063=Summary!$AD$3,L1063-D1063,L1063))</f>
        <v>0</v>
      </c>
      <c r="O1063" s="95">
        <f t="shared" si="149"/>
        <v>0</v>
      </c>
      <c r="P1063" s="89" t="s">
        <v>155</v>
      </c>
      <c r="Q1063" s="107">
        <v>0</v>
      </c>
      <c r="R1063" s="107">
        <v>0</v>
      </c>
      <c r="S1063" s="89">
        <v>0</v>
      </c>
      <c r="T1063" s="89">
        <v>0</v>
      </c>
      <c r="U1063" s="89"/>
      <c r="V1063" s="89"/>
      <c r="W1063" s="89"/>
      <c r="X1063" s="89"/>
      <c r="Y1063" s="89"/>
      <c r="Z1063" s="89"/>
      <c r="AA1063" s="89"/>
      <c r="AB1063" s="89"/>
      <c r="AC1063" s="355"/>
      <c r="AD1063" s="355"/>
      <c r="AE1063" s="355"/>
      <c r="AF1063" s="94">
        <f t="shared" si="146"/>
        <v>43312</v>
      </c>
      <c r="AG1063" s="185">
        <f t="shared" si="150"/>
        <v>-5.258976458863196E-3</v>
      </c>
      <c r="AH1063" s="339" t="str">
        <f>VLOOKUP(B1063,'MF PF'!A:B,2)</f>
        <v>FdMgt1</v>
      </c>
      <c r="AI1063" s="358">
        <f t="shared" si="147"/>
        <v>0</v>
      </c>
      <c r="AJ1063" s="94">
        <f t="shared" si="148"/>
        <v>43312</v>
      </c>
    </row>
    <row r="1064" spans="1:36" ht="12.75" customHeight="1">
      <c r="A1064" s="94">
        <v>43343</v>
      </c>
      <c r="B1064" s="358" t="s">
        <v>136</v>
      </c>
      <c r="C1064" s="94" t="s">
        <v>309</v>
      </c>
      <c r="D1064" s="374">
        <v>10000078.720000001</v>
      </c>
      <c r="E1064" s="9" t="str">
        <f>IF(K1064="","",D1064/K1064)</f>
        <v/>
      </c>
      <c r="F1064" s="47">
        <v>6.77</v>
      </c>
      <c r="G1064" s="47">
        <v>0</v>
      </c>
      <c r="H1064" s="47">
        <v>0</v>
      </c>
      <c r="I1064" s="47">
        <v>0</v>
      </c>
      <c r="J1064" s="98"/>
      <c r="K1064" s="93"/>
      <c r="L1064" s="93">
        <f t="shared" si="144"/>
        <v>0</v>
      </c>
      <c r="M1064" s="95" t="e">
        <f t="shared" ca="1" si="145"/>
        <v>#DIV/0!</v>
      </c>
      <c r="N1064" s="95">
        <f>IF(P1064="Hedge Fund",IF(A1064=Summary!$AD$3,M1064-E1064,M1064),IF(A1064=Summary!$AD$3,L1064-D1064,L1064))</f>
        <v>0</v>
      </c>
      <c r="O1064" s="95">
        <f t="shared" si="149"/>
        <v>0</v>
      </c>
      <c r="P1064" s="89" t="s">
        <v>155</v>
      </c>
      <c r="Q1064" s="107">
        <v>0</v>
      </c>
      <c r="R1064" s="107">
        <v>0</v>
      </c>
      <c r="S1064" s="89">
        <v>0</v>
      </c>
      <c r="T1064" s="89">
        <v>0</v>
      </c>
      <c r="U1064" s="89"/>
      <c r="V1064" s="89"/>
      <c r="W1064" s="89"/>
      <c r="X1064" s="89"/>
      <c r="Y1064" s="89"/>
      <c r="Z1064" s="89"/>
      <c r="AA1064" s="89"/>
      <c r="AB1064" s="89"/>
      <c r="AC1064" s="355"/>
      <c r="AD1064" s="355"/>
      <c r="AE1064" s="355"/>
      <c r="AF1064" s="94">
        <f t="shared" si="146"/>
        <v>43343</v>
      </c>
      <c r="AG1064" s="185">
        <f t="shared" si="150"/>
        <v>3.5084691240037102E-3</v>
      </c>
      <c r="AH1064" s="339" t="str">
        <f>VLOOKUP(B1064,'MF PF'!A:B,2)</f>
        <v>FdMgt1</v>
      </c>
      <c r="AI1064" s="358">
        <f t="shared" si="147"/>
        <v>0</v>
      </c>
      <c r="AJ1064" s="94">
        <f t="shared" si="148"/>
        <v>43343</v>
      </c>
    </row>
    <row r="1065" spans="1:36" ht="12.75" customHeight="1">
      <c r="A1065" s="8">
        <v>43371</v>
      </c>
      <c r="B1065" s="358" t="s">
        <v>136</v>
      </c>
      <c r="C1065" s="358" t="s">
        <v>309</v>
      </c>
      <c r="D1065" s="374">
        <v>9954867.5399999991</v>
      </c>
      <c r="F1065" s="105">
        <v>6.77</v>
      </c>
      <c r="G1065" s="93">
        <v>0</v>
      </c>
      <c r="H1065" s="93">
        <v>0</v>
      </c>
      <c r="I1065" s="93">
        <v>0</v>
      </c>
      <c r="K1065" s="7">
        <v>0</v>
      </c>
      <c r="L1065" s="93">
        <f t="shared" si="144"/>
        <v>0</v>
      </c>
      <c r="M1065" s="95" t="e">
        <f t="shared" ca="1" si="145"/>
        <v>#DIV/0!</v>
      </c>
      <c r="N1065" s="95">
        <f>IF(P1065="Hedge Fund",IF(A1065=Summary!$AD$3,M1065-E1065,M1065),IF(A1065=Summary!$AD$3,L1065-D1065,L1065))</f>
        <v>0</v>
      </c>
      <c r="O1065" s="95">
        <f t="shared" si="149"/>
        <v>0</v>
      </c>
      <c r="P1065" s="95" t="s">
        <v>155</v>
      </c>
      <c r="Q1065" s="353">
        <v>0</v>
      </c>
      <c r="R1065" s="95">
        <v>0</v>
      </c>
      <c r="S1065" s="95"/>
      <c r="T1065" s="95"/>
      <c r="U1065" s="95"/>
      <c r="V1065" s="95"/>
      <c r="W1065" s="95"/>
      <c r="X1065" s="95"/>
      <c r="Y1065" s="95"/>
      <c r="Z1065" s="95"/>
      <c r="AA1065" s="95"/>
      <c r="AB1065" s="95"/>
      <c r="AC1065" s="355"/>
      <c r="AD1065" s="355"/>
      <c r="AE1065" s="355"/>
      <c r="AF1065" s="94">
        <f t="shared" si="146"/>
        <v>43371</v>
      </c>
      <c r="AG1065" s="185">
        <f t="shared" si="150"/>
        <v>-4.5210824100394564E-3</v>
      </c>
      <c r="AH1065" s="339" t="str">
        <f>VLOOKUP(B1065,'MF PF'!A:B,2)</f>
        <v>FdMgt1</v>
      </c>
      <c r="AI1065" s="358">
        <f t="shared" si="147"/>
        <v>0</v>
      </c>
      <c r="AJ1065" s="94">
        <f t="shared" si="148"/>
        <v>43373</v>
      </c>
    </row>
    <row r="1066" spans="1:36" ht="12.75" customHeight="1">
      <c r="A1066" s="8">
        <v>43404</v>
      </c>
      <c r="B1066" s="358" t="s">
        <v>136</v>
      </c>
      <c r="C1066" s="92" t="s">
        <v>309</v>
      </c>
      <c r="D1066" s="374">
        <v>9834044.7899999991</v>
      </c>
      <c r="F1066" s="105">
        <v>6.77</v>
      </c>
      <c r="G1066" s="93">
        <v>0</v>
      </c>
      <c r="H1066" s="93">
        <v>0</v>
      </c>
      <c r="I1066" s="93">
        <v>0</v>
      </c>
      <c r="J1066" s="93">
        <v>0</v>
      </c>
      <c r="K1066" s="93"/>
      <c r="L1066" s="93">
        <f t="shared" si="144"/>
        <v>0</v>
      </c>
      <c r="M1066" s="95" t="e">
        <f t="shared" ca="1" si="145"/>
        <v>#DIV/0!</v>
      </c>
      <c r="N1066" s="95">
        <f>IF(P1066="Hedge Fund",IF(A1066=Summary!$AD$3,M1066-E1066,M1066),IF(A1066=Summary!$AD$3,L1066-D1066,L1066))</f>
        <v>0</v>
      </c>
      <c r="O1066" s="95">
        <f t="shared" si="149"/>
        <v>0</v>
      </c>
      <c r="P1066" s="95" t="s">
        <v>155</v>
      </c>
      <c r="Q1066" s="95">
        <v>0</v>
      </c>
      <c r="R1066" s="95">
        <v>0</v>
      </c>
      <c r="S1066" s="95"/>
      <c r="T1066" s="95"/>
      <c r="U1066" s="95"/>
      <c r="V1066" s="95"/>
      <c r="W1066" s="95"/>
      <c r="X1066" s="95"/>
      <c r="Y1066" s="95"/>
      <c r="Z1066" s="95"/>
      <c r="AA1066" s="95"/>
      <c r="AB1066" s="95"/>
      <c r="AC1066" s="355"/>
      <c r="AD1066" s="355"/>
      <c r="AE1066" s="355"/>
      <c r="AF1066" s="94">
        <f t="shared" si="146"/>
        <v>43404</v>
      </c>
      <c r="AG1066" s="185">
        <f t="shared" si="150"/>
        <v>-1.2137052503663925E-2</v>
      </c>
      <c r="AH1066" s="339" t="str">
        <f>VLOOKUP(B1066,'MF PF'!A:B,2)</f>
        <v>FdMgt1</v>
      </c>
      <c r="AI1066" s="358">
        <f t="shared" si="147"/>
        <v>0</v>
      </c>
      <c r="AJ1066" s="94">
        <f t="shared" si="148"/>
        <v>43404</v>
      </c>
    </row>
    <row r="1067" spans="1:36" ht="12.75" customHeight="1">
      <c r="A1067" s="8">
        <v>43434</v>
      </c>
      <c r="B1067" s="358" t="s">
        <v>136</v>
      </c>
      <c r="C1067" s="6" t="s">
        <v>309</v>
      </c>
      <c r="D1067" s="374">
        <v>9969977.9399999995</v>
      </c>
      <c r="F1067" s="105">
        <v>6.77</v>
      </c>
      <c r="G1067" s="93">
        <v>0</v>
      </c>
      <c r="H1067" s="93">
        <v>0</v>
      </c>
      <c r="I1067" s="93">
        <v>0</v>
      </c>
      <c r="K1067" s="93">
        <v>0</v>
      </c>
      <c r="L1067" s="93">
        <f t="shared" si="144"/>
        <v>0</v>
      </c>
      <c r="M1067" s="95" t="e">
        <f t="shared" ca="1" si="145"/>
        <v>#DIV/0!</v>
      </c>
      <c r="N1067" s="95">
        <f>IF(P1067="Hedge Fund",IF(A1067=Summary!$AD$3,M1067-E1067,M1067),IF(A1067=Summary!$AD$3,L1067-D1067,L1067))</f>
        <v>0</v>
      </c>
      <c r="O1067" s="95">
        <f t="shared" si="149"/>
        <v>0</v>
      </c>
      <c r="P1067" s="95" t="s">
        <v>155</v>
      </c>
      <c r="Q1067" s="95">
        <v>0</v>
      </c>
      <c r="R1067" s="95">
        <v>0</v>
      </c>
      <c r="S1067" s="95"/>
      <c r="T1067" s="95"/>
      <c r="U1067" s="95"/>
      <c r="V1067" s="95"/>
      <c r="W1067" s="95"/>
      <c r="X1067" s="95"/>
      <c r="Y1067" s="95"/>
      <c r="Z1067" s="95"/>
      <c r="AA1067" s="95"/>
      <c r="AB1067" s="95"/>
      <c r="AC1067" s="355"/>
      <c r="AD1067" s="355"/>
      <c r="AE1067" s="355"/>
      <c r="AF1067" s="94">
        <f t="shared" si="146"/>
        <v>43434</v>
      </c>
      <c r="AG1067" s="185">
        <f t="shared" si="150"/>
        <v>1.382271007533209E-2</v>
      </c>
      <c r="AH1067" s="339" t="str">
        <f>VLOOKUP(B1067,'MF PF'!A:B,2)</f>
        <v>FdMgt1</v>
      </c>
      <c r="AI1067" s="358">
        <f t="shared" si="147"/>
        <v>0</v>
      </c>
      <c r="AJ1067" s="94">
        <f t="shared" si="148"/>
        <v>43434</v>
      </c>
    </row>
    <row r="1068" spans="1:36" ht="12.75" customHeight="1">
      <c r="A1068" s="8">
        <v>43452</v>
      </c>
      <c r="B1068" s="358" t="s">
        <v>136</v>
      </c>
      <c r="C1068" s="358" t="s">
        <v>309</v>
      </c>
      <c r="D1068" s="93"/>
      <c r="F1068" s="93"/>
      <c r="G1068" s="93"/>
      <c r="H1068" s="93"/>
      <c r="I1068" s="93">
        <v>0</v>
      </c>
      <c r="L1068" s="93">
        <f t="shared" si="144"/>
        <v>0</v>
      </c>
      <c r="M1068" s="95" t="e">
        <f t="shared" ca="1" si="145"/>
        <v>#DIV/0!</v>
      </c>
      <c r="N1068" s="95">
        <f>IF(P1068="Hedge Fund",IF(A1068=Summary!$AD$3,M1068-E1068,M1068),IF(A1068=Summary!$AD$3,L1068-D1068,L1068))</f>
        <v>0</v>
      </c>
      <c r="O1068" s="95">
        <f t="shared" si="149"/>
        <v>0</v>
      </c>
      <c r="P1068" s="95" t="s">
        <v>155</v>
      </c>
      <c r="Q1068" s="95"/>
      <c r="R1068" s="95"/>
      <c r="S1068" s="95"/>
      <c r="T1068" s="95"/>
      <c r="U1068" s="95"/>
      <c r="V1068" s="95"/>
      <c r="W1068" s="95"/>
      <c r="X1068" s="95"/>
      <c r="Y1068" s="95"/>
      <c r="Z1068" s="95"/>
      <c r="AA1068" s="95"/>
      <c r="AB1068" s="95"/>
      <c r="AC1068" s="355"/>
      <c r="AD1068" s="355"/>
      <c r="AE1068" s="355"/>
      <c r="AF1068" s="94">
        <f t="shared" si="146"/>
        <v>43452</v>
      </c>
      <c r="AG1068" s="185">
        <f t="shared" si="150"/>
        <v>-1</v>
      </c>
      <c r="AH1068" s="339" t="str">
        <f>VLOOKUP(B1068,'MF PF'!A:B,2)</f>
        <v>FdMgt1</v>
      </c>
      <c r="AI1068" s="358">
        <f t="shared" si="147"/>
        <v>0</v>
      </c>
      <c r="AJ1068" s="94">
        <f t="shared" si="148"/>
        <v>43465</v>
      </c>
    </row>
    <row r="1069" spans="1:36" ht="12.75" customHeight="1">
      <c r="A1069" s="94">
        <v>43465</v>
      </c>
      <c r="B1069" s="358" t="s">
        <v>136</v>
      </c>
      <c r="C1069" s="358" t="s">
        <v>309</v>
      </c>
      <c r="D1069" s="93">
        <v>10298972.279999999</v>
      </c>
      <c r="F1069" s="93">
        <v>6.77</v>
      </c>
      <c r="G1069" s="93">
        <v>0</v>
      </c>
      <c r="H1069" s="93">
        <v>0</v>
      </c>
      <c r="I1069" s="93">
        <v>0</v>
      </c>
      <c r="K1069" s="93">
        <v>0</v>
      </c>
      <c r="L1069" s="93">
        <f t="shared" si="144"/>
        <v>0</v>
      </c>
      <c r="M1069" s="95" t="e">
        <f t="shared" ca="1" si="145"/>
        <v>#DIV/0!</v>
      </c>
      <c r="N1069" s="95">
        <f>IF(P1069="Hedge Fund",IF(A1069=Summary!$AD$3,M1069-E1069,M1069),IF(A1069=Summary!$AD$3,L1069-D1069,L1069))</f>
        <v>0</v>
      </c>
      <c r="O1069" s="95">
        <f t="shared" si="149"/>
        <v>0</v>
      </c>
      <c r="P1069" s="95" t="s">
        <v>155</v>
      </c>
      <c r="Q1069" s="95">
        <v>0</v>
      </c>
      <c r="R1069" s="95">
        <v>0</v>
      </c>
      <c r="S1069" s="95"/>
      <c r="T1069" s="95"/>
      <c r="U1069" s="95"/>
      <c r="V1069" s="95"/>
      <c r="W1069" s="95"/>
      <c r="X1069" s="95"/>
      <c r="Y1069" s="95"/>
      <c r="Z1069" s="95"/>
      <c r="AA1069" s="95"/>
      <c r="AB1069" s="95"/>
      <c r="AC1069" s="355"/>
      <c r="AD1069" s="355"/>
      <c r="AE1069" s="355"/>
      <c r="AF1069" s="94">
        <f t="shared" si="146"/>
        <v>43465</v>
      </c>
      <c r="AG1069" s="185" t="e">
        <f t="shared" si="150"/>
        <v>#DIV/0!</v>
      </c>
      <c r="AH1069" s="339" t="str">
        <f>VLOOKUP(B1069,'MF PF'!A:B,2)</f>
        <v>FdMgt1</v>
      </c>
      <c r="AI1069" s="358">
        <f t="shared" si="147"/>
        <v>0</v>
      </c>
      <c r="AJ1069" s="94">
        <f t="shared" si="148"/>
        <v>43465</v>
      </c>
    </row>
    <row r="1070" spans="1:36" ht="12.75" customHeight="1">
      <c r="A1070" s="94">
        <v>43487</v>
      </c>
      <c r="B1070" s="358" t="s">
        <v>136</v>
      </c>
      <c r="C1070" s="358" t="s">
        <v>309</v>
      </c>
      <c r="D1070" s="93"/>
      <c r="F1070" s="93"/>
      <c r="G1070" s="93"/>
      <c r="H1070" s="93"/>
      <c r="I1070" s="93">
        <v>-79588.239524118282</v>
      </c>
      <c r="K1070" s="93"/>
      <c r="L1070" s="93">
        <f t="shared" si="144"/>
        <v>-79588.239524118282</v>
      </c>
      <c r="M1070" s="95" t="e">
        <f t="shared" ca="1" si="145"/>
        <v>#DIV/0!</v>
      </c>
      <c r="N1070" s="95">
        <f>IF(P1070="Hedge Fund",IF(A1070=Summary!$AD$3,M1070-E1070,M1070),IF(A1070=Summary!$AD$3,L1070-D1070,L1070))</f>
        <v>-79588.239524118282</v>
      </c>
      <c r="O1070" s="95">
        <f t="shared" si="149"/>
        <v>-79588.239524118282</v>
      </c>
      <c r="P1070" s="95" t="s">
        <v>155</v>
      </c>
      <c r="Q1070" s="95"/>
      <c r="R1070" s="95"/>
      <c r="S1070" s="95"/>
      <c r="T1070" s="95"/>
      <c r="U1070" s="95"/>
      <c r="V1070" s="95"/>
      <c r="W1070" s="95"/>
      <c r="X1070" s="95"/>
      <c r="Y1070" s="95"/>
      <c r="Z1070" s="95"/>
      <c r="AA1070" s="95"/>
      <c r="AB1070" s="95"/>
      <c r="AC1070" s="355"/>
      <c r="AD1070" s="355"/>
      <c r="AE1070" s="355"/>
      <c r="AF1070" s="94">
        <f t="shared" si="146"/>
        <v>43487</v>
      </c>
      <c r="AG1070" s="185">
        <f t="shared" si="150"/>
        <v>-0.99227221538612409</v>
      </c>
      <c r="AH1070" s="339" t="str">
        <f>VLOOKUP(B1070,'MF PF'!A:B,2)</f>
        <v>FdMgt1</v>
      </c>
      <c r="AI1070" s="358">
        <f t="shared" si="147"/>
        <v>0</v>
      </c>
      <c r="AJ1070" s="94">
        <f t="shared" si="148"/>
        <v>43496</v>
      </c>
    </row>
    <row r="1071" spans="1:36" ht="12.75" customHeight="1">
      <c r="A1071" s="94">
        <v>43496</v>
      </c>
      <c r="B1071" s="358" t="s">
        <v>136</v>
      </c>
      <c r="C1071" s="358" t="s">
        <v>309</v>
      </c>
      <c r="D1071" s="93">
        <v>10138412.91</v>
      </c>
      <c r="F1071" s="93">
        <v>6.77</v>
      </c>
      <c r="G1071" s="93">
        <v>0</v>
      </c>
      <c r="H1071" s="93">
        <v>0</v>
      </c>
      <c r="I1071" s="93">
        <v>0</v>
      </c>
      <c r="K1071" s="93">
        <v>0</v>
      </c>
      <c r="L1071" s="93">
        <f t="shared" si="144"/>
        <v>0</v>
      </c>
      <c r="M1071" s="95" t="e">
        <f t="shared" ca="1" si="145"/>
        <v>#DIV/0!</v>
      </c>
      <c r="N1071" s="95">
        <f>IF(P1071="Hedge Fund",IF(A1071=Summary!$AD$3,M1071-E1071,M1071),IF(A1071=Summary!$AD$3,L1071-D1071,L1071))</f>
        <v>-10138412.91</v>
      </c>
      <c r="O1071" s="95">
        <f t="shared" si="149"/>
        <v>-10138412.91</v>
      </c>
      <c r="P1071" s="95" t="s">
        <v>155</v>
      </c>
      <c r="Q1071" s="95">
        <v>0</v>
      </c>
      <c r="R1071" s="95">
        <v>0</v>
      </c>
      <c r="S1071" s="95"/>
      <c r="T1071" s="95"/>
      <c r="U1071" s="95"/>
      <c r="V1071" s="95"/>
      <c r="W1071" s="95"/>
      <c r="X1071" s="95"/>
      <c r="Y1071" s="95"/>
      <c r="Z1071" s="95"/>
      <c r="AA1071" s="95"/>
      <c r="AB1071" s="95"/>
      <c r="AC1071" s="355"/>
      <c r="AD1071" s="355"/>
      <c r="AE1071" s="355"/>
      <c r="AF1071" s="94">
        <f t="shared" si="146"/>
        <v>43496</v>
      </c>
      <c r="AG1071" s="185" t="e">
        <f t="shared" si="150"/>
        <v>#DIV/0!</v>
      </c>
      <c r="AH1071" s="339" t="str">
        <f>VLOOKUP(B1071,'MF PF'!A:B,2)</f>
        <v>FdMgt1</v>
      </c>
      <c r="AI1071" s="358">
        <f t="shared" si="147"/>
        <v>0</v>
      </c>
      <c r="AJ1071" s="94">
        <f t="shared" si="148"/>
        <v>43496</v>
      </c>
    </row>
    <row r="1072" spans="1:36" ht="12.75" customHeight="1">
      <c r="A1072" s="94">
        <v>42019</v>
      </c>
      <c r="B1072" s="94" t="s">
        <v>136</v>
      </c>
      <c r="C1072" s="358" t="s">
        <v>310</v>
      </c>
      <c r="D1072" s="374">
        <v>339090</v>
      </c>
      <c r="E1072" s="9" t="e">
        <f t="shared" ref="E1072:E1114" si="151">D1072/K1072</f>
        <v>#DIV/0!</v>
      </c>
      <c r="F1072" s="98">
        <v>2.67</v>
      </c>
      <c r="G1072" s="98">
        <v>339090</v>
      </c>
      <c r="H1072" s="98">
        <v>0</v>
      </c>
      <c r="I1072" s="98">
        <v>0</v>
      </c>
      <c r="J1072" s="98"/>
      <c r="K1072" s="93"/>
      <c r="L1072" s="93">
        <f t="shared" si="144"/>
        <v>339090</v>
      </c>
      <c r="M1072" s="95" t="e">
        <f t="shared" ca="1" si="145"/>
        <v>#DIV/0!</v>
      </c>
      <c r="N1072" s="95">
        <f>IF(P1072="Hedge Fund",IF(A1072=Summary!$AD$3,M1072-E1072,M1072),IF(A1072=Summary!$AD$3,L1072-D1072,L1072))</f>
        <v>339090</v>
      </c>
      <c r="O1072" s="95">
        <f t="shared" si="149"/>
        <v>339090</v>
      </c>
      <c r="P1072" s="107" t="s">
        <v>155</v>
      </c>
      <c r="Q1072" s="107">
        <v>0</v>
      </c>
      <c r="R1072" s="107">
        <v>0</v>
      </c>
      <c r="S1072" s="107">
        <v>0</v>
      </c>
      <c r="T1072" s="107">
        <v>0</v>
      </c>
      <c r="U1072" s="107"/>
      <c r="V1072" s="107"/>
      <c r="W1072" s="107"/>
      <c r="X1072" s="107"/>
      <c r="Y1072" s="107"/>
      <c r="Z1072" s="107"/>
      <c r="AA1072" s="107"/>
      <c r="AB1072" s="107"/>
      <c r="AC1072" s="355"/>
      <c r="AD1072" s="355"/>
      <c r="AE1072" s="355"/>
      <c r="AF1072" s="94">
        <f t="shared" si="146"/>
        <v>42019</v>
      </c>
      <c r="AG1072" s="185">
        <f t="shared" si="150"/>
        <v>0</v>
      </c>
      <c r="AH1072" s="339" t="str">
        <f>VLOOKUP(B1072,'MF PF'!A:B,2)</f>
        <v>FdMgt1</v>
      </c>
      <c r="AI1072" s="358">
        <f t="shared" si="147"/>
        <v>0</v>
      </c>
      <c r="AJ1072" s="94">
        <f t="shared" si="148"/>
        <v>42035</v>
      </c>
    </row>
    <row r="1073" spans="1:36" ht="12.75" customHeight="1">
      <c r="A1073" s="8">
        <v>42034</v>
      </c>
      <c r="B1073" s="94" t="s">
        <v>136</v>
      </c>
      <c r="C1073" s="358" t="s">
        <v>310</v>
      </c>
      <c r="D1073" s="374">
        <v>337688.57</v>
      </c>
      <c r="E1073" s="9" t="e">
        <f t="shared" si="151"/>
        <v>#DIV/0!</v>
      </c>
      <c r="F1073" s="98">
        <v>2.67</v>
      </c>
      <c r="G1073" s="98">
        <v>0</v>
      </c>
      <c r="H1073" s="98">
        <v>0</v>
      </c>
      <c r="I1073" s="98">
        <v>0</v>
      </c>
      <c r="J1073" s="98"/>
      <c r="K1073" s="93"/>
      <c r="L1073" s="93">
        <f t="shared" si="144"/>
        <v>0</v>
      </c>
      <c r="M1073" s="95" t="e">
        <f t="shared" ca="1" si="145"/>
        <v>#DIV/0!</v>
      </c>
      <c r="N1073" s="95">
        <f>IF(P1073="Hedge Fund",IF(A1073=Summary!$AD$3,M1073-E1073,M1073),IF(A1073=Summary!$AD$3,L1073-D1073,L1073))</f>
        <v>0</v>
      </c>
      <c r="O1073" s="95">
        <f t="shared" si="149"/>
        <v>0</v>
      </c>
      <c r="P1073" s="107" t="s">
        <v>155</v>
      </c>
      <c r="Q1073" s="107">
        <v>0</v>
      </c>
      <c r="R1073" s="107">
        <v>0</v>
      </c>
      <c r="S1073" s="107">
        <v>0</v>
      </c>
      <c r="T1073" s="107">
        <v>0</v>
      </c>
      <c r="U1073" s="107"/>
      <c r="V1073" s="107"/>
      <c r="W1073" s="107"/>
      <c r="X1073" s="107"/>
      <c r="Y1073" s="107"/>
      <c r="Z1073" s="107"/>
      <c r="AA1073" s="107"/>
      <c r="AB1073" s="107"/>
      <c r="AC1073" s="355"/>
      <c r="AD1073" s="355"/>
      <c r="AE1073" s="355"/>
      <c r="AF1073" s="94">
        <f t="shared" si="146"/>
        <v>42034</v>
      </c>
      <c r="AG1073" s="185">
        <f t="shared" si="150"/>
        <v>-4.1329145654546151E-3</v>
      </c>
      <c r="AH1073" s="339" t="str">
        <f>VLOOKUP(B1073,'MF PF'!A:B,2)</f>
        <v>FdMgt1</v>
      </c>
      <c r="AI1073" s="358">
        <f t="shared" si="147"/>
        <v>0</v>
      </c>
      <c r="AJ1073" s="94">
        <f t="shared" si="148"/>
        <v>42035</v>
      </c>
    </row>
    <row r="1074" spans="1:36" ht="12.75" customHeight="1">
      <c r="A1074" s="94">
        <v>42062</v>
      </c>
      <c r="B1074" s="94" t="s">
        <v>136</v>
      </c>
      <c r="C1074" s="358" t="s">
        <v>310</v>
      </c>
      <c r="D1074" s="374">
        <v>549921.07999999996</v>
      </c>
      <c r="E1074" s="95" t="e">
        <f t="shared" si="151"/>
        <v>#DIV/0!</v>
      </c>
      <c r="F1074" s="47">
        <v>2.67</v>
      </c>
      <c r="G1074" s="47">
        <v>210930</v>
      </c>
      <c r="H1074" s="47">
        <v>0</v>
      </c>
      <c r="I1074" s="98">
        <v>0</v>
      </c>
      <c r="J1074" s="98"/>
      <c r="L1074" s="93">
        <f t="shared" si="144"/>
        <v>210930</v>
      </c>
      <c r="M1074" s="95" t="e">
        <f t="shared" ca="1" si="145"/>
        <v>#DIV/0!</v>
      </c>
      <c r="N1074" s="95">
        <f>IF(P1074="Hedge Fund",IF(A1074=Summary!$AD$3,M1074-E1074,M1074),IF(A1074=Summary!$AD$3,L1074-D1074,L1074))</f>
        <v>210930</v>
      </c>
      <c r="O1074" s="95">
        <f t="shared" si="149"/>
        <v>210930</v>
      </c>
      <c r="P1074" s="89" t="s">
        <v>155</v>
      </c>
      <c r="Q1074" s="107">
        <v>0</v>
      </c>
      <c r="R1074" s="107">
        <v>0</v>
      </c>
      <c r="S1074" s="89">
        <v>0</v>
      </c>
      <c r="T1074" s="89">
        <v>0</v>
      </c>
      <c r="U1074" s="89"/>
      <c r="V1074" s="89"/>
      <c r="W1074" s="89"/>
      <c r="X1074" s="89"/>
      <c r="Y1074" s="89"/>
      <c r="Z1074" s="89"/>
      <c r="AA1074" s="89"/>
      <c r="AB1074" s="89"/>
      <c r="AC1074" s="355"/>
      <c r="AD1074" s="355"/>
      <c r="AE1074" s="355"/>
      <c r="AF1074" s="94">
        <f t="shared" si="146"/>
        <v>42062</v>
      </c>
      <c r="AG1074" s="185">
        <f t="shared" si="150"/>
        <v>3.8571338082302731E-3</v>
      </c>
      <c r="AH1074" s="339" t="str">
        <f>VLOOKUP(B1074,'MF PF'!A:B,2)</f>
        <v>FdMgt1</v>
      </c>
      <c r="AI1074" s="358">
        <f t="shared" si="147"/>
        <v>0</v>
      </c>
      <c r="AJ1074" s="94">
        <f t="shared" si="148"/>
        <v>42063</v>
      </c>
    </row>
    <row r="1075" spans="1:36" ht="12.75" customHeight="1">
      <c r="A1075" s="94">
        <v>42094</v>
      </c>
      <c r="B1075" s="94" t="s">
        <v>136</v>
      </c>
      <c r="C1075" s="358" t="s">
        <v>310</v>
      </c>
      <c r="D1075" s="374">
        <v>795358.47</v>
      </c>
      <c r="E1075" s="95" t="e">
        <f t="shared" si="151"/>
        <v>#DIV/0!</v>
      </c>
      <c r="F1075" s="47">
        <v>2.67</v>
      </c>
      <c r="G1075" s="47">
        <v>216270</v>
      </c>
      <c r="H1075" s="47">
        <v>0</v>
      </c>
      <c r="I1075" s="98">
        <v>0</v>
      </c>
      <c r="J1075" s="98"/>
      <c r="K1075" s="93"/>
      <c r="L1075" s="93">
        <f t="shared" si="144"/>
        <v>216270</v>
      </c>
      <c r="M1075" s="95" t="e">
        <f t="shared" ca="1" si="145"/>
        <v>#DIV/0!</v>
      </c>
      <c r="N1075" s="95">
        <f>IF(P1075="Hedge Fund",IF(A1075=Summary!$AD$3,M1075-E1075,M1075),IF(A1075=Summary!$AD$3,L1075-D1075,L1075))</f>
        <v>216270</v>
      </c>
      <c r="O1075" s="95">
        <f t="shared" si="149"/>
        <v>216270</v>
      </c>
      <c r="P1075" s="89" t="s">
        <v>155</v>
      </c>
      <c r="Q1075" s="89">
        <v>0</v>
      </c>
      <c r="R1075" s="107">
        <v>0</v>
      </c>
      <c r="S1075" s="89">
        <v>0</v>
      </c>
      <c r="T1075" s="89">
        <v>0</v>
      </c>
      <c r="U1075" s="89"/>
      <c r="V1075" s="89"/>
      <c r="W1075" s="89"/>
      <c r="X1075" s="89"/>
      <c r="Y1075" s="89"/>
      <c r="Z1075" s="89"/>
      <c r="AA1075" s="89"/>
      <c r="AB1075" s="89"/>
      <c r="AC1075" s="355"/>
      <c r="AD1075" s="355"/>
      <c r="AE1075" s="355"/>
      <c r="AF1075" s="94">
        <f t="shared" si="146"/>
        <v>42094</v>
      </c>
      <c r="AG1075" s="185">
        <f t="shared" si="150"/>
        <v>5.3039228828980267E-2</v>
      </c>
      <c r="AH1075" s="339" t="str">
        <f>VLOOKUP(B1075,'MF PF'!A:B,2)</f>
        <v>FdMgt1</v>
      </c>
      <c r="AI1075" s="358">
        <f t="shared" si="147"/>
        <v>0</v>
      </c>
      <c r="AJ1075" s="94">
        <f t="shared" si="148"/>
        <v>42094</v>
      </c>
    </row>
    <row r="1076" spans="1:36" ht="12.75" customHeight="1">
      <c r="A1076" s="94">
        <v>42124</v>
      </c>
      <c r="B1076" s="94" t="s">
        <v>136</v>
      </c>
      <c r="C1076" s="358" t="s">
        <v>310</v>
      </c>
      <c r="D1076" s="374">
        <v>1183014.1854999999</v>
      </c>
      <c r="E1076" s="9" t="e">
        <f t="shared" si="151"/>
        <v>#DIV/0!</v>
      </c>
      <c r="F1076" s="98">
        <v>2.67</v>
      </c>
      <c r="G1076" s="98">
        <v>304380</v>
      </c>
      <c r="H1076" s="98">
        <v>0</v>
      </c>
      <c r="I1076" s="98">
        <v>0</v>
      </c>
      <c r="J1076" s="98"/>
      <c r="L1076" s="93">
        <f t="shared" si="144"/>
        <v>304380</v>
      </c>
      <c r="M1076" s="95" t="e">
        <f t="shared" ca="1" si="145"/>
        <v>#DIV/0!</v>
      </c>
      <c r="N1076" s="95">
        <f>IF(P1076="Hedge Fund",IF(A1076=Summary!$AD$3,M1076-E1076,M1076),IF(A1076=Summary!$AD$3,L1076-D1076,L1076))</f>
        <v>304380</v>
      </c>
      <c r="O1076" s="95">
        <f t="shared" si="149"/>
        <v>304380</v>
      </c>
      <c r="P1076" s="107" t="s">
        <v>155</v>
      </c>
      <c r="Q1076" s="107">
        <v>0</v>
      </c>
      <c r="R1076" s="107">
        <v>0</v>
      </c>
      <c r="S1076" s="107">
        <v>0</v>
      </c>
      <c r="T1076" s="107">
        <v>0</v>
      </c>
      <c r="U1076" s="107"/>
      <c r="V1076" s="107"/>
      <c r="W1076" s="107"/>
      <c r="X1076" s="107"/>
      <c r="Y1076" s="107"/>
      <c r="Z1076" s="107"/>
      <c r="AA1076" s="107"/>
      <c r="AB1076" s="107"/>
      <c r="AC1076" s="355"/>
      <c r="AD1076" s="355"/>
      <c r="AE1076" s="355"/>
      <c r="AF1076" s="94">
        <f t="shared" si="146"/>
        <v>42124</v>
      </c>
      <c r="AG1076" s="185">
        <f t="shared" si="150"/>
        <v>0.10470211689579401</v>
      </c>
      <c r="AH1076" s="339" t="str">
        <f>VLOOKUP(B1076,'MF PF'!A:B,2)</f>
        <v>FdMgt1</v>
      </c>
      <c r="AI1076" s="358">
        <f t="shared" si="147"/>
        <v>0</v>
      </c>
      <c r="AJ1076" s="94">
        <f t="shared" si="148"/>
        <v>42124</v>
      </c>
    </row>
    <row r="1077" spans="1:36" ht="12.75" customHeight="1">
      <c r="A1077" s="94">
        <v>42153</v>
      </c>
      <c r="B1077" s="94" t="s">
        <v>136</v>
      </c>
      <c r="C1077" s="358" t="s">
        <v>310</v>
      </c>
      <c r="D1077" s="374">
        <v>1391626.0149999999</v>
      </c>
      <c r="E1077" s="9" t="e">
        <f t="shared" si="151"/>
        <v>#DIV/0!</v>
      </c>
      <c r="F1077" s="98">
        <v>2.67</v>
      </c>
      <c r="G1077" s="98">
        <v>202920</v>
      </c>
      <c r="H1077" s="98">
        <v>0</v>
      </c>
      <c r="I1077" s="98">
        <v>0</v>
      </c>
      <c r="J1077" s="98"/>
      <c r="L1077" s="93">
        <f t="shared" si="144"/>
        <v>202920</v>
      </c>
      <c r="M1077" s="95" t="e">
        <f t="shared" ca="1" si="145"/>
        <v>#DIV/0!</v>
      </c>
      <c r="N1077" s="95">
        <f>IF(P1077="Hedge Fund",IF(A1077=Summary!$AD$3,M1077-E1077,M1077),IF(A1077=Summary!$AD$3,L1077-D1077,L1077))</f>
        <v>202920</v>
      </c>
      <c r="O1077" s="95">
        <f t="shared" si="149"/>
        <v>202920</v>
      </c>
      <c r="P1077" s="107" t="s">
        <v>155</v>
      </c>
      <c r="Q1077" s="107">
        <v>0</v>
      </c>
      <c r="R1077" s="107">
        <v>0</v>
      </c>
      <c r="S1077" s="107">
        <v>0</v>
      </c>
      <c r="T1077" s="107">
        <v>0</v>
      </c>
      <c r="U1077" s="107"/>
      <c r="V1077" s="107"/>
      <c r="W1077" s="107"/>
      <c r="X1077" s="107"/>
      <c r="Y1077" s="107"/>
      <c r="Z1077" s="107"/>
      <c r="AA1077" s="107"/>
      <c r="AB1077" s="107"/>
      <c r="AC1077" s="355"/>
      <c r="AD1077" s="355"/>
      <c r="AE1077" s="355"/>
      <c r="AF1077" s="94">
        <f t="shared" si="146"/>
        <v>42153</v>
      </c>
      <c r="AG1077" s="185">
        <f t="shared" si="150"/>
        <v>4.8112943781770667E-3</v>
      </c>
      <c r="AH1077" s="339" t="str">
        <f>VLOOKUP(B1077,'MF PF'!A:B,2)</f>
        <v>FdMgt1</v>
      </c>
      <c r="AI1077" s="358">
        <f t="shared" si="147"/>
        <v>0</v>
      </c>
      <c r="AJ1077" s="94">
        <f t="shared" si="148"/>
        <v>42155</v>
      </c>
    </row>
    <row r="1078" spans="1:36" ht="12.75" customHeight="1">
      <c r="A1078" s="8">
        <v>42185</v>
      </c>
      <c r="B1078" s="94" t="s">
        <v>136</v>
      </c>
      <c r="C1078" s="358" t="s">
        <v>310</v>
      </c>
      <c r="D1078" s="374">
        <v>1370366.1635</v>
      </c>
      <c r="E1078" s="9" t="e">
        <f t="shared" si="151"/>
        <v>#DIV/0!</v>
      </c>
      <c r="F1078" s="98">
        <v>2.67</v>
      </c>
      <c r="G1078" s="98">
        <v>0</v>
      </c>
      <c r="H1078" s="98">
        <v>0</v>
      </c>
      <c r="I1078" s="98">
        <v>0</v>
      </c>
      <c r="J1078" s="98"/>
      <c r="L1078" s="93">
        <f t="shared" si="144"/>
        <v>0</v>
      </c>
      <c r="M1078" s="95" t="e">
        <f t="shared" ca="1" si="145"/>
        <v>#DIV/0!</v>
      </c>
      <c r="N1078" s="95">
        <f>IF(P1078="Hedge Fund",IF(A1078=Summary!$AD$3,M1078-E1078,M1078),IF(A1078=Summary!$AD$3,L1078-D1078,L1078))</f>
        <v>0</v>
      </c>
      <c r="O1078" s="95">
        <f t="shared" si="149"/>
        <v>0</v>
      </c>
      <c r="P1078" s="107" t="s">
        <v>155</v>
      </c>
      <c r="Q1078" s="107">
        <v>0</v>
      </c>
      <c r="R1078" s="107">
        <v>0</v>
      </c>
      <c r="S1078" s="107">
        <v>0</v>
      </c>
      <c r="T1078" s="107">
        <v>0</v>
      </c>
      <c r="U1078" s="107"/>
      <c r="V1078" s="107"/>
      <c r="W1078" s="107"/>
      <c r="X1078" s="107"/>
      <c r="Y1078" s="107"/>
      <c r="Z1078" s="107"/>
      <c r="AA1078" s="107"/>
      <c r="AB1078" s="107"/>
      <c r="AC1078" s="355"/>
      <c r="AD1078" s="355"/>
      <c r="AE1078" s="355"/>
      <c r="AF1078" s="94">
        <f t="shared" si="146"/>
        <v>42185</v>
      </c>
      <c r="AG1078" s="185">
        <f t="shared" si="150"/>
        <v>-1.5276986252660607E-2</v>
      </c>
      <c r="AH1078" s="339" t="str">
        <f>VLOOKUP(B1078,'MF PF'!A:B,2)</f>
        <v>FdMgt1</v>
      </c>
      <c r="AI1078" s="358">
        <f t="shared" si="147"/>
        <v>0</v>
      </c>
      <c r="AJ1078" s="94">
        <f t="shared" si="148"/>
        <v>42185</v>
      </c>
    </row>
    <row r="1079" spans="1:36" ht="12.75" customHeight="1">
      <c r="A1079" s="8">
        <v>42216</v>
      </c>
      <c r="B1079" s="94" t="s">
        <v>136</v>
      </c>
      <c r="C1079" s="358" t="s">
        <v>310</v>
      </c>
      <c r="D1079" s="374">
        <v>1575392.5325</v>
      </c>
      <c r="E1079" s="95" t="e">
        <f t="shared" si="151"/>
        <v>#DIV/0!</v>
      </c>
      <c r="F1079" s="98">
        <v>2.67</v>
      </c>
      <c r="G1079" s="98">
        <v>232290</v>
      </c>
      <c r="H1079" s="98">
        <v>0</v>
      </c>
      <c r="I1079" s="98">
        <v>0</v>
      </c>
      <c r="J1079" s="98"/>
      <c r="L1079" s="93">
        <f t="shared" si="144"/>
        <v>232290</v>
      </c>
      <c r="M1079" s="95" t="e">
        <f t="shared" ca="1" si="145"/>
        <v>#DIV/0!</v>
      </c>
      <c r="N1079" s="95">
        <f>IF(P1079="Hedge Fund",IF(A1079=Summary!$AD$3,M1079-E1079,M1079),IF(A1079=Summary!$AD$3,L1079-D1079,L1079))</f>
        <v>232290</v>
      </c>
      <c r="O1079" s="95">
        <f t="shared" si="149"/>
        <v>232290</v>
      </c>
      <c r="P1079" s="107" t="s">
        <v>155</v>
      </c>
      <c r="Q1079" s="107">
        <v>0</v>
      </c>
      <c r="R1079" s="107">
        <v>0</v>
      </c>
      <c r="S1079" s="107">
        <v>0</v>
      </c>
      <c r="T1079" s="107">
        <v>0</v>
      </c>
      <c r="U1079" s="107"/>
      <c r="V1079" s="107"/>
      <c r="W1079" s="107"/>
      <c r="X1079" s="107"/>
      <c r="Y1079" s="107"/>
      <c r="Z1079" s="107"/>
      <c r="AA1079" s="107"/>
      <c r="AB1079" s="107"/>
      <c r="AC1079" s="355"/>
      <c r="AD1079" s="355"/>
      <c r="AE1079" s="355"/>
      <c r="AF1079" s="94">
        <f t="shared" si="146"/>
        <v>42216</v>
      </c>
      <c r="AG1079" s="185">
        <f t="shared" si="150"/>
        <v>-1.9895143156750894E-2</v>
      </c>
      <c r="AH1079" s="339" t="str">
        <f>VLOOKUP(B1079,'MF PF'!A:B,2)</f>
        <v>FdMgt1</v>
      </c>
      <c r="AI1079" s="358">
        <f t="shared" si="147"/>
        <v>0</v>
      </c>
      <c r="AJ1079" s="94">
        <f t="shared" si="148"/>
        <v>42216</v>
      </c>
    </row>
    <row r="1080" spans="1:36" ht="12.75" customHeight="1">
      <c r="A1080" s="8">
        <v>42247</v>
      </c>
      <c r="B1080" s="94" t="s">
        <v>136</v>
      </c>
      <c r="C1080" s="358" t="s">
        <v>310</v>
      </c>
      <c r="D1080" s="374">
        <v>1548113.0319999999</v>
      </c>
      <c r="E1080" s="9" t="e">
        <f t="shared" si="151"/>
        <v>#DIV/0!</v>
      </c>
      <c r="F1080" s="98">
        <v>2.67</v>
      </c>
      <c r="G1080" s="98">
        <v>0</v>
      </c>
      <c r="H1080" s="98">
        <v>0</v>
      </c>
      <c r="I1080" s="98">
        <v>0</v>
      </c>
      <c r="J1080" s="98"/>
      <c r="L1080" s="93">
        <f t="shared" si="144"/>
        <v>0</v>
      </c>
      <c r="M1080" s="95" t="e">
        <f t="shared" ca="1" si="145"/>
        <v>#DIV/0!</v>
      </c>
      <c r="N1080" s="95">
        <f>IF(P1080="Hedge Fund",IF(A1080=Summary!$AD$3,M1080-E1080,M1080),IF(A1080=Summary!$AD$3,L1080-D1080,L1080))</f>
        <v>0</v>
      </c>
      <c r="O1080" s="95">
        <f t="shared" si="149"/>
        <v>0</v>
      </c>
      <c r="P1080" s="107" t="s">
        <v>155</v>
      </c>
      <c r="Q1080" s="107">
        <v>0</v>
      </c>
      <c r="R1080" s="107">
        <v>0</v>
      </c>
      <c r="S1080" s="107">
        <v>0</v>
      </c>
      <c r="T1080" s="107">
        <v>0</v>
      </c>
      <c r="U1080" s="107"/>
      <c r="V1080" s="107"/>
      <c r="W1080" s="107"/>
      <c r="X1080" s="107"/>
      <c r="Y1080" s="107"/>
      <c r="Z1080" s="107"/>
      <c r="AA1080" s="107"/>
      <c r="AB1080" s="107"/>
      <c r="AC1080" s="355"/>
      <c r="AD1080" s="355"/>
      <c r="AE1080" s="355"/>
      <c r="AF1080" s="94">
        <f t="shared" si="146"/>
        <v>42247</v>
      </c>
      <c r="AG1080" s="185">
        <f t="shared" si="150"/>
        <v>-1.7316002162781619E-2</v>
      </c>
      <c r="AH1080" s="339" t="str">
        <f>VLOOKUP(B1080,'MF PF'!A:B,2)</f>
        <v>FdMgt1</v>
      </c>
      <c r="AI1080" s="358">
        <f t="shared" si="147"/>
        <v>0</v>
      </c>
      <c r="AJ1080" s="94">
        <f t="shared" si="148"/>
        <v>42247</v>
      </c>
    </row>
    <row r="1081" spans="1:36" ht="12.75" customHeight="1">
      <c r="A1081" s="8">
        <v>42277</v>
      </c>
      <c r="B1081" s="94" t="s">
        <v>136</v>
      </c>
      <c r="C1081" s="358" t="s">
        <v>310</v>
      </c>
      <c r="D1081" s="374">
        <v>1551081.98</v>
      </c>
      <c r="E1081" s="9" t="e">
        <f t="shared" si="151"/>
        <v>#DIV/0!</v>
      </c>
      <c r="F1081" s="47">
        <v>2.67</v>
      </c>
      <c r="G1081" s="47">
        <v>0</v>
      </c>
      <c r="H1081" s="47">
        <v>0</v>
      </c>
      <c r="I1081" s="98">
        <v>0</v>
      </c>
      <c r="J1081" s="98"/>
      <c r="K1081" s="93"/>
      <c r="L1081" s="93">
        <f t="shared" si="144"/>
        <v>0</v>
      </c>
      <c r="M1081" s="95" t="e">
        <f t="shared" ca="1" si="145"/>
        <v>#DIV/0!</v>
      </c>
      <c r="N1081" s="95">
        <f>IF(P1081="Hedge Fund",IF(A1081=Summary!$AD$3,M1081-E1081,M1081),IF(A1081=Summary!$AD$3,L1081-D1081,L1081))</f>
        <v>0</v>
      </c>
      <c r="O1081" s="95">
        <f t="shared" si="149"/>
        <v>0</v>
      </c>
      <c r="P1081" s="89" t="s">
        <v>155</v>
      </c>
      <c r="Q1081" s="107">
        <v>0</v>
      </c>
      <c r="R1081" s="107">
        <v>0</v>
      </c>
      <c r="S1081" s="89">
        <v>0</v>
      </c>
      <c r="T1081" s="89">
        <v>0</v>
      </c>
      <c r="U1081" s="89"/>
      <c r="V1081" s="89"/>
      <c r="W1081" s="89"/>
      <c r="X1081" s="89"/>
      <c r="Y1081" s="89"/>
      <c r="Z1081" s="89"/>
      <c r="AA1081" s="89"/>
      <c r="AB1081" s="89"/>
      <c r="AC1081" s="355"/>
      <c r="AD1081" s="355"/>
      <c r="AE1081" s="355"/>
      <c r="AF1081" s="94">
        <f t="shared" si="146"/>
        <v>42277</v>
      </c>
      <c r="AG1081" s="185">
        <f t="shared" si="150"/>
        <v>1.9177850316036693E-3</v>
      </c>
      <c r="AH1081" s="339" t="str">
        <f>VLOOKUP(B1081,'MF PF'!A:B,2)</f>
        <v>FdMgt1</v>
      </c>
      <c r="AI1081" s="358">
        <f t="shared" si="147"/>
        <v>0</v>
      </c>
      <c r="AJ1081" s="94">
        <f t="shared" si="148"/>
        <v>42277</v>
      </c>
    </row>
    <row r="1082" spans="1:36" ht="12.75" customHeight="1">
      <c r="A1082" s="8">
        <v>42307</v>
      </c>
      <c r="B1082" s="94" t="s">
        <v>136</v>
      </c>
      <c r="C1082" s="92" t="s">
        <v>310</v>
      </c>
      <c r="D1082" s="374">
        <v>1594170.7919999999</v>
      </c>
      <c r="E1082" s="9" t="e">
        <f t="shared" si="151"/>
        <v>#DIV/0!</v>
      </c>
      <c r="F1082" s="98">
        <v>2.67</v>
      </c>
      <c r="G1082" s="98">
        <v>0</v>
      </c>
      <c r="H1082" s="98">
        <v>0</v>
      </c>
      <c r="I1082" s="98">
        <v>0</v>
      </c>
      <c r="J1082" s="98"/>
      <c r="K1082" s="93"/>
      <c r="L1082" s="93">
        <f t="shared" si="144"/>
        <v>0</v>
      </c>
      <c r="M1082" s="95" t="e">
        <f t="shared" ca="1" si="145"/>
        <v>#DIV/0!</v>
      </c>
      <c r="N1082" s="95">
        <f>IF(P1082="Hedge Fund",IF(A1082=Summary!$AD$3,M1082-E1082,M1082),IF(A1082=Summary!$AD$3,L1082-D1082,L1082))</f>
        <v>0</v>
      </c>
      <c r="O1082" s="95">
        <f t="shared" si="149"/>
        <v>0</v>
      </c>
      <c r="P1082" s="107" t="s">
        <v>155</v>
      </c>
      <c r="Q1082" s="107">
        <v>0</v>
      </c>
      <c r="R1082" s="107">
        <v>0</v>
      </c>
      <c r="S1082" s="107">
        <v>0</v>
      </c>
      <c r="T1082" s="107">
        <v>0</v>
      </c>
      <c r="U1082" s="107"/>
      <c r="V1082" s="107"/>
      <c r="W1082" s="107"/>
      <c r="X1082" s="107"/>
      <c r="Y1082" s="107"/>
      <c r="Z1082" s="107"/>
      <c r="AA1082" s="107"/>
      <c r="AB1082" s="107"/>
      <c r="AC1082" s="355"/>
      <c r="AD1082" s="355"/>
      <c r="AE1082" s="355"/>
      <c r="AF1082" s="94">
        <f t="shared" si="146"/>
        <v>42307</v>
      </c>
      <c r="AG1082" s="185">
        <f t="shared" si="150"/>
        <v>2.7779841785022796E-2</v>
      </c>
      <c r="AH1082" s="339" t="str">
        <f>VLOOKUP(B1082,'MF PF'!A:B,2)</f>
        <v>FdMgt1</v>
      </c>
      <c r="AI1082" s="358">
        <f t="shared" si="147"/>
        <v>0</v>
      </c>
      <c r="AJ1082" s="94">
        <f t="shared" si="148"/>
        <v>42308</v>
      </c>
    </row>
    <row r="1083" spans="1:36" ht="12.75" customHeight="1">
      <c r="A1083" s="8">
        <v>42338</v>
      </c>
      <c r="B1083" s="94" t="s">
        <v>136</v>
      </c>
      <c r="C1083" s="358" t="s">
        <v>310</v>
      </c>
      <c r="D1083" s="374">
        <v>1723020.3655000001</v>
      </c>
      <c r="E1083" s="9" t="e">
        <f t="shared" si="151"/>
        <v>#DIV/0!</v>
      </c>
      <c r="F1083" s="98">
        <v>2.67</v>
      </c>
      <c r="G1083" s="98">
        <v>133500</v>
      </c>
      <c r="H1083" s="98">
        <v>0</v>
      </c>
      <c r="I1083" s="98">
        <v>0</v>
      </c>
      <c r="J1083" s="98"/>
      <c r="K1083" s="93"/>
      <c r="L1083" s="93">
        <f t="shared" si="144"/>
        <v>133500</v>
      </c>
      <c r="M1083" s="95" t="e">
        <f t="shared" ca="1" si="145"/>
        <v>#DIV/0!</v>
      </c>
      <c r="N1083" s="95">
        <f>IF(P1083="Hedge Fund",IF(A1083=Summary!$AD$3,M1083-E1083,M1083),IF(A1083=Summary!$AD$3,L1083-D1083,L1083))</f>
        <v>133500</v>
      </c>
      <c r="O1083" s="95">
        <f t="shared" si="149"/>
        <v>133500</v>
      </c>
      <c r="P1083" s="107" t="s">
        <v>155</v>
      </c>
      <c r="Q1083" s="107">
        <v>0</v>
      </c>
      <c r="R1083" s="107">
        <v>0</v>
      </c>
      <c r="S1083" s="107">
        <v>0</v>
      </c>
      <c r="T1083" s="107">
        <v>0</v>
      </c>
      <c r="U1083" s="107"/>
      <c r="V1083" s="107"/>
      <c r="W1083" s="107"/>
      <c r="X1083" s="107"/>
      <c r="Y1083" s="107"/>
      <c r="Z1083" s="107"/>
      <c r="AA1083" s="107"/>
      <c r="AB1083" s="107"/>
      <c r="AC1083" s="355"/>
      <c r="AD1083" s="355"/>
      <c r="AE1083" s="355"/>
      <c r="AF1083" s="94">
        <f t="shared" si="146"/>
        <v>42338</v>
      </c>
      <c r="AG1083" s="185">
        <f t="shared" si="150"/>
        <v>-2.9171444636527655E-3</v>
      </c>
      <c r="AH1083" s="339" t="str">
        <f>VLOOKUP(B1083,'MF PF'!A:B,2)</f>
        <v>FdMgt1</v>
      </c>
      <c r="AI1083" s="358">
        <f t="shared" si="147"/>
        <v>0</v>
      </c>
      <c r="AJ1083" s="94">
        <f t="shared" si="148"/>
        <v>42338</v>
      </c>
    </row>
    <row r="1084" spans="1:36" ht="12.75" customHeight="1">
      <c r="A1084" s="94">
        <v>42369</v>
      </c>
      <c r="B1084" s="94" t="s">
        <v>136</v>
      </c>
      <c r="C1084" s="358" t="s">
        <v>310</v>
      </c>
      <c r="D1084" s="374">
        <v>1733415.8230000001</v>
      </c>
      <c r="E1084" s="9" t="e">
        <f t="shared" si="151"/>
        <v>#DIV/0!</v>
      </c>
      <c r="F1084" s="47">
        <v>2.67</v>
      </c>
      <c r="G1084" s="47">
        <v>0</v>
      </c>
      <c r="H1084" s="47">
        <v>0</v>
      </c>
      <c r="I1084" s="98">
        <v>0</v>
      </c>
      <c r="J1084" s="98"/>
      <c r="K1084" s="93"/>
      <c r="L1084" s="93">
        <f t="shared" si="144"/>
        <v>0</v>
      </c>
      <c r="M1084" s="95" t="e">
        <f t="shared" ca="1" si="145"/>
        <v>#DIV/0!</v>
      </c>
      <c r="N1084" s="95">
        <f>IF(P1084="Hedge Fund",IF(A1084=Summary!$AD$3,M1084-E1084,M1084),IF(A1084=Summary!$AD$3,L1084-D1084,L1084))</f>
        <v>0</v>
      </c>
      <c r="O1084" s="95">
        <f t="shared" si="149"/>
        <v>0</v>
      </c>
      <c r="P1084" s="89" t="s">
        <v>155</v>
      </c>
      <c r="Q1084" s="107">
        <v>0</v>
      </c>
      <c r="R1084" s="107">
        <v>0</v>
      </c>
      <c r="S1084" s="107">
        <v>0</v>
      </c>
      <c r="T1084" s="107">
        <v>0</v>
      </c>
      <c r="U1084" s="107"/>
      <c r="V1084" s="107"/>
      <c r="W1084" s="107"/>
      <c r="X1084" s="107"/>
      <c r="Y1084" s="89"/>
      <c r="Z1084" s="89"/>
      <c r="AA1084" s="89"/>
      <c r="AB1084" s="89"/>
      <c r="AC1084" s="355"/>
      <c r="AD1084" s="355"/>
      <c r="AE1084" s="355"/>
      <c r="AF1084" s="94">
        <f t="shared" si="146"/>
        <v>42369</v>
      </c>
      <c r="AG1084" s="185">
        <f t="shared" si="150"/>
        <v>6.0332760471948355E-3</v>
      </c>
      <c r="AH1084" s="339" t="str">
        <f>VLOOKUP(B1084,'MF PF'!A:B,2)</f>
        <v>FdMgt1</v>
      </c>
      <c r="AI1084" s="358">
        <f t="shared" si="147"/>
        <v>0</v>
      </c>
      <c r="AJ1084" s="94">
        <f t="shared" si="148"/>
        <v>42369</v>
      </c>
    </row>
    <row r="1085" spans="1:36" ht="12.75" customHeight="1">
      <c r="A1085" s="8">
        <v>42398</v>
      </c>
      <c r="B1085" s="94" t="s">
        <v>136</v>
      </c>
      <c r="C1085" s="358" t="s">
        <v>310</v>
      </c>
      <c r="D1085" s="374">
        <v>1705873.7660000001</v>
      </c>
      <c r="E1085" s="9" t="e">
        <f t="shared" si="151"/>
        <v>#DIV/0!</v>
      </c>
      <c r="F1085" s="47">
        <v>2.67</v>
      </c>
      <c r="G1085" s="47">
        <v>0</v>
      </c>
      <c r="H1085" s="47">
        <v>0</v>
      </c>
      <c r="I1085" s="98">
        <v>0</v>
      </c>
      <c r="J1085" s="98"/>
      <c r="K1085" s="93"/>
      <c r="L1085" s="93">
        <f t="shared" si="144"/>
        <v>0</v>
      </c>
      <c r="M1085" s="95" t="e">
        <f t="shared" ca="1" si="145"/>
        <v>#DIV/0!</v>
      </c>
      <c r="N1085" s="95">
        <f>IF(P1085="Hedge Fund",IF(A1085=Summary!$AD$3,M1085-E1085,M1085),IF(A1085=Summary!$AD$3,L1085-D1085,L1085))</f>
        <v>0</v>
      </c>
      <c r="O1085" s="95">
        <f t="shared" si="149"/>
        <v>0</v>
      </c>
      <c r="P1085" s="89" t="s">
        <v>155</v>
      </c>
      <c r="Q1085" s="107">
        <v>0</v>
      </c>
      <c r="R1085" s="107">
        <v>0</v>
      </c>
      <c r="S1085" s="89">
        <v>0</v>
      </c>
      <c r="T1085" s="89">
        <v>0</v>
      </c>
      <c r="U1085" s="89"/>
      <c r="V1085" s="89"/>
      <c r="W1085" s="89"/>
      <c r="X1085" s="89"/>
      <c r="Y1085" s="89"/>
      <c r="Z1085" s="89"/>
      <c r="AA1085" s="89"/>
      <c r="AB1085" s="89"/>
      <c r="AC1085" s="355"/>
      <c r="AD1085" s="355"/>
      <c r="AE1085" s="355"/>
      <c r="AF1085" s="94">
        <f t="shared" si="146"/>
        <v>42398</v>
      </c>
      <c r="AG1085" s="185">
        <f t="shared" si="150"/>
        <v>-1.5888892113799513E-2</v>
      </c>
      <c r="AH1085" s="339" t="str">
        <f>VLOOKUP(B1085,'MF PF'!A:B,2)</f>
        <v>FdMgt1</v>
      </c>
      <c r="AI1085" s="358">
        <f t="shared" si="147"/>
        <v>0</v>
      </c>
      <c r="AJ1085" s="94">
        <f t="shared" si="148"/>
        <v>42400</v>
      </c>
    </row>
    <row r="1086" spans="1:36" ht="12.75" customHeight="1">
      <c r="A1086" s="8">
        <v>42429</v>
      </c>
      <c r="B1086" s="94" t="s">
        <v>136</v>
      </c>
      <c r="C1086" s="358" t="s">
        <v>310</v>
      </c>
      <c r="D1086" s="374">
        <v>2334662.2004999998</v>
      </c>
      <c r="E1086" s="9" t="e">
        <f t="shared" si="151"/>
        <v>#DIV/0!</v>
      </c>
      <c r="F1086" s="47">
        <v>2.67</v>
      </c>
      <c r="G1086" s="47">
        <v>598080</v>
      </c>
      <c r="H1086" s="47">
        <v>0</v>
      </c>
      <c r="I1086" s="98">
        <v>0</v>
      </c>
      <c r="J1086" s="98"/>
      <c r="K1086" s="93"/>
      <c r="L1086" s="93">
        <f t="shared" si="144"/>
        <v>598080</v>
      </c>
      <c r="M1086" s="95" t="e">
        <f t="shared" ca="1" si="145"/>
        <v>#DIV/0!</v>
      </c>
      <c r="N1086" s="95">
        <f>IF(P1086="Hedge Fund",IF(A1086=Summary!$AD$3,M1086-E1086,M1086),IF(A1086=Summary!$AD$3,L1086-D1086,L1086))</f>
        <v>598080</v>
      </c>
      <c r="O1086" s="95">
        <f t="shared" si="149"/>
        <v>598080</v>
      </c>
      <c r="P1086" s="89" t="s">
        <v>155</v>
      </c>
      <c r="Q1086" s="107">
        <v>0</v>
      </c>
      <c r="R1086" s="107">
        <v>0</v>
      </c>
      <c r="S1086" s="89">
        <v>0</v>
      </c>
      <c r="T1086" s="89">
        <v>0</v>
      </c>
      <c r="U1086" s="89"/>
      <c r="V1086" s="89"/>
      <c r="W1086" s="89"/>
      <c r="X1086" s="89"/>
      <c r="Y1086" s="89"/>
      <c r="Z1086" s="89"/>
      <c r="AA1086" s="89"/>
      <c r="AB1086" s="89"/>
      <c r="AC1086" s="355"/>
      <c r="AD1086" s="355"/>
      <c r="AE1086" s="355"/>
      <c r="AF1086" s="94">
        <f t="shared" si="146"/>
        <v>42429</v>
      </c>
      <c r="AG1086" s="185">
        <f t="shared" si="150"/>
        <v>1.80015867012282E-2</v>
      </c>
      <c r="AH1086" s="339" t="str">
        <f>VLOOKUP(B1086,'MF PF'!A:B,2)</f>
        <v>FdMgt1</v>
      </c>
      <c r="AI1086" s="358">
        <f t="shared" si="147"/>
        <v>0</v>
      </c>
      <c r="AJ1086" s="94">
        <f t="shared" si="148"/>
        <v>42429</v>
      </c>
    </row>
    <row r="1087" spans="1:36" ht="12.75" customHeight="1">
      <c r="A1087" s="94">
        <v>42460</v>
      </c>
      <c r="B1087" s="94" t="s">
        <v>136</v>
      </c>
      <c r="C1087" s="358" t="s">
        <v>310</v>
      </c>
      <c r="D1087" s="374">
        <v>2350747.3539999998</v>
      </c>
      <c r="E1087" s="9" t="e">
        <f t="shared" si="151"/>
        <v>#DIV/0!</v>
      </c>
      <c r="F1087" s="98">
        <v>2.67</v>
      </c>
      <c r="G1087" s="98">
        <v>0</v>
      </c>
      <c r="H1087" s="98">
        <v>0</v>
      </c>
      <c r="I1087" s="98">
        <v>0</v>
      </c>
      <c r="J1087" s="98"/>
      <c r="K1087" s="93"/>
      <c r="L1087" s="93">
        <f t="shared" si="144"/>
        <v>0</v>
      </c>
      <c r="M1087" s="95" t="e">
        <f t="shared" ca="1" si="145"/>
        <v>#DIV/0!</v>
      </c>
      <c r="N1087" s="95">
        <f>IF(P1087="Hedge Fund",IF(A1087=Summary!$AD$3,M1087-E1087,M1087),IF(A1087=Summary!$AD$3,L1087-D1087,L1087))</f>
        <v>0</v>
      </c>
      <c r="O1087" s="95">
        <f t="shared" si="149"/>
        <v>0</v>
      </c>
      <c r="P1087" s="107" t="s">
        <v>155</v>
      </c>
      <c r="Q1087" s="107">
        <v>0</v>
      </c>
      <c r="R1087" s="107">
        <v>0</v>
      </c>
      <c r="S1087" s="107">
        <v>0</v>
      </c>
      <c r="T1087" s="107">
        <v>0</v>
      </c>
      <c r="U1087" s="107"/>
      <c r="V1087" s="107"/>
      <c r="W1087" s="107"/>
      <c r="X1087" s="107"/>
      <c r="Y1087" s="107"/>
      <c r="Z1087" s="107"/>
      <c r="AA1087" s="107"/>
      <c r="AB1087" s="107"/>
      <c r="AC1087" s="355"/>
      <c r="AD1087" s="355"/>
      <c r="AE1087" s="355"/>
      <c r="AF1087" s="94">
        <f t="shared" si="146"/>
        <v>42460</v>
      </c>
      <c r="AG1087" s="185">
        <f t="shared" si="150"/>
        <v>6.8897134225907042E-3</v>
      </c>
      <c r="AH1087" s="339" t="str">
        <f>VLOOKUP(B1087,'MF PF'!A:B,2)</f>
        <v>FdMgt1</v>
      </c>
      <c r="AI1087" s="358">
        <f t="shared" si="147"/>
        <v>0</v>
      </c>
      <c r="AJ1087" s="94">
        <f t="shared" si="148"/>
        <v>42460</v>
      </c>
    </row>
    <row r="1088" spans="1:36" ht="12.75" customHeight="1">
      <c r="A1088" s="94">
        <v>42489</v>
      </c>
      <c r="B1088" s="94" t="s">
        <v>136</v>
      </c>
      <c r="C1088" s="358" t="s">
        <v>310</v>
      </c>
      <c r="D1088" s="374">
        <v>2810271.5644999999</v>
      </c>
      <c r="E1088" s="9" t="e">
        <f t="shared" si="151"/>
        <v>#DIV/0!</v>
      </c>
      <c r="F1088" s="98">
        <v>2.67</v>
      </c>
      <c r="G1088" s="98">
        <v>432540</v>
      </c>
      <c r="H1088" s="98">
        <v>0</v>
      </c>
      <c r="I1088" s="98">
        <v>0</v>
      </c>
      <c r="J1088" s="98"/>
      <c r="K1088" s="93"/>
      <c r="L1088" s="93">
        <f t="shared" si="144"/>
        <v>432540</v>
      </c>
      <c r="M1088" s="95" t="e">
        <f t="shared" ca="1" si="145"/>
        <v>#DIV/0!</v>
      </c>
      <c r="N1088" s="95">
        <f>IF(P1088="Hedge Fund",IF(A1088=Summary!$AD$3,M1088-E1088,M1088),IF(A1088=Summary!$AD$3,L1088-D1088,L1088))</f>
        <v>432540</v>
      </c>
      <c r="O1088" s="95">
        <f t="shared" si="149"/>
        <v>432540</v>
      </c>
      <c r="P1088" s="107" t="s">
        <v>155</v>
      </c>
      <c r="Q1088" s="107">
        <v>0</v>
      </c>
      <c r="R1088" s="107">
        <v>0</v>
      </c>
      <c r="S1088" s="107">
        <v>0</v>
      </c>
      <c r="T1088" s="107">
        <v>0</v>
      </c>
      <c r="U1088" s="107"/>
      <c r="V1088" s="107"/>
      <c r="W1088" s="107"/>
      <c r="X1088" s="107"/>
      <c r="Y1088" s="107"/>
      <c r="Z1088" s="107"/>
      <c r="AA1088" s="107"/>
      <c r="AB1088" s="107"/>
      <c r="AC1088" s="355"/>
      <c r="AD1088" s="355"/>
      <c r="AE1088" s="355"/>
      <c r="AF1088" s="94">
        <f t="shared" si="146"/>
        <v>42489</v>
      </c>
      <c r="AG1088" s="185">
        <f t="shared" si="150"/>
        <v>1.1478992182670789E-2</v>
      </c>
      <c r="AH1088" s="339" t="str">
        <f>VLOOKUP(B1088,'MF PF'!A:B,2)</f>
        <v>FdMgt1</v>
      </c>
      <c r="AI1088" s="358">
        <f t="shared" si="147"/>
        <v>0</v>
      </c>
      <c r="AJ1088" s="94">
        <f t="shared" si="148"/>
        <v>42490</v>
      </c>
    </row>
    <row r="1089" spans="1:36" ht="12.75" customHeight="1">
      <c r="A1089" s="94">
        <v>42521</v>
      </c>
      <c r="B1089" s="94" t="s">
        <v>136</v>
      </c>
      <c r="C1089" s="358" t="s">
        <v>310</v>
      </c>
      <c r="D1089" s="374">
        <v>2840150.0759999999</v>
      </c>
      <c r="E1089" s="9" t="e">
        <f t="shared" si="151"/>
        <v>#DIV/0!</v>
      </c>
      <c r="F1089" s="98">
        <v>2.67</v>
      </c>
      <c r="G1089" s="98">
        <v>0</v>
      </c>
      <c r="H1089" s="98">
        <v>0</v>
      </c>
      <c r="I1089" s="98">
        <v>0</v>
      </c>
      <c r="J1089" s="98"/>
      <c r="L1089" s="93">
        <f t="shared" si="144"/>
        <v>0</v>
      </c>
      <c r="M1089" s="95" t="e">
        <f t="shared" ca="1" si="145"/>
        <v>#DIV/0!</v>
      </c>
      <c r="N1089" s="95">
        <f>IF(P1089="Hedge Fund",IF(A1089=Summary!$AD$3,M1089-E1089,M1089),IF(A1089=Summary!$AD$3,L1089-D1089,L1089))</f>
        <v>0</v>
      </c>
      <c r="O1089" s="95">
        <f t="shared" si="149"/>
        <v>0</v>
      </c>
      <c r="P1089" s="107" t="s">
        <v>155</v>
      </c>
      <c r="Q1089" s="107">
        <v>0</v>
      </c>
      <c r="R1089" s="107">
        <v>0</v>
      </c>
      <c r="S1089" s="107">
        <v>0</v>
      </c>
      <c r="T1089" s="107">
        <v>0</v>
      </c>
      <c r="U1089" s="107"/>
      <c r="V1089" s="107"/>
      <c r="W1089" s="107"/>
      <c r="X1089" s="107"/>
      <c r="Y1089" s="107"/>
      <c r="Z1089" s="107"/>
      <c r="AA1089" s="107"/>
      <c r="AB1089" s="107"/>
      <c r="AC1089" s="355"/>
      <c r="AD1089" s="355"/>
      <c r="AE1089" s="355"/>
      <c r="AF1089" s="94">
        <f t="shared" si="146"/>
        <v>42521</v>
      </c>
      <c r="AG1089" s="185">
        <f t="shared" si="150"/>
        <v>1.0631894752604065E-2</v>
      </c>
      <c r="AH1089" s="339" t="str">
        <f>VLOOKUP(B1089,'MF PF'!A:B,2)</f>
        <v>FdMgt1</v>
      </c>
      <c r="AI1089" s="358">
        <f t="shared" si="147"/>
        <v>0</v>
      </c>
      <c r="AJ1089" s="94">
        <f t="shared" si="148"/>
        <v>42521</v>
      </c>
    </row>
    <row r="1090" spans="1:36" ht="12.75" customHeight="1">
      <c r="A1090" s="94">
        <v>42551</v>
      </c>
      <c r="B1090" s="94" t="s">
        <v>136</v>
      </c>
      <c r="C1090" s="358" t="s">
        <v>310</v>
      </c>
      <c r="D1090" s="374">
        <v>2897727.4015000002</v>
      </c>
      <c r="E1090" s="9" t="e">
        <f t="shared" si="151"/>
        <v>#DIV/0!</v>
      </c>
      <c r="F1090" s="98">
        <v>2.67</v>
      </c>
      <c r="G1090" s="98">
        <v>0</v>
      </c>
      <c r="H1090" s="98">
        <v>0</v>
      </c>
      <c r="I1090" s="98">
        <v>0</v>
      </c>
      <c r="J1090" s="98"/>
      <c r="L1090" s="93">
        <f t="shared" si="144"/>
        <v>0</v>
      </c>
      <c r="M1090" s="95" t="e">
        <f t="shared" ca="1" si="145"/>
        <v>#DIV/0!</v>
      </c>
      <c r="N1090" s="95">
        <f>IF(P1090="Hedge Fund",IF(A1090=Summary!$AD$3,M1090-E1090,M1090),IF(A1090=Summary!$AD$3,L1090-D1090,L1090))</f>
        <v>0</v>
      </c>
      <c r="O1090" s="95">
        <f t="shared" si="149"/>
        <v>0</v>
      </c>
      <c r="P1090" s="107" t="s">
        <v>155</v>
      </c>
      <c r="Q1090" s="107">
        <v>0</v>
      </c>
      <c r="R1090" s="107">
        <v>0</v>
      </c>
      <c r="S1090" s="107">
        <v>0</v>
      </c>
      <c r="T1090" s="107">
        <v>0</v>
      </c>
      <c r="U1090" s="107"/>
      <c r="V1090" s="107"/>
      <c r="W1090" s="107"/>
      <c r="X1090" s="107"/>
      <c r="Y1090" s="107"/>
      <c r="Z1090" s="107"/>
      <c r="AA1090" s="107"/>
      <c r="AB1090" s="107"/>
      <c r="AC1090" s="355"/>
      <c r="AD1090" s="355"/>
      <c r="AE1090" s="355"/>
      <c r="AF1090" s="94">
        <f t="shared" si="146"/>
        <v>42551</v>
      </c>
      <c r="AG1090" s="185">
        <f t="shared" si="150"/>
        <v>2.0272634881707052E-2</v>
      </c>
      <c r="AH1090" s="339" t="str">
        <f>VLOOKUP(B1090,'MF PF'!A:B,2)</f>
        <v>FdMgt1</v>
      </c>
      <c r="AI1090" s="358">
        <f t="shared" si="147"/>
        <v>0</v>
      </c>
      <c r="AJ1090" s="94">
        <f t="shared" si="148"/>
        <v>42551</v>
      </c>
    </row>
    <row r="1091" spans="1:36" ht="12.75" customHeight="1">
      <c r="A1091" s="8">
        <v>42580</v>
      </c>
      <c r="B1091" s="94" t="s">
        <v>136</v>
      </c>
      <c r="C1091" s="358" t="s">
        <v>310</v>
      </c>
      <c r="D1091" s="374">
        <v>2926397.094</v>
      </c>
      <c r="E1091" s="9" t="e">
        <f t="shared" si="151"/>
        <v>#DIV/0!</v>
      </c>
      <c r="F1091" s="98">
        <v>2.67</v>
      </c>
      <c r="G1091" s="98">
        <v>0</v>
      </c>
      <c r="H1091" s="98">
        <v>0</v>
      </c>
      <c r="I1091" s="98">
        <v>0</v>
      </c>
      <c r="J1091" s="98"/>
      <c r="L1091" s="93">
        <f t="shared" ref="L1091:L1154" si="152">G1091+H1091+I1091</f>
        <v>0</v>
      </c>
      <c r="M1091" s="95" t="e">
        <f t="shared" ref="M1091:M1154" ca="1" si="153">IF(A1091&gt;INDIRECT("A"&amp;ROW()-1),I1091/K1091,E1091)</f>
        <v>#DIV/0!</v>
      </c>
      <c r="N1091" s="95">
        <f>IF(P1091="Hedge Fund",IF(A1091=Summary!$AD$3,M1091-E1091,M1091),IF(A1091=Summary!$AD$3,L1091-D1091,L1091))</f>
        <v>0</v>
      </c>
      <c r="O1091" s="95">
        <f t="shared" si="149"/>
        <v>0</v>
      </c>
      <c r="P1091" s="107" t="s">
        <v>155</v>
      </c>
      <c r="Q1091" s="107">
        <v>0</v>
      </c>
      <c r="R1091" s="107">
        <v>0</v>
      </c>
      <c r="S1091" s="107">
        <v>0</v>
      </c>
      <c r="T1091" s="107">
        <v>0</v>
      </c>
      <c r="U1091" s="107"/>
      <c r="V1091" s="107"/>
      <c r="W1091" s="107"/>
      <c r="X1091" s="107"/>
      <c r="Y1091" s="107"/>
      <c r="Z1091" s="107"/>
      <c r="AA1091" s="107"/>
      <c r="AB1091" s="107"/>
      <c r="AC1091" s="355"/>
      <c r="AD1091" s="355"/>
      <c r="AE1091" s="355"/>
      <c r="AF1091" s="94">
        <f t="shared" ref="AF1091:AF1154" si="154">A1091</f>
        <v>42580</v>
      </c>
      <c r="AG1091" s="185">
        <f t="shared" si="150"/>
        <v>9.8938542269915164E-3</v>
      </c>
      <c r="AH1091" s="339" t="str">
        <f>VLOOKUP(B1091,'MF PF'!A:B,2)</f>
        <v>FdMgt1</v>
      </c>
      <c r="AI1091" s="358">
        <f t="shared" ref="AI1091:AI1154" si="155">AF1091-A1091</f>
        <v>0</v>
      </c>
      <c r="AJ1091" s="94">
        <f t="shared" ref="AJ1091:AJ1154" si="156">EOMONTH(A1091,0)</f>
        <v>42582</v>
      </c>
    </row>
    <row r="1092" spans="1:36" ht="12.75" customHeight="1">
      <c r="A1092" s="94">
        <v>42613</v>
      </c>
      <c r="B1092" s="94" t="s">
        <v>136</v>
      </c>
      <c r="C1092" s="358" t="s">
        <v>310</v>
      </c>
      <c r="D1092" s="374">
        <v>2913673.2230000002</v>
      </c>
      <c r="E1092" s="9" t="e">
        <f t="shared" si="151"/>
        <v>#DIV/0!</v>
      </c>
      <c r="F1092" s="98">
        <v>2.67</v>
      </c>
      <c r="G1092" s="98">
        <v>0</v>
      </c>
      <c r="H1092" s="98">
        <v>0</v>
      </c>
      <c r="I1092" s="98">
        <v>0</v>
      </c>
      <c r="J1092" s="98"/>
      <c r="L1092" s="93">
        <f t="shared" si="152"/>
        <v>0</v>
      </c>
      <c r="M1092" s="95" t="e">
        <f t="shared" ca="1" si="153"/>
        <v>#DIV/0!</v>
      </c>
      <c r="N1092" s="95">
        <f>IF(P1092="Hedge Fund",IF(A1092=Summary!$AD$3,M1092-E1092,M1092),IF(A1092=Summary!$AD$3,L1092-D1092,L1092))</f>
        <v>0</v>
      </c>
      <c r="O1092" s="95">
        <f t="shared" si="149"/>
        <v>0</v>
      </c>
      <c r="P1092" s="107" t="s">
        <v>155</v>
      </c>
      <c r="Q1092" s="107">
        <v>0</v>
      </c>
      <c r="R1092" s="107">
        <v>0</v>
      </c>
      <c r="S1092" s="107">
        <v>0</v>
      </c>
      <c r="T1092" s="107">
        <v>0</v>
      </c>
      <c r="U1092" s="107"/>
      <c r="V1092" s="107"/>
      <c r="W1092" s="107"/>
      <c r="X1092" s="107"/>
      <c r="Y1092" s="107"/>
      <c r="Z1092" s="107"/>
      <c r="AA1092" s="107"/>
      <c r="AB1092" s="107"/>
      <c r="AC1092" s="355"/>
      <c r="AD1092" s="355"/>
      <c r="AE1092" s="355"/>
      <c r="AF1092" s="94">
        <f t="shared" si="154"/>
        <v>42613</v>
      </c>
      <c r="AG1092" s="185">
        <f t="shared" si="150"/>
        <v>-4.3479646101644009E-3</v>
      </c>
      <c r="AH1092" s="339" t="str">
        <f>VLOOKUP(B1092,'MF PF'!A:B,2)</f>
        <v>FdMgt1</v>
      </c>
      <c r="AI1092" s="358">
        <f t="shared" si="155"/>
        <v>0</v>
      </c>
      <c r="AJ1092" s="94">
        <f t="shared" si="156"/>
        <v>42613</v>
      </c>
    </row>
    <row r="1093" spans="1:36" ht="12.75" customHeight="1">
      <c r="A1093" s="8">
        <v>42643</v>
      </c>
      <c r="B1093" s="94" t="s">
        <v>136</v>
      </c>
      <c r="C1093" s="358" t="s">
        <v>310</v>
      </c>
      <c r="D1093" s="374">
        <v>3018880.2815</v>
      </c>
      <c r="E1093" s="9" t="e">
        <f t="shared" si="151"/>
        <v>#DIV/0!</v>
      </c>
      <c r="F1093" s="98">
        <v>2.67</v>
      </c>
      <c r="G1093" s="98">
        <v>0</v>
      </c>
      <c r="H1093" s="98">
        <v>0</v>
      </c>
      <c r="I1093" s="98">
        <v>0</v>
      </c>
      <c r="J1093" s="98"/>
      <c r="L1093" s="93">
        <f t="shared" si="152"/>
        <v>0</v>
      </c>
      <c r="M1093" s="95" t="e">
        <f t="shared" ca="1" si="153"/>
        <v>#DIV/0!</v>
      </c>
      <c r="N1093" s="95">
        <f>IF(P1093="Hedge Fund",IF(A1093=Summary!$AD$3,M1093-E1093,M1093),IF(A1093=Summary!$AD$3,L1093-D1093,L1093))</f>
        <v>0</v>
      </c>
      <c r="O1093" s="95">
        <f t="shared" si="149"/>
        <v>0</v>
      </c>
      <c r="P1093" s="107" t="s">
        <v>155</v>
      </c>
      <c r="Q1093" s="107">
        <v>0</v>
      </c>
      <c r="R1093" s="107">
        <v>0</v>
      </c>
      <c r="S1093" s="107">
        <v>0</v>
      </c>
      <c r="T1093" s="107">
        <v>0</v>
      </c>
      <c r="U1093" s="107"/>
      <c r="V1093" s="107"/>
      <c r="W1093" s="107"/>
      <c r="X1093" s="107"/>
      <c r="Y1093" s="107"/>
      <c r="Z1093" s="107"/>
      <c r="AA1093" s="107"/>
      <c r="AB1093" s="107"/>
      <c r="AC1093" s="355"/>
      <c r="AD1093" s="355"/>
      <c r="AE1093" s="355"/>
      <c r="AF1093" s="94">
        <f t="shared" si="154"/>
        <v>42643</v>
      </c>
      <c r="AG1093" s="185">
        <f t="shared" si="150"/>
        <v>3.6108050027544136E-2</v>
      </c>
      <c r="AH1093" s="339" t="str">
        <f>VLOOKUP(B1093,'MF PF'!A:B,2)</f>
        <v>FdMgt1</v>
      </c>
      <c r="AI1093" s="358">
        <f t="shared" si="155"/>
        <v>0</v>
      </c>
      <c r="AJ1093" s="94">
        <f t="shared" si="156"/>
        <v>42643</v>
      </c>
    </row>
    <row r="1094" spans="1:36" ht="12.75" customHeight="1">
      <c r="A1094" s="8">
        <v>42674</v>
      </c>
      <c r="B1094" s="94" t="s">
        <v>136</v>
      </c>
      <c r="C1094" s="358" t="s">
        <v>310</v>
      </c>
      <c r="D1094" s="374">
        <v>3087154.7039999999</v>
      </c>
      <c r="E1094" s="9" t="e">
        <f t="shared" si="151"/>
        <v>#DIV/0!</v>
      </c>
      <c r="F1094" s="47">
        <v>2.67</v>
      </c>
      <c r="G1094" s="47">
        <v>0</v>
      </c>
      <c r="H1094" s="47">
        <v>0</v>
      </c>
      <c r="I1094" s="98">
        <v>0</v>
      </c>
      <c r="J1094" s="98"/>
      <c r="L1094" s="93">
        <f t="shared" si="152"/>
        <v>0</v>
      </c>
      <c r="M1094" s="95" t="e">
        <f t="shared" ca="1" si="153"/>
        <v>#DIV/0!</v>
      </c>
      <c r="N1094" s="95">
        <f>IF(P1094="Hedge Fund",IF(A1094=Summary!$AD$3,M1094-E1094,M1094),IF(A1094=Summary!$AD$3,L1094-D1094,L1094))</f>
        <v>0</v>
      </c>
      <c r="O1094" s="95">
        <f t="shared" si="149"/>
        <v>0</v>
      </c>
      <c r="P1094" s="89" t="s">
        <v>155</v>
      </c>
      <c r="Q1094" s="107">
        <v>0</v>
      </c>
      <c r="R1094" s="89">
        <v>0</v>
      </c>
      <c r="S1094" s="89">
        <v>0</v>
      </c>
      <c r="T1094" s="89">
        <v>0</v>
      </c>
      <c r="U1094" s="89"/>
      <c r="V1094" s="89"/>
      <c r="W1094" s="89"/>
      <c r="X1094" s="89"/>
      <c r="Y1094" s="89"/>
      <c r="Z1094" s="89"/>
      <c r="AA1094" s="89"/>
      <c r="AB1094" s="89"/>
      <c r="AC1094" s="355"/>
      <c r="AD1094" s="355"/>
      <c r="AE1094" s="355"/>
      <c r="AF1094" s="94">
        <f t="shared" si="154"/>
        <v>42674</v>
      </c>
      <c r="AG1094" s="185">
        <f t="shared" si="150"/>
        <v>2.2615809881031845E-2</v>
      </c>
      <c r="AH1094" s="339" t="str">
        <f>VLOOKUP(B1094,'MF PF'!A:B,2)</f>
        <v>FdMgt1</v>
      </c>
      <c r="AI1094" s="358">
        <f t="shared" si="155"/>
        <v>0</v>
      </c>
      <c r="AJ1094" s="94">
        <f t="shared" si="156"/>
        <v>42674</v>
      </c>
    </row>
    <row r="1095" spans="1:36" ht="12.75" customHeight="1">
      <c r="A1095" s="8">
        <v>42704</v>
      </c>
      <c r="B1095" s="94" t="s">
        <v>136</v>
      </c>
      <c r="C1095" s="358" t="s">
        <v>310</v>
      </c>
      <c r="D1095" s="374">
        <v>3099473.2609999999</v>
      </c>
      <c r="E1095" s="9" t="e">
        <f t="shared" si="151"/>
        <v>#DIV/0!</v>
      </c>
      <c r="F1095" s="47">
        <v>2.67</v>
      </c>
      <c r="G1095" s="47">
        <v>0</v>
      </c>
      <c r="H1095" s="47">
        <v>0</v>
      </c>
      <c r="I1095" s="47">
        <v>0</v>
      </c>
      <c r="J1095" s="98"/>
      <c r="K1095" s="93"/>
      <c r="L1095" s="93">
        <f t="shared" si="152"/>
        <v>0</v>
      </c>
      <c r="M1095" s="95" t="e">
        <f t="shared" ca="1" si="153"/>
        <v>#DIV/0!</v>
      </c>
      <c r="N1095" s="95">
        <f>IF(P1095="Hedge Fund",IF(A1095=Summary!$AD$3,M1095-E1095,M1095),IF(A1095=Summary!$AD$3,L1095-D1095,L1095))</f>
        <v>0</v>
      </c>
      <c r="O1095" s="95">
        <f t="shared" si="149"/>
        <v>0</v>
      </c>
      <c r="P1095" s="89" t="s">
        <v>155</v>
      </c>
      <c r="Q1095" s="89">
        <v>0</v>
      </c>
      <c r="R1095" s="89">
        <v>0</v>
      </c>
      <c r="S1095" s="89">
        <v>0</v>
      </c>
      <c r="T1095" s="89">
        <v>0</v>
      </c>
      <c r="U1095" s="89"/>
      <c r="V1095" s="89"/>
      <c r="W1095" s="89"/>
      <c r="X1095" s="89"/>
      <c r="Y1095" s="89"/>
      <c r="Z1095" s="89"/>
      <c r="AA1095" s="89"/>
      <c r="AB1095" s="89"/>
      <c r="AC1095" s="355"/>
      <c r="AD1095" s="355"/>
      <c r="AE1095" s="355"/>
      <c r="AF1095" s="94">
        <f t="shared" si="154"/>
        <v>42704</v>
      </c>
      <c r="AG1095" s="185">
        <f t="shared" si="150"/>
        <v>3.9902622903993379E-3</v>
      </c>
      <c r="AH1095" s="339" t="str">
        <f>VLOOKUP(B1095,'MF PF'!A:B,2)</f>
        <v>FdMgt1</v>
      </c>
      <c r="AI1095" s="358">
        <f t="shared" si="155"/>
        <v>0</v>
      </c>
      <c r="AJ1095" s="94">
        <f t="shared" si="156"/>
        <v>42704</v>
      </c>
    </row>
    <row r="1096" spans="1:36" ht="12.75" customHeight="1">
      <c r="A1096" s="8">
        <v>42734</v>
      </c>
      <c r="B1096" s="94" t="s">
        <v>136</v>
      </c>
      <c r="C1096" s="358" t="s">
        <v>310</v>
      </c>
      <c r="D1096" s="374">
        <v>3082372.7655000002</v>
      </c>
      <c r="E1096" s="9" t="e">
        <f t="shared" si="151"/>
        <v>#DIV/0!</v>
      </c>
      <c r="F1096" s="47">
        <v>2.67</v>
      </c>
      <c r="G1096" s="47">
        <v>0</v>
      </c>
      <c r="H1096" s="47">
        <v>0</v>
      </c>
      <c r="I1096" s="47">
        <v>0</v>
      </c>
      <c r="J1096" s="98"/>
      <c r="K1096" s="93"/>
      <c r="L1096" s="93">
        <f t="shared" si="152"/>
        <v>0</v>
      </c>
      <c r="M1096" s="95" t="e">
        <f t="shared" ca="1" si="153"/>
        <v>#DIV/0!</v>
      </c>
      <c r="N1096" s="95">
        <f>IF(P1096="Hedge Fund",IF(A1096=Summary!$AD$3,M1096-E1096,M1096),IF(A1096=Summary!$AD$3,L1096-D1096,L1096))</f>
        <v>0</v>
      </c>
      <c r="O1096" s="95">
        <f t="shared" si="149"/>
        <v>0</v>
      </c>
      <c r="P1096" s="89" t="s">
        <v>155</v>
      </c>
      <c r="Q1096" s="89">
        <v>0</v>
      </c>
      <c r="R1096" s="89">
        <v>0</v>
      </c>
      <c r="S1096" s="89">
        <v>0</v>
      </c>
      <c r="T1096" s="89">
        <v>0</v>
      </c>
      <c r="U1096" s="89"/>
      <c r="V1096" s="89"/>
      <c r="W1096" s="89"/>
      <c r="X1096" s="89"/>
      <c r="Y1096" s="89"/>
      <c r="Z1096" s="89"/>
      <c r="AA1096" s="89"/>
      <c r="AB1096" s="89"/>
      <c r="AC1096" s="355"/>
      <c r="AD1096" s="355"/>
      <c r="AE1096" s="355"/>
      <c r="AF1096" s="94">
        <f t="shared" si="154"/>
        <v>42734</v>
      </c>
      <c r="AG1096" s="185">
        <f t="shared" si="150"/>
        <v>-5.5172263349296813E-3</v>
      </c>
      <c r="AH1096" s="339" t="str">
        <f>VLOOKUP(B1096,'MF PF'!A:B,2)</f>
        <v>FdMgt1</v>
      </c>
      <c r="AI1096" s="358">
        <f t="shared" si="155"/>
        <v>0</v>
      </c>
      <c r="AJ1096" s="94">
        <f t="shared" si="156"/>
        <v>42735</v>
      </c>
    </row>
    <row r="1097" spans="1:36" ht="12.75" customHeight="1">
      <c r="A1097" s="94">
        <v>42762</v>
      </c>
      <c r="B1097" s="94" t="s">
        <v>136</v>
      </c>
      <c r="C1097" s="358" t="s">
        <v>310</v>
      </c>
      <c r="D1097" s="374">
        <v>3127581.3925000001</v>
      </c>
      <c r="E1097" s="9" t="e">
        <f t="shared" si="151"/>
        <v>#DIV/0!</v>
      </c>
      <c r="F1097" s="98">
        <v>2.67</v>
      </c>
      <c r="G1097" s="98">
        <v>0</v>
      </c>
      <c r="H1097" s="98">
        <v>0</v>
      </c>
      <c r="I1097" s="98">
        <v>0</v>
      </c>
      <c r="J1097" s="98"/>
      <c r="K1097" s="93"/>
      <c r="L1097" s="93">
        <f t="shared" si="152"/>
        <v>0</v>
      </c>
      <c r="M1097" s="95" t="e">
        <f t="shared" ca="1" si="153"/>
        <v>#DIV/0!</v>
      </c>
      <c r="N1097" s="95">
        <f>IF(P1097="Hedge Fund",IF(A1097=Summary!$AD$3,M1097-E1097,M1097),IF(A1097=Summary!$AD$3,L1097-D1097,L1097))</f>
        <v>0</v>
      </c>
      <c r="O1097" s="95">
        <f t="shared" si="149"/>
        <v>0</v>
      </c>
      <c r="P1097" s="107" t="s">
        <v>155</v>
      </c>
      <c r="Q1097" s="107">
        <v>0</v>
      </c>
      <c r="R1097" s="107">
        <v>0</v>
      </c>
      <c r="S1097" s="107">
        <v>0</v>
      </c>
      <c r="T1097" s="107">
        <v>0</v>
      </c>
      <c r="U1097" s="107"/>
      <c r="V1097" s="107"/>
      <c r="W1097" s="107"/>
      <c r="X1097" s="107"/>
      <c r="Y1097" s="107"/>
      <c r="Z1097" s="107"/>
      <c r="AA1097" s="107"/>
      <c r="AB1097" s="107"/>
      <c r="AC1097" s="355"/>
      <c r="AD1097" s="355"/>
      <c r="AE1097" s="355"/>
      <c r="AF1097" s="94">
        <f t="shared" si="154"/>
        <v>42762</v>
      </c>
      <c r="AG1097" s="185">
        <f t="shared" si="150"/>
        <v>1.4666826642775188E-2</v>
      </c>
      <c r="AH1097" s="339" t="str">
        <f>VLOOKUP(B1097,'MF PF'!A:B,2)</f>
        <v>FdMgt1</v>
      </c>
      <c r="AI1097" s="358">
        <f t="shared" si="155"/>
        <v>0</v>
      </c>
      <c r="AJ1097" s="94">
        <f t="shared" si="156"/>
        <v>42766</v>
      </c>
    </row>
    <row r="1098" spans="1:36" ht="12.75" customHeight="1">
      <c r="A1098" s="8">
        <v>42794</v>
      </c>
      <c r="B1098" s="94" t="s">
        <v>136</v>
      </c>
      <c r="C1098" s="6" t="s">
        <v>310</v>
      </c>
      <c r="D1098" s="374">
        <v>3230890.0865000002</v>
      </c>
      <c r="E1098" s="9" t="e">
        <f t="shared" si="151"/>
        <v>#DIV/0!</v>
      </c>
      <c r="F1098" s="98">
        <v>2.67</v>
      </c>
      <c r="G1098" s="98">
        <v>0</v>
      </c>
      <c r="H1098" s="98">
        <v>0</v>
      </c>
      <c r="I1098" s="98">
        <v>0</v>
      </c>
      <c r="J1098" s="98"/>
      <c r="L1098" s="93">
        <f t="shared" si="152"/>
        <v>0</v>
      </c>
      <c r="M1098" s="95" t="e">
        <f t="shared" ca="1" si="153"/>
        <v>#DIV/0!</v>
      </c>
      <c r="N1098" s="95">
        <f>IF(P1098="Hedge Fund",IF(A1098=Summary!$AD$3,M1098-E1098,M1098),IF(A1098=Summary!$AD$3,L1098-D1098,L1098))</f>
        <v>0</v>
      </c>
      <c r="O1098" s="95">
        <f t="shared" si="149"/>
        <v>0</v>
      </c>
      <c r="P1098" s="107" t="s">
        <v>155</v>
      </c>
      <c r="Q1098" s="107">
        <v>0</v>
      </c>
      <c r="R1098" s="107">
        <v>0</v>
      </c>
      <c r="S1098" s="107">
        <v>0</v>
      </c>
      <c r="T1098" s="107">
        <v>0</v>
      </c>
      <c r="U1098" s="107"/>
      <c r="V1098" s="107"/>
      <c r="W1098" s="107"/>
      <c r="X1098" s="107"/>
      <c r="Y1098" s="107"/>
      <c r="Z1098" s="107"/>
      <c r="AA1098" s="107"/>
      <c r="AB1098" s="107"/>
      <c r="AC1098" s="355"/>
      <c r="AD1098" s="355"/>
      <c r="AE1098" s="355"/>
      <c r="AF1098" s="94">
        <f t="shared" si="154"/>
        <v>42794</v>
      </c>
      <c r="AG1098" s="185">
        <f t="shared" si="150"/>
        <v>3.3031496557607287E-2</v>
      </c>
      <c r="AH1098" s="339" t="str">
        <f>VLOOKUP(B1098,'MF PF'!A:B,2)</f>
        <v>FdMgt1</v>
      </c>
      <c r="AI1098" s="358">
        <f t="shared" si="155"/>
        <v>0</v>
      </c>
      <c r="AJ1098" s="94">
        <f t="shared" si="156"/>
        <v>42794</v>
      </c>
    </row>
    <row r="1099" spans="1:36" ht="12.75" customHeight="1">
      <c r="A1099" s="8">
        <v>42825</v>
      </c>
      <c r="B1099" s="94" t="s">
        <v>136</v>
      </c>
      <c r="C1099" s="6" t="s">
        <v>310</v>
      </c>
      <c r="D1099" s="374">
        <v>3187566.003</v>
      </c>
      <c r="E1099" s="9" t="e">
        <f t="shared" si="151"/>
        <v>#DIV/0!</v>
      </c>
      <c r="F1099" s="98">
        <v>2.67</v>
      </c>
      <c r="G1099" s="98">
        <v>0</v>
      </c>
      <c r="H1099" s="98">
        <v>0</v>
      </c>
      <c r="I1099" s="98">
        <v>0</v>
      </c>
      <c r="J1099" s="98"/>
      <c r="K1099" s="93"/>
      <c r="L1099" s="93">
        <f t="shared" si="152"/>
        <v>0</v>
      </c>
      <c r="M1099" s="95" t="e">
        <f t="shared" ca="1" si="153"/>
        <v>#DIV/0!</v>
      </c>
      <c r="N1099" s="95">
        <f>IF(P1099="Hedge Fund",IF(A1099=Summary!$AD$3,M1099-E1099,M1099),IF(A1099=Summary!$AD$3,L1099-D1099,L1099))</f>
        <v>0</v>
      </c>
      <c r="O1099" s="95">
        <f t="shared" si="149"/>
        <v>0</v>
      </c>
      <c r="P1099" s="107" t="s">
        <v>155</v>
      </c>
      <c r="Q1099" s="107">
        <v>0</v>
      </c>
      <c r="R1099" s="107">
        <v>0</v>
      </c>
      <c r="S1099" s="107">
        <v>0</v>
      </c>
      <c r="T1099" s="107">
        <v>0</v>
      </c>
      <c r="U1099" s="107"/>
      <c r="V1099" s="107"/>
      <c r="W1099" s="107"/>
      <c r="X1099" s="107"/>
      <c r="Y1099" s="107"/>
      <c r="Z1099" s="107"/>
      <c r="AA1099" s="107"/>
      <c r="AB1099" s="107"/>
      <c r="AC1099" s="355"/>
      <c r="AD1099" s="355"/>
      <c r="AE1099" s="355"/>
      <c r="AF1099" s="94">
        <f t="shared" si="154"/>
        <v>42825</v>
      </c>
      <c r="AG1099" s="185">
        <f t="shared" si="150"/>
        <v>-1.3409333756362107E-2</v>
      </c>
      <c r="AH1099" s="339" t="str">
        <f>VLOOKUP(B1099,'MF PF'!A:B,2)</f>
        <v>FdMgt1</v>
      </c>
      <c r="AI1099" s="358">
        <f t="shared" si="155"/>
        <v>0</v>
      </c>
      <c r="AJ1099" s="94">
        <f t="shared" si="156"/>
        <v>42825</v>
      </c>
    </row>
    <row r="1100" spans="1:36" ht="12.75" customHeight="1">
      <c r="A1100" s="8">
        <v>42853</v>
      </c>
      <c r="B1100" s="94" t="s">
        <v>136</v>
      </c>
      <c r="C1100" s="92" t="s">
        <v>310</v>
      </c>
      <c r="D1100" s="374">
        <v>3187248.1370000001</v>
      </c>
      <c r="E1100" s="95" t="e">
        <f t="shared" si="151"/>
        <v>#DIV/0!</v>
      </c>
      <c r="F1100" s="47">
        <v>2.67</v>
      </c>
      <c r="G1100" s="47">
        <v>0</v>
      </c>
      <c r="H1100" s="47">
        <v>0</v>
      </c>
      <c r="I1100" s="98">
        <v>0</v>
      </c>
      <c r="J1100" s="98"/>
      <c r="K1100" s="93"/>
      <c r="L1100" s="93">
        <f t="shared" si="152"/>
        <v>0</v>
      </c>
      <c r="M1100" s="95" t="e">
        <f t="shared" ca="1" si="153"/>
        <v>#DIV/0!</v>
      </c>
      <c r="N1100" s="95">
        <f>IF(P1100="Hedge Fund",IF(A1100=Summary!$AD$3,M1100-E1100,M1100),IF(A1100=Summary!$AD$3,L1100-D1100,L1100))</f>
        <v>0</v>
      </c>
      <c r="O1100" s="95">
        <f t="shared" si="149"/>
        <v>0</v>
      </c>
      <c r="P1100" s="89" t="s">
        <v>155</v>
      </c>
      <c r="Q1100" s="107">
        <v>0</v>
      </c>
      <c r="R1100" s="107">
        <v>0</v>
      </c>
      <c r="S1100" s="89">
        <v>0</v>
      </c>
      <c r="T1100" s="89">
        <v>0</v>
      </c>
      <c r="U1100" s="89"/>
      <c r="V1100" s="107"/>
      <c r="W1100" s="89"/>
      <c r="X1100" s="107"/>
      <c r="Y1100" s="89"/>
      <c r="Z1100" s="89"/>
      <c r="AA1100" s="89"/>
      <c r="AB1100" s="89"/>
      <c r="AC1100" s="355"/>
      <c r="AD1100" s="355"/>
      <c r="AE1100" s="355"/>
      <c r="AF1100" s="94">
        <f t="shared" si="154"/>
        <v>42853</v>
      </c>
      <c r="AG1100" s="185">
        <f t="shared" si="150"/>
        <v>-9.9720601769770489E-5</v>
      </c>
      <c r="AH1100" s="339" t="str">
        <f>VLOOKUP(B1100,'MF PF'!A:B,2)</f>
        <v>FdMgt1</v>
      </c>
      <c r="AI1100" s="358">
        <f t="shared" si="155"/>
        <v>0</v>
      </c>
      <c r="AJ1100" s="94">
        <f t="shared" si="156"/>
        <v>42855</v>
      </c>
    </row>
    <row r="1101" spans="1:36" ht="12.75" customHeight="1">
      <c r="A1101" s="8">
        <v>42886</v>
      </c>
      <c r="B1101" s="94" t="s">
        <v>136</v>
      </c>
      <c r="C1101" s="92" t="s">
        <v>310</v>
      </c>
      <c r="D1101" s="374">
        <v>3196022.1175000002</v>
      </c>
      <c r="E1101" s="95" t="e">
        <f t="shared" si="151"/>
        <v>#DIV/0!</v>
      </c>
      <c r="F1101" s="47">
        <v>2.67</v>
      </c>
      <c r="G1101" s="47">
        <v>0</v>
      </c>
      <c r="H1101" s="47">
        <v>0</v>
      </c>
      <c r="I1101" s="98">
        <v>0</v>
      </c>
      <c r="J1101" s="98"/>
      <c r="K1101" s="93"/>
      <c r="L1101" s="93">
        <f t="shared" si="152"/>
        <v>0</v>
      </c>
      <c r="M1101" s="95" t="e">
        <f t="shared" ca="1" si="153"/>
        <v>#DIV/0!</v>
      </c>
      <c r="N1101" s="95">
        <f>IF(P1101="Hedge Fund",IF(A1101=Summary!$AD$3,M1101-E1101,M1101),IF(A1101=Summary!$AD$3,L1101-D1101,L1101))</f>
        <v>0</v>
      </c>
      <c r="O1101" s="95">
        <f t="shared" si="149"/>
        <v>0</v>
      </c>
      <c r="P1101" s="89" t="s">
        <v>155</v>
      </c>
      <c r="Q1101" s="107">
        <v>0</v>
      </c>
      <c r="R1101" s="107">
        <v>0</v>
      </c>
      <c r="S1101" s="89">
        <v>0</v>
      </c>
      <c r="T1101" s="89">
        <v>0</v>
      </c>
      <c r="U1101" s="89"/>
      <c r="V1101" s="89"/>
      <c r="W1101" s="89"/>
      <c r="X1101" s="89"/>
      <c r="Y1101" s="89"/>
      <c r="Z1101" s="89"/>
      <c r="AA1101" s="89"/>
      <c r="AB1101" s="89"/>
      <c r="AC1101" s="355"/>
      <c r="AD1101" s="355"/>
      <c r="AE1101" s="355"/>
      <c r="AF1101" s="94">
        <f t="shared" si="154"/>
        <v>42886</v>
      </c>
      <c r="AG1101" s="185">
        <f t="shared" si="150"/>
        <v>2.7528388512161328E-3</v>
      </c>
      <c r="AH1101" s="339" t="str">
        <f>VLOOKUP(B1101,'MF PF'!A:B,2)</f>
        <v>FdMgt1</v>
      </c>
      <c r="AI1101" s="358">
        <f t="shared" si="155"/>
        <v>0</v>
      </c>
      <c r="AJ1101" s="94">
        <f t="shared" si="156"/>
        <v>42886</v>
      </c>
    </row>
    <row r="1102" spans="1:36" s="92" customFormat="1" ht="12.75" customHeight="1">
      <c r="A1102" s="94">
        <v>42916</v>
      </c>
      <c r="B1102" s="94" t="s">
        <v>136</v>
      </c>
      <c r="C1102" s="92" t="s">
        <v>310</v>
      </c>
      <c r="D1102" s="374">
        <v>3219658.4415000002</v>
      </c>
      <c r="E1102" s="95" t="e">
        <f t="shared" si="151"/>
        <v>#DIV/0!</v>
      </c>
      <c r="F1102" s="98">
        <v>2.67</v>
      </c>
      <c r="G1102" s="98">
        <v>0</v>
      </c>
      <c r="H1102" s="98">
        <v>0</v>
      </c>
      <c r="I1102" s="98">
        <v>0</v>
      </c>
      <c r="J1102" s="98"/>
      <c r="K1102" s="93"/>
      <c r="L1102" s="93">
        <f t="shared" si="152"/>
        <v>0</v>
      </c>
      <c r="M1102" s="95" t="e">
        <f t="shared" ca="1" si="153"/>
        <v>#DIV/0!</v>
      </c>
      <c r="N1102" s="95">
        <f>IF(P1102="Hedge Fund",IF(A1102=Summary!$AD$3,M1102-E1102,M1102),IF(A1102=Summary!$AD$3,L1102-D1102,L1102))</f>
        <v>0</v>
      </c>
      <c r="O1102" s="95">
        <f t="shared" ref="O1102:O1165" si="157">N1102</f>
        <v>0</v>
      </c>
      <c r="P1102" s="107" t="s">
        <v>155</v>
      </c>
      <c r="Q1102" s="107">
        <v>0</v>
      </c>
      <c r="R1102" s="107">
        <v>0</v>
      </c>
      <c r="S1102" s="107">
        <v>0</v>
      </c>
      <c r="T1102" s="107">
        <v>0</v>
      </c>
      <c r="U1102" s="107"/>
      <c r="V1102" s="107"/>
      <c r="W1102" s="107"/>
      <c r="X1102" s="107"/>
      <c r="Y1102" s="107"/>
      <c r="Z1102" s="107"/>
      <c r="AA1102" s="107"/>
      <c r="AB1102" s="107"/>
      <c r="AC1102" s="355"/>
      <c r="AD1102" s="355"/>
      <c r="AE1102" s="355"/>
      <c r="AF1102" s="94">
        <f t="shared" si="154"/>
        <v>42916</v>
      </c>
      <c r="AG1102" s="185">
        <f t="shared" si="150"/>
        <v>7.3955445647819751E-3</v>
      </c>
      <c r="AH1102" s="339" t="str">
        <f>VLOOKUP(B1102,'MF PF'!A:B,2)</f>
        <v>FdMgt1</v>
      </c>
      <c r="AI1102" s="358">
        <f t="shared" si="155"/>
        <v>0</v>
      </c>
      <c r="AJ1102" s="94">
        <f t="shared" si="156"/>
        <v>42916</v>
      </c>
    </row>
    <row r="1103" spans="1:36" ht="12.75" customHeight="1">
      <c r="A1103" s="94">
        <v>42947</v>
      </c>
      <c r="B1103" s="94" t="s">
        <v>136</v>
      </c>
      <c r="C1103" s="358" t="s">
        <v>310</v>
      </c>
      <c r="D1103" s="374">
        <v>3277605.6869999999</v>
      </c>
      <c r="E1103" s="9" t="e">
        <f t="shared" si="151"/>
        <v>#DIV/0!</v>
      </c>
      <c r="F1103" s="47">
        <v>2.67</v>
      </c>
      <c r="G1103" s="47">
        <v>0</v>
      </c>
      <c r="H1103" s="47">
        <v>0</v>
      </c>
      <c r="I1103" s="98">
        <v>0</v>
      </c>
      <c r="J1103" s="98"/>
      <c r="K1103" s="93"/>
      <c r="L1103" s="93">
        <f t="shared" si="152"/>
        <v>0</v>
      </c>
      <c r="M1103" s="95" t="e">
        <f t="shared" ca="1" si="153"/>
        <v>#DIV/0!</v>
      </c>
      <c r="N1103" s="95">
        <f>IF(P1103="Hedge Fund",IF(A1103=Summary!$AD$3,M1103-E1103,M1103),IF(A1103=Summary!$AD$3,L1103-D1103,L1103))</f>
        <v>0</v>
      </c>
      <c r="O1103" s="95">
        <f t="shared" si="157"/>
        <v>0</v>
      </c>
      <c r="P1103" s="89" t="s">
        <v>155</v>
      </c>
      <c r="Q1103" s="107">
        <v>0</v>
      </c>
      <c r="R1103" s="107">
        <v>0</v>
      </c>
      <c r="S1103" s="89">
        <v>0</v>
      </c>
      <c r="T1103" s="89">
        <v>0</v>
      </c>
      <c r="U1103" s="89"/>
      <c r="V1103" s="89"/>
      <c r="W1103" s="89"/>
      <c r="X1103" s="89"/>
      <c r="Y1103" s="89"/>
      <c r="Z1103" s="89"/>
      <c r="AA1103" s="89"/>
      <c r="AB1103" s="89"/>
      <c r="AC1103" s="355"/>
      <c r="AD1103" s="355"/>
      <c r="AE1103" s="355"/>
      <c r="AF1103" s="94">
        <f t="shared" si="154"/>
        <v>42947</v>
      </c>
      <c r="AG1103" s="185">
        <f t="shared" ref="AG1103:AG1166" si="158">IF(C1103&lt;&gt;C1102,D1103/G1103-1,(D1103-G1103-I1103-H1103)/(D1102)-1)</f>
        <v>1.7997948090730631E-2</v>
      </c>
      <c r="AH1103" s="339" t="str">
        <f>VLOOKUP(B1103,'MF PF'!A:B,2)</f>
        <v>FdMgt1</v>
      </c>
      <c r="AI1103" s="358">
        <f t="shared" si="155"/>
        <v>0</v>
      </c>
      <c r="AJ1103" s="94">
        <f t="shared" si="156"/>
        <v>42947</v>
      </c>
    </row>
    <row r="1104" spans="1:36" ht="12.75" customHeight="1">
      <c r="A1104" s="94">
        <v>42978</v>
      </c>
      <c r="B1104" s="94" t="s">
        <v>136</v>
      </c>
      <c r="C1104" s="358" t="s">
        <v>310</v>
      </c>
      <c r="D1104" s="374">
        <v>3279700</v>
      </c>
      <c r="E1104" s="9" t="e">
        <f t="shared" si="151"/>
        <v>#DIV/0!</v>
      </c>
      <c r="F1104" s="47">
        <v>2.67</v>
      </c>
      <c r="G1104" s="47">
        <v>0</v>
      </c>
      <c r="H1104" s="47">
        <v>0</v>
      </c>
      <c r="I1104" s="98">
        <v>0</v>
      </c>
      <c r="J1104" s="98"/>
      <c r="K1104" s="93"/>
      <c r="L1104" s="93">
        <f t="shared" si="152"/>
        <v>0</v>
      </c>
      <c r="M1104" s="95" t="e">
        <f t="shared" ca="1" si="153"/>
        <v>#DIV/0!</v>
      </c>
      <c r="N1104" s="95">
        <f>IF(P1104="Hedge Fund",IF(A1104=Summary!$AD$3,M1104-E1104,M1104),IF(A1104=Summary!$AD$3,L1104-D1104,L1104))</f>
        <v>0</v>
      </c>
      <c r="O1104" s="95">
        <f t="shared" si="157"/>
        <v>0</v>
      </c>
      <c r="P1104" s="89" t="s">
        <v>155</v>
      </c>
      <c r="Q1104" s="107">
        <v>0</v>
      </c>
      <c r="R1104" s="107">
        <v>0</v>
      </c>
      <c r="S1104" s="89">
        <v>0</v>
      </c>
      <c r="T1104" s="89">
        <v>0</v>
      </c>
      <c r="U1104" s="89"/>
      <c r="V1104" s="89"/>
      <c r="W1104" s="89"/>
      <c r="X1104" s="89"/>
      <c r="Y1104" s="89"/>
      <c r="Z1104" s="89"/>
      <c r="AA1104" s="89"/>
      <c r="AB1104" s="89"/>
      <c r="AC1104" s="355"/>
      <c r="AD1104" s="355"/>
      <c r="AE1104" s="355"/>
      <c r="AF1104" s="94">
        <f t="shared" si="154"/>
        <v>42978</v>
      </c>
      <c r="AG1104" s="185">
        <f t="shared" si="158"/>
        <v>6.389764968699474E-4</v>
      </c>
      <c r="AH1104" s="339" t="str">
        <f>VLOOKUP(B1104,'MF PF'!A:B,2)</f>
        <v>FdMgt1</v>
      </c>
      <c r="AI1104" s="358">
        <f t="shared" si="155"/>
        <v>0</v>
      </c>
      <c r="AJ1104" s="94">
        <f t="shared" si="156"/>
        <v>42978</v>
      </c>
    </row>
    <row r="1105" spans="1:36" ht="12.75" customHeight="1">
      <c r="A1105" s="94">
        <v>43007</v>
      </c>
      <c r="B1105" s="94" t="s">
        <v>136</v>
      </c>
      <c r="C1105" s="358" t="s">
        <v>310</v>
      </c>
      <c r="D1105" s="374">
        <v>3271540.5241503487</v>
      </c>
      <c r="E1105" s="9" t="e">
        <f t="shared" si="151"/>
        <v>#DIV/0!</v>
      </c>
      <c r="F1105" s="47">
        <v>2.67</v>
      </c>
      <c r="G1105" s="47">
        <v>0</v>
      </c>
      <c r="H1105" s="47">
        <v>0</v>
      </c>
      <c r="I1105" s="47">
        <v>0</v>
      </c>
      <c r="J1105" s="98"/>
      <c r="K1105" s="93"/>
      <c r="L1105" s="93">
        <f t="shared" si="152"/>
        <v>0</v>
      </c>
      <c r="M1105" s="95" t="e">
        <f t="shared" ca="1" si="153"/>
        <v>#DIV/0!</v>
      </c>
      <c r="N1105" s="95">
        <f>IF(P1105="Hedge Fund",IF(A1105=Summary!$AD$3,M1105-E1105,M1105),IF(A1105=Summary!$AD$3,L1105-D1105,L1105))</f>
        <v>0</v>
      </c>
      <c r="O1105" s="95">
        <f t="shared" si="157"/>
        <v>0</v>
      </c>
      <c r="P1105" s="89" t="s">
        <v>155</v>
      </c>
      <c r="Q1105" s="107">
        <v>0</v>
      </c>
      <c r="R1105" s="107">
        <v>0</v>
      </c>
      <c r="S1105" s="89">
        <v>0</v>
      </c>
      <c r="T1105" s="89">
        <v>0</v>
      </c>
      <c r="U1105" s="89"/>
      <c r="V1105" s="89"/>
      <c r="W1105" s="89"/>
      <c r="X1105" s="89"/>
      <c r="Y1105" s="89"/>
      <c r="Z1105" s="89"/>
      <c r="AA1105" s="89"/>
      <c r="AB1105" s="89"/>
      <c r="AC1105" s="355"/>
      <c r="AD1105" s="355"/>
      <c r="AE1105" s="355"/>
      <c r="AF1105" s="94">
        <f t="shared" si="154"/>
        <v>43007</v>
      </c>
      <c r="AG1105" s="185">
        <f t="shared" si="158"/>
        <v>-2.4878726254387029E-3</v>
      </c>
      <c r="AH1105" s="339" t="str">
        <f>VLOOKUP(B1105,'MF PF'!A:B,2)</f>
        <v>FdMgt1</v>
      </c>
      <c r="AI1105" s="358">
        <f t="shared" si="155"/>
        <v>0</v>
      </c>
      <c r="AJ1105" s="94">
        <f t="shared" si="156"/>
        <v>43008</v>
      </c>
    </row>
    <row r="1106" spans="1:36" ht="12.75" customHeight="1">
      <c r="A1106" s="8">
        <v>43039</v>
      </c>
      <c r="B1106" s="94" t="s">
        <v>136</v>
      </c>
      <c r="C1106" s="358" t="s">
        <v>310</v>
      </c>
      <c r="D1106" s="374">
        <v>3292200</v>
      </c>
      <c r="E1106" s="9" t="e">
        <f t="shared" si="151"/>
        <v>#DIV/0!</v>
      </c>
      <c r="F1106" s="47">
        <v>2.67</v>
      </c>
      <c r="G1106" s="47">
        <v>0</v>
      </c>
      <c r="H1106" s="47">
        <v>0</v>
      </c>
      <c r="I1106" s="47">
        <v>0</v>
      </c>
      <c r="J1106" s="98"/>
      <c r="K1106" s="93"/>
      <c r="L1106" s="93">
        <f t="shared" si="152"/>
        <v>0</v>
      </c>
      <c r="M1106" s="95" t="e">
        <f t="shared" ca="1" si="153"/>
        <v>#DIV/0!</v>
      </c>
      <c r="N1106" s="95">
        <f>IF(P1106="Hedge Fund",IF(A1106=Summary!$AD$3,M1106-E1106,M1106),IF(A1106=Summary!$AD$3,L1106-D1106,L1106))</f>
        <v>0</v>
      </c>
      <c r="O1106" s="95">
        <f t="shared" si="157"/>
        <v>0</v>
      </c>
      <c r="P1106" s="89" t="s">
        <v>155</v>
      </c>
      <c r="Q1106" s="107">
        <v>0</v>
      </c>
      <c r="R1106" s="107">
        <v>0</v>
      </c>
      <c r="S1106" s="89">
        <v>0</v>
      </c>
      <c r="T1106" s="89">
        <v>0</v>
      </c>
      <c r="U1106" s="89"/>
      <c r="V1106" s="89"/>
      <c r="W1106" s="89"/>
      <c r="X1106" s="89"/>
      <c r="Y1106" s="89"/>
      <c r="Z1106" s="89"/>
      <c r="AA1106" s="89"/>
      <c r="AB1106" s="89"/>
      <c r="AC1106" s="355"/>
      <c r="AD1106" s="355"/>
      <c r="AE1106" s="355"/>
      <c r="AF1106" s="94">
        <f t="shared" si="154"/>
        <v>43039</v>
      </c>
      <c r="AG1106" s="185">
        <f t="shared" si="158"/>
        <v>6.3149075174657732E-3</v>
      </c>
      <c r="AH1106" s="339" t="str">
        <f>VLOOKUP(B1106,'MF PF'!A:B,2)</f>
        <v>FdMgt1</v>
      </c>
      <c r="AI1106" s="358">
        <f t="shared" si="155"/>
        <v>0</v>
      </c>
      <c r="AJ1106" s="94">
        <f t="shared" si="156"/>
        <v>43039</v>
      </c>
    </row>
    <row r="1107" spans="1:36" ht="12.75" customHeight="1">
      <c r="A1107" s="8">
        <v>43069</v>
      </c>
      <c r="B1107" s="94" t="s">
        <v>136</v>
      </c>
      <c r="C1107" s="92" t="s">
        <v>310</v>
      </c>
      <c r="D1107" s="374">
        <v>3292300</v>
      </c>
      <c r="E1107" s="9" t="e">
        <f t="shared" si="151"/>
        <v>#DIV/0!</v>
      </c>
      <c r="F1107" s="47">
        <v>2.67</v>
      </c>
      <c r="G1107" s="47">
        <v>0</v>
      </c>
      <c r="H1107" s="47">
        <v>0</v>
      </c>
      <c r="I1107" s="98">
        <v>0</v>
      </c>
      <c r="J1107" s="98"/>
      <c r="L1107" s="93">
        <f t="shared" si="152"/>
        <v>0</v>
      </c>
      <c r="M1107" s="95" t="e">
        <f t="shared" ca="1" si="153"/>
        <v>#DIV/0!</v>
      </c>
      <c r="N1107" s="95">
        <f>IF(P1107="Hedge Fund",IF(A1107=Summary!$AD$3,M1107-E1107,M1107),IF(A1107=Summary!$AD$3,L1107-D1107,L1107))</f>
        <v>0</v>
      </c>
      <c r="O1107" s="95">
        <f t="shared" si="157"/>
        <v>0</v>
      </c>
      <c r="P1107" s="89" t="s">
        <v>155</v>
      </c>
      <c r="Q1107" s="107">
        <v>0</v>
      </c>
      <c r="R1107" s="107">
        <v>0</v>
      </c>
      <c r="S1107" s="89">
        <v>0</v>
      </c>
      <c r="T1107" s="89">
        <v>0</v>
      </c>
      <c r="U1107" s="89"/>
      <c r="V1107" s="89"/>
      <c r="W1107" s="89"/>
      <c r="X1107" s="89"/>
      <c r="Y1107" s="89"/>
      <c r="Z1107" s="89"/>
      <c r="AA1107" s="89"/>
      <c r="AB1107" s="89"/>
      <c r="AC1107" s="355"/>
      <c r="AD1107" s="355"/>
      <c r="AE1107" s="355"/>
      <c r="AF1107" s="94">
        <f t="shared" si="154"/>
        <v>43069</v>
      </c>
      <c r="AG1107" s="185">
        <f t="shared" si="158"/>
        <v>3.0374825344736678E-5</v>
      </c>
      <c r="AH1107" s="339" t="str">
        <f>VLOOKUP(B1107,'MF PF'!A:B,2)</f>
        <v>FdMgt1</v>
      </c>
      <c r="AI1107" s="358">
        <f t="shared" si="155"/>
        <v>0</v>
      </c>
      <c r="AJ1107" s="94">
        <f t="shared" si="156"/>
        <v>43069</v>
      </c>
    </row>
    <row r="1108" spans="1:36" ht="12.75" customHeight="1">
      <c r="A1108" s="94">
        <v>43098</v>
      </c>
      <c r="B1108" s="94" t="s">
        <v>136</v>
      </c>
      <c r="C1108" s="358" t="s">
        <v>310</v>
      </c>
      <c r="D1108" s="374">
        <v>3448300</v>
      </c>
      <c r="E1108" s="9" t="e">
        <f t="shared" si="151"/>
        <v>#DIV/0!</v>
      </c>
      <c r="F1108" s="47">
        <v>2.67</v>
      </c>
      <c r="G1108" s="47">
        <v>0</v>
      </c>
      <c r="H1108" s="47">
        <v>0</v>
      </c>
      <c r="I1108" s="98">
        <v>0</v>
      </c>
      <c r="J1108" s="98"/>
      <c r="K1108" s="93"/>
      <c r="L1108" s="93">
        <f t="shared" si="152"/>
        <v>0</v>
      </c>
      <c r="M1108" s="95" t="e">
        <f t="shared" ca="1" si="153"/>
        <v>#DIV/0!</v>
      </c>
      <c r="N1108" s="95">
        <f>IF(P1108="Hedge Fund",IF(A1108=Summary!$AD$3,M1108-E1108,M1108),IF(A1108=Summary!$AD$3,L1108-D1108,L1108))</f>
        <v>0</v>
      </c>
      <c r="O1108" s="95">
        <f t="shared" si="157"/>
        <v>0</v>
      </c>
      <c r="P1108" s="89" t="s">
        <v>155</v>
      </c>
      <c r="Q1108" s="107">
        <v>0</v>
      </c>
      <c r="R1108" s="107">
        <v>0</v>
      </c>
      <c r="S1108" s="89">
        <v>0</v>
      </c>
      <c r="T1108" s="89">
        <v>0</v>
      </c>
      <c r="U1108" s="89"/>
      <c r="V1108" s="89"/>
      <c r="W1108" s="89"/>
      <c r="X1108" s="89"/>
      <c r="Y1108" s="89"/>
      <c r="Z1108" s="89"/>
      <c r="AA1108" s="89"/>
      <c r="AB1108" s="89"/>
      <c r="AC1108" s="355"/>
      <c r="AD1108" s="355"/>
      <c r="AE1108" s="355"/>
      <c r="AF1108" s="94">
        <f t="shared" si="154"/>
        <v>43098</v>
      </c>
      <c r="AG1108" s="185">
        <f t="shared" si="158"/>
        <v>4.7383288278710856E-2</v>
      </c>
      <c r="AH1108" s="339" t="str">
        <f>VLOOKUP(B1108,'MF PF'!A:B,2)</f>
        <v>FdMgt1</v>
      </c>
      <c r="AI1108" s="358">
        <f t="shared" si="155"/>
        <v>0</v>
      </c>
      <c r="AJ1108" s="94">
        <f t="shared" si="156"/>
        <v>43100</v>
      </c>
    </row>
    <row r="1109" spans="1:36" ht="12.75" customHeight="1">
      <c r="A1109" s="94">
        <v>43131</v>
      </c>
      <c r="B1109" s="94" t="s">
        <v>136</v>
      </c>
      <c r="C1109" s="358" t="s">
        <v>310</v>
      </c>
      <c r="D1109" s="374">
        <v>3500300</v>
      </c>
      <c r="E1109" s="9" t="e">
        <f t="shared" si="151"/>
        <v>#DIV/0!</v>
      </c>
      <c r="F1109" s="47">
        <v>2.67</v>
      </c>
      <c r="G1109" s="47">
        <v>0</v>
      </c>
      <c r="H1109" s="47">
        <v>0</v>
      </c>
      <c r="I1109" s="98">
        <v>0</v>
      </c>
      <c r="J1109" s="98"/>
      <c r="K1109" s="93"/>
      <c r="L1109" s="93">
        <f t="shared" si="152"/>
        <v>0</v>
      </c>
      <c r="M1109" s="95" t="e">
        <f t="shared" ca="1" si="153"/>
        <v>#DIV/0!</v>
      </c>
      <c r="N1109" s="95">
        <f>IF(P1109="Hedge Fund",IF(A1109=Summary!$AD$3,M1109-E1109,M1109),IF(A1109=Summary!$AD$3,L1109-D1109,L1109))</f>
        <v>0</v>
      </c>
      <c r="O1109" s="95">
        <f t="shared" si="157"/>
        <v>0</v>
      </c>
      <c r="P1109" s="89" t="s">
        <v>155</v>
      </c>
      <c r="Q1109" s="107">
        <v>0</v>
      </c>
      <c r="R1109" s="89">
        <v>0</v>
      </c>
      <c r="S1109" s="89">
        <v>0</v>
      </c>
      <c r="T1109" s="89">
        <v>0</v>
      </c>
      <c r="U1109" s="89"/>
      <c r="V1109" s="89"/>
      <c r="W1109" s="89"/>
      <c r="X1109" s="89"/>
      <c r="Y1109" s="89"/>
      <c r="Z1109" s="89"/>
      <c r="AA1109" s="89"/>
      <c r="AB1109" s="89"/>
      <c r="AC1109" s="355"/>
      <c r="AD1109" s="355"/>
      <c r="AE1109" s="355"/>
      <c r="AF1109" s="94">
        <f t="shared" si="154"/>
        <v>43131</v>
      </c>
      <c r="AG1109" s="185">
        <f t="shared" si="158"/>
        <v>1.5079894440738872E-2</v>
      </c>
      <c r="AH1109" s="339" t="str">
        <f>VLOOKUP(B1109,'MF PF'!A:B,2)</f>
        <v>FdMgt1</v>
      </c>
      <c r="AI1109" s="358">
        <f t="shared" si="155"/>
        <v>0</v>
      </c>
      <c r="AJ1109" s="94">
        <f t="shared" si="156"/>
        <v>43131</v>
      </c>
    </row>
    <row r="1110" spans="1:36" ht="12.75" customHeight="1">
      <c r="A1110" s="94">
        <v>43159</v>
      </c>
      <c r="B1110" s="94" t="s">
        <v>136</v>
      </c>
      <c r="C1110" s="358" t="s">
        <v>310</v>
      </c>
      <c r="D1110" s="374">
        <v>3534000.12</v>
      </c>
      <c r="E1110" s="9" t="e">
        <f t="shared" si="151"/>
        <v>#DIV/0!</v>
      </c>
      <c r="F1110" s="47">
        <v>2.67</v>
      </c>
      <c r="G1110" s="47">
        <v>0</v>
      </c>
      <c r="H1110" s="47">
        <v>0</v>
      </c>
      <c r="I1110" s="98">
        <v>0</v>
      </c>
      <c r="J1110" s="98"/>
      <c r="K1110" s="93"/>
      <c r="L1110" s="93">
        <f t="shared" si="152"/>
        <v>0</v>
      </c>
      <c r="M1110" s="95" t="e">
        <f t="shared" ca="1" si="153"/>
        <v>#DIV/0!</v>
      </c>
      <c r="N1110" s="95">
        <f>IF(P1110="Hedge Fund",IF(A1110=Summary!$AD$3,M1110-E1110,M1110),IF(A1110=Summary!$AD$3,L1110-D1110,L1110))</f>
        <v>0</v>
      </c>
      <c r="O1110" s="95">
        <f t="shared" si="157"/>
        <v>0</v>
      </c>
      <c r="P1110" s="89" t="s">
        <v>155</v>
      </c>
      <c r="Q1110" s="107">
        <v>0</v>
      </c>
      <c r="R1110" s="107">
        <v>0</v>
      </c>
      <c r="S1110" s="89">
        <v>0</v>
      </c>
      <c r="T1110" s="89">
        <v>0</v>
      </c>
      <c r="U1110" s="89"/>
      <c r="V1110" s="89"/>
      <c r="W1110" s="89"/>
      <c r="X1110" s="89"/>
      <c r="Y1110" s="89"/>
      <c r="Z1110" s="89"/>
      <c r="AA1110" s="89"/>
      <c r="AB1110" s="89"/>
      <c r="AC1110" s="355"/>
      <c r="AD1110" s="355"/>
      <c r="AE1110" s="355"/>
      <c r="AF1110" s="94">
        <f t="shared" si="154"/>
        <v>43159</v>
      </c>
      <c r="AG1110" s="185">
        <f t="shared" si="158"/>
        <v>9.6277804759592467E-3</v>
      </c>
      <c r="AH1110" s="339" t="str">
        <f>VLOOKUP(B1110,'MF PF'!A:B,2)</f>
        <v>FdMgt1</v>
      </c>
      <c r="AI1110" s="358">
        <f t="shared" si="155"/>
        <v>0</v>
      </c>
      <c r="AJ1110" s="94">
        <f t="shared" si="156"/>
        <v>43159</v>
      </c>
    </row>
    <row r="1111" spans="1:36" ht="12.75" customHeight="1">
      <c r="A1111" s="8">
        <v>43188</v>
      </c>
      <c r="B1111" s="94" t="s">
        <v>136</v>
      </c>
      <c r="C1111" s="358" t="s">
        <v>310</v>
      </c>
      <c r="D1111" s="374">
        <v>3563924.5745000001</v>
      </c>
      <c r="E1111" s="9" t="e">
        <f t="shared" si="151"/>
        <v>#DIV/0!</v>
      </c>
      <c r="F1111" s="47">
        <v>2.67</v>
      </c>
      <c r="G1111" s="47">
        <v>0</v>
      </c>
      <c r="H1111" s="47">
        <v>0</v>
      </c>
      <c r="I1111" s="47">
        <v>0</v>
      </c>
      <c r="J1111" s="98"/>
      <c r="K1111" s="93"/>
      <c r="L1111" s="93">
        <f t="shared" si="152"/>
        <v>0</v>
      </c>
      <c r="M1111" s="95" t="e">
        <f t="shared" ca="1" si="153"/>
        <v>#DIV/0!</v>
      </c>
      <c r="N1111" s="95">
        <f>IF(P1111="Hedge Fund",IF(A1111=Summary!$AD$3,M1111-E1111,M1111),IF(A1111=Summary!$AD$3,L1111-D1111,L1111))</f>
        <v>0</v>
      </c>
      <c r="O1111" s="95">
        <f t="shared" si="157"/>
        <v>0</v>
      </c>
      <c r="P1111" s="89" t="s">
        <v>155</v>
      </c>
      <c r="Q1111" s="109">
        <v>1.3816203926527304E-2</v>
      </c>
      <c r="R1111" s="109">
        <v>0.1577513955</v>
      </c>
      <c r="S1111" s="89">
        <v>0</v>
      </c>
      <c r="T1111" s="89">
        <v>0</v>
      </c>
      <c r="U1111" s="89"/>
      <c r="V1111" s="89"/>
      <c r="W1111" s="89"/>
      <c r="X1111" s="89"/>
      <c r="Y1111" s="89"/>
      <c r="Z1111" s="89"/>
      <c r="AA1111" s="89"/>
      <c r="AB1111" s="89"/>
      <c r="AC1111" s="355"/>
      <c r="AD1111" s="355"/>
      <c r="AE1111" s="355"/>
      <c r="AF1111" s="94">
        <f t="shared" si="154"/>
        <v>43188</v>
      </c>
      <c r="AG1111" s="185">
        <f t="shared" si="158"/>
        <v>8.4675872902912896E-3</v>
      </c>
      <c r="AH1111" s="339" t="str">
        <f>VLOOKUP(B1111,'MF PF'!A:B,2)</f>
        <v>FdMgt1</v>
      </c>
      <c r="AI1111" s="358">
        <f t="shared" si="155"/>
        <v>0</v>
      </c>
      <c r="AJ1111" s="94">
        <f t="shared" si="156"/>
        <v>43190</v>
      </c>
    </row>
    <row r="1112" spans="1:36" ht="12.75" customHeight="1">
      <c r="A1112" s="8">
        <v>43220</v>
      </c>
      <c r="B1112" s="94" t="s">
        <v>136</v>
      </c>
      <c r="C1112" s="358" t="s">
        <v>310</v>
      </c>
      <c r="D1112" s="374">
        <v>3606773.2445</v>
      </c>
      <c r="E1112" s="9" t="e">
        <f t="shared" si="151"/>
        <v>#DIV/0!</v>
      </c>
      <c r="F1112" s="47">
        <v>2.67</v>
      </c>
      <c r="G1112" s="47">
        <v>0</v>
      </c>
      <c r="H1112" s="47">
        <v>0</v>
      </c>
      <c r="I1112" s="47">
        <v>0</v>
      </c>
      <c r="J1112" s="98"/>
      <c r="K1112" s="93"/>
      <c r="L1112" s="93">
        <f t="shared" si="152"/>
        <v>0</v>
      </c>
      <c r="M1112" s="95" t="e">
        <f t="shared" ca="1" si="153"/>
        <v>#DIV/0!</v>
      </c>
      <c r="N1112" s="95">
        <f>IF(P1112="Hedge Fund",IF(A1112=Summary!$AD$3,M1112-E1112,M1112),IF(A1112=Summary!$AD$3,L1112-D1112,L1112))</f>
        <v>0</v>
      </c>
      <c r="O1112" s="95">
        <f t="shared" si="157"/>
        <v>0</v>
      </c>
      <c r="P1112" s="89" t="s">
        <v>155</v>
      </c>
      <c r="Q1112" s="109">
        <v>0</v>
      </c>
      <c r="R1112" s="109">
        <v>0.16531293</v>
      </c>
      <c r="S1112" s="89">
        <v>0</v>
      </c>
      <c r="T1112" s="89">
        <v>0</v>
      </c>
      <c r="U1112" s="89"/>
      <c r="V1112" s="89"/>
      <c r="W1112" s="89"/>
      <c r="X1112" s="89"/>
      <c r="Y1112" s="89"/>
      <c r="Z1112" s="89"/>
      <c r="AA1112" s="89"/>
      <c r="AB1112" s="89"/>
      <c r="AC1112" s="355"/>
      <c r="AD1112" s="355"/>
      <c r="AE1112" s="355"/>
      <c r="AF1112" s="94">
        <f t="shared" si="154"/>
        <v>43220</v>
      </c>
      <c r="AG1112" s="185">
        <f t="shared" si="158"/>
        <v>1.2022889122453195E-2</v>
      </c>
      <c r="AH1112" s="339" t="str">
        <f>VLOOKUP(B1112,'MF PF'!A:B,2)</f>
        <v>FdMgt1</v>
      </c>
      <c r="AI1112" s="358">
        <f t="shared" si="155"/>
        <v>0</v>
      </c>
      <c r="AJ1112" s="94">
        <f t="shared" si="156"/>
        <v>43220</v>
      </c>
    </row>
    <row r="1113" spans="1:36" ht="12.75" customHeight="1">
      <c r="A1113" s="8">
        <v>43251</v>
      </c>
      <c r="B1113" s="358" t="s">
        <v>136</v>
      </c>
      <c r="C1113" s="94" t="s">
        <v>310</v>
      </c>
      <c r="D1113" s="374">
        <v>3629442.9994999999</v>
      </c>
      <c r="E1113" s="9" t="e">
        <f t="shared" si="151"/>
        <v>#DIV/0!</v>
      </c>
      <c r="F1113" s="98">
        <v>2.67</v>
      </c>
      <c r="G1113" s="98">
        <v>0</v>
      </c>
      <c r="H1113" s="98">
        <v>0</v>
      </c>
      <c r="I1113" s="110">
        <v>0</v>
      </c>
      <c r="J1113" s="110"/>
      <c r="L1113" s="93">
        <f t="shared" si="152"/>
        <v>0</v>
      </c>
      <c r="M1113" s="95" t="e">
        <f t="shared" ca="1" si="153"/>
        <v>#DIV/0!</v>
      </c>
      <c r="N1113" s="95">
        <f>IF(P1113="Hedge Fund",IF(A1113=Summary!$AD$3,M1113-E1113,M1113),IF(A1113=Summary!$AD$3,L1113-D1113,L1113))</f>
        <v>0</v>
      </c>
      <c r="O1113" s="95">
        <f t="shared" si="157"/>
        <v>0</v>
      </c>
      <c r="P1113" s="107" t="s">
        <v>155</v>
      </c>
      <c r="Q1113" s="109">
        <v>0</v>
      </c>
      <c r="R1113" s="109">
        <v>0.16931346999999999</v>
      </c>
      <c r="S1113" s="107">
        <v>0</v>
      </c>
      <c r="T1113" s="107">
        <v>0</v>
      </c>
      <c r="U1113" s="107"/>
      <c r="V1113" s="107"/>
      <c r="W1113" s="107"/>
      <c r="X1113" s="107"/>
      <c r="Y1113" s="107"/>
      <c r="Z1113" s="107"/>
      <c r="AA1113" s="107"/>
      <c r="AB1113" s="107"/>
      <c r="AC1113" s="355"/>
      <c r="AD1113" s="355"/>
      <c r="AE1113" s="355"/>
      <c r="AF1113" s="94">
        <f t="shared" si="154"/>
        <v>43251</v>
      </c>
      <c r="AG1113" s="185">
        <f t="shared" si="158"/>
        <v>6.2853285924113766E-3</v>
      </c>
      <c r="AH1113" s="339" t="str">
        <f>VLOOKUP(B1113,'MF PF'!A:B,2)</f>
        <v>FdMgt1</v>
      </c>
      <c r="AI1113" s="358">
        <f t="shared" si="155"/>
        <v>0</v>
      </c>
      <c r="AJ1113" s="94">
        <f t="shared" si="156"/>
        <v>43251</v>
      </c>
    </row>
    <row r="1114" spans="1:36" ht="12.75" customHeight="1">
      <c r="A1114" s="8">
        <v>43280</v>
      </c>
      <c r="B1114" s="358" t="s">
        <v>136</v>
      </c>
      <c r="C1114" s="94" t="s">
        <v>310</v>
      </c>
      <c r="D1114" s="374">
        <v>3636086.03</v>
      </c>
      <c r="E1114" s="9" t="e">
        <f t="shared" si="151"/>
        <v>#DIV/0!</v>
      </c>
      <c r="F1114" s="98">
        <v>2.67</v>
      </c>
      <c r="G1114" s="98">
        <v>0</v>
      </c>
      <c r="H1114" s="98">
        <v>0</v>
      </c>
      <c r="I1114" s="110">
        <v>0</v>
      </c>
      <c r="J1114" s="110"/>
      <c r="K1114" s="93"/>
      <c r="L1114" s="93">
        <f t="shared" si="152"/>
        <v>0</v>
      </c>
      <c r="M1114" s="95" t="e">
        <f t="shared" ca="1" si="153"/>
        <v>#DIV/0!</v>
      </c>
      <c r="N1114" s="95">
        <f>IF(P1114="Hedge Fund",IF(A1114=Summary!$AD$3,M1114-E1114,M1114),IF(A1114=Summary!$AD$3,L1114-D1114,L1114))</f>
        <v>0</v>
      </c>
      <c r="O1114" s="95">
        <f t="shared" si="157"/>
        <v>0</v>
      </c>
      <c r="P1114" s="107" t="s">
        <v>155</v>
      </c>
      <c r="Q1114" s="109">
        <v>1.444659E-2</v>
      </c>
      <c r="R1114" s="109">
        <v>0.17048577000000001</v>
      </c>
      <c r="S1114" s="107">
        <v>0</v>
      </c>
      <c r="T1114" s="107">
        <v>0</v>
      </c>
      <c r="U1114" s="107"/>
      <c r="V1114" s="107"/>
      <c r="W1114" s="107"/>
      <c r="X1114" s="107"/>
      <c r="Y1114" s="107"/>
      <c r="Z1114" s="107"/>
      <c r="AA1114" s="107"/>
      <c r="AB1114" s="107"/>
      <c r="AC1114" s="355"/>
      <c r="AD1114" s="355"/>
      <c r="AE1114" s="355"/>
      <c r="AF1114" s="94">
        <f t="shared" si="154"/>
        <v>43280</v>
      </c>
      <c r="AG1114" s="185">
        <f t="shared" si="158"/>
        <v>1.8303168009292659E-3</v>
      </c>
      <c r="AH1114" s="339" t="str">
        <f>VLOOKUP(B1114,'MF PF'!A:B,2)</f>
        <v>FdMgt1</v>
      </c>
      <c r="AI1114" s="358">
        <f t="shared" si="155"/>
        <v>0</v>
      </c>
      <c r="AJ1114" s="94">
        <f t="shared" si="156"/>
        <v>43281</v>
      </c>
    </row>
    <row r="1115" spans="1:36" ht="12.75" customHeight="1">
      <c r="A1115" s="8">
        <v>43312</v>
      </c>
      <c r="B1115" s="358" t="s">
        <v>136</v>
      </c>
      <c r="C1115" s="94" t="s">
        <v>310</v>
      </c>
      <c r="D1115" s="374">
        <v>3649588.0674999999</v>
      </c>
      <c r="E1115" s="9" t="str">
        <f>IF(K1115="","",D1115/K1115)</f>
        <v/>
      </c>
      <c r="F1115" s="47">
        <v>2.67</v>
      </c>
      <c r="G1115" s="47">
        <v>0</v>
      </c>
      <c r="H1115" s="47">
        <v>0</v>
      </c>
      <c r="I1115" s="98">
        <v>0</v>
      </c>
      <c r="J1115" s="98"/>
      <c r="K1115" s="93"/>
      <c r="L1115" s="93">
        <f t="shared" si="152"/>
        <v>0</v>
      </c>
      <c r="M1115" s="95" t="e">
        <f t="shared" ca="1" si="153"/>
        <v>#DIV/0!</v>
      </c>
      <c r="N1115" s="95">
        <f>IF(P1115="Hedge Fund",IF(A1115=Summary!$AD$3,M1115-E1115,M1115),IF(A1115=Summary!$AD$3,L1115-D1115,L1115))</f>
        <v>0</v>
      </c>
      <c r="O1115" s="95">
        <f t="shared" si="157"/>
        <v>0</v>
      </c>
      <c r="P1115" s="89" t="s">
        <v>155</v>
      </c>
      <c r="Q1115" s="107">
        <v>0</v>
      </c>
      <c r="R1115" s="109">
        <f>172868.4825/10^6</f>
        <v>0.1728684825</v>
      </c>
      <c r="S1115" s="89">
        <v>0</v>
      </c>
      <c r="T1115" s="89">
        <v>0</v>
      </c>
      <c r="U1115" s="89"/>
      <c r="V1115" s="89"/>
      <c r="W1115" s="89"/>
      <c r="X1115" s="89"/>
      <c r="Y1115" s="89"/>
      <c r="Z1115" s="89"/>
      <c r="AA1115" s="89"/>
      <c r="AB1115" s="89"/>
      <c r="AC1115" s="355"/>
      <c r="AD1115" s="355"/>
      <c r="AE1115" s="355"/>
      <c r="AF1115" s="94">
        <f t="shared" si="154"/>
        <v>43312</v>
      </c>
      <c r="AG1115" s="185">
        <f t="shared" si="158"/>
        <v>3.7133437956637927E-3</v>
      </c>
      <c r="AH1115" s="339" t="str">
        <f>VLOOKUP(B1115,'MF PF'!A:B,2)</f>
        <v>FdMgt1</v>
      </c>
      <c r="AI1115" s="358">
        <f t="shared" si="155"/>
        <v>0</v>
      </c>
      <c r="AJ1115" s="94">
        <f t="shared" si="156"/>
        <v>43312</v>
      </c>
    </row>
    <row r="1116" spans="1:36" ht="12.75" customHeight="1">
      <c r="A1116" s="94">
        <v>43343</v>
      </c>
      <c r="B1116" s="358" t="s">
        <v>136</v>
      </c>
      <c r="C1116" s="94" t="s">
        <v>310</v>
      </c>
      <c r="D1116" s="374">
        <v>3657115.7779999999</v>
      </c>
      <c r="E1116" s="9" t="str">
        <f>IF(K1116="","",D1116/K1116)</f>
        <v/>
      </c>
      <c r="F1116" s="47">
        <v>2.67</v>
      </c>
      <c r="G1116" s="47">
        <v>0</v>
      </c>
      <c r="H1116" s="47">
        <v>0</v>
      </c>
      <c r="I1116" s="98">
        <v>0</v>
      </c>
      <c r="J1116" s="98"/>
      <c r="K1116" s="93"/>
      <c r="L1116" s="93">
        <f t="shared" si="152"/>
        <v>0</v>
      </c>
      <c r="M1116" s="95" t="e">
        <f t="shared" ca="1" si="153"/>
        <v>#DIV/0!</v>
      </c>
      <c r="N1116" s="95">
        <f>IF(P1116="Hedge Fund",IF(A1116=Summary!$AD$3,M1116-E1116,M1116),IF(A1116=Summary!$AD$3,L1116-D1116,L1116))</f>
        <v>0</v>
      </c>
      <c r="O1116" s="95">
        <f t="shared" si="157"/>
        <v>0</v>
      </c>
      <c r="P1116" s="89" t="s">
        <v>155</v>
      </c>
      <c r="Q1116" s="107">
        <v>0</v>
      </c>
      <c r="R1116" s="109">
        <v>0.17419690200000004</v>
      </c>
      <c r="S1116" s="89">
        <v>0</v>
      </c>
      <c r="T1116" s="89">
        <v>0</v>
      </c>
      <c r="U1116" s="89"/>
      <c r="V1116" s="89"/>
      <c r="W1116" s="89"/>
      <c r="X1116" s="89"/>
      <c r="Y1116" s="89"/>
      <c r="Z1116" s="89"/>
      <c r="AA1116" s="89"/>
      <c r="AB1116" s="89"/>
      <c r="AC1116" s="355"/>
      <c r="AD1116" s="355"/>
      <c r="AE1116" s="355"/>
      <c r="AF1116" s="94">
        <f t="shared" si="154"/>
        <v>43343</v>
      </c>
      <c r="AG1116" s="185">
        <f t="shared" si="158"/>
        <v>2.0626192218884398E-3</v>
      </c>
      <c r="AH1116" s="339" t="str">
        <f>VLOOKUP(B1116,'MF PF'!A:B,2)</f>
        <v>FdMgt1</v>
      </c>
      <c r="AI1116" s="358">
        <f t="shared" si="155"/>
        <v>0</v>
      </c>
      <c r="AJ1116" s="94">
        <f t="shared" si="156"/>
        <v>43343</v>
      </c>
    </row>
    <row r="1117" spans="1:36" ht="12.75" customHeight="1">
      <c r="A1117" s="8">
        <v>43371</v>
      </c>
      <c r="B1117" s="358" t="s">
        <v>136</v>
      </c>
      <c r="C1117" s="358" t="s">
        <v>310</v>
      </c>
      <c r="D1117" s="374">
        <v>3602993.5835000002</v>
      </c>
      <c r="F1117" s="105">
        <v>2.67</v>
      </c>
      <c r="G1117" s="93">
        <v>0</v>
      </c>
      <c r="H1117" s="93">
        <v>0</v>
      </c>
      <c r="I1117" s="93">
        <v>0</v>
      </c>
      <c r="K1117" s="93">
        <v>0</v>
      </c>
      <c r="L1117" s="93">
        <f t="shared" si="152"/>
        <v>0</v>
      </c>
      <c r="M1117" s="95" t="e">
        <f t="shared" ca="1" si="153"/>
        <v>#DIV/0!</v>
      </c>
      <c r="N1117" s="95">
        <f>IF(P1117="Hedge Fund",IF(A1117=Summary!$AD$3,M1117-E1117,M1117),IF(A1117=Summary!$AD$3,L1117-D1117,L1117))</f>
        <v>0</v>
      </c>
      <c r="O1117" s="95">
        <f t="shared" si="157"/>
        <v>0</v>
      </c>
      <c r="P1117" s="95" t="s">
        <v>155</v>
      </c>
      <c r="Q1117" s="353">
        <v>1.4142829852559425E-2</v>
      </c>
      <c r="R1117" s="95">
        <v>0.16464592649999998</v>
      </c>
      <c r="S1117" s="95"/>
      <c r="T1117" s="95"/>
      <c r="U1117" s="95"/>
      <c r="V1117" s="95"/>
      <c r="W1117" s="95"/>
      <c r="X1117" s="95"/>
      <c r="Y1117" s="95"/>
      <c r="Z1117" s="95"/>
      <c r="AA1117" s="95"/>
      <c r="AB1117" s="95"/>
      <c r="AC1117" s="355"/>
      <c r="AD1117" s="355"/>
      <c r="AE1117" s="355"/>
      <c r="AF1117" s="94">
        <f t="shared" si="154"/>
        <v>43371</v>
      </c>
      <c r="AG1117" s="185">
        <f t="shared" si="158"/>
        <v>-1.4799147138184976E-2</v>
      </c>
      <c r="AH1117" s="339" t="str">
        <f>VLOOKUP(B1117,'MF PF'!A:B,2)</f>
        <v>FdMgt1</v>
      </c>
      <c r="AI1117" s="358">
        <f t="shared" si="155"/>
        <v>0</v>
      </c>
      <c r="AJ1117" s="94">
        <f t="shared" si="156"/>
        <v>43373</v>
      </c>
    </row>
    <row r="1118" spans="1:36" ht="12.75" customHeight="1">
      <c r="A1118" s="8">
        <v>43404</v>
      </c>
      <c r="B1118" s="358" t="s">
        <v>136</v>
      </c>
      <c r="C1118" s="358" t="s">
        <v>310</v>
      </c>
      <c r="D1118" s="374">
        <v>3605600.8054999998</v>
      </c>
      <c r="F1118" s="105">
        <v>2.67</v>
      </c>
      <c r="G1118" s="93">
        <v>0</v>
      </c>
      <c r="H1118" s="93">
        <v>0</v>
      </c>
      <c r="I1118" s="93">
        <v>0</v>
      </c>
      <c r="J1118" s="93">
        <v>0</v>
      </c>
      <c r="K1118" s="93"/>
      <c r="L1118" s="93">
        <f t="shared" si="152"/>
        <v>0</v>
      </c>
      <c r="M1118" s="95" t="e">
        <f t="shared" ca="1" si="153"/>
        <v>#DIV/0!</v>
      </c>
      <c r="N1118" s="95">
        <f>IF(P1118="Hedge Fund",IF(A1118=Summary!$AD$3,M1118-E1118,M1118),IF(A1118=Summary!$AD$3,L1118-D1118,L1118))</f>
        <v>0</v>
      </c>
      <c r="O1118" s="95">
        <f t="shared" si="157"/>
        <v>0</v>
      </c>
      <c r="P1118" s="95" t="s">
        <v>155</v>
      </c>
      <c r="Q1118" s="95">
        <v>5.1206427321923292E-3</v>
      </c>
      <c r="R1118" s="95">
        <v>0.1651060245</v>
      </c>
      <c r="S1118" s="95"/>
      <c r="T1118" s="95"/>
      <c r="U1118" s="95"/>
      <c r="V1118" s="95"/>
      <c r="W1118" s="95"/>
      <c r="X1118" s="95"/>
      <c r="Y1118" s="95"/>
      <c r="Z1118" s="95"/>
      <c r="AA1118" s="95"/>
      <c r="AB1118" s="95"/>
      <c r="AC1118" s="355"/>
      <c r="AD1118" s="355"/>
      <c r="AE1118" s="355"/>
      <c r="AF1118" s="94">
        <f t="shared" si="154"/>
        <v>43404</v>
      </c>
      <c r="AG1118" s="185">
        <f t="shared" si="158"/>
        <v>7.2362660092961661E-4</v>
      </c>
      <c r="AH1118" s="339" t="str">
        <f>VLOOKUP(B1118,'MF PF'!A:B,2)</f>
        <v>FdMgt1</v>
      </c>
      <c r="AI1118" s="358">
        <f t="shared" si="155"/>
        <v>0</v>
      </c>
      <c r="AJ1118" s="94">
        <f t="shared" si="156"/>
        <v>43404</v>
      </c>
    </row>
    <row r="1119" spans="1:36" ht="12.75" customHeight="1">
      <c r="A1119" s="8">
        <v>43434</v>
      </c>
      <c r="B1119" s="358" t="s">
        <v>136</v>
      </c>
      <c r="C1119" s="92" t="s">
        <v>310</v>
      </c>
      <c r="D1119" s="374">
        <v>3647076.9125000001</v>
      </c>
      <c r="E1119" s="95"/>
      <c r="F1119" s="105">
        <v>2.67</v>
      </c>
      <c r="G1119" s="93">
        <v>0</v>
      </c>
      <c r="H1119" s="93">
        <v>0</v>
      </c>
      <c r="I1119" s="93">
        <v>0</v>
      </c>
      <c r="K1119" s="93">
        <v>0</v>
      </c>
      <c r="L1119" s="93">
        <f t="shared" si="152"/>
        <v>0</v>
      </c>
      <c r="M1119" s="95" t="e">
        <f t="shared" ca="1" si="153"/>
        <v>#DIV/0!</v>
      </c>
      <c r="N1119" s="95">
        <f>IF(P1119="Hedge Fund",IF(A1119=Summary!$AD$3,M1119-E1119,M1119),IF(A1119=Summary!$AD$3,L1119-D1119,L1119))</f>
        <v>0</v>
      </c>
      <c r="O1119" s="95">
        <f t="shared" si="157"/>
        <v>0</v>
      </c>
      <c r="P1119" s="95" t="s">
        <v>155</v>
      </c>
      <c r="Q1119" s="95">
        <v>9.91451738866133E-3</v>
      </c>
      <c r="R1119" s="95">
        <v>0.1724253375</v>
      </c>
      <c r="S1119" s="95"/>
      <c r="T1119" s="95"/>
      <c r="U1119" s="95"/>
      <c r="V1119" s="95"/>
      <c r="W1119" s="95"/>
      <c r="X1119" s="95"/>
      <c r="Y1119" s="95"/>
      <c r="Z1119" s="95"/>
      <c r="AA1119" s="95"/>
      <c r="AB1119" s="95"/>
      <c r="AC1119" s="355"/>
      <c r="AD1119" s="355"/>
      <c r="AE1119" s="355"/>
      <c r="AF1119" s="94">
        <f t="shared" si="154"/>
        <v>43434</v>
      </c>
      <c r="AG1119" s="185">
        <f t="shared" si="158"/>
        <v>1.1503244323867623E-2</v>
      </c>
      <c r="AH1119" s="339" t="str">
        <f>VLOOKUP(B1119,'MF PF'!A:B,2)</f>
        <v>FdMgt1</v>
      </c>
      <c r="AI1119" s="358">
        <f t="shared" si="155"/>
        <v>0</v>
      </c>
      <c r="AJ1119" s="94">
        <f t="shared" si="156"/>
        <v>43434</v>
      </c>
    </row>
    <row r="1120" spans="1:36" ht="12.75" customHeight="1">
      <c r="A1120" s="8">
        <v>43452</v>
      </c>
      <c r="B1120" s="358" t="s">
        <v>136</v>
      </c>
      <c r="C1120" s="92" t="s">
        <v>310</v>
      </c>
      <c r="D1120" s="93"/>
      <c r="E1120" s="95"/>
      <c r="F1120" s="93"/>
      <c r="G1120" s="93"/>
      <c r="H1120" s="93"/>
      <c r="I1120" s="93">
        <v>0</v>
      </c>
      <c r="L1120" s="93">
        <f t="shared" si="152"/>
        <v>0</v>
      </c>
      <c r="M1120" s="95" t="e">
        <f t="shared" ca="1" si="153"/>
        <v>#DIV/0!</v>
      </c>
      <c r="N1120" s="95">
        <f>IF(P1120="Hedge Fund",IF(A1120=Summary!$AD$3,M1120-E1120,M1120),IF(A1120=Summary!$AD$3,L1120-D1120,L1120))</f>
        <v>0</v>
      </c>
      <c r="O1120" s="95">
        <f t="shared" si="157"/>
        <v>0</v>
      </c>
      <c r="P1120" s="95" t="s">
        <v>155</v>
      </c>
      <c r="Q1120" s="95"/>
      <c r="R1120" s="95"/>
      <c r="S1120" s="95"/>
      <c r="T1120" s="95"/>
      <c r="U1120" s="95"/>
      <c r="V1120" s="95"/>
      <c r="W1120" s="95"/>
      <c r="X1120" s="95"/>
      <c r="Y1120" s="95"/>
      <c r="Z1120" s="95"/>
      <c r="AA1120" s="95"/>
      <c r="AB1120" s="95"/>
      <c r="AC1120" s="355"/>
      <c r="AD1120" s="355"/>
      <c r="AE1120" s="355"/>
      <c r="AF1120" s="94">
        <f t="shared" si="154"/>
        <v>43452</v>
      </c>
      <c r="AG1120" s="185">
        <f t="shared" si="158"/>
        <v>-1</v>
      </c>
      <c r="AH1120" s="339" t="str">
        <f>VLOOKUP(B1120,'MF PF'!A:B,2)</f>
        <v>FdMgt1</v>
      </c>
      <c r="AI1120" s="358">
        <f t="shared" si="155"/>
        <v>0</v>
      </c>
      <c r="AJ1120" s="94">
        <f t="shared" si="156"/>
        <v>43465</v>
      </c>
    </row>
    <row r="1121" spans="1:36" ht="12.75" customHeight="1">
      <c r="A1121" s="8">
        <v>43465</v>
      </c>
      <c r="B1121" s="358" t="s">
        <v>136</v>
      </c>
      <c r="C1121" s="358" t="s">
        <v>310</v>
      </c>
      <c r="D1121" s="93">
        <v>3705540.6009999998</v>
      </c>
      <c r="F1121" s="93">
        <v>2.67</v>
      </c>
      <c r="G1121" s="93">
        <v>0</v>
      </c>
      <c r="H1121" s="93">
        <v>0</v>
      </c>
      <c r="I1121" s="93">
        <v>0</v>
      </c>
      <c r="K1121" s="7">
        <v>0</v>
      </c>
      <c r="L1121" s="93">
        <f t="shared" si="152"/>
        <v>0</v>
      </c>
      <c r="M1121" s="95" t="e">
        <f t="shared" ca="1" si="153"/>
        <v>#DIV/0!</v>
      </c>
      <c r="N1121" s="95">
        <f>IF(P1121="Hedge Fund",IF(A1121=Summary!$AD$3,M1121-E1121,M1121),IF(A1121=Summary!$AD$3,L1121-D1121,L1121))</f>
        <v>0</v>
      </c>
      <c r="O1121" s="95">
        <f t="shared" si="157"/>
        <v>0</v>
      </c>
      <c r="P1121" s="95" t="s">
        <v>155</v>
      </c>
      <c r="Q1121" s="95">
        <v>1.5078740107156454E-2</v>
      </c>
      <c r="R1121" s="95">
        <v>0.182742459</v>
      </c>
      <c r="S1121" s="95"/>
      <c r="T1121" s="95"/>
      <c r="U1121" s="95"/>
      <c r="V1121" s="95"/>
      <c r="W1121" s="95"/>
      <c r="X1121" s="95"/>
      <c r="Y1121" s="95"/>
      <c r="Z1121" s="95"/>
      <c r="AA1121" s="95"/>
      <c r="AB1121" s="95"/>
      <c r="AC1121" s="355"/>
      <c r="AD1121" s="355"/>
      <c r="AE1121" s="355"/>
      <c r="AF1121" s="94">
        <f t="shared" si="154"/>
        <v>43465</v>
      </c>
      <c r="AG1121" s="185" t="e">
        <f t="shared" si="158"/>
        <v>#DIV/0!</v>
      </c>
      <c r="AH1121" s="339" t="str">
        <f>VLOOKUP(B1121,'MF PF'!A:B,2)</f>
        <v>FdMgt1</v>
      </c>
      <c r="AI1121" s="358">
        <f t="shared" si="155"/>
        <v>0</v>
      </c>
      <c r="AJ1121" s="94">
        <f t="shared" si="156"/>
        <v>43465</v>
      </c>
    </row>
    <row r="1122" spans="1:36" ht="12.75" customHeight="1">
      <c r="A1122" s="8">
        <v>43487</v>
      </c>
      <c r="B1122" s="358" t="s">
        <v>136</v>
      </c>
      <c r="C1122" s="358" t="s">
        <v>310</v>
      </c>
      <c r="D1122" s="93"/>
      <c r="F1122" s="93"/>
      <c r="G1122" s="93"/>
      <c r="H1122" s="93"/>
      <c r="I1122" s="93">
        <v>-31893.675051124424</v>
      </c>
      <c r="L1122" s="93">
        <f t="shared" si="152"/>
        <v>-31893.675051124424</v>
      </c>
      <c r="M1122" s="95" t="e">
        <f t="shared" ca="1" si="153"/>
        <v>#DIV/0!</v>
      </c>
      <c r="N1122" s="95">
        <f>IF(P1122="Hedge Fund",IF(A1122=Summary!$AD$3,M1122-E1122,M1122),IF(A1122=Summary!$AD$3,L1122-D1122,L1122))</f>
        <v>-31893.675051124424</v>
      </c>
      <c r="O1122" s="95">
        <f t="shared" si="157"/>
        <v>-31893.675051124424</v>
      </c>
      <c r="P1122" s="95" t="s">
        <v>155</v>
      </c>
      <c r="Q1122" s="95"/>
      <c r="R1122" s="95"/>
      <c r="S1122" s="95"/>
      <c r="T1122" s="95"/>
      <c r="U1122" s="95"/>
      <c r="V1122" s="95"/>
      <c r="W1122" s="95"/>
      <c r="X1122" s="95"/>
      <c r="Y1122" s="95"/>
      <c r="Z1122" s="95"/>
      <c r="AA1122" s="95"/>
      <c r="AB1122" s="95"/>
      <c r="AC1122" s="355"/>
      <c r="AD1122" s="355"/>
      <c r="AE1122" s="355"/>
      <c r="AF1122" s="94">
        <f t="shared" si="154"/>
        <v>43487</v>
      </c>
      <c r="AG1122" s="185">
        <f t="shared" si="158"/>
        <v>-0.99139297649511182</v>
      </c>
      <c r="AH1122" s="339" t="str">
        <f>VLOOKUP(B1122,'MF PF'!A:B,2)</f>
        <v>FdMgt1</v>
      </c>
      <c r="AI1122" s="358">
        <f t="shared" si="155"/>
        <v>0</v>
      </c>
      <c r="AJ1122" s="94">
        <f t="shared" si="156"/>
        <v>43496</v>
      </c>
    </row>
    <row r="1123" spans="1:36" ht="12.75" customHeight="1">
      <c r="A1123" s="8">
        <v>43496</v>
      </c>
      <c r="B1123" s="358" t="s">
        <v>136</v>
      </c>
      <c r="C1123" s="358" t="s">
        <v>310</v>
      </c>
      <c r="D1123" s="93">
        <v>3707420.3505000002</v>
      </c>
      <c r="F1123" s="93">
        <v>2.67</v>
      </c>
      <c r="G1123" s="93">
        <v>0</v>
      </c>
      <c r="H1123" s="93">
        <v>0</v>
      </c>
      <c r="I1123" s="93">
        <v>0</v>
      </c>
      <c r="K1123" s="7">
        <v>0</v>
      </c>
      <c r="L1123" s="93">
        <f t="shared" si="152"/>
        <v>0</v>
      </c>
      <c r="M1123" s="95" t="e">
        <f t="shared" ca="1" si="153"/>
        <v>#DIV/0!</v>
      </c>
      <c r="N1123" s="95">
        <f>IF(P1123="Hedge Fund",IF(A1123=Summary!$AD$3,M1123-E1123,M1123),IF(A1123=Summary!$AD$3,L1123-D1123,L1123))</f>
        <v>-3707420.3505000002</v>
      </c>
      <c r="O1123" s="95">
        <f t="shared" si="157"/>
        <v>-3707420.3505000002</v>
      </c>
      <c r="P1123" s="95" t="s">
        <v>155</v>
      </c>
      <c r="Q1123" s="95">
        <v>4.962705793126296E-3</v>
      </c>
      <c r="R1123" s="95">
        <v>0.18307417949999996</v>
      </c>
      <c r="S1123" s="95"/>
      <c r="T1123" s="95"/>
      <c r="U1123" s="95"/>
      <c r="V1123" s="95"/>
      <c r="W1123" s="95"/>
      <c r="X1123" s="95"/>
      <c r="Y1123" s="95"/>
      <c r="Z1123" s="95"/>
      <c r="AA1123" s="95"/>
      <c r="AB1123" s="95"/>
      <c r="AC1123" s="355"/>
      <c r="AD1123" s="355"/>
      <c r="AE1123" s="355"/>
      <c r="AF1123" s="94">
        <f t="shared" si="154"/>
        <v>43496</v>
      </c>
      <c r="AG1123" s="185" t="e">
        <f t="shared" si="158"/>
        <v>#DIV/0!</v>
      </c>
      <c r="AH1123" s="339" t="str">
        <f>VLOOKUP(B1123,'MF PF'!A:B,2)</f>
        <v>FdMgt1</v>
      </c>
      <c r="AI1123" s="358">
        <f t="shared" si="155"/>
        <v>0</v>
      </c>
      <c r="AJ1123" s="94">
        <f t="shared" si="156"/>
        <v>43496</v>
      </c>
    </row>
    <row r="1124" spans="1:36" ht="12.75" customHeight="1">
      <c r="A1124" s="8">
        <v>42019</v>
      </c>
      <c r="B1124" s="94" t="s">
        <v>136</v>
      </c>
      <c r="C1124" s="358" t="s">
        <v>311</v>
      </c>
      <c r="D1124" s="374">
        <v>1160000</v>
      </c>
      <c r="E1124" s="9" t="e">
        <f t="shared" ref="E1124:E1166" si="159">D1124/K1124</f>
        <v>#DIV/0!</v>
      </c>
      <c r="F1124" s="47">
        <v>1.75</v>
      </c>
      <c r="G1124" s="47">
        <v>1160000</v>
      </c>
      <c r="H1124" s="47">
        <v>0</v>
      </c>
      <c r="I1124" s="98">
        <v>0</v>
      </c>
      <c r="J1124" s="98"/>
      <c r="L1124" s="93">
        <f t="shared" si="152"/>
        <v>1160000</v>
      </c>
      <c r="M1124" s="95" t="e">
        <f t="shared" ca="1" si="153"/>
        <v>#DIV/0!</v>
      </c>
      <c r="N1124" s="95">
        <f>IF(P1124="Hedge Fund",IF(A1124=Summary!$AD$3,M1124-E1124,M1124),IF(A1124=Summary!$AD$3,L1124-D1124,L1124))</f>
        <v>1160000</v>
      </c>
      <c r="O1124" s="95">
        <f t="shared" si="157"/>
        <v>1160000</v>
      </c>
      <c r="P1124" s="89" t="s">
        <v>155</v>
      </c>
      <c r="Q1124" s="107">
        <v>0</v>
      </c>
      <c r="R1124" s="107">
        <v>0</v>
      </c>
      <c r="S1124" s="89">
        <v>0</v>
      </c>
      <c r="T1124" s="89">
        <v>0</v>
      </c>
      <c r="U1124" s="89"/>
      <c r="V1124" s="89"/>
      <c r="W1124" s="89"/>
      <c r="X1124" s="89"/>
      <c r="Y1124" s="89"/>
      <c r="Z1124" s="89"/>
      <c r="AA1124" s="89"/>
      <c r="AB1124" s="89"/>
      <c r="AC1124" s="355"/>
      <c r="AD1124" s="355"/>
      <c r="AE1124" s="355"/>
      <c r="AF1124" s="94">
        <f t="shared" si="154"/>
        <v>42019</v>
      </c>
      <c r="AG1124" s="185">
        <f t="shared" si="158"/>
        <v>0</v>
      </c>
      <c r="AH1124" s="339" t="str">
        <f>VLOOKUP(B1124,'MF PF'!A:B,2)</f>
        <v>FdMgt1</v>
      </c>
      <c r="AI1124" s="358">
        <f t="shared" si="155"/>
        <v>0</v>
      </c>
      <c r="AJ1124" s="94">
        <f t="shared" si="156"/>
        <v>42035</v>
      </c>
    </row>
    <row r="1125" spans="1:36" ht="12.75" customHeight="1">
      <c r="A1125" s="8">
        <v>42034</v>
      </c>
      <c r="B1125" s="94" t="s">
        <v>136</v>
      </c>
      <c r="C1125" s="358" t="s">
        <v>311</v>
      </c>
      <c r="D1125" s="374">
        <v>1156631.82</v>
      </c>
      <c r="E1125" s="9" t="e">
        <f t="shared" si="159"/>
        <v>#DIV/0!</v>
      </c>
      <c r="F1125" s="98">
        <v>1.75</v>
      </c>
      <c r="G1125" s="98">
        <v>0</v>
      </c>
      <c r="H1125" s="98">
        <v>0</v>
      </c>
      <c r="I1125" s="98">
        <v>0</v>
      </c>
      <c r="J1125" s="98"/>
      <c r="K1125" s="93"/>
      <c r="L1125" s="93">
        <f t="shared" si="152"/>
        <v>0</v>
      </c>
      <c r="M1125" s="95" t="e">
        <f t="shared" ca="1" si="153"/>
        <v>#DIV/0!</v>
      </c>
      <c r="N1125" s="95">
        <f>IF(P1125="Hedge Fund",IF(A1125=Summary!$AD$3,M1125-E1125,M1125),IF(A1125=Summary!$AD$3,L1125-D1125,L1125))</f>
        <v>0</v>
      </c>
      <c r="O1125" s="95">
        <f t="shared" si="157"/>
        <v>0</v>
      </c>
      <c r="P1125" s="107" t="s">
        <v>155</v>
      </c>
      <c r="Q1125" s="107">
        <v>0</v>
      </c>
      <c r="R1125" s="107">
        <v>0</v>
      </c>
      <c r="S1125" s="107">
        <v>0</v>
      </c>
      <c r="T1125" s="107">
        <v>0</v>
      </c>
      <c r="U1125" s="107"/>
      <c r="V1125" s="107"/>
      <c r="W1125" s="107"/>
      <c r="X1125" s="107"/>
      <c r="Y1125" s="107"/>
      <c r="Z1125" s="107"/>
      <c r="AA1125" s="107"/>
      <c r="AB1125" s="107"/>
      <c r="AC1125" s="355"/>
      <c r="AD1125" s="355"/>
      <c r="AE1125" s="355"/>
      <c r="AF1125" s="94">
        <f t="shared" si="154"/>
        <v>42034</v>
      </c>
      <c r="AG1125" s="185">
        <f t="shared" si="158"/>
        <v>-2.9036034482757822E-3</v>
      </c>
      <c r="AH1125" s="339" t="str">
        <f>VLOOKUP(B1125,'MF PF'!A:B,2)</f>
        <v>FdMgt1</v>
      </c>
      <c r="AI1125" s="358">
        <f t="shared" si="155"/>
        <v>0</v>
      </c>
      <c r="AJ1125" s="94">
        <f t="shared" si="156"/>
        <v>42035</v>
      </c>
    </row>
    <row r="1126" spans="1:36" ht="12.75" customHeight="1">
      <c r="A1126" s="8">
        <v>42062</v>
      </c>
      <c r="B1126" s="94" t="s">
        <v>136</v>
      </c>
      <c r="C1126" s="358" t="s">
        <v>311</v>
      </c>
      <c r="D1126" s="374">
        <v>1164642.29</v>
      </c>
      <c r="E1126" s="9" t="e">
        <f t="shared" si="159"/>
        <v>#DIV/0!</v>
      </c>
      <c r="F1126" s="98">
        <v>1.75</v>
      </c>
      <c r="G1126" s="98">
        <v>0</v>
      </c>
      <c r="H1126" s="98">
        <v>0</v>
      </c>
      <c r="I1126" s="98">
        <v>0</v>
      </c>
      <c r="J1126" s="98"/>
      <c r="K1126" s="93"/>
      <c r="L1126" s="93">
        <f t="shared" si="152"/>
        <v>0</v>
      </c>
      <c r="M1126" s="95" t="e">
        <f t="shared" ca="1" si="153"/>
        <v>#DIV/0!</v>
      </c>
      <c r="N1126" s="95">
        <f>IF(P1126="Hedge Fund",IF(A1126=Summary!$AD$3,M1126-E1126,M1126),IF(A1126=Summary!$AD$3,L1126-D1126,L1126))</f>
        <v>0</v>
      </c>
      <c r="O1126" s="95">
        <f t="shared" si="157"/>
        <v>0</v>
      </c>
      <c r="P1126" s="107" t="s">
        <v>155</v>
      </c>
      <c r="Q1126" s="107">
        <v>0</v>
      </c>
      <c r="R1126" s="107">
        <v>0</v>
      </c>
      <c r="S1126" s="107">
        <v>0</v>
      </c>
      <c r="T1126" s="107">
        <v>0</v>
      </c>
      <c r="U1126" s="107"/>
      <c r="V1126" s="107"/>
      <c r="W1126" s="107"/>
      <c r="X1126" s="107"/>
      <c r="Y1126" s="107"/>
      <c r="Z1126" s="107"/>
      <c r="AA1126" s="107"/>
      <c r="AB1126" s="107"/>
      <c r="AC1126" s="355"/>
      <c r="AD1126" s="355"/>
      <c r="AE1126" s="355"/>
      <c r="AF1126" s="94">
        <f t="shared" si="154"/>
        <v>42062</v>
      </c>
      <c r="AG1126" s="185">
        <f t="shared" si="158"/>
        <v>6.9256870349632127E-3</v>
      </c>
      <c r="AH1126" s="339" t="str">
        <f>VLOOKUP(B1126,'MF PF'!A:B,2)</f>
        <v>FdMgt1</v>
      </c>
      <c r="AI1126" s="358">
        <f t="shared" si="155"/>
        <v>0</v>
      </c>
      <c r="AJ1126" s="94">
        <f t="shared" si="156"/>
        <v>42063</v>
      </c>
    </row>
    <row r="1127" spans="1:36" ht="12.75" customHeight="1">
      <c r="A1127" s="94">
        <v>42094</v>
      </c>
      <c r="B1127" s="94" t="s">
        <v>136</v>
      </c>
      <c r="C1127" s="358" t="s">
        <v>311</v>
      </c>
      <c r="D1127" s="374">
        <v>1726618.06</v>
      </c>
      <c r="E1127" s="9" t="e">
        <f t="shared" si="159"/>
        <v>#DIV/0!</v>
      </c>
      <c r="F1127" s="98">
        <v>1.75</v>
      </c>
      <c r="G1127" s="98">
        <v>440000</v>
      </c>
      <c r="H1127" s="98">
        <v>0</v>
      </c>
      <c r="I1127" s="98">
        <v>0</v>
      </c>
      <c r="J1127" s="98"/>
      <c r="K1127" s="93"/>
      <c r="L1127" s="93">
        <f t="shared" si="152"/>
        <v>440000</v>
      </c>
      <c r="M1127" s="95" t="e">
        <f t="shared" ca="1" si="153"/>
        <v>#DIV/0!</v>
      </c>
      <c r="N1127" s="95">
        <f>IF(P1127="Hedge Fund",IF(A1127=Summary!$AD$3,M1127-E1127,M1127),IF(A1127=Summary!$AD$3,L1127-D1127,L1127))</f>
        <v>440000</v>
      </c>
      <c r="O1127" s="95">
        <f t="shared" si="157"/>
        <v>440000</v>
      </c>
      <c r="P1127" s="107" t="s">
        <v>155</v>
      </c>
      <c r="Q1127" s="107">
        <v>0</v>
      </c>
      <c r="R1127" s="107">
        <v>0</v>
      </c>
      <c r="S1127" s="107">
        <v>0</v>
      </c>
      <c r="T1127" s="107">
        <v>0</v>
      </c>
      <c r="U1127" s="107"/>
      <c r="V1127" s="107"/>
      <c r="W1127" s="107"/>
      <c r="X1127" s="107"/>
      <c r="Y1127" s="107"/>
      <c r="Z1127" s="107"/>
      <c r="AA1127" s="107"/>
      <c r="AB1127" s="107"/>
      <c r="AC1127" s="355"/>
      <c r="AD1127" s="355"/>
      <c r="AE1127" s="355"/>
      <c r="AF1127" s="94">
        <f t="shared" si="154"/>
        <v>42094</v>
      </c>
      <c r="AG1127" s="185">
        <f t="shared" si="158"/>
        <v>0.10473238954769548</v>
      </c>
      <c r="AH1127" s="339" t="str">
        <f>VLOOKUP(B1127,'MF PF'!A:B,2)</f>
        <v>FdMgt1</v>
      </c>
      <c r="AI1127" s="358">
        <f t="shared" si="155"/>
        <v>0</v>
      </c>
      <c r="AJ1127" s="94">
        <f t="shared" si="156"/>
        <v>42094</v>
      </c>
    </row>
    <row r="1128" spans="1:36" ht="12.75" customHeight="1">
      <c r="A1128" s="94">
        <v>42124</v>
      </c>
      <c r="B1128" s="94" t="s">
        <v>136</v>
      </c>
      <c r="C1128" s="358" t="s">
        <v>311</v>
      </c>
      <c r="D1128" s="374">
        <v>2008952.2</v>
      </c>
      <c r="E1128" s="95" t="e">
        <f t="shared" si="159"/>
        <v>#DIV/0!</v>
      </c>
      <c r="F1128" s="98">
        <v>1.75</v>
      </c>
      <c r="G1128" s="98">
        <v>150000</v>
      </c>
      <c r="H1128" s="98">
        <v>0</v>
      </c>
      <c r="I1128" s="98">
        <v>0</v>
      </c>
      <c r="J1128" s="98"/>
      <c r="L1128" s="93">
        <f t="shared" si="152"/>
        <v>150000</v>
      </c>
      <c r="M1128" s="95" t="e">
        <f t="shared" ca="1" si="153"/>
        <v>#DIV/0!</v>
      </c>
      <c r="N1128" s="95">
        <f>IF(P1128="Hedge Fund",IF(A1128=Summary!$AD$3,M1128-E1128,M1128),IF(A1128=Summary!$AD$3,L1128-D1128,L1128))</f>
        <v>150000</v>
      </c>
      <c r="O1128" s="95">
        <f t="shared" si="157"/>
        <v>150000</v>
      </c>
      <c r="P1128" s="107" t="s">
        <v>155</v>
      </c>
      <c r="Q1128" s="107">
        <v>0</v>
      </c>
      <c r="R1128" s="107">
        <v>0</v>
      </c>
      <c r="S1128" s="107">
        <v>0</v>
      </c>
      <c r="T1128" s="107">
        <v>0</v>
      </c>
      <c r="U1128" s="107"/>
      <c r="V1128" s="107"/>
      <c r="W1128" s="107"/>
      <c r="X1128" s="107"/>
      <c r="Y1128" s="107"/>
      <c r="Z1128" s="107"/>
      <c r="AA1128" s="107"/>
      <c r="AB1128" s="107"/>
      <c r="AC1128" s="355"/>
      <c r="AD1128" s="355"/>
      <c r="AE1128" s="355"/>
      <c r="AF1128" s="94">
        <f t="shared" si="154"/>
        <v>42124</v>
      </c>
      <c r="AG1128" s="185">
        <f t="shared" si="158"/>
        <v>7.664355138275325E-2</v>
      </c>
      <c r="AH1128" s="339" t="str">
        <f>VLOOKUP(B1128,'MF PF'!A:B,2)</f>
        <v>FdMgt1</v>
      </c>
      <c r="AI1128" s="358">
        <f t="shared" si="155"/>
        <v>0</v>
      </c>
      <c r="AJ1128" s="94">
        <f t="shared" si="156"/>
        <v>42124</v>
      </c>
    </row>
    <row r="1129" spans="1:36" ht="12.75" customHeight="1">
      <c r="A1129" s="94">
        <v>42153</v>
      </c>
      <c r="B1129" s="94" t="s">
        <v>136</v>
      </c>
      <c r="C1129" s="358" t="s">
        <v>311</v>
      </c>
      <c r="D1129" s="374">
        <v>2161800.19</v>
      </c>
      <c r="E1129" s="9" t="e">
        <f t="shared" si="159"/>
        <v>#DIV/0!</v>
      </c>
      <c r="F1129" s="98">
        <v>1.75</v>
      </c>
      <c r="G1129" s="98">
        <v>0</v>
      </c>
      <c r="H1129" s="98">
        <v>0</v>
      </c>
      <c r="I1129" s="98">
        <v>0</v>
      </c>
      <c r="J1129" s="98"/>
      <c r="L1129" s="93">
        <f t="shared" si="152"/>
        <v>0</v>
      </c>
      <c r="M1129" s="95" t="e">
        <f t="shared" ca="1" si="153"/>
        <v>#DIV/0!</v>
      </c>
      <c r="N1129" s="95">
        <f>IF(P1129="Hedge Fund",IF(A1129=Summary!$AD$3,M1129-E1129,M1129),IF(A1129=Summary!$AD$3,L1129-D1129,L1129))</f>
        <v>0</v>
      </c>
      <c r="O1129" s="95">
        <f t="shared" si="157"/>
        <v>0</v>
      </c>
      <c r="P1129" s="107" t="s">
        <v>155</v>
      </c>
      <c r="Q1129" s="107">
        <v>0</v>
      </c>
      <c r="R1129" s="107">
        <v>0</v>
      </c>
      <c r="S1129" s="107">
        <v>0</v>
      </c>
      <c r="T1129" s="107">
        <v>0</v>
      </c>
      <c r="U1129" s="107"/>
      <c r="V1129" s="107"/>
      <c r="W1129" s="107"/>
      <c r="X1129" s="107"/>
      <c r="Y1129" s="107"/>
      <c r="Z1129" s="107"/>
      <c r="AA1129" s="107"/>
      <c r="AB1129" s="107"/>
      <c r="AC1129" s="355"/>
      <c r="AD1129" s="355"/>
      <c r="AE1129" s="355"/>
      <c r="AF1129" s="94">
        <f t="shared" si="154"/>
        <v>42153</v>
      </c>
      <c r="AG1129" s="185">
        <f t="shared" si="158"/>
        <v>7.6083437923510466E-2</v>
      </c>
      <c r="AH1129" s="339" t="str">
        <f>VLOOKUP(B1129,'MF PF'!A:B,2)</f>
        <v>FdMgt1</v>
      </c>
      <c r="AI1129" s="358">
        <f t="shared" si="155"/>
        <v>0</v>
      </c>
      <c r="AJ1129" s="94">
        <f t="shared" si="156"/>
        <v>42155</v>
      </c>
    </row>
    <row r="1130" spans="1:36" ht="12.75" customHeight="1">
      <c r="A1130" s="8">
        <v>42185</v>
      </c>
      <c r="B1130" s="94" t="s">
        <v>136</v>
      </c>
      <c r="C1130" s="6" t="s">
        <v>311</v>
      </c>
      <c r="D1130" s="374">
        <v>1983954.53</v>
      </c>
      <c r="E1130" s="9" t="e">
        <f t="shared" si="159"/>
        <v>#DIV/0!</v>
      </c>
      <c r="F1130" s="98">
        <v>1.75</v>
      </c>
      <c r="G1130" s="98">
        <v>0</v>
      </c>
      <c r="H1130" s="98">
        <v>0</v>
      </c>
      <c r="I1130" s="98">
        <v>0</v>
      </c>
      <c r="J1130" s="98"/>
      <c r="L1130" s="93">
        <f t="shared" si="152"/>
        <v>0</v>
      </c>
      <c r="M1130" s="95" t="e">
        <f t="shared" ca="1" si="153"/>
        <v>#DIV/0!</v>
      </c>
      <c r="N1130" s="95">
        <f>IF(P1130="Hedge Fund",IF(A1130=Summary!$AD$3,M1130-E1130,M1130),IF(A1130=Summary!$AD$3,L1130-D1130,L1130))</f>
        <v>0</v>
      </c>
      <c r="O1130" s="95">
        <f t="shared" si="157"/>
        <v>0</v>
      </c>
      <c r="P1130" s="107" t="s">
        <v>155</v>
      </c>
      <c r="Q1130" s="107">
        <v>0</v>
      </c>
      <c r="R1130" s="107">
        <v>0</v>
      </c>
      <c r="S1130" s="107">
        <v>0</v>
      </c>
      <c r="T1130" s="107">
        <v>0</v>
      </c>
      <c r="U1130" s="107"/>
      <c r="V1130" s="107"/>
      <c r="W1130" s="107"/>
      <c r="X1130" s="107"/>
      <c r="Y1130" s="107"/>
      <c r="Z1130" s="107"/>
      <c r="AA1130" s="107"/>
      <c r="AB1130" s="107"/>
      <c r="AC1130" s="355"/>
      <c r="AD1130" s="355"/>
      <c r="AE1130" s="355"/>
      <c r="AF1130" s="94">
        <f t="shared" si="154"/>
        <v>42185</v>
      </c>
      <c r="AG1130" s="185">
        <f t="shared" si="158"/>
        <v>-8.2267390308629729E-2</v>
      </c>
      <c r="AH1130" s="339" t="str">
        <f>VLOOKUP(B1130,'MF PF'!A:B,2)</f>
        <v>FdMgt1</v>
      </c>
      <c r="AI1130" s="358">
        <f t="shared" si="155"/>
        <v>0</v>
      </c>
      <c r="AJ1130" s="94">
        <f t="shared" si="156"/>
        <v>42185</v>
      </c>
    </row>
    <row r="1131" spans="1:36" ht="12.75" customHeight="1">
      <c r="A1131" s="8">
        <v>42216</v>
      </c>
      <c r="B1131" s="8" t="s">
        <v>136</v>
      </c>
      <c r="C1131" s="6" t="s">
        <v>311</v>
      </c>
      <c r="D1131" s="374">
        <v>1908570.17</v>
      </c>
      <c r="E1131" s="9" t="e">
        <f t="shared" si="159"/>
        <v>#DIV/0!</v>
      </c>
      <c r="F1131" s="47">
        <v>1.75</v>
      </c>
      <c r="G1131" s="47">
        <v>0</v>
      </c>
      <c r="H1131" s="47">
        <v>0</v>
      </c>
      <c r="I1131" s="47">
        <v>0</v>
      </c>
      <c r="J1131" s="98"/>
      <c r="L1131" s="93">
        <f t="shared" si="152"/>
        <v>0</v>
      </c>
      <c r="M1131" s="95" t="e">
        <f t="shared" ca="1" si="153"/>
        <v>#DIV/0!</v>
      </c>
      <c r="N1131" s="95">
        <f>IF(P1131="Hedge Fund",IF(A1131=Summary!$AD$3,M1131-E1131,M1131),IF(A1131=Summary!$AD$3,L1131-D1131,L1131))</f>
        <v>0</v>
      </c>
      <c r="O1131" s="95">
        <f t="shared" si="157"/>
        <v>0</v>
      </c>
      <c r="P1131" s="89" t="s">
        <v>155</v>
      </c>
      <c r="Q1131" s="107">
        <v>0</v>
      </c>
      <c r="R1131" s="107">
        <v>0</v>
      </c>
      <c r="S1131" s="89">
        <v>0</v>
      </c>
      <c r="T1131" s="89">
        <v>0</v>
      </c>
      <c r="U1131" s="89"/>
      <c r="V1131" s="89"/>
      <c r="W1131" s="89"/>
      <c r="X1131" s="89"/>
      <c r="Y1131" s="89"/>
      <c r="Z1131" s="89"/>
      <c r="AA1131" s="89"/>
      <c r="AB1131" s="89"/>
      <c r="AC1131" s="355"/>
      <c r="AD1131" s="355"/>
      <c r="AE1131" s="355"/>
      <c r="AF1131" s="94">
        <f t="shared" si="154"/>
        <v>42216</v>
      </c>
      <c r="AG1131" s="185">
        <f t="shared" si="158"/>
        <v>-3.7997020022429662E-2</v>
      </c>
      <c r="AH1131" s="339" t="str">
        <f>VLOOKUP(B1131,'MF PF'!A:B,2)</f>
        <v>FdMgt1</v>
      </c>
      <c r="AI1131" s="358">
        <f t="shared" si="155"/>
        <v>0</v>
      </c>
      <c r="AJ1131" s="94">
        <f t="shared" si="156"/>
        <v>42216</v>
      </c>
    </row>
    <row r="1132" spans="1:36" ht="12.75" customHeight="1">
      <c r="A1132" s="94">
        <v>42247</v>
      </c>
      <c r="B1132" s="8" t="s">
        <v>136</v>
      </c>
      <c r="C1132" s="92" t="s">
        <v>311</v>
      </c>
      <c r="D1132" s="374">
        <v>1850255.55</v>
      </c>
      <c r="E1132" s="9" t="e">
        <f t="shared" si="159"/>
        <v>#DIV/0!</v>
      </c>
      <c r="F1132" s="47">
        <v>1.75</v>
      </c>
      <c r="G1132" s="47">
        <v>0</v>
      </c>
      <c r="H1132" s="47">
        <v>0</v>
      </c>
      <c r="I1132" s="47">
        <v>0</v>
      </c>
      <c r="J1132" s="98"/>
      <c r="L1132" s="93">
        <f t="shared" si="152"/>
        <v>0</v>
      </c>
      <c r="M1132" s="95" t="e">
        <f t="shared" ca="1" si="153"/>
        <v>#DIV/0!</v>
      </c>
      <c r="N1132" s="95">
        <f>IF(P1132="Hedge Fund",IF(A1132=Summary!$AD$3,M1132-E1132,M1132),IF(A1132=Summary!$AD$3,L1132-D1132,L1132))</f>
        <v>0</v>
      </c>
      <c r="O1132" s="95">
        <f t="shared" si="157"/>
        <v>0</v>
      </c>
      <c r="P1132" s="89" t="s">
        <v>155</v>
      </c>
      <c r="Q1132" s="107">
        <v>0</v>
      </c>
      <c r="R1132" s="107">
        <v>0</v>
      </c>
      <c r="S1132" s="89">
        <v>0</v>
      </c>
      <c r="T1132" s="89">
        <v>0</v>
      </c>
      <c r="U1132" s="89"/>
      <c r="V1132" s="89"/>
      <c r="W1132" s="89"/>
      <c r="X1132" s="89"/>
      <c r="Y1132" s="89"/>
      <c r="Z1132" s="89"/>
      <c r="AA1132" s="89"/>
      <c r="AB1132" s="89"/>
      <c r="AC1132" s="355"/>
      <c r="AD1132" s="355"/>
      <c r="AE1132" s="355"/>
      <c r="AF1132" s="94">
        <f t="shared" si="154"/>
        <v>42247</v>
      </c>
      <c r="AG1132" s="185">
        <f t="shared" si="158"/>
        <v>-3.0554087513586126E-2</v>
      </c>
      <c r="AH1132" s="339" t="str">
        <f>VLOOKUP(B1132,'MF PF'!A:B,2)</f>
        <v>FdMgt1</v>
      </c>
      <c r="AI1132" s="358">
        <f t="shared" si="155"/>
        <v>0</v>
      </c>
      <c r="AJ1132" s="94">
        <f t="shared" si="156"/>
        <v>42247</v>
      </c>
    </row>
    <row r="1133" spans="1:36" ht="12.75" customHeight="1">
      <c r="A1133" s="94">
        <v>42277</v>
      </c>
      <c r="B1133" s="94" t="s">
        <v>136</v>
      </c>
      <c r="C1133" s="358" t="s">
        <v>311</v>
      </c>
      <c r="D1133" s="374">
        <v>1859779.78</v>
      </c>
      <c r="E1133" s="9" t="e">
        <f t="shared" si="159"/>
        <v>#DIV/0!</v>
      </c>
      <c r="F1133" s="47">
        <v>1.75</v>
      </c>
      <c r="G1133" s="47">
        <v>0</v>
      </c>
      <c r="H1133" s="47">
        <v>0</v>
      </c>
      <c r="I1133" s="98">
        <v>0</v>
      </c>
      <c r="J1133" s="98"/>
      <c r="L1133" s="93">
        <f t="shared" si="152"/>
        <v>0</v>
      </c>
      <c r="M1133" s="95" t="e">
        <f t="shared" ca="1" si="153"/>
        <v>#DIV/0!</v>
      </c>
      <c r="N1133" s="95">
        <f>IF(P1133="Hedge Fund",IF(A1133=Summary!$AD$3,M1133-E1133,M1133),IF(A1133=Summary!$AD$3,L1133-D1133,L1133))</f>
        <v>0</v>
      </c>
      <c r="O1133" s="95">
        <f t="shared" si="157"/>
        <v>0</v>
      </c>
      <c r="P1133" s="89" t="s">
        <v>155</v>
      </c>
      <c r="Q1133" s="107">
        <v>0</v>
      </c>
      <c r="R1133" s="107">
        <v>0</v>
      </c>
      <c r="S1133" s="89">
        <v>0</v>
      </c>
      <c r="T1133" s="89">
        <v>0</v>
      </c>
      <c r="U1133" s="89"/>
      <c r="V1133" s="89"/>
      <c r="W1133" s="89"/>
      <c r="X1133" s="89"/>
      <c r="Y1133" s="89"/>
      <c r="Z1133" s="89"/>
      <c r="AA1133" s="89"/>
      <c r="AB1133" s="89"/>
      <c r="AC1133" s="355"/>
      <c r="AD1133" s="355"/>
      <c r="AE1133" s="355"/>
      <c r="AF1133" s="94">
        <f t="shared" si="154"/>
        <v>42277</v>
      </c>
      <c r="AG1133" s="185">
        <f t="shared" si="158"/>
        <v>5.1475213788712004E-3</v>
      </c>
      <c r="AH1133" s="339" t="str">
        <f>VLOOKUP(B1133,'MF PF'!A:B,2)</f>
        <v>FdMgt1</v>
      </c>
      <c r="AI1133" s="358">
        <f t="shared" si="155"/>
        <v>0</v>
      </c>
      <c r="AJ1133" s="94">
        <f t="shared" si="156"/>
        <v>42277</v>
      </c>
    </row>
    <row r="1134" spans="1:36" ht="12.75" customHeight="1">
      <c r="A1134" s="94">
        <v>42307</v>
      </c>
      <c r="B1134" s="94" t="s">
        <v>136</v>
      </c>
      <c r="C1134" s="358" t="s">
        <v>311</v>
      </c>
      <c r="D1134" s="374">
        <v>1930263.09</v>
      </c>
      <c r="E1134" s="9" t="e">
        <f t="shared" si="159"/>
        <v>#DIV/0!</v>
      </c>
      <c r="F1134" s="47">
        <v>1.75</v>
      </c>
      <c r="G1134" s="47">
        <v>0</v>
      </c>
      <c r="H1134" s="47">
        <v>-2.3283064365386963E-10</v>
      </c>
      <c r="I1134" s="98">
        <v>0</v>
      </c>
      <c r="J1134" s="98"/>
      <c r="L1134" s="93">
        <f t="shared" si="152"/>
        <v>-2.3283064365386963E-10</v>
      </c>
      <c r="M1134" s="95" t="e">
        <f t="shared" ca="1" si="153"/>
        <v>#DIV/0!</v>
      </c>
      <c r="N1134" s="95">
        <f>IF(P1134="Hedge Fund",IF(A1134=Summary!$AD$3,M1134-E1134,M1134),IF(A1134=Summary!$AD$3,L1134-D1134,L1134))</f>
        <v>-2.3283064365386963E-10</v>
      </c>
      <c r="O1134" s="95">
        <f t="shared" si="157"/>
        <v>-2.3283064365386963E-10</v>
      </c>
      <c r="P1134" s="89" t="s">
        <v>155</v>
      </c>
      <c r="Q1134" s="107">
        <v>0</v>
      </c>
      <c r="R1134" s="107">
        <v>0</v>
      </c>
      <c r="S1134" s="89">
        <v>0</v>
      </c>
      <c r="T1134" s="89">
        <v>0</v>
      </c>
      <c r="U1134" s="89"/>
      <c r="V1134" s="89"/>
      <c r="W1134" s="89"/>
      <c r="X1134" s="89"/>
      <c r="Y1134" s="89"/>
      <c r="Z1134" s="89"/>
      <c r="AA1134" s="89"/>
      <c r="AB1134" s="89"/>
      <c r="AC1134" s="355"/>
      <c r="AD1134" s="355"/>
      <c r="AE1134" s="355"/>
      <c r="AF1134" s="94">
        <f t="shared" si="154"/>
        <v>42307</v>
      </c>
      <c r="AG1134" s="185">
        <f t="shared" si="158"/>
        <v>3.7898739817463944E-2</v>
      </c>
      <c r="AH1134" s="339" t="str">
        <f>VLOOKUP(B1134,'MF PF'!A:B,2)</f>
        <v>FdMgt1</v>
      </c>
      <c r="AI1134" s="358">
        <f t="shared" si="155"/>
        <v>0</v>
      </c>
      <c r="AJ1134" s="94">
        <f t="shared" si="156"/>
        <v>42308</v>
      </c>
    </row>
    <row r="1135" spans="1:36" ht="12.75" customHeight="1">
      <c r="A1135" s="8">
        <v>42338</v>
      </c>
      <c r="B1135" s="94" t="s">
        <v>136</v>
      </c>
      <c r="C1135" s="358" t="s">
        <v>311</v>
      </c>
      <c r="D1135" s="374">
        <v>1846102.82</v>
      </c>
      <c r="E1135" s="9" t="e">
        <f t="shared" si="159"/>
        <v>#DIV/0!</v>
      </c>
      <c r="F1135" s="47">
        <v>1.75</v>
      </c>
      <c r="G1135" s="47">
        <v>0</v>
      </c>
      <c r="H1135" s="47">
        <v>0</v>
      </c>
      <c r="I1135" s="98">
        <v>0</v>
      </c>
      <c r="J1135" s="98"/>
      <c r="L1135" s="93">
        <f t="shared" si="152"/>
        <v>0</v>
      </c>
      <c r="M1135" s="95" t="e">
        <f t="shared" ca="1" si="153"/>
        <v>#DIV/0!</v>
      </c>
      <c r="N1135" s="95">
        <f>IF(P1135="Hedge Fund",IF(A1135=Summary!$AD$3,M1135-E1135,M1135),IF(A1135=Summary!$AD$3,L1135-D1135,L1135))</f>
        <v>0</v>
      </c>
      <c r="O1135" s="95">
        <f t="shared" si="157"/>
        <v>0</v>
      </c>
      <c r="P1135" s="89" t="s">
        <v>155</v>
      </c>
      <c r="Q1135" s="107">
        <v>0</v>
      </c>
      <c r="R1135" s="107">
        <v>0</v>
      </c>
      <c r="S1135" s="89">
        <v>0</v>
      </c>
      <c r="T1135" s="89">
        <v>0</v>
      </c>
      <c r="U1135" s="89"/>
      <c r="V1135" s="89"/>
      <c r="W1135" s="89"/>
      <c r="X1135" s="89"/>
      <c r="Y1135" s="89"/>
      <c r="Z1135" s="89"/>
      <c r="AA1135" s="89"/>
      <c r="AB1135" s="89"/>
      <c r="AC1135" s="355"/>
      <c r="AD1135" s="355"/>
      <c r="AE1135" s="355"/>
      <c r="AF1135" s="94">
        <f t="shared" si="154"/>
        <v>42338</v>
      </c>
      <c r="AG1135" s="185">
        <f t="shared" si="158"/>
        <v>-4.3600414076197302E-2</v>
      </c>
      <c r="AH1135" s="339" t="str">
        <f>VLOOKUP(B1135,'MF PF'!A:B,2)</f>
        <v>FdMgt1</v>
      </c>
      <c r="AI1135" s="358">
        <f t="shared" si="155"/>
        <v>0</v>
      </c>
      <c r="AJ1135" s="94">
        <f t="shared" si="156"/>
        <v>42338</v>
      </c>
    </row>
    <row r="1136" spans="1:36" ht="12.75" customHeight="1">
      <c r="A1136" s="8">
        <v>42369</v>
      </c>
      <c r="B1136" s="94" t="s">
        <v>136</v>
      </c>
      <c r="C1136" s="358" t="s">
        <v>311</v>
      </c>
      <c r="D1136" s="374">
        <v>1944715.69</v>
      </c>
      <c r="E1136" s="9" t="e">
        <f t="shared" si="159"/>
        <v>#DIV/0!</v>
      </c>
      <c r="F1136" s="47">
        <v>1.75</v>
      </c>
      <c r="G1136" s="47">
        <v>0</v>
      </c>
      <c r="H1136" s="47">
        <v>0</v>
      </c>
      <c r="I1136" s="98">
        <v>0</v>
      </c>
      <c r="J1136" s="98"/>
      <c r="L1136" s="93">
        <f t="shared" si="152"/>
        <v>0</v>
      </c>
      <c r="M1136" s="95" t="e">
        <f t="shared" ca="1" si="153"/>
        <v>#DIV/0!</v>
      </c>
      <c r="N1136" s="95">
        <f>IF(P1136="Hedge Fund",IF(A1136=Summary!$AD$3,M1136-E1136,M1136),IF(A1136=Summary!$AD$3,L1136-D1136,L1136))</f>
        <v>0</v>
      </c>
      <c r="O1136" s="95">
        <f t="shared" si="157"/>
        <v>0</v>
      </c>
      <c r="P1136" s="89" t="s">
        <v>155</v>
      </c>
      <c r="Q1136" s="107">
        <v>0</v>
      </c>
      <c r="R1136" s="107">
        <v>0</v>
      </c>
      <c r="S1136" s="89">
        <v>0</v>
      </c>
      <c r="T1136" s="89">
        <v>0</v>
      </c>
      <c r="U1136" s="89"/>
      <c r="V1136" s="89"/>
      <c r="W1136" s="89"/>
      <c r="X1136" s="89"/>
      <c r="Y1136" s="89"/>
      <c r="Z1136" s="89"/>
      <c r="AA1136" s="89"/>
      <c r="AB1136" s="89"/>
      <c r="AC1136" s="355"/>
      <c r="AD1136" s="355"/>
      <c r="AE1136" s="355"/>
      <c r="AF1136" s="94">
        <f t="shared" si="154"/>
        <v>42369</v>
      </c>
      <c r="AG1136" s="185">
        <f t="shared" si="158"/>
        <v>5.341678097864544E-2</v>
      </c>
      <c r="AH1136" s="339" t="str">
        <f>VLOOKUP(B1136,'MF PF'!A:B,2)</f>
        <v>FdMgt1</v>
      </c>
      <c r="AI1136" s="358">
        <f t="shared" si="155"/>
        <v>0</v>
      </c>
      <c r="AJ1136" s="94">
        <f t="shared" si="156"/>
        <v>42369</v>
      </c>
    </row>
    <row r="1137" spans="1:36" ht="12.75" customHeight="1">
      <c r="A1137" s="94">
        <v>42398</v>
      </c>
      <c r="B1137" s="94" t="s">
        <v>136</v>
      </c>
      <c r="C1137" s="358" t="s">
        <v>311</v>
      </c>
      <c r="D1137" s="374">
        <v>1873639.5</v>
      </c>
      <c r="E1137" s="9" t="e">
        <f t="shared" si="159"/>
        <v>#DIV/0!</v>
      </c>
      <c r="F1137" s="98">
        <v>1.75</v>
      </c>
      <c r="G1137" s="98">
        <v>0</v>
      </c>
      <c r="H1137" s="98">
        <v>0</v>
      </c>
      <c r="I1137" s="98">
        <v>0</v>
      </c>
      <c r="J1137" s="98"/>
      <c r="L1137" s="93">
        <f t="shared" si="152"/>
        <v>0</v>
      </c>
      <c r="M1137" s="95" t="e">
        <f t="shared" ca="1" si="153"/>
        <v>#DIV/0!</v>
      </c>
      <c r="N1137" s="95">
        <f>IF(P1137="Hedge Fund",IF(A1137=Summary!$AD$3,M1137-E1137,M1137),IF(A1137=Summary!$AD$3,L1137-D1137,L1137))</f>
        <v>0</v>
      </c>
      <c r="O1137" s="95">
        <f t="shared" si="157"/>
        <v>0</v>
      </c>
      <c r="P1137" s="107" t="s">
        <v>155</v>
      </c>
      <c r="Q1137" s="107">
        <v>0</v>
      </c>
      <c r="R1137" s="107">
        <v>0</v>
      </c>
      <c r="S1137" s="107">
        <v>0</v>
      </c>
      <c r="T1137" s="107">
        <v>0</v>
      </c>
      <c r="U1137" s="107"/>
      <c r="V1137" s="107"/>
      <c r="W1137" s="107"/>
      <c r="X1137" s="107"/>
      <c r="Y1137" s="107"/>
      <c r="Z1137" s="107"/>
      <c r="AA1137" s="107"/>
      <c r="AB1137" s="107"/>
      <c r="AC1137" s="355"/>
      <c r="AD1137" s="355"/>
      <c r="AE1137" s="355"/>
      <c r="AF1137" s="94">
        <f t="shared" si="154"/>
        <v>42398</v>
      </c>
      <c r="AG1137" s="185">
        <f t="shared" si="158"/>
        <v>-3.6548370728679558E-2</v>
      </c>
      <c r="AH1137" s="339" t="str">
        <f>VLOOKUP(B1137,'MF PF'!A:B,2)</f>
        <v>FdMgt1</v>
      </c>
      <c r="AI1137" s="358">
        <f t="shared" si="155"/>
        <v>0</v>
      </c>
      <c r="AJ1137" s="94">
        <f t="shared" si="156"/>
        <v>42400</v>
      </c>
    </row>
    <row r="1138" spans="1:36" ht="12.75" customHeight="1">
      <c r="A1138" s="8">
        <v>42429</v>
      </c>
      <c r="B1138" s="94" t="s">
        <v>136</v>
      </c>
      <c r="C1138" s="358" t="s">
        <v>311</v>
      </c>
      <c r="D1138" s="374">
        <v>1954122.44</v>
      </c>
      <c r="E1138" s="9" t="e">
        <f t="shared" si="159"/>
        <v>#DIV/0!</v>
      </c>
      <c r="F1138" s="98">
        <v>1.75</v>
      </c>
      <c r="G1138" s="98">
        <v>0</v>
      </c>
      <c r="H1138" s="98">
        <v>0</v>
      </c>
      <c r="I1138" s="98">
        <v>0</v>
      </c>
      <c r="J1138" s="98"/>
      <c r="L1138" s="93">
        <f t="shared" si="152"/>
        <v>0</v>
      </c>
      <c r="M1138" s="95" t="e">
        <f t="shared" ca="1" si="153"/>
        <v>#DIV/0!</v>
      </c>
      <c r="N1138" s="95">
        <f>IF(P1138="Hedge Fund",IF(A1138=Summary!$AD$3,M1138-E1138,M1138),IF(A1138=Summary!$AD$3,L1138-D1138,L1138))</f>
        <v>0</v>
      </c>
      <c r="O1138" s="95">
        <f t="shared" si="157"/>
        <v>0</v>
      </c>
      <c r="P1138" s="107" t="s">
        <v>155</v>
      </c>
      <c r="Q1138" s="107">
        <v>0</v>
      </c>
      <c r="R1138" s="107">
        <v>0</v>
      </c>
      <c r="S1138" s="107">
        <v>0</v>
      </c>
      <c r="T1138" s="107">
        <v>0</v>
      </c>
      <c r="U1138" s="107"/>
      <c r="V1138" s="107"/>
      <c r="W1138" s="107"/>
      <c r="X1138" s="107"/>
      <c r="Y1138" s="107"/>
      <c r="Z1138" s="107"/>
      <c r="AA1138" s="107"/>
      <c r="AB1138" s="107"/>
      <c r="AC1138" s="355"/>
      <c r="AD1138" s="355"/>
      <c r="AE1138" s="355"/>
      <c r="AF1138" s="94">
        <f t="shared" si="154"/>
        <v>42429</v>
      </c>
      <c r="AG1138" s="185">
        <f t="shared" si="158"/>
        <v>4.2955403107161283E-2</v>
      </c>
      <c r="AH1138" s="339" t="str">
        <f>VLOOKUP(B1138,'MF PF'!A:B,2)</f>
        <v>FdMgt1</v>
      </c>
      <c r="AI1138" s="358">
        <f t="shared" si="155"/>
        <v>0</v>
      </c>
      <c r="AJ1138" s="94">
        <f t="shared" si="156"/>
        <v>42429</v>
      </c>
    </row>
    <row r="1139" spans="1:36" ht="12.75" customHeight="1">
      <c r="A1139" s="8">
        <v>42460</v>
      </c>
      <c r="B1139" s="94" t="s">
        <v>136</v>
      </c>
      <c r="C1139" s="358" t="s">
        <v>311</v>
      </c>
      <c r="D1139" s="374">
        <v>2001249.9400000002</v>
      </c>
      <c r="E1139" s="9" t="e">
        <f t="shared" si="159"/>
        <v>#DIV/0!</v>
      </c>
      <c r="F1139" s="98">
        <v>1.75</v>
      </c>
      <c r="G1139" s="98">
        <v>0</v>
      </c>
      <c r="H1139" s="98">
        <v>0</v>
      </c>
      <c r="I1139" s="98">
        <v>0</v>
      </c>
      <c r="J1139" s="98"/>
      <c r="L1139" s="93">
        <f t="shared" si="152"/>
        <v>0</v>
      </c>
      <c r="M1139" s="95" t="e">
        <f t="shared" ca="1" si="153"/>
        <v>#DIV/0!</v>
      </c>
      <c r="N1139" s="95">
        <f>IF(P1139="Hedge Fund",IF(A1139=Summary!$AD$3,M1139-E1139,M1139),IF(A1139=Summary!$AD$3,L1139-D1139,L1139))</f>
        <v>0</v>
      </c>
      <c r="O1139" s="95">
        <f t="shared" si="157"/>
        <v>0</v>
      </c>
      <c r="P1139" s="107" t="s">
        <v>155</v>
      </c>
      <c r="Q1139" s="107">
        <v>0</v>
      </c>
      <c r="R1139" s="107">
        <v>0</v>
      </c>
      <c r="S1139" s="107">
        <v>0</v>
      </c>
      <c r="T1139" s="107">
        <v>0</v>
      </c>
      <c r="U1139" s="107"/>
      <c r="V1139" s="107"/>
      <c r="W1139" s="107"/>
      <c r="X1139" s="107"/>
      <c r="Y1139" s="107"/>
      <c r="Z1139" s="107"/>
      <c r="AA1139" s="107"/>
      <c r="AB1139" s="107"/>
      <c r="AC1139" s="355"/>
      <c r="AD1139" s="355"/>
      <c r="AE1139" s="355"/>
      <c r="AF1139" s="94">
        <f t="shared" si="154"/>
        <v>42460</v>
      </c>
      <c r="AG1139" s="185">
        <f t="shared" si="158"/>
        <v>2.4116963725159479E-2</v>
      </c>
      <c r="AH1139" s="339" t="str">
        <f>VLOOKUP(B1139,'MF PF'!A:B,2)</f>
        <v>FdMgt1</v>
      </c>
      <c r="AI1139" s="358">
        <f t="shared" si="155"/>
        <v>0</v>
      </c>
      <c r="AJ1139" s="94">
        <f t="shared" si="156"/>
        <v>42460</v>
      </c>
    </row>
    <row r="1140" spans="1:36" ht="12.75" customHeight="1">
      <c r="A1140" s="8">
        <v>42489</v>
      </c>
      <c r="B1140" s="94" t="s">
        <v>136</v>
      </c>
      <c r="C1140" s="358" t="s">
        <v>311</v>
      </c>
      <c r="D1140" s="374">
        <v>1921050.92</v>
      </c>
      <c r="E1140" s="9" t="e">
        <f t="shared" si="159"/>
        <v>#DIV/0!</v>
      </c>
      <c r="F1140" s="98">
        <v>1.75</v>
      </c>
      <c r="G1140" s="98">
        <v>0</v>
      </c>
      <c r="H1140" s="98">
        <v>0</v>
      </c>
      <c r="I1140" s="98">
        <v>0</v>
      </c>
      <c r="J1140" s="98"/>
      <c r="K1140" s="93"/>
      <c r="L1140" s="93">
        <f t="shared" si="152"/>
        <v>0</v>
      </c>
      <c r="M1140" s="95" t="e">
        <f t="shared" ca="1" si="153"/>
        <v>#DIV/0!</v>
      </c>
      <c r="N1140" s="95">
        <f>IF(P1140="Hedge Fund",IF(A1140=Summary!$AD$3,M1140-E1140,M1140),IF(A1140=Summary!$AD$3,L1140-D1140,L1140))</f>
        <v>0</v>
      </c>
      <c r="O1140" s="95">
        <f t="shared" si="157"/>
        <v>0</v>
      </c>
      <c r="P1140" s="107" t="s">
        <v>155</v>
      </c>
      <c r="Q1140" s="107">
        <v>0</v>
      </c>
      <c r="R1140" s="107">
        <v>0</v>
      </c>
      <c r="S1140" s="107">
        <v>0</v>
      </c>
      <c r="T1140" s="107">
        <v>0</v>
      </c>
      <c r="U1140" s="107"/>
      <c r="V1140" s="107"/>
      <c r="W1140" s="107"/>
      <c r="X1140" s="107"/>
      <c r="Y1140" s="107"/>
      <c r="Z1140" s="107"/>
      <c r="AA1140" s="107"/>
      <c r="AB1140" s="107"/>
      <c r="AC1140" s="355"/>
      <c r="AD1140" s="355"/>
      <c r="AE1140" s="355"/>
      <c r="AF1140" s="94">
        <f t="shared" si="154"/>
        <v>42489</v>
      </c>
      <c r="AG1140" s="185">
        <f t="shared" si="158"/>
        <v>-4.0074464661820408E-2</v>
      </c>
      <c r="AH1140" s="339" t="str">
        <f>VLOOKUP(B1140,'MF PF'!A:B,2)</f>
        <v>FdMgt1</v>
      </c>
      <c r="AI1140" s="358">
        <f t="shared" si="155"/>
        <v>0</v>
      </c>
      <c r="AJ1140" s="94">
        <f t="shared" si="156"/>
        <v>42490</v>
      </c>
    </row>
    <row r="1141" spans="1:36" ht="12.75" customHeight="1">
      <c r="A1141" s="8">
        <v>42521</v>
      </c>
      <c r="B1141" s="94" t="s">
        <v>136</v>
      </c>
      <c r="C1141" s="358" t="s">
        <v>311</v>
      </c>
      <c r="D1141" s="374">
        <v>2178835.13</v>
      </c>
      <c r="E1141" s="9" t="e">
        <f t="shared" si="159"/>
        <v>#DIV/0!</v>
      </c>
      <c r="F1141" s="98">
        <v>1.75</v>
      </c>
      <c r="G1141" s="98">
        <v>0</v>
      </c>
      <c r="H1141" s="98">
        <v>0</v>
      </c>
      <c r="I1141" s="98">
        <v>0</v>
      </c>
      <c r="J1141" s="98"/>
      <c r="K1141" s="93"/>
      <c r="L1141" s="93">
        <f t="shared" si="152"/>
        <v>0</v>
      </c>
      <c r="M1141" s="95" t="e">
        <f t="shared" ca="1" si="153"/>
        <v>#DIV/0!</v>
      </c>
      <c r="N1141" s="95">
        <f>IF(P1141="Hedge Fund",IF(A1141=Summary!$AD$3,M1141-E1141,M1141),IF(A1141=Summary!$AD$3,L1141-D1141,L1141))</f>
        <v>0</v>
      </c>
      <c r="O1141" s="95">
        <f t="shared" si="157"/>
        <v>0</v>
      </c>
      <c r="P1141" s="107" t="s">
        <v>155</v>
      </c>
      <c r="Q1141" s="107">
        <v>0</v>
      </c>
      <c r="R1141" s="107">
        <v>0</v>
      </c>
      <c r="S1141" s="107">
        <v>0</v>
      </c>
      <c r="T1141" s="107">
        <v>0</v>
      </c>
      <c r="U1141" s="107"/>
      <c r="V1141" s="107"/>
      <c r="W1141" s="107"/>
      <c r="X1141" s="107"/>
      <c r="Y1141" s="107"/>
      <c r="Z1141" s="107"/>
      <c r="AA1141" s="107"/>
      <c r="AB1141" s="107"/>
      <c r="AC1141" s="355"/>
      <c r="AD1141" s="355"/>
      <c r="AE1141" s="355"/>
      <c r="AF1141" s="94">
        <f t="shared" si="154"/>
        <v>42521</v>
      </c>
      <c r="AG1141" s="185">
        <f t="shared" si="158"/>
        <v>0.13418916037894513</v>
      </c>
      <c r="AH1141" s="339" t="str">
        <f>VLOOKUP(B1141,'MF PF'!A:B,2)</f>
        <v>FdMgt1</v>
      </c>
      <c r="AI1141" s="358">
        <f t="shared" si="155"/>
        <v>0</v>
      </c>
      <c r="AJ1141" s="94">
        <f t="shared" si="156"/>
        <v>42521</v>
      </c>
    </row>
    <row r="1142" spans="1:36" ht="12.75" customHeight="1">
      <c r="A1142" s="94">
        <v>42551</v>
      </c>
      <c r="B1142" s="94" t="s">
        <v>136</v>
      </c>
      <c r="C1142" s="358" t="s">
        <v>311</v>
      </c>
      <c r="D1142" s="374">
        <v>2269232.41</v>
      </c>
      <c r="E1142" s="9" t="e">
        <f t="shared" si="159"/>
        <v>#DIV/0!</v>
      </c>
      <c r="F1142" s="98">
        <v>1.75</v>
      </c>
      <c r="G1142" s="98">
        <v>0</v>
      </c>
      <c r="H1142" s="98">
        <v>0</v>
      </c>
      <c r="I1142" s="98">
        <v>0</v>
      </c>
      <c r="J1142" s="98"/>
      <c r="K1142" s="93"/>
      <c r="L1142" s="93">
        <f t="shared" si="152"/>
        <v>0</v>
      </c>
      <c r="M1142" s="95" t="e">
        <f t="shared" ca="1" si="153"/>
        <v>#DIV/0!</v>
      </c>
      <c r="N1142" s="95">
        <f>IF(P1142="Hedge Fund",IF(A1142=Summary!$AD$3,M1142-E1142,M1142),IF(A1142=Summary!$AD$3,L1142-D1142,L1142))</f>
        <v>0</v>
      </c>
      <c r="O1142" s="95">
        <f t="shared" si="157"/>
        <v>0</v>
      </c>
      <c r="P1142" s="107" t="s">
        <v>155</v>
      </c>
      <c r="Q1142" s="107">
        <v>0</v>
      </c>
      <c r="R1142" s="107">
        <v>0</v>
      </c>
      <c r="S1142" s="107">
        <v>0</v>
      </c>
      <c r="T1142" s="107">
        <v>0</v>
      </c>
      <c r="U1142" s="107"/>
      <c r="V1142" s="107"/>
      <c r="W1142" s="107"/>
      <c r="X1142" s="107"/>
      <c r="Y1142" s="107"/>
      <c r="Z1142" s="107"/>
      <c r="AA1142" s="107"/>
      <c r="AB1142" s="107"/>
      <c r="AC1142" s="355"/>
      <c r="AD1142" s="355"/>
      <c r="AE1142" s="355"/>
      <c r="AF1142" s="94">
        <f t="shared" si="154"/>
        <v>42551</v>
      </c>
      <c r="AG1142" s="185">
        <f t="shared" si="158"/>
        <v>4.1488811500850042E-2</v>
      </c>
      <c r="AH1142" s="339" t="str">
        <f>VLOOKUP(B1142,'MF PF'!A:B,2)</f>
        <v>FdMgt1</v>
      </c>
      <c r="AI1142" s="358">
        <f t="shared" si="155"/>
        <v>0</v>
      </c>
      <c r="AJ1142" s="94">
        <f t="shared" si="156"/>
        <v>42551</v>
      </c>
    </row>
    <row r="1143" spans="1:36" ht="12.75" customHeight="1">
      <c r="A1143" s="8">
        <v>42580</v>
      </c>
      <c r="B1143" s="94" t="s">
        <v>136</v>
      </c>
      <c r="C1143" s="358" t="s">
        <v>311</v>
      </c>
      <c r="D1143" s="374">
        <v>2378839.6</v>
      </c>
      <c r="E1143" s="9" t="e">
        <f t="shared" si="159"/>
        <v>#DIV/0!</v>
      </c>
      <c r="F1143" s="98">
        <v>1.75</v>
      </c>
      <c r="G1143" s="98">
        <v>0</v>
      </c>
      <c r="H1143" s="98">
        <v>0</v>
      </c>
      <c r="I1143" s="98">
        <v>0</v>
      </c>
      <c r="J1143" s="98"/>
      <c r="L1143" s="93">
        <f t="shared" si="152"/>
        <v>0</v>
      </c>
      <c r="M1143" s="95" t="e">
        <f t="shared" ca="1" si="153"/>
        <v>#DIV/0!</v>
      </c>
      <c r="N1143" s="95">
        <f>IF(P1143="Hedge Fund",IF(A1143=Summary!$AD$3,M1143-E1143,M1143),IF(A1143=Summary!$AD$3,L1143-D1143,L1143))</f>
        <v>0</v>
      </c>
      <c r="O1143" s="95">
        <f t="shared" si="157"/>
        <v>0</v>
      </c>
      <c r="P1143" s="107" t="s">
        <v>155</v>
      </c>
      <c r="Q1143" s="107">
        <v>0</v>
      </c>
      <c r="R1143" s="107">
        <v>0</v>
      </c>
      <c r="S1143" s="107">
        <v>0</v>
      </c>
      <c r="T1143" s="107">
        <v>0</v>
      </c>
      <c r="U1143" s="107"/>
      <c r="V1143" s="107"/>
      <c r="W1143" s="107"/>
      <c r="X1143" s="107"/>
      <c r="Y1143" s="107"/>
      <c r="Z1143" s="107"/>
      <c r="AA1143" s="107"/>
      <c r="AB1143" s="107"/>
      <c r="AC1143" s="355"/>
      <c r="AD1143" s="355"/>
      <c r="AE1143" s="355"/>
      <c r="AF1143" s="94">
        <f t="shared" si="154"/>
        <v>42580</v>
      </c>
      <c r="AG1143" s="185">
        <f t="shared" si="158"/>
        <v>4.8301438634925864E-2</v>
      </c>
      <c r="AH1143" s="339" t="str">
        <f>VLOOKUP(B1143,'MF PF'!A:B,2)</f>
        <v>FdMgt1</v>
      </c>
      <c r="AI1143" s="358">
        <f t="shared" si="155"/>
        <v>0</v>
      </c>
      <c r="AJ1143" s="94">
        <f t="shared" si="156"/>
        <v>42582</v>
      </c>
    </row>
    <row r="1144" spans="1:36" ht="12.75" customHeight="1">
      <c r="A1144" s="8">
        <v>42613</v>
      </c>
      <c r="B1144" s="94" t="s">
        <v>136</v>
      </c>
      <c r="C1144" s="358" t="s">
        <v>311</v>
      </c>
      <c r="D1144" s="374">
        <v>2340113.06</v>
      </c>
      <c r="E1144" s="9" t="e">
        <f t="shared" si="159"/>
        <v>#DIV/0!</v>
      </c>
      <c r="F1144" s="47">
        <v>1.75</v>
      </c>
      <c r="G1144" s="47">
        <v>0</v>
      </c>
      <c r="H1144" s="47">
        <v>0</v>
      </c>
      <c r="I1144" s="98">
        <v>0</v>
      </c>
      <c r="J1144" s="98"/>
      <c r="K1144" s="93"/>
      <c r="L1144" s="93">
        <f t="shared" si="152"/>
        <v>0</v>
      </c>
      <c r="M1144" s="95" t="e">
        <f t="shared" ca="1" si="153"/>
        <v>#DIV/0!</v>
      </c>
      <c r="N1144" s="95">
        <f>IF(P1144="Hedge Fund",IF(A1144=Summary!$AD$3,M1144-E1144,M1144),IF(A1144=Summary!$AD$3,L1144-D1144,L1144))</f>
        <v>0</v>
      </c>
      <c r="O1144" s="95">
        <f t="shared" si="157"/>
        <v>0</v>
      </c>
      <c r="P1144" s="89" t="s">
        <v>155</v>
      </c>
      <c r="Q1144" s="107">
        <v>0</v>
      </c>
      <c r="R1144" s="107">
        <v>0</v>
      </c>
      <c r="S1144" s="89">
        <v>0</v>
      </c>
      <c r="T1144" s="89">
        <v>0</v>
      </c>
      <c r="U1144" s="89"/>
      <c r="V1144" s="89"/>
      <c r="W1144" s="89"/>
      <c r="X1144" s="89"/>
      <c r="Y1144" s="89"/>
      <c r="Z1144" s="89"/>
      <c r="AA1144" s="89"/>
      <c r="AB1144" s="89"/>
      <c r="AC1144" s="355"/>
      <c r="AD1144" s="355"/>
      <c r="AE1144" s="355"/>
      <c r="AF1144" s="94">
        <f t="shared" si="154"/>
        <v>42613</v>
      </c>
      <c r="AG1144" s="185">
        <f t="shared" si="158"/>
        <v>-1.6279592789694597E-2</v>
      </c>
      <c r="AH1144" s="339" t="str">
        <f>VLOOKUP(B1144,'MF PF'!A:B,2)</f>
        <v>FdMgt1</v>
      </c>
      <c r="AI1144" s="358">
        <f t="shared" si="155"/>
        <v>0</v>
      </c>
      <c r="AJ1144" s="94">
        <f t="shared" si="156"/>
        <v>42613</v>
      </c>
    </row>
    <row r="1145" spans="1:36" ht="12.75" customHeight="1">
      <c r="A1145" s="94">
        <v>42643</v>
      </c>
      <c r="B1145" s="94" t="s">
        <v>136</v>
      </c>
      <c r="C1145" s="358" t="s">
        <v>311</v>
      </c>
      <c r="D1145" s="374">
        <v>2505169.6</v>
      </c>
      <c r="E1145" s="95" t="e">
        <f t="shared" si="159"/>
        <v>#DIV/0!</v>
      </c>
      <c r="F1145" s="98">
        <v>1.75</v>
      </c>
      <c r="G1145" s="98">
        <v>0</v>
      </c>
      <c r="H1145" s="98">
        <v>0</v>
      </c>
      <c r="I1145" s="98">
        <v>0</v>
      </c>
      <c r="J1145" s="98"/>
      <c r="K1145" s="93"/>
      <c r="L1145" s="93">
        <f t="shared" si="152"/>
        <v>0</v>
      </c>
      <c r="M1145" s="95" t="e">
        <f t="shared" ca="1" si="153"/>
        <v>#DIV/0!</v>
      </c>
      <c r="N1145" s="95">
        <f>IF(P1145="Hedge Fund",IF(A1145=Summary!$AD$3,M1145-E1145,M1145),IF(A1145=Summary!$AD$3,L1145-D1145,L1145))</f>
        <v>0</v>
      </c>
      <c r="O1145" s="95">
        <f t="shared" si="157"/>
        <v>0</v>
      </c>
      <c r="P1145" s="107" t="s">
        <v>155</v>
      </c>
      <c r="Q1145" s="107">
        <v>0</v>
      </c>
      <c r="R1145" s="107">
        <v>0</v>
      </c>
      <c r="S1145" s="107">
        <v>0</v>
      </c>
      <c r="T1145" s="107">
        <v>0</v>
      </c>
      <c r="U1145" s="107"/>
      <c r="V1145" s="107"/>
      <c r="W1145" s="107"/>
      <c r="X1145" s="107"/>
      <c r="Y1145" s="107"/>
      <c r="Z1145" s="107"/>
      <c r="AA1145" s="107"/>
      <c r="AB1145" s="107"/>
      <c r="AC1145" s="355"/>
      <c r="AD1145" s="355"/>
      <c r="AE1145" s="355"/>
      <c r="AF1145" s="94">
        <f t="shared" si="154"/>
        <v>42643</v>
      </c>
      <c r="AG1145" s="185">
        <f t="shared" si="158"/>
        <v>7.053357498889401E-2</v>
      </c>
      <c r="AH1145" s="339" t="str">
        <f>VLOOKUP(B1145,'MF PF'!A:B,2)</f>
        <v>FdMgt1</v>
      </c>
      <c r="AI1145" s="358">
        <f t="shared" si="155"/>
        <v>0</v>
      </c>
      <c r="AJ1145" s="94">
        <f t="shared" si="156"/>
        <v>42643</v>
      </c>
    </row>
    <row r="1146" spans="1:36" s="92" customFormat="1" ht="12.75" customHeight="1">
      <c r="A1146" s="94">
        <v>42674</v>
      </c>
      <c r="B1146" s="94" t="s">
        <v>136</v>
      </c>
      <c r="C1146" s="92" t="s">
        <v>311</v>
      </c>
      <c r="D1146" s="374">
        <v>2802133.4</v>
      </c>
      <c r="E1146" s="95" t="e">
        <f t="shared" si="159"/>
        <v>#DIV/0!</v>
      </c>
      <c r="F1146" s="98">
        <v>1.75</v>
      </c>
      <c r="G1146" s="98">
        <v>0</v>
      </c>
      <c r="H1146" s="98">
        <v>0</v>
      </c>
      <c r="I1146" s="98">
        <v>0</v>
      </c>
      <c r="J1146" s="98"/>
      <c r="K1146" s="93"/>
      <c r="L1146" s="93">
        <f t="shared" si="152"/>
        <v>0</v>
      </c>
      <c r="M1146" s="95" t="e">
        <f t="shared" ca="1" si="153"/>
        <v>#DIV/0!</v>
      </c>
      <c r="N1146" s="95">
        <f>IF(P1146="Hedge Fund",IF(A1146=Summary!$AD$3,M1146-E1146,M1146),IF(A1146=Summary!$AD$3,L1146-D1146,L1146))</f>
        <v>0</v>
      </c>
      <c r="O1146" s="95">
        <f t="shared" si="157"/>
        <v>0</v>
      </c>
      <c r="P1146" s="107" t="s">
        <v>155</v>
      </c>
      <c r="Q1146" s="107">
        <v>0</v>
      </c>
      <c r="R1146" s="107">
        <v>0</v>
      </c>
      <c r="S1146" s="107">
        <v>0</v>
      </c>
      <c r="T1146" s="107">
        <v>0</v>
      </c>
      <c r="U1146" s="107"/>
      <c r="V1146" s="107"/>
      <c r="W1146" s="107"/>
      <c r="X1146" s="107"/>
      <c r="Y1146" s="107"/>
      <c r="Z1146" s="107"/>
      <c r="AA1146" s="107"/>
      <c r="AB1146" s="107"/>
      <c r="AC1146" s="355"/>
      <c r="AD1146" s="355"/>
      <c r="AE1146" s="355"/>
      <c r="AF1146" s="94">
        <f t="shared" si="154"/>
        <v>42674</v>
      </c>
      <c r="AG1146" s="185">
        <f t="shared" si="158"/>
        <v>0.11854039742458955</v>
      </c>
      <c r="AH1146" s="339" t="str">
        <f>VLOOKUP(B1146,'MF PF'!A:B,2)</f>
        <v>FdMgt1</v>
      </c>
      <c r="AI1146" s="358">
        <f t="shared" si="155"/>
        <v>0</v>
      </c>
      <c r="AJ1146" s="94">
        <f t="shared" si="156"/>
        <v>42674</v>
      </c>
    </row>
    <row r="1147" spans="1:36" ht="12.75" customHeight="1">
      <c r="A1147" s="94">
        <v>42704</v>
      </c>
      <c r="B1147" s="94" t="s">
        <v>136</v>
      </c>
      <c r="C1147" s="92" t="s">
        <v>311</v>
      </c>
      <c r="D1147" s="374">
        <v>2811723.31</v>
      </c>
      <c r="E1147" s="9" t="e">
        <f t="shared" si="159"/>
        <v>#DIV/0!</v>
      </c>
      <c r="F1147" s="98">
        <v>1.75</v>
      </c>
      <c r="G1147" s="98">
        <v>0</v>
      </c>
      <c r="H1147" s="98">
        <v>0</v>
      </c>
      <c r="I1147" s="98">
        <v>0</v>
      </c>
      <c r="J1147" s="98"/>
      <c r="K1147" s="93"/>
      <c r="L1147" s="93">
        <f t="shared" si="152"/>
        <v>0</v>
      </c>
      <c r="M1147" s="95" t="e">
        <f t="shared" ca="1" si="153"/>
        <v>#DIV/0!</v>
      </c>
      <c r="N1147" s="95">
        <f>IF(P1147="Hedge Fund",IF(A1147=Summary!$AD$3,M1147-E1147,M1147),IF(A1147=Summary!$AD$3,L1147-D1147,L1147))</f>
        <v>0</v>
      </c>
      <c r="O1147" s="95">
        <f t="shared" si="157"/>
        <v>0</v>
      </c>
      <c r="P1147" s="107" t="s">
        <v>155</v>
      </c>
      <c r="Q1147" s="107">
        <v>0</v>
      </c>
      <c r="R1147" s="107">
        <v>0</v>
      </c>
      <c r="S1147" s="107">
        <v>0</v>
      </c>
      <c r="T1147" s="107">
        <v>0</v>
      </c>
      <c r="U1147" s="107"/>
      <c r="V1147" s="107"/>
      <c r="W1147" s="107"/>
      <c r="X1147" s="107"/>
      <c r="Y1147" s="107"/>
      <c r="Z1147" s="107"/>
      <c r="AA1147" s="107"/>
      <c r="AB1147" s="107"/>
      <c r="AC1147" s="355"/>
      <c r="AD1147" s="355"/>
      <c r="AE1147" s="355"/>
      <c r="AF1147" s="94">
        <f t="shared" si="154"/>
        <v>42704</v>
      </c>
      <c r="AG1147" s="185">
        <f t="shared" si="158"/>
        <v>3.4223602630767402E-3</v>
      </c>
      <c r="AH1147" s="339" t="str">
        <f>VLOOKUP(B1147,'MF PF'!A:B,2)</f>
        <v>FdMgt1</v>
      </c>
      <c r="AI1147" s="358">
        <f t="shared" si="155"/>
        <v>0</v>
      </c>
      <c r="AJ1147" s="94">
        <f t="shared" si="156"/>
        <v>42704</v>
      </c>
    </row>
    <row r="1148" spans="1:36" ht="12.75" customHeight="1">
      <c r="A1148" s="94">
        <v>42734</v>
      </c>
      <c r="B1148" s="8" t="s">
        <v>136</v>
      </c>
      <c r="C1148" s="358" t="s">
        <v>311</v>
      </c>
      <c r="D1148" s="374">
        <v>2609019.4900000002</v>
      </c>
      <c r="E1148" s="9" t="e">
        <f t="shared" si="159"/>
        <v>#DIV/0!</v>
      </c>
      <c r="F1148" s="47">
        <v>1.75</v>
      </c>
      <c r="G1148" s="47">
        <v>0</v>
      </c>
      <c r="H1148" s="47">
        <v>0</v>
      </c>
      <c r="I1148" s="47">
        <v>0</v>
      </c>
      <c r="J1148" s="98"/>
      <c r="K1148" s="93"/>
      <c r="L1148" s="93">
        <f t="shared" si="152"/>
        <v>0</v>
      </c>
      <c r="M1148" s="95" t="e">
        <f t="shared" ca="1" si="153"/>
        <v>#DIV/0!</v>
      </c>
      <c r="N1148" s="95">
        <f>IF(P1148="Hedge Fund",IF(A1148=Summary!$AD$3,M1148-E1148,M1148),IF(A1148=Summary!$AD$3,L1148-D1148,L1148))</f>
        <v>0</v>
      </c>
      <c r="O1148" s="95">
        <f t="shared" si="157"/>
        <v>0</v>
      </c>
      <c r="P1148" s="89" t="s">
        <v>155</v>
      </c>
      <c r="Q1148" s="107">
        <v>0</v>
      </c>
      <c r="R1148" s="107">
        <v>0</v>
      </c>
      <c r="S1148" s="89">
        <v>0</v>
      </c>
      <c r="T1148" s="89">
        <v>0</v>
      </c>
      <c r="U1148" s="89"/>
      <c r="V1148" s="89"/>
      <c r="W1148" s="89"/>
      <c r="X1148" s="89"/>
      <c r="Y1148" s="89"/>
      <c r="Z1148" s="89"/>
      <c r="AA1148" s="89"/>
      <c r="AB1148" s="89"/>
      <c r="AC1148" s="355"/>
      <c r="AD1148" s="355"/>
      <c r="AE1148" s="355"/>
      <c r="AF1148" s="94">
        <f t="shared" si="154"/>
        <v>42734</v>
      </c>
      <c r="AG1148" s="185">
        <f t="shared" si="158"/>
        <v>-7.2092378108143174E-2</v>
      </c>
      <c r="AH1148" s="339" t="str">
        <f>VLOOKUP(B1148,'MF PF'!A:B,2)</f>
        <v>FdMgt1</v>
      </c>
      <c r="AI1148" s="358">
        <f t="shared" si="155"/>
        <v>0</v>
      </c>
      <c r="AJ1148" s="94">
        <f t="shared" si="156"/>
        <v>42735</v>
      </c>
    </row>
    <row r="1149" spans="1:36" ht="12.75" customHeight="1">
      <c r="A1149" s="94">
        <v>42762</v>
      </c>
      <c r="B1149" s="94" t="s">
        <v>136</v>
      </c>
      <c r="C1149" s="358" t="s">
        <v>311</v>
      </c>
      <c r="D1149" s="374">
        <v>2651731.13</v>
      </c>
      <c r="E1149" s="9" t="e">
        <f t="shared" si="159"/>
        <v>#DIV/0!</v>
      </c>
      <c r="F1149" s="47">
        <v>1.75</v>
      </c>
      <c r="G1149" s="47">
        <v>0</v>
      </c>
      <c r="H1149" s="47">
        <v>0</v>
      </c>
      <c r="I1149" s="98">
        <v>0</v>
      </c>
      <c r="J1149" s="98"/>
      <c r="K1149" s="93"/>
      <c r="L1149" s="93">
        <f t="shared" si="152"/>
        <v>0</v>
      </c>
      <c r="M1149" s="95" t="e">
        <f t="shared" ca="1" si="153"/>
        <v>#DIV/0!</v>
      </c>
      <c r="N1149" s="95">
        <f>IF(P1149="Hedge Fund",IF(A1149=Summary!$AD$3,M1149-E1149,M1149),IF(A1149=Summary!$AD$3,L1149-D1149,L1149))</f>
        <v>0</v>
      </c>
      <c r="O1149" s="95">
        <f t="shared" si="157"/>
        <v>0</v>
      </c>
      <c r="P1149" s="89" t="s">
        <v>155</v>
      </c>
      <c r="Q1149" s="107">
        <v>0</v>
      </c>
      <c r="R1149" s="107">
        <v>0</v>
      </c>
      <c r="S1149" s="89">
        <v>0</v>
      </c>
      <c r="T1149" s="89">
        <v>0</v>
      </c>
      <c r="U1149" s="89"/>
      <c r="V1149" s="89"/>
      <c r="W1149" s="89"/>
      <c r="X1149" s="89"/>
      <c r="Y1149" s="89"/>
      <c r="Z1149" s="89"/>
      <c r="AA1149" s="89"/>
      <c r="AB1149" s="89"/>
      <c r="AC1149" s="355"/>
      <c r="AD1149" s="355"/>
      <c r="AE1149" s="355"/>
      <c r="AF1149" s="94">
        <f t="shared" si="154"/>
        <v>42762</v>
      </c>
      <c r="AG1149" s="185">
        <f t="shared" si="158"/>
        <v>1.637076310227159E-2</v>
      </c>
      <c r="AH1149" s="339" t="str">
        <f>VLOOKUP(B1149,'MF PF'!A:B,2)</f>
        <v>FdMgt1</v>
      </c>
      <c r="AI1149" s="358">
        <f t="shared" si="155"/>
        <v>0</v>
      </c>
      <c r="AJ1149" s="94">
        <f t="shared" si="156"/>
        <v>42766</v>
      </c>
    </row>
    <row r="1150" spans="1:36" ht="12.75" customHeight="1">
      <c r="A1150" s="94">
        <v>42794</v>
      </c>
      <c r="B1150" s="94" t="s">
        <v>136</v>
      </c>
      <c r="C1150" s="358" t="s">
        <v>311</v>
      </c>
      <c r="D1150" s="374">
        <v>2809913.01</v>
      </c>
      <c r="E1150" s="9" t="e">
        <f t="shared" si="159"/>
        <v>#DIV/0!</v>
      </c>
      <c r="F1150" s="47">
        <v>1.75</v>
      </c>
      <c r="G1150" s="47">
        <v>0</v>
      </c>
      <c r="H1150" s="47">
        <v>0</v>
      </c>
      <c r="I1150" s="98">
        <v>0</v>
      </c>
      <c r="J1150" s="98"/>
      <c r="K1150" s="93"/>
      <c r="L1150" s="93">
        <f t="shared" si="152"/>
        <v>0</v>
      </c>
      <c r="M1150" s="95" t="e">
        <f t="shared" ca="1" si="153"/>
        <v>#DIV/0!</v>
      </c>
      <c r="N1150" s="95">
        <f>IF(P1150="Hedge Fund",IF(A1150=Summary!$AD$3,M1150-E1150,M1150),IF(A1150=Summary!$AD$3,L1150-D1150,L1150))</f>
        <v>0</v>
      </c>
      <c r="O1150" s="95">
        <f t="shared" si="157"/>
        <v>0</v>
      </c>
      <c r="P1150" s="89" t="s">
        <v>155</v>
      </c>
      <c r="Q1150" s="107">
        <v>0</v>
      </c>
      <c r="R1150" s="107">
        <v>0</v>
      </c>
      <c r="S1150" s="89">
        <v>0</v>
      </c>
      <c r="T1150" s="89">
        <v>0</v>
      </c>
      <c r="U1150" s="89"/>
      <c r="V1150" s="89"/>
      <c r="W1150" s="89"/>
      <c r="X1150" s="89"/>
      <c r="Y1150" s="89"/>
      <c r="Z1150" s="89"/>
      <c r="AA1150" s="89"/>
      <c r="AB1150" s="89"/>
      <c r="AC1150" s="355"/>
      <c r="AD1150" s="355"/>
      <c r="AE1150" s="355"/>
      <c r="AF1150" s="94">
        <f t="shared" si="154"/>
        <v>42794</v>
      </c>
      <c r="AG1150" s="185">
        <f t="shared" si="158"/>
        <v>5.9652307208084121E-2</v>
      </c>
      <c r="AH1150" s="339" t="str">
        <f>VLOOKUP(B1150,'MF PF'!A:B,2)</f>
        <v>FdMgt1</v>
      </c>
      <c r="AI1150" s="358">
        <f t="shared" si="155"/>
        <v>0</v>
      </c>
      <c r="AJ1150" s="94">
        <f t="shared" si="156"/>
        <v>42794</v>
      </c>
    </row>
    <row r="1151" spans="1:36" ht="12.75" customHeight="1">
      <c r="A1151" s="8">
        <v>42825</v>
      </c>
      <c r="B1151" s="8" t="s">
        <v>136</v>
      </c>
      <c r="C1151" s="6" t="s">
        <v>311</v>
      </c>
      <c r="D1151" s="374">
        <v>2741889.22</v>
      </c>
      <c r="E1151" s="9" t="e">
        <f t="shared" si="159"/>
        <v>#DIV/0!</v>
      </c>
      <c r="F1151" s="47">
        <v>1.75</v>
      </c>
      <c r="G1151" s="47">
        <v>0</v>
      </c>
      <c r="H1151" s="47">
        <v>0</v>
      </c>
      <c r="I1151" s="47">
        <v>0</v>
      </c>
      <c r="J1151" s="98"/>
      <c r="K1151" s="93"/>
      <c r="L1151" s="93">
        <f t="shared" si="152"/>
        <v>0</v>
      </c>
      <c r="M1151" s="95" t="e">
        <f t="shared" ca="1" si="153"/>
        <v>#DIV/0!</v>
      </c>
      <c r="N1151" s="95">
        <f>IF(P1151="Hedge Fund",IF(A1151=Summary!$AD$3,M1151-E1151,M1151),IF(A1151=Summary!$AD$3,L1151-D1151,L1151))</f>
        <v>0</v>
      </c>
      <c r="O1151" s="95">
        <f t="shared" si="157"/>
        <v>0</v>
      </c>
      <c r="P1151" s="89" t="s">
        <v>155</v>
      </c>
      <c r="Q1151" s="89">
        <v>0</v>
      </c>
      <c r="R1151" s="89">
        <v>0</v>
      </c>
      <c r="S1151" s="89">
        <v>0</v>
      </c>
      <c r="T1151" s="89">
        <v>0</v>
      </c>
      <c r="U1151" s="89"/>
      <c r="V1151" s="89"/>
      <c r="W1151" s="89"/>
      <c r="X1151" s="89"/>
      <c r="Y1151" s="89"/>
      <c r="Z1151" s="89"/>
      <c r="AA1151" s="89"/>
      <c r="AB1151" s="89"/>
      <c r="AC1151" s="355"/>
      <c r="AD1151" s="355"/>
      <c r="AE1151" s="355"/>
      <c r="AF1151" s="94">
        <f t="shared" si="154"/>
        <v>42825</v>
      </c>
      <c r="AG1151" s="185">
        <f t="shared" si="158"/>
        <v>-2.4208503878203502E-2</v>
      </c>
      <c r="AH1151" s="339" t="str">
        <f>VLOOKUP(B1151,'MF PF'!A:B,2)</f>
        <v>FdMgt1</v>
      </c>
      <c r="AI1151" s="358">
        <f t="shared" si="155"/>
        <v>0</v>
      </c>
      <c r="AJ1151" s="94">
        <f t="shared" si="156"/>
        <v>42825</v>
      </c>
    </row>
    <row r="1152" spans="1:36" ht="12.75" customHeight="1">
      <c r="A1152" s="8">
        <v>42853</v>
      </c>
      <c r="B1152" s="8" t="s">
        <v>136</v>
      </c>
      <c r="C1152" s="6" t="s">
        <v>311</v>
      </c>
      <c r="D1152" s="374">
        <v>2689507.6599999997</v>
      </c>
      <c r="E1152" s="9" t="e">
        <f t="shared" si="159"/>
        <v>#DIV/0!</v>
      </c>
      <c r="F1152" s="47">
        <v>1.75</v>
      </c>
      <c r="G1152" s="47">
        <v>0</v>
      </c>
      <c r="H1152" s="47">
        <v>0</v>
      </c>
      <c r="I1152" s="47">
        <v>0</v>
      </c>
      <c r="J1152" s="98"/>
      <c r="L1152" s="93">
        <f t="shared" si="152"/>
        <v>0</v>
      </c>
      <c r="M1152" s="95" t="e">
        <f t="shared" ca="1" si="153"/>
        <v>#DIV/0!</v>
      </c>
      <c r="N1152" s="95">
        <f>IF(P1152="Hedge Fund",IF(A1152=Summary!$AD$3,M1152-E1152,M1152),IF(A1152=Summary!$AD$3,L1152-D1152,L1152))</f>
        <v>0</v>
      </c>
      <c r="O1152" s="95">
        <f t="shared" si="157"/>
        <v>0</v>
      </c>
      <c r="P1152" s="89" t="s">
        <v>155</v>
      </c>
      <c r="Q1152" s="89">
        <v>0</v>
      </c>
      <c r="R1152" s="89">
        <v>0</v>
      </c>
      <c r="S1152" s="89">
        <v>0</v>
      </c>
      <c r="T1152" s="89">
        <v>0</v>
      </c>
      <c r="U1152" s="89"/>
      <c r="V1152" s="89"/>
      <c r="W1152" s="89"/>
      <c r="X1152" s="89"/>
      <c r="Y1152" s="89"/>
      <c r="Z1152" s="89"/>
      <c r="AA1152" s="89"/>
      <c r="AB1152" s="89"/>
      <c r="AC1152" s="355"/>
      <c r="AD1152" s="355"/>
      <c r="AE1152" s="355"/>
      <c r="AF1152" s="94">
        <f t="shared" si="154"/>
        <v>42853</v>
      </c>
      <c r="AG1152" s="185">
        <f t="shared" si="158"/>
        <v>-1.9104185398125084E-2</v>
      </c>
      <c r="AH1152" s="339" t="str">
        <f>VLOOKUP(B1152,'MF PF'!A:B,2)</f>
        <v>FdMgt1</v>
      </c>
      <c r="AI1152" s="358">
        <f t="shared" si="155"/>
        <v>0</v>
      </c>
      <c r="AJ1152" s="94">
        <f t="shared" si="156"/>
        <v>42855</v>
      </c>
    </row>
    <row r="1153" spans="1:36" ht="12.75" customHeight="1">
      <c r="A1153" s="94">
        <v>42886</v>
      </c>
      <c r="B1153" s="8" t="s">
        <v>136</v>
      </c>
      <c r="C1153" s="358" t="s">
        <v>311</v>
      </c>
      <c r="D1153" s="374">
        <v>2673231.21</v>
      </c>
      <c r="E1153" s="9" t="e">
        <f t="shared" si="159"/>
        <v>#DIV/0!</v>
      </c>
      <c r="F1153" s="47">
        <v>1.75</v>
      </c>
      <c r="G1153" s="47">
        <v>0</v>
      </c>
      <c r="H1153" s="47">
        <v>0</v>
      </c>
      <c r="I1153" s="47">
        <v>0</v>
      </c>
      <c r="J1153" s="98"/>
      <c r="K1153" s="93"/>
      <c r="L1153" s="93">
        <f t="shared" si="152"/>
        <v>0</v>
      </c>
      <c r="M1153" s="95" t="e">
        <f t="shared" ca="1" si="153"/>
        <v>#DIV/0!</v>
      </c>
      <c r="N1153" s="95">
        <f>IF(P1153="Hedge Fund",IF(A1153=Summary!$AD$3,M1153-E1153,M1153),IF(A1153=Summary!$AD$3,L1153-D1153,L1153))</f>
        <v>0</v>
      </c>
      <c r="O1153" s="95">
        <f t="shared" si="157"/>
        <v>0</v>
      </c>
      <c r="P1153" s="89" t="s">
        <v>155</v>
      </c>
      <c r="Q1153" s="89">
        <v>0</v>
      </c>
      <c r="R1153" s="89">
        <v>0</v>
      </c>
      <c r="S1153" s="89">
        <v>0</v>
      </c>
      <c r="T1153" s="89">
        <v>0</v>
      </c>
      <c r="U1153" s="89"/>
      <c r="V1153" s="89"/>
      <c r="W1153" s="89"/>
      <c r="X1153" s="89"/>
      <c r="Y1153" s="89"/>
      <c r="Z1153" s="89"/>
      <c r="AA1153" s="89"/>
      <c r="AB1153" s="89"/>
      <c r="AC1153" s="355"/>
      <c r="AD1153" s="355"/>
      <c r="AE1153" s="355"/>
      <c r="AF1153" s="94">
        <f t="shared" si="154"/>
        <v>42886</v>
      </c>
      <c r="AG1153" s="185">
        <f t="shared" si="158"/>
        <v>-6.0518325499023806E-3</v>
      </c>
      <c r="AH1153" s="339" t="str">
        <f>VLOOKUP(B1153,'MF PF'!A:B,2)</f>
        <v>FdMgt1</v>
      </c>
      <c r="AI1153" s="358">
        <f t="shared" si="155"/>
        <v>0</v>
      </c>
      <c r="AJ1153" s="94">
        <f t="shared" si="156"/>
        <v>42886</v>
      </c>
    </row>
    <row r="1154" spans="1:36" ht="12.75" customHeight="1">
      <c r="A1154" s="94">
        <v>42916</v>
      </c>
      <c r="B1154" s="8" t="s">
        <v>136</v>
      </c>
      <c r="C1154" s="358" t="s">
        <v>311</v>
      </c>
      <c r="D1154" s="374">
        <v>2706661.71</v>
      </c>
      <c r="E1154" s="9" t="e">
        <f t="shared" si="159"/>
        <v>#DIV/0!</v>
      </c>
      <c r="F1154" s="47">
        <v>1.75</v>
      </c>
      <c r="G1154" s="47">
        <v>0</v>
      </c>
      <c r="H1154" s="47">
        <v>0</v>
      </c>
      <c r="I1154" s="47">
        <v>0</v>
      </c>
      <c r="J1154" s="98"/>
      <c r="L1154" s="93">
        <f t="shared" si="152"/>
        <v>0</v>
      </c>
      <c r="M1154" s="95" t="e">
        <f t="shared" ca="1" si="153"/>
        <v>#DIV/0!</v>
      </c>
      <c r="N1154" s="95">
        <f>IF(P1154="Hedge Fund",IF(A1154=Summary!$AD$3,M1154-E1154,M1154),IF(A1154=Summary!$AD$3,L1154-D1154,L1154))</f>
        <v>0</v>
      </c>
      <c r="O1154" s="95">
        <f t="shared" si="157"/>
        <v>0</v>
      </c>
      <c r="P1154" s="89" t="s">
        <v>155</v>
      </c>
      <c r="Q1154" s="107">
        <v>0</v>
      </c>
      <c r="R1154" s="107">
        <v>0</v>
      </c>
      <c r="S1154" s="89">
        <v>0</v>
      </c>
      <c r="T1154" s="89">
        <v>0</v>
      </c>
      <c r="U1154" s="89"/>
      <c r="V1154" s="89"/>
      <c r="W1154" s="89"/>
      <c r="X1154" s="89"/>
      <c r="Y1154" s="89"/>
      <c r="Z1154" s="89"/>
      <c r="AA1154" s="89"/>
      <c r="AB1154" s="89"/>
      <c r="AC1154" s="355"/>
      <c r="AD1154" s="355"/>
      <c r="AE1154" s="355"/>
      <c r="AF1154" s="94">
        <f t="shared" si="154"/>
        <v>42916</v>
      </c>
      <c r="AG1154" s="185">
        <f t="shared" si="158"/>
        <v>1.2505652288864244E-2</v>
      </c>
      <c r="AH1154" s="339" t="str">
        <f>VLOOKUP(B1154,'MF PF'!A:B,2)</f>
        <v>FdMgt1</v>
      </c>
      <c r="AI1154" s="358">
        <f t="shared" si="155"/>
        <v>0</v>
      </c>
      <c r="AJ1154" s="94">
        <f t="shared" si="156"/>
        <v>42916</v>
      </c>
    </row>
    <row r="1155" spans="1:36" ht="12.75" customHeight="1">
      <c r="A1155" s="94">
        <v>42947</v>
      </c>
      <c r="B1155" s="8" t="s">
        <v>136</v>
      </c>
      <c r="C1155" s="358" t="s">
        <v>311</v>
      </c>
      <c r="D1155" s="374">
        <v>2795517.96</v>
      </c>
      <c r="E1155" s="9" t="e">
        <f t="shared" si="159"/>
        <v>#DIV/0!</v>
      </c>
      <c r="F1155" s="47">
        <v>1.75</v>
      </c>
      <c r="G1155" s="47">
        <v>0</v>
      </c>
      <c r="H1155" s="47">
        <v>0</v>
      </c>
      <c r="I1155" s="47">
        <v>0</v>
      </c>
      <c r="J1155" s="98"/>
      <c r="L1155" s="93">
        <f t="shared" ref="L1155:L1218" si="160">G1155+H1155+I1155</f>
        <v>0</v>
      </c>
      <c r="M1155" s="95" t="e">
        <f t="shared" ref="M1155:M1218" ca="1" si="161">IF(A1155&gt;INDIRECT("A"&amp;ROW()-1),I1155/K1155,E1155)</f>
        <v>#DIV/0!</v>
      </c>
      <c r="N1155" s="95">
        <f>IF(P1155="Hedge Fund",IF(A1155=Summary!$AD$3,M1155-E1155,M1155),IF(A1155=Summary!$AD$3,L1155-D1155,L1155))</f>
        <v>0</v>
      </c>
      <c r="O1155" s="95">
        <f t="shared" si="157"/>
        <v>0</v>
      </c>
      <c r="P1155" s="89" t="s">
        <v>155</v>
      </c>
      <c r="Q1155" s="107">
        <v>0</v>
      </c>
      <c r="R1155" s="107">
        <v>0</v>
      </c>
      <c r="S1155" s="89">
        <v>0</v>
      </c>
      <c r="T1155" s="89">
        <v>0</v>
      </c>
      <c r="U1155" s="89"/>
      <c r="V1155" s="89"/>
      <c r="W1155" s="89"/>
      <c r="X1155" s="89"/>
      <c r="Y1155" s="89"/>
      <c r="Z1155" s="89"/>
      <c r="AA1155" s="89"/>
      <c r="AB1155" s="89"/>
      <c r="AC1155" s="355"/>
      <c r="AD1155" s="355"/>
      <c r="AE1155" s="355"/>
      <c r="AF1155" s="94">
        <f t="shared" ref="AF1155:AF1218" si="162">A1155</f>
        <v>42947</v>
      </c>
      <c r="AG1155" s="185">
        <f t="shared" si="158"/>
        <v>3.2828723911714874E-2</v>
      </c>
      <c r="AH1155" s="339" t="str">
        <f>VLOOKUP(B1155,'MF PF'!A:B,2)</f>
        <v>FdMgt1</v>
      </c>
      <c r="AI1155" s="358">
        <f t="shared" ref="AI1155:AI1218" si="163">AF1155-A1155</f>
        <v>0</v>
      </c>
      <c r="AJ1155" s="94">
        <f t="shared" ref="AJ1155:AJ1218" si="164">EOMONTH(A1155,0)</f>
        <v>42947</v>
      </c>
    </row>
    <row r="1156" spans="1:36" ht="12.75" customHeight="1">
      <c r="A1156" s="8">
        <v>42978</v>
      </c>
      <c r="B1156" s="94" t="s">
        <v>136</v>
      </c>
      <c r="C1156" s="358" t="s">
        <v>311</v>
      </c>
      <c r="D1156" s="374">
        <v>2824100</v>
      </c>
      <c r="E1156" s="9" t="e">
        <f t="shared" si="159"/>
        <v>#DIV/0!</v>
      </c>
      <c r="F1156" s="47">
        <v>1.75</v>
      </c>
      <c r="G1156" s="47">
        <v>0</v>
      </c>
      <c r="H1156" s="47">
        <v>0</v>
      </c>
      <c r="I1156" s="98">
        <v>0</v>
      </c>
      <c r="J1156" s="98"/>
      <c r="L1156" s="93">
        <f t="shared" si="160"/>
        <v>0</v>
      </c>
      <c r="M1156" s="95" t="e">
        <f t="shared" ca="1" si="161"/>
        <v>#DIV/0!</v>
      </c>
      <c r="N1156" s="95">
        <f>IF(P1156="Hedge Fund",IF(A1156=Summary!$AD$3,M1156-E1156,M1156),IF(A1156=Summary!$AD$3,L1156-D1156,L1156))</f>
        <v>0</v>
      </c>
      <c r="O1156" s="95">
        <f t="shared" si="157"/>
        <v>0</v>
      </c>
      <c r="P1156" s="89" t="s">
        <v>155</v>
      </c>
      <c r="Q1156" s="107">
        <v>0</v>
      </c>
      <c r="R1156" s="107">
        <v>0</v>
      </c>
      <c r="S1156" s="89">
        <v>0</v>
      </c>
      <c r="T1156" s="89">
        <v>0</v>
      </c>
      <c r="U1156" s="89"/>
      <c r="V1156" s="89"/>
      <c r="W1156" s="89"/>
      <c r="X1156" s="89"/>
      <c r="Y1156" s="89"/>
      <c r="Z1156" s="89"/>
      <c r="AA1156" s="89"/>
      <c r="AB1156" s="89"/>
      <c r="AC1156" s="355"/>
      <c r="AD1156" s="355"/>
      <c r="AE1156" s="355"/>
      <c r="AF1156" s="94">
        <f t="shared" si="162"/>
        <v>42978</v>
      </c>
      <c r="AG1156" s="185">
        <f t="shared" si="158"/>
        <v>1.0224237657911583E-2</v>
      </c>
      <c r="AH1156" s="339" t="str">
        <f>VLOOKUP(B1156,'MF PF'!A:B,2)</f>
        <v>FdMgt1</v>
      </c>
      <c r="AI1156" s="358">
        <f t="shared" si="163"/>
        <v>0</v>
      </c>
      <c r="AJ1156" s="94">
        <f t="shared" si="164"/>
        <v>42978</v>
      </c>
    </row>
    <row r="1157" spans="1:36" ht="12.75" customHeight="1">
      <c r="A1157" s="8">
        <v>43007</v>
      </c>
      <c r="B1157" s="94" t="s">
        <v>136</v>
      </c>
      <c r="C1157" s="358" t="s">
        <v>311</v>
      </c>
      <c r="D1157" s="374">
        <v>2788860.2988372194</v>
      </c>
      <c r="E1157" s="9" t="e">
        <f t="shared" si="159"/>
        <v>#DIV/0!</v>
      </c>
      <c r="F1157" s="47">
        <v>1.75</v>
      </c>
      <c r="G1157" s="47">
        <v>0</v>
      </c>
      <c r="H1157" s="47">
        <v>0</v>
      </c>
      <c r="I1157" s="98">
        <v>0</v>
      </c>
      <c r="J1157" s="98"/>
      <c r="L1157" s="93">
        <f t="shared" si="160"/>
        <v>0</v>
      </c>
      <c r="M1157" s="95" t="e">
        <f t="shared" ca="1" si="161"/>
        <v>#DIV/0!</v>
      </c>
      <c r="N1157" s="95">
        <f>IF(P1157="Hedge Fund",IF(A1157=Summary!$AD$3,M1157-E1157,M1157),IF(A1157=Summary!$AD$3,L1157-D1157,L1157))</f>
        <v>0</v>
      </c>
      <c r="O1157" s="95">
        <f t="shared" si="157"/>
        <v>0</v>
      </c>
      <c r="P1157" s="89" t="s">
        <v>155</v>
      </c>
      <c r="Q1157" s="107">
        <v>0</v>
      </c>
      <c r="R1157" s="107">
        <v>0</v>
      </c>
      <c r="S1157" s="89">
        <v>0</v>
      </c>
      <c r="T1157" s="89">
        <v>0</v>
      </c>
      <c r="U1157" s="89"/>
      <c r="V1157" s="89"/>
      <c r="W1157" s="89"/>
      <c r="X1157" s="89"/>
      <c r="Y1157" s="89"/>
      <c r="Z1157" s="89"/>
      <c r="AA1157" s="89"/>
      <c r="AB1157" s="89"/>
      <c r="AC1157" s="355"/>
      <c r="AD1157" s="355"/>
      <c r="AE1157" s="355"/>
      <c r="AF1157" s="94">
        <f t="shared" si="162"/>
        <v>43007</v>
      </c>
      <c r="AG1157" s="185">
        <f t="shared" si="158"/>
        <v>-1.247820585771775E-2</v>
      </c>
      <c r="AH1157" s="339" t="str">
        <f>VLOOKUP(B1157,'MF PF'!A:B,2)</f>
        <v>FdMgt1</v>
      </c>
      <c r="AI1157" s="358">
        <f t="shared" si="163"/>
        <v>0</v>
      </c>
      <c r="AJ1157" s="94">
        <f t="shared" si="164"/>
        <v>43008</v>
      </c>
    </row>
    <row r="1158" spans="1:36" ht="12.75" customHeight="1">
      <c r="A1158" s="8">
        <v>43039</v>
      </c>
      <c r="B1158" s="94" t="s">
        <v>136</v>
      </c>
      <c r="C1158" s="358" t="s">
        <v>311</v>
      </c>
      <c r="D1158" s="374">
        <v>2797005.71</v>
      </c>
      <c r="E1158" s="9" t="e">
        <f t="shared" si="159"/>
        <v>#DIV/0!</v>
      </c>
      <c r="F1158" s="47">
        <v>1.75</v>
      </c>
      <c r="G1158" s="47">
        <v>0</v>
      </c>
      <c r="H1158" s="47">
        <v>0</v>
      </c>
      <c r="I1158" s="47">
        <v>0</v>
      </c>
      <c r="J1158" s="98"/>
      <c r="L1158" s="93">
        <f t="shared" si="160"/>
        <v>0</v>
      </c>
      <c r="M1158" s="95" t="e">
        <f t="shared" ca="1" si="161"/>
        <v>#DIV/0!</v>
      </c>
      <c r="N1158" s="95">
        <f>IF(P1158="Hedge Fund",IF(A1158=Summary!$AD$3,M1158-E1158,M1158),IF(A1158=Summary!$AD$3,L1158-D1158,L1158))</f>
        <v>0</v>
      </c>
      <c r="O1158" s="95">
        <f t="shared" si="157"/>
        <v>0</v>
      </c>
      <c r="P1158" s="89" t="s">
        <v>155</v>
      </c>
      <c r="Q1158" s="89">
        <v>0</v>
      </c>
      <c r="R1158" s="107">
        <v>0</v>
      </c>
      <c r="S1158" s="89">
        <v>0</v>
      </c>
      <c r="T1158" s="89">
        <v>0</v>
      </c>
      <c r="U1158" s="89"/>
      <c r="V1158" s="89"/>
      <c r="W1158" s="89"/>
      <c r="X1158" s="89"/>
      <c r="Y1158" s="89"/>
      <c r="Z1158" s="89"/>
      <c r="AA1158" s="89"/>
      <c r="AB1158" s="89"/>
      <c r="AC1158" s="355"/>
      <c r="AD1158" s="355"/>
      <c r="AE1158" s="355"/>
      <c r="AF1158" s="94">
        <f t="shared" si="162"/>
        <v>43039</v>
      </c>
      <c r="AG1158" s="185">
        <f t="shared" si="158"/>
        <v>2.9206952984259793E-3</v>
      </c>
      <c r="AH1158" s="339" t="str">
        <f>VLOOKUP(B1158,'MF PF'!A:B,2)</f>
        <v>FdMgt1</v>
      </c>
      <c r="AI1158" s="358">
        <f t="shared" si="163"/>
        <v>0</v>
      </c>
      <c r="AJ1158" s="94">
        <f t="shared" si="164"/>
        <v>43039</v>
      </c>
    </row>
    <row r="1159" spans="1:36" ht="12.75" customHeight="1">
      <c r="A1159" s="8">
        <v>43069</v>
      </c>
      <c r="B1159" s="94" t="s">
        <v>136</v>
      </c>
      <c r="C1159" s="358" t="s">
        <v>311</v>
      </c>
      <c r="D1159" s="374">
        <v>2809500</v>
      </c>
      <c r="E1159" s="9" t="e">
        <f t="shared" si="159"/>
        <v>#DIV/0!</v>
      </c>
      <c r="F1159" s="47">
        <v>1.75</v>
      </c>
      <c r="G1159" s="47">
        <v>0</v>
      </c>
      <c r="H1159" s="47">
        <v>0</v>
      </c>
      <c r="I1159" s="47">
        <v>0</v>
      </c>
      <c r="J1159" s="98"/>
      <c r="K1159" s="93"/>
      <c r="L1159" s="93">
        <f t="shared" si="160"/>
        <v>0</v>
      </c>
      <c r="M1159" s="95" t="e">
        <f t="shared" ca="1" si="161"/>
        <v>#DIV/0!</v>
      </c>
      <c r="N1159" s="95">
        <f>IF(P1159="Hedge Fund",IF(A1159=Summary!$AD$3,M1159-E1159,M1159),IF(A1159=Summary!$AD$3,L1159-D1159,L1159))</f>
        <v>0</v>
      </c>
      <c r="O1159" s="95">
        <f t="shared" si="157"/>
        <v>0</v>
      </c>
      <c r="P1159" s="89" t="s">
        <v>155</v>
      </c>
      <c r="Q1159" s="89">
        <v>0</v>
      </c>
      <c r="R1159" s="107">
        <v>0</v>
      </c>
      <c r="S1159" s="89">
        <v>0</v>
      </c>
      <c r="T1159" s="89">
        <v>0</v>
      </c>
      <c r="U1159" s="89"/>
      <c r="V1159" s="89"/>
      <c r="W1159" s="89"/>
      <c r="X1159" s="89"/>
      <c r="Y1159" s="89"/>
      <c r="Z1159" s="89"/>
      <c r="AA1159" s="89"/>
      <c r="AB1159" s="89"/>
      <c r="AC1159" s="355"/>
      <c r="AD1159" s="355"/>
      <c r="AE1159" s="355"/>
      <c r="AF1159" s="94">
        <f t="shared" si="162"/>
        <v>43069</v>
      </c>
      <c r="AG1159" s="185">
        <f t="shared" si="158"/>
        <v>4.4670234155510524E-3</v>
      </c>
      <c r="AH1159" s="339" t="str">
        <f>VLOOKUP(B1159,'MF PF'!A:B,2)</f>
        <v>FdMgt1</v>
      </c>
      <c r="AI1159" s="358">
        <f t="shared" si="163"/>
        <v>0</v>
      </c>
      <c r="AJ1159" s="94">
        <f t="shared" si="164"/>
        <v>43069</v>
      </c>
    </row>
    <row r="1160" spans="1:36" ht="12.75" customHeight="1">
      <c r="A1160" s="8">
        <v>43098</v>
      </c>
      <c r="B1160" s="94" t="s">
        <v>136</v>
      </c>
      <c r="C1160" s="6" t="s">
        <v>311</v>
      </c>
      <c r="D1160" s="374">
        <v>2880200</v>
      </c>
      <c r="E1160" s="9" t="e">
        <f t="shared" si="159"/>
        <v>#DIV/0!</v>
      </c>
      <c r="F1160" s="98">
        <v>1.75</v>
      </c>
      <c r="G1160" s="98">
        <v>0</v>
      </c>
      <c r="H1160" s="98">
        <v>0</v>
      </c>
      <c r="I1160" s="98">
        <v>0</v>
      </c>
      <c r="J1160" s="98"/>
      <c r="K1160" s="93"/>
      <c r="L1160" s="93">
        <f t="shared" si="160"/>
        <v>0</v>
      </c>
      <c r="M1160" s="95" t="e">
        <f t="shared" ca="1" si="161"/>
        <v>#DIV/0!</v>
      </c>
      <c r="N1160" s="95">
        <f>IF(P1160="Hedge Fund",IF(A1160=Summary!$AD$3,M1160-E1160,M1160),IF(A1160=Summary!$AD$3,L1160-D1160,L1160))</f>
        <v>0</v>
      </c>
      <c r="O1160" s="95">
        <f t="shared" si="157"/>
        <v>0</v>
      </c>
      <c r="P1160" s="107" t="s">
        <v>155</v>
      </c>
      <c r="Q1160" s="107">
        <v>0</v>
      </c>
      <c r="R1160" s="107">
        <v>0</v>
      </c>
      <c r="S1160" s="107">
        <v>0</v>
      </c>
      <c r="T1160" s="107">
        <v>0</v>
      </c>
      <c r="U1160" s="107"/>
      <c r="V1160" s="107"/>
      <c r="W1160" s="107"/>
      <c r="X1160" s="107"/>
      <c r="Y1160" s="107"/>
      <c r="Z1160" s="107"/>
      <c r="AA1160" s="107"/>
      <c r="AB1160" s="107"/>
      <c r="AC1160" s="355"/>
      <c r="AD1160" s="355"/>
      <c r="AE1160" s="355"/>
      <c r="AF1160" s="94">
        <f t="shared" si="162"/>
        <v>43098</v>
      </c>
      <c r="AG1160" s="185">
        <f t="shared" si="158"/>
        <v>2.5164620039152874E-2</v>
      </c>
      <c r="AH1160" s="339" t="str">
        <f>VLOOKUP(B1160,'MF PF'!A:B,2)</f>
        <v>FdMgt1</v>
      </c>
      <c r="AI1160" s="358">
        <f t="shared" si="163"/>
        <v>0</v>
      </c>
      <c r="AJ1160" s="94">
        <f t="shared" si="164"/>
        <v>43100</v>
      </c>
    </row>
    <row r="1161" spans="1:36" ht="12.75" customHeight="1">
      <c r="A1161" s="94">
        <v>43131</v>
      </c>
      <c r="B1161" s="94" t="s">
        <v>136</v>
      </c>
      <c r="C1161" s="92" t="s">
        <v>311</v>
      </c>
      <c r="D1161" s="374">
        <v>2900200</v>
      </c>
      <c r="E1161" s="9" t="e">
        <f t="shared" si="159"/>
        <v>#DIV/0!</v>
      </c>
      <c r="F1161" s="98">
        <v>1.75</v>
      </c>
      <c r="G1161" s="98">
        <v>0</v>
      </c>
      <c r="H1161" s="98">
        <v>0</v>
      </c>
      <c r="I1161" s="98">
        <v>0</v>
      </c>
      <c r="J1161" s="98"/>
      <c r="K1161" s="93"/>
      <c r="L1161" s="93">
        <f t="shared" si="160"/>
        <v>0</v>
      </c>
      <c r="M1161" s="95" t="e">
        <f t="shared" ca="1" si="161"/>
        <v>#DIV/0!</v>
      </c>
      <c r="N1161" s="95">
        <f>IF(P1161="Hedge Fund",IF(A1161=Summary!$AD$3,M1161-E1161,M1161),IF(A1161=Summary!$AD$3,L1161-D1161,L1161))</f>
        <v>0</v>
      </c>
      <c r="O1161" s="95">
        <f t="shared" si="157"/>
        <v>0</v>
      </c>
      <c r="P1161" s="107" t="s">
        <v>155</v>
      </c>
      <c r="Q1161" s="107">
        <v>0</v>
      </c>
      <c r="R1161" s="107">
        <v>0</v>
      </c>
      <c r="S1161" s="107">
        <v>0</v>
      </c>
      <c r="T1161" s="107">
        <v>0</v>
      </c>
      <c r="U1161" s="107"/>
      <c r="V1161" s="107"/>
      <c r="W1161" s="107"/>
      <c r="X1161" s="107"/>
      <c r="Y1161" s="107"/>
      <c r="Z1161" s="107"/>
      <c r="AA1161" s="107"/>
      <c r="AB1161" s="107"/>
      <c r="AC1161" s="355"/>
      <c r="AD1161" s="355"/>
      <c r="AE1161" s="355"/>
      <c r="AF1161" s="94">
        <f t="shared" si="162"/>
        <v>43131</v>
      </c>
      <c r="AG1161" s="185">
        <f t="shared" si="158"/>
        <v>6.9439622248455013E-3</v>
      </c>
      <c r="AH1161" s="339" t="str">
        <f>VLOOKUP(B1161,'MF PF'!A:B,2)</f>
        <v>FdMgt1</v>
      </c>
      <c r="AI1161" s="358">
        <f t="shared" si="163"/>
        <v>0</v>
      </c>
      <c r="AJ1161" s="94">
        <f t="shared" si="164"/>
        <v>43131</v>
      </c>
    </row>
    <row r="1162" spans="1:36" ht="12.75" customHeight="1">
      <c r="A1162" s="8">
        <v>43159</v>
      </c>
      <c r="B1162" s="94" t="s">
        <v>136</v>
      </c>
      <c r="C1162" s="358" t="s">
        <v>311</v>
      </c>
      <c r="D1162" s="374">
        <v>2938514.65</v>
      </c>
      <c r="E1162" s="9" t="e">
        <f t="shared" si="159"/>
        <v>#DIV/0!</v>
      </c>
      <c r="F1162" s="47">
        <v>1.75</v>
      </c>
      <c r="G1162" s="47">
        <v>0</v>
      </c>
      <c r="H1162" s="47">
        <v>0</v>
      </c>
      <c r="I1162" s="98">
        <v>0</v>
      </c>
      <c r="J1162" s="98"/>
      <c r="K1162" s="93"/>
      <c r="L1162" s="93">
        <f t="shared" si="160"/>
        <v>0</v>
      </c>
      <c r="M1162" s="95" t="e">
        <f t="shared" ca="1" si="161"/>
        <v>#DIV/0!</v>
      </c>
      <c r="N1162" s="95">
        <f>IF(P1162="Hedge Fund",IF(A1162=Summary!$AD$3,M1162-E1162,M1162),IF(A1162=Summary!$AD$3,L1162-D1162,L1162))</f>
        <v>0</v>
      </c>
      <c r="O1162" s="95">
        <f t="shared" si="157"/>
        <v>0</v>
      </c>
      <c r="P1162" s="89" t="s">
        <v>155</v>
      </c>
      <c r="Q1162" s="107">
        <v>0</v>
      </c>
      <c r="R1162" s="107">
        <v>0</v>
      </c>
      <c r="S1162" s="89">
        <v>0</v>
      </c>
      <c r="T1162" s="89">
        <v>0</v>
      </c>
      <c r="U1162" s="89"/>
      <c r="V1162" s="89"/>
      <c r="W1162" s="89"/>
      <c r="X1162" s="89"/>
      <c r="Y1162" s="89"/>
      <c r="Z1162" s="89"/>
      <c r="AA1162" s="89"/>
      <c r="AB1162" s="89"/>
      <c r="AC1162" s="355"/>
      <c r="AD1162" s="355"/>
      <c r="AE1162" s="355"/>
      <c r="AF1162" s="94">
        <f t="shared" si="162"/>
        <v>43159</v>
      </c>
      <c r="AG1162" s="185">
        <f t="shared" si="158"/>
        <v>1.3211037169850393E-2</v>
      </c>
      <c r="AH1162" s="339" t="str">
        <f>VLOOKUP(B1162,'MF PF'!A:B,2)</f>
        <v>FdMgt1</v>
      </c>
      <c r="AI1162" s="358">
        <f t="shared" si="163"/>
        <v>0</v>
      </c>
      <c r="AJ1162" s="94">
        <f t="shared" si="164"/>
        <v>43159</v>
      </c>
    </row>
    <row r="1163" spans="1:36" ht="12.75" customHeight="1">
      <c r="A1163" s="8">
        <v>43188</v>
      </c>
      <c r="B1163" s="94" t="s">
        <v>136</v>
      </c>
      <c r="C1163" s="358" t="s">
        <v>311</v>
      </c>
      <c r="D1163" s="374">
        <v>2940364.84</v>
      </c>
      <c r="E1163" s="9" t="e">
        <f t="shared" si="159"/>
        <v>#DIV/0!</v>
      </c>
      <c r="F1163" s="47">
        <v>1.75</v>
      </c>
      <c r="G1163" s="47">
        <v>0</v>
      </c>
      <c r="H1163" s="47">
        <v>0</v>
      </c>
      <c r="I1163" s="98">
        <v>0</v>
      </c>
      <c r="J1163" s="98"/>
      <c r="K1163" s="93"/>
      <c r="L1163" s="93">
        <f t="shared" si="160"/>
        <v>0</v>
      </c>
      <c r="M1163" s="95" t="e">
        <f t="shared" ca="1" si="161"/>
        <v>#DIV/0!</v>
      </c>
      <c r="N1163" s="95">
        <f>IF(P1163="Hedge Fund",IF(A1163=Summary!$AD$3,M1163-E1163,M1163),IF(A1163=Summary!$AD$3,L1163-D1163,L1163))</f>
        <v>0</v>
      </c>
      <c r="O1163" s="95">
        <f t="shared" si="157"/>
        <v>0</v>
      </c>
      <c r="P1163" s="89" t="s">
        <v>155</v>
      </c>
      <c r="Q1163" s="109">
        <v>0</v>
      </c>
      <c r="R1163" s="109">
        <v>0</v>
      </c>
      <c r="S1163" s="89">
        <v>0</v>
      </c>
      <c r="T1163" s="89">
        <v>0</v>
      </c>
      <c r="U1163" s="89"/>
      <c r="V1163" s="89"/>
      <c r="W1163" s="89"/>
      <c r="X1163" s="89"/>
      <c r="Y1163" s="89"/>
      <c r="Z1163" s="89"/>
      <c r="AA1163" s="89"/>
      <c r="AB1163" s="89"/>
      <c r="AC1163" s="355"/>
      <c r="AD1163" s="355"/>
      <c r="AE1163" s="355"/>
      <c r="AF1163" s="94">
        <f t="shared" si="162"/>
        <v>43188</v>
      </c>
      <c r="AG1163" s="185">
        <f t="shared" si="158"/>
        <v>6.2963443112318274E-4</v>
      </c>
      <c r="AH1163" s="339" t="str">
        <f>VLOOKUP(B1163,'MF PF'!A:B,2)</f>
        <v>FdMgt1</v>
      </c>
      <c r="AI1163" s="358">
        <f t="shared" si="163"/>
        <v>0</v>
      </c>
      <c r="AJ1163" s="94">
        <f t="shared" si="164"/>
        <v>43190</v>
      </c>
    </row>
    <row r="1164" spans="1:36" ht="12.75" customHeight="1">
      <c r="A1164" s="8">
        <v>43220</v>
      </c>
      <c r="B1164" s="94" t="s">
        <v>136</v>
      </c>
      <c r="C1164" s="358" t="s">
        <v>311</v>
      </c>
      <c r="D1164" s="374">
        <v>2985580.57</v>
      </c>
      <c r="E1164" s="95" t="e">
        <f t="shared" si="159"/>
        <v>#DIV/0!</v>
      </c>
      <c r="F1164" s="47">
        <v>1.75</v>
      </c>
      <c r="G1164" s="47">
        <v>0</v>
      </c>
      <c r="H1164" s="47">
        <v>0</v>
      </c>
      <c r="I1164" s="98">
        <v>0</v>
      </c>
      <c r="J1164" s="98"/>
      <c r="K1164" s="93"/>
      <c r="L1164" s="93">
        <f t="shared" si="160"/>
        <v>0</v>
      </c>
      <c r="M1164" s="95" t="e">
        <f t="shared" ca="1" si="161"/>
        <v>#DIV/0!</v>
      </c>
      <c r="N1164" s="95">
        <f>IF(P1164="Hedge Fund",IF(A1164=Summary!$AD$3,M1164-E1164,M1164),IF(A1164=Summary!$AD$3,L1164-D1164,L1164))</f>
        <v>0</v>
      </c>
      <c r="O1164" s="95">
        <f t="shared" si="157"/>
        <v>0</v>
      </c>
      <c r="P1164" s="89" t="s">
        <v>155</v>
      </c>
      <c r="Q1164" s="109">
        <v>0</v>
      </c>
      <c r="R1164" s="109">
        <v>0</v>
      </c>
      <c r="S1164" s="89">
        <v>0</v>
      </c>
      <c r="T1164" s="89">
        <v>0</v>
      </c>
      <c r="U1164" s="89"/>
      <c r="V1164" s="89"/>
      <c r="W1164" s="89"/>
      <c r="X1164" s="89"/>
      <c r="Y1164" s="89"/>
      <c r="Z1164" s="89"/>
      <c r="AA1164" s="89"/>
      <c r="AB1164" s="89"/>
      <c r="AC1164" s="355"/>
      <c r="AD1164" s="355"/>
      <c r="AE1164" s="355"/>
      <c r="AF1164" s="94">
        <f t="shared" si="162"/>
        <v>43220</v>
      </c>
      <c r="AG1164" s="185">
        <f t="shared" si="158"/>
        <v>1.5377591714094807E-2</v>
      </c>
      <c r="AH1164" s="339" t="str">
        <f>VLOOKUP(B1164,'MF PF'!A:B,2)</f>
        <v>FdMgt1</v>
      </c>
      <c r="AI1164" s="358">
        <f t="shared" si="163"/>
        <v>0</v>
      </c>
      <c r="AJ1164" s="94">
        <f t="shared" si="164"/>
        <v>43220</v>
      </c>
    </row>
    <row r="1165" spans="1:36" ht="12.75" customHeight="1">
      <c r="A1165" s="8">
        <v>43251</v>
      </c>
      <c r="B1165" s="358" t="s">
        <v>136</v>
      </c>
      <c r="C1165" s="94" t="s">
        <v>311</v>
      </c>
      <c r="D1165" s="374">
        <v>3008781.87</v>
      </c>
      <c r="E1165" s="95" t="e">
        <f t="shared" si="159"/>
        <v>#DIV/0!</v>
      </c>
      <c r="F1165" s="47">
        <v>1.75</v>
      </c>
      <c r="G1165" s="47">
        <v>0</v>
      </c>
      <c r="H1165" s="47">
        <v>0</v>
      </c>
      <c r="I1165" s="110">
        <v>0</v>
      </c>
      <c r="J1165" s="110"/>
      <c r="K1165" s="93"/>
      <c r="L1165" s="93">
        <f t="shared" si="160"/>
        <v>0</v>
      </c>
      <c r="M1165" s="95" t="e">
        <f t="shared" ca="1" si="161"/>
        <v>#DIV/0!</v>
      </c>
      <c r="N1165" s="95">
        <f>IF(P1165="Hedge Fund",IF(A1165=Summary!$AD$3,M1165-E1165,M1165),IF(A1165=Summary!$AD$3,L1165-D1165,L1165))</f>
        <v>0</v>
      </c>
      <c r="O1165" s="95">
        <f t="shared" si="157"/>
        <v>0</v>
      </c>
      <c r="P1165" s="89" t="s">
        <v>155</v>
      </c>
      <c r="Q1165" s="109">
        <v>0</v>
      </c>
      <c r="R1165" s="107">
        <v>0</v>
      </c>
      <c r="S1165" s="89">
        <v>0</v>
      </c>
      <c r="T1165" s="89">
        <v>0</v>
      </c>
      <c r="U1165" s="89"/>
      <c r="V1165" s="89"/>
      <c r="W1165" s="89"/>
      <c r="X1165" s="89"/>
      <c r="Y1165" s="89"/>
      <c r="Z1165" s="89"/>
      <c r="AA1165" s="89"/>
      <c r="AB1165" s="89"/>
      <c r="AC1165" s="355"/>
      <c r="AD1165" s="355"/>
      <c r="AE1165" s="355"/>
      <c r="AF1165" s="94">
        <f t="shared" si="162"/>
        <v>43251</v>
      </c>
      <c r="AG1165" s="185">
        <f t="shared" si="158"/>
        <v>7.7711183657658278E-3</v>
      </c>
      <c r="AH1165" s="339" t="str">
        <f>VLOOKUP(B1165,'MF PF'!A:B,2)</f>
        <v>FdMgt1</v>
      </c>
      <c r="AI1165" s="358">
        <f t="shared" si="163"/>
        <v>0</v>
      </c>
      <c r="AJ1165" s="94">
        <f t="shared" si="164"/>
        <v>43251</v>
      </c>
    </row>
    <row r="1166" spans="1:36" ht="12.75" customHeight="1">
      <c r="A1166" s="94">
        <v>43280</v>
      </c>
      <c r="B1166" s="358" t="s">
        <v>136</v>
      </c>
      <c r="C1166" s="94" t="s">
        <v>311</v>
      </c>
      <c r="D1166" s="374">
        <v>3041542.9</v>
      </c>
      <c r="E1166" s="9" t="e">
        <f t="shared" si="159"/>
        <v>#DIV/0!</v>
      </c>
      <c r="F1166" s="98">
        <v>1.75</v>
      </c>
      <c r="G1166" s="98">
        <v>0</v>
      </c>
      <c r="H1166" s="98">
        <v>0</v>
      </c>
      <c r="I1166" s="110">
        <v>0</v>
      </c>
      <c r="J1166" s="110"/>
      <c r="K1166" s="93"/>
      <c r="L1166" s="93">
        <f t="shared" si="160"/>
        <v>0</v>
      </c>
      <c r="M1166" s="95" t="e">
        <f t="shared" ca="1" si="161"/>
        <v>#DIV/0!</v>
      </c>
      <c r="N1166" s="95">
        <f>IF(P1166="Hedge Fund",IF(A1166=Summary!$AD$3,M1166-E1166,M1166),IF(A1166=Summary!$AD$3,L1166-D1166,L1166))</f>
        <v>0</v>
      </c>
      <c r="O1166" s="95">
        <f t="shared" ref="O1166:O1229" si="165">N1166</f>
        <v>0</v>
      </c>
      <c r="P1166" s="107" t="s">
        <v>155</v>
      </c>
      <c r="Q1166" s="109">
        <v>0</v>
      </c>
      <c r="R1166" s="107">
        <v>0</v>
      </c>
      <c r="S1166" s="107">
        <v>0</v>
      </c>
      <c r="T1166" s="107">
        <v>0</v>
      </c>
      <c r="U1166" s="107"/>
      <c r="V1166" s="107"/>
      <c r="W1166" s="107"/>
      <c r="X1166" s="107"/>
      <c r="Y1166" s="107"/>
      <c r="Z1166" s="107"/>
      <c r="AA1166" s="107"/>
      <c r="AB1166" s="107"/>
      <c r="AC1166" s="355"/>
      <c r="AD1166" s="355"/>
      <c r="AE1166" s="355"/>
      <c r="AF1166" s="94">
        <f t="shared" si="162"/>
        <v>43280</v>
      </c>
      <c r="AG1166" s="185">
        <f t="shared" si="158"/>
        <v>1.0888469625084385E-2</v>
      </c>
      <c r="AH1166" s="339" t="str">
        <f>VLOOKUP(B1166,'MF PF'!A:B,2)</f>
        <v>FdMgt1</v>
      </c>
      <c r="AI1166" s="358">
        <f t="shared" si="163"/>
        <v>0</v>
      </c>
      <c r="AJ1166" s="94">
        <f t="shared" si="164"/>
        <v>43281</v>
      </c>
    </row>
    <row r="1167" spans="1:36" ht="12.75" customHeight="1">
      <c r="A1167" s="94">
        <v>43312</v>
      </c>
      <c r="B1167" s="358" t="s">
        <v>136</v>
      </c>
      <c r="C1167" s="94" t="s">
        <v>311</v>
      </c>
      <c r="D1167" s="374">
        <v>3024051.4804923646</v>
      </c>
      <c r="E1167" s="9" t="str">
        <f>IF(K1167="","",D1167/K1167)</f>
        <v/>
      </c>
      <c r="F1167" s="98">
        <v>1.75</v>
      </c>
      <c r="G1167" s="98">
        <v>0</v>
      </c>
      <c r="H1167" s="98">
        <v>0</v>
      </c>
      <c r="I1167" s="98">
        <v>0</v>
      </c>
      <c r="J1167" s="98"/>
      <c r="L1167" s="93">
        <f t="shared" si="160"/>
        <v>0</v>
      </c>
      <c r="M1167" s="95" t="e">
        <f t="shared" ca="1" si="161"/>
        <v>#DIV/0!</v>
      </c>
      <c r="N1167" s="95">
        <f>IF(P1167="Hedge Fund",IF(A1167=Summary!$AD$3,M1167-E1167,M1167),IF(A1167=Summary!$AD$3,L1167-D1167,L1167))</f>
        <v>0</v>
      </c>
      <c r="O1167" s="95">
        <f t="shared" si="165"/>
        <v>0</v>
      </c>
      <c r="P1167" s="107" t="s">
        <v>155</v>
      </c>
      <c r="Q1167" s="107">
        <v>0</v>
      </c>
      <c r="R1167" s="107">
        <v>0</v>
      </c>
      <c r="S1167" s="107">
        <v>0</v>
      </c>
      <c r="T1167" s="107">
        <v>0</v>
      </c>
      <c r="U1167" s="107"/>
      <c r="V1167" s="107"/>
      <c r="W1167" s="107"/>
      <c r="X1167" s="107"/>
      <c r="Y1167" s="107"/>
      <c r="Z1167" s="107"/>
      <c r="AA1167" s="107"/>
      <c r="AB1167" s="107"/>
      <c r="AC1167" s="355"/>
      <c r="AD1167" s="355"/>
      <c r="AE1167" s="355"/>
      <c r="AF1167" s="94">
        <f t="shared" si="162"/>
        <v>43312</v>
      </c>
      <c r="AG1167" s="185">
        <f t="shared" ref="AG1167:AG1230" si="166">IF(C1167&lt;&gt;C1166,D1167/G1167-1,(D1167-G1167-I1167-H1167)/(D1166)-1)</f>
        <v>-5.7508376776915782E-3</v>
      </c>
      <c r="AH1167" s="339" t="str">
        <f>VLOOKUP(B1167,'MF PF'!A:B,2)</f>
        <v>FdMgt1</v>
      </c>
      <c r="AI1167" s="358">
        <f t="shared" si="163"/>
        <v>0</v>
      </c>
      <c r="AJ1167" s="94">
        <f t="shared" si="164"/>
        <v>43312</v>
      </c>
    </row>
    <row r="1168" spans="1:36" ht="12.75" customHeight="1">
      <c r="A1168" s="94">
        <v>43343</v>
      </c>
      <c r="B1168" s="358" t="s">
        <v>136</v>
      </c>
      <c r="C1168" s="94" t="s">
        <v>311</v>
      </c>
      <c r="D1168" s="374">
        <v>3049153.62</v>
      </c>
      <c r="E1168" s="9" t="str">
        <f>IF(K1168="","",D1168/K1168)</f>
        <v/>
      </c>
      <c r="F1168" s="47">
        <v>1.75</v>
      </c>
      <c r="G1168" s="47">
        <v>0</v>
      </c>
      <c r="H1168" s="47">
        <v>0</v>
      </c>
      <c r="I1168" s="98">
        <v>0</v>
      </c>
      <c r="J1168" s="98"/>
      <c r="L1168" s="93">
        <f t="shared" si="160"/>
        <v>0</v>
      </c>
      <c r="M1168" s="95" t="e">
        <f t="shared" ca="1" si="161"/>
        <v>#DIV/0!</v>
      </c>
      <c r="N1168" s="95">
        <f>IF(P1168="Hedge Fund",IF(A1168=Summary!$AD$3,M1168-E1168,M1168),IF(A1168=Summary!$AD$3,L1168-D1168,L1168))</f>
        <v>0</v>
      </c>
      <c r="O1168" s="95">
        <f t="shared" si="165"/>
        <v>0</v>
      </c>
      <c r="P1168" s="89" t="s">
        <v>155</v>
      </c>
      <c r="Q1168" s="107">
        <v>0</v>
      </c>
      <c r="R1168" s="107">
        <v>0</v>
      </c>
      <c r="S1168" s="89">
        <v>0</v>
      </c>
      <c r="T1168" s="89">
        <v>0</v>
      </c>
      <c r="U1168" s="89"/>
      <c r="V1168" s="89"/>
      <c r="W1168" s="89"/>
      <c r="X1168" s="89"/>
      <c r="Y1168" s="89"/>
      <c r="Z1168" s="89"/>
      <c r="AA1168" s="89"/>
      <c r="AB1168" s="89"/>
      <c r="AC1168" s="355"/>
      <c r="AD1168" s="355"/>
      <c r="AE1168" s="355"/>
      <c r="AF1168" s="94">
        <f t="shared" si="162"/>
        <v>43343</v>
      </c>
      <c r="AG1168" s="185">
        <f t="shared" si="166"/>
        <v>8.3008307462901776E-3</v>
      </c>
      <c r="AH1168" s="339" t="str">
        <f>VLOOKUP(B1168,'MF PF'!A:B,2)</f>
        <v>FdMgt1</v>
      </c>
      <c r="AI1168" s="358">
        <f t="shared" si="163"/>
        <v>0</v>
      </c>
      <c r="AJ1168" s="94">
        <f t="shared" si="164"/>
        <v>43343</v>
      </c>
    </row>
    <row r="1169" spans="1:36" ht="12.75" customHeight="1">
      <c r="A1169" s="8">
        <v>43371</v>
      </c>
      <c r="B1169" s="358" t="s">
        <v>136</v>
      </c>
      <c r="C1169" s="92" t="s">
        <v>311</v>
      </c>
      <c r="D1169" s="374">
        <v>3050868.61</v>
      </c>
      <c r="F1169" s="105">
        <v>1.75</v>
      </c>
      <c r="G1169" s="93">
        <v>0</v>
      </c>
      <c r="H1169" s="93">
        <v>0</v>
      </c>
      <c r="I1169" s="93">
        <v>0</v>
      </c>
      <c r="K1169" s="7">
        <v>0</v>
      </c>
      <c r="L1169" s="93">
        <f t="shared" si="160"/>
        <v>0</v>
      </c>
      <c r="M1169" s="95" t="e">
        <f t="shared" ca="1" si="161"/>
        <v>#DIV/0!</v>
      </c>
      <c r="N1169" s="95">
        <f>IF(P1169="Hedge Fund",IF(A1169=Summary!$AD$3,M1169-E1169,M1169),IF(A1169=Summary!$AD$3,L1169-D1169,L1169))</f>
        <v>0</v>
      </c>
      <c r="O1169" s="95">
        <f t="shared" si="165"/>
        <v>0</v>
      </c>
      <c r="P1169" s="95" t="s">
        <v>155</v>
      </c>
      <c r="Q1169" s="353">
        <v>0</v>
      </c>
      <c r="R1169" s="95">
        <v>0</v>
      </c>
      <c r="S1169" s="95"/>
      <c r="T1169" s="95"/>
      <c r="U1169" s="95"/>
      <c r="V1169" s="95"/>
      <c r="W1169" s="95"/>
      <c r="X1169" s="95"/>
      <c r="Y1169" s="95"/>
      <c r="Z1169" s="95"/>
      <c r="AA1169" s="95"/>
      <c r="AB1169" s="95"/>
      <c r="AC1169" s="355"/>
      <c r="AD1169" s="355"/>
      <c r="AE1169" s="355"/>
      <c r="AF1169" s="94">
        <f t="shared" si="162"/>
        <v>43371</v>
      </c>
      <c r="AG1169" s="185">
        <f t="shared" si="166"/>
        <v>5.6244788348824848E-4</v>
      </c>
      <c r="AH1169" s="339" t="str">
        <f>VLOOKUP(B1169,'MF PF'!A:B,2)</f>
        <v>FdMgt1</v>
      </c>
      <c r="AI1169" s="358">
        <f t="shared" si="163"/>
        <v>0</v>
      </c>
      <c r="AJ1169" s="94">
        <f t="shared" si="164"/>
        <v>43373</v>
      </c>
    </row>
    <row r="1170" spans="1:36" ht="12.75" customHeight="1">
      <c r="A1170" s="8">
        <v>43404</v>
      </c>
      <c r="B1170" s="358" t="s">
        <v>136</v>
      </c>
      <c r="C1170" s="358" t="s">
        <v>311</v>
      </c>
      <c r="D1170" s="374">
        <v>3037214.32</v>
      </c>
      <c r="F1170" s="105">
        <v>1.75</v>
      </c>
      <c r="G1170" s="93">
        <v>0</v>
      </c>
      <c r="H1170" s="93">
        <v>0</v>
      </c>
      <c r="I1170" s="93">
        <v>0</v>
      </c>
      <c r="J1170" s="93">
        <v>0</v>
      </c>
      <c r="L1170" s="93">
        <f t="shared" si="160"/>
        <v>0</v>
      </c>
      <c r="M1170" s="95" t="e">
        <f t="shared" ca="1" si="161"/>
        <v>#DIV/0!</v>
      </c>
      <c r="N1170" s="95">
        <f>IF(P1170="Hedge Fund",IF(A1170=Summary!$AD$3,M1170-E1170,M1170),IF(A1170=Summary!$AD$3,L1170-D1170,L1170))</f>
        <v>0</v>
      </c>
      <c r="O1170" s="95">
        <f t="shared" si="165"/>
        <v>0</v>
      </c>
      <c r="P1170" s="95" t="s">
        <v>155</v>
      </c>
      <c r="Q1170" s="95">
        <v>0</v>
      </c>
      <c r="R1170" s="95">
        <v>0</v>
      </c>
      <c r="S1170" s="95"/>
      <c r="T1170" s="95"/>
      <c r="U1170" s="95"/>
      <c r="V1170" s="95"/>
      <c r="W1170" s="95"/>
      <c r="X1170" s="95"/>
      <c r="Y1170" s="95"/>
      <c r="Z1170" s="95"/>
      <c r="AA1170" s="95"/>
      <c r="AB1170" s="95"/>
      <c r="AC1170" s="355"/>
      <c r="AD1170" s="355"/>
      <c r="AE1170" s="355"/>
      <c r="AF1170" s="94">
        <f t="shared" si="162"/>
        <v>43404</v>
      </c>
      <c r="AG1170" s="185">
        <f t="shared" si="166"/>
        <v>-4.475541803158789E-3</v>
      </c>
      <c r="AH1170" s="339" t="str">
        <f>VLOOKUP(B1170,'MF PF'!A:B,2)</f>
        <v>FdMgt1</v>
      </c>
      <c r="AI1170" s="358">
        <f t="shared" si="163"/>
        <v>0</v>
      </c>
      <c r="AJ1170" s="94">
        <f t="shared" si="164"/>
        <v>43404</v>
      </c>
    </row>
    <row r="1171" spans="1:36" ht="12.75" customHeight="1">
      <c r="A1171" s="8">
        <v>43434</v>
      </c>
      <c r="B1171" s="358" t="s">
        <v>136</v>
      </c>
      <c r="C1171" s="358" t="s">
        <v>311</v>
      </c>
      <c r="D1171" s="374">
        <v>3104971.5</v>
      </c>
      <c r="F1171" s="105">
        <v>1.75</v>
      </c>
      <c r="G1171" s="93">
        <v>0</v>
      </c>
      <c r="H1171" s="93">
        <v>0</v>
      </c>
      <c r="I1171" s="93">
        <v>0</v>
      </c>
      <c r="K1171" s="7">
        <v>0</v>
      </c>
      <c r="L1171" s="93">
        <f t="shared" si="160"/>
        <v>0</v>
      </c>
      <c r="M1171" s="95" t="e">
        <f t="shared" ca="1" si="161"/>
        <v>#DIV/0!</v>
      </c>
      <c r="N1171" s="95">
        <f>IF(P1171="Hedge Fund",IF(A1171=Summary!$AD$3,M1171-E1171,M1171),IF(A1171=Summary!$AD$3,L1171-D1171,L1171))</f>
        <v>0</v>
      </c>
      <c r="O1171" s="95">
        <f t="shared" si="165"/>
        <v>0</v>
      </c>
      <c r="P1171" s="95" t="s">
        <v>155</v>
      </c>
      <c r="Q1171" s="95">
        <v>0</v>
      </c>
      <c r="R1171" s="95">
        <v>0</v>
      </c>
      <c r="S1171" s="95"/>
      <c r="T1171" s="95"/>
      <c r="U1171" s="95"/>
      <c r="V1171" s="95"/>
      <c r="W1171" s="95"/>
      <c r="X1171" s="95"/>
      <c r="Y1171" s="95"/>
      <c r="Z1171" s="95"/>
      <c r="AA1171" s="95"/>
      <c r="AB1171" s="95"/>
      <c r="AC1171" s="355"/>
      <c r="AD1171" s="355"/>
      <c r="AE1171" s="355"/>
      <c r="AF1171" s="94">
        <f t="shared" si="162"/>
        <v>43434</v>
      </c>
      <c r="AG1171" s="185">
        <f t="shared" si="166"/>
        <v>2.23089887183201E-2</v>
      </c>
      <c r="AH1171" s="339" t="str">
        <f>VLOOKUP(B1171,'MF PF'!A:B,2)</f>
        <v>FdMgt1</v>
      </c>
      <c r="AI1171" s="358">
        <f t="shared" si="163"/>
        <v>0</v>
      </c>
      <c r="AJ1171" s="94">
        <f t="shared" si="164"/>
        <v>43434</v>
      </c>
    </row>
    <row r="1172" spans="1:36" ht="12.75" customHeight="1">
      <c r="A1172" s="94">
        <v>43452</v>
      </c>
      <c r="B1172" s="358" t="s">
        <v>136</v>
      </c>
      <c r="C1172" s="358" t="s">
        <v>311</v>
      </c>
      <c r="D1172" s="93"/>
      <c r="F1172" s="93"/>
      <c r="G1172" s="93"/>
      <c r="H1172" s="93"/>
      <c r="I1172" s="93">
        <v>-51239.151991869418</v>
      </c>
      <c r="L1172" s="93">
        <f t="shared" si="160"/>
        <v>-51239.151991869418</v>
      </c>
      <c r="M1172" s="95" t="e">
        <f t="shared" ca="1" si="161"/>
        <v>#DIV/0!</v>
      </c>
      <c r="N1172" s="95">
        <f>IF(P1172="Hedge Fund",IF(A1172=Summary!$AD$3,M1172-E1172,M1172),IF(A1172=Summary!$AD$3,L1172-D1172,L1172))</f>
        <v>-51239.151991869418</v>
      </c>
      <c r="O1172" s="95">
        <f t="shared" si="165"/>
        <v>-51239.151991869418</v>
      </c>
      <c r="P1172" s="95" t="s">
        <v>155</v>
      </c>
      <c r="Q1172" s="95"/>
      <c r="R1172" s="95"/>
      <c r="S1172" s="95"/>
      <c r="T1172" s="95"/>
      <c r="U1172" s="95"/>
      <c r="V1172" s="95"/>
      <c r="W1172" s="95"/>
      <c r="X1172" s="95"/>
      <c r="Y1172" s="95"/>
      <c r="Z1172" s="95"/>
      <c r="AA1172" s="95"/>
      <c r="AB1172" s="95"/>
      <c r="AC1172" s="355"/>
      <c r="AD1172" s="355"/>
      <c r="AE1172" s="355"/>
      <c r="AF1172" s="94">
        <f t="shared" si="162"/>
        <v>43452</v>
      </c>
      <c r="AG1172" s="185">
        <f t="shared" si="166"/>
        <v>-0.9834977061812421</v>
      </c>
      <c r="AH1172" s="339" t="str">
        <f>VLOOKUP(B1172,'MF PF'!A:B,2)</f>
        <v>FdMgt1</v>
      </c>
      <c r="AI1172" s="358">
        <f t="shared" si="163"/>
        <v>0</v>
      </c>
      <c r="AJ1172" s="94">
        <f t="shared" si="164"/>
        <v>43465</v>
      </c>
    </row>
    <row r="1173" spans="1:36" ht="12.75" customHeight="1">
      <c r="A1173" s="94">
        <v>43465</v>
      </c>
      <c r="B1173" s="358" t="s">
        <v>136</v>
      </c>
      <c r="C1173" s="358" t="s">
        <v>311</v>
      </c>
      <c r="D1173" s="93">
        <v>3156281.9</v>
      </c>
      <c r="F1173" s="93">
        <v>1.75</v>
      </c>
      <c r="G1173" s="93">
        <v>0</v>
      </c>
      <c r="H1173" s="93">
        <v>0</v>
      </c>
      <c r="I1173" s="93">
        <v>0</v>
      </c>
      <c r="K1173" s="7">
        <v>0</v>
      </c>
      <c r="L1173" s="93">
        <f t="shared" si="160"/>
        <v>0</v>
      </c>
      <c r="M1173" s="95" t="e">
        <f t="shared" ca="1" si="161"/>
        <v>#DIV/0!</v>
      </c>
      <c r="N1173" s="95">
        <f>IF(P1173="Hedge Fund",IF(A1173=Summary!$AD$3,M1173-E1173,M1173),IF(A1173=Summary!$AD$3,L1173-D1173,L1173))</f>
        <v>0</v>
      </c>
      <c r="O1173" s="95">
        <f t="shared" si="165"/>
        <v>0</v>
      </c>
      <c r="P1173" s="95" t="s">
        <v>155</v>
      </c>
      <c r="Q1173" s="95">
        <v>0</v>
      </c>
      <c r="R1173" s="95">
        <v>0</v>
      </c>
      <c r="S1173" s="95"/>
      <c r="T1173" s="95"/>
      <c r="U1173" s="95"/>
      <c r="V1173" s="95"/>
      <c r="W1173" s="95"/>
      <c r="X1173" s="95"/>
      <c r="Y1173" s="95"/>
      <c r="Z1173" s="95"/>
      <c r="AA1173" s="95"/>
      <c r="AB1173" s="95"/>
      <c r="AC1173" s="355"/>
      <c r="AD1173" s="355"/>
      <c r="AE1173" s="355"/>
      <c r="AF1173" s="94">
        <f t="shared" si="162"/>
        <v>43465</v>
      </c>
      <c r="AG1173" s="185" t="e">
        <f t="shared" si="166"/>
        <v>#DIV/0!</v>
      </c>
      <c r="AH1173" s="339" t="str">
        <f>VLOOKUP(B1173,'MF PF'!A:B,2)</f>
        <v>FdMgt1</v>
      </c>
      <c r="AI1173" s="358">
        <f t="shared" si="163"/>
        <v>0</v>
      </c>
      <c r="AJ1173" s="94">
        <f t="shared" si="164"/>
        <v>43465</v>
      </c>
    </row>
    <row r="1174" spans="1:36" ht="12.75" customHeight="1">
      <c r="A1174" s="94">
        <v>43487</v>
      </c>
      <c r="B1174" s="358" t="s">
        <v>136</v>
      </c>
      <c r="C1174" s="358" t="s">
        <v>311</v>
      </c>
      <c r="D1174" s="93"/>
      <c r="F1174" s="93"/>
      <c r="G1174" s="93"/>
      <c r="H1174" s="93"/>
      <c r="I1174" s="93">
        <v>-126634.67271811557</v>
      </c>
      <c r="L1174" s="93">
        <f t="shared" si="160"/>
        <v>-126634.67271811557</v>
      </c>
      <c r="M1174" s="95" t="e">
        <f t="shared" ca="1" si="161"/>
        <v>#DIV/0!</v>
      </c>
      <c r="N1174" s="95">
        <f>IF(P1174="Hedge Fund",IF(A1174=Summary!$AD$3,M1174-E1174,M1174),IF(A1174=Summary!$AD$3,L1174-D1174,L1174))</f>
        <v>-126634.67271811557</v>
      </c>
      <c r="O1174" s="95">
        <f t="shared" si="165"/>
        <v>-126634.67271811557</v>
      </c>
      <c r="P1174" s="95" t="s">
        <v>155</v>
      </c>
      <c r="Q1174" s="95"/>
      <c r="R1174" s="95"/>
      <c r="S1174" s="95"/>
      <c r="T1174" s="95"/>
      <c r="U1174" s="95"/>
      <c r="V1174" s="95"/>
      <c r="W1174" s="95"/>
      <c r="X1174" s="95"/>
      <c r="Y1174" s="95"/>
      <c r="Z1174" s="95"/>
      <c r="AA1174" s="95"/>
      <c r="AB1174" s="95"/>
      <c r="AC1174" s="355"/>
      <c r="AD1174" s="355"/>
      <c r="AE1174" s="355"/>
      <c r="AF1174" s="94">
        <f t="shared" si="162"/>
        <v>43487</v>
      </c>
      <c r="AG1174" s="185">
        <f t="shared" si="166"/>
        <v>-0.95987852900017723</v>
      </c>
      <c r="AH1174" s="339" t="str">
        <f>VLOOKUP(B1174,'MF PF'!A:B,2)</f>
        <v>FdMgt1</v>
      </c>
      <c r="AI1174" s="358">
        <f t="shared" si="163"/>
        <v>0</v>
      </c>
      <c r="AJ1174" s="94">
        <f t="shared" si="164"/>
        <v>43496</v>
      </c>
    </row>
    <row r="1175" spans="1:36" ht="12.75" customHeight="1">
      <c r="A1175" s="8">
        <v>43496</v>
      </c>
      <c r="B1175" s="358" t="s">
        <v>136</v>
      </c>
      <c r="C1175" s="358" t="s">
        <v>311</v>
      </c>
      <c r="D1175" s="93">
        <v>3023919.56</v>
      </c>
      <c r="F1175" s="93">
        <v>1.75</v>
      </c>
      <c r="G1175" s="93">
        <v>0</v>
      </c>
      <c r="H1175" s="93">
        <v>0</v>
      </c>
      <c r="I1175" s="93">
        <v>0</v>
      </c>
      <c r="K1175" s="7">
        <v>0</v>
      </c>
      <c r="L1175" s="93">
        <f t="shared" si="160"/>
        <v>0</v>
      </c>
      <c r="M1175" s="95" t="e">
        <f t="shared" ca="1" si="161"/>
        <v>#DIV/0!</v>
      </c>
      <c r="N1175" s="95">
        <f>IF(P1175="Hedge Fund",IF(A1175=Summary!$AD$3,M1175-E1175,M1175),IF(A1175=Summary!$AD$3,L1175-D1175,L1175))</f>
        <v>-3023919.56</v>
      </c>
      <c r="O1175" s="95">
        <f t="shared" si="165"/>
        <v>-3023919.56</v>
      </c>
      <c r="P1175" s="95" t="s">
        <v>155</v>
      </c>
      <c r="Q1175" s="95">
        <v>0</v>
      </c>
      <c r="R1175" s="95">
        <v>0</v>
      </c>
      <c r="S1175" s="95"/>
      <c r="T1175" s="95"/>
      <c r="U1175" s="95"/>
      <c r="V1175" s="95"/>
      <c r="W1175" s="95"/>
      <c r="X1175" s="95"/>
      <c r="Y1175" s="95"/>
      <c r="Z1175" s="95"/>
      <c r="AA1175" s="95"/>
      <c r="AB1175" s="95"/>
      <c r="AC1175" s="355"/>
      <c r="AD1175" s="355"/>
      <c r="AE1175" s="355"/>
      <c r="AF1175" s="94">
        <f t="shared" si="162"/>
        <v>43496</v>
      </c>
      <c r="AG1175" s="185" t="e">
        <f t="shared" si="166"/>
        <v>#DIV/0!</v>
      </c>
      <c r="AH1175" s="339" t="str">
        <f>VLOOKUP(B1175,'MF PF'!A:B,2)</f>
        <v>FdMgt1</v>
      </c>
      <c r="AI1175" s="358">
        <f t="shared" si="163"/>
        <v>0</v>
      </c>
      <c r="AJ1175" s="94">
        <f t="shared" si="164"/>
        <v>43496</v>
      </c>
    </row>
    <row r="1176" spans="1:36" ht="12.75" customHeight="1">
      <c r="A1176" s="94">
        <v>42019</v>
      </c>
      <c r="B1176" s="94" t="s">
        <v>136</v>
      </c>
      <c r="C1176" s="358" t="s">
        <v>312</v>
      </c>
      <c r="D1176" s="374">
        <v>2794000</v>
      </c>
      <c r="E1176" s="9" t="e">
        <f t="shared" ref="E1176:E1218" si="167">D1176/K1176</f>
        <v>#DIV/0!</v>
      </c>
      <c r="F1176" s="98">
        <v>22</v>
      </c>
      <c r="G1176" s="98">
        <v>2794000</v>
      </c>
      <c r="H1176" s="98">
        <v>0</v>
      </c>
      <c r="I1176" s="98">
        <v>0</v>
      </c>
      <c r="J1176" s="98"/>
      <c r="L1176" s="93">
        <f t="shared" si="160"/>
        <v>2794000</v>
      </c>
      <c r="M1176" s="95" t="e">
        <f t="shared" ca="1" si="161"/>
        <v>#DIV/0!</v>
      </c>
      <c r="N1176" s="95">
        <f>IF(P1176="Hedge Fund",IF(A1176=Summary!$AD$3,M1176-E1176,M1176),IF(A1176=Summary!$AD$3,L1176-D1176,L1176))</f>
        <v>2794000</v>
      </c>
      <c r="O1176" s="95">
        <f t="shared" si="165"/>
        <v>2794000</v>
      </c>
      <c r="P1176" s="107" t="s">
        <v>155</v>
      </c>
      <c r="Q1176" s="107">
        <v>0</v>
      </c>
      <c r="R1176" s="107">
        <v>0</v>
      </c>
      <c r="S1176" s="107">
        <v>0</v>
      </c>
      <c r="T1176" s="107">
        <v>0</v>
      </c>
      <c r="U1176" s="107"/>
      <c r="V1176" s="107"/>
      <c r="W1176" s="107"/>
      <c r="X1176" s="107"/>
      <c r="Y1176" s="107"/>
      <c r="Z1176" s="107"/>
      <c r="AA1176" s="107"/>
      <c r="AB1176" s="107"/>
      <c r="AC1176" s="355"/>
      <c r="AD1176" s="355"/>
      <c r="AE1176" s="355"/>
      <c r="AF1176" s="94">
        <f t="shared" si="162"/>
        <v>42019</v>
      </c>
      <c r="AG1176" s="185">
        <f t="shared" si="166"/>
        <v>0</v>
      </c>
      <c r="AH1176" s="339" t="str">
        <f>VLOOKUP(B1176,'MF PF'!A:B,2)</f>
        <v>FdMgt1</v>
      </c>
      <c r="AI1176" s="358">
        <f t="shared" si="163"/>
        <v>0</v>
      </c>
      <c r="AJ1176" s="94">
        <f t="shared" si="164"/>
        <v>42035</v>
      </c>
    </row>
    <row r="1177" spans="1:36" ht="12.75" customHeight="1">
      <c r="A1177" s="8">
        <v>42034</v>
      </c>
      <c r="B1177" s="94" t="s">
        <v>136</v>
      </c>
      <c r="C1177" s="358" t="s">
        <v>312</v>
      </c>
      <c r="D1177" s="374">
        <v>2774559.8</v>
      </c>
      <c r="E1177" s="95" t="e">
        <f t="shared" si="167"/>
        <v>#DIV/0!</v>
      </c>
      <c r="F1177" s="98">
        <v>22</v>
      </c>
      <c r="G1177" s="98">
        <v>0</v>
      </c>
      <c r="H1177" s="98">
        <v>0</v>
      </c>
      <c r="I1177" s="98">
        <v>0</v>
      </c>
      <c r="J1177" s="98"/>
      <c r="L1177" s="93">
        <f t="shared" si="160"/>
        <v>0</v>
      </c>
      <c r="M1177" s="95" t="e">
        <f t="shared" ca="1" si="161"/>
        <v>#DIV/0!</v>
      </c>
      <c r="N1177" s="95">
        <f>IF(P1177="Hedge Fund",IF(A1177=Summary!$AD$3,M1177-E1177,M1177),IF(A1177=Summary!$AD$3,L1177-D1177,L1177))</f>
        <v>0</v>
      </c>
      <c r="O1177" s="95">
        <f t="shared" si="165"/>
        <v>0</v>
      </c>
      <c r="P1177" s="107" t="s">
        <v>155</v>
      </c>
      <c r="Q1177" s="107">
        <v>0</v>
      </c>
      <c r="R1177" s="107">
        <v>0</v>
      </c>
      <c r="S1177" s="107">
        <v>0</v>
      </c>
      <c r="T1177" s="107">
        <v>0</v>
      </c>
      <c r="U1177" s="107"/>
      <c r="V1177" s="107"/>
      <c r="W1177" s="107"/>
      <c r="X1177" s="107"/>
      <c r="Y1177" s="107"/>
      <c r="Z1177" s="107"/>
      <c r="AA1177" s="107"/>
      <c r="AB1177" s="107"/>
      <c r="AC1177" s="355"/>
      <c r="AD1177" s="355"/>
      <c r="AE1177" s="355"/>
      <c r="AF1177" s="94">
        <f t="shared" si="162"/>
        <v>42034</v>
      </c>
      <c r="AG1177" s="185">
        <f t="shared" si="166"/>
        <v>-6.9578382247674764E-3</v>
      </c>
      <c r="AH1177" s="339" t="str">
        <f>VLOOKUP(B1177,'MF PF'!A:B,2)</f>
        <v>FdMgt1</v>
      </c>
      <c r="AI1177" s="358">
        <f t="shared" si="163"/>
        <v>0</v>
      </c>
      <c r="AJ1177" s="94">
        <f t="shared" si="164"/>
        <v>42035</v>
      </c>
    </row>
    <row r="1178" spans="1:36" ht="12.75" customHeight="1">
      <c r="A1178" s="8">
        <v>42062</v>
      </c>
      <c r="B1178" s="94" t="s">
        <v>136</v>
      </c>
      <c r="C1178" s="358" t="s">
        <v>312</v>
      </c>
      <c r="D1178" s="374">
        <v>4517306.2300000004</v>
      </c>
      <c r="E1178" s="9" t="e">
        <f t="shared" si="167"/>
        <v>#DIV/0!</v>
      </c>
      <c r="F1178" s="98">
        <v>22</v>
      </c>
      <c r="G1178" s="98">
        <v>1738000</v>
      </c>
      <c r="H1178" s="98">
        <v>0</v>
      </c>
      <c r="I1178" s="98">
        <v>0</v>
      </c>
      <c r="J1178" s="98"/>
      <c r="L1178" s="93">
        <f t="shared" si="160"/>
        <v>1738000</v>
      </c>
      <c r="M1178" s="95" t="e">
        <f t="shared" ca="1" si="161"/>
        <v>#DIV/0!</v>
      </c>
      <c r="N1178" s="95">
        <f>IF(P1178="Hedge Fund",IF(A1178=Summary!$AD$3,M1178-E1178,M1178),IF(A1178=Summary!$AD$3,L1178-D1178,L1178))</f>
        <v>1738000</v>
      </c>
      <c r="O1178" s="95">
        <f t="shared" si="165"/>
        <v>1738000</v>
      </c>
      <c r="P1178" s="107" t="s">
        <v>155</v>
      </c>
      <c r="Q1178" s="107">
        <v>0</v>
      </c>
      <c r="R1178" s="107">
        <v>0</v>
      </c>
      <c r="S1178" s="107">
        <v>0</v>
      </c>
      <c r="T1178" s="107">
        <v>0</v>
      </c>
      <c r="U1178" s="107"/>
      <c r="V1178" s="107"/>
      <c r="W1178" s="107"/>
      <c r="X1178" s="107"/>
      <c r="Y1178" s="107"/>
      <c r="Z1178" s="107"/>
      <c r="AA1178" s="107"/>
      <c r="AB1178" s="107"/>
      <c r="AC1178" s="355"/>
      <c r="AD1178" s="355"/>
      <c r="AE1178" s="355"/>
      <c r="AF1178" s="94">
        <f t="shared" si="162"/>
        <v>42062</v>
      </c>
      <c r="AG1178" s="185">
        <f t="shared" si="166"/>
        <v>1.7106965941049435E-3</v>
      </c>
      <c r="AH1178" s="339" t="str">
        <f>VLOOKUP(B1178,'MF PF'!A:B,2)</f>
        <v>FdMgt1</v>
      </c>
      <c r="AI1178" s="358">
        <f t="shared" si="163"/>
        <v>0</v>
      </c>
      <c r="AJ1178" s="94">
        <f t="shared" si="164"/>
        <v>42063</v>
      </c>
    </row>
    <row r="1179" spans="1:36" ht="12.75" customHeight="1">
      <c r="A1179" s="8">
        <v>42094</v>
      </c>
      <c r="B1179" s="8" t="s">
        <v>136</v>
      </c>
      <c r="C1179" s="6" t="s">
        <v>312</v>
      </c>
      <c r="D1179" s="374">
        <v>6580985.2005000003</v>
      </c>
      <c r="E1179" s="9" t="e">
        <f t="shared" si="167"/>
        <v>#DIV/0!</v>
      </c>
      <c r="F1179" s="47">
        <v>22</v>
      </c>
      <c r="G1179" s="47">
        <v>1826000</v>
      </c>
      <c r="H1179" s="47">
        <v>0</v>
      </c>
      <c r="I1179" s="47">
        <v>0</v>
      </c>
      <c r="J1179" s="98"/>
      <c r="K1179" s="93"/>
      <c r="L1179" s="93">
        <f t="shared" si="160"/>
        <v>1826000</v>
      </c>
      <c r="M1179" s="95" t="e">
        <f t="shared" ca="1" si="161"/>
        <v>#DIV/0!</v>
      </c>
      <c r="N1179" s="95">
        <f>IF(P1179="Hedge Fund",IF(A1179=Summary!$AD$3,M1179-E1179,M1179),IF(A1179=Summary!$AD$3,L1179-D1179,L1179))</f>
        <v>1826000</v>
      </c>
      <c r="O1179" s="95">
        <f t="shared" si="165"/>
        <v>1826000</v>
      </c>
      <c r="P1179" s="89" t="s">
        <v>155</v>
      </c>
      <c r="Q1179" s="107">
        <v>0</v>
      </c>
      <c r="R1179" s="107">
        <v>0</v>
      </c>
      <c r="S1179" s="89">
        <v>0</v>
      </c>
      <c r="T1179" s="89">
        <v>0</v>
      </c>
      <c r="U1179" s="89"/>
      <c r="V1179" s="89"/>
      <c r="W1179" s="89"/>
      <c r="X1179" s="89"/>
      <c r="Y1179" s="89"/>
      <c r="Z1179" s="89"/>
      <c r="AA1179" s="89"/>
      <c r="AB1179" s="89"/>
      <c r="AC1179" s="355"/>
      <c r="AD1179" s="355"/>
      <c r="AE1179" s="355"/>
      <c r="AF1179" s="94">
        <f t="shared" si="162"/>
        <v>42094</v>
      </c>
      <c r="AG1179" s="185">
        <f t="shared" si="166"/>
        <v>5.2615199944060498E-2</v>
      </c>
      <c r="AH1179" s="339" t="str">
        <f>VLOOKUP(B1179,'MF PF'!A:B,2)</f>
        <v>FdMgt1</v>
      </c>
      <c r="AI1179" s="358">
        <f t="shared" si="163"/>
        <v>0</v>
      </c>
      <c r="AJ1179" s="94">
        <f t="shared" si="164"/>
        <v>42094</v>
      </c>
    </row>
    <row r="1180" spans="1:36" ht="12.75" customHeight="1">
      <c r="A1180" s="8">
        <v>42124</v>
      </c>
      <c r="B1180" s="8" t="s">
        <v>136</v>
      </c>
      <c r="C1180" s="6" t="s">
        <v>312</v>
      </c>
      <c r="D1180" s="374">
        <v>9787048.4145</v>
      </c>
      <c r="E1180" s="9" t="e">
        <f t="shared" si="167"/>
        <v>#DIV/0!</v>
      </c>
      <c r="F1180" s="47">
        <v>22</v>
      </c>
      <c r="G1180" s="47">
        <v>2508000</v>
      </c>
      <c r="H1180" s="47">
        <v>0</v>
      </c>
      <c r="I1180" s="47">
        <v>0</v>
      </c>
      <c r="J1180" s="98"/>
      <c r="K1180" s="93"/>
      <c r="L1180" s="93">
        <f t="shared" si="160"/>
        <v>2508000</v>
      </c>
      <c r="M1180" s="95" t="e">
        <f t="shared" ca="1" si="161"/>
        <v>#DIV/0!</v>
      </c>
      <c r="N1180" s="95">
        <f>IF(P1180="Hedge Fund",IF(A1180=Summary!$AD$3,M1180-E1180,M1180),IF(A1180=Summary!$AD$3,L1180-D1180,L1180))</f>
        <v>2508000</v>
      </c>
      <c r="O1180" s="95">
        <f t="shared" si="165"/>
        <v>2508000</v>
      </c>
      <c r="P1180" s="89" t="s">
        <v>155</v>
      </c>
      <c r="Q1180" s="107">
        <v>0</v>
      </c>
      <c r="R1180" s="107">
        <v>0</v>
      </c>
      <c r="S1180" s="89">
        <v>0</v>
      </c>
      <c r="T1180" s="89">
        <v>0</v>
      </c>
      <c r="U1180" s="89"/>
      <c r="V1180" s="89"/>
      <c r="W1180" s="89"/>
      <c r="X1180" s="89"/>
      <c r="Y1180" s="89"/>
      <c r="Z1180" s="89"/>
      <c r="AA1180" s="89"/>
      <c r="AB1180" s="89"/>
      <c r="AC1180" s="355"/>
      <c r="AD1180" s="355"/>
      <c r="AE1180" s="355"/>
      <c r="AF1180" s="94">
        <f t="shared" si="162"/>
        <v>42124</v>
      </c>
      <c r="AG1180" s="185">
        <f t="shared" si="166"/>
        <v>0.1060727524424403</v>
      </c>
      <c r="AH1180" s="339" t="str">
        <f>VLOOKUP(B1180,'MF PF'!A:B,2)</f>
        <v>FdMgt1</v>
      </c>
      <c r="AI1180" s="358">
        <f t="shared" si="163"/>
        <v>0</v>
      </c>
      <c r="AJ1180" s="94">
        <f t="shared" si="164"/>
        <v>42124</v>
      </c>
    </row>
    <row r="1181" spans="1:36" ht="12.75" customHeight="1">
      <c r="A1181" s="94">
        <v>42153</v>
      </c>
      <c r="B1181" s="94" t="s">
        <v>136</v>
      </c>
      <c r="C1181" s="358" t="s">
        <v>312</v>
      </c>
      <c r="D1181" s="374">
        <v>11483766.125499999</v>
      </c>
      <c r="E1181" s="9" t="e">
        <f t="shared" si="167"/>
        <v>#DIV/0!</v>
      </c>
      <c r="F1181" s="47">
        <v>22</v>
      </c>
      <c r="G1181" s="47">
        <v>1672000</v>
      </c>
      <c r="H1181" s="47">
        <v>0</v>
      </c>
      <c r="I1181" s="98">
        <v>0</v>
      </c>
      <c r="J1181" s="98"/>
      <c r="K1181" s="93"/>
      <c r="L1181" s="93">
        <f t="shared" si="160"/>
        <v>1672000</v>
      </c>
      <c r="M1181" s="95" t="e">
        <f t="shared" ca="1" si="161"/>
        <v>#DIV/0!</v>
      </c>
      <c r="N1181" s="95">
        <f>IF(P1181="Hedge Fund",IF(A1181=Summary!$AD$3,M1181-E1181,M1181),IF(A1181=Summary!$AD$3,L1181-D1181,L1181))</f>
        <v>1672000</v>
      </c>
      <c r="O1181" s="95">
        <f t="shared" si="165"/>
        <v>1672000</v>
      </c>
      <c r="P1181" s="89" t="s">
        <v>155</v>
      </c>
      <c r="Q1181" s="107">
        <v>0</v>
      </c>
      <c r="R1181" s="107">
        <v>0</v>
      </c>
      <c r="S1181" s="89">
        <v>0</v>
      </c>
      <c r="T1181" s="89">
        <v>0</v>
      </c>
      <c r="U1181" s="89"/>
      <c r="V1181" s="89"/>
      <c r="W1181" s="89"/>
      <c r="X1181" s="89"/>
      <c r="Y1181" s="89"/>
      <c r="Z1181" s="89"/>
      <c r="AA1181" s="89"/>
      <c r="AB1181" s="89"/>
      <c r="AC1181" s="355"/>
      <c r="AD1181" s="355"/>
      <c r="AE1181" s="355"/>
      <c r="AF1181" s="94">
        <f t="shared" si="162"/>
        <v>42153</v>
      </c>
      <c r="AG1181" s="185">
        <f t="shared" si="166"/>
        <v>2.5255531548591392E-3</v>
      </c>
      <c r="AH1181" s="339" t="str">
        <f>VLOOKUP(B1181,'MF PF'!A:B,2)</f>
        <v>FdMgt1</v>
      </c>
      <c r="AI1181" s="358">
        <f t="shared" si="163"/>
        <v>0</v>
      </c>
      <c r="AJ1181" s="94">
        <f t="shared" si="164"/>
        <v>42155</v>
      </c>
    </row>
    <row r="1182" spans="1:36" ht="12.75" customHeight="1">
      <c r="A1182" s="8">
        <v>42185</v>
      </c>
      <c r="B1182" s="94" t="s">
        <v>136</v>
      </c>
      <c r="C1182" s="358" t="s">
        <v>312</v>
      </c>
      <c r="D1182" s="374">
        <v>11304354.73</v>
      </c>
      <c r="E1182" s="9" t="e">
        <f t="shared" si="167"/>
        <v>#DIV/0!</v>
      </c>
      <c r="F1182" s="47">
        <v>22</v>
      </c>
      <c r="G1182" s="47">
        <v>0</v>
      </c>
      <c r="H1182" s="47">
        <v>0</v>
      </c>
      <c r="I1182" s="98">
        <v>0</v>
      </c>
      <c r="J1182" s="98"/>
      <c r="L1182" s="93">
        <f t="shared" si="160"/>
        <v>0</v>
      </c>
      <c r="M1182" s="95" t="e">
        <f t="shared" ca="1" si="161"/>
        <v>#DIV/0!</v>
      </c>
      <c r="N1182" s="95">
        <f>IF(P1182="Hedge Fund",IF(A1182=Summary!$AD$3,M1182-E1182,M1182),IF(A1182=Summary!$AD$3,L1182-D1182,L1182))</f>
        <v>0</v>
      </c>
      <c r="O1182" s="95">
        <f t="shared" si="165"/>
        <v>0</v>
      </c>
      <c r="P1182" s="89" t="s">
        <v>155</v>
      </c>
      <c r="Q1182" s="107">
        <v>0</v>
      </c>
      <c r="R1182" s="107">
        <v>0</v>
      </c>
      <c r="S1182" s="89">
        <v>0</v>
      </c>
      <c r="T1182" s="89">
        <v>0</v>
      </c>
      <c r="U1182" s="89"/>
      <c r="V1182" s="89"/>
      <c r="W1182" s="89"/>
      <c r="X1182" s="89"/>
      <c r="Y1182" s="89"/>
      <c r="Z1182" s="89"/>
      <c r="AA1182" s="89"/>
      <c r="AB1182" s="89"/>
      <c r="AC1182" s="355"/>
      <c r="AD1182" s="355"/>
      <c r="AE1182" s="355"/>
      <c r="AF1182" s="94">
        <f t="shared" si="162"/>
        <v>42185</v>
      </c>
      <c r="AG1182" s="185">
        <f t="shared" si="166"/>
        <v>-1.5623045048053674E-2</v>
      </c>
      <c r="AH1182" s="339" t="str">
        <f>VLOOKUP(B1182,'MF PF'!A:B,2)</f>
        <v>FdMgt1</v>
      </c>
      <c r="AI1182" s="358">
        <f t="shared" si="163"/>
        <v>0</v>
      </c>
      <c r="AJ1182" s="94">
        <f t="shared" si="164"/>
        <v>42185</v>
      </c>
    </row>
    <row r="1183" spans="1:36" ht="12.75" customHeight="1">
      <c r="A1183" s="8">
        <v>42216</v>
      </c>
      <c r="B1183" s="94" t="s">
        <v>136</v>
      </c>
      <c r="C1183" s="358" t="s">
        <v>312</v>
      </c>
      <c r="D1183" s="374">
        <v>12990256.0485</v>
      </c>
      <c r="E1183" s="9" t="e">
        <f t="shared" si="167"/>
        <v>#DIV/0!</v>
      </c>
      <c r="F1183" s="47">
        <v>22</v>
      </c>
      <c r="G1183" s="47">
        <v>1914000</v>
      </c>
      <c r="H1183" s="47">
        <v>0</v>
      </c>
      <c r="I1183" s="98">
        <v>0</v>
      </c>
      <c r="J1183" s="98"/>
      <c r="K1183" s="93"/>
      <c r="L1183" s="93">
        <f t="shared" si="160"/>
        <v>1914000</v>
      </c>
      <c r="M1183" s="95" t="e">
        <f t="shared" ca="1" si="161"/>
        <v>#DIV/0!</v>
      </c>
      <c r="N1183" s="95">
        <f>IF(P1183="Hedge Fund",IF(A1183=Summary!$AD$3,M1183-E1183,M1183),IF(A1183=Summary!$AD$3,L1183-D1183,L1183))</f>
        <v>1914000</v>
      </c>
      <c r="O1183" s="95">
        <f t="shared" si="165"/>
        <v>1914000</v>
      </c>
      <c r="P1183" s="89" t="s">
        <v>155</v>
      </c>
      <c r="Q1183" s="107">
        <v>0</v>
      </c>
      <c r="R1183" s="107">
        <v>0</v>
      </c>
      <c r="S1183" s="89">
        <v>0</v>
      </c>
      <c r="T1183" s="89">
        <v>0</v>
      </c>
      <c r="U1183" s="89"/>
      <c r="V1183" s="89"/>
      <c r="W1183" s="89"/>
      <c r="X1183" s="89"/>
      <c r="Y1183" s="89"/>
      <c r="Z1183" s="89"/>
      <c r="AA1183" s="89"/>
      <c r="AB1183" s="89"/>
      <c r="AC1183" s="355"/>
      <c r="AD1183" s="355"/>
      <c r="AE1183" s="355"/>
      <c r="AF1183" s="94">
        <f t="shared" si="162"/>
        <v>42216</v>
      </c>
      <c r="AG1183" s="185">
        <f t="shared" si="166"/>
        <v>-2.0177947963244902E-2</v>
      </c>
      <c r="AH1183" s="339" t="str">
        <f>VLOOKUP(B1183,'MF PF'!A:B,2)</f>
        <v>FdMgt1</v>
      </c>
      <c r="AI1183" s="358">
        <f t="shared" si="163"/>
        <v>0</v>
      </c>
      <c r="AJ1183" s="94">
        <f t="shared" si="164"/>
        <v>42216</v>
      </c>
    </row>
    <row r="1184" spans="1:36" ht="12.75" customHeight="1">
      <c r="A1184" s="8">
        <v>42247</v>
      </c>
      <c r="B1184" s="94" t="s">
        <v>136</v>
      </c>
      <c r="C1184" s="358" t="s">
        <v>312</v>
      </c>
      <c r="D1184" s="374">
        <v>12762026.619999999</v>
      </c>
      <c r="E1184" s="9" t="e">
        <f t="shared" si="167"/>
        <v>#DIV/0!</v>
      </c>
      <c r="F1184" s="47">
        <v>22</v>
      </c>
      <c r="G1184" s="47">
        <v>0</v>
      </c>
      <c r="H1184" s="47">
        <v>0</v>
      </c>
      <c r="I1184" s="98">
        <v>0</v>
      </c>
      <c r="J1184" s="98"/>
      <c r="K1184" s="93"/>
      <c r="L1184" s="93">
        <f t="shared" si="160"/>
        <v>0</v>
      </c>
      <c r="M1184" s="95" t="e">
        <f t="shared" ca="1" si="161"/>
        <v>#DIV/0!</v>
      </c>
      <c r="N1184" s="95">
        <f>IF(P1184="Hedge Fund",IF(A1184=Summary!$AD$3,M1184-E1184,M1184),IF(A1184=Summary!$AD$3,L1184-D1184,L1184))</f>
        <v>0</v>
      </c>
      <c r="O1184" s="95">
        <f t="shared" si="165"/>
        <v>0</v>
      </c>
      <c r="P1184" s="89" t="s">
        <v>155</v>
      </c>
      <c r="Q1184" s="107">
        <v>0</v>
      </c>
      <c r="R1184" s="107">
        <v>0</v>
      </c>
      <c r="S1184" s="89">
        <v>0</v>
      </c>
      <c r="T1184" s="89">
        <v>0</v>
      </c>
      <c r="U1184" s="89"/>
      <c r="V1184" s="89"/>
      <c r="W1184" s="89"/>
      <c r="X1184" s="89"/>
      <c r="Y1184" s="89"/>
      <c r="Z1184" s="89"/>
      <c r="AA1184" s="89"/>
      <c r="AB1184" s="89"/>
      <c r="AC1184" s="355"/>
      <c r="AD1184" s="355"/>
      <c r="AE1184" s="355"/>
      <c r="AF1184" s="94">
        <f t="shared" si="162"/>
        <v>42247</v>
      </c>
      <c r="AG1184" s="185">
        <f t="shared" si="166"/>
        <v>-1.7569278669172572E-2</v>
      </c>
      <c r="AH1184" s="339" t="str">
        <f>VLOOKUP(B1184,'MF PF'!A:B,2)</f>
        <v>FdMgt1</v>
      </c>
      <c r="AI1184" s="358">
        <f t="shared" si="163"/>
        <v>0</v>
      </c>
      <c r="AJ1184" s="94">
        <f t="shared" si="164"/>
        <v>42247</v>
      </c>
    </row>
    <row r="1185" spans="1:36" ht="12.75" customHeight="1">
      <c r="A1185" s="8">
        <v>42277</v>
      </c>
      <c r="B1185" s="94" t="s">
        <v>136</v>
      </c>
      <c r="C1185" s="358" t="s">
        <v>312</v>
      </c>
      <c r="D1185" s="374">
        <v>12783146.799500002</v>
      </c>
      <c r="E1185" s="9" t="e">
        <f t="shared" si="167"/>
        <v>#DIV/0!</v>
      </c>
      <c r="F1185" s="98">
        <v>22</v>
      </c>
      <c r="G1185" s="98">
        <v>0</v>
      </c>
      <c r="H1185" s="98">
        <v>0</v>
      </c>
      <c r="I1185" s="98">
        <v>0</v>
      </c>
      <c r="J1185" s="98"/>
      <c r="L1185" s="93">
        <f t="shared" si="160"/>
        <v>0</v>
      </c>
      <c r="M1185" s="95" t="e">
        <f t="shared" ca="1" si="161"/>
        <v>#DIV/0!</v>
      </c>
      <c r="N1185" s="95">
        <f>IF(P1185="Hedge Fund",IF(A1185=Summary!$AD$3,M1185-E1185,M1185),IF(A1185=Summary!$AD$3,L1185-D1185,L1185))</f>
        <v>0</v>
      </c>
      <c r="O1185" s="95">
        <f t="shared" si="165"/>
        <v>0</v>
      </c>
      <c r="P1185" s="107" t="s">
        <v>155</v>
      </c>
      <c r="Q1185" s="107">
        <v>0</v>
      </c>
      <c r="R1185" s="107">
        <v>0</v>
      </c>
      <c r="S1185" s="107">
        <v>0</v>
      </c>
      <c r="T1185" s="107">
        <v>0</v>
      </c>
      <c r="U1185" s="107"/>
      <c r="V1185" s="107"/>
      <c r="W1185" s="107"/>
      <c r="X1185" s="107"/>
      <c r="Y1185" s="107"/>
      <c r="Z1185" s="107"/>
      <c r="AA1185" s="107"/>
      <c r="AB1185" s="107"/>
      <c r="AC1185" s="355"/>
      <c r="AD1185" s="355"/>
      <c r="AE1185" s="355"/>
      <c r="AF1185" s="94">
        <f t="shared" si="162"/>
        <v>42277</v>
      </c>
      <c r="AG1185" s="185">
        <f t="shared" si="166"/>
        <v>1.6549236362588537E-3</v>
      </c>
      <c r="AH1185" s="339" t="str">
        <f>VLOOKUP(B1185,'MF PF'!A:B,2)</f>
        <v>FdMgt1</v>
      </c>
      <c r="AI1185" s="358">
        <f t="shared" si="163"/>
        <v>0</v>
      </c>
      <c r="AJ1185" s="94">
        <f t="shared" si="164"/>
        <v>42277</v>
      </c>
    </row>
    <row r="1186" spans="1:36" ht="12.75" customHeight="1">
      <c r="A1186" s="94">
        <v>42307</v>
      </c>
      <c r="B1186" s="94" t="s">
        <v>136</v>
      </c>
      <c r="C1186" s="358" t="s">
        <v>312</v>
      </c>
      <c r="D1186" s="374">
        <v>13145094.709000001</v>
      </c>
      <c r="E1186" s="9" t="e">
        <f t="shared" si="167"/>
        <v>#DIV/0!</v>
      </c>
      <c r="F1186" s="47">
        <v>22</v>
      </c>
      <c r="G1186" s="47">
        <v>0</v>
      </c>
      <c r="H1186" s="47">
        <v>0</v>
      </c>
      <c r="I1186" s="98">
        <v>0</v>
      </c>
      <c r="J1186" s="98"/>
      <c r="K1186" s="93"/>
      <c r="L1186" s="93">
        <f t="shared" si="160"/>
        <v>0</v>
      </c>
      <c r="M1186" s="95" t="e">
        <f t="shared" ca="1" si="161"/>
        <v>#DIV/0!</v>
      </c>
      <c r="N1186" s="95">
        <f>IF(P1186="Hedge Fund",IF(A1186=Summary!$AD$3,M1186-E1186,M1186),IF(A1186=Summary!$AD$3,L1186-D1186,L1186))</f>
        <v>0</v>
      </c>
      <c r="O1186" s="95">
        <f t="shared" si="165"/>
        <v>0</v>
      </c>
      <c r="P1186" s="89" t="s">
        <v>155</v>
      </c>
      <c r="Q1186" s="107">
        <v>0</v>
      </c>
      <c r="R1186" s="107">
        <v>0</v>
      </c>
      <c r="S1186" s="89">
        <v>0</v>
      </c>
      <c r="T1186" s="89">
        <v>0</v>
      </c>
      <c r="U1186" s="89"/>
      <c r="V1186" s="89"/>
      <c r="W1186" s="89"/>
      <c r="X1186" s="89"/>
      <c r="Y1186" s="89"/>
      <c r="Z1186" s="89"/>
      <c r="AA1186" s="89"/>
      <c r="AB1186" s="89"/>
      <c r="AC1186" s="355"/>
      <c r="AD1186" s="355"/>
      <c r="AE1186" s="355"/>
      <c r="AF1186" s="94">
        <f t="shared" si="162"/>
        <v>42307</v>
      </c>
      <c r="AG1186" s="185">
        <f t="shared" si="166"/>
        <v>2.8314460842627343E-2</v>
      </c>
      <c r="AH1186" s="339" t="str">
        <f>VLOOKUP(B1186,'MF PF'!A:B,2)</f>
        <v>FdMgt1</v>
      </c>
      <c r="AI1186" s="358">
        <f t="shared" si="163"/>
        <v>0</v>
      </c>
      <c r="AJ1186" s="94">
        <f t="shared" si="164"/>
        <v>42308</v>
      </c>
    </row>
    <row r="1187" spans="1:36" ht="12.75" customHeight="1">
      <c r="A1187" s="94">
        <v>42338</v>
      </c>
      <c r="B1187" s="94" t="s">
        <v>136</v>
      </c>
      <c r="C1187" s="358" t="s">
        <v>312</v>
      </c>
      <c r="D1187" s="374">
        <v>14193352.9395</v>
      </c>
      <c r="E1187" s="9" t="e">
        <f t="shared" si="167"/>
        <v>#DIV/0!</v>
      </c>
      <c r="F1187" s="98">
        <v>22</v>
      </c>
      <c r="G1187" s="98">
        <v>1100000</v>
      </c>
      <c r="H1187" s="98">
        <v>0</v>
      </c>
      <c r="I1187" s="98">
        <v>0</v>
      </c>
      <c r="J1187" s="98"/>
      <c r="K1187" s="93"/>
      <c r="L1187" s="93">
        <f t="shared" si="160"/>
        <v>1100000</v>
      </c>
      <c r="M1187" s="95" t="e">
        <f t="shared" ca="1" si="161"/>
        <v>#DIV/0!</v>
      </c>
      <c r="N1187" s="95">
        <f>IF(P1187="Hedge Fund",IF(A1187=Summary!$AD$3,M1187-E1187,M1187),IF(A1187=Summary!$AD$3,L1187-D1187,L1187))</f>
        <v>1100000</v>
      </c>
      <c r="O1187" s="95">
        <f t="shared" si="165"/>
        <v>1100000</v>
      </c>
      <c r="P1187" s="107" t="s">
        <v>155</v>
      </c>
      <c r="Q1187" s="107">
        <v>0</v>
      </c>
      <c r="R1187" s="107">
        <v>0</v>
      </c>
      <c r="S1187" s="107">
        <v>0</v>
      </c>
      <c r="T1187" s="107">
        <v>0</v>
      </c>
      <c r="U1187" s="107"/>
      <c r="V1187" s="107"/>
      <c r="W1187" s="107"/>
      <c r="X1187" s="107"/>
      <c r="Y1187" s="107"/>
      <c r="Z1187" s="107"/>
      <c r="AA1187" s="107"/>
      <c r="AB1187" s="107"/>
      <c r="AC1187" s="355"/>
      <c r="AD1187" s="355"/>
      <c r="AE1187" s="355"/>
      <c r="AF1187" s="94">
        <f t="shared" si="162"/>
        <v>42338</v>
      </c>
      <c r="AG1187" s="185">
        <f t="shared" si="166"/>
        <v>-3.9362036292195368E-3</v>
      </c>
      <c r="AH1187" s="339" t="str">
        <f>VLOOKUP(B1187,'MF PF'!A:B,2)</f>
        <v>FdMgt1</v>
      </c>
      <c r="AI1187" s="358">
        <f t="shared" si="163"/>
        <v>0</v>
      </c>
      <c r="AJ1187" s="94">
        <f t="shared" si="164"/>
        <v>42338</v>
      </c>
    </row>
    <row r="1188" spans="1:36" ht="12.75" customHeight="1">
      <c r="A1188" s="94">
        <v>42369</v>
      </c>
      <c r="B1188" s="94" t="s">
        <v>136</v>
      </c>
      <c r="C1188" s="358" t="s">
        <v>312</v>
      </c>
      <c r="D1188" s="374">
        <v>14276487.0875</v>
      </c>
      <c r="E1188" s="9" t="e">
        <f t="shared" si="167"/>
        <v>#DIV/0!</v>
      </c>
      <c r="F1188" s="98">
        <v>22</v>
      </c>
      <c r="G1188" s="98">
        <v>0</v>
      </c>
      <c r="H1188" s="98">
        <v>0</v>
      </c>
      <c r="I1188" s="98">
        <v>0</v>
      </c>
      <c r="J1188" s="98"/>
      <c r="K1188" s="93"/>
      <c r="L1188" s="93">
        <f t="shared" si="160"/>
        <v>0</v>
      </c>
      <c r="M1188" s="95" t="e">
        <f t="shared" ca="1" si="161"/>
        <v>#DIV/0!</v>
      </c>
      <c r="N1188" s="95">
        <f>IF(P1188="Hedge Fund",IF(A1188=Summary!$AD$3,M1188-E1188,M1188),IF(A1188=Summary!$AD$3,L1188-D1188,L1188))</f>
        <v>0</v>
      </c>
      <c r="O1188" s="95">
        <f t="shared" si="165"/>
        <v>0</v>
      </c>
      <c r="P1188" s="107" t="s">
        <v>155</v>
      </c>
      <c r="Q1188" s="107">
        <v>0</v>
      </c>
      <c r="R1188" s="107">
        <v>0</v>
      </c>
      <c r="S1188" s="107">
        <v>0</v>
      </c>
      <c r="T1188" s="107">
        <v>0</v>
      </c>
      <c r="U1188" s="107"/>
      <c r="V1188" s="107"/>
      <c r="W1188" s="107"/>
      <c r="X1188" s="107"/>
      <c r="Y1188" s="107"/>
      <c r="Z1188" s="107"/>
      <c r="AA1188" s="107"/>
      <c r="AB1188" s="107"/>
      <c r="AC1188" s="355"/>
      <c r="AD1188" s="355"/>
      <c r="AE1188" s="355"/>
      <c r="AF1188" s="94">
        <f t="shared" si="162"/>
        <v>42369</v>
      </c>
      <c r="AG1188" s="185">
        <f t="shared" si="166"/>
        <v>5.8572592645560473E-3</v>
      </c>
      <c r="AH1188" s="339" t="str">
        <f>VLOOKUP(B1188,'MF PF'!A:B,2)</f>
        <v>FdMgt1</v>
      </c>
      <c r="AI1188" s="358">
        <f t="shared" si="163"/>
        <v>0</v>
      </c>
      <c r="AJ1188" s="94">
        <f t="shared" si="164"/>
        <v>42369</v>
      </c>
    </row>
    <row r="1189" spans="1:36" ht="12.75" customHeight="1">
      <c r="A1189" s="94">
        <v>42398</v>
      </c>
      <c r="B1189" s="94" t="s">
        <v>136</v>
      </c>
      <c r="C1189" s="358" t="s">
        <v>312</v>
      </c>
      <c r="D1189" s="374">
        <v>14055736.724000001</v>
      </c>
      <c r="E1189" s="9" t="e">
        <f t="shared" si="167"/>
        <v>#DIV/0!</v>
      </c>
      <c r="F1189" s="98">
        <v>22</v>
      </c>
      <c r="G1189" s="98">
        <v>0</v>
      </c>
      <c r="H1189" s="98">
        <v>0</v>
      </c>
      <c r="I1189" s="98">
        <v>0</v>
      </c>
      <c r="J1189" s="98"/>
      <c r="K1189" s="93"/>
      <c r="L1189" s="93">
        <f t="shared" si="160"/>
        <v>0</v>
      </c>
      <c r="M1189" s="95" t="e">
        <f t="shared" ca="1" si="161"/>
        <v>#DIV/0!</v>
      </c>
      <c r="N1189" s="95">
        <f>IF(P1189="Hedge Fund",IF(A1189=Summary!$AD$3,M1189-E1189,M1189),IF(A1189=Summary!$AD$3,L1189-D1189,L1189))</f>
        <v>0</v>
      </c>
      <c r="O1189" s="95">
        <f t="shared" si="165"/>
        <v>0</v>
      </c>
      <c r="P1189" s="107" t="s">
        <v>155</v>
      </c>
      <c r="Q1189" s="107">
        <v>0</v>
      </c>
      <c r="R1189" s="107">
        <v>0</v>
      </c>
      <c r="S1189" s="107">
        <v>0</v>
      </c>
      <c r="T1189" s="107">
        <v>0</v>
      </c>
      <c r="U1189" s="107"/>
      <c r="V1189" s="107"/>
      <c r="W1189" s="107"/>
      <c r="X1189" s="107"/>
      <c r="Y1189" s="107"/>
      <c r="Z1189" s="107"/>
      <c r="AA1189" s="107"/>
      <c r="AB1189" s="107"/>
      <c r="AC1189" s="355"/>
      <c r="AD1189" s="355"/>
      <c r="AE1189" s="355"/>
      <c r="AF1189" s="94">
        <f t="shared" si="162"/>
        <v>42398</v>
      </c>
      <c r="AG1189" s="185">
        <f t="shared" si="166"/>
        <v>-1.5462512741897139E-2</v>
      </c>
      <c r="AH1189" s="339" t="str">
        <f>VLOOKUP(B1189,'MF PF'!A:B,2)</f>
        <v>FdMgt1</v>
      </c>
      <c r="AI1189" s="358">
        <f t="shared" si="163"/>
        <v>0</v>
      </c>
      <c r="AJ1189" s="94">
        <f t="shared" si="164"/>
        <v>42400</v>
      </c>
    </row>
    <row r="1190" spans="1:36" s="92" customFormat="1" ht="12.75" customHeight="1">
      <c r="A1190" s="94">
        <v>42429</v>
      </c>
      <c r="B1190" s="94" t="s">
        <v>136</v>
      </c>
      <c r="C1190" s="358" t="s">
        <v>312</v>
      </c>
      <c r="D1190" s="374">
        <v>19237163.476</v>
      </c>
      <c r="E1190" s="95" t="e">
        <f t="shared" si="167"/>
        <v>#DIV/0!</v>
      </c>
      <c r="F1190" s="98">
        <v>22</v>
      </c>
      <c r="G1190" s="98">
        <v>4928000</v>
      </c>
      <c r="H1190" s="98">
        <v>0</v>
      </c>
      <c r="I1190" s="98">
        <v>0</v>
      </c>
      <c r="J1190" s="98"/>
      <c r="K1190" s="93"/>
      <c r="L1190" s="93">
        <f t="shared" si="160"/>
        <v>4928000</v>
      </c>
      <c r="M1190" s="95" t="e">
        <f t="shared" ca="1" si="161"/>
        <v>#DIV/0!</v>
      </c>
      <c r="N1190" s="95">
        <f>IF(P1190="Hedge Fund",IF(A1190=Summary!$AD$3,M1190-E1190,M1190),IF(A1190=Summary!$AD$3,L1190-D1190,L1190))</f>
        <v>4928000</v>
      </c>
      <c r="O1190" s="95">
        <f t="shared" si="165"/>
        <v>4928000</v>
      </c>
      <c r="P1190" s="107" t="s">
        <v>155</v>
      </c>
      <c r="Q1190" s="107">
        <v>0</v>
      </c>
      <c r="R1190" s="107">
        <v>0</v>
      </c>
      <c r="S1190" s="107">
        <v>0</v>
      </c>
      <c r="T1190" s="107">
        <v>0</v>
      </c>
      <c r="U1190" s="107"/>
      <c r="V1190" s="107"/>
      <c r="W1190" s="107"/>
      <c r="X1190" s="107"/>
      <c r="Y1190" s="107"/>
      <c r="Z1190" s="107"/>
      <c r="AA1190" s="107"/>
      <c r="AB1190" s="107"/>
      <c r="AC1190" s="355"/>
      <c r="AD1190" s="355"/>
      <c r="AE1190" s="355"/>
      <c r="AF1190" s="94">
        <f t="shared" si="162"/>
        <v>42429</v>
      </c>
      <c r="AG1190" s="185">
        <f t="shared" si="166"/>
        <v>1.803012940383808E-2</v>
      </c>
      <c r="AH1190" s="339" t="str">
        <f>VLOOKUP(B1190,'MF PF'!A:B,2)</f>
        <v>FdMgt1</v>
      </c>
      <c r="AI1190" s="358">
        <f t="shared" si="163"/>
        <v>0</v>
      </c>
      <c r="AJ1190" s="94">
        <f t="shared" si="164"/>
        <v>42429</v>
      </c>
    </row>
    <row r="1191" spans="1:36" ht="12.75" customHeight="1">
      <c r="A1191" s="8">
        <v>42460</v>
      </c>
      <c r="B1191" s="94" t="s">
        <v>136</v>
      </c>
      <c r="C1191" s="358" t="s">
        <v>312</v>
      </c>
      <c r="D1191" s="374">
        <v>19359442.648499999</v>
      </c>
      <c r="E1191" s="9" t="e">
        <f t="shared" si="167"/>
        <v>#DIV/0!</v>
      </c>
      <c r="F1191" s="98">
        <v>22</v>
      </c>
      <c r="G1191" s="98">
        <v>0</v>
      </c>
      <c r="H1191" s="98">
        <v>0</v>
      </c>
      <c r="I1191" s="98">
        <v>0</v>
      </c>
      <c r="J1191" s="98"/>
      <c r="L1191" s="93">
        <f t="shared" si="160"/>
        <v>0</v>
      </c>
      <c r="M1191" s="95" t="e">
        <f t="shared" ca="1" si="161"/>
        <v>#DIV/0!</v>
      </c>
      <c r="N1191" s="95">
        <f>IF(P1191="Hedge Fund",IF(A1191=Summary!$AD$3,M1191-E1191,M1191),IF(A1191=Summary!$AD$3,L1191-D1191,L1191))</f>
        <v>0</v>
      </c>
      <c r="O1191" s="95">
        <f t="shared" si="165"/>
        <v>0</v>
      </c>
      <c r="P1191" s="107" t="s">
        <v>155</v>
      </c>
      <c r="Q1191" s="107">
        <v>0</v>
      </c>
      <c r="R1191" s="107">
        <v>0</v>
      </c>
      <c r="S1191" s="107">
        <v>0</v>
      </c>
      <c r="T1191" s="107">
        <v>0</v>
      </c>
      <c r="U1191" s="107"/>
      <c r="V1191" s="107"/>
      <c r="W1191" s="107"/>
      <c r="X1191" s="107"/>
      <c r="Y1191" s="107"/>
      <c r="Z1191" s="107"/>
      <c r="AA1191" s="107"/>
      <c r="AB1191" s="107"/>
      <c r="AC1191" s="355"/>
      <c r="AD1191" s="355"/>
      <c r="AE1191" s="355"/>
      <c r="AF1191" s="94">
        <f t="shared" si="162"/>
        <v>42460</v>
      </c>
      <c r="AG1191" s="185">
        <f t="shared" si="166"/>
        <v>6.3564034610692488E-3</v>
      </c>
      <c r="AH1191" s="339" t="str">
        <f>VLOOKUP(B1191,'MF PF'!A:B,2)</f>
        <v>FdMgt1</v>
      </c>
      <c r="AI1191" s="358">
        <f t="shared" si="163"/>
        <v>0</v>
      </c>
      <c r="AJ1191" s="94">
        <f t="shared" si="164"/>
        <v>42460</v>
      </c>
    </row>
    <row r="1192" spans="1:36" ht="12.75" customHeight="1">
      <c r="A1192" s="94">
        <v>42489</v>
      </c>
      <c r="B1192" s="94" t="s">
        <v>136</v>
      </c>
      <c r="C1192" s="358" t="s">
        <v>312</v>
      </c>
      <c r="D1192" s="374">
        <v>23114540.901500002</v>
      </c>
      <c r="E1192" s="9" t="e">
        <f t="shared" si="167"/>
        <v>#DIV/0!</v>
      </c>
      <c r="F1192" s="98">
        <v>22</v>
      </c>
      <c r="G1192" s="98">
        <v>3520000</v>
      </c>
      <c r="H1192" s="98">
        <v>0</v>
      </c>
      <c r="I1192" s="98">
        <v>0</v>
      </c>
      <c r="J1192" s="98"/>
      <c r="K1192" s="93"/>
      <c r="L1192" s="93">
        <f t="shared" si="160"/>
        <v>3520000</v>
      </c>
      <c r="M1192" s="95" t="e">
        <f t="shared" ca="1" si="161"/>
        <v>#DIV/0!</v>
      </c>
      <c r="N1192" s="95">
        <f>IF(P1192="Hedge Fund",IF(A1192=Summary!$AD$3,M1192-E1192,M1192),IF(A1192=Summary!$AD$3,L1192-D1192,L1192))</f>
        <v>3520000</v>
      </c>
      <c r="O1192" s="95">
        <f t="shared" si="165"/>
        <v>3520000</v>
      </c>
      <c r="P1192" s="107" t="s">
        <v>155</v>
      </c>
      <c r="Q1192" s="107">
        <v>0</v>
      </c>
      <c r="R1192" s="107">
        <v>0</v>
      </c>
      <c r="S1192" s="107">
        <v>0</v>
      </c>
      <c r="T1192" s="107">
        <v>0</v>
      </c>
      <c r="U1192" s="107"/>
      <c r="V1192" s="107"/>
      <c r="W1192" s="107"/>
      <c r="X1192" s="107"/>
      <c r="Y1192" s="107"/>
      <c r="Z1192" s="107"/>
      <c r="AA1192" s="107"/>
      <c r="AB1192" s="107"/>
      <c r="AC1192" s="355"/>
      <c r="AD1192" s="355"/>
      <c r="AE1192" s="355"/>
      <c r="AF1192" s="94">
        <f t="shared" si="162"/>
        <v>42489</v>
      </c>
      <c r="AG1192" s="185">
        <f t="shared" si="166"/>
        <v>1.2143854410923138E-2</v>
      </c>
      <c r="AH1192" s="339" t="str">
        <f>VLOOKUP(B1192,'MF PF'!A:B,2)</f>
        <v>FdMgt1</v>
      </c>
      <c r="AI1192" s="358">
        <f t="shared" si="163"/>
        <v>0</v>
      </c>
      <c r="AJ1192" s="94">
        <f t="shared" si="164"/>
        <v>42490</v>
      </c>
    </row>
    <row r="1193" spans="1:36" ht="12.75" customHeight="1">
      <c r="A1193" s="94">
        <v>42521</v>
      </c>
      <c r="B1193" s="94" t="s">
        <v>136</v>
      </c>
      <c r="C1193" s="358" t="s">
        <v>312</v>
      </c>
      <c r="D1193" s="374">
        <v>23360785.162</v>
      </c>
      <c r="E1193" s="9" t="e">
        <f t="shared" si="167"/>
        <v>#DIV/0!</v>
      </c>
      <c r="F1193" s="98">
        <v>22</v>
      </c>
      <c r="G1193" s="98">
        <v>0</v>
      </c>
      <c r="H1193" s="98">
        <v>0</v>
      </c>
      <c r="I1193" s="98">
        <v>0</v>
      </c>
      <c r="J1193" s="98"/>
      <c r="L1193" s="93">
        <f t="shared" si="160"/>
        <v>0</v>
      </c>
      <c r="M1193" s="95" t="e">
        <f t="shared" ca="1" si="161"/>
        <v>#DIV/0!</v>
      </c>
      <c r="N1193" s="95">
        <f>IF(P1193="Hedge Fund",IF(A1193=Summary!$AD$3,M1193-E1193,M1193),IF(A1193=Summary!$AD$3,L1193-D1193,L1193))</f>
        <v>0</v>
      </c>
      <c r="O1193" s="95">
        <f t="shared" si="165"/>
        <v>0</v>
      </c>
      <c r="P1193" s="107" t="s">
        <v>155</v>
      </c>
      <c r="Q1193" s="107">
        <v>0</v>
      </c>
      <c r="R1193" s="107">
        <v>0</v>
      </c>
      <c r="S1193" s="107">
        <v>0</v>
      </c>
      <c r="T1193" s="107">
        <v>0</v>
      </c>
      <c r="U1193" s="107"/>
      <c r="V1193" s="107"/>
      <c r="W1193" s="107"/>
      <c r="X1193" s="107"/>
      <c r="Y1193" s="107"/>
      <c r="Z1193" s="107"/>
      <c r="AA1193" s="107"/>
      <c r="AB1193" s="107"/>
      <c r="AC1193" s="355"/>
      <c r="AD1193" s="355"/>
      <c r="AE1193" s="355"/>
      <c r="AF1193" s="94">
        <f t="shared" si="162"/>
        <v>42521</v>
      </c>
      <c r="AG1193" s="185">
        <f t="shared" si="166"/>
        <v>1.0653218748723603E-2</v>
      </c>
      <c r="AH1193" s="339" t="str">
        <f>VLOOKUP(B1193,'MF PF'!A:B,2)</f>
        <v>FdMgt1</v>
      </c>
      <c r="AI1193" s="358">
        <f t="shared" si="163"/>
        <v>0</v>
      </c>
      <c r="AJ1193" s="94">
        <f t="shared" si="164"/>
        <v>42521</v>
      </c>
    </row>
    <row r="1194" spans="1:36" ht="12.75" customHeight="1">
      <c r="A1194" s="94">
        <v>42551</v>
      </c>
      <c r="B1194" s="94" t="s">
        <v>136</v>
      </c>
      <c r="C1194" s="358" t="s">
        <v>312</v>
      </c>
      <c r="D1194" s="374">
        <v>23822597.981999997</v>
      </c>
      <c r="E1194" s="9" t="e">
        <f t="shared" si="167"/>
        <v>#DIV/0!</v>
      </c>
      <c r="F1194" s="98">
        <v>22</v>
      </c>
      <c r="G1194" s="98">
        <v>0</v>
      </c>
      <c r="H1194" s="98">
        <v>0</v>
      </c>
      <c r="I1194" s="98">
        <v>0</v>
      </c>
      <c r="J1194" s="98"/>
      <c r="L1194" s="93">
        <f t="shared" si="160"/>
        <v>0</v>
      </c>
      <c r="M1194" s="95" t="e">
        <f t="shared" ca="1" si="161"/>
        <v>#DIV/0!</v>
      </c>
      <c r="N1194" s="95">
        <f>IF(P1194="Hedge Fund",IF(A1194=Summary!$AD$3,M1194-E1194,M1194),IF(A1194=Summary!$AD$3,L1194-D1194,L1194))</f>
        <v>0</v>
      </c>
      <c r="O1194" s="95">
        <f t="shared" si="165"/>
        <v>0</v>
      </c>
      <c r="P1194" s="107" t="s">
        <v>155</v>
      </c>
      <c r="Q1194" s="107">
        <v>0</v>
      </c>
      <c r="R1194" s="107">
        <v>0</v>
      </c>
      <c r="S1194" s="107">
        <v>0</v>
      </c>
      <c r="T1194" s="107">
        <v>0</v>
      </c>
      <c r="U1194" s="107"/>
      <c r="V1194" s="107"/>
      <c r="W1194" s="107"/>
      <c r="X1194" s="107"/>
      <c r="Y1194" s="107"/>
      <c r="Z1194" s="107"/>
      <c r="AA1194" s="107"/>
      <c r="AB1194" s="107"/>
      <c r="AC1194" s="355"/>
      <c r="AD1194" s="355"/>
      <c r="AE1194" s="355"/>
      <c r="AF1194" s="94">
        <f t="shared" si="162"/>
        <v>42551</v>
      </c>
      <c r="AG1194" s="185">
        <f t="shared" si="166"/>
        <v>1.9768719963711101E-2</v>
      </c>
      <c r="AH1194" s="339" t="str">
        <f>VLOOKUP(B1194,'MF PF'!A:B,2)</f>
        <v>FdMgt1</v>
      </c>
      <c r="AI1194" s="358">
        <f t="shared" si="163"/>
        <v>0</v>
      </c>
      <c r="AJ1194" s="94">
        <f t="shared" si="164"/>
        <v>42551</v>
      </c>
    </row>
    <row r="1195" spans="1:36" ht="12.75" customHeight="1">
      <c r="A1195" s="8">
        <v>42580</v>
      </c>
      <c r="B1195" s="94" t="s">
        <v>136</v>
      </c>
      <c r="C1195" s="6" t="s">
        <v>312</v>
      </c>
      <c r="D1195" s="374">
        <v>24071380.368000001</v>
      </c>
      <c r="E1195" s="9" t="e">
        <f t="shared" si="167"/>
        <v>#DIV/0!</v>
      </c>
      <c r="F1195" s="98">
        <v>22</v>
      </c>
      <c r="G1195" s="98">
        <v>0</v>
      </c>
      <c r="H1195" s="98">
        <v>0</v>
      </c>
      <c r="I1195" s="98">
        <v>0</v>
      </c>
      <c r="J1195" s="98"/>
      <c r="L1195" s="93">
        <f t="shared" si="160"/>
        <v>0</v>
      </c>
      <c r="M1195" s="95" t="e">
        <f t="shared" ca="1" si="161"/>
        <v>#DIV/0!</v>
      </c>
      <c r="N1195" s="95">
        <f>IF(P1195="Hedge Fund",IF(A1195=Summary!$AD$3,M1195-E1195,M1195),IF(A1195=Summary!$AD$3,L1195-D1195,L1195))</f>
        <v>0</v>
      </c>
      <c r="O1195" s="95">
        <f t="shared" si="165"/>
        <v>0</v>
      </c>
      <c r="P1195" s="107" t="s">
        <v>155</v>
      </c>
      <c r="Q1195" s="107">
        <v>0</v>
      </c>
      <c r="R1195" s="107">
        <v>0</v>
      </c>
      <c r="S1195" s="107">
        <v>0</v>
      </c>
      <c r="T1195" s="107">
        <v>0</v>
      </c>
      <c r="U1195" s="107"/>
      <c r="V1195" s="107"/>
      <c r="W1195" s="107"/>
      <c r="X1195" s="107"/>
      <c r="Y1195" s="107"/>
      <c r="Z1195" s="107"/>
      <c r="AA1195" s="107"/>
      <c r="AB1195" s="107"/>
      <c r="AC1195" s="355"/>
      <c r="AD1195" s="355"/>
      <c r="AE1195" s="355"/>
      <c r="AF1195" s="94">
        <f t="shared" si="162"/>
        <v>42580</v>
      </c>
      <c r="AG1195" s="185">
        <f t="shared" si="166"/>
        <v>1.044312573246553E-2</v>
      </c>
      <c r="AH1195" s="339" t="str">
        <f>VLOOKUP(B1195,'MF PF'!A:B,2)</f>
        <v>FdMgt1</v>
      </c>
      <c r="AI1195" s="358">
        <f t="shared" si="163"/>
        <v>0</v>
      </c>
      <c r="AJ1195" s="94">
        <f t="shared" si="164"/>
        <v>42582</v>
      </c>
    </row>
    <row r="1196" spans="1:36" ht="12.75" customHeight="1">
      <c r="A1196" s="8">
        <v>42613</v>
      </c>
      <c r="B1196" s="8" t="s">
        <v>136</v>
      </c>
      <c r="C1196" s="6" t="s">
        <v>312</v>
      </c>
      <c r="D1196" s="374">
        <v>23966595.589499999</v>
      </c>
      <c r="E1196" s="9" t="e">
        <f t="shared" si="167"/>
        <v>#DIV/0!</v>
      </c>
      <c r="F1196" s="47">
        <v>22</v>
      </c>
      <c r="G1196" s="47">
        <v>0</v>
      </c>
      <c r="H1196" s="47">
        <v>0</v>
      </c>
      <c r="I1196" s="47">
        <v>0</v>
      </c>
      <c r="J1196" s="98"/>
      <c r="L1196" s="93">
        <f t="shared" si="160"/>
        <v>0</v>
      </c>
      <c r="M1196" s="95" t="e">
        <f t="shared" ca="1" si="161"/>
        <v>#DIV/0!</v>
      </c>
      <c r="N1196" s="95">
        <f>IF(P1196="Hedge Fund",IF(A1196=Summary!$AD$3,M1196-E1196,M1196),IF(A1196=Summary!$AD$3,L1196-D1196,L1196))</f>
        <v>0</v>
      </c>
      <c r="O1196" s="95">
        <f t="shared" si="165"/>
        <v>0</v>
      </c>
      <c r="P1196" s="89" t="s">
        <v>155</v>
      </c>
      <c r="Q1196" s="89">
        <v>0</v>
      </c>
      <c r="R1196" s="89">
        <v>0</v>
      </c>
      <c r="S1196" s="89">
        <v>0</v>
      </c>
      <c r="T1196" s="89">
        <v>0</v>
      </c>
      <c r="U1196" s="89"/>
      <c r="V1196" s="89"/>
      <c r="W1196" s="89"/>
      <c r="X1196" s="89"/>
      <c r="Y1196" s="89"/>
      <c r="Z1196" s="89"/>
      <c r="AA1196" s="89"/>
      <c r="AB1196" s="89"/>
      <c r="AC1196" s="355"/>
      <c r="AD1196" s="355"/>
      <c r="AE1196" s="355"/>
      <c r="AF1196" s="94">
        <f t="shared" si="162"/>
        <v>42613</v>
      </c>
      <c r="AG1196" s="185">
        <f t="shared" si="166"/>
        <v>-4.3530855687570202E-3</v>
      </c>
      <c r="AH1196" s="339" t="str">
        <f>VLOOKUP(B1196,'MF PF'!A:B,2)</f>
        <v>FdMgt1</v>
      </c>
      <c r="AI1196" s="358">
        <f t="shared" si="163"/>
        <v>0</v>
      </c>
      <c r="AJ1196" s="94">
        <f t="shared" si="164"/>
        <v>42613</v>
      </c>
    </row>
    <row r="1197" spans="1:36" ht="12.75" customHeight="1">
      <c r="A1197" s="8">
        <v>42643</v>
      </c>
      <c r="B1197" s="8" t="s">
        <v>136</v>
      </c>
      <c r="C1197" s="6" t="s">
        <v>312</v>
      </c>
      <c r="D1197" s="374">
        <v>24821064.252</v>
      </c>
      <c r="E1197" s="9" t="e">
        <f t="shared" si="167"/>
        <v>#DIV/0!</v>
      </c>
      <c r="F1197" s="47">
        <v>22</v>
      </c>
      <c r="G1197" s="47">
        <v>0</v>
      </c>
      <c r="H1197" s="47">
        <v>0</v>
      </c>
      <c r="I1197" s="47">
        <v>0</v>
      </c>
      <c r="J1197" s="98"/>
      <c r="L1197" s="93">
        <f t="shared" si="160"/>
        <v>0</v>
      </c>
      <c r="M1197" s="95" t="e">
        <f t="shared" ca="1" si="161"/>
        <v>#DIV/0!</v>
      </c>
      <c r="N1197" s="95">
        <f>IF(P1197="Hedge Fund",IF(A1197=Summary!$AD$3,M1197-E1197,M1197),IF(A1197=Summary!$AD$3,L1197-D1197,L1197))</f>
        <v>0</v>
      </c>
      <c r="O1197" s="95">
        <f t="shared" si="165"/>
        <v>0</v>
      </c>
      <c r="P1197" s="89" t="s">
        <v>155</v>
      </c>
      <c r="Q1197" s="89">
        <v>0</v>
      </c>
      <c r="R1197" s="89">
        <v>0</v>
      </c>
      <c r="S1197" s="89">
        <v>0</v>
      </c>
      <c r="T1197" s="89">
        <v>0</v>
      </c>
      <c r="U1197" s="89"/>
      <c r="V1197" s="89"/>
      <c r="W1197" s="89"/>
      <c r="X1197" s="89"/>
      <c r="Y1197" s="89"/>
      <c r="Z1197" s="89"/>
      <c r="AA1197" s="89"/>
      <c r="AB1197" s="89"/>
      <c r="AC1197" s="355"/>
      <c r="AD1197" s="355"/>
      <c r="AE1197" s="355"/>
      <c r="AF1197" s="94">
        <f t="shared" si="162"/>
        <v>42643</v>
      </c>
      <c r="AG1197" s="185">
        <f t="shared" si="166"/>
        <v>3.5652483862762319E-2</v>
      </c>
      <c r="AH1197" s="339" t="str">
        <f>VLOOKUP(B1197,'MF PF'!A:B,2)</f>
        <v>FdMgt1</v>
      </c>
      <c r="AI1197" s="358">
        <f t="shared" si="163"/>
        <v>0</v>
      </c>
      <c r="AJ1197" s="94">
        <f t="shared" si="164"/>
        <v>42643</v>
      </c>
    </row>
    <row r="1198" spans="1:36" ht="12.75" customHeight="1">
      <c r="A1198" s="8">
        <v>42674</v>
      </c>
      <c r="B1198" s="8" t="s">
        <v>136</v>
      </c>
      <c r="C1198" s="6" t="s">
        <v>312</v>
      </c>
      <c r="D1198" s="374">
        <v>25383692.078500006</v>
      </c>
      <c r="E1198" s="9" t="e">
        <f t="shared" si="167"/>
        <v>#DIV/0!</v>
      </c>
      <c r="F1198" s="47">
        <v>22</v>
      </c>
      <c r="G1198" s="47">
        <v>0</v>
      </c>
      <c r="H1198" s="47">
        <v>0</v>
      </c>
      <c r="I1198" s="47">
        <v>0</v>
      </c>
      <c r="J1198" s="98"/>
      <c r="K1198" s="93"/>
      <c r="L1198" s="93">
        <f t="shared" si="160"/>
        <v>0</v>
      </c>
      <c r="M1198" s="95" t="e">
        <f t="shared" ca="1" si="161"/>
        <v>#DIV/0!</v>
      </c>
      <c r="N1198" s="95">
        <f>IF(P1198="Hedge Fund",IF(A1198=Summary!$AD$3,M1198-E1198,M1198),IF(A1198=Summary!$AD$3,L1198-D1198,L1198))</f>
        <v>0</v>
      </c>
      <c r="O1198" s="95">
        <f t="shared" si="165"/>
        <v>0</v>
      </c>
      <c r="P1198" s="89" t="s">
        <v>155</v>
      </c>
      <c r="Q1198" s="89">
        <v>0</v>
      </c>
      <c r="R1198" s="89">
        <v>0</v>
      </c>
      <c r="S1198" s="89">
        <v>0</v>
      </c>
      <c r="T1198" s="89">
        <v>0</v>
      </c>
      <c r="U1198" s="89"/>
      <c r="V1198" s="89"/>
      <c r="W1198" s="89"/>
      <c r="X1198" s="89"/>
      <c r="Y1198" s="89"/>
      <c r="Z1198" s="89"/>
      <c r="AA1198" s="89"/>
      <c r="AB1198" s="89"/>
      <c r="AC1198" s="355"/>
      <c r="AD1198" s="355"/>
      <c r="AE1198" s="355"/>
      <c r="AF1198" s="94">
        <f t="shared" si="162"/>
        <v>42674</v>
      </c>
      <c r="AG1198" s="185">
        <f t="shared" si="166"/>
        <v>2.2667353050934258E-2</v>
      </c>
      <c r="AH1198" s="339" t="str">
        <f>VLOOKUP(B1198,'MF PF'!A:B,2)</f>
        <v>FdMgt1</v>
      </c>
      <c r="AI1198" s="358">
        <f t="shared" si="163"/>
        <v>0</v>
      </c>
      <c r="AJ1198" s="94">
        <f t="shared" si="164"/>
        <v>42674</v>
      </c>
    </row>
    <row r="1199" spans="1:36" ht="12.75" customHeight="1">
      <c r="A1199" s="8">
        <v>42704</v>
      </c>
      <c r="B1199" s="8" t="s">
        <v>136</v>
      </c>
      <c r="C1199" s="6" t="s">
        <v>312</v>
      </c>
      <c r="D1199" s="374">
        <v>25485191.096999999</v>
      </c>
      <c r="E1199" s="9" t="e">
        <f t="shared" si="167"/>
        <v>#DIV/0!</v>
      </c>
      <c r="F1199" s="47">
        <v>22</v>
      </c>
      <c r="G1199" s="47">
        <v>0</v>
      </c>
      <c r="H1199" s="47">
        <v>0</v>
      </c>
      <c r="I1199" s="47">
        <v>0</v>
      </c>
      <c r="J1199" s="98"/>
      <c r="K1199" s="93"/>
      <c r="L1199" s="93">
        <f t="shared" si="160"/>
        <v>0</v>
      </c>
      <c r="M1199" s="95" t="e">
        <f t="shared" ca="1" si="161"/>
        <v>#DIV/0!</v>
      </c>
      <c r="N1199" s="95">
        <f>IF(P1199="Hedge Fund",IF(A1199=Summary!$AD$3,M1199-E1199,M1199),IF(A1199=Summary!$AD$3,L1199-D1199,L1199))</f>
        <v>0</v>
      </c>
      <c r="O1199" s="95">
        <f t="shared" si="165"/>
        <v>0</v>
      </c>
      <c r="P1199" s="89" t="s">
        <v>155</v>
      </c>
      <c r="Q1199" s="107">
        <v>0</v>
      </c>
      <c r="R1199" s="107">
        <v>0</v>
      </c>
      <c r="S1199" s="89">
        <v>0</v>
      </c>
      <c r="T1199" s="89">
        <v>0</v>
      </c>
      <c r="U1199" s="89"/>
      <c r="V1199" s="89"/>
      <c r="W1199" s="89"/>
      <c r="X1199" s="89"/>
      <c r="Y1199" s="89"/>
      <c r="Z1199" s="89"/>
      <c r="AA1199" s="89"/>
      <c r="AB1199" s="89"/>
      <c r="AC1199" s="355"/>
      <c r="AD1199" s="355"/>
      <c r="AE1199" s="355"/>
      <c r="AF1199" s="94">
        <f t="shared" si="162"/>
        <v>42704</v>
      </c>
      <c r="AG1199" s="185">
        <f t="shared" si="166"/>
        <v>3.998591622767167E-3</v>
      </c>
      <c r="AH1199" s="339" t="str">
        <f>VLOOKUP(B1199,'MF PF'!A:B,2)</f>
        <v>FdMgt1</v>
      </c>
      <c r="AI1199" s="358">
        <f t="shared" si="163"/>
        <v>0</v>
      </c>
      <c r="AJ1199" s="94">
        <f t="shared" si="164"/>
        <v>42704</v>
      </c>
    </row>
    <row r="1200" spans="1:36" ht="12.75" customHeight="1">
      <c r="A1200" s="8">
        <v>42734</v>
      </c>
      <c r="B1200" s="8" t="s">
        <v>136</v>
      </c>
      <c r="C1200" s="6" t="s">
        <v>312</v>
      </c>
      <c r="D1200" s="374">
        <v>25344423.208999999</v>
      </c>
      <c r="E1200" s="9" t="e">
        <f t="shared" si="167"/>
        <v>#DIV/0!</v>
      </c>
      <c r="F1200" s="47">
        <v>22</v>
      </c>
      <c r="G1200" s="47">
        <v>0</v>
      </c>
      <c r="H1200" s="47">
        <v>0</v>
      </c>
      <c r="I1200" s="47">
        <v>0</v>
      </c>
      <c r="J1200" s="98"/>
      <c r="K1200" s="93"/>
      <c r="L1200" s="93">
        <f t="shared" si="160"/>
        <v>0</v>
      </c>
      <c r="M1200" s="95" t="e">
        <f t="shared" ca="1" si="161"/>
        <v>#DIV/0!</v>
      </c>
      <c r="N1200" s="95">
        <f>IF(P1200="Hedge Fund",IF(A1200=Summary!$AD$3,M1200-E1200,M1200),IF(A1200=Summary!$AD$3,L1200-D1200,L1200))</f>
        <v>0</v>
      </c>
      <c r="O1200" s="95">
        <f t="shared" si="165"/>
        <v>0</v>
      </c>
      <c r="P1200" s="89" t="s">
        <v>155</v>
      </c>
      <c r="Q1200" s="107">
        <v>0</v>
      </c>
      <c r="R1200" s="107">
        <v>0</v>
      </c>
      <c r="S1200" s="89">
        <v>0</v>
      </c>
      <c r="T1200" s="89">
        <v>0</v>
      </c>
      <c r="U1200" s="89"/>
      <c r="V1200" s="89"/>
      <c r="W1200" s="89"/>
      <c r="X1200" s="89"/>
      <c r="Y1200" s="89"/>
      <c r="Z1200" s="89"/>
      <c r="AA1200" s="89"/>
      <c r="AB1200" s="89"/>
      <c r="AC1200" s="355"/>
      <c r="AD1200" s="355"/>
      <c r="AE1200" s="355"/>
      <c r="AF1200" s="94">
        <f t="shared" si="162"/>
        <v>42734</v>
      </c>
      <c r="AG1200" s="185">
        <f t="shared" si="166"/>
        <v>-5.5235170677834233E-3</v>
      </c>
      <c r="AH1200" s="339" t="str">
        <f>VLOOKUP(B1200,'MF PF'!A:B,2)</f>
        <v>FdMgt1</v>
      </c>
      <c r="AI1200" s="358">
        <f t="shared" si="163"/>
        <v>0</v>
      </c>
      <c r="AJ1200" s="94">
        <f t="shared" si="164"/>
        <v>42735</v>
      </c>
    </row>
    <row r="1201" spans="1:36" ht="12.75" customHeight="1">
      <c r="A1201" s="8">
        <v>42762</v>
      </c>
      <c r="B1201" s="8" t="s">
        <v>136</v>
      </c>
      <c r="C1201" s="6" t="s">
        <v>312</v>
      </c>
      <c r="D1201" s="374">
        <v>25716790.520499997</v>
      </c>
      <c r="E1201" s="9" t="e">
        <f t="shared" si="167"/>
        <v>#DIV/0!</v>
      </c>
      <c r="F1201" s="47">
        <v>22</v>
      </c>
      <c r="G1201" s="47">
        <v>0</v>
      </c>
      <c r="H1201" s="47">
        <v>0</v>
      </c>
      <c r="I1201" s="47">
        <v>0</v>
      </c>
      <c r="J1201" s="98"/>
      <c r="K1201" s="93"/>
      <c r="L1201" s="93">
        <f t="shared" si="160"/>
        <v>0</v>
      </c>
      <c r="M1201" s="95" t="e">
        <f t="shared" ca="1" si="161"/>
        <v>#DIV/0!</v>
      </c>
      <c r="N1201" s="95">
        <f>IF(P1201="Hedge Fund",IF(A1201=Summary!$AD$3,M1201-E1201,M1201),IF(A1201=Summary!$AD$3,L1201-D1201,L1201))</f>
        <v>0</v>
      </c>
      <c r="O1201" s="95">
        <f t="shared" si="165"/>
        <v>0</v>
      </c>
      <c r="P1201" s="89" t="s">
        <v>155</v>
      </c>
      <c r="Q1201" s="107">
        <v>0</v>
      </c>
      <c r="R1201" s="107">
        <v>0</v>
      </c>
      <c r="S1201" s="89">
        <v>0</v>
      </c>
      <c r="T1201" s="89">
        <v>0</v>
      </c>
      <c r="U1201" s="89"/>
      <c r="V1201" s="89"/>
      <c r="W1201" s="89"/>
      <c r="X1201" s="89"/>
      <c r="Y1201" s="89"/>
      <c r="Z1201" s="89"/>
      <c r="AA1201" s="89"/>
      <c r="AB1201" s="89"/>
      <c r="AC1201" s="355"/>
      <c r="AD1201" s="355"/>
      <c r="AE1201" s="355"/>
      <c r="AF1201" s="94">
        <f t="shared" si="162"/>
        <v>42762</v>
      </c>
      <c r="AG1201" s="185">
        <f t="shared" si="166"/>
        <v>1.4692277998568537E-2</v>
      </c>
      <c r="AH1201" s="339" t="str">
        <f>VLOOKUP(B1201,'MF PF'!A:B,2)</f>
        <v>FdMgt1</v>
      </c>
      <c r="AI1201" s="358">
        <f t="shared" si="163"/>
        <v>0</v>
      </c>
      <c r="AJ1201" s="94">
        <f t="shared" si="164"/>
        <v>42766</v>
      </c>
    </row>
    <row r="1202" spans="1:36" ht="12.75" customHeight="1">
      <c r="A1202" s="8">
        <v>42794</v>
      </c>
      <c r="B1202" s="8" t="s">
        <v>136</v>
      </c>
      <c r="C1202" s="6" t="s">
        <v>312</v>
      </c>
      <c r="D1202" s="374">
        <v>26568093.715</v>
      </c>
      <c r="E1202" s="9" t="e">
        <f t="shared" si="167"/>
        <v>#DIV/0!</v>
      </c>
      <c r="F1202" s="47">
        <v>22</v>
      </c>
      <c r="G1202" s="47">
        <v>0</v>
      </c>
      <c r="H1202" s="47">
        <v>0</v>
      </c>
      <c r="I1202" s="47">
        <v>0</v>
      </c>
      <c r="J1202" s="98"/>
      <c r="K1202" s="93"/>
      <c r="L1202" s="93">
        <f t="shared" si="160"/>
        <v>0</v>
      </c>
      <c r="M1202" s="95" t="e">
        <f t="shared" ca="1" si="161"/>
        <v>#DIV/0!</v>
      </c>
      <c r="N1202" s="95">
        <f>IF(P1202="Hedge Fund",IF(A1202=Summary!$AD$3,M1202-E1202,M1202),IF(A1202=Summary!$AD$3,L1202-D1202,L1202))</f>
        <v>0</v>
      </c>
      <c r="O1202" s="95">
        <f t="shared" si="165"/>
        <v>0</v>
      </c>
      <c r="P1202" s="89" t="s">
        <v>155</v>
      </c>
      <c r="Q1202" s="107">
        <v>0</v>
      </c>
      <c r="R1202" s="107">
        <v>0</v>
      </c>
      <c r="S1202" s="89">
        <v>0</v>
      </c>
      <c r="T1202" s="89">
        <v>0</v>
      </c>
      <c r="U1202" s="89"/>
      <c r="V1202" s="89"/>
      <c r="W1202" s="89"/>
      <c r="X1202" s="89"/>
      <c r="Y1202" s="89"/>
      <c r="Z1202" s="89"/>
      <c r="AA1202" s="89"/>
      <c r="AB1202" s="89"/>
      <c r="AC1202" s="355"/>
      <c r="AD1202" s="355"/>
      <c r="AE1202" s="355"/>
      <c r="AF1202" s="94">
        <f t="shared" si="162"/>
        <v>42794</v>
      </c>
      <c r="AG1202" s="185">
        <f t="shared" si="166"/>
        <v>3.31030108061654E-2</v>
      </c>
      <c r="AH1202" s="339" t="str">
        <f>VLOOKUP(B1202,'MF PF'!A:B,2)</f>
        <v>FdMgt1</v>
      </c>
      <c r="AI1202" s="358">
        <f t="shared" si="163"/>
        <v>0</v>
      </c>
      <c r="AJ1202" s="94">
        <f t="shared" si="164"/>
        <v>42794</v>
      </c>
    </row>
    <row r="1203" spans="1:36" ht="12.75" customHeight="1">
      <c r="A1203" s="94">
        <v>42825</v>
      </c>
      <c r="B1203" s="94" t="s">
        <v>136</v>
      </c>
      <c r="C1203" s="358" t="s">
        <v>312</v>
      </c>
      <c r="D1203" s="374">
        <v>26211382.969999999</v>
      </c>
      <c r="E1203" s="9" t="e">
        <f t="shared" si="167"/>
        <v>#DIV/0!</v>
      </c>
      <c r="F1203" s="47">
        <v>22</v>
      </c>
      <c r="G1203" s="47">
        <v>0</v>
      </c>
      <c r="H1203" s="47">
        <v>0</v>
      </c>
      <c r="I1203" s="98">
        <v>0</v>
      </c>
      <c r="J1203" s="98"/>
      <c r="K1203" s="93"/>
      <c r="L1203" s="93">
        <f t="shared" si="160"/>
        <v>0</v>
      </c>
      <c r="M1203" s="95" t="e">
        <f t="shared" ca="1" si="161"/>
        <v>#DIV/0!</v>
      </c>
      <c r="N1203" s="95">
        <f>IF(P1203="Hedge Fund",IF(A1203=Summary!$AD$3,M1203-E1203,M1203),IF(A1203=Summary!$AD$3,L1203-D1203,L1203))</f>
        <v>0</v>
      </c>
      <c r="O1203" s="95">
        <f t="shared" si="165"/>
        <v>0</v>
      </c>
      <c r="P1203" s="89" t="s">
        <v>155</v>
      </c>
      <c r="Q1203" s="107">
        <v>0</v>
      </c>
      <c r="R1203" s="107">
        <v>0</v>
      </c>
      <c r="S1203" s="89">
        <v>0</v>
      </c>
      <c r="T1203" s="89">
        <v>0</v>
      </c>
      <c r="U1203" s="89"/>
      <c r="V1203" s="89"/>
      <c r="W1203" s="89"/>
      <c r="X1203" s="89"/>
      <c r="Y1203" s="89"/>
      <c r="Z1203" s="89"/>
      <c r="AA1203" s="89"/>
      <c r="AB1203" s="89"/>
      <c r="AC1203" s="355"/>
      <c r="AD1203" s="355"/>
      <c r="AE1203" s="355"/>
      <c r="AF1203" s="94">
        <f t="shared" si="162"/>
        <v>42825</v>
      </c>
      <c r="AG1203" s="185">
        <f t="shared" si="166"/>
        <v>-1.342628300044757E-2</v>
      </c>
      <c r="AH1203" s="339" t="str">
        <f>VLOOKUP(B1203,'MF PF'!A:B,2)</f>
        <v>FdMgt1</v>
      </c>
      <c r="AI1203" s="358">
        <f t="shared" si="163"/>
        <v>0</v>
      </c>
      <c r="AJ1203" s="94">
        <f t="shared" si="164"/>
        <v>42825</v>
      </c>
    </row>
    <row r="1204" spans="1:36" ht="12.75" customHeight="1">
      <c r="A1204" s="8">
        <v>42853</v>
      </c>
      <c r="B1204" s="94" t="s">
        <v>136</v>
      </c>
      <c r="C1204" s="358" t="s">
        <v>312</v>
      </c>
      <c r="D1204" s="374">
        <v>26208342.489999998</v>
      </c>
      <c r="E1204" s="9" t="e">
        <f t="shared" si="167"/>
        <v>#DIV/0!</v>
      </c>
      <c r="F1204" s="47">
        <v>22</v>
      </c>
      <c r="G1204" s="47">
        <v>0</v>
      </c>
      <c r="H1204" s="47">
        <v>0</v>
      </c>
      <c r="I1204" s="98">
        <v>0</v>
      </c>
      <c r="J1204" s="98"/>
      <c r="K1204" s="93"/>
      <c r="L1204" s="93">
        <f t="shared" si="160"/>
        <v>0</v>
      </c>
      <c r="M1204" s="95" t="e">
        <f t="shared" ca="1" si="161"/>
        <v>#DIV/0!</v>
      </c>
      <c r="N1204" s="95">
        <f>IF(P1204="Hedge Fund",IF(A1204=Summary!$AD$3,M1204-E1204,M1204),IF(A1204=Summary!$AD$3,L1204-D1204,L1204))</f>
        <v>0</v>
      </c>
      <c r="O1204" s="95">
        <f t="shared" si="165"/>
        <v>0</v>
      </c>
      <c r="P1204" s="89" t="s">
        <v>155</v>
      </c>
      <c r="Q1204" s="107">
        <v>0</v>
      </c>
      <c r="R1204" s="107">
        <v>0</v>
      </c>
      <c r="S1204" s="89">
        <v>0</v>
      </c>
      <c r="T1204" s="89">
        <v>0</v>
      </c>
      <c r="U1204" s="89"/>
      <c r="V1204" s="89"/>
      <c r="W1204" s="89"/>
      <c r="X1204" s="89"/>
      <c r="Y1204" s="89"/>
      <c r="Z1204" s="89"/>
      <c r="AA1204" s="89"/>
      <c r="AB1204" s="89"/>
      <c r="AC1204" s="355"/>
      <c r="AD1204" s="355"/>
      <c r="AE1204" s="355"/>
      <c r="AF1204" s="94">
        <f t="shared" si="162"/>
        <v>42853</v>
      </c>
      <c r="AG1204" s="185">
        <f t="shared" si="166"/>
        <v>-1.159984577494555E-4</v>
      </c>
      <c r="AH1204" s="339" t="str">
        <f>VLOOKUP(B1204,'MF PF'!A:B,2)</f>
        <v>FdMgt1</v>
      </c>
      <c r="AI1204" s="358">
        <f t="shared" si="163"/>
        <v>0</v>
      </c>
      <c r="AJ1204" s="94">
        <f t="shared" si="164"/>
        <v>42855</v>
      </c>
    </row>
    <row r="1205" spans="1:36" ht="12.75" customHeight="1">
      <c r="A1205" s="94">
        <v>42886</v>
      </c>
      <c r="B1205" s="94" t="s">
        <v>136</v>
      </c>
      <c r="C1205" s="358" t="s">
        <v>312</v>
      </c>
      <c r="D1205" s="374">
        <v>26280494.353500001</v>
      </c>
      <c r="E1205" s="9" t="e">
        <f t="shared" si="167"/>
        <v>#DIV/0!</v>
      </c>
      <c r="F1205" s="47">
        <v>22</v>
      </c>
      <c r="G1205" s="47">
        <v>0</v>
      </c>
      <c r="H1205" s="47">
        <v>0</v>
      </c>
      <c r="I1205" s="98">
        <v>0</v>
      </c>
      <c r="J1205" s="98"/>
      <c r="K1205" s="93"/>
      <c r="L1205" s="93">
        <f t="shared" si="160"/>
        <v>0</v>
      </c>
      <c r="M1205" s="95" t="e">
        <f t="shared" ca="1" si="161"/>
        <v>#DIV/0!</v>
      </c>
      <c r="N1205" s="95">
        <f>IF(P1205="Hedge Fund",IF(A1205=Summary!$AD$3,M1205-E1205,M1205),IF(A1205=Summary!$AD$3,L1205-D1205,L1205))</f>
        <v>0</v>
      </c>
      <c r="O1205" s="95">
        <f t="shared" si="165"/>
        <v>0</v>
      </c>
      <c r="P1205" s="89" t="s">
        <v>155</v>
      </c>
      <c r="Q1205" s="107">
        <v>0</v>
      </c>
      <c r="R1205" s="107">
        <v>0</v>
      </c>
      <c r="S1205" s="89">
        <v>0</v>
      </c>
      <c r="T1205" s="89">
        <v>0</v>
      </c>
      <c r="U1205" s="89"/>
      <c r="V1205" s="89"/>
      <c r="W1205" s="89"/>
      <c r="X1205" s="89"/>
      <c r="Y1205" s="89"/>
      <c r="Z1205" s="89"/>
      <c r="AA1205" s="89"/>
      <c r="AB1205" s="89"/>
      <c r="AC1205" s="355"/>
      <c r="AD1205" s="355"/>
      <c r="AE1205" s="355"/>
      <c r="AF1205" s="94">
        <f t="shared" si="162"/>
        <v>42886</v>
      </c>
      <c r="AG1205" s="185">
        <f t="shared" si="166"/>
        <v>2.7530113179623505E-3</v>
      </c>
      <c r="AH1205" s="339" t="str">
        <f>VLOOKUP(B1205,'MF PF'!A:B,2)</f>
        <v>FdMgt1</v>
      </c>
      <c r="AI1205" s="358">
        <f t="shared" si="163"/>
        <v>0</v>
      </c>
      <c r="AJ1205" s="94">
        <f t="shared" si="164"/>
        <v>42886</v>
      </c>
    </row>
    <row r="1206" spans="1:36" ht="12.75" customHeight="1">
      <c r="A1206" s="94">
        <v>42916</v>
      </c>
      <c r="B1206" s="94" t="s">
        <v>136</v>
      </c>
      <c r="C1206" s="358" t="s">
        <v>312</v>
      </c>
      <c r="D1206" s="374">
        <v>26475037.550999999</v>
      </c>
      <c r="E1206" s="9" t="e">
        <f t="shared" si="167"/>
        <v>#DIV/0!</v>
      </c>
      <c r="F1206" s="47">
        <v>22</v>
      </c>
      <c r="G1206" s="47">
        <v>0</v>
      </c>
      <c r="H1206" s="47">
        <v>0</v>
      </c>
      <c r="I1206" s="98">
        <v>0</v>
      </c>
      <c r="J1206" s="98"/>
      <c r="L1206" s="93">
        <f t="shared" si="160"/>
        <v>0</v>
      </c>
      <c r="M1206" s="95" t="e">
        <f t="shared" ca="1" si="161"/>
        <v>#DIV/0!</v>
      </c>
      <c r="N1206" s="95">
        <f>IF(P1206="Hedge Fund",IF(A1206=Summary!$AD$3,M1206-E1206,M1206),IF(A1206=Summary!$AD$3,L1206-D1206,L1206))</f>
        <v>0</v>
      </c>
      <c r="O1206" s="95">
        <f t="shared" si="165"/>
        <v>0</v>
      </c>
      <c r="P1206" s="89" t="s">
        <v>155</v>
      </c>
      <c r="Q1206" s="107">
        <v>0</v>
      </c>
      <c r="R1206" s="107">
        <v>0</v>
      </c>
      <c r="S1206" s="89">
        <v>0</v>
      </c>
      <c r="T1206" s="89">
        <v>0</v>
      </c>
      <c r="U1206" s="89"/>
      <c r="V1206" s="89"/>
      <c r="W1206" s="89"/>
      <c r="X1206" s="89"/>
      <c r="Y1206" s="89"/>
      <c r="Z1206" s="89"/>
      <c r="AA1206" s="89"/>
      <c r="AB1206" s="89"/>
      <c r="AC1206" s="355"/>
      <c r="AD1206" s="355"/>
      <c r="AE1206" s="355"/>
      <c r="AF1206" s="94">
        <f t="shared" si="162"/>
        <v>42916</v>
      </c>
      <c r="AG1206" s="185">
        <f t="shared" si="166"/>
        <v>7.4025699396362832E-3</v>
      </c>
      <c r="AH1206" s="339" t="str">
        <f>VLOOKUP(B1206,'MF PF'!A:B,2)</f>
        <v>FdMgt1</v>
      </c>
      <c r="AI1206" s="358">
        <f t="shared" si="163"/>
        <v>0</v>
      </c>
      <c r="AJ1206" s="94">
        <f t="shared" si="164"/>
        <v>42916</v>
      </c>
    </row>
    <row r="1207" spans="1:36" ht="12.75" customHeight="1">
      <c r="A1207" s="94">
        <v>42947</v>
      </c>
      <c r="B1207" s="94" t="s">
        <v>136</v>
      </c>
      <c r="C1207" s="358" t="s">
        <v>312</v>
      </c>
      <c r="D1207" s="374">
        <v>26952415.592999998</v>
      </c>
      <c r="E1207" s="9" t="e">
        <f t="shared" si="167"/>
        <v>#DIV/0!</v>
      </c>
      <c r="F1207" s="98">
        <v>22</v>
      </c>
      <c r="G1207" s="98">
        <v>0</v>
      </c>
      <c r="H1207" s="98">
        <v>0</v>
      </c>
      <c r="I1207" s="98">
        <v>0</v>
      </c>
      <c r="J1207" s="98"/>
      <c r="L1207" s="93">
        <f t="shared" si="160"/>
        <v>0</v>
      </c>
      <c r="M1207" s="95" t="e">
        <f t="shared" ca="1" si="161"/>
        <v>#DIV/0!</v>
      </c>
      <c r="N1207" s="95">
        <f>IF(P1207="Hedge Fund",IF(A1207=Summary!$AD$3,M1207-E1207,M1207),IF(A1207=Summary!$AD$3,L1207-D1207,L1207))</f>
        <v>0</v>
      </c>
      <c r="O1207" s="95">
        <f t="shared" si="165"/>
        <v>0</v>
      </c>
      <c r="P1207" s="107" t="s">
        <v>155</v>
      </c>
      <c r="Q1207" s="107">
        <v>0</v>
      </c>
      <c r="R1207" s="107">
        <v>0</v>
      </c>
      <c r="S1207" s="107">
        <v>0</v>
      </c>
      <c r="T1207" s="107">
        <v>0</v>
      </c>
      <c r="U1207" s="107"/>
      <c r="V1207" s="107"/>
      <c r="W1207" s="107"/>
      <c r="X1207" s="107"/>
      <c r="Y1207" s="107"/>
      <c r="Z1207" s="107"/>
      <c r="AA1207" s="107"/>
      <c r="AB1207" s="107"/>
      <c r="AC1207" s="355"/>
      <c r="AD1207" s="355"/>
      <c r="AE1207" s="355"/>
      <c r="AF1207" s="94">
        <f t="shared" si="162"/>
        <v>42947</v>
      </c>
      <c r="AG1207" s="185">
        <f t="shared" si="166"/>
        <v>1.8031250799187992E-2</v>
      </c>
      <c r="AH1207" s="339" t="str">
        <f>VLOOKUP(B1207,'MF PF'!A:B,2)</f>
        <v>FdMgt1</v>
      </c>
      <c r="AI1207" s="358">
        <f t="shared" si="163"/>
        <v>0</v>
      </c>
      <c r="AJ1207" s="94">
        <f t="shared" si="164"/>
        <v>42947</v>
      </c>
    </row>
    <row r="1208" spans="1:36" ht="12.75" customHeight="1">
      <c r="A1208" s="8">
        <v>42978</v>
      </c>
      <c r="B1208" s="94" t="s">
        <v>136</v>
      </c>
      <c r="C1208" s="92" t="s">
        <v>312</v>
      </c>
      <c r="D1208" s="374">
        <v>26969400</v>
      </c>
      <c r="E1208" s="9" t="e">
        <f t="shared" si="167"/>
        <v>#DIV/0!</v>
      </c>
      <c r="F1208" s="98">
        <v>22</v>
      </c>
      <c r="G1208" s="98">
        <v>0</v>
      </c>
      <c r="H1208" s="98">
        <v>0</v>
      </c>
      <c r="I1208" s="98">
        <v>0</v>
      </c>
      <c r="J1208" s="98"/>
      <c r="L1208" s="93">
        <f t="shared" si="160"/>
        <v>0</v>
      </c>
      <c r="M1208" s="95" t="e">
        <f t="shared" ca="1" si="161"/>
        <v>#DIV/0!</v>
      </c>
      <c r="N1208" s="95">
        <f>IF(P1208="Hedge Fund",IF(A1208=Summary!$AD$3,M1208-E1208,M1208),IF(A1208=Summary!$AD$3,L1208-D1208,L1208))</f>
        <v>0</v>
      </c>
      <c r="O1208" s="95">
        <f t="shared" si="165"/>
        <v>0</v>
      </c>
      <c r="P1208" s="107" t="s">
        <v>155</v>
      </c>
      <c r="Q1208" s="107">
        <v>0</v>
      </c>
      <c r="R1208" s="107">
        <v>0</v>
      </c>
      <c r="S1208" s="107">
        <v>0</v>
      </c>
      <c r="T1208" s="107">
        <v>0</v>
      </c>
      <c r="U1208" s="107"/>
      <c r="V1208" s="107"/>
      <c r="W1208" s="107"/>
      <c r="X1208" s="107"/>
      <c r="Y1208" s="107"/>
      <c r="Z1208" s="107"/>
      <c r="AA1208" s="107"/>
      <c r="AB1208" s="107"/>
      <c r="AC1208" s="355"/>
      <c r="AD1208" s="355"/>
      <c r="AE1208" s="355"/>
      <c r="AF1208" s="94">
        <f t="shared" si="162"/>
        <v>42978</v>
      </c>
      <c r="AG1208" s="185">
        <f t="shared" si="166"/>
        <v>6.3016270068239066E-4</v>
      </c>
      <c r="AH1208" s="339" t="str">
        <f>VLOOKUP(B1208,'MF PF'!A:B,2)</f>
        <v>FdMgt1</v>
      </c>
      <c r="AI1208" s="358">
        <f t="shared" si="163"/>
        <v>0</v>
      </c>
      <c r="AJ1208" s="94">
        <f t="shared" si="164"/>
        <v>42978</v>
      </c>
    </row>
    <row r="1209" spans="1:36" ht="12.75" customHeight="1">
      <c r="A1209" s="8">
        <v>43007</v>
      </c>
      <c r="B1209" s="94" t="s">
        <v>136</v>
      </c>
      <c r="C1209" s="358" t="s">
        <v>312</v>
      </c>
      <c r="D1209" s="374">
        <v>26901638.79241142</v>
      </c>
      <c r="E1209" s="95" t="e">
        <f t="shared" si="167"/>
        <v>#DIV/0!</v>
      </c>
      <c r="F1209" s="47">
        <v>22</v>
      </c>
      <c r="G1209" s="47">
        <v>0</v>
      </c>
      <c r="H1209" s="47">
        <v>0</v>
      </c>
      <c r="I1209" s="98">
        <v>0</v>
      </c>
      <c r="J1209" s="98"/>
      <c r="L1209" s="93">
        <f t="shared" si="160"/>
        <v>0</v>
      </c>
      <c r="M1209" s="95" t="e">
        <f t="shared" ca="1" si="161"/>
        <v>#DIV/0!</v>
      </c>
      <c r="N1209" s="95">
        <f>IF(P1209="Hedge Fund",IF(A1209=Summary!$AD$3,M1209-E1209,M1209),IF(A1209=Summary!$AD$3,L1209-D1209,L1209))</f>
        <v>0</v>
      </c>
      <c r="O1209" s="95">
        <f t="shared" si="165"/>
        <v>0</v>
      </c>
      <c r="P1209" s="89" t="s">
        <v>155</v>
      </c>
      <c r="Q1209" s="107">
        <v>0</v>
      </c>
      <c r="R1209" s="107">
        <v>0</v>
      </c>
      <c r="S1209" s="89">
        <v>0</v>
      </c>
      <c r="T1209" s="89">
        <v>0</v>
      </c>
      <c r="U1209" s="89"/>
      <c r="V1209" s="89"/>
      <c r="W1209" s="89"/>
      <c r="X1209" s="89"/>
      <c r="Y1209" s="89"/>
      <c r="Z1209" s="89"/>
      <c r="AA1209" s="89"/>
      <c r="AB1209" s="89"/>
      <c r="AC1209" s="355"/>
      <c r="AD1209" s="355"/>
      <c r="AE1209" s="355"/>
      <c r="AF1209" s="94">
        <f t="shared" si="162"/>
        <v>43007</v>
      </c>
      <c r="AG1209" s="185">
        <f t="shared" si="166"/>
        <v>-2.5125218799297855E-3</v>
      </c>
      <c r="AH1209" s="339" t="str">
        <f>VLOOKUP(B1209,'MF PF'!A:B,2)</f>
        <v>FdMgt1</v>
      </c>
      <c r="AI1209" s="358">
        <f t="shared" si="163"/>
        <v>0</v>
      </c>
      <c r="AJ1209" s="94">
        <f t="shared" si="164"/>
        <v>43008</v>
      </c>
    </row>
    <row r="1210" spans="1:36" ht="12.75" customHeight="1">
      <c r="A1210" s="8">
        <v>43039</v>
      </c>
      <c r="B1210" s="94" t="s">
        <v>136</v>
      </c>
      <c r="C1210" s="358" t="s">
        <v>312</v>
      </c>
      <c r="D1210" s="374">
        <v>27071300</v>
      </c>
      <c r="E1210" s="95" t="e">
        <f t="shared" si="167"/>
        <v>#DIV/0!</v>
      </c>
      <c r="F1210" s="47">
        <v>22</v>
      </c>
      <c r="G1210" s="47">
        <v>0</v>
      </c>
      <c r="H1210" s="47">
        <v>0</v>
      </c>
      <c r="I1210" s="98">
        <v>0</v>
      </c>
      <c r="J1210" s="98"/>
      <c r="L1210" s="93">
        <f t="shared" si="160"/>
        <v>0</v>
      </c>
      <c r="M1210" s="95" t="e">
        <f t="shared" ca="1" si="161"/>
        <v>#DIV/0!</v>
      </c>
      <c r="N1210" s="95">
        <f>IF(P1210="Hedge Fund",IF(A1210=Summary!$AD$3,M1210-E1210,M1210),IF(A1210=Summary!$AD$3,L1210-D1210,L1210))</f>
        <v>0</v>
      </c>
      <c r="O1210" s="95">
        <f t="shared" si="165"/>
        <v>0</v>
      </c>
      <c r="P1210" s="89" t="s">
        <v>155</v>
      </c>
      <c r="Q1210" s="107">
        <v>0</v>
      </c>
      <c r="R1210" s="107">
        <v>0</v>
      </c>
      <c r="S1210" s="89">
        <v>0</v>
      </c>
      <c r="T1210" s="89">
        <v>0</v>
      </c>
      <c r="U1210" s="89"/>
      <c r="V1210" s="89"/>
      <c r="W1210" s="89"/>
      <c r="X1210" s="89"/>
      <c r="Y1210" s="89"/>
      <c r="Z1210" s="89"/>
      <c r="AA1210" s="89"/>
      <c r="AB1210" s="89"/>
      <c r="AC1210" s="355"/>
      <c r="AD1210" s="355"/>
      <c r="AE1210" s="355"/>
      <c r="AF1210" s="94">
        <f t="shared" si="162"/>
        <v>43039</v>
      </c>
      <c r="AG1210" s="185">
        <f t="shared" si="166"/>
        <v>6.3067238727640973E-3</v>
      </c>
      <c r="AH1210" s="339" t="str">
        <f>VLOOKUP(B1210,'MF PF'!A:B,2)</f>
        <v>FdMgt1</v>
      </c>
      <c r="AI1210" s="358">
        <f t="shared" si="163"/>
        <v>0</v>
      </c>
      <c r="AJ1210" s="94">
        <f t="shared" si="164"/>
        <v>43039</v>
      </c>
    </row>
    <row r="1211" spans="1:36" ht="12.75" customHeight="1">
      <c r="A1211" s="94">
        <v>43069</v>
      </c>
      <c r="B1211" s="94" t="s">
        <v>136</v>
      </c>
      <c r="C1211" s="358" t="s">
        <v>312</v>
      </c>
      <c r="D1211" s="374">
        <v>27072500</v>
      </c>
      <c r="E1211" s="9" t="e">
        <f t="shared" si="167"/>
        <v>#DIV/0!</v>
      </c>
      <c r="F1211" s="47">
        <v>22</v>
      </c>
      <c r="G1211" s="47">
        <v>0</v>
      </c>
      <c r="H1211" s="47">
        <v>0</v>
      </c>
      <c r="I1211" s="47">
        <v>0</v>
      </c>
      <c r="J1211" s="98"/>
      <c r="L1211" s="93">
        <f t="shared" si="160"/>
        <v>0</v>
      </c>
      <c r="M1211" s="95" t="e">
        <f t="shared" ca="1" si="161"/>
        <v>#DIV/0!</v>
      </c>
      <c r="N1211" s="95">
        <f>IF(P1211="Hedge Fund",IF(A1211=Summary!$AD$3,M1211-E1211,M1211),IF(A1211=Summary!$AD$3,L1211-D1211,L1211))</f>
        <v>0</v>
      </c>
      <c r="O1211" s="95">
        <f t="shared" si="165"/>
        <v>0</v>
      </c>
      <c r="P1211" s="89" t="s">
        <v>155</v>
      </c>
      <c r="Q1211" s="107">
        <v>0</v>
      </c>
      <c r="R1211" s="107">
        <v>0</v>
      </c>
      <c r="S1211" s="89">
        <v>0</v>
      </c>
      <c r="T1211" s="89">
        <v>0</v>
      </c>
      <c r="U1211" s="89"/>
      <c r="V1211" s="89"/>
      <c r="W1211" s="89"/>
      <c r="X1211" s="89"/>
      <c r="Y1211" s="89"/>
      <c r="Z1211" s="89"/>
      <c r="AA1211" s="89"/>
      <c r="AB1211" s="89"/>
      <c r="AC1211" s="355"/>
      <c r="AD1211" s="355"/>
      <c r="AE1211" s="355"/>
      <c r="AF1211" s="94">
        <f t="shared" si="162"/>
        <v>43069</v>
      </c>
      <c r="AG1211" s="185">
        <f t="shared" si="166"/>
        <v>4.4327387306752897E-5</v>
      </c>
      <c r="AH1211" s="339" t="str">
        <f>VLOOKUP(B1211,'MF PF'!A:B,2)</f>
        <v>FdMgt1</v>
      </c>
      <c r="AI1211" s="358">
        <f t="shared" si="163"/>
        <v>0</v>
      </c>
      <c r="AJ1211" s="94">
        <f t="shared" si="164"/>
        <v>43069</v>
      </c>
    </row>
    <row r="1212" spans="1:36" ht="12.75" customHeight="1">
      <c r="A1212" s="94">
        <v>43098</v>
      </c>
      <c r="B1212" s="94" t="s">
        <v>136</v>
      </c>
      <c r="C1212" s="358" t="s">
        <v>312</v>
      </c>
      <c r="D1212" s="374">
        <v>28347100</v>
      </c>
      <c r="E1212" s="9" t="e">
        <f t="shared" si="167"/>
        <v>#DIV/0!</v>
      </c>
      <c r="F1212" s="47">
        <v>22</v>
      </c>
      <c r="G1212" s="47">
        <v>0</v>
      </c>
      <c r="H1212" s="47">
        <v>0</v>
      </c>
      <c r="I1212" s="47">
        <v>0</v>
      </c>
      <c r="J1212" s="98"/>
      <c r="L1212" s="93">
        <f t="shared" si="160"/>
        <v>0</v>
      </c>
      <c r="M1212" s="95" t="e">
        <f t="shared" ca="1" si="161"/>
        <v>#DIV/0!</v>
      </c>
      <c r="N1212" s="95">
        <f>IF(P1212="Hedge Fund",IF(A1212=Summary!$AD$3,M1212-E1212,M1212),IF(A1212=Summary!$AD$3,L1212-D1212,L1212))</f>
        <v>0</v>
      </c>
      <c r="O1212" s="95">
        <f t="shared" si="165"/>
        <v>0</v>
      </c>
      <c r="P1212" s="89" t="s">
        <v>155</v>
      </c>
      <c r="Q1212" s="107">
        <v>0</v>
      </c>
      <c r="R1212" s="107">
        <v>0</v>
      </c>
      <c r="S1212" s="89">
        <v>0</v>
      </c>
      <c r="T1212" s="89">
        <v>0</v>
      </c>
      <c r="U1212" s="89"/>
      <c r="V1212" s="89"/>
      <c r="W1212" s="89"/>
      <c r="X1212" s="89"/>
      <c r="Y1212" s="89"/>
      <c r="Z1212" s="89"/>
      <c r="AA1212" s="89"/>
      <c r="AB1212" s="89"/>
      <c r="AC1212" s="355"/>
      <c r="AD1212" s="355"/>
      <c r="AE1212" s="355"/>
      <c r="AF1212" s="94">
        <f t="shared" si="162"/>
        <v>43098</v>
      </c>
      <c r="AG1212" s="185">
        <f t="shared" si="166"/>
        <v>4.7080986240650047E-2</v>
      </c>
      <c r="AH1212" s="339" t="str">
        <f>VLOOKUP(B1212,'MF PF'!A:B,2)</f>
        <v>FdMgt1</v>
      </c>
      <c r="AI1212" s="358">
        <f t="shared" si="163"/>
        <v>0</v>
      </c>
      <c r="AJ1212" s="94">
        <f t="shared" si="164"/>
        <v>43100</v>
      </c>
    </row>
    <row r="1213" spans="1:36" ht="12.75" customHeight="1">
      <c r="A1213" s="8">
        <v>43131</v>
      </c>
      <c r="B1213" s="94" t="s">
        <v>136</v>
      </c>
      <c r="C1213" s="6" t="s">
        <v>312</v>
      </c>
      <c r="D1213" s="374">
        <v>28775200</v>
      </c>
      <c r="E1213" s="9" t="e">
        <f t="shared" si="167"/>
        <v>#DIV/0!</v>
      </c>
      <c r="F1213" s="98">
        <v>22</v>
      </c>
      <c r="G1213" s="98">
        <v>0</v>
      </c>
      <c r="H1213" s="98">
        <v>0</v>
      </c>
      <c r="I1213" s="98">
        <v>0</v>
      </c>
      <c r="J1213" s="98"/>
      <c r="L1213" s="93">
        <f t="shared" si="160"/>
        <v>0</v>
      </c>
      <c r="M1213" s="95" t="e">
        <f t="shared" ca="1" si="161"/>
        <v>#DIV/0!</v>
      </c>
      <c r="N1213" s="95">
        <f>IF(P1213="Hedge Fund",IF(A1213=Summary!$AD$3,M1213-E1213,M1213),IF(A1213=Summary!$AD$3,L1213-D1213,L1213))</f>
        <v>0</v>
      </c>
      <c r="O1213" s="95">
        <f t="shared" si="165"/>
        <v>0</v>
      </c>
      <c r="P1213" s="107" t="s">
        <v>155</v>
      </c>
      <c r="Q1213" s="107">
        <v>0</v>
      </c>
      <c r="R1213" s="107">
        <v>0</v>
      </c>
      <c r="S1213" s="107">
        <v>0</v>
      </c>
      <c r="T1213" s="107">
        <v>0</v>
      </c>
      <c r="U1213" s="107"/>
      <c r="V1213" s="107"/>
      <c r="W1213" s="107"/>
      <c r="X1213" s="107"/>
      <c r="Y1213" s="107"/>
      <c r="Z1213" s="107"/>
      <c r="AA1213" s="107"/>
      <c r="AB1213" s="107"/>
      <c r="AC1213" s="355"/>
      <c r="AD1213" s="355"/>
      <c r="AE1213" s="355"/>
      <c r="AF1213" s="94">
        <f t="shared" si="162"/>
        <v>43131</v>
      </c>
      <c r="AG1213" s="185">
        <f t="shared" si="166"/>
        <v>1.5102073933488835E-2</v>
      </c>
      <c r="AH1213" s="339" t="str">
        <f>VLOOKUP(B1213,'MF PF'!A:B,2)</f>
        <v>FdMgt1</v>
      </c>
      <c r="AI1213" s="358">
        <f t="shared" si="163"/>
        <v>0</v>
      </c>
      <c r="AJ1213" s="94">
        <f t="shared" si="164"/>
        <v>43131</v>
      </c>
    </row>
    <row r="1214" spans="1:36" ht="12.75" customHeight="1">
      <c r="A1214" s="8">
        <v>43159</v>
      </c>
      <c r="B1214" s="94" t="s">
        <v>136</v>
      </c>
      <c r="C1214" s="6" t="s">
        <v>312</v>
      </c>
      <c r="D1214" s="374">
        <v>29052532.109999999</v>
      </c>
      <c r="E1214" s="9" t="e">
        <f t="shared" si="167"/>
        <v>#DIV/0!</v>
      </c>
      <c r="F1214" s="98">
        <v>22</v>
      </c>
      <c r="G1214" s="98">
        <v>0</v>
      </c>
      <c r="H1214" s="98">
        <v>0</v>
      </c>
      <c r="I1214" s="98">
        <v>0</v>
      </c>
      <c r="J1214" s="98"/>
      <c r="L1214" s="93">
        <f t="shared" si="160"/>
        <v>0</v>
      </c>
      <c r="M1214" s="95" t="e">
        <f t="shared" ca="1" si="161"/>
        <v>#DIV/0!</v>
      </c>
      <c r="N1214" s="95">
        <f>IF(P1214="Hedge Fund",IF(A1214=Summary!$AD$3,M1214-E1214,M1214),IF(A1214=Summary!$AD$3,L1214-D1214,L1214))</f>
        <v>0</v>
      </c>
      <c r="O1214" s="95">
        <f t="shared" si="165"/>
        <v>0</v>
      </c>
      <c r="P1214" s="107" t="s">
        <v>155</v>
      </c>
      <c r="Q1214" s="107">
        <v>0</v>
      </c>
      <c r="R1214" s="107">
        <v>0</v>
      </c>
      <c r="S1214" s="107">
        <v>0</v>
      </c>
      <c r="T1214" s="107">
        <v>0</v>
      </c>
      <c r="U1214" s="107"/>
      <c r="V1214" s="107"/>
      <c r="W1214" s="107"/>
      <c r="X1214" s="107"/>
      <c r="Y1214" s="107"/>
      <c r="Z1214" s="107"/>
      <c r="AA1214" s="107"/>
      <c r="AB1214" s="107"/>
      <c r="AC1214" s="355"/>
      <c r="AD1214" s="355"/>
      <c r="AE1214" s="355"/>
      <c r="AF1214" s="94">
        <f t="shared" si="162"/>
        <v>43159</v>
      </c>
      <c r="AG1214" s="185">
        <f t="shared" si="166"/>
        <v>9.6378864438821932E-3</v>
      </c>
      <c r="AH1214" s="339" t="str">
        <f>VLOOKUP(B1214,'MF PF'!A:B,2)</f>
        <v>FdMgt1</v>
      </c>
      <c r="AI1214" s="358">
        <f t="shared" si="163"/>
        <v>0</v>
      </c>
      <c r="AJ1214" s="94">
        <f t="shared" si="164"/>
        <v>43159</v>
      </c>
    </row>
    <row r="1215" spans="1:36" ht="12.75" customHeight="1">
      <c r="A1215" s="94">
        <v>43188</v>
      </c>
      <c r="B1215" s="8" t="s">
        <v>136</v>
      </c>
      <c r="C1215" s="358" t="s">
        <v>312</v>
      </c>
      <c r="D1215" s="374">
        <v>29298788.057999998</v>
      </c>
      <c r="E1215" s="9" t="e">
        <f t="shared" si="167"/>
        <v>#DIV/0!</v>
      </c>
      <c r="F1215" s="47">
        <v>22</v>
      </c>
      <c r="G1215" s="47">
        <v>0</v>
      </c>
      <c r="H1215" s="47">
        <v>0</v>
      </c>
      <c r="I1215" s="47">
        <v>0</v>
      </c>
      <c r="J1215" s="98"/>
      <c r="L1215" s="93">
        <f t="shared" si="160"/>
        <v>0</v>
      </c>
      <c r="M1215" s="95" t="e">
        <f t="shared" ca="1" si="161"/>
        <v>#DIV/0!</v>
      </c>
      <c r="N1215" s="95">
        <f>IF(P1215="Hedge Fund",IF(A1215=Summary!$AD$3,M1215-E1215,M1215),IF(A1215=Summary!$AD$3,L1215-D1215,L1215))</f>
        <v>0</v>
      </c>
      <c r="O1215" s="95">
        <f t="shared" si="165"/>
        <v>0</v>
      </c>
      <c r="P1215" s="89" t="s">
        <v>155</v>
      </c>
      <c r="Q1215" s="109">
        <v>0.113549272084965</v>
      </c>
      <c r="R1215" s="109">
        <v>1.2880214219999999</v>
      </c>
      <c r="S1215" s="89">
        <v>2.5806652746583046E-3</v>
      </c>
      <c r="T1215" s="89">
        <v>0</v>
      </c>
      <c r="U1215" s="89"/>
      <c r="V1215" s="89"/>
      <c r="W1215" s="89"/>
      <c r="X1215" s="89"/>
      <c r="Y1215" s="89"/>
      <c r="Z1215" s="89"/>
      <c r="AA1215" s="89"/>
      <c r="AB1215" s="89"/>
      <c r="AC1215" s="355"/>
      <c r="AD1215" s="355"/>
      <c r="AE1215" s="355"/>
      <c r="AF1215" s="94">
        <f t="shared" si="162"/>
        <v>43188</v>
      </c>
      <c r="AG1215" s="185">
        <f t="shared" si="166"/>
        <v>8.4762301291885223E-3</v>
      </c>
      <c r="AH1215" s="339" t="str">
        <f>VLOOKUP(B1215,'MF PF'!A:B,2)</f>
        <v>FdMgt1</v>
      </c>
      <c r="AI1215" s="358">
        <f t="shared" si="163"/>
        <v>0</v>
      </c>
      <c r="AJ1215" s="94">
        <f t="shared" si="164"/>
        <v>43190</v>
      </c>
    </row>
    <row r="1216" spans="1:36" ht="12.75" customHeight="1">
      <c r="A1216" s="8">
        <v>43220</v>
      </c>
      <c r="B1216" s="8" t="s">
        <v>136</v>
      </c>
      <c r="C1216" s="6" t="s">
        <v>312</v>
      </c>
      <c r="D1216" s="374">
        <v>29651132.1065</v>
      </c>
      <c r="E1216" s="9" t="e">
        <f t="shared" si="167"/>
        <v>#DIV/0!</v>
      </c>
      <c r="F1216" s="47">
        <v>22</v>
      </c>
      <c r="G1216" s="47">
        <v>0</v>
      </c>
      <c r="H1216" s="47">
        <v>0</v>
      </c>
      <c r="I1216" s="47">
        <v>0</v>
      </c>
      <c r="J1216" s="98"/>
      <c r="L1216" s="93">
        <f t="shared" si="160"/>
        <v>0</v>
      </c>
      <c r="M1216" s="95" t="e">
        <f t="shared" ca="1" si="161"/>
        <v>#DIV/0!</v>
      </c>
      <c r="N1216" s="95">
        <f>IF(P1216="Hedge Fund",IF(A1216=Summary!$AD$3,M1216-E1216,M1216),IF(A1216=Summary!$AD$3,L1216-D1216,L1216))</f>
        <v>0</v>
      </c>
      <c r="O1216" s="95">
        <f t="shared" si="165"/>
        <v>0</v>
      </c>
      <c r="P1216" s="89" t="s">
        <v>155</v>
      </c>
      <c r="Q1216" s="109">
        <v>0</v>
      </c>
      <c r="R1216" s="109">
        <v>1.350199784</v>
      </c>
      <c r="S1216" s="89">
        <v>0</v>
      </c>
      <c r="T1216" s="89">
        <v>0</v>
      </c>
      <c r="U1216" s="89"/>
      <c r="V1216" s="89"/>
      <c r="W1216" s="89"/>
      <c r="X1216" s="89"/>
      <c r="Y1216" s="89"/>
      <c r="Z1216" s="89"/>
      <c r="AA1216" s="89"/>
      <c r="AB1216" s="89"/>
      <c r="AC1216" s="355"/>
      <c r="AD1216" s="355"/>
      <c r="AE1216" s="355"/>
      <c r="AF1216" s="94">
        <f t="shared" si="162"/>
        <v>43220</v>
      </c>
      <c r="AG1216" s="185">
        <f t="shared" si="166"/>
        <v>1.2025891576214587E-2</v>
      </c>
      <c r="AH1216" s="339" t="str">
        <f>VLOOKUP(B1216,'MF PF'!A:B,2)</f>
        <v>FdMgt1</v>
      </c>
      <c r="AI1216" s="358">
        <f t="shared" si="163"/>
        <v>0</v>
      </c>
      <c r="AJ1216" s="94">
        <f t="shared" si="164"/>
        <v>43220</v>
      </c>
    </row>
    <row r="1217" spans="1:36" ht="12.75" customHeight="1">
      <c r="A1217" s="8">
        <v>43251</v>
      </c>
      <c r="B1217" s="358" t="s">
        <v>136</v>
      </c>
      <c r="C1217" s="94" t="s">
        <v>312</v>
      </c>
      <c r="D1217" s="374">
        <v>29837704.938999999</v>
      </c>
      <c r="E1217" s="9" t="e">
        <f t="shared" si="167"/>
        <v>#DIV/0!</v>
      </c>
      <c r="F1217" s="47">
        <v>22</v>
      </c>
      <c r="G1217" s="47">
        <v>0</v>
      </c>
      <c r="H1217" s="47">
        <v>0</v>
      </c>
      <c r="I1217" s="110">
        <v>0</v>
      </c>
      <c r="J1217" s="110"/>
      <c r="L1217" s="93">
        <f t="shared" si="160"/>
        <v>0</v>
      </c>
      <c r="M1217" s="95" t="e">
        <f t="shared" ca="1" si="161"/>
        <v>#DIV/0!</v>
      </c>
      <c r="N1217" s="95">
        <f>IF(P1217="Hedge Fund",IF(A1217=Summary!$AD$3,M1217-E1217,M1217),IF(A1217=Summary!$AD$3,L1217-D1217,L1217))</f>
        <v>0</v>
      </c>
      <c r="O1217" s="95">
        <f t="shared" si="165"/>
        <v>0</v>
      </c>
      <c r="P1217" s="89" t="s">
        <v>155</v>
      </c>
      <c r="Q1217" s="109">
        <v>0</v>
      </c>
      <c r="R1217" s="109">
        <v>1.3831244</v>
      </c>
      <c r="S1217" s="89">
        <v>0</v>
      </c>
      <c r="T1217" s="89">
        <v>0</v>
      </c>
      <c r="U1217" s="89"/>
      <c r="V1217" s="89"/>
      <c r="W1217" s="89"/>
      <c r="X1217" s="89"/>
      <c r="Y1217" s="89"/>
      <c r="Z1217" s="89"/>
      <c r="AA1217" s="89"/>
      <c r="AB1217" s="89"/>
      <c r="AC1217" s="355"/>
      <c r="AD1217" s="355"/>
      <c r="AE1217" s="355"/>
      <c r="AF1217" s="94">
        <f t="shared" si="162"/>
        <v>43251</v>
      </c>
      <c r="AG1217" s="185">
        <f t="shared" si="166"/>
        <v>6.2922667448201963E-3</v>
      </c>
      <c r="AH1217" s="339" t="str">
        <f>VLOOKUP(B1217,'MF PF'!A:B,2)</f>
        <v>FdMgt1</v>
      </c>
      <c r="AI1217" s="358">
        <f t="shared" si="163"/>
        <v>0</v>
      </c>
      <c r="AJ1217" s="94">
        <f t="shared" si="164"/>
        <v>43251</v>
      </c>
    </row>
    <row r="1218" spans="1:36" ht="12.75" customHeight="1">
      <c r="A1218" s="8">
        <v>43280</v>
      </c>
      <c r="B1218" s="358" t="s">
        <v>136</v>
      </c>
      <c r="C1218" s="94" t="s">
        <v>312</v>
      </c>
      <c r="D1218" s="374">
        <v>29893114.5605</v>
      </c>
      <c r="E1218" s="9" t="e">
        <f t="shared" si="167"/>
        <v>#DIV/0!</v>
      </c>
      <c r="F1218" s="47">
        <v>22</v>
      </c>
      <c r="G1218" s="47">
        <v>0</v>
      </c>
      <c r="H1218" s="47">
        <v>0</v>
      </c>
      <c r="I1218" s="110">
        <v>0</v>
      </c>
      <c r="J1218" s="110"/>
      <c r="K1218" s="93"/>
      <c r="L1218" s="93">
        <f t="shared" si="160"/>
        <v>0</v>
      </c>
      <c r="M1218" s="95" t="e">
        <f t="shared" ca="1" si="161"/>
        <v>#DIV/0!</v>
      </c>
      <c r="N1218" s="95">
        <f>IF(P1218="Hedge Fund",IF(A1218=Summary!$AD$3,M1218-E1218,M1218),IF(A1218=Summary!$AD$3,L1218-D1218,L1218))</f>
        <v>0</v>
      </c>
      <c r="O1218" s="95">
        <f t="shared" si="165"/>
        <v>0</v>
      </c>
      <c r="P1218" s="89" t="s">
        <v>155</v>
      </c>
      <c r="Q1218" s="109">
        <f>0.01078524+0.10795053</f>
        <v>0.11873577</v>
      </c>
      <c r="R1218" s="109">
        <v>1.39290257</v>
      </c>
      <c r="S1218" s="89">
        <v>2.6985404114846178E-3</v>
      </c>
      <c r="T1218" s="89">
        <v>0</v>
      </c>
      <c r="U1218" s="89"/>
      <c r="V1218" s="89"/>
      <c r="W1218" s="89"/>
      <c r="X1218" s="89"/>
      <c r="Y1218" s="89"/>
      <c r="Z1218" s="89"/>
      <c r="AA1218" s="89"/>
      <c r="AB1218" s="89"/>
      <c r="AC1218" s="355"/>
      <c r="AD1218" s="355"/>
      <c r="AE1218" s="355"/>
      <c r="AF1218" s="94">
        <f t="shared" si="162"/>
        <v>43280</v>
      </c>
      <c r="AG1218" s="185">
        <f t="shared" si="166"/>
        <v>1.8570336295395951E-3</v>
      </c>
      <c r="AH1218" s="339" t="str">
        <f>VLOOKUP(B1218,'MF PF'!A:B,2)</f>
        <v>FdMgt1</v>
      </c>
      <c r="AI1218" s="358">
        <f t="shared" si="163"/>
        <v>0</v>
      </c>
      <c r="AJ1218" s="94">
        <f t="shared" si="164"/>
        <v>43281</v>
      </c>
    </row>
    <row r="1219" spans="1:36" ht="12.75" customHeight="1">
      <c r="A1219" s="94">
        <v>43312</v>
      </c>
      <c r="B1219" s="358" t="s">
        <v>136</v>
      </c>
      <c r="C1219" s="94" t="s">
        <v>312</v>
      </c>
      <c r="D1219" s="374">
        <v>30003333.850000001</v>
      </c>
      <c r="E1219" s="9" t="str">
        <f>IF(K1219="","",D1219/K1219)</f>
        <v/>
      </c>
      <c r="F1219" s="47">
        <v>22</v>
      </c>
      <c r="G1219" s="47">
        <v>0</v>
      </c>
      <c r="H1219" s="47">
        <v>0</v>
      </c>
      <c r="I1219" s="98">
        <v>0</v>
      </c>
      <c r="J1219" s="98"/>
      <c r="K1219" s="93"/>
      <c r="L1219" s="93">
        <f t="shared" ref="L1219:L1282" si="168">G1219+H1219+I1219</f>
        <v>0</v>
      </c>
      <c r="M1219" s="95" t="e">
        <f t="shared" ref="M1219:M1282" ca="1" si="169">IF(A1219&gt;INDIRECT("A"&amp;ROW()-1),I1219/K1219,E1219)</f>
        <v>#DIV/0!</v>
      </c>
      <c r="N1219" s="95">
        <f>IF(P1219="Hedge Fund",IF(A1219=Summary!$AD$3,M1219-E1219,M1219),IF(A1219=Summary!$AD$3,L1219-D1219,L1219))</f>
        <v>0</v>
      </c>
      <c r="O1219" s="95">
        <f t="shared" si="165"/>
        <v>0</v>
      </c>
      <c r="P1219" s="89" t="s">
        <v>155</v>
      </c>
      <c r="Q1219" s="107">
        <v>0</v>
      </c>
      <c r="R1219" s="109">
        <f>1412353.03/10^6</f>
        <v>1.41235303</v>
      </c>
      <c r="S1219" s="89">
        <v>0</v>
      </c>
      <c r="T1219" s="89">
        <v>0</v>
      </c>
      <c r="U1219" s="89"/>
      <c r="V1219" s="89"/>
      <c r="W1219" s="89"/>
      <c r="X1219" s="89"/>
      <c r="Y1219" s="89"/>
      <c r="Z1219" s="89"/>
      <c r="AA1219" s="89"/>
      <c r="AB1219" s="89"/>
      <c r="AC1219" s="355"/>
      <c r="AD1219" s="355"/>
      <c r="AE1219" s="355"/>
      <c r="AF1219" s="94">
        <f t="shared" ref="AF1219:AF1282" si="170">A1219</f>
        <v>43312</v>
      </c>
      <c r="AG1219" s="185">
        <f t="shared" si="166"/>
        <v>3.6871129395676938E-3</v>
      </c>
      <c r="AH1219" s="339" t="str">
        <f>VLOOKUP(B1219,'MF PF'!A:B,2)</f>
        <v>FdMgt1</v>
      </c>
      <c r="AI1219" s="358">
        <f t="shared" ref="AI1219:AI1282" si="171">AF1219-A1219</f>
        <v>0</v>
      </c>
      <c r="AJ1219" s="94">
        <f t="shared" ref="AJ1219:AJ1282" si="172">EOMONTH(A1219,0)</f>
        <v>43312</v>
      </c>
    </row>
    <row r="1220" spans="1:36" ht="12.75" customHeight="1">
      <c r="A1220" s="94">
        <v>43343</v>
      </c>
      <c r="B1220" s="358" t="s">
        <v>136</v>
      </c>
      <c r="C1220" s="94" t="s">
        <v>312</v>
      </c>
      <c r="D1220" s="374">
        <v>30065156.490000002</v>
      </c>
      <c r="E1220" s="9" t="str">
        <f>IF(K1220="","",D1220/K1220)</f>
        <v/>
      </c>
      <c r="F1220" s="47">
        <v>22</v>
      </c>
      <c r="G1220" s="47">
        <v>0</v>
      </c>
      <c r="H1220" s="47">
        <v>0</v>
      </c>
      <c r="I1220" s="98">
        <v>0</v>
      </c>
      <c r="J1220" s="98"/>
      <c r="K1220" s="93"/>
      <c r="L1220" s="93">
        <f t="shared" si="168"/>
        <v>0</v>
      </c>
      <c r="M1220" s="95" t="e">
        <f t="shared" ca="1" si="169"/>
        <v>#DIV/0!</v>
      </c>
      <c r="N1220" s="95">
        <f>IF(P1220="Hedge Fund",IF(A1220=Summary!$AD$3,M1220-E1220,M1220),IF(A1220=Summary!$AD$3,L1220-D1220,L1220))</f>
        <v>0</v>
      </c>
      <c r="O1220" s="95">
        <f t="shared" si="165"/>
        <v>0</v>
      </c>
      <c r="P1220" s="89" t="s">
        <v>155</v>
      </c>
      <c r="Q1220" s="107">
        <v>0</v>
      </c>
      <c r="R1220" s="109">
        <v>1.4232629099999998</v>
      </c>
      <c r="S1220" s="89">
        <v>0</v>
      </c>
      <c r="T1220" s="89">
        <v>0</v>
      </c>
      <c r="U1220" s="89"/>
      <c r="V1220" s="89"/>
      <c r="W1220" s="89"/>
      <c r="X1220" s="89"/>
      <c r="Y1220" s="89"/>
      <c r="Z1220" s="89"/>
      <c r="AA1220" s="89"/>
      <c r="AB1220" s="89"/>
      <c r="AC1220" s="355"/>
      <c r="AD1220" s="355"/>
      <c r="AE1220" s="355"/>
      <c r="AF1220" s="94">
        <f t="shared" si="170"/>
        <v>43343</v>
      </c>
      <c r="AG1220" s="185">
        <f t="shared" si="166"/>
        <v>2.0605256838817088E-3</v>
      </c>
      <c r="AH1220" s="339" t="str">
        <f>VLOOKUP(B1220,'MF PF'!A:B,2)</f>
        <v>FdMgt1</v>
      </c>
      <c r="AI1220" s="358">
        <f t="shared" si="171"/>
        <v>0</v>
      </c>
      <c r="AJ1220" s="94">
        <f t="shared" si="172"/>
        <v>43343</v>
      </c>
    </row>
    <row r="1221" spans="1:36" ht="12.75" customHeight="1">
      <c r="A1221" s="8">
        <v>43371</v>
      </c>
      <c r="B1221" s="358" t="s">
        <v>136</v>
      </c>
      <c r="C1221" s="358" t="s">
        <v>312</v>
      </c>
      <c r="D1221" s="374">
        <v>29621115.1895</v>
      </c>
      <c r="F1221" s="105">
        <v>22</v>
      </c>
      <c r="G1221" s="93">
        <v>0</v>
      </c>
      <c r="H1221" s="93">
        <v>0</v>
      </c>
      <c r="I1221" s="93">
        <v>0</v>
      </c>
      <c r="K1221" s="7">
        <v>0</v>
      </c>
      <c r="L1221" s="93">
        <f t="shared" si="168"/>
        <v>0</v>
      </c>
      <c r="M1221" s="95" t="e">
        <f t="shared" ca="1" si="169"/>
        <v>#DIV/0!</v>
      </c>
      <c r="N1221" s="95">
        <f>IF(P1221="Hedge Fund",IF(A1221=Summary!$AD$3,M1221-E1221,M1221),IF(A1221=Summary!$AD$3,L1221-D1221,L1221))</f>
        <v>0</v>
      </c>
      <c r="O1221" s="95">
        <f t="shared" si="165"/>
        <v>0</v>
      </c>
      <c r="P1221" s="95" t="s">
        <v>155</v>
      </c>
      <c r="Q1221" s="353">
        <v>0.11623912546798738</v>
      </c>
      <c r="R1221" s="95">
        <v>1.3449026804999997</v>
      </c>
      <c r="S1221" s="95">
        <v>2.6417983060906224E-3</v>
      </c>
      <c r="T1221" s="95"/>
      <c r="U1221" s="95"/>
      <c r="V1221" s="95"/>
      <c r="W1221" s="95"/>
      <c r="X1221" s="95"/>
      <c r="Y1221" s="95"/>
      <c r="Z1221" s="95"/>
      <c r="AA1221" s="95"/>
      <c r="AB1221" s="95"/>
      <c r="AC1221" s="355"/>
      <c r="AD1221" s="355"/>
      <c r="AE1221" s="355"/>
      <c r="AF1221" s="94">
        <f t="shared" si="170"/>
        <v>43371</v>
      </c>
      <c r="AG1221" s="185">
        <f t="shared" si="166"/>
        <v>-1.4769299492843002E-2</v>
      </c>
      <c r="AH1221" s="339" t="str">
        <f>VLOOKUP(B1221,'MF PF'!A:B,2)</f>
        <v>FdMgt1</v>
      </c>
      <c r="AI1221" s="358">
        <f t="shared" si="171"/>
        <v>0</v>
      </c>
      <c r="AJ1221" s="94">
        <f t="shared" si="172"/>
        <v>43373</v>
      </c>
    </row>
    <row r="1222" spans="1:36" ht="12.75" customHeight="1">
      <c r="A1222" s="8">
        <v>43404</v>
      </c>
      <c r="B1222" s="358" t="s">
        <v>136</v>
      </c>
      <c r="C1222" s="358" t="s">
        <v>312</v>
      </c>
      <c r="D1222" s="374">
        <v>29641320.786000002</v>
      </c>
      <c r="F1222" s="105">
        <v>22</v>
      </c>
      <c r="G1222" s="93">
        <v>0</v>
      </c>
      <c r="H1222" s="93">
        <v>0</v>
      </c>
      <c r="I1222" s="93">
        <v>0</v>
      </c>
      <c r="J1222" s="93">
        <v>0</v>
      </c>
      <c r="K1222" s="93"/>
      <c r="L1222" s="93">
        <f t="shared" si="168"/>
        <v>0</v>
      </c>
      <c r="M1222" s="95" t="e">
        <f t="shared" ca="1" si="169"/>
        <v>#DIV/0!</v>
      </c>
      <c r="N1222" s="95">
        <f>IF(P1222="Hedge Fund",IF(A1222=Summary!$AD$3,M1222-E1222,M1222),IF(A1222=Summary!$AD$3,L1222-D1222,L1222))</f>
        <v>0</v>
      </c>
      <c r="O1222" s="95">
        <f t="shared" si="165"/>
        <v>0</v>
      </c>
      <c r="P1222" s="95" t="s">
        <v>155</v>
      </c>
      <c r="Q1222" s="95">
        <v>4.2084321568942179E-2</v>
      </c>
      <c r="R1222" s="95">
        <v>1.3484683740000003</v>
      </c>
      <c r="S1222" s="95"/>
      <c r="T1222" s="95"/>
      <c r="U1222" s="95"/>
      <c r="V1222" s="95"/>
      <c r="W1222" s="95"/>
      <c r="X1222" s="95"/>
      <c r="Y1222" s="95"/>
      <c r="Z1222" s="95"/>
      <c r="AA1222" s="95"/>
      <c r="AB1222" s="95"/>
      <c r="AC1222" s="355"/>
      <c r="AD1222" s="355"/>
      <c r="AE1222" s="355"/>
      <c r="AF1222" s="94">
        <f t="shared" si="170"/>
        <v>43404</v>
      </c>
      <c r="AG1222" s="185">
        <f t="shared" si="166"/>
        <v>6.8213490176649572E-4</v>
      </c>
      <c r="AH1222" s="339" t="str">
        <f>VLOOKUP(B1222,'MF PF'!A:B,2)</f>
        <v>FdMgt1</v>
      </c>
      <c r="AI1222" s="358">
        <f t="shared" si="171"/>
        <v>0</v>
      </c>
      <c r="AJ1222" s="94">
        <f t="shared" si="172"/>
        <v>43404</v>
      </c>
    </row>
    <row r="1223" spans="1:36" ht="12.75" customHeight="1">
      <c r="A1223" s="8">
        <v>43434</v>
      </c>
      <c r="B1223" s="358" t="s">
        <v>136</v>
      </c>
      <c r="C1223" s="358" t="s">
        <v>312</v>
      </c>
      <c r="D1223" s="374">
        <v>29982862.218499999</v>
      </c>
      <c r="E1223" s="95"/>
      <c r="F1223" s="105">
        <v>22</v>
      </c>
      <c r="G1223" s="93">
        <v>0</v>
      </c>
      <c r="H1223" s="93">
        <v>0</v>
      </c>
      <c r="I1223" s="93">
        <v>0</v>
      </c>
      <c r="K1223" s="93">
        <v>0</v>
      </c>
      <c r="L1223" s="93">
        <f t="shared" si="168"/>
        <v>0</v>
      </c>
      <c r="M1223" s="95" t="e">
        <f t="shared" ca="1" si="169"/>
        <v>#DIV/0!</v>
      </c>
      <c r="N1223" s="95">
        <f>IF(P1223="Hedge Fund",IF(A1223=Summary!$AD$3,M1223-E1223,M1223),IF(A1223=Summary!$AD$3,L1223-D1223,L1223))</f>
        <v>0</v>
      </c>
      <c r="O1223" s="95">
        <f t="shared" si="165"/>
        <v>0</v>
      </c>
      <c r="P1223" s="95" t="s">
        <v>155</v>
      </c>
      <c r="Q1223" s="95">
        <v>8.1485117532701601E-2</v>
      </c>
      <c r="R1223" s="95">
        <v>1.4087403914999999</v>
      </c>
      <c r="S1223" s="95"/>
      <c r="T1223" s="95"/>
      <c r="U1223" s="95"/>
      <c r="V1223" s="95"/>
      <c r="W1223" s="95"/>
      <c r="X1223" s="95"/>
      <c r="Y1223" s="95"/>
      <c r="Z1223" s="95"/>
      <c r="AA1223" s="95"/>
      <c r="AB1223" s="95"/>
      <c r="AC1223" s="355"/>
      <c r="AD1223" s="355"/>
      <c r="AE1223" s="355"/>
      <c r="AF1223" s="94">
        <f t="shared" si="170"/>
        <v>43434</v>
      </c>
      <c r="AG1223" s="185">
        <f t="shared" si="166"/>
        <v>1.152247684797203E-2</v>
      </c>
      <c r="AH1223" s="339" t="str">
        <f>VLOOKUP(B1223,'MF PF'!A:B,2)</f>
        <v>FdMgt1</v>
      </c>
      <c r="AI1223" s="358">
        <f t="shared" si="171"/>
        <v>0</v>
      </c>
      <c r="AJ1223" s="94">
        <f t="shared" si="172"/>
        <v>43434</v>
      </c>
    </row>
    <row r="1224" spans="1:36" ht="12.75" customHeight="1">
      <c r="A1224" s="8">
        <v>43452</v>
      </c>
      <c r="B1224" s="358" t="s">
        <v>136</v>
      </c>
      <c r="C1224" s="6" t="s">
        <v>312</v>
      </c>
      <c r="D1224" s="93"/>
      <c r="F1224" s="93"/>
      <c r="G1224" s="93"/>
      <c r="H1224" s="93"/>
      <c r="I1224" s="93">
        <v>0</v>
      </c>
      <c r="L1224" s="93">
        <f t="shared" si="168"/>
        <v>0</v>
      </c>
      <c r="M1224" s="95" t="e">
        <f t="shared" ca="1" si="169"/>
        <v>#DIV/0!</v>
      </c>
      <c r="N1224" s="95">
        <f>IF(P1224="Hedge Fund",IF(A1224=Summary!$AD$3,M1224-E1224,M1224),IF(A1224=Summary!$AD$3,L1224-D1224,L1224))</f>
        <v>0</v>
      </c>
      <c r="O1224" s="95">
        <f t="shared" si="165"/>
        <v>0</v>
      </c>
      <c r="P1224" s="95" t="s">
        <v>155</v>
      </c>
      <c r="Q1224" s="95"/>
      <c r="R1224" s="95"/>
      <c r="S1224" s="95"/>
      <c r="T1224" s="95"/>
      <c r="U1224" s="95"/>
      <c r="V1224" s="95"/>
      <c r="W1224" s="95"/>
      <c r="X1224" s="95"/>
      <c r="Y1224" s="95"/>
      <c r="Z1224" s="95"/>
      <c r="AA1224" s="95"/>
      <c r="AB1224" s="95"/>
      <c r="AC1224" s="355"/>
      <c r="AD1224" s="355"/>
      <c r="AE1224" s="355"/>
      <c r="AF1224" s="94">
        <f t="shared" si="170"/>
        <v>43452</v>
      </c>
      <c r="AG1224" s="185">
        <f t="shared" si="166"/>
        <v>-1</v>
      </c>
      <c r="AH1224" s="339" t="str">
        <f>VLOOKUP(B1224,'MF PF'!A:B,2)</f>
        <v>FdMgt1</v>
      </c>
      <c r="AI1224" s="358">
        <f t="shared" si="171"/>
        <v>0</v>
      </c>
      <c r="AJ1224" s="94">
        <f t="shared" si="172"/>
        <v>43465</v>
      </c>
    </row>
    <row r="1225" spans="1:36" ht="12.75" customHeight="1">
      <c r="A1225" s="8">
        <v>43452</v>
      </c>
      <c r="B1225" s="358" t="s">
        <v>136</v>
      </c>
      <c r="C1225" s="92" t="s">
        <v>312</v>
      </c>
      <c r="D1225" s="93"/>
      <c r="E1225" s="95"/>
      <c r="F1225" s="93"/>
      <c r="G1225" s="93"/>
      <c r="H1225" s="93"/>
      <c r="I1225" s="93">
        <v>0</v>
      </c>
      <c r="K1225" s="93"/>
      <c r="L1225" s="93">
        <f t="shared" si="168"/>
        <v>0</v>
      </c>
      <c r="M1225" s="95">
        <f t="shared" ca="1" si="169"/>
        <v>0</v>
      </c>
      <c r="N1225" s="95">
        <f>IF(P1225="Hedge Fund",IF(A1225=Summary!$AD$3,M1225-E1225,M1225),IF(A1225=Summary!$AD$3,L1225-D1225,L1225))</f>
        <v>0</v>
      </c>
      <c r="O1225" s="95">
        <f t="shared" si="165"/>
        <v>0</v>
      </c>
      <c r="P1225" s="95" t="s">
        <v>155</v>
      </c>
      <c r="Q1225" s="95"/>
      <c r="R1225" s="95"/>
      <c r="S1225" s="95"/>
      <c r="T1225" s="95"/>
      <c r="U1225" s="95"/>
      <c r="V1225" s="95"/>
      <c r="W1225" s="95"/>
      <c r="X1225" s="95"/>
      <c r="Y1225" s="95"/>
      <c r="Z1225" s="95"/>
      <c r="AA1225" s="95"/>
      <c r="AB1225" s="95"/>
      <c r="AC1225" s="355"/>
      <c r="AD1225" s="355"/>
      <c r="AE1225" s="355"/>
      <c r="AF1225" s="94">
        <f t="shared" si="170"/>
        <v>43452</v>
      </c>
      <c r="AG1225" s="185" t="e">
        <f t="shared" si="166"/>
        <v>#DIV/0!</v>
      </c>
      <c r="AH1225" s="339" t="str">
        <f>VLOOKUP(B1225,'MF PF'!A:B,2)</f>
        <v>FdMgt1</v>
      </c>
      <c r="AI1225" s="358">
        <f t="shared" si="171"/>
        <v>0</v>
      </c>
      <c r="AJ1225" s="94">
        <f t="shared" si="172"/>
        <v>43465</v>
      </c>
    </row>
    <row r="1226" spans="1:36" ht="12.75" customHeight="1">
      <c r="A1226" s="94">
        <v>43465</v>
      </c>
      <c r="B1226" s="358" t="s">
        <v>136</v>
      </c>
      <c r="C1226" s="358" t="s">
        <v>312</v>
      </c>
      <c r="D1226" s="93">
        <v>30466494.122000001</v>
      </c>
      <c r="E1226" s="95"/>
      <c r="F1226" s="93">
        <v>22</v>
      </c>
      <c r="G1226" s="93">
        <v>0</v>
      </c>
      <c r="H1226" s="93">
        <v>0</v>
      </c>
      <c r="I1226" s="93">
        <v>0</v>
      </c>
      <c r="K1226" s="93">
        <v>0</v>
      </c>
      <c r="L1226" s="93">
        <f t="shared" si="168"/>
        <v>0</v>
      </c>
      <c r="M1226" s="95" t="e">
        <f t="shared" ca="1" si="169"/>
        <v>#DIV/0!</v>
      </c>
      <c r="N1226" s="95">
        <f>IF(P1226="Hedge Fund",IF(A1226=Summary!$AD$3,M1226-E1226,M1226),IF(A1226=Summary!$AD$3,L1226-D1226,L1226))</f>
        <v>0</v>
      </c>
      <c r="O1226" s="95">
        <f t="shared" si="165"/>
        <v>0</v>
      </c>
      <c r="P1226" s="95" t="s">
        <v>155</v>
      </c>
      <c r="Q1226" s="95">
        <v>0.12394295679694414</v>
      </c>
      <c r="R1226" s="95">
        <v>1.4940871979999999</v>
      </c>
      <c r="S1226" s="95"/>
      <c r="T1226" s="95"/>
      <c r="U1226" s="95"/>
      <c r="V1226" s="95"/>
      <c r="W1226" s="95"/>
      <c r="X1226" s="95"/>
      <c r="Y1226" s="95"/>
      <c r="Z1226" s="95"/>
      <c r="AA1226" s="95"/>
      <c r="AB1226" s="95"/>
      <c r="AC1226" s="355"/>
      <c r="AD1226" s="355"/>
      <c r="AE1226" s="355"/>
      <c r="AF1226" s="94">
        <f t="shared" si="170"/>
        <v>43465</v>
      </c>
      <c r="AG1226" s="185" t="e">
        <f t="shared" si="166"/>
        <v>#DIV/0!</v>
      </c>
      <c r="AH1226" s="339" t="str">
        <f>VLOOKUP(B1226,'MF PF'!A:B,2)</f>
        <v>FdMgt1</v>
      </c>
      <c r="AI1226" s="358">
        <f t="shared" si="171"/>
        <v>0</v>
      </c>
      <c r="AJ1226" s="94">
        <f t="shared" si="172"/>
        <v>43465</v>
      </c>
    </row>
    <row r="1227" spans="1:36" ht="12.75" customHeight="1">
      <c r="A1227" s="94">
        <v>43487</v>
      </c>
      <c r="B1227" s="358" t="s">
        <v>136</v>
      </c>
      <c r="C1227" s="358" t="s">
        <v>312</v>
      </c>
      <c r="D1227" s="93"/>
      <c r="F1227" s="93"/>
      <c r="G1227" s="93"/>
      <c r="H1227" s="93"/>
      <c r="I1227" s="93">
        <v>-24647.109270304165</v>
      </c>
      <c r="K1227" s="93"/>
      <c r="L1227" s="93">
        <f t="shared" si="168"/>
        <v>-24647.109270304165</v>
      </c>
      <c r="M1227" s="95" t="e">
        <f t="shared" ca="1" si="169"/>
        <v>#DIV/0!</v>
      </c>
      <c r="N1227" s="95">
        <f>IF(P1227="Hedge Fund",IF(A1227=Summary!$AD$3,M1227-E1227,M1227),IF(A1227=Summary!$AD$3,L1227-D1227,L1227))</f>
        <v>-24647.109270304165</v>
      </c>
      <c r="O1227" s="95">
        <f t="shared" si="165"/>
        <v>-24647.109270304165</v>
      </c>
      <c r="P1227" s="95" t="s">
        <v>155</v>
      </c>
      <c r="Q1227" s="95"/>
      <c r="R1227" s="95"/>
      <c r="S1227" s="95"/>
      <c r="T1227" s="95"/>
      <c r="U1227" s="95"/>
      <c r="V1227" s="95"/>
      <c r="W1227" s="95"/>
      <c r="X1227" s="95"/>
      <c r="Y1227" s="95"/>
      <c r="Z1227" s="95"/>
      <c r="AA1227" s="95"/>
      <c r="AB1227" s="95"/>
      <c r="AC1227" s="355"/>
      <c r="AD1227" s="355"/>
      <c r="AE1227" s="355"/>
      <c r="AF1227" s="94">
        <f t="shared" si="170"/>
        <v>43487</v>
      </c>
      <c r="AG1227" s="185">
        <f t="shared" si="166"/>
        <v>-0.99919100933728677</v>
      </c>
      <c r="AH1227" s="339" t="str">
        <f>VLOOKUP(B1227,'MF PF'!A:B,2)</f>
        <v>FdMgt1</v>
      </c>
      <c r="AI1227" s="358">
        <f t="shared" si="171"/>
        <v>0</v>
      </c>
      <c r="AJ1227" s="94">
        <f t="shared" si="172"/>
        <v>43496</v>
      </c>
    </row>
    <row r="1228" spans="1:36" s="92" customFormat="1" ht="12.75" customHeight="1">
      <c r="A1228" s="94">
        <v>43487</v>
      </c>
      <c r="B1228" s="358" t="s">
        <v>136</v>
      </c>
      <c r="C1228" s="358" t="s">
        <v>312</v>
      </c>
      <c r="D1228" s="93"/>
      <c r="E1228" s="95"/>
      <c r="F1228" s="93"/>
      <c r="G1228" s="93"/>
      <c r="H1228" s="93"/>
      <c r="I1228" s="93">
        <v>-246471.09270304162</v>
      </c>
      <c r="J1228" s="93"/>
      <c r="K1228" s="93"/>
      <c r="L1228" s="93">
        <f t="shared" si="168"/>
        <v>-246471.09270304162</v>
      </c>
      <c r="M1228" s="95">
        <f t="shared" ca="1" si="169"/>
        <v>0</v>
      </c>
      <c r="N1228" s="95">
        <f>IF(P1228="Hedge Fund",IF(A1228=Summary!$AD$3,M1228-E1228,M1228),IF(A1228=Summary!$AD$3,L1228-D1228,L1228))</f>
        <v>-246471.09270304162</v>
      </c>
      <c r="O1228" s="95">
        <f t="shared" si="165"/>
        <v>-246471.09270304162</v>
      </c>
      <c r="P1228" s="95" t="s">
        <v>155</v>
      </c>
      <c r="Q1228" s="95"/>
      <c r="R1228" s="95"/>
      <c r="S1228" s="95"/>
      <c r="T1228" s="95"/>
      <c r="U1228" s="95"/>
      <c r="V1228" s="95"/>
      <c r="W1228" s="95"/>
      <c r="X1228" s="95"/>
      <c r="Y1228" s="95"/>
      <c r="Z1228" s="95"/>
      <c r="AA1228" s="95"/>
      <c r="AB1228" s="95"/>
      <c r="AC1228" s="355"/>
      <c r="AD1228" s="355"/>
      <c r="AE1228" s="355"/>
      <c r="AF1228" s="94">
        <f t="shared" si="170"/>
        <v>43487</v>
      </c>
      <c r="AG1228" s="185" t="e">
        <f t="shared" si="166"/>
        <v>#DIV/0!</v>
      </c>
      <c r="AH1228" s="339" t="str">
        <f>VLOOKUP(B1228,'MF PF'!A:B,2)</f>
        <v>FdMgt1</v>
      </c>
      <c r="AI1228" s="358">
        <f t="shared" si="171"/>
        <v>0</v>
      </c>
      <c r="AJ1228" s="94">
        <f t="shared" si="172"/>
        <v>43496</v>
      </c>
    </row>
    <row r="1229" spans="1:36" ht="12.75" customHeight="1">
      <c r="A1229" s="8">
        <v>43496</v>
      </c>
      <c r="B1229" s="358" t="s">
        <v>136</v>
      </c>
      <c r="C1229" s="358" t="s">
        <v>312</v>
      </c>
      <c r="D1229" s="93">
        <v>30474555.122500002</v>
      </c>
      <c r="F1229" s="93">
        <v>22</v>
      </c>
      <c r="G1229" s="93">
        <v>0</v>
      </c>
      <c r="H1229" s="93">
        <v>0</v>
      </c>
      <c r="I1229" s="93">
        <v>0</v>
      </c>
      <c r="K1229" s="93">
        <v>0</v>
      </c>
      <c r="L1229" s="93">
        <f t="shared" si="168"/>
        <v>0</v>
      </c>
      <c r="M1229" s="95" t="e">
        <f t="shared" ca="1" si="169"/>
        <v>#DIV/0!</v>
      </c>
      <c r="N1229" s="95">
        <f>IF(P1229="Hedge Fund",IF(A1229=Summary!$AD$3,M1229-E1229,M1229),IF(A1229=Summary!$AD$3,L1229-D1229,L1229))</f>
        <v>-30474555.122500002</v>
      </c>
      <c r="O1229" s="95">
        <f t="shared" si="165"/>
        <v>-30474555.122500002</v>
      </c>
      <c r="P1229" s="95" t="s">
        <v>155</v>
      </c>
      <c r="Q1229" s="95">
        <v>4.0780940525275679E-2</v>
      </c>
      <c r="R1229" s="95">
        <v>1.4955097274999998</v>
      </c>
      <c r="S1229" s="95"/>
      <c r="T1229" s="95"/>
      <c r="U1229" s="95"/>
      <c r="V1229" s="95"/>
      <c r="W1229" s="95"/>
      <c r="X1229" s="95"/>
      <c r="Y1229" s="95"/>
      <c r="Z1229" s="95"/>
      <c r="AA1229" s="95"/>
      <c r="AB1229" s="95"/>
      <c r="AC1229" s="355"/>
      <c r="AD1229" s="355"/>
      <c r="AE1229" s="355"/>
      <c r="AF1229" s="94">
        <f t="shared" si="170"/>
        <v>43496</v>
      </c>
      <c r="AG1229" s="185" t="e">
        <f t="shared" si="166"/>
        <v>#DIV/0!</v>
      </c>
      <c r="AH1229" s="339" t="str">
        <f>VLOOKUP(B1229,'MF PF'!A:B,2)</f>
        <v>FdMgt1</v>
      </c>
      <c r="AI1229" s="358">
        <f t="shared" si="171"/>
        <v>0</v>
      </c>
      <c r="AJ1229" s="94">
        <f t="shared" si="172"/>
        <v>43496</v>
      </c>
    </row>
    <row r="1230" spans="1:36" ht="12.75" customHeight="1">
      <c r="A1230" s="8">
        <v>42019</v>
      </c>
      <c r="B1230" s="94" t="s">
        <v>136</v>
      </c>
      <c r="C1230" s="358" t="s">
        <v>313</v>
      </c>
      <c r="D1230" s="374">
        <v>635000</v>
      </c>
      <c r="E1230" s="9" t="e">
        <f t="shared" ref="E1230:E1272" si="173">D1230/K1230</f>
        <v>#DIV/0!</v>
      </c>
      <c r="F1230" s="47">
        <v>5</v>
      </c>
      <c r="G1230" s="47">
        <v>635000</v>
      </c>
      <c r="H1230" s="47">
        <v>0</v>
      </c>
      <c r="I1230" s="47">
        <v>0</v>
      </c>
      <c r="J1230" s="98"/>
      <c r="K1230" s="93"/>
      <c r="L1230" s="93">
        <f t="shared" si="168"/>
        <v>635000</v>
      </c>
      <c r="M1230" s="95" t="e">
        <f t="shared" ca="1" si="169"/>
        <v>#DIV/0!</v>
      </c>
      <c r="N1230" s="95">
        <f>IF(P1230="Hedge Fund",IF(A1230=Summary!$AD$3,M1230-E1230,M1230),IF(A1230=Summary!$AD$3,L1230-D1230,L1230))</f>
        <v>635000</v>
      </c>
      <c r="O1230" s="95">
        <f t="shared" ref="O1230:O1293" si="174">N1230</f>
        <v>635000</v>
      </c>
      <c r="P1230" s="89" t="s">
        <v>155</v>
      </c>
      <c r="Q1230" s="107">
        <v>0</v>
      </c>
      <c r="R1230" s="107">
        <v>0</v>
      </c>
      <c r="S1230" s="89">
        <v>0</v>
      </c>
      <c r="T1230" s="89">
        <v>0</v>
      </c>
      <c r="U1230" s="89"/>
      <c r="V1230" s="89"/>
      <c r="W1230" s="89"/>
      <c r="X1230" s="89"/>
      <c r="Y1230" s="89"/>
      <c r="Z1230" s="89"/>
      <c r="AA1230" s="89"/>
      <c r="AB1230" s="89"/>
      <c r="AC1230" s="355"/>
      <c r="AD1230" s="355"/>
      <c r="AE1230" s="355"/>
      <c r="AF1230" s="94">
        <f t="shared" si="170"/>
        <v>42019</v>
      </c>
      <c r="AG1230" s="185">
        <f t="shared" si="166"/>
        <v>0</v>
      </c>
      <c r="AH1230" s="339" t="str">
        <f>VLOOKUP(B1230,'MF PF'!A:B,2)</f>
        <v>FdMgt1</v>
      </c>
      <c r="AI1230" s="358">
        <f t="shared" si="171"/>
        <v>0</v>
      </c>
      <c r="AJ1230" s="94">
        <f t="shared" si="172"/>
        <v>42035</v>
      </c>
    </row>
    <row r="1231" spans="1:36" ht="12.75" customHeight="1">
      <c r="A1231" s="94">
        <v>42034</v>
      </c>
      <c r="B1231" s="94" t="s">
        <v>136</v>
      </c>
      <c r="C1231" s="358" t="s">
        <v>313</v>
      </c>
      <c r="D1231" s="374">
        <v>632739.89</v>
      </c>
      <c r="E1231" s="95" t="e">
        <f t="shared" si="173"/>
        <v>#DIV/0!</v>
      </c>
      <c r="F1231" s="98">
        <v>5</v>
      </c>
      <c r="G1231" s="98">
        <v>0</v>
      </c>
      <c r="H1231" s="98">
        <v>0</v>
      </c>
      <c r="I1231" s="98">
        <v>0</v>
      </c>
      <c r="J1231" s="98"/>
      <c r="K1231" s="93"/>
      <c r="L1231" s="93">
        <f t="shared" si="168"/>
        <v>0</v>
      </c>
      <c r="M1231" s="95" t="e">
        <f t="shared" ca="1" si="169"/>
        <v>#DIV/0!</v>
      </c>
      <c r="N1231" s="95">
        <f>IF(P1231="Hedge Fund",IF(A1231=Summary!$AD$3,M1231-E1231,M1231),IF(A1231=Summary!$AD$3,L1231-D1231,L1231))</f>
        <v>0</v>
      </c>
      <c r="O1231" s="95">
        <f t="shared" si="174"/>
        <v>0</v>
      </c>
      <c r="P1231" s="107" t="s">
        <v>155</v>
      </c>
      <c r="Q1231" s="107">
        <v>0</v>
      </c>
      <c r="R1231" s="107">
        <v>0</v>
      </c>
      <c r="S1231" s="107">
        <v>0</v>
      </c>
      <c r="T1231" s="107">
        <v>0</v>
      </c>
      <c r="U1231" s="107"/>
      <c r="V1231" s="107"/>
      <c r="W1231" s="107"/>
      <c r="X1231" s="107"/>
      <c r="Y1231" s="107"/>
      <c r="Z1231" s="107"/>
      <c r="AA1231" s="107"/>
      <c r="AB1231" s="107"/>
      <c r="AC1231" s="355"/>
      <c r="AD1231" s="355"/>
      <c r="AE1231" s="355"/>
      <c r="AF1231" s="94">
        <f t="shared" si="170"/>
        <v>42034</v>
      </c>
      <c r="AG1231" s="185">
        <f t="shared" ref="AG1231:AG1294" si="175">IF(C1231&lt;&gt;C1230,D1231/G1231-1,(D1231-G1231-I1231-H1231)/(D1230)-1)</f>
        <v>-3.559228346456722E-3</v>
      </c>
      <c r="AH1231" s="339" t="str">
        <f>VLOOKUP(B1231,'MF PF'!A:B,2)</f>
        <v>FdMgt1</v>
      </c>
      <c r="AI1231" s="358">
        <f t="shared" si="171"/>
        <v>0</v>
      </c>
      <c r="AJ1231" s="94">
        <f t="shared" si="172"/>
        <v>42035</v>
      </c>
    </row>
    <row r="1232" spans="1:36" ht="12.75" customHeight="1">
      <c r="A1232" s="94">
        <v>42062</v>
      </c>
      <c r="B1232" s="94" t="s">
        <v>136</v>
      </c>
      <c r="C1232" s="358" t="s">
        <v>313</v>
      </c>
      <c r="D1232" s="374">
        <v>1030818.5330000002</v>
      </c>
      <c r="E1232" s="9" t="e">
        <f t="shared" si="173"/>
        <v>#DIV/0!</v>
      </c>
      <c r="F1232" s="47">
        <v>5</v>
      </c>
      <c r="G1232" s="47">
        <v>395000</v>
      </c>
      <c r="H1232" s="47">
        <v>0</v>
      </c>
      <c r="I1232" s="47">
        <v>0</v>
      </c>
      <c r="J1232" s="98"/>
      <c r="L1232" s="93">
        <f t="shared" si="168"/>
        <v>395000</v>
      </c>
      <c r="M1232" s="95" t="e">
        <f t="shared" ca="1" si="169"/>
        <v>#DIV/0!</v>
      </c>
      <c r="N1232" s="95">
        <f>IF(P1232="Hedge Fund",IF(A1232=Summary!$AD$3,M1232-E1232,M1232),IF(A1232=Summary!$AD$3,L1232-D1232,L1232))</f>
        <v>395000</v>
      </c>
      <c r="O1232" s="95">
        <f t="shared" si="174"/>
        <v>395000</v>
      </c>
      <c r="P1232" s="89" t="s">
        <v>155</v>
      </c>
      <c r="Q1232" s="107">
        <v>0</v>
      </c>
      <c r="R1232" s="107">
        <v>0</v>
      </c>
      <c r="S1232" s="89">
        <v>0</v>
      </c>
      <c r="T1232" s="89">
        <v>0</v>
      </c>
      <c r="U1232" s="89"/>
      <c r="V1232" s="89"/>
      <c r="W1232" s="89"/>
      <c r="X1232" s="89"/>
      <c r="Y1232" s="89"/>
      <c r="Z1232" s="89"/>
      <c r="AA1232" s="89"/>
      <c r="AB1232" s="89"/>
      <c r="AC1232" s="355"/>
      <c r="AD1232" s="355"/>
      <c r="AE1232" s="355"/>
      <c r="AF1232" s="94">
        <f t="shared" si="170"/>
        <v>42062</v>
      </c>
      <c r="AG1232" s="185">
        <f t="shared" si="175"/>
        <v>4.8655743831800269E-3</v>
      </c>
      <c r="AH1232" s="339" t="str">
        <f>VLOOKUP(B1232,'MF PF'!A:B,2)</f>
        <v>FdMgt1</v>
      </c>
      <c r="AI1232" s="358">
        <f t="shared" si="171"/>
        <v>0</v>
      </c>
      <c r="AJ1232" s="94">
        <f t="shared" si="172"/>
        <v>42063</v>
      </c>
    </row>
    <row r="1233" spans="1:36" ht="12.75" customHeight="1">
      <c r="A1233" s="94">
        <v>42094</v>
      </c>
      <c r="B1233" s="94" t="s">
        <v>136</v>
      </c>
      <c r="C1233" s="358" t="s">
        <v>313</v>
      </c>
      <c r="D1233" s="374">
        <v>1491642.7845000001</v>
      </c>
      <c r="E1233" s="9" t="e">
        <f t="shared" si="173"/>
        <v>#DIV/0!</v>
      </c>
      <c r="F1233" s="47">
        <v>5</v>
      </c>
      <c r="G1233" s="47">
        <v>405000</v>
      </c>
      <c r="H1233" s="47">
        <v>0</v>
      </c>
      <c r="I1233" s="98">
        <v>0</v>
      </c>
      <c r="J1233" s="98"/>
      <c r="K1233" s="93"/>
      <c r="L1233" s="93">
        <f t="shared" si="168"/>
        <v>405000</v>
      </c>
      <c r="M1233" s="95" t="e">
        <f t="shared" ca="1" si="169"/>
        <v>#DIV/0!</v>
      </c>
      <c r="N1233" s="95">
        <f>IF(P1233="Hedge Fund",IF(A1233=Summary!$AD$3,M1233-E1233,M1233),IF(A1233=Summary!$AD$3,L1233-D1233,L1233))</f>
        <v>405000</v>
      </c>
      <c r="O1233" s="95">
        <f t="shared" si="174"/>
        <v>405000</v>
      </c>
      <c r="P1233" s="89" t="s">
        <v>155</v>
      </c>
      <c r="Q1233" s="107">
        <v>0</v>
      </c>
      <c r="R1233" s="107">
        <v>0</v>
      </c>
      <c r="S1233" s="89">
        <v>0</v>
      </c>
      <c r="T1233" s="89">
        <v>0</v>
      </c>
      <c r="U1233" s="89"/>
      <c r="V1233" s="89"/>
      <c r="W1233" s="89"/>
      <c r="X1233" s="89"/>
      <c r="Y1233" s="89"/>
      <c r="Z1233" s="89"/>
      <c r="AA1233" s="89"/>
      <c r="AB1233" s="89"/>
      <c r="AC1233" s="355"/>
      <c r="AD1233" s="355"/>
      <c r="AE1233" s="355"/>
      <c r="AF1233" s="94">
        <f t="shared" si="170"/>
        <v>42094</v>
      </c>
      <c r="AG1233" s="185">
        <f t="shared" si="175"/>
        <v>5.4155265658189178E-2</v>
      </c>
      <c r="AH1233" s="339" t="str">
        <f>VLOOKUP(B1233,'MF PF'!A:B,2)</f>
        <v>FdMgt1</v>
      </c>
      <c r="AI1233" s="358">
        <f t="shared" si="171"/>
        <v>0</v>
      </c>
      <c r="AJ1233" s="94">
        <f t="shared" si="172"/>
        <v>42094</v>
      </c>
    </row>
    <row r="1234" spans="1:36" ht="12.75" customHeight="1">
      <c r="A1234" s="8">
        <v>42124</v>
      </c>
      <c r="B1234" s="94" t="s">
        <v>136</v>
      </c>
      <c r="C1234" s="358" t="s">
        <v>313</v>
      </c>
      <c r="D1234" s="374">
        <v>2216485.2955</v>
      </c>
      <c r="E1234" s="95" t="e">
        <f t="shared" si="173"/>
        <v>#DIV/0!</v>
      </c>
      <c r="F1234" s="47">
        <v>5</v>
      </c>
      <c r="G1234" s="47">
        <v>570000</v>
      </c>
      <c r="H1234" s="47">
        <v>0</v>
      </c>
      <c r="I1234" s="98">
        <v>0</v>
      </c>
      <c r="J1234" s="98"/>
      <c r="K1234" s="93"/>
      <c r="L1234" s="93">
        <f t="shared" si="168"/>
        <v>570000</v>
      </c>
      <c r="M1234" s="95" t="e">
        <f t="shared" ca="1" si="169"/>
        <v>#DIV/0!</v>
      </c>
      <c r="N1234" s="95">
        <f>IF(P1234="Hedge Fund",IF(A1234=Summary!$AD$3,M1234-E1234,M1234),IF(A1234=Summary!$AD$3,L1234-D1234,L1234))</f>
        <v>570000</v>
      </c>
      <c r="O1234" s="95">
        <f t="shared" si="174"/>
        <v>570000</v>
      </c>
      <c r="P1234" s="89" t="s">
        <v>155</v>
      </c>
      <c r="Q1234" s="107">
        <v>0</v>
      </c>
      <c r="R1234" s="107">
        <v>0</v>
      </c>
      <c r="S1234" s="89">
        <v>0</v>
      </c>
      <c r="T1234" s="89">
        <v>0</v>
      </c>
      <c r="U1234" s="89"/>
      <c r="V1234" s="89"/>
      <c r="W1234" s="89"/>
      <c r="X1234" s="89"/>
      <c r="Y1234" s="89"/>
      <c r="Z1234" s="89"/>
      <c r="AA1234" s="89"/>
      <c r="AB1234" s="89"/>
      <c r="AC1234" s="355"/>
      <c r="AD1234" s="355"/>
      <c r="AE1234" s="355"/>
      <c r="AF1234" s="94">
        <f t="shared" si="170"/>
        <v>42124</v>
      </c>
      <c r="AG1234" s="185">
        <f t="shared" si="175"/>
        <v>0.1038066972930809</v>
      </c>
      <c r="AH1234" s="339" t="str">
        <f>VLOOKUP(B1234,'MF PF'!A:B,2)</f>
        <v>FdMgt1</v>
      </c>
      <c r="AI1234" s="358">
        <f t="shared" si="171"/>
        <v>0</v>
      </c>
      <c r="AJ1234" s="94">
        <f t="shared" si="172"/>
        <v>42124</v>
      </c>
    </row>
    <row r="1235" spans="1:36" ht="12.75" customHeight="1">
      <c r="A1235" s="8">
        <v>42153</v>
      </c>
      <c r="B1235" s="94" t="s">
        <v>136</v>
      </c>
      <c r="C1235" s="358" t="s">
        <v>313</v>
      </c>
      <c r="D1235" s="374">
        <v>2609415.2404999998</v>
      </c>
      <c r="E1235" s="9" t="e">
        <f t="shared" si="173"/>
        <v>#DIV/0!</v>
      </c>
      <c r="F1235" s="47">
        <v>5</v>
      </c>
      <c r="G1235" s="47">
        <v>380000</v>
      </c>
      <c r="H1235" s="47">
        <v>0</v>
      </c>
      <c r="I1235" s="98">
        <v>0</v>
      </c>
      <c r="J1235" s="98"/>
      <c r="L1235" s="93">
        <f t="shared" si="168"/>
        <v>380000</v>
      </c>
      <c r="M1235" s="95" t="e">
        <f t="shared" ca="1" si="169"/>
        <v>#DIV/0!</v>
      </c>
      <c r="N1235" s="95">
        <f>IF(P1235="Hedge Fund",IF(A1235=Summary!$AD$3,M1235-E1235,M1235),IF(A1235=Summary!$AD$3,L1235-D1235,L1235))</f>
        <v>380000</v>
      </c>
      <c r="O1235" s="95">
        <f t="shared" si="174"/>
        <v>380000</v>
      </c>
      <c r="P1235" s="89" t="s">
        <v>155</v>
      </c>
      <c r="Q1235" s="107">
        <v>0</v>
      </c>
      <c r="R1235" s="107">
        <v>0</v>
      </c>
      <c r="S1235" s="89">
        <v>0</v>
      </c>
      <c r="T1235" s="89">
        <v>0</v>
      </c>
      <c r="U1235" s="89"/>
      <c r="V1235" s="89"/>
      <c r="W1235" s="89"/>
      <c r="X1235" s="89"/>
      <c r="Y1235" s="89"/>
      <c r="Z1235" s="89"/>
      <c r="AA1235" s="89"/>
      <c r="AB1235" s="89"/>
      <c r="AC1235" s="355"/>
      <c r="AD1235" s="355"/>
      <c r="AE1235" s="355"/>
      <c r="AF1235" s="94">
        <f t="shared" si="170"/>
        <v>42153</v>
      </c>
      <c r="AG1235" s="185">
        <f t="shared" si="175"/>
        <v>5.8335352037979238E-3</v>
      </c>
      <c r="AH1235" s="339" t="str">
        <f>VLOOKUP(B1235,'MF PF'!A:B,2)</f>
        <v>FdMgt1</v>
      </c>
      <c r="AI1235" s="358">
        <f t="shared" si="171"/>
        <v>0</v>
      </c>
      <c r="AJ1235" s="94">
        <f t="shared" si="172"/>
        <v>42155</v>
      </c>
    </row>
    <row r="1236" spans="1:36" ht="12.75" customHeight="1">
      <c r="A1236" s="94">
        <v>42185</v>
      </c>
      <c r="B1236" s="94" t="s">
        <v>136</v>
      </c>
      <c r="C1236" s="358" t="s">
        <v>313</v>
      </c>
      <c r="D1236" s="374">
        <v>2566544.173</v>
      </c>
      <c r="E1236" s="9" t="e">
        <f t="shared" si="173"/>
        <v>#DIV/0!</v>
      </c>
      <c r="F1236" s="47">
        <v>5</v>
      </c>
      <c r="G1236" s="47">
        <v>0</v>
      </c>
      <c r="H1236" s="47">
        <v>0</v>
      </c>
      <c r="I1236" s="98">
        <v>0</v>
      </c>
      <c r="J1236" s="98"/>
      <c r="L1236" s="93">
        <f t="shared" si="168"/>
        <v>0</v>
      </c>
      <c r="M1236" s="95" t="e">
        <f t="shared" ca="1" si="169"/>
        <v>#DIV/0!</v>
      </c>
      <c r="N1236" s="95">
        <f>IF(P1236="Hedge Fund",IF(A1236=Summary!$AD$3,M1236-E1236,M1236),IF(A1236=Summary!$AD$3,L1236-D1236,L1236))</f>
        <v>0</v>
      </c>
      <c r="O1236" s="95">
        <f t="shared" si="174"/>
        <v>0</v>
      </c>
      <c r="P1236" s="89" t="s">
        <v>155</v>
      </c>
      <c r="Q1236" s="107">
        <v>0</v>
      </c>
      <c r="R1236" s="107">
        <v>0</v>
      </c>
      <c r="S1236" s="89">
        <v>0</v>
      </c>
      <c r="T1236" s="89">
        <v>0</v>
      </c>
      <c r="U1236" s="89"/>
      <c r="V1236" s="89"/>
      <c r="W1236" s="89"/>
      <c r="X1236" s="89"/>
      <c r="Y1236" s="89"/>
      <c r="Z1236" s="89"/>
      <c r="AA1236" s="89"/>
      <c r="AB1236" s="89"/>
      <c r="AC1236" s="355"/>
      <c r="AD1236" s="355"/>
      <c r="AE1236" s="355"/>
      <c r="AF1236" s="94">
        <f t="shared" si="170"/>
        <v>42185</v>
      </c>
      <c r="AG1236" s="185">
        <f t="shared" si="175"/>
        <v>-1.6429377292893066E-2</v>
      </c>
      <c r="AH1236" s="339" t="str">
        <f>VLOOKUP(B1236,'MF PF'!A:B,2)</f>
        <v>FdMgt1</v>
      </c>
      <c r="AI1236" s="358">
        <f t="shared" si="171"/>
        <v>0</v>
      </c>
      <c r="AJ1236" s="94">
        <f t="shared" si="172"/>
        <v>42185</v>
      </c>
    </row>
    <row r="1237" spans="1:36" ht="12.75" customHeight="1">
      <c r="A1237" s="8">
        <v>42216</v>
      </c>
      <c r="B1237" s="94" t="s">
        <v>136</v>
      </c>
      <c r="C1237" s="358" t="s">
        <v>313</v>
      </c>
      <c r="D1237" s="374">
        <v>2951992.8450000002</v>
      </c>
      <c r="E1237" s="9" t="e">
        <f t="shared" si="173"/>
        <v>#DIV/0!</v>
      </c>
      <c r="F1237" s="98">
        <v>5</v>
      </c>
      <c r="G1237" s="98">
        <v>435000</v>
      </c>
      <c r="H1237" s="98">
        <v>0</v>
      </c>
      <c r="I1237" s="98">
        <v>0</v>
      </c>
      <c r="J1237" s="98"/>
      <c r="K1237" s="93"/>
      <c r="L1237" s="93">
        <f t="shared" si="168"/>
        <v>435000</v>
      </c>
      <c r="M1237" s="95" t="e">
        <f t="shared" ca="1" si="169"/>
        <v>#DIV/0!</v>
      </c>
      <c r="N1237" s="95">
        <f>IF(P1237="Hedge Fund",IF(A1237=Summary!$AD$3,M1237-E1237,M1237),IF(A1237=Summary!$AD$3,L1237-D1237,L1237))</f>
        <v>435000</v>
      </c>
      <c r="O1237" s="95">
        <f t="shared" si="174"/>
        <v>435000</v>
      </c>
      <c r="P1237" s="107" t="s">
        <v>155</v>
      </c>
      <c r="Q1237" s="107">
        <v>0</v>
      </c>
      <c r="R1237" s="107">
        <v>0</v>
      </c>
      <c r="S1237" s="107">
        <v>0</v>
      </c>
      <c r="T1237" s="107">
        <v>0</v>
      </c>
      <c r="U1237" s="107"/>
      <c r="V1237" s="107"/>
      <c r="W1237" s="107"/>
      <c r="X1237" s="107"/>
      <c r="Y1237" s="107"/>
      <c r="Z1237" s="107"/>
      <c r="AA1237" s="107"/>
      <c r="AB1237" s="107"/>
      <c r="AC1237" s="355"/>
      <c r="AD1237" s="355"/>
      <c r="AE1237" s="355"/>
      <c r="AF1237" s="94">
        <f t="shared" si="170"/>
        <v>42216</v>
      </c>
      <c r="AG1237" s="185">
        <f t="shared" si="175"/>
        <v>-1.9306633613120239E-2</v>
      </c>
      <c r="AH1237" s="339" t="str">
        <f>VLOOKUP(B1237,'MF PF'!A:B,2)</f>
        <v>FdMgt1</v>
      </c>
      <c r="AI1237" s="358">
        <f t="shared" si="171"/>
        <v>0</v>
      </c>
      <c r="AJ1237" s="94">
        <f t="shared" si="172"/>
        <v>42216</v>
      </c>
    </row>
    <row r="1238" spans="1:36" ht="12.75" customHeight="1">
      <c r="A1238" s="8">
        <v>42247</v>
      </c>
      <c r="B1238" s="94" t="s">
        <v>136</v>
      </c>
      <c r="C1238" s="358" t="s">
        <v>313</v>
      </c>
      <c r="D1238" s="374">
        <v>2902354.7404999998</v>
      </c>
      <c r="E1238" s="9" t="e">
        <f t="shared" si="173"/>
        <v>#DIV/0!</v>
      </c>
      <c r="F1238" s="98">
        <v>5</v>
      </c>
      <c r="G1238" s="98">
        <v>0</v>
      </c>
      <c r="H1238" s="98">
        <v>0</v>
      </c>
      <c r="I1238" s="98">
        <v>0</v>
      </c>
      <c r="J1238" s="98"/>
      <c r="K1238" s="93"/>
      <c r="L1238" s="93">
        <f t="shared" si="168"/>
        <v>0</v>
      </c>
      <c r="M1238" s="95" t="e">
        <f t="shared" ca="1" si="169"/>
        <v>#DIV/0!</v>
      </c>
      <c r="N1238" s="95">
        <f>IF(P1238="Hedge Fund",IF(A1238=Summary!$AD$3,M1238-E1238,M1238),IF(A1238=Summary!$AD$3,L1238-D1238,L1238))</f>
        <v>0</v>
      </c>
      <c r="O1238" s="95">
        <f t="shared" si="174"/>
        <v>0</v>
      </c>
      <c r="P1238" s="107" t="s">
        <v>155</v>
      </c>
      <c r="Q1238" s="107">
        <v>0</v>
      </c>
      <c r="R1238" s="107">
        <v>0</v>
      </c>
      <c r="S1238" s="107">
        <v>0</v>
      </c>
      <c r="T1238" s="107">
        <v>0</v>
      </c>
      <c r="U1238" s="107"/>
      <c r="V1238" s="107"/>
      <c r="W1238" s="107"/>
      <c r="X1238" s="107"/>
      <c r="Y1238" s="107"/>
      <c r="Z1238" s="107"/>
      <c r="AA1238" s="107"/>
      <c r="AB1238" s="107"/>
      <c r="AC1238" s="355"/>
      <c r="AD1238" s="355"/>
      <c r="AE1238" s="355"/>
      <c r="AF1238" s="94">
        <f t="shared" si="170"/>
        <v>42247</v>
      </c>
      <c r="AG1238" s="185">
        <f t="shared" si="175"/>
        <v>-1.6815116806287667E-2</v>
      </c>
      <c r="AH1238" s="339" t="str">
        <f>VLOOKUP(B1238,'MF PF'!A:B,2)</f>
        <v>FdMgt1</v>
      </c>
      <c r="AI1238" s="358">
        <f t="shared" si="171"/>
        <v>0</v>
      </c>
      <c r="AJ1238" s="94">
        <f t="shared" si="172"/>
        <v>42247</v>
      </c>
    </row>
    <row r="1239" spans="1:36" ht="12.75" customHeight="1">
      <c r="A1239" s="8">
        <v>42277</v>
      </c>
      <c r="B1239" s="94" t="s">
        <v>136</v>
      </c>
      <c r="C1239" s="358" t="s">
        <v>313</v>
      </c>
      <c r="D1239" s="374">
        <v>2909357.8735000002</v>
      </c>
      <c r="E1239" s="9" t="e">
        <f t="shared" si="173"/>
        <v>#DIV/0!</v>
      </c>
      <c r="F1239" s="98">
        <v>5</v>
      </c>
      <c r="G1239" s="98">
        <v>0</v>
      </c>
      <c r="H1239" s="98">
        <v>0</v>
      </c>
      <c r="I1239" s="98">
        <v>0</v>
      </c>
      <c r="J1239" s="98"/>
      <c r="K1239" s="93"/>
      <c r="L1239" s="93">
        <f t="shared" si="168"/>
        <v>0</v>
      </c>
      <c r="M1239" s="95" t="e">
        <f t="shared" ca="1" si="169"/>
        <v>#DIV/0!</v>
      </c>
      <c r="N1239" s="95">
        <f>IF(P1239="Hedge Fund",IF(A1239=Summary!$AD$3,M1239-E1239,M1239),IF(A1239=Summary!$AD$3,L1239-D1239,L1239))</f>
        <v>0</v>
      </c>
      <c r="O1239" s="95">
        <f t="shared" si="174"/>
        <v>0</v>
      </c>
      <c r="P1239" s="107" t="s">
        <v>155</v>
      </c>
      <c r="Q1239" s="107">
        <v>0</v>
      </c>
      <c r="R1239" s="107">
        <v>0</v>
      </c>
      <c r="S1239" s="107">
        <v>0</v>
      </c>
      <c r="T1239" s="107">
        <v>0</v>
      </c>
      <c r="U1239" s="107"/>
      <c r="V1239" s="107"/>
      <c r="W1239" s="107"/>
      <c r="X1239" s="107"/>
      <c r="Y1239" s="107"/>
      <c r="Z1239" s="107"/>
      <c r="AA1239" s="107"/>
      <c r="AB1239" s="107"/>
      <c r="AC1239" s="355"/>
      <c r="AD1239" s="355"/>
      <c r="AE1239" s="355"/>
      <c r="AF1239" s="94">
        <f t="shared" si="170"/>
        <v>42277</v>
      </c>
      <c r="AG1239" s="185">
        <f t="shared" si="175"/>
        <v>2.4129142114426294E-3</v>
      </c>
      <c r="AH1239" s="339" t="str">
        <f>VLOOKUP(B1239,'MF PF'!A:B,2)</f>
        <v>FdMgt1</v>
      </c>
      <c r="AI1239" s="358">
        <f t="shared" si="171"/>
        <v>0</v>
      </c>
      <c r="AJ1239" s="94">
        <f t="shared" si="172"/>
        <v>42277</v>
      </c>
    </row>
    <row r="1240" spans="1:36" ht="12.75" customHeight="1">
      <c r="A1240" s="8">
        <v>42307</v>
      </c>
      <c r="B1240" s="94" t="s">
        <v>136</v>
      </c>
      <c r="C1240" s="358" t="s">
        <v>313</v>
      </c>
      <c r="D1240" s="374">
        <v>2987129.7965000002</v>
      </c>
      <c r="E1240" s="9" t="e">
        <f t="shared" si="173"/>
        <v>#DIV/0!</v>
      </c>
      <c r="F1240" s="98">
        <v>5</v>
      </c>
      <c r="G1240" s="98">
        <v>0</v>
      </c>
      <c r="H1240" s="98">
        <v>0</v>
      </c>
      <c r="I1240" s="98">
        <v>0</v>
      </c>
      <c r="J1240" s="98"/>
      <c r="K1240" s="93"/>
      <c r="L1240" s="93">
        <f t="shared" si="168"/>
        <v>0</v>
      </c>
      <c r="M1240" s="95" t="e">
        <f t="shared" ca="1" si="169"/>
        <v>#DIV/0!</v>
      </c>
      <c r="N1240" s="95">
        <f>IF(P1240="Hedge Fund",IF(A1240=Summary!$AD$3,M1240-E1240,M1240),IF(A1240=Summary!$AD$3,L1240-D1240,L1240))</f>
        <v>0</v>
      </c>
      <c r="O1240" s="95">
        <f t="shared" si="174"/>
        <v>0</v>
      </c>
      <c r="P1240" s="107" t="s">
        <v>155</v>
      </c>
      <c r="Q1240" s="107">
        <v>0</v>
      </c>
      <c r="R1240" s="107">
        <v>0</v>
      </c>
      <c r="S1240" s="107">
        <v>0</v>
      </c>
      <c r="T1240" s="107">
        <v>0</v>
      </c>
      <c r="U1240" s="107"/>
      <c r="V1240" s="107"/>
      <c r="W1240" s="107"/>
      <c r="X1240" s="107"/>
      <c r="Y1240" s="107"/>
      <c r="Z1240" s="107"/>
      <c r="AA1240" s="107"/>
      <c r="AB1240" s="107"/>
      <c r="AC1240" s="355"/>
      <c r="AD1240" s="355"/>
      <c r="AE1240" s="355"/>
      <c r="AF1240" s="94">
        <f t="shared" si="170"/>
        <v>42307</v>
      </c>
      <c r="AG1240" s="185">
        <f t="shared" si="175"/>
        <v>2.6731645394466153E-2</v>
      </c>
      <c r="AH1240" s="339" t="str">
        <f>VLOOKUP(B1240,'MF PF'!A:B,2)</f>
        <v>FdMgt1</v>
      </c>
      <c r="AI1240" s="358">
        <f t="shared" si="171"/>
        <v>0</v>
      </c>
      <c r="AJ1240" s="94">
        <f t="shared" si="172"/>
        <v>42308</v>
      </c>
    </row>
    <row r="1241" spans="1:36" ht="12.75" customHeight="1">
      <c r="A1241" s="8">
        <v>42338</v>
      </c>
      <c r="B1241" s="94" t="s">
        <v>136</v>
      </c>
      <c r="C1241" s="92" t="s">
        <v>313</v>
      </c>
      <c r="D1241" s="374">
        <v>3236025.9185000001</v>
      </c>
      <c r="E1241" s="9" t="e">
        <f t="shared" si="173"/>
        <v>#DIV/0!</v>
      </c>
      <c r="F1241" s="98">
        <v>5</v>
      </c>
      <c r="G1241" s="98">
        <v>250000</v>
      </c>
      <c r="H1241" s="98">
        <v>0</v>
      </c>
      <c r="I1241" s="98">
        <v>0</v>
      </c>
      <c r="J1241" s="98"/>
      <c r="K1241" s="93"/>
      <c r="L1241" s="93">
        <f t="shared" si="168"/>
        <v>250000</v>
      </c>
      <c r="M1241" s="95" t="e">
        <f t="shared" ca="1" si="169"/>
        <v>#DIV/0!</v>
      </c>
      <c r="N1241" s="95">
        <f>IF(P1241="Hedge Fund",IF(A1241=Summary!$AD$3,M1241-E1241,M1241),IF(A1241=Summary!$AD$3,L1241-D1241,L1241))</f>
        <v>250000</v>
      </c>
      <c r="O1241" s="95">
        <f t="shared" si="174"/>
        <v>250000</v>
      </c>
      <c r="P1241" s="107" t="s">
        <v>155</v>
      </c>
      <c r="Q1241" s="107">
        <v>0</v>
      </c>
      <c r="R1241" s="107">
        <v>0</v>
      </c>
      <c r="S1241" s="107">
        <v>0</v>
      </c>
      <c r="T1241" s="107">
        <v>0</v>
      </c>
      <c r="U1241" s="107"/>
      <c r="V1241" s="107"/>
      <c r="W1241" s="107"/>
      <c r="X1241" s="107"/>
      <c r="Y1241" s="107"/>
      <c r="Z1241" s="107"/>
      <c r="AA1241" s="107"/>
      <c r="AB1241" s="107"/>
      <c r="AC1241" s="355"/>
      <c r="AD1241" s="355"/>
      <c r="AE1241" s="355"/>
      <c r="AF1241" s="94">
        <f t="shared" si="170"/>
        <v>42338</v>
      </c>
      <c r="AG1241" s="185">
        <f t="shared" si="175"/>
        <v>-3.6954470518602012E-4</v>
      </c>
      <c r="AH1241" s="339" t="str">
        <f>VLOOKUP(B1241,'MF PF'!A:B,2)</f>
        <v>FdMgt1</v>
      </c>
      <c r="AI1241" s="358">
        <f t="shared" si="171"/>
        <v>0</v>
      </c>
      <c r="AJ1241" s="94">
        <f t="shared" si="172"/>
        <v>42338</v>
      </c>
    </row>
    <row r="1242" spans="1:36" ht="12.75" customHeight="1">
      <c r="A1242" s="8">
        <v>42369</v>
      </c>
      <c r="B1242" s="94" t="s">
        <v>136</v>
      </c>
      <c r="C1242" s="358" t="s">
        <v>313</v>
      </c>
      <c r="D1242" s="374">
        <v>3255730.7969999998</v>
      </c>
      <c r="E1242" s="95" t="e">
        <f t="shared" si="173"/>
        <v>#DIV/0!</v>
      </c>
      <c r="F1242" s="98">
        <v>5</v>
      </c>
      <c r="G1242" s="98">
        <v>0</v>
      </c>
      <c r="H1242" s="98">
        <v>0</v>
      </c>
      <c r="I1242" s="98">
        <v>0</v>
      </c>
      <c r="J1242" s="98"/>
      <c r="K1242" s="93"/>
      <c r="L1242" s="93">
        <f t="shared" si="168"/>
        <v>0</v>
      </c>
      <c r="M1242" s="95" t="e">
        <f t="shared" ca="1" si="169"/>
        <v>#DIV/0!</v>
      </c>
      <c r="N1242" s="95">
        <f>IF(P1242="Hedge Fund",IF(A1242=Summary!$AD$3,M1242-E1242,M1242),IF(A1242=Summary!$AD$3,L1242-D1242,L1242))</f>
        <v>0</v>
      </c>
      <c r="O1242" s="95">
        <f t="shared" si="174"/>
        <v>0</v>
      </c>
      <c r="P1242" s="107" t="s">
        <v>155</v>
      </c>
      <c r="Q1242" s="107">
        <v>0</v>
      </c>
      <c r="R1242" s="107">
        <v>0</v>
      </c>
      <c r="S1242" s="107">
        <v>0</v>
      </c>
      <c r="T1242" s="107">
        <v>0</v>
      </c>
      <c r="U1242" s="107"/>
      <c r="V1242" s="107"/>
      <c r="W1242" s="107"/>
      <c r="X1242" s="107"/>
      <c r="Y1242" s="107"/>
      <c r="Z1242" s="107"/>
      <c r="AA1242" s="107"/>
      <c r="AB1242" s="107"/>
      <c r="AC1242" s="355"/>
      <c r="AD1242" s="355"/>
      <c r="AE1242" s="355"/>
      <c r="AF1242" s="94">
        <f t="shared" si="170"/>
        <v>42369</v>
      </c>
      <c r="AG1242" s="185">
        <f t="shared" si="175"/>
        <v>6.0892214698742286E-3</v>
      </c>
      <c r="AH1242" s="339" t="str">
        <f>VLOOKUP(B1242,'MF PF'!A:B,2)</f>
        <v>FdMgt1</v>
      </c>
      <c r="AI1242" s="358">
        <f t="shared" si="171"/>
        <v>0</v>
      </c>
      <c r="AJ1242" s="94">
        <f t="shared" si="172"/>
        <v>42369</v>
      </c>
    </row>
    <row r="1243" spans="1:36" ht="12.75" customHeight="1">
      <c r="A1243" s="8">
        <v>42398</v>
      </c>
      <c r="B1243" s="94" t="s">
        <v>136</v>
      </c>
      <c r="C1243" s="92" t="s">
        <v>313</v>
      </c>
      <c r="D1243" s="374">
        <v>3200749.5159999998</v>
      </c>
      <c r="E1243" s="95" t="e">
        <f t="shared" si="173"/>
        <v>#DIV/0!</v>
      </c>
      <c r="F1243" s="98">
        <v>5</v>
      </c>
      <c r="G1243" s="98">
        <v>0</v>
      </c>
      <c r="H1243" s="98">
        <v>0</v>
      </c>
      <c r="I1243" s="98">
        <v>0</v>
      </c>
      <c r="J1243" s="98"/>
      <c r="K1243" s="93"/>
      <c r="L1243" s="93">
        <f t="shared" si="168"/>
        <v>0</v>
      </c>
      <c r="M1243" s="95" t="e">
        <f t="shared" ca="1" si="169"/>
        <v>#DIV/0!</v>
      </c>
      <c r="N1243" s="95">
        <f>IF(P1243="Hedge Fund",IF(A1243=Summary!$AD$3,M1243-E1243,M1243),IF(A1243=Summary!$AD$3,L1243-D1243,L1243))</f>
        <v>0</v>
      </c>
      <c r="O1243" s="95">
        <f t="shared" si="174"/>
        <v>0</v>
      </c>
      <c r="P1243" s="107" t="s">
        <v>155</v>
      </c>
      <c r="Q1243" s="107">
        <v>0</v>
      </c>
      <c r="R1243" s="107">
        <v>0</v>
      </c>
      <c r="S1243" s="107">
        <v>0</v>
      </c>
      <c r="T1243" s="107">
        <v>0</v>
      </c>
      <c r="U1243" s="107"/>
      <c r="V1243" s="107"/>
      <c r="W1243" s="107"/>
      <c r="X1243" s="107"/>
      <c r="Y1243" s="107"/>
      <c r="Z1243" s="107"/>
      <c r="AA1243" s="107"/>
      <c r="AB1243" s="107"/>
      <c r="AC1243" s="355"/>
      <c r="AD1243" s="355"/>
      <c r="AE1243" s="355"/>
      <c r="AF1243" s="94">
        <f t="shared" si="170"/>
        <v>42398</v>
      </c>
      <c r="AG1243" s="185">
        <f t="shared" si="175"/>
        <v>-1.6887539059022516E-2</v>
      </c>
      <c r="AH1243" s="339" t="str">
        <f>VLOOKUP(B1243,'MF PF'!A:B,2)</f>
        <v>FdMgt1</v>
      </c>
      <c r="AI1243" s="358">
        <f t="shared" si="171"/>
        <v>0</v>
      </c>
      <c r="AJ1243" s="94">
        <f t="shared" si="172"/>
        <v>42400</v>
      </c>
    </row>
    <row r="1244" spans="1:36" ht="12.75" customHeight="1">
      <c r="A1244" s="8">
        <v>42429</v>
      </c>
      <c r="B1244" s="94" t="s">
        <v>136</v>
      </c>
      <c r="C1244" s="92" t="s">
        <v>313</v>
      </c>
      <c r="D1244" s="374">
        <v>4381048.6349999998</v>
      </c>
      <c r="E1244" s="95" t="e">
        <f t="shared" si="173"/>
        <v>#DIV/0!</v>
      </c>
      <c r="F1244" s="47">
        <v>5</v>
      </c>
      <c r="G1244" s="47">
        <v>1120000</v>
      </c>
      <c r="H1244" s="47">
        <v>0</v>
      </c>
      <c r="I1244" s="98">
        <v>0</v>
      </c>
      <c r="J1244" s="98"/>
      <c r="K1244" s="93"/>
      <c r="L1244" s="93">
        <f t="shared" si="168"/>
        <v>1120000</v>
      </c>
      <c r="M1244" s="95" t="e">
        <f t="shared" ca="1" si="169"/>
        <v>#DIV/0!</v>
      </c>
      <c r="N1244" s="95">
        <f>IF(P1244="Hedge Fund",IF(A1244=Summary!$AD$3,M1244-E1244,M1244),IF(A1244=Summary!$AD$3,L1244-D1244,L1244))</f>
        <v>1120000</v>
      </c>
      <c r="O1244" s="95">
        <f t="shared" si="174"/>
        <v>1120000</v>
      </c>
      <c r="P1244" s="89" t="s">
        <v>155</v>
      </c>
      <c r="Q1244" s="107">
        <v>0</v>
      </c>
      <c r="R1244" s="107">
        <v>0</v>
      </c>
      <c r="S1244" s="107">
        <v>0</v>
      </c>
      <c r="T1244" s="107">
        <v>0</v>
      </c>
      <c r="U1244" s="107"/>
      <c r="V1244" s="107"/>
      <c r="W1244" s="107"/>
      <c r="X1244" s="107"/>
      <c r="Y1244" s="89"/>
      <c r="Z1244" s="89"/>
      <c r="AA1244" s="89"/>
      <c r="AB1244" s="89"/>
      <c r="AC1244" s="355"/>
      <c r="AD1244" s="355"/>
      <c r="AE1244" s="355"/>
      <c r="AF1244" s="94">
        <f t="shared" si="170"/>
        <v>42429</v>
      </c>
      <c r="AG1244" s="185">
        <f t="shared" si="175"/>
        <v>1.8839062131720929E-2</v>
      </c>
      <c r="AH1244" s="339" t="str">
        <f>VLOOKUP(B1244,'MF PF'!A:B,2)</f>
        <v>FdMgt1</v>
      </c>
      <c r="AI1244" s="358">
        <f t="shared" si="171"/>
        <v>0</v>
      </c>
      <c r="AJ1244" s="94">
        <f t="shared" si="172"/>
        <v>42429</v>
      </c>
    </row>
    <row r="1245" spans="1:36" ht="12.75" customHeight="1">
      <c r="A1245" s="8">
        <v>42460</v>
      </c>
      <c r="B1245" s="94" t="s">
        <v>136</v>
      </c>
      <c r="C1245" s="6" t="s">
        <v>313</v>
      </c>
      <c r="D1245" s="374">
        <v>4418355.5769999996</v>
      </c>
      <c r="E1245" s="95" t="e">
        <f t="shared" si="173"/>
        <v>#DIV/0!</v>
      </c>
      <c r="F1245" s="47">
        <v>5</v>
      </c>
      <c r="G1245" s="47">
        <v>0</v>
      </c>
      <c r="H1245" s="47">
        <v>0</v>
      </c>
      <c r="I1245" s="47">
        <v>0</v>
      </c>
      <c r="J1245" s="98"/>
      <c r="K1245" s="93"/>
      <c r="L1245" s="93">
        <f t="shared" si="168"/>
        <v>0</v>
      </c>
      <c r="M1245" s="95" t="e">
        <f t="shared" ca="1" si="169"/>
        <v>#DIV/0!</v>
      </c>
      <c r="N1245" s="95">
        <f>IF(P1245="Hedge Fund",IF(A1245=Summary!$AD$3,M1245-E1245,M1245),IF(A1245=Summary!$AD$3,L1245-D1245,L1245))</f>
        <v>0</v>
      </c>
      <c r="O1245" s="95">
        <f t="shared" si="174"/>
        <v>0</v>
      </c>
      <c r="P1245" s="89" t="s">
        <v>155</v>
      </c>
      <c r="Q1245" s="107">
        <v>0</v>
      </c>
      <c r="R1245" s="107">
        <v>0</v>
      </c>
      <c r="S1245" s="89">
        <v>0</v>
      </c>
      <c r="T1245" s="89">
        <v>0</v>
      </c>
      <c r="U1245" s="89"/>
      <c r="V1245" s="89"/>
      <c r="W1245" s="89"/>
      <c r="X1245" s="89"/>
      <c r="Y1245" s="89"/>
      <c r="Z1245" s="89"/>
      <c r="AA1245" s="89"/>
      <c r="AB1245" s="89"/>
      <c r="AC1245" s="355"/>
      <c r="AD1245" s="355"/>
      <c r="AE1245" s="355"/>
      <c r="AF1245" s="94">
        <f t="shared" si="170"/>
        <v>42460</v>
      </c>
      <c r="AG1245" s="185">
        <f t="shared" si="175"/>
        <v>8.5155279267972173E-3</v>
      </c>
      <c r="AH1245" s="339" t="str">
        <f>VLOOKUP(B1245,'MF PF'!A:B,2)</f>
        <v>FdMgt1</v>
      </c>
      <c r="AI1245" s="358">
        <f t="shared" si="171"/>
        <v>0</v>
      </c>
      <c r="AJ1245" s="94">
        <f t="shared" si="172"/>
        <v>42460</v>
      </c>
    </row>
    <row r="1246" spans="1:36" ht="12.75" customHeight="1">
      <c r="A1246" s="8">
        <v>42489</v>
      </c>
      <c r="B1246" s="94" t="s">
        <v>136</v>
      </c>
      <c r="C1246" s="92" t="s">
        <v>313</v>
      </c>
      <c r="D1246" s="374">
        <v>5269900.5935000004</v>
      </c>
      <c r="E1246" s="95" t="e">
        <f t="shared" si="173"/>
        <v>#DIV/0!</v>
      </c>
      <c r="F1246" s="47">
        <v>5</v>
      </c>
      <c r="G1246" s="47">
        <v>810000</v>
      </c>
      <c r="H1246" s="47">
        <v>0</v>
      </c>
      <c r="I1246" s="98">
        <v>0</v>
      </c>
      <c r="J1246" s="98"/>
      <c r="K1246" s="93"/>
      <c r="L1246" s="93">
        <f t="shared" si="168"/>
        <v>810000</v>
      </c>
      <c r="M1246" s="95" t="e">
        <f t="shared" ca="1" si="169"/>
        <v>#DIV/0!</v>
      </c>
      <c r="N1246" s="95">
        <f>IF(P1246="Hedge Fund",IF(A1246=Summary!$AD$3,M1246-E1246,M1246),IF(A1246=Summary!$AD$3,L1246-D1246,L1246))</f>
        <v>810000</v>
      </c>
      <c r="O1246" s="95">
        <f t="shared" si="174"/>
        <v>810000</v>
      </c>
      <c r="P1246" s="89" t="s">
        <v>155</v>
      </c>
      <c r="Q1246" s="107">
        <v>0</v>
      </c>
      <c r="R1246" s="107">
        <v>0</v>
      </c>
      <c r="S1246" s="89">
        <v>0</v>
      </c>
      <c r="T1246" s="89">
        <v>0</v>
      </c>
      <c r="U1246" s="89"/>
      <c r="V1246" s="89"/>
      <c r="W1246" s="89"/>
      <c r="X1246" s="89"/>
      <c r="Y1246" s="89"/>
      <c r="Z1246" s="89"/>
      <c r="AA1246" s="89"/>
      <c r="AB1246" s="89"/>
      <c r="AC1246" s="355"/>
      <c r="AD1246" s="355"/>
      <c r="AE1246" s="355"/>
      <c r="AF1246" s="94">
        <f t="shared" si="170"/>
        <v>42489</v>
      </c>
      <c r="AG1246" s="185">
        <f t="shared" si="175"/>
        <v>9.4028232395477751E-3</v>
      </c>
      <c r="AH1246" s="339" t="str">
        <f>VLOOKUP(B1246,'MF PF'!A:B,2)</f>
        <v>FdMgt1</v>
      </c>
      <c r="AI1246" s="358">
        <f t="shared" si="171"/>
        <v>0</v>
      </c>
      <c r="AJ1246" s="94">
        <f t="shared" si="172"/>
        <v>42490</v>
      </c>
    </row>
    <row r="1247" spans="1:36" ht="12.75" customHeight="1">
      <c r="A1247" s="94">
        <v>42521</v>
      </c>
      <c r="B1247" s="94" t="s">
        <v>136</v>
      </c>
      <c r="C1247" s="358" t="s">
        <v>313</v>
      </c>
      <c r="D1247" s="374">
        <v>5328694.8640000001</v>
      </c>
      <c r="E1247" s="95" t="e">
        <f t="shared" si="173"/>
        <v>#DIV/0!</v>
      </c>
      <c r="F1247" s="47">
        <v>5</v>
      </c>
      <c r="G1247" s="47">
        <v>0</v>
      </c>
      <c r="H1247" s="47">
        <v>0</v>
      </c>
      <c r="I1247" s="98">
        <v>0</v>
      </c>
      <c r="J1247" s="98"/>
      <c r="K1247" s="93"/>
      <c r="L1247" s="93">
        <f t="shared" si="168"/>
        <v>0</v>
      </c>
      <c r="M1247" s="95" t="e">
        <f t="shared" ca="1" si="169"/>
        <v>#DIV/0!</v>
      </c>
      <c r="N1247" s="95">
        <f>IF(P1247="Hedge Fund",IF(A1247=Summary!$AD$3,M1247-E1247,M1247),IF(A1247=Summary!$AD$3,L1247-D1247,L1247))</f>
        <v>0</v>
      </c>
      <c r="O1247" s="95">
        <f t="shared" si="174"/>
        <v>0</v>
      </c>
      <c r="P1247" s="89" t="s">
        <v>155</v>
      </c>
      <c r="Q1247" s="107">
        <v>0</v>
      </c>
      <c r="R1247" s="107">
        <v>0</v>
      </c>
      <c r="S1247" s="89">
        <v>0</v>
      </c>
      <c r="T1247" s="89">
        <v>0</v>
      </c>
      <c r="U1247" s="89"/>
      <c r="V1247" s="89"/>
      <c r="W1247" s="89"/>
      <c r="X1247" s="89"/>
      <c r="Y1247" s="89"/>
      <c r="Z1247" s="89"/>
      <c r="AA1247" s="89"/>
      <c r="AB1247" s="89"/>
      <c r="AC1247" s="355"/>
      <c r="AD1247" s="355"/>
      <c r="AE1247" s="355"/>
      <c r="AF1247" s="94">
        <f t="shared" si="170"/>
        <v>42521</v>
      </c>
      <c r="AG1247" s="185">
        <f t="shared" si="175"/>
        <v>1.1156618508614269E-2</v>
      </c>
      <c r="AH1247" s="339" t="str">
        <f>VLOOKUP(B1247,'MF PF'!A:B,2)</f>
        <v>FdMgt1</v>
      </c>
      <c r="AI1247" s="358">
        <f t="shared" si="171"/>
        <v>0</v>
      </c>
      <c r="AJ1247" s="94">
        <f t="shared" si="172"/>
        <v>42521</v>
      </c>
    </row>
    <row r="1248" spans="1:36" ht="12.75" customHeight="1">
      <c r="A1248" s="94">
        <v>42551</v>
      </c>
      <c r="B1248" s="94" t="s">
        <v>136</v>
      </c>
      <c r="C1248" s="358" t="s">
        <v>313</v>
      </c>
      <c r="D1248" s="374">
        <v>5450800.7980000004</v>
      </c>
      <c r="E1248" s="95" t="e">
        <f t="shared" si="173"/>
        <v>#DIV/0!</v>
      </c>
      <c r="F1248" s="47">
        <v>5</v>
      </c>
      <c r="G1248" s="47">
        <v>0</v>
      </c>
      <c r="H1248" s="47">
        <v>0</v>
      </c>
      <c r="I1248" s="98">
        <v>0</v>
      </c>
      <c r="J1248" s="98"/>
      <c r="L1248" s="93">
        <f t="shared" si="168"/>
        <v>0</v>
      </c>
      <c r="M1248" s="95" t="e">
        <f t="shared" ca="1" si="169"/>
        <v>#DIV/0!</v>
      </c>
      <c r="N1248" s="95">
        <f>IF(P1248="Hedge Fund",IF(A1248=Summary!$AD$3,M1248-E1248,M1248),IF(A1248=Summary!$AD$3,L1248-D1248,L1248))</f>
        <v>0</v>
      </c>
      <c r="O1248" s="95">
        <f t="shared" si="174"/>
        <v>0</v>
      </c>
      <c r="P1248" s="89" t="s">
        <v>155</v>
      </c>
      <c r="Q1248" s="107">
        <v>0</v>
      </c>
      <c r="R1248" s="107">
        <v>0</v>
      </c>
      <c r="S1248" s="89">
        <v>0</v>
      </c>
      <c r="T1248" s="89">
        <v>0</v>
      </c>
      <c r="U1248" s="89"/>
      <c r="V1248" s="89"/>
      <c r="W1248" s="89"/>
      <c r="X1248" s="89"/>
      <c r="Y1248" s="89"/>
      <c r="Z1248" s="89"/>
      <c r="AA1248" s="89"/>
      <c r="AB1248" s="89"/>
      <c r="AC1248" s="355"/>
      <c r="AD1248" s="355"/>
      <c r="AE1248" s="355"/>
      <c r="AF1248" s="94">
        <f t="shared" si="170"/>
        <v>42551</v>
      </c>
      <c r="AG1248" s="185">
        <f t="shared" si="175"/>
        <v>2.291479191742285E-2</v>
      </c>
      <c r="AH1248" s="339" t="str">
        <f>VLOOKUP(B1248,'MF PF'!A:B,2)</f>
        <v>FdMgt1</v>
      </c>
      <c r="AI1248" s="358">
        <f t="shared" si="171"/>
        <v>0</v>
      </c>
      <c r="AJ1248" s="94">
        <f t="shared" si="172"/>
        <v>42551</v>
      </c>
    </row>
    <row r="1249" spans="1:36" ht="12.75" customHeight="1">
      <c r="A1249" s="94">
        <v>42580</v>
      </c>
      <c r="B1249" s="94" t="s">
        <v>136</v>
      </c>
      <c r="C1249" s="358" t="s">
        <v>313</v>
      </c>
      <c r="D1249" s="374">
        <v>5487478.0259999996</v>
      </c>
      <c r="E1249" s="95" t="e">
        <f t="shared" si="173"/>
        <v>#DIV/0!</v>
      </c>
      <c r="F1249" s="47">
        <v>5</v>
      </c>
      <c r="G1249" s="47">
        <v>0</v>
      </c>
      <c r="H1249" s="47">
        <v>0</v>
      </c>
      <c r="I1249" s="98">
        <v>0</v>
      </c>
      <c r="J1249" s="98"/>
      <c r="L1249" s="93">
        <f t="shared" si="168"/>
        <v>0</v>
      </c>
      <c r="M1249" s="95" t="e">
        <f t="shared" ca="1" si="169"/>
        <v>#DIV/0!</v>
      </c>
      <c r="N1249" s="95">
        <f>IF(P1249="Hedge Fund",IF(A1249=Summary!$AD$3,M1249-E1249,M1249),IF(A1249=Summary!$AD$3,L1249-D1249,L1249))</f>
        <v>0</v>
      </c>
      <c r="O1249" s="95">
        <f t="shared" si="174"/>
        <v>0</v>
      </c>
      <c r="P1249" s="89" t="s">
        <v>155</v>
      </c>
      <c r="Q1249" s="107">
        <v>0</v>
      </c>
      <c r="R1249" s="107">
        <v>0</v>
      </c>
      <c r="S1249" s="89">
        <v>0</v>
      </c>
      <c r="T1249" s="89">
        <v>0</v>
      </c>
      <c r="U1249" s="89"/>
      <c r="V1249" s="89"/>
      <c r="W1249" s="89"/>
      <c r="X1249" s="89"/>
      <c r="Y1249" s="89"/>
      <c r="Z1249" s="89"/>
      <c r="AA1249" s="89"/>
      <c r="AB1249" s="89"/>
      <c r="AC1249" s="355"/>
      <c r="AD1249" s="355"/>
      <c r="AE1249" s="355"/>
      <c r="AF1249" s="94">
        <f t="shared" si="170"/>
        <v>42580</v>
      </c>
      <c r="AG1249" s="185">
        <f t="shared" si="175"/>
        <v>6.7287779097442435E-3</v>
      </c>
      <c r="AH1249" s="339" t="str">
        <f>VLOOKUP(B1249,'MF PF'!A:B,2)</f>
        <v>FdMgt1</v>
      </c>
      <c r="AI1249" s="358">
        <f t="shared" si="171"/>
        <v>0</v>
      </c>
      <c r="AJ1249" s="94">
        <f t="shared" si="172"/>
        <v>42582</v>
      </c>
    </row>
    <row r="1250" spans="1:36" ht="12.75" customHeight="1">
      <c r="A1250" s="8">
        <v>42613</v>
      </c>
      <c r="B1250" s="94" t="s">
        <v>136</v>
      </c>
      <c r="C1250" s="358" t="s">
        <v>313</v>
      </c>
      <c r="D1250" s="374">
        <v>5466630.7560000001</v>
      </c>
      <c r="E1250" s="9" t="e">
        <f t="shared" si="173"/>
        <v>#DIV/0!</v>
      </c>
      <c r="F1250" s="47">
        <v>5</v>
      </c>
      <c r="G1250" s="47">
        <v>0</v>
      </c>
      <c r="H1250" s="47">
        <v>0</v>
      </c>
      <c r="I1250" s="98">
        <v>0</v>
      </c>
      <c r="J1250" s="98"/>
      <c r="L1250" s="93">
        <f t="shared" si="168"/>
        <v>0</v>
      </c>
      <c r="M1250" s="95" t="e">
        <f t="shared" ca="1" si="169"/>
        <v>#DIV/0!</v>
      </c>
      <c r="N1250" s="95">
        <f>IF(P1250="Hedge Fund",IF(A1250=Summary!$AD$3,M1250-E1250,M1250),IF(A1250=Summary!$AD$3,L1250-D1250,L1250))</f>
        <v>0</v>
      </c>
      <c r="O1250" s="95">
        <f t="shared" si="174"/>
        <v>0</v>
      </c>
      <c r="P1250" s="89" t="s">
        <v>155</v>
      </c>
      <c r="Q1250" s="107">
        <v>0</v>
      </c>
      <c r="R1250" s="107">
        <v>0</v>
      </c>
      <c r="S1250" s="89">
        <v>0</v>
      </c>
      <c r="T1250" s="89">
        <v>0</v>
      </c>
      <c r="U1250" s="89"/>
      <c r="V1250" s="89"/>
      <c r="W1250" s="89"/>
      <c r="X1250" s="89"/>
      <c r="Y1250" s="89"/>
      <c r="Z1250" s="89"/>
      <c r="AA1250" s="89"/>
      <c r="AB1250" s="89"/>
      <c r="AC1250" s="355"/>
      <c r="AD1250" s="355"/>
      <c r="AE1250" s="355"/>
      <c r="AF1250" s="94">
        <f t="shared" si="170"/>
        <v>42613</v>
      </c>
      <c r="AG1250" s="185">
        <f t="shared" si="175"/>
        <v>-3.7990621376930989E-3</v>
      </c>
      <c r="AH1250" s="339" t="str">
        <f>VLOOKUP(B1250,'MF PF'!A:B,2)</f>
        <v>FdMgt1</v>
      </c>
      <c r="AI1250" s="358">
        <f t="shared" si="171"/>
        <v>0</v>
      </c>
      <c r="AJ1250" s="94">
        <f t="shared" si="172"/>
        <v>42613</v>
      </c>
    </row>
    <row r="1251" spans="1:36" ht="12.75" customHeight="1">
      <c r="A1251" s="8">
        <v>42643</v>
      </c>
      <c r="B1251" s="94" t="s">
        <v>136</v>
      </c>
      <c r="C1251" s="358" t="s">
        <v>313</v>
      </c>
      <c r="D1251" s="374">
        <v>5686290.2635000004</v>
      </c>
      <c r="E1251" s="9" t="e">
        <f t="shared" si="173"/>
        <v>#DIV/0!</v>
      </c>
      <c r="F1251" s="47">
        <v>5</v>
      </c>
      <c r="G1251" s="47">
        <v>0</v>
      </c>
      <c r="H1251" s="47">
        <v>0</v>
      </c>
      <c r="I1251" s="98">
        <v>0</v>
      </c>
      <c r="J1251" s="98"/>
      <c r="L1251" s="93">
        <f t="shared" si="168"/>
        <v>0</v>
      </c>
      <c r="M1251" s="95" t="e">
        <f t="shared" ca="1" si="169"/>
        <v>#DIV/0!</v>
      </c>
      <c r="N1251" s="95">
        <f>IF(P1251="Hedge Fund",IF(A1251=Summary!$AD$3,M1251-E1251,M1251),IF(A1251=Summary!$AD$3,L1251-D1251,L1251))</f>
        <v>0</v>
      </c>
      <c r="O1251" s="95">
        <f t="shared" si="174"/>
        <v>0</v>
      </c>
      <c r="P1251" s="89" t="s">
        <v>155</v>
      </c>
      <c r="Q1251" s="107">
        <v>0</v>
      </c>
      <c r="R1251" s="107">
        <v>0</v>
      </c>
      <c r="S1251" s="89">
        <v>0</v>
      </c>
      <c r="T1251" s="89">
        <v>0</v>
      </c>
      <c r="U1251" s="89"/>
      <c r="V1251" s="89"/>
      <c r="W1251" s="89"/>
      <c r="X1251" s="89"/>
      <c r="Y1251" s="89"/>
      <c r="Z1251" s="89"/>
      <c r="AA1251" s="89"/>
      <c r="AB1251" s="89"/>
      <c r="AC1251" s="355"/>
      <c r="AD1251" s="355"/>
      <c r="AE1251" s="355"/>
      <c r="AF1251" s="94">
        <f t="shared" si="170"/>
        <v>42643</v>
      </c>
      <c r="AG1251" s="185">
        <f t="shared" si="175"/>
        <v>4.0181881181367229E-2</v>
      </c>
      <c r="AH1251" s="339" t="str">
        <f>VLOOKUP(B1251,'MF PF'!A:B,2)</f>
        <v>FdMgt1</v>
      </c>
      <c r="AI1251" s="358">
        <f t="shared" si="171"/>
        <v>0</v>
      </c>
      <c r="AJ1251" s="94">
        <f t="shared" si="172"/>
        <v>42643</v>
      </c>
    </row>
    <row r="1252" spans="1:36" ht="12.75" customHeight="1">
      <c r="A1252" s="94">
        <v>42674</v>
      </c>
      <c r="B1252" s="94" t="s">
        <v>136</v>
      </c>
      <c r="C1252" s="358" t="s">
        <v>313</v>
      </c>
      <c r="D1252" s="374">
        <v>5817117.0954999998</v>
      </c>
      <c r="E1252" s="9" t="e">
        <f t="shared" si="173"/>
        <v>#DIV/0!</v>
      </c>
      <c r="F1252" s="47">
        <v>5</v>
      </c>
      <c r="G1252" s="47">
        <v>0</v>
      </c>
      <c r="H1252" s="47">
        <v>0</v>
      </c>
      <c r="I1252" s="47">
        <v>0</v>
      </c>
      <c r="J1252" s="98"/>
      <c r="L1252" s="93">
        <f t="shared" si="168"/>
        <v>0</v>
      </c>
      <c r="M1252" s="95" t="e">
        <f t="shared" ca="1" si="169"/>
        <v>#DIV/0!</v>
      </c>
      <c r="N1252" s="95">
        <f>IF(P1252="Hedge Fund",IF(A1252=Summary!$AD$3,M1252-E1252,M1252),IF(A1252=Summary!$AD$3,L1252-D1252,L1252))</f>
        <v>0</v>
      </c>
      <c r="O1252" s="95">
        <f t="shared" si="174"/>
        <v>0</v>
      </c>
      <c r="P1252" s="89" t="s">
        <v>155</v>
      </c>
      <c r="Q1252" s="89">
        <v>0</v>
      </c>
      <c r="R1252" s="107">
        <v>0</v>
      </c>
      <c r="S1252" s="89">
        <v>0</v>
      </c>
      <c r="T1252" s="89">
        <v>0</v>
      </c>
      <c r="U1252" s="89"/>
      <c r="V1252" s="89"/>
      <c r="W1252" s="89"/>
      <c r="X1252" s="89"/>
      <c r="Y1252" s="89"/>
      <c r="Z1252" s="89"/>
      <c r="AA1252" s="89"/>
      <c r="AB1252" s="89"/>
      <c r="AC1252" s="355"/>
      <c r="AD1252" s="355"/>
      <c r="AE1252" s="355"/>
      <c r="AF1252" s="94">
        <f t="shared" si="170"/>
        <v>42674</v>
      </c>
      <c r="AG1252" s="185">
        <f t="shared" si="175"/>
        <v>2.3007413610200311E-2</v>
      </c>
      <c r="AH1252" s="339" t="str">
        <f>VLOOKUP(B1252,'MF PF'!A:B,2)</f>
        <v>FdMgt1</v>
      </c>
      <c r="AI1252" s="358">
        <f t="shared" si="171"/>
        <v>0</v>
      </c>
      <c r="AJ1252" s="94">
        <f t="shared" si="172"/>
        <v>42674</v>
      </c>
    </row>
    <row r="1253" spans="1:36" ht="12.75" customHeight="1">
      <c r="A1253" s="8">
        <v>42704</v>
      </c>
      <c r="B1253" s="94" t="s">
        <v>136</v>
      </c>
      <c r="C1253" s="358" t="s">
        <v>313</v>
      </c>
      <c r="D1253" s="374">
        <v>5840102.8295</v>
      </c>
      <c r="E1253" s="9" t="e">
        <f t="shared" si="173"/>
        <v>#DIV/0!</v>
      </c>
      <c r="F1253" s="47">
        <v>5</v>
      </c>
      <c r="G1253" s="47">
        <v>0</v>
      </c>
      <c r="H1253" s="47">
        <v>0</v>
      </c>
      <c r="I1253" s="47">
        <v>0</v>
      </c>
      <c r="J1253" s="98"/>
      <c r="L1253" s="93">
        <f t="shared" si="168"/>
        <v>0</v>
      </c>
      <c r="M1253" s="95" t="e">
        <f t="shared" ca="1" si="169"/>
        <v>#DIV/0!</v>
      </c>
      <c r="N1253" s="95">
        <f>IF(P1253="Hedge Fund",IF(A1253=Summary!$AD$3,M1253-E1253,M1253),IF(A1253=Summary!$AD$3,L1253-D1253,L1253))</f>
        <v>0</v>
      </c>
      <c r="O1253" s="95">
        <f t="shared" si="174"/>
        <v>0</v>
      </c>
      <c r="P1253" s="89" t="s">
        <v>155</v>
      </c>
      <c r="Q1253" s="89">
        <v>0</v>
      </c>
      <c r="R1253" s="107">
        <v>0</v>
      </c>
      <c r="S1253" s="89">
        <v>0</v>
      </c>
      <c r="T1253" s="89">
        <v>0</v>
      </c>
      <c r="U1253" s="89"/>
      <c r="V1253" s="89"/>
      <c r="W1253" s="89"/>
      <c r="X1253" s="89"/>
      <c r="Y1253" s="89"/>
      <c r="Z1253" s="89"/>
      <c r="AA1253" s="89"/>
      <c r="AB1253" s="89"/>
      <c r="AC1253" s="355"/>
      <c r="AD1253" s="355"/>
      <c r="AE1253" s="355"/>
      <c r="AF1253" s="94">
        <f t="shared" si="170"/>
        <v>42704</v>
      </c>
      <c r="AG1253" s="185">
        <f t="shared" si="175"/>
        <v>3.9513961336246073E-3</v>
      </c>
      <c r="AH1253" s="339" t="str">
        <f>VLOOKUP(B1253,'MF PF'!A:B,2)</f>
        <v>FdMgt1</v>
      </c>
      <c r="AI1253" s="358">
        <f t="shared" si="171"/>
        <v>0</v>
      </c>
      <c r="AJ1253" s="94">
        <f t="shared" si="172"/>
        <v>42704</v>
      </c>
    </row>
    <row r="1254" spans="1:36" ht="12.75" customHeight="1">
      <c r="A1254" s="94">
        <v>42734</v>
      </c>
      <c r="B1254" s="94" t="s">
        <v>136</v>
      </c>
      <c r="C1254" s="92" t="s">
        <v>313</v>
      </c>
      <c r="D1254" s="374">
        <v>5813898.0944999997</v>
      </c>
      <c r="E1254" s="9" t="e">
        <f t="shared" si="173"/>
        <v>#DIV/0!</v>
      </c>
      <c r="F1254" s="98">
        <v>5</v>
      </c>
      <c r="G1254" s="98">
        <v>0</v>
      </c>
      <c r="H1254" s="98">
        <v>0</v>
      </c>
      <c r="I1254" s="98">
        <v>0</v>
      </c>
      <c r="J1254" s="98"/>
      <c r="L1254" s="93">
        <f t="shared" si="168"/>
        <v>0</v>
      </c>
      <c r="M1254" s="95" t="e">
        <f t="shared" ca="1" si="169"/>
        <v>#DIV/0!</v>
      </c>
      <c r="N1254" s="95">
        <f>IF(P1254="Hedge Fund",IF(A1254=Summary!$AD$3,M1254-E1254,M1254),IF(A1254=Summary!$AD$3,L1254-D1254,L1254))</f>
        <v>0</v>
      </c>
      <c r="O1254" s="95">
        <f t="shared" si="174"/>
        <v>0</v>
      </c>
      <c r="P1254" s="107" t="s">
        <v>155</v>
      </c>
      <c r="Q1254" s="107">
        <v>0</v>
      </c>
      <c r="R1254" s="107">
        <v>0</v>
      </c>
      <c r="S1254" s="107">
        <v>0</v>
      </c>
      <c r="T1254" s="107">
        <v>0</v>
      </c>
      <c r="U1254" s="107"/>
      <c r="V1254" s="107"/>
      <c r="W1254" s="107"/>
      <c r="X1254" s="107"/>
      <c r="Y1254" s="107"/>
      <c r="Z1254" s="107"/>
      <c r="AA1254" s="107"/>
      <c r="AB1254" s="107"/>
      <c r="AC1254" s="355"/>
      <c r="AD1254" s="355"/>
      <c r="AE1254" s="355"/>
      <c r="AF1254" s="94">
        <f t="shared" si="170"/>
        <v>42734</v>
      </c>
      <c r="AG1254" s="185">
        <f t="shared" si="175"/>
        <v>-4.4870331507919081E-3</v>
      </c>
      <c r="AH1254" s="339" t="str">
        <f>VLOOKUP(B1254,'MF PF'!A:B,2)</f>
        <v>FdMgt1</v>
      </c>
      <c r="AI1254" s="358">
        <f t="shared" si="171"/>
        <v>0</v>
      </c>
      <c r="AJ1254" s="94">
        <f t="shared" si="172"/>
        <v>42735</v>
      </c>
    </row>
    <row r="1255" spans="1:36" ht="12.75" customHeight="1">
      <c r="A1255" s="8">
        <v>42762</v>
      </c>
      <c r="B1255" s="94" t="s">
        <v>136</v>
      </c>
      <c r="C1255" s="6" t="s">
        <v>313</v>
      </c>
      <c r="D1255" s="374">
        <v>5892575.6670000004</v>
      </c>
      <c r="E1255" s="9" t="e">
        <f t="shared" si="173"/>
        <v>#DIV/0!</v>
      </c>
      <c r="F1255" s="98">
        <v>5</v>
      </c>
      <c r="G1255" s="98">
        <v>0</v>
      </c>
      <c r="H1255" s="98">
        <v>0</v>
      </c>
      <c r="I1255" s="98">
        <v>0</v>
      </c>
      <c r="J1255" s="98"/>
      <c r="L1255" s="93">
        <f t="shared" si="168"/>
        <v>0</v>
      </c>
      <c r="M1255" s="95" t="e">
        <f t="shared" ca="1" si="169"/>
        <v>#DIV/0!</v>
      </c>
      <c r="N1255" s="95">
        <f>IF(P1255="Hedge Fund",IF(A1255=Summary!$AD$3,M1255-E1255,M1255),IF(A1255=Summary!$AD$3,L1255-D1255,L1255))</f>
        <v>0</v>
      </c>
      <c r="O1255" s="95">
        <f t="shared" si="174"/>
        <v>0</v>
      </c>
      <c r="P1255" s="107" t="s">
        <v>155</v>
      </c>
      <c r="Q1255" s="107">
        <v>0</v>
      </c>
      <c r="R1255" s="107">
        <v>0</v>
      </c>
      <c r="S1255" s="107">
        <v>0</v>
      </c>
      <c r="T1255" s="107">
        <v>0</v>
      </c>
      <c r="U1255" s="107"/>
      <c r="V1255" s="107"/>
      <c r="W1255" s="107"/>
      <c r="X1255" s="107"/>
      <c r="Y1255" s="107"/>
      <c r="Z1255" s="107"/>
      <c r="AA1255" s="107"/>
      <c r="AB1255" s="107"/>
      <c r="AC1255" s="355"/>
      <c r="AD1255" s="355"/>
      <c r="AE1255" s="355"/>
      <c r="AF1255" s="94">
        <f t="shared" si="170"/>
        <v>42762</v>
      </c>
      <c r="AG1255" s="185">
        <f t="shared" si="175"/>
        <v>1.3532671405855901E-2</v>
      </c>
      <c r="AH1255" s="339" t="str">
        <f>VLOOKUP(B1255,'MF PF'!A:B,2)</f>
        <v>FdMgt1</v>
      </c>
      <c r="AI1255" s="358">
        <f t="shared" si="171"/>
        <v>0</v>
      </c>
      <c r="AJ1255" s="94">
        <f t="shared" si="172"/>
        <v>42766</v>
      </c>
    </row>
    <row r="1256" spans="1:36" ht="12.75" customHeight="1">
      <c r="A1256" s="94">
        <v>42794</v>
      </c>
      <c r="B1256" s="94" t="s">
        <v>136</v>
      </c>
      <c r="C1256" s="358" t="s">
        <v>313</v>
      </c>
      <c r="D1256" s="374">
        <v>6089383.1540000001</v>
      </c>
      <c r="E1256" s="9" t="e">
        <f t="shared" si="173"/>
        <v>#DIV/0!</v>
      </c>
      <c r="F1256" s="47">
        <v>5</v>
      </c>
      <c r="G1256" s="47">
        <v>0</v>
      </c>
      <c r="H1256" s="47">
        <v>0</v>
      </c>
      <c r="I1256" s="98">
        <v>0</v>
      </c>
      <c r="J1256" s="98"/>
      <c r="L1256" s="93">
        <f t="shared" si="168"/>
        <v>0</v>
      </c>
      <c r="M1256" s="95" t="e">
        <f t="shared" ca="1" si="169"/>
        <v>#DIV/0!</v>
      </c>
      <c r="N1256" s="95">
        <f>IF(P1256="Hedge Fund",IF(A1256=Summary!$AD$3,M1256-E1256,M1256),IF(A1256=Summary!$AD$3,L1256-D1256,L1256))</f>
        <v>0</v>
      </c>
      <c r="O1256" s="95">
        <f t="shared" si="174"/>
        <v>0</v>
      </c>
      <c r="P1256" s="89" t="s">
        <v>155</v>
      </c>
      <c r="Q1256" s="107">
        <v>0</v>
      </c>
      <c r="R1256" s="107">
        <v>0</v>
      </c>
      <c r="S1256" s="89">
        <v>0</v>
      </c>
      <c r="T1256" s="89">
        <v>0</v>
      </c>
      <c r="U1256" s="89"/>
      <c r="V1256" s="89"/>
      <c r="W1256" s="89"/>
      <c r="X1256" s="89"/>
      <c r="Y1256" s="89"/>
      <c r="Z1256" s="89"/>
      <c r="AA1256" s="89"/>
      <c r="AB1256" s="89"/>
      <c r="AC1256" s="355"/>
      <c r="AD1256" s="355"/>
      <c r="AE1256" s="355"/>
      <c r="AF1256" s="94">
        <f t="shared" si="170"/>
        <v>42794</v>
      </c>
      <c r="AG1256" s="185">
        <f t="shared" si="175"/>
        <v>3.3399229491811955E-2</v>
      </c>
      <c r="AH1256" s="339" t="str">
        <f>VLOOKUP(B1256,'MF PF'!A:B,2)</f>
        <v>FdMgt1</v>
      </c>
      <c r="AI1256" s="358">
        <f t="shared" si="171"/>
        <v>0</v>
      </c>
      <c r="AJ1256" s="94">
        <f t="shared" si="172"/>
        <v>42794</v>
      </c>
    </row>
    <row r="1257" spans="1:36" ht="12.75" customHeight="1">
      <c r="A1257" s="94">
        <v>42825</v>
      </c>
      <c r="B1257" s="94" t="s">
        <v>136</v>
      </c>
      <c r="C1257" s="358" t="s">
        <v>313</v>
      </c>
      <c r="D1257" s="374">
        <v>6019948.6174999997</v>
      </c>
      <c r="E1257" s="9" t="e">
        <f t="shared" si="173"/>
        <v>#DIV/0!</v>
      </c>
      <c r="F1257" s="47">
        <v>5</v>
      </c>
      <c r="G1257" s="47">
        <v>0</v>
      </c>
      <c r="H1257" s="47">
        <v>0</v>
      </c>
      <c r="I1257" s="98">
        <v>0</v>
      </c>
      <c r="J1257" s="98"/>
      <c r="L1257" s="93">
        <f t="shared" si="168"/>
        <v>0</v>
      </c>
      <c r="M1257" s="95" t="e">
        <f t="shared" ca="1" si="169"/>
        <v>#DIV/0!</v>
      </c>
      <c r="N1257" s="95">
        <f>IF(P1257="Hedge Fund",IF(A1257=Summary!$AD$3,M1257-E1257,M1257),IF(A1257=Summary!$AD$3,L1257-D1257,L1257))</f>
        <v>0</v>
      </c>
      <c r="O1257" s="95">
        <f t="shared" si="174"/>
        <v>0</v>
      </c>
      <c r="P1257" s="89" t="s">
        <v>155</v>
      </c>
      <c r="Q1257" s="107">
        <v>0</v>
      </c>
      <c r="R1257" s="107">
        <v>0</v>
      </c>
      <c r="S1257" s="89">
        <v>0</v>
      </c>
      <c r="T1257" s="89">
        <v>0</v>
      </c>
      <c r="U1257" s="89"/>
      <c r="V1257" s="89"/>
      <c r="W1257" s="89"/>
      <c r="X1257" s="89"/>
      <c r="Y1257" s="89"/>
      <c r="Z1257" s="89"/>
      <c r="AA1257" s="89"/>
      <c r="AB1257" s="89"/>
      <c r="AC1257" s="355"/>
      <c r="AD1257" s="355"/>
      <c r="AE1257" s="355"/>
      <c r="AF1257" s="94">
        <f t="shared" si="170"/>
        <v>42825</v>
      </c>
      <c r="AG1257" s="185">
        <f t="shared" si="175"/>
        <v>-1.1402556670192521E-2</v>
      </c>
      <c r="AH1257" s="339" t="str">
        <f>VLOOKUP(B1257,'MF PF'!A:B,2)</f>
        <v>FdMgt1</v>
      </c>
      <c r="AI1257" s="358">
        <f t="shared" si="171"/>
        <v>0</v>
      </c>
      <c r="AJ1257" s="94">
        <f t="shared" si="172"/>
        <v>42825</v>
      </c>
    </row>
    <row r="1258" spans="1:36" ht="12.75" customHeight="1">
      <c r="A1258" s="8">
        <v>42853</v>
      </c>
      <c r="B1258" s="94" t="s">
        <v>136</v>
      </c>
      <c r="C1258" s="358" t="s">
        <v>313</v>
      </c>
      <c r="D1258" s="374">
        <v>6013073.9199999999</v>
      </c>
      <c r="E1258" s="9" t="e">
        <f t="shared" si="173"/>
        <v>#DIV/0!</v>
      </c>
      <c r="F1258" s="47">
        <v>5</v>
      </c>
      <c r="G1258" s="47">
        <v>0</v>
      </c>
      <c r="H1258" s="47">
        <v>0</v>
      </c>
      <c r="I1258" s="98">
        <v>0</v>
      </c>
      <c r="J1258" s="98"/>
      <c r="L1258" s="93">
        <f t="shared" si="168"/>
        <v>0</v>
      </c>
      <c r="M1258" s="95" t="e">
        <f t="shared" ca="1" si="169"/>
        <v>#DIV/0!</v>
      </c>
      <c r="N1258" s="95">
        <f>IF(P1258="Hedge Fund",IF(A1258=Summary!$AD$3,M1258-E1258,M1258),IF(A1258=Summary!$AD$3,L1258-D1258,L1258))</f>
        <v>0</v>
      </c>
      <c r="O1258" s="95">
        <f t="shared" si="174"/>
        <v>0</v>
      </c>
      <c r="P1258" s="89" t="s">
        <v>155</v>
      </c>
      <c r="Q1258" s="107">
        <v>0</v>
      </c>
      <c r="R1258" s="107">
        <v>0</v>
      </c>
      <c r="S1258" s="89">
        <v>0</v>
      </c>
      <c r="T1258" s="89">
        <v>0</v>
      </c>
      <c r="U1258" s="89"/>
      <c r="V1258" s="89"/>
      <c r="W1258" s="89"/>
      <c r="X1258" s="89"/>
      <c r="Y1258" s="89"/>
      <c r="Z1258" s="89"/>
      <c r="AA1258" s="89"/>
      <c r="AB1258" s="89"/>
      <c r="AC1258" s="355"/>
      <c r="AD1258" s="355"/>
      <c r="AE1258" s="355"/>
      <c r="AF1258" s="94">
        <f t="shared" si="170"/>
        <v>42853</v>
      </c>
      <c r="AG1258" s="185">
        <f t="shared" si="175"/>
        <v>-1.1419860760962797E-3</v>
      </c>
      <c r="AH1258" s="339" t="str">
        <f>VLOOKUP(B1258,'MF PF'!A:B,2)</f>
        <v>FdMgt1</v>
      </c>
      <c r="AI1258" s="358">
        <f t="shared" si="171"/>
        <v>0</v>
      </c>
      <c r="AJ1258" s="94">
        <f t="shared" si="172"/>
        <v>42855</v>
      </c>
    </row>
    <row r="1259" spans="1:36" ht="12.75" customHeight="1">
      <c r="A1259" s="8">
        <v>42886</v>
      </c>
      <c r="B1259" s="94" t="s">
        <v>136</v>
      </c>
      <c r="C1259" s="358" t="s">
        <v>313</v>
      </c>
      <c r="D1259" s="374">
        <v>6041855.9225000003</v>
      </c>
      <c r="E1259" s="9" t="e">
        <f t="shared" si="173"/>
        <v>#DIV/0!</v>
      </c>
      <c r="F1259" s="47">
        <v>5</v>
      </c>
      <c r="G1259" s="47">
        <v>0</v>
      </c>
      <c r="H1259" s="47">
        <v>0</v>
      </c>
      <c r="I1259" s="98">
        <v>0</v>
      </c>
      <c r="J1259" s="98"/>
      <c r="L1259" s="93">
        <f t="shared" si="168"/>
        <v>0</v>
      </c>
      <c r="M1259" s="95" t="e">
        <f t="shared" ca="1" si="169"/>
        <v>#DIV/0!</v>
      </c>
      <c r="N1259" s="95">
        <f>IF(P1259="Hedge Fund",IF(A1259=Summary!$AD$3,M1259-E1259,M1259),IF(A1259=Summary!$AD$3,L1259-D1259,L1259))</f>
        <v>0</v>
      </c>
      <c r="O1259" s="95">
        <f t="shared" si="174"/>
        <v>0</v>
      </c>
      <c r="P1259" s="89" t="s">
        <v>155</v>
      </c>
      <c r="Q1259" s="107">
        <v>0</v>
      </c>
      <c r="R1259" s="107">
        <v>0</v>
      </c>
      <c r="S1259" s="89">
        <v>0</v>
      </c>
      <c r="T1259" s="89">
        <v>0</v>
      </c>
      <c r="U1259" s="89"/>
      <c r="V1259" s="89"/>
      <c r="W1259" s="89"/>
      <c r="X1259" s="89"/>
      <c r="Y1259" s="89"/>
      <c r="Z1259" s="89"/>
      <c r="AA1259" s="89"/>
      <c r="AB1259" s="89"/>
      <c r="AC1259" s="355"/>
      <c r="AD1259" s="355"/>
      <c r="AE1259" s="355"/>
      <c r="AF1259" s="94">
        <f t="shared" si="170"/>
        <v>42886</v>
      </c>
      <c r="AG1259" s="185">
        <f t="shared" si="175"/>
        <v>4.7865705432739158E-3</v>
      </c>
      <c r="AH1259" s="339" t="str">
        <f>VLOOKUP(B1259,'MF PF'!A:B,2)</f>
        <v>FdMgt1</v>
      </c>
      <c r="AI1259" s="358">
        <f t="shared" si="171"/>
        <v>0</v>
      </c>
      <c r="AJ1259" s="94">
        <f t="shared" si="172"/>
        <v>42886</v>
      </c>
    </row>
    <row r="1260" spans="1:36" ht="12.75" customHeight="1">
      <c r="A1260" s="8">
        <v>42916</v>
      </c>
      <c r="B1260" s="94" t="s">
        <v>136</v>
      </c>
      <c r="C1260" s="358" t="s">
        <v>313</v>
      </c>
      <c r="D1260" s="374">
        <v>6089193.7314999998</v>
      </c>
      <c r="E1260" s="9" t="e">
        <f t="shared" si="173"/>
        <v>#DIV/0!</v>
      </c>
      <c r="F1260" s="98">
        <v>5</v>
      </c>
      <c r="G1260" s="98">
        <v>0</v>
      </c>
      <c r="H1260" s="98">
        <v>0</v>
      </c>
      <c r="I1260" s="98">
        <v>0</v>
      </c>
      <c r="J1260" s="98"/>
      <c r="K1260" s="93"/>
      <c r="L1260" s="93">
        <f t="shared" si="168"/>
        <v>0</v>
      </c>
      <c r="M1260" s="95" t="e">
        <f t="shared" ca="1" si="169"/>
        <v>#DIV/0!</v>
      </c>
      <c r="N1260" s="95">
        <f>IF(P1260="Hedge Fund",IF(A1260=Summary!$AD$3,M1260-E1260,M1260),IF(A1260=Summary!$AD$3,L1260-D1260,L1260))</f>
        <v>0</v>
      </c>
      <c r="O1260" s="95">
        <f t="shared" si="174"/>
        <v>0</v>
      </c>
      <c r="P1260" s="107" t="s">
        <v>155</v>
      </c>
      <c r="Q1260" s="107">
        <v>0</v>
      </c>
      <c r="R1260" s="107">
        <v>0</v>
      </c>
      <c r="S1260" s="107">
        <v>0</v>
      </c>
      <c r="T1260" s="107">
        <v>0</v>
      </c>
      <c r="U1260" s="107"/>
      <c r="V1260" s="107"/>
      <c r="W1260" s="107"/>
      <c r="X1260" s="107"/>
      <c r="Y1260" s="107"/>
      <c r="Z1260" s="107"/>
      <c r="AA1260" s="107"/>
      <c r="AB1260" s="107"/>
      <c r="AC1260" s="355"/>
      <c r="AD1260" s="355"/>
      <c r="AE1260" s="355"/>
      <c r="AF1260" s="94">
        <f t="shared" si="170"/>
        <v>42916</v>
      </c>
      <c r="AG1260" s="185">
        <f t="shared" si="175"/>
        <v>7.8349781271203067E-3</v>
      </c>
      <c r="AH1260" s="339" t="str">
        <f>VLOOKUP(B1260,'MF PF'!A:B,2)</f>
        <v>FdMgt1</v>
      </c>
      <c r="AI1260" s="358">
        <f t="shared" si="171"/>
        <v>0</v>
      </c>
      <c r="AJ1260" s="94">
        <f t="shared" si="172"/>
        <v>42916</v>
      </c>
    </row>
    <row r="1261" spans="1:36" ht="12.75" customHeight="1">
      <c r="A1261" s="94">
        <v>42947</v>
      </c>
      <c r="B1261" s="94" t="s">
        <v>136</v>
      </c>
      <c r="C1261" s="358" t="s">
        <v>313</v>
      </c>
      <c r="D1261" s="374">
        <v>6191735.0630000001</v>
      </c>
      <c r="E1261" s="9" t="e">
        <f t="shared" si="173"/>
        <v>#DIV/0!</v>
      </c>
      <c r="F1261" s="98">
        <v>5</v>
      </c>
      <c r="G1261" s="98">
        <v>0</v>
      </c>
      <c r="H1261" s="98">
        <v>0</v>
      </c>
      <c r="I1261" s="98">
        <v>0</v>
      </c>
      <c r="J1261" s="98"/>
      <c r="K1261" s="93"/>
      <c r="L1261" s="93">
        <f t="shared" si="168"/>
        <v>0</v>
      </c>
      <c r="M1261" s="95" t="e">
        <f t="shared" ca="1" si="169"/>
        <v>#DIV/0!</v>
      </c>
      <c r="N1261" s="95">
        <f>IF(P1261="Hedge Fund",IF(A1261=Summary!$AD$3,M1261-E1261,M1261),IF(A1261=Summary!$AD$3,L1261-D1261,L1261))</f>
        <v>0</v>
      </c>
      <c r="O1261" s="95">
        <f t="shared" si="174"/>
        <v>0</v>
      </c>
      <c r="P1261" s="107" t="s">
        <v>155</v>
      </c>
      <c r="Q1261" s="107">
        <v>0</v>
      </c>
      <c r="R1261" s="107">
        <v>0</v>
      </c>
      <c r="S1261" s="107">
        <v>0</v>
      </c>
      <c r="T1261" s="107">
        <v>0</v>
      </c>
      <c r="U1261" s="107"/>
      <c r="V1261" s="107"/>
      <c r="W1261" s="107"/>
      <c r="X1261" s="107"/>
      <c r="Y1261" s="107"/>
      <c r="Z1261" s="107"/>
      <c r="AA1261" s="107"/>
      <c r="AB1261" s="107"/>
      <c r="AC1261" s="355"/>
      <c r="AD1261" s="355"/>
      <c r="AE1261" s="355"/>
      <c r="AF1261" s="94">
        <f t="shared" si="170"/>
        <v>42947</v>
      </c>
      <c r="AG1261" s="185">
        <f t="shared" si="175"/>
        <v>1.6839886530386483E-2</v>
      </c>
      <c r="AH1261" s="339" t="str">
        <f>VLOOKUP(B1261,'MF PF'!A:B,2)</f>
        <v>FdMgt1</v>
      </c>
      <c r="AI1261" s="358">
        <f t="shared" si="171"/>
        <v>0</v>
      </c>
      <c r="AJ1261" s="94">
        <f t="shared" si="172"/>
        <v>42947</v>
      </c>
    </row>
    <row r="1262" spans="1:36" ht="12.75" customHeight="1">
      <c r="A1262" s="94">
        <v>42978</v>
      </c>
      <c r="B1262" s="94" t="s">
        <v>136</v>
      </c>
      <c r="C1262" s="358" t="s">
        <v>313</v>
      </c>
      <c r="D1262" s="374">
        <v>6208000</v>
      </c>
      <c r="E1262" s="9" t="e">
        <f t="shared" si="173"/>
        <v>#DIV/0!</v>
      </c>
      <c r="F1262" s="47">
        <v>5</v>
      </c>
      <c r="G1262" s="47">
        <v>0</v>
      </c>
      <c r="H1262" s="47">
        <v>0</v>
      </c>
      <c r="I1262" s="47">
        <v>0</v>
      </c>
      <c r="J1262" s="98"/>
      <c r="K1262" s="93"/>
      <c r="L1262" s="93">
        <f t="shared" si="168"/>
        <v>0</v>
      </c>
      <c r="M1262" s="95" t="e">
        <f t="shared" ca="1" si="169"/>
        <v>#DIV/0!</v>
      </c>
      <c r="N1262" s="95">
        <f>IF(P1262="Hedge Fund",IF(A1262=Summary!$AD$3,M1262-E1262,M1262),IF(A1262=Summary!$AD$3,L1262-D1262,L1262))</f>
        <v>0</v>
      </c>
      <c r="O1262" s="95">
        <f t="shared" si="174"/>
        <v>0</v>
      </c>
      <c r="P1262" s="89" t="s">
        <v>155</v>
      </c>
      <c r="Q1262" s="107">
        <v>0</v>
      </c>
      <c r="R1262" s="107">
        <v>0</v>
      </c>
      <c r="S1262" s="89">
        <v>0</v>
      </c>
      <c r="T1262" s="89">
        <v>0</v>
      </c>
      <c r="U1262" s="89"/>
      <c r="V1262" s="89"/>
      <c r="W1262" s="89"/>
      <c r="X1262" s="89"/>
      <c r="Y1262" s="89"/>
      <c r="Z1262" s="89"/>
      <c r="AA1262" s="89"/>
      <c r="AB1262" s="89"/>
      <c r="AC1262" s="355"/>
      <c r="AD1262" s="355"/>
      <c r="AE1262" s="355"/>
      <c r="AF1262" s="94">
        <f t="shared" si="170"/>
        <v>42978</v>
      </c>
      <c r="AG1262" s="185">
        <f t="shared" si="175"/>
        <v>2.6268787075847122E-3</v>
      </c>
      <c r="AH1262" s="339" t="str">
        <f>VLOOKUP(B1262,'MF PF'!A:B,2)</f>
        <v>FdMgt1</v>
      </c>
      <c r="AI1262" s="358">
        <f t="shared" si="171"/>
        <v>0</v>
      </c>
      <c r="AJ1262" s="94">
        <f t="shared" si="172"/>
        <v>42978</v>
      </c>
    </row>
    <row r="1263" spans="1:36" ht="12.75" customHeight="1">
      <c r="A1263" s="8">
        <v>43007</v>
      </c>
      <c r="B1263" s="94" t="s">
        <v>136</v>
      </c>
      <c r="C1263" s="358" t="s">
        <v>313</v>
      </c>
      <c r="D1263" s="374">
        <v>6195650.0690162117</v>
      </c>
      <c r="E1263" s="9" t="e">
        <f t="shared" si="173"/>
        <v>#DIV/0!</v>
      </c>
      <c r="F1263" s="47">
        <v>5</v>
      </c>
      <c r="G1263" s="47">
        <v>0</v>
      </c>
      <c r="H1263" s="47">
        <v>0</v>
      </c>
      <c r="I1263" s="47">
        <v>0</v>
      </c>
      <c r="J1263" s="98"/>
      <c r="L1263" s="93">
        <f t="shared" si="168"/>
        <v>0</v>
      </c>
      <c r="M1263" s="95" t="e">
        <f t="shared" ca="1" si="169"/>
        <v>#DIV/0!</v>
      </c>
      <c r="N1263" s="95">
        <f>IF(P1263="Hedge Fund",IF(A1263=Summary!$AD$3,M1263-E1263,M1263),IF(A1263=Summary!$AD$3,L1263-D1263,L1263))</f>
        <v>0</v>
      </c>
      <c r="O1263" s="95">
        <f t="shared" si="174"/>
        <v>0</v>
      </c>
      <c r="P1263" s="89" t="s">
        <v>155</v>
      </c>
      <c r="Q1263" s="107">
        <v>0</v>
      </c>
      <c r="R1263" s="107">
        <v>0</v>
      </c>
      <c r="S1263" s="89">
        <v>0</v>
      </c>
      <c r="T1263" s="89">
        <v>0</v>
      </c>
      <c r="U1263" s="89"/>
      <c r="V1263" s="89"/>
      <c r="W1263" s="89"/>
      <c r="X1263" s="89"/>
      <c r="Y1263" s="89"/>
      <c r="Z1263" s="89"/>
      <c r="AA1263" s="89"/>
      <c r="AB1263" s="89"/>
      <c r="AC1263" s="355"/>
      <c r="AD1263" s="355"/>
      <c r="AE1263" s="355"/>
      <c r="AF1263" s="94">
        <f t="shared" si="170"/>
        <v>43007</v>
      </c>
      <c r="AG1263" s="185">
        <f t="shared" si="175"/>
        <v>-1.9893574393988755E-3</v>
      </c>
      <c r="AH1263" s="339" t="str">
        <f>VLOOKUP(B1263,'MF PF'!A:B,2)</f>
        <v>FdMgt1</v>
      </c>
      <c r="AI1263" s="358">
        <f t="shared" si="171"/>
        <v>0</v>
      </c>
      <c r="AJ1263" s="94">
        <f t="shared" si="172"/>
        <v>43008</v>
      </c>
    </row>
    <row r="1264" spans="1:36" ht="12.75" customHeight="1">
      <c r="A1264" s="8">
        <v>43039</v>
      </c>
      <c r="B1264" s="94" t="s">
        <v>136</v>
      </c>
      <c r="C1264" s="92" t="s">
        <v>313</v>
      </c>
      <c r="D1264" s="374">
        <v>6228300</v>
      </c>
      <c r="E1264" s="9" t="e">
        <f t="shared" si="173"/>
        <v>#DIV/0!</v>
      </c>
      <c r="F1264" s="98">
        <v>5</v>
      </c>
      <c r="G1264" s="98">
        <v>0</v>
      </c>
      <c r="H1264" s="98">
        <v>0</v>
      </c>
      <c r="I1264" s="98">
        <v>0</v>
      </c>
      <c r="J1264" s="98"/>
      <c r="K1264" s="93"/>
      <c r="L1264" s="93">
        <f t="shared" si="168"/>
        <v>0</v>
      </c>
      <c r="M1264" s="95" t="e">
        <f t="shared" ca="1" si="169"/>
        <v>#DIV/0!</v>
      </c>
      <c r="N1264" s="95">
        <f>IF(P1264="Hedge Fund",IF(A1264=Summary!$AD$3,M1264-E1264,M1264),IF(A1264=Summary!$AD$3,L1264-D1264,L1264))</f>
        <v>0</v>
      </c>
      <c r="O1264" s="95">
        <f t="shared" si="174"/>
        <v>0</v>
      </c>
      <c r="P1264" s="107" t="s">
        <v>155</v>
      </c>
      <c r="Q1264" s="107">
        <v>0</v>
      </c>
      <c r="R1264" s="107">
        <v>0</v>
      </c>
      <c r="S1264" s="107">
        <v>0</v>
      </c>
      <c r="T1264" s="107">
        <v>0</v>
      </c>
      <c r="U1264" s="107"/>
      <c r="V1264" s="107"/>
      <c r="W1264" s="107"/>
      <c r="X1264" s="107"/>
      <c r="Y1264" s="107"/>
      <c r="Z1264" s="107"/>
      <c r="AA1264" s="107"/>
      <c r="AB1264" s="107"/>
      <c r="AC1264" s="355"/>
      <c r="AD1264" s="355"/>
      <c r="AE1264" s="355"/>
      <c r="AF1264" s="94">
        <f t="shared" si="170"/>
        <v>43039</v>
      </c>
      <c r="AG1264" s="185">
        <f t="shared" si="175"/>
        <v>5.2698152122998554E-3</v>
      </c>
      <c r="AH1264" s="339" t="str">
        <f>VLOOKUP(B1264,'MF PF'!A:B,2)</f>
        <v>FdMgt1</v>
      </c>
      <c r="AI1264" s="358">
        <f t="shared" si="171"/>
        <v>0</v>
      </c>
      <c r="AJ1264" s="94">
        <f t="shared" si="172"/>
        <v>43039</v>
      </c>
    </row>
    <row r="1265" spans="1:36" ht="12.75" customHeight="1">
      <c r="A1265" s="8">
        <v>43069</v>
      </c>
      <c r="B1265" s="94" t="s">
        <v>136</v>
      </c>
      <c r="C1265" s="92" t="s">
        <v>313</v>
      </c>
      <c r="D1265" s="374">
        <v>6240900</v>
      </c>
      <c r="E1265" s="9" t="e">
        <f t="shared" si="173"/>
        <v>#DIV/0!</v>
      </c>
      <c r="F1265" s="98">
        <v>5</v>
      </c>
      <c r="G1265" s="98">
        <v>0</v>
      </c>
      <c r="H1265" s="98">
        <v>0</v>
      </c>
      <c r="I1265" s="98">
        <v>0</v>
      </c>
      <c r="J1265" s="98"/>
      <c r="K1265" s="93"/>
      <c r="L1265" s="93">
        <f t="shared" si="168"/>
        <v>0</v>
      </c>
      <c r="M1265" s="95" t="e">
        <f t="shared" ca="1" si="169"/>
        <v>#DIV/0!</v>
      </c>
      <c r="N1265" s="95">
        <f>IF(P1265="Hedge Fund",IF(A1265=Summary!$AD$3,M1265-E1265,M1265),IF(A1265=Summary!$AD$3,L1265-D1265,L1265))</f>
        <v>0</v>
      </c>
      <c r="O1265" s="95">
        <f t="shared" si="174"/>
        <v>0</v>
      </c>
      <c r="P1265" s="107" t="s">
        <v>155</v>
      </c>
      <c r="Q1265" s="107">
        <v>0</v>
      </c>
      <c r="R1265" s="107">
        <v>0</v>
      </c>
      <c r="S1265" s="107">
        <v>0</v>
      </c>
      <c r="T1265" s="107">
        <v>0</v>
      </c>
      <c r="U1265" s="107"/>
      <c r="V1265" s="107"/>
      <c r="W1265" s="107"/>
      <c r="X1265" s="107"/>
      <c r="Y1265" s="107"/>
      <c r="Z1265" s="107"/>
      <c r="AA1265" s="107"/>
      <c r="AB1265" s="107"/>
      <c r="AC1265" s="355"/>
      <c r="AD1265" s="355"/>
      <c r="AE1265" s="355"/>
      <c r="AF1265" s="94">
        <f t="shared" si="170"/>
        <v>43069</v>
      </c>
      <c r="AG1265" s="185">
        <f t="shared" si="175"/>
        <v>2.023023939116575E-3</v>
      </c>
      <c r="AH1265" s="339" t="str">
        <f>VLOOKUP(B1265,'MF PF'!A:B,2)</f>
        <v>FdMgt1</v>
      </c>
      <c r="AI1265" s="358">
        <f t="shared" si="171"/>
        <v>0</v>
      </c>
      <c r="AJ1265" s="94">
        <f t="shared" si="172"/>
        <v>43069</v>
      </c>
    </row>
    <row r="1266" spans="1:36" s="92" customFormat="1" ht="12.75" customHeight="1">
      <c r="A1266" s="94">
        <v>43098</v>
      </c>
      <c r="B1266" s="94" t="s">
        <v>136</v>
      </c>
      <c r="C1266" s="92" t="s">
        <v>313</v>
      </c>
      <c r="D1266" s="374">
        <v>6536500</v>
      </c>
      <c r="E1266" s="95" t="e">
        <f t="shared" si="173"/>
        <v>#DIV/0!</v>
      </c>
      <c r="F1266" s="98">
        <v>5</v>
      </c>
      <c r="G1266" s="98">
        <v>0</v>
      </c>
      <c r="H1266" s="98">
        <v>0</v>
      </c>
      <c r="I1266" s="98">
        <v>0</v>
      </c>
      <c r="J1266" s="98"/>
      <c r="K1266" s="93"/>
      <c r="L1266" s="93">
        <f t="shared" si="168"/>
        <v>0</v>
      </c>
      <c r="M1266" s="95" t="e">
        <f t="shared" ca="1" si="169"/>
        <v>#DIV/0!</v>
      </c>
      <c r="N1266" s="95">
        <f>IF(P1266="Hedge Fund",IF(A1266=Summary!$AD$3,M1266-E1266,M1266),IF(A1266=Summary!$AD$3,L1266-D1266,L1266))</f>
        <v>0</v>
      </c>
      <c r="O1266" s="95">
        <f t="shared" si="174"/>
        <v>0</v>
      </c>
      <c r="P1266" s="107" t="s">
        <v>155</v>
      </c>
      <c r="Q1266" s="107">
        <v>0</v>
      </c>
      <c r="R1266" s="107">
        <v>0</v>
      </c>
      <c r="S1266" s="107">
        <v>0</v>
      </c>
      <c r="T1266" s="107">
        <v>0</v>
      </c>
      <c r="U1266" s="107"/>
      <c r="V1266" s="107"/>
      <c r="W1266" s="107"/>
      <c r="X1266" s="107"/>
      <c r="Y1266" s="107"/>
      <c r="Z1266" s="107"/>
      <c r="AA1266" s="107"/>
      <c r="AB1266" s="107"/>
      <c r="AC1266" s="355"/>
      <c r="AD1266" s="355"/>
      <c r="AE1266" s="355"/>
      <c r="AF1266" s="94">
        <f t="shared" si="170"/>
        <v>43098</v>
      </c>
      <c r="AG1266" s="185">
        <f t="shared" si="175"/>
        <v>4.736496338669105E-2</v>
      </c>
      <c r="AH1266" s="339" t="str">
        <f>VLOOKUP(B1266,'MF PF'!A:B,2)</f>
        <v>FdMgt1</v>
      </c>
      <c r="AI1266" s="358">
        <f t="shared" si="171"/>
        <v>0</v>
      </c>
      <c r="AJ1266" s="94">
        <f t="shared" si="172"/>
        <v>43100</v>
      </c>
    </row>
    <row r="1267" spans="1:36" ht="12.75" customHeight="1">
      <c r="A1267" s="8">
        <v>43131</v>
      </c>
      <c r="B1267" s="94" t="s">
        <v>136</v>
      </c>
      <c r="C1267" s="358" t="s">
        <v>313</v>
      </c>
      <c r="D1267" s="374">
        <v>6627700</v>
      </c>
      <c r="E1267" s="9" t="e">
        <f t="shared" si="173"/>
        <v>#DIV/0!</v>
      </c>
      <c r="F1267" s="47">
        <v>5</v>
      </c>
      <c r="G1267" s="47">
        <v>0</v>
      </c>
      <c r="H1267" s="47">
        <v>0</v>
      </c>
      <c r="I1267" s="98">
        <v>0</v>
      </c>
      <c r="J1267" s="98"/>
      <c r="K1267" s="93"/>
      <c r="L1267" s="93">
        <f t="shared" si="168"/>
        <v>0</v>
      </c>
      <c r="M1267" s="95" t="e">
        <f t="shared" ca="1" si="169"/>
        <v>#DIV/0!</v>
      </c>
      <c r="N1267" s="95">
        <f>IF(P1267="Hedge Fund",IF(A1267=Summary!$AD$3,M1267-E1267,M1267),IF(A1267=Summary!$AD$3,L1267-D1267,L1267))</f>
        <v>0</v>
      </c>
      <c r="O1267" s="95">
        <f t="shared" si="174"/>
        <v>0</v>
      </c>
      <c r="P1267" s="89" t="s">
        <v>155</v>
      </c>
      <c r="Q1267" s="107">
        <v>0</v>
      </c>
      <c r="R1267" s="107">
        <v>0</v>
      </c>
      <c r="S1267" s="89">
        <v>0</v>
      </c>
      <c r="T1267" s="89">
        <v>0</v>
      </c>
      <c r="U1267" s="89"/>
      <c r="V1267" s="89"/>
      <c r="W1267" s="89"/>
      <c r="X1267" s="89"/>
      <c r="Y1267" s="89"/>
      <c r="Z1267" s="89"/>
      <c r="AA1267" s="89"/>
      <c r="AB1267" s="89"/>
      <c r="AC1267" s="355"/>
      <c r="AD1267" s="355"/>
      <c r="AE1267" s="355"/>
      <c r="AF1267" s="94">
        <f t="shared" si="170"/>
        <v>43131</v>
      </c>
      <c r="AG1267" s="185">
        <f t="shared" si="175"/>
        <v>1.3952421020423822E-2</v>
      </c>
      <c r="AH1267" s="339" t="str">
        <f>VLOOKUP(B1267,'MF PF'!A:B,2)</f>
        <v>FdMgt1</v>
      </c>
      <c r="AI1267" s="358">
        <f t="shared" si="171"/>
        <v>0</v>
      </c>
      <c r="AJ1267" s="94">
        <f t="shared" si="172"/>
        <v>43131</v>
      </c>
    </row>
    <row r="1268" spans="1:36" ht="12.75" customHeight="1">
      <c r="A1268" s="94">
        <v>43159</v>
      </c>
      <c r="B1268" s="94" t="s">
        <v>136</v>
      </c>
      <c r="C1268" s="358" t="s">
        <v>313</v>
      </c>
      <c r="D1268" s="374">
        <v>6693713.79</v>
      </c>
      <c r="E1268" s="9" t="e">
        <f t="shared" si="173"/>
        <v>#DIV/0!</v>
      </c>
      <c r="F1268" s="47">
        <v>5</v>
      </c>
      <c r="G1268" s="47">
        <v>0</v>
      </c>
      <c r="H1268" s="47">
        <v>0</v>
      </c>
      <c r="I1268" s="98">
        <v>0</v>
      </c>
      <c r="J1268" s="98"/>
      <c r="K1268" s="93"/>
      <c r="L1268" s="93">
        <f t="shared" si="168"/>
        <v>0</v>
      </c>
      <c r="M1268" s="95" t="e">
        <f t="shared" ca="1" si="169"/>
        <v>#DIV/0!</v>
      </c>
      <c r="N1268" s="95">
        <f>IF(P1268="Hedge Fund",IF(A1268=Summary!$AD$3,M1268-E1268,M1268),IF(A1268=Summary!$AD$3,L1268-D1268,L1268))</f>
        <v>0</v>
      </c>
      <c r="O1268" s="95">
        <f t="shared" si="174"/>
        <v>0</v>
      </c>
      <c r="P1268" s="89" t="s">
        <v>155</v>
      </c>
      <c r="Q1268" s="107">
        <v>0</v>
      </c>
      <c r="R1268" s="107">
        <v>0</v>
      </c>
      <c r="S1268" s="89">
        <v>0</v>
      </c>
      <c r="T1268" s="89">
        <v>0</v>
      </c>
      <c r="U1268" s="89"/>
      <c r="V1268" s="89"/>
      <c r="W1268" s="89"/>
      <c r="X1268" s="89"/>
      <c r="Y1268" s="89"/>
      <c r="Z1268" s="89"/>
      <c r="AA1268" s="89"/>
      <c r="AB1268" s="89"/>
      <c r="AC1268" s="355"/>
      <c r="AD1268" s="355"/>
      <c r="AE1268" s="355"/>
      <c r="AF1268" s="94">
        <f t="shared" si="170"/>
        <v>43159</v>
      </c>
      <c r="AG1268" s="185">
        <f t="shared" si="175"/>
        <v>9.9602863738552649E-3</v>
      </c>
      <c r="AH1268" s="339" t="str">
        <f>VLOOKUP(B1268,'MF PF'!A:B,2)</f>
        <v>FdMgt1</v>
      </c>
      <c r="AI1268" s="358">
        <f t="shared" si="171"/>
        <v>0</v>
      </c>
      <c r="AJ1268" s="94">
        <f t="shared" si="172"/>
        <v>43159</v>
      </c>
    </row>
    <row r="1269" spans="1:36" ht="12.75" customHeight="1">
      <c r="A1269" s="94">
        <v>43188</v>
      </c>
      <c r="B1269" s="94" t="s">
        <v>136</v>
      </c>
      <c r="C1269" s="358" t="s">
        <v>313</v>
      </c>
      <c r="D1269" s="374">
        <v>6763152.9685000004</v>
      </c>
      <c r="E1269" s="9" t="e">
        <f t="shared" si="173"/>
        <v>#DIV/0!</v>
      </c>
      <c r="F1269" s="47">
        <v>5</v>
      </c>
      <c r="G1269" s="47">
        <v>0</v>
      </c>
      <c r="H1269" s="47">
        <v>0</v>
      </c>
      <c r="I1269" s="98">
        <v>0</v>
      </c>
      <c r="J1269" s="98"/>
      <c r="K1269" s="93"/>
      <c r="L1269" s="93">
        <f t="shared" si="168"/>
        <v>0</v>
      </c>
      <c r="M1269" s="95" t="e">
        <f t="shared" ca="1" si="169"/>
        <v>#DIV/0!</v>
      </c>
      <c r="N1269" s="95">
        <f>IF(P1269="Hedge Fund",IF(A1269=Summary!$AD$3,M1269-E1269,M1269),IF(A1269=Summary!$AD$3,L1269-D1269,L1269))</f>
        <v>0</v>
      </c>
      <c r="O1269" s="95">
        <f t="shared" si="174"/>
        <v>0</v>
      </c>
      <c r="P1269" s="89" t="s">
        <v>155</v>
      </c>
      <c r="Q1269" s="109">
        <v>1.3982360487840309E-2</v>
      </c>
      <c r="R1269" s="109">
        <v>0.31114464150000004</v>
      </c>
      <c r="S1269" s="89">
        <v>0</v>
      </c>
      <c r="T1269" s="89">
        <v>0</v>
      </c>
      <c r="U1269" s="89"/>
      <c r="V1269" s="89"/>
      <c r="W1269" s="89"/>
      <c r="X1269" s="89"/>
      <c r="Y1269" s="89"/>
      <c r="Z1269" s="89"/>
      <c r="AA1269" s="89"/>
      <c r="AB1269" s="89"/>
      <c r="AC1269" s="355"/>
      <c r="AD1269" s="355"/>
      <c r="AE1269" s="355"/>
      <c r="AF1269" s="94">
        <f t="shared" si="170"/>
        <v>43188</v>
      </c>
      <c r="AG1269" s="185">
        <f t="shared" si="175"/>
        <v>1.0373789599988248E-2</v>
      </c>
      <c r="AH1269" s="339" t="str">
        <f>VLOOKUP(B1269,'MF PF'!A:B,2)</f>
        <v>FdMgt1</v>
      </c>
      <c r="AI1269" s="358">
        <f t="shared" si="171"/>
        <v>0</v>
      </c>
      <c r="AJ1269" s="94">
        <f t="shared" si="172"/>
        <v>43190</v>
      </c>
    </row>
    <row r="1270" spans="1:36" ht="12.75" customHeight="1">
      <c r="A1270" s="94">
        <v>43220</v>
      </c>
      <c r="B1270" s="94" t="s">
        <v>136</v>
      </c>
      <c r="C1270" s="358" t="s">
        <v>313</v>
      </c>
      <c r="D1270" s="374">
        <v>6827067.8430000003</v>
      </c>
      <c r="E1270" s="9" t="e">
        <f t="shared" si="173"/>
        <v>#DIV/0!</v>
      </c>
      <c r="F1270" s="47">
        <v>5</v>
      </c>
      <c r="G1270" s="47">
        <v>0</v>
      </c>
      <c r="H1270" s="47">
        <v>0</v>
      </c>
      <c r="I1270" s="98">
        <v>0</v>
      </c>
      <c r="J1270" s="98"/>
      <c r="K1270" s="93"/>
      <c r="L1270" s="93">
        <f t="shared" si="168"/>
        <v>0</v>
      </c>
      <c r="M1270" s="95" t="e">
        <f t="shared" ca="1" si="169"/>
        <v>#DIV/0!</v>
      </c>
      <c r="N1270" s="95">
        <f>IF(P1270="Hedge Fund",IF(A1270=Summary!$AD$3,M1270-E1270,M1270),IF(A1270=Summary!$AD$3,L1270-D1270,L1270))</f>
        <v>0</v>
      </c>
      <c r="O1270" s="95">
        <f t="shared" si="174"/>
        <v>0</v>
      </c>
      <c r="P1270" s="89" t="s">
        <v>155</v>
      </c>
      <c r="Q1270" s="109">
        <v>0</v>
      </c>
      <c r="R1270" s="109">
        <v>0.32242374000000001</v>
      </c>
      <c r="S1270" s="89">
        <v>0</v>
      </c>
      <c r="T1270" s="89">
        <v>0</v>
      </c>
      <c r="U1270" s="89"/>
      <c r="V1270" s="89"/>
      <c r="W1270" s="89"/>
      <c r="X1270" s="89"/>
      <c r="Y1270" s="89"/>
      <c r="Z1270" s="89"/>
      <c r="AA1270" s="89"/>
      <c r="AB1270" s="89"/>
      <c r="AC1270" s="355"/>
      <c r="AD1270" s="355"/>
      <c r="AE1270" s="355"/>
      <c r="AF1270" s="94">
        <f t="shared" si="170"/>
        <v>43220</v>
      </c>
      <c r="AG1270" s="185">
        <f t="shared" si="175"/>
        <v>9.4504552532952424E-3</v>
      </c>
      <c r="AH1270" s="339" t="str">
        <f>VLOOKUP(B1270,'MF PF'!A:B,2)</f>
        <v>FdMgt1</v>
      </c>
      <c r="AI1270" s="358">
        <f t="shared" si="171"/>
        <v>0</v>
      </c>
      <c r="AJ1270" s="94">
        <f t="shared" si="172"/>
        <v>43220</v>
      </c>
    </row>
    <row r="1271" spans="1:36" ht="12.75" customHeight="1">
      <c r="A1271" s="8">
        <v>43251</v>
      </c>
      <c r="B1271" s="358" t="s">
        <v>136</v>
      </c>
      <c r="C1271" s="94" t="s">
        <v>313</v>
      </c>
      <c r="D1271" s="374">
        <v>6872878.5420000004</v>
      </c>
      <c r="E1271" s="9" t="e">
        <f t="shared" si="173"/>
        <v>#DIV/0!</v>
      </c>
      <c r="F1271" s="98">
        <v>5</v>
      </c>
      <c r="G1271" s="98">
        <v>0</v>
      </c>
      <c r="H1271" s="98">
        <v>0</v>
      </c>
      <c r="I1271" s="110">
        <v>0</v>
      </c>
      <c r="J1271" s="110"/>
      <c r="K1271" s="93"/>
      <c r="L1271" s="93">
        <f t="shared" si="168"/>
        <v>0</v>
      </c>
      <c r="M1271" s="95" t="e">
        <f t="shared" ca="1" si="169"/>
        <v>#DIV/0!</v>
      </c>
      <c r="N1271" s="95">
        <f>IF(P1271="Hedge Fund",IF(A1271=Summary!$AD$3,M1271-E1271,M1271),IF(A1271=Summary!$AD$3,L1271-D1271,L1271))</f>
        <v>0</v>
      </c>
      <c r="O1271" s="95">
        <f t="shared" si="174"/>
        <v>0</v>
      </c>
      <c r="P1271" s="107" t="s">
        <v>155</v>
      </c>
      <c r="Q1271" s="109">
        <v>0</v>
      </c>
      <c r="R1271" s="109">
        <v>0.33050797999999998</v>
      </c>
      <c r="S1271" s="107">
        <v>0</v>
      </c>
      <c r="T1271" s="107">
        <v>0</v>
      </c>
      <c r="U1271" s="107"/>
      <c r="V1271" s="107"/>
      <c r="W1271" s="107"/>
      <c r="X1271" s="107"/>
      <c r="Y1271" s="107"/>
      <c r="Z1271" s="107"/>
      <c r="AA1271" s="107"/>
      <c r="AB1271" s="107"/>
      <c r="AC1271" s="355"/>
      <c r="AD1271" s="355"/>
      <c r="AE1271" s="355"/>
      <c r="AF1271" s="94">
        <f t="shared" si="170"/>
        <v>43251</v>
      </c>
      <c r="AG1271" s="185">
        <f t="shared" si="175"/>
        <v>6.7101572817929167E-3</v>
      </c>
      <c r="AH1271" s="339" t="str">
        <f>VLOOKUP(B1271,'MF PF'!A:B,2)</f>
        <v>FdMgt1</v>
      </c>
      <c r="AI1271" s="358">
        <f t="shared" si="171"/>
        <v>0</v>
      </c>
      <c r="AJ1271" s="94">
        <f t="shared" si="172"/>
        <v>43251</v>
      </c>
    </row>
    <row r="1272" spans="1:36" ht="12.75" customHeight="1">
      <c r="A1272" s="8">
        <v>43280</v>
      </c>
      <c r="B1272" s="358" t="s">
        <v>136</v>
      </c>
      <c r="C1272" s="94" t="s">
        <v>313</v>
      </c>
      <c r="D1272" s="374">
        <v>6908838.2850000001</v>
      </c>
      <c r="E1272" s="9" t="e">
        <f t="shared" si="173"/>
        <v>#DIV/0!</v>
      </c>
      <c r="F1272" s="98">
        <v>5</v>
      </c>
      <c r="G1272" s="98">
        <v>0</v>
      </c>
      <c r="H1272" s="98">
        <v>0</v>
      </c>
      <c r="I1272" s="110">
        <v>0</v>
      </c>
      <c r="J1272" s="110"/>
      <c r="L1272" s="93">
        <f t="shared" si="168"/>
        <v>0</v>
      </c>
      <c r="M1272" s="95" t="e">
        <f t="shared" ca="1" si="169"/>
        <v>#DIV/0!</v>
      </c>
      <c r="N1272" s="95">
        <f>IF(P1272="Hedge Fund",IF(A1272=Summary!$AD$3,M1272-E1272,M1272),IF(A1272=Summary!$AD$3,L1272-D1272,L1272))</f>
        <v>0</v>
      </c>
      <c r="O1272" s="95">
        <f t="shared" si="174"/>
        <v>0</v>
      </c>
      <c r="P1272" s="107" t="s">
        <v>155</v>
      </c>
      <c r="Q1272" s="109">
        <v>1.464001E-2</v>
      </c>
      <c r="R1272" s="109">
        <v>0.33685382000000003</v>
      </c>
      <c r="S1272" s="107">
        <v>0</v>
      </c>
      <c r="T1272" s="107">
        <v>0</v>
      </c>
      <c r="U1272" s="107"/>
      <c r="V1272" s="107"/>
      <c r="W1272" s="107"/>
      <c r="X1272" s="107"/>
      <c r="Y1272" s="107"/>
      <c r="Z1272" s="107"/>
      <c r="AA1272" s="107"/>
      <c r="AB1272" s="107"/>
      <c r="AC1272" s="355"/>
      <c r="AD1272" s="355"/>
      <c r="AE1272" s="355"/>
      <c r="AF1272" s="94">
        <f t="shared" si="170"/>
        <v>43280</v>
      </c>
      <c r="AG1272" s="185">
        <f t="shared" si="175"/>
        <v>5.2321225786620129E-3</v>
      </c>
      <c r="AH1272" s="339" t="str">
        <f>VLOOKUP(B1272,'MF PF'!A:B,2)</f>
        <v>FdMgt1</v>
      </c>
      <c r="AI1272" s="358">
        <f t="shared" si="171"/>
        <v>0</v>
      </c>
      <c r="AJ1272" s="94">
        <f t="shared" si="172"/>
        <v>43281</v>
      </c>
    </row>
    <row r="1273" spans="1:36" ht="12.75" customHeight="1">
      <c r="A1273" s="94">
        <v>43312</v>
      </c>
      <c r="B1273" s="358" t="s">
        <v>136</v>
      </c>
      <c r="C1273" s="94" t="s">
        <v>313</v>
      </c>
      <c r="D1273" s="374">
        <v>6907294.6849999996</v>
      </c>
      <c r="E1273" s="9" t="str">
        <f>IF(K1273="","",D1273/K1273)</f>
        <v/>
      </c>
      <c r="F1273" s="98">
        <v>5</v>
      </c>
      <c r="G1273" s="98">
        <v>0</v>
      </c>
      <c r="H1273" s="98">
        <v>0</v>
      </c>
      <c r="I1273" s="98">
        <v>0</v>
      </c>
      <c r="J1273" s="98"/>
      <c r="K1273" s="93"/>
      <c r="L1273" s="93">
        <f t="shared" si="168"/>
        <v>0</v>
      </c>
      <c r="M1273" s="95" t="e">
        <f t="shared" ca="1" si="169"/>
        <v>#DIV/0!</v>
      </c>
      <c r="N1273" s="95">
        <f>IF(P1273="Hedge Fund",IF(A1273=Summary!$AD$3,M1273-E1273,M1273),IF(A1273=Summary!$AD$3,L1273-D1273,L1273))</f>
        <v>0</v>
      </c>
      <c r="O1273" s="95">
        <f t="shared" si="174"/>
        <v>0</v>
      </c>
      <c r="P1273" s="107" t="s">
        <v>155</v>
      </c>
      <c r="Q1273" s="107">
        <v>0</v>
      </c>
      <c r="R1273" s="109">
        <f>336581.415/10^6</f>
        <v>0.33658141499999999</v>
      </c>
      <c r="S1273" s="107">
        <v>0</v>
      </c>
      <c r="T1273" s="107">
        <v>0</v>
      </c>
      <c r="U1273" s="107"/>
      <c r="V1273" s="107"/>
      <c r="W1273" s="107"/>
      <c r="X1273" s="107"/>
      <c r="Y1273" s="107"/>
      <c r="Z1273" s="107"/>
      <c r="AA1273" s="107"/>
      <c r="AB1273" s="107"/>
      <c r="AC1273" s="355"/>
      <c r="AD1273" s="355"/>
      <c r="AE1273" s="355"/>
      <c r="AF1273" s="94">
        <f t="shared" si="170"/>
        <v>43312</v>
      </c>
      <c r="AG1273" s="185">
        <f t="shared" si="175"/>
        <v>-2.2342395875030174E-4</v>
      </c>
      <c r="AH1273" s="339" t="str">
        <f>VLOOKUP(B1273,'MF PF'!A:B,2)</f>
        <v>FdMgt1</v>
      </c>
      <c r="AI1273" s="358">
        <f t="shared" si="171"/>
        <v>0</v>
      </c>
      <c r="AJ1273" s="94">
        <f t="shared" si="172"/>
        <v>43312</v>
      </c>
    </row>
    <row r="1274" spans="1:36" ht="12.75" customHeight="1">
      <c r="A1274" s="94">
        <v>43343</v>
      </c>
      <c r="B1274" s="358" t="s">
        <v>136</v>
      </c>
      <c r="C1274" s="94" t="s">
        <v>313</v>
      </c>
      <c r="D1274" s="374">
        <v>6924993.0789999999</v>
      </c>
      <c r="E1274" s="95" t="str">
        <f>IF(K1274="","",D1274/K1274)</f>
        <v/>
      </c>
      <c r="F1274" s="98">
        <v>5</v>
      </c>
      <c r="G1274" s="98">
        <v>0</v>
      </c>
      <c r="H1274" s="98">
        <v>0</v>
      </c>
      <c r="I1274" s="98">
        <v>0</v>
      </c>
      <c r="J1274" s="98"/>
      <c r="K1274" s="93"/>
      <c r="L1274" s="93">
        <f t="shared" si="168"/>
        <v>0</v>
      </c>
      <c r="M1274" s="95" t="e">
        <f t="shared" ca="1" si="169"/>
        <v>#DIV/0!</v>
      </c>
      <c r="N1274" s="95">
        <f>IF(P1274="Hedge Fund",IF(A1274=Summary!$AD$3,M1274-E1274,M1274),IF(A1274=Summary!$AD$3,L1274-D1274,L1274))</f>
        <v>0</v>
      </c>
      <c r="O1274" s="95">
        <f t="shared" si="174"/>
        <v>0</v>
      </c>
      <c r="P1274" s="107" t="s">
        <v>155</v>
      </c>
      <c r="Q1274" s="107">
        <v>0</v>
      </c>
      <c r="R1274" s="109">
        <v>0.33970466100000002</v>
      </c>
      <c r="S1274" s="107">
        <v>0</v>
      </c>
      <c r="T1274" s="107">
        <v>0</v>
      </c>
      <c r="U1274" s="107"/>
      <c r="V1274" s="107"/>
      <c r="W1274" s="107"/>
      <c r="X1274" s="107"/>
      <c r="Y1274" s="107"/>
      <c r="Z1274" s="107"/>
      <c r="AA1274" s="107"/>
      <c r="AB1274" s="107"/>
      <c r="AC1274" s="355"/>
      <c r="AD1274" s="355"/>
      <c r="AE1274" s="355"/>
      <c r="AF1274" s="94">
        <f t="shared" si="170"/>
        <v>43343</v>
      </c>
      <c r="AG1274" s="185">
        <f t="shared" si="175"/>
        <v>2.5622757978509547E-3</v>
      </c>
      <c r="AH1274" s="339" t="str">
        <f>VLOOKUP(B1274,'MF PF'!A:B,2)</f>
        <v>FdMgt1</v>
      </c>
      <c r="AI1274" s="358">
        <f t="shared" si="171"/>
        <v>0</v>
      </c>
      <c r="AJ1274" s="94">
        <f t="shared" si="172"/>
        <v>43343</v>
      </c>
    </row>
    <row r="1275" spans="1:36" ht="12.75" customHeight="1">
      <c r="A1275" s="94">
        <v>43371</v>
      </c>
      <c r="B1275" s="358" t="s">
        <v>136</v>
      </c>
      <c r="C1275" s="358" t="s">
        <v>313</v>
      </c>
      <c r="D1275" s="374">
        <v>6857174.1799999997</v>
      </c>
      <c r="E1275" s="95"/>
      <c r="F1275" s="105">
        <v>5</v>
      </c>
      <c r="G1275" s="93">
        <v>0</v>
      </c>
      <c r="H1275" s="93">
        <v>0</v>
      </c>
      <c r="I1275" s="93">
        <v>0</v>
      </c>
      <c r="K1275" s="7">
        <v>0</v>
      </c>
      <c r="L1275" s="93">
        <f t="shared" si="168"/>
        <v>0</v>
      </c>
      <c r="M1275" s="95" t="e">
        <f t="shared" ca="1" si="169"/>
        <v>#DIV/0!</v>
      </c>
      <c r="N1275" s="95">
        <f>IF(P1275="Hedge Fund",IF(A1275=Summary!$AD$3,M1275-E1275,M1275),IF(A1275=Summary!$AD$3,L1275-D1275,L1275))</f>
        <v>0</v>
      </c>
      <c r="O1275" s="95">
        <f t="shared" si="174"/>
        <v>0</v>
      </c>
      <c r="P1275" s="95" t="s">
        <v>155</v>
      </c>
      <c r="Q1275" s="353">
        <v>1.4359091719455935E-2</v>
      </c>
      <c r="R1275" s="95">
        <v>0.32773661999999992</v>
      </c>
      <c r="S1275" s="95"/>
      <c r="T1275" s="95"/>
      <c r="U1275" s="95"/>
      <c r="V1275" s="95"/>
      <c r="W1275" s="95"/>
      <c r="X1275" s="95"/>
      <c r="Y1275" s="95"/>
      <c r="Z1275" s="95"/>
      <c r="AA1275" s="95"/>
      <c r="AB1275" s="95"/>
      <c r="AC1275" s="355"/>
      <c r="AD1275" s="355"/>
      <c r="AE1275" s="355"/>
      <c r="AF1275" s="94">
        <f t="shared" si="170"/>
        <v>43371</v>
      </c>
      <c r="AG1275" s="185">
        <f t="shared" si="175"/>
        <v>-9.7933526035802743E-3</v>
      </c>
      <c r="AH1275" s="339" t="str">
        <f>VLOOKUP(B1275,'MF PF'!A:B,2)</f>
        <v>FdMgt1</v>
      </c>
      <c r="AI1275" s="358">
        <f t="shared" si="171"/>
        <v>0</v>
      </c>
      <c r="AJ1275" s="94">
        <f t="shared" si="172"/>
        <v>43373</v>
      </c>
    </row>
    <row r="1276" spans="1:36" ht="12.75" customHeight="1">
      <c r="A1276" s="94">
        <v>43404</v>
      </c>
      <c r="B1276" s="358" t="s">
        <v>136</v>
      </c>
      <c r="C1276" s="358" t="s">
        <v>313</v>
      </c>
      <c r="D1276" s="374">
        <v>6824984.8075000001</v>
      </c>
      <c r="F1276" s="105">
        <v>5</v>
      </c>
      <c r="G1276" s="93">
        <v>0</v>
      </c>
      <c r="H1276" s="93">
        <v>0</v>
      </c>
      <c r="I1276" s="93">
        <v>0</v>
      </c>
      <c r="J1276" s="93">
        <v>0</v>
      </c>
      <c r="L1276" s="93">
        <f t="shared" si="168"/>
        <v>0</v>
      </c>
      <c r="M1276" s="95" t="e">
        <f t="shared" ca="1" si="169"/>
        <v>#DIV/0!</v>
      </c>
      <c r="N1276" s="95">
        <f>IF(P1276="Hedge Fund",IF(A1276=Summary!$AD$3,M1276-E1276,M1276),IF(A1276=Summary!$AD$3,L1276-D1276,L1276))</f>
        <v>0</v>
      </c>
      <c r="O1276" s="95">
        <f t="shared" si="174"/>
        <v>0</v>
      </c>
      <c r="P1276" s="95" t="s">
        <v>155</v>
      </c>
      <c r="Q1276" s="95">
        <v>5.1731082511125483E-3</v>
      </c>
      <c r="R1276" s="95">
        <v>0.32205614250000003</v>
      </c>
      <c r="S1276" s="95"/>
      <c r="T1276" s="95"/>
      <c r="U1276" s="95"/>
      <c r="V1276" s="95"/>
      <c r="W1276" s="95"/>
      <c r="X1276" s="95"/>
      <c r="Y1276" s="95"/>
      <c r="Z1276" s="95"/>
      <c r="AA1276" s="95"/>
      <c r="AB1276" s="95"/>
      <c r="AC1276" s="355"/>
      <c r="AD1276" s="355"/>
      <c r="AE1276" s="355"/>
      <c r="AF1276" s="94">
        <f t="shared" si="170"/>
        <v>43404</v>
      </c>
      <c r="AG1276" s="185">
        <f t="shared" si="175"/>
        <v>-4.6942620465854068E-3</v>
      </c>
      <c r="AH1276" s="339" t="str">
        <f>VLOOKUP(B1276,'MF PF'!A:B,2)</f>
        <v>FdMgt1</v>
      </c>
      <c r="AI1276" s="358">
        <f t="shared" si="171"/>
        <v>0</v>
      </c>
      <c r="AJ1276" s="94">
        <f t="shared" si="172"/>
        <v>43404</v>
      </c>
    </row>
    <row r="1277" spans="1:36" ht="12.75" customHeight="1">
      <c r="A1277" s="94">
        <v>43434</v>
      </c>
      <c r="B1277" s="358" t="s">
        <v>136</v>
      </c>
      <c r="C1277" s="92" t="s">
        <v>313</v>
      </c>
      <c r="D1277" s="374">
        <v>6906170.9424999999</v>
      </c>
      <c r="F1277" s="105">
        <v>5</v>
      </c>
      <c r="G1277" s="93">
        <v>0</v>
      </c>
      <c r="H1277" s="93">
        <v>0</v>
      </c>
      <c r="I1277" s="93">
        <v>0</v>
      </c>
      <c r="K1277" s="7">
        <v>0</v>
      </c>
      <c r="L1277" s="93">
        <f t="shared" si="168"/>
        <v>0</v>
      </c>
      <c r="M1277" s="95" t="e">
        <f t="shared" ca="1" si="169"/>
        <v>#DIV/0!</v>
      </c>
      <c r="N1277" s="95">
        <f>IF(P1277="Hedge Fund",IF(A1277=Summary!$AD$3,M1277-E1277,M1277),IF(A1277=Summary!$AD$3,L1277-D1277,L1277))</f>
        <v>0</v>
      </c>
      <c r="O1277" s="95">
        <f t="shared" si="174"/>
        <v>0</v>
      </c>
      <c r="P1277" s="95" t="s">
        <v>155</v>
      </c>
      <c r="Q1277" s="95">
        <v>1.0014505619266003E-2</v>
      </c>
      <c r="R1277" s="95">
        <v>0.3363831075</v>
      </c>
      <c r="S1277" s="95"/>
      <c r="T1277" s="95"/>
      <c r="U1277" s="95"/>
      <c r="V1277" s="95"/>
      <c r="W1277" s="95"/>
      <c r="X1277" s="95"/>
      <c r="Y1277" s="95"/>
      <c r="Z1277" s="95"/>
      <c r="AA1277" s="95"/>
      <c r="AB1277" s="95"/>
      <c r="AC1277" s="355"/>
      <c r="AD1277" s="355"/>
      <c r="AE1277" s="355"/>
      <c r="AF1277" s="94">
        <f t="shared" si="170"/>
        <v>43434</v>
      </c>
      <c r="AG1277" s="185">
        <f t="shared" si="175"/>
        <v>1.1895430874920621E-2</v>
      </c>
      <c r="AH1277" s="339" t="str">
        <f>VLOOKUP(B1277,'MF PF'!A:B,2)</f>
        <v>FdMgt1</v>
      </c>
      <c r="AI1277" s="358">
        <f t="shared" si="171"/>
        <v>0</v>
      </c>
      <c r="AJ1277" s="94">
        <f t="shared" si="172"/>
        <v>43434</v>
      </c>
    </row>
    <row r="1278" spans="1:36" ht="12.75" customHeight="1">
      <c r="A1278" s="8">
        <v>43452</v>
      </c>
      <c r="B1278" s="358" t="s">
        <v>136</v>
      </c>
      <c r="C1278" s="92" t="s">
        <v>313</v>
      </c>
      <c r="D1278" s="93"/>
      <c r="F1278" s="93"/>
      <c r="G1278" s="93"/>
      <c r="H1278" s="93"/>
      <c r="I1278" s="93">
        <v>0</v>
      </c>
      <c r="L1278" s="93">
        <f t="shared" si="168"/>
        <v>0</v>
      </c>
      <c r="M1278" s="95" t="e">
        <f t="shared" ca="1" si="169"/>
        <v>#DIV/0!</v>
      </c>
      <c r="N1278" s="95">
        <f>IF(P1278="Hedge Fund",IF(A1278=Summary!$AD$3,M1278-E1278,M1278),IF(A1278=Summary!$AD$3,L1278-D1278,L1278))</f>
        <v>0</v>
      </c>
      <c r="O1278" s="95">
        <f t="shared" si="174"/>
        <v>0</v>
      </c>
      <c r="P1278" s="95" t="s">
        <v>155</v>
      </c>
      <c r="Q1278" s="95"/>
      <c r="R1278" s="95"/>
      <c r="S1278" s="95"/>
      <c r="T1278" s="95"/>
      <c r="U1278" s="95"/>
      <c r="V1278" s="95"/>
      <c r="W1278" s="95"/>
      <c r="X1278" s="95"/>
      <c r="Y1278" s="95"/>
      <c r="Z1278" s="95"/>
      <c r="AA1278" s="95"/>
      <c r="AB1278" s="95"/>
      <c r="AC1278" s="355"/>
      <c r="AD1278" s="355"/>
      <c r="AE1278" s="355"/>
      <c r="AF1278" s="94">
        <f t="shared" si="170"/>
        <v>43452</v>
      </c>
      <c r="AG1278" s="185">
        <f t="shared" si="175"/>
        <v>-1</v>
      </c>
      <c r="AH1278" s="339" t="str">
        <f>VLOOKUP(B1278,'MF PF'!A:B,2)</f>
        <v>FdMgt1</v>
      </c>
      <c r="AI1278" s="358">
        <f t="shared" si="171"/>
        <v>0</v>
      </c>
      <c r="AJ1278" s="94">
        <f t="shared" si="172"/>
        <v>43465</v>
      </c>
    </row>
    <row r="1279" spans="1:36" ht="12.75" customHeight="1">
      <c r="A1279" s="8">
        <v>43465</v>
      </c>
      <c r="B1279" s="358" t="s">
        <v>136</v>
      </c>
      <c r="C1279" s="358" t="s">
        <v>313</v>
      </c>
      <c r="D1279" s="93">
        <v>7060183.9895000001</v>
      </c>
      <c r="F1279" s="93">
        <v>5</v>
      </c>
      <c r="G1279" s="93">
        <v>0</v>
      </c>
      <c r="H1279" s="93">
        <v>0</v>
      </c>
      <c r="I1279" s="93">
        <v>0</v>
      </c>
      <c r="K1279" s="93">
        <v>0</v>
      </c>
      <c r="L1279" s="93">
        <f t="shared" si="168"/>
        <v>0</v>
      </c>
      <c r="M1279" s="95" t="e">
        <f t="shared" ca="1" si="169"/>
        <v>#DIV/0!</v>
      </c>
      <c r="N1279" s="95">
        <f>IF(P1279="Hedge Fund",IF(A1279=Summary!$AD$3,M1279-E1279,M1279),IF(A1279=Summary!$AD$3,L1279-D1279,L1279))</f>
        <v>0</v>
      </c>
      <c r="O1279" s="95">
        <f t="shared" si="174"/>
        <v>0</v>
      </c>
      <c r="P1279" s="95" t="s">
        <v>155</v>
      </c>
      <c r="Q1279" s="95">
        <v>1.5326527232094423E-2</v>
      </c>
      <c r="R1279" s="95">
        <v>0.36356188050000005</v>
      </c>
      <c r="S1279" s="95"/>
      <c r="T1279" s="95"/>
      <c r="U1279" s="95"/>
      <c r="V1279" s="95"/>
      <c r="W1279" s="95"/>
      <c r="X1279" s="95"/>
      <c r="Y1279" s="95"/>
      <c r="Z1279" s="95"/>
      <c r="AA1279" s="95"/>
      <c r="AB1279" s="95"/>
      <c r="AC1279" s="355"/>
      <c r="AD1279" s="355"/>
      <c r="AE1279" s="355"/>
      <c r="AF1279" s="94">
        <f t="shared" si="170"/>
        <v>43465</v>
      </c>
      <c r="AG1279" s="185" t="e">
        <f t="shared" si="175"/>
        <v>#DIV/0!</v>
      </c>
      <c r="AH1279" s="339" t="str">
        <f>VLOOKUP(B1279,'MF PF'!A:B,2)</f>
        <v>FdMgt1</v>
      </c>
      <c r="AI1279" s="358">
        <f t="shared" si="171"/>
        <v>0</v>
      </c>
      <c r="AJ1279" s="94">
        <f t="shared" si="172"/>
        <v>43465</v>
      </c>
    </row>
    <row r="1280" spans="1:36" ht="12.75" customHeight="1">
      <c r="A1280" s="8">
        <v>43487</v>
      </c>
      <c r="B1280" s="358" t="s">
        <v>136</v>
      </c>
      <c r="C1280" s="358" t="s">
        <v>313</v>
      </c>
      <c r="D1280" s="93"/>
      <c r="F1280" s="93"/>
      <c r="G1280" s="93"/>
      <c r="H1280" s="93"/>
      <c r="I1280" s="93">
        <v>-59725.98324180604</v>
      </c>
      <c r="K1280" s="93"/>
      <c r="L1280" s="93">
        <f t="shared" si="168"/>
        <v>-59725.98324180604</v>
      </c>
      <c r="M1280" s="95" t="e">
        <f t="shared" ca="1" si="169"/>
        <v>#DIV/0!</v>
      </c>
      <c r="N1280" s="95">
        <f>IF(P1280="Hedge Fund",IF(A1280=Summary!$AD$3,M1280-E1280,M1280),IF(A1280=Summary!$AD$3,L1280-D1280,L1280))</f>
        <v>-59725.98324180604</v>
      </c>
      <c r="O1280" s="95">
        <f t="shared" si="174"/>
        <v>-59725.98324180604</v>
      </c>
      <c r="P1280" s="95" t="s">
        <v>155</v>
      </c>
      <c r="Q1280" s="95"/>
      <c r="R1280" s="95"/>
      <c r="S1280" s="95"/>
      <c r="T1280" s="95"/>
      <c r="U1280" s="95"/>
      <c r="V1280" s="95"/>
      <c r="W1280" s="95"/>
      <c r="X1280" s="95"/>
      <c r="Y1280" s="95"/>
      <c r="Z1280" s="95"/>
      <c r="AA1280" s="95"/>
      <c r="AB1280" s="95"/>
      <c r="AC1280" s="355"/>
      <c r="AD1280" s="355"/>
      <c r="AE1280" s="355"/>
      <c r="AF1280" s="94">
        <f t="shared" si="170"/>
        <v>43487</v>
      </c>
      <c r="AG1280" s="185">
        <f t="shared" si="175"/>
        <v>-0.99154044946553355</v>
      </c>
      <c r="AH1280" s="339" t="str">
        <f>VLOOKUP(B1280,'MF PF'!A:B,2)</f>
        <v>FdMgt1</v>
      </c>
      <c r="AI1280" s="358">
        <f t="shared" si="171"/>
        <v>0</v>
      </c>
      <c r="AJ1280" s="94">
        <f t="shared" si="172"/>
        <v>43496</v>
      </c>
    </row>
    <row r="1281" spans="1:36" ht="12.75" customHeight="1">
      <c r="A1281" s="8">
        <v>43496</v>
      </c>
      <c r="B1281" s="358" t="s">
        <v>136</v>
      </c>
      <c r="C1281" s="358" t="s">
        <v>313</v>
      </c>
      <c r="D1281" s="93">
        <v>7015543.8339999998</v>
      </c>
      <c r="F1281" s="93">
        <v>5</v>
      </c>
      <c r="G1281" s="93">
        <v>0</v>
      </c>
      <c r="H1281" s="93">
        <v>0</v>
      </c>
      <c r="I1281" s="93">
        <v>0</v>
      </c>
      <c r="K1281" s="93">
        <v>0</v>
      </c>
      <c r="L1281" s="93">
        <f t="shared" si="168"/>
        <v>0</v>
      </c>
      <c r="M1281" s="95" t="e">
        <f t="shared" ca="1" si="169"/>
        <v>#DIV/0!</v>
      </c>
      <c r="N1281" s="95">
        <f>IF(P1281="Hedge Fund",IF(A1281=Summary!$AD$3,M1281-E1281,M1281),IF(A1281=Summary!$AD$3,L1281-D1281,L1281))</f>
        <v>-7015543.8339999998</v>
      </c>
      <c r="O1281" s="95">
        <f t="shared" si="174"/>
        <v>-7015543.8339999998</v>
      </c>
      <c r="P1281" s="95" t="s">
        <v>155</v>
      </c>
      <c r="Q1281" s="95">
        <v>5.0118013151568188E-3</v>
      </c>
      <c r="R1281" s="95">
        <v>0.355684206</v>
      </c>
      <c r="S1281" s="95"/>
      <c r="T1281" s="95"/>
      <c r="U1281" s="95"/>
      <c r="V1281" s="95"/>
      <c r="W1281" s="95"/>
      <c r="X1281" s="95"/>
      <c r="Y1281" s="95"/>
      <c r="Z1281" s="95"/>
      <c r="AA1281" s="95"/>
      <c r="AB1281" s="95"/>
      <c r="AC1281" s="355"/>
      <c r="AD1281" s="355"/>
      <c r="AE1281" s="355"/>
      <c r="AF1281" s="94">
        <f t="shared" si="170"/>
        <v>43496</v>
      </c>
      <c r="AG1281" s="185" t="e">
        <f t="shared" si="175"/>
        <v>#DIV/0!</v>
      </c>
      <c r="AH1281" s="339" t="str">
        <f>VLOOKUP(B1281,'MF PF'!A:B,2)</f>
        <v>FdMgt1</v>
      </c>
      <c r="AI1281" s="358">
        <f t="shared" si="171"/>
        <v>0</v>
      </c>
      <c r="AJ1281" s="94">
        <f t="shared" si="172"/>
        <v>43496</v>
      </c>
    </row>
    <row r="1282" spans="1:36" ht="12.75" customHeight="1">
      <c r="A1282" s="8">
        <v>42019</v>
      </c>
      <c r="B1282" s="94" t="s">
        <v>136</v>
      </c>
      <c r="C1282" s="358" t="s">
        <v>314</v>
      </c>
      <c r="D1282" s="374">
        <v>127000</v>
      </c>
      <c r="E1282" s="9" t="e">
        <f t="shared" ref="E1282:E1324" si="176">D1282/K1282</f>
        <v>#DIV/0!</v>
      </c>
      <c r="F1282" s="47">
        <v>1</v>
      </c>
      <c r="G1282" s="47">
        <v>127000</v>
      </c>
      <c r="H1282" s="47">
        <v>0</v>
      </c>
      <c r="I1282" s="47">
        <v>0</v>
      </c>
      <c r="J1282" s="98"/>
      <c r="K1282" s="93"/>
      <c r="L1282" s="93">
        <f t="shared" si="168"/>
        <v>127000</v>
      </c>
      <c r="M1282" s="95" t="e">
        <f t="shared" ca="1" si="169"/>
        <v>#DIV/0!</v>
      </c>
      <c r="N1282" s="95">
        <f>IF(P1282="Hedge Fund",IF(A1282=Summary!$AD$3,M1282-E1282,M1282),IF(A1282=Summary!$AD$3,L1282-D1282,L1282))</f>
        <v>127000</v>
      </c>
      <c r="O1282" s="95">
        <f t="shared" si="174"/>
        <v>127000</v>
      </c>
      <c r="P1282" s="89" t="s">
        <v>155</v>
      </c>
      <c r="Q1282" s="107">
        <v>0</v>
      </c>
      <c r="R1282" s="107">
        <v>0</v>
      </c>
      <c r="S1282" s="89">
        <v>0</v>
      </c>
      <c r="T1282" s="89">
        <v>0</v>
      </c>
      <c r="U1282" s="89"/>
      <c r="V1282" s="89"/>
      <c r="W1282" s="89"/>
      <c r="X1282" s="89"/>
      <c r="Y1282" s="89"/>
      <c r="Z1282" s="89"/>
      <c r="AA1282" s="89"/>
      <c r="AB1282" s="89"/>
      <c r="AC1282" s="355"/>
      <c r="AD1282" s="355"/>
      <c r="AE1282" s="355"/>
      <c r="AF1282" s="94">
        <f t="shared" si="170"/>
        <v>42019</v>
      </c>
      <c r="AG1282" s="185">
        <f t="shared" si="175"/>
        <v>0</v>
      </c>
      <c r="AH1282" s="339" t="str">
        <f>VLOOKUP(B1282,'MF PF'!A:B,2)</f>
        <v>FdMgt1</v>
      </c>
      <c r="AI1282" s="358">
        <f t="shared" si="171"/>
        <v>0</v>
      </c>
      <c r="AJ1282" s="94">
        <f t="shared" si="172"/>
        <v>42035</v>
      </c>
    </row>
    <row r="1283" spans="1:36" ht="12.75" customHeight="1">
      <c r="A1283" s="8">
        <v>42034</v>
      </c>
      <c r="B1283" s="94" t="s">
        <v>136</v>
      </c>
      <c r="C1283" s="358" t="s">
        <v>314</v>
      </c>
      <c r="D1283" s="374">
        <v>126485.53000000001</v>
      </c>
      <c r="E1283" s="9" t="e">
        <f t="shared" si="176"/>
        <v>#DIV/0!</v>
      </c>
      <c r="F1283" s="98">
        <v>1</v>
      </c>
      <c r="G1283" s="98">
        <v>0</v>
      </c>
      <c r="H1283" s="98">
        <v>0</v>
      </c>
      <c r="I1283" s="98">
        <v>0</v>
      </c>
      <c r="J1283" s="98"/>
      <c r="K1283" s="93"/>
      <c r="L1283" s="93">
        <f t="shared" ref="L1283:L1346" si="177">G1283+H1283+I1283</f>
        <v>0</v>
      </c>
      <c r="M1283" s="95" t="e">
        <f t="shared" ref="M1283:M1346" ca="1" si="178">IF(A1283&gt;INDIRECT("A"&amp;ROW()-1),I1283/K1283,E1283)</f>
        <v>#DIV/0!</v>
      </c>
      <c r="N1283" s="95">
        <f>IF(P1283="Hedge Fund",IF(A1283=Summary!$AD$3,M1283-E1283,M1283),IF(A1283=Summary!$AD$3,L1283-D1283,L1283))</f>
        <v>0</v>
      </c>
      <c r="O1283" s="95">
        <f t="shared" si="174"/>
        <v>0</v>
      </c>
      <c r="P1283" s="107" t="s">
        <v>155</v>
      </c>
      <c r="Q1283" s="107">
        <v>0</v>
      </c>
      <c r="R1283" s="107">
        <v>0</v>
      </c>
      <c r="S1283" s="107">
        <v>0</v>
      </c>
      <c r="T1283" s="107">
        <v>0</v>
      </c>
      <c r="U1283" s="107"/>
      <c r="V1283" s="107"/>
      <c r="W1283" s="107"/>
      <c r="X1283" s="107"/>
      <c r="Y1283" s="107"/>
      <c r="Z1283" s="107"/>
      <c r="AA1283" s="107"/>
      <c r="AB1283" s="107"/>
      <c r="AC1283" s="355"/>
      <c r="AD1283" s="355"/>
      <c r="AE1283" s="355"/>
      <c r="AF1283" s="94">
        <f t="shared" ref="AF1283:AF1346" si="179">A1283</f>
        <v>42034</v>
      </c>
      <c r="AG1283" s="185">
        <f t="shared" si="175"/>
        <v>-4.0509448818896177E-3</v>
      </c>
      <c r="AH1283" s="339" t="str">
        <f>VLOOKUP(B1283,'MF PF'!A:B,2)</f>
        <v>FdMgt1</v>
      </c>
      <c r="AI1283" s="358">
        <f t="shared" ref="AI1283:AI1346" si="180">AF1283-A1283</f>
        <v>0</v>
      </c>
      <c r="AJ1283" s="94">
        <f t="shared" ref="AJ1283:AJ1346" si="181">EOMONTH(A1283,0)</f>
        <v>42035</v>
      </c>
    </row>
    <row r="1284" spans="1:36" ht="12.75" customHeight="1">
      <c r="A1284" s="8">
        <v>42062</v>
      </c>
      <c r="B1284" s="94" t="s">
        <v>136</v>
      </c>
      <c r="C1284" s="358" t="s">
        <v>314</v>
      </c>
      <c r="D1284" s="374">
        <v>205995.76</v>
      </c>
      <c r="E1284" s="9" t="e">
        <f t="shared" si="176"/>
        <v>#DIV/0!</v>
      </c>
      <c r="F1284" s="98">
        <v>1</v>
      </c>
      <c r="G1284" s="98">
        <v>79000</v>
      </c>
      <c r="H1284" s="98">
        <v>0</v>
      </c>
      <c r="I1284" s="98">
        <v>0</v>
      </c>
      <c r="J1284" s="98"/>
      <c r="K1284" s="93"/>
      <c r="L1284" s="93">
        <f t="shared" si="177"/>
        <v>79000</v>
      </c>
      <c r="M1284" s="95" t="e">
        <f t="shared" ca="1" si="178"/>
        <v>#DIV/0!</v>
      </c>
      <c r="N1284" s="95">
        <f>IF(P1284="Hedge Fund",IF(A1284=Summary!$AD$3,M1284-E1284,M1284),IF(A1284=Summary!$AD$3,L1284-D1284,L1284))</f>
        <v>79000</v>
      </c>
      <c r="O1284" s="95">
        <f t="shared" si="174"/>
        <v>79000</v>
      </c>
      <c r="P1284" s="107" t="s">
        <v>155</v>
      </c>
      <c r="Q1284" s="107">
        <v>0</v>
      </c>
      <c r="R1284" s="107">
        <v>0</v>
      </c>
      <c r="S1284" s="107">
        <v>0</v>
      </c>
      <c r="T1284" s="107">
        <v>0</v>
      </c>
      <c r="U1284" s="107"/>
      <c r="V1284" s="107"/>
      <c r="W1284" s="107"/>
      <c r="X1284" s="107"/>
      <c r="Y1284" s="107"/>
      <c r="Z1284" s="107"/>
      <c r="AA1284" s="107"/>
      <c r="AB1284" s="107"/>
      <c r="AC1284" s="355"/>
      <c r="AD1284" s="355"/>
      <c r="AE1284" s="355"/>
      <c r="AF1284" s="94">
        <f t="shared" si="179"/>
        <v>42062</v>
      </c>
      <c r="AG1284" s="185">
        <f t="shared" si="175"/>
        <v>4.0339001623348469E-3</v>
      </c>
      <c r="AH1284" s="339" t="str">
        <f>VLOOKUP(B1284,'MF PF'!A:B,2)</f>
        <v>FdMgt1</v>
      </c>
      <c r="AI1284" s="358">
        <f t="shared" si="180"/>
        <v>0</v>
      </c>
      <c r="AJ1284" s="94">
        <f t="shared" si="181"/>
        <v>42063</v>
      </c>
    </row>
    <row r="1285" spans="1:36" ht="12.75" customHeight="1">
      <c r="A1285" s="8">
        <v>42094</v>
      </c>
      <c r="B1285" s="94" t="s">
        <v>136</v>
      </c>
      <c r="C1285" s="358" t="s">
        <v>314</v>
      </c>
      <c r="D1285" s="374">
        <v>297950.1335</v>
      </c>
      <c r="E1285" s="95" t="e">
        <f t="shared" si="176"/>
        <v>#DIV/0!</v>
      </c>
      <c r="F1285" s="98">
        <v>1</v>
      </c>
      <c r="G1285" s="98">
        <v>81000</v>
      </c>
      <c r="H1285" s="98">
        <v>0</v>
      </c>
      <c r="I1285" s="98">
        <v>0</v>
      </c>
      <c r="J1285" s="98"/>
      <c r="K1285" s="93"/>
      <c r="L1285" s="93">
        <f t="shared" si="177"/>
        <v>81000</v>
      </c>
      <c r="M1285" s="95" t="e">
        <f t="shared" ca="1" si="178"/>
        <v>#DIV/0!</v>
      </c>
      <c r="N1285" s="95">
        <f>IF(P1285="Hedge Fund",IF(A1285=Summary!$AD$3,M1285-E1285,M1285),IF(A1285=Summary!$AD$3,L1285-D1285,L1285))</f>
        <v>81000</v>
      </c>
      <c r="O1285" s="95">
        <f t="shared" si="174"/>
        <v>81000</v>
      </c>
      <c r="P1285" s="107" t="s">
        <v>155</v>
      </c>
      <c r="Q1285" s="107">
        <v>0</v>
      </c>
      <c r="R1285" s="107">
        <v>0</v>
      </c>
      <c r="S1285" s="107">
        <v>0</v>
      </c>
      <c r="T1285" s="107">
        <v>0</v>
      </c>
      <c r="U1285" s="107"/>
      <c r="V1285" s="107"/>
      <c r="W1285" s="107"/>
      <c r="X1285" s="107"/>
      <c r="Y1285" s="107"/>
      <c r="Z1285" s="107"/>
      <c r="AA1285" s="107"/>
      <c r="AB1285" s="107"/>
      <c r="AC1285" s="355"/>
      <c r="AD1285" s="355"/>
      <c r="AE1285" s="355"/>
      <c r="AF1285" s="94">
        <f t="shared" si="179"/>
        <v>42094</v>
      </c>
      <c r="AG1285" s="185">
        <f t="shared" si="175"/>
        <v>5.3177664918928391E-2</v>
      </c>
      <c r="AH1285" s="339" t="str">
        <f>VLOOKUP(B1285,'MF PF'!A:B,2)</f>
        <v>FdMgt1</v>
      </c>
      <c r="AI1285" s="358">
        <f t="shared" si="180"/>
        <v>0</v>
      </c>
      <c r="AJ1285" s="94">
        <f t="shared" si="181"/>
        <v>42094</v>
      </c>
    </row>
    <row r="1286" spans="1:36" ht="12.75" customHeight="1">
      <c r="A1286" s="8">
        <v>42124</v>
      </c>
      <c r="B1286" s="94" t="s">
        <v>136</v>
      </c>
      <c r="C1286" s="358" t="s">
        <v>314</v>
      </c>
      <c r="D1286" s="374">
        <v>443107.98849999998</v>
      </c>
      <c r="E1286" s="95" t="e">
        <f t="shared" si="176"/>
        <v>#DIV/0!</v>
      </c>
      <c r="F1286" s="47">
        <v>1</v>
      </c>
      <c r="G1286" s="47">
        <v>114000</v>
      </c>
      <c r="H1286" s="47">
        <v>0</v>
      </c>
      <c r="I1286" s="98">
        <v>0</v>
      </c>
      <c r="J1286" s="98"/>
      <c r="K1286" s="93"/>
      <c r="L1286" s="93">
        <f t="shared" si="177"/>
        <v>114000</v>
      </c>
      <c r="M1286" s="95" t="e">
        <f t="shared" ca="1" si="178"/>
        <v>#DIV/0!</v>
      </c>
      <c r="N1286" s="95">
        <f>IF(P1286="Hedge Fund",IF(A1286=Summary!$AD$3,M1286-E1286,M1286),IF(A1286=Summary!$AD$3,L1286-D1286,L1286))</f>
        <v>114000</v>
      </c>
      <c r="O1286" s="9">
        <f t="shared" si="174"/>
        <v>114000</v>
      </c>
      <c r="P1286" s="89" t="s">
        <v>155</v>
      </c>
      <c r="Q1286" s="107">
        <v>0</v>
      </c>
      <c r="R1286" s="107">
        <v>0</v>
      </c>
      <c r="S1286" s="89">
        <v>0</v>
      </c>
      <c r="T1286" s="89">
        <v>0</v>
      </c>
      <c r="U1286" s="89"/>
      <c r="V1286" s="89"/>
      <c r="W1286" s="89"/>
      <c r="X1286" s="89"/>
      <c r="Y1286" s="89"/>
      <c r="Z1286" s="89"/>
      <c r="AA1286" s="89"/>
      <c r="AB1286" s="89"/>
      <c r="AC1286" s="355"/>
      <c r="AD1286" s="355"/>
      <c r="AE1286" s="355"/>
      <c r="AF1286" s="94">
        <f t="shared" si="179"/>
        <v>42124</v>
      </c>
      <c r="AG1286" s="185">
        <f t="shared" si="175"/>
        <v>0.10457405953805354</v>
      </c>
      <c r="AH1286" s="339" t="str">
        <f>VLOOKUP(B1286,'MF PF'!A:B,2)</f>
        <v>FdMgt1</v>
      </c>
      <c r="AI1286" s="358">
        <f t="shared" si="180"/>
        <v>0</v>
      </c>
      <c r="AJ1286" s="94">
        <f t="shared" si="181"/>
        <v>42124</v>
      </c>
    </row>
    <row r="1287" spans="1:36" ht="12.75" customHeight="1">
      <c r="A1287" s="94">
        <v>42153</v>
      </c>
      <c r="B1287" s="94" t="s">
        <v>136</v>
      </c>
      <c r="C1287" s="358" t="s">
        <v>314</v>
      </c>
      <c r="D1287" s="374">
        <v>521304.64350000006</v>
      </c>
      <c r="E1287" s="95" t="e">
        <f t="shared" si="176"/>
        <v>#DIV/0!</v>
      </c>
      <c r="F1287" s="98">
        <v>1</v>
      </c>
      <c r="G1287" s="98">
        <v>76000</v>
      </c>
      <c r="H1287" s="98">
        <v>0</v>
      </c>
      <c r="I1287" s="98">
        <v>0</v>
      </c>
      <c r="J1287" s="98"/>
      <c r="K1287" s="93"/>
      <c r="L1287" s="93">
        <f t="shared" si="177"/>
        <v>76000</v>
      </c>
      <c r="M1287" s="95" t="e">
        <f t="shared" ca="1" si="178"/>
        <v>#DIV/0!</v>
      </c>
      <c r="N1287" s="95">
        <f>IF(P1287="Hedge Fund",IF(A1287=Summary!$AD$3,M1287-E1287,M1287),IF(A1287=Summary!$AD$3,L1287-D1287,L1287))</f>
        <v>76000</v>
      </c>
      <c r="O1287" s="9">
        <f t="shared" si="174"/>
        <v>76000</v>
      </c>
      <c r="P1287" s="107" t="s">
        <v>155</v>
      </c>
      <c r="Q1287" s="107">
        <v>0</v>
      </c>
      <c r="R1287" s="107">
        <v>0</v>
      </c>
      <c r="S1287" s="107">
        <v>0</v>
      </c>
      <c r="T1287" s="107">
        <v>0</v>
      </c>
      <c r="U1287" s="107"/>
      <c r="V1287" s="107"/>
      <c r="W1287" s="107"/>
      <c r="X1287" s="107"/>
      <c r="Y1287" s="107"/>
      <c r="Z1287" s="107"/>
      <c r="AA1287" s="107"/>
      <c r="AB1287" s="107"/>
      <c r="AC1287" s="355"/>
      <c r="AD1287" s="355"/>
      <c r="AE1287" s="355"/>
      <c r="AF1287" s="94">
        <f t="shared" si="179"/>
        <v>42153</v>
      </c>
      <c r="AG1287" s="185">
        <f t="shared" si="175"/>
        <v>4.9573807221037214E-3</v>
      </c>
      <c r="AH1287" s="339" t="str">
        <f>VLOOKUP(B1287,'MF PF'!A:B,2)</f>
        <v>FdMgt1</v>
      </c>
      <c r="AI1287" s="358">
        <f t="shared" si="180"/>
        <v>0</v>
      </c>
      <c r="AJ1287" s="94">
        <f t="shared" si="181"/>
        <v>42155</v>
      </c>
    </row>
    <row r="1288" spans="1:36" ht="12.75" customHeight="1">
      <c r="A1288" s="94">
        <v>42185</v>
      </c>
      <c r="B1288" s="94" t="s">
        <v>136</v>
      </c>
      <c r="C1288" s="358" t="s">
        <v>314</v>
      </c>
      <c r="D1288" s="374">
        <v>513419.13400000008</v>
      </c>
      <c r="E1288" s="95" t="e">
        <f t="shared" si="176"/>
        <v>#DIV/0!</v>
      </c>
      <c r="F1288" s="98">
        <v>1</v>
      </c>
      <c r="G1288" s="98">
        <v>0</v>
      </c>
      <c r="H1288" s="98">
        <v>-5.8207660913467407E-11</v>
      </c>
      <c r="I1288" s="98">
        <v>0</v>
      </c>
      <c r="J1288" s="98"/>
      <c r="L1288" s="93">
        <f t="shared" si="177"/>
        <v>-5.8207660913467407E-11</v>
      </c>
      <c r="M1288" s="95" t="e">
        <f t="shared" ca="1" si="178"/>
        <v>#DIV/0!</v>
      </c>
      <c r="N1288" s="95">
        <f>IF(P1288="Hedge Fund",IF(A1288=Summary!$AD$3,M1288-E1288,M1288),IF(A1288=Summary!$AD$3,L1288-D1288,L1288))</f>
        <v>-5.8207660913467407E-11</v>
      </c>
      <c r="O1288" s="9">
        <f t="shared" si="174"/>
        <v>-5.8207660913467407E-11</v>
      </c>
      <c r="P1288" s="107" t="s">
        <v>155</v>
      </c>
      <c r="Q1288" s="107">
        <v>0</v>
      </c>
      <c r="R1288" s="107">
        <v>0</v>
      </c>
      <c r="S1288" s="107">
        <v>0</v>
      </c>
      <c r="T1288" s="107">
        <v>0</v>
      </c>
      <c r="U1288" s="107"/>
      <c r="V1288" s="107"/>
      <c r="W1288" s="107"/>
      <c r="X1288" s="107"/>
      <c r="Y1288" s="107"/>
      <c r="Z1288" s="107"/>
      <c r="AA1288" s="107"/>
      <c r="AB1288" s="107"/>
      <c r="AC1288" s="355"/>
      <c r="AD1288" s="355"/>
      <c r="AE1288" s="355"/>
      <c r="AF1288" s="94">
        <f t="shared" si="179"/>
        <v>42185</v>
      </c>
      <c r="AG1288" s="185">
        <f t="shared" si="175"/>
        <v>-1.5126490044395591E-2</v>
      </c>
      <c r="AH1288" s="339" t="str">
        <f>VLOOKUP(B1288,'MF PF'!A:B,2)</f>
        <v>FdMgt1</v>
      </c>
      <c r="AI1288" s="358">
        <f t="shared" si="180"/>
        <v>0</v>
      </c>
      <c r="AJ1288" s="94">
        <f t="shared" si="181"/>
        <v>42185</v>
      </c>
    </row>
    <row r="1289" spans="1:36" ht="12.75" customHeight="1">
      <c r="A1289" s="94">
        <v>42216</v>
      </c>
      <c r="B1289" s="94" t="s">
        <v>136</v>
      </c>
      <c r="C1289" s="358" t="s">
        <v>314</v>
      </c>
      <c r="D1289" s="374">
        <v>590250.81350000005</v>
      </c>
      <c r="E1289" s="9" t="e">
        <f t="shared" si="176"/>
        <v>#DIV/0!</v>
      </c>
      <c r="F1289" s="98">
        <v>1</v>
      </c>
      <c r="G1289" s="98">
        <v>87000</v>
      </c>
      <c r="H1289" s="98">
        <v>0</v>
      </c>
      <c r="I1289" s="98">
        <v>0</v>
      </c>
      <c r="J1289" s="98"/>
      <c r="L1289" s="93">
        <f t="shared" si="177"/>
        <v>87000</v>
      </c>
      <c r="M1289" s="95" t="e">
        <f t="shared" ca="1" si="178"/>
        <v>#DIV/0!</v>
      </c>
      <c r="N1289" s="95">
        <f>IF(P1289="Hedge Fund",IF(A1289=Summary!$AD$3,M1289-E1289,M1289),IF(A1289=Summary!$AD$3,L1289-D1289,L1289))</f>
        <v>87000</v>
      </c>
      <c r="O1289" s="9">
        <f t="shared" si="174"/>
        <v>87000</v>
      </c>
      <c r="P1289" s="107" t="s">
        <v>155</v>
      </c>
      <c r="Q1289" s="107">
        <v>0</v>
      </c>
      <c r="R1289" s="107">
        <v>0</v>
      </c>
      <c r="S1289" s="107">
        <v>0</v>
      </c>
      <c r="T1289" s="107">
        <v>0</v>
      </c>
      <c r="U1289" s="107"/>
      <c r="V1289" s="107"/>
      <c r="W1289" s="107"/>
      <c r="X1289" s="107"/>
      <c r="Y1289" s="107"/>
      <c r="Z1289" s="107"/>
      <c r="AA1289" s="107"/>
      <c r="AB1289" s="107"/>
      <c r="AC1289" s="355"/>
      <c r="AD1289" s="355"/>
      <c r="AE1289" s="355"/>
      <c r="AF1289" s="94">
        <f t="shared" si="179"/>
        <v>42216</v>
      </c>
      <c r="AG1289" s="185">
        <f t="shared" si="175"/>
        <v>-1.9805106250675997E-2</v>
      </c>
      <c r="AH1289" s="339" t="str">
        <f>VLOOKUP(B1289,'MF PF'!A:B,2)</f>
        <v>FdMgt1</v>
      </c>
      <c r="AI1289" s="358">
        <f t="shared" si="180"/>
        <v>0</v>
      </c>
      <c r="AJ1289" s="94">
        <f t="shared" si="181"/>
        <v>42216</v>
      </c>
    </row>
    <row r="1290" spans="1:36" ht="12.75" customHeight="1">
      <c r="A1290" s="94">
        <v>42247</v>
      </c>
      <c r="B1290" s="94" t="s">
        <v>136</v>
      </c>
      <c r="C1290" s="358" t="s">
        <v>314</v>
      </c>
      <c r="D1290" s="374">
        <v>580074.91949999996</v>
      </c>
      <c r="E1290" s="9" t="e">
        <f t="shared" si="176"/>
        <v>#DIV/0!</v>
      </c>
      <c r="F1290" s="98">
        <v>1</v>
      </c>
      <c r="G1290" s="98">
        <v>0</v>
      </c>
      <c r="H1290" s="98">
        <v>0</v>
      </c>
      <c r="I1290" s="98">
        <v>0</v>
      </c>
      <c r="J1290" s="98"/>
      <c r="L1290" s="93">
        <f t="shared" si="177"/>
        <v>0</v>
      </c>
      <c r="M1290" s="95" t="e">
        <f t="shared" ca="1" si="178"/>
        <v>#DIV/0!</v>
      </c>
      <c r="N1290" s="95">
        <f>IF(P1290="Hedge Fund",IF(A1290=Summary!$AD$3,M1290-E1290,M1290),IF(A1290=Summary!$AD$3,L1290-D1290,L1290))</f>
        <v>0</v>
      </c>
      <c r="O1290" s="9">
        <f t="shared" si="174"/>
        <v>0</v>
      </c>
      <c r="P1290" s="107" t="s">
        <v>155</v>
      </c>
      <c r="Q1290" s="107">
        <v>0</v>
      </c>
      <c r="R1290" s="107">
        <v>0</v>
      </c>
      <c r="S1290" s="107">
        <v>0</v>
      </c>
      <c r="T1290" s="107">
        <v>0</v>
      </c>
      <c r="U1290" s="107"/>
      <c r="V1290" s="107"/>
      <c r="W1290" s="107"/>
      <c r="X1290" s="107"/>
      <c r="Y1290" s="107"/>
      <c r="Z1290" s="107"/>
      <c r="AA1290" s="107"/>
      <c r="AB1290" s="107"/>
      <c r="AC1290" s="355"/>
      <c r="AD1290" s="355"/>
      <c r="AE1290" s="355"/>
      <c r="AF1290" s="94">
        <f t="shared" si="179"/>
        <v>42247</v>
      </c>
      <c r="AG1290" s="185">
        <f t="shared" si="175"/>
        <v>-1.7239949132234589E-2</v>
      </c>
      <c r="AH1290" s="339" t="str">
        <f>VLOOKUP(B1290,'MF PF'!A:B,2)</f>
        <v>FdMgt1</v>
      </c>
      <c r="AI1290" s="358">
        <f t="shared" si="180"/>
        <v>0</v>
      </c>
      <c r="AJ1290" s="94">
        <f t="shared" si="181"/>
        <v>42247</v>
      </c>
    </row>
    <row r="1291" spans="1:36" ht="12.75" customHeight="1">
      <c r="A1291" s="8">
        <v>42277</v>
      </c>
      <c r="B1291" s="94" t="s">
        <v>136</v>
      </c>
      <c r="C1291" s="358" t="s">
        <v>314</v>
      </c>
      <c r="D1291" s="374">
        <v>581227.92749999999</v>
      </c>
      <c r="E1291" s="9" t="e">
        <f t="shared" si="176"/>
        <v>#DIV/0!</v>
      </c>
      <c r="F1291" s="98">
        <v>1</v>
      </c>
      <c r="G1291" s="98">
        <v>0</v>
      </c>
      <c r="H1291" s="98">
        <v>0</v>
      </c>
      <c r="I1291" s="98">
        <v>0</v>
      </c>
      <c r="J1291" s="98"/>
      <c r="L1291" s="93">
        <f t="shared" si="177"/>
        <v>0</v>
      </c>
      <c r="M1291" s="95" t="e">
        <f t="shared" ca="1" si="178"/>
        <v>#DIV/0!</v>
      </c>
      <c r="N1291" s="95">
        <f>IF(P1291="Hedge Fund",IF(A1291=Summary!$AD$3,M1291-E1291,M1291),IF(A1291=Summary!$AD$3,L1291-D1291,L1291))</f>
        <v>0</v>
      </c>
      <c r="O1291" s="9">
        <f t="shared" si="174"/>
        <v>0</v>
      </c>
      <c r="P1291" s="107" t="s">
        <v>155</v>
      </c>
      <c r="Q1291" s="107">
        <v>0</v>
      </c>
      <c r="R1291" s="107">
        <v>0</v>
      </c>
      <c r="S1291" s="107">
        <v>0</v>
      </c>
      <c r="T1291" s="107">
        <v>0</v>
      </c>
      <c r="U1291" s="107"/>
      <c r="V1291" s="107"/>
      <c r="W1291" s="107"/>
      <c r="X1291" s="107"/>
      <c r="Y1291" s="107"/>
      <c r="Z1291" s="107"/>
      <c r="AA1291" s="107"/>
      <c r="AB1291" s="107"/>
      <c r="AC1291" s="355"/>
      <c r="AD1291" s="355"/>
      <c r="AE1291" s="355"/>
      <c r="AF1291" s="94">
        <f t="shared" si="179"/>
        <v>42277</v>
      </c>
      <c r="AG1291" s="185">
        <f t="shared" si="175"/>
        <v>1.9876880748332937E-3</v>
      </c>
      <c r="AH1291" s="339" t="str">
        <f>VLOOKUP(B1291,'MF PF'!A:B,2)</f>
        <v>FdMgt1</v>
      </c>
      <c r="AI1291" s="358">
        <f t="shared" si="180"/>
        <v>0</v>
      </c>
      <c r="AJ1291" s="94">
        <f t="shared" si="181"/>
        <v>42277</v>
      </c>
    </row>
    <row r="1292" spans="1:36" ht="12.75" customHeight="1">
      <c r="A1292" s="94">
        <v>42307</v>
      </c>
      <c r="B1292" s="94" t="s">
        <v>136</v>
      </c>
      <c r="C1292" s="358" t="s">
        <v>314</v>
      </c>
      <c r="D1292" s="374">
        <v>597283.0675</v>
      </c>
      <c r="E1292" s="9" t="e">
        <f t="shared" si="176"/>
        <v>#DIV/0!</v>
      </c>
      <c r="F1292" s="98">
        <v>1</v>
      </c>
      <c r="G1292" s="98">
        <v>0</v>
      </c>
      <c r="H1292" s="98">
        <v>0</v>
      </c>
      <c r="I1292" s="98">
        <v>0</v>
      </c>
      <c r="J1292" s="98"/>
      <c r="L1292" s="93">
        <f t="shared" si="177"/>
        <v>0</v>
      </c>
      <c r="M1292" s="95" t="e">
        <f t="shared" ca="1" si="178"/>
        <v>#DIV/0!</v>
      </c>
      <c r="N1292" s="95">
        <f>IF(P1292="Hedge Fund",IF(A1292=Summary!$AD$3,M1292-E1292,M1292),IF(A1292=Summary!$AD$3,L1292-D1292,L1292))</f>
        <v>0</v>
      </c>
      <c r="O1292" s="9">
        <f t="shared" si="174"/>
        <v>0</v>
      </c>
      <c r="P1292" s="107" t="s">
        <v>155</v>
      </c>
      <c r="Q1292" s="107">
        <v>0</v>
      </c>
      <c r="R1292" s="107">
        <v>0</v>
      </c>
      <c r="S1292" s="107">
        <v>0</v>
      </c>
      <c r="T1292" s="107">
        <v>0</v>
      </c>
      <c r="U1292" s="107"/>
      <c r="V1292" s="107"/>
      <c r="W1292" s="107"/>
      <c r="X1292" s="107"/>
      <c r="Y1292" s="107"/>
      <c r="Z1292" s="107"/>
      <c r="AA1292" s="107"/>
      <c r="AB1292" s="107"/>
      <c r="AC1292" s="355"/>
      <c r="AD1292" s="355"/>
      <c r="AE1292" s="355"/>
      <c r="AF1292" s="94">
        <f t="shared" si="179"/>
        <v>42307</v>
      </c>
      <c r="AG1292" s="185">
        <f t="shared" si="175"/>
        <v>2.762279518993016E-2</v>
      </c>
      <c r="AH1292" s="339" t="str">
        <f>VLOOKUP(B1292,'MF PF'!A:B,2)</f>
        <v>FdMgt1</v>
      </c>
      <c r="AI1292" s="358">
        <f t="shared" si="180"/>
        <v>0</v>
      </c>
      <c r="AJ1292" s="94">
        <f t="shared" si="181"/>
        <v>42308</v>
      </c>
    </row>
    <row r="1293" spans="1:36" ht="12.75" customHeight="1">
      <c r="A1293" s="8">
        <v>42338</v>
      </c>
      <c r="B1293" s="94" t="s">
        <v>136</v>
      </c>
      <c r="C1293" s="358" t="s">
        <v>314</v>
      </c>
      <c r="D1293" s="374">
        <v>645757.71699999995</v>
      </c>
      <c r="E1293" s="9" t="e">
        <f t="shared" si="176"/>
        <v>#DIV/0!</v>
      </c>
      <c r="F1293" s="98">
        <v>1</v>
      </c>
      <c r="G1293" s="98">
        <v>50000.000000000007</v>
      </c>
      <c r="H1293" s="98">
        <v>0</v>
      </c>
      <c r="I1293" s="98">
        <v>0</v>
      </c>
      <c r="J1293" s="98"/>
      <c r="L1293" s="93">
        <f t="shared" si="177"/>
        <v>50000.000000000007</v>
      </c>
      <c r="M1293" s="95" t="e">
        <f t="shared" ca="1" si="178"/>
        <v>#DIV/0!</v>
      </c>
      <c r="N1293" s="95">
        <f>IF(P1293="Hedge Fund",IF(A1293=Summary!$AD$3,M1293-E1293,M1293),IF(A1293=Summary!$AD$3,L1293-D1293,L1293))</f>
        <v>50000.000000000007</v>
      </c>
      <c r="O1293" s="9">
        <f t="shared" si="174"/>
        <v>50000.000000000007</v>
      </c>
      <c r="P1293" s="107" t="s">
        <v>155</v>
      </c>
      <c r="Q1293" s="107">
        <v>0</v>
      </c>
      <c r="R1293" s="107">
        <v>0</v>
      </c>
      <c r="S1293" s="107">
        <v>0</v>
      </c>
      <c r="T1293" s="107">
        <v>0</v>
      </c>
      <c r="U1293" s="107"/>
      <c r="V1293" s="107"/>
      <c r="W1293" s="107"/>
      <c r="X1293" s="107"/>
      <c r="Y1293" s="107"/>
      <c r="Z1293" s="107"/>
      <c r="AA1293" s="107"/>
      <c r="AB1293" s="107"/>
      <c r="AC1293" s="355"/>
      <c r="AD1293" s="355"/>
      <c r="AE1293" s="355"/>
      <c r="AF1293" s="94">
        <f t="shared" si="179"/>
        <v>42338</v>
      </c>
      <c r="AG1293" s="185">
        <f t="shared" si="175"/>
        <v>-2.5538150719467412E-3</v>
      </c>
      <c r="AH1293" s="339" t="str">
        <f>VLOOKUP(B1293,'MF PF'!A:B,2)</f>
        <v>FdMgt1</v>
      </c>
      <c r="AI1293" s="358">
        <f t="shared" si="180"/>
        <v>0</v>
      </c>
      <c r="AJ1293" s="94">
        <f t="shared" si="181"/>
        <v>42338</v>
      </c>
    </row>
    <row r="1294" spans="1:36" ht="12.75" customHeight="1">
      <c r="A1294" s="94">
        <v>42369</v>
      </c>
      <c r="B1294" s="94" t="s">
        <v>136</v>
      </c>
      <c r="C1294" s="358" t="s">
        <v>314</v>
      </c>
      <c r="D1294" s="374">
        <v>649657.47450000001</v>
      </c>
      <c r="E1294" s="9" t="e">
        <f t="shared" si="176"/>
        <v>#DIV/0!</v>
      </c>
      <c r="F1294" s="47">
        <v>1</v>
      </c>
      <c r="G1294" s="47">
        <v>0</v>
      </c>
      <c r="H1294" s="47">
        <v>0</v>
      </c>
      <c r="I1294" s="98">
        <v>0</v>
      </c>
      <c r="J1294" s="98"/>
      <c r="L1294" s="93">
        <f t="shared" si="177"/>
        <v>0</v>
      </c>
      <c r="M1294" s="95" t="e">
        <f t="shared" ca="1" si="178"/>
        <v>#DIV/0!</v>
      </c>
      <c r="N1294" s="95">
        <f>IF(P1294="Hedge Fund",IF(A1294=Summary!$AD$3,M1294-E1294,M1294),IF(A1294=Summary!$AD$3,L1294-D1294,L1294))</f>
        <v>0</v>
      </c>
      <c r="O1294" s="9">
        <f t="shared" ref="O1294:O1357" si="182">N1294</f>
        <v>0</v>
      </c>
      <c r="P1294" s="89" t="s">
        <v>155</v>
      </c>
      <c r="Q1294" s="107">
        <v>0</v>
      </c>
      <c r="R1294" s="107">
        <v>0</v>
      </c>
      <c r="S1294" s="89">
        <v>0</v>
      </c>
      <c r="T1294" s="89">
        <v>0</v>
      </c>
      <c r="U1294" s="89"/>
      <c r="V1294" s="89"/>
      <c r="W1294" s="89"/>
      <c r="X1294" s="89"/>
      <c r="Y1294" s="89"/>
      <c r="Z1294" s="89"/>
      <c r="AA1294" s="89"/>
      <c r="AB1294" s="89"/>
      <c r="AC1294" s="355"/>
      <c r="AD1294" s="355"/>
      <c r="AE1294" s="355"/>
      <c r="AF1294" s="94">
        <f t="shared" si="179"/>
        <v>42369</v>
      </c>
      <c r="AG1294" s="185">
        <f t="shared" si="175"/>
        <v>6.0390412647597369E-3</v>
      </c>
      <c r="AH1294" s="339" t="str">
        <f>VLOOKUP(B1294,'MF PF'!A:B,2)</f>
        <v>FdMgt1</v>
      </c>
      <c r="AI1294" s="358">
        <f t="shared" si="180"/>
        <v>0</v>
      </c>
      <c r="AJ1294" s="94">
        <f t="shared" si="181"/>
        <v>42369</v>
      </c>
    </row>
    <row r="1295" spans="1:36" ht="12.75" customHeight="1">
      <c r="A1295" s="8">
        <v>42398</v>
      </c>
      <c r="B1295" s="94" t="s">
        <v>136</v>
      </c>
      <c r="C1295" s="6" t="s">
        <v>314</v>
      </c>
      <c r="D1295" s="374">
        <v>639245.54399999999</v>
      </c>
      <c r="E1295" s="9" t="e">
        <f t="shared" si="176"/>
        <v>#DIV/0!</v>
      </c>
      <c r="F1295" s="98">
        <v>1</v>
      </c>
      <c r="G1295" s="98">
        <v>0</v>
      </c>
      <c r="H1295" s="98">
        <v>0</v>
      </c>
      <c r="I1295" s="98">
        <v>0</v>
      </c>
      <c r="J1295" s="98"/>
      <c r="L1295" s="93">
        <f t="shared" si="177"/>
        <v>0</v>
      </c>
      <c r="M1295" s="95" t="e">
        <f t="shared" ca="1" si="178"/>
        <v>#DIV/0!</v>
      </c>
      <c r="N1295" s="95">
        <f>IF(P1295="Hedge Fund",IF(A1295=Summary!$AD$3,M1295-E1295,M1295),IF(A1295=Summary!$AD$3,L1295-D1295,L1295))</f>
        <v>0</v>
      </c>
      <c r="O1295" s="9">
        <f t="shared" si="182"/>
        <v>0</v>
      </c>
      <c r="P1295" s="107" t="s">
        <v>155</v>
      </c>
      <c r="Q1295" s="107">
        <v>0</v>
      </c>
      <c r="R1295" s="107">
        <v>0</v>
      </c>
      <c r="S1295" s="107">
        <v>0</v>
      </c>
      <c r="T1295" s="107">
        <v>0</v>
      </c>
      <c r="U1295" s="107"/>
      <c r="V1295" s="107"/>
      <c r="W1295" s="107"/>
      <c r="X1295" s="107"/>
      <c r="Y1295" s="107"/>
      <c r="Z1295" s="107"/>
      <c r="AA1295" s="107"/>
      <c r="AB1295" s="107"/>
      <c r="AC1295" s="355"/>
      <c r="AD1295" s="355"/>
      <c r="AE1295" s="355"/>
      <c r="AF1295" s="94">
        <f t="shared" si="179"/>
        <v>42398</v>
      </c>
      <c r="AG1295" s="185">
        <f t="shared" ref="AG1295:AG1358" si="183">IF(C1295&lt;&gt;C1294,D1295/G1295-1,(D1295-G1295-I1295-H1295)/(D1294)-1)</f>
        <v>-1.6026800134968711E-2</v>
      </c>
      <c r="AH1295" s="339" t="str">
        <f>VLOOKUP(B1295,'MF PF'!A:B,2)</f>
        <v>FdMgt1</v>
      </c>
      <c r="AI1295" s="358">
        <f t="shared" si="180"/>
        <v>0</v>
      </c>
      <c r="AJ1295" s="94">
        <f t="shared" si="181"/>
        <v>42400</v>
      </c>
    </row>
    <row r="1296" spans="1:36" ht="12.75" customHeight="1">
      <c r="A1296" s="94">
        <v>42429</v>
      </c>
      <c r="B1296" s="94" t="s">
        <v>136</v>
      </c>
      <c r="C1296" s="92" t="s">
        <v>314</v>
      </c>
      <c r="D1296" s="374">
        <v>874826.36049999995</v>
      </c>
      <c r="E1296" s="9" t="e">
        <f t="shared" si="176"/>
        <v>#DIV/0!</v>
      </c>
      <c r="F1296" s="98">
        <v>1</v>
      </c>
      <c r="G1296" s="98">
        <v>224000</v>
      </c>
      <c r="H1296" s="98">
        <v>0</v>
      </c>
      <c r="I1296" s="98">
        <v>0</v>
      </c>
      <c r="J1296" s="98"/>
      <c r="L1296" s="93">
        <f t="shared" si="177"/>
        <v>224000</v>
      </c>
      <c r="M1296" s="95" t="e">
        <f t="shared" ca="1" si="178"/>
        <v>#DIV/0!</v>
      </c>
      <c r="N1296" s="95">
        <f>IF(P1296="Hedge Fund",IF(A1296=Summary!$AD$3,M1296-E1296,M1296),IF(A1296=Summary!$AD$3,L1296-D1296,L1296))</f>
        <v>224000</v>
      </c>
      <c r="O1296" s="95">
        <f t="shared" si="182"/>
        <v>224000</v>
      </c>
      <c r="P1296" s="107" t="s">
        <v>155</v>
      </c>
      <c r="Q1296" s="107">
        <v>0</v>
      </c>
      <c r="R1296" s="107">
        <v>0</v>
      </c>
      <c r="S1296" s="107">
        <v>0</v>
      </c>
      <c r="T1296" s="107">
        <v>0</v>
      </c>
      <c r="U1296" s="107"/>
      <c r="V1296" s="107"/>
      <c r="W1296" s="107"/>
      <c r="X1296" s="107"/>
      <c r="Y1296" s="107"/>
      <c r="Z1296" s="107"/>
      <c r="AA1296" s="107"/>
      <c r="AB1296" s="107"/>
      <c r="AC1296" s="355"/>
      <c r="AD1296" s="355"/>
      <c r="AE1296" s="355"/>
      <c r="AF1296" s="94">
        <f t="shared" si="179"/>
        <v>42429</v>
      </c>
      <c r="AG1296" s="185">
        <f t="shared" si="183"/>
        <v>1.8116382051776903E-2</v>
      </c>
      <c r="AH1296" s="339" t="str">
        <f>VLOOKUP(B1296,'MF PF'!A:B,2)</f>
        <v>FdMgt1</v>
      </c>
      <c r="AI1296" s="358">
        <f t="shared" si="180"/>
        <v>0</v>
      </c>
      <c r="AJ1296" s="94">
        <f t="shared" si="181"/>
        <v>42429</v>
      </c>
    </row>
    <row r="1297" spans="1:36" ht="12.75" customHeight="1">
      <c r="A1297" s="94">
        <v>42460</v>
      </c>
      <c r="B1297" s="94" t="s">
        <v>136</v>
      </c>
      <c r="C1297" s="358" t="s">
        <v>314</v>
      </c>
      <c r="D1297" s="374">
        <v>881054.6165</v>
      </c>
      <c r="E1297" s="9" t="e">
        <f t="shared" si="176"/>
        <v>#DIV/0!</v>
      </c>
      <c r="F1297" s="47">
        <v>1</v>
      </c>
      <c r="G1297" s="47">
        <v>0</v>
      </c>
      <c r="H1297" s="47">
        <v>0</v>
      </c>
      <c r="I1297" s="98">
        <v>0</v>
      </c>
      <c r="J1297" s="98"/>
      <c r="L1297" s="93">
        <f t="shared" si="177"/>
        <v>0</v>
      </c>
      <c r="M1297" s="95" t="e">
        <f t="shared" ca="1" si="178"/>
        <v>#DIV/0!</v>
      </c>
      <c r="N1297" s="95">
        <f>IF(P1297="Hedge Fund",IF(A1297=Summary!$AD$3,M1297-E1297,M1297),IF(A1297=Summary!$AD$3,L1297-D1297,L1297))</f>
        <v>0</v>
      </c>
      <c r="O1297" s="9">
        <f t="shared" si="182"/>
        <v>0</v>
      </c>
      <c r="P1297" s="89" t="s">
        <v>155</v>
      </c>
      <c r="Q1297" s="107">
        <v>0</v>
      </c>
      <c r="R1297" s="107">
        <v>0</v>
      </c>
      <c r="S1297" s="89">
        <v>0</v>
      </c>
      <c r="T1297" s="89">
        <v>0</v>
      </c>
      <c r="U1297" s="89"/>
      <c r="V1297" s="89"/>
      <c r="W1297" s="89"/>
      <c r="X1297" s="89"/>
      <c r="Y1297" s="89"/>
      <c r="Z1297" s="89"/>
      <c r="AA1297" s="89"/>
      <c r="AB1297" s="89"/>
      <c r="AC1297" s="355"/>
      <c r="AD1297" s="355"/>
      <c r="AE1297" s="355"/>
      <c r="AF1297" s="94">
        <f t="shared" si="179"/>
        <v>42460</v>
      </c>
      <c r="AG1297" s="185">
        <f t="shared" si="183"/>
        <v>7.1194196713966207E-3</v>
      </c>
      <c r="AH1297" s="339" t="str">
        <f>VLOOKUP(B1297,'MF PF'!A:B,2)</f>
        <v>FdMgt1</v>
      </c>
      <c r="AI1297" s="358">
        <f t="shared" si="180"/>
        <v>0</v>
      </c>
      <c r="AJ1297" s="94">
        <f t="shared" si="181"/>
        <v>42460</v>
      </c>
    </row>
    <row r="1298" spans="1:36" ht="12.75" customHeight="1">
      <c r="A1298" s="8">
        <v>42489</v>
      </c>
      <c r="B1298" s="94" t="s">
        <v>136</v>
      </c>
      <c r="C1298" s="358" t="s">
        <v>314</v>
      </c>
      <c r="D1298" s="374">
        <v>1052905.9805000001</v>
      </c>
      <c r="E1298" s="9" t="e">
        <f t="shared" si="176"/>
        <v>#DIV/0!</v>
      </c>
      <c r="F1298" s="47">
        <v>1</v>
      </c>
      <c r="G1298" s="47">
        <v>162000</v>
      </c>
      <c r="H1298" s="47">
        <v>0</v>
      </c>
      <c r="I1298" s="98">
        <v>0</v>
      </c>
      <c r="J1298" s="98"/>
      <c r="L1298" s="93">
        <f t="shared" si="177"/>
        <v>162000</v>
      </c>
      <c r="M1298" s="95" t="e">
        <f t="shared" ca="1" si="178"/>
        <v>#DIV/0!</v>
      </c>
      <c r="N1298" s="95">
        <f>IF(P1298="Hedge Fund",IF(A1298=Summary!$AD$3,M1298-E1298,M1298),IF(A1298=Summary!$AD$3,L1298-D1298,L1298))</f>
        <v>162000</v>
      </c>
      <c r="O1298" s="9">
        <f t="shared" si="182"/>
        <v>162000</v>
      </c>
      <c r="P1298" s="89" t="s">
        <v>155</v>
      </c>
      <c r="Q1298" s="107">
        <v>0</v>
      </c>
      <c r="R1298" s="107">
        <v>0</v>
      </c>
      <c r="S1298" s="89">
        <v>0</v>
      </c>
      <c r="T1298" s="89">
        <v>0</v>
      </c>
      <c r="U1298" s="89"/>
      <c r="V1298" s="89"/>
      <c r="W1298" s="89"/>
      <c r="X1298" s="89"/>
      <c r="Y1298" s="89"/>
      <c r="Z1298" s="89"/>
      <c r="AA1298" s="89"/>
      <c r="AB1298" s="89"/>
      <c r="AC1298" s="355"/>
      <c r="AD1298" s="355"/>
      <c r="AE1298" s="355"/>
      <c r="AF1298" s="94">
        <f t="shared" si="179"/>
        <v>42489</v>
      </c>
      <c r="AG1298" s="185">
        <f t="shared" si="183"/>
        <v>1.1181331798855609E-2</v>
      </c>
      <c r="AH1298" s="339" t="str">
        <f>VLOOKUP(B1298,'MF PF'!A:B,2)</f>
        <v>FdMgt1</v>
      </c>
      <c r="AI1298" s="358">
        <f t="shared" si="180"/>
        <v>0</v>
      </c>
      <c r="AJ1298" s="94">
        <f t="shared" si="181"/>
        <v>42490</v>
      </c>
    </row>
    <row r="1299" spans="1:36" ht="12.75" customHeight="1">
      <c r="A1299" s="8">
        <v>42521</v>
      </c>
      <c r="B1299" s="94" t="s">
        <v>136</v>
      </c>
      <c r="C1299" s="358" t="s">
        <v>314</v>
      </c>
      <c r="D1299" s="374">
        <v>1064177.3629999999</v>
      </c>
      <c r="E1299" s="9" t="e">
        <f t="shared" si="176"/>
        <v>#DIV/0!</v>
      </c>
      <c r="F1299" s="47">
        <v>1</v>
      </c>
      <c r="G1299" s="47">
        <v>0</v>
      </c>
      <c r="H1299" s="47">
        <v>0</v>
      </c>
      <c r="I1299" s="98">
        <v>0</v>
      </c>
      <c r="J1299" s="98"/>
      <c r="L1299" s="93">
        <f t="shared" si="177"/>
        <v>0</v>
      </c>
      <c r="M1299" s="95" t="e">
        <f t="shared" ca="1" si="178"/>
        <v>#DIV/0!</v>
      </c>
      <c r="N1299" s="95">
        <f>IF(P1299="Hedge Fund",IF(A1299=Summary!$AD$3,M1299-E1299,M1299),IF(A1299=Summary!$AD$3,L1299-D1299,L1299))</f>
        <v>0</v>
      </c>
      <c r="O1299" s="9">
        <f t="shared" si="182"/>
        <v>0</v>
      </c>
      <c r="P1299" s="89" t="s">
        <v>155</v>
      </c>
      <c r="Q1299" s="107">
        <v>0</v>
      </c>
      <c r="R1299" s="107">
        <v>0</v>
      </c>
      <c r="S1299" s="89">
        <v>0</v>
      </c>
      <c r="T1299" s="89">
        <v>0</v>
      </c>
      <c r="U1299" s="89"/>
      <c r="V1299" s="89"/>
      <c r="W1299" s="89"/>
      <c r="X1299" s="89"/>
      <c r="Y1299" s="89"/>
      <c r="Z1299" s="89"/>
      <c r="AA1299" s="89"/>
      <c r="AB1299" s="89"/>
      <c r="AC1299" s="355"/>
      <c r="AD1299" s="355"/>
      <c r="AE1299" s="355"/>
      <c r="AF1299" s="94">
        <f t="shared" si="179"/>
        <v>42521</v>
      </c>
      <c r="AG1299" s="185">
        <f t="shared" si="183"/>
        <v>1.0705022773873196E-2</v>
      </c>
      <c r="AH1299" s="339" t="str">
        <f>VLOOKUP(B1299,'MF PF'!A:B,2)</f>
        <v>FdMgt1</v>
      </c>
      <c r="AI1299" s="358">
        <f t="shared" si="180"/>
        <v>0</v>
      </c>
      <c r="AJ1299" s="94">
        <f t="shared" si="181"/>
        <v>42521</v>
      </c>
    </row>
    <row r="1300" spans="1:36" ht="12.75" customHeight="1">
      <c r="A1300" s="8">
        <v>42551</v>
      </c>
      <c r="B1300" s="94" t="s">
        <v>136</v>
      </c>
      <c r="C1300" s="358" t="s">
        <v>314</v>
      </c>
      <c r="D1300" s="374">
        <v>1086146.956</v>
      </c>
      <c r="E1300" s="9" t="e">
        <f t="shared" si="176"/>
        <v>#DIV/0!</v>
      </c>
      <c r="F1300" s="47">
        <v>1</v>
      </c>
      <c r="G1300" s="47">
        <v>0</v>
      </c>
      <c r="H1300" s="47">
        <v>0</v>
      </c>
      <c r="I1300" s="47">
        <v>0</v>
      </c>
      <c r="J1300" s="98"/>
      <c r="K1300" s="93"/>
      <c r="L1300" s="93">
        <f t="shared" si="177"/>
        <v>0</v>
      </c>
      <c r="M1300" s="95" t="e">
        <f t="shared" ca="1" si="178"/>
        <v>#DIV/0!</v>
      </c>
      <c r="N1300" s="95">
        <f>IF(P1300="Hedge Fund",IF(A1300=Summary!$AD$3,M1300-E1300,M1300),IF(A1300=Summary!$AD$3,L1300-D1300,L1300))</f>
        <v>0</v>
      </c>
      <c r="O1300" s="9">
        <f t="shared" si="182"/>
        <v>0</v>
      </c>
      <c r="P1300" s="89" t="s">
        <v>155</v>
      </c>
      <c r="Q1300" s="107">
        <v>0</v>
      </c>
      <c r="R1300" s="107">
        <v>0</v>
      </c>
      <c r="S1300" s="89">
        <v>0</v>
      </c>
      <c r="T1300" s="89">
        <v>0</v>
      </c>
      <c r="U1300" s="89"/>
      <c r="V1300" s="89"/>
      <c r="W1300" s="89"/>
      <c r="X1300" s="89"/>
      <c r="Y1300" s="89"/>
      <c r="Z1300" s="89"/>
      <c r="AA1300" s="89"/>
      <c r="AB1300" s="89"/>
      <c r="AC1300" s="355"/>
      <c r="AD1300" s="355"/>
      <c r="AE1300" s="355"/>
      <c r="AF1300" s="94">
        <f t="shared" si="179"/>
        <v>42551</v>
      </c>
      <c r="AG1300" s="185">
        <f t="shared" si="183"/>
        <v>2.0644672367457817E-2</v>
      </c>
      <c r="AH1300" s="339" t="str">
        <f>VLOOKUP(B1300,'MF PF'!A:B,2)</f>
        <v>FdMgt1</v>
      </c>
      <c r="AI1300" s="358">
        <f t="shared" si="180"/>
        <v>0</v>
      </c>
      <c r="AJ1300" s="94">
        <f t="shared" si="181"/>
        <v>42551</v>
      </c>
    </row>
    <row r="1301" spans="1:36" ht="12.75" customHeight="1">
      <c r="A1301" s="94">
        <v>42580</v>
      </c>
      <c r="B1301" s="94" t="s">
        <v>136</v>
      </c>
      <c r="C1301" s="358" t="s">
        <v>314</v>
      </c>
      <c r="D1301" s="374">
        <v>1096401.9424999999</v>
      </c>
      <c r="E1301" s="9" t="e">
        <f t="shared" si="176"/>
        <v>#DIV/0!</v>
      </c>
      <c r="F1301" s="98">
        <v>1</v>
      </c>
      <c r="G1301" s="98">
        <v>0</v>
      </c>
      <c r="H1301" s="98">
        <v>0</v>
      </c>
      <c r="I1301" s="98">
        <v>0</v>
      </c>
      <c r="J1301" s="98"/>
      <c r="K1301" s="93"/>
      <c r="L1301" s="93">
        <f t="shared" si="177"/>
        <v>0</v>
      </c>
      <c r="M1301" s="95" t="e">
        <f t="shared" ca="1" si="178"/>
        <v>#DIV/0!</v>
      </c>
      <c r="N1301" s="95">
        <f>IF(P1301="Hedge Fund",IF(A1301=Summary!$AD$3,M1301-E1301,M1301),IF(A1301=Summary!$AD$3,L1301-D1301,L1301))</f>
        <v>0</v>
      </c>
      <c r="O1301" s="9">
        <f t="shared" si="182"/>
        <v>0</v>
      </c>
      <c r="P1301" s="107" t="s">
        <v>155</v>
      </c>
      <c r="Q1301" s="107">
        <v>0</v>
      </c>
      <c r="R1301" s="107">
        <v>0</v>
      </c>
      <c r="S1301" s="107">
        <v>0</v>
      </c>
      <c r="T1301" s="107">
        <v>0</v>
      </c>
      <c r="U1301" s="107"/>
      <c r="V1301" s="107"/>
      <c r="W1301" s="107"/>
      <c r="X1301" s="107"/>
      <c r="Y1301" s="107"/>
      <c r="Z1301" s="107"/>
      <c r="AA1301" s="107"/>
      <c r="AB1301" s="107"/>
      <c r="AC1301" s="355"/>
      <c r="AD1301" s="355"/>
      <c r="AE1301" s="355"/>
      <c r="AF1301" s="94">
        <f t="shared" si="179"/>
        <v>42580</v>
      </c>
      <c r="AG1301" s="185">
        <f t="shared" si="183"/>
        <v>9.4416197028865945E-3</v>
      </c>
      <c r="AH1301" s="339" t="str">
        <f>VLOOKUP(B1301,'MF PF'!A:B,2)</f>
        <v>FdMgt1</v>
      </c>
      <c r="AI1301" s="358">
        <f t="shared" si="180"/>
        <v>0</v>
      </c>
      <c r="AJ1301" s="94">
        <f t="shared" si="181"/>
        <v>42582</v>
      </c>
    </row>
    <row r="1302" spans="1:36" ht="12.75" customHeight="1">
      <c r="A1302" s="94">
        <v>42613</v>
      </c>
      <c r="B1302" s="94" t="s">
        <v>136</v>
      </c>
      <c r="C1302" s="358" t="s">
        <v>314</v>
      </c>
      <c r="D1302" s="374">
        <v>1091721.3155</v>
      </c>
      <c r="E1302" s="9" t="e">
        <f t="shared" si="176"/>
        <v>#DIV/0!</v>
      </c>
      <c r="F1302" s="98">
        <v>1</v>
      </c>
      <c r="G1302" s="98">
        <v>0</v>
      </c>
      <c r="H1302" s="98">
        <v>0</v>
      </c>
      <c r="I1302" s="98">
        <v>0</v>
      </c>
      <c r="J1302" s="98"/>
      <c r="K1302" s="93"/>
      <c r="L1302" s="93">
        <f t="shared" si="177"/>
        <v>0</v>
      </c>
      <c r="M1302" s="95" t="e">
        <f t="shared" ca="1" si="178"/>
        <v>#DIV/0!</v>
      </c>
      <c r="N1302" s="95">
        <f>IF(P1302="Hedge Fund",IF(A1302=Summary!$AD$3,M1302-E1302,M1302),IF(A1302=Summary!$AD$3,L1302-D1302,L1302))</f>
        <v>0</v>
      </c>
      <c r="O1302" s="9">
        <f t="shared" si="182"/>
        <v>0</v>
      </c>
      <c r="P1302" s="107" t="s">
        <v>155</v>
      </c>
      <c r="Q1302" s="107">
        <v>0</v>
      </c>
      <c r="R1302" s="107">
        <v>0</v>
      </c>
      <c r="S1302" s="107">
        <v>0</v>
      </c>
      <c r="T1302" s="107">
        <v>0</v>
      </c>
      <c r="U1302" s="107"/>
      <c r="V1302" s="107"/>
      <c r="W1302" s="107"/>
      <c r="X1302" s="107"/>
      <c r="Y1302" s="107"/>
      <c r="Z1302" s="107"/>
      <c r="AA1302" s="107"/>
      <c r="AB1302" s="107"/>
      <c r="AC1302" s="355"/>
      <c r="AD1302" s="355"/>
      <c r="AE1302" s="355"/>
      <c r="AF1302" s="94">
        <f t="shared" si="179"/>
        <v>42613</v>
      </c>
      <c r="AG1302" s="185">
        <f t="shared" si="183"/>
        <v>-4.2690794484796513E-3</v>
      </c>
      <c r="AH1302" s="339" t="str">
        <f>VLOOKUP(B1302,'MF PF'!A:B,2)</f>
        <v>FdMgt1</v>
      </c>
      <c r="AI1302" s="358">
        <f t="shared" si="180"/>
        <v>0</v>
      </c>
      <c r="AJ1302" s="94">
        <f t="shared" si="181"/>
        <v>42613</v>
      </c>
    </row>
    <row r="1303" spans="1:36" ht="12.75" customHeight="1">
      <c r="A1303" s="8">
        <v>42643</v>
      </c>
      <c r="B1303" s="94" t="s">
        <v>136</v>
      </c>
      <c r="C1303" s="358" t="s">
        <v>314</v>
      </c>
      <c r="D1303" s="374">
        <v>1131767</v>
      </c>
      <c r="E1303" s="9" t="e">
        <f t="shared" si="176"/>
        <v>#DIV/0!</v>
      </c>
      <c r="F1303" s="47">
        <v>1</v>
      </c>
      <c r="G1303" s="47">
        <v>0</v>
      </c>
      <c r="H1303" s="47">
        <v>0</v>
      </c>
      <c r="I1303" s="98">
        <v>0</v>
      </c>
      <c r="J1303" s="98"/>
      <c r="L1303" s="93">
        <f t="shared" si="177"/>
        <v>0</v>
      </c>
      <c r="M1303" s="95" t="e">
        <f t="shared" ca="1" si="178"/>
        <v>#DIV/0!</v>
      </c>
      <c r="N1303" s="95">
        <f>IF(P1303="Hedge Fund",IF(A1303=Summary!$AD$3,M1303-E1303,M1303),IF(A1303=Summary!$AD$3,L1303-D1303,L1303))</f>
        <v>0</v>
      </c>
      <c r="O1303" s="9">
        <f t="shared" si="182"/>
        <v>0</v>
      </c>
      <c r="P1303" s="89" t="s">
        <v>155</v>
      </c>
      <c r="Q1303" s="107">
        <v>0</v>
      </c>
      <c r="R1303" s="107">
        <v>0</v>
      </c>
      <c r="S1303" s="89">
        <v>0</v>
      </c>
      <c r="T1303" s="89">
        <v>0</v>
      </c>
      <c r="U1303" s="89"/>
      <c r="V1303" s="89"/>
      <c r="W1303" s="89"/>
      <c r="X1303" s="89"/>
      <c r="Y1303" s="89"/>
      <c r="Z1303" s="89"/>
      <c r="AA1303" s="89"/>
      <c r="AB1303" s="89"/>
      <c r="AC1303" s="355"/>
      <c r="AD1303" s="355"/>
      <c r="AE1303" s="355"/>
      <c r="AF1303" s="94">
        <f t="shared" si="179"/>
        <v>42643</v>
      </c>
      <c r="AG1303" s="185">
        <f t="shared" si="183"/>
        <v>3.668123350844299E-2</v>
      </c>
      <c r="AH1303" s="339" t="str">
        <f>VLOOKUP(B1303,'MF PF'!A:B,2)</f>
        <v>FdMgt1</v>
      </c>
      <c r="AI1303" s="358">
        <f t="shared" si="180"/>
        <v>0</v>
      </c>
      <c r="AJ1303" s="94">
        <f t="shared" si="181"/>
        <v>42643</v>
      </c>
    </row>
    <row r="1304" spans="1:36" s="92" customFormat="1" ht="12.75" customHeight="1">
      <c r="A1304" s="94">
        <v>42674</v>
      </c>
      <c r="B1304" s="94" t="s">
        <v>136</v>
      </c>
      <c r="C1304" s="358" t="s">
        <v>314</v>
      </c>
      <c r="D1304" s="374">
        <v>1157422.7285</v>
      </c>
      <c r="E1304" s="95" t="e">
        <f t="shared" si="176"/>
        <v>#DIV/0!</v>
      </c>
      <c r="F1304" s="98">
        <v>1</v>
      </c>
      <c r="G1304" s="98">
        <v>0</v>
      </c>
      <c r="H1304" s="98">
        <v>0</v>
      </c>
      <c r="I1304" s="98">
        <v>0</v>
      </c>
      <c r="J1304" s="98"/>
      <c r="K1304" s="93"/>
      <c r="L1304" s="93">
        <f t="shared" si="177"/>
        <v>0</v>
      </c>
      <c r="M1304" s="95" t="e">
        <f t="shared" ca="1" si="178"/>
        <v>#DIV/0!</v>
      </c>
      <c r="N1304" s="95">
        <f>IF(P1304="Hedge Fund",IF(A1304=Summary!$AD$3,M1304-E1304,M1304),IF(A1304=Summary!$AD$3,L1304-D1304,L1304))</f>
        <v>0</v>
      </c>
      <c r="O1304" s="95">
        <f t="shared" si="182"/>
        <v>0</v>
      </c>
      <c r="P1304" s="107" t="s">
        <v>155</v>
      </c>
      <c r="Q1304" s="107">
        <v>0</v>
      </c>
      <c r="R1304" s="107">
        <v>0</v>
      </c>
      <c r="S1304" s="107">
        <v>0</v>
      </c>
      <c r="T1304" s="107">
        <v>0</v>
      </c>
      <c r="U1304" s="107"/>
      <c r="V1304" s="107"/>
      <c r="W1304" s="107"/>
      <c r="X1304" s="107"/>
      <c r="Y1304" s="107"/>
      <c r="Z1304" s="107"/>
      <c r="AA1304" s="107"/>
      <c r="AB1304" s="107"/>
      <c r="AC1304" s="355"/>
      <c r="AD1304" s="355"/>
      <c r="AE1304" s="355"/>
      <c r="AF1304" s="94">
        <f t="shared" si="179"/>
        <v>42674</v>
      </c>
      <c r="AG1304" s="185">
        <f t="shared" si="183"/>
        <v>2.2668737028027852E-2</v>
      </c>
      <c r="AH1304" s="339" t="str">
        <f>VLOOKUP(B1304,'MF PF'!A:B,2)</f>
        <v>FdMgt1</v>
      </c>
      <c r="AI1304" s="358">
        <f t="shared" si="180"/>
        <v>0</v>
      </c>
      <c r="AJ1304" s="94">
        <f t="shared" si="181"/>
        <v>42674</v>
      </c>
    </row>
    <row r="1305" spans="1:36" ht="12.75" customHeight="1">
      <c r="A1305" s="8">
        <v>42704</v>
      </c>
      <c r="B1305" s="94" t="s">
        <v>136</v>
      </c>
      <c r="C1305" s="6" t="s">
        <v>314</v>
      </c>
      <c r="D1305" s="374">
        <v>1162034.0804999999</v>
      </c>
      <c r="E1305" s="95" t="e">
        <f t="shared" si="176"/>
        <v>#DIV/0!</v>
      </c>
      <c r="F1305" s="98">
        <v>1</v>
      </c>
      <c r="G1305" s="98">
        <v>0</v>
      </c>
      <c r="H1305" s="98">
        <v>0</v>
      </c>
      <c r="I1305" s="98">
        <v>0</v>
      </c>
      <c r="J1305" s="98"/>
      <c r="K1305" s="93"/>
      <c r="L1305" s="93">
        <f t="shared" si="177"/>
        <v>0</v>
      </c>
      <c r="M1305" s="95" t="e">
        <f t="shared" ca="1" si="178"/>
        <v>#DIV/0!</v>
      </c>
      <c r="N1305" s="95">
        <f>IF(P1305="Hedge Fund",IF(A1305=Summary!$AD$3,M1305-E1305,M1305),IF(A1305=Summary!$AD$3,L1305-D1305,L1305))</f>
        <v>0</v>
      </c>
      <c r="O1305" s="9">
        <f t="shared" si="182"/>
        <v>0</v>
      </c>
      <c r="P1305" s="107" t="s">
        <v>155</v>
      </c>
      <c r="Q1305" s="107">
        <v>0</v>
      </c>
      <c r="R1305" s="107">
        <v>0</v>
      </c>
      <c r="S1305" s="107">
        <v>0</v>
      </c>
      <c r="T1305" s="107">
        <v>0</v>
      </c>
      <c r="U1305" s="107"/>
      <c r="V1305" s="107"/>
      <c r="W1305" s="107"/>
      <c r="X1305" s="107"/>
      <c r="Y1305" s="107"/>
      <c r="Z1305" s="107"/>
      <c r="AA1305" s="107"/>
      <c r="AB1305" s="107"/>
      <c r="AC1305" s="355"/>
      <c r="AD1305" s="355"/>
      <c r="AE1305" s="355"/>
      <c r="AF1305" s="94">
        <f t="shared" si="179"/>
        <v>42704</v>
      </c>
      <c r="AG1305" s="185">
        <f t="shared" si="183"/>
        <v>3.9841553880457514E-3</v>
      </c>
      <c r="AH1305" s="339" t="str">
        <f>VLOOKUP(B1305,'MF PF'!A:B,2)</f>
        <v>FdMgt1</v>
      </c>
      <c r="AI1305" s="358">
        <f t="shared" si="180"/>
        <v>0</v>
      </c>
      <c r="AJ1305" s="94">
        <f t="shared" si="181"/>
        <v>42704</v>
      </c>
    </row>
    <row r="1306" spans="1:36" ht="12.75" customHeight="1">
      <c r="A1306" s="94">
        <v>42734</v>
      </c>
      <c r="B1306" s="94" t="s">
        <v>136</v>
      </c>
      <c r="C1306" s="92" t="s">
        <v>314</v>
      </c>
      <c r="D1306" s="374">
        <v>1155793.797</v>
      </c>
      <c r="E1306" s="95" t="e">
        <f t="shared" si="176"/>
        <v>#DIV/0!</v>
      </c>
      <c r="F1306" s="98">
        <v>1</v>
      </c>
      <c r="G1306" s="98">
        <v>0</v>
      </c>
      <c r="H1306" s="98">
        <v>0</v>
      </c>
      <c r="I1306" s="98">
        <v>0</v>
      </c>
      <c r="J1306" s="98"/>
      <c r="K1306" s="93"/>
      <c r="L1306" s="93">
        <f t="shared" si="177"/>
        <v>0</v>
      </c>
      <c r="M1306" s="95" t="e">
        <f t="shared" ca="1" si="178"/>
        <v>#DIV/0!</v>
      </c>
      <c r="N1306" s="95">
        <f>IF(P1306="Hedge Fund",IF(A1306=Summary!$AD$3,M1306-E1306,M1306),IF(A1306=Summary!$AD$3,L1306-D1306,L1306))</f>
        <v>0</v>
      </c>
      <c r="O1306" s="9">
        <f t="shared" si="182"/>
        <v>0</v>
      </c>
      <c r="P1306" s="107" t="s">
        <v>155</v>
      </c>
      <c r="Q1306" s="107">
        <v>0</v>
      </c>
      <c r="R1306" s="107">
        <v>0</v>
      </c>
      <c r="S1306" s="107">
        <v>0</v>
      </c>
      <c r="T1306" s="107">
        <v>0</v>
      </c>
      <c r="U1306" s="107"/>
      <c r="V1306" s="107"/>
      <c r="W1306" s="107"/>
      <c r="X1306" s="107"/>
      <c r="Y1306" s="107"/>
      <c r="Z1306" s="107"/>
      <c r="AA1306" s="107"/>
      <c r="AB1306" s="107"/>
      <c r="AC1306" s="355"/>
      <c r="AD1306" s="355"/>
      <c r="AE1306" s="355"/>
      <c r="AF1306" s="94">
        <f t="shared" si="179"/>
        <v>42734</v>
      </c>
      <c r="AG1306" s="185">
        <f t="shared" si="183"/>
        <v>-5.3701381093013145E-3</v>
      </c>
      <c r="AH1306" s="339" t="str">
        <f>VLOOKUP(B1306,'MF PF'!A:B,2)</f>
        <v>FdMgt1</v>
      </c>
      <c r="AI1306" s="358">
        <f t="shared" si="180"/>
        <v>0</v>
      </c>
      <c r="AJ1306" s="94">
        <f t="shared" si="181"/>
        <v>42735</v>
      </c>
    </row>
    <row r="1307" spans="1:36" ht="12.75" customHeight="1">
      <c r="A1307" s="8">
        <v>42762</v>
      </c>
      <c r="B1307" s="94" t="s">
        <v>136</v>
      </c>
      <c r="C1307" s="358" t="s">
        <v>314</v>
      </c>
      <c r="D1307" s="374">
        <v>1172556.2815</v>
      </c>
      <c r="E1307" s="95" t="e">
        <f t="shared" si="176"/>
        <v>#DIV/0!</v>
      </c>
      <c r="F1307" s="47">
        <v>1</v>
      </c>
      <c r="G1307" s="47">
        <v>0</v>
      </c>
      <c r="H1307" s="47">
        <v>0</v>
      </c>
      <c r="I1307" s="98">
        <v>0</v>
      </c>
      <c r="J1307" s="98"/>
      <c r="K1307" s="93"/>
      <c r="L1307" s="93">
        <f t="shared" si="177"/>
        <v>0</v>
      </c>
      <c r="M1307" s="95" t="e">
        <f t="shared" ca="1" si="178"/>
        <v>#DIV/0!</v>
      </c>
      <c r="N1307" s="95">
        <f>IF(P1307="Hedge Fund",IF(A1307=Summary!$AD$3,M1307-E1307,M1307),IF(A1307=Summary!$AD$3,L1307-D1307,L1307))</f>
        <v>0</v>
      </c>
      <c r="O1307" s="9">
        <f t="shared" si="182"/>
        <v>0</v>
      </c>
      <c r="P1307" s="89" t="s">
        <v>155</v>
      </c>
      <c r="Q1307" s="107">
        <v>0</v>
      </c>
      <c r="R1307" s="89">
        <v>0</v>
      </c>
      <c r="S1307" s="89">
        <v>0</v>
      </c>
      <c r="T1307" s="89">
        <v>0</v>
      </c>
      <c r="U1307" s="89"/>
      <c r="V1307" s="89"/>
      <c r="W1307" s="89"/>
      <c r="X1307" s="89"/>
      <c r="Y1307" s="89"/>
      <c r="Z1307" s="89"/>
      <c r="AA1307" s="89"/>
      <c r="AB1307" s="89"/>
      <c r="AC1307" s="355"/>
      <c r="AD1307" s="355"/>
      <c r="AE1307" s="355"/>
      <c r="AF1307" s="94">
        <f t="shared" si="179"/>
        <v>42762</v>
      </c>
      <c r="AG1307" s="185">
        <f t="shared" si="183"/>
        <v>1.4503006110180738E-2</v>
      </c>
      <c r="AH1307" s="339" t="str">
        <f>VLOOKUP(B1307,'MF PF'!A:B,2)</f>
        <v>FdMgt1</v>
      </c>
      <c r="AI1307" s="358">
        <f t="shared" si="180"/>
        <v>0</v>
      </c>
      <c r="AJ1307" s="94">
        <f t="shared" si="181"/>
        <v>42766</v>
      </c>
    </row>
    <row r="1308" spans="1:36" ht="12.75" customHeight="1">
      <c r="A1308" s="94">
        <v>42794</v>
      </c>
      <c r="B1308" s="94" t="s">
        <v>136</v>
      </c>
      <c r="C1308" s="358" t="s">
        <v>314</v>
      </c>
      <c r="D1308" s="374">
        <v>1211343.575</v>
      </c>
      <c r="E1308" s="9" t="e">
        <f t="shared" si="176"/>
        <v>#DIV/0!</v>
      </c>
      <c r="F1308" s="47">
        <v>1</v>
      </c>
      <c r="G1308" s="47">
        <v>0</v>
      </c>
      <c r="H1308" s="47">
        <v>0</v>
      </c>
      <c r="I1308" s="98">
        <v>0</v>
      </c>
      <c r="J1308" s="98"/>
      <c r="K1308" s="93"/>
      <c r="L1308" s="93">
        <f t="shared" si="177"/>
        <v>0</v>
      </c>
      <c r="M1308" s="95" t="e">
        <f t="shared" ca="1" si="178"/>
        <v>#DIV/0!</v>
      </c>
      <c r="N1308" s="95">
        <f>IF(P1308="Hedge Fund",IF(A1308=Summary!$AD$3,M1308-E1308,M1308),IF(A1308=Summary!$AD$3,L1308-D1308,L1308))</f>
        <v>0</v>
      </c>
      <c r="O1308" s="9">
        <f t="shared" si="182"/>
        <v>0</v>
      </c>
      <c r="P1308" s="89" t="s">
        <v>155</v>
      </c>
      <c r="Q1308" s="107">
        <v>0</v>
      </c>
      <c r="R1308" s="89">
        <v>0</v>
      </c>
      <c r="S1308" s="89">
        <v>0</v>
      </c>
      <c r="T1308" s="89">
        <v>0</v>
      </c>
      <c r="U1308" s="89"/>
      <c r="V1308" s="89"/>
      <c r="W1308" s="89"/>
      <c r="X1308" s="89"/>
      <c r="Y1308" s="89"/>
      <c r="Z1308" s="89"/>
      <c r="AA1308" s="89"/>
      <c r="AB1308" s="89"/>
      <c r="AC1308" s="355"/>
      <c r="AD1308" s="355"/>
      <c r="AE1308" s="355"/>
      <c r="AF1308" s="94">
        <f t="shared" si="179"/>
        <v>42794</v>
      </c>
      <c r="AG1308" s="185">
        <f t="shared" si="183"/>
        <v>3.3079259487980517E-2</v>
      </c>
      <c r="AH1308" s="339" t="str">
        <f>VLOOKUP(B1308,'MF PF'!A:B,2)</f>
        <v>FdMgt1</v>
      </c>
      <c r="AI1308" s="358">
        <f t="shared" si="180"/>
        <v>0</v>
      </c>
      <c r="AJ1308" s="94">
        <f t="shared" si="181"/>
        <v>42794</v>
      </c>
    </row>
    <row r="1309" spans="1:36" ht="12.75" customHeight="1">
      <c r="A1309" s="94">
        <v>42825</v>
      </c>
      <c r="B1309" s="94" t="s">
        <v>136</v>
      </c>
      <c r="C1309" s="358" t="s">
        <v>314</v>
      </c>
      <c r="D1309" s="374">
        <v>1195448.524</v>
      </c>
      <c r="E1309" s="9" t="e">
        <f t="shared" si="176"/>
        <v>#DIV/0!</v>
      </c>
      <c r="F1309" s="47">
        <v>1</v>
      </c>
      <c r="G1309" s="47">
        <v>0</v>
      </c>
      <c r="H1309" s="47">
        <v>0</v>
      </c>
      <c r="I1309" s="47">
        <v>0</v>
      </c>
      <c r="J1309" s="98"/>
      <c r="K1309" s="93"/>
      <c r="L1309" s="93">
        <f t="shared" si="177"/>
        <v>0</v>
      </c>
      <c r="M1309" s="95" t="e">
        <f t="shared" ca="1" si="178"/>
        <v>#DIV/0!</v>
      </c>
      <c r="N1309" s="95">
        <f>IF(P1309="Hedge Fund",IF(A1309=Summary!$AD$3,M1309-E1309,M1309),IF(A1309=Summary!$AD$3,L1309-D1309,L1309))</f>
        <v>0</v>
      </c>
      <c r="O1309" s="9">
        <f t="shared" si="182"/>
        <v>0</v>
      </c>
      <c r="P1309" s="89" t="s">
        <v>155</v>
      </c>
      <c r="Q1309" s="107">
        <v>0</v>
      </c>
      <c r="R1309" s="107">
        <v>0</v>
      </c>
      <c r="S1309" s="89">
        <v>0</v>
      </c>
      <c r="T1309" s="89">
        <v>0</v>
      </c>
      <c r="U1309" s="89"/>
      <c r="V1309" s="89"/>
      <c r="W1309" s="89"/>
      <c r="X1309" s="89"/>
      <c r="Y1309" s="89"/>
      <c r="Z1309" s="89"/>
      <c r="AA1309" s="89"/>
      <c r="AB1309" s="89"/>
      <c r="AC1309" s="355"/>
      <c r="AD1309" s="355"/>
      <c r="AE1309" s="355"/>
      <c r="AF1309" s="94">
        <f t="shared" si="179"/>
        <v>42825</v>
      </c>
      <c r="AG1309" s="185">
        <f t="shared" si="183"/>
        <v>-1.3121835396699866E-2</v>
      </c>
      <c r="AH1309" s="339" t="str">
        <f>VLOOKUP(B1309,'MF PF'!A:B,2)</f>
        <v>FdMgt1</v>
      </c>
      <c r="AI1309" s="358">
        <f t="shared" si="180"/>
        <v>0</v>
      </c>
      <c r="AJ1309" s="94">
        <f t="shared" si="181"/>
        <v>42825</v>
      </c>
    </row>
    <row r="1310" spans="1:36" ht="12.75" customHeight="1">
      <c r="A1310" s="94">
        <v>42853</v>
      </c>
      <c r="B1310" s="94" t="s">
        <v>136</v>
      </c>
      <c r="C1310" s="358" t="s">
        <v>314</v>
      </c>
      <c r="D1310" s="374">
        <v>1195151.679</v>
      </c>
      <c r="E1310" s="9" t="e">
        <f t="shared" si="176"/>
        <v>#DIV/0!</v>
      </c>
      <c r="F1310" s="47">
        <v>1</v>
      </c>
      <c r="G1310" s="47">
        <v>0</v>
      </c>
      <c r="H1310" s="47">
        <v>0</v>
      </c>
      <c r="I1310" s="47">
        <v>0</v>
      </c>
      <c r="J1310" s="98"/>
      <c r="K1310" s="93"/>
      <c r="L1310" s="93">
        <f t="shared" si="177"/>
        <v>0</v>
      </c>
      <c r="M1310" s="95" t="e">
        <f t="shared" ca="1" si="178"/>
        <v>#DIV/0!</v>
      </c>
      <c r="N1310" s="95">
        <f>IF(P1310="Hedge Fund",IF(A1310=Summary!$AD$3,M1310-E1310,M1310),IF(A1310=Summary!$AD$3,L1310-D1310,L1310))</f>
        <v>0</v>
      </c>
      <c r="O1310" s="9">
        <f t="shared" si="182"/>
        <v>0</v>
      </c>
      <c r="P1310" s="89" t="s">
        <v>155</v>
      </c>
      <c r="Q1310" s="107">
        <v>0</v>
      </c>
      <c r="R1310" s="107">
        <v>0</v>
      </c>
      <c r="S1310" s="89">
        <v>0</v>
      </c>
      <c r="T1310" s="89">
        <v>0</v>
      </c>
      <c r="U1310" s="89"/>
      <c r="V1310" s="89"/>
      <c r="W1310" s="89"/>
      <c r="X1310" s="89"/>
      <c r="Y1310" s="89"/>
      <c r="Z1310" s="89"/>
      <c r="AA1310" s="89"/>
      <c r="AB1310" s="89"/>
      <c r="AC1310" s="355"/>
      <c r="AD1310" s="355"/>
      <c r="AE1310" s="355"/>
      <c r="AF1310" s="94">
        <f t="shared" si="179"/>
        <v>42853</v>
      </c>
      <c r="AG1310" s="185">
        <f t="shared" si="183"/>
        <v>-2.4831265758451515E-4</v>
      </c>
      <c r="AH1310" s="339" t="str">
        <f>VLOOKUP(B1310,'MF PF'!A:B,2)</f>
        <v>FdMgt1</v>
      </c>
      <c r="AI1310" s="358">
        <f t="shared" si="180"/>
        <v>0</v>
      </c>
      <c r="AJ1310" s="94">
        <f t="shared" si="181"/>
        <v>42855</v>
      </c>
    </row>
    <row r="1311" spans="1:36" ht="12.75" customHeight="1">
      <c r="A1311" s="8">
        <v>42886</v>
      </c>
      <c r="B1311" s="94" t="s">
        <v>136</v>
      </c>
      <c r="C1311" s="358" t="s">
        <v>314</v>
      </c>
      <c r="D1311" s="374">
        <v>1198787.2815</v>
      </c>
      <c r="E1311" s="9" t="e">
        <f t="shared" si="176"/>
        <v>#DIV/0!</v>
      </c>
      <c r="F1311" s="98">
        <v>1</v>
      </c>
      <c r="G1311" s="98">
        <v>0</v>
      </c>
      <c r="H1311" s="98">
        <v>0</v>
      </c>
      <c r="I1311" s="98">
        <v>0</v>
      </c>
      <c r="J1311" s="98"/>
      <c r="K1311" s="93"/>
      <c r="L1311" s="93">
        <f t="shared" si="177"/>
        <v>0</v>
      </c>
      <c r="M1311" s="95" t="e">
        <f t="shared" ca="1" si="178"/>
        <v>#DIV/0!</v>
      </c>
      <c r="N1311" s="95">
        <f>IF(P1311="Hedge Fund",IF(A1311=Summary!$AD$3,M1311-E1311,M1311),IF(A1311=Summary!$AD$3,L1311-D1311,L1311))</f>
        <v>0</v>
      </c>
      <c r="O1311" s="9">
        <f t="shared" si="182"/>
        <v>0</v>
      </c>
      <c r="P1311" s="107" t="s">
        <v>155</v>
      </c>
      <c r="Q1311" s="107">
        <v>0</v>
      </c>
      <c r="R1311" s="107">
        <v>0</v>
      </c>
      <c r="S1311" s="107">
        <v>0</v>
      </c>
      <c r="T1311" s="107">
        <v>0</v>
      </c>
      <c r="U1311" s="107"/>
      <c r="V1311" s="107"/>
      <c r="W1311" s="107"/>
      <c r="X1311" s="107"/>
      <c r="Y1311" s="107"/>
      <c r="Z1311" s="107"/>
      <c r="AA1311" s="107"/>
      <c r="AB1311" s="107"/>
      <c r="AC1311" s="355"/>
      <c r="AD1311" s="355"/>
      <c r="AE1311" s="355"/>
      <c r="AF1311" s="94">
        <f t="shared" si="179"/>
        <v>42886</v>
      </c>
      <c r="AG1311" s="185">
        <f t="shared" si="183"/>
        <v>3.0419590784007688E-3</v>
      </c>
      <c r="AH1311" s="339" t="str">
        <f>VLOOKUP(B1311,'MF PF'!A:B,2)</f>
        <v>FdMgt1</v>
      </c>
      <c r="AI1311" s="358">
        <f t="shared" si="180"/>
        <v>0</v>
      </c>
      <c r="AJ1311" s="94">
        <f t="shared" si="181"/>
        <v>42886</v>
      </c>
    </row>
    <row r="1312" spans="1:36" ht="12.75" customHeight="1">
      <c r="A1312" s="8">
        <v>42916</v>
      </c>
      <c r="B1312" s="94" t="s">
        <v>136</v>
      </c>
      <c r="C1312" s="358" t="s">
        <v>314</v>
      </c>
      <c r="D1312" s="374">
        <v>1207726.7995</v>
      </c>
      <c r="E1312" s="9" t="e">
        <f t="shared" si="176"/>
        <v>#DIV/0!</v>
      </c>
      <c r="F1312" s="47">
        <v>1</v>
      </c>
      <c r="G1312" s="47">
        <v>0</v>
      </c>
      <c r="H1312" s="47">
        <v>0</v>
      </c>
      <c r="I1312" s="98">
        <v>0</v>
      </c>
      <c r="J1312" s="98"/>
      <c r="K1312" s="93"/>
      <c r="L1312" s="93">
        <f t="shared" si="177"/>
        <v>0</v>
      </c>
      <c r="M1312" s="95" t="e">
        <f t="shared" ca="1" si="178"/>
        <v>#DIV/0!</v>
      </c>
      <c r="N1312" s="95">
        <f>IF(P1312="Hedge Fund",IF(A1312=Summary!$AD$3,M1312-E1312,M1312),IF(A1312=Summary!$AD$3,L1312-D1312,L1312))</f>
        <v>0</v>
      </c>
      <c r="O1312" s="9">
        <f t="shared" si="182"/>
        <v>0</v>
      </c>
      <c r="P1312" s="89" t="s">
        <v>155</v>
      </c>
      <c r="Q1312" s="107">
        <v>0</v>
      </c>
      <c r="R1312" s="89">
        <v>0</v>
      </c>
      <c r="S1312" s="89">
        <v>0</v>
      </c>
      <c r="T1312" s="89">
        <v>0</v>
      </c>
      <c r="U1312" s="89"/>
      <c r="V1312" s="89"/>
      <c r="W1312" s="89"/>
      <c r="X1312" s="89"/>
      <c r="Y1312" s="89"/>
      <c r="Z1312" s="89"/>
      <c r="AA1312" s="89"/>
      <c r="AB1312" s="89"/>
      <c r="AC1312" s="355"/>
      <c r="AD1312" s="355"/>
      <c r="AE1312" s="355"/>
      <c r="AF1312" s="94">
        <f t="shared" si="179"/>
        <v>42916</v>
      </c>
      <c r="AG1312" s="185">
        <f t="shared" si="183"/>
        <v>7.4571345041416492E-3</v>
      </c>
      <c r="AH1312" s="339" t="str">
        <f>VLOOKUP(B1312,'MF PF'!A:B,2)</f>
        <v>FdMgt1</v>
      </c>
      <c r="AI1312" s="358">
        <f t="shared" si="180"/>
        <v>0</v>
      </c>
      <c r="AJ1312" s="94">
        <f t="shared" si="181"/>
        <v>42916</v>
      </c>
    </row>
    <row r="1313" spans="1:36" ht="12.75" customHeight="1">
      <c r="A1313" s="94">
        <v>42947</v>
      </c>
      <c r="B1313" s="94" t="s">
        <v>136</v>
      </c>
      <c r="C1313" s="358" t="s">
        <v>314</v>
      </c>
      <c r="D1313" s="374">
        <v>1229260.9889999998</v>
      </c>
      <c r="E1313" s="95" t="e">
        <f t="shared" si="176"/>
        <v>#DIV/0!</v>
      </c>
      <c r="F1313" s="47">
        <v>1</v>
      </c>
      <c r="G1313" s="47">
        <v>0</v>
      </c>
      <c r="H1313" s="47">
        <v>0</v>
      </c>
      <c r="I1313" s="98">
        <v>0</v>
      </c>
      <c r="J1313" s="98"/>
      <c r="K1313" s="93"/>
      <c r="L1313" s="93">
        <f t="shared" si="177"/>
        <v>0</v>
      </c>
      <c r="M1313" s="95" t="e">
        <f t="shared" ca="1" si="178"/>
        <v>#DIV/0!</v>
      </c>
      <c r="N1313" s="95">
        <f>IF(P1313="Hedge Fund",IF(A1313=Summary!$AD$3,M1313-E1313,M1313),IF(A1313=Summary!$AD$3,L1313-D1313,L1313))</f>
        <v>0</v>
      </c>
      <c r="O1313" s="9">
        <f t="shared" si="182"/>
        <v>0</v>
      </c>
      <c r="P1313" s="89" t="s">
        <v>155</v>
      </c>
      <c r="Q1313" s="107">
        <v>0</v>
      </c>
      <c r="R1313" s="107">
        <v>0</v>
      </c>
      <c r="S1313" s="89">
        <v>0</v>
      </c>
      <c r="T1313" s="89">
        <v>0</v>
      </c>
      <c r="U1313" s="89"/>
      <c r="V1313" s="89"/>
      <c r="W1313" s="89"/>
      <c r="X1313" s="89"/>
      <c r="Y1313" s="89"/>
      <c r="Z1313" s="89"/>
      <c r="AA1313" s="89"/>
      <c r="AB1313" s="89"/>
      <c r="AC1313" s="355"/>
      <c r="AD1313" s="355"/>
      <c r="AE1313" s="355"/>
      <c r="AF1313" s="94">
        <f t="shared" si="179"/>
        <v>42947</v>
      </c>
      <c r="AG1313" s="185">
        <f t="shared" si="183"/>
        <v>1.7830348311319355E-2</v>
      </c>
      <c r="AH1313" s="339" t="str">
        <f>VLOOKUP(B1313,'MF PF'!A:B,2)</f>
        <v>FdMgt1</v>
      </c>
      <c r="AI1313" s="358">
        <f t="shared" si="180"/>
        <v>0</v>
      </c>
      <c r="AJ1313" s="94">
        <f t="shared" si="181"/>
        <v>42947</v>
      </c>
    </row>
    <row r="1314" spans="1:36" ht="12.75" customHeight="1">
      <c r="A1314" s="94">
        <v>42978</v>
      </c>
      <c r="B1314" s="94" t="s">
        <v>136</v>
      </c>
      <c r="C1314" s="358" t="s">
        <v>314</v>
      </c>
      <c r="D1314" s="374">
        <v>1230400</v>
      </c>
      <c r="E1314" s="9" t="e">
        <f t="shared" si="176"/>
        <v>#DIV/0!</v>
      </c>
      <c r="F1314" s="47">
        <v>1</v>
      </c>
      <c r="G1314" s="47">
        <v>0</v>
      </c>
      <c r="H1314" s="47">
        <v>0</v>
      </c>
      <c r="I1314" s="47">
        <v>0</v>
      </c>
      <c r="J1314" s="98"/>
      <c r="K1314" s="93"/>
      <c r="L1314" s="93">
        <f t="shared" si="177"/>
        <v>0</v>
      </c>
      <c r="M1314" s="95" t="e">
        <f t="shared" ca="1" si="178"/>
        <v>#DIV/0!</v>
      </c>
      <c r="N1314" s="95">
        <f>IF(P1314="Hedge Fund",IF(A1314=Summary!$AD$3,M1314-E1314,M1314),IF(A1314=Summary!$AD$3,L1314-D1314,L1314))</f>
        <v>0</v>
      </c>
      <c r="O1314" s="9">
        <f t="shared" si="182"/>
        <v>0</v>
      </c>
      <c r="P1314" s="89" t="s">
        <v>155</v>
      </c>
      <c r="Q1314" s="107">
        <v>0</v>
      </c>
      <c r="R1314" s="107">
        <v>0</v>
      </c>
      <c r="S1314" s="89">
        <v>0</v>
      </c>
      <c r="T1314" s="89">
        <v>0</v>
      </c>
      <c r="U1314" s="89"/>
      <c r="V1314" s="89"/>
      <c r="W1314" s="89"/>
      <c r="X1314" s="89"/>
      <c r="Y1314" s="89"/>
      <c r="Z1314" s="89"/>
      <c r="AA1314" s="89"/>
      <c r="AB1314" s="89"/>
      <c r="AC1314" s="355"/>
      <c r="AD1314" s="355"/>
      <c r="AE1314" s="355"/>
      <c r="AF1314" s="94">
        <f t="shared" si="179"/>
        <v>42978</v>
      </c>
      <c r="AG1314" s="185">
        <f t="shared" si="183"/>
        <v>9.2658191400563084E-4</v>
      </c>
      <c r="AH1314" s="339" t="str">
        <f>VLOOKUP(B1314,'MF PF'!A:B,2)</f>
        <v>FdMgt1</v>
      </c>
      <c r="AI1314" s="358">
        <f t="shared" si="180"/>
        <v>0</v>
      </c>
      <c r="AJ1314" s="94">
        <f t="shared" si="181"/>
        <v>42978</v>
      </c>
    </row>
    <row r="1315" spans="1:36" ht="12.75" customHeight="1">
      <c r="A1315" s="94">
        <v>43007</v>
      </c>
      <c r="B1315" s="94" t="s">
        <v>136</v>
      </c>
      <c r="C1315" s="358" t="s">
        <v>314</v>
      </c>
      <c r="D1315" s="374">
        <v>1227420.8877113301</v>
      </c>
      <c r="E1315" s="95" t="e">
        <f t="shared" si="176"/>
        <v>#DIV/0!</v>
      </c>
      <c r="F1315" s="98">
        <v>1</v>
      </c>
      <c r="G1315" s="98">
        <v>0</v>
      </c>
      <c r="H1315" s="98">
        <v>0</v>
      </c>
      <c r="I1315" s="98">
        <v>0</v>
      </c>
      <c r="J1315" s="98"/>
      <c r="K1315" s="93"/>
      <c r="L1315" s="93">
        <f t="shared" si="177"/>
        <v>0</v>
      </c>
      <c r="M1315" s="95" t="e">
        <f t="shared" ca="1" si="178"/>
        <v>#DIV/0!</v>
      </c>
      <c r="N1315" s="95">
        <f>IF(P1315="Hedge Fund",IF(A1315=Summary!$AD$3,M1315-E1315,M1315),IF(A1315=Summary!$AD$3,L1315-D1315,L1315))</f>
        <v>0</v>
      </c>
      <c r="O1315" s="9">
        <f t="shared" si="182"/>
        <v>0</v>
      </c>
      <c r="P1315" s="107" t="s">
        <v>155</v>
      </c>
      <c r="Q1315" s="107">
        <v>0</v>
      </c>
      <c r="R1315" s="107">
        <v>0</v>
      </c>
      <c r="S1315" s="107">
        <v>0</v>
      </c>
      <c r="T1315" s="107">
        <v>0</v>
      </c>
      <c r="U1315" s="107"/>
      <c r="V1315" s="107"/>
      <c r="W1315" s="107"/>
      <c r="X1315" s="107"/>
      <c r="Y1315" s="107"/>
      <c r="Z1315" s="107"/>
      <c r="AA1315" s="107"/>
      <c r="AB1315" s="107"/>
      <c r="AC1315" s="355"/>
      <c r="AD1315" s="355"/>
      <c r="AE1315" s="355"/>
      <c r="AF1315" s="94">
        <f t="shared" si="179"/>
        <v>43007</v>
      </c>
      <c r="AG1315" s="185">
        <f t="shared" si="183"/>
        <v>-2.4212551110776026E-3</v>
      </c>
      <c r="AH1315" s="339" t="str">
        <f>VLOOKUP(B1315,'MF PF'!A:B,2)</f>
        <v>FdMgt1</v>
      </c>
      <c r="AI1315" s="358">
        <f t="shared" si="180"/>
        <v>0</v>
      </c>
      <c r="AJ1315" s="94">
        <f t="shared" si="181"/>
        <v>43008</v>
      </c>
    </row>
    <row r="1316" spans="1:36" ht="12.75" customHeight="1">
      <c r="A1316" s="8">
        <v>43039</v>
      </c>
      <c r="B1316" s="94" t="s">
        <v>136</v>
      </c>
      <c r="C1316" s="92" t="s">
        <v>314</v>
      </c>
      <c r="D1316" s="374">
        <v>1235000</v>
      </c>
      <c r="E1316" s="9" t="e">
        <f t="shared" si="176"/>
        <v>#DIV/0!</v>
      </c>
      <c r="F1316" s="98">
        <v>1</v>
      </c>
      <c r="G1316" s="98">
        <v>0</v>
      </c>
      <c r="H1316" s="98">
        <v>0</v>
      </c>
      <c r="I1316" s="98">
        <v>0</v>
      </c>
      <c r="J1316" s="98"/>
      <c r="L1316" s="93">
        <f t="shared" si="177"/>
        <v>0</v>
      </c>
      <c r="M1316" s="95" t="e">
        <f t="shared" ca="1" si="178"/>
        <v>#DIV/0!</v>
      </c>
      <c r="N1316" s="95">
        <f>IF(P1316="Hedge Fund",IF(A1316=Summary!$AD$3,M1316-E1316,M1316),IF(A1316=Summary!$AD$3,L1316-D1316,L1316))</f>
        <v>0</v>
      </c>
      <c r="O1316" s="9">
        <f t="shared" si="182"/>
        <v>0</v>
      </c>
      <c r="P1316" s="107" t="s">
        <v>155</v>
      </c>
      <c r="Q1316" s="107">
        <v>0</v>
      </c>
      <c r="R1316" s="107">
        <v>0</v>
      </c>
      <c r="S1316" s="107">
        <v>0</v>
      </c>
      <c r="T1316" s="107">
        <v>0</v>
      </c>
      <c r="U1316" s="107"/>
      <c r="V1316" s="107"/>
      <c r="W1316" s="107"/>
      <c r="X1316" s="107"/>
      <c r="Y1316" s="107"/>
      <c r="Z1316" s="107"/>
      <c r="AA1316" s="107"/>
      <c r="AB1316" s="107"/>
      <c r="AC1316" s="355"/>
      <c r="AD1316" s="355"/>
      <c r="AE1316" s="355"/>
      <c r="AF1316" s="94">
        <f t="shared" si="179"/>
        <v>43039</v>
      </c>
      <c r="AG1316" s="185">
        <f t="shared" si="183"/>
        <v>6.1748275302713207E-3</v>
      </c>
      <c r="AH1316" s="339" t="str">
        <f>VLOOKUP(B1316,'MF PF'!A:B,2)</f>
        <v>FdMgt1</v>
      </c>
      <c r="AI1316" s="358">
        <f t="shared" si="180"/>
        <v>0</v>
      </c>
      <c r="AJ1316" s="94">
        <f t="shared" si="181"/>
        <v>43039</v>
      </c>
    </row>
    <row r="1317" spans="1:36" ht="12.75" customHeight="1">
      <c r="A1317" s="94">
        <v>43069</v>
      </c>
      <c r="B1317" s="94" t="s">
        <v>136</v>
      </c>
      <c r="C1317" s="358" t="s">
        <v>314</v>
      </c>
      <c r="D1317" s="374">
        <v>1235400</v>
      </c>
      <c r="E1317" s="9" t="e">
        <f t="shared" si="176"/>
        <v>#DIV/0!</v>
      </c>
      <c r="F1317" s="98">
        <v>1</v>
      </c>
      <c r="G1317" s="98">
        <v>0</v>
      </c>
      <c r="H1317" s="98">
        <v>0</v>
      </c>
      <c r="I1317" s="98">
        <v>0</v>
      </c>
      <c r="J1317" s="98"/>
      <c r="L1317" s="93">
        <f t="shared" si="177"/>
        <v>0</v>
      </c>
      <c r="M1317" s="95" t="e">
        <f t="shared" ca="1" si="178"/>
        <v>#DIV/0!</v>
      </c>
      <c r="N1317" s="95">
        <f>IF(P1317="Hedge Fund",IF(A1317=Summary!$AD$3,M1317-E1317,M1317),IF(A1317=Summary!$AD$3,L1317-D1317,L1317))</f>
        <v>0</v>
      </c>
      <c r="O1317" s="9">
        <f t="shared" si="182"/>
        <v>0</v>
      </c>
      <c r="P1317" s="107" t="s">
        <v>155</v>
      </c>
      <c r="Q1317" s="107">
        <v>0</v>
      </c>
      <c r="R1317" s="107">
        <v>0</v>
      </c>
      <c r="S1317" s="107">
        <v>0</v>
      </c>
      <c r="T1317" s="107">
        <v>0</v>
      </c>
      <c r="U1317" s="107"/>
      <c r="V1317" s="107"/>
      <c r="W1317" s="107"/>
      <c r="X1317" s="107"/>
      <c r="Y1317" s="107"/>
      <c r="Z1317" s="107"/>
      <c r="AA1317" s="107"/>
      <c r="AB1317" s="107"/>
      <c r="AC1317" s="355"/>
      <c r="AD1317" s="355"/>
      <c r="AE1317" s="355"/>
      <c r="AF1317" s="94">
        <f t="shared" si="179"/>
        <v>43069</v>
      </c>
      <c r="AG1317" s="185">
        <f t="shared" si="183"/>
        <v>3.2388663967619635E-4</v>
      </c>
      <c r="AH1317" s="339" t="str">
        <f>VLOOKUP(B1317,'MF PF'!A:B,2)</f>
        <v>FdMgt1</v>
      </c>
      <c r="AI1317" s="358">
        <f t="shared" si="180"/>
        <v>0</v>
      </c>
      <c r="AJ1317" s="94">
        <f t="shared" si="181"/>
        <v>43069</v>
      </c>
    </row>
    <row r="1318" spans="1:36" ht="12.75" customHeight="1">
      <c r="A1318" s="8">
        <v>43098</v>
      </c>
      <c r="B1318" s="94" t="s">
        <v>136</v>
      </c>
      <c r="C1318" s="92" t="s">
        <v>314</v>
      </c>
      <c r="D1318" s="374">
        <v>1293900</v>
      </c>
      <c r="E1318" s="95" t="e">
        <f t="shared" si="176"/>
        <v>#DIV/0!</v>
      </c>
      <c r="F1318" s="98">
        <v>1</v>
      </c>
      <c r="G1318" s="98">
        <v>0</v>
      </c>
      <c r="H1318" s="98">
        <v>0</v>
      </c>
      <c r="I1318" s="98">
        <v>0</v>
      </c>
      <c r="J1318" s="98"/>
      <c r="L1318" s="93">
        <f t="shared" si="177"/>
        <v>0</v>
      </c>
      <c r="M1318" s="95" t="e">
        <f t="shared" ca="1" si="178"/>
        <v>#DIV/0!</v>
      </c>
      <c r="N1318" s="95">
        <f>IF(P1318="Hedge Fund",IF(A1318=Summary!$AD$3,M1318-E1318,M1318),IF(A1318=Summary!$AD$3,L1318-D1318,L1318))</f>
        <v>0</v>
      </c>
      <c r="O1318" s="9">
        <f t="shared" si="182"/>
        <v>0</v>
      </c>
      <c r="P1318" s="107" t="s">
        <v>155</v>
      </c>
      <c r="Q1318" s="107">
        <v>0</v>
      </c>
      <c r="R1318" s="107">
        <v>0</v>
      </c>
      <c r="S1318" s="107">
        <v>0</v>
      </c>
      <c r="T1318" s="107">
        <v>0</v>
      </c>
      <c r="U1318" s="107"/>
      <c r="V1318" s="107"/>
      <c r="W1318" s="107"/>
      <c r="X1318" s="107"/>
      <c r="Y1318" s="107"/>
      <c r="Z1318" s="107"/>
      <c r="AA1318" s="107"/>
      <c r="AB1318" s="107"/>
      <c r="AC1318" s="355"/>
      <c r="AD1318" s="355"/>
      <c r="AE1318" s="355"/>
      <c r="AF1318" s="94">
        <f t="shared" si="179"/>
        <v>43098</v>
      </c>
      <c r="AG1318" s="185">
        <f t="shared" si="183"/>
        <v>4.7353084021369618E-2</v>
      </c>
      <c r="AH1318" s="339" t="str">
        <f>VLOOKUP(B1318,'MF PF'!A:B,2)</f>
        <v>FdMgt1</v>
      </c>
      <c r="AI1318" s="358">
        <f t="shared" si="180"/>
        <v>0</v>
      </c>
      <c r="AJ1318" s="94">
        <f t="shared" si="181"/>
        <v>43100</v>
      </c>
    </row>
    <row r="1319" spans="1:36" ht="12.75" customHeight="1">
      <c r="A1319" s="94">
        <v>43131</v>
      </c>
      <c r="B1319" s="94" t="s">
        <v>136</v>
      </c>
      <c r="C1319" s="358" t="s">
        <v>314</v>
      </c>
      <c r="D1319" s="374">
        <v>1313200</v>
      </c>
      <c r="E1319" s="9" t="e">
        <f t="shared" si="176"/>
        <v>#DIV/0!</v>
      </c>
      <c r="F1319" s="98">
        <v>1</v>
      </c>
      <c r="G1319" s="98">
        <v>0</v>
      </c>
      <c r="H1319" s="98">
        <v>0</v>
      </c>
      <c r="I1319" s="98">
        <v>0</v>
      </c>
      <c r="J1319" s="98"/>
      <c r="K1319" s="93"/>
      <c r="L1319" s="93">
        <f t="shared" si="177"/>
        <v>0</v>
      </c>
      <c r="M1319" s="95" t="e">
        <f t="shared" ca="1" si="178"/>
        <v>#DIV/0!</v>
      </c>
      <c r="N1319" s="95">
        <f>IF(P1319="Hedge Fund",IF(A1319=Summary!$AD$3,M1319-E1319,M1319),IF(A1319=Summary!$AD$3,L1319-D1319,L1319))</f>
        <v>0</v>
      </c>
      <c r="O1319" s="9">
        <f t="shared" si="182"/>
        <v>0</v>
      </c>
      <c r="P1319" s="107" t="s">
        <v>155</v>
      </c>
      <c r="Q1319" s="107">
        <v>0</v>
      </c>
      <c r="R1319" s="107">
        <v>0</v>
      </c>
      <c r="S1319" s="107">
        <v>0</v>
      </c>
      <c r="T1319" s="107">
        <v>0</v>
      </c>
      <c r="U1319" s="107"/>
      <c r="V1319" s="107"/>
      <c r="W1319" s="107"/>
      <c r="X1319" s="107"/>
      <c r="Y1319" s="107"/>
      <c r="Z1319" s="107"/>
      <c r="AA1319" s="107"/>
      <c r="AB1319" s="107"/>
      <c r="AC1319" s="355"/>
      <c r="AD1319" s="355"/>
      <c r="AE1319" s="355"/>
      <c r="AF1319" s="94">
        <f t="shared" si="179"/>
        <v>43131</v>
      </c>
      <c r="AG1319" s="185">
        <f t="shared" si="183"/>
        <v>1.491614498802063E-2</v>
      </c>
      <c r="AH1319" s="339" t="str">
        <f>VLOOKUP(B1319,'MF PF'!A:B,2)</f>
        <v>FdMgt1</v>
      </c>
      <c r="AI1319" s="358">
        <f t="shared" si="180"/>
        <v>0</v>
      </c>
      <c r="AJ1319" s="94">
        <f t="shared" si="181"/>
        <v>43131</v>
      </c>
    </row>
    <row r="1320" spans="1:36" ht="12.75" customHeight="1">
      <c r="A1320" s="8">
        <v>43159</v>
      </c>
      <c r="B1320" s="8" t="s">
        <v>136</v>
      </c>
      <c r="C1320" s="6" t="s">
        <v>314</v>
      </c>
      <c r="D1320" s="374">
        <v>1325905.72</v>
      </c>
      <c r="E1320" s="9" t="e">
        <f t="shared" si="176"/>
        <v>#DIV/0!</v>
      </c>
      <c r="F1320" s="47">
        <v>1</v>
      </c>
      <c r="G1320" s="47">
        <v>0</v>
      </c>
      <c r="H1320" s="47">
        <v>0</v>
      </c>
      <c r="I1320" s="47">
        <v>0</v>
      </c>
      <c r="J1320" s="98"/>
      <c r="K1320" s="93"/>
      <c r="L1320" s="93">
        <f t="shared" si="177"/>
        <v>0</v>
      </c>
      <c r="M1320" s="95" t="e">
        <f t="shared" ca="1" si="178"/>
        <v>#DIV/0!</v>
      </c>
      <c r="N1320" s="95">
        <f>IF(P1320="Hedge Fund",IF(A1320=Summary!$AD$3,M1320-E1320,M1320),IF(A1320=Summary!$AD$3,L1320-D1320,L1320))</f>
        <v>0</v>
      </c>
      <c r="O1320" s="9">
        <f t="shared" si="182"/>
        <v>0</v>
      </c>
      <c r="P1320" s="89" t="s">
        <v>155</v>
      </c>
      <c r="Q1320" s="107">
        <v>0</v>
      </c>
      <c r="R1320" s="107">
        <v>0</v>
      </c>
      <c r="S1320" s="89">
        <v>0</v>
      </c>
      <c r="T1320" s="89">
        <v>0</v>
      </c>
      <c r="U1320" s="89"/>
      <c r="V1320" s="89"/>
      <c r="W1320" s="89"/>
      <c r="X1320" s="89"/>
      <c r="Y1320" s="89"/>
      <c r="Z1320" s="89"/>
      <c r="AA1320" s="89"/>
      <c r="AB1320" s="89"/>
      <c r="AC1320" s="355"/>
      <c r="AD1320" s="355"/>
      <c r="AE1320" s="355"/>
      <c r="AF1320" s="94">
        <f t="shared" si="179"/>
        <v>43159</v>
      </c>
      <c r="AG1320" s="185">
        <f t="shared" si="183"/>
        <v>9.6753883643008187E-3</v>
      </c>
      <c r="AH1320" s="339" t="str">
        <f>VLOOKUP(B1320,'MF PF'!A:B,2)</f>
        <v>FdMgt1</v>
      </c>
      <c r="AI1320" s="358">
        <f t="shared" si="180"/>
        <v>0</v>
      </c>
      <c r="AJ1320" s="94">
        <f t="shared" si="181"/>
        <v>43159</v>
      </c>
    </row>
    <row r="1321" spans="1:36" ht="12.75" customHeight="1">
      <c r="A1321" s="8">
        <v>43188</v>
      </c>
      <c r="B1321" s="94" t="s">
        <v>136</v>
      </c>
      <c r="C1321" s="358" t="s">
        <v>314</v>
      </c>
      <c r="D1321" s="374">
        <v>1337491.1995000001</v>
      </c>
      <c r="E1321" s="9" t="e">
        <f t="shared" si="176"/>
        <v>#DIV/0!</v>
      </c>
      <c r="F1321" s="47">
        <v>1</v>
      </c>
      <c r="G1321" s="47">
        <v>0</v>
      </c>
      <c r="H1321" s="47">
        <v>0</v>
      </c>
      <c r="I1321" s="98">
        <v>0</v>
      </c>
      <c r="J1321" s="98"/>
      <c r="K1321" s="93"/>
      <c r="L1321" s="93">
        <f t="shared" si="177"/>
        <v>0</v>
      </c>
      <c r="M1321" s="95" t="e">
        <f t="shared" ca="1" si="178"/>
        <v>#DIV/0!</v>
      </c>
      <c r="N1321" s="95">
        <f>IF(P1321="Hedge Fund",IF(A1321=Summary!$AD$3,M1321-E1321,M1321),IF(A1321=Summary!$AD$3,L1321-D1321,L1321))</f>
        <v>0</v>
      </c>
      <c r="O1321" s="9">
        <f t="shared" si="182"/>
        <v>0</v>
      </c>
      <c r="P1321" s="89" t="s">
        <v>155</v>
      </c>
      <c r="Q1321" s="361">
        <v>4.8393937167223811E-3</v>
      </c>
      <c r="R1321" s="109">
        <v>5.9557270499999988E-2</v>
      </c>
      <c r="S1321" s="89">
        <v>9.6787874334447628E-4</v>
      </c>
      <c r="T1321" s="89">
        <v>0</v>
      </c>
      <c r="U1321" s="89"/>
      <c r="V1321" s="89"/>
      <c r="W1321" s="89"/>
      <c r="X1321" s="89"/>
      <c r="Y1321" s="89"/>
      <c r="Z1321" s="89"/>
      <c r="AA1321" s="89"/>
      <c r="AB1321" s="89"/>
      <c r="AC1321" s="355"/>
      <c r="AD1321" s="355"/>
      <c r="AE1321" s="355"/>
      <c r="AF1321" s="94">
        <f t="shared" si="179"/>
        <v>43188</v>
      </c>
      <c r="AG1321" s="185">
        <f t="shared" si="183"/>
        <v>8.7377852929091393E-3</v>
      </c>
      <c r="AH1321" s="339" t="str">
        <f>VLOOKUP(B1321,'MF PF'!A:B,2)</f>
        <v>FdMgt1</v>
      </c>
      <c r="AI1321" s="358">
        <f t="shared" si="180"/>
        <v>0</v>
      </c>
      <c r="AJ1321" s="94">
        <f t="shared" si="181"/>
        <v>43190</v>
      </c>
    </row>
    <row r="1322" spans="1:36" ht="12.75" customHeight="1">
      <c r="A1322" s="8">
        <v>43220</v>
      </c>
      <c r="B1322" s="94" t="s">
        <v>136</v>
      </c>
      <c r="C1322" s="358" t="s">
        <v>314</v>
      </c>
      <c r="D1322" s="374">
        <v>1353079.0264999999</v>
      </c>
      <c r="E1322" s="9" t="e">
        <f t="shared" si="176"/>
        <v>#DIV/0!</v>
      </c>
      <c r="F1322" s="47">
        <v>1</v>
      </c>
      <c r="G1322" s="47">
        <v>0</v>
      </c>
      <c r="H1322" s="47">
        <v>0</v>
      </c>
      <c r="I1322" s="98">
        <v>0</v>
      </c>
      <c r="J1322" s="98"/>
      <c r="K1322" s="93"/>
      <c r="L1322" s="93">
        <f t="shared" si="177"/>
        <v>0</v>
      </c>
      <c r="M1322" s="95" t="e">
        <f t="shared" ca="1" si="178"/>
        <v>#DIV/0!</v>
      </c>
      <c r="N1322" s="95">
        <f>IF(P1322="Hedge Fund",IF(A1322=Summary!$AD$3,M1322-E1322,M1322),IF(A1322=Summary!$AD$3,L1322-D1322,L1322))</f>
        <v>0</v>
      </c>
      <c r="O1322" s="9">
        <f t="shared" si="182"/>
        <v>0</v>
      </c>
      <c r="P1322" s="89" t="s">
        <v>155</v>
      </c>
      <c r="Q1322" s="109">
        <v>0</v>
      </c>
      <c r="R1322" s="109">
        <v>6.2308059999999998E-2</v>
      </c>
      <c r="S1322" s="89">
        <v>0</v>
      </c>
      <c r="T1322" s="89">
        <v>0</v>
      </c>
      <c r="U1322" s="89"/>
      <c r="V1322" s="89"/>
      <c r="W1322" s="89"/>
      <c r="X1322" s="89"/>
      <c r="Y1322" s="89"/>
      <c r="Z1322" s="89"/>
      <c r="AA1322" s="89"/>
      <c r="AB1322" s="89"/>
      <c r="AC1322" s="355"/>
      <c r="AD1322" s="355"/>
      <c r="AE1322" s="355"/>
      <c r="AF1322" s="94">
        <f t="shared" si="179"/>
        <v>43220</v>
      </c>
      <c r="AG1322" s="185">
        <f t="shared" si="183"/>
        <v>1.1654526778065666E-2</v>
      </c>
      <c r="AH1322" s="339" t="str">
        <f>VLOOKUP(B1322,'MF PF'!A:B,2)</f>
        <v>FdMgt1</v>
      </c>
      <c r="AI1322" s="358">
        <f t="shared" si="180"/>
        <v>0</v>
      </c>
      <c r="AJ1322" s="94">
        <f t="shared" si="181"/>
        <v>43220</v>
      </c>
    </row>
    <row r="1323" spans="1:36" ht="12.75" customHeight="1">
      <c r="A1323" s="8">
        <v>43251</v>
      </c>
      <c r="B1323" s="358" t="s">
        <v>136</v>
      </c>
      <c r="C1323" s="94" t="s">
        <v>314</v>
      </c>
      <c r="D1323" s="374">
        <v>1361664.4005</v>
      </c>
      <c r="E1323" s="9" t="e">
        <f t="shared" si="176"/>
        <v>#DIV/0!</v>
      </c>
      <c r="F1323" s="47">
        <v>1</v>
      </c>
      <c r="G1323" s="47">
        <v>0</v>
      </c>
      <c r="H1323" s="47">
        <v>0</v>
      </c>
      <c r="I1323" s="110">
        <v>0</v>
      </c>
      <c r="J1323" s="110"/>
      <c r="K1323" s="93"/>
      <c r="L1323" s="93">
        <f t="shared" si="177"/>
        <v>0</v>
      </c>
      <c r="M1323" s="95" t="e">
        <f t="shared" ca="1" si="178"/>
        <v>#DIV/0!</v>
      </c>
      <c r="N1323" s="95">
        <f>IF(P1323="Hedge Fund",IF(A1323=Summary!$AD$3,M1323-E1323,M1323),IF(A1323=Summary!$AD$3,L1323-D1323,L1323))</f>
        <v>0</v>
      </c>
      <c r="O1323" s="9">
        <f t="shared" si="182"/>
        <v>0</v>
      </c>
      <c r="P1323" s="89" t="s">
        <v>155</v>
      </c>
      <c r="Q1323" s="109">
        <v>0</v>
      </c>
      <c r="R1323" s="109">
        <v>6.3823130000000006E-2</v>
      </c>
      <c r="S1323" s="89">
        <v>0</v>
      </c>
      <c r="T1323" s="89">
        <v>0</v>
      </c>
      <c r="U1323" s="89"/>
      <c r="V1323" s="89"/>
      <c r="W1323" s="89"/>
      <c r="X1323" s="89"/>
      <c r="Y1323" s="89"/>
      <c r="Z1323" s="89"/>
      <c r="AA1323" s="89"/>
      <c r="AB1323" s="89"/>
      <c r="AC1323" s="355"/>
      <c r="AD1323" s="355"/>
      <c r="AE1323" s="355"/>
      <c r="AF1323" s="94">
        <f t="shared" si="179"/>
        <v>43251</v>
      </c>
      <c r="AG1323" s="185">
        <f t="shared" si="183"/>
        <v>6.3450647241261038E-3</v>
      </c>
      <c r="AH1323" s="339" t="str">
        <f>VLOOKUP(B1323,'MF PF'!A:B,2)</f>
        <v>FdMgt1</v>
      </c>
      <c r="AI1323" s="358">
        <f t="shared" si="180"/>
        <v>0</v>
      </c>
      <c r="AJ1323" s="94">
        <f t="shared" si="181"/>
        <v>43251</v>
      </c>
    </row>
    <row r="1324" spans="1:36" ht="12.75" customHeight="1">
      <c r="A1324" s="8">
        <v>43280</v>
      </c>
      <c r="B1324" s="358" t="s">
        <v>136</v>
      </c>
      <c r="C1324" s="94" t="s">
        <v>314</v>
      </c>
      <c r="D1324" s="374">
        <v>1364815.0870000001</v>
      </c>
      <c r="E1324" s="95" t="e">
        <f t="shared" si="176"/>
        <v>#DIV/0!</v>
      </c>
      <c r="F1324" s="47">
        <v>1</v>
      </c>
      <c r="G1324" s="47">
        <v>0</v>
      </c>
      <c r="H1324" s="47">
        <v>0</v>
      </c>
      <c r="I1324" s="110">
        <v>0</v>
      </c>
      <c r="J1324" s="110"/>
      <c r="K1324" s="93"/>
      <c r="L1324" s="93">
        <f t="shared" si="177"/>
        <v>0</v>
      </c>
      <c r="M1324" s="95" t="e">
        <f t="shared" ca="1" si="178"/>
        <v>#DIV/0!</v>
      </c>
      <c r="N1324" s="95">
        <f>IF(P1324="Hedge Fund",IF(A1324=Summary!$AD$3,M1324-E1324,M1324),IF(A1324=Summary!$AD$3,L1324-D1324,L1324))</f>
        <v>0</v>
      </c>
      <c r="O1324" s="9">
        <f t="shared" si="182"/>
        <v>0</v>
      </c>
      <c r="P1324" s="89" t="s">
        <v>155</v>
      </c>
      <c r="Q1324" s="109">
        <v>5.0611500000000004E-3</v>
      </c>
      <c r="R1324" s="109">
        <v>6.4379130000000007E-2</v>
      </c>
      <c r="S1324" s="89">
        <v>1.0122306390809538E-3</v>
      </c>
      <c r="T1324" s="89">
        <v>0</v>
      </c>
      <c r="U1324" s="89"/>
      <c r="V1324" s="89"/>
      <c r="W1324" s="89"/>
      <c r="X1324" s="89"/>
      <c r="Y1324" s="89"/>
      <c r="Z1324" s="89"/>
      <c r="AA1324" s="89"/>
      <c r="AB1324" s="89"/>
      <c r="AC1324" s="355"/>
      <c r="AD1324" s="355"/>
      <c r="AE1324" s="355"/>
      <c r="AF1324" s="94">
        <f t="shared" si="179"/>
        <v>43280</v>
      </c>
      <c r="AG1324" s="185">
        <f t="shared" si="183"/>
        <v>2.3138495056806985E-3</v>
      </c>
      <c r="AH1324" s="339" t="str">
        <f>VLOOKUP(B1324,'MF PF'!A:B,2)</f>
        <v>FdMgt1</v>
      </c>
      <c r="AI1324" s="358">
        <f t="shared" si="180"/>
        <v>0</v>
      </c>
      <c r="AJ1324" s="94">
        <f t="shared" si="181"/>
        <v>43281</v>
      </c>
    </row>
    <row r="1325" spans="1:36" ht="12.75" customHeight="1">
      <c r="A1325" s="8">
        <v>43312</v>
      </c>
      <c r="B1325" s="358" t="s">
        <v>136</v>
      </c>
      <c r="C1325" s="94" t="s">
        <v>314</v>
      </c>
      <c r="D1325" s="374">
        <v>1369115.9424999999</v>
      </c>
      <c r="E1325" s="95" t="str">
        <f>IF(K1325="","",D1325/K1325)</f>
        <v/>
      </c>
      <c r="F1325" s="98">
        <v>1</v>
      </c>
      <c r="G1325" s="98">
        <v>0</v>
      </c>
      <c r="H1325" s="98">
        <v>0</v>
      </c>
      <c r="I1325" s="98">
        <v>0</v>
      </c>
      <c r="J1325" s="98"/>
      <c r="K1325" s="93"/>
      <c r="L1325" s="93">
        <f t="shared" si="177"/>
        <v>0</v>
      </c>
      <c r="M1325" s="95" t="e">
        <f t="shared" ca="1" si="178"/>
        <v>#DIV/0!</v>
      </c>
      <c r="N1325" s="95">
        <f>IF(P1325="Hedge Fund",IF(A1325=Summary!$AD$3,M1325-E1325,M1325),IF(A1325=Summary!$AD$3,L1325-D1325,L1325))</f>
        <v>0</v>
      </c>
      <c r="O1325" s="9">
        <f t="shared" si="182"/>
        <v>0</v>
      </c>
      <c r="P1325" s="107" t="s">
        <v>155</v>
      </c>
      <c r="Q1325" s="107">
        <v>0</v>
      </c>
      <c r="R1325" s="109">
        <f>65138.1075/10^6</f>
        <v>6.51381075E-2</v>
      </c>
      <c r="S1325" s="107">
        <v>0</v>
      </c>
      <c r="T1325" s="107">
        <v>0</v>
      </c>
      <c r="U1325" s="107"/>
      <c r="V1325" s="107"/>
      <c r="W1325" s="107"/>
      <c r="X1325" s="107"/>
      <c r="Y1325" s="107"/>
      <c r="Z1325" s="107"/>
      <c r="AA1325" s="107"/>
      <c r="AB1325" s="107"/>
      <c r="AC1325" s="355"/>
      <c r="AD1325" s="355"/>
      <c r="AE1325" s="355"/>
      <c r="AF1325" s="94">
        <f t="shared" si="179"/>
        <v>43312</v>
      </c>
      <c r="AG1325" s="185">
        <f t="shared" si="183"/>
        <v>3.1512367799608754E-3</v>
      </c>
      <c r="AH1325" s="339" t="str">
        <f>VLOOKUP(B1325,'MF PF'!A:B,2)</f>
        <v>FdMgt1</v>
      </c>
      <c r="AI1325" s="358">
        <f t="shared" si="180"/>
        <v>0</v>
      </c>
      <c r="AJ1325" s="94">
        <f t="shared" si="181"/>
        <v>43312</v>
      </c>
    </row>
    <row r="1326" spans="1:36" ht="12.75" customHeight="1">
      <c r="A1326" s="8">
        <v>43343</v>
      </c>
      <c r="B1326" s="358" t="s">
        <v>136</v>
      </c>
      <c r="C1326" s="94" t="s">
        <v>314</v>
      </c>
      <c r="D1326" s="374">
        <v>1372037.0355</v>
      </c>
      <c r="E1326" s="95" t="str">
        <f>IF(K1326="","",D1326/K1326)</f>
        <v/>
      </c>
      <c r="F1326" s="98">
        <v>1</v>
      </c>
      <c r="G1326" s="98">
        <v>0</v>
      </c>
      <c r="H1326" s="98">
        <v>0</v>
      </c>
      <c r="I1326" s="98">
        <v>0</v>
      </c>
      <c r="J1326" s="98"/>
      <c r="K1326" s="93"/>
      <c r="L1326" s="93">
        <f t="shared" si="177"/>
        <v>0</v>
      </c>
      <c r="M1326" s="95" t="e">
        <f t="shared" ca="1" si="178"/>
        <v>#DIV/0!</v>
      </c>
      <c r="N1326" s="95">
        <f>IF(P1326="Hedge Fund",IF(A1326=Summary!$AD$3,M1326-E1326,M1326),IF(A1326=Summary!$AD$3,L1326-D1326,L1326))</f>
        <v>0</v>
      </c>
      <c r="O1326" s="9">
        <f t="shared" si="182"/>
        <v>0</v>
      </c>
      <c r="P1326" s="107" t="s">
        <v>155</v>
      </c>
      <c r="Q1326" s="107">
        <v>0</v>
      </c>
      <c r="R1326" s="109">
        <v>6.5653594499999982E-2</v>
      </c>
      <c r="S1326" s="107">
        <v>0</v>
      </c>
      <c r="T1326" s="107">
        <v>0</v>
      </c>
      <c r="U1326" s="107"/>
      <c r="V1326" s="107"/>
      <c r="W1326" s="107"/>
      <c r="X1326" s="107"/>
      <c r="Y1326" s="107"/>
      <c r="Z1326" s="107"/>
      <c r="AA1326" s="107"/>
      <c r="AB1326" s="107"/>
      <c r="AC1326" s="355"/>
      <c r="AD1326" s="355"/>
      <c r="AE1326" s="355"/>
      <c r="AF1326" s="94">
        <f t="shared" si="179"/>
        <v>43343</v>
      </c>
      <c r="AG1326" s="185">
        <f t="shared" si="183"/>
        <v>2.1335614532880243E-3</v>
      </c>
      <c r="AH1326" s="339" t="str">
        <f>VLOOKUP(B1326,'MF PF'!A:B,2)</f>
        <v>FdMgt1</v>
      </c>
      <c r="AI1326" s="358">
        <f t="shared" si="180"/>
        <v>0</v>
      </c>
      <c r="AJ1326" s="94">
        <f t="shared" si="181"/>
        <v>43343</v>
      </c>
    </row>
    <row r="1327" spans="1:36" ht="12.75" customHeight="1">
      <c r="A1327" s="8">
        <v>43371</v>
      </c>
      <c r="B1327" s="358" t="s">
        <v>136</v>
      </c>
      <c r="C1327" s="358" t="s">
        <v>314</v>
      </c>
      <c r="D1327" s="374">
        <v>1352710.645</v>
      </c>
      <c r="E1327" s="95"/>
      <c r="F1327" s="105">
        <v>1</v>
      </c>
      <c r="G1327" s="93">
        <v>0</v>
      </c>
      <c r="H1327" s="93">
        <v>0</v>
      </c>
      <c r="I1327" s="93">
        <v>0</v>
      </c>
      <c r="K1327" s="93">
        <v>0</v>
      </c>
      <c r="L1327" s="93">
        <f t="shared" si="177"/>
        <v>0</v>
      </c>
      <c r="M1327" s="95" t="e">
        <f t="shared" ca="1" si="178"/>
        <v>#DIV/0!</v>
      </c>
      <c r="N1327" s="95">
        <f>IF(P1327="Hedge Fund",IF(A1327=Summary!$AD$3,M1327-E1327,M1327),IF(A1327=Summary!$AD$3,L1327-D1327,L1327))</f>
        <v>0</v>
      </c>
      <c r="O1327" s="95">
        <f t="shared" si="182"/>
        <v>0</v>
      </c>
      <c r="P1327" s="95" t="s">
        <v>155</v>
      </c>
      <c r="Q1327" s="353">
        <v>4.9560686339302374E-3</v>
      </c>
      <c r="R1327" s="95">
        <v>6.2243054999999992E-2</v>
      </c>
      <c r="S1327" s="95">
        <v>9.9121372678604726E-4</v>
      </c>
      <c r="T1327" s="95"/>
      <c r="U1327" s="95"/>
      <c r="V1327" s="95"/>
      <c r="W1327" s="95"/>
      <c r="X1327" s="95"/>
      <c r="Y1327" s="95"/>
      <c r="Z1327" s="95"/>
      <c r="AA1327" s="95"/>
      <c r="AB1327" s="95"/>
      <c r="AC1327" s="355"/>
      <c r="AD1327" s="355"/>
      <c r="AE1327" s="355"/>
      <c r="AF1327" s="94">
        <f t="shared" si="179"/>
        <v>43371</v>
      </c>
      <c r="AG1327" s="185">
        <f t="shared" si="183"/>
        <v>-1.4085910219586051E-2</v>
      </c>
      <c r="AH1327" s="339" t="str">
        <f>VLOOKUP(B1327,'MF PF'!A:B,2)</f>
        <v>FdMgt1</v>
      </c>
      <c r="AI1327" s="358">
        <f t="shared" si="180"/>
        <v>0</v>
      </c>
      <c r="AJ1327" s="94">
        <f t="shared" si="181"/>
        <v>43373</v>
      </c>
    </row>
    <row r="1328" spans="1:36" ht="12.75" customHeight="1">
      <c r="A1328" s="94">
        <v>43404</v>
      </c>
      <c r="B1328" s="358" t="s">
        <v>136</v>
      </c>
      <c r="C1328" s="358" t="s">
        <v>314</v>
      </c>
      <c r="D1328" s="374">
        <v>1352643.0870000001</v>
      </c>
      <c r="E1328" s="95"/>
      <c r="F1328" s="105">
        <v>1</v>
      </c>
      <c r="G1328" s="93">
        <v>0</v>
      </c>
      <c r="H1328" s="93">
        <v>0</v>
      </c>
      <c r="I1328" s="93">
        <v>0</v>
      </c>
      <c r="J1328" s="93">
        <v>0</v>
      </c>
      <c r="K1328" s="93"/>
      <c r="L1328" s="93">
        <f t="shared" si="177"/>
        <v>0</v>
      </c>
      <c r="M1328" s="95" t="e">
        <f t="shared" ca="1" si="178"/>
        <v>#DIV/0!</v>
      </c>
      <c r="N1328" s="95">
        <f>IF(P1328="Hedge Fund",IF(A1328=Summary!$AD$3,M1328-E1328,M1328),IF(A1328=Summary!$AD$3,L1328-D1328,L1328))</f>
        <v>0</v>
      </c>
      <c r="O1328" s="95">
        <f t="shared" si="182"/>
        <v>0</v>
      </c>
      <c r="P1328" s="95" t="s">
        <v>155</v>
      </c>
      <c r="Q1328" s="95">
        <v>1.7931515744181148E-3</v>
      </c>
      <c r="R1328" s="95">
        <v>6.2231132999999994E-2</v>
      </c>
      <c r="S1328" s="95"/>
      <c r="T1328" s="95"/>
      <c r="U1328" s="95"/>
      <c r="V1328" s="95"/>
      <c r="W1328" s="95"/>
      <c r="X1328" s="95"/>
      <c r="Y1328" s="95"/>
      <c r="Z1328" s="95"/>
      <c r="AA1328" s="95"/>
      <c r="AB1328" s="95"/>
      <c r="AC1328" s="355"/>
      <c r="AD1328" s="355"/>
      <c r="AE1328" s="355"/>
      <c r="AF1328" s="94">
        <f t="shared" si="179"/>
        <v>43404</v>
      </c>
      <c r="AG1328" s="185">
        <f t="shared" si="183"/>
        <v>-4.9942683787995712E-5</v>
      </c>
      <c r="AH1328" s="339" t="str">
        <f>VLOOKUP(B1328,'MF PF'!A:B,2)</f>
        <v>FdMgt1</v>
      </c>
      <c r="AI1328" s="358">
        <f t="shared" si="180"/>
        <v>0</v>
      </c>
      <c r="AJ1328" s="94">
        <f t="shared" si="181"/>
        <v>43404</v>
      </c>
    </row>
    <row r="1329" spans="1:36" ht="12.75" customHeight="1">
      <c r="A1329" s="94">
        <v>43434</v>
      </c>
      <c r="B1329" s="358" t="s">
        <v>136</v>
      </c>
      <c r="C1329" s="358" t="s">
        <v>314</v>
      </c>
      <c r="D1329" s="374">
        <v>1368276.5079999999</v>
      </c>
      <c r="F1329" s="105">
        <v>1</v>
      </c>
      <c r="G1329" s="93">
        <v>0</v>
      </c>
      <c r="H1329" s="93">
        <v>0</v>
      </c>
      <c r="I1329" s="93">
        <v>0</v>
      </c>
      <c r="K1329" s="7">
        <v>0</v>
      </c>
      <c r="L1329" s="93">
        <f t="shared" si="177"/>
        <v>0</v>
      </c>
      <c r="M1329" s="95" t="e">
        <f t="shared" ca="1" si="178"/>
        <v>#DIV/0!</v>
      </c>
      <c r="N1329" s="95">
        <f>IF(P1329="Hedge Fund",IF(A1329=Summary!$AD$3,M1329-E1329,M1329),IF(A1329=Summary!$AD$3,L1329-D1329,L1329))</f>
        <v>0</v>
      </c>
      <c r="O1329" s="95">
        <f t="shared" si="182"/>
        <v>0</v>
      </c>
      <c r="P1329" s="95" t="s">
        <v>155</v>
      </c>
      <c r="Q1329" s="95">
        <v>3.4717894592070269E-3</v>
      </c>
      <c r="R1329" s="95">
        <v>6.4989971999999993E-2</v>
      </c>
      <c r="S1329" s="95"/>
      <c r="T1329" s="95"/>
      <c r="U1329" s="95"/>
      <c r="V1329" s="95"/>
      <c r="W1329" s="95"/>
      <c r="X1329" s="95"/>
      <c r="Y1329" s="95"/>
      <c r="Z1329" s="95"/>
      <c r="AA1329" s="95"/>
      <c r="AB1329" s="95"/>
      <c r="AC1329" s="355"/>
      <c r="AD1329" s="355"/>
      <c r="AE1329" s="355"/>
      <c r="AF1329" s="94">
        <f t="shared" si="179"/>
        <v>43434</v>
      </c>
      <c r="AG1329" s="185">
        <f t="shared" si="183"/>
        <v>1.1557683730652801E-2</v>
      </c>
      <c r="AH1329" s="339" t="str">
        <f>VLOOKUP(B1329,'MF PF'!A:B,2)</f>
        <v>FdMgt1</v>
      </c>
      <c r="AI1329" s="358">
        <f t="shared" si="180"/>
        <v>0</v>
      </c>
      <c r="AJ1329" s="94">
        <f t="shared" si="181"/>
        <v>43434</v>
      </c>
    </row>
    <row r="1330" spans="1:36" ht="12.75" customHeight="1">
      <c r="A1330" s="94">
        <v>43452</v>
      </c>
      <c r="B1330" s="358" t="s">
        <v>136</v>
      </c>
      <c r="C1330" s="358" t="s">
        <v>314</v>
      </c>
      <c r="D1330" s="93"/>
      <c r="F1330" s="93"/>
      <c r="G1330" s="93"/>
      <c r="H1330" s="93"/>
      <c r="I1330" s="93">
        <v>0</v>
      </c>
      <c r="L1330" s="93">
        <f t="shared" si="177"/>
        <v>0</v>
      </c>
      <c r="M1330" s="95" t="e">
        <f t="shared" ca="1" si="178"/>
        <v>#DIV/0!</v>
      </c>
      <c r="N1330" s="95">
        <f>IF(P1330="Hedge Fund",IF(A1330=Summary!$AD$3,M1330-E1330,M1330),IF(A1330=Summary!$AD$3,L1330-D1330,L1330))</f>
        <v>0</v>
      </c>
      <c r="O1330" s="95">
        <f t="shared" si="182"/>
        <v>0</v>
      </c>
      <c r="P1330" s="95" t="s">
        <v>155</v>
      </c>
      <c r="Q1330" s="95"/>
      <c r="R1330" s="95"/>
      <c r="S1330" s="95"/>
      <c r="T1330" s="95"/>
      <c r="U1330" s="95"/>
      <c r="V1330" s="95"/>
      <c r="W1330" s="95"/>
      <c r="X1330" s="95"/>
      <c r="Y1330" s="95"/>
      <c r="Z1330" s="95"/>
      <c r="AA1330" s="95"/>
      <c r="AB1330" s="95"/>
      <c r="AC1330" s="355"/>
      <c r="AD1330" s="355"/>
      <c r="AE1330" s="355"/>
      <c r="AF1330" s="94">
        <f t="shared" si="179"/>
        <v>43452</v>
      </c>
      <c r="AG1330" s="185">
        <f t="shared" si="183"/>
        <v>-1</v>
      </c>
      <c r="AH1330" s="339" t="str">
        <f>VLOOKUP(B1330,'MF PF'!A:B,2)</f>
        <v>FdMgt1</v>
      </c>
      <c r="AI1330" s="358">
        <f t="shared" si="180"/>
        <v>0</v>
      </c>
      <c r="AJ1330" s="94">
        <f t="shared" si="181"/>
        <v>43465</v>
      </c>
    </row>
    <row r="1331" spans="1:36" ht="12.75" customHeight="1">
      <c r="A1331" s="8">
        <v>43465</v>
      </c>
      <c r="B1331" s="358" t="s">
        <v>136</v>
      </c>
      <c r="C1331" s="358" t="s">
        <v>314</v>
      </c>
      <c r="D1331" s="93">
        <v>1391425.986</v>
      </c>
      <c r="F1331" s="93">
        <v>1</v>
      </c>
      <c r="G1331" s="93">
        <v>0</v>
      </c>
      <c r="H1331" s="93">
        <v>0</v>
      </c>
      <c r="I1331" s="93">
        <v>0</v>
      </c>
      <c r="K1331" s="7">
        <v>0</v>
      </c>
      <c r="L1331" s="93">
        <f t="shared" si="177"/>
        <v>0</v>
      </c>
      <c r="M1331" s="95" t="e">
        <f t="shared" ca="1" si="178"/>
        <v>#DIV/0!</v>
      </c>
      <c r="N1331" s="95">
        <f>IF(P1331="Hedge Fund",IF(A1331=Summary!$AD$3,M1331-E1331,M1331),IF(A1331=Summary!$AD$3,L1331-D1331,L1331))</f>
        <v>0</v>
      </c>
      <c r="O1331" s="95">
        <f t="shared" si="182"/>
        <v>0</v>
      </c>
      <c r="P1331" s="95" t="s">
        <v>155</v>
      </c>
      <c r="Q1331" s="95">
        <v>5.2848613713426355E-3</v>
      </c>
      <c r="R1331" s="95">
        <v>6.9075173999999989E-2</v>
      </c>
      <c r="S1331" s="95"/>
      <c r="T1331" s="95"/>
      <c r="U1331" s="95"/>
      <c r="V1331" s="95"/>
      <c r="W1331" s="95"/>
      <c r="X1331" s="95"/>
      <c r="Y1331" s="95"/>
      <c r="Z1331" s="95"/>
      <c r="AA1331" s="95"/>
      <c r="AB1331" s="95"/>
      <c r="AC1331" s="355"/>
      <c r="AD1331" s="355"/>
      <c r="AE1331" s="355"/>
      <c r="AF1331" s="94">
        <f t="shared" si="179"/>
        <v>43465</v>
      </c>
      <c r="AG1331" s="185" t="e">
        <f t="shared" si="183"/>
        <v>#DIV/0!</v>
      </c>
      <c r="AH1331" s="339" t="str">
        <f>VLOOKUP(B1331,'MF PF'!A:B,2)</f>
        <v>FdMgt1</v>
      </c>
      <c r="AI1331" s="358">
        <f t="shared" si="180"/>
        <v>0</v>
      </c>
      <c r="AJ1331" s="94">
        <f t="shared" si="181"/>
        <v>43465</v>
      </c>
    </row>
    <row r="1332" spans="1:36" ht="12.75" customHeight="1">
      <c r="A1332" s="8">
        <v>43487</v>
      </c>
      <c r="B1332" s="358" t="s">
        <v>136</v>
      </c>
      <c r="C1332" s="358" t="s">
        <v>314</v>
      </c>
      <c r="D1332" s="93"/>
      <c r="F1332" s="93"/>
      <c r="G1332" s="93"/>
      <c r="H1332" s="93"/>
      <c r="I1332" s="93">
        <v>-11945.196648361212</v>
      </c>
      <c r="L1332" s="93">
        <f t="shared" si="177"/>
        <v>-11945.196648361212</v>
      </c>
      <c r="M1332" s="95" t="e">
        <f t="shared" ca="1" si="178"/>
        <v>#DIV/0!</v>
      </c>
      <c r="N1332" s="95">
        <f>IF(P1332="Hedge Fund",IF(A1332=Summary!$AD$3,M1332-E1332,M1332),IF(A1332=Summary!$AD$3,L1332-D1332,L1332))</f>
        <v>-11945.196648361212</v>
      </c>
      <c r="O1332" s="95">
        <f t="shared" si="182"/>
        <v>-11945.196648361212</v>
      </c>
      <c r="P1332" s="95" t="s">
        <v>155</v>
      </c>
      <c r="Q1332" s="95"/>
      <c r="R1332" s="95"/>
      <c r="S1332" s="95"/>
      <c r="T1332" s="95"/>
      <c r="U1332" s="95"/>
      <c r="V1332" s="95"/>
      <c r="W1332" s="95"/>
      <c r="X1332" s="95"/>
      <c r="Y1332" s="95"/>
      <c r="Z1332" s="95"/>
      <c r="AA1332" s="95"/>
      <c r="AB1332" s="95"/>
      <c r="AC1332" s="355"/>
      <c r="AD1332" s="355"/>
      <c r="AE1332" s="355"/>
      <c r="AF1332" s="94">
        <f t="shared" si="179"/>
        <v>43487</v>
      </c>
      <c r="AG1332" s="185">
        <f t="shared" si="183"/>
        <v>-0.99141514046126111</v>
      </c>
      <c r="AH1332" s="339" t="str">
        <f>VLOOKUP(B1332,'MF PF'!A:B,2)</f>
        <v>FdMgt1</v>
      </c>
      <c r="AI1332" s="358">
        <f t="shared" si="180"/>
        <v>0</v>
      </c>
      <c r="AJ1332" s="94">
        <f t="shared" si="181"/>
        <v>43496</v>
      </c>
    </row>
    <row r="1333" spans="1:36" ht="12.75" customHeight="1">
      <c r="A1333" s="94">
        <v>43496</v>
      </c>
      <c r="B1333" s="358" t="s">
        <v>136</v>
      </c>
      <c r="C1333" s="358" t="s">
        <v>314</v>
      </c>
      <c r="D1333" s="93">
        <v>1390774.5545000001</v>
      </c>
      <c r="F1333" s="93">
        <v>1</v>
      </c>
      <c r="G1333" s="93">
        <v>0</v>
      </c>
      <c r="H1333" s="93">
        <v>0</v>
      </c>
      <c r="I1333" s="93">
        <v>0</v>
      </c>
      <c r="K1333" s="7">
        <v>0</v>
      </c>
      <c r="L1333" s="93">
        <f t="shared" si="177"/>
        <v>0</v>
      </c>
      <c r="M1333" s="95" t="e">
        <f t="shared" ca="1" si="178"/>
        <v>#DIV/0!</v>
      </c>
      <c r="N1333" s="95">
        <f>IF(P1333="Hedge Fund",IF(A1333=Summary!$AD$3,M1333-E1333,M1333),IF(A1333=Summary!$AD$3,L1333-D1333,L1333))</f>
        <v>-1390774.5545000001</v>
      </c>
      <c r="O1333" s="95">
        <f t="shared" si="182"/>
        <v>-1390774.5545000001</v>
      </c>
      <c r="P1333" s="95" t="s">
        <v>155</v>
      </c>
      <c r="Q1333" s="95">
        <v>1.7377508931045958E-3</v>
      </c>
      <c r="R1333" s="95">
        <v>6.8960215500000005E-2</v>
      </c>
      <c r="S1333" s="95"/>
      <c r="T1333" s="95"/>
      <c r="U1333" s="95"/>
      <c r="V1333" s="95"/>
      <c r="W1333" s="95"/>
      <c r="X1333" s="95"/>
      <c r="Y1333" s="95"/>
      <c r="Z1333" s="95"/>
      <c r="AA1333" s="95"/>
      <c r="AB1333" s="95"/>
      <c r="AC1333" s="355"/>
      <c r="AD1333" s="355"/>
      <c r="AE1333" s="355"/>
      <c r="AF1333" s="94">
        <f t="shared" si="179"/>
        <v>43496</v>
      </c>
      <c r="AG1333" s="185" t="e">
        <f t="shared" si="183"/>
        <v>#DIV/0!</v>
      </c>
      <c r="AH1333" s="339" t="str">
        <f>VLOOKUP(B1333,'MF PF'!A:B,2)</f>
        <v>FdMgt1</v>
      </c>
      <c r="AI1333" s="358">
        <f t="shared" si="180"/>
        <v>0</v>
      </c>
      <c r="AJ1333" s="94">
        <f t="shared" si="181"/>
        <v>43496</v>
      </c>
    </row>
    <row r="1334" spans="1:36" ht="12.75" customHeight="1">
      <c r="A1334" s="8">
        <v>42207</v>
      </c>
      <c r="B1334" s="94" t="s">
        <v>136</v>
      </c>
      <c r="C1334" s="358" t="s">
        <v>315</v>
      </c>
      <c r="D1334" s="374">
        <v>504426.00000000006</v>
      </c>
      <c r="E1334" s="9" t="e">
        <f t="shared" ref="E1334:E1370" si="184">D1334/K1334</f>
        <v>#DIV/0!</v>
      </c>
      <c r="F1334" s="98">
        <v>5.798</v>
      </c>
      <c r="G1334" s="98">
        <v>504426.00000000006</v>
      </c>
      <c r="H1334" s="98">
        <v>0</v>
      </c>
      <c r="I1334" s="98">
        <v>0</v>
      </c>
      <c r="J1334" s="98"/>
      <c r="L1334" s="93">
        <f t="shared" si="177"/>
        <v>504426.00000000006</v>
      </c>
      <c r="M1334" s="95" t="e">
        <f t="shared" ca="1" si="178"/>
        <v>#DIV/0!</v>
      </c>
      <c r="N1334" s="95">
        <f>IF(P1334="Hedge Fund",IF(A1334=Summary!$AD$3,M1334-E1334,M1334),IF(A1334=Summary!$AD$3,L1334-D1334,L1334))</f>
        <v>504426.00000000006</v>
      </c>
      <c r="O1334" s="95">
        <f t="shared" si="182"/>
        <v>504426.00000000006</v>
      </c>
      <c r="P1334" s="107" t="s">
        <v>155</v>
      </c>
      <c r="Q1334" s="107">
        <v>0</v>
      </c>
      <c r="R1334" s="107">
        <v>0</v>
      </c>
      <c r="S1334" s="107">
        <v>0</v>
      </c>
      <c r="T1334" s="107">
        <v>0</v>
      </c>
      <c r="U1334" s="107"/>
      <c r="V1334" s="107"/>
      <c r="W1334" s="107"/>
      <c r="X1334" s="107"/>
      <c r="Y1334" s="107"/>
      <c r="Z1334" s="107"/>
      <c r="AA1334" s="107"/>
      <c r="AB1334" s="107"/>
      <c r="AC1334" s="355"/>
      <c r="AD1334" s="355"/>
      <c r="AE1334" s="355"/>
      <c r="AF1334" s="94">
        <f t="shared" si="179"/>
        <v>42207</v>
      </c>
      <c r="AG1334" s="185">
        <f t="shared" si="183"/>
        <v>0</v>
      </c>
      <c r="AH1334" s="339" t="str">
        <f>VLOOKUP(B1334,'MF PF'!A:B,2)</f>
        <v>FdMgt1</v>
      </c>
      <c r="AI1334" s="358">
        <f t="shared" si="180"/>
        <v>0</v>
      </c>
      <c r="AJ1334" s="94">
        <f t="shared" si="181"/>
        <v>42216</v>
      </c>
    </row>
    <row r="1335" spans="1:36" ht="12.75" customHeight="1">
      <c r="A1335" s="94">
        <v>42216</v>
      </c>
      <c r="B1335" s="94" t="s">
        <v>136</v>
      </c>
      <c r="C1335" s="358" t="s">
        <v>315</v>
      </c>
      <c r="D1335" s="374">
        <v>502986.10999999993</v>
      </c>
      <c r="E1335" s="9" t="e">
        <f t="shared" si="184"/>
        <v>#DIV/0!</v>
      </c>
      <c r="F1335" s="98">
        <v>5.798</v>
      </c>
      <c r="G1335" s="98">
        <v>0</v>
      </c>
      <c r="H1335" s="98">
        <v>0</v>
      </c>
      <c r="I1335" s="98">
        <v>0</v>
      </c>
      <c r="J1335" s="98"/>
      <c r="L1335" s="93">
        <f t="shared" si="177"/>
        <v>0</v>
      </c>
      <c r="M1335" s="95" t="e">
        <f t="shared" ca="1" si="178"/>
        <v>#DIV/0!</v>
      </c>
      <c r="N1335" s="95">
        <f>IF(P1335="Hedge Fund",IF(A1335=Summary!$AD$3,M1335-E1335,M1335),IF(A1335=Summary!$AD$3,L1335-D1335,L1335))</f>
        <v>0</v>
      </c>
      <c r="O1335" s="95">
        <f t="shared" si="182"/>
        <v>0</v>
      </c>
      <c r="P1335" s="107" t="s">
        <v>155</v>
      </c>
      <c r="Q1335" s="107">
        <v>0</v>
      </c>
      <c r="R1335" s="107">
        <v>0</v>
      </c>
      <c r="S1335" s="107">
        <v>0</v>
      </c>
      <c r="T1335" s="107">
        <v>0</v>
      </c>
      <c r="U1335" s="107"/>
      <c r="V1335" s="107"/>
      <c r="W1335" s="107"/>
      <c r="X1335" s="107"/>
      <c r="Y1335" s="107"/>
      <c r="Z1335" s="107"/>
      <c r="AA1335" s="107"/>
      <c r="AB1335" s="107"/>
      <c r="AC1335" s="355"/>
      <c r="AD1335" s="355"/>
      <c r="AE1335" s="355"/>
      <c r="AF1335" s="94">
        <f t="shared" si="179"/>
        <v>42216</v>
      </c>
      <c r="AG1335" s="185">
        <f t="shared" si="183"/>
        <v>-2.8545118610066034E-3</v>
      </c>
      <c r="AH1335" s="339" t="str">
        <f>VLOOKUP(B1335,'MF PF'!A:B,2)</f>
        <v>FdMgt1</v>
      </c>
      <c r="AI1335" s="358">
        <f t="shared" si="180"/>
        <v>0</v>
      </c>
      <c r="AJ1335" s="94">
        <f t="shared" si="181"/>
        <v>42216</v>
      </c>
    </row>
    <row r="1336" spans="1:36" s="358" customFormat="1" ht="12.75" customHeight="1">
      <c r="A1336" s="94">
        <v>42247</v>
      </c>
      <c r="B1336" s="94" t="s">
        <v>136</v>
      </c>
      <c r="C1336" s="358" t="s">
        <v>315</v>
      </c>
      <c r="D1336" s="374">
        <v>500839.3</v>
      </c>
      <c r="E1336" s="95" t="e">
        <f t="shared" si="184"/>
        <v>#DIV/0!</v>
      </c>
      <c r="F1336" s="98">
        <v>5.798</v>
      </c>
      <c r="G1336" s="98">
        <v>0</v>
      </c>
      <c r="H1336" s="98">
        <v>0</v>
      </c>
      <c r="I1336" s="98">
        <v>0</v>
      </c>
      <c r="J1336" s="98"/>
      <c r="K1336" s="93"/>
      <c r="L1336" s="93">
        <f t="shared" si="177"/>
        <v>0</v>
      </c>
      <c r="M1336" s="95" t="e">
        <f t="shared" ca="1" si="178"/>
        <v>#DIV/0!</v>
      </c>
      <c r="N1336" s="95">
        <f>IF(P1336="Hedge Fund",IF(A1336=Summary!$AD$3,M1336-E1336,M1336),IF(A1336=Summary!$AD$3,L1336-D1336,L1336))</f>
        <v>0</v>
      </c>
      <c r="O1336" s="95">
        <f t="shared" si="182"/>
        <v>0</v>
      </c>
      <c r="P1336" s="107" t="s">
        <v>155</v>
      </c>
      <c r="Q1336" s="107">
        <v>0</v>
      </c>
      <c r="R1336" s="107">
        <v>0</v>
      </c>
      <c r="S1336" s="107">
        <v>0</v>
      </c>
      <c r="T1336" s="107">
        <v>0</v>
      </c>
      <c r="U1336" s="107"/>
      <c r="V1336" s="107"/>
      <c r="W1336" s="107"/>
      <c r="X1336" s="107"/>
      <c r="Y1336" s="107"/>
      <c r="Z1336" s="107"/>
      <c r="AA1336" s="107"/>
      <c r="AB1336" s="107"/>
      <c r="AF1336" s="94">
        <f t="shared" si="179"/>
        <v>42247</v>
      </c>
      <c r="AG1336" s="185">
        <f t="shared" si="183"/>
        <v>-4.2681297899059834E-3</v>
      </c>
      <c r="AH1336" s="339" t="str">
        <f>VLOOKUP(B1336,'MF PF'!A:B,2)</f>
        <v>FdMgt1</v>
      </c>
      <c r="AI1336" s="358">
        <f t="shared" si="180"/>
        <v>0</v>
      </c>
      <c r="AJ1336" s="94">
        <f t="shared" si="181"/>
        <v>42247</v>
      </c>
    </row>
    <row r="1337" spans="1:36" ht="12.75" customHeight="1">
      <c r="A1337" s="8">
        <v>42277</v>
      </c>
      <c r="B1337" s="94" t="s">
        <v>136</v>
      </c>
      <c r="C1337" s="6" t="s">
        <v>315</v>
      </c>
      <c r="D1337" s="374">
        <v>502121.09</v>
      </c>
      <c r="E1337" s="9" t="e">
        <f t="shared" si="184"/>
        <v>#DIV/0!</v>
      </c>
      <c r="F1337" s="98">
        <v>5.798</v>
      </c>
      <c r="G1337" s="98">
        <v>0</v>
      </c>
      <c r="H1337" s="98">
        <v>0</v>
      </c>
      <c r="I1337" s="98">
        <v>0</v>
      </c>
      <c r="J1337" s="98"/>
      <c r="L1337" s="93">
        <f t="shared" si="177"/>
        <v>0</v>
      </c>
      <c r="M1337" s="95" t="e">
        <f t="shared" ca="1" si="178"/>
        <v>#DIV/0!</v>
      </c>
      <c r="N1337" s="95">
        <f>IF(P1337="Hedge Fund",IF(A1337=Summary!$AD$3,M1337-E1337,M1337),IF(A1337=Summary!$AD$3,L1337-D1337,L1337))</f>
        <v>0</v>
      </c>
      <c r="O1337" s="95">
        <f t="shared" si="182"/>
        <v>0</v>
      </c>
      <c r="P1337" s="107" t="s">
        <v>155</v>
      </c>
      <c r="Q1337" s="107">
        <v>0</v>
      </c>
      <c r="R1337" s="107">
        <v>0</v>
      </c>
      <c r="S1337" s="107">
        <v>0</v>
      </c>
      <c r="T1337" s="107">
        <v>0</v>
      </c>
      <c r="U1337" s="107"/>
      <c r="V1337" s="107"/>
      <c r="W1337" s="107"/>
      <c r="X1337" s="107"/>
      <c r="Y1337" s="107"/>
      <c r="Z1337" s="107"/>
      <c r="AA1337" s="107"/>
      <c r="AB1337" s="107"/>
      <c r="AC1337" s="355"/>
      <c r="AD1337" s="355"/>
      <c r="AE1337" s="355"/>
      <c r="AF1337" s="94">
        <f t="shared" si="179"/>
        <v>42277</v>
      </c>
      <c r="AG1337" s="185">
        <f t="shared" si="183"/>
        <v>2.5592839859014394E-3</v>
      </c>
      <c r="AH1337" s="339" t="str">
        <f>VLOOKUP(B1337,'MF PF'!A:B,2)</f>
        <v>FdMgt1</v>
      </c>
      <c r="AI1337" s="358">
        <f t="shared" si="180"/>
        <v>0</v>
      </c>
      <c r="AJ1337" s="94">
        <f t="shared" si="181"/>
        <v>42277</v>
      </c>
    </row>
    <row r="1338" spans="1:36" ht="12.75" customHeight="1">
      <c r="A1338" s="94">
        <v>42307</v>
      </c>
      <c r="B1338" s="94" t="s">
        <v>136</v>
      </c>
      <c r="C1338" s="358" t="s">
        <v>315</v>
      </c>
      <c r="D1338" s="374">
        <v>500313.93999999994</v>
      </c>
      <c r="E1338" s="9" t="e">
        <f t="shared" si="184"/>
        <v>#DIV/0!</v>
      </c>
      <c r="F1338" s="98">
        <v>5.798</v>
      </c>
      <c r="G1338" s="98">
        <v>0</v>
      </c>
      <c r="H1338" s="98">
        <v>0</v>
      </c>
      <c r="I1338" s="98">
        <v>0</v>
      </c>
      <c r="J1338" s="98"/>
      <c r="L1338" s="93">
        <f t="shared" si="177"/>
        <v>0</v>
      </c>
      <c r="M1338" s="95" t="e">
        <f t="shared" ca="1" si="178"/>
        <v>#DIV/0!</v>
      </c>
      <c r="N1338" s="95">
        <f>IF(P1338="Hedge Fund",IF(A1338=Summary!$AD$3,M1338-E1338,M1338),IF(A1338=Summary!$AD$3,L1338-D1338,L1338))</f>
        <v>0</v>
      </c>
      <c r="O1338" s="95">
        <f t="shared" si="182"/>
        <v>0</v>
      </c>
      <c r="P1338" s="89" t="s">
        <v>155</v>
      </c>
      <c r="Q1338" s="107">
        <v>0</v>
      </c>
      <c r="R1338" s="107">
        <v>0</v>
      </c>
      <c r="S1338" s="107">
        <v>0</v>
      </c>
      <c r="T1338" s="107">
        <v>0</v>
      </c>
      <c r="U1338" s="107"/>
      <c r="V1338" s="107"/>
      <c r="W1338" s="107"/>
      <c r="X1338" s="107"/>
      <c r="Y1338" s="107"/>
      <c r="Z1338" s="107"/>
      <c r="AA1338" s="107"/>
      <c r="AB1338" s="107"/>
      <c r="AC1338" s="355"/>
      <c r="AD1338" s="355"/>
      <c r="AE1338" s="355"/>
      <c r="AF1338" s="94">
        <f t="shared" si="179"/>
        <v>42307</v>
      </c>
      <c r="AG1338" s="185">
        <f t="shared" si="183"/>
        <v>-3.5990322573387079E-3</v>
      </c>
      <c r="AH1338" s="339" t="str">
        <f>VLOOKUP(B1338,'MF PF'!A:B,2)</f>
        <v>FdMgt1</v>
      </c>
      <c r="AI1338" s="358">
        <f t="shared" si="180"/>
        <v>0</v>
      </c>
      <c r="AJ1338" s="94">
        <f t="shared" si="181"/>
        <v>42308</v>
      </c>
    </row>
    <row r="1339" spans="1:36" ht="12.75" customHeight="1">
      <c r="A1339" s="8">
        <v>42338</v>
      </c>
      <c r="B1339" s="94" t="s">
        <v>136</v>
      </c>
      <c r="C1339" s="358" t="s">
        <v>315</v>
      </c>
      <c r="D1339" s="374">
        <v>938848.33</v>
      </c>
      <c r="E1339" s="9" t="e">
        <f t="shared" si="184"/>
        <v>#DIV/0!</v>
      </c>
      <c r="F1339" s="98">
        <v>5.798</v>
      </c>
      <c r="G1339" s="98">
        <v>521819.99999999994</v>
      </c>
      <c r="H1339" s="98">
        <v>0</v>
      </c>
      <c r="I1339" s="98">
        <v>0</v>
      </c>
      <c r="J1339" s="98"/>
      <c r="L1339" s="93">
        <f t="shared" si="177"/>
        <v>521819.99999999994</v>
      </c>
      <c r="M1339" s="95" t="e">
        <f t="shared" ca="1" si="178"/>
        <v>#DIV/0!</v>
      </c>
      <c r="N1339" s="95">
        <f>IF(P1339="Hedge Fund",IF(A1339=Summary!$AD$3,M1339-E1339,M1339),IF(A1339=Summary!$AD$3,L1339-D1339,L1339))</f>
        <v>521819.99999999994</v>
      </c>
      <c r="O1339" s="95">
        <f t="shared" si="182"/>
        <v>521819.99999999994</v>
      </c>
      <c r="P1339" s="89" t="s">
        <v>155</v>
      </c>
      <c r="Q1339" s="107">
        <v>0</v>
      </c>
      <c r="R1339" s="107">
        <v>0</v>
      </c>
      <c r="S1339" s="107">
        <v>0</v>
      </c>
      <c r="T1339" s="107">
        <v>0</v>
      </c>
      <c r="U1339" s="107"/>
      <c r="V1339" s="107"/>
      <c r="W1339" s="107"/>
      <c r="X1339" s="107"/>
      <c r="Y1339" s="107"/>
      <c r="Z1339" s="107"/>
      <c r="AA1339" s="107"/>
      <c r="AB1339" s="107"/>
      <c r="AC1339" s="355"/>
      <c r="AD1339" s="355"/>
      <c r="AE1339" s="355"/>
      <c r="AF1339" s="94">
        <f t="shared" si="179"/>
        <v>42338</v>
      </c>
      <c r="AG1339" s="185">
        <f t="shared" si="183"/>
        <v>-0.16646669888910137</v>
      </c>
      <c r="AH1339" s="339" t="str">
        <f>VLOOKUP(B1339,'MF PF'!A:B,2)</f>
        <v>FdMgt1</v>
      </c>
      <c r="AI1339" s="358">
        <f t="shared" si="180"/>
        <v>0</v>
      </c>
      <c r="AJ1339" s="94">
        <f t="shared" si="181"/>
        <v>42338</v>
      </c>
    </row>
    <row r="1340" spans="1:36" ht="12.75" customHeight="1">
      <c r="A1340" s="8">
        <v>42369</v>
      </c>
      <c r="B1340" s="94" t="s">
        <v>136</v>
      </c>
      <c r="C1340" s="358" t="s">
        <v>315</v>
      </c>
      <c r="D1340" s="374">
        <v>1037218.1</v>
      </c>
      <c r="E1340" s="9" t="e">
        <f t="shared" si="184"/>
        <v>#DIV/0!</v>
      </c>
      <c r="F1340" s="98">
        <v>5.798</v>
      </c>
      <c r="G1340" s="98">
        <v>0</v>
      </c>
      <c r="H1340" s="98">
        <v>0</v>
      </c>
      <c r="I1340" s="98">
        <v>0</v>
      </c>
      <c r="J1340" s="98"/>
      <c r="L1340" s="93">
        <f t="shared" si="177"/>
        <v>0</v>
      </c>
      <c r="M1340" s="95" t="e">
        <f t="shared" ca="1" si="178"/>
        <v>#DIV/0!</v>
      </c>
      <c r="N1340" s="95">
        <f>IF(P1340="Hedge Fund",IF(A1340=Summary!$AD$3,M1340-E1340,M1340),IF(A1340=Summary!$AD$3,L1340-D1340,L1340))</f>
        <v>0</v>
      </c>
      <c r="O1340" s="95">
        <f t="shared" si="182"/>
        <v>0</v>
      </c>
      <c r="P1340" s="89" t="s">
        <v>155</v>
      </c>
      <c r="Q1340" s="107">
        <v>0</v>
      </c>
      <c r="R1340" s="107">
        <v>0</v>
      </c>
      <c r="S1340" s="107">
        <v>0</v>
      </c>
      <c r="T1340" s="107">
        <v>0</v>
      </c>
      <c r="U1340" s="107"/>
      <c r="V1340" s="107"/>
      <c r="W1340" s="107"/>
      <c r="X1340" s="107"/>
      <c r="Y1340" s="107"/>
      <c r="Z1340" s="107"/>
      <c r="AA1340" s="107"/>
      <c r="AB1340" s="107"/>
      <c r="AC1340" s="355"/>
      <c r="AD1340" s="355"/>
      <c r="AE1340" s="355"/>
      <c r="AF1340" s="94">
        <f t="shared" si="179"/>
        <v>42369</v>
      </c>
      <c r="AG1340" s="185">
        <f t="shared" si="183"/>
        <v>0.10477706233977124</v>
      </c>
      <c r="AH1340" s="339" t="str">
        <f>VLOOKUP(B1340,'MF PF'!A:B,2)</f>
        <v>FdMgt1</v>
      </c>
      <c r="AI1340" s="358">
        <f t="shared" si="180"/>
        <v>0</v>
      </c>
      <c r="AJ1340" s="94">
        <f t="shared" si="181"/>
        <v>42369</v>
      </c>
    </row>
    <row r="1341" spans="1:36" ht="12.75" customHeight="1">
      <c r="A1341" s="8">
        <v>42398</v>
      </c>
      <c r="B1341" s="94" t="s">
        <v>136</v>
      </c>
      <c r="C1341" s="358" t="s">
        <v>315</v>
      </c>
      <c r="D1341" s="374">
        <v>1030504.1</v>
      </c>
      <c r="E1341" s="9" t="e">
        <f t="shared" si="184"/>
        <v>#DIV/0!</v>
      </c>
      <c r="F1341" s="98">
        <v>5.798</v>
      </c>
      <c r="G1341" s="98">
        <v>0</v>
      </c>
      <c r="H1341" s="98">
        <v>0</v>
      </c>
      <c r="I1341" s="98">
        <v>0</v>
      </c>
      <c r="J1341" s="98"/>
      <c r="L1341" s="93">
        <f t="shared" si="177"/>
        <v>0</v>
      </c>
      <c r="M1341" s="95" t="e">
        <f t="shared" ca="1" si="178"/>
        <v>#DIV/0!</v>
      </c>
      <c r="N1341" s="95">
        <f>IF(P1341="Hedge Fund",IF(A1341=Summary!$AD$3,M1341-E1341,M1341),IF(A1341=Summary!$AD$3,L1341-D1341,L1341))</f>
        <v>0</v>
      </c>
      <c r="O1341" s="95">
        <f t="shared" si="182"/>
        <v>0</v>
      </c>
      <c r="P1341" s="89" t="s">
        <v>155</v>
      </c>
      <c r="Q1341" s="107">
        <v>0</v>
      </c>
      <c r="R1341" s="107">
        <v>0</v>
      </c>
      <c r="S1341" s="107">
        <v>0</v>
      </c>
      <c r="T1341" s="107">
        <v>0</v>
      </c>
      <c r="U1341" s="107"/>
      <c r="V1341" s="107"/>
      <c r="W1341" s="107"/>
      <c r="X1341" s="107"/>
      <c r="Y1341" s="107"/>
      <c r="Z1341" s="107"/>
      <c r="AA1341" s="107"/>
      <c r="AB1341" s="107"/>
      <c r="AC1341" s="355"/>
      <c r="AD1341" s="355"/>
      <c r="AE1341" s="355"/>
      <c r="AF1341" s="94">
        <f t="shared" si="179"/>
        <v>42398</v>
      </c>
      <c r="AG1341" s="185">
        <f t="shared" si="183"/>
        <v>-6.4730841083471269E-3</v>
      </c>
      <c r="AH1341" s="339" t="str">
        <f>VLOOKUP(B1341,'MF PF'!A:B,2)</f>
        <v>FdMgt1</v>
      </c>
      <c r="AI1341" s="358">
        <f t="shared" si="180"/>
        <v>0</v>
      </c>
      <c r="AJ1341" s="94">
        <f t="shared" si="181"/>
        <v>42400</v>
      </c>
    </row>
    <row r="1342" spans="1:36" ht="12.75" customHeight="1">
      <c r="A1342" s="8">
        <v>42429</v>
      </c>
      <c r="B1342" s="94" t="s">
        <v>136</v>
      </c>
      <c r="C1342" s="358" t="s">
        <v>315</v>
      </c>
      <c r="D1342" s="374">
        <v>2345408.2200000002</v>
      </c>
      <c r="E1342" s="9" t="e">
        <f t="shared" si="184"/>
        <v>#DIV/0!</v>
      </c>
      <c r="F1342" s="98">
        <v>5.798</v>
      </c>
      <c r="G1342" s="98">
        <v>1298752</v>
      </c>
      <c r="H1342" s="98">
        <v>0</v>
      </c>
      <c r="I1342" s="98">
        <v>0</v>
      </c>
      <c r="J1342" s="98"/>
      <c r="K1342" s="93"/>
      <c r="L1342" s="93">
        <f t="shared" si="177"/>
        <v>1298752</v>
      </c>
      <c r="M1342" s="95" t="e">
        <f t="shared" ca="1" si="178"/>
        <v>#DIV/0!</v>
      </c>
      <c r="N1342" s="95">
        <f>IF(P1342="Hedge Fund",IF(A1342=Summary!$AD$3,M1342-E1342,M1342),IF(A1342=Summary!$AD$3,L1342-D1342,L1342))</f>
        <v>1298752</v>
      </c>
      <c r="O1342" s="95">
        <f t="shared" si="182"/>
        <v>1298752</v>
      </c>
      <c r="P1342" s="107" t="s">
        <v>155</v>
      </c>
      <c r="Q1342" s="107">
        <v>0</v>
      </c>
      <c r="R1342" s="107">
        <v>0</v>
      </c>
      <c r="S1342" s="107">
        <v>0</v>
      </c>
      <c r="T1342" s="107">
        <v>0</v>
      </c>
      <c r="U1342" s="107"/>
      <c r="V1342" s="107"/>
      <c r="W1342" s="107"/>
      <c r="X1342" s="107"/>
      <c r="Y1342" s="107"/>
      <c r="Z1342" s="107"/>
      <c r="AA1342" s="107"/>
      <c r="AB1342" s="107"/>
      <c r="AC1342" s="355"/>
      <c r="AD1342" s="355"/>
      <c r="AE1342" s="355"/>
      <c r="AF1342" s="94">
        <f t="shared" si="179"/>
        <v>42429</v>
      </c>
      <c r="AG1342" s="185">
        <f t="shared" si="183"/>
        <v>1.5673998773998221E-2</v>
      </c>
      <c r="AH1342" s="339" t="str">
        <f>VLOOKUP(B1342,'MF PF'!A:B,2)</f>
        <v>FdMgt1</v>
      </c>
      <c r="AI1342" s="358">
        <f t="shared" si="180"/>
        <v>0</v>
      </c>
      <c r="AJ1342" s="94">
        <f t="shared" si="181"/>
        <v>42429</v>
      </c>
    </row>
    <row r="1343" spans="1:36" s="92" customFormat="1" ht="12.75" customHeight="1">
      <c r="A1343" s="94">
        <v>42460</v>
      </c>
      <c r="B1343" s="94" t="s">
        <v>136</v>
      </c>
      <c r="C1343" s="358" t="s">
        <v>315</v>
      </c>
      <c r="D1343" s="374">
        <v>2360166.64</v>
      </c>
      <c r="E1343" s="95" t="e">
        <f t="shared" si="184"/>
        <v>#DIV/0!</v>
      </c>
      <c r="F1343" s="98">
        <v>5.798</v>
      </c>
      <c r="G1343" s="98">
        <v>0</v>
      </c>
      <c r="H1343" s="98">
        <v>0</v>
      </c>
      <c r="I1343" s="98">
        <v>0</v>
      </c>
      <c r="J1343" s="98"/>
      <c r="K1343" s="93"/>
      <c r="L1343" s="93">
        <f t="shared" si="177"/>
        <v>0</v>
      </c>
      <c r="M1343" s="95" t="e">
        <f t="shared" ca="1" si="178"/>
        <v>#DIV/0!</v>
      </c>
      <c r="N1343" s="95">
        <f>IF(P1343="Hedge Fund",IF(A1343=Summary!$AD$3,M1343-E1343,M1343),IF(A1343=Summary!$AD$3,L1343-D1343,L1343))</f>
        <v>0</v>
      </c>
      <c r="O1343" s="95">
        <f t="shared" si="182"/>
        <v>0</v>
      </c>
      <c r="P1343" s="107" t="s">
        <v>155</v>
      </c>
      <c r="Q1343" s="107">
        <v>0</v>
      </c>
      <c r="R1343" s="107">
        <v>0</v>
      </c>
      <c r="S1343" s="107">
        <v>0</v>
      </c>
      <c r="T1343" s="107">
        <v>0</v>
      </c>
      <c r="U1343" s="107"/>
      <c r="V1343" s="107"/>
      <c r="W1343" s="107"/>
      <c r="X1343" s="107"/>
      <c r="Y1343" s="107"/>
      <c r="Z1343" s="107"/>
      <c r="AA1343" s="107"/>
      <c r="AB1343" s="107"/>
      <c r="AC1343" s="355"/>
      <c r="AD1343" s="355"/>
      <c r="AE1343" s="355"/>
      <c r="AF1343" s="94">
        <f t="shared" si="179"/>
        <v>42460</v>
      </c>
      <c r="AG1343" s="185">
        <f t="shared" si="183"/>
        <v>6.2924738960794535E-3</v>
      </c>
      <c r="AH1343" s="339" t="str">
        <f>VLOOKUP(B1343,'MF PF'!A:B,2)</f>
        <v>FdMgt1</v>
      </c>
      <c r="AI1343" s="358">
        <f t="shared" si="180"/>
        <v>0</v>
      </c>
      <c r="AJ1343" s="94">
        <f t="shared" si="181"/>
        <v>42460</v>
      </c>
    </row>
    <row r="1344" spans="1:36" ht="12.75" customHeight="1">
      <c r="A1344" s="8">
        <v>42489</v>
      </c>
      <c r="B1344" s="94" t="s">
        <v>136</v>
      </c>
      <c r="C1344" s="358" t="s">
        <v>315</v>
      </c>
      <c r="D1344" s="374">
        <v>3289877.32</v>
      </c>
      <c r="E1344" s="9" t="e">
        <f t="shared" si="184"/>
        <v>#DIV/0!</v>
      </c>
      <c r="F1344" s="98">
        <v>5.798</v>
      </c>
      <c r="G1344" s="98">
        <v>927680</v>
      </c>
      <c r="H1344" s="98">
        <v>0</v>
      </c>
      <c r="I1344" s="98">
        <v>0</v>
      </c>
      <c r="J1344" s="98"/>
      <c r="K1344" s="93"/>
      <c r="L1344" s="93">
        <f t="shared" si="177"/>
        <v>927680</v>
      </c>
      <c r="M1344" s="95" t="e">
        <f t="shared" ca="1" si="178"/>
        <v>#DIV/0!</v>
      </c>
      <c r="N1344" s="95">
        <f>IF(P1344="Hedge Fund",IF(A1344=Summary!$AD$3,M1344-E1344,M1344),IF(A1344=Summary!$AD$3,L1344-D1344,L1344))</f>
        <v>927680</v>
      </c>
      <c r="O1344" s="95">
        <f t="shared" si="182"/>
        <v>927680</v>
      </c>
      <c r="P1344" s="89" t="s">
        <v>155</v>
      </c>
      <c r="Q1344" s="107">
        <v>0</v>
      </c>
      <c r="R1344" s="107">
        <v>0</v>
      </c>
      <c r="S1344" s="107">
        <v>0</v>
      </c>
      <c r="T1344" s="107">
        <v>0</v>
      </c>
      <c r="U1344" s="107"/>
      <c r="V1344" s="107"/>
      <c r="W1344" s="107"/>
      <c r="X1344" s="107"/>
      <c r="Y1344" s="107"/>
      <c r="Z1344" s="107"/>
      <c r="AA1344" s="107"/>
      <c r="AB1344" s="107"/>
      <c r="AC1344" s="355"/>
      <c r="AD1344" s="355"/>
      <c r="AE1344" s="355"/>
      <c r="AF1344" s="94">
        <f t="shared" si="179"/>
        <v>42489</v>
      </c>
      <c r="AG1344" s="185">
        <f t="shared" si="183"/>
        <v>8.6039687434946721E-4</v>
      </c>
      <c r="AH1344" s="339" t="str">
        <f>VLOOKUP(B1344,'MF PF'!A:B,2)</f>
        <v>FdMgt1</v>
      </c>
      <c r="AI1344" s="358">
        <f t="shared" si="180"/>
        <v>0</v>
      </c>
      <c r="AJ1344" s="94">
        <f t="shared" si="181"/>
        <v>42490</v>
      </c>
    </row>
    <row r="1345" spans="1:36" ht="12.75" customHeight="1">
      <c r="A1345" s="8">
        <v>42521</v>
      </c>
      <c r="B1345" s="94" t="s">
        <v>136</v>
      </c>
      <c r="C1345" s="358" t="s">
        <v>315</v>
      </c>
      <c r="D1345" s="374">
        <v>3340819.11</v>
      </c>
      <c r="E1345" s="9" t="e">
        <f t="shared" si="184"/>
        <v>#DIV/0!</v>
      </c>
      <c r="F1345" s="98">
        <v>5.798</v>
      </c>
      <c r="G1345" s="98">
        <v>0</v>
      </c>
      <c r="H1345" s="98">
        <v>0</v>
      </c>
      <c r="I1345" s="98">
        <v>0</v>
      </c>
      <c r="J1345" s="98"/>
      <c r="L1345" s="93">
        <f t="shared" si="177"/>
        <v>0</v>
      </c>
      <c r="M1345" s="95" t="e">
        <f t="shared" ca="1" si="178"/>
        <v>#DIV/0!</v>
      </c>
      <c r="N1345" s="95">
        <f>IF(P1345="Hedge Fund",IF(A1345=Summary!$AD$3,M1345-E1345,M1345),IF(A1345=Summary!$AD$3,L1345-D1345,L1345))</f>
        <v>0</v>
      </c>
      <c r="O1345" s="95">
        <f t="shared" si="182"/>
        <v>0</v>
      </c>
      <c r="P1345" s="89" t="s">
        <v>155</v>
      </c>
      <c r="Q1345" s="107">
        <v>0</v>
      </c>
      <c r="R1345" s="107">
        <v>0</v>
      </c>
      <c r="S1345" s="107">
        <v>0</v>
      </c>
      <c r="T1345" s="107">
        <v>0</v>
      </c>
      <c r="U1345" s="107"/>
      <c r="V1345" s="107"/>
      <c r="W1345" s="107"/>
      <c r="X1345" s="107"/>
      <c r="Y1345" s="107"/>
      <c r="Z1345" s="107"/>
      <c r="AA1345" s="107"/>
      <c r="AB1345" s="107"/>
      <c r="AC1345" s="355"/>
      <c r="AD1345" s="355"/>
      <c r="AE1345" s="355"/>
      <c r="AF1345" s="94">
        <f t="shared" si="179"/>
        <v>42521</v>
      </c>
      <c r="AG1345" s="185">
        <f t="shared" si="183"/>
        <v>1.5484404141854258E-2</v>
      </c>
      <c r="AH1345" s="339" t="str">
        <f>VLOOKUP(B1345,'MF PF'!A:B,2)</f>
        <v>FdMgt1</v>
      </c>
      <c r="AI1345" s="358">
        <f t="shared" si="180"/>
        <v>0</v>
      </c>
      <c r="AJ1345" s="94">
        <f t="shared" si="181"/>
        <v>42521</v>
      </c>
    </row>
    <row r="1346" spans="1:36" ht="12.75" customHeight="1">
      <c r="A1346" s="8">
        <v>42551</v>
      </c>
      <c r="B1346" s="94" t="s">
        <v>136</v>
      </c>
      <c r="C1346" s="6" t="s">
        <v>315</v>
      </c>
      <c r="D1346" s="374">
        <v>3344890.68</v>
      </c>
      <c r="E1346" s="95" t="e">
        <f t="shared" si="184"/>
        <v>#DIV/0!</v>
      </c>
      <c r="F1346" s="98">
        <v>5.798</v>
      </c>
      <c r="G1346" s="98">
        <v>0</v>
      </c>
      <c r="H1346" s="98">
        <v>0</v>
      </c>
      <c r="I1346" s="98">
        <v>0</v>
      </c>
      <c r="J1346" s="98"/>
      <c r="K1346" s="93"/>
      <c r="L1346" s="93">
        <f t="shared" si="177"/>
        <v>0</v>
      </c>
      <c r="M1346" s="95" t="e">
        <f t="shared" ca="1" si="178"/>
        <v>#DIV/0!</v>
      </c>
      <c r="N1346" s="95">
        <f>IF(P1346="Hedge Fund",IF(A1346=Summary!$AD$3,M1346-E1346,M1346),IF(A1346=Summary!$AD$3,L1346-D1346,L1346))</f>
        <v>0</v>
      </c>
      <c r="O1346" s="95">
        <f t="shared" si="182"/>
        <v>0</v>
      </c>
      <c r="P1346" s="107" t="s">
        <v>155</v>
      </c>
      <c r="Q1346" s="107">
        <v>0</v>
      </c>
      <c r="R1346" s="107">
        <v>0</v>
      </c>
      <c r="S1346" s="107">
        <v>0</v>
      </c>
      <c r="T1346" s="107">
        <v>0</v>
      </c>
      <c r="U1346" s="107"/>
      <c r="V1346" s="107"/>
      <c r="W1346" s="107"/>
      <c r="X1346" s="107"/>
      <c r="Y1346" s="107"/>
      <c r="Z1346" s="107"/>
      <c r="AA1346" s="107"/>
      <c r="AB1346" s="107"/>
      <c r="AC1346" s="355"/>
      <c r="AD1346" s="355"/>
      <c r="AE1346" s="355"/>
      <c r="AF1346" s="94">
        <f t="shared" si="179"/>
        <v>42551</v>
      </c>
      <c r="AG1346" s="185">
        <f t="shared" si="183"/>
        <v>1.2187340487286313E-3</v>
      </c>
      <c r="AH1346" s="339" t="str">
        <f>VLOOKUP(B1346,'MF PF'!A:B,2)</f>
        <v>FdMgt1</v>
      </c>
      <c r="AI1346" s="358">
        <f t="shared" si="180"/>
        <v>0</v>
      </c>
      <c r="AJ1346" s="94">
        <f t="shared" si="181"/>
        <v>42551</v>
      </c>
    </row>
    <row r="1347" spans="1:36" ht="12.75" customHeight="1">
      <c r="A1347" s="8">
        <v>42580</v>
      </c>
      <c r="B1347" s="94" t="s">
        <v>136</v>
      </c>
      <c r="C1347" s="6" t="s">
        <v>315</v>
      </c>
      <c r="D1347" s="374">
        <v>3322915.34</v>
      </c>
      <c r="E1347" s="9" t="e">
        <f t="shared" si="184"/>
        <v>#DIV/0!</v>
      </c>
      <c r="F1347" s="98">
        <v>5.798</v>
      </c>
      <c r="G1347" s="98">
        <v>0</v>
      </c>
      <c r="H1347" s="98">
        <v>0</v>
      </c>
      <c r="I1347" s="98">
        <v>0</v>
      </c>
      <c r="J1347" s="98"/>
      <c r="K1347" s="93"/>
      <c r="L1347" s="93">
        <f t="shared" ref="L1347:L1410" si="185">G1347+H1347+I1347</f>
        <v>0</v>
      </c>
      <c r="M1347" s="95" t="e">
        <f t="shared" ref="M1347:M1410" ca="1" si="186">IF(A1347&gt;INDIRECT("A"&amp;ROW()-1),I1347/K1347,E1347)</f>
        <v>#DIV/0!</v>
      </c>
      <c r="N1347" s="95">
        <f>IF(P1347="Hedge Fund",IF(A1347=Summary!$AD$3,M1347-E1347,M1347),IF(A1347=Summary!$AD$3,L1347-D1347,L1347))</f>
        <v>0</v>
      </c>
      <c r="O1347" s="95">
        <f t="shared" si="182"/>
        <v>0</v>
      </c>
      <c r="P1347" s="107" t="s">
        <v>155</v>
      </c>
      <c r="Q1347" s="107">
        <v>0</v>
      </c>
      <c r="R1347" s="107">
        <v>0</v>
      </c>
      <c r="S1347" s="107">
        <v>0</v>
      </c>
      <c r="T1347" s="107">
        <v>0</v>
      </c>
      <c r="U1347" s="107"/>
      <c r="V1347" s="107"/>
      <c r="W1347" s="107"/>
      <c r="X1347" s="107"/>
      <c r="Y1347" s="107"/>
      <c r="Z1347" s="107"/>
      <c r="AA1347" s="107"/>
      <c r="AB1347" s="107"/>
      <c r="AC1347" s="355"/>
      <c r="AD1347" s="355"/>
      <c r="AE1347" s="355"/>
      <c r="AF1347" s="94">
        <f t="shared" ref="AF1347:AF1410" si="187">A1347</f>
        <v>42580</v>
      </c>
      <c r="AG1347" s="185">
        <f t="shared" si="183"/>
        <v>-6.5698230831270354E-3</v>
      </c>
      <c r="AH1347" s="339" t="str">
        <f>VLOOKUP(B1347,'MF PF'!A:B,2)</f>
        <v>FdMgt1</v>
      </c>
      <c r="AI1347" s="358">
        <f t="shared" ref="AI1347:AI1410" si="188">AF1347-A1347</f>
        <v>0</v>
      </c>
      <c r="AJ1347" s="94">
        <f t="shared" ref="AJ1347:AJ1410" si="189">EOMONTH(A1347,0)</f>
        <v>42582</v>
      </c>
    </row>
    <row r="1348" spans="1:36" ht="12.75" customHeight="1">
      <c r="A1348" s="94">
        <v>42613</v>
      </c>
      <c r="B1348" s="94" t="s">
        <v>136</v>
      </c>
      <c r="C1348" s="358" t="s">
        <v>315</v>
      </c>
      <c r="D1348" s="374">
        <v>3324291.39</v>
      </c>
      <c r="E1348" s="9" t="e">
        <f t="shared" si="184"/>
        <v>#DIV/0!</v>
      </c>
      <c r="F1348" s="98">
        <v>5.798</v>
      </c>
      <c r="G1348" s="98">
        <v>0</v>
      </c>
      <c r="H1348" s="98">
        <v>0</v>
      </c>
      <c r="I1348" s="98">
        <v>0</v>
      </c>
      <c r="J1348" s="98"/>
      <c r="L1348" s="93">
        <f t="shared" si="185"/>
        <v>0</v>
      </c>
      <c r="M1348" s="95" t="e">
        <f t="shared" ca="1" si="186"/>
        <v>#DIV/0!</v>
      </c>
      <c r="N1348" s="95">
        <f>IF(P1348="Hedge Fund",IF(A1348=Summary!$AD$3,M1348-E1348,M1348),IF(A1348=Summary!$AD$3,L1348-D1348,L1348))</f>
        <v>0</v>
      </c>
      <c r="O1348" s="95">
        <f t="shared" si="182"/>
        <v>0</v>
      </c>
      <c r="P1348" s="89" t="s">
        <v>155</v>
      </c>
      <c r="Q1348" s="107">
        <v>0</v>
      </c>
      <c r="R1348" s="107">
        <v>0</v>
      </c>
      <c r="S1348" s="107">
        <v>0</v>
      </c>
      <c r="T1348" s="107">
        <v>0</v>
      </c>
      <c r="U1348" s="107"/>
      <c r="V1348" s="107"/>
      <c r="W1348" s="107"/>
      <c r="X1348" s="107"/>
      <c r="Y1348" s="107"/>
      <c r="Z1348" s="107"/>
      <c r="AA1348" s="107"/>
      <c r="AB1348" s="107"/>
      <c r="AC1348" s="355"/>
      <c r="AD1348" s="355"/>
      <c r="AE1348" s="355"/>
      <c r="AF1348" s="94">
        <f t="shared" si="187"/>
        <v>42613</v>
      </c>
      <c r="AG1348" s="185">
        <f t="shared" si="183"/>
        <v>4.1410925624130179E-4</v>
      </c>
      <c r="AH1348" s="339" t="str">
        <f>VLOOKUP(B1348,'MF PF'!A:B,2)</f>
        <v>FdMgt1</v>
      </c>
      <c r="AI1348" s="358">
        <f t="shared" si="188"/>
        <v>0</v>
      </c>
      <c r="AJ1348" s="94">
        <f t="shared" si="189"/>
        <v>42613</v>
      </c>
    </row>
    <row r="1349" spans="1:36" ht="12.75" customHeight="1">
      <c r="A1349" s="94">
        <v>42643</v>
      </c>
      <c r="B1349" s="94" t="s">
        <v>136</v>
      </c>
      <c r="C1349" s="358" t="s">
        <v>315</v>
      </c>
      <c r="D1349" s="374">
        <v>3483042.17</v>
      </c>
      <c r="E1349" s="95" t="e">
        <f t="shared" si="184"/>
        <v>#DIV/0!</v>
      </c>
      <c r="F1349" s="98">
        <v>5.798</v>
      </c>
      <c r="G1349" s="98">
        <v>0</v>
      </c>
      <c r="H1349" s="98">
        <v>-4.6566128730773926E-10</v>
      </c>
      <c r="I1349" s="98">
        <v>0</v>
      </c>
      <c r="J1349" s="98"/>
      <c r="K1349" s="93"/>
      <c r="L1349" s="93">
        <f t="shared" si="185"/>
        <v>-4.6566128730773926E-10</v>
      </c>
      <c r="M1349" s="95" t="e">
        <f t="shared" ca="1" si="186"/>
        <v>#DIV/0!</v>
      </c>
      <c r="N1349" s="95">
        <f>IF(P1349="Hedge Fund",IF(A1349=Summary!$AD$3,M1349-E1349,M1349),IF(A1349=Summary!$AD$3,L1349-D1349,L1349))</f>
        <v>-4.6566128730773926E-10</v>
      </c>
      <c r="O1349" s="95">
        <f t="shared" si="182"/>
        <v>-4.6566128730773926E-10</v>
      </c>
      <c r="P1349" s="89" t="s">
        <v>155</v>
      </c>
      <c r="Q1349" s="107">
        <v>0</v>
      </c>
      <c r="R1349" s="107">
        <v>0</v>
      </c>
      <c r="S1349" s="107">
        <v>0</v>
      </c>
      <c r="T1349" s="107">
        <v>0</v>
      </c>
      <c r="U1349" s="107"/>
      <c r="V1349" s="107"/>
      <c r="W1349" s="107"/>
      <c r="X1349" s="107"/>
      <c r="Y1349" s="107"/>
      <c r="Z1349" s="107"/>
      <c r="AA1349" s="107"/>
      <c r="AB1349" s="107"/>
      <c r="AC1349" s="355"/>
      <c r="AD1349" s="355"/>
      <c r="AE1349" s="355"/>
      <c r="AF1349" s="94">
        <f t="shared" si="187"/>
        <v>42643</v>
      </c>
      <c r="AG1349" s="185">
        <f t="shared" si="183"/>
        <v>4.7754772784825095E-2</v>
      </c>
      <c r="AH1349" s="339" t="str">
        <f>VLOOKUP(B1349,'MF PF'!A:B,2)</f>
        <v>FdMgt1</v>
      </c>
      <c r="AI1349" s="358">
        <f t="shared" si="188"/>
        <v>0</v>
      </c>
      <c r="AJ1349" s="94">
        <f t="shared" si="189"/>
        <v>42643</v>
      </c>
    </row>
    <row r="1350" spans="1:36" ht="12.75" customHeight="1">
      <c r="A1350" s="94">
        <v>42674</v>
      </c>
      <c r="B1350" s="94" t="s">
        <v>136</v>
      </c>
      <c r="C1350" s="358" t="s">
        <v>315</v>
      </c>
      <c r="D1350" s="374">
        <v>3594157.24</v>
      </c>
      <c r="E1350" s="9" t="e">
        <f t="shared" si="184"/>
        <v>#DIV/0!</v>
      </c>
      <c r="F1350" s="98">
        <v>5.798</v>
      </c>
      <c r="G1350" s="98">
        <v>0</v>
      </c>
      <c r="H1350" s="98">
        <v>0</v>
      </c>
      <c r="I1350" s="98">
        <v>0</v>
      </c>
      <c r="J1350" s="98"/>
      <c r="K1350" s="93"/>
      <c r="L1350" s="93">
        <f t="shared" si="185"/>
        <v>0</v>
      </c>
      <c r="M1350" s="95" t="e">
        <f t="shared" ca="1" si="186"/>
        <v>#DIV/0!</v>
      </c>
      <c r="N1350" s="95">
        <f>IF(P1350="Hedge Fund",IF(A1350=Summary!$AD$3,M1350-E1350,M1350),IF(A1350=Summary!$AD$3,L1350-D1350,L1350))</f>
        <v>0</v>
      </c>
      <c r="O1350" s="95">
        <f t="shared" si="182"/>
        <v>0</v>
      </c>
      <c r="P1350" s="89" t="s">
        <v>155</v>
      </c>
      <c r="Q1350" s="107">
        <v>0</v>
      </c>
      <c r="R1350" s="107">
        <v>0</v>
      </c>
      <c r="S1350" s="107">
        <v>0</v>
      </c>
      <c r="T1350" s="107">
        <v>0</v>
      </c>
      <c r="U1350" s="107"/>
      <c r="V1350" s="107"/>
      <c r="W1350" s="107"/>
      <c r="X1350" s="107"/>
      <c r="Y1350" s="107"/>
      <c r="Z1350" s="107"/>
      <c r="AA1350" s="107"/>
      <c r="AB1350" s="107"/>
      <c r="AC1350" s="355"/>
      <c r="AD1350" s="355"/>
      <c r="AE1350" s="355"/>
      <c r="AF1350" s="94">
        <f t="shared" si="187"/>
        <v>42674</v>
      </c>
      <c r="AG1350" s="185">
        <f t="shared" si="183"/>
        <v>3.1901729745637875E-2</v>
      </c>
      <c r="AH1350" s="339" t="str">
        <f>VLOOKUP(B1350,'MF PF'!A:B,2)</f>
        <v>FdMgt1</v>
      </c>
      <c r="AI1350" s="358">
        <f t="shared" si="188"/>
        <v>0</v>
      </c>
      <c r="AJ1350" s="94">
        <f t="shared" si="189"/>
        <v>42674</v>
      </c>
    </row>
    <row r="1351" spans="1:36" ht="12.75" customHeight="1">
      <c r="A1351" s="94">
        <v>42704</v>
      </c>
      <c r="B1351" s="94" t="s">
        <v>136</v>
      </c>
      <c r="C1351" s="358" t="s">
        <v>315</v>
      </c>
      <c r="D1351" s="374">
        <v>3634138.62</v>
      </c>
      <c r="E1351" s="9" t="e">
        <f t="shared" si="184"/>
        <v>#DIV/0!</v>
      </c>
      <c r="F1351" s="98">
        <v>5.798</v>
      </c>
      <c r="G1351" s="98">
        <v>0</v>
      </c>
      <c r="H1351" s="98">
        <v>-4.6566128730773926E-10</v>
      </c>
      <c r="I1351" s="98">
        <v>0</v>
      </c>
      <c r="J1351" s="98"/>
      <c r="K1351" s="93"/>
      <c r="L1351" s="93">
        <f t="shared" si="185"/>
        <v>-4.6566128730773926E-10</v>
      </c>
      <c r="M1351" s="95" t="e">
        <f t="shared" ca="1" si="186"/>
        <v>#DIV/0!</v>
      </c>
      <c r="N1351" s="95">
        <f>IF(P1351="Hedge Fund",IF(A1351=Summary!$AD$3,M1351-E1351,M1351),IF(A1351=Summary!$AD$3,L1351-D1351,L1351))</f>
        <v>-4.6566128730773926E-10</v>
      </c>
      <c r="O1351" s="95">
        <f t="shared" si="182"/>
        <v>-4.6566128730773926E-10</v>
      </c>
      <c r="P1351" s="89" t="s">
        <v>155</v>
      </c>
      <c r="Q1351" s="107">
        <v>0</v>
      </c>
      <c r="R1351" s="107">
        <v>0</v>
      </c>
      <c r="S1351" s="107">
        <v>0</v>
      </c>
      <c r="T1351" s="107">
        <v>0</v>
      </c>
      <c r="U1351" s="107"/>
      <c r="V1351" s="107"/>
      <c r="W1351" s="107"/>
      <c r="X1351" s="107"/>
      <c r="Y1351" s="107"/>
      <c r="Z1351" s="107"/>
      <c r="AA1351" s="107"/>
      <c r="AB1351" s="107"/>
      <c r="AC1351" s="355"/>
      <c r="AD1351" s="355"/>
      <c r="AE1351" s="355"/>
      <c r="AF1351" s="94">
        <f t="shared" si="187"/>
        <v>42704</v>
      </c>
      <c r="AG1351" s="185">
        <f t="shared" si="183"/>
        <v>1.1123993005937693E-2</v>
      </c>
      <c r="AH1351" s="339" t="str">
        <f>VLOOKUP(B1351,'MF PF'!A:B,2)</f>
        <v>FdMgt1</v>
      </c>
      <c r="AI1351" s="358">
        <f t="shared" si="188"/>
        <v>0</v>
      </c>
      <c r="AJ1351" s="94">
        <f t="shared" si="189"/>
        <v>42704</v>
      </c>
    </row>
    <row r="1352" spans="1:36" ht="12.75" customHeight="1">
      <c r="A1352" s="8">
        <v>42734</v>
      </c>
      <c r="B1352" s="94" t="s">
        <v>136</v>
      </c>
      <c r="C1352" s="6" t="s">
        <v>315</v>
      </c>
      <c r="D1352" s="374">
        <v>6174599.0599999996</v>
      </c>
      <c r="E1352" s="95" t="e">
        <f t="shared" si="184"/>
        <v>#DIV/0!</v>
      </c>
      <c r="F1352" s="98">
        <v>5.798</v>
      </c>
      <c r="G1352" s="98">
        <v>2545322</v>
      </c>
      <c r="H1352" s="98">
        <v>0</v>
      </c>
      <c r="I1352" s="98">
        <v>0</v>
      </c>
      <c r="J1352" s="98"/>
      <c r="K1352" s="93"/>
      <c r="L1352" s="93">
        <f t="shared" si="185"/>
        <v>2545322</v>
      </c>
      <c r="M1352" s="95" t="e">
        <f t="shared" ca="1" si="186"/>
        <v>#DIV/0!</v>
      </c>
      <c r="N1352" s="95">
        <f>IF(P1352="Hedge Fund",IF(A1352=Summary!$AD$3,M1352-E1352,M1352),IF(A1352=Summary!$AD$3,L1352-D1352,L1352))</f>
        <v>2545322</v>
      </c>
      <c r="O1352" s="95">
        <f t="shared" si="182"/>
        <v>2545322</v>
      </c>
      <c r="P1352" s="107" t="s">
        <v>155</v>
      </c>
      <c r="Q1352" s="107">
        <v>0</v>
      </c>
      <c r="R1352" s="107">
        <v>0</v>
      </c>
      <c r="S1352" s="107">
        <v>0</v>
      </c>
      <c r="T1352" s="107">
        <v>0</v>
      </c>
      <c r="U1352" s="107"/>
      <c r="V1352" s="107"/>
      <c r="W1352" s="107"/>
      <c r="X1352" s="107"/>
      <c r="Y1352" s="107"/>
      <c r="Z1352" s="107"/>
      <c r="AA1352" s="107"/>
      <c r="AB1352" s="107"/>
      <c r="AC1352" s="355"/>
      <c r="AD1352" s="355"/>
      <c r="AE1352" s="355"/>
      <c r="AF1352" s="94">
        <f t="shared" si="187"/>
        <v>42734</v>
      </c>
      <c r="AG1352" s="185">
        <f t="shared" si="183"/>
        <v>-1.3377475402962524E-3</v>
      </c>
      <c r="AH1352" s="339" t="str">
        <f>VLOOKUP(B1352,'MF PF'!A:B,2)</f>
        <v>FdMgt1</v>
      </c>
      <c r="AI1352" s="358">
        <f t="shared" si="188"/>
        <v>0</v>
      </c>
      <c r="AJ1352" s="94">
        <f t="shared" si="189"/>
        <v>42735</v>
      </c>
    </row>
    <row r="1353" spans="1:36" ht="12.75" customHeight="1">
      <c r="A1353" s="8">
        <v>42762</v>
      </c>
      <c r="B1353" s="94" t="s">
        <v>136</v>
      </c>
      <c r="C1353" s="92" t="s">
        <v>315</v>
      </c>
      <c r="D1353" s="374">
        <v>6248850.79</v>
      </c>
      <c r="E1353" s="9" t="e">
        <f t="shared" si="184"/>
        <v>#DIV/0!</v>
      </c>
      <c r="F1353" s="98">
        <v>5.798</v>
      </c>
      <c r="G1353" s="98">
        <v>0</v>
      </c>
      <c r="H1353" s="98">
        <v>0</v>
      </c>
      <c r="I1353" s="98">
        <v>0</v>
      </c>
      <c r="J1353" s="98"/>
      <c r="K1353" s="93"/>
      <c r="L1353" s="93">
        <f t="shared" si="185"/>
        <v>0</v>
      </c>
      <c r="M1353" s="95" t="e">
        <f t="shared" ca="1" si="186"/>
        <v>#DIV/0!</v>
      </c>
      <c r="N1353" s="95">
        <f>IF(P1353="Hedge Fund",IF(A1353=Summary!$AD$3,M1353-E1353,M1353),IF(A1353=Summary!$AD$3,L1353-D1353,L1353))</f>
        <v>0</v>
      </c>
      <c r="O1353" s="95">
        <f t="shared" si="182"/>
        <v>0</v>
      </c>
      <c r="P1353" s="89" t="s">
        <v>155</v>
      </c>
      <c r="Q1353" s="107">
        <v>0</v>
      </c>
      <c r="R1353" s="107">
        <v>0</v>
      </c>
      <c r="S1353" s="107">
        <v>0</v>
      </c>
      <c r="T1353" s="107">
        <v>0</v>
      </c>
      <c r="U1353" s="107"/>
      <c r="V1353" s="107"/>
      <c r="W1353" s="107"/>
      <c r="X1353" s="107"/>
      <c r="Y1353" s="107"/>
      <c r="Z1353" s="107"/>
      <c r="AA1353" s="107"/>
      <c r="AB1353" s="107"/>
      <c r="AC1353" s="355"/>
      <c r="AD1353" s="355"/>
      <c r="AE1353" s="355"/>
      <c r="AF1353" s="94">
        <f t="shared" si="187"/>
        <v>42762</v>
      </c>
      <c r="AG1353" s="185">
        <f t="shared" si="183"/>
        <v>1.2025352460699024E-2</v>
      </c>
      <c r="AH1353" s="339" t="str">
        <f>VLOOKUP(B1353,'MF PF'!A:B,2)</f>
        <v>FdMgt1</v>
      </c>
      <c r="AI1353" s="358">
        <f t="shared" si="188"/>
        <v>0</v>
      </c>
      <c r="AJ1353" s="94">
        <f t="shared" si="189"/>
        <v>42766</v>
      </c>
    </row>
    <row r="1354" spans="1:36" ht="12.75" customHeight="1">
      <c r="A1354" s="94">
        <v>42794</v>
      </c>
      <c r="B1354" s="94" t="s">
        <v>136</v>
      </c>
      <c r="C1354" s="358" t="s">
        <v>315</v>
      </c>
      <c r="D1354" s="374">
        <v>6385129.0300000003</v>
      </c>
      <c r="E1354" s="9" t="e">
        <f t="shared" si="184"/>
        <v>#DIV/0!</v>
      </c>
      <c r="F1354" s="98">
        <v>5.798</v>
      </c>
      <c r="G1354" s="98">
        <v>0</v>
      </c>
      <c r="H1354" s="98">
        <v>0</v>
      </c>
      <c r="I1354" s="98">
        <v>0</v>
      </c>
      <c r="J1354" s="98"/>
      <c r="L1354" s="93">
        <f t="shared" si="185"/>
        <v>0</v>
      </c>
      <c r="M1354" s="95" t="e">
        <f t="shared" ca="1" si="186"/>
        <v>#DIV/0!</v>
      </c>
      <c r="N1354" s="95">
        <f>IF(P1354="Hedge Fund",IF(A1354=Summary!$AD$3,M1354-E1354,M1354),IF(A1354=Summary!$AD$3,L1354-D1354,L1354))</f>
        <v>0</v>
      </c>
      <c r="O1354" s="95">
        <f t="shared" si="182"/>
        <v>0</v>
      </c>
      <c r="P1354" s="89" t="s">
        <v>155</v>
      </c>
      <c r="Q1354" s="107">
        <v>0</v>
      </c>
      <c r="R1354" s="107">
        <v>0</v>
      </c>
      <c r="S1354" s="107">
        <v>0</v>
      </c>
      <c r="T1354" s="107">
        <v>0</v>
      </c>
      <c r="U1354" s="107"/>
      <c r="V1354" s="107"/>
      <c r="W1354" s="107"/>
      <c r="X1354" s="107"/>
      <c r="Y1354" s="107"/>
      <c r="Z1354" s="107"/>
      <c r="AA1354" s="107"/>
      <c r="AB1354" s="107"/>
      <c r="AC1354" s="355"/>
      <c r="AD1354" s="355"/>
      <c r="AE1354" s="355"/>
      <c r="AF1354" s="94">
        <f t="shared" si="187"/>
        <v>42794</v>
      </c>
      <c r="AG1354" s="185">
        <f t="shared" si="183"/>
        <v>2.1808528412629924E-2</v>
      </c>
      <c r="AH1354" s="339" t="str">
        <f>VLOOKUP(B1354,'MF PF'!A:B,2)</f>
        <v>FdMgt1</v>
      </c>
      <c r="AI1354" s="358">
        <f t="shared" si="188"/>
        <v>0</v>
      </c>
      <c r="AJ1354" s="94">
        <f t="shared" si="189"/>
        <v>42794</v>
      </c>
    </row>
    <row r="1355" spans="1:36" ht="12.75" customHeight="1">
      <c r="A1355" s="94">
        <v>42825</v>
      </c>
      <c r="B1355" s="94" t="s">
        <v>136</v>
      </c>
      <c r="C1355" s="358" t="s">
        <v>315</v>
      </c>
      <c r="D1355" s="374">
        <v>6370744.6699999999</v>
      </c>
      <c r="E1355" s="9" t="e">
        <f t="shared" si="184"/>
        <v>#DIV/0!</v>
      </c>
      <c r="F1355" s="98">
        <v>5.798</v>
      </c>
      <c r="G1355" s="98">
        <v>0</v>
      </c>
      <c r="H1355" s="98">
        <v>0</v>
      </c>
      <c r="I1355" s="98">
        <v>0</v>
      </c>
      <c r="J1355" s="98"/>
      <c r="L1355" s="93">
        <f t="shared" si="185"/>
        <v>0</v>
      </c>
      <c r="M1355" s="95" t="e">
        <f t="shared" ca="1" si="186"/>
        <v>#DIV/0!</v>
      </c>
      <c r="N1355" s="95">
        <f>IF(P1355="Hedge Fund",IF(A1355=Summary!$AD$3,M1355-E1355,M1355),IF(A1355=Summary!$AD$3,L1355-D1355,L1355))</f>
        <v>0</v>
      </c>
      <c r="O1355" s="95">
        <f t="shared" si="182"/>
        <v>0</v>
      </c>
      <c r="P1355" s="89" t="s">
        <v>155</v>
      </c>
      <c r="Q1355" s="107">
        <v>0</v>
      </c>
      <c r="R1355" s="107">
        <v>0</v>
      </c>
      <c r="S1355" s="107">
        <v>0</v>
      </c>
      <c r="T1355" s="107">
        <v>0</v>
      </c>
      <c r="U1355" s="107"/>
      <c r="V1355" s="107"/>
      <c r="W1355" s="107"/>
      <c r="X1355" s="107"/>
      <c r="Y1355" s="107"/>
      <c r="Z1355" s="107"/>
      <c r="AA1355" s="107"/>
      <c r="AB1355" s="107"/>
      <c r="AC1355" s="355"/>
      <c r="AD1355" s="355"/>
      <c r="AE1355" s="355"/>
      <c r="AF1355" s="94">
        <f t="shared" si="187"/>
        <v>42825</v>
      </c>
      <c r="AG1355" s="185">
        <f t="shared" si="183"/>
        <v>-2.2527908100864469E-3</v>
      </c>
      <c r="AH1355" s="339" t="str">
        <f>VLOOKUP(B1355,'MF PF'!A:B,2)</f>
        <v>FdMgt1</v>
      </c>
      <c r="AI1355" s="358">
        <f t="shared" si="188"/>
        <v>0</v>
      </c>
      <c r="AJ1355" s="94">
        <f t="shared" si="189"/>
        <v>42825</v>
      </c>
    </row>
    <row r="1356" spans="1:36" ht="12.75" customHeight="1">
      <c r="A1356" s="94">
        <v>42853</v>
      </c>
      <c r="B1356" s="94" t="s">
        <v>136</v>
      </c>
      <c r="C1356" s="358" t="s">
        <v>315</v>
      </c>
      <c r="D1356" s="374">
        <v>6393070.2000000002</v>
      </c>
      <c r="E1356" s="9" t="e">
        <f t="shared" si="184"/>
        <v>#DIV/0!</v>
      </c>
      <c r="F1356" s="98">
        <v>5.798</v>
      </c>
      <c r="G1356" s="98">
        <v>0</v>
      </c>
      <c r="H1356" s="98">
        <v>0</v>
      </c>
      <c r="I1356" s="98">
        <v>0</v>
      </c>
      <c r="J1356" s="98"/>
      <c r="L1356" s="93">
        <f t="shared" si="185"/>
        <v>0</v>
      </c>
      <c r="M1356" s="95" t="e">
        <f t="shared" ca="1" si="186"/>
        <v>#DIV/0!</v>
      </c>
      <c r="N1356" s="95">
        <f>IF(P1356="Hedge Fund",IF(A1356=Summary!$AD$3,M1356-E1356,M1356),IF(A1356=Summary!$AD$3,L1356-D1356,L1356))</f>
        <v>0</v>
      </c>
      <c r="O1356" s="95">
        <f t="shared" si="182"/>
        <v>0</v>
      </c>
      <c r="P1356" s="89" t="s">
        <v>155</v>
      </c>
      <c r="Q1356" s="107">
        <v>0</v>
      </c>
      <c r="R1356" s="107">
        <v>0</v>
      </c>
      <c r="S1356" s="107">
        <v>0</v>
      </c>
      <c r="T1356" s="107">
        <v>0</v>
      </c>
      <c r="U1356" s="107"/>
      <c r="V1356" s="107"/>
      <c r="W1356" s="107"/>
      <c r="X1356" s="107"/>
      <c r="Y1356" s="107"/>
      <c r="Z1356" s="107"/>
      <c r="AA1356" s="107"/>
      <c r="AB1356" s="107"/>
      <c r="AC1356" s="355"/>
      <c r="AD1356" s="355"/>
      <c r="AE1356" s="355"/>
      <c r="AF1356" s="94">
        <f t="shared" si="187"/>
        <v>42853</v>
      </c>
      <c r="AG1356" s="185">
        <f t="shared" si="183"/>
        <v>3.5043831069123677E-3</v>
      </c>
      <c r="AH1356" s="339" t="str">
        <f>VLOOKUP(B1356,'MF PF'!A:B,2)</f>
        <v>FdMgt1</v>
      </c>
      <c r="AI1356" s="358">
        <f t="shared" si="188"/>
        <v>0</v>
      </c>
      <c r="AJ1356" s="94">
        <f t="shared" si="189"/>
        <v>42855</v>
      </c>
    </row>
    <row r="1357" spans="1:36" ht="12.75" customHeight="1">
      <c r="A1357" s="8">
        <v>42886</v>
      </c>
      <c r="B1357" s="94" t="s">
        <v>136</v>
      </c>
      <c r="C1357" s="358" t="s">
        <v>315</v>
      </c>
      <c r="D1357" s="374">
        <v>6519843.3200000003</v>
      </c>
      <c r="E1357" s="9" t="e">
        <f t="shared" si="184"/>
        <v>#DIV/0!</v>
      </c>
      <c r="F1357" s="98">
        <v>5.798</v>
      </c>
      <c r="G1357" s="98">
        <v>0</v>
      </c>
      <c r="H1357" s="98">
        <v>0</v>
      </c>
      <c r="I1357" s="98">
        <v>0</v>
      </c>
      <c r="J1357" s="98"/>
      <c r="K1357" s="93"/>
      <c r="L1357" s="93">
        <f t="shared" si="185"/>
        <v>0</v>
      </c>
      <c r="M1357" s="95" t="e">
        <f t="shared" ca="1" si="186"/>
        <v>#DIV/0!</v>
      </c>
      <c r="N1357" s="95">
        <f>IF(P1357="Hedge Fund",IF(A1357=Summary!$AD$3,M1357-E1357,M1357),IF(A1357=Summary!$AD$3,L1357-D1357,L1357))</f>
        <v>0</v>
      </c>
      <c r="O1357" s="95">
        <f t="shared" si="182"/>
        <v>0</v>
      </c>
      <c r="P1357" s="89" t="s">
        <v>155</v>
      </c>
      <c r="Q1357" s="107">
        <v>0</v>
      </c>
      <c r="R1357" s="107">
        <v>0</v>
      </c>
      <c r="S1357" s="107">
        <v>0</v>
      </c>
      <c r="T1357" s="107">
        <v>0</v>
      </c>
      <c r="U1357" s="107"/>
      <c r="V1357" s="107"/>
      <c r="W1357" s="107"/>
      <c r="X1357" s="107"/>
      <c r="Y1357" s="107"/>
      <c r="Z1357" s="107"/>
      <c r="AA1357" s="107"/>
      <c r="AB1357" s="107"/>
      <c r="AC1357" s="355"/>
      <c r="AD1357" s="355"/>
      <c r="AE1357" s="355"/>
      <c r="AF1357" s="94">
        <f t="shared" si="187"/>
        <v>42886</v>
      </c>
      <c r="AG1357" s="185">
        <f t="shared" si="183"/>
        <v>1.9829771304560317E-2</v>
      </c>
      <c r="AH1357" s="339" t="str">
        <f>VLOOKUP(B1357,'MF PF'!A:B,2)</f>
        <v>FdMgt1</v>
      </c>
      <c r="AI1357" s="358">
        <f t="shared" si="188"/>
        <v>0</v>
      </c>
      <c r="AJ1357" s="94">
        <f t="shared" si="189"/>
        <v>42886</v>
      </c>
    </row>
    <row r="1358" spans="1:36" ht="12.75" customHeight="1">
      <c r="A1358" s="8">
        <v>42916</v>
      </c>
      <c r="B1358" s="94" t="s">
        <v>136</v>
      </c>
      <c r="C1358" s="358" t="s">
        <v>315</v>
      </c>
      <c r="D1358" s="374">
        <v>6592540.7800000003</v>
      </c>
      <c r="E1358" s="95" t="e">
        <f t="shared" si="184"/>
        <v>#DIV/0!</v>
      </c>
      <c r="F1358" s="98">
        <v>5.798</v>
      </c>
      <c r="G1358" s="98">
        <v>0</v>
      </c>
      <c r="H1358" s="98">
        <v>0</v>
      </c>
      <c r="I1358" s="98">
        <v>0</v>
      </c>
      <c r="J1358" s="98"/>
      <c r="K1358" s="93"/>
      <c r="L1358" s="93">
        <f t="shared" si="185"/>
        <v>0</v>
      </c>
      <c r="M1358" s="95" t="e">
        <f t="shared" ca="1" si="186"/>
        <v>#DIV/0!</v>
      </c>
      <c r="N1358" s="95">
        <f>IF(P1358="Hedge Fund",IF(A1358=Summary!$AD$3,M1358-E1358,M1358),IF(A1358=Summary!$AD$3,L1358-D1358,L1358))</f>
        <v>0</v>
      </c>
      <c r="O1358" s="95">
        <f t="shared" ref="O1358:O1379" si="190">N1358</f>
        <v>0</v>
      </c>
      <c r="P1358" s="107" t="s">
        <v>155</v>
      </c>
      <c r="Q1358" s="107">
        <v>0</v>
      </c>
      <c r="R1358" s="107">
        <v>0</v>
      </c>
      <c r="S1358" s="107">
        <v>0</v>
      </c>
      <c r="T1358" s="107">
        <v>0</v>
      </c>
      <c r="U1358" s="107"/>
      <c r="V1358" s="107"/>
      <c r="W1358" s="107"/>
      <c r="X1358" s="107"/>
      <c r="Y1358" s="107"/>
      <c r="Z1358" s="107"/>
      <c r="AA1358" s="107"/>
      <c r="AB1358" s="107"/>
      <c r="AC1358" s="355"/>
      <c r="AD1358" s="355"/>
      <c r="AE1358" s="355"/>
      <c r="AF1358" s="94">
        <f t="shared" si="187"/>
        <v>42916</v>
      </c>
      <c r="AG1358" s="185">
        <f t="shared" si="183"/>
        <v>1.1150185124387368E-2</v>
      </c>
      <c r="AH1358" s="339" t="str">
        <f>VLOOKUP(B1358,'MF PF'!A:B,2)</f>
        <v>FdMgt1</v>
      </c>
      <c r="AI1358" s="358">
        <f t="shared" si="188"/>
        <v>0</v>
      </c>
      <c r="AJ1358" s="94">
        <f t="shared" si="189"/>
        <v>42916</v>
      </c>
    </row>
    <row r="1359" spans="1:36" ht="12.75" customHeight="1">
      <c r="A1359" s="8">
        <v>42947</v>
      </c>
      <c r="B1359" s="94" t="s">
        <v>136</v>
      </c>
      <c r="C1359" s="6" t="s">
        <v>315</v>
      </c>
      <c r="D1359" s="374">
        <v>6637241.5599999996</v>
      </c>
      <c r="E1359" s="9" t="e">
        <f t="shared" si="184"/>
        <v>#DIV/0!</v>
      </c>
      <c r="F1359" s="98">
        <v>5.798</v>
      </c>
      <c r="G1359" s="98">
        <v>0</v>
      </c>
      <c r="H1359" s="98">
        <v>0</v>
      </c>
      <c r="I1359" s="98">
        <v>0</v>
      </c>
      <c r="J1359" s="98"/>
      <c r="K1359" s="93"/>
      <c r="L1359" s="93">
        <f t="shared" si="185"/>
        <v>0</v>
      </c>
      <c r="M1359" s="95" t="e">
        <f t="shared" ca="1" si="186"/>
        <v>#DIV/0!</v>
      </c>
      <c r="N1359" s="95">
        <f>IF(P1359="Hedge Fund",IF(A1359=Summary!$AD$3,M1359-E1359,M1359),IF(A1359=Summary!$AD$3,L1359-D1359,L1359))</f>
        <v>0</v>
      </c>
      <c r="O1359" s="95">
        <f t="shared" si="190"/>
        <v>0</v>
      </c>
      <c r="P1359" s="107" t="s">
        <v>155</v>
      </c>
      <c r="Q1359" s="107">
        <v>0</v>
      </c>
      <c r="R1359" s="107">
        <v>0</v>
      </c>
      <c r="S1359" s="107">
        <v>0</v>
      </c>
      <c r="T1359" s="107">
        <v>0</v>
      </c>
      <c r="U1359" s="107"/>
      <c r="V1359" s="107"/>
      <c r="W1359" s="107"/>
      <c r="X1359" s="107"/>
      <c r="Y1359" s="107"/>
      <c r="Z1359" s="107"/>
      <c r="AA1359" s="107"/>
      <c r="AB1359" s="107"/>
      <c r="AC1359" s="355"/>
      <c r="AD1359" s="355"/>
      <c r="AE1359" s="355"/>
      <c r="AF1359" s="94">
        <f t="shared" si="187"/>
        <v>42947</v>
      </c>
      <c r="AG1359" s="185">
        <f t="shared" ref="AG1359:AG1422" si="191">IF(C1359&lt;&gt;C1358,D1359/G1359-1,(D1359-G1359-I1359-H1359)/(D1358)-1)</f>
        <v>6.7805086827235073E-3</v>
      </c>
      <c r="AH1359" s="339" t="str">
        <f>VLOOKUP(B1359,'MF PF'!A:B,2)</f>
        <v>FdMgt1</v>
      </c>
      <c r="AI1359" s="358">
        <f t="shared" si="188"/>
        <v>0</v>
      </c>
      <c r="AJ1359" s="94">
        <f t="shared" si="189"/>
        <v>42947</v>
      </c>
    </row>
    <row r="1360" spans="1:36" ht="12.75" customHeight="1">
      <c r="A1360" s="94">
        <v>42978</v>
      </c>
      <c r="B1360" s="94" t="s">
        <v>136</v>
      </c>
      <c r="C1360" s="92" t="s">
        <v>315</v>
      </c>
      <c r="D1360" s="374">
        <v>6663900</v>
      </c>
      <c r="E1360" s="9" t="e">
        <f t="shared" si="184"/>
        <v>#DIV/0!</v>
      </c>
      <c r="F1360" s="98">
        <v>5.798</v>
      </c>
      <c r="G1360" s="98">
        <v>0</v>
      </c>
      <c r="H1360" s="98">
        <v>0</v>
      </c>
      <c r="I1360" s="98">
        <v>0</v>
      </c>
      <c r="J1360" s="98"/>
      <c r="K1360" s="93"/>
      <c r="L1360" s="93">
        <f t="shared" si="185"/>
        <v>0</v>
      </c>
      <c r="M1360" s="95" t="e">
        <f t="shared" ca="1" si="186"/>
        <v>#DIV/0!</v>
      </c>
      <c r="N1360" s="95">
        <f>IF(P1360="Hedge Fund",IF(A1360=Summary!$AD$3,M1360-E1360,M1360),IF(A1360=Summary!$AD$3,L1360-D1360,L1360))</f>
        <v>0</v>
      </c>
      <c r="O1360" s="95">
        <f t="shared" si="190"/>
        <v>0</v>
      </c>
      <c r="P1360" s="107" t="s">
        <v>155</v>
      </c>
      <c r="Q1360" s="107">
        <v>0</v>
      </c>
      <c r="R1360" s="107">
        <v>0</v>
      </c>
      <c r="S1360" s="107">
        <v>0</v>
      </c>
      <c r="T1360" s="107">
        <v>0</v>
      </c>
      <c r="U1360" s="107"/>
      <c r="V1360" s="107"/>
      <c r="W1360" s="107"/>
      <c r="X1360" s="107"/>
      <c r="Y1360" s="107"/>
      <c r="Z1360" s="107"/>
      <c r="AA1360" s="107"/>
      <c r="AB1360" s="107"/>
      <c r="AC1360" s="355"/>
      <c r="AD1360" s="355"/>
      <c r="AE1360" s="355"/>
      <c r="AF1360" s="94">
        <f t="shared" si="187"/>
        <v>42978</v>
      </c>
      <c r="AG1360" s="185">
        <f t="shared" si="191"/>
        <v>4.0164938640563363E-3</v>
      </c>
      <c r="AH1360" s="339" t="str">
        <f>VLOOKUP(B1360,'MF PF'!A:B,2)</f>
        <v>FdMgt1</v>
      </c>
      <c r="AI1360" s="358">
        <f t="shared" si="188"/>
        <v>0</v>
      </c>
      <c r="AJ1360" s="94">
        <f t="shared" si="189"/>
        <v>42978</v>
      </c>
    </row>
    <row r="1361" spans="1:36" ht="12.75" customHeight="1">
      <c r="A1361" s="8">
        <v>43007</v>
      </c>
      <c r="B1361" s="94" t="s">
        <v>136</v>
      </c>
      <c r="C1361" s="6" t="s">
        <v>315</v>
      </c>
      <c r="D1361" s="374">
        <v>6711796.3608642947</v>
      </c>
      <c r="E1361" s="95" t="e">
        <f t="shared" si="184"/>
        <v>#DIV/0!</v>
      </c>
      <c r="F1361" s="98">
        <v>5.798</v>
      </c>
      <c r="G1361" s="98">
        <v>0</v>
      </c>
      <c r="H1361" s="98">
        <v>-9.3132257461547852E-10</v>
      </c>
      <c r="I1361" s="98">
        <v>0</v>
      </c>
      <c r="J1361" s="98"/>
      <c r="K1361" s="93"/>
      <c r="L1361" s="93">
        <f t="shared" si="185"/>
        <v>-9.3132257461547852E-10</v>
      </c>
      <c r="M1361" s="95" t="e">
        <f t="shared" ca="1" si="186"/>
        <v>#DIV/0!</v>
      </c>
      <c r="N1361" s="95">
        <f>IF(P1361="Hedge Fund",IF(A1361=Summary!$AD$3,M1361-E1361,M1361),IF(A1361=Summary!$AD$3,L1361-D1361,L1361))</f>
        <v>-9.3132257461547852E-10</v>
      </c>
      <c r="O1361" s="95">
        <f t="shared" si="190"/>
        <v>-9.3132257461547852E-10</v>
      </c>
      <c r="P1361" s="107" t="s">
        <v>155</v>
      </c>
      <c r="Q1361" s="107">
        <v>0</v>
      </c>
      <c r="R1361" s="107">
        <v>0</v>
      </c>
      <c r="S1361" s="107">
        <v>0</v>
      </c>
      <c r="T1361" s="107">
        <v>0</v>
      </c>
      <c r="U1361" s="107"/>
      <c r="V1361" s="107"/>
      <c r="W1361" s="107"/>
      <c r="X1361" s="107"/>
      <c r="Y1361" s="107"/>
      <c r="Z1361" s="107"/>
      <c r="AA1361" s="107"/>
      <c r="AB1361" s="107"/>
      <c r="AC1361" s="355"/>
      <c r="AD1361" s="355"/>
      <c r="AE1361" s="355"/>
      <c r="AF1361" s="94">
        <f t="shared" si="187"/>
        <v>43007</v>
      </c>
      <c r="AG1361" s="185">
        <f t="shared" si="191"/>
        <v>7.1874369159645735E-3</v>
      </c>
      <c r="AH1361" s="339" t="str">
        <f>VLOOKUP(B1361,'MF PF'!A:B,2)</f>
        <v>FdMgt1</v>
      </c>
      <c r="AI1361" s="358">
        <f t="shared" si="188"/>
        <v>0</v>
      </c>
      <c r="AJ1361" s="94">
        <f t="shared" si="189"/>
        <v>43008</v>
      </c>
    </row>
    <row r="1362" spans="1:36" ht="12.75" customHeight="1">
      <c r="A1362" s="8">
        <v>43039</v>
      </c>
      <c r="B1362" s="94" t="s">
        <v>136</v>
      </c>
      <c r="C1362" s="92" t="s">
        <v>315</v>
      </c>
      <c r="D1362" s="374">
        <v>6768778.1600000001</v>
      </c>
      <c r="E1362" s="9" t="e">
        <f t="shared" si="184"/>
        <v>#DIV/0!</v>
      </c>
      <c r="F1362" s="98">
        <v>5.798</v>
      </c>
      <c r="G1362" s="98">
        <v>0</v>
      </c>
      <c r="H1362" s="98">
        <v>-9.3132257461547852E-10</v>
      </c>
      <c r="I1362" s="98">
        <v>0</v>
      </c>
      <c r="J1362" s="98"/>
      <c r="K1362" s="93"/>
      <c r="L1362" s="93">
        <f t="shared" si="185"/>
        <v>-9.3132257461547852E-10</v>
      </c>
      <c r="M1362" s="95" t="e">
        <f t="shared" ca="1" si="186"/>
        <v>#DIV/0!</v>
      </c>
      <c r="N1362" s="95">
        <f>IF(P1362="Hedge Fund",IF(A1362=Summary!$AD$3,M1362-E1362,M1362),IF(A1362=Summary!$AD$3,L1362-D1362,L1362))</f>
        <v>-9.3132257461547852E-10</v>
      </c>
      <c r="O1362" s="95">
        <f t="shared" si="190"/>
        <v>-9.3132257461547852E-10</v>
      </c>
      <c r="P1362" s="107" t="s">
        <v>155</v>
      </c>
      <c r="Q1362" s="107">
        <v>0</v>
      </c>
      <c r="R1362" s="107">
        <v>0</v>
      </c>
      <c r="S1362" s="107">
        <v>0</v>
      </c>
      <c r="T1362" s="107">
        <v>0</v>
      </c>
      <c r="U1362" s="107"/>
      <c r="V1362" s="107"/>
      <c r="W1362" s="107"/>
      <c r="X1362" s="107"/>
      <c r="Y1362" s="107"/>
      <c r="Z1362" s="107"/>
      <c r="AA1362" s="107"/>
      <c r="AB1362" s="107"/>
      <c r="AC1362" s="355"/>
      <c r="AD1362" s="355"/>
      <c r="AE1362" s="355"/>
      <c r="AF1362" s="94">
        <f t="shared" si="187"/>
        <v>43039</v>
      </c>
      <c r="AG1362" s="185">
        <f t="shared" si="191"/>
        <v>8.4897985683773936E-3</v>
      </c>
      <c r="AH1362" s="339" t="str">
        <f>VLOOKUP(B1362,'MF PF'!A:B,2)</f>
        <v>FdMgt1</v>
      </c>
      <c r="AI1362" s="358">
        <f t="shared" si="188"/>
        <v>0</v>
      </c>
      <c r="AJ1362" s="94">
        <f t="shared" si="189"/>
        <v>43039</v>
      </c>
    </row>
    <row r="1363" spans="1:36" ht="12.75" customHeight="1">
      <c r="A1363" s="8">
        <v>43069</v>
      </c>
      <c r="B1363" s="94" t="s">
        <v>136</v>
      </c>
      <c r="C1363" s="358" t="s">
        <v>315</v>
      </c>
      <c r="D1363" s="374">
        <v>6802100</v>
      </c>
      <c r="E1363" s="95" t="e">
        <f t="shared" si="184"/>
        <v>#DIV/0!</v>
      </c>
      <c r="F1363" s="98">
        <v>5.798</v>
      </c>
      <c r="G1363" s="98">
        <v>0</v>
      </c>
      <c r="H1363" s="98">
        <v>0</v>
      </c>
      <c r="I1363" s="98">
        <v>0</v>
      </c>
      <c r="J1363" s="98"/>
      <c r="K1363" s="93"/>
      <c r="L1363" s="93">
        <f t="shared" si="185"/>
        <v>0</v>
      </c>
      <c r="M1363" s="95" t="e">
        <f t="shared" ca="1" si="186"/>
        <v>#DIV/0!</v>
      </c>
      <c r="N1363" s="95">
        <f>IF(P1363="Hedge Fund",IF(A1363=Summary!$AD$3,M1363-E1363,M1363),IF(A1363=Summary!$AD$3,L1363-D1363,L1363))</f>
        <v>0</v>
      </c>
      <c r="O1363" s="95">
        <f t="shared" si="190"/>
        <v>0</v>
      </c>
      <c r="P1363" s="89" t="s">
        <v>155</v>
      </c>
      <c r="Q1363" s="107">
        <v>0</v>
      </c>
      <c r="R1363" s="107">
        <v>0</v>
      </c>
      <c r="S1363" s="107">
        <v>0</v>
      </c>
      <c r="T1363" s="107">
        <v>0</v>
      </c>
      <c r="U1363" s="107"/>
      <c r="V1363" s="107"/>
      <c r="W1363" s="107"/>
      <c r="X1363" s="107"/>
      <c r="Y1363" s="107"/>
      <c r="Z1363" s="107"/>
      <c r="AA1363" s="107"/>
      <c r="AB1363" s="107"/>
      <c r="AC1363" s="355"/>
      <c r="AD1363" s="355"/>
      <c r="AE1363" s="355"/>
      <c r="AF1363" s="94">
        <f t="shared" si="187"/>
        <v>43069</v>
      </c>
      <c r="AG1363" s="185">
        <f t="shared" si="191"/>
        <v>4.9228737022162239E-3</v>
      </c>
      <c r="AH1363" s="339" t="str">
        <f>VLOOKUP(B1363,'MF PF'!A:B,2)</f>
        <v>FdMgt1</v>
      </c>
      <c r="AI1363" s="358">
        <f t="shared" si="188"/>
        <v>0</v>
      </c>
      <c r="AJ1363" s="94">
        <f t="shared" si="189"/>
        <v>43069</v>
      </c>
    </row>
    <row r="1364" spans="1:36" ht="12.75" customHeight="1">
      <c r="A1364" s="8">
        <v>43098</v>
      </c>
      <c r="B1364" s="94" t="s">
        <v>136</v>
      </c>
      <c r="C1364" s="358" t="s">
        <v>315</v>
      </c>
      <c r="D1364" s="374">
        <v>7429100</v>
      </c>
      <c r="E1364" s="95" t="e">
        <f t="shared" si="184"/>
        <v>#DIV/0!</v>
      </c>
      <c r="F1364" s="98">
        <v>5.798</v>
      </c>
      <c r="G1364" s="98">
        <v>0</v>
      </c>
      <c r="H1364" s="98">
        <v>0</v>
      </c>
      <c r="I1364" s="98">
        <v>0</v>
      </c>
      <c r="J1364" s="98"/>
      <c r="K1364" s="93"/>
      <c r="L1364" s="93">
        <f t="shared" si="185"/>
        <v>0</v>
      </c>
      <c r="M1364" s="95" t="e">
        <f t="shared" ca="1" si="186"/>
        <v>#DIV/0!</v>
      </c>
      <c r="N1364" s="95">
        <f>IF(P1364="Hedge Fund",IF(A1364=Summary!$AD$3,M1364-E1364,M1364),IF(A1364=Summary!$AD$3,L1364-D1364,L1364))</f>
        <v>0</v>
      </c>
      <c r="O1364" s="95">
        <f t="shared" si="190"/>
        <v>0</v>
      </c>
      <c r="P1364" s="89" t="s">
        <v>155</v>
      </c>
      <c r="Q1364" s="107">
        <v>0</v>
      </c>
      <c r="R1364" s="107">
        <v>0</v>
      </c>
      <c r="S1364" s="107">
        <v>0</v>
      </c>
      <c r="T1364" s="107">
        <v>0</v>
      </c>
      <c r="U1364" s="107"/>
      <c r="V1364" s="107"/>
      <c r="W1364" s="107"/>
      <c r="X1364" s="107"/>
      <c r="Y1364" s="107"/>
      <c r="Z1364" s="107"/>
      <c r="AA1364" s="107"/>
      <c r="AB1364" s="107"/>
      <c r="AC1364" s="355"/>
      <c r="AD1364" s="355"/>
      <c r="AE1364" s="355"/>
      <c r="AF1364" s="94">
        <f t="shared" si="187"/>
        <v>43098</v>
      </c>
      <c r="AG1364" s="185">
        <f t="shared" si="191"/>
        <v>9.2177415798062379E-2</v>
      </c>
      <c r="AH1364" s="339" t="str">
        <f>VLOOKUP(B1364,'MF PF'!A:B,2)</f>
        <v>FdMgt1</v>
      </c>
      <c r="AI1364" s="358">
        <f t="shared" si="188"/>
        <v>0</v>
      </c>
      <c r="AJ1364" s="94">
        <f t="shared" si="189"/>
        <v>43100</v>
      </c>
    </row>
    <row r="1365" spans="1:36" ht="12.75" customHeight="1">
      <c r="A1365" s="94">
        <v>43131</v>
      </c>
      <c r="B1365" s="94" t="s">
        <v>136</v>
      </c>
      <c r="C1365" s="358" t="s">
        <v>315</v>
      </c>
      <c r="D1365" s="374">
        <v>7632800</v>
      </c>
      <c r="E1365" s="95" t="e">
        <f t="shared" si="184"/>
        <v>#DIV/0!</v>
      </c>
      <c r="F1365" s="98">
        <v>5.798</v>
      </c>
      <c r="G1365" s="98">
        <v>0</v>
      </c>
      <c r="H1365" s="98">
        <v>0</v>
      </c>
      <c r="I1365" s="98">
        <v>0</v>
      </c>
      <c r="J1365" s="98"/>
      <c r="K1365" s="93"/>
      <c r="L1365" s="93">
        <f t="shared" si="185"/>
        <v>0</v>
      </c>
      <c r="M1365" s="95" t="e">
        <f t="shared" ca="1" si="186"/>
        <v>#DIV/0!</v>
      </c>
      <c r="N1365" s="95">
        <f>IF(P1365="Hedge Fund",IF(A1365=Summary!$AD$3,M1365-E1365,M1365),IF(A1365=Summary!$AD$3,L1365-D1365,L1365))</f>
        <v>0</v>
      </c>
      <c r="O1365" s="95">
        <f t="shared" si="190"/>
        <v>0</v>
      </c>
      <c r="P1365" s="89" t="s">
        <v>155</v>
      </c>
      <c r="Q1365" s="107">
        <v>0</v>
      </c>
      <c r="R1365" s="107">
        <v>0</v>
      </c>
      <c r="S1365" s="107">
        <v>0</v>
      </c>
      <c r="T1365" s="107">
        <v>0</v>
      </c>
      <c r="U1365" s="107"/>
      <c r="V1365" s="107"/>
      <c r="W1365" s="107"/>
      <c r="X1365" s="107"/>
      <c r="Y1365" s="107"/>
      <c r="Z1365" s="107"/>
      <c r="AA1365" s="107"/>
      <c r="AB1365" s="107"/>
      <c r="AC1365" s="355"/>
      <c r="AD1365" s="355"/>
      <c r="AE1365" s="355"/>
      <c r="AF1365" s="94">
        <f t="shared" si="187"/>
        <v>43131</v>
      </c>
      <c r="AG1365" s="185">
        <f t="shared" si="191"/>
        <v>2.7419202864411574E-2</v>
      </c>
      <c r="AH1365" s="339" t="str">
        <f>VLOOKUP(B1365,'MF PF'!A:B,2)</f>
        <v>FdMgt1</v>
      </c>
      <c r="AI1365" s="358">
        <f t="shared" si="188"/>
        <v>0</v>
      </c>
      <c r="AJ1365" s="94">
        <f t="shared" si="189"/>
        <v>43131</v>
      </c>
    </row>
    <row r="1366" spans="1:36" ht="12.75" customHeight="1">
      <c r="A1366" s="8">
        <v>43159</v>
      </c>
      <c r="B1366" s="94" t="s">
        <v>136</v>
      </c>
      <c r="C1366" s="358" t="s">
        <v>315</v>
      </c>
      <c r="D1366" s="374">
        <v>7675398.46</v>
      </c>
      <c r="E1366" s="95" t="e">
        <f t="shared" si="184"/>
        <v>#DIV/0!</v>
      </c>
      <c r="F1366" s="98">
        <v>5.798</v>
      </c>
      <c r="G1366" s="98">
        <v>0</v>
      </c>
      <c r="H1366" s="98">
        <v>0</v>
      </c>
      <c r="I1366" s="98">
        <v>0</v>
      </c>
      <c r="J1366" s="98"/>
      <c r="K1366" s="93"/>
      <c r="L1366" s="93">
        <f t="shared" si="185"/>
        <v>0</v>
      </c>
      <c r="M1366" s="95" t="e">
        <f t="shared" ca="1" si="186"/>
        <v>#DIV/0!</v>
      </c>
      <c r="N1366" s="95">
        <f>IF(P1366="Hedge Fund",IF(A1366=Summary!$AD$3,M1366-E1366,M1366),IF(A1366=Summary!$AD$3,L1366-D1366,L1366))</f>
        <v>0</v>
      </c>
      <c r="O1366" s="95">
        <f t="shared" si="190"/>
        <v>0</v>
      </c>
      <c r="P1366" s="89" t="s">
        <v>155</v>
      </c>
      <c r="Q1366" s="107">
        <v>0</v>
      </c>
      <c r="R1366" s="107">
        <v>0</v>
      </c>
      <c r="S1366" s="107">
        <v>0</v>
      </c>
      <c r="T1366" s="107">
        <v>0</v>
      </c>
      <c r="U1366" s="107"/>
      <c r="V1366" s="107"/>
      <c r="W1366" s="107"/>
      <c r="X1366" s="107"/>
      <c r="Y1366" s="107"/>
      <c r="Z1366" s="107"/>
      <c r="AA1366" s="107"/>
      <c r="AB1366" s="107"/>
      <c r="AC1366" s="355"/>
      <c r="AD1366" s="355"/>
      <c r="AE1366" s="355"/>
      <c r="AF1366" s="94">
        <f t="shared" si="187"/>
        <v>43159</v>
      </c>
      <c r="AG1366" s="185">
        <f t="shared" si="191"/>
        <v>5.5809742165391363E-3</v>
      </c>
      <c r="AH1366" s="339" t="str">
        <f>VLOOKUP(B1366,'MF PF'!A:B,2)</f>
        <v>FdMgt1</v>
      </c>
      <c r="AI1366" s="358">
        <f t="shared" si="188"/>
        <v>0</v>
      </c>
      <c r="AJ1366" s="94">
        <f t="shared" si="189"/>
        <v>43159</v>
      </c>
    </row>
    <row r="1367" spans="1:36" ht="12.75" customHeight="1">
      <c r="A1367" s="94">
        <v>43188</v>
      </c>
      <c r="B1367" s="94" t="s">
        <v>136</v>
      </c>
      <c r="C1367" s="358" t="s">
        <v>315</v>
      </c>
      <c r="D1367" s="374">
        <v>7790059.04</v>
      </c>
      <c r="E1367" s="95" t="e">
        <f t="shared" si="184"/>
        <v>#DIV/0!</v>
      </c>
      <c r="F1367" s="98">
        <v>5.798</v>
      </c>
      <c r="G1367" s="98">
        <v>0</v>
      </c>
      <c r="H1367" s="98">
        <v>0</v>
      </c>
      <c r="I1367" s="98">
        <v>0</v>
      </c>
      <c r="J1367" s="98"/>
      <c r="L1367" s="93">
        <f t="shared" si="185"/>
        <v>0</v>
      </c>
      <c r="M1367" s="95" t="e">
        <f t="shared" ca="1" si="186"/>
        <v>#DIV/0!</v>
      </c>
      <c r="N1367" s="95">
        <f>IF(P1367="Hedge Fund",IF(A1367=Summary!$AD$3,M1367-E1367,M1367),IF(A1367=Summary!$AD$3,L1367-D1367,L1367))</f>
        <v>0</v>
      </c>
      <c r="O1367" s="95">
        <f t="shared" si="190"/>
        <v>0</v>
      </c>
      <c r="P1367" s="107" t="s">
        <v>155</v>
      </c>
      <c r="Q1367" s="109">
        <v>0</v>
      </c>
      <c r="R1367" s="109">
        <v>0</v>
      </c>
      <c r="S1367" s="107">
        <v>0</v>
      </c>
      <c r="T1367" s="107">
        <v>0</v>
      </c>
      <c r="U1367" s="107"/>
      <c r="V1367" s="107"/>
      <c r="W1367" s="107"/>
      <c r="X1367" s="107"/>
      <c r="Y1367" s="107"/>
      <c r="Z1367" s="107"/>
      <c r="AA1367" s="107"/>
      <c r="AB1367" s="107"/>
      <c r="AC1367" s="355"/>
      <c r="AD1367" s="355"/>
      <c r="AE1367" s="355"/>
      <c r="AF1367" s="94">
        <f t="shared" si="187"/>
        <v>43188</v>
      </c>
      <c r="AG1367" s="185">
        <f t="shared" si="191"/>
        <v>1.4938713683406712E-2</v>
      </c>
      <c r="AH1367" s="339" t="str">
        <f>VLOOKUP(B1367,'MF PF'!A:B,2)</f>
        <v>FdMgt1</v>
      </c>
      <c r="AI1367" s="358">
        <f t="shared" si="188"/>
        <v>0</v>
      </c>
      <c r="AJ1367" s="94">
        <f t="shared" si="189"/>
        <v>43190</v>
      </c>
    </row>
    <row r="1368" spans="1:36" ht="12.75" customHeight="1">
      <c r="A1368" s="8">
        <v>43220</v>
      </c>
      <c r="B1368" s="94" t="s">
        <v>136</v>
      </c>
      <c r="C1368" s="92" t="s">
        <v>315</v>
      </c>
      <c r="D1368" s="374">
        <v>7799059.25</v>
      </c>
      <c r="E1368" s="9" t="e">
        <f t="shared" si="184"/>
        <v>#DIV/0!</v>
      </c>
      <c r="F1368" s="98">
        <v>5.798</v>
      </c>
      <c r="G1368" s="98">
        <v>0</v>
      </c>
      <c r="H1368" s="98">
        <v>0</v>
      </c>
      <c r="I1368" s="98">
        <v>0</v>
      </c>
      <c r="J1368" s="98"/>
      <c r="L1368" s="93">
        <f t="shared" si="185"/>
        <v>0</v>
      </c>
      <c r="M1368" s="95" t="e">
        <f t="shared" ca="1" si="186"/>
        <v>#DIV/0!</v>
      </c>
      <c r="N1368" s="95">
        <f>IF(P1368="Hedge Fund",IF(A1368=Summary!$AD$3,M1368-E1368,M1368),IF(A1368=Summary!$AD$3,L1368-D1368,L1368))</f>
        <v>0</v>
      </c>
      <c r="O1368" s="95">
        <f t="shared" si="190"/>
        <v>0</v>
      </c>
      <c r="P1368" s="107" t="s">
        <v>155</v>
      </c>
      <c r="Q1368" s="109">
        <v>0</v>
      </c>
      <c r="R1368" s="109">
        <v>0</v>
      </c>
      <c r="S1368" s="107">
        <v>0</v>
      </c>
      <c r="T1368" s="107">
        <v>0</v>
      </c>
      <c r="U1368" s="107"/>
      <c r="V1368" s="107"/>
      <c r="W1368" s="107"/>
      <c r="X1368" s="107"/>
      <c r="Y1368" s="107"/>
      <c r="Z1368" s="107"/>
      <c r="AA1368" s="107"/>
      <c r="AB1368" s="107"/>
      <c r="AC1368" s="355"/>
      <c r="AD1368" s="355"/>
      <c r="AE1368" s="355"/>
      <c r="AF1368" s="94">
        <f t="shared" si="187"/>
        <v>43220</v>
      </c>
      <c r="AG1368" s="185">
        <f t="shared" si="191"/>
        <v>1.1553455440820315E-3</v>
      </c>
      <c r="AH1368" s="339" t="str">
        <f>VLOOKUP(B1368,'MF PF'!A:B,2)</f>
        <v>FdMgt1</v>
      </c>
      <c r="AI1368" s="358">
        <f t="shared" si="188"/>
        <v>0</v>
      </c>
      <c r="AJ1368" s="94">
        <f t="shared" si="189"/>
        <v>43220</v>
      </c>
    </row>
    <row r="1369" spans="1:36" ht="12.75" customHeight="1">
      <c r="A1369" s="8">
        <v>43251</v>
      </c>
      <c r="B1369" s="358" t="s">
        <v>136</v>
      </c>
      <c r="C1369" s="94" t="s">
        <v>315</v>
      </c>
      <c r="D1369" s="374">
        <v>7864554.7199999997</v>
      </c>
      <c r="E1369" s="9" t="e">
        <f t="shared" si="184"/>
        <v>#DIV/0!</v>
      </c>
      <c r="F1369" s="98">
        <v>5.798</v>
      </c>
      <c r="G1369" s="98">
        <v>0</v>
      </c>
      <c r="H1369" s="98">
        <v>0</v>
      </c>
      <c r="I1369" s="110">
        <v>0</v>
      </c>
      <c r="J1369" s="110"/>
      <c r="L1369" s="93">
        <f t="shared" si="185"/>
        <v>0</v>
      </c>
      <c r="M1369" s="95" t="e">
        <f t="shared" ca="1" si="186"/>
        <v>#DIV/0!</v>
      </c>
      <c r="N1369" s="95">
        <f>IF(P1369="Hedge Fund",IF(A1369=Summary!$AD$3,M1369-E1369,M1369),IF(A1369=Summary!$AD$3,L1369-D1369,L1369))</f>
        <v>0</v>
      </c>
      <c r="O1369" s="95">
        <f t="shared" si="190"/>
        <v>0</v>
      </c>
      <c r="P1369" s="107" t="s">
        <v>155</v>
      </c>
      <c r="Q1369" s="109">
        <v>0</v>
      </c>
      <c r="R1369" s="107">
        <v>0</v>
      </c>
      <c r="S1369" s="107">
        <v>0</v>
      </c>
      <c r="T1369" s="107">
        <v>0</v>
      </c>
      <c r="U1369" s="107"/>
      <c r="V1369" s="107"/>
      <c r="W1369" s="107"/>
      <c r="X1369" s="107"/>
      <c r="Y1369" s="107"/>
      <c r="Z1369" s="107"/>
      <c r="AA1369" s="107"/>
      <c r="AB1369" s="107"/>
      <c r="AC1369" s="355"/>
      <c r="AD1369" s="355"/>
      <c r="AE1369" s="355"/>
      <c r="AF1369" s="94">
        <f t="shared" si="187"/>
        <v>43251</v>
      </c>
      <c r="AG1369" s="185">
        <f t="shared" si="191"/>
        <v>8.397867986449814E-3</v>
      </c>
      <c r="AH1369" s="339" t="str">
        <f>VLOOKUP(B1369,'MF PF'!A:B,2)</f>
        <v>FdMgt1</v>
      </c>
      <c r="AI1369" s="358">
        <f t="shared" si="188"/>
        <v>0</v>
      </c>
      <c r="AJ1369" s="94">
        <f t="shared" si="189"/>
        <v>43251</v>
      </c>
    </row>
    <row r="1370" spans="1:36" ht="12.75" customHeight="1">
      <c r="A1370" s="8">
        <v>43280</v>
      </c>
      <c r="B1370" s="358" t="s">
        <v>136</v>
      </c>
      <c r="C1370" s="94" t="s">
        <v>315</v>
      </c>
      <c r="D1370" s="374">
        <v>7914038.0999999996</v>
      </c>
      <c r="E1370" s="9" t="e">
        <f t="shared" si="184"/>
        <v>#DIV/0!</v>
      </c>
      <c r="F1370" s="98">
        <v>5.798</v>
      </c>
      <c r="G1370" s="98">
        <v>0</v>
      </c>
      <c r="H1370" s="98">
        <v>0</v>
      </c>
      <c r="I1370" s="110">
        <v>0</v>
      </c>
      <c r="J1370" s="110"/>
      <c r="L1370" s="93">
        <f t="shared" si="185"/>
        <v>0</v>
      </c>
      <c r="M1370" s="95" t="e">
        <f t="shared" ca="1" si="186"/>
        <v>#DIV/0!</v>
      </c>
      <c r="N1370" s="95">
        <f>IF(P1370="Hedge Fund",IF(A1370=Summary!$AD$3,M1370-E1370,M1370),IF(A1370=Summary!$AD$3,L1370-D1370,L1370))</f>
        <v>0</v>
      </c>
      <c r="O1370" s="95">
        <f t="shared" si="190"/>
        <v>0</v>
      </c>
      <c r="P1370" s="89" t="s">
        <v>155</v>
      </c>
      <c r="Q1370" s="109">
        <v>0</v>
      </c>
      <c r="R1370" s="107">
        <v>0</v>
      </c>
      <c r="S1370" s="107">
        <v>0</v>
      </c>
      <c r="T1370" s="107">
        <v>0</v>
      </c>
      <c r="U1370" s="107"/>
      <c r="V1370" s="107"/>
      <c r="W1370" s="107"/>
      <c r="X1370" s="107"/>
      <c r="Y1370" s="107"/>
      <c r="Z1370" s="107"/>
      <c r="AA1370" s="107"/>
      <c r="AB1370" s="107"/>
      <c r="AC1370" s="355"/>
      <c r="AD1370" s="355"/>
      <c r="AE1370" s="355"/>
      <c r="AF1370" s="94">
        <f t="shared" si="187"/>
        <v>43280</v>
      </c>
      <c r="AG1370" s="185">
        <f t="shared" si="191"/>
        <v>6.2919493552713313E-3</v>
      </c>
      <c r="AH1370" s="339" t="str">
        <f>VLOOKUP(B1370,'MF PF'!A:B,2)</f>
        <v>FdMgt1</v>
      </c>
      <c r="AI1370" s="358">
        <f t="shared" si="188"/>
        <v>0</v>
      </c>
      <c r="AJ1370" s="94">
        <f t="shared" si="189"/>
        <v>43281</v>
      </c>
    </row>
    <row r="1371" spans="1:36" ht="12.75" customHeight="1">
      <c r="A1371" s="8">
        <v>43312</v>
      </c>
      <c r="B1371" s="358" t="s">
        <v>136</v>
      </c>
      <c r="C1371" s="94" t="s">
        <v>315</v>
      </c>
      <c r="D1371" s="374">
        <v>7873150.8774561826</v>
      </c>
      <c r="E1371" s="9" t="str">
        <f>IF(K1371="","",D1371/K1371)</f>
        <v/>
      </c>
      <c r="F1371" s="98">
        <v>5.798</v>
      </c>
      <c r="G1371" s="98">
        <v>0</v>
      </c>
      <c r="H1371" s="98">
        <v>0</v>
      </c>
      <c r="I1371" s="98">
        <v>0</v>
      </c>
      <c r="J1371" s="98"/>
      <c r="L1371" s="93">
        <f t="shared" si="185"/>
        <v>0</v>
      </c>
      <c r="M1371" s="95" t="e">
        <f t="shared" ca="1" si="186"/>
        <v>#DIV/0!</v>
      </c>
      <c r="N1371" s="95">
        <f>IF(P1371="Hedge Fund",IF(A1371=Summary!$AD$3,M1371-E1371,M1371),IF(A1371=Summary!$AD$3,L1371-D1371,L1371))</f>
        <v>0</v>
      </c>
      <c r="O1371" s="95">
        <f t="shared" si="190"/>
        <v>0</v>
      </c>
      <c r="P1371" s="89" t="s">
        <v>155</v>
      </c>
      <c r="Q1371" s="107">
        <v>0</v>
      </c>
      <c r="R1371" s="107">
        <v>0</v>
      </c>
      <c r="S1371" s="107">
        <v>0</v>
      </c>
      <c r="T1371" s="107">
        <v>0</v>
      </c>
      <c r="U1371" s="107"/>
      <c r="V1371" s="107"/>
      <c r="W1371" s="107"/>
      <c r="X1371" s="107"/>
      <c r="Y1371" s="107"/>
      <c r="Z1371" s="107"/>
      <c r="AA1371" s="107"/>
      <c r="AB1371" s="107"/>
      <c r="AC1371" s="355"/>
      <c r="AD1371" s="355"/>
      <c r="AE1371" s="355"/>
      <c r="AF1371" s="94">
        <f t="shared" si="187"/>
        <v>43312</v>
      </c>
      <c r="AG1371" s="185">
        <f t="shared" si="191"/>
        <v>-5.1664171977914286E-3</v>
      </c>
      <c r="AH1371" s="339" t="str">
        <f>VLOOKUP(B1371,'MF PF'!A:B,2)</f>
        <v>FdMgt1</v>
      </c>
      <c r="AI1371" s="358">
        <f t="shared" si="188"/>
        <v>0</v>
      </c>
      <c r="AJ1371" s="94">
        <f t="shared" si="189"/>
        <v>43312</v>
      </c>
    </row>
    <row r="1372" spans="1:36" ht="12.75" customHeight="1">
      <c r="A1372" s="8">
        <v>43343</v>
      </c>
      <c r="B1372" s="358" t="s">
        <v>136</v>
      </c>
      <c r="C1372" s="94" t="s">
        <v>315</v>
      </c>
      <c r="D1372" s="374">
        <v>7861182.2000000002</v>
      </c>
      <c r="E1372" s="9" t="str">
        <f>IF(K1372="","",D1372/K1372)</f>
        <v/>
      </c>
      <c r="F1372" s="98">
        <v>5.798</v>
      </c>
      <c r="G1372" s="98">
        <v>0</v>
      </c>
      <c r="H1372" s="98">
        <v>0</v>
      </c>
      <c r="I1372" s="98">
        <v>0</v>
      </c>
      <c r="J1372" s="98"/>
      <c r="L1372" s="93">
        <f t="shared" si="185"/>
        <v>0</v>
      </c>
      <c r="M1372" s="95" t="e">
        <f t="shared" ca="1" si="186"/>
        <v>#DIV/0!</v>
      </c>
      <c r="N1372" s="95">
        <f>IF(P1372="Hedge Fund",IF(A1372=Summary!$AD$3,M1372-E1372,M1372),IF(A1372=Summary!$AD$3,L1372-D1372,L1372))</f>
        <v>0</v>
      </c>
      <c r="O1372" s="95">
        <f t="shared" si="190"/>
        <v>0</v>
      </c>
      <c r="P1372" s="89" t="s">
        <v>155</v>
      </c>
      <c r="Q1372" s="107">
        <v>0</v>
      </c>
      <c r="R1372" s="107">
        <v>0</v>
      </c>
      <c r="S1372" s="107">
        <v>0</v>
      </c>
      <c r="T1372" s="107">
        <v>0</v>
      </c>
      <c r="U1372" s="107"/>
      <c r="V1372" s="107"/>
      <c r="W1372" s="107"/>
      <c r="X1372" s="107"/>
      <c r="Y1372" s="107"/>
      <c r="Z1372" s="107"/>
      <c r="AA1372" s="107"/>
      <c r="AB1372" s="107"/>
      <c r="AC1372" s="355"/>
      <c r="AD1372" s="355"/>
      <c r="AE1372" s="355"/>
      <c r="AF1372" s="94">
        <f t="shared" si="187"/>
        <v>43343</v>
      </c>
      <c r="AG1372" s="185">
        <f t="shared" si="191"/>
        <v>-1.5201890123118789E-3</v>
      </c>
      <c r="AH1372" s="339" t="str">
        <f>VLOOKUP(B1372,'MF PF'!A:B,2)</f>
        <v>FdMgt1</v>
      </c>
      <c r="AI1372" s="358">
        <f t="shared" si="188"/>
        <v>0</v>
      </c>
      <c r="AJ1372" s="94">
        <f t="shared" si="189"/>
        <v>43343</v>
      </c>
    </row>
    <row r="1373" spans="1:36" ht="12.75" customHeight="1">
      <c r="A1373" s="8">
        <v>43371</v>
      </c>
      <c r="B1373" s="358" t="s">
        <v>136</v>
      </c>
      <c r="C1373" s="358" t="s">
        <v>315</v>
      </c>
      <c r="D1373" s="374">
        <f>11162622.14-3363046.06</f>
        <v>7799576.0800000001</v>
      </c>
      <c r="F1373" s="105">
        <f>8.298-2.5</f>
        <v>5.798</v>
      </c>
      <c r="G1373" s="93">
        <v>0</v>
      </c>
      <c r="H1373" s="93">
        <v>0</v>
      </c>
      <c r="I1373" s="93">
        <v>0</v>
      </c>
      <c r="K1373" s="7">
        <v>0</v>
      </c>
      <c r="L1373" s="93">
        <f t="shared" si="185"/>
        <v>0</v>
      </c>
      <c r="M1373" s="95" t="e">
        <f t="shared" ca="1" si="186"/>
        <v>#DIV/0!</v>
      </c>
      <c r="N1373" s="95">
        <f>IF(P1373="Hedge Fund",IF(A1373=Summary!$AD$3,M1373-E1373,M1373),IF(A1373=Summary!$AD$3,L1373-D1373,L1373))</f>
        <v>0</v>
      </c>
      <c r="O1373" s="95">
        <f t="shared" si="190"/>
        <v>0</v>
      </c>
      <c r="P1373" s="95" t="s">
        <v>155</v>
      </c>
      <c r="Q1373" s="353">
        <v>0</v>
      </c>
      <c r="R1373" s="95">
        <v>0</v>
      </c>
      <c r="S1373" s="95"/>
      <c r="T1373" s="95"/>
      <c r="U1373" s="95"/>
      <c r="V1373" s="95"/>
      <c r="W1373" s="95"/>
      <c r="X1373" s="95"/>
      <c r="Y1373" s="95"/>
      <c r="Z1373" s="95"/>
      <c r="AA1373" s="95"/>
      <c r="AB1373" s="95"/>
      <c r="AC1373" s="355"/>
      <c r="AD1373" s="355"/>
      <c r="AE1373" s="355"/>
      <c r="AF1373" s="94">
        <f t="shared" si="187"/>
        <v>43371</v>
      </c>
      <c r="AG1373" s="185">
        <f t="shared" si="191"/>
        <v>-7.8367500501387299E-3</v>
      </c>
      <c r="AH1373" s="339" t="str">
        <f>VLOOKUP(B1373,'MF PF'!A:B,2)</f>
        <v>FdMgt1</v>
      </c>
      <c r="AI1373" s="358">
        <f t="shared" si="188"/>
        <v>0</v>
      </c>
      <c r="AJ1373" s="94">
        <f t="shared" si="189"/>
        <v>43373</v>
      </c>
    </row>
    <row r="1374" spans="1:36" ht="12.75" customHeight="1">
      <c r="A1374" s="8">
        <v>43404</v>
      </c>
      <c r="B1374" s="358" t="s">
        <v>136</v>
      </c>
      <c r="C1374" s="358" t="s">
        <v>315</v>
      </c>
      <c r="D1374" s="374">
        <v>7637609.6299999999</v>
      </c>
      <c r="F1374" s="105">
        <f>8.298-2.5</f>
        <v>5.798</v>
      </c>
      <c r="G1374" s="93">
        <v>0</v>
      </c>
      <c r="H1374" s="93">
        <v>0</v>
      </c>
      <c r="I1374" s="93">
        <v>0</v>
      </c>
      <c r="J1374" s="93">
        <v>0</v>
      </c>
      <c r="L1374" s="93">
        <f t="shared" si="185"/>
        <v>0</v>
      </c>
      <c r="M1374" s="95" t="e">
        <f t="shared" ca="1" si="186"/>
        <v>#DIV/0!</v>
      </c>
      <c r="N1374" s="95">
        <f>IF(P1374="Hedge Fund",IF(A1374=Summary!$AD$3,M1374-E1374,M1374),IF(A1374=Summary!$AD$3,L1374-D1374,L1374))</f>
        <v>0</v>
      </c>
      <c r="O1374" s="95">
        <f t="shared" si="190"/>
        <v>0</v>
      </c>
      <c r="P1374" s="95" t="s">
        <v>155</v>
      </c>
      <c r="Q1374" s="95">
        <v>0</v>
      </c>
      <c r="R1374" s="95">
        <v>0</v>
      </c>
      <c r="S1374" s="95"/>
      <c r="T1374" s="95"/>
      <c r="U1374" s="95"/>
      <c r="V1374" s="95"/>
      <c r="W1374" s="95"/>
      <c r="X1374" s="95"/>
      <c r="Y1374" s="95"/>
      <c r="Z1374" s="95"/>
      <c r="AA1374" s="95"/>
      <c r="AB1374" s="95"/>
      <c r="AC1374" s="355"/>
      <c r="AD1374" s="355"/>
      <c r="AE1374" s="355"/>
      <c r="AF1374" s="94">
        <f t="shared" si="187"/>
        <v>43404</v>
      </c>
      <c r="AG1374" s="185">
        <f t="shared" si="191"/>
        <v>-2.0766058095813889E-2</v>
      </c>
      <c r="AH1374" s="339" t="str">
        <f>VLOOKUP(B1374,'MF PF'!A:B,2)</f>
        <v>FdMgt1</v>
      </c>
      <c r="AI1374" s="358">
        <f t="shared" si="188"/>
        <v>0</v>
      </c>
      <c r="AJ1374" s="94">
        <f t="shared" si="189"/>
        <v>43404</v>
      </c>
    </row>
    <row r="1375" spans="1:36" ht="12.75" customHeight="1">
      <c r="A1375" s="8">
        <v>43434</v>
      </c>
      <c r="B1375" s="358" t="s">
        <v>136</v>
      </c>
      <c r="C1375" s="358" t="s">
        <v>315</v>
      </c>
      <c r="D1375" s="374">
        <v>7677296.5599999996</v>
      </c>
      <c r="F1375" s="105">
        <f>8.298-2.5</f>
        <v>5.798</v>
      </c>
      <c r="G1375" s="93">
        <v>0</v>
      </c>
      <c r="H1375" s="93">
        <v>0</v>
      </c>
      <c r="I1375" s="93">
        <v>0</v>
      </c>
      <c r="K1375" s="93">
        <v>0</v>
      </c>
      <c r="L1375" s="93">
        <f t="shared" si="185"/>
        <v>0</v>
      </c>
      <c r="M1375" s="95" t="e">
        <f t="shared" ca="1" si="186"/>
        <v>#DIV/0!</v>
      </c>
      <c r="N1375" s="95">
        <f>IF(P1375="Hedge Fund",IF(A1375=Summary!$AD$3,M1375-E1375,M1375),IF(A1375=Summary!$AD$3,L1375-D1375,L1375))</f>
        <v>0</v>
      </c>
      <c r="O1375" s="95">
        <f t="shared" si="190"/>
        <v>0</v>
      </c>
      <c r="P1375" s="95" t="s">
        <v>155</v>
      </c>
      <c r="Q1375" s="95">
        <v>0</v>
      </c>
      <c r="R1375" s="95">
        <v>0</v>
      </c>
      <c r="S1375" s="95"/>
      <c r="T1375" s="95"/>
      <c r="U1375" s="95"/>
      <c r="V1375" s="95"/>
      <c r="W1375" s="95"/>
      <c r="X1375" s="95"/>
      <c r="Y1375" s="95"/>
      <c r="Z1375" s="95"/>
      <c r="AA1375" s="95"/>
      <c r="AB1375" s="95"/>
      <c r="AC1375" s="355"/>
      <c r="AD1375" s="355"/>
      <c r="AE1375" s="355"/>
      <c r="AF1375" s="94">
        <f t="shared" si="187"/>
        <v>43434</v>
      </c>
      <c r="AG1375" s="185">
        <f t="shared" si="191"/>
        <v>5.196250125708568E-3</v>
      </c>
      <c r="AH1375" s="339" t="str">
        <f>VLOOKUP(B1375,'MF PF'!A:B,2)</f>
        <v>FdMgt1</v>
      </c>
      <c r="AI1375" s="358">
        <f t="shared" si="188"/>
        <v>0</v>
      </c>
      <c r="AJ1375" s="94">
        <f t="shared" si="189"/>
        <v>43434</v>
      </c>
    </row>
    <row r="1376" spans="1:36" ht="12.75" customHeight="1">
      <c r="A1376" s="8">
        <v>43452</v>
      </c>
      <c r="B1376" s="358" t="s">
        <v>136</v>
      </c>
      <c r="C1376" s="358" t="s">
        <v>315</v>
      </c>
      <c r="D1376" s="93"/>
      <c r="E1376" s="95"/>
      <c r="F1376" s="93"/>
      <c r="G1376" s="93"/>
      <c r="H1376" s="93"/>
      <c r="I1376" s="93">
        <v>0</v>
      </c>
      <c r="K1376" s="93"/>
      <c r="L1376" s="93">
        <f t="shared" si="185"/>
        <v>0</v>
      </c>
      <c r="M1376" s="95" t="e">
        <f t="shared" ca="1" si="186"/>
        <v>#DIV/0!</v>
      </c>
      <c r="N1376" s="95">
        <f>IF(P1376="Hedge Fund",IF(A1376=Summary!$AD$3,M1376-E1376,M1376),IF(A1376=Summary!$AD$3,L1376-D1376,L1376))</f>
        <v>0</v>
      </c>
      <c r="O1376" s="95">
        <f t="shared" si="190"/>
        <v>0</v>
      </c>
      <c r="P1376" s="95" t="s">
        <v>155</v>
      </c>
      <c r="Q1376" s="95"/>
      <c r="R1376" s="95"/>
      <c r="S1376" s="95"/>
      <c r="T1376" s="95"/>
      <c r="U1376" s="95"/>
      <c r="V1376" s="95"/>
      <c r="W1376" s="95"/>
      <c r="X1376" s="95"/>
      <c r="Y1376" s="95"/>
      <c r="Z1376" s="95"/>
      <c r="AA1376" s="95"/>
      <c r="AB1376" s="95"/>
      <c r="AC1376" s="355"/>
      <c r="AD1376" s="355"/>
      <c r="AE1376" s="355"/>
      <c r="AF1376" s="94">
        <f t="shared" si="187"/>
        <v>43452</v>
      </c>
      <c r="AG1376" s="185">
        <f t="shared" si="191"/>
        <v>-1</v>
      </c>
      <c r="AH1376" s="339" t="str">
        <f>VLOOKUP(B1376,'MF PF'!A:B,2)</f>
        <v>FdMgt1</v>
      </c>
      <c r="AI1376" s="358">
        <f t="shared" si="188"/>
        <v>0</v>
      </c>
      <c r="AJ1376" s="94">
        <f t="shared" si="189"/>
        <v>43465</v>
      </c>
    </row>
    <row r="1377" spans="1:36" ht="12.75" customHeight="1">
      <c r="A1377" s="94">
        <v>43465</v>
      </c>
      <c r="B1377" s="358" t="s">
        <v>136</v>
      </c>
      <c r="C1377" s="358" t="s">
        <v>315</v>
      </c>
      <c r="D1377" s="93">
        <v>7882065.5700000003</v>
      </c>
      <c r="E1377" s="95"/>
      <c r="F1377" s="93">
        <v>5.798</v>
      </c>
      <c r="G1377" s="93">
        <v>0</v>
      </c>
      <c r="H1377" s="93">
        <v>0</v>
      </c>
      <c r="I1377" s="93">
        <v>0</v>
      </c>
      <c r="K1377" s="93">
        <v>0</v>
      </c>
      <c r="L1377" s="93">
        <f t="shared" si="185"/>
        <v>0</v>
      </c>
      <c r="M1377" s="95" t="e">
        <f t="shared" ca="1" si="186"/>
        <v>#DIV/0!</v>
      </c>
      <c r="N1377" s="95">
        <f>IF(P1377="Hedge Fund",IF(A1377=Summary!$AD$3,M1377-E1377,M1377),IF(A1377=Summary!$AD$3,L1377-D1377,L1377))</f>
        <v>0</v>
      </c>
      <c r="O1377" s="95">
        <f t="shared" si="190"/>
        <v>0</v>
      </c>
      <c r="P1377" s="95" t="s">
        <v>155</v>
      </c>
      <c r="Q1377" s="95">
        <v>0</v>
      </c>
      <c r="R1377" s="95">
        <v>0</v>
      </c>
      <c r="S1377" s="95"/>
      <c r="T1377" s="95"/>
      <c r="U1377" s="95"/>
      <c r="V1377" s="95"/>
      <c r="W1377" s="95"/>
      <c r="X1377" s="95"/>
      <c r="Y1377" s="95"/>
      <c r="Z1377" s="95"/>
      <c r="AA1377" s="95"/>
      <c r="AB1377" s="95"/>
      <c r="AC1377" s="355"/>
      <c r="AD1377" s="355"/>
      <c r="AE1377" s="355"/>
      <c r="AF1377" s="94">
        <f t="shared" si="187"/>
        <v>43465</v>
      </c>
      <c r="AG1377" s="185" t="e">
        <f t="shared" si="191"/>
        <v>#DIV/0!</v>
      </c>
      <c r="AH1377" s="339" t="str">
        <f>VLOOKUP(B1377,'MF PF'!A:B,2)</f>
        <v>FdMgt1</v>
      </c>
      <c r="AI1377" s="358">
        <f t="shared" si="188"/>
        <v>0</v>
      </c>
      <c r="AJ1377" s="94">
        <f t="shared" si="189"/>
        <v>43465</v>
      </c>
    </row>
    <row r="1378" spans="1:36" ht="12.75" customHeight="1">
      <c r="A1378" s="94">
        <v>43487</v>
      </c>
      <c r="B1378" s="358" t="s">
        <v>136</v>
      </c>
      <c r="C1378" s="358" t="s">
        <v>315</v>
      </c>
      <c r="D1378" s="93"/>
      <c r="E1378" s="95"/>
      <c r="F1378" s="93"/>
      <c r="G1378" s="93"/>
      <c r="H1378" s="93"/>
      <c r="I1378" s="93"/>
      <c r="K1378" s="93"/>
      <c r="L1378" s="93">
        <f t="shared" si="185"/>
        <v>0</v>
      </c>
      <c r="M1378" s="95" t="e">
        <f t="shared" ca="1" si="186"/>
        <v>#DIV/0!</v>
      </c>
      <c r="N1378" s="95">
        <f>IF(P1378="Hedge Fund",IF(A1378=Summary!$AD$3,M1378-E1378,M1378),IF(A1378=Summary!$AD$3,L1378-D1378,L1378))</f>
        <v>0</v>
      </c>
      <c r="O1378" s="95">
        <f t="shared" si="190"/>
        <v>0</v>
      </c>
      <c r="P1378" s="95" t="s">
        <v>155</v>
      </c>
      <c r="Q1378" s="95"/>
      <c r="R1378" s="95"/>
      <c r="S1378" s="95"/>
      <c r="T1378" s="95"/>
      <c r="U1378" s="95"/>
      <c r="V1378" s="95"/>
      <c r="W1378" s="95"/>
      <c r="X1378" s="95"/>
      <c r="Y1378" s="95"/>
      <c r="Z1378" s="95"/>
      <c r="AA1378" s="95"/>
      <c r="AB1378" s="95"/>
      <c r="AC1378" s="355"/>
      <c r="AD1378" s="355"/>
      <c r="AE1378" s="355"/>
      <c r="AF1378" s="94">
        <f t="shared" si="187"/>
        <v>43487</v>
      </c>
      <c r="AG1378" s="185">
        <f t="shared" si="191"/>
        <v>-1</v>
      </c>
      <c r="AH1378" s="339" t="str">
        <f>VLOOKUP(B1378,'MF PF'!A:B,2)</f>
        <v>FdMgt1</v>
      </c>
      <c r="AI1378" s="358">
        <f t="shared" si="188"/>
        <v>0</v>
      </c>
      <c r="AJ1378" s="94">
        <f t="shared" si="189"/>
        <v>43496</v>
      </c>
    </row>
    <row r="1379" spans="1:36" ht="12.75" customHeight="1">
      <c r="A1379" s="94">
        <v>43496</v>
      </c>
      <c r="B1379" s="358" t="s">
        <v>136</v>
      </c>
      <c r="C1379" s="358" t="s">
        <v>315</v>
      </c>
      <c r="D1379" s="93">
        <v>7843058.3399999999</v>
      </c>
      <c r="F1379" s="93">
        <v>5.798</v>
      </c>
      <c r="G1379" s="93">
        <v>0</v>
      </c>
      <c r="H1379" s="93">
        <v>0</v>
      </c>
      <c r="I1379" s="93">
        <v>0</v>
      </c>
      <c r="K1379" s="7">
        <v>0</v>
      </c>
      <c r="L1379" s="93">
        <f t="shared" si="185"/>
        <v>0</v>
      </c>
      <c r="M1379" s="95" t="e">
        <f t="shared" ca="1" si="186"/>
        <v>#DIV/0!</v>
      </c>
      <c r="N1379" s="95">
        <f>IF(P1379="Hedge Fund",IF(A1379=Summary!$AD$3,M1379-E1379,M1379),IF(A1379=Summary!$AD$3,L1379-D1379,L1379))</f>
        <v>-7843058.3399999999</v>
      </c>
      <c r="O1379" s="95">
        <f t="shared" si="190"/>
        <v>-7843058.3399999999</v>
      </c>
      <c r="P1379" s="95" t="s">
        <v>155</v>
      </c>
      <c r="Q1379" s="95">
        <v>0</v>
      </c>
      <c r="R1379" s="95">
        <v>0</v>
      </c>
      <c r="S1379" s="95"/>
      <c r="T1379" s="95"/>
      <c r="U1379" s="95"/>
      <c r="V1379" s="95"/>
      <c r="W1379" s="95"/>
      <c r="X1379" s="95"/>
      <c r="Y1379" s="95"/>
      <c r="Z1379" s="95"/>
      <c r="AA1379" s="95"/>
      <c r="AB1379" s="95"/>
      <c r="AC1379" s="355"/>
      <c r="AD1379" s="355"/>
      <c r="AE1379" s="355"/>
      <c r="AF1379" s="94">
        <f t="shared" si="187"/>
        <v>43496</v>
      </c>
      <c r="AG1379" s="185" t="e">
        <f t="shared" si="191"/>
        <v>#DIV/0!</v>
      </c>
      <c r="AH1379" s="339" t="str">
        <f>VLOOKUP(B1379,'MF PF'!A:B,2)</f>
        <v>FdMgt1</v>
      </c>
      <c r="AI1379" s="358">
        <f t="shared" si="188"/>
        <v>0</v>
      </c>
      <c r="AJ1379" s="94">
        <f t="shared" si="189"/>
        <v>43496</v>
      </c>
    </row>
    <row r="1380" spans="1:36" ht="12.75" customHeight="1">
      <c r="A1380" s="94">
        <v>42207</v>
      </c>
      <c r="B1380" s="94" t="s">
        <v>136</v>
      </c>
      <c r="C1380" s="358" t="s">
        <v>350</v>
      </c>
      <c r="D1380" s="374">
        <v>217500</v>
      </c>
      <c r="E1380" s="9" t="e">
        <f t="shared" ref="E1380:E1416" si="192">D1380/K1380</f>
        <v>#DIV/0!</v>
      </c>
      <c r="F1380" s="98">
        <v>2.5</v>
      </c>
      <c r="G1380" s="98">
        <v>217500</v>
      </c>
      <c r="H1380" s="98">
        <v>0</v>
      </c>
      <c r="I1380" s="98">
        <v>0</v>
      </c>
      <c r="J1380" s="98"/>
      <c r="L1380" s="93">
        <f t="shared" si="185"/>
        <v>217500</v>
      </c>
      <c r="M1380" s="95" t="e">
        <f t="shared" ca="1" si="186"/>
        <v>#DIV/0!</v>
      </c>
      <c r="N1380" s="95">
        <f>IF(P1380="Hedge Fund",IF(A1380=Summary!$AD$3,M1380-E1380,M1380),IF(A1380=Summary!$AD$3,L1380-D1380,L1380))</f>
        <v>217500</v>
      </c>
      <c r="O1380" s="95"/>
      <c r="P1380" s="107" t="s">
        <v>155</v>
      </c>
      <c r="Q1380" s="107">
        <v>0</v>
      </c>
      <c r="R1380" s="107">
        <v>0</v>
      </c>
      <c r="S1380" s="107">
        <v>0</v>
      </c>
      <c r="T1380" s="107">
        <v>0</v>
      </c>
      <c r="U1380" s="107"/>
      <c r="V1380" s="107"/>
      <c r="W1380" s="107"/>
      <c r="X1380" s="107"/>
      <c r="Y1380" s="107"/>
      <c r="Z1380" s="107"/>
      <c r="AA1380" s="107"/>
      <c r="AB1380" s="107"/>
      <c r="AC1380" s="355"/>
      <c r="AD1380" s="355"/>
      <c r="AE1380" s="355"/>
      <c r="AF1380" s="94">
        <f t="shared" si="187"/>
        <v>42207</v>
      </c>
      <c r="AG1380" s="185">
        <f t="shared" si="191"/>
        <v>0</v>
      </c>
      <c r="AH1380" s="339" t="str">
        <f>VLOOKUP(B1380,'MF PF'!A:B,2)</f>
        <v>FdMgt1</v>
      </c>
      <c r="AI1380" s="358">
        <f t="shared" si="188"/>
        <v>0</v>
      </c>
      <c r="AJ1380" s="94">
        <f t="shared" si="189"/>
        <v>42216</v>
      </c>
    </row>
    <row r="1381" spans="1:36" s="92" customFormat="1" ht="12.75" customHeight="1">
      <c r="A1381" s="94">
        <v>42216</v>
      </c>
      <c r="B1381" s="94" t="s">
        <v>136</v>
      </c>
      <c r="C1381" s="358" t="s">
        <v>350</v>
      </c>
      <c r="D1381" s="374">
        <v>216879.14</v>
      </c>
      <c r="E1381" s="95" t="e">
        <f t="shared" si="192"/>
        <v>#DIV/0!</v>
      </c>
      <c r="F1381" s="98">
        <v>2.5</v>
      </c>
      <c r="G1381" s="98">
        <v>0</v>
      </c>
      <c r="H1381" s="98">
        <v>0</v>
      </c>
      <c r="I1381" s="98">
        <v>0</v>
      </c>
      <c r="J1381" s="98"/>
      <c r="K1381" s="93"/>
      <c r="L1381" s="93">
        <f t="shared" si="185"/>
        <v>0</v>
      </c>
      <c r="M1381" s="95" t="e">
        <f t="shared" ca="1" si="186"/>
        <v>#DIV/0!</v>
      </c>
      <c r="N1381" s="95">
        <f>IF(P1381="Hedge Fund",IF(A1381=Summary!$AD$3,M1381-E1381,M1381),IF(A1381=Summary!$AD$3,L1381-D1381,L1381))</f>
        <v>0</v>
      </c>
      <c r="O1381" s="95"/>
      <c r="P1381" s="107" t="s">
        <v>155</v>
      </c>
      <c r="Q1381" s="107">
        <v>0</v>
      </c>
      <c r="R1381" s="107">
        <v>0</v>
      </c>
      <c r="S1381" s="107">
        <v>0</v>
      </c>
      <c r="T1381" s="107">
        <v>0</v>
      </c>
      <c r="U1381" s="107"/>
      <c r="V1381" s="107"/>
      <c r="W1381" s="107"/>
      <c r="X1381" s="107"/>
      <c r="Y1381" s="107"/>
      <c r="Z1381" s="107"/>
      <c r="AA1381" s="107"/>
      <c r="AB1381" s="107"/>
      <c r="AC1381" s="355"/>
      <c r="AD1381" s="355"/>
      <c r="AE1381" s="355"/>
      <c r="AF1381" s="94">
        <f t="shared" si="187"/>
        <v>42216</v>
      </c>
      <c r="AG1381" s="185">
        <f t="shared" si="191"/>
        <v>-2.8545287356320781E-3</v>
      </c>
      <c r="AH1381" s="339" t="str">
        <f>VLOOKUP(B1381,'MF PF'!A:B,2)</f>
        <v>FdMgt1</v>
      </c>
      <c r="AI1381" s="358">
        <f t="shared" si="188"/>
        <v>0</v>
      </c>
      <c r="AJ1381" s="94">
        <f t="shared" si="189"/>
        <v>42216</v>
      </c>
    </row>
    <row r="1382" spans="1:36" ht="12.75" customHeight="1">
      <c r="A1382" s="8">
        <v>42247</v>
      </c>
      <c r="B1382" s="94" t="s">
        <v>136</v>
      </c>
      <c r="C1382" s="358" t="s">
        <v>350</v>
      </c>
      <c r="D1382" s="374">
        <v>215953.47</v>
      </c>
      <c r="E1382" s="9" t="e">
        <f t="shared" si="192"/>
        <v>#DIV/0!</v>
      </c>
      <c r="F1382" s="98">
        <v>2.5</v>
      </c>
      <c r="G1382" s="98">
        <v>0</v>
      </c>
      <c r="H1382" s="98">
        <v>0</v>
      </c>
      <c r="I1382" s="98">
        <v>0</v>
      </c>
      <c r="J1382" s="98"/>
      <c r="L1382" s="93">
        <f t="shared" si="185"/>
        <v>0</v>
      </c>
      <c r="M1382" s="95" t="e">
        <f t="shared" ca="1" si="186"/>
        <v>#DIV/0!</v>
      </c>
      <c r="N1382" s="95">
        <f>IF(P1382="Hedge Fund",IF(A1382=Summary!$AD$3,M1382-E1382,M1382),IF(A1382=Summary!$AD$3,L1382-D1382,L1382))</f>
        <v>0</v>
      </c>
      <c r="O1382" s="95"/>
      <c r="P1382" s="89" t="s">
        <v>155</v>
      </c>
      <c r="Q1382" s="107">
        <v>0</v>
      </c>
      <c r="R1382" s="107">
        <v>0</v>
      </c>
      <c r="S1382" s="107">
        <v>0</v>
      </c>
      <c r="T1382" s="107">
        <v>0</v>
      </c>
      <c r="U1382" s="107"/>
      <c r="V1382" s="107"/>
      <c r="W1382" s="107"/>
      <c r="X1382" s="107"/>
      <c r="Y1382" s="107"/>
      <c r="Z1382" s="107"/>
      <c r="AA1382" s="107"/>
      <c r="AB1382" s="107"/>
      <c r="AC1382" s="355"/>
      <c r="AD1382" s="355"/>
      <c r="AE1382" s="355"/>
      <c r="AF1382" s="94">
        <f t="shared" si="187"/>
        <v>42247</v>
      </c>
      <c r="AG1382" s="185">
        <f t="shared" si="191"/>
        <v>-4.2681375442562564E-3</v>
      </c>
      <c r="AH1382" s="339" t="str">
        <f>VLOOKUP(B1382,'MF PF'!A:B,2)</f>
        <v>FdMgt1</v>
      </c>
      <c r="AI1382" s="358">
        <f t="shared" si="188"/>
        <v>0</v>
      </c>
      <c r="AJ1382" s="94">
        <f t="shared" si="189"/>
        <v>42247</v>
      </c>
    </row>
    <row r="1383" spans="1:36" ht="12.75" customHeight="1">
      <c r="A1383" s="8">
        <v>42277</v>
      </c>
      <c r="B1383" s="94" t="s">
        <v>136</v>
      </c>
      <c r="C1383" s="358" t="s">
        <v>350</v>
      </c>
      <c r="D1383" s="374">
        <v>216506.16</v>
      </c>
      <c r="E1383" s="9" t="e">
        <f t="shared" si="192"/>
        <v>#DIV/0!</v>
      </c>
      <c r="F1383" s="98">
        <v>2.5</v>
      </c>
      <c r="G1383" s="98">
        <v>0</v>
      </c>
      <c r="H1383" s="98">
        <v>0</v>
      </c>
      <c r="I1383" s="98">
        <v>0</v>
      </c>
      <c r="J1383" s="98"/>
      <c r="L1383" s="93">
        <f t="shared" si="185"/>
        <v>0</v>
      </c>
      <c r="M1383" s="95" t="e">
        <f t="shared" ca="1" si="186"/>
        <v>#DIV/0!</v>
      </c>
      <c r="N1383" s="95">
        <f>IF(P1383="Hedge Fund",IF(A1383=Summary!$AD$3,M1383-E1383,M1383),IF(A1383=Summary!$AD$3,L1383-D1383,L1383))</f>
        <v>0</v>
      </c>
      <c r="O1383" s="95"/>
      <c r="P1383" s="107" t="s">
        <v>155</v>
      </c>
      <c r="Q1383" s="107">
        <v>0</v>
      </c>
      <c r="R1383" s="107">
        <v>0</v>
      </c>
      <c r="S1383" s="107">
        <v>0</v>
      </c>
      <c r="T1383" s="107">
        <v>0</v>
      </c>
      <c r="U1383" s="107"/>
      <c r="V1383" s="107"/>
      <c r="W1383" s="107"/>
      <c r="X1383" s="107"/>
      <c r="Y1383" s="107"/>
      <c r="Z1383" s="107"/>
      <c r="AA1383" s="107"/>
      <c r="AB1383" s="107"/>
      <c r="AC1383" s="355"/>
      <c r="AD1383" s="355"/>
      <c r="AE1383" s="355"/>
      <c r="AF1383" s="94">
        <f t="shared" si="187"/>
        <v>42277</v>
      </c>
      <c r="AG1383" s="185">
        <f t="shared" si="191"/>
        <v>2.5593013161584466E-3</v>
      </c>
      <c r="AH1383" s="339" t="str">
        <f>VLOOKUP(B1383,'MF PF'!A:B,2)</f>
        <v>FdMgt1</v>
      </c>
      <c r="AI1383" s="358">
        <f t="shared" si="188"/>
        <v>0</v>
      </c>
      <c r="AJ1383" s="94">
        <f t="shared" si="189"/>
        <v>42277</v>
      </c>
    </row>
    <row r="1384" spans="1:36" ht="12.75" customHeight="1">
      <c r="A1384" s="8">
        <v>42307</v>
      </c>
      <c r="B1384" s="94" t="s">
        <v>136</v>
      </c>
      <c r="C1384" s="358" t="s">
        <v>350</v>
      </c>
      <c r="D1384" s="374">
        <v>215726.95</v>
      </c>
      <c r="E1384" s="9" t="e">
        <f t="shared" si="192"/>
        <v>#DIV/0!</v>
      </c>
      <c r="F1384" s="98">
        <v>2.5</v>
      </c>
      <c r="G1384" s="98">
        <v>0</v>
      </c>
      <c r="H1384" s="98">
        <v>0</v>
      </c>
      <c r="I1384" s="98">
        <v>0</v>
      </c>
      <c r="J1384" s="98"/>
      <c r="L1384" s="93">
        <f t="shared" si="185"/>
        <v>0</v>
      </c>
      <c r="M1384" s="95" t="e">
        <f t="shared" ca="1" si="186"/>
        <v>#DIV/0!</v>
      </c>
      <c r="N1384" s="95">
        <f>IF(P1384="Hedge Fund",IF(A1384=Summary!$AD$3,M1384-E1384,M1384),IF(A1384=Summary!$AD$3,L1384-D1384,L1384))</f>
        <v>0</v>
      </c>
      <c r="O1384" s="95"/>
      <c r="P1384" s="107" t="s">
        <v>155</v>
      </c>
      <c r="Q1384" s="107">
        <v>0</v>
      </c>
      <c r="R1384" s="107">
        <v>0</v>
      </c>
      <c r="S1384" s="107">
        <v>0</v>
      </c>
      <c r="T1384" s="107">
        <v>0</v>
      </c>
      <c r="U1384" s="107"/>
      <c r="V1384" s="107"/>
      <c r="W1384" s="107"/>
      <c r="X1384" s="107"/>
      <c r="Y1384" s="107"/>
      <c r="Z1384" s="107"/>
      <c r="AA1384" s="107"/>
      <c r="AB1384" s="107"/>
      <c r="AC1384" s="355"/>
      <c r="AD1384" s="355"/>
      <c r="AE1384" s="355"/>
      <c r="AF1384" s="94">
        <f t="shared" si="187"/>
        <v>42307</v>
      </c>
      <c r="AG1384" s="185">
        <f t="shared" si="191"/>
        <v>-3.5990200001699835E-3</v>
      </c>
      <c r="AH1384" s="339" t="str">
        <f>VLOOKUP(B1384,'MF PF'!A:B,2)</f>
        <v>FdMgt1</v>
      </c>
      <c r="AI1384" s="358">
        <f t="shared" si="188"/>
        <v>0</v>
      </c>
      <c r="AJ1384" s="94">
        <f t="shared" si="189"/>
        <v>42308</v>
      </c>
    </row>
    <row r="1385" spans="1:36" ht="12.75" customHeight="1">
      <c r="A1385" s="8">
        <v>42338</v>
      </c>
      <c r="B1385" s="94" t="s">
        <v>136</v>
      </c>
      <c r="C1385" s="358" t="s">
        <v>350</v>
      </c>
      <c r="D1385" s="374">
        <v>404815.59</v>
      </c>
      <c r="E1385" s="9" t="e">
        <f t="shared" si="192"/>
        <v>#DIV/0!</v>
      </c>
      <c r="F1385" s="98">
        <v>2.5</v>
      </c>
      <c r="G1385" s="98">
        <v>225000</v>
      </c>
      <c r="H1385" s="98">
        <v>0</v>
      </c>
      <c r="I1385" s="98">
        <v>0</v>
      </c>
      <c r="J1385" s="98"/>
      <c r="L1385" s="93">
        <f t="shared" si="185"/>
        <v>225000</v>
      </c>
      <c r="M1385" s="95" t="e">
        <f t="shared" ca="1" si="186"/>
        <v>#DIV/0!</v>
      </c>
      <c r="N1385" s="95">
        <f>IF(P1385="Hedge Fund",IF(A1385=Summary!$AD$3,M1385-E1385,M1385),IF(A1385=Summary!$AD$3,L1385-D1385,L1385))</f>
        <v>225000</v>
      </c>
      <c r="O1385" s="95"/>
      <c r="P1385" s="89" t="s">
        <v>155</v>
      </c>
      <c r="Q1385" s="107">
        <v>0</v>
      </c>
      <c r="R1385" s="107">
        <v>0</v>
      </c>
      <c r="S1385" s="107">
        <v>0</v>
      </c>
      <c r="T1385" s="107">
        <v>0</v>
      </c>
      <c r="U1385" s="107"/>
      <c r="V1385" s="107"/>
      <c r="W1385" s="107"/>
      <c r="X1385" s="107"/>
      <c r="Y1385" s="107"/>
      <c r="Z1385" s="107"/>
      <c r="AA1385" s="107"/>
      <c r="AB1385" s="107"/>
      <c r="AC1385" s="355"/>
      <c r="AD1385" s="355"/>
      <c r="AE1385" s="355"/>
      <c r="AF1385" s="94">
        <f t="shared" si="187"/>
        <v>42338</v>
      </c>
      <c r="AG1385" s="185">
        <f t="shared" si="191"/>
        <v>-0.16646673028103343</v>
      </c>
      <c r="AH1385" s="339" t="str">
        <f>VLOOKUP(B1385,'MF PF'!A:B,2)</f>
        <v>FdMgt1</v>
      </c>
      <c r="AI1385" s="358">
        <f t="shared" si="188"/>
        <v>0</v>
      </c>
      <c r="AJ1385" s="94">
        <f t="shared" si="189"/>
        <v>42338</v>
      </c>
    </row>
    <row r="1386" spans="1:36" ht="12.75" customHeight="1">
      <c r="A1386" s="8">
        <v>42369</v>
      </c>
      <c r="B1386" s="94" t="s">
        <v>136</v>
      </c>
      <c r="C1386" s="358" t="s">
        <v>350</v>
      </c>
      <c r="D1386" s="374">
        <v>447231.29</v>
      </c>
      <c r="E1386" s="9" t="e">
        <f t="shared" si="192"/>
        <v>#DIV/0!</v>
      </c>
      <c r="F1386" s="98">
        <v>2.5</v>
      </c>
      <c r="G1386" s="98">
        <v>0</v>
      </c>
      <c r="H1386" s="98">
        <v>0</v>
      </c>
      <c r="I1386" s="98">
        <v>0</v>
      </c>
      <c r="J1386" s="98"/>
      <c r="L1386" s="93">
        <f t="shared" si="185"/>
        <v>0</v>
      </c>
      <c r="M1386" s="95" t="e">
        <f t="shared" ca="1" si="186"/>
        <v>#DIV/0!</v>
      </c>
      <c r="N1386" s="95">
        <f>IF(P1386="Hedge Fund",IF(A1386=Summary!$AD$3,M1386-E1386,M1386),IF(A1386=Summary!$AD$3,L1386-D1386,L1386))</f>
        <v>0</v>
      </c>
      <c r="O1386" s="95"/>
      <c r="P1386" s="89" t="s">
        <v>155</v>
      </c>
      <c r="Q1386" s="107">
        <v>0</v>
      </c>
      <c r="R1386" s="107">
        <v>0</v>
      </c>
      <c r="S1386" s="107">
        <v>0</v>
      </c>
      <c r="T1386" s="107">
        <v>0</v>
      </c>
      <c r="U1386" s="107"/>
      <c r="V1386" s="107"/>
      <c r="W1386" s="107"/>
      <c r="X1386" s="107"/>
      <c r="Y1386" s="107"/>
      <c r="Z1386" s="107"/>
      <c r="AA1386" s="107"/>
      <c r="AB1386" s="107"/>
      <c r="AC1386" s="355"/>
      <c r="AD1386" s="355"/>
      <c r="AE1386" s="355"/>
      <c r="AF1386" s="94">
        <f t="shared" si="187"/>
        <v>42369</v>
      </c>
      <c r="AG1386" s="185">
        <f t="shared" si="191"/>
        <v>0.10477783229642901</v>
      </c>
      <c r="AH1386" s="339" t="str">
        <f>VLOOKUP(B1386,'MF PF'!A:B,2)</f>
        <v>FdMgt1</v>
      </c>
      <c r="AI1386" s="358">
        <f t="shared" si="188"/>
        <v>0</v>
      </c>
      <c r="AJ1386" s="94">
        <f t="shared" si="189"/>
        <v>42369</v>
      </c>
    </row>
    <row r="1387" spans="1:36" ht="12.75" customHeight="1">
      <c r="A1387" s="8">
        <v>42398</v>
      </c>
      <c r="B1387" s="94" t="s">
        <v>136</v>
      </c>
      <c r="C1387" s="6" t="s">
        <v>350</v>
      </c>
      <c r="D1387" s="374">
        <v>444336.02</v>
      </c>
      <c r="E1387" s="9" t="e">
        <f t="shared" si="192"/>
        <v>#DIV/0!</v>
      </c>
      <c r="F1387" s="98">
        <v>2.5</v>
      </c>
      <c r="G1387" s="98">
        <v>0</v>
      </c>
      <c r="H1387" s="98">
        <v>0</v>
      </c>
      <c r="I1387" s="98">
        <v>0</v>
      </c>
      <c r="J1387" s="98"/>
      <c r="L1387" s="93">
        <f t="shared" si="185"/>
        <v>0</v>
      </c>
      <c r="M1387" s="95" t="e">
        <f t="shared" ca="1" si="186"/>
        <v>#DIV/0!</v>
      </c>
      <c r="N1387" s="95">
        <f>IF(P1387="Hedge Fund",IF(A1387=Summary!$AD$3,M1387-E1387,M1387),IF(A1387=Summary!$AD$3,L1387-D1387,L1387))</f>
        <v>0</v>
      </c>
      <c r="O1387" s="95"/>
      <c r="P1387" s="107" t="s">
        <v>155</v>
      </c>
      <c r="Q1387" s="107">
        <v>0</v>
      </c>
      <c r="R1387" s="107">
        <v>0</v>
      </c>
      <c r="S1387" s="107">
        <v>0</v>
      </c>
      <c r="T1387" s="107">
        <v>0</v>
      </c>
      <c r="U1387" s="107"/>
      <c r="V1387" s="107"/>
      <c r="W1387" s="107"/>
      <c r="X1387" s="107"/>
      <c r="Y1387" s="107"/>
      <c r="Z1387" s="107"/>
      <c r="AA1387" s="107"/>
      <c r="AB1387" s="107"/>
      <c r="AC1387" s="355"/>
      <c r="AD1387" s="355"/>
      <c r="AE1387" s="355"/>
      <c r="AF1387" s="94">
        <f t="shared" si="187"/>
        <v>42398</v>
      </c>
      <c r="AG1387" s="185">
        <f t="shared" si="191"/>
        <v>-6.4737643915745435E-3</v>
      </c>
      <c r="AH1387" s="339" t="str">
        <f>VLOOKUP(B1387,'MF PF'!A:B,2)</f>
        <v>FdMgt1</v>
      </c>
      <c r="AI1387" s="358">
        <f t="shared" si="188"/>
        <v>0</v>
      </c>
      <c r="AJ1387" s="94">
        <f t="shared" si="189"/>
        <v>42400</v>
      </c>
    </row>
    <row r="1388" spans="1:36" ht="12.75" customHeight="1">
      <c r="A1388" s="8">
        <v>42429</v>
      </c>
      <c r="B1388" s="94" t="s">
        <v>136</v>
      </c>
      <c r="C1388" s="358" t="s">
        <v>350</v>
      </c>
      <c r="D1388" s="374">
        <v>1011300.5400000002</v>
      </c>
      <c r="E1388" s="9" t="e">
        <f t="shared" si="192"/>
        <v>#DIV/0!</v>
      </c>
      <c r="F1388" s="98">
        <v>2.5</v>
      </c>
      <c r="G1388" s="98">
        <v>560000</v>
      </c>
      <c r="H1388" s="98">
        <v>0</v>
      </c>
      <c r="I1388" s="98">
        <v>0</v>
      </c>
      <c r="J1388" s="98"/>
      <c r="L1388" s="93">
        <f t="shared" si="185"/>
        <v>560000</v>
      </c>
      <c r="M1388" s="95" t="e">
        <f t="shared" ca="1" si="186"/>
        <v>#DIV/0!</v>
      </c>
      <c r="N1388" s="95">
        <f>IF(P1388="Hedge Fund",IF(A1388=Summary!$AD$3,M1388-E1388,M1388),IF(A1388=Summary!$AD$3,L1388-D1388,L1388))</f>
        <v>560000</v>
      </c>
      <c r="O1388" s="95"/>
      <c r="P1388" s="107" t="s">
        <v>155</v>
      </c>
      <c r="Q1388" s="107">
        <v>0</v>
      </c>
      <c r="R1388" s="107">
        <v>0</v>
      </c>
      <c r="S1388" s="107">
        <v>0</v>
      </c>
      <c r="T1388" s="107">
        <v>0</v>
      </c>
      <c r="U1388" s="107"/>
      <c r="V1388" s="107"/>
      <c r="W1388" s="107"/>
      <c r="X1388" s="107"/>
      <c r="Y1388" s="107"/>
      <c r="Z1388" s="107"/>
      <c r="AA1388" s="107"/>
      <c r="AB1388" s="107"/>
      <c r="AC1388" s="355"/>
      <c r="AD1388" s="355"/>
      <c r="AE1388" s="355"/>
      <c r="AF1388" s="94">
        <f t="shared" si="187"/>
        <v>42429</v>
      </c>
      <c r="AG1388" s="185">
        <f t="shared" si="191"/>
        <v>1.5673993749145465E-2</v>
      </c>
      <c r="AH1388" s="339" t="str">
        <f>VLOOKUP(B1388,'MF PF'!A:B,2)</f>
        <v>FdMgt1</v>
      </c>
      <c r="AI1388" s="358">
        <f t="shared" si="188"/>
        <v>0</v>
      </c>
      <c r="AJ1388" s="94">
        <f t="shared" si="189"/>
        <v>42429</v>
      </c>
    </row>
    <row r="1389" spans="1:36" ht="12.75" customHeight="1">
      <c r="A1389" s="94">
        <v>42460</v>
      </c>
      <c r="B1389" s="94" t="s">
        <v>136</v>
      </c>
      <c r="C1389" s="358" t="s">
        <v>350</v>
      </c>
      <c r="D1389" s="374">
        <v>1017664.4299999999</v>
      </c>
      <c r="E1389" s="9" t="e">
        <f t="shared" si="192"/>
        <v>#DIV/0!</v>
      </c>
      <c r="F1389" s="98">
        <v>2.5</v>
      </c>
      <c r="G1389" s="98">
        <v>0</v>
      </c>
      <c r="H1389" s="98">
        <v>0</v>
      </c>
      <c r="I1389" s="98">
        <v>0</v>
      </c>
      <c r="J1389" s="98"/>
      <c r="L1389" s="93">
        <f t="shared" si="185"/>
        <v>0</v>
      </c>
      <c r="M1389" s="95" t="e">
        <f t="shared" ca="1" si="186"/>
        <v>#DIV/0!</v>
      </c>
      <c r="N1389" s="95">
        <f>IF(P1389="Hedge Fund",IF(A1389=Summary!$AD$3,M1389-E1389,M1389),IF(A1389=Summary!$AD$3,L1389-D1389,L1389))</f>
        <v>0</v>
      </c>
      <c r="O1389" s="95"/>
      <c r="P1389" s="89" t="s">
        <v>155</v>
      </c>
      <c r="Q1389" s="107">
        <v>0</v>
      </c>
      <c r="R1389" s="107">
        <v>0</v>
      </c>
      <c r="S1389" s="107">
        <v>0</v>
      </c>
      <c r="T1389" s="107">
        <v>0</v>
      </c>
      <c r="U1389" s="107"/>
      <c r="V1389" s="107"/>
      <c r="W1389" s="107"/>
      <c r="X1389" s="107"/>
      <c r="Y1389" s="107"/>
      <c r="Z1389" s="107"/>
      <c r="AA1389" s="107"/>
      <c r="AB1389" s="107"/>
      <c r="AC1389" s="355"/>
      <c r="AD1389" s="355"/>
      <c r="AE1389" s="355"/>
      <c r="AF1389" s="94">
        <f t="shared" si="187"/>
        <v>42460</v>
      </c>
      <c r="AG1389" s="185">
        <f t="shared" si="191"/>
        <v>6.2927782081474426E-3</v>
      </c>
      <c r="AH1389" s="339" t="str">
        <f>VLOOKUP(B1389,'MF PF'!A:B,2)</f>
        <v>FdMgt1</v>
      </c>
      <c r="AI1389" s="358">
        <f t="shared" si="188"/>
        <v>0</v>
      </c>
      <c r="AJ1389" s="94">
        <f t="shared" si="189"/>
        <v>42460</v>
      </c>
    </row>
    <row r="1390" spans="1:36" ht="12.75" customHeight="1">
      <c r="A1390" s="8">
        <v>42489</v>
      </c>
      <c r="B1390" s="94" t="s">
        <v>136</v>
      </c>
      <c r="C1390" s="358" t="s">
        <v>350</v>
      </c>
      <c r="D1390" s="374">
        <v>1418539.72</v>
      </c>
      <c r="E1390" s="9" t="e">
        <f t="shared" si="192"/>
        <v>#DIV/0!</v>
      </c>
      <c r="F1390" s="98">
        <v>2.5</v>
      </c>
      <c r="G1390" s="98">
        <v>400000</v>
      </c>
      <c r="H1390" s="98">
        <v>0</v>
      </c>
      <c r="I1390" s="98">
        <v>0</v>
      </c>
      <c r="J1390" s="98"/>
      <c r="L1390" s="93">
        <f t="shared" si="185"/>
        <v>400000</v>
      </c>
      <c r="M1390" s="95" t="e">
        <f t="shared" ca="1" si="186"/>
        <v>#DIV/0!</v>
      </c>
      <c r="N1390" s="95">
        <f>IF(P1390="Hedge Fund",IF(A1390=Summary!$AD$3,M1390-E1390,M1390),IF(A1390=Summary!$AD$3,L1390-D1390,L1390))</f>
        <v>400000</v>
      </c>
      <c r="O1390" s="95"/>
      <c r="P1390" s="89" t="s">
        <v>155</v>
      </c>
      <c r="Q1390" s="107">
        <v>0</v>
      </c>
      <c r="R1390" s="107">
        <v>0</v>
      </c>
      <c r="S1390" s="107">
        <v>0</v>
      </c>
      <c r="T1390" s="107">
        <v>0</v>
      </c>
      <c r="U1390" s="107"/>
      <c r="V1390" s="107"/>
      <c r="W1390" s="107"/>
      <c r="X1390" s="107"/>
      <c r="Y1390" s="107"/>
      <c r="Z1390" s="107"/>
      <c r="AA1390" s="107"/>
      <c r="AB1390" s="107"/>
      <c r="AC1390" s="355"/>
      <c r="AD1390" s="355"/>
      <c r="AE1390" s="355"/>
      <c r="AF1390" s="94">
        <f t="shared" si="187"/>
        <v>42489</v>
      </c>
      <c r="AG1390" s="185">
        <f t="shared" si="191"/>
        <v>8.6009687888966013E-4</v>
      </c>
      <c r="AH1390" s="339" t="str">
        <f>VLOOKUP(B1390,'MF PF'!A:B,2)</f>
        <v>FdMgt1</v>
      </c>
      <c r="AI1390" s="358">
        <f t="shared" si="188"/>
        <v>0</v>
      </c>
      <c r="AJ1390" s="94">
        <f t="shared" si="189"/>
        <v>42490</v>
      </c>
    </row>
    <row r="1391" spans="1:36" ht="12.75" customHeight="1">
      <c r="A1391" s="8">
        <v>42521</v>
      </c>
      <c r="B1391" s="94" t="s">
        <v>136</v>
      </c>
      <c r="C1391" s="358" t="s">
        <v>350</v>
      </c>
      <c r="D1391" s="374">
        <v>1440504.96</v>
      </c>
      <c r="E1391" s="9" t="e">
        <f t="shared" si="192"/>
        <v>#DIV/0!</v>
      </c>
      <c r="F1391" s="98">
        <v>2.5</v>
      </c>
      <c r="G1391" s="98">
        <v>0</v>
      </c>
      <c r="H1391" s="98">
        <v>0</v>
      </c>
      <c r="I1391" s="98">
        <v>0</v>
      </c>
      <c r="J1391" s="98"/>
      <c r="L1391" s="93">
        <f t="shared" si="185"/>
        <v>0</v>
      </c>
      <c r="M1391" s="95" t="e">
        <f t="shared" ca="1" si="186"/>
        <v>#DIV/0!</v>
      </c>
      <c r="N1391" s="95">
        <f>IF(P1391="Hedge Fund",IF(A1391=Summary!$AD$3,M1391-E1391,M1391),IF(A1391=Summary!$AD$3,L1391-D1391,L1391))</f>
        <v>0</v>
      </c>
      <c r="O1391" s="95"/>
      <c r="P1391" s="89" t="s">
        <v>155</v>
      </c>
      <c r="Q1391" s="107">
        <v>0</v>
      </c>
      <c r="R1391" s="107">
        <v>0</v>
      </c>
      <c r="S1391" s="107">
        <v>0</v>
      </c>
      <c r="T1391" s="107">
        <v>0</v>
      </c>
      <c r="U1391" s="107"/>
      <c r="V1391" s="107"/>
      <c r="W1391" s="107"/>
      <c r="X1391" s="107"/>
      <c r="Y1391" s="107"/>
      <c r="Z1391" s="107"/>
      <c r="AA1391" s="107"/>
      <c r="AB1391" s="107"/>
      <c r="AC1391" s="355"/>
      <c r="AD1391" s="355"/>
      <c r="AE1391" s="355"/>
      <c r="AF1391" s="94">
        <f t="shared" si="187"/>
        <v>42521</v>
      </c>
      <c r="AG1391" s="185">
        <f t="shared" si="191"/>
        <v>1.5484402509363671E-2</v>
      </c>
      <c r="AH1391" s="339" t="str">
        <f>VLOOKUP(B1391,'MF PF'!A:B,2)</f>
        <v>FdMgt1</v>
      </c>
      <c r="AI1391" s="358">
        <f t="shared" si="188"/>
        <v>0</v>
      </c>
      <c r="AJ1391" s="94">
        <f t="shared" si="189"/>
        <v>42521</v>
      </c>
    </row>
    <row r="1392" spans="1:36" ht="12.75" customHeight="1">
      <c r="A1392" s="94">
        <v>42551</v>
      </c>
      <c r="B1392" s="94" t="s">
        <v>136</v>
      </c>
      <c r="C1392" s="92" t="s">
        <v>350</v>
      </c>
      <c r="D1392" s="374">
        <v>1442260.71</v>
      </c>
      <c r="E1392" s="9" t="e">
        <f t="shared" si="192"/>
        <v>#DIV/0!</v>
      </c>
      <c r="F1392" s="98">
        <v>2.5</v>
      </c>
      <c r="G1392" s="98">
        <v>0</v>
      </c>
      <c r="H1392" s="98">
        <v>0</v>
      </c>
      <c r="I1392" s="98">
        <v>0</v>
      </c>
      <c r="J1392" s="98"/>
      <c r="L1392" s="93">
        <f t="shared" si="185"/>
        <v>0</v>
      </c>
      <c r="M1392" s="95" t="e">
        <f t="shared" ca="1" si="186"/>
        <v>#DIV/0!</v>
      </c>
      <c r="N1392" s="95">
        <f>IF(P1392="Hedge Fund",IF(A1392=Summary!$AD$3,M1392-E1392,M1392),IF(A1392=Summary!$AD$3,L1392-D1392,L1392))</f>
        <v>0</v>
      </c>
      <c r="O1392" s="95"/>
      <c r="P1392" s="107" t="s">
        <v>155</v>
      </c>
      <c r="Q1392" s="107">
        <v>0</v>
      </c>
      <c r="R1392" s="107">
        <v>0</v>
      </c>
      <c r="S1392" s="107">
        <v>0</v>
      </c>
      <c r="T1392" s="107">
        <v>0</v>
      </c>
      <c r="U1392" s="107"/>
      <c r="V1392" s="107"/>
      <c r="W1392" s="107"/>
      <c r="X1392" s="107"/>
      <c r="Y1392" s="107"/>
      <c r="Z1392" s="107"/>
      <c r="AA1392" s="107"/>
      <c r="AB1392" s="107"/>
      <c r="AC1392" s="355"/>
      <c r="AD1392" s="355"/>
      <c r="AE1392" s="355"/>
      <c r="AF1392" s="94">
        <f t="shared" si="187"/>
        <v>42551</v>
      </c>
      <c r="AG1392" s="185">
        <f t="shared" si="191"/>
        <v>1.2188434255719915E-3</v>
      </c>
      <c r="AH1392" s="339" t="str">
        <f>VLOOKUP(B1392,'MF PF'!A:B,2)</f>
        <v>FdMgt1</v>
      </c>
      <c r="AI1392" s="358">
        <f t="shared" si="188"/>
        <v>0</v>
      </c>
      <c r="AJ1392" s="94">
        <f t="shared" si="189"/>
        <v>42551</v>
      </c>
    </row>
    <row r="1393" spans="1:36" ht="12.75" customHeight="1">
      <c r="A1393" s="8">
        <v>42580</v>
      </c>
      <c r="B1393" s="94" t="s">
        <v>136</v>
      </c>
      <c r="C1393" s="92" t="s">
        <v>350</v>
      </c>
      <c r="D1393" s="374">
        <v>1432785.16</v>
      </c>
      <c r="E1393" s="9" t="e">
        <f t="shared" si="192"/>
        <v>#DIV/0!</v>
      </c>
      <c r="F1393" s="98">
        <v>2.5</v>
      </c>
      <c r="G1393" s="98">
        <v>0</v>
      </c>
      <c r="H1393" s="98">
        <v>0</v>
      </c>
      <c r="I1393" s="98">
        <v>0</v>
      </c>
      <c r="J1393" s="98"/>
      <c r="L1393" s="93">
        <f t="shared" si="185"/>
        <v>0</v>
      </c>
      <c r="M1393" s="95" t="e">
        <f t="shared" ca="1" si="186"/>
        <v>#DIV/0!</v>
      </c>
      <c r="N1393" s="95">
        <f>IF(P1393="Hedge Fund",IF(A1393=Summary!$AD$3,M1393-E1393,M1393),IF(A1393=Summary!$AD$3,L1393-D1393,L1393))</f>
        <v>0</v>
      </c>
      <c r="O1393" s="95"/>
      <c r="P1393" s="89" t="s">
        <v>155</v>
      </c>
      <c r="Q1393" s="107">
        <v>0</v>
      </c>
      <c r="R1393" s="107">
        <v>0</v>
      </c>
      <c r="S1393" s="107">
        <v>0</v>
      </c>
      <c r="T1393" s="107">
        <v>0</v>
      </c>
      <c r="U1393" s="107"/>
      <c r="V1393" s="107"/>
      <c r="W1393" s="107"/>
      <c r="X1393" s="107"/>
      <c r="Y1393" s="107"/>
      <c r="Z1393" s="107"/>
      <c r="AA1393" s="107"/>
      <c r="AB1393" s="107"/>
      <c r="AC1393" s="355"/>
      <c r="AD1393" s="355"/>
      <c r="AE1393" s="355"/>
      <c r="AF1393" s="94">
        <f t="shared" si="187"/>
        <v>42580</v>
      </c>
      <c r="AG1393" s="185">
        <f t="shared" si="191"/>
        <v>-6.5699286781514266E-3</v>
      </c>
      <c r="AH1393" s="339" t="str">
        <f>VLOOKUP(B1393,'MF PF'!A:B,2)</f>
        <v>FdMgt1</v>
      </c>
      <c r="AI1393" s="358">
        <f t="shared" si="188"/>
        <v>0</v>
      </c>
      <c r="AJ1393" s="94">
        <f t="shared" si="189"/>
        <v>42582</v>
      </c>
    </row>
    <row r="1394" spans="1:36" ht="12.75" customHeight="1">
      <c r="A1394" s="94">
        <v>42613</v>
      </c>
      <c r="B1394" s="94" t="s">
        <v>136</v>
      </c>
      <c r="C1394" s="92" t="s">
        <v>350</v>
      </c>
      <c r="D1394" s="374">
        <v>1433378.49</v>
      </c>
      <c r="E1394" s="9" t="e">
        <f t="shared" si="192"/>
        <v>#DIV/0!</v>
      </c>
      <c r="F1394" s="98">
        <v>2.5</v>
      </c>
      <c r="G1394" s="98">
        <v>0</v>
      </c>
      <c r="H1394" s="98">
        <v>0</v>
      </c>
      <c r="I1394" s="98">
        <v>0</v>
      </c>
      <c r="J1394" s="98"/>
      <c r="L1394" s="93">
        <f t="shared" si="185"/>
        <v>0</v>
      </c>
      <c r="M1394" s="95" t="e">
        <f t="shared" ca="1" si="186"/>
        <v>#DIV/0!</v>
      </c>
      <c r="N1394" s="95">
        <f>IF(P1394="Hedge Fund",IF(A1394=Summary!$AD$3,M1394-E1394,M1394),IF(A1394=Summary!$AD$3,L1394-D1394,L1394))</f>
        <v>0</v>
      </c>
      <c r="O1394" s="95"/>
      <c r="P1394" s="89" t="s">
        <v>155</v>
      </c>
      <c r="Q1394" s="107">
        <v>0</v>
      </c>
      <c r="R1394" s="107">
        <v>0</v>
      </c>
      <c r="S1394" s="107">
        <v>0</v>
      </c>
      <c r="T1394" s="107">
        <v>0</v>
      </c>
      <c r="U1394" s="107"/>
      <c r="V1394" s="107"/>
      <c r="W1394" s="107"/>
      <c r="X1394" s="107"/>
      <c r="Y1394" s="107"/>
      <c r="Z1394" s="107"/>
      <c r="AA1394" s="107"/>
      <c r="AB1394" s="107"/>
      <c r="AC1394" s="355"/>
      <c r="AD1394" s="355"/>
      <c r="AE1394" s="355"/>
      <c r="AF1394" s="94">
        <f t="shared" si="187"/>
        <v>42613</v>
      </c>
      <c r="AG1394" s="185">
        <f t="shared" si="191"/>
        <v>4.1410953753873159E-4</v>
      </c>
      <c r="AH1394" s="339" t="str">
        <f>VLOOKUP(B1394,'MF PF'!A:B,2)</f>
        <v>FdMgt1</v>
      </c>
      <c r="AI1394" s="358">
        <f t="shared" si="188"/>
        <v>0</v>
      </c>
      <c r="AJ1394" s="94">
        <f t="shared" si="189"/>
        <v>42613</v>
      </c>
    </row>
    <row r="1395" spans="1:36" ht="12.75" customHeight="1">
      <c r="A1395" s="8">
        <v>42643</v>
      </c>
      <c r="B1395" s="94" t="s">
        <v>136</v>
      </c>
      <c r="C1395" s="6" t="s">
        <v>350</v>
      </c>
      <c r="D1395" s="374">
        <v>1501829.3</v>
      </c>
      <c r="E1395" s="9" t="e">
        <f t="shared" si="192"/>
        <v>#DIV/0!</v>
      </c>
      <c r="F1395" s="98">
        <v>2.5</v>
      </c>
      <c r="G1395" s="98">
        <v>0</v>
      </c>
      <c r="H1395" s="98">
        <v>0</v>
      </c>
      <c r="I1395" s="98">
        <v>0</v>
      </c>
      <c r="J1395" s="98"/>
      <c r="L1395" s="93">
        <f t="shared" si="185"/>
        <v>0</v>
      </c>
      <c r="M1395" s="95" t="e">
        <f t="shared" ca="1" si="186"/>
        <v>#DIV/0!</v>
      </c>
      <c r="N1395" s="95">
        <f>IF(P1395="Hedge Fund",IF(A1395=Summary!$AD$3,M1395-E1395,M1395),IF(A1395=Summary!$AD$3,L1395-D1395,L1395))</f>
        <v>0</v>
      </c>
      <c r="O1395" s="95"/>
      <c r="P1395" s="89" t="s">
        <v>155</v>
      </c>
      <c r="Q1395" s="107">
        <v>0</v>
      </c>
      <c r="R1395" s="107">
        <v>0</v>
      </c>
      <c r="S1395" s="107">
        <v>0</v>
      </c>
      <c r="T1395" s="107">
        <v>0</v>
      </c>
      <c r="U1395" s="107"/>
      <c r="V1395" s="107"/>
      <c r="W1395" s="107"/>
      <c r="X1395" s="107"/>
      <c r="Y1395" s="107"/>
      <c r="Z1395" s="107"/>
      <c r="AA1395" s="107"/>
      <c r="AB1395" s="107"/>
      <c r="AC1395" s="355"/>
      <c r="AD1395" s="355"/>
      <c r="AE1395" s="355"/>
      <c r="AF1395" s="94">
        <f t="shared" si="187"/>
        <v>42643</v>
      </c>
      <c r="AG1395" s="185">
        <f t="shared" si="191"/>
        <v>4.7754874569102768E-2</v>
      </c>
      <c r="AH1395" s="339" t="str">
        <f>VLOOKUP(B1395,'MF PF'!A:B,2)</f>
        <v>FdMgt1</v>
      </c>
      <c r="AI1395" s="358">
        <f t="shared" si="188"/>
        <v>0</v>
      </c>
      <c r="AJ1395" s="94">
        <f t="shared" si="189"/>
        <v>42643</v>
      </c>
    </row>
    <row r="1396" spans="1:36" ht="12.75" customHeight="1">
      <c r="A1396" s="94">
        <v>42674</v>
      </c>
      <c r="B1396" s="94" t="s">
        <v>136</v>
      </c>
      <c r="C1396" s="358" t="s">
        <v>350</v>
      </c>
      <c r="D1396" s="374">
        <v>1549740.1</v>
      </c>
      <c r="E1396" s="9" t="e">
        <f t="shared" si="192"/>
        <v>#DIV/0!</v>
      </c>
      <c r="F1396" s="98">
        <v>2.5</v>
      </c>
      <c r="G1396" s="98">
        <v>0</v>
      </c>
      <c r="H1396" s="98">
        <v>0</v>
      </c>
      <c r="I1396" s="98">
        <v>0</v>
      </c>
      <c r="J1396" s="98"/>
      <c r="L1396" s="93">
        <f t="shared" si="185"/>
        <v>0</v>
      </c>
      <c r="M1396" s="95" t="e">
        <f t="shared" ca="1" si="186"/>
        <v>#DIV/0!</v>
      </c>
      <c r="N1396" s="95">
        <f>IF(P1396="Hedge Fund",IF(A1396=Summary!$AD$3,M1396-E1396,M1396),IF(A1396=Summary!$AD$3,L1396-D1396,L1396))</f>
        <v>0</v>
      </c>
      <c r="O1396" s="95"/>
      <c r="P1396" s="89" t="s">
        <v>155</v>
      </c>
      <c r="Q1396" s="107">
        <v>0</v>
      </c>
      <c r="R1396" s="107">
        <v>0</v>
      </c>
      <c r="S1396" s="107">
        <v>0</v>
      </c>
      <c r="T1396" s="107">
        <v>0</v>
      </c>
      <c r="U1396" s="107"/>
      <c r="V1396" s="107"/>
      <c r="W1396" s="107"/>
      <c r="X1396" s="107"/>
      <c r="Y1396" s="107"/>
      <c r="Z1396" s="107"/>
      <c r="AA1396" s="107"/>
      <c r="AB1396" s="107"/>
      <c r="AC1396" s="355"/>
      <c r="AD1396" s="355"/>
      <c r="AE1396" s="355"/>
      <c r="AF1396" s="94">
        <f t="shared" si="187"/>
        <v>42674</v>
      </c>
      <c r="AG1396" s="185">
        <f t="shared" si="191"/>
        <v>3.1901628234314083E-2</v>
      </c>
      <c r="AH1396" s="339" t="str">
        <f>VLOOKUP(B1396,'MF PF'!A:B,2)</f>
        <v>FdMgt1</v>
      </c>
      <c r="AI1396" s="358">
        <f t="shared" si="188"/>
        <v>0</v>
      </c>
      <c r="AJ1396" s="94">
        <f t="shared" si="189"/>
        <v>42674</v>
      </c>
    </row>
    <row r="1397" spans="1:36" ht="12.75" customHeight="1">
      <c r="A1397" s="8">
        <v>42704</v>
      </c>
      <c r="B1397" s="94" t="s">
        <v>136</v>
      </c>
      <c r="C1397" s="358" t="s">
        <v>350</v>
      </c>
      <c r="D1397" s="374">
        <v>1566979.4</v>
      </c>
      <c r="E1397" s="9" t="e">
        <f t="shared" si="192"/>
        <v>#DIV/0!</v>
      </c>
      <c r="F1397" s="98">
        <v>2.5</v>
      </c>
      <c r="G1397" s="98">
        <v>0</v>
      </c>
      <c r="H1397" s="98">
        <v>0</v>
      </c>
      <c r="I1397" s="98">
        <v>0</v>
      </c>
      <c r="J1397" s="98"/>
      <c r="L1397" s="93">
        <f t="shared" si="185"/>
        <v>0</v>
      </c>
      <c r="M1397" s="95" t="e">
        <f t="shared" ca="1" si="186"/>
        <v>#DIV/0!</v>
      </c>
      <c r="N1397" s="95">
        <f>IF(P1397="Hedge Fund",IF(A1397=Summary!$AD$3,M1397-E1397,M1397),IF(A1397=Summary!$AD$3,L1397-D1397,L1397))</f>
        <v>0</v>
      </c>
      <c r="O1397" s="95"/>
      <c r="P1397" s="89" t="s">
        <v>155</v>
      </c>
      <c r="Q1397" s="107">
        <v>0</v>
      </c>
      <c r="R1397" s="107">
        <v>0</v>
      </c>
      <c r="S1397" s="107">
        <v>0</v>
      </c>
      <c r="T1397" s="107">
        <v>0</v>
      </c>
      <c r="U1397" s="107"/>
      <c r="V1397" s="107"/>
      <c r="W1397" s="107"/>
      <c r="X1397" s="107"/>
      <c r="Y1397" s="107"/>
      <c r="Z1397" s="107"/>
      <c r="AA1397" s="107"/>
      <c r="AB1397" s="107"/>
      <c r="AC1397" s="355"/>
      <c r="AD1397" s="355"/>
      <c r="AE1397" s="355"/>
      <c r="AF1397" s="94">
        <f t="shared" si="187"/>
        <v>42704</v>
      </c>
      <c r="AG1397" s="185">
        <f t="shared" si="191"/>
        <v>1.1123994274910842E-2</v>
      </c>
      <c r="AH1397" s="339" t="str">
        <f>VLOOKUP(B1397,'MF PF'!A:B,2)</f>
        <v>FdMgt1</v>
      </c>
      <c r="AI1397" s="358">
        <f t="shared" si="188"/>
        <v>0</v>
      </c>
      <c r="AJ1397" s="94">
        <f t="shared" si="189"/>
        <v>42704</v>
      </c>
    </row>
    <row r="1398" spans="1:36" ht="12.75" customHeight="1">
      <c r="A1398" s="8">
        <v>42734</v>
      </c>
      <c r="B1398" s="94" t="s">
        <v>136</v>
      </c>
      <c r="C1398" s="358" t="s">
        <v>350</v>
      </c>
      <c r="D1398" s="374">
        <v>2662383.33</v>
      </c>
      <c r="E1398" s="9" t="e">
        <f t="shared" si="192"/>
        <v>#DIV/0!</v>
      </c>
      <c r="F1398" s="98">
        <v>2.5</v>
      </c>
      <c r="G1398" s="98">
        <v>1097500</v>
      </c>
      <c r="H1398" s="98">
        <v>0</v>
      </c>
      <c r="I1398" s="98">
        <v>0</v>
      </c>
      <c r="J1398" s="98"/>
      <c r="L1398" s="93">
        <f t="shared" si="185"/>
        <v>1097500</v>
      </c>
      <c r="M1398" s="95" t="e">
        <f t="shared" ca="1" si="186"/>
        <v>#DIV/0!</v>
      </c>
      <c r="N1398" s="95">
        <f>IF(P1398="Hedge Fund",IF(A1398=Summary!$AD$3,M1398-E1398,M1398),IF(A1398=Summary!$AD$3,L1398-D1398,L1398))</f>
        <v>1097500</v>
      </c>
      <c r="O1398" s="95"/>
      <c r="P1398" s="89" t="s">
        <v>155</v>
      </c>
      <c r="Q1398" s="107">
        <v>0</v>
      </c>
      <c r="R1398" s="107">
        <v>0</v>
      </c>
      <c r="S1398" s="107">
        <v>0</v>
      </c>
      <c r="T1398" s="107">
        <v>0</v>
      </c>
      <c r="U1398" s="107"/>
      <c r="V1398" s="107"/>
      <c r="W1398" s="107"/>
      <c r="X1398" s="107"/>
      <c r="Y1398" s="107"/>
      <c r="Z1398" s="107"/>
      <c r="AA1398" s="107"/>
      <c r="AB1398" s="107"/>
      <c r="AC1398" s="355"/>
      <c r="AD1398" s="355"/>
      <c r="AE1398" s="355"/>
      <c r="AF1398" s="94">
        <f t="shared" si="187"/>
        <v>42734</v>
      </c>
      <c r="AG1398" s="185">
        <f t="shared" si="191"/>
        <v>-1.3376500035672256E-3</v>
      </c>
      <c r="AH1398" s="339" t="str">
        <f>VLOOKUP(B1398,'MF PF'!A:B,2)</f>
        <v>FdMgt1</v>
      </c>
      <c r="AI1398" s="358">
        <f t="shared" si="188"/>
        <v>0</v>
      </c>
      <c r="AJ1398" s="94">
        <f t="shared" si="189"/>
        <v>42735</v>
      </c>
    </row>
    <row r="1399" spans="1:36" ht="12.75" customHeight="1">
      <c r="A1399" s="8">
        <v>42762</v>
      </c>
      <c r="B1399" s="94" t="s">
        <v>136</v>
      </c>
      <c r="C1399" s="358" t="s">
        <v>350</v>
      </c>
      <c r="D1399" s="374">
        <v>2694399.42</v>
      </c>
      <c r="E1399" s="9" t="e">
        <f t="shared" si="192"/>
        <v>#DIV/0!</v>
      </c>
      <c r="F1399" s="98">
        <v>2.5</v>
      </c>
      <c r="G1399" s="98">
        <v>0</v>
      </c>
      <c r="H1399" s="98">
        <v>0</v>
      </c>
      <c r="I1399" s="98">
        <v>0</v>
      </c>
      <c r="J1399" s="98"/>
      <c r="L1399" s="93">
        <f t="shared" si="185"/>
        <v>0</v>
      </c>
      <c r="M1399" s="95" t="e">
        <f t="shared" ca="1" si="186"/>
        <v>#DIV/0!</v>
      </c>
      <c r="N1399" s="95">
        <f>IF(P1399="Hedge Fund",IF(A1399=Summary!$AD$3,M1399-E1399,M1399),IF(A1399=Summary!$AD$3,L1399-D1399,L1399))</f>
        <v>0</v>
      </c>
      <c r="O1399" s="95"/>
      <c r="P1399" s="89" t="s">
        <v>155</v>
      </c>
      <c r="Q1399" s="107">
        <v>0</v>
      </c>
      <c r="R1399" s="107">
        <v>0</v>
      </c>
      <c r="S1399" s="107">
        <v>0</v>
      </c>
      <c r="T1399" s="107">
        <v>0</v>
      </c>
      <c r="U1399" s="107"/>
      <c r="V1399" s="107"/>
      <c r="W1399" s="107"/>
      <c r="X1399" s="107"/>
      <c r="Y1399" s="107"/>
      <c r="Z1399" s="107"/>
      <c r="AA1399" s="107"/>
      <c r="AB1399" s="107"/>
      <c r="AC1399" s="355"/>
      <c r="AD1399" s="355"/>
      <c r="AE1399" s="355"/>
      <c r="AF1399" s="94">
        <f t="shared" si="187"/>
        <v>42762</v>
      </c>
      <c r="AG1399" s="185">
        <f t="shared" si="191"/>
        <v>1.2025349482638115E-2</v>
      </c>
      <c r="AH1399" s="339" t="str">
        <f>VLOOKUP(B1399,'MF PF'!A:B,2)</f>
        <v>FdMgt1</v>
      </c>
      <c r="AI1399" s="358">
        <f t="shared" si="188"/>
        <v>0</v>
      </c>
      <c r="AJ1399" s="94">
        <f t="shared" si="189"/>
        <v>42766</v>
      </c>
    </row>
    <row r="1400" spans="1:36" ht="12.75" customHeight="1">
      <c r="A1400" s="8">
        <v>42794</v>
      </c>
      <c r="B1400" s="94" t="s">
        <v>136</v>
      </c>
      <c r="C1400" s="358" t="s">
        <v>350</v>
      </c>
      <c r="D1400" s="374">
        <v>2753160.31</v>
      </c>
      <c r="E1400" s="9" t="e">
        <f t="shared" si="192"/>
        <v>#DIV/0!</v>
      </c>
      <c r="F1400" s="98">
        <v>2.5</v>
      </c>
      <c r="G1400" s="98">
        <v>0</v>
      </c>
      <c r="H1400" s="98">
        <v>0</v>
      </c>
      <c r="I1400" s="98">
        <v>0</v>
      </c>
      <c r="J1400" s="98"/>
      <c r="K1400" s="93"/>
      <c r="L1400" s="93">
        <f t="shared" si="185"/>
        <v>0</v>
      </c>
      <c r="M1400" s="95" t="e">
        <f t="shared" ca="1" si="186"/>
        <v>#DIV/0!</v>
      </c>
      <c r="N1400" s="95">
        <f>IF(P1400="Hedge Fund",IF(A1400=Summary!$AD$3,M1400-E1400,M1400),IF(A1400=Summary!$AD$3,L1400-D1400,L1400))</f>
        <v>0</v>
      </c>
      <c r="O1400" s="95"/>
      <c r="P1400" s="89" t="s">
        <v>155</v>
      </c>
      <c r="Q1400" s="107">
        <v>0</v>
      </c>
      <c r="R1400" s="107">
        <v>0</v>
      </c>
      <c r="S1400" s="107">
        <v>0</v>
      </c>
      <c r="T1400" s="107">
        <v>0</v>
      </c>
      <c r="U1400" s="107"/>
      <c r="V1400" s="107"/>
      <c r="W1400" s="107"/>
      <c r="X1400" s="107"/>
      <c r="Y1400" s="107"/>
      <c r="Z1400" s="107"/>
      <c r="AA1400" s="107"/>
      <c r="AB1400" s="107"/>
      <c r="AC1400" s="355"/>
      <c r="AD1400" s="355"/>
      <c r="AE1400" s="355"/>
      <c r="AF1400" s="94">
        <f t="shared" si="187"/>
        <v>42794</v>
      </c>
      <c r="AG1400" s="185">
        <f t="shared" si="191"/>
        <v>2.1808529783605701E-2</v>
      </c>
      <c r="AH1400" s="339" t="str">
        <f>VLOOKUP(B1400,'MF PF'!A:B,2)</f>
        <v>FdMgt1</v>
      </c>
      <c r="AI1400" s="358">
        <f t="shared" si="188"/>
        <v>0</v>
      </c>
      <c r="AJ1400" s="94">
        <f t="shared" si="189"/>
        <v>42794</v>
      </c>
    </row>
    <row r="1401" spans="1:36" ht="12.75" customHeight="1">
      <c r="A1401" s="94">
        <v>42825</v>
      </c>
      <c r="B1401" s="94" t="s">
        <v>136</v>
      </c>
      <c r="C1401" s="358" t="s">
        <v>350</v>
      </c>
      <c r="D1401" s="374">
        <v>2746958.01</v>
      </c>
      <c r="E1401" s="9" t="e">
        <f t="shared" si="192"/>
        <v>#DIV/0!</v>
      </c>
      <c r="F1401" s="98">
        <v>2.5</v>
      </c>
      <c r="G1401" s="98">
        <v>0</v>
      </c>
      <c r="H1401" s="98">
        <v>0</v>
      </c>
      <c r="I1401" s="98">
        <v>0</v>
      </c>
      <c r="J1401" s="98"/>
      <c r="K1401" s="93"/>
      <c r="L1401" s="93">
        <f t="shared" si="185"/>
        <v>0</v>
      </c>
      <c r="M1401" s="95" t="e">
        <f t="shared" ca="1" si="186"/>
        <v>#DIV/0!</v>
      </c>
      <c r="N1401" s="95">
        <f>IF(P1401="Hedge Fund",IF(A1401=Summary!$AD$3,M1401-E1401,M1401),IF(A1401=Summary!$AD$3,L1401-D1401,L1401))</f>
        <v>0</v>
      </c>
      <c r="O1401" s="95"/>
      <c r="P1401" s="107" t="s">
        <v>155</v>
      </c>
      <c r="Q1401" s="107">
        <v>0</v>
      </c>
      <c r="R1401" s="107">
        <v>0</v>
      </c>
      <c r="S1401" s="107">
        <v>0</v>
      </c>
      <c r="T1401" s="107">
        <v>0</v>
      </c>
      <c r="U1401" s="107"/>
      <c r="V1401" s="107"/>
      <c r="W1401" s="107"/>
      <c r="X1401" s="107"/>
      <c r="Y1401" s="107"/>
      <c r="Z1401" s="107"/>
      <c r="AA1401" s="107"/>
      <c r="AB1401" s="107"/>
      <c r="AC1401" s="355"/>
      <c r="AD1401" s="355"/>
      <c r="AE1401" s="355"/>
      <c r="AF1401" s="94">
        <f t="shared" si="187"/>
        <v>42825</v>
      </c>
      <c r="AG1401" s="185">
        <f t="shared" si="191"/>
        <v>-2.2527929003888225E-3</v>
      </c>
      <c r="AH1401" s="339" t="str">
        <f>VLOOKUP(B1401,'MF PF'!A:B,2)</f>
        <v>FdMgt1</v>
      </c>
      <c r="AI1401" s="358">
        <f t="shared" si="188"/>
        <v>0</v>
      </c>
      <c r="AJ1401" s="94">
        <f t="shared" si="189"/>
        <v>42825</v>
      </c>
    </row>
    <row r="1402" spans="1:36" ht="12.75" customHeight="1">
      <c r="A1402" s="8">
        <v>42853</v>
      </c>
      <c r="B1402" s="94" t="s">
        <v>136</v>
      </c>
      <c r="C1402" s="92" t="s">
        <v>350</v>
      </c>
      <c r="D1402" s="374">
        <v>2756584.4</v>
      </c>
      <c r="E1402" s="9" t="e">
        <f t="shared" si="192"/>
        <v>#DIV/0!</v>
      </c>
      <c r="F1402" s="98">
        <v>2.5</v>
      </c>
      <c r="G1402" s="98">
        <v>0</v>
      </c>
      <c r="H1402" s="98">
        <v>0</v>
      </c>
      <c r="I1402" s="98">
        <v>0</v>
      </c>
      <c r="J1402" s="98"/>
      <c r="K1402" s="93"/>
      <c r="L1402" s="93">
        <f t="shared" si="185"/>
        <v>0</v>
      </c>
      <c r="M1402" s="95" t="e">
        <f t="shared" ca="1" si="186"/>
        <v>#DIV/0!</v>
      </c>
      <c r="N1402" s="95">
        <f>IF(P1402="Hedge Fund",IF(A1402=Summary!$AD$3,M1402-E1402,M1402),IF(A1402=Summary!$AD$3,L1402-D1402,L1402))</f>
        <v>0</v>
      </c>
      <c r="O1402" s="95"/>
      <c r="P1402" s="107" t="s">
        <v>155</v>
      </c>
      <c r="Q1402" s="107">
        <v>0</v>
      </c>
      <c r="R1402" s="107">
        <v>0</v>
      </c>
      <c r="S1402" s="107">
        <v>0</v>
      </c>
      <c r="T1402" s="107">
        <v>0</v>
      </c>
      <c r="U1402" s="107"/>
      <c r="V1402" s="107"/>
      <c r="W1402" s="107"/>
      <c r="X1402" s="107"/>
      <c r="Y1402" s="107"/>
      <c r="Z1402" s="107"/>
      <c r="AA1402" s="107"/>
      <c r="AB1402" s="107"/>
      <c r="AC1402" s="355"/>
      <c r="AD1402" s="355"/>
      <c r="AE1402" s="355"/>
      <c r="AF1402" s="94">
        <f t="shared" si="187"/>
        <v>42853</v>
      </c>
      <c r="AG1402" s="185">
        <f t="shared" si="191"/>
        <v>3.5043819253721686E-3</v>
      </c>
      <c r="AH1402" s="339" t="str">
        <f>VLOOKUP(B1402,'MF PF'!A:B,2)</f>
        <v>FdMgt1</v>
      </c>
      <c r="AI1402" s="358">
        <f t="shared" si="188"/>
        <v>0</v>
      </c>
      <c r="AJ1402" s="94">
        <f t="shared" si="189"/>
        <v>42855</v>
      </c>
    </row>
    <row r="1403" spans="1:36" ht="12.75" customHeight="1">
      <c r="A1403" s="8">
        <v>42886</v>
      </c>
      <c r="B1403" s="94" t="s">
        <v>136</v>
      </c>
      <c r="C1403" s="92" t="s">
        <v>350</v>
      </c>
      <c r="D1403" s="374">
        <v>2811246.84</v>
      </c>
      <c r="E1403" s="9" t="e">
        <f t="shared" si="192"/>
        <v>#DIV/0!</v>
      </c>
      <c r="F1403" s="98">
        <v>2.5</v>
      </c>
      <c r="G1403" s="98">
        <v>0</v>
      </c>
      <c r="H1403" s="98">
        <v>0</v>
      </c>
      <c r="I1403" s="98">
        <v>0</v>
      </c>
      <c r="J1403" s="98"/>
      <c r="L1403" s="93">
        <f t="shared" si="185"/>
        <v>0</v>
      </c>
      <c r="M1403" s="95" t="e">
        <f t="shared" ca="1" si="186"/>
        <v>#DIV/0!</v>
      </c>
      <c r="N1403" s="95">
        <f>IF(P1403="Hedge Fund",IF(A1403=Summary!$AD$3,M1403-E1403,M1403),IF(A1403=Summary!$AD$3,L1403-D1403,L1403))</f>
        <v>0</v>
      </c>
      <c r="O1403" s="95"/>
      <c r="P1403" s="107" t="s">
        <v>155</v>
      </c>
      <c r="Q1403" s="107">
        <v>0</v>
      </c>
      <c r="R1403" s="107">
        <v>0</v>
      </c>
      <c r="S1403" s="107">
        <v>0</v>
      </c>
      <c r="T1403" s="107">
        <v>0</v>
      </c>
      <c r="U1403" s="107"/>
      <c r="V1403" s="107"/>
      <c r="W1403" s="107"/>
      <c r="X1403" s="107"/>
      <c r="Y1403" s="107"/>
      <c r="Z1403" s="107"/>
      <c r="AA1403" s="107"/>
      <c r="AB1403" s="107"/>
      <c r="AC1403" s="355"/>
      <c r="AD1403" s="355"/>
      <c r="AE1403" s="355"/>
      <c r="AF1403" s="94">
        <f t="shared" si="187"/>
        <v>42886</v>
      </c>
      <c r="AG1403" s="185">
        <f t="shared" si="191"/>
        <v>1.9829771945310215E-2</v>
      </c>
      <c r="AH1403" s="339" t="str">
        <f>VLOOKUP(B1403,'MF PF'!A:B,2)</f>
        <v>FdMgt1</v>
      </c>
      <c r="AI1403" s="358">
        <f t="shared" si="188"/>
        <v>0</v>
      </c>
      <c r="AJ1403" s="94">
        <f t="shared" si="189"/>
        <v>42886</v>
      </c>
    </row>
    <row r="1404" spans="1:36" ht="12.75" customHeight="1">
      <c r="A1404" s="8">
        <v>42916</v>
      </c>
      <c r="B1404" s="94" t="s">
        <v>136</v>
      </c>
      <c r="C1404" s="92" t="s">
        <v>350</v>
      </c>
      <c r="D1404" s="374">
        <v>2842592.76</v>
      </c>
      <c r="E1404" s="95" t="e">
        <f t="shared" si="192"/>
        <v>#DIV/0!</v>
      </c>
      <c r="F1404" s="98">
        <v>2.5</v>
      </c>
      <c r="G1404" s="98">
        <v>0</v>
      </c>
      <c r="H1404" s="98">
        <v>0</v>
      </c>
      <c r="I1404" s="98">
        <v>0</v>
      </c>
      <c r="J1404" s="98"/>
      <c r="K1404" s="93"/>
      <c r="L1404" s="93">
        <f t="shared" si="185"/>
        <v>0</v>
      </c>
      <c r="M1404" s="95" t="e">
        <f t="shared" ca="1" si="186"/>
        <v>#DIV/0!</v>
      </c>
      <c r="N1404" s="95">
        <f>IF(P1404="Hedge Fund",IF(A1404=Summary!$AD$3,M1404-E1404,M1404),IF(A1404=Summary!$AD$3,L1404-D1404,L1404))</f>
        <v>0</v>
      </c>
      <c r="O1404" s="95"/>
      <c r="P1404" s="107" t="s">
        <v>155</v>
      </c>
      <c r="Q1404" s="107">
        <v>0</v>
      </c>
      <c r="R1404" s="107">
        <v>0</v>
      </c>
      <c r="S1404" s="107">
        <v>0</v>
      </c>
      <c r="T1404" s="107">
        <v>0</v>
      </c>
      <c r="U1404" s="107"/>
      <c r="V1404" s="107"/>
      <c r="W1404" s="107"/>
      <c r="X1404" s="107"/>
      <c r="Y1404" s="107"/>
      <c r="Z1404" s="107"/>
      <c r="AA1404" s="107"/>
      <c r="AB1404" s="107"/>
      <c r="AC1404" s="355"/>
      <c r="AD1404" s="355"/>
      <c r="AE1404" s="355"/>
      <c r="AF1404" s="94">
        <f t="shared" si="187"/>
        <v>42916</v>
      </c>
      <c r="AG1404" s="185">
        <f t="shared" si="191"/>
        <v>1.1150184165258148E-2</v>
      </c>
      <c r="AH1404" s="339" t="str">
        <f>VLOOKUP(B1404,'MF PF'!A:B,2)</f>
        <v>FdMgt1</v>
      </c>
      <c r="AI1404" s="358">
        <f t="shared" si="188"/>
        <v>0</v>
      </c>
      <c r="AJ1404" s="94">
        <f t="shared" si="189"/>
        <v>42916</v>
      </c>
    </row>
    <row r="1405" spans="1:36" ht="12.75" customHeight="1">
      <c r="A1405" s="8">
        <v>42947</v>
      </c>
      <c r="B1405" s="94" t="s">
        <v>136</v>
      </c>
      <c r="C1405" s="358" t="s">
        <v>350</v>
      </c>
      <c r="D1405" s="374">
        <v>2861866.98</v>
      </c>
      <c r="E1405" s="95" t="e">
        <f t="shared" si="192"/>
        <v>#DIV/0!</v>
      </c>
      <c r="F1405" s="98">
        <v>2.5</v>
      </c>
      <c r="G1405" s="98">
        <v>0</v>
      </c>
      <c r="H1405" s="98">
        <v>0</v>
      </c>
      <c r="I1405" s="98">
        <v>0</v>
      </c>
      <c r="J1405" s="98"/>
      <c r="K1405" s="93"/>
      <c r="L1405" s="93">
        <f t="shared" si="185"/>
        <v>0</v>
      </c>
      <c r="M1405" s="95" t="e">
        <f t="shared" ca="1" si="186"/>
        <v>#DIV/0!</v>
      </c>
      <c r="N1405" s="95">
        <f>IF(P1405="Hedge Fund",IF(A1405=Summary!$AD$3,M1405-E1405,M1405),IF(A1405=Summary!$AD$3,L1405-D1405,L1405))</f>
        <v>0</v>
      </c>
      <c r="O1405" s="95"/>
      <c r="P1405" s="107" t="s">
        <v>155</v>
      </c>
      <c r="Q1405" s="107">
        <v>0</v>
      </c>
      <c r="R1405" s="107">
        <v>0</v>
      </c>
      <c r="S1405" s="107">
        <v>0</v>
      </c>
      <c r="T1405" s="107">
        <v>0</v>
      </c>
      <c r="U1405" s="107"/>
      <c r="V1405" s="107"/>
      <c r="W1405" s="107"/>
      <c r="X1405" s="107"/>
      <c r="Y1405" s="107"/>
      <c r="Z1405" s="107"/>
      <c r="AA1405" s="107"/>
      <c r="AB1405" s="107"/>
      <c r="AC1405" s="355"/>
      <c r="AD1405" s="355"/>
      <c r="AE1405" s="355"/>
      <c r="AF1405" s="94">
        <f t="shared" si="187"/>
        <v>42947</v>
      </c>
      <c r="AG1405" s="185">
        <f t="shared" si="191"/>
        <v>6.7805069622426384E-3</v>
      </c>
      <c r="AH1405" s="339" t="str">
        <f>VLOOKUP(B1405,'MF PF'!A:B,2)</f>
        <v>FdMgt1</v>
      </c>
      <c r="AI1405" s="358">
        <f t="shared" si="188"/>
        <v>0</v>
      </c>
      <c r="AJ1405" s="94">
        <f t="shared" si="189"/>
        <v>42947</v>
      </c>
    </row>
    <row r="1406" spans="1:36" ht="12.75" customHeight="1">
      <c r="A1406" s="94">
        <v>42978</v>
      </c>
      <c r="B1406" s="94" t="s">
        <v>136</v>
      </c>
      <c r="C1406" s="358" t="s">
        <v>350</v>
      </c>
      <c r="D1406" s="374">
        <v>2873400</v>
      </c>
      <c r="E1406" s="95" t="e">
        <f t="shared" si="192"/>
        <v>#DIV/0!</v>
      </c>
      <c r="F1406" s="98">
        <v>2.5</v>
      </c>
      <c r="G1406" s="98">
        <v>0</v>
      </c>
      <c r="H1406" s="98">
        <v>0</v>
      </c>
      <c r="I1406" s="98">
        <v>0</v>
      </c>
      <c r="J1406" s="98"/>
      <c r="L1406" s="93">
        <f t="shared" si="185"/>
        <v>0</v>
      </c>
      <c r="M1406" s="95" t="e">
        <f t="shared" ca="1" si="186"/>
        <v>#DIV/0!</v>
      </c>
      <c r="N1406" s="95">
        <f>IF(P1406="Hedge Fund",IF(A1406=Summary!$AD$3,M1406-E1406,M1406),IF(A1406=Summary!$AD$3,L1406-D1406,L1406))</f>
        <v>0</v>
      </c>
      <c r="O1406" s="95"/>
      <c r="P1406" s="89" t="s">
        <v>155</v>
      </c>
      <c r="Q1406" s="107">
        <v>0</v>
      </c>
      <c r="R1406" s="107">
        <v>0</v>
      </c>
      <c r="S1406" s="107">
        <v>0</v>
      </c>
      <c r="T1406" s="107">
        <v>0</v>
      </c>
      <c r="U1406" s="107"/>
      <c r="V1406" s="107"/>
      <c r="W1406" s="107"/>
      <c r="X1406" s="107"/>
      <c r="Y1406" s="107"/>
      <c r="Z1406" s="107"/>
      <c r="AA1406" s="107"/>
      <c r="AB1406" s="107"/>
      <c r="AC1406" s="355"/>
      <c r="AD1406" s="355"/>
      <c r="AE1406" s="355"/>
      <c r="AF1406" s="94">
        <f t="shared" si="187"/>
        <v>42978</v>
      </c>
      <c r="AG1406" s="185">
        <f t="shared" si="191"/>
        <v>4.0298938003051621E-3</v>
      </c>
      <c r="AH1406" s="339" t="str">
        <f>VLOOKUP(B1406,'MF PF'!A:B,2)</f>
        <v>FdMgt1</v>
      </c>
      <c r="AI1406" s="358">
        <f t="shared" si="188"/>
        <v>0</v>
      </c>
      <c r="AJ1406" s="94">
        <f t="shared" si="189"/>
        <v>42978</v>
      </c>
    </row>
    <row r="1407" spans="1:36" ht="12.75" customHeight="1">
      <c r="A1407" s="94">
        <v>43007</v>
      </c>
      <c r="B1407" s="94" t="s">
        <v>136</v>
      </c>
      <c r="C1407" s="358" t="s">
        <v>350</v>
      </c>
      <c r="D1407" s="374">
        <v>2894013.7589100967</v>
      </c>
      <c r="E1407" s="9" t="e">
        <f t="shared" si="192"/>
        <v>#DIV/0!</v>
      </c>
      <c r="F1407" s="98">
        <v>2.5</v>
      </c>
      <c r="G1407" s="98">
        <v>0</v>
      </c>
      <c r="H1407" s="98">
        <v>0</v>
      </c>
      <c r="I1407" s="98">
        <v>0</v>
      </c>
      <c r="J1407" s="98"/>
      <c r="K1407" s="93"/>
      <c r="L1407" s="93">
        <f t="shared" si="185"/>
        <v>0</v>
      </c>
      <c r="M1407" s="95" t="e">
        <f t="shared" ca="1" si="186"/>
        <v>#DIV/0!</v>
      </c>
      <c r="N1407" s="95">
        <f>IF(P1407="Hedge Fund",IF(A1407=Summary!$AD$3,M1407-E1407,M1407),IF(A1407=Summary!$AD$3,L1407-D1407,L1407))</f>
        <v>0</v>
      </c>
      <c r="O1407" s="95"/>
      <c r="P1407" s="89" t="s">
        <v>155</v>
      </c>
      <c r="Q1407" s="107">
        <v>0</v>
      </c>
      <c r="R1407" s="107">
        <v>0</v>
      </c>
      <c r="S1407" s="107">
        <v>0</v>
      </c>
      <c r="T1407" s="107">
        <v>0</v>
      </c>
      <c r="U1407" s="107"/>
      <c r="V1407" s="107"/>
      <c r="W1407" s="107"/>
      <c r="X1407" s="107"/>
      <c r="Y1407" s="107"/>
      <c r="Z1407" s="107"/>
      <c r="AA1407" s="107"/>
      <c r="AB1407" s="107"/>
      <c r="AC1407" s="355"/>
      <c r="AD1407" s="355"/>
      <c r="AE1407" s="355"/>
      <c r="AF1407" s="94">
        <f t="shared" si="187"/>
        <v>43007</v>
      </c>
      <c r="AG1407" s="185">
        <f t="shared" si="191"/>
        <v>7.1739955836627178E-3</v>
      </c>
      <c r="AH1407" s="339" t="str">
        <f>VLOOKUP(B1407,'MF PF'!A:B,2)</f>
        <v>FdMgt1</v>
      </c>
      <c r="AI1407" s="358">
        <f t="shared" si="188"/>
        <v>0</v>
      </c>
      <c r="AJ1407" s="94">
        <f t="shared" si="189"/>
        <v>43008</v>
      </c>
    </row>
    <row r="1408" spans="1:36" ht="12.75" customHeight="1">
      <c r="A1408" s="94">
        <v>43039</v>
      </c>
      <c r="B1408" s="94" t="s">
        <v>136</v>
      </c>
      <c r="C1408" s="358" t="s">
        <v>350</v>
      </c>
      <c r="D1408" s="374">
        <v>2918583.35</v>
      </c>
      <c r="E1408" s="95" t="e">
        <f t="shared" si="192"/>
        <v>#DIV/0!</v>
      </c>
      <c r="F1408" s="98">
        <v>2.5</v>
      </c>
      <c r="G1408" s="98">
        <v>0</v>
      </c>
      <c r="H1408" s="98">
        <v>-4.6566128730773926E-10</v>
      </c>
      <c r="I1408" s="98">
        <v>0</v>
      </c>
      <c r="J1408" s="98"/>
      <c r="K1408" s="93"/>
      <c r="L1408" s="93">
        <f t="shared" si="185"/>
        <v>-4.6566128730773926E-10</v>
      </c>
      <c r="M1408" s="95" t="e">
        <f t="shared" ca="1" si="186"/>
        <v>#DIV/0!</v>
      </c>
      <c r="N1408" s="95">
        <f>IF(P1408="Hedge Fund",IF(A1408=Summary!$AD$3,M1408-E1408,M1408),IF(A1408=Summary!$AD$3,L1408-D1408,L1408))</f>
        <v>-4.6566128730773926E-10</v>
      </c>
      <c r="O1408" s="95"/>
      <c r="P1408" s="89" t="s">
        <v>155</v>
      </c>
      <c r="Q1408" s="107">
        <v>0</v>
      </c>
      <c r="R1408" s="107">
        <v>0</v>
      </c>
      <c r="S1408" s="107">
        <v>0</v>
      </c>
      <c r="T1408" s="107">
        <v>0</v>
      </c>
      <c r="U1408" s="107"/>
      <c r="V1408" s="107"/>
      <c r="W1408" s="107"/>
      <c r="X1408" s="107"/>
      <c r="Y1408" s="107"/>
      <c r="Z1408" s="107"/>
      <c r="AA1408" s="107"/>
      <c r="AB1408" s="107"/>
      <c r="AC1408" s="355"/>
      <c r="AD1408" s="355"/>
      <c r="AE1408" s="355"/>
      <c r="AF1408" s="94">
        <f t="shared" si="187"/>
        <v>43039</v>
      </c>
      <c r="AG1408" s="185">
        <f t="shared" si="191"/>
        <v>8.4897976086875104E-3</v>
      </c>
      <c r="AH1408" s="339" t="str">
        <f>VLOOKUP(B1408,'MF PF'!A:B,2)</f>
        <v>FdMgt1</v>
      </c>
      <c r="AI1408" s="358">
        <f t="shared" si="188"/>
        <v>0</v>
      </c>
      <c r="AJ1408" s="94">
        <f t="shared" si="189"/>
        <v>43039</v>
      </c>
    </row>
    <row r="1409" spans="1:36" ht="12.75" customHeight="1">
      <c r="A1409" s="94">
        <v>43069</v>
      </c>
      <c r="B1409" s="94" t="s">
        <v>136</v>
      </c>
      <c r="C1409" s="358" t="s">
        <v>350</v>
      </c>
      <c r="D1409" s="374">
        <v>2932900</v>
      </c>
      <c r="E1409" s="9" t="e">
        <f t="shared" si="192"/>
        <v>#DIV/0!</v>
      </c>
      <c r="F1409" s="98">
        <v>2.5</v>
      </c>
      <c r="G1409" s="98">
        <v>0</v>
      </c>
      <c r="H1409" s="98">
        <v>0</v>
      </c>
      <c r="I1409" s="98">
        <v>0</v>
      </c>
      <c r="J1409" s="98"/>
      <c r="K1409" s="93"/>
      <c r="L1409" s="93">
        <f t="shared" si="185"/>
        <v>0</v>
      </c>
      <c r="M1409" s="95" t="e">
        <f t="shared" ca="1" si="186"/>
        <v>#DIV/0!</v>
      </c>
      <c r="N1409" s="95">
        <f>IF(P1409="Hedge Fund",IF(A1409=Summary!$AD$3,M1409-E1409,M1409),IF(A1409=Summary!$AD$3,L1409-D1409,L1409))</f>
        <v>0</v>
      </c>
      <c r="O1409" s="95"/>
      <c r="P1409" s="107" t="s">
        <v>155</v>
      </c>
      <c r="Q1409" s="107">
        <v>0</v>
      </c>
      <c r="R1409" s="107">
        <v>0</v>
      </c>
      <c r="S1409" s="107">
        <v>0</v>
      </c>
      <c r="T1409" s="107">
        <v>0</v>
      </c>
      <c r="U1409" s="107"/>
      <c r="V1409" s="107"/>
      <c r="W1409" s="107"/>
      <c r="X1409" s="107"/>
      <c r="Y1409" s="107"/>
      <c r="Z1409" s="107"/>
      <c r="AA1409" s="107"/>
      <c r="AB1409" s="107"/>
      <c r="AC1409" s="355"/>
      <c r="AD1409" s="355"/>
      <c r="AE1409" s="355"/>
      <c r="AF1409" s="94">
        <f t="shared" si="187"/>
        <v>43069</v>
      </c>
      <c r="AG1409" s="185">
        <f t="shared" si="191"/>
        <v>4.9053421756826143E-3</v>
      </c>
      <c r="AH1409" s="339" t="str">
        <f>VLOOKUP(B1409,'MF PF'!A:B,2)</f>
        <v>FdMgt1</v>
      </c>
      <c r="AI1409" s="358">
        <f t="shared" si="188"/>
        <v>0</v>
      </c>
      <c r="AJ1409" s="94">
        <f t="shared" si="189"/>
        <v>43069</v>
      </c>
    </row>
    <row r="1410" spans="1:36" ht="12.75" customHeight="1">
      <c r="A1410" s="94">
        <v>43098</v>
      </c>
      <c r="B1410" s="94" t="s">
        <v>136</v>
      </c>
      <c r="C1410" s="92" t="s">
        <v>350</v>
      </c>
      <c r="D1410" s="374">
        <v>3203300</v>
      </c>
      <c r="E1410" s="95" t="e">
        <f t="shared" si="192"/>
        <v>#DIV/0!</v>
      </c>
      <c r="F1410" s="98">
        <v>2.5</v>
      </c>
      <c r="G1410" s="98">
        <v>0</v>
      </c>
      <c r="H1410" s="98">
        <v>0</v>
      </c>
      <c r="I1410" s="98">
        <v>0</v>
      </c>
      <c r="J1410" s="98"/>
      <c r="K1410" s="93"/>
      <c r="L1410" s="93">
        <f t="shared" si="185"/>
        <v>0</v>
      </c>
      <c r="M1410" s="95" t="e">
        <f t="shared" ca="1" si="186"/>
        <v>#DIV/0!</v>
      </c>
      <c r="N1410" s="95">
        <f>IF(P1410="Hedge Fund",IF(A1410=Summary!$AD$3,M1410-E1410,M1410),IF(A1410=Summary!$AD$3,L1410-D1410,L1410))</f>
        <v>0</v>
      </c>
      <c r="O1410" s="95"/>
      <c r="P1410" s="107" t="s">
        <v>155</v>
      </c>
      <c r="Q1410" s="107">
        <v>0</v>
      </c>
      <c r="R1410" s="107">
        <v>0</v>
      </c>
      <c r="S1410" s="107">
        <v>0</v>
      </c>
      <c r="T1410" s="107">
        <v>0</v>
      </c>
      <c r="U1410" s="107"/>
      <c r="V1410" s="107"/>
      <c r="W1410" s="107"/>
      <c r="X1410" s="107"/>
      <c r="Y1410" s="107"/>
      <c r="Z1410" s="107"/>
      <c r="AA1410" s="107"/>
      <c r="AB1410" s="107"/>
      <c r="AC1410" s="355"/>
      <c r="AD1410" s="355"/>
      <c r="AE1410" s="355"/>
      <c r="AF1410" s="94">
        <f t="shared" si="187"/>
        <v>43098</v>
      </c>
      <c r="AG1410" s="185">
        <f t="shared" si="191"/>
        <v>9.2195437962426352E-2</v>
      </c>
      <c r="AH1410" s="339" t="str">
        <f>VLOOKUP(B1410,'MF PF'!A:B,2)</f>
        <v>FdMgt1</v>
      </c>
      <c r="AI1410" s="358">
        <f t="shared" si="188"/>
        <v>0</v>
      </c>
      <c r="AJ1410" s="94">
        <f t="shared" si="189"/>
        <v>43100</v>
      </c>
    </row>
    <row r="1411" spans="1:36" ht="12.75" customHeight="1">
      <c r="A1411" s="8">
        <v>43131</v>
      </c>
      <c r="B1411" s="94" t="s">
        <v>136</v>
      </c>
      <c r="C1411" s="6" t="s">
        <v>350</v>
      </c>
      <c r="D1411" s="374">
        <v>3291100</v>
      </c>
      <c r="E1411" s="9" t="e">
        <f t="shared" si="192"/>
        <v>#DIV/0!</v>
      </c>
      <c r="F1411" s="98">
        <v>2.5</v>
      </c>
      <c r="G1411" s="98">
        <v>0</v>
      </c>
      <c r="H1411" s="98">
        <v>0</v>
      </c>
      <c r="I1411" s="98">
        <v>0</v>
      </c>
      <c r="J1411" s="98"/>
      <c r="K1411" s="93"/>
      <c r="L1411" s="93">
        <f t="shared" ref="L1411:L1474" si="193">G1411+H1411+I1411</f>
        <v>0</v>
      </c>
      <c r="M1411" s="95" t="e">
        <f t="shared" ref="M1411:M1474" ca="1" si="194">IF(A1411&gt;INDIRECT("A"&amp;ROW()-1),I1411/K1411,E1411)</f>
        <v>#DIV/0!</v>
      </c>
      <c r="N1411" s="95">
        <f>IF(P1411="Hedge Fund",IF(A1411=Summary!$AD$3,M1411-E1411,M1411),IF(A1411=Summary!$AD$3,L1411-D1411,L1411))</f>
        <v>0</v>
      </c>
      <c r="O1411" s="95"/>
      <c r="P1411" s="107" t="s">
        <v>155</v>
      </c>
      <c r="Q1411" s="107">
        <v>0</v>
      </c>
      <c r="R1411" s="107">
        <v>0</v>
      </c>
      <c r="S1411" s="107">
        <v>0</v>
      </c>
      <c r="T1411" s="107">
        <v>0</v>
      </c>
      <c r="U1411" s="107"/>
      <c r="V1411" s="107"/>
      <c r="W1411" s="107"/>
      <c r="X1411" s="107"/>
      <c r="Y1411" s="107"/>
      <c r="Z1411" s="107"/>
      <c r="AA1411" s="107"/>
      <c r="AB1411" s="107"/>
      <c r="AC1411" s="355"/>
      <c r="AD1411" s="355"/>
      <c r="AE1411" s="355"/>
      <c r="AF1411" s="94">
        <f t="shared" ref="AF1411:AF1474" si="195">A1411</f>
        <v>43131</v>
      </c>
      <c r="AG1411" s="185">
        <f t="shared" si="191"/>
        <v>2.7409234227203205E-2</v>
      </c>
      <c r="AH1411" s="339" t="str">
        <f>VLOOKUP(B1411,'MF PF'!A:B,2)</f>
        <v>FdMgt1</v>
      </c>
      <c r="AI1411" s="358">
        <f t="shared" ref="AI1411:AI1474" si="196">AF1411-A1411</f>
        <v>0</v>
      </c>
      <c r="AJ1411" s="94">
        <f t="shared" ref="AJ1411:AJ1474" si="197">EOMONTH(A1411,0)</f>
        <v>43131</v>
      </c>
    </row>
    <row r="1412" spans="1:36" ht="12.75" customHeight="1">
      <c r="A1412" s="94">
        <v>43159</v>
      </c>
      <c r="B1412" s="94" t="s">
        <v>136</v>
      </c>
      <c r="C1412" s="358" t="s">
        <v>350</v>
      </c>
      <c r="D1412" s="374">
        <v>3309502.76</v>
      </c>
      <c r="E1412" s="9" t="e">
        <f t="shared" si="192"/>
        <v>#DIV/0!</v>
      </c>
      <c r="F1412" s="98">
        <v>2.5</v>
      </c>
      <c r="G1412" s="98">
        <v>0</v>
      </c>
      <c r="H1412" s="98">
        <v>0</v>
      </c>
      <c r="I1412" s="98">
        <v>0</v>
      </c>
      <c r="J1412" s="98"/>
      <c r="K1412" s="93"/>
      <c r="L1412" s="93">
        <f t="shared" si="193"/>
        <v>0</v>
      </c>
      <c r="M1412" s="95" t="e">
        <f t="shared" ca="1" si="194"/>
        <v>#DIV/0!</v>
      </c>
      <c r="N1412" s="95">
        <f>IF(P1412="Hedge Fund",IF(A1412=Summary!$AD$3,M1412-E1412,M1412),IF(A1412=Summary!$AD$3,L1412-D1412,L1412))</f>
        <v>0</v>
      </c>
      <c r="O1412" s="95"/>
      <c r="P1412" s="89" t="s">
        <v>155</v>
      </c>
      <c r="Q1412" s="107">
        <v>0</v>
      </c>
      <c r="R1412" s="107">
        <v>0</v>
      </c>
      <c r="S1412" s="107">
        <v>0</v>
      </c>
      <c r="T1412" s="107">
        <v>0</v>
      </c>
      <c r="U1412" s="107"/>
      <c r="V1412" s="107"/>
      <c r="W1412" s="107"/>
      <c r="X1412" s="107"/>
      <c r="Y1412" s="107"/>
      <c r="Z1412" s="107"/>
      <c r="AA1412" s="107"/>
      <c r="AB1412" s="107"/>
      <c r="AC1412" s="355"/>
      <c r="AD1412" s="355"/>
      <c r="AE1412" s="355"/>
      <c r="AF1412" s="94">
        <f t="shared" si="195"/>
        <v>43159</v>
      </c>
      <c r="AG1412" s="185">
        <f t="shared" si="191"/>
        <v>5.5916745161190828E-3</v>
      </c>
      <c r="AH1412" s="339" t="str">
        <f>VLOOKUP(B1412,'MF PF'!A:B,2)</f>
        <v>FdMgt1</v>
      </c>
      <c r="AI1412" s="358">
        <f t="shared" si="196"/>
        <v>0</v>
      </c>
      <c r="AJ1412" s="94">
        <f t="shared" si="197"/>
        <v>43159</v>
      </c>
    </row>
    <row r="1413" spans="1:36" ht="12.75" customHeight="1">
      <c r="A1413" s="94">
        <v>43188</v>
      </c>
      <c r="B1413" s="94" t="s">
        <v>136</v>
      </c>
      <c r="C1413" s="358" t="s">
        <v>350</v>
      </c>
      <c r="D1413" s="374">
        <v>3358942.47</v>
      </c>
      <c r="E1413" s="9" t="e">
        <f t="shared" si="192"/>
        <v>#DIV/0!</v>
      </c>
      <c r="F1413" s="98">
        <v>2.5</v>
      </c>
      <c r="G1413" s="98">
        <v>0</v>
      </c>
      <c r="H1413" s="98">
        <v>0</v>
      </c>
      <c r="I1413" s="98">
        <v>0</v>
      </c>
      <c r="J1413" s="98"/>
      <c r="K1413" s="93"/>
      <c r="L1413" s="93">
        <f t="shared" si="193"/>
        <v>0</v>
      </c>
      <c r="M1413" s="95" t="e">
        <f t="shared" ca="1" si="194"/>
        <v>#DIV/0!</v>
      </c>
      <c r="N1413" s="95">
        <f>IF(P1413="Hedge Fund",IF(A1413=Summary!$AD$3,M1413-E1413,M1413),IF(A1413=Summary!$AD$3,L1413-D1413,L1413))</f>
        <v>0</v>
      </c>
      <c r="O1413" s="95"/>
      <c r="P1413" s="89" t="s">
        <v>155</v>
      </c>
      <c r="Q1413" s="109">
        <v>0</v>
      </c>
      <c r="R1413" s="109">
        <v>0</v>
      </c>
      <c r="S1413" s="107">
        <v>0</v>
      </c>
      <c r="T1413" s="107">
        <v>0</v>
      </c>
      <c r="U1413" s="107"/>
      <c r="V1413" s="107"/>
      <c r="W1413" s="107"/>
      <c r="X1413" s="107"/>
      <c r="Y1413" s="107"/>
      <c r="Z1413" s="107"/>
      <c r="AA1413" s="107"/>
      <c r="AB1413" s="107"/>
      <c r="AC1413" s="355"/>
      <c r="AD1413" s="355"/>
      <c r="AE1413" s="355"/>
      <c r="AF1413" s="94">
        <f t="shared" si="195"/>
        <v>43188</v>
      </c>
      <c r="AG1413" s="185">
        <f t="shared" si="191"/>
        <v>1.4938712424582112E-2</v>
      </c>
      <c r="AH1413" s="339" t="str">
        <f>VLOOKUP(B1413,'MF PF'!A:B,2)</f>
        <v>FdMgt1</v>
      </c>
      <c r="AI1413" s="358">
        <f t="shared" si="196"/>
        <v>0</v>
      </c>
      <c r="AJ1413" s="94">
        <f t="shared" si="197"/>
        <v>43190</v>
      </c>
    </row>
    <row r="1414" spans="1:36" ht="12.75" customHeight="1">
      <c r="A1414" s="94">
        <v>43220</v>
      </c>
      <c r="B1414" s="94" t="s">
        <v>136</v>
      </c>
      <c r="C1414" s="358" t="s">
        <v>350</v>
      </c>
      <c r="D1414" s="374">
        <v>3362823.22</v>
      </c>
      <c r="E1414" s="9" t="e">
        <f t="shared" si="192"/>
        <v>#DIV/0!</v>
      </c>
      <c r="F1414" s="98">
        <v>2.5</v>
      </c>
      <c r="G1414" s="98">
        <v>0</v>
      </c>
      <c r="H1414" s="98">
        <v>0</v>
      </c>
      <c r="I1414" s="98">
        <v>0</v>
      </c>
      <c r="J1414" s="98"/>
      <c r="K1414" s="93"/>
      <c r="L1414" s="93">
        <f t="shared" si="193"/>
        <v>0</v>
      </c>
      <c r="M1414" s="95" t="e">
        <f t="shared" ca="1" si="194"/>
        <v>#DIV/0!</v>
      </c>
      <c r="N1414" s="95">
        <f>IF(P1414="Hedge Fund",IF(A1414=Summary!$AD$3,M1414-E1414,M1414),IF(A1414=Summary!$AD$3,L1414-D1414,L1414))</f>
        <v>0</v>
      </c>
      <c r="O1414" s="95"/>
      <c r="P1414" s="89" t="s">
        <v>155</v>
      </c>
      <c r="Q1414" s="109">
        <v>0</v>
      </c>
      <c r="R1414" s="109">
        <v>0</v>
      </c>
      <c r="S1414" s="107">
        <v>0</v>
      </c>
      <c r="T1414" s="107">
        <v>0</v>
      </c>
      <c r="U1414" s="107"/>
      <c r="V1414" s="107"/>
      <c r="W1414" s="107"/>
      <c r="X1414" s="107"/>
      <c r="Y1414" s="107"/>
      <c r="Z1414" s="107"/>
      <c r="AA1414" s="107"/>
      <c r="AB1414" s="107"/>
      <c r="AC1414" s="355"/>
      <c r="AD1414" s="355"/>
      <c r="AE1414" s="355"/>
      <c r="AF1414" s="94">
        <f t="shared" si="195"/>
        <v>43220</v>
      </c>
      <c r="AG1414" s="185">
        <f t="shared" si="191"/>
        <v>1.1553487547526498E-3</v>
      </c>
      <c r="AH1414" s="339" t="str">
        <f>VLOOKUP(B1414,'MF PF'!A:B,2)</f>
        <v>FdMgt1</v>
      </c>
      <c r="AI1414" s="358">
        <f t="shared" si="196"/>
        <v>0</v>
      </c>
      <c r="AJ1414" s="94">
        <f t="shared" si="197"/>
        <v>43220</v>
      </c>
    </row>
    <row r="1415" spans="1:36" ht="12.75" customHeight="1">
      <c r="A1415" s="8">
        <v>43251</v>
      </c>
      <c r="B1415" s="358" t="s">
        <v>136</v>
      </c>
      <c r="C1415" s="94" t="s">
        <v>350</v>
      </c>
      <c r="D1415" s="374">
        <v>3391063.76</v>
      </c>
      <c r="E1415" s="95" t="e">
        <f t="shared" si="192"/>
        <v>#DIV/0!</v>
      </c>
      <c r="F1415" s="98">
        <v>2.5</v>
      </c>
      <c r="G1415" s="98">
        <v>0</v>
      </c>
      <c r="H1415" s="98">
        <v>0</v>
      </c>
      <c r="I1415" s="110">
        <v>0</v>
      </c>
      <c r="J1415" s="110"/>
      <c r="K1415" s="93"/>
      <c r="L1415" s="93">
        <f t="shared" si="193"/>
        <v>0</v>
      </c>
      <c r="M1415" s="95" t="e">
        <f t="shared" ca="1" si="194"/>
        <v>#DIV/0!</v>
      </c>
      <c r="N1415" s="95">
        <f>IF(P1415="Hedge Fund",IF(A1415=Summary!$AD$3,M1415-E1415,M1415),IF(A1415=Summary!$AD$3,L1415-D1415,L1415))</f>
        <v>0</v>
      </c>
      <c r="O1415" s="95"/>
      <c r="P1415" s="89" t="s">
        <v>155</v>
      </c>
      <c r="Q1415" s="109">
        <v>0</v>
      </c>
      <c r="R1415" s="107">
        <v>0</v>
      </c>
      <c r="S1415" s="107">
        <v>0</v>
      </c>
      <c r="T1415" s="107">
        <v>0</v>
      </c>
      <c r="U1415" s="107"/>
      <c r="V1415" s="107"/>
      <c r="W1415" s="107"/>
      <c r="X1415" s="107"/>
      <c r="Y1415" s="107"/>
      <c r="Z1415" s="107"/>
      <c r="AA1415" s="107"/>
      <c r="AB1415" s="107"/>
      <c r="AC1415" s="355"/>
      <c r="AD1415" s="355"/>
      <c r="AE1415" s="355"/>
      <c r="AF1415" s="94">
        <f t="shared" si="195"/>
        <v>43251</v>
      </c>
      <c r="AG1415" s="185">
        <f t="shared" si="191"/>
        <v>8.3978663618242688E-3</v>
      </c>
      <c r="AH1415" s="339" t="str">
        <f>VLOOKUP(B1415,'MF PF'!A:B,2)</f>
        <v>FdMgt1</v>
      </c>
      <c r="AI1415" s="358">
        <f t="shared" si="196"/>
        <v>0</v>
      </c>
      <c r="AJ1415" s="94">
        <f t="shared" si="197"/>
        <v>43251</v>
      </c>
    </row>
    <row r="1416" spans="1:36" ht="12.75" customHeight="1">
      <c r="A1416" s="8">
        <v>43280</v>
      </c>
      <c r="B1416" s="358" t="s">
        <v>136</v>
      </c>
      <c r="C1416" s="94" t="s">
        <v>350</v>
      </c>
      <c r="D1416" s="374">
        <v>3412400.16</v>
      </c>
      <c r="E1416" s="9" t="e">
        <f t="shared" si="192"/>
        <v>#DIV/0!</v>
      </c>
      <c r="F1416" s="98">
        <v>2.5</v>
      </c>
      <c r="G1416" s="98">
        <v>0</v>
      </c>
      <c r="H1416" s="98">
        <v>0</v>
      </c>
      <c r="I1416" s="110">
        <v>0</v>
      </c>
      <c r="J1416" s="110"/>
      <c r="L1416" s="93">
        <f t="shared" si="193"/>
        <v>0</v>
      </c>
      <c r="M1416" s="95" t="e">
        <f t="shared" ca="1" si="194"/>
        <v>#DIV/0!</v>
      </c>
      <c r="N1416" s="95">
        <f>IF(P1416="Hedge Fund",IF(A1416=Summary!$AD$3,M1416-E1416,M1416),IF(A1416=Summary!$AD$3,L1416-D1416,L1416))</f>
        <v>0</v>
      </c>
      <c r="O1416" s="95"/>
      <c r="P1416" s="89" t="s">
        <v>155</v>
      </c>
      <c r="Q1416" s="109">
        <v>0</v>
      </c>
      <c r="R1416" s="107">
        <v>0</v>
      </c>
      <c r="S1416" s="107">
        <v>0</v>
      </c>
      <c r="T1416" s="107">
        <v>0</v>
      </c>
      <c r="U1416" s="107"/>
      <c r="V1416" s="107"/>
      <c r="W1416" s="107"/>
      <c r="X1416" s="107"/>
      <c r="Y1416" s="107"/>
      <c r="Z1416" s="107"/>
      <c r="AA1416" s="107"/>
      <c r="AB1416" s="107"/>
      <c r="AC1416" s="355"/>
      <c r="AD1416" s="355"/>
      <c r="AE1416" s="355"/>
      <c r="AF1416" s="94">
        <f t="shared" si="195"/>
        <v>43280</v>
      </c>
      <c r="AG1416" s="185">
        <f t="shared" si="191"/>
        <v>6.2919489310930832E-3</v>
      </c>
      <c r="AH1416" s="339" t="str">
        <f>VLOOKUP(B1416,'MF PF'!A:B,2)</f>
        <v>FdMgt1</v>
      </c>
      <c r="AI1416" s="358">
        <f t="shared" si="196"/>
        <v>0</v>
      </c>
      <c r="AJ1416" s="94">
        <f t="shared" si="197"/>
        <v>43281</v>
      </c>
    </row>
    <row r="1417" spans="1:36" ht="12.75" customHeight="1">
      <c r="A1417" s="94">
        <v>43312</v>
      </c>
      <c r="B1417" s="358" t="s">
        <v>136</v>
      </c>
      <c r="C1417" s="94" t="s">
        <v>350</v>
      </c>
      <c r="D1417" s="374">
        <v>3394770.276930056</v>
      </c>
      <c r="E1417" s="9" t="str">
        <f>IF(K1417="","",D1417/K1417)</f>
        <v/>
      </c>
      <c r="F1417" s="98">
        <v>2.5</v>
      </c>
      <c r="G1417" s="98">
        <v>0</v>
      </c>
      <c r="H1417" s="98">
        <v>0</v>
      </c>
      <c r="I1417" s="98">
        <v>0</v>
      </c>
      <c r="J1417" s="98"/>
      <c r="L1417" s="93">
        <f t="shared" si="193"/>
        <v>0</v>
      </c>
      <c r="M1417" s="95" t="e">
        <f t="shared" ca="1" si="194"/>
        <v>#DIV/0!</v>
      </c>
      <c r="N1417" s="95">
        <f>IF(P1417="Hedge Fund",IF(A1417=Summary!$AD$3,M1417-E1417,M1417),IF(A1417=Summary!$AD$3,L1417-D1417,L1417))</f>
        <v>0</v>
      </c>
      <c r="O1417" s="95"/>
      <c r="P1417" s="89" t="s">
        <v>155</v>
      </c>
      <c r="Q1417" s="107">
        <v>0</v>
      </c>
      <c r="R1417" s="107">
        <v>0</v>
      </c>
      <c r="S1417" s="107">
        <v>0</v>
      </c>
      <c r="T1417" s="107">
        <v>0</v>
      </c>
      <c r="U1417" s="107"/>
      <c r="V1417" s="107"/>
      <c r="W1417" s="107"/>
      <c r="X1417" s="107"/>
      <c r="Y1417" s="107"/>
      <c r="Z1417" s="107"/>
      <c r="AA1417" s="107"/>
      <c r="AB1417" s="107"/>
      <c r="AC1417" s="355"/>
      <c r="AD1417" s="355"/>
      <c r="AE1417" s="355"/>
      <c r="AF1417" s="94">
        <f t="shared" si="195"/>
        <v>43312</v>
      </c>
      <c r="AG1417" s="185">
        <f t="shared" si="191"/>
        <v>-5.1664172556902255E-3</v>
      </c>
      <c r="AH1417" s="339" t="str">
        <f>VLOOKUP(B1417,'MF PF'!A:B,2)</f>
        <v>FdMgt1</v>
      </c>
      <c r="AI1417" s="358">
        <f t="shared" si="196"/>
        <v>0</v>
      </c>
      <c r="AJ1417" s="94">
        <f t="shared" si="197"/>
        <v>43312</v>
      </c>
    </row>
    <row r="1418" spans="1:36" ht="12.75" customHeight="1">
      <c r="A1418" s="8">
        <v>43343</v>
      </c>
      <c r="B1418" s="358" t="s">
        <v>136</v>
      </c>
      <c r="C1418" s="94" t="s">
        <v>350</v>
      </c>
      <c r="D1418" s="374">
        <v>3389609.58</v>
      </c>
      <c r="E1418" s="9" t="str">
        <f>IF(K1418="","",D1418/K1418)</f>
        <v/>
      </c>
      <c r="F1418" s="98">
        <v>2.5</v>
      </c>
      <c r="G1418" s="98">
        <v>0</v>
      </c>
      <c r="H1418" s="98">
        <v>0</v>
      </c>
      <c r="I1418" s="98">
        <v>0</v>
      </c>
      <c r="J1418" s="98"/>
      <c r="K1418" s="93"/>
      <c r="L1418" s="93">
        <f t="shared" si="193"/>
        <v>0</v>
      </c>
      <c r="M1418" s="95" t="e">
        <f t="shared" ca="1" si="194"/>
        <v>#DIV/0!</v>
      </c>
      <c r="N1418" s="95">
        <f>IF(P1418="Hedge Fund",IF(A1418=Summary!$AD$3,M1418-E1418,M1418),IF(A1418=Summary!$AD$3,L1418-D1418,L1418))</f>
        <v>0</v>
      </c>
      <c r="O1418" s="95"/>
      <c r="P1418" s="107" t="s">
        <v>155</v>
      </c>
      <c r="Q1418" s="107">
        <v>0</v>
      </c>
      <c r="R1418" s="107">
        <v>0</v>
      </c>
      <c r="S1418" s="107">
        <v>0</v>
      </c>
      <c r="T1418" s="107">
        <v>0</v>
      </c>
      <c r="U1418" s="107"/>
      <c r="V1418" s="107"/>
      <c r="W1418" s="107"/>
      <c r="X1418" s="107"/>
      <c r="Y1418" s="107"/>
      <c r="Z1418" s="107"/>
      <c r="AA1418" s="107"/>
      <c r="AB1418" s="107"/>
      <c r="AC1418" s="355"/>
      <c r="AD1418" s="355"/>
      <c r="AE1418" s="355"/>
      <c r="AF1418" s="94">
        <f t="shared" si="195"/>
        <v>43343</v>
      </c>
      <c r="AG1418" s="185">
        <f t="shared" si="191"/>
        <v>-1.5201903248436288E-3</v>
      </c>
      <c r="AH1418" s="339" t="str">
        <f>VLOOKUP(B1418,'MF PF'!A:B,2)</f>
        <v>FdMgt1</v>
      </c>
      <c r="AI1418" s="358">
        <f t="shared" si="196"/>
        <v>0</v>
      </c>
      <c r="AJ1418" s="94">
        <f t="shared" si="197"/>
        <v>43343</v>
      </c>
    </row>
    <row r="1419" spans="1:36" s="92" customFormat="1" ht="12.75" customHeight="1">
      <c r="A1419" s="94">
        <v>43371</v>
      </c>
      <c r="B1419" s="358" t="s">
        <v>136</v>
      </c>
      <c r="C1419" s="358" t="s">
        <v>342</v>
      </c>
      <c r="D1419" s="374">
        <v>3363046.06</v>
      </c>
      <c r="E1419" s="95"/>
      <c r="F1419" s="105">
        <v>2.5</v>
      </c>
      <c r="G1419" s="93">
        <v>0</v>
      </c>
      <c r="H1419" s="93">
        <v>0</v>
      </c>
      <c r="I1419" s="93">
        <v>0</v>
      </c>
      <c r="J1419" s="93"/>
      <c r="K1419" s="93">
        <v>0</v>
      </c>
      <c r="L1419" s="93">
        <f t="shared" si="193"/>
        <v>0</v>
      </c>
      <c r="M1419" s="95" t="e">
        <f t="shared" ca="1" si="194"/>
        <v>#DIV/0!</v>
      </c>
      <c r="N1419" s="95">
        <f>IF(P1419="Hedge Fund",IF(A1419=Summary!$AD$3,M1419-E1419,M1419),IF(A1419=Summary!$AD$3,L1419-D1419,L1419))</f>
        <v>0</v>
      </c>
      <c r="O1419" s="95"/>
      <c r="P1419" s="95" t="s">
        <v>155</v>
      </c>
      <c r="Q1419" s="353">
        <v>0</v>
      </c>
      <c r="R1419" s="95">
        <v>0</v>
      </c>
      <c r="S1419" s="95"/>
      <c r="T1419" s="95"/>
      <c r="U1419" s="95"/>
      <c r="V1419" s="95"/>
      <c r="W1419" s="95"/>
      <c r="X1419" s="95"/>
      <c r="Y1419" s="95"/>
      <c r="Z1419" s="95"/>
      <c r="AA1419" s="95"/>
      <c r="AB1419" s="95"/>
      <c r="AC1419" s="355"/>
      <c r="AD1419" s="355"/>
      <c r="AE1419" s="355"/>
      <c r="AF1419" s="94">
        <f t="shared" si="195"/>
        <v>43371</v>
      </c>
      <c r="AG1419" s="185" t="e">
        <f t="shared" si="191"/>
        <v>#DIV/0!</v>
      </c>
      <c r="AH1419" s="339" t="str">
        <f>VLOOKUP(B1419,'MF PF'!A:B,2)</f>
        <v>FdMgt1</v>
      </c>
      <c r="AI1419" s="358">
        <f t="shared" si="196"/>
        <v>0</v>
      </c>
      <c r="AJ1419" s="94">
        <f t="shared" si="197"/>
        <v>43373</v>
      </c>
    </row>
    <row r="1420" spans="1:36" ht="12.75" customHeight="1">
      <c r="A1420" s="8">
        <v>43404</v>
      </c>
      <c r="B1420" s="358" t="s">
        <v>136</v>
      </c>
      <c r="C1420" s="358" t="s">
        <v>342</v>
      </c>
      <c r="D1420" s="374">
        <v>3293208.86</v>
      </c>
      <c r="F1420" s="105">
        <v>2.5</v>
      </c>
      <c r="G1420" s="93">
        <v>0</v>
      </c>
      <c r="H1420" s="93">
        <v>0</v>
      </c>
      <c r="I1420" s="93">
        <v>0</v>
      </c>
      <c r="K1420" s="93">
        <v>0</v>
      </c>
      <c r="L1420" s="93">
        <f t="shared" si="193"/>
        <v>0</v>
      </c>
      <c r="M1420" s="95" t="e">
        <f t="shared" ca="1" si="194"/>
        <v>#DIV/0!</v>
      </c>
      <c r="N1420" s="95">
        <f>IF(P1420="Hedge Fund",IF(A1420=Summary!$AD$3,M1420-E1420,M1420),IF(A1420=Summary!$AD$3,L1420-D1420,L1420))</f>
        <v>0</v>
      </c>
      <c r="O1420" s="95"/>
      <c r="P1420" s="95" t="s">
        <v>155</v>
      </c>
      <c r="Q1420" s="353">
        <v>0</v>
      </c>
      <c r="R1420" s="95">
        <v>0</v>
      </c>
      <c r="S1420" s="95"/>
      <c r="T1420" s="95"/>
      <c r="U1420" s="95"/>
      <c r="V1420" s="95"/>
      <c r="W1420" s="95"/>
      <c r="X1420" s="95"/>
      <c r="Y1420" s="95"/>
      <c r="Z1420" s="95"/>
      <c r="AA1420" s="95"/>
      <c r="AB1420" s="95"/>
      <c r="AC1420" s="355"/>
      <c r="AD1420" s="355"/>
      <c r="AE1420" s="355"/>
      <c r="AF1420" s="94">
        <f t="shared" si="195"/>
        <v>43404</v>
      </c>
      <c r="AG1420" s="185">
        <f t="shared" si="191"/>
        <v>-2.0766055163692898E-2</v>
      </c>
      <c r="AH1420" s="339" t="str">
        <f>VLOOKUP(B1420,'MF PF'!A:B,2)</f>
        <v>FdMgt1</v>
      </c>
      <c r="AI1420" s="358">
        <f t="shared" si="196"/>
        <v>0</v>
      </c>
      <c r="AJ1420" s="94">
        <f t="shared" si="197"/>
        <v>43404</v>
      </c>
    </row>
    <row r="1421" spans="1:36" ht="12.75" customHeight="1">
      <c r="A1421" s="8">
        <v>43434</v>
      </c>
      <c r="B1421" s="358" t="s">
        <v>136</v>
      </c>
      <c r="C1421" s="358" t="s">
        <v>342</v>
      </c>
      <c r="D1421" s="374">
        <v>3310321.19</v>
      </c>
      <c r="E1421" s="95"/>
      <c r="F1421" s="98">
        <v>2.5</v>
      </c>
      <c r="G1421" s="93">
        <v>0</v>
      </c>
      <c r="H1421" s="93">
        <v>0</v>
      </c>
      <c r="I1421" s="93">
        <v>0</v>
      </c>
      <c r="K1421" s="93">
        <v>0</v>
      </c>
      <c r="L1421" s="93">
        <f t="shared" si="193"/>
        <v>0</v>
      </c>
      <c r="M1421" s="95" t="e">
        <f t="shared" ca="1" si="194"/>
        <v>#DIV/0!</v>
      </c>
      <c r="N1421" s="95">
        <f>IF(P1421="Hedge Fund",IF(A1421=Summary!$AD$3,M1421-E1421,M1421),IF(A1421=Summary!$AD$3,L1421-D1421,L1421))</f>
        <v>0</v>
      </c>
      <c r="O1421" s="95"/>
      <c r="P1421" s="95" t="s">
        <v>155</v>
      </c>
      <c r="Q1421" s="95">
        <v>0</v>
      </c>
      <c r="R1421" s="95">
        <v>0</v>
      </c>
      <c r="S1421" s="95"/>
      <c r="T1421" s="95"/>
      <c r="U1421" s="95"/>
      <c r="V1421" s="95"/>
      <c r="W1421" s="95"/>
      <c r="X1421" s="95"/>
      <c r="Y1421" s="95"/>
      <c r="Z1421" s="95"/>
      <c r="AA1421" s="95"/>
      <c r="AB1421" s="95"/>
      <c r="AC1421" s="355"/>
      <c r="AD1421" s="355"/>
      <c r="AE1421" s="355"/>
      <c r="AF1421" s="94">
        <f t="shared" si="195"/>
        <v>43434</v>
      </c>
      <c r="AG1421" s="185">
        <f t="shared" si="191"/>
        <v>5.1962480144669421E-3</v>
      </c>
      <c r="AH1421" s="339" t="str">
        <f>VLOOKUP(B1421,'MF PF'!A:B,2)</f>
        <v>FdMgt1</v>
      </c>
      <c r="AI1421" s="358">
        <f t="shared" si="196"/>
        <v>0</v>
      </c>
      <c r="AJ1421" s="94">
        <f t="shared" si="197"/>
        <v>43434</v>
      </c>
    </row>
    <row r="1422" spans="1:36" ht="12.75" customHeight="1">
      <c r="A1422" s="8">
        <v>43452</v>
      </c>
      <c r="B1422" s="358" t="s">
        <v>136</v>
      </c>
      <c r="C1422" s="358" t="s">
        <v>342</v>
      </c>
      <c r="D1422" s="93"/>
      <c r="E1422" s="95"/>
      <c r="F1422" s="93"/>
      <c r="G1422" s="93"/>
      <c r="H1422" s="93"/>
      <c r="I1422" s="93">
        <v>0</v>
      </c>
      <c r="K1422" s="93"/>
      <c r="L1422" s="93">
        <f t="shared" si="193"/>
        <v>0</v>
      </c>
      <c r="M1422" s="95" t="e">
        <f t="shared" ca="1" si="194"/>
        <v>#DIV/0!</v>
      </c>
      <c r="N1422" s="95">
        <f>IF(P1422="Hedge Fund",IF(A1422=Summary!$AD$3,M1422-E1422,M1422),IF(A1422=Summary!$AD$3,L1422-D1422,L1422))</f>
        <v>0</v>
      </c>
      <c r="O1422" s="95">
        <f t="shared" ref="O1422:O1485" si="198">N1422</f>
        <v>0</v>
      </c>
      <c r="P1422" s="95" t="s">
        <v>155</v>
      </c>
      <c r="Q1422" s="95"/>
      <c r="R1422" s="95"/>
      <c r="S1422" s="95"/>
      <c r="T1422" s="95"/>
      <c r="U1422" s="95"/>
      <c r="V1422" s="95"/>
      <c r="W1422" s="95"/>
      <c r="X1422" s="95"/>
      <c r="Y1422" s="95"/>
      <c r="Z1422" s="95"/>
      <c r="AA1422" s="95"/>
      <c r="AB1422" s="95"/>
      <c r="AC1422" s="355"/>
      <c r="AD1422" s="355"/>
      <c r="AE1422" s="355"/>
      <c r="AF1422" s="94">
        <f t="shared" si="195"/>
        <v>43452</v>
      </c>
      <c r="AG1422" s="185">
        <f t="shared" si="191"/>
        <v>-1</v>
      </c>
      <c r="AH1422" s="339" t="str">
        <f>VLOOKUP(B1422,'MF PF'!A:B,2)</f>
        <v>FdMgt1</v>
      </c>
      <c r="AI1422" s="358">
        <f t="shared" si="196"/>
        <v>0</v>
      </c>
      <c r="AJ1422" s="94">
        <f t="shared" si="197"/>
        <v>43465</v>
      </c>
    </row>
    <row r="1423" spans="1:36" ht="12.75" customHeight="1">
      <c r="A1423" s="94">
        <v>43465</v>
      </c>
      <c r="B1423" s="358" t="s">
        <v>136</v>
      </c>
      <c r="C1423" s="358" t="s">
        <v>342</v>
      </c>
      <c r="D1423" s="93">
        <v>3398614.15</v>
      </c>
      <c r="E1423" s="95"/>
      <c r="F1423" s="93">
        <v>2.5</v>
      </c>
      <c r="G1423" s="93">
        <v>0</v>
      </c>
      <c r="H1423" s="93">
        <v>0</v>
      </c>
      <c r="I1423" s="93">
        <v>0</v>
      </c>
      <c r="K1423" s="93">
        <v>0</v>
      </c>
      <c r="L1423" s="93">
        <f t="shared" si="193"/>
        <v>0</v>
      </c>
      <c r="M1423" s="95" t="e">
        <f t="shared" ca="1" si="194"/>
        <v>#DIV/0!</v>
      </c>
      <c r="N1423" s="95">
        <f>IF(P1423="Hedge Fund",IF(A1423=Summary!$AD$3,M1423-E1423,M1423),IF(A1423=Summary!$AD$3,L1423-D1423,L1423))</f>
        <v>0</v>
      </c>
      <c r="O1423" s="95">
        <f t="shared" si="198"/>
        <v>0</v>
      </c>
      <c r="P1423" s="95" t="s">
        <v>155</v>
      </c>
      <c r="Q1423" s="95">
        <v>0</v>
      </c>
      <c r="R1423" s="95">
        <v>0</v>
      </c>
      <c r="S1423" s="95"/>
      <c r="T1423" s="95"/>
      <c r="U1423" s="95"/>
      <c r="V1423" s="95"/>
      <c r="W1423" s="95"/>
      <c r="X1423" s="95"/>
      <c r="Y1423" s="95"/>
      <c r="Z1423" s="95"/>
      <c r="AA1423" s="95"/>
      <c r="AB1423" s="95"/>
      <c r="AC1423" s="355"/>
      <c r="AD1423" s="355"/>
      <c r="AE1423" s="355"/>
      <c r="AF1423" s="94">
        <f t="shared" si="195"/>
        <v>43465</v>
      </c>
      <c r="AG1423" s="185" t="e">
        <f t="shared" ref="AG1423:AG1486" si="199">IF(C1423&lt;&gt;C1422,D1423/G1423-1,(D1423-G1423-I1423-H1423)/(D1422)-1)</f>
        <v>#DIV/0!</v>
      </c>
      <c r="AH1423" s="339" t="str">
        <f>VLOOKUP(B1423,'MF PF'!A:B,2)</f>
        <v>FdMgt1</v>
      </c>
      <c r="AI1423" s="358">
        <f t="shared" si="196"/>
        <v>0</v>
      </c>
      <c r="AJ1423" s="94">
        <f t="shared" si="197"/>
        <v>43465</v>
      </c>
    </row>
    <row r="1424" spans="1:36" ht="12.75" customHeight="1">
      <c r="A1424" s="8">
        <v>43487</v>
      </c>
      <c r="B1424" s="358" t="s">
        <v>136</v>
      </c>
      <c r="C1424" s="358" t="s">
        <v>342</v>
      </c>
      <c r="D1424" s="93"/>
      <c r="F1424" s="93"/>
      <c r="G1424" s="93"/>
      <c r="H1424" s="93"/>
      <c r="I1424" s="93"/>
      <c r="K1424" s="93"/>
      <c r="L1424" s="93">
        <f t="shared" si="193"/>
        <v>0</v>
      </c>
      <c r="M1424" s="95" t="e">
        <f t="shared" ca="1" si="194"/>
        <v>#DIV/0!</v>
      </c>
      <c r="N1424" s="95">
        <f>IF(P1424="Hedge Fund",IF(A1424=Summary!$AD$3,M1424-E1424,M1424),IF(A1424=Summary!$AD$3,L1424-D1424,L1424))</f>
        <v>0</v>
      </c>
      <c r="O1424" s="95">
        <f t="shared" si="198"/>
        <v>0</v>
      </c>
      <c r="P1424" s="95" t="s">
        <v>155</v>
      </c>
      <c r="Q1424" s="95"/>
      <c r="R1424" s="95"/>
      <c r="S1424" s="95"/>
      <c r="T1424" s="95"/>
      <c r="U1424" s="95"/>
      <c r="V1424" s="95"/>
      <c r="W1424" s="95"/>
      <c r="X1424" s="95"/>
      <c r="Y1424" s="95"/>
      <c r="Z1424" s="95"/>
      <c r="AA1424" s="95"/>
      <c r="AB1424" s="95"/>
      <c r="AC1424" s="355"/>
      <c r="AD1424" s="355"/>
      <c r="AE1424" s="355"/>
      <c r="AF1424" s="94">
        <f t="shared" si="195"/>
        <v>43487</v>
      </c>
      <c r="AG1424" s="185">
        <f t="shared" si="199"/>
        <v>-1</v>
      </c>
      <c r="AH1424" s="339" t="str">
        <f>VLOOKUP(B1424,'MF PF'!A:B,2)</f>
        <v>FdMgt1</v>
      </c>
      <c r="AI1424" s="358">
        <f t="shared" si="196"/>
        <v>0</v>
      </c>
      <c r="AJ1424" s="94">
        <f t="shared" si="197"/>
        <v>43496</v>
      </c>
    </row>
    <row r="1425" spans="1:36" ht="12.75" customHeight="1">
      <c r="A1425" s="8">
        <v>43496</v>
      </c>
      <c r="B1425" s="358" t="s">
        <v>136</v>
      </c>
      <c r="C1425" s="358" t="s">
        <v>342</v>
      </c>
      <c r="D1425" s="93">
        <v>3381794.88</v>
      </c>
      <c r="F1425" s="93">
        <v>2.5</v>
      </c>
      <c r="G1425" s="93">
        <v>0</v>
      </c>
      <c r="H1425" s="93">
        <v>0</v>
      </c>
      <c r="I1425" s="93">
        <v>0</v>
      </c>
      <c r="K1425" s="93">
        <v>0</v>
      </c>
      <c r="L1425" s="93">
        <f t="shared" si="193"/>
        <v>0</v>
      </c>
      <c r="M1425" s="95" t="e">
        <f t="shared" ca="1" si="194"/>
        <v>#DIV/0!</v>
      </c>
      <c r="N1425" s="95">
        <f>IF(P1425="Hedge Fund",IF(A1425=Summary!$AD$3,M1425-E1425,M1425),IF(A1425=Summary!$AD$3,L1425-D1425,L1425))</f>
        <v>-3381794.88</v>
      </c>
      <c r="O1425" s="95">
        <f t="shared" si="198"/>
        <v>-3381794.88</v>
      </c>
      <c r="P1425" s="95" t="s">
        <v>155</v>
      </c>
      <c r="Q1425" s="95">
        <v>0</v>
      </c>
      <c r="R1425" s="95">
        <v>0</v>
      </c>
      <c r="S1425" s="95"/>
      <c r="T1425" s="95"/>
      <c r="U1425" s="95"/>
      <c r="V1425" s="95"/>
      <c r="W1425" s="95"/>
      <c r="X1425" s="95"/>
      <c r="Y1425" s="95"/>
      <c r="Z1425" s="95"/>
      <c r="AA1425" s="95"/>
      <c r="AB1425" s="95"/>
      <c r="AC1425" s="355"/>
      <c r="AD1425" s="355"/>
      <c r="AE1425" s="355"/>
      <c r="AF1425" s="94">
        <f t="shared" si="195"/>
        <v>43496</v>
      </c>
      <c r="AG1425" s="185" t="e">
        <f t="shared" si="199"/>
        <v>#DIV/0!</v>
      </c>
      <c r="AH1425" s="339" t="str">
        <f>VLOOKUP(B1425,'MF PF'!A:B,2)</f>
        <v>FdMgt1</v>
      </c>
      <c r="AI1425" s="358">
        <f t="shared" si="196"/>
        <v>0</v>
      </c>
      <c r="AJ1425" s="94">
        <f t="shared" si="197"/>
        <v>43496</v>
      </c>
    </row>
    <row r="1426" spans="1:36" ht="12.75" customHeight="1">
      <c r="A1426" s="8">
        <v>42207</v>
      </c>
      <c r="B1426" s="94" t="s">
        <v>136</v>
      </c>
      <c r="C1426" s="358" t="s">
        <v>316</v>
      </c>
      <c r="D1426" s="374">
        <v>17835</v>
      </c>
      <c r="E1426" s="95" t="e">
        <f t="shared" ref="E1426:E1462" si="200">D1426/K1426</f>
        <v>#DIV/0!</v>
      </c>
      <c r="F1426" s="98">
        <v>0.20499999999999999</v>
      </c>
      <c r="G1426" s="98">
        <v>17835</v>
      </c>
      <c r="H1426" s="98">
        <v>0</v>
      </c>
      <c r="I1426" s="98">
        <v>0</v>
      </c>
      <c r="J1426" s="98"/>
      <c r="K1426" s="93"/>
      <c r="L1426" s="93">
        <f t="shared" si="193"/>
        <v>17835</v>
      </c>
      <c r="M1426" s="95" t="e">
        <f t="shared" ca="1" si="194"/>
        <v>#DIV/0!</v>
      </c>
      <c r="N1426" s="95">
        <f>IF(P1426="Hedge Fund",IF(A1426=Summary!$AD$3,M1426-E1426,M1426),IF(A1426=Summary!$AD$3,L1426-D1426,L1426))</f>
        <v>17835</v>
      </c>
      <c r="O1426" s="95">
        <f t="shared" si="198"/>
        <v>17835</v>
      </c>
      <c r="P1426" s="89" t="s">
        <v>155</v>
      </c>
      <c r="Q1426" s="107">
        <v>0</v>
      </c>
      <c r="R1426" s="107">
        <v>0</v>
      </c>
      <c r="S1426" s="107">
        <v>0</v>
      </c>
      <c r="T1426" s="107">
        <v>0</v>
      </c>
      <c r="U1426" s="107"/>
      <c r="V1426" s="107"/>
      <c r="W1426" s="107"/>
      <c r="X1426" s="107"/>
      <c r="Y1426" s="107"/>
      <c r="Z1426" s="107"/>
      <c r="AA1426" s="107"/>
      <c r="AB1426" s="107"/>
      <c r="AC1426" s="355"/>
      <c r="AD1426" s="355"/>
      <c r="AE1426" s="355"/>
      <c r="AF1426" s="94">
        <f t="shared" si="195"/>
        <v>42207</v>
      </c>
      <c r="AG1426" s="185">
        <f t="shared" si="199"/>
        <v>0</v>
      </c>
      <c r="AH1426" s="339" t="str">
        <f>VLOOKUP(B1426,'MF PF'!A:B,2)</f>
        <v>FdMgt1</v>
      </c>
      <c r="AI1426" s="358">
        <f t="shared" si="196"/>
        <v>0</v>
      </c>
      <c r="AJ1426" s="94">
        <f t="shared" si="197"/>
        <v>42216</v>
      </c>
    </row>
    <row r="1427" spans="1:36" ht="12.75" customHeight="1">
      <c r="A1427" s="8">
        <v>42216</v>
      </c>
      <c r="B1427" s="94" t="s">
        <v>136</v>
      </c>
      <c r="C1427" s="358" t="s">
        <v>316</v>
      </c>
      <c r="D1427" s="374">
        <v>17761.43</v>
      </c>
      <c r="E1427" s="95" t="e">
        <f t="shared" si="200"/>
        <v>#DIV/0!</v>
      </c>
      <c r="F1427" s="98">
        <v>0.20499999999999999</v>
      </c>
      <c r="G1427" s="98">
        <v>0</v>
      </c>
      <c r="H1427" s="98">
        <v>0</v>
      </c>
      <c r="I1427" s="98">
        <v>0</v>
      </c>
      <c r="J1427" s="98"/>
      <c r="K1427" s="93"/>
      <c r="L1427" s="93">
        <f t="shared" si="193"/>
        <v>0</v>
      </c>
      <c r="M1427" s="95" t="e">
        <f t="shared" ca="1" si="194"/>
        <v>#DIV/0!</v>
      </c>
      <c r="N1427" s="95">
        <f>IF(P1427="Hedge Fund",IF(A1427=Summary!$AD$3,M1427-E1427,M1427),IF(A1427=Summary!$AD$3,L1427-D1427,L1427))</f>
        <v>0</v>
      </c>
      <c r="O1427" s="95">
        <f t="shared" si="198"/>
        <v>0</v>
      </c>
      <c r="P1427" s="89" t="s">
        <v>155</v>
      </c>
      <c r="Q1427" s="107">
        <v>0</v>
      </c>
      <c r="R1427" s="107">
        <v>0</v>
      </c>
      <c r="S1427" s="107">
        <v>0</v>
      </c>
      <c r="T1427" s="107">
        <v>0</v>
      </c>
      <c r="U1427" s="107"/>
      <c r="V1427" s="107"/>
      <c r="W1427" s="107"/>
      <c r="X1427" s="107"/>
      <c r="Y1427" s="107"/>
      <c r="Z1427" s="107"/>
      <c r="AA1427" s="107"/>
      <c r="AB1427" s="107"/>
      <c r="AC1427" s="355"/>
      <c r="AD1427" s="355"/>
      <c r="AE1427" s="355"/>
      <c r="AF1427" s="94">
        <f t="shared" si="195"/>
        <v>42216</v>
      </c>
      <c r="AG1427" s="185">
        <f t="shared" si="199"/>
        <v>-4.1250350434538507E-3</v>
      </c>
      <c r="AH1427" s="339" t="str">
        <f>VLOOKUP(B1427,'MF PF'!A:B,2)</f>
        <v>FdMgt1</v>
      </c>
      <c r="AI1427" s="358">
        <f t="shared" si="196"/>
        <v>0</v>
      </c>
      <c r="AJ1427" s="94">
        <f t="shared" si="197"/>
        <v>42216</v>
      </c>
    </row>
    <row r="1428" spans="1:36" ht="12.75" customHeight="1">
      <c r="A1428" s="94">
        <v>42247</v>
      </c>
      <c r="B1428" s="94" t="s">
        <v>136</v>
      </c>
      <c r="C1428" s="358" t="s">
        <v>316</v>
      </c>
      <c r="D1428" s="374">
        <v>17663.07</v>
      </c>
      <c r="E1428" s="95" t="e">
        <f t="shared" si="200"/>
        <v>#DIV/0!</v>
      </c>
      <c r="F1428" s="98">
        <v>0.20499999999999999</v>
      </c>
      <c r="G1428" s="98">
        <v>0</v>
      </c>
      <c r="H1428" s="98">
        <v>0</v>
      </c>
      <c r="I1428" s="98">
        <v>0</v>
      </c>
      <c r="J1428" s="98"/>
      <c r="K1428" s="93"/>
      <c r="L1428" s="93">
        <f t="shared" si="193"/>
        <v>0</v>
      </c>
      <c r="M1428" s="95" t="e">
        <f t="shared" ca="1" si="194"/>
        <v>#DIV/0!</v>
      </c>
      <c r="N1428" s="95">
        <f>IF(P1428="Hedge Fund",IF(A1428=Summary!$AD$3,M1428-E1428,M1428),IF(A1428=Summary!$AD$3,L1428-D1428,L1428))</f>
        <v>0</v>
      </c>
      <c r="O1428" s="95">
        <f t="shared" si="198"/>
        <v>0</v>
      </c>
      <c r="P1428" s="107" t="s">
        <v>155</v>
      </c>
      <c r="Q1428" s="107">
        <v>0</v>
      </c>
      <c r="R1428" s="107">
        <v>0</v>
      </c>
      <c r="S1428" s="107">
        <v>0</v>
      </c>
      <c r="T1428" s="107">
        <v>0</v>
      </c>
      <c r="U1428" s="107"/>
      <c r="V1428" s="107"/>
      <c r="W1428" s="107"/>
      <c r="X1428" s="107"/>
      <c r="Y1428" s="107"/>
      <c r="Z1428" s="107"/>
      <c r="AA1428" s="107"/>
      <c r="AB1428" s="107"/>
      <c r="AC1428" s="355"/>
      <c r="AD1428" s="355"/>
      <c r="AE1428" s="355"/>
      <c r="AF1428" s="94">
        <f t="shared" si="195"/>
        <v>42247</v>
      </c>
      <c r="AG1428" s="185">
        <f t="shared" si="199"/>
        <v>-5.5378423921947917E-3</v>
      </c>
      <c r="AH1428" s="339" t="str">
        <f>VLOOKUP(B1428,'MF PF'!A:B,2)</f>
        <v>FdMgt1</v>
      </c>
      <c r="AI1428" s="358">
        <f t="shared" si="196"/>
        <v>0</v>
      </c>
      <c r="AJ1428" s="94">
        <f t="shared" si="197"/>
        <v>42247</v>
      </c>
    </row>
    <row r="1429" spans="1:36" ht="12.75" customHeight="1">
      <c r="A1429" s="94">
        <v>42277</v>
      </c>
      <c r="B1429" s="94" t="s">
        <v>136</v>
      </c>
      <c r="C1429" s="358" t="s">
        <v>316</v>
      </c>
      <c r="D1429" s="374">
        <v>17686.38</v>
      </c>
      <c r="E1429" s="9" t="e">
        <f t="shared" si="200"/>
        <v>#DIV/0!</v>
      </c>
      <c r="F1429" s="98">
        <v>0.20499999999999999</v>
      </c>
      <c r="G1429" s="98">
        <v>0</v>
      </c>
      <c r="H1429" s="98">
        <v>0</v>
      </c>
      <c r="I1429" s="98">
        <v>0</v>
      </c>
      <c r="J1429" s="98"/>
      <c r="L1429" s="93">
        <f t="shared" si="193"/>
        <v>0</v>
      </c>
      <c r="M1429" s="95" t="e">
        <f t="shared" ca="1" si="194"/>
        <v>#DIV/0!</v>
      </c>
      <c r="N1429" s="95">
        <f>IF(P1429="Hedge Fund",IF(A1429=Summary!$AD$3,M1429-E1429,M1429),IF(A1429=Summary!$AD$3,L1429-D1429,L1429))</f>
        <v>0</v>
      </c>
      <c r="O1429" s="95">
        <f t="shared" si="198"/>
        <v>0</v>
      </c>
      <c r="P1429" s="107" t="s">
        <v>155</v>
      </c>
      <c r="Q1429" s="107">
        <v>0</v>
      </c>
      <c r="R1429" s="107">
        <v>0</v>
      </c>
      <c r="S1429" s="107">
        <v>0</v>
      </c>
      <c r="T1429" s="107">
        <v>0</v>
      </c>
      <c r="U1429" s="107"/>
      <c r="V1429" s="107"/>
      <c r="W1429" s="107"/>
      <c r="X1429" s="107"/>
      <c r="Y1429" s="107"/>
      <c r="Z1429" s="107"/>
      <c r="AA1429" s="107"/>
      <c r="AB1429" s="107"/>
      <c r="AC1429" s="355"/>
      <c r="AD1429" s="355"/>
      <c r="AE1429" s="355"/>
      <c r="AF1429" s="94">
        <f t="shared" si="195"/>
        <v>42277</v>
      </c>
      <c r="AG1429" s="185">
        <f t="shared" si="199"/>
        <v>1.3197026338003237E-3</v>
      </c>
      <c r="AH1429" s="339" t="str">
        <f>VLOOKUP(B1429,'MF PF'!A:B,2)</f>
        <v>FdMgt1</v>
      </c>
      <c r="AI1429" s="358">
        <f t="shared" si="196"/>
        <v>0</v>
      </c>
      <c r="AJ1429" s="94">
        <f t="shared" si="197"/>
        <v>42277</v>
      </c>
    </row>
    <row r="1430" spans="1:36" ht="12.75" customHeight="1">
      <c r="A1430" s="94">
        <v>42307</v>
      </c>
      <c r="B1430" s="94" t="s">
        <v>136</v>
      </c>
      <c r="C1430" s="358" t="s">
        <v>316</v>
      </c>
      <c r="D1430" s="374">
        <v>17667.8</v>
      </c>
      <c r="E1430" s="9" t="e">
        <f t="shared" si="200"/>
        <v>#DIV/0!</v>
      </c>
      <c r="F1430" s="98">
        <v>0.20499999999999999</v>
      </c>
      <c r="G1430" s="98">
        <v>0</v>
      </c>
      <c r="H1430" s="98">
        <v>0</v>
      </c>
      <c r="I1430" s="98">
        <v>0</v>
      </c>
      <c r="J1430" s="98"/>
      <c r="L1430" s="93">
        <f t="shared" si="193"/>
        <v>0</v>
      </c>
      <c r="M1430" s="95" t="e">
        <f t="shared" ca="1" si="194"/>
        <v>#DIV/0!</v>
      </c>
      <c r="N1430" s="95">
        <f>IF(P1430="Hedge Fund",IF(A1430=Summary!$AD$3,M1430-E1430,M1430),IF(A1430=Summary!$AD$3,L1430-D1430,L1430))</f>
        <v>0</v>
      </c>
      <c r="O1430" s="95">
        <f t="shared" si="198"/>
        <v>0</v>
      </c>
      <c r="P1430" s="89" t="s">
        <v>155</v>
      </c>
      <c r="Q1430" s="107">
        <v>0</v>
      </c>
      <c r="R1430" s="107">
        <v>0</v>
      </c>
      <c r="S1430" s="107">
        <v>0</v>
      </c>
      <c r="T1430" s="107">
        <v>0</v>
      </c>
      <c r="U1430" s="107"/>
      <c r="V1430" s="107"/>
      <c r="W1430" s="107"/>
      <c r="X1430" s="107"/>
      <c r="Y1430" s="107"/>
      <c r="Z1430" s="107"/>
      <c r="AA1430" s="107"/>
      <c r="AB1430" s="107"/>
      <c r="AC1430" s="355"/>
      <c r="AD1430" s="355"/>
      <c r="AE1430" s="355"/>
      <c r="AF1430" s="94">
        <f t="shared" si="195"/>
        <v>42307</v>
      </c>
      <c r="AG1430" s="185">
        <f t="shared" si="199"/>
        <v>-1.0505258848900745E-3</v>
      </c>
      <c r="AH1430" s="339" t="str">
        <f>VLOOKUP(B1430,'MF PF'!A:B,2)</f>
        <v>FdMgt1</v>
      </c>
      <c r="AI1430" s="358">
        <f t="shared" si="196"/>
        <v>0</v>
      </c>
      <c r="AJ1430" s="94">
        <f t="shared" si="197"/>
        <v>42308</v>
      </c>
    </row>
    <row r="1431" spans="1:36" ht="12.75" customHeight="1">
      <c r="A1431" s="8">
        <v>42338</v>
      </c>
      <c r="B1431" s="94" t="s">
        <v>136</v>
      </c>
      <c r="C1431" s="358" t="s">
        <v>316</v>
      </c>
      <c r="D1431" s="374">
        <v>32962.97</v>
      </c>
      <c r="E1431" s="9" t="e">
        <f t="shared" si="200"/>
        <v>#DIV/0!</v>
      </c>
      <c r="F1431" s="98">
        <v>0.20499999999999999</v>
      </c>
      <c r="G1431" s="98">
        <v>18450</v>
      </c>
      <c r="H1431" s="98">
        <v>0</v>
      </c>
      <c r="I1431" s="98">
        <v>0</v>
      </c>
      <c r="J1431" s="98"/>
      <c r="L1431" s="93">
        <f t="shared" si="193"/>
        <v>18450</v>
      </c>
      <c r="M1431" s="95" t="e">
        <f t="shared" ca="1" si="194"/>
        <v>#DIV/0!</v>
      </c>
      <c r="N1431" s="95">
        <f>IF(P1431="Hedge Fund",IF(A1431=Summary!$AD$3,M1431-E1431,M1431),IF(A1431=Summary!$AD$3,L1431-D1431,L1431))</f>
        <v>18450</v>
      </c>
      <c r="O1431" s="95">
        <f t="shared" si="198"/>
        <v>18450</v>
      </c>
      <c r="P1431" s="89" t="s">
        <v>155</v>
      </c>
      <c r="Q1431" s="107">
        <v>0</v>
      </c>
      <c r="R1431" s="107">
        <v>0</v>
      </c>
      <c r="S1431" s="107">
        <v>0</v>
      </c>
      <c r="T1431" s="107">
        <v>0</v>
      </c>
      <c r="U1431" s="107"/>
      <c r="V1431" s="107"/>
      <c r="W1431" s="107"/>
      <c r="X1431" s="107"/>
      <c r="Y1431" s="107"/>
      <c r="Z1431" s="107"/>
      <c r="AA1431" s="107"/>
      <c r="AB1431" s="107"/>
      <c r="AC1431" s="355"/>
      <c r="AD1431" s="355"/>
      <c r="AE1431" s="355"/>
      <c r="AF1431" s="94">
        <f t="shared" si="195"/>
        <v>42338</v>
      </c>
      <c r="AG1431" s="185">
        <f t="shared" si="199"/>
        <v>-0.17856382798084636</v>
      </c>
      <c r="AH1431" s="339" t="str">
        <f>VLOOKUP(B1431,'MF PF'!A:B,2)</f>
        <v>FdMgt1</v>
      </c>
      <c r="AI1431" s="358">
        <f t="shared" si="196"/>
        <v>0</v>
      </c>
      <c r="AJ1431" s="94">
        <f t="shared" si="197"/>
        <v>42338</v>
      </c>
    </row>
    <row r="1432" spans="1:36" ht="12.75" customHeight="1">
      <c r="A1432" s="8">
        <v>42369</v>
      </c>
      <c r="B1432" s="94" t="s">
        <v>136</v>
      </c>
      <c r="C1432" s="6" t="s">
        <v>316</v>
      </c>
      <c r="D1432" s="374">
        <v>36439.767999999996</v>
      </c>
      <c r="E1432" s="9" t="e">
        <f t="shared" si="200"/>
        <v>#DIV/0!</v>
      </c>
      <c r="F1432" s="98">
        <v>0.20499999999999999</v>
      </c>
      <c r="G1432" s="98">
        <v>0</v>
      </c>
      <c r="H1432" s="98">
        <v>0</v>
      </c>
      <c r="I1432" s="98">
        <v>0</v>
      </c>
      <c r="J1432" s="98"/>
      <c r="L1432" s="93">
        <f t="shared" si="193"/>
        <v>0</v>
      </c>
      <c r="M1432" s="95" t="e">
        <f t="shared" ca="1" si="194"/>
        <v>#DIV/0!</v>
      </c>
      <c r="N1432" s="95">
        <f>IF(P1432="Hedge Fund",IF(A1432=Summary!$AD$3,M1432-E1432,M1432),IF(A1432=Summary!$AD$3,L1432-D1432,L1432))</f>
        <v>0</v>
      </c>
      <c r="O1432" s="95">
        <f t="shared" si="198"/>
        <v>0</v>
      </c>
      <c r="P1432" s="107" t="s">
        <v>155</v>
      </c>
      <c r="Q1432" s="107">
        <v>0</v>
      </c>
      <c r="R1432" s="107">
        <v>0</v>
      </c>
      <c r="S1432" s="107">
        <v>0</v>
      </c>
      <c r="T1432" s="107">
        <v>0</v>
      </c>
      <c r="U1432" s="107"/>
      <c r="V1432" s="107"/>
      <c r="W1432" s="107"/>
      <c r="X1432" s="107"/>
      <c r="Y1432" s="107"/>
      <c r="Z1432" s="107"/>
      <c r="AA1432" s="107"/>
      <c r="AB1432" s="107"/>
      <c r="AC1432" s="355"/>
      <c r="AD1432" s="355"/>
      <c r="AE1432" s="355"/>
      <c r="AF1432" s="94">
        <f t="shared" si="195"/>
        <v>42369</v>
      </c>
      <c r="AG1432" s="185">
        <f t="shared" si="199"/>
        <v>0.10547587186470131</v>
      </c>
      <c r="AH1432" s="339" t="str">
        <f>VLOOKUP(B1432,'MF PF'!A:B,2)</f>
        <v>FdMgt1</v>
      </c>
      <c r="AI1432" s="358">
        <f t="shared" si="196"/>
        <v>0</v>
      </c>
      <c r="AJ1432" s="94">
        <f t="shared" si="197"/>
        <v>42369</v>
      </c>
    </row>
    <row r="1433" spans="1:36" ht="12.75" customHeight="1">
      <c r="A1433" s="8">
        <v>42398</v>
      </c>
      <c r="B1433" s="94" t="s">
        <v>136</v>
      </c>
      <c r="C1433" s="6" t="s">
        <v>316</v>
      </c>
      <c r="D1433" s="374">
        <v>36319.076500000003</v>
      </c>
      <c r="E1433" s="9" t="e">
        <f t="shared" si="200"/>
        <v>#DIV/0!</v>
      </c>
      <c r="F1433" s="98">
        <v>0.20499999999999999</v>
      </c>
      <c r="G1433" s="98">
        <v>0</v>
      </c>
      <c r="H1433" s="98">
        <v>0</v>
      </c>
      <c r="I1433" s="98">
        <v>0</v>
      </c>
      <c r="J1433" s="98"/>
      <c r="L1433" s="93">
        <f t="shared" si="193"/>
        <v>0</v>
      </c>
      <c r="M1433" s="95" t="e">
        <f t="shared" ca="1" si="194"/>
        <v>#DIV/0!</v>
      </c>
      <c r="N1433" s="95">
        <f>IF(P1433="Hedge Fund",IF(A1433=Summary!$AD$3,M1433-E1433,M1433),IF(A1433=Summary!$AD$3,L1433-D1433,L1433))</f>
        <v>0</v>
      </c>
      <c r="O1433" s="95">
        <f t="shared" si="198"/>
        <v>0</v>
      </c>
      <c r="P1433" s="89" t="s">
        <v>155</v>
      </c>
      <c r="Q1433" s="107">
        <v>0</v>
      </c>
      <c r="R1433" s="107">
        <v>0</v>
      </c>
      <c r="S1433" s="107">
        <v>0</v>
      </c>
      <c r="T1433" s="107">
        <v>0</v>
      </c>
      <c r="U1433" s="107"/>
      <c r="V1433" s="107"/>
      <c r="W1433" s="107"/>
      <c r="X1433" s="107"/>
      <c r="Y1433" s="107"/>
      <c r="Z1433" s="107"/>
      <c r="AA1433" s="107"/>
      <c r="AB1433" s="107"/>
      <c r="AC1433" s="355"/>
      <c r="AD1433" s="355"/>
      <c r="AE1433" s="355"/>
      <c r="AF1433" s="94">
        <f t="shared" si="195"/>
        <v>42398</v>
      </c>
      <c r="AG1433" s="185">
        <f t="shared" si="199"/>
        <v>-3.3120820088644587E-3</v>
      </c>
      <c r="AH1433" s="339" t="str">
        <f>VLOOKUP(B1433,'MF PF'!A:B,2)</f>
        <v>FdMgt1</v>
      </c>
      <c r="AI1433" s="358">
        <f t="shared" si="196"/>
        <v>0</v>
      </c>
      <c r="AJ1433" s="94">
        <f t="shared" si="197"/>
        <v>42400</v>
      </c>
    </row>
    <row r="1434" spans="1:36" ht="12.75" customHeight="1">
      <c r="A1434" s="8">
        <v>42429</v>
      </c>
      <c r="B1434" s="94" t="s">
        <v>136</v>
      </c>
      <c r="C1434" s="6" t="s">
        <v>316</v>
      </c>
      <c r="D1434" s="374">
        <v>82587.678499999995</v>
      </c>
      <c r="E1434" s="9" t="e">
        <f t="shared" si="200"/>
        <v>#DIV/0!</v>
      </c>
      <c r="F1434" s="98">
        <v>0.20499999999999999</v>
      </c>
      <c r="G1434" s="98">
        <v>45920</v>
      </c>
      <c r="H1434" s="98">
        <v>0</v>
      </c>
      <c r="I1434" s="98">
        <v>0</v>
      </c>
      <c r="J1434" s="98"/>
      <c r="L1434" s="93">
        <f t="shared" si="193"/>
        <v>45920</v>
      </c>
      <c r="M1434" s="95" t="e">
        <f t="shared" ca="1" si="194"/>
        <v>#DIV/0!</v>
      </c>
      <c r="N1434" s="95">
        <f>IF(P1434="Hedge Fund",IF(A1434=Summary!$AD$3,M1434-E1434,M1434),IF(A1434=Summary!$AD$3,L1434-D1434,L1434))</f>
        <v>45920</v>
      </c>
      <c r="O1434" s="95">
        <f t="shared" si="198"/>
        <v>45920</v>
      </c>
      <c r="P1434" s="89" t="s">
        <v>155</v>
      </c>
      <c r="Q1434" s="107">
        <v>0</v>
      </c>
      <c r="R1434" s="107">
        <v>0</v>
      </c>
      <c r="S1434" s="107">
        <v>0</v>
      </c>
      <c r="T1434" s="107">
        <v>0</v>
      </c>
      <c r="U1434" s="107"/>
      <c r="V1434" s="107"/>
      <c r="W1434" s="107"/>
      <c r="X1434" s="107"/>
      <c r="Y1434" s="107"/>
      <c r="Z1434" s="107"/>
      <c r="AA1434" s="107"/>
      <c r="AB1434" s="107"/>
      <c r="AC1434" s="355"/>
      <c r="AD1434" s="355"/>
      <c r="AE1434" s="355"/>
      <c r="AF1434" s="94">
        <f t="shared" si="195"/>
        <v>42429</v>
      </c>
      <c r="AG1434" s="185">
        <f t="shared" si="199"/>
        <v>9.5983167413409287E-3</v>
      </c>
      <c r="AH1434" s="339" t="str">
        <f>VLOOKUP(B1434,'MF PF'!A:B,2)</f>
        <v>FdMgt1</v>
      </c>
      <c r="AI1434" s="358">
        <f t="shared" si="196"/>
        <v>0</v>
      </c>
      <c r="AJ1434" s="94">
        <f t="shared" si="197"/>
        <v>42429</v>
      </c>
    </row>
    <row r="1435" spans="1:36" ht="12.75" customHeight="1">
      <c r="A1435" s="94">
        <v>42460</v>
      </c>
      <c r="B1435" s="94" t="s">
        <v>136</v>
      </c>
      <c r="C1435" s="358" t="s">
        <v>316</v>
      </c>
      <c r="D1435" s="374">
        <v>82823.069000000003</v>
      </c>
      <c r="E1435" s="9" t="e">
        <f t="shared" si="200"/>
        <v>#DIV/0!</v>
      </c>
      <c r="F1435" s="98">
        <v>0.20499999999999999</v>
      </c>
      <c r="G1435" s="98">
        <v>0</v>
      </c>
      <c r="H1435" s="98">
        <v>0</v>
      </c>
      <c r="I1435" s="98">
        <v>0</v>
      </c>
      <c r="J1435" s="98"/>
      <c r="L1435" s="93">
        <f t="shared" si="193"/>
        <v>0</v>
      </c>
      <c r="M1435" s="95" t="e">
        <f t="shared" ca="1" si="194"/>
        <v>#DIV/0!</v>
      </c>
      <c r="N1435" s="95">
        <f>IF(P1435="Hedge Fund",IF(A1435=Summary!$AD$3,M1435-E1435,M1435),IF(A1435=Summary!$AD$3,L1435-D1435,L1435))</f>
        <v>0</v>
      </c>
      <c r="O1435" s="95">
        <f t="shared" si="198"/>
        <v>0</v>
      </c>
      <c r="P1435" s="89" t="s">
        <v>155</v>
      </c>
      <c r="Q1435" s="107">
        <v>0</v>
      </c>
      <c r="R1435" s="107">
        <v>0</v>
      </c>
      <c r="S1435" s="107">
        <v>0</v>
      </c>
      <c r="T1435" s="107">
        <v>0</v>
      </c>
      <c r="U1435" s="107"/>
      <c r="V1435" s="107"/>
      <c r="W1435" s="107"/>
      <c r="X1435" s="107"/>
      <c r="Y1435" s="107"/>
      <c r="Z1435" s="107"/>
      <c r="AA1435" s="107"/>
      <c r="AB1435" s="107"/>
      <c r="AC1435" s="355"/>
      <c r="AD1435" s="355"/>
      <c r="AE1435" s="355"/>
      <c r="AF1435" s="94">
        <f t="shared" si="195"/>
        <v>42460</v>
      </c>
      <c r="AG1435" s="185">
        <f t="shared" si="199"/>
        <v>2.8501890872256741E-3</v>
      </c>
      <c r="AH1435" s="339" t="str">
        <f>VLOOKUP(B1435,'MF PF'!A:B,2)</f>
        <v>FdMgt1</v>
      </c>
      <c r="AI1435" s="358">
        <f t="shared" si="196"/>
        <v>0</v>
      </c>
      <c r="AJ1435" s="94">
        <f t="shared" si="197"/>
        <v>42460</v>
      </c>
    </row>
    <row r="1436" spans="1:36" ht="12.75" customHeight="1">
      <c r="A1436" s="8">
        <v>42489</v>
      </c>
      <c r="B1436" s="94" t="s">
        <v>136</v>
      </c>
      <c r="C1436" s="6" t="s">
        <v>316</v>
      </c>
      <c r="D1436" s="374">
        <v>115948.15150000001</v>
      </c>
      <c r="E1436" s="9" t="e">
        <f t="shared" si="200"/>
        <v>#DIV/0!</v>
      </c>
      <c r="F1436" s="98">
        <v>0.20499999999999999</v>
      </c>
      <c r="G1436" s="98">
        <v>32800</v>
      </c>
      <c r="H1436" s="98">
        <v>0</v>
      </c>
      <c r="I1436" s="98">
        <v>0</v>
      </c>
      <c r="J1436" s="98"/>
      <c r="L1436" s="93">
        <f t="shared" si="193"/>
        <v>32800</v>
      </c>
      <c r="M1436" s="95" t="e">
        <f t="shared" ca="1" si="194"/>
        <v>#DIV/0!</v>
      </c>
      <c r="N1436" s="95">
        <f>IF(P1436="Hedge Fund",IF(A1436=Summary!$AD$3,M1436-E1436,M1436),IF(A1436=Summary!$AD$3,L1436-D1436,L1436))</f>
        <v>32800</v>
      </c>
      <c r="O1436" s="95">
        <f t="shared" si="198"/>
        <v>32800</v>
      </c>
      <c r="P1436" s="89" t="s">
        <v>155</v>
      </c>
      <c r="Q1436" s="107">
        <v>0</v>
      </c>
      <c r="R1436" s="107">
        <v>0</v>
      </c>
      <c r="S1436" s="107">
        <v>0</v>
      </c>
      <c r="T1436" s="107">
        <v>0</v>
      </c>
      <c r="U1436" s="107"/>
      <c r="V1436" s="107"/>
      <c r="W1436" s="107"/>
      <c r="X1436" s="107"/>
      <c r="Y1436" s="107"/>
      <c r="Z1436" s="107"/>
      <c r="AA1436" s="107"/>
      <c r="AB1436" s="107"/>
      <c r="AC1436" s="355"/>
      <c r="AD1436" s="355"/>
      <c r="AE1436" s="355"/>
      <c r="AF1436" s="94">
        <f t="shared" si="195"/>
        <v>42489</v>
      </c>
      <c r="AG1436" s="185">
        <f t="shared" si="199"/>
        <v>3.9250235945735845E-3</v>
      </c>
      <c r="AH1436" s="339" t="str">
        <f>VLOOKUP(B1436,'MF PF'!A:B,2)</f>
        <v>FdMgt1</v>
      </c>
      <c r="AI1436" s="358">
        <f t="shared" si="196"/>
        <v>0</v>
      </c>
      <c r="AJ1436" s="94">
        <f t="shared" si="197"/>
        <v>42490</v>
      </c>
    </row>
    <row r="1437" spans="1:36" ht="12.75" customHeight="1">
      <c r="A1437" s="8">
        <v>42521</v>
      </c>
      <c r="B1437" s="94" t="s">
        <v>136</v>
      </c>
      <c r="C1437" s="6" t="s">
        <v>316</v>
      </c>
      <c r="D1437" s="374">
        <v>117345.33900000001</v>
      </c>
      <c r="E1437" s="9" t="e">
        <f t="shared" si="200"/>
        <v>#DIV/0!</v>
      </c>
      <c r="F1437" s="98">
        <v>0.20499999999999999</v>
      </c>
      <c r="G1437" s="98">
        <v>0</v>
      </c>
      <c r="H1437" s="98">
        <v>0</v>
      </c>
      <c r="I1437" s="98">
        <v>0</v>
      </c>
      <c r="J1437" s="98"/>
      <c r="L1437" s="93">
        <f t="shared" si="193"/>
        <v>0</v>
      </c>
      <c r="M1437" s="95" t="e">
        <f t="shared" ca="1" si="194"/>
        <v>#DIV/0!</v>
      </c>
      <c r="N1437" s="95">
        <f>IF(P1437="Hedge Fund",IF(A1437=Summary!$AD$3,M1437-E1437,M1437),IF(A1437=Summary!$AD$3,L1437-D1437,L1437))</f>
        <v>0</v>
      </c>
      <c r="O1437" s="95">
        <f t="shared" si="198"/>
        <v>0</v>
      </c>
      <c r="P1437" s="89" t="s">
        <v>155</v>
      </c>
      <c r="Q1437" s="107">
        <v>0</v>
      </c>
      <c r="R1437" s="107">
        <v>0</v>
      </c>
      <c r="S1437" s="107">
        <v>0</v>
      </c>
      <c r="T1437" s="107">
        <v>0</v>
      </c>
      <c r="U1437" s="107"/>
      <c r="V1437" s="107"/>
      <c r="W1437" s="107"/>
      <c r="X1437" s="107"/>
      <c r="Y1437" s="107"/>
      <c r="Z1437" s="107"/>
      <c r="AA1437" s="107"/>
      <c r="AB1437" s="107"/>
      <c r="AC1437" s="355"/>
      <c r="AD1437" s="355"/>
      <c r="AE1437" s="355"/>
      <c r="AF1437" s="94">
        <f t="shared" si="195"/>
        <v>42521</v>
      </c>
      <c r="AG1437" s="185">
        <f t="shared" si="199"/>
        <v>1.2050105861325378E-2</v>
      </c>
      <c r="AH1437" s="339" t="str">
        <f>VLOOKUP(B1437,'MF PF'!A:B,2)</f>
        <v>FdMgt1</v>
      </c>
      <c r="AI1437" s="358">
        <f t="shared" si="196"/>
        <v>0</v>
      </c>
      <c r="AJ1437" s="94">
        <f t="shared" si="197"/>
        <v>42521</v>
      </c>
    </row>
    <row r="1438" spans="1:36" ht="12.75" customHeight="1">
      <c r="A1438" s="8">
        <v>42551</v>
      </c>
      <c r="B1438" s="94" t="s">
        <v>136</v>
      </c>
      <c r="C1438" s="6" t="s">
        <v>316</v>
      </c>
      <c r="D1438" s="374">
        <v>116964.06299999999</v>
      </c>
      <c r="E1438" s="9" t="e">
        <f t="shared" si="200"/>
        <v>#DIV/0!</v>
      </c>
      <c r="F1438" s="98">
        <v>0.20499999999999999</v>
      </c>
      <c r="G1438" s="98">
        <v>0</v>
      </c>
      <c r="H1438" s="98">
        <v>0</v>
      </c>
      <c r="I1438" s="98">
        <v>0</v>
      </c>
      <c r="J1438" s="98"/>
      <c r="L1438" s="93">
        <f t="shared" si="193"/>
        <v>0</v>
      </c>
      <c r="M1438" s="95" t="e">
        <f t="shared" ca="1" si="194"/>
        <v>#DIV/0!</v>
      </c>
      <c r="N1438" s="95">
        <f>IF(P1438="Hedge Fund",IF(A1438=Summary!$AD$3,M1438-E1438,M1438),IF(A1438=Summary!$AD$3,L1438-D1438,L1438))</f>
        <v>0</v>
      </c>
      <c r="O1438" s="95">
        <f t="shared" si="198"/>
        <v>0</v>
      </c>
      <c r="P1438" s="89" t="s">
        <v>155</v>
      </c>
      <c r="Q1438" s="107">
        <v>0</v>
      </c>
      <c r="R1438" s="107">
        <v>0</v>
      </c>
      <c r="S1438" s="107">
        <v>0</v>
      </c>
      <c r="T1438" s="107">
        <v>0</v>
      </c>
      <c r="U1438" s="107"/>
      <c r="V1438" s="107"/>
      <c r="W1438" s="107"/>
      <c r="X1438" s="107"/>
      <c r="Y1438" s="107"/>
      <c r="Z1438" s="107"/>
      <c r="AA1438" s="107"/>
      <c r="AB1438" s="107"/>
      <c r="AC1438" s="355"/>
      <c r="AD1438" s="355"/>
      <c r="AE1438" s="355"/>
      <c r="AF1438" s="94">
        <f t="shared" si="195"/>
        <v>42551</v>
      </c>
      <c r="AG1438" s="185">
        <f t="shared" si="199"/>
        <v>-3.2491789043279651E-3</v>
      </c>
      <c r="AH1438" s="339" t="str">
        <f>VLOOKUP(B1438,'MF PF'!A:B,2)</f>
        <v>FdMgt1</v>
      </c>
      <c r="AI1438" s="358">
        <f t="shared" si="196"/>
        <v>0</v>
      </c>
      <c r="AJ1438" s="94">
        <f t="shared" si="197"/>
        <v>42551</v>
      </c>
    </row>
    <row r="1439" spans="1:36" ht="12.75" customHeight="1">
      <c r="A1439" s="94">
        <v>42580</v>
      </c>
      <c r="B1439" s="94" t="s">
        <v>136</v>
      </c>
      <c r="C1439" s="92" t="s">
        <v>316</v>
      </c>
      <c r="D1439" s="374">
        <v>116940.19500000001</v>
      </c>
      <c r="E1439" s="9" t="e">
        <f t="shared" si="200"/>
        <v>#DIV/0!</v>
      </c>
      <c r="F1439" s="98">
        <v>0.20499999999999999</v>
      </c>
      <c r="G1439" s="98">
        <v>0</v>
      </c>
      <c r="H1439" s="98">
        <v>0</v>
      </c>
      <c r="I1439" s="98">
        <v>0</v>
      </c>
      <c r="J1439" s="98"/>
      <c r="L1439" s="93">
        <f t="shared" si="193"/>
        <v>0</v>
      </c>
      <c r="M1439" s="95" t="e">
        <f t="shared" ca="1" si="194"/>
        <v>#DIV/0!</v>
      </c>
      <c r="N1439" s="95">
        <f>IF(P1439="Hedge Fund",IF(A1439=Summary!$AD$3,M1439-E1439,M1439),IF(A1439=Summary!$AD$3,L1439-D1439,L1439))</f>
        <v>0</v>
      </c>
      <c r="O1439" s="95">
        <f t="shared" si="198"/>
        <v>0</v>
      </c>
      <c r="P1439" s="89" t="s">
        <v>155</v>
      </c>
      <c r="Q1439" s="107">
        <v>0</v>
      </c>
      <c r="R1439" s="107">
        <v>0</v>
      </c>
      <c r="S1439" s="107">
        <v>0</v>
      </c>
      <c r="T1439" s="107">
        <v>0</v>
      </c>
      <c r="U1439" s="107"/>
      <c r="V1439" s="107"/>
      <c r="W1439" s="107"/>
      <c r="X1439" s="107"/>
      <c r="Y1439" s="107"/>
      <c r="Z1439" s="107"/>
      <c r="AA1439" s="107"/>
      <c r="AB1439" s="107"/>
      <c r="AC1439" s="355"/>
      <c r="AD1439" s="355"/>
      <c r="AE1439" s="355"/>
      <c r="AF1439" s="94">
        <f t="shared" si="195"/>
        <v>42580</v>
      </c>
      <c r="AG1439" s="185">
        <f t="shared" si="199"/>
        <v>-2.040626786364852E-4</v>
      </c>
      <c r="AH1439" s="339" t="str">
        <f>VLOOKUP(B1439,'MF PF'!A:B,2)</f>
        <v>FdMgt1</v>
      </c>
      <c r="AI1439" s="358">
        <f t="shared" si="196"/>
        <v>0</v>
      </c>
      <c r="AJ1439" s="94">
        <f t="shared" si="197"/>
        <v>42582</v>
      </c>
    </row>
    <row r="1440" spans="1:36" ht="12.75" customHeight="1">
      <c r="A1440" s="8">
        <v>42613</v>
      </c>
      <c r="B1440" s="94" t="s">
        <v>136</v>
      </c>
      <c r="C1440" s="358" t="s">
        <v>316</v>
      </c>
      <c r="D1440" s="374">
        <v>116845.76850000001</v>
      </c>
      <c r="E1440" s="9" t="e">
        <f t="shared" si="200"/>
        <v>#DIV/0!</v>
      </c>
      <c r="F1440" s="98">
        <v>0.20499999999999999</v>
      </c>
      <c r="G1440" s="98">
        <v>0</v>
      </c>
      <c r="H1440" s="98">
        <v>0</v>
      </c>
      <c r="I1440" s="98">
        <v>0</v>
      </c>
      <c r="J1440" s="98"/>
      <c r="L1440" s="93">
        <f t="shared" si="193"/>
        <v>0</v>
      </c>
      <c r="M1440" s="95" t="e">
        <f t="shared" ca="1" si="194"/>
        <v>#DIV/0!</v>
      </c>
      <c r="N1440" s="95">
        <f>IF(P1440="Hedge Fund",IF(A1440=Summary!$AD$3,M1440-E1440,M1440),IF(A1440=Summary!$AD$3,L1440-D1440,L1440))</f>
        <v>0</v>
      </c>
      <c r="O1440" s="95">
        <f t="shared" si="198"/>
        <v>0</v>
      </c>
      <c r="P1440" s="89" t="s">
        <v>155</v>
      </c>
      <c r="Q1440" s="107">
        <v>0</v>
      </c>
      <c r="R1440" s="107">
        <v>0</v>
      </c>
      <c r="S1440" s="107">
        <v>0</v>
      </c>
      <c r="T1440" s="107">
        <v>0</v>
      </c>
      <c r="U1440" s="107"/>
      <c r="V1440" s="107"/>
      <c r="W1440" s="107"/>
      <c r="X1440" s="107"/>
      <c r="Y1440" s="107"/>
      <c r="Z1440" s="107"/>
      <c r="AA1440" s="107"/>
      <c r="AB1440" s="107"/>
      <c r="AC1440" s="355"/>
      <c r="AD1440" s="355"/>
      <c r="AE1440" s="355"/>
      <c r="AF1440" s="94">
        <f t="shared" si="195"/>
        <v>42613</v>
      </c>
      <c r="AG1440" s="185">
        <f t="shared" si="199"/>
        <v>-8.0747684746040882E-4</v>
      </c>
      <c r="AH1440" s="339" t="str">
        <f>VLOOKUP(B1440,'MF PF'!A:B,2)</f>
        <v>FdMgt1</v>
      </c>
      <c r="AI1440" s="358">
        <f t="shared" si="196"/>
        <v>0</v>
      </c>
      <c r="AJ1440" s="94">
        <f t="shared" si="197"/>
        <v>42613</v>
      </c>
    </row>
    <row r="1441" spans="1:36" ht="12.75" customHeight="1">
      <c r="A1441" s="8">
        <v>42643</v>
      </c>
      <c r="B1441" s="94" t="s">
        <v>136</v>
      </c>
      <c r="C1441" s="358" t="s">
        <v>316</v>
      </c>
      <c r="D1441" s="374">
        <v>120724.378</v>
      </c>
      <c r="E1441" s="9" t="e">
        <f t="shared" si="200"/>
        <v>#DIV/0!</v>
      </c>
      <c r="F1441" s="98">
        <v>0.20499999999999999</v>
      </c>
      <c r="G1441" s="98">
        <v>0</v>
      </c>
      <c r="H1441" s="98">
        <v>0</v>
      </c>
      <c r="I1441" s="98">
        <v>0</v>
      </c>
      <c r="J1441" s="98"/>
      <c r="L1441" s="93">
        <f t="shared" si="193"/>
        <v>0</v>
      </c>
      <c r="M1441" s="95" t="e">
        <f t="shared" ca="1" si="194"/>
        <v>#DIV/0!</v>
      </c>
      <c r="N1441" s="95">
        <f>IF(P1441="Hedge Fund",IF(A1441=Summary!$AD$3,M1441-E1441,M1441),IF(A1441=Summary!$AD$3,L1441-D1441,L1441))</f>
        <v>0</v>
      </c>
      <c r="O1441" s="95">
        <f t="shared" si="198"/>
        <v>0</v>
      </c>
      <c r="P1441" s="89" t="s">
        <v>155</v>
      </c>
      <c r="Q1441" s="107">
        <v>0</v>
      </c>
      <c r="R1441" s="107">
        <v>0</v>
      </c>
      <c r="S1441" s="107">
        <v>0</v>
      </c>
      <c r="T1441" s="107">
        <v>0</v>
      </c>
      <c r="U1441" s="107"/>
      <c r="V1441" s="107"/>
      <c r="W1441" s="107"/>
      <c r="X1441" s="107"/>
      <c r="Y1441" s="107"/>
      <c r="Z1441" s="107"/>
      <c r="AA1441" s="107"/>
      <c r="AB1441" s="107"/>
      <c r="AC1441" s="355"/>
      <c r="AD1441" s="355"/>
      <c r="AE1441" s="355"/>
      <c r="AF1441" s="94">
        <f t="shared" si="195"/>
        <v>42643</v>
      </c>
      <c r="AG1441" s="185">
        <f t="shared" si="199"/>
        <v>3.3194265824012303E-2</v>
      </c>
      <c r="AH1441" s="339" t="str">
        <f>VLOOKUP(B1441,'MF PF'!A:B,2)</f>
        <v>FdMgt1</v>
      </c>
      <c r="AI1441" s="358">
        <f t="shared" si="196"/>
        <v>0</v>
      </c>
      <c r="AJ1441" s="94">
        <f t="shared" si="197"/>
        <v>42643</v>
      </c>
    </row>
    <row r="1442" spans="1:36" ht="12.75" customHeight="1">
      <c r="A1442" s="94">
        <v>42674</v>
      </c>
      <c r="B1442" s="94" t="s">
        <v>136</v>
      </c>
      <c r="C1442" s="358" t="s">
        <v>316</v>
      </c>
      <c r="D1442" s="374">
        <v>123928.079</v>
      </c>
      <c r="E1442" s="9" t="e">
        <f t="shared" si="200"/>
        <v>#DIV/0!</v>
      </c>
      <c r="F1442" s="98">
        <v>0.20499999999999999</v>
      </c>
      <c r="G1442" s="98">
        <v>0</v>
      </c>
      <c r="H1442" s="98">
        <v>0</v>
      </c>
      <c r="I1442" s="98">
        <v>0</v>
      </c>
      <c r="J1442" s="98"/>
      <c r="L1442" s="93">
        <f t="shared" si="193"/>
        <v>0</v>
      </c>
      <c r="M1442" s="95" t="e">
        <f t="shared" ca="1" si="194"/>
        <v>#DIV/0!</v>
      </c>
      <c r="N1442" s="95">
        <f>IF(P1442="Hedge Fund",IF(A1442=Summary!$AD$3,M1442-E1442,M1442),IF(A1442=Summary!$AD$3,L1442-D1442,L1442))</f>
        <v>0</v>
      </c>
      <c r="O1442" s="95">
        <f t="shared" si="198"/>
        <v>0</v>
      </c>
      <c r="P1442" s="89" t="s">
        <v>155</v>
      </c>
      <c r="Q1442" s="107">
        <v>0</v>
      </c>
      <c r="R1442" s="107">
        <v>0</v>
      </c>
      <c r="S1442" s="107">
        <v>0</v>
      </c>
      <c r="T1442" s="107">
        <v>0</v>
      </c>
      <c r="U1442" s="107"/>
      <c r="V1442" s="107"/>
      <c r="W1442" s="107"/>
      <c r="X1442" s="107"/>
      <c r="Y1442" s="107"/>
      <c r="Z1442" s="107"/>
      <c r="AA1442" s="107"/>
      <c r="AB1442" s="107"/>
      <c r="AC1442" s="355"/>
      <c r="AD1442" s="355"/>
      <c r="AE1442" s="355"/>
      <c r="AF1442" s="94">
        <f t="shared" si="195"/>
        <v>42674</v>
      </c>
      <c r="AG1442" s="185">
        <f t="shared" si="199"/>
        <v>2.6537316265982325E-2</v>
      </c>
      <c r="AH1442" s="339" t="str">
        <f>VLOOKUP(B1442,'MF PF'!A:B,2)</f>
        <v>FdMgt1</v>
      </c>
      <c r="AI1442" s="358">
        <f t="shared" si="196"/>
        <v>0</v>
      </c>
      <c r="AJ1442" s="94">
        <f t="shared" si="197"/>
        <v>42674</v>
      </c>
    </row>
    <row r="1443" spans="1:36" ht="12.75" customHeight="1">
      <c r="A1443" s="8">
        <v>42704</v>
      </c>
      <c r="B1443" s="94" t="s">
        <v>136</v>
      </c>
      <c r="C1443" s="358" t="s">
        <v>316</v>
      </c>
      <c r="D1443" s="374">
        <v>125132.57150000001</v>
      </c>
      <c r="E1443" s="9" t="e">
        <f t="shared" si="200"/>
        <v>#DIV/0!</v>
      </c>
      <c r="F1443" s="98">
        <v>0.20499999999999999</v>
      </c>
      <c r="G1443" s="98">
        <v>0</v>
      </c>
      <c r="H1443" s="98">
        <v>0</v>
      </c>
      <c r="I1443" s="98">
        <v>0</v>
      </c>
      <c r="J1443" s="98"/>
      <c r="L1443" s="93">
        <f t="shared" si="193"/>
        <v>0</v>
      </c>
      <c r="M1443" s="95" t="e">
        <f t="shared" ca="1" si="194"/>
        <v>#DIV/0!</v>
      </c>
      <c r="N1443" s="95">
        <f>IF(P1443="Hedge Fund",IF(A1443=Summary!$AD$3,M1443-E1443,M1443),IF(A1443=Summary!$AD$3,L1443-D1443,L1443))</f>
        <v>0</v>
      </c>
      <c r="O1443" s="95">
        <f t="shared" si="198"/>
        <v>0</v>
      </c>
      <c r="P1443" s="89" t="s">
        <v>155</v>
      </c>
      <c r="Q1443" s="107">
        <v>0</v>
      </c>
      <c r="R1443" s="107">
        <v>0</v>
      </c>
      <c r="S1443" s="107">
        <v>0</v>
      </c>
      <c r="T1443" s="107">
        <v>0</v>
      </c>
      <c r="U1443" s="107"/>
      <c r="V1443" s="107"/>
      <c r="W1443" s="107"/>
      <c r="X1443" s="107"/>
      <c r="Y1443" s="107"/>
      <c r="Z1443" s="107"/>
      <c r="AA1443" s="107"/>
      <c r="AB1443" s="107"/>
      <c r="AC1443" s="355"/>
      <c r="AD1443" s="355"/>
      <c r="AE1443" s="355"/>
      <c r="AF1443" s="94">
        <f t="shared" si="195"/>
        <v>42704</v>
      </c>
      <c r="AG1443" s="185">
        <f t="shared" si="199"/>
        <v>9.7192864580755156E-3</v>
      </c>
      <c r="AH1443" s="339" t="str">
        <f>VLOOKUP(B1443,'MF PF'!A:B,2)</f>
        <v>FdMgt1</v>
      </c>
      <c r="AI1443" s="358">
        <f t="shared" si="196"/>
        <v>0</v>
      </c>
      <c r="AJ1443" s="94">
        <f t="shared" si="197"/>
        <v>42704</v>
      </c>
    </row>
    <row r="1444" spans="1:36" ht="12.75" customHeight="1">
      <c r="A1444" s="94">
        <v>42734</v>
      </c>
      <c r="B1444" s="94" t="s">
        <v>136</v>
      </c>
      <c r="C1444" s="358" t="s">
        <v>316</v>
      </c>
      <c r="D1444" s="374">
        <v>214426.65299999999</v>
      </c>
      <c r="E1444" s="95" t="e">
        <f t="shared" si="200"/>
        <v>#DIV/0!</v>
      </c>
      <c r="F1444" s="98">
        <v>0.20499999999999999</v>
      </c>
      <c r="G1444" s="98">
        <v>89995</v>
      </c>
      <c r="H1444" s="98">
        <v>0</v>
      </c>
      <c r="I1444" s="98">
        <v>0</v>
      </c>
      <c r="J1444" s="98"/>
      <c r="L1444" s="93">
        <f t="shared" si="193"/>
        <v>89995</v>
      </c>
      <c r="M1444" s="95" t="e">
        <f t="shared" ca="1" si="194"/>
        <v>#DIV/0!</v>
      </c>
      <c r="N1444" s="95">
        <f>IF(P1444="Hedge Fund",IF(A1444=Summary!$AD$3,M1444-E1444,M1444),IF(A1444=Summary!$AD$3,L1444-D1444,L1444))</f>
        <v>89995</v>
      </c>
      <c r="O1444" s="95">
        <f t="shared" si="198"/>
        <v>89995</v>
      </c>
      <c r="P1444" s="107" t="s">
        <v>155</v>
      </c>
      <c r="Q1444" s="107">
        <v>0</v>
      </c>
      <c r="R1444" s="107">
        <v>0</v>
      </c>
      <c r="S1444" s="107">
        <v>0</v>
      </c>
      <c r="T1444" s="107">
        <v>0</v>
      </c>
      <c r="U1444" s="107"/>
      <c r="V1444" s="107"/>
      <c r="W1444" s="107"/>
      <c r="X1444" s="107"/>
      <c r="Y1444" s="107"/>
      <c r="Z1444" s="107"/>
      <c r="AA1444" s="107"/>
      <c r="AB1444" s="107"/>
      <c r="AC1444" s="355"/>
      <c r="AD1444" s="355"/>
      <c r="AE1444" s="355"/>
      <c r="AF1444" s="94">
        <f t="shared" si="195"/>
        <v>42734</v>
      </c>
      <c r="AG1444" s="185">
        <f t="shared" si="199"/>
        <v>-5.6014073042526258E-3</v>
      </c>
      <c r="AH1444" s="339" t="str">
        <f>VLOOKUP(B1444,'MF PF'!A:B,2)</f>
        <v>FdMgt1</v>
      </c>
      <c r="AI1444" s="358">
        <f t="shared" si="196"/>
        <v>0</v>
      </c>
      <c r="AJ1444" s="94">
        <f t="shared" si="197"/>
        <v>42735</v>
      </c>
    </row>
    <row r="1445" spans="1:36" ht="12.75" customHeight="1">
      <c r="A1445" s="8">
        <v>42762</v>
      </c>
      <c r="B1445" s="94" t="s">
        <v>136</v>
      </c>
      <c r="C1445" s="92" t="s">
        <v>316</v>
      </c>
      <c r="D1445" s="374">
        <v>217131.04699999999</v>
      </c>
      <c r="E1445" s="95" t="e">
        <f t="shared" si="200"/>
        <v>#DIV/0!</v>
      </c>
      <c r="F1445" s="98">
        <v>0.20499999999999999</v>
      </c>
      <c r="G1445" s="98">
        <v>0</v>
      </c>
      <c r="H1445" s="98">
        <v>0</v>
      </c>
      <c r="I1445" s="98">
        <v>0</v>
      </c>
      <c r="J1445" s="98"/>
      <c r="L1445" s="93">
        <f t="shared" si="193"/>
        <v>0</v>
      </c>
      <c r="M1445" s="95" t="e">
        <f t="shared" ca="1" si="194"/>
        <v>#DIV/0!</v>
      </c>
      <c r="N1445" s="95">
        <f>IF(P1445="Hedge Fund",IF(A1445=Summary!$AD$3,M1445-E1445,M1445),IF(A1445=Summary!$AD$3,L1445-D1445,L1445))</f>
        <v>0</v>
      </c>
      <c r="O1445" s="95">
        <f t="shared" si="198"/>
        <v>0</v>
      </c>
      <c r="P1445" s="107" t="s">
        <v>155</v>
      </c>
      <c r="Q1445" s="107">
        <v>0</v>
      </c>
      <c r="R1445" s="107">
        <v>0</v>
      </c>
      <c r="S1445" s="107">
        <v>0</v>
      </c>
      <c r="T1445" s="107">
        <v>0</v>
      </c>
      <c r="U1445" s="107"/>
      <c r="V1445" s="107"/>
      <c r="W1445" s="107"/>
      <c r="X1445" s="107"/>
      <c r="Y1445" s="107"/>
      <c r="Z1445" s="107"/>
      <c r="AA1445" s="107"/>
      <c r="AB1445" s="107"/>
      <c r="AC1445" s="355"/>
      <c r="AD1445" s="355"/>
      <c r="AE1445" s="355"/>
      <c r="AF1445" s="94">
        <f t="shared" si="195"/>
        <v>42762</v>
      </c>
      <c r="AG1445" s="185">
        <f t="shared" si="199"/>
        <v>1.2612210106175636E-2</v>
      </c>
      <c r="AH1445" s="339" t="str">
        <f>VLOOKUP(B1445,'MF PF'!A:B,2)</f>
        <v>FdMgt1</v>
      </c>
      <c r="AI1445" s="358">
        <f t="shared" si="196"/>
        <v>0</v>
      </c>
      <c r="AJ1445" s="94">
        <f t="shared" si="197"/>
        <v>42766</v>
      </c>
    </row>
    <row r="1446" spans="1:36" ht="12.75" customHeight="1">
      <c r="A1446" s="94">
        <v>42794</v>
      </c>
      <c r="B1446" s="94" t="s">
        <v>136</v>
      </c>
      <c r="C1446" s="358" t="s">
        <v>316</v>
      </c>
      <c r="D1446" s="374">
        <v>220971.19399999999</v>
      </c>
      <c r="E1446" s="9" t="e">
        <f t="shared" si="200"/>
        <v>#DIV/0!</v>
      </c>
      <c r="F1446" s="98">
        <v>0.20499999999999999</v>
      </c>
      <c r="G1446" s="98">
        <v>0</v>
      </c>
      <c r="H1446" s="98">
        <v>0</v>
      </c>
      <c r="I1446" s="98">
        <v>0</v>
      </c>
      <c r="J1446" s="98"/>
      <c r="L1446" s="93">
        <f t="shared" si="193"/>
        <v>0</v>
      </c>
      <c r="M1446" s="95" t="e">
        <f t="shared" ca="1" si="194"/>
        <v>#DIV/0!</v>
      </c>
      <c r="N1446" s="95">
        <f>IF(P1446="Hedge Fund",IF(A1446=Summary!$AD$3,M1446-E1446,M1446),IF(A1446=Summary!$AD$3,L1446-D1446,L1446))</f>
        <v>0</v>
      </c>
      <c r="O1446" s="95">
        <f t="shared" si="198"/>
        <v>0</v>
      </c>
      <c r="P1446" s="107" t="s">
        <v>155</v>
      </c>
      <c r="Q1446" s="107">
        <v>0</v>
      </c>
      <c r="R1446" s="107">
        <v>0</v>
      </c>
      <c r="S1446" s="107">
        <v>0</v>
      </c>
      <c r="T1446" s="107">
        <v>0</v>
      </c>
      <c r="U1446" s="107"/>
      <c r="V1446" s="107"/>
      <c r="W1446" s="107"/>
      <c r="X1446" s="107"/>
      <c r="Y1446" s="107"/>
      <c r="Z1446" s="107"/>
      <c r="AA1446" s="107"/>
      <c r="AB1446" s="107"/>
      <c r="AC1446" s="355"/>
      <c r="AD1446" s="355"/>
      <c r="AE1446" s="355"/>
      <c r="AF1446" s="94">
        <f t="shared" si="195"/>
        <v>42794</v>
      </c>
      <c r="AG1446" s="185">
        <f t="shared" si="199"/>
        <v>1.7685849412405696E-2</v>
      </c>
      <c r="AH1446" s="339" t="str">
        <f>VLOOKUP(B1446,'MF PF'!A:B,2)</f>
        <v>FdMgt1</v>
      </c>
      <c r="AI1446" s="358">
        <f t="shared" si="196"/>
        <v>0</v>
      </c>
      <c r="AJ1446" s="94">
        <f t="shared" si="197"/>
        <v>42794</v>
      </c>
    </row>
    <row r="1447" spans="1:36" ht="12.75" customHeight="1">
      <c r="A1447" s="8">
        <v>42825</v>
      </c>
      <c r="B1447" s="94" t="s">
        <v>136</v>
      </c>
      <c r="C1447" s="358" t="s">
        <v>316</v>
      </c>
      <c r="D1447" s="374">
        <v>219612.57949999999</v>
      </c>
      <c r="E1447" s="95" t="e">
        <f t="shared" si="200"/>
        <v>#DIV/0!</v>
      </c>
      <c r="F1447" s="98">
        <v>0.20499999999999999</v>
      </c>
      <c r="G1447" s="98">
        <v>0</v>
      </c>
      <c r="H1447" s="98">
        <v>-2.9103830456733704E-11</v>
      </c>
      <c r="I1447" s="98">
        <v>0</v>
      </c>
      <c r="J1447" s="98"/>
      <c r="L1447" s="93">
        <f t="shared" si="193"/>
        <v>-2.9103830456733704E-11</v>
      </c>
      <c r="M1447" s="95" t="e">
        <f t="shared" ca="1" si="194"/>
        <v>#DIV/0!</v>
      </c>
      <c r="N1447" s="95">
        <f>IF(P1447="Hedge Fund",IF(A1447=Summary!$AD$3,M1447-E1447,M1447),IF(A1447=Summary!$AD$3,L1447-D1447,L1447))</f>
        <v>-2.9103830456733704E-11</v>
      </c>
      <c r="O1447" s="95">
        <f t="shared" si="198"/>
        <v>-2.9103830456733704E-11</v>
      </c>
      <c r="P1447" s="107" t="s">
        <v>155</v>
      </c>
      <c r="Q1447" s="107">
        <v>0</v>
      </c>
      <c r="R1447" s="107">
        <v>0</v>
      </c>
      <c r="S1447" s="107">
        <v>0</v>
      </c>
      <c r="T1447" s="107">
        <v>0</v>
      </c>
      <c r="U1447" s="107"/>
      <c r="V1447" s="107"/>
      <c r="W1447" s="107"/>
      <c r="X1447" s="107"/>
      <c r="Y1447" s="107"/>
      <c r="Z1447" s="107"/>
      <c r="AA1447" s="107"/>
      <c r="AB1447" s="107"/>
      <c r="AC1447" s="355"/>
      <c r="AD1447" s="355"/>
      <c r="AE1447" s="355"/>
      <c r="AF1447" s="94">
        <f t="shared" si="195"/>
        <v>42825</v>
      </c>
      <c r="AG1447" s="185">
        <f t="shared" si="199"/>
        <v>-6.14837832663373E-3</v>
      </c>
      <c r="AH1447" s="339" t="str">
        <f>VLOOKUP(B1447,'MF PF'!A:B,2)</f>
        <v>FdMgt1</v>
      </c>
      <c r="AI1447" s="358">
        <f t="shared" si="196"/>
        <v>0</v>
      </c>
      <c r="AJ1447" s="94">
        <f t="shared" si="197"/>
        <v>42825</v>
      </c>
    </row>
    <row r="1448" spans="1:36" ht="12.75" customHeight="1">
      <c r="A1448" s="8">
        <v>42853</v>
      </c>
      <c r="B1448" s="94" t="s">
        <v>136</v>
      </c>
      <c r="C1448" s="358" t="s">
        <v>316</v>
      </c>
      <c r="D1448" s="374">
        <v>220773.56100000002</v>
      </c>
      <c r="E1448" s="9" t="e">
        <f t="shared" si="200"/>
        <v>#DIV/0!</v>
      </c>
      <c r="F1448" s="98">
        <v>0.20499999999999999</v>
      </c>
      <c r="G1448" s="98">
        <v>0</v>
      </c>
      <c r="H1448" s="98">
        <v>0</v>
      </c>
      <c r="I1448" s="98">
        <v>0</v>
      </c>
      <c r="J1448" s="98"/>
      <c r="L1448" s="93">
        <f t="shared" si="193"/>
        <v>0</v>
      </c>
      <c r="M1448" s="95" t="e">
        <f t="shared" ca="1" si="194"/>
        <v>#DIV/0!</v>
      </c>
      <c r="N1448" s="95">
        <f>IF(P1448="Hedge Fund",IF(A1448=Summary!$AD$3,M1448-E1448,M1448),IF(A1448=Summary!$AD$3,L1448-D1448,L1448))</f>
        <v>0</v>
      </c>
      <c r="O1448" s="95">
        <f t="shared" si="198"/>
        <v>0</v>
      </c>
      <c r="P1448" s="107" t="s">
        <v>155</v>
      </c>
      <c r="Q1448" s="107">
        <v>0</v>
      </c>
      <c r="R1448" s="107">
        <v>0</v>
      </c>
      <c r="S1448" s="107">
        <v>0</v>
      </c>
      <c r="T1448" s="107">
        <v>0</v>
      </c>
      <c r="U1448" s="107"/>
      <c r="V1448" s="107"/>
      <c r="W1448" s="107"/>
      <c r="X1448" s="107"/>
      <c r="Y1448" s="107"/>
      <c r="Z1448" s="107"/>
      <c r="AA1448" s="107"/>
      <c r="AB1448" s="107"/>
      <c r="AC1448" s="355"/>
      <c r="AD1448" s="355"/>
      <c r="AE1448" s="355"/>
      <c r="AF1448" s="94">
        <f t="shared" si="195"/>
        <v>42853</v>
      </c>
      <c r="AG1448" s="185">
        <f t="shared" si="199"/>
        <v>5.2864981716587156E-3</v>
      </c>
      <c r="AH1448" s="339" t="str">
        <f>VLOOKUP(B1448,'MF PF'!A:B,2)</f>
        <v>FdMgt1</v>
      </c>
      <c r="AI1448" s="358">
        <f t="shared" si="196"/>
        <v>0</v>
      </c>
      <c r="AJ1448" s="94">
        <f t="shared" si="197"/>
        <v>42855</v>
      </c>
    </row>
    <row r="1449" spans="1:36" ht="12.75" customHeight="1">
      <c r="A1449" s="8">
        <v>42886</v>
      </c>
      <c r="B1449" s="94" t="s">
        <v>136</v>
      </c>
      <c r="C1449" s="358" t="s">
        <v>316</v>
      </c>
      <c r="D1449" s="374">
        <v>223608.829</v>
      </c>
      <c r="E1449" s="9" t="e">
        <f t="shared" si="200"/>
        <v>#DIV/0!</v>
      </c>
      <c r="F1449" s="98">
        <v>0.20499999999999999</v>
      </c>
      <c r="G1449" s="98">
        <v>0</v>
      </c>
      <c r="H1449" s="98">
        <v>-2.9103830456733704E-11</v>
      </c>
      <c r="I1449" s="98">
        <v>0</v>
      </c>
      <c r="J1449" s="98"/>
      <c r="L1449" s="93">
        <f t="shared" si="193"/>
        <v>-2.9103830456733704E-11</v>
      </c>
      <c r="M1449" s="95" t="e">
        <f t="shared" ca="1" si="194"/>
        <v>#DIV/0!</v>
      </c>
      <c r="N1449" s="95">
        <f>IF(P1449="Hedge Fund",IF(A1449=Summary!$AD$3,M1449-E1449,M1449),IF(A1449=Summary!$AD$3,L1449-D1449,L1449))</f>
        <v>-2.9103830456733704E-11</v>
      </c>
      <c r="O1449" s="95">
        <f t="shared" si="198"/>
        <v>-2.9103830456733704E-11</v>
      </c>
      <c r="P1449" s="89" t="s">
        <v>155</v>
      </c>
      <c r="Q1449" s="107">
        <v>0</v>
      </c>
      <c r="R1449" s="107">
        <v>0</v>
      </c>
      <c r="S1449" s="107">
        <v>0</v>
      </c>
      <c r="T1449" s="107">
        <v>0</v>
      </c>
      <c r="U1449" s="107"/>
      <c r="V1449" s="107"/>
      <c r="W1449" s="107"/>
      <c r="X1449" s="107"/>
      <c r="Y1449" s="107"/>
      <c r="Z1449" s="107"/>
      <c r="AA1449" s="107"/>
      <c r="AB1449" s="107"/>
      <c r="AC1449" s="355"/>
      <c r="AD1449" s="355"/>
      <c r="AE1449" s="355"/>
      <c r="AF1449" s="94">
        <f t="shared" si="195"/>
        <v>42886</v>
      </c>
      <c r="AG1449" s="185">
        <f t="shared" si="199"/>
        <v>1.2842425456914164E-2</v>
      </c>
      <c r="AH1449" s="339" t="str">
        <f>VLOOKUP(B1449,'MF PF'!A:B,2)</f>
        <v>FdMgt1</v>
      </c>
      <c r="AI1449" s="358">
        <f t="shared" si="196"/>
        <v>0</v>
      </c>
      <c r="AJ1449" s="94">
        <f t="shared" si="197"/>
        <v>42886</v>
      </c>
    </row>
    <row r="1450" spans="1:36" ht="12.75" customHeight="1">
      <c r="A1450" s="8">
        <v>42916</v>
      </c>
      <c r="B1450" s="94" t="s">
        <v>136</v>
      </c>
      <c r="C1450" s="358" t="s">
        <v>316</v>
      </c>
      <c r="D1450" s="374">
        <v>225547.101</v>
      </c>
      <c r="E1450" s="9" t="e">
        <f t="shared" si="200"/>
        <v>#DIV/0!</v>
      </c>
      <c r="F1450" s="98">
        <v>0.20499999999999999</v>
      </c>
      <c r="G1450" s="98">
        <v>0</v>
      </c>
      <c r="H1450" s="98">
        <v>0</v>
      </c>
      <c r="I1450" s="98">
        <v>0</v>
      </c>
      <c r="J1450" s="98"/>
      <c r="K1450" s="93"/>
      <c r="L1450" s="93">
        <f t="shared" si="193"/>
        <v>0</v>
      </c>
      <c r="M1450" s="95" t="e">
        <f t="shared" ca="1" si="194"/>
        <v>#DIV/0!</v>
      </c>
      <c r="N1450" s="95">
        <f>IF(P1450="Hedge Fund",IF(A1450=Summary!$AD$3,M1450-E1450,M1450),IF(A1450=Summary!$AD$3,L1450-D1450,L1450))</f>
        <v>0</v>
      </c>
      <c r="O1450" s="95">
        <f t="shared" si="198"/>
        <v>0</v>
      </c>
      <c r="P1450" s="89" t="s">
        <v>155</v>
      </c>
      <c r="Q1450" s="107">
        <v>0</v>
      </c>
      <c r="R1450" s="107">
        <v>0</v>
      </c>
      <c r="S1450" s="107">
        <v>0</v>
      </c>
      <c r="T1450" s="107">
        <v>0</v>
      </c>
      <c r="U1450" s="107"/>
      <c r="V1450" s="107"/>
      <c r="W1450" s="107"/>
      <c r="X1450" s="107"/>
      <c r="Y1450" s="107"/>
      <c r="Z1450" s="107"/>
      <c r="AA1450" s="107"/>
      <c r="AB1450" s="107"/>
      <c r="AC1450" s="355"/>
      <c r="AD1450" s="355"/>
      <c r="AE1450" s="355"/>
      <c r="AF1450" s="94">
        <f t="shared" si="195"/>
        <v>42916</v>
      </c>
      <c r="AG1450" s="185">
        <f t="shared" si="199"/>
        <v>8.6681371601833312E-3</v>
      </c>
      <c r="AH1450" s="339" t="str">
        <f>VLOOKUP(B1450,'MF PF'!A:B,2)</f>
        <v>FdMgt1</v>
      </c>
      <c r="AI1450" s="358">
        <f t="shared" si="196"/>
        <v>0</v>
      </c>
      <c r="AJ1450" s="94">
        <f t="shared" si="197"/>
        <v>42916</v>
      </c>
    </row>
    <row r="1451" spans="1:36" ht="12.75" customHeight="1">
      <c r="A1451" s="94">
        <v>42947</v>
      </c>
      <c r="B1451" s="94" t="s">
        <v>136</v>
      </c>
      <c r="C1451" s="358" t="s">
        <v>316</v>
      </c>
      <c r="D1451" s="374">
        <v>227370.929</v>
      </c>
      <c r="E1451" s="9" t="e">
        <f t="shared" si="200"/>
        <v>#DIV/0!</v>
      </c>
      <c r="F1451" s="98">
        <v>0.20499999999999999</v>
      </c>
      <c r="G1451" s="98">
        <v>0</v>
      </c>
      <c r="H1451" s="98">
        <v>0</v>
      </c>
      <c r="I1451" s="98">
        <v>0</v>
      </c>
      <c r="J1451" s="98"/>
      <c r="K1451" s="93"/>
      <c r="L1451" s="93">
        <f t="shared" si="193"/>
        <v>0</v>
      </c>
      <c r="M1451" s="95" t="e">
        <f t="shared" ca="1" si="194"/>
        <v>#DIV/0!</v>
      </c>
      <c r="N1451" s="95">
        <f>IF(P1451="Hedge Fund",IF(A1451=Summary!$AD$3,M1451-E1451,M1451),IF(A1451=Summary!$AD$3,L1451-D1451,L1451))</f>
        <v>0</v>
      </c>
      <c r="O1451" s="95">
        <f t="shared" si="198"/>
        <v>0</v>
      </c>
      <c r="P1451" s="107" t="s">
        <v>155</v>
      </c>
      <c r="Q1451" s="107">
        <v>0</v>
      </c>
      <c r="R1451" s="107">
        <v>0</v>
      </c>
      <c r="S1451" s="107">
        <v>0</v>
      </c>
      <c r="T1451" s="107">
        <v>0</v>
      </c>
      <c r="U1451" s="107"/>
      <c r="V1451" s="107"/>
      <c r="W1451" s="107"/>
      <c r="X1451" s="107"/>
      <c r="Y1451" s="107"/>
      <c r="Z1451" s="107"/>
      <c r="AA1451" s="107"/>
      <c r="AB1451" s="107"/>
      <c r="AC1451" s="355"/>
      <c r="AD1451" s="355"/>
      <c r="AE1451" s="355"/>
      <c r="AF1451" s="94">
        <f t="shared" si="195"/>
        <v>42947</v>
      </c>
      <c r="AG1451" s="185">
        <f t="shared" si="199"/>
        <v>8.0862400443799665E-3</v>
      </c>
      <c r="AH1451" s="339" t="str">
        <f>VLOOKUP(B1451,'MF PF'!A:B,2)</f>
        <v>FdMgt1</v>
      </c>
      <c r="AI1451" s="358">
        <f t="shared" si="196"/>
        <v>0</v>
      </c>
      <c r="AJ1451" s="94">
        <f t="shared" si="197"/>
        <v>42947</v>
      </c>
    </row>
    <row r="1452" spans="1:36" ht="12.75" customHeight="1">
      <c r="A1452" s="94">
        <v>42978</v>
      </c>
      <c r="B1452" s="94" t="s">
        <v>136</v>
      </c>
      <c r="C1452" s="92" t="s">
        <v>316</v>
      </c>
      <c r="D1452" s="374">
        <v>227200</v>
      </c>
      <c r="E1452" s="9" t="e">
        <f t="shared" si="200"/>
        <v>#DIV/0!</v>
      </c>
      <c r="F1452" s="98">
        <v>0.20499999999999999</v>
      </c>
      <c r="G1452" s="98">
        <v>0</v>
      </c>
      <c r="H1452" s="98">
        <v>0</v>
      </c>
      <c r="I1452" s="98">
        <v>0</v>
      </c>
      <c r="J1452" s="98"/>
      <c r="K1452" s="93"/>
      <c r="L1452" s="93">
        <f t="shared" si="193"/>
        <v>0</v>
      </c>
      <c r="M1452" s="95" t="e">
        <f t="shared" ca="1" si="194"/>
        <v>#DIV/0!</v>
      </c>
      <c r="N1452" s="95">
        <f>IF(P1452="Hedge Fund",IF(A1452=Summary!$AD$3,M1452-E1452,M1452),IF(A1452=Summary!$AD$3,L1452-D1452,L1452))</f>
        <v>0</v>
      </c>
      <c r="O1452" s="95">
        <f t="shared" si="198"/>
        <v>0</v>
      </c>
      <c r="P1452" s="107" t="s">
        <v>155</v>
      </c>
      <c r="Q1452" s="107">
        <v>0</v>
      </c>
      <c r="R1452" s="107">
        <v>0</v>
      </c>
      <c r="S1452" s="107">
        <v>0</v>
      </c>
      <c r="T1452" s="107">
        <v>0</v>
      </c>
      <c r="U1452" s="107"/>
      <c r="V1452" s="107"/>
      <c r="W1452" s="107"/>
      <c r="X1452" s="107"/>
      <c r="Y1452" s="107"/>
      <c r="Z1452" s="107"/>
      <c r="AA1452" s="107"/>
      <c r="AB1452" s="107"/>
      <c r="AC1452" s="355"/>
      <c r="AD1452" s="355"/>
      <c r="AE1452" s="355"/>
      <c r="AF1452" s="94">
        <f t="shared" si="195"/>
        <v>42978</v>
      </c>
      <c r="AG1452" s="185">
        <f t="shared" si="199"/>
        <v>-7.5176277262778424E-4</v>
      </c>
      <c r="AH1452" s="339" t="str">
        <f>VLOOKUP(B1452,'MF PF'!A:B,2)</f>
        <v>FdMgt1</v>
      </c>
      <c r="AI1452" s="358">
        <f t="shared" si="196"/>
        <v>0</v>
      </c>
      <c r="AJ1452" s="94">
        <f t="shared" si="197"/>
        <v>42978</v>
      </c>
    </row>
    <row r="1453" spans="1:36" ht="12.75" customHeight="1">
      <c r="A1453" s="8">
        <v>43007</v>
      </c>
      <c r="B1453" s="94" t="s">
        <v>136</v>
      </c>
      <c r="C1453" s="6" t="s">
        <v>316</v>
      </c>
      <c r="D1453" s="374">
        <v>228389.25570312311</v>
      </c>
      <c r="E1453" s="9" t="e">
        <f t="shared" si="200"/>
        <v>#DIV/0!</v>
      </c>
      <c r="F1453" s="98">
        <v>0.20499999999999999</v>
      </c>
      <c r="G1453" s="98">
        <v>0</v>
      </c>
      <c r="H1453" s="98">
        <v>0</v>
      </c>
      <c r="I1453" s="98">
        <v>0</v>
      </c>
      <c r="J1453" s="98"/>
      <c r="L1453" s="93">
        <f t="shared" si="193"/>
        <v>0</v>
      </c>
      <c r="M1453" s="95" t="e">
        <f t="shared" ca="1" si="194"/>
        <v>#DIV/0!</v>
      </c>
      <c r="N1453" s="95">
        <f>IF(P1453="Hedge Fund",IF(A1453=Summary!$AD$3,M1453-E1453,M1453),IF(A1453=Summary!$AD$3,L1453-D1453,L1453))</f>
        <v>0</v>
      </c>
      <c r="O1453" s="95">
        <f t="shared" si="198"/>
        <v>0</v>
      </c>
      <c r="P1453" s="107" t="s">
        <v>155</v>
      </c>
      <c r="Q1453" s="107">
        <v>0</v>
      </c>
      <c r="R1453" s="107">
        <v>0</v>
      </c>
      <c r="S1453" s="107">
        <v>0</v>
      </c>
      <c r="T1453" s="107">
        <v>0</v>
      </c>
      <c r="U1453" s="107"/>
      <c r="V1453" s="107"/>
      <c r="W1453" s="107"/>
      <c r="X1453" s="107"/>
      <c r="Y1453" s="107"/>
      <c r="Z1453" s="107"/>
      <c r="AA1453" s="107"/>
      <c r="AB1453" s="107"/>
      <c r="AC1453" s="355"/>
      <c r="AD1453" s="355"/>
      <c r="AE1453" s="355"/>
      <c r="AF1453" s="94">
        <f t="shared" si="195"/>
        <v>43007</v>
      </c>
      <c r="AG1453" s="185">
        <f t="shared" si="199"/>
        <v>5.2344001017743391E-3</v>
      </c>
      <c r="AH1453" s="339" t="str">
        <f>VLOOKUP(B1453,'MF PF'!A:B,2)</f>
        <v>FdMgt1</v>
      </c>
      <c r="AI1453" s="358">
        <f t="shared" si="196"/>
        <v>0</v>
      </c>
      <c r="AJ1453" s="94">
        <f t="shared" si="197"/>
        <v>43008</v>
      </c>
    </row>
    <row r="1454" spans="1:36" ht="12.75" customHeight="1">
      <c r="A1454" s="8">
        <v>43039</v>
      </c>
      <c r="B1454" s="94" t="s">
        <v>136</v>
      </c>
      <c r="C1454" s="6" t="s">
        <v>316</v>
      </c>
      <c r="D1454" s="374">
        <v>230600</v>
      </c>
      <c r="E1454" s="95" t="e">
        <f t="shared" si="200"/>
        <v>#DIV/0!</v>
      </c>
      <c r="F1454" s="98">
        <v>0.20499999999999999</v>
      </c>
      <c r="G1454" s="98">
        <v>0</v>
      </c>
      <c r="H1454" s="98">
        <v>0</v>
      </c>
      <c r="I1454" s="98">
        <v>0</v>
      </c>
      <c r="J1454" s="98"/>
      <c r="K1454" s="93"/>
      <c r="L1454" s="93">
        <f t="shared" si="193"/>
        <v>0</v>
      </c>
      <c r="M1454" s="95" t="e">
        <f t="shared" ca="1" si="194"/>
        <v>#DIV/0!</v>
      </c>
      <c r="N1454" s="95">
        <f>IF(P1454="Hedge Fund",IF(A1454=Summary!$AD$3,M1454-E1454,M1454),IF(A1454=Summary!$AD$3,L1454-D1454,L1454))</f>
        <v>0</v>
      </c>
      <c r="O1454" s="95">
        <f t="shared" si="198"/>
        <v>0</v>
      </c>
      <c r="P1454" s="89" t="s">
        <v>155</v>
      </c>
      <c r="Q1454" s="107">
        <v>0</v>
      </c>
      <c r="R1454" s="107">
        <v>0</v>
      </c>
      <c r="S1454" s="107">
        <v>0</v>
      </c>
      <c r="T1454" s="107">
        <v>0</v>
      </c>
      <c r="U1454" s="107"/>
      <c r="V1454" s="107"/>
      <c r="W1454" s="107"/>
      <c r="X1454" s="107"/>
      <c r="Y1454" s="107"/>
      <c r="Z1454" s="107"/>
      <c r="AA1454" s="107"/>
      <c r="AB1454" s="107"/>
      <c r="AC1454" s="355"/>
      <c r="AD1454" s="355"/>
      <c r="AE1454" s="355"/>
      <c r="AF1454" s="94">
        <f t="shared" si="195"/>
        <v>43039</v>
      </c>
      <c r="AG1454" s="185">
        <f t="shared" si="199"/>
        <v>9.6797210975221315E-3</v>
      </c>
      <c r="AH1454" s="339" t="str">
        <f>VLOOKUP(B1454,'MF PF'!A:B,2)</f>
        <v>FdMgt1</v>
      </c>
      <c r="AI1454" s="358">
        <f t="shared" si="196"/>
        <v>0</v>
      </c>
      <c r="AJ1454" s="94">
        <f t="shared" si="197"/>
        <v>43039</v>
      </c>
    </row>
    <row r="1455" spans="1:36" ht="12.75" customHeight="1">
      <c r="A1455" s="8">
        <v>43069</v>
      </c>
      <c r="B1455" s="94" t="s">
        <v>136</v>
      </c>
      <c r="C1455" s="358" t="s">
        <v>316</v>
      </c>
      <c r="D1455" s="374">
        <v>230600</v>
      </c>
      <c r="E1455" s="9" t="e">
        <f t="shared" si="200"/>
        <v>#DIV/0!</v>
      </c>
      <c r="F1455" s="98">
        <v>0.20499999999999999</v>
      </c>
      <c r="G1455" s="98">
        <v>0</v>
      </c>
      <c r="H1455" s="98">
        <v>0</v>
      </c>
      <c r="I1455" s="98">
        <v>0</v>
      </c>
      <c r="J1455" s="98"/>
      <c r="K1455" s="93"/>
      <c r="L1455" s="93">
        <f t="shared" si="193"/>
        <v>0</v>
      </c>
      <c r="M1455" s="95" t="e">
        <f t="shared" ca="1" si="194"/>
        <v>#DIV/0!</v>
      </c>
      <c r="N1455" s="95">
        <f>IF(P1455="Hedge Fund",IF(A1455=Summary!$AD$3,M1455-E1455,M1455),IF(A1455=Summary!$AD$3,L1455-D1455,L1455))</f>
        <v>0</v>
      </c>
      <c r="O1455" s="95">
        <f t="shared" si="198"/>
        <v>0</v>
      </c>
      <c r="P1455" s="89" t="s">
        <v>155</v>
      </c>
      <c r="Q1455" s="107">
        <v>0</v>
      </c>
      <c r="R1455" s="107">
        <v>0</v>
      </c>
      <c r="S1455" s="107">
        <v>0</v>
      </c>
      <c r="T1455" s="107">
        <v>0</v>
      </c>
      <c r="U1455" s="107"/>
      <c r="V1455" s="107"/>
      <c r="W1455" s="107"/>
      <c r="X1455" s="107"/>
      <c r="Y1455" s="107"/>
      <c r="Z1455" s="107"/>
      <c r="AA1455" s="107"/>
      <c r="AB1455" s="107"/>
      <c r="AC1455" s="355"/>
      <c r="AD1455" s="355"/>
      <c r="AE1455" s="355"/>
      <c r="AF1455" s="94">
        <f t="shared" si="195"/>
        <v>43069</v>
      </c>
      <c r="AG1455" s="185">
        <f t="shared" si="199"/>
        <v>0</v>
      </c>
      <c r="AH1455" s="339" t="str">
        <f>VLOOKUP(B1455,'MF PF'!A:B,2)</f>
        <v>FdMgt1</v>
      </c>
      <c r="AI1455" s="358">
        <f t="shared" si="196"/>
        <v>0</v>
      </c>
      <c r="AJ1455" s="94">
        <f t="shared" si="197"/>
        <v>43069</v>
      </c>
    </row>
    <row r="1456" spans="1:36" ht="12.75" customHeight="1">
      <c r="A1456" s="8">
        <v>43098</v>
      </c>
      <c r="B1456" s="94" t="s">
        <v>136</v>
      </c>
      <c r="C1456" s="358" t="s">
        <v>316</v>
      </c>
      <c r="D1456" s="374">
        <v>249100</v>
      </c>
      <c r="E1456" s="9" t="e">
        <f t="shared" si="200"/>
        <v>#DIV/0!</v>
      </c>
      <c r="F1456" s="98">
        <v>0.20499999999999999</v>
      </c>
      <c r="G1456" s="98">
        <v>0</v>
      </c>
      <c r="H1456" s="98">
        <v>-2.9103830456733704E-11</v>
      </c>
      <c r="I1456" s="98">
        <v>0</v>
      </c>
      <c r="J1456" s="98"/>
      <c r="L1456" s="93">
        <f t="shared" si="193"/>
        <v>-2.9103830456733704E-11</v>
      </c>
      <c r="M1456" s="95" t="e">
        <f t="shared" ca="1" si="194"/>
        <v>#DIV/0!</v>
      </c>
      <c r="N1456" s="95">
        <f>IF(P1456="Hedge Fund",IF(A1456=Summary!$AD$3,M1456-E1456,M1456),IF(A1456=Summary!$AD$3,L1456-D1456,L1456))</f>
        <v>-2.9103830456733704E-11</v>
      </c>
      <c r="O1456" s="95">
        <f t="shared" si="198"/>
        <v>-2.9103830456733704E-11</v>
      </c>
      <c r="P1456" s="89" t="s">
        <v>155</v>
      </c>
      <c r="Q1456" s="107">
        <v>0</v>
      </c>
      <c r="R1456" s="107">
        <v>0</v>
      </c>
      <c r="S1456" s="107">
        <v>0</v>
      </c>
      <c r="T1456" s="107">
        <v>0</v>
      </c>
      <c r="U1456" s="107"/>
      <c r="V1456" s="107"/>
      <c r="W1456" s="107"/>
      <c r="X1456" s="107"/>
      <c r="Y1456" s="107"/>
      <c r="Z1456" s="107"/>
      <c r="AA1456" s="107"/>
      <c r="AB1456" s="107"/>
      <c r="AC1456" s="355"/>
      <c r="AD1456" s="355"/>
      <c r="AE1456" s="355"/>
      <c r="AF1456" s="94">
        <f t="shared" si="195"/>
        <v>43098</v>
      </c>
      <c r="AG1456" s="185">
        <f t="shared" si="199"/>
        <v>8.0225498699046049E-2</v>
      </c>
      <c r="AH1456" s="339" t="str">
        <f>VLOOKUP(B1456,'MF PF'!A:B,2)</f>
        <v>FdMgt1</v>
      </c>
      <c r="AI1456" s="358">
        <f t="shared" si="196"/>
        <v>0</v>
      </c>
      <c r="AJ1456" s="94">
        <f t="shared" si="197"/>
        <v>43100</v>
      </c>
    </row>
    <row r="1457" spans="1:36" s="92" customFormat="1" ht="12.75" customHeight="1">
      <c r="A1457" s="94">
        <v>43131</v>
      </c>
      <c r="B1457" s="94" t="s">
        <v>136</v>
      </c>
      <c r="C1457" s="358" t="s">
        <v>316</v>
      </c>
      <c r="D1457" s="374">
        <v>255800.00000000003</v>
      </c>
      <c r="E1457" s="95" t="e">
        <f t="shared" si="200"/>
        <v>#DIV/0!</v>
      </c>
      <c r="F1457" s="98">
        <v>0.20499999999999999</v>
      </c>
      <c r="G1457" s="98">
        <v>0</v>
      </c>
      <c r="H1457" s="98">
        <v>0</v>
      </c>
      <c r="I1457" s="98">
        <v>0</v>
      </c>
      <c r="J1457" s="98"/>
      <c r="K1457" s="93"/>
      <c r="L1457" s="93">
        <f t="shared" si="193"/>
        <v>0</v>
      </c>
      <c r="M1457" s="95" t="e">
        <f t="shared" ca="1" si="194"/>
        <v>#DIV/0!</v>
      </c>
      <c r="N1457" s="95">
        <f>IF(P1457="Hedge Fund",IF(A1457=Summary!$AD$3,M1457-E1457,M1457),IF(A1457=Summary!$AD$3,L1457-D1457,L1457))</f>
        <v>0</v>
      </c>
      <c r="O1457" s="95">
        <f t="shared" si="198"/>
        <v>0</v>
      </c>
      <c r="P1457" s="107" t="s">
        <v>155</v>
      </c>
      <c r="Q1457" s="107">
        <v>0</v>
      </c>
      <c r="R1457" s="107">
        <v>0</v>
      </c>
      <c r="S1457" s="107">
        <v>0</v>
      </c>
      <c r="T1457" s="107">
        <v>0</v>
      </c>
      <c r="U1457" s="107"/>
      <c r="V1457" s="107"/>
      <c r="W1457" s="107"/>
      <c r="X1457" s="107"/>
      <c r="Y1457" s="107"/>
      <c r="Z1457" s="107"/>
      <c r="AA1457" s="107"/>
      <c r="AB1457" s="107"/>
      <c r="AC1457" s="355"/>
      <c r="AD1457" s="355"/>
      <c r="AE1457" s="355"/>
      <c r="AF1457" s="94">
        <f t="shared" si="195"/>
        <v>43131</v>
      </c>
      <c r="AG1457" s="185">
        <f t="shared" si="199"/>
        <v>2.6896828582898547E-2</v>
      </c>
      <c r="AH1457" s="339" t="str">
        <f>VLOOKUP(B1457,'MF PF'!A:B,2)</f>
        <v>FdMgt1</v>
      </c>
      <c r="AI1457" s="358">
        <f t="shared" si="196"/>
        <v>0</v>
      </c>
      <c r="AJ1457" s="94">
        <f t="shared" si="197"/>
        <v>43131</v>
      </c>
    </row>
    <row r="1458" spans="1:36" ht="12.75" customHeight="1">
      <c r="A1458" s="94">
        <v>43159</v>
      </c>
      <c r="B1458" s="94" t="s">
        <v>136</v>
      </c>
      <c r="C1458" s="358" t="s">
        <v>316</v>
      </c>
      <c r="D1458" s="374">
        <v>256799.42</v>
      </c>
      <c r="E1458" s="95" t="e">
        <f t="shared" si="200"/>
        <v>#DIV/0!</v>
      </c>
      <c r="F1458" s="98">
        <v>0.20499999999999999</v>
      </c>
      <c r="G1458" s="98">
        <v>0</v>
      </c>
      <c r="H1458" s="98">
        <v>0</v>
      </c>
      <c r="I1458" s="98">
        <v>0</v>
      </c>
      <c r="J1458" s="98"/>
      <c r="K1458" s="93"/>
      <c r="L1458" s="93">
        <f t="shared" si="193"/>
        <v>0</v>
      </c>
      <c r="M1458" s="95" t="e">
        <f t="shared" ca="1" si="194"/>
        <v>#DIV/0!</v>
      </c>
      <c r="N1458" s="95">
        <f>IF(P1458="Hedge Fund",IF(A1458=Summary!$AD$3,M1458-E1458,M1458),IF(A1458=Summary!$AD$3,L1458-D1458,L1458))</f>
        <v>0</v>
      </c>
      <c r="O1458" s="95">
        <f t="shared" si="198"/>
        <v>0</v>
      </c>
      <c r="P1458" s="89" t="s">
        <v>155</v>
      </c>
      <c r="Q1458" s="107">
        <v>0</v>
      </c>
      <c r="R1458" s="107">
        <v>0</v>
      </c>
      <c r="S1458" s="107">
        <v>0</v>
      </c>
      <c r="T1458" s="107">
        <v>0</v>
      </c>
      <c r="U1458" s="107"/>
      <c r="V1458" s="107"/>
      <c r="W1458" s="107"/>
      <c r="X1458" s="107"/>
      <c r="Y1458" s="107"/>
      <c r="Z1458" s="107"/>
      <c r="AA1458" s="107"/>
      <c r="AB1458" s="107"/>
      <c r="AC1458" s="355"/>
      <c r="AD1458" s="355"/>
      <c r="AE1458" s="355"/>
      <c r="AF1458" s="94">
        <f t="shared" si="195"/>
        <v>43159</v>
      </c>
      <c r="AG1458" s="185">
        <f t="shared" si="199"/>
        <v>3.9070367474589585E-3</v>
      </c>
      <c r="AH1458" s="339" t="str">
        <f>VLOOKUP(B1458,'MF PF'!A:B,2)</f>
        <v>FdMgt1</v>
      </c>
      <c r="AI1458" s="358">
        <f t="shared" si="196"/>
        <v>0</v>
      </c>
      <c r="AJ1458" s="94">
        <f t="shared" si="197"/>
        <v>43159</v>
      </c>
    </row>
    <row r="1459" spans="1:36" ht="12.75" customHeight="1">
      <c r="A1459" s="94">
        <v>43188</v>
      </c>
      <c r="B1459" s="94" t="s">
        <v>136</v>
      </c>
      <c r="C1459" s="358" t="s">
        <v>316</v>
      </c>
      <c r="D1459" s="374">
        <v>259127.23499999999</v>
      </c>
      <c r="E1459" s="9" t="e">
        <f t="shared" si="200"/>
        <v>#DIV/0!</v>
      </c>
      <c r="F1459" s="98">
        <v>0.20499999999999999</v>
      </c>
      <c r="G1459" s="98">
        <v>0</v>
      </c>
      <c r="H1459" s="98">
        <v>0</v>
      </c>
      <c r="I1459" s="98">
        <v>0</v>
      </c>
      <c r="J1459" s="98"/>
      <c r="K1459" s="93"/>
      <c r="L1459" s="93">
        <f t="shared" si="193"/>
        <v>0</v>
      </c>
      <c r="M1459" s="95" t="e">
        <f t="shared" ca="1" si="194"/>
        <v>#DIV/0!</v>
      </c>
      <c r="N1459" s="95">
        <f>IF(P1459="Hedge Fund",IF(A1459=Summary!$AD$3,M1459-E1459,M1459),IF(A1459=Summary!$AD$3,L1459-D1459,L1459))</f>
        <v>0</v>
      </c>
      <c r="O1459" s="95">
        <f t="shared" si="198"/>
        <v>0</v>
      </c>
      <c r="P1459" s="107" t="s">
        <v>155</v>
      </c>
      <c r="Q1459" s="109">
        <v>9.9743376961578195E-4</v>
      </c>
      <c r="R1459" s="109">
        <v>9.5518649999999962E-3</v>
      </c>
      <c r="S1459" s="107">
        <v>2.9184656832626854E-3</v>
      </c>
      <c r="T1459" s="107">
        <v>2.7922227302052852E-2</v>
      </c>
      <c r="U1459" s="107"/>
      <c r="V1459" s="107"/>
      <c r="W1459" s="107"/>
      <c r="X1459" s="107"/>
      <c r="Y1459" s="107"/>
      <c r="Z1459" s="107"/>
      <c r="AA1459" s="107"/>
      <c r="AB1459" s="107"/>
      <c r="AC1459" s="355"/>
      <c r="AD1459" s="355"/>
      <c r="AE1459" s="355"/>
      <c r="AF1459" s="94">
        <f t="shared" si="195"/>
        <v>43188</v>
      </c>
      <c r="AG1459" s="185">
        <f t="shared" si="199"/>
        <v>9.0647206290417337E-3</v>
      </c>
      <c r="AH1459" s="339" t="str">
        <f>VLOOKUP(B1459,'MF PF'!A:B,2)</f>
        <v>FdMgt1</v>
      </c>
      <c r="AI1459" s="358">
        <f t="shared" si="196"/>
        <v>0</v>
      </c>
      <c r="AJ1459" s="94">
        <f t="shared" si="197"/>
        <v>43190</v>
      </c>
    </row>
    <row r="1460" spans="1:36" ht="12.75" customHeight="1">
      <c r="A1460" s="94">
        <v>43220</v>
      </c>
      <c r="B1460" s="94" t="s">
        <v>136</v>
      </c>
      <c r="C1460" s="358" t="s">
        <v>316</v>
      </c>
      <c r="D1460" s="374">
        <v>260762.397</v>
      </c>
      <c r="E1460" s="95" t="e">
        <f t="shared" si="200"/>
        <v>#DIV/0!</v>
      </c>
      <c r="F1460" s="98">
        <v>0.20499999999999999</v>
      </c>
      <c r="G1460" s="98">
        <v>0</v>
      </c>
      <c r="H1460" s="98">
        <v>0</v>
      </c>
      <c r="I1460" s="98">
        <v>0</v>
      </c>
      <c r="J1460" s="98"/>
      <c r="K1460" s="93"/>
      <c r="L1460" s="93">
        <f t="shared" si="193"/>
        <v>0</v>
      </c>
      <c r="M1460" s="95" t="e">
        <f t="shared" ca="1" si="194"/>
        <v>#DIV/0!</v>
      </c>
      <c r="N1460" s="95">
        <f>IF(P1460="Hedge Fund",IF(A1460=Summary!$AD$3,M1460-E1460,M1460),IF(A1460=Summary!$AD$3,L1460-D1460,L1460))</f>
        <v>0</v>
      </c>
      <c r="O1460" s="95">
        <f t="shared" si="198"/>
        <v>0</v>
      </c>
      <c r="P1460" s="107" t="s">
        <v>155</v>
      </c>
      <c r="Q1460" s="109">
        <v>0</v>
      </c>
      <c r="R1460" s="109">
        <v>9.8404200000000008E-3</v>
      </c>
      <c r="S1460" s="107">
        <v>0</v>
      </c>
      <c r="T1460" s="107">
        <v>0</v>
      </c>
      <c r="U1460" s="107"/>
      <c r="V1460" s="107"/>
      <c r="W1460" s="107"/>
      <c r="X1460" s="107"/>
      <c r="Y1460" s="107"/>
      <c r="Z1460" s="107"/>
      <c r="AA1460" s="107"/>
      <c r="AB1460" s="107"/>
      <c r="AC1460" s="355"/>
      <c r="AD1460" s="355"/>
      <c r="AE1460" s="355"/>
      <c r="AF1460" s="94">
        <f t="shared" si="195"/>
        <v>43220</v>
      </c>
      <c r="AG1460" s="185">
        <f t="shared" si="199"/>
        <v>6.3102668463235201E-3</v>
      </c>
      <c r="AH1460" s="339" t="str">
        <f>VLOOKUP(B1460,'MF PF'!A:B,2)</f>
        <v>FdMgt1</v>
      </c>
      <c r="AI1460" s="358">
        <f t="shared" si="196"/>
        <v>0</v>
      </c>
      <c r="AJ1460" s="94">
        <f t="shared" si="197"/>
        <v>43220</v>
      </c>
    </row>
    <row r="1461" spans="1:36" ht="12.75" customHeight="1">
      <c r="A1461" s="8">
        <v>43251</v>
      </c>
      <c r="B1461" s="358" t="s">
        <v>136</v>
      </c>
      <c r="C1461" s="94" t="s">
        <v>316</v>
      </c>
      <c r="D1461" s="374">
        <v>262451.33850000001</v>
      </c>
      <c r="E1461" s="9" t="e">
        <f t="shared" si="200"/>
        <v>#DIV/0!</v>
      </c>
      <c r="F1461" s="98">
        <v>0.20499999999999999</v>
      </c>
      <c r="G1461" s="98">
        <v>0</v>
      </c>
      <c r="H1461" s="98">
        <v>0</v>
      </c>
      <c r="I1461" s="110">
        <v>0</v>
      </c>
      <c r="J1461" s="110"/>
      <c r="K1461" s="93"/>
      <c r="L1461" s="93">
        <f t="shared" si="193"/>
        <v>0</v>
      </c>
      <c r="M1461" s="95" t="e">
        <f t="shared" ca="1" si="194"/>
        <v>#DIV/0!</v>
      </c>
      <c r="N1461" s="95">
        <f>IF(P1461="Hedge Fund",IF(A1461=Summary!$AD$3,M1461-E1461,M1461),IF(A1461=Summary!$AD$3,L1461-D1461,L1461))</f>
        <v>0</v>
      </c>
      <c r="O1461" s="95">
        <f t="shared" si="198"/>
        <v>0</v>
      </c>
      <c r="P1461" s="89" t="s">
        <v>155</v>
      </c>
      <c r="Q1461" s="109">
        <v>0</v>
      </c>
      <c r="R1461" s="109">
        <v>1.013847E-2</v>
      </c>
      <c r="S1461" s="107">
        <v>0</v>
      </c>
      <c r="T1461" s="107">
        <v>0</v>
      </c>
      <c r="U1461" s="107"/>
      <c r="V1461" s="107"/>
      <c r="W1461" s="107"/>
      <c r="X1461" s="107"/>
      <c r="Y1461" s="107"/>
      <c r="Z1461" s="107"/>
      <c r="AA1461" s="107"/>
      <c r="AB1461" s="107"/>
      <c r="AC1461" s="355"/>
      <c r="AD1461" s="355"/>
      <c r="AE1461" s="355"/>
      <c r="AF1461" s="94">
        <f t="shared" si="195"/>
        <v>43251</v>
      </c>
      <c r="AG1461" s="185">
        <f t="shared" si="199"/>
        <v>6.4769365500196852E-3</v>
      </c>
      <c r="AH1461" s="339" t="str">
        <f>VLOOKUP(B1461,'MF PF'!A:B,2)</f>
        <v>FdMgt1</v>
      </c>
      <c r="AI1461" s="358">
        <f t="shared" si="196"/>
        <v>0</v>
      </c>
      <c r="AJ1461" s="94">
        <f t="shared" si="197"/>
        <v>43251</v>
      </c>
    </row>
    <row r="1462" spans="1:36" ht="12.75" customHeight="1">
      <c r="A1462" s="94">
        <v>43280</v>
      </c>
      <c r="B1462" s="358" t="s">
        <v>136</v>
      </c>
      <c r="C1462" s="94" t="s">
        <v>316</v>
      </c>
      <c r="D1462" s="374">
        <v>261975.6955</v>
      </c>
      <c r="E1462" s="9" t="e">
        <f t="shared" si="200"/>
        <v>#DIV/0!</v>
      </c>
      <c r="F1462" s="98">
        <v>0.20499999999999999</v>
      </c>
      <c r="G1462" s="98">
        <v>0</v>
      </c>
      <c r="H1462" s="98">
        <v>0</v>
      </c>
      <c r="I1462" s="110">
        <v>0</v>
      </c>
      <c r="J1462" s="110"/>
      <c r="K1462" s="93"/>
      <c r="L1462" s="93">
        <f t="shared" si="193"/>
        <v>0</v>
      </c>
      <c r="M1462" s="95" t="e">
        <f t="shared" ca="1" si="194"/>
        <v>#DIV/0!</v>
      </c>
      <c r="N1462" s="95">
        <f>IF(P1462="Hedge Fund",IF(A1462=Summary!$AD$3,M1462-E1462,M1462),IF(A1462=Summary!$AD$3,L1462-D1462,L1462))</f>
        <v>0</v>
      </c>
      <c r="O1462" s="95">
        <f t="shared" si="198"/>
        <v>0</v>
      </c>
      <c r="P1462" s="89" t="s">
        <v>155</v>
      </c>
      <c r="Q1462" s="109">
        <v>1.0323999999999999E-3</v>
      </c>
      <c r="R1462" s="109">
        <v>1.0054530000000001E-2</v>
      </c>
      <c r="S1462" s="107">
        <v>3.0206441724097972E-3</v>
      </c>
      <c r="T1462" s="107">
        <v>2.9387677605614178E-2</v>
      </c>
      <c r="U1462" s="107"/>
      <c r="V1462" s="107"/>
      <c r="W1462" s="107"/>
      <c r="X1462" s="107"/>
      <c r="Y1462" s="107"/>
      <c r="Z1462" s="107"/>
      <c r="AA1462" s="107"/>
      <c r="AB1462" s="107"/>
      <c r="AC1462" s="355"/>
      <c r="AD1462" s="355"/>
      <c r="AE1462" s="355"/>
      <c r="AF1462" s="94">
        <f t="shared" si="195"/>
        <v>43280</v>
      </c>
      <c r="AG1462" s="185">
        <f t="shared" si="199"/>
        <v>-1.8123092940522945E-3</v>
      </c>
      <c r="AH1462" s="339" t="str">
        <f>VLOOKUP(B1462,'MF PF'!A:B,2)</f>
        <v>FdMgt1</v>
      </c>
      <c r="AI1462" s="358">
        <f t="shared" si="196"/>
        <v>0</v>
      </c>
      <c r="AJ1462" s="94">
        <f t="shared" si="197"/>
        <v>43281</v>
      </c>
    </row>
    <row r="1463" spans="1:36" ht="12.75" customHeight="1">
      <c r="A1463" s="94">
        <v>43312</v>
      </c>
      <c r="B1463" s="358" t="s">
        <v>136</v>
      </c>
      <c r="C1463" s="94" t="s">
        <v>316</v>
      </c>
      <c r="D1463" s="374">
        <v>262986.17550000001</v>
      </c>
      <c r="E1463" s="9" t="str">
        <f>IF(K1463="","",D1463/K1463)</f>
        <v/>
      </c>
      <c r="F1463" s="98">
        <v>0.20499999999999999</v>
      </c>
      <c r="G1463" s="98">
        <v>0</v>
      </c>
      <c r="H1463" s="98">
        <v>0</v>
      </c>
      <c r="I1463" s="98">
        <v>0</v>
      </c>
      <c r="J1463" s="98"/>
      <c r="K1463" s="93"/>
      <c r="L1463" s="93">
        <f t="shared" si="193"/>
        <v>0</v>
      </c>
      <c r="M1463" s="95" t="e">
        <f t="shared" ca="1" si="194"/>
        <v>#DIV/0!</v>
      </c>
      <c r="N1463" s="95">
        <f>IF(P1463="Hedge Fund",IF(A1463=Summary!$AD$3,M1463-E1463,M1463),IF(A1463=Summary!$AD$3,L1463-D1463,L1463))</f>
        <v>0</v>
      </c>
      <c r="O1463" s="95">
        <f t="shared" si="198"/>
        <v>0</v>
      </c>
      <c r="P1463" s="107" t="s">
        <v>155</v>
      </c>
      <c r="Q1463" s="107">
        <v>0</v>
      </c>
      <c r="R1463" s="109">
        <v>1.0232854500000003E-2</v>
      </c>
      <c r="S1463" s="107">
        <v>0</v>
      </c>
      <c r="T1463" s="107">
        <v>0</v>
      </c>
      <c r="U1463" s="107"/>
      <c r="V1463" s="107"/>
      <c r="W1463" s="107"/>
      <c r="X1463" s="107"/>
      <c r="Y1463" s="107"/>
      <c r="Z1463" s="107"/>
      <c r="AA1463" s="107"/>
      <c r="AB1463" s="107"/>
      <c r="AC1463" s="355"/>
      <c r="AD1463" s="355"/>
      <c r="AE1463" s="355"/>
      <c r="AF1463" s="94">
        <f t="shared" si="195"/>
        <v>43312</v>
      </c>
      <c r="AG1463" s="185">
        <f t="shared" si="199"/>
        <v>3.8571517028380686E-3</v>
      </c>
      <c r="AH1463" s="339" t="str">
        <f>VLOOKUP(B1463,'MF PF'!A:B,2)</f>
        <v>FdMgt1</v>
      </c>
      <c r="AI1463" s="358">
        <f t="shared" si="196"/>
        <v>0</v>
      </c>
      <c r="AJ1463" s="94">
        <f t="shared" si="197"/>
        <v>43312</v>
      </c>
    </row>
    <row r="1464" spans="1:36" ht="12.75" customHeight="1">
      <c r="A1464" s="94">
        <v>43343</v>
      </c>
      <c r="B1464" s="358" t="s">
        <v>136</v>
      </c>
      <c r="C1464" s="94" t="s">
        <v>316</v>
      </c>
      <c r="D1464" s="374">
        <v>262331.15700000001</v>
      </c>
      <c r="E1464" s="9" t="str">
        <f>IF(K1464="","",D1464/K1464)</f>
        <v/>
      </c>
      <c r="F1464" s="98">
        <v>0.20499999999999999</v>
      </c>
      <c r="G1464" s="98">
        <v>0</v>
      </c>
      <c r="H1464" s="98">
        <v>0</v>
      </c>
      <c r="I1464" s="98">
        <v>0</v>
      </c>
      <c r="J1464" s="98"/>
      <c r="K1464" s="93"/>
      <c r="L1464" s="93">
        <f t="shared" si="193"/>
        <v>0</v>
      </c>
      <c r="M1464" s="95" t="e">
        <f t="shared" ca="1" si="194"/>
        <v>#DIV/0!</v>
      </c>
      <c r="N1464" s="95">
        <f>IF(P1464="Hedge Fund",IF(A1464=Summary!$AD$3,M1464-E1464,M1464),IF(A1464=Summary!$AD$3,L1464-D1464,L1464))</f>
        <v>0</v>
      </c>
      <c r="O1464" s="95">
        <f t="shared" si="198"/>
        <v>0</v>
      </c>
      <c r="P1464" s="107" t="s">
        <v>155</v>
      </c>
      <c r="Q1464" s="107">
        <v>0</v>
      </c>
      <c r="R1464" s="109">
        <v>1.0117262999999998E-2</v>
      </c>
      <c r="S1464" s="107">
        <v>0</v>
      </c>
      <c r="T1464" s="107">
        <v>0</v>
      </c>
      <c r="U1464" s="107"/>
      <c r="V1464" s="107"/>
      <c r="W1464" s="107"/>
      <c r="X1464" s="107"/>
      <c r="Y1464" s="107"/>
      <c r="Z1464" s="107"/>
      <c r="AA1464" s="107"/>
      <c r="AB1464" s="107"/>
      <c r="AC1464" s="355"/>
      <c r="AD1464" s="355"/>
      <c r="AE1464" s="355"/>
      <c r="AF1464" s="94">
        <f t="shared" si="195"/>
        <v>43343</v>
      </c>
      <c r="AG1464" s="185">
        <f t="shared" si="199"/>
        <v>-2.4906955612957749E-3</v>
      </c>
      <c r="AH1464" s="339" t="str">
        <f>VLOOKUP(B1464,'MF PF'!A:B,2)</f>
        <v>FdMgt1</v>
      </c>
      <c r="AI1464" s="358">
        <f t="shared" si="196"/>
        <v>0</v>
      </c>
      <c r="AJ1464" s="94">
        <f t="shared" si="197"/>
        <v>43343</v>
      </c>
    </row>
    <row r="1465" spans="1:36" ht="12.75" customHeight="1">
      <c r="A1465" s="8">
        <v>43371</v>
      </c>
      <c r="B1465" s="358" t="s">
        <v>136</v>
      </c>
      <c r="C1465" s="358" t="s">
        <v>316</v>
      </c>
      <c r="D1465" s="374">
        <v>257683.86</v>
      </c>
      <c r="E1465" s="95"/>
      <c r="F1465" s="105">
        <v>0.20499999999999999</v>
      </c>
      <c r="G1465" s="93">
        <v>0</v>
      </c>
      <c r="H1465" s="93">
        <v>0</v>
      </c>
      <c r="I1465" s="93">
        <v>0</v>
      </c>
      <c r="K1465" s="93">
        <v>0</v>
      </c>
      <c r="L1465" s="93">
        <f t="shared" si="193"/>
        <v>0</v>
      </c>
      <c r="M1465" s="95" t="e">
        <f t="shared" ca="1" si="194"/>
        <v>#DIV/0!</v>
      </c>
      <c r="N1465" s="95">
        <f>IF(P1465="Hedge Fund",IF(A1465=Summary!$AD$3,M1465-E1465,M1465),IF(A1465=Summary!$AD$3,L1465-D1465,L1465))</f>
        <v>0</v>
      </c>
      <c r="O1465" s="95">
        <f t="shared" si="198"/>
        <v>0</v>
      </c>
      <c r="P1465" s="95" t="s">
        <v>155</v>
      </c>
      <c r="Q1465" s="353">
        <v>1E-3</v>
      </c>
      <c r="R1465" s="353">
        <v>9.2971500000000006E-3</v>
      </c>
      <c r="S1465" s="95">
        <v>2.9320780998473369E-3</v>
      </c>
      <c r="T1465" s="95">
        <v>2.7165518663514993E-2</v>
      </c>
      <c r="U1465" s="95"/>
      <c r="V1465" s="95"/>
      <c r="W1465" s="95"/>
      <c r="X1465" s="95"/>
      <c r="Y1465" s="95"/>
      <c r="Z1465" s="95"/>
      <c r="AA1465" s="95"/>
      <c r="AB1465" s="95"/>
      <c r="AC1465" s="355"/>
      <c r="AD1465" s="355"/>
      <c r="AE1465" s="355"/>
      <c r="AF1465" s="94">
        <f t="shared" si="195"/>
        <v>43371</v>
      </c>
      <c r="AG1465" s="185">
        <f t="shared" si="199"/>
        <v>-1.7715383308434141E-2</v>
      </c>
      <c r="AH1465" s="339" t="str">
        <f>VLOOKUP(B1465,'MF PF'!A:B,2)</f>
        <v>FdMgt1</v>
      </c>
      <c r="AI1465" s="358">
        <f t="shared" si="196"/>
        <v>0</v>
      </c>
      <c r="AJ1465" s="94">
        <f t="shared" si="197"/>
        <v>43373</v>
      </c>
    </row>
    <row r="1466" spans="1:36" ht="12.75" customHeight="1">
      <c r="A1466" s="8">
        <v>43404</v>
      </c>
      <c r="B1466" s="358" t="s">
        <v>136</v>
      </c>
      <c r="C1466" s="358" t="s">
        <v>316</v>
      </c>
      <c r="D1466" s="374">
        <v>255907.39</v>
      </c>
      <c r="F1466" s="105">
        <v>0.20499999999999999</v>
      </c>
      <c r="G1466" s="93">
        <v>0</v>
      </c>
      <c r="H1466" s="93">
        <v>0</v>
      </c>
      <c r="I1466" s="93">
        <v>0</v>
      </c>
      <c r="J1466" s="93">
        <v>0</v>
      </c>
      <c r="L1466" s="93">
        <f t="shared" si="193"/>
        <v>0</v>
      </c>
      <c r="M1466" s="95" t="e">
        <f t="shared" ca="1" si="194"/>
        <v>#DIV/0!</v>
      </c>
      <c r="N1466" s="95">
        <f>IF(P1466="Hedge Fund",IF(A1466=Summary!$AD$3,M1466-E1466,M1466),IF(A1466=Summary!$AD$3,L1466-D1466,L1466))</f>
        <v>0</v>
      </c>
      <c r="O1466" s="95">
        <f t="shared" si="198"/>
        <v>0</v>
      </c>
      <c r="P1466" s="95" t="s">
        <v>155</v>
      </c>
      <c r="Q1466" s="353">
        <v>3.5972000000000001E-4</v>
      </c>
      <c r="R1466" s="95">
        <v>8.9836599999999992E-3</v>
      </c>
      <c r="S1466" s="95"/>
      <c r="T1466" s="95"/>
      <c r="U1466" s="95"/>
      <c r="V1466" s="95"/>
      <c r="W1466" s="95"/>
      <c r="X1466" s="95"/>
      <c r="Y1466" s="95"/>
      <c r="Z1466" s="95"/>
      <c r="AA1466" s="95"/>
      <c r="AB1466" s="95"/>
      <c r="AC1466" s="355"/>
      <c r="AD1466" s="355"/>
      <c r="AE1466" s="355"/>
      <c r="AF1466" s="94">
        <f t="shared" si="195"/>
        <v>43404</v>
      </c>
      <c r="AG1466" s="185">
        <f t="shared" si="199"/>
        <v>-6.8939901785077806E-3</v>
      </c>
      <c r="AH1466" s="339" t="str">
        <f>VLOOKUP(B1466,'MF PF'!A:B,2)</f>
        <v>FdMgt1</v>
      </c>
      <c r="AI1466" s="358">
        <f t="shared" si="196"/>
        <v>0</v>
      </c>
      <c r="AJ1466" s="94">
        <f t="shared" si="197"/>
        <v>43404</v>
      </c>
    </row>
    <row r="1467" spans="1:36" ht="12.75" customHeight="1">
      <c r="A1467" s="94">
        <v>43434</v>
      </c>
      <c r="B1467" s="358" t="s">
        <v>136</v>
      </c>
      <c r="C1467" s="358" t="s">
        <v>316</v>
      </c>
      <c r="D1467" s="374">
        <v>256819.06</v>
      </c>
      <c r="F1467" s="105">
        <v>0.20499999999999999</v>
      </c>
      <c r="G1467" s="93">
        <v>0</v>
      </c>
      <c r="H1467" s="93">
        <v>0</v>
      </c>
      <c r="I1467" s="93">
        <v>0</v>
      </c>
      <c r="K1467" s="7">
        <v>0</v>
      </c>
      <c r="L1467" s="93">
        <f t="shared" si="193"/>
        <v>0</v>
      </c>
      <c r="M1467" s="95" t="e">
        <f t="shared" ca="1" si="194"/>
        <v>#DIV/0!</v>
      </c>
      <c r="N1467" s="95">
        <f>IF(P1467="Hedge Fund",IF(A1467=Summary!$AD$3,M1467-E1467,M1467),IF(A1467=Summary!$AD$3,L1467-D1467,L1467))</f>
        <v>0</v>
      </c>
      <c r="O1467" s="95">
        <f t="shared" si="198"/>
        <v>0</v>
      </c>
      <c r="P1467" s="95" t="s">
        <v>155</v>
      </c>
      <c r="Q1467" s="95">
        <v>6.903781152367422E-4</v>
      </c>
      <c r="R1467" s="95">
        <v>9.1445399999999961E-3</v>
      </c>
      <c r="S1467" s="95"/>
      <c r="T1467" s="95"/>
      <c r="U1467" s="95"/>
      <c r="V1467" s="95"/>
      <c r="W1467" s="95"/>
      <c r="X1467" s="95"/>
      <c r="Y1467" s="95"/>
      <c r="Z1467" s="95"/>
      <c r="AA1467" s="95"/>
      <c r="AB1467" s="95"/>
      <c r="AC1467" s="355"/>
      <c r="AD1467" s="355"/>
      <c r="AE1467" s="355"/>
      <c r="AF1467" s="94">
        <f t="shared" si="195"/>
        <v>43434</v>
      </c>
      <c r="AG1467" s="185">
        <f t="shared" si="199"/>
        <v>3.5624996995982094E-3</v>
      </c>
      <c r="AH1467" s="339" t="str">
        <f>VLOOKUP(B1467,'MF PF'!A:B,2)</f>
        <v>FdMgt1</v>
      </c>
      <c r="AI1467" s="358">
        <f t="shared" si="196"/>
        <v>0</v>
      </c>
      <c r="AJ1467" s="94">
        <f t="shared" si="197"/>
        <v>43434</v>
      </c>
    </row>
    <row r="1468" spans="1:36" ht="12.75" customHeight="1">
      <c r="A1468" s="8">
        <v>43452</v>
      </c>
      <c r="B1468" s="358" t="s">
        <v>136</v>
      </c>
      <c r="C1468" s="358" t="s">
        <v>316</v>
      </c>
      <c r="D1468" s="93"/>
      <c r="F1468" s="93"/>
      <c r="G1468" s="93"/>
      <c r="H1468" s="93"/>
      <c r="I1468" s="93">
        <v>0</v>
      </c>
      <c r="K1468" s="93"/>
      <c r="L1468" s="93">
        <f t="shared" si="193"/>
        <v>0</v>
      </c>
      <c r="M1468" s="95" t="e">
        <f t="shared" ca="1" si="194"/>
        <v>#DIV/0!</v>
      </c>
      <c r="N1468" s="95">
        <f>IF(P1468="Hedge Fund",IF(A1468=Summary!$AD$3,M1468-E1468,M1468),IF(A1468=Summary!$AD$3,L1468-D1468,L1468))</f>
        <v>0</v>
      </c>
      <c r="O1468" s="95">
        <f t="shared" si="198"/>
        <v>0</v>
      </c>
      <c r="P1468" s="95" t="s">
        <v>155</v>
      </c>
      <c r="Q1468" s="95"/>
      <c r="R1468" s="95"/>
      <c r="S1468" s="95"/>
      <c r="T1468" s="95"/>
      <c r="U1468" s="95"/>
      <c r="V1468" s="95"/>
      <c r="W1468" s="95"/>
      <c r="X1468" s="95"/>
      <c r="Y1468" s="95"/>
      <c r="Z1468" s="95"/>
      <c r="AA1468" s="95"/>
      <c r="AB1468" s="95"/>
      <c r="AC1468" s="355"/>
      <c r="AD1468" s="355"/>
      <c r="AE1468" s="355"/>
      <c r="AF1468" s="94">
        <f t="shared" si="195"/>
        <v>43452</v>
      </c>
      <c r="AG1468" s="185">
        <f t="shared" si="199"/>
        <v>-1</v>
      </c>
      <c r="AH1468" s="339" t="str">
        <f>VLOOKUP(B1468,'MF PF'!A:B,2)</f>
        <v>FdMgt1</v>
      </c>
      <c r="AI1468" s="358">
        <f t="shared" si="196"/>
        <v>0</v>
      </c>
      <c r="AJ1468" s="94">
        <f t="shared" si="197"/>
        <v>43465</v>
      </c>
    </row>
    <row r="1469" spans="1:36" ht="12.75" customHeight="1">
      <c r="A1469" s="8">
        <v>43465</v>
      </c>
      <c r="B1469" s="358" t="s">
        <v>136</v>
      </c>
      <c r="C1469" s="358" t="s">
        <v>316</v>
      </c>
      <c r="D1469" s="93">
        <v>259276.72450000001</v>
      </c>
      <c r="F1469" s="93">
        <v>0.20499999999999999</v>
      </c>
      <c r="G1469" s="93">
        <v>0</v>
      </c>
      <c r="H1469" s="93">
        <v>0</v>
      </c>
      <c r="I1469" s="93">
        <v>0</v>
      </c>
      <c r="K1469" s="93">
        <v>0</v>
      </c>
      <c r="L1469" s="93">
        <f t="shared" si="193"/>
        <v>0</v>
      </c>
      <c r="M1469" s="95" t="e">
        <f t="shared" ca="1" si="194"/>
        <v>#DIV/0!</v>
      </c>
      <c r="N1469" s="95">
        <f>IF(P1469="Hedge Fund",IF(A1469=Summary!$AD$3,M1469-E1469,M1469),IF(A1469=Summary!$AD$3,L1469-D1469,L1469))</f>
        <v>0</v>
      </c>
      <c r="O1469" s="95">
        <f t="shared" si="198"/>
        <v>0</v>
      </c>
      <c r="P1469" s="95" t="s">
        <v>155</v>
      </c>
      <c r="Q1469" s="95">
        <v>1.0426180990524511E-3</v>
      </c>
      <c r="R1469" s="95">
        <v>9.5782454999999954E-3</v>
      </c>
      <c r="S1469" s="95"/>
      <c r="T1469" s="95"/>
      <c r="U1469" s="95"/>
      <c r="V1469" s="95"/>
      <c r="W1469" s="95"/>
      <c r="X1469" s="95"/>
      <c r="Y1469" s="95"/>
      <c r="Z1469" s="95"/>
      <c r="AA1469" s="95"/>
      <c r="AB1469" s="95"/>
      <c r="AC1469" s="355"/>
      <c r="AD1469" s="355"/>
      <c r="AE1469" s="355"/>
      <c r="AF1469" s="94">
        <f t="shared" si="195"/>
        <v>43465</v>
      </c>
      <c r="AG1469" s="185" t="e">
        <f t="shared" si="199"/>
        <v>#DIV/0!</v>
      </c>
      <c r="AH1469" s="339" t="str">
        <f>VLOOKUP(B1469,'MF PF'!A:B,2)</f>
        <v>FdMgt1</v>
      </c>
      <c r="AI1469" s="358">
        <f t="shared" si="196"/>
        <v>0</v>
      </c>
      <c r="AJ1469" s="94">
        <f t="shared" si="197"/>
        <v>43465</v>
      </c>
    </row>
    <row r="1470" spans="1:36" ht="12.75" customHeight="1">
      <c r="A1470" s="8">
        <v>43487</v>
      </c>
      <c r="B1470" s="358" t="s">
        <v>136</v>
      </c>
      <c r="C1470" s="358" t="s">
        <v>316</v>
      </c>
      <c r="D1470" s="93"/>
      <c r="F1470" s="93"/>
      <c r="G1470" s="93"/>
      <c r="H1470" s="93"/>
      <c r="I1470" s="93"/>
      <c r="K1470" s="93"/>
      <c r="L1470" s="93">
        <f t="shared" si="193"/>
        <v>0</v>
      </c>
      <c r="M1470" s="95" t="e">
        <f t="shared" ca="1" si="194"/>
        <v>#DIV/0!</v>
      </c>
      <c r="N1470" s="95">
        <f>IF(P1470="Hedge Fund",IF(A1470=Summary!$AD$3,M1470-E1470,M1470),IF(A1470=Summary!$AD$3,L1470-D1470,L1470))</f>
        <v>0</v>
      </c>
      <c r="O1470" s="95">
        <f t="shared" si="198"/>
        <v>0</v>
      </c>
      <c r="P1470" s="95" t="s">
        <v>155</v>
      </c>
      <c r="Q1470" s="95"/>
      <c r="R1470" s="95"/>
      <c r="S1470" s="95"/>
      <c r="T1470" s="95"/>
      <c r="U1470" s="95"/>
      <c r="V1470" s="95"/>
      <c r="W1470" s="95"/>
      <c r="X1470" s="95"/>
      <c r="Y1470" s="95"/>
      <c r="Z1470" s="95"/>
      <c r="AA1470" s="95"/>
      <c r="AB1470" s="95"/>
      <c r="AC1470" s="355"/>
      <c r="AD1470" s="355"/>
      <c r="AE1470" s="355"/>
      <c r="AF1470" s="94">
        <f t="shared" si="195"/>
        <v>43487</v>
      </c>
      <c r="AG1470" s="185">
        <f t="shared" si="199"/>
        <v>-1</v>
      </c>
      <c r="AH1470" s="339" t="str">
        <f>VLOOKUP(B1470,'MF PF'!A:B,2)</f>
        <v>FdMgt1</v>
      </c>
      <c r="AI1470" s="358">
        <f t="shared" si="196"/>
        <v>0</v>
      </c>
      <c r="AJ1470" s="94">
        <f t="shared" si="197"/>
        <v>43496</v>
      </c>
    </row>
    <row r="1471" spans="1:36" ht="12.75" customHeight="1">
      <c r="A1471" s="8">
        <v>43496</v>
      </c>
      <c r="B1471" s="358" t="s">
        <v>136</v>
      </c>
      <c r="C1471" s="358" t="s">
        <v>316</v>
      </c>
      <c r="D1471" s="93">
        <v>262092.5025</v>
      </c>
      <c r="E1471" s="95"/>
      <c r="F1471" s="93">
        <v>0.20499999999999999</v>
      </c>
      <c r="G1471" s="93">
        <v>0</v>
      </c>
      <c r="H1471" s="93">
        <v>0</v>
      </c>
      <c r="I1471" s="93">
        <v>0</v>
      </c>
      <c r="K1471" s="93">
        <v>0</v>
      </c>
      <c r="L1471" s="93">
        <f t="shared" si="193"/>
        <v>0</v>
      </c>
      <c r="M1471" s="95" t="e">
        <f t="shared" ca="1" si="194"/>
        <v>#DIV/0!</v>
      </c>
      <c r="N1471" s="95">
        <f>IF(P1471="Hedge Fund",IF(A1471=Summary!$AD$3,M1471-E1471,M1471),IF(A1471=Summary!$AD$3,L1471-D1471,L1471))</f>
        <v>-262092.5025</v>
      </c>
      <c r="O1471" s="95">
        <f t="shared" si="198"/>
        <v>-262092.5025</v>
      </c>
      <c r="P1471" s="95" t="s">
        <v>155</v>
      </c>
      <c r="Q1471" s="95">
        <v>3.4717641898115759E-4</v>
      </c>
      <c r="R1471" s="95">
        <v>1.0075147500000003E-2</v>
      </c>
      <c r="S1471" s="95"/>
      <c r="T1471" s="95"/>
      <c r="U1471" s="95"/>
      <c r="V1471" s="95"/>
      <c r="W1471" s="95"/>
      <c r="X1471" s="95"/>
      <c r="Y1471" s="95"/>
      <c r="Z1471" s="95"/>
      <c r="AA1471" s="95"/>
      <c r="AB1471" s="95"/>
      <c r="AC1471" s="355"/>
      <c r="AD1471" s="355"/>
      <c r="AE1471" s="355"/>
      <c r="AF1471" s="94">
        <f t="shared" si="195"/>
        <v>43496</v>
      </c>
      <c r="AG1471" s="185" t="e">
        <f t="shared" si="199"/>
        <v>#DIV/0!</v>
      </c>
      <c r="AH1471" s="339" t="str">
        <f>VLOOKUP(B1471,'MF PF'!A:B,2)</f>
        <v>FdMgt1</v>
      </c>
      <c r="AI1471" s="358">
        <f t="shared" si="196"/>
        <v>0</v>
      </c>
      <c r="AJ1471" s="94">
        <f t="shared" si="197"/>
        <v>43496</v>
      </c>
    </row>
    <row r="1472" spans="1:36" ht="12.75" customHeight="1">
      <c r="A1472" s="8">
        <v>42207</v>
      </c>
      <c r="B1472" s="94" t="s">
        <v>136</v>
      </c>
      <c r="C1472" s="92" t="s">
        <v>317</v>
      </c>
      <c r="D1472" s="374">
        <v>435000</v>
      </c>
      <c r="E1472" s="95" t="e">
        <f t="shared" ref="E1472:E1508" si="201">D1472/K1472</f>
        <v>#DIV/0!</v>
      </c>
      <c r="F1472" s="98">
        <v>5</v>
      </c>
      <c r="G1472" s="98">
        <v>435000</v>
      </c>
      <c r="H1472" s="98">
        <v>0</v>
      </c>
      <c r="I1472" s="98">
        <v>0</v>
      </c>
      <c r="J1472" s="98"/>
      <c r="K1472" s="93"/>
      <c r="L1472" s="93">
        <f t="shared" si="193"/>
        <v>435000</v>
      </c>
      <c r="M1472" s="95" t="e">
        <f t="shared" ca="1" si="194"/>
        <v>#DIV/0!</v>
      </c>
      <c r="N1472" s="95">
        <f>IF(P1472="Hedge Fund",IF(A1472=Summary!$AD$3,M1472-E1472,M1472),IF(A1472=Summary!$AD$3,L1472-D1472,L1472))</f>
        <v>435000</v>
      </c>
      <c r="O1472" s="95">
        <f t="shared" si="198"/>
        <v>435000</v>
      </c>
      <c r="P1472" s="107" t="s">
        <v>155</v>
      </c>
      <c r="Q1472" s="107">
        <v>0</v>
      </c>
      <c r="R1472" s="107">
        <v>0</v>
      </c>
      <c r="S1472" s="107">
        <v>0</v>
      </c>
      <c r="T1472" s="107">
        <v>0</v>
      </c>
      <c r="U1472" s="107"/>
      <c r="V1472" s="107"/>
      <c r="W1472" s="107"/>
      <c r="X1472" s="107"/>
      <c r="Y1472" s="107"/>
      <c r="Z1472" s="107"/>
      <c r="AA1472" s="107"/>
      <c r="AB1472" s="107"/>
      <c r="AC1472" s="355"/>
      <c r="AD1472" s="355"/>
      <c r="AE1472" s="355"/>
      <c r="AF1472" s="94">
        <f t="shared" si="195"/>
        <v>42207</v>
      </c>
      <c r="AG1472" s="185">
        <f t="shared" si="199"/>
        <v>0</v>
      </c>
      <c r="AH1472" s="339" t="str">
        <f>VLOOKUP(B1472,'MF PF'!A:B,2)</f>
        <v>FdMgt1</v>
      </c>
      <c r="AI1472" s="358">
        <f t="shared" si="196"/>
        <v>0</v>
      </c>
      <c r="AJ1472" s="94">
        <f t="shared" si="197"/>
        <v>42216</v>
      </c>
    </row>
    <row r="1473" spans="1:36" ht="12.75" customHeight="1">
      <c r="A1473" s="8">
        <v>42216</v>
      </c>
      <c r="B1473" s="94" t="s">
        <v>136</v>
      </c>
      <c r="C1473" s="92" t="s">
        <v>317</v>
      </c>
      <c r="D1473" s="374">
        <v>431451.33</v>
      </c>
      <c r="E1473" s="95" t="e">
        <f t="shared" si="201"/>
        <v>#DIV/0!</v>
      </c>
      <c r="F1473" s="98">
        <v>5</v>
      </c>
      <c r="G1473" s="98">
        <v>0</v>
      </c>
      <c r="H1473" s="98">
        <v>0</v>
      </c>
      <c r="I1473" s="98">
        <v>0</v>
      </c>
      <c r="J1473" s="98"/>
      <c r="K1473" s="93"/>
      <c r="L1473" s="93">
        <f t="shared" si="193"/>
        <v>0</v>
      </c>
      <c r="M1473" s="95" t="e">
        <f t="shared" ca="1" si="194"/>
        <v>#DIV/0!</v>
      </c>
      <c r="N1473" s="95">
        <f>IF(P1473="Hedge Fund",IF(A1473=Summary!$AD$3,M1473-E1473,M1473),IF(A1473=Summary!$AD$3,L1473-D1473,L1473))</f>
        <v>0</v>
      </c>
      <c r="O1473" s="95">
        <f t="shared" si="198"/>
        <v>0</v>
      </c>
      <c r="P1473" s="89" t="s">
        <v>155</v>
      </c>
      <c r="Q1473" s="107">
        <v>0</v>
      </c>
      <c r="R1473" s="107">
        <v>0</v>
      </c>
      <c r="S1473" s="107">
        <v>0</v>
      </c>
      <c r="T1473" s="107">
        <v>0</v>
      </c>
      <c r="U1473" s="107"/>
      <c r="V1473" s="107"/>
      <c r="W1473" s="107"/>
      <c r="X1473" s="107"/>
      <c r="Y1473" s="107"/>
      <c r="Z1473" s="107"/>
      <c r="AA1473" s="107"/>
      <c r="AB1473" s="107"/>
      <c r="AC1473" s="355"/>
      <c r="AD1473" s="355"/>
      <c r="AE1473" s="355"/>
      <c r="AF1473" s="94">
        <f t="shared" si="195"/>
        <v>42216</v>
      </c>
      <c r="AG1473" s="185">
        <f t="shared" si="199"/>
        <v>-8.1578620689655157E-3</v>
      </c>
      <c r="AH1473" s="339" t="str">
        <f>VLOOKUP(B1473,'MF PF'!A:B,2)</f>
        <v>FdMgt1</v>
      </c>
      <c r="AI1473" s="358">
        <f t="shared" si="196"/>
        <v>0</v>
      </c>
      <c r="AJ1473" s="94">
        <f t="shared" si="197"/>
        <v>42216</v>
      </c>
    </row>
    <row r="1474" spans="1:36" ht="12.75" customHeight="1">
      <c r="A1474" s="8">
        <v>42247</v>
      </c>
      <c r="B1474" s="94" t="s">
        <v>136</v>
      </c>
      <c r="C1474" s="358" t="s">
        <v>317</v>
      </c>
      <c r="D1474" s="374">
        <v>427296.18</v>
      </c>
      <c r="E1474" s="9" t="e">
        <f t="shared" si="201"/>
        <v>#DIV/0!</v>
      </c>
      <c r="F1474" s="98">
        <v>5</v>
      </c>
      <c r="G1474" s="98">
        <v>0</v>
      </c>
      <c r="H1474" s="98">
        <v>0</v>
      </c>
      <c r="I1474" s="98">
        <v>0</v>
      </c>
      <c r="J1474" s="98"/>
      <c r="K1474" s="93"/>
      <c r="L1474" s="93">
        <f t="shared" si="193"/>
        <v>0</v>
      </c>
      <c r="M1474" s="95" t="e">
        <f t="shared" ca="1" si="194"/>
        <v>#DIV/0!</v>
      </c>
      <c r="N1474" s="95">
        <f>IF(P1474="Hedge Fund",IF(A1474=Summary!$AD$3,M1474-E1474,M1474),IF(A1474=Summary!$AD$3,L1474-D1474,L1474))</f>
        <v>0</v>
      </c>
      <c r="O1474" s="95">
        <f t="shared" si="198"/>
        <v>0</v>
      </c>
      <c r="P1474" s="89" t="s">
        <v>155</v>
      </c>
      <c r="Q1474" s="107">
        <v>0</v>
      </c>
      <c r="R1474" s="107">
        <v>0</v>
      </c>
      <c r="S1474" s="107">
        <v>0</v>
      </c>
      <c r="T1474" s="107">
        <v>0</v>
      </c>
      <c r="U1474" s="107"/>
      <c r="V1474" s="107"/>
      <c r="W1474" s="107"/>
      <c r="X1474" s="107"/>
      <c r="Y1474" s="107"/>
      <c r="Z1474" s="107"/>
      <c r="AA1474" s="107"/>
      <c r="AB1474" s="107"/>
      <c r="AC1474" s="355"/>
      <c r="AD1474" s="355"/>
      <c r="AE1474" s="355"/>
      <c r="AF1474" s="94">
        <f t="shared" si="195"/>
        <v>42247</v>
      </c>
      <c r="AG1474" s="185">
        <f t="shared" si="199"/>
        <v>-9.63063435219913E-3</v>
      </c>
      <c r="AH1474" s="339" t="str">
        <f>VLOOKUP(B1474,'MF PF'!A:B,2)</f>
        <v>FdMgt1</v>
      </c>
      <c r="AI1474" s="358">
        <f t="shared" si="196"/>
        <v>0</v>
      </c>
      <c r="AJ1474" s="94">
        <f t="shared" si="197"/>
        <v>42247</v>
      </c>
    </row>
    <row r="1475" spans="1:36" ht="12.75" customHeight="1">
      <c r="A1475" s="8">
        <v>42277</v>
      </c>
      <c r="B1475" s="94" t="s">
        <v>136</v>
      </c>
      <c r="C1475" s="92" t="s">
        <v>317</v>
      </c>
      <c r="D1475" s="374">
        <v>426167.74</v>
      </c>
      <c r="E1475" s="9" t="e">
        <f t="shared" si="201"/>
        <v>#DIV/0!</v>
      </c>
      <c r="F1475" s="98">
        <v>5</v>
      </c>
      <c r="G1475" s="98">
        <v>0</v>
      </c>
      <c r="H1475" s="98">
        <v>0</v>
      </c>
      <c r="I1475" s="98">
        <v>0</v>
      </c>
      <c r="J1475" s="98"/>
      <c r="K1475" s="93"/>
      <c r="L1475" s="93">
        <f t="shared" ref="L1475:L1538" si="202">G1475+H1475+I1475</f>
        <v>0</v>
      </c>
      <c r="M1475" s="95" t="e">
        <f t="shared" ref="M1475:M1538" ca="1" si="203">IF(A1475&gt;INDIRECT("A"&amp;ROW()-1),I1475/K1475,E1475)</f>
        <v>#DIV/0!</v>
      </c>
      <c r="N1475" s="95">
        <f>IF(P1475="Hedge Fund",IF(A1475=Summary!$AD$3,M1475-E1475,M1475),IF(A1475=Summary!$AD$3,L1475-D1475,L1475))</f>
        <v>0</v>
      </c>
      <c r="O1475" s="95">
        <f t="shared" si="198"/>
        <v>0</v>
      </c>
      <c r="P1475" s="89" t="s">
        <v>155</v>
      </c>
      <c r="Q1475" s="107">
        <v>0</v>
      </c>
      <c r="R1475" s="107">
        <v>0</v>
      </c>
      <c r="S1475" s="107">
        <v>0</v>
      </c>
      <c r="T1475" s="107">
        <v>0</v>
      </c>
      <c r="U1475" s="107"/>
      <c r="V1475" s="107"/>
      <c r="W1475" s="107"/>
      <c r="X1475" s="107"/>
      <c r="Y1475" s="107"/>
      <c r="Z1475" s="107"/>
      <c r="AA1475" s="107"/>
      <c r="AB1475" s="107"/>
      <c r="AC1475" s="355"/>
      <c r="AD1475" s="355"/>
      <c r="AE1475" s="355"/>
      <c r="AF1475" s="94">
        <f t="shared" ref="AF1475:AF1538" si="204">A1475</f>
        <v>42277</v>
      </c>
      <c r="AG1475" s="185">
        <f t="shared" si="199"/>
        <v>-2.6408848307513111E-3</v>
      </c>
      <c r="AH1475" s="339" t="str">
        <f>VLOOKUP(B1475,'MF PF'!A:B,2)</f>
        <v>FdMgt1</v>
      </c>
      <c r="AI1475" s="358">
        <f t="shared" ref="AI1475:AI1538" si="205">AF1475-A1475</f>
        <v>0</v>
      </c>
      <c r="AJ1475" s="94">
        <f t="shared" ref="AJ1475:AJ1538" si="206">EOMONTH(A1475,0)</f>
        <v>42277</v>
      </c>
    </row>
    <row r="1476" spans="1:36" ht="12.75" customHeight="1">
      <c r="A1476" s="8">
        <v>42307</v>
      </c>
      <c r="B1476" s="94" t="s">
        <v>136</v>
      </c>
      <c r="C1476" s="92" t="s">
        <v>317</v>
      </c>
      <c r="D1476" s="374">
        <v>429223.25</v>
      </c>
      <c r="E1476" s="95" t="e">
        <f t="shared" si="201"/>
        <v>#DIV/0!</v>
      </c>
      <c r="F1476" s="98">
        <v>5</v>
      </c>
      <c r="G1476" s="98">
        <v>0</v>
      </c>
      <c r="H1476" s="98">
        <v>0</v>
      </c>
      <c r="I1476" s="98">
        <v>0</v>
      </c>
      <c r="J1476" s="98"/>
      <c r="K1476" s="93"/>
      <c r="L1476" s="93">
        <f t="shared" si="202"/>
        <v>0</v>
      </c>
      <c r="M1476" s="95" t="e">
        <f t="shared" ca="1" si="203"/>
        <v>#DIV/0!</v>
      </c>
      <c r="N1476" s="95">
        <f>IF(P1476="Hedge Fund",IF(A1476=Summary!$AD$3,M1476-E1476,M1476),IF(A1476=Summary!$AD$3,L1476-D1476,L1476))</f>
        <v>0</v>
      </c>
      <c r="O1476" s="95">
        <f t="shared" si="198"/>
        <v>0</v>
      </c>
      <c r="P1476" s="89" t="s">
        <v>155</v>
      </c>
      <c r="Q1476" s="107">
        <v>0</v>
      </c>
      <c r="R1476" s="107">
        <v>0</v>
      </c>
      <c r="S1476" s="107">
        <v>0</v>
      </c>
      <c r="T1476" s="107">
        <v>0</v>
      </c>
      <c r="U1476" s="107"/>
      <c r="V1476" s="107"/>
      <c r="W1476" s="107"/>
      <c r="X1476" s="107"/>
      <c r="Y1476" s="107"/>
      <c r="Z1476" s="107"/>
      <c r="AA1476" s="107"/>
      <c r="AB1476" s="107"/>
      <c r="AC1476" s="355"/>
      <c r="AD1476" s="355"/>
      <c r="AE1476" s="355"/>
      <c r="AF1476" s="94">
        <f t="shared" si="204"/>
        <v>42307</v>
      </c>
      <c r="AG1476" s="185">
        <f t="shared" si="199"/>
        <v>7.1697355599933399E-3</v>
      </c>
      <c r="AH1476" s="339" t="str">
        <f>VLOOKUP(B1476,'MF PF'!A:B,2)</f>
        <v>FdMgt1</v>
      </c>
      <c r="AI1476" s="358">
        <f t="shared" si="205"/>
        <v>0</v>
      </c>
      <c r="AJ1476" s="94">
        <f t="shared" si="206"/>
        <v>42308</v>
      </c>
    </row>
    <row r="1477" spans="1:36" ht="12.75" customHeight="1">
      <c r="A1477" s="8">
        <v>42338</v>
      </c>
      <c r="B1477" s="94" t="s">
        <v>136</v>
      </c>
      <c r="C1477" s="92" t="s">
        <v>317</v>
      </c>
      <c r="D1477" s="374">
        <v>796277.43</v>
      </c>
      <c r="E1477" s="95" t="e">
        <f t="shared" si="201"/>
        <v>#DIV/0!</v>
      </c>
      <c r="F1477" s="98">
        <v>5</v>
      </c>
      <c r="G1477" s="98">
        <v>450000</v>
      </c>
      <c r="H1477" s="98">
        <v>0</v>
      </c>
      <c r="I1477" s="98">
        <v>0</v>
      </c>
      <c r="J1477" s="98"/>
      <c r="K1477" s="93"/>
      <c r="L1477" s="93">
        <f t="shared" si="202"/>
        <v>450000</v>
      </c>
      <c r="M1477" s="95" t="e">
        <f t="shared" ca="1" si="203"/>
        <v>#DIV/0!</v>
      </c>
      <c r="N1477" s="95">
        <f>IF(P1477="Hedge Fund",IF(A1477=Summary!$AD$3,M1477-E1477,M1477),IF(A1477=Summary!$AD$3,L1477-D1477,L1477))</f>
        <v>450000</v>
      </c>
      <c r="O1477" s="95">
        <f t="shared" si="198"/>
        <v>450000</v>
      </c>
      <c r="P1477" s="89" t="s">
        <v>155</v>
      </c>
      <c r="Q1477" s="107">
        <v>0</v>
      </c>
      <c r="R1477" s="107">
        <v>0</v>
      </c>
      <c r="S1477" s="107">
        <v>0</v>
      </c>
      <c r="T1477" s="107">
        <v>0</v>
      </c>
      <c r="U1477" s="107"/>
      <c r="V1477" s="107"/>
      <c r="W1477" s="107"/>
      <c r="X1477" s="107"/>
      <c r="Y1477" s="107"/>
      <c r="Z1477" s="107"/>
      <c r="AA1477" s="107"/>
      <c r="AB1477" s="107"/>
      <c r="AC1477" s="355"/>
      <c r="AD1477" s="355"/>
      <c r="AE1477" s="355"/>
      <c r="AF1477" s="94">
        <f t="shared" si="204"/>
        <v>42338</v>
      </c>
      <c r="AG1477" s="185">
        <f t="shared" si="199"/>
        <v>-0.19324633509484856</v>
      </c>
      <c r="AH1477" s="339" t="str">
        <f>VLOOKUP(B1477,'MF PF'!A:B,2)</f>
        <v>FdMgt1</v>
      </c>
      <c r="AI1477" s="358">
        <f t="shared" si="205"/>
        <v>0</v>
      </c>
      <c r="AJ1477" s="94">
        <f t="shared" si="206"/>
        <v>42338</v>
      </c>
    </row>
    <row r="1478" spans="1:36" ht="12.75" customHeight="1">
      <c r="A1478" s="94">
        <v>42369</v>
      </c>
      <c r="B1478" s="94" t="s">
        <v>136</v>
      </c>
      <c r="C1478" s="358" t="s">
        <v>317</v>
      </c>
      <c r="D1478" s="374">
        <v>880195.28</v>
      </c>
      <c r="E1478" s="95" t="e">
        <f t="shared" si="201"/>
        <v>#DIV/0!</v>
      </c>
      <c r="F1478" s="98">
        <v>5</v>
      </c>
      <c r="G1478" s="98">
        <v>0</v>
      </c>
      <c r="H1478" s="98">
        <v>0</v>
      </c>
      <c r="I1478" s="98">
        <v>0</v>
      </c>
      <c r="J1478" s="98"/>
      <c r="K1478" s="93"/>
      <c r="L1478" s="93">
        <f t="shared" si="202"/>
        <v>0</v>
      </c>
      <c r="M1478" s="95" t="e">
        <f t="shared" ca="1" si="203"/>
        <v>#DIV/0!</v>
      </c>
      <c r="N1478" s="95">
        <f>IF(P1478="Hedge Fund",IF(A1478=Summary!$AD$3,M1478-E1478,M1478),IF(A1478=Summary!$AD$3,L1478-D1478,L1478))</f>
        <v>0</v>
      </c>
      <c r="O1478" s="95">
        <f t="shared" si="198"/>
        <v>0</v>
      </c>
      <c r="P1478" s="89" t="s">
        <v>155</v>
      </c>
      <c r="Q1478" s="107">
        <v>0</v>
      </c>
      <c r="R1478" s="107">
        <v>0</v>
      </c>
      <c r="S1478" s="107">
        <v>0</v>
      </c>
      <c r="T1478" s="107">
        <v>0</v>
      </c>
      <c r="U1478" s="107"/>
      <c r="V1478" s="107"/>
      <c r="W1478" s="107"/>
      <c r="X1478" s="107"/>
      <c r="Y1478" s="107"/>
      <c r="Z1478" s="107"/>
      <c r="AA1478" s="107"/>
      <c r="AB1478" s="107"/>
      <c r="AC1478" s="355"/>
      <c r="AD1478" s="355"/>
      <c r="AE1478" s="355"/>
      <c r="AF1478" s="94">
        <f t="shared" si="204"/>
        <v>42369</v>
      </c>
      <c r="AG1478" s="185">
        <f t="shared" si="199"/>
        <v>0.10538770388104557</v>
      </c>
      <c r="AH1478" s="339" t="str">
        <f>VLOOKUP(B1478,'MF PF'!A:B,2)</f>
        <v>FdMgt1</v>
      </c>
      <c r="AI1478" s="358">
        <f t="shared" si="205"/>
        <v>0</v>
      </c>
      <c r="AJ1478" s="94">
        <f t="shared" si="206"/>
        <v>42369</v>
      </c>
    </row>
    <row r="1479" spans="1:36" ht="12.75" customHeight="1">
      <c r="A1479" s="94">
        <v>42398</v>
      </c>
      <c r="B1479" s="94" t="s">
        <v>136</v>
      </c>
      <c r="C1479" s="358" t="s">
        <v>317</v>
      </c>
      <c r="D1479" s="374">
        <v>879492.11</v>
      </c>
      <c r="E1479" s="9" t="e">
        <f t="shared" si="201"/>
        <v>#DIV/0!</v>
      </c>
      <c r="F1479" s="98">
        <v>5</v>
      </c>
      <c r="G1479" s="98">
        <v>0</v>
      </c>
      <c r="H1479" s="98">
        <v>0</v>
      </c>
      <c r="I1479" s="98">
        <v>0</v>
      </c>
      <c r="J1479" s="98"/>
      <c r="L1479" s="93">
        <f t="shared" si="202"/>
        <v>0</v>
      </c>
      <c r="M1479" s="95" t="e">
        <f t="shared" ca="1" si="203"/>
        <v>#DIV/0!</v>
      </c>
      <c r="N1479" s="95">
        <f>IF(P1479="Hedge Fund",IF(A1479=Summary!$AD$3,M1479-E1479,M1479),IF(A1479=Summary!$AD$3,L1479-D1479,L1479))</f>
        <v>0</v>
      </c>
      <c r="O1479" s="95">
        <f t="shared" si="198"/>
        <v>0</v>
      </c>
      <c r="P1479" s="89" t="s">
        <v>155</v>
      </c>
      <c r="Q1479" s="107">
        <v>0</v>
      </c>
      <c r="R1479" s="107">
        <v>0</v>
      </c>
      <c r="S1479" s="107">
        <v>0</v>
      </c>
      <c r="T1479" s="107">
        <v>0</v>
      </c>
      <c r="U1479" s="107"/>
      <c r="V1479" s="107"/>
      <c r="W1479" s="107"/>
      <c r="X1479" s="107"/>
      <c r="Y1479" s="107"/>
      <c r="Z1479" s="107"/>
      <c r="AA1479" s="107"/>
      <c r="AB1479" s="107"/>
      <c r="AC1479" s="355"/>
      <c r="AD1479" s="355"/>
      <c r="AE1479" s="355"/>
      <c r="AF1479" s="94">
        <f t="shared" si="204"/>
        <v>42398</v>
      </c>
      <c r="AG1479" s="185">
        <f t="shared" si="199"/>
        <v>-7.9887953954949076E-4</v>
      </c>
      <c r="AH1479" s="339" t="str">
        <f>VLOOKUP(B1479,'MF PF'!A:B,2)</f>
        <v>FdMgt1</v>
      </c>
      <c r="AI1479" s="358">
        <f t="shared" si="205"/>
        <v>0</v>
      </c>
      <c r="AJ1479" s="94">
        <f t="shared" si="206"/>
        <v>42400</v>
      </c>
    </row>
    <row r="1480" spans="1:36" ht="12.75" customHeight="1">
      <c r="A1480" s="94">
        <v>42429</v>
      </c>
      <c r="B1480" s="94" t="s">
        <v>136</v>
      </c>
      <c r="C1480" s="358" t="s">
        <v>317</v>
      </c>
      <c r="D1480" s="374">
        <v>2009582.7867999999</v>
      </c>
      <c r="E1480" s="9" t="e">
        <f t="shared" si="201"/>
        <v>#DIV/0!</v>
      </c>
      <c r="F1480" s="98">
        <v>5</v>
      </c>
      <c r="G1480" s="98">
        <v>1120000</v>
      </c>
      <c r="H1480" s="98">
        <v>0</v>
      </c>
      <c r="I1480" s="98">
        <v>0</v>
      </c>
      <c r="J1480" s="98"/>
      <c r="L1480" s="93">
        <f t="shared" si="202"/>
        <v>1120000</v>
      </c>
      <c r="M1480" s="95" t="e">
        <f t="shared" ca="1" si="203"/>
        <v>#DIV/0!</v>
      </c>
      <c r="N1480" s="95">
        <f>IF(P1480="Hedge Fund",IF(A1480=Summary!$AD$3,M1480-E1480,M1480),IF(A1480=Summary!$AD$3,L1480-D1480,L1480))</f>
        <v>1120000</v>
      </c>
      <c r="O1480" s="95">
        <f t="shared" si="198"/>
        <v>1120000</v>
      </c>
      <c r="P1480" s="89" t="s">
        <v>155</v>
      </c>
      <c r="Q1480" s="107">
        <v>0</v>
      </c>
      <c r="R1480" s="107">
        <v>0</v>
      </c>
      <c r="S1480" s="107">
        <v>0</v>
      </c>
      <c r="T1480" s="107">
        <v>0</v>
      </c>
      <c r="U1480" s="107"/>
      <c r="V1480" s="107"/>
      <c r="W1480" s="107"/>
      <c r="X1480" s="107"/>
      <c r="Y1480" s="107"/>
      <c r="Z1480" s="107"/>
      <c r="AA1480" s="107"/>
      <c r="AB1480" s="107"/>
      <c r="AC1480" s="355"/>
      <c r="AD1480" s="355"/>
      <c r="AE1480" s="355"/>
      <c r="AF1480" s="94">
        <f t="shared" si="204"/>
        <v>42429</v>
      </c>
      <c r="AG1480" s="185">
        <f t="shared" si="199"/>
        <v>1.1473299970820472E-2</v>
      </c>
      <c r="AH1480" s="339" t="str">
        <f>VLOOKUP(B1480,'MF PF'!A:B,2)</f>
        <v>FdMgt1</v>
      </c>
      <c r="AI1480" s="358">
        <f t="shared" si="205"/>
        <v>0</v>
      </c>
      <c r="AJ1480" s="94">
        <f t="shared" si="206"/>
        <v>42429</v>
      </c>
    </row>
    <row r="1481" spans="1:36" ht="12.75" customHeight="1">
      <c r="A1481" s="94">
        <v>42460</v>
      </c>
      <c r="B1481" s="94" t="s">
        <v>136</v>
      </c>
      <c r="C1481" s="92" t="s">
        <v>317</v>
      </c>
      <c r="D1481" s="374">
        <v>2011728.1623999998</v>
      </c>
      <c r="E1481" s="9" t="e">
        <f t="shared" si="201"/>
        <v>#DIV/0!</v>
      </c>
      <c r="F1481" s="98">
        <v>5</v>
      </c>
      <c r="G1481" s="98">
        <v>0</v>
      </c>
      <c r="H1481" s="98">
        <v>0</v>
      </c>
      <c r="I1481" s="98">
        <v>0</v>
      </c>
      <c r="J1481" s="98"/>
      <c r="L1481" s="93">
        <f t="shared" si="202"/>
        <v>0</v>
      </c>
      <c r="M1481" s="95" t="e">
        <f t="shared" ca="1" si="203"/>
        <v>#DIV/0!</v>
      </c>
      <c r="N1481" s="95">
        <f>IF(P1481="Hedge Fund",IF(A1481=Summary!$AD$3,M1481-E1481,M1481),IF(A1481=Summary!$AD$3,L1481-D1481,L1481))</f>
        <v>0</v>
      </c>
      <c r="O1481" s="95">
        <f t="shared" si="198"/>
        <v>0</v>
      </c>
      <c r="P1481" s="89" t="s">
        <v>155</v>
      </c>
      <c r="Q1481" s="107">
        <v>0</v>
      </c>
      <c r="R1481" s="107">
        <v>0</v>
      </c>
      <c r="S1481" s="107">
        <v>0</v>
      </c>
      <c r="T1481" s="107">
        <v>0</v>
      </c>
      <c r="U1481" s="107"/>
      <c r="V1481" s="107"/>
      <c r="W1481" s="107"/>
      <c r="X1481" s="107"/>
      <c r="Y1481" s="107"/>
      <c r="Z1481" s="107"/>
      <c r="AA1481" s="107"/>
      <c r="AB1481" s="107"/>
      <c r="AC1481" s="355"/>
      <c r="AD1481" s="355"/>
      <c r="AE1481" s="355"/>
      <c r="AF1481" s="94">
        <f t="shared" si="204"/>
        <v>42460</v>
      </c>
      <c r="AG1481" s="185">
        <f t="shared" si="199"/>
        <v>1.0675726395010798E-3</v>
      </c>
      <c r="AH1481" s="339" t="str">
        <f>VLOOKUP(B1481,'MF PF'!A:B,2)</f>
        <v>FdMgt1</v>
      </c>
      <c r="AI1481" s="358">
        <f t="shared" si="205"/>
        <v>0</v>
      </c>
      <c r="AJ1481" s="94">
        <f t="shared" si="206"/>
        <v>42460</v>
      </c>
    </row>
    <row r="1482" spans="1:36" ht="12.75" customHeight="1">
      <c r="A1482" s="8">
        <v>42489</v>
      </c>
      <c r="B1482" s="94" t="s">
        <v>136</v>
      </c>
      <c r="C1482" s="92" t="s">
        <v>317</v>
      </c>
      <c r="D1482" s="374">
        <v>2825345.0548</v>
      </c>
      <c r="E1482" s="9" t="e">
        <f t="shared" si="201"/>
        <v>#DIV/0!</v>
      </c>
      <c r="F1482" s="98">
        <v>5</v>
      </c>
      <c r="G1482" s="98">
        <v>800000</v>
      </c>
      <c r="H1482" s="98">
        <v>0</v>
      </c>
      <c r="I1482" s="98">
        <v>0</v>
      </c>
      <c r="J1482" s="98"/>
      <c r="L1482" s="93">
        <f t="shared" si="202"/>
        <v>800000</v>
      </c>
      <c r="M1482" s="95" t="e">
        <f t="shared" ca="1" si="203"/>
        <v>#DIV/0!</v>
      </c>
      <c r="N1482" s="95">
        <f>IF(P1482="Hedge Fund",IF(A1482=Summary!$AD$3,M1482-E1482,M1482),IF(A1482=Summary!$AD$3,L1482-D1482,L1482))</f>
        <v>800000</v>
      </c>
      <c r="O1482" s="95">
        <f t="shared" si="198"/>
        <v>800000</v>
      </c>
      <c r="P1482" s="89" t="s">
        <v>155</v>
      </c>
      <c r="Q1482" s="107">
        <v>0</v>
      </c>
      <c r="R1482" s="107">
        <v>0</v>
      </c>
      <c r="S1482" s="107">
        <v>0</v>
      </c>
      <c r="T1482" s="107">
        <v>0</v>
      </c>
      <c r="U1482" s="107"/>
      <c r="V1482" s="107"/>
      <c r="W1482" s="107"/>
      <c r="X1482" s="107"/>
      <c r="Y1482" s="107"/>
      <c r="Z1482" s="107"/>
      <c r="AA1482" s="107"/>
      <c r="AB1482" s="107"/>
      <c r="AC1482" s="355"/>
      <c r="AD1482" s="355"/>
      <c r="AE1482" s="355"/>
      <c r="AF1482" s="94">
        <f t="shared" si="204"/>
        <v>42489</v>
      </c>
      <c r="AG1482" s="185">
        <f t="shared" si="199"/>
        <v>6.7687536788048064E-3</v>
      </c>
      <c r="AH1482" s="339" t="str">
        <f>VLOOKUP(B1482,'MF PF'!A:B,2)</f>
        <v>FdMgt1</v>
      </c>
      <c r="AI1482" s="358">
        <f t="shared" si="205"/>
        <v>0</v>
      </c>
      <c r="AJ1482" s="94">
        <f t="shared" si="206"/>
        <v>42490</v>
      </c>
    </row>
    <row r="1483" spans="1:36" ht="12.75" customHeight="1">
      <c r="A1483" s="94">
        <v>42521</v>
      </c>
      <c r="B1483" s="94" t="s">
        <v>136</v>
      </c>
      <c r="C1483" s="358" t="s">
        <v>317</v>
      </c>
      <c r="D1483" s="374">
        <v>2862525.5484000002</v>
      </c>
      <c r="E1483" s="95" t="e">
        <f t="shared" si="201"/>
        <v>#DIV/0!</v>
      </c>
      <c r="F1483" s="98">
        <v>5</v>
      </c>
      <c r="G1483" s="98">
        <v>0</v>
      </c>
      <c r="H1483" s="98">
        <v>0</v>
      </c>
      <c r="I1483" s="98">
        <v>0</v>
      </c>
      <c r="J1483" s="98"/>
      <c r="L1483" s="93">
        <f t="shared" si="202"/>
        <v>0</v>
      </c>
      <c r="M1483" s="95" t="e">
        <f t="shared" ca="1" si="203"/>
        <v>#DIV/0!</v>
      </c>
      <c r="N1483" s="95">
        <f>IF(P1483="Hedge Fund",IF(A1483=Summary!$AD$3,M1483-E1483,M1483),IF(A1483=Summary!$AD$3,L1483-D1483,L1483))</f>
        <v>0</v>
      </c>
      <c r="O1483" s="95">
        <f t="shared" si="198"/>
        <v>0</v>
      </c>
      <c r="P1483" s="89" t="s">
        <v>155</v>
      </c>
      <c r="Q1483" s="107">
        <v>0</v>
      </c>
      <c r="R1483" s="107">
        <v>0</v>
      </c>
      <c r="S1483" s="107">
        <v>0</v>
      </c>
      <c r="T1483" s="107">
        <v>0</v>
      </c>
      <c r="U1483" s="107"/>
      <c r="V1483" s="107"/>
      <c r="W1483" s="107"/>
      <c r="X1483" s="107"/>
      <c r="Y1483" s="107"/>
      <c r="Z1483" s="107"/>
      <c r="AA1483" s="107"/>
      <c r="AB1483" s="107"/>
      <c r="AC1483" s="355"/>
      <c r="AD1483" s="355"/>
      <c r="AE1483" s="355"/>
      <c r="AF1483" s="94">
        <f t="shared" si="204"/>
        <v>42521</v>
      </c>
      <c r="AG1483" s="185">
        <f t="shared" si="199"/>
        <v>1.3159629312120336E-2</v>
      </c>
      <c r="AH1483" s="339" t="str">
        <f>VLOOKUP(B1483,'MF PF'!A:B,2)</f>
        <v>FdMgt1</v>
      </c>
      <c r="AI1483" s="358">
        <f t="shared" si="205"/>
        <v>0</v>
      </c>
      <c r="AJ1483" s="94">
        <f t="shared" si="206"/>
        <v>42521</v>
      </c>
    </row>
    <row r="1484" spans="1:36" ht="12.75" customHeight="1">
      <c r="A1484" s="8">
        <v>42551</v>
      </c>
      <c r="B1484" s="94" t="s">
        <v>136</v>
      </c>
      <c r="C1484" s="358" t="s">
        <v>317</v>
      </c>
      <c r="D1484" s="374">
        <v>2847929.9416</v>
      </c>
      <c r="E1484" s="95" t="e">
        <f t="shared" si="201"/>
        <v>#DIV/0!</v>
      </c>
      <c r="F1484" s="98">
        <v>5</v>
      </c>
      <c r="G1484" s="98">
        <v>0</v>
      </c>
      <c r="H1484" s="98">
        <v>0</v>
      </c>
      <c r="I1484" s="98">
        <v>0</v>
      </c>
      <c r="J1484" s="98"/>
      <c r="L1484" s="93">
        <f t="shared" si="202"/>
        <v>0</v>
      </c>
      <c r="M1484" s="95" t="e">
        <f t="shared" ca="1" si="203"/>
        <v>#DIV/0!</v>
      </c>
      <c r="N1484" s="95">
        <f>IF(P1484="Hedge Fund",IF(A1484=Summary!$AD$3,M1484-E1484,M1484),IF(A1484=Summary!$AD$3,L1484-D1484,L1484))</f>
        <v>0</v>
      </c>
      <c r="O1484" s="95">
        <f t="shared" si="198"/>
        <v>0</v>
      </c>
      <c r="P1484" s="89" t="s">
        <v>155</v>
      </c>
      <c r="Q1484" s="107">
        <v>0</v>
      </c>
      <c r="R1484" s="107">
        <v>0</v>
      </c>
      <c r="S1484" s="107">
        <v>0</v>
      </c>
      <c r="T1484" s="107">
        <v>0</v>
      </c>
      <c r="U1484" s="107"/>
      <c r="V1484" s="107"/>
      <c r="W1484" s="107"/>
      <c r="X1484" s="107"/>
      <c r="Y1484" s="107"/>
      <c r="Z1484" s="107"/>
      <c r="AA1484" s="107"/>
      <c r="AB1484" s="107"/>
      <c r="AC1484" s="355"/>
      <c r="AD1484" s="355"/>
      <c r="AE1484" s="355"/>
      <c r="AF1484" s="94">
        <f t="shared" si="204"/>
        <v>42551</v>
      </c>
      <c r="AG1484" s="185">
        <f t="shared" si="199"/>
        <v>-5.0988564305245454E-3</v>
      </c>
      <c r="AH1484" s="339" t="str">
        <f>VLOOKUP(B1484,'MF PF'!A:B,2)</f>
        <v>FdMgt1</v>
      </c>
      <c r="AI1484" s="358">
        <f t="shared" si="205"/>
        <v>0</v>
      </c>
      <c r="AJ1484" s="94">
        <f t="shared" si="206"/>
        <v>42551</v>
      </c>
    </row>
    <row r="1485" spans="1:36" ht="12.75" customHeight="1">
      <c r="A1485" s="8">
        <v>42580</v>
      </c>
      <c r="B1485" s="94" t="s">
        <v>136</v>
      </c>
      <c r="C1485" s="358" t="s">
        <v>317</v>
      </c>
      <c r="D1485" s="374">
        <v>2851543.7475999999</v>
      </c>
      <c r="E1485" s="9" t="e">
        <f t="shared" si="201"/>
        <v>#DIV/0!</v>
      </c>
      <c r="F1485" s="98">
        <v>5</v>
      </c>
      <c r="G1485" s="98">
        <v>0</v>
      </c>
      <c r="H1485" s="98">
        <v>0</v>
      </c>
      <c r="I1485" s="98">
        <v>0</v>
      </c>
      <c r="J1485" s="98"/>
      <c r="L1485" s="93">
        <f t="shared" si="202"/>
        <v>0</v>
      </c>
      <c r="M1485" s="95" t="e">
        <f t="shared" ca="1" si="203"/>
        <v>#DIV/0!</v>
      </c>
      <c r="N1485" s="95">
        <f>IF(P1485="Hedge Fund",IF(A1485=Summary!$AD$3,M1485-E1485,M1485),IF(A1485=Summary!$AD$3,L1485-D1485,L1485))</f>
        <v>0</v>
      </c>
      <c r="O1485" s="95">
        <f t="shared" si="198"/>
        <v>0</v>
      </c>
      <c r="P1485" s="89" t="s">
        <v>155</v>
      </c>
      <c r="Q1485" s="107">
        <v>0</v>
      </c>
      <c r="R1485" s="107">
        <v>0</v>
      </c>
      <c r="S1485" s="107">
        <v>0</v>
      </c>
      <c r="T1485" s="107">
        <v>0</v>
      </c>
      <c r="U1485" s="107"/>
      <c r="V1485" s="107"/>
      <c r="W1485" s="107"/>
      <c r="X1485" s="107"/>
      <c r="Y1485" s="107"/>
      <c r="Z1485" s="107"/>
      <c r="AA1485" s="107"/>
      <c r="AB1485" s="107"/>
      <c r="AC1485" s="355"/>
      <c r="AD1485" s="355"/>
      <c r="AE1485" s="355"/>
      <c r="AF1485" s="94">
        <f t="shared" si="204"/>
        <v>42580</v>
      </c>
      <c r="AG1485" s="185">
        <f t="shared" si="199"/>
        <v>1.2689237706351442E-3</v>
      </c>
      <c r="AH1485" s="339" t="str">
        <f>VLOOKUP(B1485,'MF PF'!A:B,2)</f>
        <v>FdMgt1</v>
      </c>
      <c r="AI1485" s="358">
        <f t="shared" si="205"/>
        <v>0</v>
      </c>
      <c r="AJ1485" s="94">
        <f t="shared" si="206"/>
        <v>42582</v>
      </c>
    </row>
    <row r="1486" spans="1:36" ht="12.75" customHeight="1">
      <c r="A1486" s="8">
        <v>42613</v>
      </c>
      <c r="B1486" s="94" t="s">
        <v>136</v>
      </c>
      <c r="C1486" s="358" t="s">
        <v>317</v>
      </c>
      <c r="D1486" s="374">
        <v>2849335.0024000001</v>
      </c>
      <c r="E1486" s="9" t="e">
        <f t="shared" si="201"/>
        <v>#DIV/0!</v>
      </c>
      <c r="F1486" s="98">
        <v>5</v>
      </c>
      <c r="G1486" s="98">
        <v>0</v>
      </c>
      <c r="H1486" s="98">
        <v>0</v>
      </c>
      <c r="I1486" s="98">
        <v>0</v>
      </c>
      <c r="J1486" s="98"/>
      <c r="L1486" s="93">
        <f t="shared" si="202"/>
        <v>0</v>
      </c>
      <c r="M1486" s="95" t="e">
        <f t="shared" ca="1" si="203"/>
        <v>#DIV/0!</v>
      </c>
      <c r="N1486" s="95">
        <f>IF(P1486="Hedge Fund",IF(A1486=Summary!$AD$3,M1486-E1486,M1486),IF(A1486=Summary!$AD$3,L1486-D1486,L1486))</f>
        <v>0</v>
      </c>
      <c r="O1486" s="95">
        <f t="shared" ref="O1486:O1549" si="207">N1486</f>
        <v>0</v>
      </c>
      <c r="P1486" s="89" t="s">
        <v>155</v>
      </c>
      <c r="Q1486" s="107">
        <v>0</v>
      </c>
      <c r="R1486" s="107">
        <v>0</v>
      </c>
      <c r="S1486" s="107">
        <v>0</v>
      </c>
      <c r="T1486" s="107">
        <v>0</v>
      </c>
      <c r="U1486" s="107"/>
      <c r="V1486" s="107"/>
      <c r="W1486" s="107"/>
      <c r="X1486" s="107"/>
      <c r="Y1486" s="107"/>
      <c r="Z1486" s="107"/>
      <c r="AA1486" s="107"/>
      <c r="AB1486" s="107"/>
      <c r="AC1486" s="355"/>
      <c r="AD1486" s="355"/>
      <c r="AE1486" s="355"/>
      <c r="AF1486" s="94">
        <f t="shared" si="204"/>
        <v>42613</v>
      </c>
      <c r="AG1486" s="185">
        <f t="shared" si="199"/>
        <v>-7.7457875295050549E-4</v>
      </c>
      <c r="AH1486" s="339" t="str">
        <f>VLOOKUP(B1486,'MF PF'!A:B,2)</f>
        <v>FdMgt1</v>
      </c>
      <c r="AI1486" s="358">
        <f t="shared" si="205"/>
        <v>0</v>
      </c>
      <c r="AJ1486" s="94">
        <f t="shared" si="206"/>
        <v>42613</v>
      </c>
    </row>
    <row r="1487" spans="1:36" ht="12.75" customHeight="1">
      <c r="A1487" s="8">
        <v>42643</v>
      </c>
      <c r="B1487" s="94" t="s">
        <v>136</v>
      </c>
      <c r="C1487" s="358" t="s">
        <v>317</v>
      </c>
      <c r="D1487" s="374">
        <v>2948127.9419999998</v>
      </c>
      <c r="E1487" s="9" t="e">
        <f t="shared" si="201"/>
        <v>#DIV/0!</v>
      </c>
      <c r="F1487" s="98">
        <v>5</v>
      </c>
      <c r="G1487" s="98">
        <v>0</v>
      </c>
      <c r="H1487" s="98">
        <v>0</v>
      </c>
      <c r="I1487" s="98">
        <v>0</v>
      </c>
      <c r="J1487" s="98"/>
      <c r="L1487" s="93">
        <f t="shared" si="202"/>
        <v>0</v>
      </c>
      <c r="M1487" s="95" t="e">
        <f t="shared" ca="1" si="203"/>
        <v>#DIV/0!</v>
      </c>
      <c r="N1487" s="95">
        <f>IF(P1487="Hedge Fund",IF(A1487=Summary!$AD$3,M1487-E1487,M1487),IF(A1487=Summary!$AD$3,L1487-D1487,L1487))</f>
        <v>0</v>
      </c>
      <c r="O1487" s="95">
        <f t="shared" si="207"/>
        <v>0</v>
      </c>
      <c r="P1487" s="107" t="s">
        <v>155</v>
      </c>
      <c r="Q1487" s="107">
        <v>0</v>
      </c>
      <c r="R1487" s="107">
        <v>0</v>
      </c>
      <c r="S1487" s="107">
        <v>0</v>
      </c>
      <c r="T1487" s="107">
        <v>0</v>
      </c>
      <c r="U1487" s="107"/>
      <c r="V1487" s="107"/>
      <c r="W1487" s="107"/>
      <c r="X1487" s="107"/>
      <c r="Y1487" s="107"/>
      <c r="Z1487" s="107"/>
      <c r="AA1487" s="107"/>
      <c r="AB1487" s="107"/>
      <c r="AC1487" s="355"/>
      <c r="AD1487" s="355"/>
      <c r="AE1487" s="355"/>
      <c r="AF1487" s="94">
        <f t="shared" si="204"/>
        <v>42643</v>
      </c>
      <c r="AG1487" s="185">
        <f t="shared" ref="AG1487:AG1550" si="208">IF(C1487&lt;&gt;C1486,D1487/G1487-1,(D1487-G1487-I1487-H1487)/(D1486)-1)</f>
        <v>3.4672279502686143E-2</v>
      </c>
      <c r="AH1487" s="339" t="str">
        <f>VLOOKUP(B1487,'MF PF'!A:B,2)</f>
        <v>FdMgt1</v>
      </c>
      <c r="AI1487" s="358">
        <f t="shared" si="205"/>
        <v>0</v>
      </c>
      <c r="AJ1487" s="94">
        <f t="shared" si="206"/>
        <v>42643</v>
      </c>
    </row>
    <row r="1488" spans="1:36" ht="12.75" customHeight="1">
      <c r="A1488" s="8">
        <v>42674</v>
      </c>
      <c r="B1488" s="94" t="s">
        <v>136</v>
      </c>
      <c r="C1488" s="92" t="s">
        <v>317</v>
      </c>
      <c r="D1488" s="374">
        <v>3033036.95</v>
      </c>
      <c r="E1488" s="9" t="e">
        <f t="shared" si="201"/>
        <v>#DIV/0!</v>
      </c>
      <c r="F1488" s="98">
        <v>5</v>
      </c>
      <c r="G1488" s="98">
        <v>0</v>
      </c>
      <c r="H1488" s="98">
        <v>0</v>
      </c>
      <c r="I1488" s="98">
        <v>0</v>
      </c>
      <c r="J1488" s="98"/>
      <c r="L1488" s="93">
        <f t="shared" si="202"/>
        <v>0</v>
      </c>
      <c r="M1488" s="95" t="e">
        <f t="shared" ca="1" si="203"/>
        <v>#DIV/0!</v>
      </c>
      <c r="N1488" s="95">
        <f>IF(P1488="Hedge Fund",IF(A1488=Summary!$AD$3,M1488-E1488,M1488),IF(A1488=Summary!$AD$3,L1488-D1488,L1488))</f>
        <v>0</v>
      </c>
      <c r="O1488" s="95">
        <f t="shared" si="207"/>
        <v>0</v>
      </c>
      <c r="P1488" s="107" t="s">
        <v>155</v>
      </c>
      <c r="Q1488" s="107">
        <v>0</v>
      </c>
      <c r="R1488" s="107">
        <v>0</v>
      </c>
      <c r="S1488" s="107">
        <v>0</v>
      </c>
      <c r="T1488" s="107">
        <v>0</v>
      </c>
      <c r="U1488" s="107"/>
      <c r="V1488" s="107"/>
      <c r="W1488" s="107"/>
      <c r="X1488" s="107"/>
      <c r="Y1488" s="107"/>
      <c r="Z1488" s="107"/>
      <c r="AA1488" s="107"/>
      <c r="AB1488" s="107"/>
      <c r="AC1488" s="355"/>
      <c r="AD1488" s="355"/>
      <c r="AE1488" s="355"/>
      <c r="AF1488" s="94">
        <f t="shared" si="204"/>
        <v>42674</v>
      </c>
      <c r="AG1488" s="185">
        <f t="shared" si="208"/>
        <v>2.8800991568364021E-2</v>
      </c>
      <c r="AH1488" s="339" t="str">
        <f>VLOOKUP(B1488,'MF PF'!A:B,2)</f>
        <v>FdMgt1</v>
      </c>
      <c r="AI1488" s="358">
        <f t="shared" si="205"/>
        <v>0</v>
      </c>
      <c r="AJ1488" s="94">
        <f t="shared" si="206"/>
        <v>42674</v>
      </c>
    </row>
    <row r="1489" spans="1:36" ht="12.75" customHeight="1">
      <c r="A1489" s="94">
        <v>42704</v>
      </c>
      <c r="B1489" s="94" t="s">
        <v>136</v>
      </c>
      <c r="C1489" s="358" t="s">
        <v>317</v>
      </c>
      <c r="D1489" s="374">
        <v>3064835.8851999999</v>
      </c>
      <c r="E1489" s="9" t="e">
        <f t="shared" si="201"/>
        <v>#DIV/0!</v>
      </c>
      <c r="F1489" s="98">
        <v>5</v>
      </c>
      <c r="G1489" s="98">
        <v>0</v>
      </c>
      <c r="H1489" s="98">
        <v>0</v>
      </c>
      <c r="I1489" s="98">
        <v>0</v>
      </c>
      <c r="J1489" s="98"/>
      <c r="L1489" s="93">
        <f t="shared" si="202"/>
        <v>0</v>
      </c>
      <c r="M1489" s="95" t="e">
        <f t="shared" ca="1" si="203"/>
        <v>#DIV/0!</v>
      </c>
      <c r="N1489" s="95">
        <f>IF(P1489="Hedge Fund",IF(A1489=Summary!$AD$3,M1489-E1489,M1489),IF(A1489=Summary!$AD$3,L1489-D1489,L1489))</f>
        <v>0</v>
      </c>
      <c r="O1489" s="95">
        <f t="shared" si="207"/>
        <v>0</v>
      </c>
      <c r="P1489" s="107" t="s">
        <v>155</v>
      </c>
      <c r="Q1489" s="107">
        <v>0</v>
      </c>
      <c r="R1489" s="107">
        <v>0</v>
      </c>
      <c r="S1489" s="107">
        <v>0</v>
      </c>
      <c r="T1489" s="107">
        <v>0</v>
      </c>
      <c r="U1489" s="107"/>
      <c r="V1489" s="107"/>
      <c r="W1489" s="107"/>
      <c r="X1489" s="107"/>
      <c r="Y1489" s="107"/>
      <c r="Z1489" s="107"/>
      <c r="AA1489" s="107"/>
      <c r="AB1489" s="107"/>
      <c r="AC1489" s="355"/>
      <c r="AD1489" s="355"/>
      <c r="AE1489" s="355"/>
      <c r="AF1489" s="94">
        <f t="shared" si="204"/>
        <v>42704</v>
      </c>
      <c r="AG1489" s="185">
        <f t="shared" si="208"/>
        <v>1.0484189848066316E-2</v>
      </c>
      <c r="AH1489" s="339" t="str">
        <f>VLOOKUP(B1489,'MF PF'!A:B,2)</f>
        <v>FdMgt1</v>
      </c>
      <c r="AI1489" s="358">
        <f t="shared" si="205"/>
        <v>0</v>
      </c>
      <c r="AJ1489" s="94">
        <f t="shared" si="206"/>
        <v>42704</v>
      </c>
    </row>
    <row r="1490" spans="1:36" ht="12.75" customHeight="1">
      <c r="A1490" s="8">
        <v>42734</v>
      </c>
      <c r="B1490" s="94" t="s">
        <v>136</v>
      </c>
      <c r="C1490" s="358" t="s">
        <v>317</v>
      </c>
      <c r="D1490" s="374">
        <v>5247065.8528000005</v>
      </c>
      <c r="E1490" s="95" t="e">
        <f t="shared" si="201"/>
        <v>#DIV/0!</v>
      </c>
      <c r="F1490" s="98">
        <v>5</v>
      </c>
      <c r="G1490" s="98">
        <v>2195000</v>
      </c>
      <c r="H1490" s="98">
        <v>0</v>
      </c>
      <c r="I1490" s="98">
        <v>0</v>
      </c>
      <c r="J1490" s="98"/>
      <c r="L1490" s="93">
        <f t="shared" si="202"/>
        <v>2195000</v>
      </c>
      <c r="M1490" s="95" t="e">
        <f t="shared" ca="1" si="203"/>
        <v>#DIV/0!</v>
      </c>
      <c r="N1490" s="95">
        <f>IF(P1490="Hedge Fund",IF(A1490=Summary!$AD$3,M1490-E1490,M1490),IF(A1490=Summary!$AD$3,L1490-D1490,L1490))</f>
        <v>2195000</v>
      </c>
      <c r="O1490" s="95">
        <f t="shared" si="207"/>
        <v>2195000</v>
      </c>
      <c r="P1490" s="107" t="s">
        <v>155</v>
      </c>
      <c r="Q1490" s="107">
        <v>0</v>
      </c>
      <c r="R1490" s="107">
        <v>0</v>
      </c>
      <c r="S1490" s="107">
        <v>0</v>
      </c>
      <c r="T1490" s="107">
        <v>0</v>
      </c>
      <c r="U1490" s="107"/>
      <c r="V1490" s="107"/>
      <c r="W1490" s="107"/>
      <c r="X1490" s="107"/>
      <c r="Y1490" s="107"/>
      <c r="Z1490" s="107"/>
      <c r="AA1490" s="107"/>
      <c r="AB1490" s="107"/>
      <c r="AC1490" s="355"/>
      <c r="AD1490" s="355"/>
      <c r="AE1490" s="355"/>
      <c r="AF1490" s="94">
        <f t="shared" si="204"/>
        <v>42734</v>
      </c>
      <c r="AG1490" s="185">
        <f t="shared" si="208"/>
        <v>-4.1666284520047725E-3</v>
      </c>
      <c r="AH1490" s="339" t="str">
        <f>VLOOKUP(B1490,'MF PF'!A:B,2)</f>
        <v>FdMgt1</v>
      </c>
      <c r="AI1490" s="358">
        <f t="shared" si="205"/>
        <v>0</v>
      </c>
      <c r="AJ1490" s="94">
        <f t="shared" si="206"/>
        <v>42735</v>
      </c>
    </row>
    <row r="1491" spans="1:36" ht="12.75" customHeight="1">
      <c r="A1491" s="8">
        <v>42762</v>
      </c>
      <c r="B1491" s="94" t="s">
        <v>136</v>
      </c>
      <c r="C1491" s="358" t="s">
        <v>317</v>
      </c>
      <c r="D1491" s="374">
        <v>5314284.1991999997</v>
      </c>
      <c r="E1491" s="9" t="e">
        <f t="shared" si="201"/>
        <v>#DIV/0!</v>
      </c>
      <c r="F1491" s="98">
        <v>5</v>
      </c>
      <c r="G1491" s="98">
        <v>0</v>
      </c>
      <c r="H1491" s="98">
        <v>0</v>
      </c>
      <c r="I1491" s="98">
        <v>0</v>
      </c>
      <c r="J1491" s="98"/>
      <c r="L1491" s="93">
        <f t="shared" si="202"/>
        <v>0</v>
      </c>
      <c r="M1491" s="95" t="e">
        <f t="shared" ca="1" si="203"/>
        <v>#DIV/0!</v>
      </c>
      <c r="N1491" s="95">
        <f>IF(P1491="Hedge Fund",IF(A1491=Summary!$AD$3,M1491-E1491,M1491),IF(A1491=Summary!$AD$3,L1491-D1491,L1491))</f>
        <v>0</v>
      </c>
      <c r="O1491" s="95">
        <f t="shared" si="207"/>
        <v>0</v>
      </c>
      <c r="P1491" s="107" t="s">
        <v>155</v>
      </c>
      <c r="Q1491" s="107">
        <v>0</v>
      </c>
      <c r="R1491" s="107">
        <v>0</v>
      </c>
      <c r="S1491" s="107">
        <v>0</v>
      </c>
      <c r="T1491" s="107">
        <v>0</v>
      </c>
      <c r="U1491" s="107"/>
      <c r="V1491" s="107"/>
      <c r="W1491" s="107"/>
      <c r="X1491" s="107"/>
      <c r="Y1491" s="107"/>
      <c r="Z1491" s="107"/>
      <c r="AA1491" s="107"/>
      <c r="AB1491" s="107"/>
      <c r="AC1491" s="355"/>
      <c r="AD1491" s="355"/>
      <c r="AE1491" s="355"/>
      <c r="AF1491" s="94">
        <f t="shared" si="204"/>
        <v>42762</v>
      </c>
      <c r="AG1491" s="185">
        <f t="shared" si="208"/>
        <v>1.2810654237192187E-2</v>
      </c>
      <c r="AH1491" s="339" t="str">
        <f>VLOOKUP(B1491,'MF PF'!A:B,2)</f>
        <v>FdMgt1</v>
      </c>
      <c r="AI1491" s="358">
        <f t="shared" si="205"/>
        <v>0</v>
      </c>
      <c r="AJ1491" s="94">
        <f t="shared" si="206"/>
        <v>42766</v>
      </c>
    </row>
    <row r="1492" spans="1:36" ht="12.75" customHeight="1">
      <c r="A1492" s="94">
        <v>42794</v>
      </c>
      <c r="B1492" s="94" t="s">
        <v>136</v>
      </c>
      <c r="C1492" s="358" t="s">
        <v>317</v>
      </c>
      <c r="D1492" s="374">
        <v>5417914.7747999998</v>
      </c>
      <c r="E1492" s="9" t="e">
        <f t="shared" si="201"/>
        <v>#DIV/0!</v>
      </c>
      <c r="F1492" s="98">
        <v>5</v>
      </c>
      <c r="G1492" s="98">
        <v>0</v>
      </c>
      <c r="H1492" s="98">
        <v>0</v>
      </c>
      <c r="I1492" s="98">
        <v>0</v>
      </c>
      <c r="J1492" s="98"/>
      <c r="L1492" s="93">
        <f t="shared" si="202"/>
        <v>0</v>
      </c>
      <c r="M1492" s="95" t="e">
        <f t="shared" ca="1" si="203"/>
        <v>#DIV/0!</v>
      </c>
      <c r="N1492" s="95">
        <f>IF(P1492="Hedge Fund",IF(A1492=Summary!$AD$3,M1492-E1492,M1492),IF(A1492=Summary!$AD$3,L1492-D1492,L1492))</f>
        <v>0</v>
      </c>
      <c r="O1492" s="95">
        <f t="shared" si="207"/>
        <v>0</v>
      </c>
      <c r="P1492" s="89" t="s">
        <v>155</v>
      </c>
      <c r="Q1492" s="107">
        <v>0</v>
      </c>
      <c r="R1492" s="107">
        <v>0</v>
      </c>
      <c r="S1492" s="107">
        <v>0</v>
      </c>
      <c r="T1492" s="107">
        <v>0</v>
      </c>
      <c r="U1492" s="107"/>
      <c r="V1492" s="107"/>
      <c r="W1492" s="107"/>
      <c r="X1492" s="107"/>
      <c r="Y1492" s="107"/>
      <c r="Z1492" s="107"/>
      <c r="AA1492" s="107"/>
      <c r="AB1492" s="107"/>
      <c r="AC1492" s="355"/>
      <c r="AD1492" s="355"/>
      <c r="AE1492" s="355"/>
      <c r="AF1492" s="94">
        <f t="shared" si="204"/>
        <v>42794</v>
      </c>
      <c r="AG1492" s="185">
        <f t="shared" si="208"/>
        <v>1.9500382688528495E-2</v>
      </c>
      <c r="AH1492" s="339" t="str">
        <f>VLOOKUP(B1492,'MF PF'!A:B,2)</f>
        <v>FdMgt1</v>
      </c>
      <c r="AI1492" s="358">
        <f t="shared" si="205"/>
        <v>0</v>
      </c>
      <c r="AJ1492" s="94">
        <f t="shared" si="206"/>
        <v>42794</v>
      </c>
    </row>
    <row r="1493" spans="1:36" ht="12.75" customHeight="1">
      <c r="A1493" s="94">
        <v>42825</v>
      </c>
      <c r="B1493" s="94" t="s">
        <v>136</v>
      </c>
      <c r="C1493" s="358" t="s">
        <v>317</v>
      </c>
      <c r="D1493" s="374">
        <v>5390211.2104000002</v>
      </c>
      <c r="E1493" s="9" t="e">
        <f t="shared" si="201"/>
        <v>#DIV/0!</v>
      </c>
      <c r="F1493" s="98">
        <v>5</v>
      </c>
      <c r="G1493" s="98">
        <v>0</v>
      </c>
      <c r="H1493" s="98">
        <v>0</v>
      </c>
      <c r="I1493" s="98">
        <v>0</v>
      </c>
      <c r="J1493" s="98"/>
      <c r="L1493" s="93">
        <f t="shared" si="202"/>
        <v>0</v>
      </c>
      <c r="M1493" s="95" t="e">
        <f t="shared" ca="1" si="203"/>
        <v>#DIV/0!</v>
      </c>
      <c r="N1493" s="95">
        <f>IF(P1493="Hedge Fund",IF(A1493=Summary!$AD$3,M1493-E1493,M1493),IF(A1493=Summary!$AD$3,L1493-D1493,L1493))</f>
        <v>0</v>
      </c>
      <c r="O1493" s="95">
        <f t="shared" si="207"/>
        <v>0</v>
      </c>
      <c r="P1493" s="107" t="s">
        <v>155</v>
      </c>
      <c r="Q1493" s="107">
        <v>0</v>
      </c>
      <c r="R1493" s="107">
        <v>0</v>
      </c>
      <c r="S1493" s="107">
        <v>0</v>
      </c>
      <c r="T1493" s="107">
        <v>0</v>
      </c>
      <c r="U1493" s="107"/>
      <c r="V1493" s="107"/>
      <c r="W1493" s="107"/>
      <c r="X1493" s="107"/>
      <c r="Y1493" s="107"/>
      <c r="Z1493" s="107"/>
      <c r="AA1493" s="107"/>
      <c r="AB1493" s="107"/>
      <c r="AC1493" s="355"/>
      <c r="AD1493" s="355"/>
      <c r="AE1493" s="355"/>
      <c r="AF1493" s="94">
        <f t="shared" si="204"/>
        <v>42825</v>
      </c>
      <c r="AG1493" s="185">
        <f t="shared" si="208"/>
        <v>-5.1133259845383972E-3</v>
      </c>
      <c r="AH1493" s="339" t="str">
        <f>VLOOKUP(B1493,'MF PF'!A:B,2)</f>
        <v>FdMgt1</v>
      </c>
      <c r="AI1493" s="358">
        <f t="shared" si="205"/>
        <v>0</v>
      </c>
      <c r="AJ1493" s="94">
        <f t="shared" si="206"/>
        <v>42825</v>
      </c>
    </row>
    <row r="1494" spans="1:36" ht="12.75" customHeight="1">
      <c r="A1494" s="94">
        <v>42853</v>
      </c>
      <c r="B1494" s="94" t="s">
        <v>136</v>
      </c>
      <c r="C1494" s="92" t="s">
        <v>317</v>
      </c>
      <c r="D1494" s="374">
        <v>5416544.5730000008</v>
      </c>
      <c r="E1494" s="9" t="e">
        <f t="shared" si="201"/>
        <v>#DIV/0!</v>
      </c>
      <c r="F1494" s="98">
        <v>5</v>
      </c>
      <c r="G1494" s="98">
        <v>0</v>
      </c>
      <c r="H1494" s="98">
        <v>0</v>
      </c>
      <c r="I1494" s="98">
        <v>0</v>
      </c>
      <c r="J1494" s="98"/>
      <c r="L1494" s="93">
        <f t="shared" si="202"/>
        <v>0</v>
      </c>
      <c r="M1494" s="95" t="e">
        <f t="shared" ca="1" si="203"/>
        <v>#DIV/0!</v>
      </c>
      <c r="N1494" s="95">
        <f>IF(P1494="Hedge Fund",IF(A1494=Summary!$AD$3,M1494-E1494,M1494),IF(A1494=Summary!$AD$3,L1494-D1494,L1494))</f>
        <v>0</v>
      </c>
      <c r="O1494" s="95">
        <f t="shared" si="207"/>
        <v>0</v>
      </c>
      <c r="P1494" s="107" t="s">
        <v>155</v>
      </c>
      <c r="Q1494" s="107">
        <v>0</v>
      </c>
      <c r="R1494" s="107">
        <v>0</v>
      </c>
      <c r="S1494" s="107">
        <v>0</v>
      </c>
      <c r="T1494" s="107">
        <v>0</v>
      </c>
      <c r="U1494" s="107"/>
      <c r="V1494" s="107"/>
      <c r="W1494" s="107"/>
      <c r="X1494" s="107"/>
      <c r="Y1494" s="107"/>
      <c r="Z1494" s="107"/>
      <c r="AA1494" s="107"/>
      <c r="AB1494" s="107"/>
      <c r="AC1494" s="355"/>
      <c r="AD1494" s="355"/>
      <c r="AE1494" s="355"/>
      <c r="AF1494" s="94">
        <f t="shared" si="204"/>
        <v>42853</v>
      </c>
      <c r="AG1494" s="185">
        <f t="shared" si="208"/>
        <v>4.8854045921600253E-3</v>
      </c>
      <c r="AH1494" s="339" t="str">
        <f>VLOOKUP(B1494,'MF PF'!A:B,2)</f>
        <v>FdMgt1</v>
      </c>
      <c r="AI1494" s="358">
        <f t="shared" si="205"/>
        <v>0</v>
      </c>
      <c r="AJ1494" s="94">
        <f t="shared" si="206"/>
        <v>42855</v>
      </c>
    </row>
    <row r="1495" spans="1:36" ht="12.75" customHeight="1">
      <c r="A1495" s="94">
        <v>42886</v>
      </c>
      <c r="B1495" s="94" t="s">
        <v>136</v>
      </c>
      <c r="C1495" s="92" t="s">
        <v>317</v>
      </c>
      <c r="D1495" s="374">
        <v>5499965.1496000001</v>
      </c>
      <c r="E1495" s="9" t="e">
        <f t="shared" si="201"/>
        <v>#DIV/0!</v>
      </c>
      <c r="F1495" s="98">
        <v>5</v>
      </c>
      <c r="G1495" s="98">
        <v>0</v>
      </c>
      <c r="H1495" s="98">
        <v>0</v>
      </c>
      <c r="I1495" s="98">
        <v>0</v>
      </c>
      <c r="J1495" s="98"/>
      <c r="L1495" s="93">
        <f t="shared" si="202"/>
        <v>0</v>
      </c>
      <c r="M1495" s="95" t="e">
        <f t="shared" ca="1" si="203"/>
        <v>#DIV/0!</v>
      </c>
      <c r="N1495" s="95">
        <f>IF(P1495="Hedge Fund",IF(A1495=Summary!$AD$3,M1495-E1495,M1495),IF(A1495=Summary!$AD$3,L1495-D1495,L1495))</f>
        <v>0</v>
      </c>
      <c r="O1495" s="95">
        <f t="shared" si="207"/>
        <v>0</v>
      </c>
      <c r="P1495" s="107" t="s">
        <v>155</v>
      </c>
      <c r="Q1495" s="107">
        <v>0</v>
      </c>
      <c r="R1495" s="107">
        <v>0</v>
      </c>
      <c r="S1495" s="107">
        <v>0</v>
      </c>
      <c r="T1495" s="107">
        <v>0</v>
      </c>
      <c r="U1495" s="107"/>
      <c r="V1495" s="107"/>
      <c r="W1495" s="107"/>
      <c r="X1495" s="107"/>
      <c r="Y1495" s="107"/>
      <c r="Z1495" s="107"/>
      <c r="AA1495" s="107"/>
      <c r="AB1495" s="107"/>
      <c r="AC1495" s="355"/>
      <c r="AD1495" s="355"/>
      <c r="AE1495" s="355"/>
      <c r="AF1495" s="94">
        <f t="shared" si="204"/>
        <v>42886</v>
      </c>
      <c r="AG1495" s="185">
        <f t="shared" si="208"/>
        <v>1.5401068979627341E-2</v>
      </c>
      <c r="AH1495" s="339" t="str">
        <f>VLOOKUP(B1495,'MF PF'!A:B,2)</f>
        <v>FdMgt1</v>
      </c>
      <c r="AI1495" s="358">
        <f t="shared" si="205"/>
        <v>0</v>
      </c>
      <c r="AJ1495" s="94">
        <f t="shared" si="206"/>
        <v>42886</v>
      </c>
    </row>
    <row r="1496" spans="1:36" ht="12.75" customHeight="1">
      <c r="A1496" s="94">
        <v>42916</v>
      </c>
      <c r="B1496" s="94" t="s">
        <v>136</v>
      </c>
      <c r="C1496" s="358" t="s">
        <v>317</v>
      </c>
      <c r="D1496" s="374">
        <v>5553299.0767999999</v>
      </c>
      <c r="E1496" s="9" t="e">
        <f t="shared" si="201"/>
        <v>#DIV/0!</v>
      </c>
      <c r="F1496" s="98">
        <v>5</v>
      </c>
      <c r="G1496" s="98">
        <v>0</v>
      </c>
      <c r="H1496" s="98">
        <v>0</v>
      </c>
      <c r="I1496" s="98">
        <v>0</v>
      </c>
      <c r="J1496" s="98"/>
      <c r="L1496" s="93">
        <f t="shared" si="202"/>
        <v>0</v>
      </c>
      <c r="M1496" s="95" t="e">
        <f t="shared" ca="1" si="203"/>
        <v>#DIV/0!</v>
      </c>
      <c r="N1496" s="95">
        <f>IF(P1496="Hedge Fund",IF(A1496=Summary!$AD$3,M1496-E1496,M1496),IF(A1496=Summary!$AD$3,L1496-D1496,L1496))</f>
        <v>0</v>
      </c>
      <c r="O1496" s="95">
        <f t="shared" si="207"/>
        <v>0</v>
      </c>
      <c r="P1496" s="89" t="s">
        <v>155</v>
      </c>
      <c r="Q1496" s="107">
        <v>0</v>
      </c>
      <c r="R1496" s="107">
        <v>0</v>
      </c>
      <c r="S1496" s="107">
        <v>0</v>
      </c>
      <c r="T1496" s="107">
        <v>0</v>
      </c>
      <c r="U1496" s="107"/>
      <c r="V1496" s="107"/>
      <c r="W1496" s="107"/>
      <c r="X1496" s="107"/>
      <c r="Y1496" s="107"/>
      <c r="Z1496" s="107"/>
      <c r="AA1496" s="107"/>
      <c r="AB1496" s="107"/>
      <c r="AC1496" s="355"/>
      <c r="AD1496" s="355"/>
      <c r="AE1496" s="355"/>
      <c r="AF1496" s="94">
        <f t="shared" si="204"/>
        <v>42916</v>
      </c>
      <c r="AG1496" s="185">
        <f t="shared" si="208"/>
        <v>9.6971391180322719E-3</v>
      </c>
      <c r="AH1496" s="339" t="str">
        <f>VLOOKUP(B1496,'MF PF'!A:B,2)</f>
        <v>FdMgt1</v>
      </c>
      <c r="AI1496" s="358">
        <f t="shared" si="205"/>
        <v>0</v>
      </c>
      <c r="AJ1496" s="94">
        <f t="shared" si="206"/>
        <v>42916</v>
      </c>
    </row>
    <row r="1497" spans="1:36" ht="12.75" customHeight="1">
      <c r="A1497" s="8">
        <v>42947</v>
      </c>
      <c r="B1497" s="94" t="s">
        <v>136</v>
      </c>
      <c r="C1497" s="358" t="s">
        <v>317</v>
      </c>
      <c r="D1497" s="374">
        <v>5597225.8840000005</v>
      </c>
      <c r="E1497" s="9" t="e">
        <f t="shared" si="201"/>
        <v>#DIV/0!</v>
      </c>
      <c r="F1497" s="98">
        <v>5</v>
      </c>
      <c r="G1497" s="98">
        <v>0</v>
      </c>
      <c r="H1497" s="98">
        <v>0</v>
      </c>
      <c r="I1497" s="98">
        <v>0</v>
      </c>
      <c r="J1497" s="98"/>
      <c r="L1497" s="93">
        <f t="shared" si="202"/>
        <v>0</v>
      </c>
      <c r="M1497" s="95" t="e">
        <f t="shared" ca="1" si="203"/>
        <v>#DIV/0!</v>
      </c>
      <c r="N1497" s="95">
        <f>IF(P1497="Hedge Fund",IF(A1497=Summary!$AD$3,M1497-E1497,M1497),IF(A1497=Summary!$AD$3,L1497-D1497,L1497))</f>
        <v>0</v>
      </c>
      <c r="O1497" s="95">
        <f t="shared" si="207"/>
        <v>0</v>
      </c>
      <c r="P1497" s="89" t="s">
        <v>155</v>
      </c>
      <c r="Q1497" s="107">
        <v>0</v>
      </c>
      <c r="R1497" s="107">
        <v>0</v>
      </c>
      <c r="S1497" s="107">
        <v>0</v>
      </c>
      <c r="T1497" s="107">
        <v>0</v>
      </c>
      <c r="U1497" s="107"/>
      <c r="V1497" s="107"/>
      <c r="W1497" s="107"/>
      <c r="X1497" s="107"/>
      <c r="Y1497" s="107"/>
      <c r="Z1497" s="107"/>
      <c r="AA1497" s="107"/>
      <c r="AB1497" s="107"/>
      <c r="AC1497" s="355"/>
      <c r="AD1497" s="355"/>
      <c r="AE1497" s="355"/>
      <c r="AF1497" s="94">
        <f t="shared" si="204"/>
        <v>42947</v>
      </c>
      <c r="AG1497" s="185">
        <f t="shared" si="208"/>
        <v>7.9100380859213892E-3</v>
      </c>
      <c r="AH1497" s="339" t="str">
        <f>VLOOKUP(B1497,'MF PF'!A:B,2)</f>
        <v>FdMgt1</v>
      </c>
      <c r="AI1497" s="358">
        <f t="shared" si="205"/>
        <v>0</v>
      </c>
      <c r="AJ1497" s="94">
        <f t="shared" si="206"/>
        <v>42947</v>
      </c>
    </row>
    <row r="1498" spans="1:36" ht="12.75" customHeight="1">
      <c r="A1498" s="8">
        <v>42978</v>
      </c>
      <c r="B1498" s="94" t="s">
        <v>136</v>
      </c>
      <c r="C1498" s="358" t="s">
        <v>317</v>
      </c>
      <c r="D1498" s="374">
        <v>5601100</v>
      </c>
      <c r="E1498" s="9" t="e">
        <f t="shared" si="201"/>
        <v>#DIV/0!</v>
      </c>
      <c r="F1498" s="98">
        <v>5</v>
      </c>
      <c r="G1498" s="98">
        <v>0</v>
      </c>
      <c r="H1498" s="98">
        <v>0</v>
      </c>
      <c r="I1498" s="98">
        <v>0</v>
      </c>
      <c r="J1498" s="98"/>
      <c r="L1498" s="93">
        <f t="shared" si="202"/>
        <v>0</v>
      </c>
      <c r="M1498" s="95" t="e">
        <f t="shared" ca="1" si="203"/>
        <v>#DIV/0!</v>
      </c>
      <c r="N1498" s="95">
        <f>IF(P1498="Hedge Fund",IF(A1498=Summary!$AD$3,M1498-E1498,M1498),IF(A1498=Summary!$AD$3,L1498-D1498,L1498))</f>
        <v>0</v>
      </c>
      <c r="O1498" s="95">
        <f t="shared" si="207"/>
        <v>0</v>
      </c>
      <c r="P1498" s="89" t="s">
        <v>155</v>
      </c>
      <c r="Q1498" s="107">
        <v>0</v>
      </c>
      <c r="R1498" s="107">
        <v>0</v>
      </c>
      <c r="S1498" s="107">
        <v>0</v>
      </c>
      <c r="T1498" s="107">
        <v>0</v>
      </c>
      <c r="U1498" s="107"/>
      <c r="V1498" s="107"/>
      <c r="W1498" s="107"/>
      <c r="X1498" s="107"/>
      <c r="Y1498" s="107"/>
      <c r="Z1498" s="107"/>
      <c r="AA1498" s="107"/>
      <c r="AB1498" s="107"/>
      <c r="AC1498" s="355"/>
      <c r="AD1498" s="355"/>
      <c r="AE1498" s="355"/>
      <c r="AF1498" s="94">
        <f t="shared" si="204"/>
        <v>42978</v>
      </c>
      <c r="AG1498" s="185">
        <f t="shared" si="208"/>
        <v>6.921493040104032E-4</v>
      </c>
      <c r="AH1498" s="339" t="str">
        <f>VLOOKUP(B1498,'MF PF'!A:B,2)</f>
        <v>FdMgt1</v>
      </c>
      <c r="AI1498" s="358">
        <f t="shared" si="205"/>
        <v>0</v>
      </c>
      <c r="AJ1498" s="94">
        <f t="shared" si="206"/>
        <v>42978</v>
      </c>
    </row>
    <row r="1499" spans="1:36" ht="12.75" customHeight="1">
      <c r="A1499" s="8">
        <v>43007</v>
      </c>
      <c r="B1499" s="94" t="s">
        <v>136</v>
      </c>
      <c r="C1499" s="358" t="s">
        <v>317</v>
      </c>
      <c r="D1499" s="374">
        <v>5634829.8795320857</v>
      </c>
      <c r="E1499" s="9" t="e">
        <f t="shared" si="201"/>
        <v>#DIV/0!</v>
      </c>
      <c r="F1499" s="98">
        <v>5</v>
      </c>
      <c r="G1499" s="98">
        <v>0</v>
      </c>
      <c r="H1499" s="98">
        <v>0</v>
      </c>
      <c r="I1499" s="98">
        <v>0</v>
      </c>
      <c r="J1499" s="98"/>
      <c r="L1499" s="93">
        <f t="shared" si="202"/>
        <v>0</v>
      </c>
      <c r="M1499" s="95" t="e">
        <f t="shared" ca="1" si="203"/>
        <v>#DIV/0!</v>
      </c>
      <c r="N1499" s="95">
        <f>IF(P1499="Hedge Fund",IF(A1499=Summary!$AD$3,M1499-E1499,M1499),IF(A1499=Summary!$AD$3,L1499-D1499,L1499))</f>
        <v>0</v>
      </c>
      <c r="O1499" s="95">
        <f t="shared" si="207"/>
        <v>0</v>
      </c>
      <c r="P1499" s="89" t="s">
        <v>155</v>
      </c>
      <c r="Q1499" s="107">
        <v>0</v>
      </c>
      <c r="R1499" s="107">
        <v>0</v>
      </c>
      <c r="S1499" s="107">
        <v>0</v>
      </c>
      <c r="T1499" s="107">
        <v>0</v>
      </c>
      <c r="U1499" s="107"/>
      <c r="V1499" s="107"/>
      <c r="W1499" s="107"/>
      <c r="X1499" s="107"/>
      <c r="Y1499" s="107"/>
      <c r="Z1499" s="107"/>
      <c r="AA1499" s="107"/>
      <c r="AB1499" s="107"/>
      <c r="AC1499" s="355"/>
      <c r="AD1499" s="355"/>
      <c r="AE1499" s="355"/>
      <c r="AF1499" s="94">
        <f t="shared" si="204"/>
        <v>43007</v>
      </c>
      <c r="AG1499" s="185">
        <f t="shared" si="208"/>
        <v>6.0220098787890919E-3</v>
      </c>
      <c r="AH1499" s="339" t="str">
        <f>VLOOKUP(B1499,'MF PF'!A:B,2)</f>
        <v>FdMgt1</v>
      </c>
      <c r="AI1499" s="358">
        <f t="shared" si="205"/>
        <v>0</v>
      </c>
      <c r="AJ1499" s="94">
        <f t="shared" si="206"/>
        <v>43008</v>
      </c>
    </row>
    <row r="1500" spans="1:36" ht="12.75" customHeight="1">
      <c r="A1500" s="8">
        <v>43039</v>
      </c>
      <c r="B1500" s="94" t="s">
        <v>136</v>
      </c>
      <c r="C1500" s="6" t="s">
        <v>317</v>
      </c>
      <c r="D1500" s="374">
        <v>5688500</v>
      </c>
      <c r="E1500" s="9" t="e">
        <f t="shared" si="201"/>
        <v>#DIV/0!</v>
      </c>
      <c r="F1500" s="98">
        <v>5</v>
      </c>
      <c r="G1500" s="98">
        <v>0</v>
      </c>
      <c r="H1500" s="98">
        <v>0</v>
      </c>
      <c r="I1500" s="98">
        <v>0</v>
      </c>
      <c r="J1500" s="98"/>
      <c r="K1500" s="93"/>
      <c r="L1500" s="93">
        <f t="shared" si="202"/>
        <v>0</v>
      </c>
      <c r="M1500" s="95" t="e">
        <f t="shared" ca="1" si="203"/>
        <v>#DIV/0!</v>
      </c>
      <c r="N1500" s="95">
        <f>IF(P1500="Hedge Fund",IF(A1500=Summary!$AD$3,M1500-E1500,M1500),IF(A1500=Summary!$AD$3,L1500-D1500,L1500))</f>
        <v>0</v>
      </c>
      <c r="O1500" s="95">
        <f t="shared" si="207"/>
        <v>0</v>
      </c>
      <c r="P1500" s="107" t="s">
        <v>155</v>
      </c>
      <c r="Q1500" s="107">
        <v>0</v>
      </c>
      <c r="R1500" s="107">
        <v>0</v>
      </c>
      <c r="S1500" s="107">
        <v>0</v>
      </c>
      <c r="T1500" s="107">
        <v>0</v>
      </c>
      <c r="U1500" s="107"/>
      <c r="V1500" s="107"/>
      <c r="W1500" s="107"/>
      <c r="X1500" s="107"/>
      <c r="Y1500" s="107"/>
      <c r="Z1500" s="107"/>
      <c r="AA1500" s="107"/>
      <c r="AB1500" s="107"/>
      <c r="AC1500" s="355"/>
      <c r="AD1500" s="355"/>
      <c r="AE1500" s="355"/>
      <c r="AF1500" s="94">
        <f t="shared" si="204"/>
        <v>43039</v>
      </c>
      <c r="AG1500" s="185">
        <f t="shared" si="208"/>
        <v>9.524709993972591E-3</v>
      </c>
      <c r="AH1500" s="339" t="str">
        <f>VLOOKUP(B1500,'MF PF'!A:B,2)</f>
        <v>FdMgt1</v>
      </c>
      <c r="AI1500" s="358">
        <f t="shared" si="205"/>
        <v>0</v>
      </c>
      <c r="AJ1500" s="94">
        <f t="shared" si="206"/>
        <v>43039</v>
      </c>
    </row>
    <row r="1501" spans="1:36" ht="12.75" customHeight="1">
      <c r="A1501" s="94">
        <v>43069</v>
      </c>
      <c r="B1501" s="94" t="s">
        <v>136</v>
      </c>
      <c r="C1501" s="358" t="s">
        <v>317</v>
      </c>
      <c r="D1501" s="374">
        <v>5697458.6399999997</v>
      </c>
      <c r="E1501" s="9" t="e">
        <f t="shared" si="201"/>
        <v>#DIV/0!</v>
      </c>
      <c r="F1501" s="98">
        <v>5</v>
      </c>
      <c r="G1501" s="98">
        <v>0</v>
      </c>
      <c r="H1501" s="98">
        <v>0</v>
      </c>
      <c r="I1501" s="98">
        <v>0</v>
      </c>
      <c r="J1501" s="98"/>
      <c r="K1501" s="93"/>
      <c r="L1501" s="93">
        <f t="shared" si="202"/>
        <v>0</v>
      </c>
      <c r="M1501" s="95" t="e">
        <f t="shared" ca="1" si="203"/>
        <v>#DIV/0!</v>
      </c>
      <c r="N1501" s="95">
        <f>IF(P1501="Hedge Fund",IF(A1501=Summary!$AD$3,M1501-E1501,M1501),IF(A1501=Summary!$AD$3,L1501-D1501,L1501))</f>
        <v>0</v>
      </c>
      <c r="O1501" s="95">
        <f t="shared" si="207"/>
        <v>0</v>
      </c>
      <c r="P1501" s="107" t="s">
        <v>155</v>
      </c>
      <c r="Q1501" s="107">
        <v>0</v>
      </c>
      <c r="R1501" s="107">
        <v>0</v>
      </c>
      <c r="S1501" s="107">
        <v>0</v>
      </c>
      <c r="T1501" s="107">
        <v>0</v>
      </c>
      <c r="U1501" s="107"/>
      <c r="V1501" s="107"/>
      <c r="W1501" s="107"/>
      <c r="X1501" s="107"/>
      <c r="Y1501" s="107"/>
      <c r="Z1501" s="107"/>
      <c r="AA1501" s="107"/>
      <c r="AB1501" s="107"/>
      <c r="AC1501" s="355"/>
      <c r="AD1501" s="355"/>
      <c r="AE1501" s="355"/>
      <c r="AF1501" s="94">
        <f t="shared" si="204"/>
        <v>43069</v>
      </c>
      <c r="AG1501" s="185">
        <f t="shared" si="208"/>
        <v>1.5748685945327079E-3</v>
      </c>
      <c r="AH1501" s="339" t="str">
        <f>VLOOKUP(B1501,'MF PF'!A:B,2)</f>
        <v>FdMgt1</v>
      </c>
      <c r="AI1501" s="358">
        <f t="shared" si="205"/>
        <v>0</v>
      </c>
      <c r="AJ1501" s="94">
        <f t="shared" si="206"/>
        <v>43069</v>
      </c>
    </row>
    <row r="1502" spans="1:36" ht="12.75" customHeight="1">
      <c r="A1502" s="8">
        <v>43098</v>
      </c>
      <c r="B1502" s="94" t="s">
        <v>136</v>
      </c>
      <c r="C1502" s="358" t="s">
        <v>317</v>
      </c>
      <c r="D1502" s="374">
        <v>6189400</v>
      </c>
      <c r="E1502" s="9" t="e">
        <f t="shared" si="201"/>
        <v>#DIV/0!</v>
      </c>
      <c r="F1502" s="98">
        <v>5</v>
      </c>
      <c r="G1502" s="98">
        <v>0</v>
      </c>
      <c r="H1502" s="98">
        <v>0</v>
      </c>
      <c r="I1502" s="98">
        <v>0</v>
      </c>
      <c r="J1502" s="98"/>
      <c r="K1502" s="93"/>
      <c r="L1502" s="93">
        <f t="shared" si="202"/>
        <v>0</v>
      </c>
      <c r="M1502" s="95" t="e">
        <f t="shared" ca="1" si="203"/>
        <v>#DIV/0!</v>
      </c>
      <c r="N1502" s="95">
        <f>IF(P1502="Hedge Fund",IF(A1502=Summary!$AD$3,M1502-E1502,M1502),IF(A1502=Summary!$AD$3,L1502-D1502,L1502))</f>
        <v>0</v>
      </c>
      <c r="O1502" s="95">
        <f t="shared" si="207"/>
        <v>0</v>
      </c>
      <c r="P1502" s="89" t="s">
        <v>155</v>
      </c>
      <c r="Q1502" s="107">
        <v>0</v>
      </c>
      <c r="R1502" s="107">
        <v>0</v>
      </c>
      <c r="S1502" s="107">
        <v>0</v>
      </c>
      <c r="T1502" s="107">
        <v>0</v>
      </c>
      <c r="U1502" s="107"/>
      <c r="V1502" s="107"/>
      <c r="W1502" s="107"/>
      <c r="X1502" s="107"/>
      <c r="Y1502" s="107"/>
      <c r="Z1502" s="107"/>
      <c r="AA1502" s="107"/>
      <c r="AB1502" s="107"/>
      <c r="AC1502" s="355"/>
      <c r="AD1502" s="355"/>
      <c r="AE1502" s="355"/>
      <c r="AF1502" s="94">
        <f t="shared" si="204"/>
        <v>43098</v>
      </c>
      <c r="AG1502" s="185">
        <f t="shared" si="208"/>
        <v>8.6343998453317417E-2</v>
      </c>
      <c r="AH1502" s="339" t="str">
        <f>VLOOKUP(B1502,'MF PF'!A:B,2)</f>
        <v>FdMgt1</v>
      </c>
      <c r="AI1502" s="358">
        <f t="shared" si="205"/>
        <v>0</v>
      </c>
      <c r="AJ1502" s="94">
        <f t="shared" si="206"/>
        <v>43100</v>
      </c>
    </row>
    <row r="1503" spans="1:36" ht="12.75" customHeight="1">
      <c r="A1503" s="8">
        <v>43131</v>
      </c>
      <c r="B1503" s="94" t="s">
        <v>136</v>
      </c>
      <c r="C1503" s="358" t="s">
        <v>317</v>
      </c>
      <c r="D1503" s="374">
        <v>6360100</v>
      </c>
      <c r="E1503" s="9" t="e">
        <f t="shared" si="201"/>
        <v>#DIV/0!</v>
      </c>
      <c r="F1503" s="98">
        <v>5</v>
      </c>
      <c r="G1503" s="98">
        <v>0</v>
      </c>
      <c r="H1503" s="98">
        <v>0</v>
      </c>
      <c r="I1503" s="98">
        <v>0</v>
      </c>
      <c r="J1503" s="98"/>
      <c r="L1503" s="93">
        <f t="shared" si="202"/>
        <v>0</v>
      </c>
      <c r="M1503" s="95" t="e">
        <f t="shared" ca="1" si="203"/>
        <v>#DIV/0!</v>
      </c>
      <c r="N1503" s="95">
        <f>IF(P1503="Hedge Fund",IF(A1503=Summary!$AD$3,M1503-E1503,M1503),IF(A1503=Summary!$AD$3,L1503-D1503,L1503))</f>
        <v>0</v>
      </c>
      <c r="O1503" s="95">
        <f t="shared" si="207"/>
        <v>0</v>
      </c>
      <c r="P1503" s="89" t="s">
        <v>155</v>
      </c>
      <c r="Q1503" s="107">
        <v>0</v>
      </c>
      <c r="R1503" s="107">
        <v>0</v>
      </c>
      <c r="S1503" s="107">
        <v>0</v>
      </c>
      <c r="T1503" s="107">
        <v>0</v>
      </c>
      <c r="U1503" s="107"/>
      <c r="V1503" s="107"/>
      <c r="W1503" s="107"/>
      <c r="X1503" s="107"/>
      <c r="Y1503" s="107"/>
      <c r="Z1503" s="107"/>
      <c r="AA1503" s="107"/>
      <c r="AB1503" s="107"/>
      <c r="AC1503" s="355"/>
      <c r="AD1503" s="355"/>
      <c r="AE1503" s="355"/>
      <c r="AF1503" s="94">
        <f t="shared" si="204"/>
        <v>43131</v>
      </c>
      <c r="AG1503" s="185">
        <f t="shared" si="208"/>
        <v>2.7579409958962131E-2</v>
      </c>
      <c r="AH1503" s="339" t="str">
        <f>VLOOKUP(B1503,'MF PF'!A:B,2)</f>
        <v>FdMgt1</v>
      </c>
      <c r="AI1503" s="358">
        <f t="shared" si="205"/>
        <v>0</v>
      </c>
      <c r="AJ1503" s="94">
        <f t="shared" si="206"/>
        <v>43131</v>
      </c>
    </row>
    <row r="1504" spans="1:36" ht="12.75" customHeight="1">
      <c r="A1504" s="8">
        <v>43159</v>
      </c>
      <c r="B1504" s="94" t="s">
        <v>136</v>
      </c>
      <c r="C1504" s="358" t="s">
        <v>317</v>
      </c>
      <c r="D1504" s="374">
        <v>6389632.0999999996</v>
      </c>
      <c r="E1504" s="95" t="e">
        <f t="shared" si="201"/>
        <v>#DIV/0!</v>
      </c>
      <c r="F1504" s="98">
        <v>5</v>
      </c>
      <c r="G1504" s="98">
        <v>0</v>
      </c>
      <c r="H1504" s="98">
        <v>0</v>
      </c>
      <c r="I1504" s="98">
        <v>0</v>
      </c>
      <c r="J1504" s="98"/>
      <c r="K1504" s="93"/>
      <c r="L1504" s="93">
        <f t="shared" si="202"/>
        <v>0</v>
      </c>
      <c r="M1504" s="95" t="e">
        <f t="shared" ca="1" si="203"/>
        <v>#DIV/0!</v>
      </c>
      <c r="N1504" s="95">
        <f>IF(P1504="Hedge Fund",IF(A1504=Summary!$AD$3,M1504-E1504,M1504),IF(A1504=Summary!$AD$3,L1504-D1504,L1504))</f>
        <v>0</v>
      </c>
      <c r="O1504" s="95">
        <f t="shared" si="207"/>
        <v>0</v>
      </c>
      <c r="P1504" s="89" t="s">
        <v>155</v>
      </c>
      <c r="Q1504" s="107">
        <v>0</v>
      </c>
      <c r="R1504" s="107">
        <v>0</v>
      </c>
      <c r="S1504" s="107">
        <v>0</v>
      </c>
      <c r="T1504" s="107">
        <v>0</v>
      </c>
      <c r="U1504" s="107"/>
      <c r="V1504" s="107"/>
      <c r="W1504" s="107"/>
      <c r="X1504" s="107"/>
      <c r="Y1504" s="107"/>
      <c r="Z1504" s="107"/>
      <c r="AA1504" s="107"/>
      <c r="AB1504" s="107"/>
      <c r="AC1504" s="355"/>
      <c r="AD1504" s="355"/>
      <c r="AE1504" s="355"/>
      <c r="AF1504" s="94">
        <f t="shared" si="204"/>
        <v>43159</v>
      </c>
      <c r="AG1504" s="185">
        <f t="shared" si="208"/>
        <v>4.6433389412114945E-3</v>
      </c>
      <c r="AH1504" s="339" t="str">
        <f>VLOOKUP(B1504,'MF PF'!A:B,2)</f>
        <v>FdMgt1</v>
      </c>
      <c r="AI1504" s="358">
        <f t="shared" si="205"/>
        <v>0</v>
      </c>
      <c r="AJ1504" s="94">
        <f t="shared" si="206"/>
        <v>43159</v>
      </c>
    </row>
    <row r="1505" spans="1:36" ht="12.75" customHeight="1">
      <c r="A1505" s="8">
        <v>43188</v>
      </c>
      <c r="B1505" s="94" t="s">
        <v>136</v>
      </c>
      <c r="C1505" s="358" t="s">
        <v>317</v>
      </c>
      <c r="D1505" s="374">
        <v>6460847.2631999999</v>
      </c>
      <c r="E1505" s="9" t="e">
        <f t="shared" si="201"/>
        <v>#DIV/0!</v>
      </c>
      <c r="F1505" s="98">
        <v>5</v>
      </c>
      <c r="G1505" s="98">
        <v>0</v>
      </c>
      <c r="H1505" s="98">
        <v>0</v>
      </c>
      <c r="I1505" s="98">
        <v>0</v>
      </c>
      <c r="J1505" s="98"/>
      <c r="K1505" s="93"/>
      <c r="L1505" s="93">
        <f t="shared" si="202"/>
        <v>0</v>
      </c>
      <c r="M1505" s="95" t="e">
        <f t="shared" ca="1" si="203"/>
        <v>#DIV/0!</v>
      </c>
      <c r="N1505" s="95">
        <f>IF(P1505="Hedge Fund",IF(A1505=Summary!$AD$3,M1505-E1505,M1505),IF(A1505=Summary!$AD$3,L1505-D1505,L1505))</f>
        <v>0</v>
      </c>
      <c r="O1505" s="95">
        <f t="shared" si="207"/>
        <v>0</v>
      </c>
      <c r="P1505" s="89" t="s">
        <v>155</v>
      </c>
      <c r="Q1505" s="109">
        <v>1.6284234321241903E-2</v>
      </c>
      <c r="R1505" s="109">
        <v>0.12703019679999999</v>
      </c>
      <c r="S1505" s="107">
        <v>0</v>
      </c>
      <c r="T1505" s="107">
        <v>0</v>
      </c>
      <c r="U1505" s="107"/>
      <c r="V1505" s="107"/>
      <c r="W1505" s="107"/>
      <c r="X1505" s="107"/>
      <c r="Y1505" s="107"/>
      <c r="Z1505" s="107"/>
      <c r="AA1505" s="107"/>
      <c r="AB1505" s="107"/>
      <c r="AC1505" s="355"/>
      <c r="AD1505" s="355"/>
      <c r="AE1505" s="355"/>
      <c r="AF1505" s="94">
        <f t="shared" si="204"/>
        <v>43188</v>
      </c>
      <c r="AG1505" s="185">
        <f t="shared" si="208"/>
        <v>1.1145424663808079E-2</v>
      </c>
      <c r="AH1505" s="339" t="str">
        <f>VLOOKUP(B1505,'MF PF'!A:B,2)</f>
        <v>FdMgt1</v>
      </c>
      <c r="AI1505" s="358">
        <f t="shared" si="205"/>
        <v>0</v>
      </c>
      <c r="AJ1505" s="94">
        <f t="shared" si="206"/>
        <v>43190</v>
      </c>
    </row>
    <row r="1506" spans="1:36" ht="12.75" customHeight="1">
      <c r="A1506" s="8">
        <v>43220</v>
      </c>
      <c r="B1506" s="94" t="s">
        <v>136</v>
      </c>
      <c r="C1506" s="358" t="s">
        <v>317</v>
      </c>
      <c r="D1506" s="374">
        <v>6492093.5820000004</v>
      </c>
      <c r="E1506" s="9" t="e">
        <f t="shared" si="201"/>
        <v>#DIV/0!</v>
      </c>
      <c r="F1506" s="98">
        <v>5</v>
      </c>
      <c r="G1506" s="98">
        <v>0</v>
      </c>
      <c r="H1506" s="98">
        <v>0</v>
      </c>
      <c r="I1506" s="98">
        <v>0</v>
      </c>
      <c r="J1506" s="98"/>
      <c r="L1506" s="93">
        <f t="shared" si="202"/>
        <v>0</v>
      </c>
      <c r="M1506" s="95" t="e">
        <f t="shared" ca="1" si="203"/>
        <v>#DIV/0!</v>
      </c>
      <c r="N1506" s="95">
        <f>IF(P1506="Hedge Fund",IF(A1506=Summary!$AD$3,M1506-E1506,M1506),IF(A1506=Summary!$AD$3,L1506-D1506,L1506))</f>
        <v>0</v>
      </c>
      <c r="O1506" s="95">
        <f t="shared" si="207"/>
        <v>0</v>
      </c>
      <c r="P1506" s="107" t="s">
        <v>155</v>
      </c>
      <c r="Q1506" s="109">
        <v>0</v>
      </c>
      <c r="R1506" s="109">
        <v>0.12974727</v>
      </c>
      <c r="S1506" s="107">
        <v>0</v>
      </c>
      <c r="T1506" s="107">
        <v>0</v>
      </c>
      <c r="U1506" s="107"/>
      <c r="V1506" s="107"/>
      <c r="W1506" s="107"/>
      <c r="X1506" s="107"/>
      <c r="Y1506" s="107"/>
      <c r="Z1506" s="107"/>
      <c r="AA1506" s="107"/>
      <c r="AB1506" s="107"/>
      <c r="AC1506" s="355"/>
      <c r="AD1506" s="355"/>
      <c r="AE1506" s="355"/>
      <c r="AF1506" s="94">
        <f t="shared" si="204"/>
        <v>43220</v>
      </c>
      <c r="AG1506" s="185">
        <f t="shared" si="208"/>
        <v>4.8362571543789645E-3</v>
      </c>
      <c r="AH1506" s="339" t="str">
        <f>VLOOKUP(B1506,'MF PF'!A:B,2)</f>
        <v>FdMgt1</v>
      </c>
      <c r="AI1506" s="358">
        <f t="shared" si="205"/>
        <v>0</v>
      </c>
      <c r="AJ1506" s="94">
        <f t="shared" si="206"/>
        <v>43220</v>
      </c>
    </row>
    <row r="1507" spans="1:36" ht="12.75" customHeight="1">
      <c r="A1507" s="94">
        <v>43251</v>
      </c>
      <c r="B1507" s="358" t="s">
        <v>136</v>
      </c>
      <c r="C1507" s="94" t="s">
        <v>317</v>
      </c>
      <c r="D1507" s="374">
        <v>6539124.7916000001</v>
      </c>
      <c r="E1507" s="9" t="e">
        <f t="shared" si="201"/>
        <v>#DIV/0!</v>
      </c>
      <c r="F1507" s="98">
        <v>5</v>
      </c>
      <c r="G1507" s="98">
        <v>0</v>
      </c>
      <c r="H1507" s="98">
        <v>0</v>
      </c>
      <c r="I1507" s="110">
        <v>0</v>
      </c>
      <c r="J1507" s="110"/>
      <c r="K1507" s="93"/>
      <c r="L1507" s="93">
        <f t="shared" si="202"/>
        <v>0</v>
      </c>
      <c r="M1507" s="95" t="e">
        <f t="shared" ca="1" si="203"/>
        <v>#DIV/0!</v>
      </c>
      <c r="N1507" s="95">
        <f>IF(P1507="Hedge Fund",IF(A1507=Summary!$AD$3,M1507-E1507,M1507),IF(A1507=Summary!$AD$3,L1507-D1507,L1507))</f>
        <v>0</v>
      </c>
      <c r="O1507" s="95">
        <f t="shared" si="207"/>
        <v>0</v>
      </c>
      <c r="P1507" s="107" t="s">
        <v>155</v>
      </c>
      <c r="Q1507" s="109">
        <v>0</v>
      </c>
      <c r="R1507" s="109">
        <v>0.13383693999999999</v>
      </c>
      <c r="S1507" s="107">
        <v>0</v>
      </c>
      <c r="T1507" s="107">
        <v>0</v>
      </c>
      <c r="U1507" s="107"/>
      <c r="V1507" s="107"/>
      <c r="W1507" s="107"/>
      <c r="X1507" s="107"/>
      <c r="Y1507" s="107"/>
      <c r="Z1507" s="107"/>
      <c r="AA1507" s="107"/>
      <c r="AB1507" s="107"/>
      <c r="AC1507" s="355"/>
      <c r="AD1507" s="355"/>
      <c r="AE1507" s="355"/>
      <c r="AF1507" s="94">
        <f t="shared" si="204"/>
        <v>43251</v>
      </c>
      <c r="AG1507" s="185">
        <f t="shared" si="208"/>
        <v>7.2443825718098154E-3</v>
      </c>
      <c r="AH1507" s="339" t="str">
        <f>VLOOKUP(B1507,'MF PF'!A:B,2)</f>
        <v>FdMgt1</v>
      </c>
      <c r="AI1507" s="358">
        <f t="shared" si="205"/>
        <v>0</v>
      </c>
      <c r="AJ1507" s="94">
        <f t="shared" si="206"/>
        <v>43251</v>
      </c>
    </row>
    <row r="1508" spans="1:36" ht="12.75" customHeight="1">
      <c r="A1508" s="94">
        <v>43280</v>
      </c>
      <c r="B1508" s="358" t="s">
        <v>136</v>
      </c>
      <c r="C1508" s="94" t="s">
        <v>317</v>
      </c>
      <c r="D1508" s="374">
        <v>6543684.8267999999</v>
      </c>
      <c r="E1508" s="95" t="e">
        <f t="shared" si="201"/>
        <v>#DIV/0!</v>
      </c>
      <c r="F1508" s="98">
        <v>5</v>
      </c>
      <c r="G1508" s="98">
        <v>0</v>
      </c>
      <c r="H1508" s="98">
        <v>0</v>
      </c>
      <c r="I1508" s="110">
        <v>0</v>
      </c>
      <c r="J1508" s="110"/>
      <c r="K1508" s="93"/>
      <c r="L1508" s="93">
        <f t="shared" si="202"/>
        <v>0</v>
      </c>
      <c r="M1508" s="95" t="e">
        <f t="shared" ca="1" si="203"/>
        <v>#DIV/0!</v>
      </c>
      <c r="N1508" s="95">
        <f>IF(P1508="Hedge Fund",IF(A1508=Summary!$AD$3,M1508-E1508,M1508),IF(A1508=Summary!$AD$3,L1508-D1508,L1508))</f>
        <v>0</v>
      </c>
      <c r="O1508" s="95">
        <f t="shared" si="207"/>
        <v>0</v>
      </c>
      <c r="P1508" s="107" t="s">
        <v>155</v>
      </c>
      <c r="Q1508" s="109">
        <v>1.6874549999999999E-2</v>
      </c>
      <c r="R1508" s="109">
        <v>0.13423346</v>
      </c>
      <c r="S1508" s="107">
        <v>0</v>
      </c>
      <c r="T1508" s="107">
        <v>0</v>
      </c>
      <c r="U1508" s="107"/>
      <c r="V1508" s="107"/>
      <c r="W1508" s="107"/>
      <c r="X1508" s="107"/>
      <c r="Y1508" s="107"/>
      <c r="Z1508" s="107"/>
      <c r="AA1508" s="107"/>
      <c r="AB1508" s="107"/>
      <c r="AC1508" s="355"/>
      <c r="AD1508" s="355"/>
      <c r="AE1508" s="355"/>
      <c r="AF1508" s="94">
        <f t="shared" si="204"/>
        <v>43280</v>
      </c>
      <c r="AG1508" s="185">
        <f t="shared" si="208"/>
        <v>6.9734641031127254E-4</v>
      </c>
      <c r="AH1508" s="339" t="str">
        <f>VLOOKUP(B1508,'MF PF'!A:B,2)</f>
        <v>FdMgt1</v>
      </c>
      <c r="AI1508" s="358">
        <f t="shared" si="205"/>
        <v>0</v>
      </c>
      <c r="AJ1508" s="94">
        <f t="shared" si="206"/>
        <v>43281</v>
      </c>
    </row>
    <row r="1509" spans="1:36" ht="12.75" customHeight="1">
      <c r="A1509" s="94">
        <v>43312</v>
      </c>
      <c r="B1509" s="358" t="s">
        <v>136</v>
      </c>
      <c r="C1509" s="94" t="s">
        <v>317</v>
      </c>
      <c r="D1509" s="374">
        <v>6550824.6339999996</v>
      </c>
      <c r="E1509" s="9" t="str">
        <f>IF(K1509="","",D1509/K1509)</f>
        <v/>
      </c>
      <c r="F1509" s="98">
        <v>5</v>
      </c>
      <c r="G1509" s="98">
        <v>0</v>
      </c>
      <c r="H1509" s="98">
        <v>0</v>
      </c>
      <c r="I1509" s="98">
        <v>0</v>
      </c>
      <c r="J1509" s="98"/>
      <c r="K1509" s="93"/>
      <c r="L1509" s="93">
        <f t="shared" si="202"/>
        <v>0</v>
      </c>
      <c r="M1509" s="95" t="e">
        <f t="shared" ca="1" si="203"/>
        <v>#DIV/0!</v>
      </c>
      <c r="N1509" s="95">
        <f>IF(P1509="Hedge Fund",IF(A1509=Summary!$AD$3,M1509-E1509,M1509),IF(A1509=Summary!$AD$3,L1509-D1509,L1509))</f>
        <v>0</v>
      </c>
      <c r="O1509" s="95">
        <f t="shared" si="207"/>
        <v>0</v>
      </c>
      <c r="P1509" s="107" t="s">
        <v>155</v>
      </c>
      <c r="Q1509" s="107">
        <v>0</v>
      </c>
      <c r="R1509" s="109">
        <v>0.13485431600000003</v>
      </c>
      <c r="S1509" s="107">
        <v>0</v>
      </c>
      <c r="T1509" s="107">
        <v>0</v>
      </c>
      <c r="U1509" s="107"/>
      <c r="V1509" s="107"/>
      <c r="W1509" s="107"/>
      <c r="X1509" s="107"/>
      <c r="Y1509" s="107"/>
      <c r="Z1509" s="107"/>
      <c r="AA1509" s="107"/>
      <c r="AB1509" s="107"/>
      <c r="AC1509" s="355"/>
      <c r="AD1509" s="355"/>
      <c r="AE1509" s="355"/>
      <c r="AF1509" s="94">
        <f t="shared" si="204"/>
        <v>43312</v>
      </c>
      <c r="AG1509" s="185">
        <f t="shared" si="208"/>
        <v>1.0910988822014911E-3</v>
      </c>
      <c r="AH1509" s="339" t="str">
        <f>VLOOKUP(B1509,'MF PF'!A:B,2)</f>
        <v>FdMgt1</v>
      </c>
      <c r="AI1509" s="358">
        <f t="shared" si="205"/>
        <v>0</v>
      </c>
      <c r="AJ1509" s="94">
        <f t="shared" si="206"/>
        <v>43312</v>
      </c>
    </row>
    <row r="1510" spans="1:36" ht="12.75" customHeight="1">
      <c r="A1510" s="94">
        <v>43343</v>
      </c>
      <c r="B1510" s="358" t="s">
        <v>136</v>
      </c>
      <c r="C1510" s="94" t="s">
        <v>317</v>
      </c>
      <c r="D1510" s="374">
        <v>6536116.7779999999</v>
      </c>
      <c r="E1510" s="95" t="str">
        <f>IF(K1510="","",D1510/K1510)</f>
        <v/>
      </c>
      <c r="F1510" s="98">
        <v>5</v>
      </c>
      <c r="G1510" s="98">
        <v>0</v>
      </c>
      <c r="H1510" s="98">
        <v>0</v>
      </c>
      <c r="I1510" s="98">
        <v>0</v>
      </c>
      <c r="J1510" s="98"/>
      <c r="K1510" s="93"/>
      <c r="L1510" s="93">
        <f t="shared" si="202"/>
        <v>0</v>
      </c>
      <c r="M1510" s="95" t="e">
        <f t="shared" ca="1" si="203"/>
        <v>#DIV/0!</v>
      </c>
      <c r="N1510" s="95">
        <f>IF(P1510="Hedge Fund",IF(A1510=Summary!$AD$3,M1510-E1510,M1510),IF(A1510=Summary!$AD$3,L1510-D1510,L1510))</f>
        <v>0</v>
      </c>
      <c r="O1510" s="95">
        <f t="shared" si="207"/>
        <v>0</v>
      </c>
      <c r="P1510" s="107" t="s">
        <v>155</v>
      </c>
      <c r="Q1510" s="107">
        <v>0</v>
      </c>
      <c r="R1510" s="109">
        <v>0.13357537200000003</v>
      </c>
      <c r="S1510" s="107">
        <v>0</v>
      </c>
      <c r="T1510" s="107">
        <v>0</v>
      </c>
      <c r="U1510" s="107"/>
      <c r="V1510" s="107"/>
      <c r="W1510" s="107"/>
      <c r="X1510" s="107"/>
      <c r="Y1510" s="107"/>
      <c r="Z1510" s="107"/>
      <c r="AA1510" s="107"/>
      <c r="AB1510" s="107"/>
      <c r="AC1510" s="355"/>
      <c r="AD1510" s="355"/>
      <c r="AE1510" s="355"/>
      <c r="AF1510" s="94">
        <f t="shared" si="204"/>
        <v>43343</v>
      </c>
      <c r="AG1510" s="185">
        <f t="shared" si="208"/>
        <v>-2.2451915326298089E-3</v>
      </c>
      <c r="AH1510" s="339" t="str">
        <f>VLOOKUP(B1510,'MF PF'!A:B,2)</f>
        <v>FdMgt1</v>
      </c>
      <c r="AI1510" s="358">
        <f t="shared" si="205"/>
        <v>0</v>
      </c>
      <c r="AJ1510" s="94">
        <f t="shared" si="206"/>
        <v>43343</v>
      </c>
    </row>
    <row r="1511" spans="1:36" ht="12.75" customHeight="1">
      <c r="A1511" s="8">
        <v>43371</v>
      </c>
      <c r="B1511" s="358" t="s">
        <v>136</v>
      </c>
      <c r="C1511" s="358" t="s">
        <v>317</v>
      </c>
      <c r="D1511" s="374">
        <v>6437782.5596000003</v>
      </c>
      <c r="F1511" s="105">
        <v>5</v>
      </c>
      <c r="G1511" s="93">
        <v>0</v>
      </c>
      <c r="H1511" s="93">
        <v>0</v>
      </c>
      <c r="I1511" s="93">
        <v>0</v>
      </c>
      <c r="K1511" s="93">
        <v>0</v>
      </c>
      <c r="L1511" s="93">
        <f t="shared" si="202"/>
        <v>0</v>
      </c>
      <c r="M1511" s="95" t="e">
        <f t="shared" ca="1" si="203"/>
        <v>#DIV/0!</v>
      </c>
      <c r="N1511" s="95">
        <f>IF(P1511="Hedge Fund",IF(A1511=Summary!$AD$3,M1511-E1511,M1511),IF(A1511=Summary!$AD$3,L1511-D1511,L1511))</f>
        <v>0</v>
      </c>
      <c r="O1511" s="95">
        <f t="shared" si="207"/>
        <v>0</v>
      </c>
      <c r="P1511" s="95" t="s">
        <v>155</v>
      </c>
      <c r="Q1511" s="353">
        <v>1.6402962140799855E-2</v>
      </c>
      <c r="R1511" s="95">
        <v>0.12502457040000001</v>
      </c>
      <c r="S1511" s="95"/>
      <c r="T1511" s="95"/>
      <c r="U1511" s="95"/>
      <c r="V1511" s="95"/>
      <c r="W1511" s="95"/>
      <c r="X1511" s="95"/>
      <c r="Y1511" s="95"/>
      <c r="Z1511" s="95"/>
      <c r="AA1511" s="95"/>
      <c r="AB1511" s="95"/>
      <c r="AC1511" s="355"/>
      <c r="AD1511" s="355"/>
      <c r="AE1511" s="355"/>
      <c r="AF1511" s="94">
        <f t="shared" si="204"/>
        <v>43371</v>
      </c>
      <c r="AG1511" s="185">
        <f t="shared" si="208"/>
        <v>-1.5044746252237173E-2</v>
      </c>
      <c r="AH1511" s="339" t="str">
        <f>VLOOKUP(B1511,'MF PF'!A:B,2)</f>
        <v>FdMgt1</v>
      </c>
      <c r="AI1511" s="358">
        <f t="shared" si="205"/>
        <v>0</v>
      </c>
      <c r="AJ1511" s="94">
        <f t="shared" si="206"/>
        <v>43373</v>
      </c>
    </row>
    <row r="1512" spans="1:36" ht="12.75" customHeight="1">
      <c r="A1512" s="94">
        <v>43404</v>
      </c>
      <c r="B1512" s="358" t="s">
        <v>136</v>
      </c>
      <c r="C1512" s="358" t="s">
        <v>317</v>
      </c>
      <c r="D1512" s="374">
        <v>6363951.9155999999</v>
      </c>
      <c r="F1512" s="105">
        <v>5</v>
      </c>
      <c r="G1512" s="93">
        <v>0</v>
      </c>
      <c r="H1512" s="93">
        <v>0</v>
      </c>
      <c r="I1512" s="93">
        <v>0</v>
      </c>
      <c r="J1512" s="93">
        <v>0</v>
      </c>
      <c r="K1512" s="93"/>
      <c r="L1512" s="93">
        <f t="shared" si="202"/>
        <v>0</v>
      </c>
      <c r="M1512" s="95" t="e">
        <f t="shared" ca="1" si="203"/>
        <v>#DIV/0!</v>
      </c>
      <c r="N1512" s="95">
        <f>IF(P1512="Hedge Fund",IF(A1512=Summary!$AD$3,M1512-E1512,M1512),IF(A1512=Summary!$AD$3,L1512-D1512,L1512))</f>
        <v>0</v>
      </c>
      <c r="O1512" s="95">
        <f t="shared" si="207"/>
        <v>0</v>
      </c>
      <c r="P1512" s="95" t="s">
        <v>155</v>
      </c>
      <c r="Q1512" s="95">
        <v>5.8662451585324814E-3</v>
      </c>
      <c r="R1512" s="95">
        <v>0.11860451439999999</v>
      </c>
      <c r="S1512" s="95"/>
      <c r="T1512" s="95"/>
      <c r="U1512" s="95"/>
      <c r="V1512" s="95"/>
      <c r="W1512" s="95"/>
      <c r="X1512" s="95"/>
      <c r="Y1512" s="95"/>
      <c r="Z1512" s="95"/>
      <c r="AA1512" s="95"/>
      <c r="AB1512" s="95"/>
      <c r="AC1512" s="355"/>
      <c r="AD1512" s="355"/>
      <c r="AE1512" s="355"/>
      <c r="AF1512" s="94">
        <f t="shared" si="204"/>
        <v>43404</v>
      </c>
      <c r="AG1512" s="185">
        <f t="shared" si="208"/>
        <v>-1.1468334526133384E-2</v>
      </c>
      <c r="AH1512" s="339" t="str">
        <f>VLOOKUP(B1512,'MF PF'!A:B,2)</f>
        <v>FdMgt1</v>
      </c>
      <c r="AI1512" s="358">
        <f t="shared" si="205"/>
        <v>0</v>
      </c>
      <c r="AJ1512" s="94">
        <f t="shared" si="206"/>
        <v>43404</v>
      </c>
    </row>
    <row r="1513" spans="1:36" s="92" customFormat="1" ht="12.75" customHeight="1">
      <c r="A1513" s="94">
        <v>43434</v>
      </c>
      <c r="B1513" s="358" t="s">
        <v>136</v>
      </c>
      <c r="C1513" s="358" t="s">
        <v>317</v>
      </c>
      <c r="D1513" s="374">
        <v>6390477.9535999997</v>
      </c>
      <c r="E1513" s="95"/>
      <c r="F1513" s="105">
        <v>5</v>
      </c>
      <c r="G1513" s="93">
        <v>0</v>
      </c>
      <c r="H1513" s="93">
        <v>0</v>
      </c>
      <c r="I1513" s="93">
        <v>0</v>
      </c>
      <c r="J1513" s="93"/>
      <c r="K1513" s="93">
        <v>0</v>
      </c>
      <c r="L1513" s="93">
        <f t="shared" si="202"/>
        <v>0</v>
      </c>
      <c r="M1513" s="95" t="e">
        <f t="shared" ca="1" si="203"/>
        <v>#DIV/0!</v>
      </c>
      <c r="N1513" s="95">
        <f>IF(P1513="Hedge Fund",IF(A1513=Summary!$AD$3,M1513-E1513,M1513),IF(A1513=Summary!$AD$3,L1513-D1513,L1513))</f>
        <v>0</v>
      </c>
      <c r="O1513" s="95">
        <f t="shared" si="207"/>
        <v>0</v>
      </c>
      <c r="P1513" s="95" t="s">
        <v>155</v>
      </c>
      <c r="Q1513" s="95">
        <v>1.1258268022021725E-2</v>
      </c>
      <c r="R1513" s="95">
        <v>0.12091112640000001</v>
      </c>
      <c r="S1513" s="95"/>
      <c r="T1513" s="95"/>
      <c r="U1513" s="95"/>
      <c r="V1513" s="95"/>
      <c r="W1513" s="95"/>
      <c r="X1513" s="95"/>
      <c r="Y1513" s="95"/>
      <c r="Z1513" s="95"/>
      <c r="AA1513" s="95"/>
      <c r="AB1513" s="95"/>
      <c r="AC1513" s="355"/>
      <c r="AD1513" s="355"/>
      <c r="AE1513" s="355"/>
      <c r="AF1513" s="94">
        <f t="shared" si="204"/>
        <v>43434</v>
      </c>
      <c r="AG1513" s="185">
        <f t="shared" si="208"/>
        <v>4.1681707140144297E-3</v>
      </c>
      <c r="AH1513" s="339" t="str">
        <f>VLOOKUP(B1513,'MF PF'!A:B,2)</f>
        <v>FdMgt1</v>
      </c>
      <c r="AI1513" s="358">
        <f t="shared" si="205"/>
        <v>0</v>
      </c>
      <c r="AJ1513" s="94">
        <f t="shared" si="206"/>
        <v>43434</v>
      </c>
    </row>
    <row r="1514" spans="1:36" ht="12.75" customHeight="1">
      <c r="A1514" s="94">
        <v>43452</v>
      </c>
      <c r="B1514" s="358" t="s">
        <v>136</v>
      </c>
      <c r="C1514" s="358" t="s">
        <v>317</v>
      </c>
      <c r="D1514" s="93"/>
      <c r="F1514" s="93"/>
      <c r="G1514" s="93"/>
      <c r="H1514" s="93"/>
      <c r="I1514" s="93">
        <v>0</v>
      </c>
      <c r="K1514" s="93"/>
      <c r="L1514" s="93">
        <f t="shared" si="202"/>
        <v>0</v>
      </c>
      <c r="M1514" s="95" t="e">
        <f t="shared" ca="1" si="203"/>
        <v>#DIV/0!</v>
      </c>
      <c r="N1514" s="95">
        <f>IF(P1514="Hedge Fund",IF(A1514=Summary!$AD$3,M1514-E1514,M1514),IF(A1514=Summary!$AD$3,L1514-D1514,L1514))</f>
        <v>0</v>
      </c>
      <c r="O1514" s="95">
        <f t="shared" si="207"/>
        <v>0</v>
      </c>
      <c r="P1514" s="95" t="s">
        <v>155</v>
      </c>
      <c r="Q1514" s="95"/>
      <c r="R1514" s="95"/>
      <c r="S1514" s="95"/>
      <c r="T1514" s="95"/>
      <c r="U1514" s="95"/>
      <c r="V1514" s="95"/>
      <c r="W1514" s="95"/>
      <c r="X1514" s="95"/>
      <c r="Y1514" s="95"/>
      <c r="Z1514" s="95"/>
      <c r="AA1514" s="95"/>
      <c r="AB1514" s="95"/>
      <c r="AC1514" s="355"/>
      <c r="AD1514" s="355"/>
      <c r="AE1514" s="355"/>
      <c r="AF1514" s="94">
        <f t="shared" si="204"/>
        <v>43452</v>
      </c>
      <c r="AG1514" s="185">
        <f t="shared" si="208"/>
        <v>-1</v>
      </c>
      <c r="AH1514" s="339" t="str">
        <f>VLOOKUP(B1514,'MF PF'!A:B,2)</f>
        <v>FdMgt1</v>
      </c>
      <c r="AI1514" s="358">
        <f t="shared" si="205"/>
        <v>0</v>
      </c>
      <c r="AJ1514" s="94">
        <f t="shared" si="206"/>
        <v>43465</v>
      </c>
    </row>
    <row r="1515" spans="1:36" ht="12.75" customHeight="1">
      <c r="A1515" s="8">
        <v>43465</v>
      </c>
      <c r="B1515" s="358" t="s">
        <v>136</v>
      </c>
      <c r="C1515" s="92" t="s">
        <v>317</v>
      </c>
      <c r="D1515" s="93">
        <v>6487509.9396000002</v>
      </c>
      <c r="E1515" s="95"/>
      <c r="F1515" s="93">
        <v>5</v>
      </c>
      <c r="G1515" s="93">
        <v>0</v>
      </c>
      <c r="H1515" s="93">
        <v>0</v>
      </c>
      <c r="I1515" s="93">
        <v>0</v>
      </c>
      <c r="K1515" s="93">
        <v>0</v>
      </c>
      <c r="L1515" s="93">
        <f t="shared" si="202"/>
        <v>0</v>
      </c>
      <c r="M1515" s="95" t="e">
        <f t="shared" ca="1" si="203"/>
        <v>#DIV/0!</v>
      </c>
      <c r="N1515" s="95">
        <f>IF(P1515="Hedge Fund",IF(A1515=Summary!$AD$3,M1515-E1515,M1515),IF(A1515=Summary!$AD$3,L1515-D1515,L1515))</f>
        <v>0</v>
      </c>
      <c r="O1515" s="95">
        <f t="shared" si="207"/>
        <v>0</v>
      </c>
      <c r="P1515" s="95" t="s">
        <v>155</v>
      </c>
      <c r="Q1515" s="95">
        <v>1.7084675898850415E-2</v>
      </c>
      <c r="R1515" s="95">
        <v>0.12934869039999999</v>
      </c>
      <c r="S1515" s="95"/>
      <c r="T1515" s="95"/>
      <c r="U1515" s="95"/>
      <c r="V1515" s="95"/>
      <c r="W1515" s="95"/>
      <c r="X1515" s="95"/>
      <c r="Y1515" s="95"/>
      <c r="Z1515" s="95"/>
      <c r="AA1515" s="95"/>
      <c r="AB1515" s="95"/>
      <c r="AC1515" s="355"/>
      <c r="AD1515" s="355"/>
      <c r="AE1515" s="355"/>
      <c r="AF1515" s="94">
        <f t="shared" si="204"/>
        <v>43465</v>
      </c>
      <c r="AG1515" s="185" t="e">
        <f t="shared" si="208"/>
        <v>#DIV/0!</v>
      </c>
      <c r="AH1515" s="339" t="str">
        <f>VLOOKUP(B1515,'MF PF'!A:B,2)</f>
        <v>FdMgt1</v>
      </c>
      <c r="AI1515" s="358">
        <f t="shared" si="205"/>
        <v>0</v>
      </c>
      <c r="AJ1515" s="94">
        <f t="shared" si="206"/>
        <v>43465</v>
      </c>
    </row>
    <row r="1516" spans="1:36" ht="12.75" customHeight="1">
      <c r="A1516" s="8">
        <v>43487</v>
      </c>
      <c r="B1516" s="358" t="s">
        <v>136</v>
      </c>
      <c r="C1516" s="92" t="s">
        <v>317</v>
      </c>
      <c r="D1516" s="93"/>
      <c r="F1516" s="93"/>
      <c r="G1516" s="93"/>
      <c r="H1516" s="93"/>
      <c r="I1516" s="93"/>
      <c r="L1516" s="93">
        <f t="shared" si="202"/>
        <v>0</v>
      </c>
      <c r="M1516" s="95" t="e">
        <f t="shared" ca="1" si="203"/>
        <v>#DIV/0!</v>
      </c>
      <c r="N1516" s="95">
        <f>IF(P1516="Hedge Fund",IF(A1516=Summary!$AD$3,M1516-E1516,M1516),IF(A1516=Summary!$AD$3,L1516-D1516,L1516))</f>
        <v>0</v>
      </c>
      <c r="O1516" s="95">
        <f t="shared" si="207"/>
        <v>0</v>
      </c>
      <c r="P1516" s="95" t="s">
        <v>155</v>
      </c>
      <c r="Q1516" s="95"/>
      <c r="R1516" s="95"/>
      <c r="S1516" s="95"/>
      <c r="T1516" s="95"/>
      <c r="U1516" s="95"/>
      <c r="V1516" s="95"/>
      <c r="W1516" s="95"/>
      <c r="X1516" s="95"/>
      <c r="Y1516" s="95"/>
      <c r="Z1516" s="95"/>
      <c r="AA1516" s="95"/>
      <c r="AB1516" s="95"/>
      <c r="AC1516" s="355"/>
      <c r="AD1516" s="355"/>
      <c r="AE1516" s="355"/>
      <c r="AF1516" s="94">
        <f t="shared" si="204"/>
        <v>43487</v>
      </c>
      <c r="AG1516" s="185">
        <f t="shared" si="208"/>
        <v>-1</v>
      </c>
      <c r="AH1516" s="339" t="str">
        <f>VLOOKUP(B1516,'MF PF'!A:B,2)</f>
        <v>FdMgt1</v>
      </c>
      <c r="AI1516" s="358">
        <f t="shared" si="205"/>
        <v>0</v>
      </c>
      <c r="AJ1516" s="94">
        <f t="shared" si="206"/>
        <v>43496</v>
      </c>
    </row>
    <row r="1517" spans="1:36" ht="12.75" customHeight="1">
      <c r="A1517" s="94">
        <v>43496</v>
      </c>
      <c r="B1517" s="358" t="s">
        <v>136</v>
      </c>
      <c r="C1517" s="358" t="s">
        <v>317</v>
      </c>
      <c r="D1517" s="93">
        <v>6527138.8476</v>
      </c>
      <c r="F1517" s="93">
        <v>5</v>
      </c>
      <c r="G1517" s="93">
        <v>0</v>
      </c>
      <c r="H1517" s="93">
        <v>0</v>
      </c>
      <c r="I1517" s="93">
        <v>0</v>
      </c>
      <c r="K1517" s="7">
        <v>0</v>
      </c>
      <c r="L1517" s="93">
        <f t="shared" si="202"/>
        <v>0</v>
      </c>
      <c r="M1517" s="95" t="e">
        <f t="shared" ca="1" si="203"/>
        <v>#DIV/0!</v>
      </c>
      <c r="N1517" s="95">
        <f>IF(P1517="Hedge Fund",IF(A1517=Summary!$AD$3,M1517-E1517,M1517),IF(A1517=Summary!$AD$3,L1517-D1517,L1517))</f>
        <v>-6527138.8476</v>
      </c>
      <c r="O1517" s="95">
        <f t="shared" si="207"/>
        <v>-6527138.8476</v>
      </c>
      <c r="P1517" s="95" t="s">
        <v>155</v>
      </c>
      <c r="Q1517" s="95">
        <v>5.6611900393491637E-3</v>
      </c>
      <c r="R1517" s="95">
        <v>0.13279468240000003</v>
      </c>
      <c r="S1517" s="95"/>
      <c r="T1517" s="95"/>
      <c r="U1517" s="95"/>
      <c r="V1517" s="95"/>
      <c r="W1517" s="95"/>
      <c r="X1517" s="95"/>
      <c r="Y1517" s="95"/>
      <c r="Z1517" s="95"/>
      <c r="AA1517" s="95"/>
      <c r="AB1517" s="95"/>
      <c r="AC1517" s="355"/>
      <c r="AD1517" s="355"/>
      <c r="AE1517" s="355"/>
      <c r="AF1517" s="94">
        <f t="shared" si="204"/>
        <v>43496</v>
      </c>
      <c r="AG1517" s="185" t="e">
        <f t="shared" si="208"/>
        <v>#DIV/0!</v>
      </c>
      <c r="AH1517" s="339" t="str">
        <f>VLOOKUP(B1517,'MF PF'!A:B,2)</f>
        <v>FdMgt1</v>
      </c>
      <c r="AI1517" s="358">
        <f t="shared" si="205"/>
        <v>0</v>
      </c>
      <c r="AJ1517" s="94">
        <f t="shared" si="206"/>
        <v>43496</v>
      </c>
    </row>
    <row r="1518" spans="1:36" ht="12.75" customHeight="1">
      <c r="A1518" s="8">
        <v>42207</v>
      </c>
      <c r="B1518" s="94" t="s">
        <v>136</v>
      </c>
      <c r="C1518" s="92" t="s">
        <v>318</v>
      </c>
      <c r="D1518" s="374">
        <v>435000</v>
      </c>
      <c r="E1518" s="9" t="e">
        <f t="shared" ref="E1518:E1554" si="209">D1518/K1518</f>
        <v>#DIV/0!</v>
      </c>
      <c r="F1518" s="98">
        <v>5</v>
      </c>
      <c r="G1518" s="98">
        <v>435000</v>
      </c>
      <c r="H1518" s="98">
        <v>0</v>
      </c>
      <c r="I1518" s="98">
        <v>0</v>
      </c>
      <c r="J1518" s="98"/>
      <c r="K1518" s="93"/>
      <c r="L1518" s="93">
        <f t="shared" si="202"/>
        <v>435000</v>
      </c>
      <c r="M1518" s="95" t="e">
        <f t="shared" ca="1" si="203"/>
        <v>#DIV/0!</v>
      </c>
      <c r="N1518" s="95">
        <f>IF(P1518="Hedge Fund",IF(A1518=Summary!$AD$3,M1518-E1518,M1518),IF(A1518=Summary!$AD$3,L1518-D1518,L1518))</f>
        <v>435000</v>
      </c>
      <c r="O1518" s="95">
        <f t="shared" si="207"/>
        <v>435000</v>
      </c>
      <c r="P1518" s="89" t="s">
        <v>155</v>
      </c>
      <c r="Q1518" s="107">
        <v>0</v>
      </c>
      <c r="R1518" s="107">
        <v>0</v>
      </c>
      <c r="S1518" s="107">
        <v>0</v>
      </c>
      <c r="T1518" s="107">
        <v>0</v>
      </c>
      <c r="U1518" s="107"/>
      <c r="V1518" s="107"/>
      <c r="W1518" s="107"/>
      <c r="X1518" s="107"/>
      <c r="Y1518" s="107"/>
      <c r="Z1518" s="107"/>
      <c r="AA1518" s="107"/>
      <c r="AB1518" s="107"/>
      <c r="AC1518" s="355"/>
      <c r="AD1518" s="355"/>
      <c r="AE1518" s="355"/>
      <c r="AF1518" s="94">
        <f t="shared" si="204"/>
        <v>42207</v>
      </c>
      <c r="AG1518" s="185">
        <f t="shared" si="208"/>
        <v>0</v>
      </c>
      <c r="AH1518" s="339" t="str">
        <f>VLOOKUP(B1518,'MF PF'!A:B,2)</f>
        <v>FdMgt1</v>
      </c>
      <c r="AI1518" s="358">
        <f t="shared" si="205"/>
        <v>0</v>
      </c>
      <c r="AJ1518" s="94">
        <f t="shared" si="206"/>
        <v>42216</v>
      </c>
    </row>
    <row r="1519" spans="1:36" ht="12.75" customHeight="1">
      <c r="A1519" s="8">
        <v>42216</v>
      </c>
      <c r="B1519" s="94" t="s">
        <v>136</v>
      </c>
      <c r="C1519" s="92" t="s">
        <v>318</v>
      </c>
      <c r="D1519" s="374">
        <v>431267.13</v>
      </c>
      <c r="E1519" s="9" t="e">
        <f t="shared" si="209"/>
        <v>#DIV/0!</v>
      </c>
      <c r="F1519" s="98">
        <v>5</v>
      </c>
      <c r="G1519" s="98">
        <v>0</v>
      </c>
      <c r="H1519" s="98">
        <v>0</v>
      </c>
      <c r="I1519" s="98">
        <v>0</v>
      </c>
      <c r="J1519" s="98"/>
      <c r="K1519" s="93"/>
      <c r="L1519" s="93">
        <f t="shared" si="202"/>
        <v>0</v>
      </c>
      <c r="M1519" s="95" t="e">
        <f t="shared" ca="1" si="203"/>
        <v>#DIV/0!</v>
      </c>
      <c r="N1519" s="95">
        <f>IF(P1519="Hedge Fund",IF(A1519=Summary!$AD$3,M1519-E1519,M1519),IF(A1519=Summary!$AD$3,L1519-D1519,L1519))</f>
        <v>0</v>
      </c>
      <c r="O1519" s="95">
        <f t="shared" si="207"/>
        <v>0</v>
      </c>
      <c r="P1519" s="89" t="s">
        <v>155</v>
      </c>
      <c r="Q1519" s="107">
        <v>0</v>
      </c>
      <c r="R1519" s="107">
        <v>0</v>
      </c>
      <c r="S1519" s="107">
        <v>0</v>
      </c>
      <c r="T1519" s="107">
        <v>0</v>
      </c>
      <c r="U1519" s="107"/>
      <c r="V1519" s="107"/>
      <c r="W1519" s="107"/>
      <c r="X1519" s="107"/>
      <c r="Y1519" s="107"/>
      <c r="Z1519" s="107"/>
      <c r="AA1519" s="107"/>
      <c r="AB1519" s="107"/>
      <c r="AC1519" s="355"/>
      <c r="AD1519" s="355"/>
      <c r="AE1519" s="355"/>
      <c r="AF1519" s="94">
        <f t="shared" si="204"/>
        <v>42216</v>
      </c>
      <c r="AG1519" s="185">
        <f t="shared" si="208"/>
        <v>-8.5813103448275641E-3</v>
      </c>
      <c r="AH1519" s="339" t="str">
        <f>VLOOKUP(B1519,'MF PF'!A:B,2)</f>
        <v>FdMgt1</v>
      </c>
      <c r="AI1519" s="358">
        <f t="shared" si="205"/>
        <v>0</v>
      </c>
      <c r="AJ1519" s="94">
        <f t="shared" si="206"/>
        <v>42216</v>
      </c>
    </row>
    <row r="1520" spans="1:36" ht="12.75" customHeight="1">
      <c r="A1520" s="8">
        <v>42247</v>
      </c>
      <c r="B1520" s="94" t="s">
        <v>136</v>
      </c>
      <c r="C1520" s="92" t="s">
        <v>318</v>
      </c>
      <c r="D1520" s="374">
        <v>426929.35</v>
      </c>
      <c r="E1520" s="9" t="e">
        <f t="shared" si="209"/>
        <v>#DIV/0!</v>
      </c>
      <c r="F1520" s="98">
        <v>5</v>
      </c>
      <c r="G1520" s="98">
        <v>0</v>
      </c>
      <c r="H1520" s="98">
        <v>0</v>
      </c>
      <c r="I1520" s="98">
        <v>0</v>
      </c>
      <c r="J1520" s="98"/>
      <c r="K1520" s="93"/>
      <c r="L1520" s="93">
        <f t="shared" si="202"/>
        <v>0</v>
      </c>
      <c r="M1520" s="95" t="e">
        <f t="shared" ca="1" si="203"/>
        <v>#DIV/0!</v>
      </c>
      <c r="N1520" s="95">
        <f>IF(P1520="Hedge Fund",IF(A1520=Summary!$AD$3,M1520-E1520,M1520),IF(A1520=Summary!$AD$3,L1520-D1520,L1520))</f>
        <v>0</v>
      </c>
      <c r="O1520" s="95">
        <f t="shared" si="207"/>
        <v>0</v>
      </c>
      <c r="P1520" s="89" t="s">
        <v>155</v>
      </c>
      <c r="Q1520" s="107">
        <v>0</v>
      </c>
      <c r="R1520" s="107">
        <v>0</v>
      </c>
      <c r="S1520" s="107">
        <v>0</v>
      </c>
      <c r="T1520" s="107">
        <v>0</v>
      </c>
      <c r="U1520" s="107"/>
      <c r="V1520" s="107"/>
      <c r="W1520" s="107"/>
      <c r="X1520" s="107"/>
      <c r="Y1520" s="107"/>
      <c r="Z1520" s="107"/>
      <c r="AA1520" s="107"/>
      <c r="AB1520" s="107"/>
      <c r="AC1520" s="355"/>
      <c r="AD1520" s="355"/>
      <c r="AE1520" s="355"/>
      <c r="AF1520" s="94">
        <f t="shared" si="204"/>
        <v>42247</v>
      </c>
      <c r="AG1520" s="185">
        <f t="shared" si="208"/>
        <v>-1.005822075983398E-2</v>
      </c>
      <c r="AH1520" s="339" t="str">
        <f>VLOOKUP(B1520,'MF PF'!A:B,2)</f>
        <v>FdMgt1</v>
      </c>
      <c r="AI1520" s="358">
        <f t="shared" si="205"/>
        <v>0</v>
      </c>
      <c r="AJ1520" s="94">
        <f t="shared" si="206"/>
        <v>42247</v>
      </c>
    </row>
    <row r="1521" spans="1:36" ht="12.75" customHeight="1">
      <c r="A1521" s="8">
        <v>42277</v>
      </c>
      <c r="B1521" s="94" t="s">
        <v>136</v>
      </c>
      <c r="C1521" s="92" t="s">
        <v>318</v>
      </c>
      <c r="D1521" s="374">
        <v>425622.03</v>
      </c>
      <c r="E1521" s="95" t="e">
        <f t="shared" si="209"/>
        <v>#DIV/0!</v>
      </c>
      <c r="F1521" s="98">
        <v>5</v>
      </c>
      <c r="G1521" s="98">
        <v>0</v>
      </c>
      <c r="H1521" s="98">
        <v>0</v>
      </c>
      <c r="I1521" s="98">
        <v>0</v>
      </c>
      <c r="J1521" s="98"/>
      <c r="K1521" s="93"/>
      <c r="L1521" s="93">
        <f t="shared" si="202"/>
        <v>0</v>
      </c>
      <c r="M1521" s="95" t="e">
        <f t="shared" ca="1" si="203"/>
        <v>#DIV/0!</v>
      </c>
      <c r="N1521" s="95">
        <f>IF(P1521="Hedge Fund",IF(A1521=Summary!$AD$3,M1521-E1521,M1521),IF(A1521=Summary!$AD$3,L1521-D1521,L1521))</f>
        <v>0</v>
      </c>
      <c r="O1521" s="95">
        <f t="shared" si="207"/>
        <v>0</v>
      </c>
      <c r="P1521" s="89" t="s">
        <v>155</v>
      </c>
      <c r="Q1521" s="107">
        <v>0</v>
      </c>
      <c r="R1521" s="107">
        <v>0</v>
      </c>
      <c r="S1521" s="107">
        <v>0</v>
      </c>
      <c r="T1521" s="107">
        <v>0</v>
      </c>
      <c r="U1521" s="107"/>
      <c r="V1521" s="107"/>
      <c r="W1521" s="107"/>
      <c r="X1521" s="107"/>
      <c r="Y1521" s="107"/>
      <c r="Z1521" s="107"/>
      <c r="AA1521" s="107"/>
      <c r="AB1521" s="107"/>
      <c r="AC1521" s="355"/>
      <c r="AD1521" s="355"/>
      <c r="AE1521" s="355"/>
      <c r="AF1521" s="94">
        <f t="shared" si="204"/>
        <v>42277</v>
      </c>
      <c r="AG1521" s="185">
        <f t="shared" si="208"/>
        <v>-3.0621459967555831E-3</v>
      </c>
      <c r="AH1521" s="339" t="str">
        <f>VLOOKUP(B1521,'MF PF'!A:B,2)</f>
        <v>FdMgt1</v>
      </c>
      <c r="AI1521" s="358">
        <f t="shared" si="205"/>
        <v>0</v>
      </c>
      <c r="AJ1521" s="94">
        <f t="shared" si="206"/>
        <v>42277</v>
      </c>
    </row>
    <row r="1522" spans="1:36" ht="12.75" customHeight="1">
      <c r="A1522" s="94">
        <v>42307</v>
      </c>
      <c r="B1522" s="94" t="s">
        <v>136</v>
      </c>
      <c r="C1522" s="358" t="s">
        <v>318</v>
      </c>
      <c r="D1522" s="374">
        <v>429045.94</v>
      </c>
      <c r="E1522" s="95" t="e">
        <f t="shared" si="209"/>
        <v>#DIV/0!</v>
      </c>
      <c r="F1522" s="98">
        <v>5</v>
      </c>
      <c r="G1522" s="98">
        <v>0</v>
      </c>
      <c r="H1522" s="98">
        <v>0</v>
      </c>
      <c r="I1522" s="98">
        <v>0</v>
      </c>
      <c r="J1522" s="98"/>
      <c r="K1522" s="93"/>
      <c r="L1522" s="93">
        <f t="shared" si="202"/>
        <v>0</v>
      </c>
      <c r="M1522" s="95" t="e">
        <f t="shared" ca="1" si="203"/>
        <v>#DIV/0!</v>
      </c>
      <c r="N1522" s="95">
        <f>IF(P1522="Hedge Fund",IF(A1522=Summary!$AD$3,M1522-E1522,M1522),IF(A1522=Summary!$AD$3,L1522-D1522,L1522))</f>
        <v>0</v>
      </c>
      <c r="O1522" s="95">
        <f t="shared" si="207"/>
        <v>0</v>
      </c>
      <c r="P1522" s="89" t="s">
        <v>155</v>
      </c>
      <c r="Q1522" s="107">
        <v>0</v>
      </c>
      <c r="R1522" s="107">
        <v>0</v>
      </c>
      <c r="S1522" s="107">
        <v>0</v>
      </c>
      <c r="T1522" s="107">
        <v>0</v>
      </c>
      <c r="U1522" s="107"/>
      <c r="V1522" s="107"/>
      <c r="W1522" s="107"/>
      <c r="X1522" s="107"/>
      <c r="Y1522" s="107"/>
      <c r="Z1522" s="107"/>
      <c r="AA1522" s="107"/>
      <c r="AB1522" s="107"/>
      <c r="AC1522" s="355"/>
      <c r="AD1522" s="355"/>
      <c r="AE1522" s="355"/>
      <c r="AF1522" s="94">
        <f t="shared" si="204"/>
        <v>42307</v>
      </c>
      <c r="AG1522" s="185">
        <f t="shared" si="208"/>
        <v>8.0444849154071019E-3</v>
      </c>
      <c r="AH1522" s="339" t="str">
        <f>VLOOKUP(B1522,'MF PF'!A:B,2)</f>
        <v>FdMgt1</v>
      </c>
      <c r="AI1522" s="358">
        <f t="shared" si="205"/>
        <v>0</v>
      </c>
      <c r="AJ1522" s="94">
        <f t="shared" si="206"/>
        <v>42308</v>
      </c>
    </row>
    <row r="1523" spans="1:36" ht="12.75" customHeight="1">
      <c r="A1523" s="8">
        <v>42338</v>
      </c>
      <c r="B1523" s="94" t="s">
        <v>136</v>
      </c>
      <c r="C1523" s="92" t="s">
        <v>318</v>
      </c>
      <c r="D1523" s="374">
        <v>794391.98</v>
      </c>
      <c r="E1523" s="95" t="e">
        <f t="shared" si="209"/>
        <v>#DIV/0!</v>
      </c>
      <c r="F1523" s="98">
        <v>5</v>
      </c>
      <c r="G1523" s="98">
        <v>450000</v>
      </c>
      <c r="H1523" s="98">
        <v>0</v>
      </c>
      <c r="I1523" s="98">
        <v>0</v>
      </c>
      <c r="J1523" s="98"/>
      <c r="K1523" s="93"/>
      <c r="L1523" s="93">
        <f t="shared" si="202"/>
        <v>450000</v>
      </c>
      <c r="M1523" s="95" t="e">
        <f t="shared" ca="1" si="203"/>
        <v>#DIV/0!</v>
      </c>
      <c r="N1523" s="95">
        <f>IF(P1523="Hedge Fund",IF(A1523=Summary!$AD$3,M1523-E1523,M1523),IF(A1523=Summary!$AD$3,L1523-D1523,L1523))</f>
        <v>450000</v>
      </c>
      <c r="O1523" s="95">
        <f t="shared" si="207"/>
        <v>450000</v>
      </c>
      <c r="P1523" s="89" t="s">
        <v>155</v>
      </c>
      <c r="Q1523" s="107">
        <v>0</v>
      </c>
      <c r="R1523" s="107">
        <v>0</v>
      </c>
      <c r="S1523" s="107">
        <v>0</v>
      </c>
      <c r="T1523" s="107">
        <v>0</v>
      </c>
      <c r="U1523" s="107"/>
      <c r="V1523" s="107"/>
      <c r="W1523" s="107"/>
      <c r="X1523" s="107"/>
      <c r="Y1523" s="107"/>
      <c r="Z1523" s="107"/>
      <c r="AA1523" s="107"/>
      <c r="AB1523" s="107"/>
      <c r="AC1523" s="355"/>
      <c r="AD1523" s="355"/>
      <c r="AE1523" s="355"/>
      <c r="AF1523" s="94">
        <f t="shared" si="204"/>
        <v>42338</v>
      </c>
      <c r="AG1523" s="185">
        <f t="shared" si="208"/>
        <v>-0.19730744917432386</v>
      </c>
      <c r="AH1523" s="339" t="str">
        <f>VLOOKUP(B1523,'MF PF'!A:B,2)</f>
        <v>FdMgt1</v>
      </c>
      <c r="AI1523" s="358">
        <f t="shared" si="205"/>
        <v>0</v>
      </c>
      <c r="AJ1523" s="94">
        <f t="shared" si="206"/>
        <v>42338</v>
      </c>
    </row>
    <row r="1524" spans="1:36" ht="12.75" customHeight="1">
      <c r="A1524" s="94">
        <v>42369</v>
      </c>
      <c r="B1524" s="94" t="s">
        <v>136</v>
      </c>
      <c r="C1524" s="92" t="s">
        <v>318</v>
      </c>
      <c r="D1524" s="374">
        <v>878532.7</v>
      </c>
      <c r="E1524" s="9" t="e">
        <f t="shared" si="209"/>
        <v>#DIV/0!</v>
      </c>
      <c r="F1524" s="98">
        <v>5</v>
      </c>
      <c r="G1524" s="98">
        <v>0</v>
      </c>
      <c r="H1524" s="98">
        <v>0</v>
      </c>
      <c r="I1524" s="98">
        <v>0</v>
      </c>
      <c r="J1524" s="98"/>
      <c r="K1524" s="93"/>
      <c r="L1524" s="93">
        <f t="shared" si="202"/>
        <v>0</v>
      </c>
      <c r="M1524" s="95" t="e">
        <f t="shared" ca="1" si="203"/>
        <v>#DIV/0!</v>
      </c>
      <c r="N1524" s="95">
        <f>IF(P1524="Hedge Fund",IF(A1524=Summary!$AD$3,M1524-E1524,M1524),IF(A1524=Summary!$AD$3,L1524-D1524,L1524))</f>
        <v>0</v>
      </c>
      <c r="O1524" s="95">
        <f t="shared" si="207"/>
        <v>0</v>
      </c>
      <c r="P1524" s="89" t="s">
        <v>155</v>
      </c>
      <c r="Q1524" s="107">
        <v>0</v>
      </c>
      <c r="R1524" s="107">
        <v>0</v>
      </c>
      <c r="S1524" s="107">
        <v>0</v>
      </c>
      <c r="T1524" s="107">
        <v>0</v>
      </c>
      <c r="U1524" s="107"/>
      <c r="V1524" s="107"/>
      <c r="W1524" s="107"/>
      <c r="X1524" s="107"/>
      <c r="Y1524" s="107"/>
      <c r="Z1524" s="107"/>
      <c r="AA1524" s="107"/>
      <c r="AB1524" s="107"/>
      <c r="AC1524" s="355"/>
      <c r="AD1524" s="355"/>
      <c r="AE1524" s="355"/>
      <c r="AF1524" s="94">
        <f t="shared" si="204"/>
        <v>42369</v>
      </c>
      <c r="AG1524" s="185">
        <f t="shared" si="208"/>
        <v>0.10591839056582608</v>
      </c>
      <c r="AH1524" s="339" t="str">
        <f>VLOOKUP(B1524,'MF PF'!A:B,2)</f>
        <v>FdMgt1</v>
      </c>
      <c r="AI1524" s="358">
        <f t="shared" si="205"/>
        <v>0</v>
      </c>
      <c r="AJ1524" s="94">
        <f t="shared" si="206"/>
        <v>42369</v>
      </c>
    </row>
    <row r="1525" spans="1:36" ht="12.75" customHeight="1">
      <c r="A1525" s="8">
        <v>42398</v>
      </c>
      <c r="B1525" s="94" t="s">
        <v>136</v>
      </c>
      <c r="C1525" s="92" t="s">
        <v>318</v>
      </c>
      <c r="D1525" s="374">
        <v>878596.73</v>
      </c>
      <c r="E1525" s="9" t="e">
        <f t="shared" si="209"/>
        <v>#DIV/0!</v>
      </c>
      <c r="F1525" s="98">
        <v>5</v>
      </c>
      <c r="G1525" s="98">
        <v>0</v>
      </c>
      <c r="H1525" s="98">
        <v>0</v>
      </c>
      <c r="I1525" s="98">
        <v>0</v>
      </c>
      <c r="J1525" s="98"/>
      <c r="K1525" s="93"/>
      <c r="L1525" s="93">
        <f t="shared" si="202"/>
        <v>0</v>
      </c>
      <c r="M1525" s="95" t="e">
        <f t="shared" ca="1" si="203"/>
        <v>#DIV/0!</v>
      </c>
      <c r="N1525" s="95">
        <f>IF(P1525="Hedge Fund",IF(A1525=Summary!$AD$3,M1525-E1525,M1525),IF(A1525=Summary!$AD$3,L1525-D1525,L1525))</f>
        <v>0</v>
      </c>
      <c r="O1525" s="95">
        <f t="shared" si="207"/>
        <v>0</v>
      </c>
      <c r="P1525" s="89" t="s">
        <v>155</v>
      </c>
      <c r="Q1525" s="107">
        <v>0</v>
      </c>
      <c r="R1525" s="107">
        <v>0</v>
      </c>
      <c r="S1525" s="107">
        <v>0</v>
      </c>
      <c r="T1525" s="107">
        <v>0</v>
      </c>
      <c r="U1525" s="107"/>
      <c r="V1525" s="107"/>
      <c r="W1525" s="107"/>
      <c r="X1525" s="107"/>
      <c r="Y1525" s="107"/>
      <c r="Z1525" s="107"/>
      <c r="AA1525" s="107"/>
      <c r="AB1525" s="107"/>
      <c r="AC1525" s="355"/>
      <c r="AD1525" s="355"/>
      <c r="AE1525" s="355"/>
      <c r="AF1525" s="94">
        <f t="shared" si="204"/>
        <v>42398</v>
      </c>
      <c r="AG1525" s="185">
        <f t="shared" si="208"/>
        <v>7.2882887569347687E-5</v>
      </c>
      <c r="AH1525" s="339" t="str">
        <f>VLOOKUP(B1525,'MF PF'!A:B,2)</f>
        <v>FdMgt1</v>
      </c>
      <c r="AI1525" s="358">
        <f t="shared" si="205"/>
        <v>0</v>
      </c>
      <c r="AJ1525" s="94">
        <f t="shared" si="206"/>
        <v>42400</v>
      </c>
    </row>
    <row r="1526" spans="1:36" ht="12.75" customHeight="1">
      <c r="A1526" s="8">
        <v>42429</v>
      </c>
      <c r="B1526" s="94" t="s">
        <v>136</v>
      </c>
      <c r="C1526" s="358" t="s">
        <v>318</v>
      </c>
      <c r="D1526" s="374">
        <v>2007363.1189999999</v>
      </c>
      <c r="E1526" s="95" t="e">
        <f t="shared" si="209"/>
        <v>#DIV/0!</v>
      </c>
      <c r="F1526" s="98">
        <v>5</v>
      </c>
      <c r="G1526" s="98">
        <v>1120000</v>
      </c>
      <c r="H1526" s="98">
        <v>0</v>
      </c>
      <c r="I1526" s="98">
        <v>0</v>
      </c>
      <c r="J1526" s="98"/>
      <c r="K1526" s="93"/>
      <c r="L1526" s="93">
        <f t="shared" si="202"/>
        <v>1120000</v>
      </c>
      <c r="M1526" s="95" t="e">
        <f t="shared" ca="1" si="203"/>
        <v>#DIV/0!</v>
      </c>
      <c r="N1526" s="95">
        <f>IF(P1526="Hedge Fund",IF(A1526=Summary!$AD$3,M1526-E1526,M1526),IF(A1526=Summary!$AD$3,L1526-D1526,L1526))</f>
        <v>1120000</v>
      </c>
      <c r="O1526" s="95">
        <f t="shared" si="207"/>
        <v>1120000</v>
      </c>
      <c r="P1526" s="89" t="s">
        <v>155</v>
      </c>
      <c r="Q1526" s="107">
        <v>0</v>
      </c>
      <c r="R1526" s="107">
        <v>0</v>
      </c>
      <c r="S1526" s="107">
        <v>0</v>
      </c>
      <c r="T1526" s="107">
        <v>0</v>
      </c>
      <c r="U1526" s="107"/>
      <c r="V1526" s="107"/>
      <c r="W1526" s="107"/>
      <c r="X1526" s="107"/>
      <c r="Y1526" s="107"/>
      <c r="Z1526" s="107"/>
      <c r="AA1526" s="107"/>
      <c r="AB1526" s="107"/>
      <c r="AC1526" s="355"/>
      <c r="AD1526" s="355"/>
      <c r="AE1526" s="355"/>
      <c r="AF1526" s="94">
        <f t="shared" si="204"/>
        <v>42429</v>
      </c>
      <c r="AG1526" s="185">
        <f t="shared" si="208"/>
        <v>9.9777163978289618E-3</v>
      </c>
      <c r="AH1526" s="339" t="str">
        <f>VLOOKUP(B1526,'MF PF'!A:B,2)</f>
        <v>FdMgt1</v>
      </c>
      <c r="AI1526" s="358">
        <f t="shared" si="205"/>
        <v>0</v>
      </c>
      <c r="AJ1526" s="94">
        <f t="shared" si="206"/>
        <v>42429</v>
      </c>
    </row>
    <row r="1527" spans="1:36" ht="12.75" customHeight="1">
      <c r="A1527" s="8">
        <v>42460</v>
      </c>
      <c r="B1527" s="94" t="s">
        <v>136</v>
      </c>
      <c r="C1527" s="358" t="s">
        <v>318</v>
      </c>
      <c r="D1527" s="374">
        <v>2007672.672</v>
      </c>
      <c r="E1527" s="95" t="e">
        <f t="shared" si="209"/>
        <v>#DIV/0!</v>
      </c>
      <c r="F1527" s="98">
        <v>5</v>
      </c>
      <c r="G1527" s="98">
        <v>0</v>
      </c>
      <c r="H1527" s="98">
        <v>0</v>
      </c>
      <c r="I1527" s="98">
        <v>0</v>
      </c>
      <c r="J1527" s="98"/>
      <c r="K1527" s="93"/>
      <c r="L1527" s="93">
        <f t="shared" si="202"/>
        <v>0</v>
      </c>
      <c r="M1527" s="95" t="e">
        <f t="shared" ca="1" si="203"/>
        <v>#DIV/0!</v>
      </c>
      <c r="N1527" s="95">
        <f>IF(P1527="Hedge Fund",IF(A1527=Summary!$AD$3,M1527-E1527,M1527),IF(A1527=Summary!$AD$3,L1527-D1527,L1527))</f>
        <v>0</v>
      </c>
      <c r="O1527" s="95">
        <f t="shared" si="207"/>
        <v>0</v>
      </c>
      <c r="P1527" s="89" t="s">
        <v>155</v>
      </c>
      <c r="Q1527" s="107">
        <v>0</v>
      </c>
      <c r="R1527" s="107">
        <v>0</v>
      </c>
      <c r="S1527" s="107">
        <v>0</v>
      </c>
      <c r="T1527" s="107">
        <v>0</v>
      </c>
      <c r="U1527" s="107"/>
      <c r="V1527" s="107"/>
      <c r="W1527" s="107"/>
      <c r="X1527" s="107"/>
      <c r="Y1527" s="107"/>
      <c r="Z1527" s="107"/>
      <c r="AA1527" s="107"/>
      <c r="AB1527" s="107"/>
      <c r="AC1527" s="355"/>
      <c r="AD1527" s="355"/>
      <c r="AE1527" s="355"/>
      <c r="AF1527" s="94">
        <f t="shared" si="204"/>
        <v>42460</v>
      </c>
      <c r="AG1527" s="185">
        <f t="shared" si="208"/>
        <v>1.5420877123339949E-4</v>
      </c>
      <c r="AH1527" s="339" t="str">
        <f>VLOOKUP(B1527,'MF PF'!A:B,2)</f>
        <v>FdMgt1</v>
      </c>
      <c r="AI1527" s="358">
        <f t="shared" si="205"/>
        <v>0</v>
      </c>
      <c r="AJ1527" s="94">
        <f t="shared" si="206"/>
        <v>42460</v>
      </c>
    </row>
    <row r="1528" spans="1:36" ht="12.75" customHeight="1">
      <c r="A1528" s="94">
        <v>42489</v>
      </c>
      <c r="B1528" s="94" t="s">
        <v>136</v>
      </c>
      <c r="C1528" s="358" t="s">
        <v>318</v>
      </c>
      <c r="D1528" s="374">
        <v>2822378.0715000001</v>
      </c>
      <c r="E1528" s="95" t="e">
        <f t="shared" si="209"/>
        <v>#DIV/0!</v>
      </c>
      <c r="F1528" s="98">
        <v>5</v>
      </c>
      <c r="G1528" s="98">
        <v>800000</v>
      </c>
      <c r="H1528" s="98">
        <v>0</v>
      </c>
      <c r="I1528" s="98">
        <v>0</v>
      </c>
      <c r="J1528" s="98"/>
      <c r="K1528" s="93"/>
      <c r="L1528" s="93">
        <f t="shared" si="202"/>
        <v>800000</v>
      </c>
      <c r="M1528" s="95" t="e">
        <f t="shared" ca="1" si="203"/>
        <v>#DIV/0!</v>
      </c>
      <c r="N1528" s="95">
        <f>IF(P1528="Hedge Fund",IF(A1528=Summary!$AD$3,M1528-E1528,M1528),IF(A1528=Summary!$AD$3,L1528-D1528,L1528))</f>
        <v>800000</v>
      </c>
      <c r="O1528" s="95">
        <f t="shared" si="207"/>
        <v>800000</v>
      </c>
      <c r="P1528" s="89" t="s">
        <v>155</v>
      </c>
      <c r="Q1528" s="107">
        <v>0</v>
      </c>
      <c r="R1528" s="107">
        <v>0</v>
      </c>
      <c r="S1528" s="107">
        <v>0</v>
      </c>
      <c r="T1528" s="107">
        <v>0</v>
      </c>
      <c r="U1528" s="107"/>
      <c r="V1528" s="107"/>
      <c r="W1528" s="107"/>
      <c r="X1528" s="107"/>
      <c r="Y1528" s="107"/>
      <c r="Z1528" s="107"/>
      <c r="AA1528" s="107"/>
      <c r="AB1528" s="107"/>
      <c r="AC1528" s="355"/>
      <c r="AD1528" s="355"/>
      <c r="AE1528" s="355"/>
      <c r="AF1528" s="94">
        <f t="shared" si="204"/>
        <v>42489</v>
      </c>
      <c r="AG1528" s="185">
        <f t="shared" si="208"/>
        <v>7.3246001228630675E-3</v>
      </c>
      <c r="AH1528" s="339" t="str">
        <f>VLOOKUP(B1528,'MF PF'!A:B,2)</f>
        <v>FdMgt1</v>
      </c>
      <c r="AI1528" s="358">
        <f t="shared" si="205"/>
        <v>0</v>
      </c>
      <c r="AJ1528" s="94">
        <f t="shared" si="206"/>
        <v>42490</v>
      </c>
    </row>
    <row r="1529" spans="1:36" ht="12.75" customHeight="1">
      <c r="A1529" s="94">
        <v>42521</v>
      </c>
      <c r="B1529" s="94" t="s">
        <v>136</v>
      </c>
      <c r="C1529" s="358" t="s">
        <v>318</v>
      </c>
      <c r="D1529" s="374">
        <v>2855644.4704999998</v>
      </c>
      <c r="E1529" s="9" t="e">
        <f t="shared" si="209"/>
        <v>#DIV/0!</v>
      </c>
      <c r="F1529" s="98">
        <v>5</v>
      </c>
      <c r="G1529" s="98">
        <v>0</v>
      </c>
      <c r="H1529" s="98">
        <v>0</v>
      </c>
      <c r="I1529" s="98">
        <v>0</v>
      </c>
      <c r="J1529" s="98"/>
      <c r="L1529" s="93">
        <f t="shared" si="202"/>
        <v>0</v>
      </c>
      <c r="M1529" s="95" t="e">
        <f t="shared" ca="1" si="203"/>
        <v>#DIV/0!</v>
      </c>
      <c r="N1529" s="95">
        <f>IF(P1529="Hedge Fund",IF(A1529=Summary!$AD$3,M1529-E1529,M1529),IF(A1529=Summary!$AD$3,L1529-D1529,L1529))</f>
        <v>0</v>
      </c>
      <c r="O1529" s="95">
        <f t="shared" si="207"/>
        <v>0</v>
      </c>
      <c r="P1529" s="89" t="s">
        <v>155</v>
      </c>
      <c r="Q1529" s="107">
        <v>0</v>
      </c>
      <c r="R1529" s="107">
        <v>0</v>
      </c>
      <c r="S1529" s="107">
        <v>0</v>
      </c>
      <c r="T1529" s="107">
        <v>0</v>
      </c>
      <c r="U1529" s="107"/>
      <c r="V1529" s="107"/>
      <c r="W1529" s="107"/>
      <c r="X1529" s="107"/>
      <c r="Y1529" s="107"/>
      <c r="Z1529" s="107"/>
      <c r="AA1529" s="107"/>
      <c r="AB1529" s="107"/>
      <c r="AC1529" s="355"/>
      <c r="AD1529" s="355"/>
      <c r="AE1529" s="355"/>
      <c r="AF1529" s="94">
        <f t="shared" si="204"/>
        <v>42521</v>
      </c>
      <c r="AG1529" s="185">
        <f t="shared" si="208"/>
        <v>1.1786655847393135E-2</v>
      </c>
      <c r="AH1529" s="339" t="str">
        <f>VLOOKUP(B1529,'MF PF'!A:B,2)</f>
        <v>FdMgt1</v>
      </c>
      <c r="AI1529" s="358">
        <f t="shared" si="205"/>
        <v>0</v>
      </c>
      <c r="AJ1529" s="94">
        <f t="shared" si="206"/>
        <v>42521</v>
      </c>
    </row>
    <row r="1530" spans="1:36" ht="12.75" customHeight="1">
      <c r="A1530" s="94">
        <v>42551</v>
      </c>
      <c r="B1530" s="94" t="s">
        <v>136</v>
      </c>
      <c r="C1530" s="358" t="s">
        <v>318</v>
      </c>
      <c r="D1530" s="374">
        <v>2838109.3615000001</v>
      </c>
      <c r="E1530" s="9" t="e">
        <f t="shared" si="209"/>
        <v>#DIV/0!</v>
      </c>
      <c r="F1530" s="98">
        <v>5</v>
      </c>
      <c r="G1530" s="98">
        <v>0</v>
      </c>
      <c r="H1530" s="98">
        <v>0</v>
      </c>
      <c r="I1530" s="98">
        <v>0</v>
      </c>
      <c r="J1530" s="98"/>
      <c r="L1530" s="93">
        <f t="shared" si="202"/>
        <v>0</v>
      </c>
      <c r="M1530" s="95" t="e">
        <f t="shared" ca="1" si="203"/>
        <v>#DIV/0!</v>
      </c>
      <c r="N1530" s="95">
        <f>IF(P1530="Hedge Fund",IF(A1530=Summary!$AD$3,M1530-E1530,M1530),IF(A1530=Summary!$AD$3,L1530-D1530,L1530))</f>
        <v>0</v>
      </c>
      <c r="O1530" s="95">
        <f t="shared" si="207"/>
        <v>0</v>
      </c>
      <c r="P1530" s="107" t="s">
        <v>155</v>
      </c>
      <c r="Q1530" s="107">
        <v>0</v>
      </c>
      <c r="R1530" s="107">
        <v>0</v>
      </c>
      <c r="S1530" s="107">
        <v>0</v>
      </c>
      <c r="T1530" s="107">
        <v>0</v>
      </c>
      <c r="U1530" s="107"/>
      <c r="V1530" s="107"/>
      <c r="W1530" s="107"/>
      <c r="X1530" s="107"/>
      <c r="Y1530" s="107"/>
      <c r="Z1530" s="107"/>
      <c r="AA1530" s="107"/>
      <c r="AB1530" s="107"/>
      <c r="AC1530" s="355"/>
      <c r="AD1530" s="355"/>
      <c r="AE1530" s="355"/>
      <c r="AF1530" s="94">
        <f t="shared" si="204"/>
        <v>42551</v>
      </c>
      <c r="AG1530" s="185">
        <f t="shared" si="208"/>
        <v>-6.1405084495442797E-3</v>
      </c>
      <c r="AH1530" s="339" t="str">
        <f>VLOOKUP(B1530,'MF PF'!A:B,2)</f>
        <v>FdMgt1</v>
      </c>
      <c r="AI1530" s="358">
        <f t="shared" si="205"/>
        <v>0</v>
      </c>
      <c r="AJ1530" s="94">
        <f t="shared" si="206"/>
        <v>42551</v>
      </c>
    </row>
    <row r="1531" spans="1:36" ht="12.75" customHeight="1">
      <c r="A1531" s="8">
        <v>42580</v>
      </c>
      <c r="B1531" s="94" t="s">
        <v>136</v>
      </c>
      <c r="C1531" s="358" t="s">
        <v>318</v>
      </c>
      <c r="D1531" s="374">
        <v>2846576.3985000001</v>
      </c>
      <c r="E1531" s="9" t="e">
        <f t="shared" si="209"/>
        <v>#DIV/0!</v>
      </c>
      <c r="F1531" s="98">
        <v>5</v>
      </c>
      <c r="G1531" s="98">
        <v>0</v>
      </c>
      <c r="H1531" s="98">
        <v>0</v>
      </c>
      <c r="I1531" s="98">
        <v>0</v>
      </c>
      <c r="J1531" s="98"/>
      <c r="L1531" s="93">
        <f t="shared" si="202"/>
        <v>0</v>
      </c>
      <c r="M1531" s="95" t="e">
        <f t="shared" ca="1" si="203"/>
        <v>#DIV/0!</v>
      </c>
      <c r="N1531" s="95">
        <f>IF(P1531="Hedge Fund",IF(A1531=Summary!$AD$3,M1531-E1531,M1531),IF(A1531=Summary!$AD$3,L1531-D1531,L1531))</f>
        <v>0</v>
      </c>
      <c r="O1531" s="95">
        <f t="shared" si="207"/>
        <v>0</v>
      </c>
      <c r="P1531" s="107" t="s">
        <v>155</v>
      </c>
      <c r="Q1531" s="107">
        <v>0</v>
      </c>
      <c r="R1531" s="107">
        <v>0</v>
      </c>
      <c r="S1531" s="107">
        <v>0</v>
      </c>
      <c r="T1531" s="107">
        <v>0</v>
      </c>
      <c r="U1531" s="107"/>
      <c r="V1531" s="107"/>
      <c r="W1531" s="107"/>
      <c r="X1531" s="107"/>
      <c r="Y1531" s="107"/>
      <c r="Z1531" s="107"/>
      <c r="AA1531" s="107"/>
      <c r="AB1531" s="107"/>
      <c r="AC1531" s="355"/>
      <c r="AD1531" s="355"/>
      <c r="AE1531" s="355"/>
      <c r="AF1531" s="94">
        <f t="shared" si="204"/>
        <v>42580</v>
      </c>
      <c r="AG1531" s="185">
        <f t="shared" si="208"/>
        <v>2.9833371169054601E-3</v>
      </c>
      <c r="AH1531" s="339" t="str">
        <f>VLOOKUP(B1531,'MF PF'!A:B,2)</f>
        <v>FdMgt1</v>
      </c>
      <c r="AI1531" s="358">
        <f t="shared" si="205"/>
        <v>0</v>
      </c>
      <c r="AJ1531" s="94">
        <f t="shared" si="206"/>
        <v>42582</v>
      </c>
    </row>
    <row r="1532" spans="1:36" ht="12.75" customHeight="1">
      <c r="A1532" s="8">
        <v>42613</v>
      </c>
      <c r="B1532" s="94" t="s">
        <v>136</v>
      </c>
      <c r="C1532" s="358" t="s">
        <v>318</v>
      </c>
      <c r="D1532" s="374">
        <v>2843434.3905000002</v>
      </c>
      <c r="E1532" s="9" t="e">
        <f t="shared" si="209"/>
        <v>#DIV/0!</v>
      </c>
      <c r="F1532" s="98">
        <v>5</v>
      </c>
      <c r="G1532" s="98">
        <v>0</v>
      </c>
      <c r="H1532" s="98">
        <v>0</v>
      </c>
      <c r="I1532" s="98">
        <v>0</v>
      </c>
      <c r="J1532" s="98"/>
      <c r="L1532" s="93">
        <f t="shared" si="202"/>
        <v>0</v>
      </c>
      <c r="M1532" s="95" t="e">
        <f t="shared" ca="1" si="203"/>
        <v>#DIV/0!</v>
      </c>
      <c r="N1532" s="95">
        <f>IF(P1532="Hedge Fund",IF(A1532=Summary!$AD$3,M1532-E1532,M1532),IF(A1532=Summary!$AD$3,L1532-D1532,L1532))</f>
        <v>0</v>
      </c>
      <c r="O1532" s="95">
        <f t="shared" si="207"/>
        <v>0</v>
      </c>
      <c r="P1532" s="107" t="s">
        <v>155</v>
      </c>
      <c r="Q1532" s="107">
        <v>0</v>
      </c>
      <c r="R1532" s="107">
        <v>0</v>
      </c>
      <c r="S1532" s="107">
        <v>0</v>
      </c>
      <c r="T1532" s="107">
        <v>0</v>
      </c>
      <c r="U1532" s="107"/>
      <c r="V1532" s="107"/>
      <c r="W1532" s="107"/>
      <c r="X1532" s="107"/>
      <c r="Y1532" s="107"/>
      <c r="Z1532" s="107"/>
      <c r="AA1532" s="107"/>
      <c r="AB1532" s="107"/>
      <c r="AC1532" s="355"/>
      <c r="AD1532" s="355"/>
      <c r="AE1532" s="355"/>
      <c r="AF1532" s="94">
        <f t="shared" si="204"/>
        <v>42613</v>
      </c>
      <c r="AG1532" s="185">
        <f t="shared" si="208"/>
        <v>-1.1037848840648179E-3</v>
      </c>
      <c r="AH1532" s="339" t="str">
        <f>VLOOKUP(B1532,'MF PF'!A:B,2)</f>
        <v>FdMgt1</v>
      </c>
      <c r="AI1532" s="358">
        <f t="shared" si="205"/>
        <v>0</v>
      </c>
      <c r="AJ1532" s="94">
        <f t="shared" si="206"/>
        <v>42613</v>
      </c>
    </row>
    <row r="1533" spans="1:36" ht="12.75" customHeight="1">
      <c r="A1533" s="8">
        <v>42643</v>
      </c>
      <c r="B1533" s="94" t="s">
        <v>136</v>
      </c>
      <c r="C1533" s="358" t="s">
        <v>318</v>
      </c>
      <c r="D1533" s="374">
        <v>2927534.5890000002</v>
      </c>
      <c r="E1533" s="95" t="e">
        <f t="shared" si="209"/>
        <v>#DIV/0!</v>
      </c>
      <c r="F1533" s="98">
        <v>5</v>
      </c>
      <c r="G1533" s="98">
        <v>0</v>
      </c>
      <c r="H1533" s="98">
        <v>0</v>
      </c>
      <c r="I1533" s="98">
        <v>0</v>
      </c>
      <c r="J1533" s="98"/>
      <c r="L1533" s="93">
        <f t="shared" si="202"/>
        <v>0</v>
      </c>
      <c r="M1533" s="95" t="e">
        <f t="shared" ca="1" si="203"/>
        <v>#DIV/0!</v>
      </c>
      <c r="N1533" s="95">
        <f>IF(P1533="Hedge Fund",IF(A1533=Summary!$AD$3,M1533-E1533,M1533),IF(A1533=Summary!$AD$3,L1533-D1533,L1533))</f>
        <v>0</v>
      </c>
      <c r="O1533" s="95">
        <f t="shared" si="207"/>
        <v>0</v>
      </c>
      <c r="P1533" s="107" t="s">
        <v>155</v>
      </c>
      <c r="Q1533" s="107">
        <v>0</v>
      </c>
      <c r="R1533" s="107">
        <v>0</v>
      </c>
      <c r="S1533" s="107">
        <v>0</v>
      </c>
      <c r="T1533" s="107">
        <v>0</v>
      </c>
      <c r="U1533" s="107"/>
      <c r="V1533" s="107"/>
      <c r="W1533" s="107"/>
      <c r="X1533" s="107"/>
      <c r="Y1533" s="107"/>
      <c r="Z1533" s="107"/>
      <c r="AA1533" s="107"/>
      <c r="AB1533" s="107"/>
      <c r="AC1533" s="355"/>
      <c r="AD1533" s="355"/>
      <c r="AE1533" s="355"/>
      <c r="AF1533" s="94">
        <f t="shared" si="204"/>
        <v>42643</v>
      </c>
      <c r="AG1533" s="185">
        <f t="shared" si="208"/>
        <v>2.9576978734231041E-2</v>
      </c>
      <c r="AH1533" s="339" t="str">
        <f>VLOOKUP(B1533,'MF PF'!A:B,2)</f>
        <v>FdMgt1</v>
      </c>
      <c r="AI1533" s="358">
        <f t="shared" si="205"/>
        <v>0</v>
      </c>
      <c r="AJ1533" s="94">
        <f t="shared" si="206"/>
        <v>42643</v>
      </c>
    </row>
    <row r="1534" spans="1:36" ht="12.75" customHeight="1">
      <c r="A1534" s="8">
        <v>42674</v>
      </c>
      <c r="B1534" s="94" t="s">
        <v>136</v>
      </c>
      <c r="C1534" s="358" t="s">
        <v>318</v>
      </c>
      <c r="D1534" s="374">
        <v>3004892.5874999999</v>
      </c>
      <c r="E1534" s="9" t="e">
        <f t="shared" si="209"/>
        <v>#DIV/0!</v>
      </c>
      <c r="F1534" s="98">
        <v>5</v>
      </c>
      <c r="G1534" s="98">
        <v>0</v>
      </c>
      <c r="H1534" s="98">
        <v>0</v>
      </c>
      <c r="I1534" s="98">
        <v>0</v>
      </c>
      <c r="J1534" s="98"/>
      <c r="L1534" s="93">
        <f t="shared" si="202"/>
        <v>0</v>
      </c>
      <c r="M1534" s="95" t="e">
        <f t="shared" ca="1" si="203"/>
        <v>#DIV/0!</v>
      </c>
      <c r="N1534" s="95">
        <f>IF(P1534="Hedge Fund",IF(A1534=Summary!$AD$3,M1534-E1534,M1534),IF(A1534=Summary!$AD$3,L1534-D1534,L1534))</f>
        <v>0</v>
      </c>
      <c r="O1534" s="95">
        <f t="shared" si="207"/>
        <v>0</v>
      </c>
      <c r="P1534" s="107" t="s">
        <v>155</v>
      </c>
      <c r="Q1534" s="107">
        <v>0</v>
      </c>
      <c r="R1534" s="107">
        <v>0</v>
      </c>
      <c r="S1534" s="107">
        <v>0</v>
      </c>
      <c r="T1534" s="107">
        <v>0</v>
      </c>
      <c r="U1534" s="107"/>
      <c r="V1534" s="107"/>
      <c r="W1534" s="107"/>
      <c r="X1534" s="107"/>
      <c r="Y1534" s="107"/>
      <c r="Z1534" s="107"/>
      <c r="AA1534" s="107"/>
      <c r="AB1534" s="107"/>
      <c r="AC1534" s="355"/>
      <c r="AD1534" s="355"/>
      <c r="AE1534" s="355"/>
      <c r="AF1534" s="94">
        <f t="shared" si="204"/>
        <v>42674</v>
      </c>
      <c r="AG1534" s="185">
        <f t="shared" si="208"/>
        <v>2.6424281643218528E-2</v>
      </c>
      <c r="AH1534" s="339" t="str">
        <f>VLOOKUP(B1534,'MF PF'!A:B,2)</f>
        <v>FdMgt1</v>
      </c>
      <c r="AI1534" s="358">
        <f t="shared" si="205"/>
        <v>0</v>
      </c>
      <c r="AJ1534" s="94">
        <f t="shared" si="206"/>
        <v>42674</v>
      </c>
    </row>
    <row r="1535" spans="1:36" ht="12.75" customHeight="1">
      <c r="A1535" s="8">
        <v>42704</v>
      </c>
      <c r="B1535" s="94" t="s">
        <v>136</v>
      </c>
      <c r="C1535" s="92" t="s">
        <v>318</v>
      </c>
      <c r="D1535" s="374">
        <v>3034295.1839999999</v>
      </c>
      <c r="E1535" s="9" t="e">
        <f t="shared" si="209"/>
        <v>#DIV/0!</v>
      </c>
      <c r="F1535" s="98">
        <v>5</v>
      </c>
      <c r="G1535" s="98">
        <v>0</v>
      </c>
      <c r="H1535" s="98">
        <v>0</v>
      </c>
      <c r="I1535" s="98">
        <v>0</v>
      </c>
      <c r="J1535" s="98"/>
      <c r="L1535" s="93">
        <f t="shared" si="202"/>
        <v>0</v>
      </c>
      <c r="M1535" s="95" t="e">
        <f t="shared" ca="1" si="203"/>
        <v>#DIV/0!</v>
      </c>
      <c r="N1535" s="95">
        <f>IF(P1535="Hedge Fund",IF(A1535=Summary!$AD$3,M1535-E1535,M1535),IF(A1535=Summary!$AD$3,L1535-D1535,L1535))</f>
        <v>0</v>
      </c>
      <c r="O1535" s="95">
        <f t="shared" si="207"/>
        <v>0</v>
      </c>
      <c r="P1535" s="107" t="s">
        <v>155</v>
      </c>
      <c r="Q1535" s="107">
        <v>0</v>
      </c>
      <c r="R1535" s="107">
        <v>0</v>
      </c>
      <c r="S1535" s="107">
        <v>0</v>
      </c>
      <c r="T1535" s="107">
        <v>0</v>
      </c>
      <c r="U1535" s="107"/>
      <c r="V1535" s="107"/>
      <c r="W1535" s="107"/>
      <c r="X1535" s="107"/>
      <c r="Y1535" s="107"/>
      <c r="Z1535" s="107"/>
      <c r="AA1535" s="107"/>
      <c r="AB1535" s="107"/>
      <c r="AC1535" s="355"/>
      <c r="AD1535" s="355"/>
      <c r="AE1535" s="355"/>
      <c r="AF1535" s="94">
        <f t="shared" si="204"/>
        <v>42704</v>
      </c>
      <c r="AG1535" s="185">
        <f t="shared" si="208"/>
        <v>9.7849076610296848E-3</v>
      </c>
      <c r="AH1535" s="339" t="str">
        <f>VLOOKUP(B1535,'MF PF'!A:B,2)</f>
        <v>FdMgt1</v>
      </c>
      <c r="AI1535" s="358">
        <f t="shared" si="205"/>
        <v>0</v>
      </c>
      <c r="AJ1535" s="94">
        <f t="shared" si="206"/>
        <v>42704</v>
      </c>
    </row>
    <row r="1536" spans="1:36" ht="12.75" customHeight="1">
      <c r="A1536" s="8">
        <v>42734</v>
      </c>
      <c r="B1536" s="94" t="s">
        <v>136</v>
      </c>
      <c r="C1536" s="92" t="s">
        <v>318</v>
      </c>
      <c r="D1536" s="374">
        <v>5213019.2479999997</v>
      </c>
      <c r="E1536" s="9" t="e">
        <f t="shared" si="209"/>
        <v>#DIV/0!</v>
      </c>
      <c r="F1536" s="98">
        <v>5</v>
      </c>
      <c r="G1536" s="98">
        <v>2195000</v>
      </c>
      <c r="H1536" s="98">
        <v>0</v>
      </c>
      <c r="I1536" s="98">
        <v>0</v>
      </c>
      <c r="J1536" s="98"/>
      <c r="L1536" s="93">
        <f t="shared" si="202"/>
        <v>2195000</v>
      </c>
      <c r="M1536" s="95" t="e">
        <f t="shared" ca="1" si="203"/>
        <v>#DIV/0!</v>
      </c>
      <c r="N1536" s="95">
        <f>IF(P1536="Hedge Fund",IF(A1536=Summary!$AD$3,M1536-E1536,M1536),IF(A1536=Summary!$AD$3,L1536-D1536,L1536))</f>
        <v>2195000</v>
      </c>
      <c r="O1536" s="95">
        <f t="shared" si="207"/>
        <v>2195000</v>
      </c>
      <c r="P1536" s="107" t="s">
        <v>155</v>
      </c>
      <c r="Q1536" s="107">
        <v>0</v>
      </c>
      <c r="R1536" s="107">
        <v>0</v>
      </c>
      <c r="S1536" s="107">
        <v>0</v>
      </c>
      <c r="T1536" s="107">
        <v>0</v>
      </c>
      <c r="U1536" s="107"/>
      <c r="V1536" s="107"/>
      <c r="W1536" s="107"/>
      <c r="X1536" s="107"/>
      <c r="Y1536" s="107"/>
      <c r="Z1536" s="107"/>
      <c r="AA1536" s="107"/>
      <c r="AB1536" s="107"/>
      <c r="AC1536" s="355"/>
      <c r="AD1536" s="355"/>
      <c r="AE1536" s="355"/>
      <c r="AF1536" s="94">
        <f t="shared" si="204"/>
        <v>42734</v>
      </c>
      <c r="AG1536" s="185">
        <f t="shared" si="208"/>
        <v>-5.3639922990432742E-3</v>
      </c>
      <c r="AH1536" s="339" t="str">
        <f>VLOOKUP(B1536,'MF PF'!A:B,2)</f>
        <v>FdMgt1</v>
      </c>
      <c r="AI1536" s="358">
        <f t="shared" si="205"/>
        <v>0</v>
      </c>
      <c r="AJ1536" s="94">
        <f t="shared" si="206"/>
        <v>42735</v>
      </c>
    </row>
    <row r="1537" spans="1:36" ht="12.75" customHeight="1">
      <c r="A1537" s="8">
        <v>42762</v>
      </c>
      <c r="B1537" s="94" t="s">
        <v>136</v>
      </c>
      <c r="C1537" s="358" t="s">
        <v>318</v>
      </c>
      <c r="D1537" s="374">
        <v>5278936.3995000003</v>
      </c>
      <c r="E1537" s="9" t="e">
        <f t="shared" si="209"/>
        <v>#DIV/0!</v>
      </c>
      <c r="F1537" s="98">
        <v>5</v>
      </c>
      <c r="G1537" s="98">
        <v>0</v>
      </c>
      <c r="H1537" s="98">
        <v>0</v>
      </c>
      <c r="I1537" s="98">
        <v>0</v>
      </c>
      <c r="J1537" s="98"/>
      <c r="L1537" s="93">
        <f t="shared" si="202"/>
        <v>0</v>
      </c>
      <c r="M1537" s="95" t="e">
        <f t="shared" ca="1" si="203"/>
        <v>#DIV/0!</v>
      </c>
      <c r="N1537" s="95">
        <f>IF(P1537="Hedge Fund",IF(A1537=Summary!$AD$3,M1537-E1537,M1537),IF(A1537=Summary!$AD$3,L1537-D1537,L1537))</f>
        <v>0</v>
      </c>
      <c r="O1537" s="95">
        <f t="shared" si="207"/>
        <v>0</v>
      </c>
      <c r="P1537" s="107" t="s">
        <v>155</v>
      </c>
      <c r="Q1537" s="107">
        <v>0</v>
      </c>
      <c r="R1537" s="107">
        <v>0</v>
      </c>
      <c r="S1537" s="107">
        <v>0</v>
      </c>
      <c r="T1537" s="107">
        <v>0</v>
      </c>
      <c r="U1537" s="107"/>
      <c r="V1537" s="107"/>
      <c r="W1537" s="107"/>
      <c r="X1537" s="107"/>
      <c r="Y1537" s="107"/>
      <c r="Z1537" s="107"/>
      <c r="AA1537" s="107"/>
      <c r="AB1537" s="107"/>
      <c r="AC1537" s="355"/>
      <c r="AD1537" s="355"/>
      <c r="AE1537" s="355"/>
      <c r="AF1537" s="94">
        <f t="shared" si="204"/>
        <v>42762</v>
      </c>
      <c r="AG1537" s="185">
        <f t="shared" si="208"/>
        <v>1.2644716691826874E-2</v>
      </c>
      <c r="AH1537" s="339" t="str">
        <f>VLOOKUP(B1537,'MF PF'!A:B,2)</f>
        <v>FdMgt1</v>
      </c>
      <c r="AI1537" s="358">
        <f t="shared" si="205"/>
        <v>0</v>
      </c>
      <c r="AJ1537" s="94">
        <f t="shared" si="206"/>
        <v>42766</v>
      </c>
    </row>
    <row r="1538" spans="1:36" ht="12.75" customHeight="1">
      <c r="A1538" s="8">
        <v>42794</v>
      </c>
      <c r="B1538" s="94" t="s">
        <v>136</v>
      </c>
      <c r="C1538" s="358" t="s">
        <v>318</v>
      </c>
      <c r="D1538" s="374">
        <v>5372620.875</v>
      </c>
      <c r="E1538" s="9" t="e">
        <f t="shared" si="209"/>
        <v>#DIV/0!</v>
      </c>
      <c r="F1538" s="98">
        <v>5</v>
      </c>
      <c r="G1538" s="98">
        <v>0</v>
      </c>
      <c r="H1538" s="98">
        <v>0</v>
      </c>
      <c r="I1538" s="98">
        <v>0</v>
      </c>
      <c r="J1538" s="98"/>
      <c r="L1538" s="93">
        <f t="shared" si="202"/>
        <v>0</v>
      </c>
      <c r="M1538" s="95" t="e">
        <f t="shared" ca="1" si="203"/>
        <v>#DIV/0!</v>
      </c>
      <c r="N1538" s="95">
        <f>IF(P1538="Hedge Fund",IF(A1538=Summary!$AD$3,M1538-E1538,M1538),IF(A1538=Summary!$AD$3,L1538-D1538,L1538))</f>
        <v>0</v>
      </c>
      <c r="O1538" s="95">
        <f t="shared" si="207"/>
        <v>0</v>
      </c>
      <c r="P1538" s="89" t="s">
        <v>155</v>
      </c>
      <c r="Q1538" s="107">
        <v>0</v>
      </c>
      <c r="R1538" s="107">
        <v>0</v>
      </c>
      <c r="S1538" s="107">
        <v>0</v>
      </c>
      <c r="T1538" s="107">
        <v>0</v>
      </c>
      <c r="U1538" s="107"/>
      <c r="V1538" s="107"/>
      <c r="W1538" s="107"/>
      <c r="X1538" s="107"/>
      <c r="Y1538" s="107"/>
      <c r="Z1538" s="107"/>
      <c r="AA1538" s="107"/>
      <c r="AB1538" s="107"/>
      <c r="AC1538" s="355"/>
      <c r="AD1538" s="355"/>
      <c r="AE1538" s="355"/>
      <c r="AF1538" s="94">
        <f t="shared" si="204"/>
        <v>42794</v>
      </c>
      <c r="AG1538" s="185">
        <f t="shared" si="208"/>
        <v>1.7746846790742454E-2</v>
      </c>
      <c r="AH1538" s="339" t="str">
        <f>VLOOKUP(B1538,'MF PF'!A:B,2)</f>
        <v>FdMgt1</v>
      </c>
      <c r="AI1538" s="358">
        <f t="shared" si="205"/>
        <v>0</v>
      </c>
      <c r="AJ1538" s="94">
        <f t="shared" si="206"/>
        <v>42794</v>
      </c>
    </row>
    <row r="1539" spans="1:36" ht="12.75" customHeight="1">
      <c r="A1539" s="94">
        <v>42825</v>
      </c>
      <c r="B1539" s="94" t="s">
        <v>136</v>
      </c>
      <c r="C1539" s="358" t="s">
        <v>318</v>
      </c>
      <c r="D1539" s="374">
        <v>5339568.574</v>
      </c>
      <c r="E1539" s="9" t="e">
        <f t="shared" si="209"/>
        <v>#DIV/0!</v>
      </c>
      <c r="F1539" s="98">
        <v>5</v>
      </c>
      <c r="G1539" s="98">
        <v>0</v>
      </c>
      <c r="H1539" s="98">
        <v>0</v>
      </c>
      <c r="I1539" s="98">
        <v>0</v>
      </c>
      <c r="J1539" s="98"/>
      <c r="L1539" s="93">
        <f t="shared" ref="L1539:L1602" si="210">G1539+H1539+I1539</f>
        <v>0</v>
      </c>
      <c r="M1539" s="95" t="e">
        <f t="shared" ref="M1539:M1602" ca="1" si="211">IF(A1539&gt;INDIRECT("A"&amp;ROW()-1),I1539/K1539,E1539)</f>
        <v>#DIV/0!</v>
      </c>
      <c r="N1539" s="95">
        <f>IF(P1539="Hedge Fund",IF(A1539=Summary!$AD$3,M1539-E1539,M1539),IF(A1539=Summary!$AD$3,L1539-D1539,L1539))</f>
        <v>0</v>
      </c>
      <c r="O1539" s="95">
        <f t="shared" si="207"/>
        <v>0</v>
      </c>
      <c r="P1539" s="89" t="s">
        <v>155</v>
      </c>
      <c r="Q1539" s="107">
        <v>0</v>
      </c>
      <c r="R1539" s="107">
        <v>0</v>
      </c>
      <c r="S1539" s="107">
        <v>0</v>
      </c>
      <c r="T1539" s="107">
        <v>0</v>
      </c>
      <c r="U1539" s="107"/>
      <c r="V1539" s="107"/>
      <c r="W1539" s="107"/>
      <c r="X1539" s="107"/>
      <c r="Y1539" s="107"/>
      <c r="Z1539" s="107"/>
      <c r="AA1539" s="107"/>
      <c r="AB1539" s="107"/>
      <c r="AC1539" s="355"/>
      <c r="AD1539" s="355"/>
      <c r="AE1539" s="355"/>
      <c r="AF1539" s="94">
        <f t="shared" ref="AF1539:AF1602" si="212">A1539</f>
        <v>42825</v>
      </c>
      <c r="AG1539" s="185">
        <f t="shared" si="208"/>
        <v>-6.1519883440500633E-3</v>
      </c>
      <c r="AH1539" s="339" t="str">
        <f>VLOOKUP(B1539,'MF PF'!A:B,2)</f>
        <v>FdMgt1</v>
      </c>
      <c r="AI1539" s="358">
        <f t="shared" ref="AI1539:AI1602" si="213">AF1539-A1539</f>
        <v>0</v>
      </c>
      <c r="AJ1539" s="94">
        <f t="shared" ref="AJ1539:AJ1602" si="214">EOMONTH(A1539,0)</f>
        <v>42825</v>
      </c>
    </row>
    <row r="1540" spans="1:36" ht="12.75" customHeight="1">
      <c r="A1540" s="8">
        <v>42853</v>
      </c>
      <c r="B1540" s="94" t="s">
        <v>136</v>
      </c>
      <c r="C1540" s="358" t="s">
        <v>318</v>
      </c>
      <c r="D1540" s="374">
        <v>5367841.2829999998</v>
      </c>
      <c r="E1540" s="95" t="e">
        <f t="shared" si="209"/>
        <v>#DIV/0!</v>
      </c>
      <c r="F1540" s="98">
        <v>5</v>
      </c>
      <c r="G1540" s="98">
        <v>0</v>
      </c>
      <c r="H1540" s="98">
        <v>0</v>
      </c>
      <c r="I1540" s="98">
        <v>0</v>
      </c>
      <c r="J1540" s="98"/>
      <c r="L1540" s="93">
        <f t="shared" si="210"/>
        <v>0</v>
      </c>
      <c r="M1540" s="95" t="e">
        <f t="shared" ca="1" si="211"/>
        <v>#DIV/0!</v>
      </c>
      <c r="N1540" s="95">
        <f>IF(P1540="Hedge Fund",IF(A1540=Summary!$AD$3,M1540-E1540,M1540),IF(A1540=Summary!$AD$3,L1540-D1540,L1540))</f>
        <v>0</v>
      </c>
      <c r="O1540" s="95">
        <f t="shared" si="207"/>
        <v>0</v>
      </c>
      <c r="P1540" s="89" t="s">
        <v>155</v>
      </c>
      <c r="Q1540" s="107">
        <v>0</v>
      </c>
      <c r="R1540" s="107">
        <v>0</v>
      </c>
      <c r="S1540" s="107">
        <v>0</v>
      </c>
      <c r="T1540" s="107">
        <v>0</v>
      </c>
      <c r="U1540" s="107"/>
      <c r="V1540" s="107"/>
      <c r="W1540" s="107"/>
      <c r="X1540" s="107"/>
      <c r="Y1540" s="107"/>
      <c r="Z1540" s="107"/>
      <c r="AA1540" s="107"/>
      <c r="AB1540" s="107"/>
      <c r="AC1540" s="355"/>
      <c r="AD1540" s="355"/>
      <c r="AE1540" s="355"/>
      <c r="AF1540" s="94">
        <f t="shared" si="212"/>
        <v>42853</v>
      </c>
      <c r="AG1540" s="185">
        <f t="shared" si="208"/>
        <v>5.2949425797559346E-3</v>
      </c>
      <c r="AH1540" s="339" t="str">
        <f>VLOOKUP(B1540,'MF PF'!A:B,2)</f>
        <v>FdMgt1</v>
      </c>
      <c r="AI1540" s="358">
        <f t="shared" si="213"/>
        <v>0</v>
      </c>
      <c r="AJ1540" s="94">
        <f t="shared" si="214"/>
        <v>42855</v>
      </c>
    </row>
    <row r="1541" spans="1:36" s="358" customFormat="1" ht="12.75" customHeight="1">
      <c r="A1541" s="94">
        <v>42886</v>
      </c>
      <c r="B1541" s="94" t="s">
        <v>136</v>
      </c>
      <c r="C1541" s="358" t="s">
        <v>318</v>
      </c>
      <c r="D1541" s="374">
        <v>5437080.2510000002</v>
      </c>
      <c r="E1541" s="95" t="e">
        <f t="shared" si="209"/>
        <v>#DIV/0!</v>
      </c>
      <c r="F1541" s="98">
        <v>5</v>
      </c>
      <c r="G1541" s="98">
        <v>0</v>
      </c>
      <c r="H1541" s="98">
        <v>0</v>
      </c>
      <c r="I1541" s="98">
        <v>0</v>
      </c>
      <c r="J1541" s="98"/>
      <c r="K1541" s="93"/>
      <c r="L1541" s="93">
        <f t="shared" si="210"/>
        <v>0</v>
      </c>
      <c r="M1541" s="95" t="e">
        <f t="shared" ca="1" si="211"/>
        <v>#DIV/0!</v>
      </c>
      <c r="N1541" s="95">
        <f>IF(P1541="Hedge Fund",IF(A1541=Summary!$AD$3,M1541-E1541,M1541),IF(A1541=Summary!$AD$3,L1541-D1541,L1541))</f>
        <v>0</v>
      </c>
      <c r="O1541" s="95">
        <f t="shared" si="207"/>
        <v>0</v>
      </c>
      <c r="P1541" s="107" t="s">
        <v>155</v>
      </c>
      <c r="Q1541" s="107">
        <v>0</v>
      </c>
      <c r="R1541" s="107">
        <v>0</v>
      </c>
      <c r="S1541" s="107">
        <v>0</v>
      </c>
      <c r="T1541" s="107">
        <v>0</v>
      </c>
      <c r="U1541" s="107"/>
      <c r="V1541" s="107"/>
      <c r="W1541" s="107"/>
      <c r="X1541" s="107"/>
      <c r="Y1541" s="107"/>
      <c r="Z1541" s="107"/>
      <c r="AA1541" s="107"/>
      <c r="AB1541" s="107"/>
      <c r="AF1541" s="94">
        <f t="shared" si="212"/>
        <v>42886</v>
      </c>
      <c r="AG1541" s="185">
        <f t="shared" si="208"/>
        <v>1.2898847851422257E-2</v>
      </c>
      <c r="AH1541" s="339" t="str">
        <f>VLOOKUP(B1541,'MF PF'!A:B,2)</f>
        <v>FdMgt1</v>
      </c>
      <c r="AI1541" s="358">
        <f t="shared" si="213"/>
        <v>0</v>
      </c>
      <c r="AJ1541" s="94">
        <f t="shared" si="214"/>
        <v>42886</v>
      </c>
    </row>
    <row r="1542" spans="1:36" ht="12.75" customHeight="1">
      <c r="A1542" s="94">
        <v>42916</v>
      </c>
      <c r="B1542" s="94" t="s">
        <v>136</v>
      </c>
      <c r="C1542" s="92" t="s">
        <v>318</v>
      </c>
      <c r="D1542" s="374">
        <v>5484375.9170000004</v>
      </c>
      <c r="E1542" s="95" t="e">
        <f t="shared" si="209"/>
        <v>#DIV/0!</v>
      </c>
      <c r="F1542" s="98">
        <v>5</v>
      </c>
      <c r="G1542" s="98">
        <v>0</v>
      </c>
      <c r="H1542" s="98">
        <v>0</v>
      </c>
      <c r="I1542" s="98">
        <v>0</v>
      </c>
      <c r="J1542" s="98"/>
      <c r="L1542" s="93">
        <f t="shared" si="210"/>
        <v>0</v>
      </c>
      <c r="M1542" s="95" t="e">
        <f t="shared" ca="1" si="211"/>
        <v>#DIV/0!</v>
      </c>
      <c r="N1542" s="95">
        <f>IF(P1542="Hedge Fund",IF(A1542=Summary!$AD$3,M1542-E1542,M1542),IF(A1542=Summary!$AD$3,L1542-D1542,L1542))</f>
        <v>0</v>
      </c>
      <c r="O1542" s="95">
        <f t="shared" si="207"/>
        <v>0</v>
      </c>
      <c r="P1542" s="107" t="s">
        <v>155</v>
      </c>
      <c r="Q1542" s="107">
        <v>0</v>
      </c>
      <c r="R1542" s="107">
        <v>0</v>
      </c>
      <c r="S1542" s="107">
        <v>0</v>
      </c>
      <c r="T1542" s="107">
        <v>0</v>
      </c>
      <c r="U1542" s="107"/>
      <c r="V1542" s="107"/>
      <c r="W1542" s="107"/>
      <c r="X1542" s="107"/>
      <c r="Y1542" s="107"/>
      <c r="Z1542" s="107"/>
      <c r="AA1542" s="107"/>
      <c r="AB1542" s="107"/>
      <c r="AC1542" s="355"/>
      <c r="AD1542" s="355"/>
      <c r="AE1542" s="355"/>
      <c r="AF1542" s="94">
        <f t="shared" si="212"/>
        <v>42916</v>
      </c>
      <c r="AG1542" s="185">
        <f t="shared" si="208"/>
        <v>8.6987250172188002E-3</v>
      </c>
      <c r="AH1542" s="339" t="str">
        <f>VLOOKUP(B1542,'MF PF'!A:B,2)</f>
        <v>FdMgt1</v>
      </c>
      <c r="AI1542" s="358">
        <f t="shared" si="213"/>
        <v>0</v>
      </c>
      <c r="AJ1542" s="94">
        <f t="shared" si="214"/>
        <v>42916</v>
      </c>
    </row>
    <row r="1543" spans="1:36" ht="12.75" customHeight="1">
      <c r="A1543" s="94">
        <v>42947</v>
      </c>
      <c r="B1543" s="94" t="s">
        <v>136</v>
      </c>
      <c r="C1543" s="358" t="s">
        <v>318</v>
      </c>
      <c r="D1543" s="374">
        <v>5528817.9800000004</v>
      </c>
      <c r="E1543" s="9" t="e">
        <f t="shared" si="209"/>
        <v>#DIV/0!</v>
      </c>
      <c r="F1543" s="98">
        <v>5</v>
      </c>
      <c r="G1543" s="98">
        <v>0</v>
      </c>
      <c r="H1543" s="98">
        <v>0</v>
      </c>
      <c r="I1543" s="98">
        <v>0</v>
      </c>
      <c r="J1543" s="98"/>
      <c r="L1543" s="93">
        <f t="shared" si="210"/>
        <v>0</v>
      </c>
      <c r="M1543" s="95" t="e">
        <f t="shared" ca="1" si="211"/>
        <v>#DIV/0!</v>
      </c>
      <c r="N1543" s="95">
        <f>IF(P1543="Hedge Fund",IF(A1543=Summary!$AD$3,M1543-E1543,M1543),IF(A1543=Summary!$AD$3,L1543-D1543,L1543))</f>
        <v>0</v>
      </c>
      <c r="O1543" s="95">
        <f t="shared" si="207"/>
        <v>0</v>
      </c>
      <c r="P1543" s="89" t="s">
        <v>155</v>
      </c>
      <c r="Q1543" s="107">
        <v>0</v>
      </c>
      <c r="R1543" s="107">
        <v>0</v>
      </c>
      <c r="S1543" s="107">
        <v>0</v>
      </c>
      <c r="T1543" s="107">
        <v>0</v>
      </c>
      <c r="U1543" s="107"/>
      <c r="V1543" s="107"/>
      <c r="W1543" s="107"/>
      <c r="X1543" s="107"/>
      <c r="Y1543" s="107"/>
      <c r="Z1543" s="107"/>
      <c r="AA1543" s="107"/>
      <c r="AB1543" s="107"/>
      <c r="AC1543" s="355"/>
      <c r="AD1543" s="355"/>
      <c r="AE1543" s="355"/>
      <c r="AF1543" s="94">
        <f t="shared" si="212"/>
        <v>42947</v>
      </c>
      <c r="AG1543" s="185">
        <f t="shared" si="208"/>
        <v>8.1033947476580881E-3</v>
      </c>
      <c r="AH1543" s="339" t="str">
        <f>VLOOKUP(B1543,'MF PF'!A:B,2)</f>
        <v>FdMgt1</v>
      </c>
      <c r="AI1543" s="358">
        <f t="shared" si="213"/>
        <v>0</v>
      </c>
      <c r="AJ1543" s="94">
        <f t="shared" si="214"/>
        <v>42947</v>
      </c>
    </row>
    <row r="1544" spans="1:36" ht="12.75" customHeight="1">
      <c r="A1544" s="8">
        <v>42978</v>
      </c>
      <c r="B1544" s="94" t="s">
        <v>136</v>
      </c>
      <c r="C1544" s="358" t="s">
        <v>318</v>
      </c>
      <c r="D1544" s="374">
        <v>5524500</v>
      </c>
      <c r="E1544" s="9" t="e">
        <f t="shared" si="209"/>
        <v>#DIV/0!</v>
      </c>
      <c r="F1544" s="98">
        <v>5</v>
      </c>
      <c r="G1544" s="98">
        <v>0</v>
      </c>
      <c r="H1544" s="98">
        <v>0</v>
      </c>
      <c r="I1544" s="98">
        <v>0</v>
      </c>
      <c r="J1544" s="98"/>
      <c r="L1544" s="93">
        <f t="shared" si="210"/>
        <v>0</v>
      </c>
      <c r="M1544" s="95" t="e">
        <f t="shared" ca="1" si="211"/>
        <v>#DIV/0!</v>
      </c>
      <c r="N1544" s="95">
        <f>IF(P1544="Hedge Fund",IF(A1544=Summary!$AD$3,M1544-E1544,M1544),IF(A1544=Summary!$AD$3,L1544-D1544,L1544))</f>
        <v>0</v>
      </c>
      <c r="O1544" s="95">
        <f t="shared" si="207"/>
        <v>0</v>
      </c>
      <c r="P1544" s="89" t="s">
        <v>155</v>
      </c>
      <c r="Q1544" s="107">
        <v>0</v>
      </c>
      <c r="R1544" s="107">
        <v>0</v>
      </c>
      <c r="S1544" s="107">
        <v>0</v>
      </c>
      <c r="T1544" s="107">
        <v>0</v>
      </c>
      <c r="U1544" s="107"/>
      <c r="V1544" s="107"/>
      <c r="W1544" s="107"/>
      <c r="X1544" s="107"/>
      <c r="Y1544" s="107"/>
      <c r="Z1544" s="107"/>
      <c r="AA1544" s="107"/>
      <c r="AB1544" s="107"/>
      <c r="AC1544" s="355"/>
      <c r="AD1544" s="355"/>
      <c r="AE1544" s="355"/>
      <c r="AF1544" s="94">
        <f t="shared" si="212"/>
        <v>42978</v>
      </c>
      <c r="AG1544" s="185">
        <f t="shared" si="208"/>
        <v>-7.8099514500573619E-4</v>
      </c>
      <c r="AH1544" s="339" t="str">
        <f>VLOOKUP(B1544,'MF PF'!A:B,2)</f>
        <v>FdMgt1</v>
      </c>
      <c r="AI1544" s="358">
        <f t="shared" si="213"/>
        <v>0</v>
      </c>
      <c r="AJ1544" s="94">
        <f t="shared" si="214"/>
        <v>42978</v>
      </c>
    </row>
    <row r="1545" spans="1:36" ht="12.75" customHeight="1">
      <c r="A1545" s="94">
        <v>43007</v>
      </c>
      <c r="B1545" s="94" t="s">
        <v>136</v>
      </c>
      <c r="C1545" s="358" t="s">
        <v>318</v>
      </c>
      <c r="D1545" s="374">
        <v>5553759.4379963763</v>
      </c>
      <c r="E1545" s="9" t="e">
        <f t="shared" si="209"/>
        <v>#DIV/0!</v>
      </c>
      <c r="F1545" s="98">
        <v>5</v>
      </c>
      <c r="G1545" s="98">
        <v>0</v>
      </c>
      <c r="H1545" s="98">
        <v>0</v>
      </c>
      <c r="I1545" s="98">
        <v>0</v>
      </c>
      <c r="J1545" s="98"/>
      <c r="L1545" s="93">
        <f t="shared" si="210"/>
        <v>0</v>
      </c>
      <c r="M1545" s="95" t="e">
        <f t="shared" ca="1" si="211"/>
        <v>#DIV/0!</v>
      </c>
      <c r="N1545" s="95">
        <f>IF(P1545="Hedge Fund",IF(A1545=Summary!$AD$3,M1545-E1545,M1545),IF(A1545=Summary!$AD$3,L1545-D1545,L1545))</f>
        <v>0</v>
      </c>
      <c r="O1545" s="95">
        <f t="shared" si="207"/>
        <v>0</v>
      </c>
      <c r="P1545" s="89" t="s">
        <v>155</v>
      </c>
      <c r="Q1545" s="107">
        <v>0</v>
      </c>
      <c r="R1545" s="107">
        <v>0</v>
      </c>
      <c r="S1545" s="107">
        <v>0</v>
      </c>
      <c r="T1545" s="107">
        <v>0</v>
      </c>
      <c r="U1545" s="107"/>
      <c r="V1545" s="107"/>
      <c r="W1545" s="107"/>
      <c r="X1545" s="107"/>
      <c r="Y1545" s="107"/>
      <c r="Z1545" s="107"/>
      <c r="AA1545" s="107"/>
      <c r="AB1545" s="107"/>
      <c r="AC1545" s="355"/>
      <c r="AD1545" s="355"/>
      <c r="AE1545" s="355"/>
      <c r="AF1545" s="94">
        <f t="shared" si="212"/>
        <v>43007</v>
      </c>
      <c r="AG1545" s="185">
        <f t="shared" si="208"/>
        <v>5.2963051853338605E-3</v>
      </c>
      <c r="AH1545" s="339" t="str">
        <f>VLOOKUP(B1545,'MF PF'!A:B,2)</f>
        <v>FdMgt1</v>
      </c>
      <c r="AI1545" s="358">
        <f t="shared" si="213"/>
        <v>0</v>
      </c>
      <c r="AJ1545" s="94">
        <f t="shared" si="214"/>
        <v>43008</v>
      </c>
    </row>
    <row r="1546" spans="1:36" ht="12.75" customHeight="1">
      <c r="A1546" s="94">
        <v>43039</v>
      </c>
      <c r="B1546" s="94" t="s">
        <v>136</v>
      </c>
      <c r="C1546" s="358" t="s">
        <v>318</v>
      </c>
      <c r="D1546" s="374">
        <v>5607200</v>
      </c>
      <c r="E1546" s="9" t="e">
        <f t="shared" si="209"/>
        <v>#DIV/0!</v>
      </c>
      <c r="F1546" s="98">
        <v>5</v>
      </c>
      <c r="G1546" s="98">
        <v>0</v>
      </c>
      <c r="H1546" s="98">
        <v>0</v>
      </c>
      <c r="I1546" s="98">
        <v>0</v>
      </c>
      <c r="J1546" s="98"/>
      <c r="L1546" s="93">
        <f t="shared" si="210"/>
        <v>0</v>
      </c>
      <c r="M1546" s="95" t="e">
        <f t="shared" ca="1" si="211"/>
        <v>#DIV/0!</v>
      </c>
      <c r="N1546" s="95">
        <f>IF(P1546="Hedge Fund",IF(A1546=Summary!$AD$3,M1546-E1546,M1546),IF(A1546=Summary!$AD$3,L1546-D1546,L1546))</f>
        <v>0</v>
      </c>
      <c r="O1546" s="95">
        <f t="shared" si="207"/>
        <v>0</v>
      </c>
      <c r="P1546" s="89" t="s">
        <v>155</v>
      </c>
      <c r="Q1546" s="107">
        <v>0</v>
      </c>
      <c r="R1546" s="107">
        <v>0</v>
      </c>
      <c r="S1546" s="107">
        <v>0</v>
      </c>
      <c r="T1546" s="107">
        <v>0</v>
      </c>
      <c r="U1546" s="107"/>
      <c r="V1546" s="107"/>
      <c r="W1546" s="107"/>
      <c r="X1546" s="107"/>
      <c r="Y1546" s="107"/>
      <c r="Z1546" s="107"/>
      <c r="AA1546" s="107"/>
      <c r="AB1546" s="107"/>
      <c r="AC1546" s="355"/>
      <c r="AD1546" s="355"/>
      <c r="AE1546" s="355"/>
      <c r="AF1546" s="94">
        <f t="shared" si="212"/>
        <v>43039</v>
      </c>
      <c r="AG1546" s="185">
        <f t="shared" si="208"/>
        <v>9.6224120976518002E-3</v>
      </c>
      <c r="AH1546" s="339" t="str">
        <f>VLOOKUP(B1546,'MF PF'!A:B,2)</f>
        <v>FdMgt1</v>
      </c>
      <c r="AI1546" s="358">
        <f t="shared" si="213"/>
        <v>0</v>
      </c>
      <c r="AJ1546" s="94">
        <f t="shared" si="214"/>
        <v>43039</v>
      </c>
    </row>
    <row r="1547" spans="1:36" ht="12.75" customHeight="1">
      <c r="A1547" s="94">
        <v>43069</v>
      </c>
      <c r="B1547" s="94" t="s">
        <v>136</v>
      </c>
      <c r="C1547" s="358" t="s">
        <v>318</v>
      </c>
      <c r="D1547" s="374">
        <v>5607542.5099999998</v>
      </c>
      <c r="E1547" s="9" t="e">
        <f t="shared" si="209"/>
        <v>#DIV/0!</v>
      </c>
      <c r="F1547" s="98">
        <v>5</v>
      </c>
      <c r="G1547" s="98">
        <v>0</v>
      </c>
      <c r="H1547" s="98">
        <v>0</v>
      </c>
      <c r="I1547" s="98">
        <v>0</v>
      </c>
      <c r="J1547" s="98"/>
      <c r="L1547" s="93">
        <f t="shared" si="210"/>
        <v>0</v>
      </c>
      <c r="M1547" s="95" t="e">
        <f t="shared" ca="1" si="211"/>
        <v>#DIV/0!</v>
      </c>
      <c r="N1547" s="95">
        <f>IF(P1547="Hedge Fund",IF(A1547=Summary!$AD$3,M1547-E1547,M1547),IF(A1547=Summary!$AD$3,L1547-D1547,L1547))</f>
        <v>0</v>
      </c>
      <c r="O1547" s="95">
        <f t="shared" si="207"/>
        <v>0</v>
      </c>
      <c r="P1547" s="107" t="s">
        <v>155</v>
      </c>
      <c r="Q1547" s="107">
        <v>0</v>
      </c>
      <c r="R1547" s="107">
        <v>0</v>
      </c>
      <c r="S1547" s="107">
        <v>0</v>
      </c>
      <c r="T1547" s="107">
        <v>0</v>
      </c>
      <c r="U1547" s="107"/>
      <c r="V1547" s="107"/>
      <c r="W1547" s="107"/>
      <c r="X1547" s="107"/>
      <c r="Y1547" s="107"/>
      <c r="Z1547" s="107"/>
      <c r="AA1547" s="107"/>
      <c r="AB1547" s="107"/>
      <c r="AC1547" s="355"/>
      <c r="AD1547" s="355"/>
      <c r="AE1547" s="355"/>
      <c r="AF1547" s="94">
        <f t="shared" si="212"/>
        <v>43069</v>
      </c>
      <c r="AG1547" s="185">
        <f t="shared" si="208"/>
        <v>6.1083963475594416E-5</v>
      </c>
      <c r="AH1547" s="339" t="str">
        <f>VLOOKUP(B1547,'MF PF'!A:B,2)</f>
        <v>FdMgt1</v>
      </c>
      <c r="AI1547" s="358">
        <f t="shared" si="213"/>
        <v>0</v>
      </c>
      <c r="AJ1547" s="94">
        <f t="shared" si="214"/>
        <v>43069</v>
      </c>
    </row>
    <row r="1548" spans="1:36" ht="12.75" customHeight="1">
      <c r="A1548" s="8">
        <v>43098</v>
      </c>
      <c r="B1548" s="94" t="s">
        <v>136</v>
      </c>
      <c r="C1548" s="358" t="s">
        <v>318</v>
      </c>
      <c r="D1548" s="374">
        <v>6059600</v>
      </c>
      <c r="E1548" s="9" t="e">
        <f t="shared" si="209"/>
        <v>#DIV/0!</v>
      </c>
      <c r="F1548" s="98">
        <v>5</v>
      </c>
      <c r="G1548" s="98">
        <v>0</v>
      </c>
      <c r="H1548" s="98">
        <v>0</v>
      </c>
      <c r="I1548" s="98">
        <v>0</v>
      </c>
      <c r="J1548" s="98"/>
      <c r="L1548" s="93">
        <f t="shared" si="210"/>
        <v>0</v>
      </c>
      <c r="M1548" s="95" t="e">
        <f t="shared" ca="1" si="211"/>
        <v>#DIV/0!</v>
      </c>
      <c r="N1548" s="95">
        <f>IF(P1548="Hedge Fund",IF(A1548=Summary!$AD$3,M1548-E1548,M1548),IF(A1548=Summary!$AD$3,L1548-D1548,L1548))</f>
        <v>0</v>
      </c>
      <c r="O1548" s="95">
        <f t="shared" si="207"/>
        <v>0</v>
      </c>
      <c r="P1548" s="107" t="s">
        <v>155</v>
      </c>
      <c r="Q1548" s="107">
        <v>0</v>
      </c>
      <c r="R1548" s="107">
        <v>0</v>
      </c>
      <c r="S1548" s="107">
        <v>0</v>
      </c>
      <c r="T1548" s="107">
        <v>0</v>
      </c>
      <c r="U1548" s="107"/>
      <c r="V1548" s="107"/>
      <c r="W1548" s="107"/>
      <c r="X1548" s="107"/>
      <c r="Y1548" s="107"/>
      <c r="Z1548" s="107"/>
      <c r="AA1548" s="107"/>
      <c r="AB1548" s="107"/>
      <c r="AC1548" s="355"/>
      <c r="AD1548" s="355"/>
      <c r="AE1548" s="355"/>
      <c r="AF1548" s="94">
        <f t="shared" si="212"/>
        <v>43098</v>
      </c>
      <c r="AG1548" s="185">
        <f t="shared" si="208"/>
        <v>8.0615972004463687E-2</v>
      </c>
      <c r="AH1548" s="339" t="str">
        <f>VLOOKUP(B1548,'MF PF'!A:B,2)</f>
        <v>FdMgt1</v>
      </c>
      <c r="AI1548" s="358">
        <f t="shared" si="213"/>
        <v>0</v>
      </c>
      <c r="AJ1548" s="94">
        <f t="shared" si="214"/>
        <v>43100</v>
      </c>
    </row>
    <row r="1549" spans="1:36" ht="12.75" customHeight="1">
      <c r="A1549" s="8">
        <v>43131</v>
      </c>
      <c r="B1549" s="94" t="s">
        <v>136</v>
      </c>
      <c r="C1549" s="358" t="s">
        <v>318</v>
      </c>
      <c r="D1549" s="374">
        <v>6221400</v>
      </c>
      <c r="E1549" s="9" t="e">
        <f t="shared" si="209"/>
        <v>#DIV/0!</v>
      </c>
      <c r="F1549" s="98">
        <v>5</v>
      </c>
      <c r="G1549" s="98">
        <v>0</v>
      </c>
      <c r="H1549" s="98">
        <v>0</v>
      </c>
      <c r="I1549" s="98">
        <v>0</v>
      </c>
      <c r="J1549" s="98"/>
      <c r="L1549" s="93">
        <f t="shared" si="210"/>
        <v>0</v>
      </c>
      <c r="M1549" s="95" t="e">
        <f t="shared" ca="1" si="211"/>
        <v>#DIV/0!</v>
      </c>
      <c r="N1549" s="95">
        <f>IF(P1549="Hedge Fund",IF(A1549=Summary!$AD$3,M1549-E1549,M1549),IF(A1549=Summary!$AD$3,L1549-D1549,L1549))</f>
        <v>0</v>
      </c>
      <c r="O1549" s="95">
        <f t="shared" si="207"/>
        <v>0</v>
      </c>
      <c r="P1549" s="89" t="s">
        <v>155</v>
      </c>
      <c r="Q1549" s="107">
        <v>0</v>
      </c>
      <c r="R1549" s="107">
        <v>0</v>
      </c>
      <c r="S1549" s="107">
        <v>0</v>
      </c>
      <c r="T1549" s="107">
        <v>0</v>
      </c>
      <c r="U1549" s="107"/>
      <c r="V1549" s="107"/>
      <c r="W1549" s="107"/>
      <c r="X1549" s="107"/>
      <c r="Y1549" s="107"/>
      <c r="Z1549" s="107"/>
      <c r="AA1549" s="107"/>
      <c r="AB1549" s="107"/>
      <c r="AC1549" s="355"/>
      <c r="AD1549" s="355"/>
      <c r="AE1549" s="355"/>
      <c r="AF1549" s="94">
        <f t="shared" si="212"/>
        <v>43131</v>
      </c>
      <c r="AG1549" s="185">
        <f t="shared" si="208"/>
        <v>2.6701432437784778E-2</v>
      </c>
      <c r="AH1549" s="339" t="str">
        <f>VLOOKUP(B1549,'MF PF'!A:B,2)</f>
        <v>FdMgt1</v>
      </c>
      <c r="AI1549" s="358">
        <f t="shared" si="213"/>
        <v>0</v>
      </c>
      <c r="AJ1549" s="94">
        <f t="shared" si="214"/>
        <v>43131</v>
      </c>
    </row>
    <row r="1550" spans="1:36" ht="12.75" customHeight="1">
      <c r="A1550" s="8">
        <v>43159</v>
      </c>
      <c r="B1550" s="94" t="s">
        <v>136</v>
      </c>
      <c r="C1550" s="358" t="s">
        <v>318</v>
      </c>
      <c r="D1550" s="374">
        <v>6246730.6699999999</v>
      </c>
      <c r="E1550" s="9" t="e">
        <f t="shared" si="209"/>
        <v>#DIV/0!</v>
      </c>
      <c r="F1550" s="98">
        <v>5</v>
      </c>
      <c r="G1550" s="98">
        <v>0</v>
      </c>
      <c r="H1550" s="98">
        <v>-9.3132257461547852E-10</v>
      </c>
      <c r="I1550" s="98">
        <v>0</v>
      </c>
      <c r="J1550" s="98"/>
      <c r="L1550" s="93">
        <f t="shared" si="210"/>
        <v>-9.3132257461547852E-10</v>
      </c>
      <c r="M1550" s="95" t="e">
        <f t="shared" ca="1" si="211"/>
        <v>#DIV/0!</v>
      </c>
      <c r="N1550" s="95">
        <f>IF(P1550="Hedge Fund",IF(A1550=Summary!$AD$3,M1550-E1550,M1550),IF(A1550=Summary!$AD$3,L1550-D1550,L1550))</f>
        <v>-9.3132257461547852E-10</v>
      </c>
      <c r="O1550" s="95">
        <f t="shared" ref="O1550:O1613" si="215">N1550</f>
        <v>-9.3132257461547852E-10</v>
      </c>
      <c r="P1550" s="89" t="s">
        <v>155</v>
      </c>
      <c r="Q1550" s="107">
        <v>0</v>
      </c>
      <c r="R1550" s="107">
        <v>0</v>
      </c>
      <c r="S1550" s="107">
        <v>0</v>
      </c>
      <c r="T1550" s="107">
        <v>0</v>
      </c>
      <c r="U1550" s="107"/>
      <c r="V1550" s="107"/>
      <c r="W1550" s="107"/>
      <c r="X1550" s="107"/>
      <c r="Y1550" s="107"/>
      <c r="Z1550" s="107"/>
      <c r="AA1550" s="107"/>
      <c r="AB1550" s="107"/>
      <c r="AC1550" s="355"/>
      <c r="AD1550" s="355"/>
      <c r="AE1550" s="355"/>
      <c r="AF1550" s="94">
        <f t="shared" si="212"/>
        <v>43159</v>
      </c>
      <c r="AG1550" s="185">
        <f t="shared" si="208"/>
        <v>4.0715385604528365E-3</v>
      </c>
      <c r="AH1550" s="339" t="str">
        <f>VLOOKUP(B1550,'MF PF'!A:B,2)</f>
        <v>FdMgt1</v>
      </c>
      <c r="AI1550" s="358">
        <f t="shared" si="213"/>
        <v>0</v>
      </c>
      <c r="AJ1550" s="94">
        <f t="shared" si="214"/>
        <v>43159</v>
      </c>
    </row>
    <row r="1551" spans="1:36" ht="12.75" customHeight="1">
      <c r="A1551" s="94">
        <v>43188</v>
      </c>
      <c r="B1551" s="94" t="s">
        <v>136</v>
      </c>
      <c r="C1551" s="358" t="s">
        <v>318</v>
      </c>
      <c r="D1551" s="374">
        <v>6303590.3959999997</v>
      </c>
      <c r="E1551" s="9" t="e">
        <f t="shared" si="209"/>
        <v>#DIV/0!</v>
      </c>
      <c r="F1551" s="98">
        <v>5</v>
      </c>
      <c r="G1551" s="98">
        <v>0</v>
      </c>
      <c r="H1551" s="98">
        <v>0</v>
      </c>
      <c r="I1551" s="98">
        <v>0</v>
      </c>
      <c r="J1551" s="98"/>
      <c r="K1551" s="93"/>
      <c r="L1551" s="93">
        <f t="shared" si="210"/>
        <v>0</v>
      </c>
      <c r="M1551" s="95" t="e">
        <f t="shared" ca="1" si="211"/>
        <v>#DIV/0!</v>
      </c>
      <c r="N1551" s="95">
        <f>IF(P1551="Hedge Fund",IF(A1551=Summary!$AD$3,M1551-E1551,M1551),IF(A1551=Summary!$AD$3,L1551-D1551,L1551))</f>
        <v>0</v>
      </c>
      <c r="O1551" s="95">
        <f t="shared" si="215"/>
        <v>0</v>
      </c>
      <c r="P1551" s="107" t="s">
        <v>155</v>
      </c>
      <c r="Q1551" s="109">
        <v>2.4255213193791345E-2</v>
      </c>
      <c r="R1551" s="109">
        <v>0.23004536399999997</v>
      </c>
      <c r="S1551" s="107">
        <v>2.4255213193791346E-3</v>
      </c>
      <c r="T1551" s="107">
        <v>2.300453642135802E-2</v>
      </c>
      <c r="U1551" s="107"/>
      <c r="V1551" s="107"/>
      <c r="W1551" s="107"/>
      <c r="X1551" s="107"/>
      <c r="Y1551" s="107"/>
      <c r="Z1551" s="107"/>
      <c r="AA1551" s="107"/>
      <c r="AB1551" s="107"/>
      <c r="AC1551" s="355"/>
      <c r="AD1551" s="355"/>
      <c r="AE1551" s="355"/>
      <c r="AF1551" s="94">
        <f t="shared" si="212"/>
        <v>43188</v>
      </c>
      <c r="AG1551" s="185">
        <f t="shared" ref="AG1551:AG1614" si="216">IF(C1551&lt;&gt;C1550,D1551/G1551-1,(D1551-G1551-I1551-H1551)/(D1550)-1)</f>
        <v>9.1023175167563863E-3</v>
      </c>
      <c r="AH1551" s="339" t="str">
        <f>VLOOKUP(B1551,'MF PF'!A:B,2)</f>
        <v>FdMgt1</v>
      </c>
      <c r="AI1551" s="358">
        <f t="shared" si="213"/>
        <v>0</v>
      </c>
      <c r="AJ1551" s="94">
        <f t="shared" si="214"/>
        <v>43190</v>
      </c>
    </row>
    <row r="1552" spans="1:36" ht="12.75" customHeight="1">
      <c r="A1552" s="94">
        <v>43220</v>
      </c>
      <c r="B1552" s="94" t="s">
        <v>136</v>
      </c>
      <c r="C1552" s="358" t="s">
        <v>318</v>
      </c>
      <c r="D1552" s="374">
        <v>6343370.1665000003</v>
      </c>
      <c r="E1552" s="9" t="e">
        <f t="shared" si="209"/>
        <v>#DIV/0!</v>
      </c>
      <c r="F1552" s="98">
        <v>5</v>
      </c>
      <c r="G1552" s="98">
        <v>0</v>
      </c>
      <c r="H1552" s="98">
        <v>0</v>
      </c>
      <c r="I1552" s="98">
        <v>0</v>
      </c>
      <c r="J1552" s="98"/>
      <c r="K1552" s="93"/>
      <c r="L1552" s="93">
        <f t="shared" si="210"/>
        <v>0</v>
      </c>
      <c r="M1552" s="95" t="e">
        <f t="shared" ca="1" si="211"/>
        <v>#DIV/0!</v>
      </c>
      <c r="N1552" s="95">
        <f>IF(P1552="Hedge Fund",IF(A1552=Summary!$AD$3,M1552-E1552,M1552),IF(A1552=Summary!$AD$3,L1552-D1552,L1552))</f>
        <v>0</v>
      </c>
      <c r="O1552" s="95">
        <f t="shared" si="215"/>
        <v>0</v>
      </c>
      <c r="P1552" s="107" t="s">
        <v>155</v>
      </c>
      <c r="Q1552" s="109">
        <v>0</v>
      </c>
      <c r="R1552" s="109">
        <v>0.23706532</v>
      </c>
      <c r="S1552" s="107">
        <v>0</v>
      </c>
      <c r="T1552" s="107">
        <v>0</v>
      </c>
      <c r="U1552" s="107"/>
      <c r="V1552" s="107"/>
      <c r="W1552" s="107"/>
      <c r="X1552" s="107"/>
      <c r="Y1552" s="107"/>
      <c r="Z1552" s="107"/>
      <c r="AA1552" s="107"/>
      <c r="AB1552" s="107"/>
      <c r="AC1552" s="355"/>
      <c r="AD1552" s="355"/>
      <c r="AE1552" s="355"/>
      <c r="AF1552" s="94">
        <f t="shared" si="212"/>
        <v>43220</v>
      </c>
      <c r="AG1552" s="185">
        <f t="shared" si="216"/>
        <v>6.3106528186289701E-3</v>
      </c>
      <c r="AH1552" s="339" t="str">
        <f>VLOOKUP(B1552,'MF PF'!A:B,2)</f>
        <v>FdMgt1</v>
      </c>
      <c r="AI1552" s="358">
        <f t="shared" si="213"/>
        <v>0</v>
      </c>
      <c r="AJ1552" s="94">
        <f t="shared" si="214"/>
        <v>43220</v>
      </c>
    </row>
    <row r="1553" spans="1:36" ht="12.75" customHeight="1">
      <c r="A1553" s="94">
        <v>43251</v>
      </c>
      <c r="B1553" s="358" t="s">
        <v>136</v>
      </c>
      <c r="C1553" s="94" t="s">
        <v>318</v>
      </c>
      <c r="D1553" s="374">
        <v>6384583.8870000001</v>
      </c>
      <c r="E1553" s="9" t="e">
        <f t="shared" si="209"/>
        <v>#DIV/0!</v>
      </c>
      <c r="F1553" s="98">
        <v>5</v>
      </c>
      <c r="G1553" s="98">
        <v>0</v>
      </c>
      <c r="H1553" s="98">
        <v>0</v>
      </c>
      <c r="I1553" s="110">
        <v>0</v>
      </c>
      <c r="J1553" s="110"/>
      <c r="K1553" s="93"/>
      <c r="L1553" s="93">
        <f t="shared" si="210"/>
        <v>0</v>
      </c>
      <c r="M1553" s="95" t="e">
        <f t="shared" ca="1" si="211"/>
        <v>#DIV/0!</v>
      </c>
      <c r="N1553" s="95">
        <f>IF(P1553="Hedge Fund",IF(A1553=Summary!$AD$3,M1553-E1553,M1553),IF(A1553=Summary!$AD$3,L1553-D1553,L1553))</f>
        <v>0</v>
      </c>
      <c r="O1553" s="95">
        <f t="shared" si="215"/>
        <v>0</v>
      </c>
      <c r="P1553" s="107" t="s">
        <v>155</v>
      </c>
      <c r="Q1553" s="109">
        <v>0</v>
      </c>
      <c r="R1553" s="109">
        <v>0.24433832999999999</v>
      </c>
      <c r="S1553" s="107">
        <v>0</v>
      </c>
      <c r="T1553" s="107">
        <v>0</v>
      </c>
      <c r="U1553" s="107"/>
      <c r="V1553" s="107"/>
      <c r="W1553" s="107"/>
      <c r="X1553" s="107"/>
      <c r="Y1553" s="107"/>
      <c r="Z1553" s="107"/>
      <c r="AA1553" s="107"/>
      <c r="AB1553" s="107"/>
      <c r="AC1553" s="355"/>
      <c r="AD1553" s="355"/>
      <c r="AE1553" s="355"/>
      <c r="AF1553" s="94">
        <f t="shared" si="212"/>
        <v>43251</v>
      </c>
      <c r="AG1553" s="185">
        <f t="shared" si="216"/>
        <v>6.4971331355774264E-3</v>
      </c>
      <c r="AH1553" s="339" t="str">
        <f>VLOOKUP(B1553,'MF PF'!A:B,2)</f>
        <v>FdMgt1</v>
      </c>
      <c r="AI1553" s="358">
        <f t="shared" si="213"/>
        <v>0</v>
      </c>
      <c r="AJ1553" s="94">
        <f t="shared" si="214"/>
        <v>43251</v>
      </c>
    </row>
    <row r="1554" spans="1:36" ht="12.75" customHeight="1">
      <c r="A1554" s="8">
        <v>43280</v>
      </c>
      <c r="B1554" s="358" t="s">
        <v>136</v>
      </c>
      <c r="C1554" s="94" t="s">
        <v>318</v>
      </c>
      <c r="D1554" s="374">
        <v>6373127.7314999998</v>
      </c>
      <c r="E1554" s="9" t="e">
        <f t="shared" si="209"/>
        <v>#DIV/0!</v>
      </c>
      <c r="F1554" s="98">
        <v>5</v>
      </c>
      <c r="G1554" s="98">
        <v>0</v>
      </c>
      <c r="H1554" s="98">
        <v>0</v>
      </c>
      <c r="I1554" s="110">
        <v>0</v>
      </c>
      <c r="J1554" s="110"/>
      <c r="L1554" s="93">
        <f t="shared" si="210"/>
        <v>0</v>
      </c>
      <c r="M1554" s="95" t="e">
        <f t="shared" ca="1" si="211"/>
        <v>#DIV/0!</v>
      </c>
      <c r="N1554" s="95">
        <f>IF(P1554="Hedge Fund",IF(A1554=Summary!$AD$3,M1554-E1554,M1554),IF(A1554=Summary!$AD$3,L1554-D1554,L1554))</f>
        <v>0</v>
      </c>
      <c r="O1554" s="95">
        <f t="shared" si="215"/>
        <v>0</v>
      </c>
      <c r="P1554" s="107" t="s">
        <v>155</v>
      </c>
      <c r="Q1554" s="109">
        <v>2.5106739999999999E-2</v>
      </c>
      <c r="R1554" s="109">
        <v>0.24231665999999999</v>
      </c>
      <c r="S1554" s="107">
        <v>2.5106741274694934E-3</v>
      </c>
      <c r="T1554" s="107">
        <v>2.4231665894614896E-2</v>
      </c>
      <c r="U1554" s="107"/>
      <c r="V1554" s="107"/>
      <c r="W1554" s="107"/>
      <c r="X1554" s="107"/>
      <c r="Y1554" s="107"/>
      <c r="Z1554" s="107"/>
      <c r="AA1554" s="107"/>
      <c r="AB1554" s="107"/>
      <c r="AC1554" s="355"/>
      <c r="AD1554" s="355"/>
      <c r="AE1554" s="355"/>
      <c r="AF1554" s="94">
        <f t="shared" si="212"/>
        <v>43280</v>
      </c>
      <c r="AG1554" s="185">
        <f t="shared" si="216"/>
        <v>-1.794346460593399E-3</v>
      </c>
      <c r="AH1554" s="339" t="str">
        <f>VLOOKUP(B1554,'MF PF'!A:B,2)</f>
        <v>FdMgt1</v>
      </c>
      <c r="AI1554" s="358">
        <f t="shared" si="213"/>
        <v>0</v>
      </c>
      <c r="AJ1554" s="94">
        <f t="shared" si="214"/>
        <v>43281</v>
      </c>
    </row>
    <row r="1555" spans="1:36" ht="12.75" customHeight="1">
      <c r="A1555" s="8">
        <v>43312</v>
      </c>
      <c r="B1555" s="358" t="s">
        <v>136</v>
      </c>
      <c r="C1555" s="94" t="s">
        <v>318</v>
      </c>
      <c r="D1555" s="374">
        <v>6397608.7429999998</v>
      </c>
      <c r="E1555" s="95" t="str">
        <f>IF(K1555="","",D1555/K1555)</f>
        <v/>
      </c>
      <c r="F1555" s="98">
        <v>5</v>
      </c>
      <c r="G1555" s="98">
        <v>0</v>
      </c>
      <c r="H1555" s="98">
        <v>0</v>
      </c>
      <c r="I1555" s="98">
        <v>0</v>
      </c>
      <c r="J1555" s="98"/>
      <c r="K1555" s="93"/>
      <c r="L1555" s="93">
        <f t="shared" si="210"/>
        <v>0</v>
      </c>
      <c r="M1555" s="95" t="e">
        <f t="shared" ca="1" si="211"/>
        <v>#DIV/0!</v>
      </c>
      <c r="N1555" s="95">
        <f>IF(P1555="Hedge Fund",IF(A1555=Summary!$AD$3,M1555-E1555,M1555),IF(A1555=Summary!$AD$3,L1555-D1555,L1555))</f>
        <v>0</v>
      </c>
      <c r="O1555" s="95">
        <f t="shared" si="215"/>
        <v>0</v>
      </c>
      <c r="P1555" s="107" t="s">
        <v>155</v>
      </c>
      <c r="Q1555" s="107">
        <v>0</v>
      </c>
      <c r="R1555" s="109">
        <v>0.246636837</v>
      </c>
      <c r="S1555" s="107">
        <v>0</v>
      </c>
      <c r="T1555" s="107">
        <v>0</v>
      </c>
      <c r="U1555" s="107"/>
      <c r="V1555" s="107"/>
      <c r="W1555" s="107"/>
      <c r="X1555" s="107"/>
      <c r="Y1555" s="107"/>
      <c r="Z1555" s="107"/>
      <c r="AA1555" s="107"/>
      <c r="AB1555" s="107"/>
      <c r="AC1555" s="355"/>
      <c r="AD1555" s="355"/>
      <c r="AE1555" s="355"/>
      <c r="AF1555" s="94">
        <f t="shared" si="212"/>
        <v>43312</v>
      </c>
      <c r="AG1555" s="185">
        <f t="shared" si="216"/>
        <v>3.8412868110266896E-3</v>
      </c>
      <c r="AH1555" s="339" t="str">
        <f>VLOOKUP(B1555,'MF PF'!A:B,2)</f>
        <v>FdMgt1</v>
      </c>
      <c r="AI1555" s="358">
        <f t="shared" si="213"/>
        <v>0</v>
      </c>
      <c r="AJ1555" s="94">
        <f t="shared" si="214"/>
        <v>43312</v>
      </c>
    </row>
    <row r="1556" spans="1:36" ht="12.75" customHeight="1">
      <c r="A1556" s="8">
        <v>43343</v>
      </c>
      <c r="B1556" s="358" t="s">
        <v>136</v>
      </c>
      <c r="C1556" s="94" t="s">
        <v>318</v>
      </c>
      <c r="D1556" s="374">
        <v>6381653.9115000004</v>
      </c>
      <c r="E1556" s="9" t="str">
        <f>IF(K1556="","",D1556/K1556)</f>
        <v/>
      </c>
      <c r="F1556" s="98">
        <v>5</v>
      </c>
      <c r="G1556" s="98">
        <v>0</v>
      </c>
      <c r="H1556" s="98">
        <v>0</v>
      </c>
      <c r="I1556" s="98">
        <v>0</v>
      </c>
      <c r="J1556" s="98"/>
      <c r="K1556" s="93"/>
      <c r="L1556" s="93">
        <f t="shared" si="210"/>
        <v>0</v>
      </c>
      <c r="M1556" s="95" t="e">
        <f t="shared" ca="1" si="211"/>
        <v>#DIV/0!</v>
      </c>
      <c r="N1556" s="95">
        <f>IF(P1556="Hedge Fund",IF(A1556=Summary!$AD$3,M1556-E1556,M1556),IF(A1556=Summary!$AD$3,L1556-D1556,L1556))</f>
        <v>0</v>
      </c>
      <c r="O1556" s="95">
        <f t="shared" si="215"/>
        <v>0</v>
      </c>
      <c r="P1556" s="107" t="s">
        <v>155</v>
      </c>
      <c r="Q1556" s="107">
        <v>0</v>
      </c>
      <c r="R1556" s="109">
        <v>0.24382127850000004</v>
      </c>
      <c r="S1556" s="107">
        <v>0</v>
      </c>
      <c r="T1556" s="107">
        <v>0</v>
      </c>
      <c r="U1556" s="107"/>
      <c r="V1556" s="107"/>
      <c r="W1556" s="107"/>
      <c r="X1556" s="107"/>
      <c r="Y1556" s="107"/>
      <c r="Z1556" s="107"/>
      <c r="AA1556" s="107"/>
      <c r="AB1556" s="107"/>
      <c r="AC1556" s="355"/>
      <c r="AD1556" s="355"/>
      <c r="AE1556" s="355"/>
      <c r="AF1556" s="94">
        <f t="shared" si="212"/>
        <v>43343</v>
      </c>
      <c r="AG1556" s="185">
        <f t="shared" si="216"/>
        <v>-2.4938742178406414E-3</v>
      </c>
      <c r="AH1556" s="339" t="str">
        <f>VLOOKUP(B1556,'MF PF'!A:B,2)</f>
        <v>FdMgt1</v>
      </c>
      <c r="AI1556" s="358">
        <f t="shared" si="213"/>
        <v>0</v>
      </c>
      <c r="AJ1556" s="94">
        <f t="shared" si="214"/>
        <v>43343</v>
      </c>
    </row>
    <row r="1557" spans="1:36" ht="12.75" customHeight="1">
      <c r="A1557" s="94">
        <v>43371</v>
      </c>
      <c r="B1557" s="358" t="s">
        <v>136</v>
      </c>
      <c r="C1557" s="358" t="s">
        <v>318</v>
      </c>
      <c r="D1557" s="374">
        <v>6268510.5815000003</v>
      </c>
      <c r="F1557" s="105">
        <v>5</v>
      </c>
      <c r="G1557" s="93">
        <v>0</v>
      </c>
      <c r="H1557" s="93">
        <v>0</v>
      </c>
      <c r="I1557" s="93">
        <v>0</v>
      </c>
      <c r="K1557" s="93">
        <v>0</v>
      </c>
      <c r="L1557" s="93">
        <f t="shared" si="210"/>
        <v>0</v>
      </c>
      <c r="M1557" s="95" t="e">
        <f t="shared" ca="1" si="211"/>
        <v>#DIV/0!</v>
      </c>
      <c r="N1557" s="95">
        <f>IF(P1557="Hedge Fund",IF(A1557=Summary!$AD$3,M1557-E1557,M1557),IF(A1557=Summary!$AD$3,L1557-D1557,L1557))</f>
        <v>0</v>
      </c>
      <c r="O1557" s="95">
        <f t="shared" si="215"/>
        <v>0</v>
      </c>
      <c r="P1557" s="95" t="s">
        <v>155</v>
      </c>
      <c r="Q1557" s="353">
        <v>2.437080795572456E-2</v>
      </c>
      <c r="R1557" s="95">
        <v>0.22385480849999995</v>
      </c>
      <c r="S1557" s="95">
        <v>2.4370807955724559E-3</v>
      </c>
      <c r="T1557" s="95">
        <v>2.2385480779998891E-2</v>
      </c>
      <c r="U1557" s="95"/>
      <c r="V1557" s="95"/>
      <c r="W1557" s="95"/>
      <c r="X1557" s="95"/>
      <c r="Y1557" s="95"/>
      <c r="Z1557" s="95"/>
      <c r="AA1557" s="95"/>
      <c r="AB1557" s="95"/>
      <c r="AC1557" s="355"/>
      <c r="AD1557" s="355"/>
      <c r="AE1557" s="355"/>
      <c r="AF1557" s="94">
        <f t="shared" si="212"/>
        <v>43371</v>
      </c>
      <c r="AG1557" s="185">
        <f t="shared" si="216"/>
        <v>-1.7729468186313158E-2</v>
      </c>
      <c r="AH1557" s="339" t="str">
        <f>VLOOKUP(B1557,'MF PF'!A:B,2)</f>
        <v>FdMgt1</v>
      </c>
      <c r="AI1557" s="358">
        <f t="shared" si="213"/>
        <v>0</v>
      </c>
      <c r="AJ1557" s="94">
        <f t="shared" si="214"/>
        <v>43373</v>
      </c>
    </row>
    <row r="1558" spans="1:36" ht="12.75" customHeight="1">
      <c r="A1558" s="94">
        <v>43404</v>
      </c>
      <c r="B1558" s="358" t="s">
        <v>136</v>
      </c>
      <c r="C1558" s="358" t="s">
        <v>318</v>
      </c>
      <c r="D1558" s="374">
        <v>6224956.0800000001</v>
      </c>
      <c r="F1558" s="105">
        <v>5</v>
      </c>
      <c r="G1558" s="93">
        <v>0</v>
      </c>
      <c r="H1558" s="93">
        <v>0</v>
      </c>
      <c r="I1558" s="93">
        <v>0</v>
      </c>
      <c r="J1558" s="93">
        <v>0</v>
      </c>
      <c r="K1558" s="93"/>
      <c r="L1558" s="93">
        <f t="shared" si="210"/>
        <v>0</v>
      </c>
      <c r="M1558" s="95" t="e">
        <f t="shared" ca="1" si="211"/>
        <v>#DIV/0!</v>
      </c>
      <c r="N1558" s="95">
        <f>IF(P1558="Hedge Fund",IF(A1558=Summary!$AD$3,M1558-E1558,M1558),IF(A1558=Summary!$AD$3,L1558-D1558,L1558))</f>
        <v>0</v>
      </c>
      <c r="O1558" s="95">
        <f t="shared" si="215"/>
        <v>0</v>
      </c>
      <c r="P1558" s="95" t="s">
        <v>155</v>
      </c>
      <c r="Q1558" s="95">
        <v>8.747086534878306E-3</v>
      </c>
      <c r="R1558" s="95">
        <v>0.21616871999999998</v>
      </c>
      <c r="S1558" s="95"/>
      <c r="T1558" s="95"/>
      <c r="U1558" s="95"/>
      <c r="V1558" s="95"/>
      <c r="W1558" s="95"/>
      <c r="X1558" s="95"/>
      <c r="Y1558" s="95"/>
      <c r="Z1558" s="95"/>
      <c r="AA1558" s="95"/>
      <c r="AB1558" s="95"/>
      <c r="AC1558" s="355"/>
      <c r="AD1558" s="355"/>
      <c r="AE1558" s="355"/>
      <c r="AF1558" s="94">
        <f t="shared" si="212"/>
        <v>43404</v>
      </c>
      <c r="AG1558" s="185">
        <f t="shared" si="216"/>
        <v>-6.9481419762680297E-3</v>
      </c>
      <c r="AH1558" s="339" t="str">
        <f>VLOOKUP(B1558,'MF PF'!A:B,2)</f>
        <v>FdMgt1</v>
      </c>
      <c r="AI1558" s="358">
        <f t="shared" si="213"/>
        <v>0</v>
      </c>
      <c r="AJ1558" s="94">
        <f t="shared" si="214"/>
        <v>43404</v>
      </c>
    </row>
    <row r="1559" spans="1:36" ht="12.75" customHeight="1">
      <c r="A1559" s="94">
        <v>43434</v>
      </c>
      <c r="B1559" s="358" t="s">
        <v>136</v>
      </c>
      <c r="C1559" s="358" t="s">
        <v>318</v>
      </c>
      <c r="D1559" s="374">
        <v>6247212.6244999999</v>
      </c>
      <c r="E1559" s="95"/>
      <c r="F1559" s="105">
        <v>5</v>
      </c>
      <c r="G1559" s="93">
        <v>0</v>
      </c>
      <c r="H1559" s="93">
        <v>0</v>
      </c>
      <c r="I1559" s="93">
        <v>0</v>
      </c>
      <c r="K1559" s="93">
        <v>0</v>
      </c>
      <c r="L1559" s="93">
        <f t="shared" si="210"/>
        <v>0</v>
      </c>
      <c r="M1559" s="95" t="e">
        <f t="shared" ca="1" si="211"/>
        <v>#DIV/0!</v>
      </c>
      <c r="N1559" s="95">
        <f>IF(P1559="Hedge Fund",IF(A1559=Summary!$AD$3,M1559-E1559,M1559),IF(A1559=Summary!$AD$3,L1559-D1559,L1559))</f>
        <v>0</v>
      </c>
      <c r="O1559" s="95">
        <f t="shared" si="215"/>
        <v>0</v>
      </c>
      <c r="P1559" s="95" t="s">
        <v>155</v>
      </c>
      <c r="Q1559" s="95">
        <v>1.6787592463820878E-2</v>
      </c>
      <c r="R1559" s="95">
        <v>0.22009634549999996</v>
      </c>
      <c r="S1559" s="95"/>
      <c r="T1559" s="95"/>
      <c r="U1559" s="95"/>
      <c r="V1559" s="95"/>
      <c r="W1559" s="95"/>
      <c r="X1559" s="95"/>
      <c r="Y1559" s="95"/>
      <c r="Z1559" s="95"/>
      <c r="AA1559" s="95"/>
      <c r="AB1559" s="95"/>
      <c r="AC1559" s="355"/>
      <c r="AD1559" s="355"/>
      <c r="AE1559" s="355"/>
      <c r="AF1559" s="94">
        <f t="shared" si="212"/>
        <v>43434</v>
      </c>
      <c r="AG1559" s="185">
        <f t="shared" si="216"/>
        <v>3.575373739825638E-3</v>
      </c>
      <c r="AH1559" s="339" t="str">
        <f>VLOOKUP(B1559,'MF PF'!A:B,2)</f>
        <v>FdMgt1</v>
      </c>
      <c r="AI1559" s="358">
        <f t="shared" si="213"/>
        <v>0</v>
      </c>
      <c r="AJ1559" s="94">
        <f t="shared" si="214"/>
        <v>43434</v>
      </c>
    </row>
    <row r="1560" spans="1:36" ht="12.75" customHeight="1">
      <c r="A1560" s="8">
        <v>43452</v>
      </c>
      <c r="B1560" s="358" t="s">
        <v>136</v>
      </c>
      <c r="C1560" s="92" t="s">
        <v>318</v>
      </c>
      <c r="D1560" s="93"/>
      <c r="E1560" s="95"/>
      <c r="F1560" s="93"/>
      <c r="G1560" s="93"/>
      <c r="H1560" s="93"/>
      <c r="I1560" s="93">
        <v>0</v>
      </c>
      <c r="K1560" s="93"/>
      <c r="L1560" s="93">
        <f t="shared" si="210"/>
        <v>0</v>
      </c>
      <c r="M1560" s="95" t="e">
        <f t="shared" ca="1" si="211"/>
        <v>#DIV/0!</v>
      </c>
      <c r="N1560" s="95">
        <f>IF(P1560="Hedge Fund",IF(A1560=Summary!$AD$3,M1560-E1560,M1560),IF(A1560=Summary!$AD$3,L1560-D1560,L1560))</f>
        <v>0</v>
      </c>
      <c r="O1560" s="95">
        <f t="shared" si="215"/>
        <v>0</v>
      </c>
      <c r="P1560" s="95" t="s">
        <v>155</v>
      </c>
      <c r="Q1560" s="95"/>
      <c r="R1560" s="95"/>
      <c r="S1560" s="95"/>
      <c r="T1560" s="95"/>
      <c r="U1560" s="95"/>
      <c r="V1560" s="95"/>
      <c r="W1560" s="95"/>
      <c r="X1560" s="95"/>
      <c r="Y1560" s="95"/>
      <c r="Z1560" s="95"/>
      <c r="AA1560" s="95"/>
      <c r="AB1560" s="95"/>
      <c r="AC1560" s="355"/>
      <c r="AD1560" s="355"/>
      <c r="AE1560" s="355"/>
      <c r="AF1560" s="94">
        <f t="shared" si="212"/>
        <v>43452</v>
      </c>
      <c r="AG1560" s="185">
        <f t="shared" si="216"/>
        <v>-1</v>
      </c>
      <c r="AH1560" s="339" t="str">
        <f>VLOOKUP(B1560,'MF PF'!A:B,2)</f>
        <v>FdMgt1</v>
      </c>
      <c r="AI1560" s="358">
        <f t="shared" si="213"/>
        <v>0</v>
      </c>
      <c r="AJ1560" s="94">
        <f t="shared" si="214"/>
        <v>43465</v>
      </c>
    </row>
    <row r="1561" spans="1:36" ht="12.75" customHeight="1">
      <c r="A1561" s="8">
        <v>43465</v>
      </c>
      <c r="B1561" s="358" t="s">
        <v>136</v>
      </c>
      <c r="C1561" s="358" t="s">
        <v>318</v>
      </c>
      <c r="D1561" s="93">
        <v>6307424.6610000003</v>
      </c>
      <c r="E1561" s="95"/>
      <c r="F1561" s="93">
        <v>5</v>
      </c>
      <c r="G1561" s="93">
        <v>0</v>
      </c>
      <c r="H1561" s="93">
        <v>0</v>
      </c>
      <c r="I1561" s="93">
        <v>0</v>
      </c>
      <c r="K1561" s="93">
        <v>0</v>
      </c>
      <c r="L1561" s="93">
        <f t="shared" si="210"/>
        <v>0</v>
      </c>
      <c r="M1561" s="95" t="e">
        <f t="shared" ca="1" si="211"/>
        <v>#DIV/0!</v>
      </c>
      <c r="N1561" s="95">
        <f>IF(P1561="Hedge Fund",IF(A1561=Summary!$AD$3,M1561-E1561,M1561),IF(A1561=Summary!$AD$3,L1561-D1561,L1561))</f>
        <v>0</v>
      </c>
      <c r="O1561" s="95">
        <f t="shared" si="215"/>
        <v>0</v>
      </c>
      <c r="P1561" s="95" t="s">
        <v>155</v>
      </c>
      <c r="Q1561" s="95">
        <v>2.5354896441700282E-2</v>
      </c>
      <c r="R1561" s="95">
        <v>0.23072199900000001</v>
      </c>
      <c r="S1561" s="95"/>
      <c r="T1561" s="95"/>
      <c r="U1561" s="95"/>
      <c r="V1561" s="95"/>
      <c r="W1561" s="95"/>
      <c r="X1561" s="95"/>
      <c r="Y1561" s="95"/>
      <c r="Z1561" s="95"/>
      <c r="AA1561" s="95"/>
      <c r="AB1561" s="95"/>
      <c r="AC1561" s="355"/>
      <c r="AD1561" s="355"/>
      <c r="AE1561" s="355"/>
      <c r="AF1561" s="94">
        <f t="shared" si="212"/>
        <v>43465</v>
      </c>
      <c r="AG1561" s="185" t="e">
        <f t="shared" si="216"/>
        <v>#DIV/0!</v>
      </c>
      <c r="AH1561" s="339" t="str">
        <f>VLOOKUP(B1561,'MF PF'!A:B,2)</f>
        <v>FdMgt1</v>
      </c>
      <c r="AI1561" s="358">
        <f t="shared" si="213"/>
        <v>0</v>
      </c>
      <c r="AJ1561" s="94">
        <f t="shared" si="214"/>
        <v>43465</v>
      </c>
    </row>
    <row r="1562" spans="1:36" ht="12.75" customHeight="1">
      <c r="A1562" s="94">
        <v>43487</v>
      </c>
      <c r="B1562" s="358" t="s">
        <v>136</v>
      </c>
      <c r="C1562" s="358" t="s">
        <v>318</v>
      </c>
      <c r="D1562" s="93"/>
      <c r="F1562" s="93"/>
      <c r="G1562" s="93"/>
      <c r="H1562" s="93"/>
      <c r="I1562" s="93"/>
      <c r="K1562" s="93"/>
      <c r="L1562" s="93">
        <f t="shared" si="210"/>
        <v>0</v>
      </c>
      <c r="M1562" s="95" t="e">
        <f t="shared" ca="1" si="211"/>
        <v>#DIV/0!</v>
      </c>
      <c r="N1562" s="95">
        <f>IF(P1562="Hedge Fund",IF(A1562=Summary!$AD$3,M1562-E1562,M1562),IF(A1562=Summary!$AD$3,L1562-D1562,L1562))</f>
        <v>0</v>
      </c>
      <c r="O1562" s="95">
        <f t="shared" si="215"/>
        <v>0</v>
      </c>
      <c r="P1562" s="95" t="s">
        <v>155</v>
      </c>
      <c r="Q1562" s="95"/>
      <c r="R1562" s="95"/>
      <c r="S1562" s="95"/>
      <c r="T1562" s="95"/>
      <c r="U1562" s="95"/>
      <c r="V1562" s="95"/>
      <c r="W1562" s="95"/>
      <c r="X1562" s="95"/>
      <c r="Y1562" s="95"/>
      <c r="Z1562" s="95"/>
      <c r="AA1562" s="95"/>
      <c r="AB1562" s="95"/>
      <c r="AC1562" s="355"/>
      <c r="AD1562" s="355"/>
      <c r="AE1562" s="355"/>
      <c r="AF1562" s="94">
        <f t="shared" si="212"/>
        <v>43487</v>
      </c>
      <c r="AG1562" s="185">
        <f t="shared" si="216"/>
        <v>-1</v>
      </c>
      <c r="AH1562" s="339" t="str">
        <f>VLOOKUP(B1562,'MF PF'!A:B,2)</f>
        <v>FdMgt1</v>
      </c>
      <c r="AI1562" s="358">
        <f t="shared" si="213"/>
        <v>0</v>
      </c>
      <c r="AJ1562" s="94">
        <f t="shared" si="214"/>
        <v>43496</v>
      </c>
    </row>
    <row r="1563" spans="1:36" ht="12.75" customHeight="1">
      <c r="A1563" s="94">
        <v>43496</v>
      </c>
      <c r="B1563" s="358" t="s">
        <v>136</v>
      </c>
      <c r="C1563" s="358" t="s">
        <v>318</v>
      </c>
      <c r="D1563" s="93">
        <v>6375811.0795</v>
      </c>
      <c r="F1563" s="93">
        <v>5</v>
      </c>
      <c r="G1563" s="93">
        <v>0</v>
      </c>
      <c r="H1563" s="93">
        <v>0</v>
      </c>
      <c r="I1563" s="93">
        <v>0</v>
      </c>
      <c r="K1563" s="93">
        <v>0</v>
      </c>
      <c r="L1563" s="93">
        <f t="shared" si="210"/>
        <v>0</v>
      </c>
      <c r="M1563" s="95" t="e">
        <f t="shared" ca="1" si="211"/>
        <v>#DIV/0!</v>
      </c>
      <c r="N1563" s="95">
        <f>IF(P1563="Hedge Fund",IF(A1563=Summary!$AD$3,M1563-E1563,M1563),IF(A1563=Summary!$AD$3,L1563-D1563,L1563))</f>
        <v>-6375811.0795</v>
      </c>
      <c r="O1563" s="95">
        <f t="shared" si="215"/>
        <v>-6375811.0795</v>
      </c>
      <c r="P1563" s="95" t="s">
        <v>155</v>
      </c>
      <c r="Q1563" s="95">
        <v>8.4426724138560796E-3</v>
      </c>
      <c r="R1563" s="95">
        <v>0.24279019049999992</v>
      </c>
      <c r="S1563" s="95"/>
      <c r="T1563" s="95"/>
      <c r="U1563" s="95"/>
      <c r="V1563" s="95"/>
      <c r="W1563" s="95"/>
      <c r="X1563" s="95"/>
      <c r="Y1563" s="95"/>
      <c r="Z1563" s="95"/>
      <c r="AA1563" s="95"/>
      <c r="AB1563" s="95"/>
      <c r="AC1563" s="355"/>
      <c r="AD1563" s="355"/>
      <c r="AE1563" s="355"/>
      <c r="AF1563" s="94">
        <f t="shared" si="212"/>
        <v>43496</v>
      </c>
      <c r="AG1563" s="185" t="e">
        <f t="shared" si="216"/>
        <v>#DIV/0!</v>
      </c>
      <c r="AH1563" s="339" t="str">
        <f>VLOOKUP(B1563,'MF PF'!A:B,2)</f>
        <v>FdMgt1</v>
      </c>
      <c r="AI1563" s="358">
        <f t="shared" si="213"/>
        <v>0</v>
      </c>
      <c r="AJ1563" s="94">
        <f t="shared" si="214"/>
        <v>43496</v>
      </c>
    </row>
    <row r="1564" spans="1:36" ht="12.75" customHeight="1">
      <c r="A1564" s="94">
        <v>42207</v>
      </c>
      <c r="B1564" s="94" t="s">
        <v>136</v>
      </c>
      <c r="C1564" s="358" t="s">
        <v>319</v>
      </c>
      <c r="D1564" s="374">
        <v>52200</v>
      </c>
      <c r="E1564" s="9" t="e">
        <f t="shared" ref="E1564:E1600" si="217">D1564/K1564</f>
        <v>#DIV/0!</v>
      </c>
      <c r="F1564" s="98">
        <v>0.6</v>
      </c>
      <c r="G1564" s="98">
        <v>52200</v>
      </c>
      <c r="H1564" s="98">
        <v>0</v>
      </c>
      <c r="I1564" s="98">
        <v>0</v>
      </c>
      <c r="J1564" s="98"/>
      <c r="K1564" s="93"/>
      <c r="L1564" s="93">
        <f t="shared" si="210"/>
        <v>52200</v>
      </c>
      <c r="M1564" s="95" t="e">
        <f t="shared" ca="1" si="211"/>
        <v>#DIV/0!</v>
      </c>
      <c r="N1564" s="95">
        <f>IF(P1564="Hedge Fund",IF(A1564=Summary!$AD$3,M1564-E1564,M1564),IF(A1564=Summary!$AD$3,L1564-D1564,L1564))</f>
        <v>52200</v>
      </c>
      <c r="O1564" s="95">
        <f t="shared" si="215"/>
        <v>52200</v>
      </c>
      <c r="P1564" s="89" t="s">
        <v>155</v>
      </c>
      <c r="Q1564" s="107">
        <v>0</v>
      </c>
      <c r="R1564" s="107">
        <v>0</v>
      </c>
      <c r="S1564" s="107">
        <v>0</v>
      </c>
      <c r="T1564" s="107">
        <v>0</v>
      </c>
      <c r="U1564" s="107"/>
      <c r="V1564" s="107"/>
      <c r="W1564" s="107"/>
      <c r="X1564" s="107"/>
      <c r="Y1564" s="107"/>
      <c r="Z1564" s="107"/>
      <c r="AA1564" s="107"/>
      <c r="AB1564" s="107"/>
      <c r="AC1564" s="355"/>
      <c r="AD1564" s="355"/>
      <c r="AE1564" s="355"/>
      <c r="AF1564" s="94">
        <f t="shared" si="212"/>
        <v>42207</v>
      </c>
      <c r="AG1564" s="185">
        <f t="shared" si="216"/>
        <v>0</v>
      </c>
      <c r="AH1564" s="339" t="str">
        <f>VLOOKUP(B1564,'MF PF'!A:B,2)</f>
        <v>FdMgt1</v>
      </c>
      <c r="AI1564" s="358">
        <f t="shared" si="213"/>
        <v>0</v>
      </c>
      <c r="AJ1564" s="94">
        <f t="shared" si="214"/>
        <v>42216</v>
      </c>
    </row>
    <row r="1565" spans="1:36" ht="12.75" customHeight="1">
      <c r="A1565" s="8">
        <v>42216</v>
      </c>
      <c r="B1565" s="94" t="s">
        <v>136</v>
      </c>
      <c r="C1565" s="358" t="s">
        <v>319</v>
      </c>
      <c r="D1565" s="374">
        <v>51989.1</v>
      </c>
      <c r="E1565" s="9" t="e">
        <f t="shared" si="217"/>
        <v>#DIV/0!</v>
      </c>
      <c r="F1565" s="98">
        <v>0.6</v>
      </c>
      <c r="G1565" s="98">
        <v>0</v>
      </c>
      <c r="H1565" s="98">
        <v>0</v>
      </c>
      <c r="I1565" s="98">
        <v>0</v>
      </c>
      <c r="J1565" s="98"/>
      <c r="K1565" s="93"/>
      <c r="L1565" s="93">
        <f t="shared" si="210"/>
        <v>0</v>
      </c>
      <c r="M1565" s="95" t="e">
        <f t="shared" ca="1" si="211"/>
        <v>#DIV/0!</v>
      </c>
      <c r="N1565" s="95">
        <f>IF(P1565="Hedge Fund",IF(A1565=Summary!$AD$3,M1565-E1565,M1565),IF(A1565=Summary!$AD$3,L1565-D1565,L1565))</f>
        <v>0</v>
      </c>
      <c r="O1565" s="95">
        <f t="shared" si="215"/>
        <v>0</v>
      </c>
      <c r="P1565" s="89" t="s">
        <v>155</v>
      </c>
      <c r="Q1565" s="107">
        <v>0</v>
      </c>
      <c r="R1565" s="107">
        <v>0</v>
      </c>
      <c r="S1565" s="107">
        <v>0</v>
      </c>
      <c r="T1565" s="107">
        <v>0</v>
      </c>
      <c r="U1565" s="107"/>
      <c r="V1565" s="107"/>
      <c r="W1565" s="107"/>
      <c r="X1565" s="107"/>
      <c r="Y1565" s="107"/>
      <c r="Z1565" s="107"/>
      <c r="AA1565" s="107"/>
      <c r="AB1565" s="107"/>
      <c r="AC1565" s="355"/>
      <c r="AD1565" s="355"/>
      <c r="AE1565" s="355"/>
      <c r="AF1565" s="94">
        <f t="shared" si="212"/>
        <v>42216</v>
      </c>
      <c r="AG1565" s="185">
        <f t="shared" si="216"/>
        <v>-4.040229885057478E-3</v>
      </c>
      <c r="AH1565" s="339" t="str">
        <f>VLOOKUP(B1565,'MF PF'!A:B,2)</f>
        <v>FdMgt1</v>
      </c>
      <c r="AI1565" s="358">
        <f t="shared" si="213"/>
        <v>0</v>
      </c>
      <c r="AJ1565" s="94">
        <f t="shared" si="214"/>
        <v>42216</v>
      </c>
    </row>
    <row r="1566" spans="1:36" ht="12.75" customHeight="1">
      <c r="A1566" s="8">
        <v>42247</v>
      </c>
      <c r="B1566" s="94" t="s">
        <v>136</v>
      </c>
      <c r="C1566" s="358" t="s">
        <v>319</v>
      </c>
      <c r="D1566" s="374">
        <v>51705.58</v>
      </c>
      <c r="E1566" s="95" t="e">
        <f t="shared" si="217"/>
        <v>#DIV/0!</v>
      </c>
      <c r="F1566" s="98">
        <v>0.6</v>
      </c>
      <c r="G1566" s="98">
        <v>0</v>
      </c>
      <c r="H1566" s="98">
        <v>0</v>
      </c>
      <c r="I1566" s="98">
        <v>0</v>
      </c>
      <c r="J1566" s="98"/>
      <c r="K1566" s="93"/>
      <c r="L1566" s="93">
        <f t="shared" si="210"/>
        <v>0</v>
      </c>
      <c r="M1566" s="95" t="e">
        <f t="shared" ca="1" si="211"/>
        <v>#DIV/0!</v>
      </c>
      <c r="N1566" s="95">
        <f>IF(P1566="Hedge Fund",IF(A1566=Summary!$AD$3,M1566-E1566,M1566),IF(A1566=Summary!$AD$3,L1566-D1566,L1566))</f>
        <v>0</v>
      </c>
      <c r="O1566" s="95">
        <f t="shared" si="215"/>
        <v>0</v>
      </c>
      <c r="P1566" s="89" t="s">
        <v>155</v>
      </c>
      <c r="Q1566" s="107">
        <v>0</v>
      </c>
      <c r="R1566" s="107">
        <v>0</v>
      </c>
      <c r="S1566" s="107">
        <v>0</v>
      </c>
      <c r="T1566" s="107">
        <v>0</v>
      </c>
      <c r="U1566" s="107"/>
      <c r="V1566" s="107"/>
      <c r="W1566" s="107"/>
      <c r="X1566" s="107"/>
      <c r="Y1566" s="107"/>
      <c r="Z1566" s="107"/>
      <c r="AA1566" s="107"/>
      <c r="AB1566" s="107"/>
      <c r="AC1566" s="355"/>
      <c r="AD1566" s="355"/>
      <c r="AE1566" s="355"/>
      <c r="AF1566" s="94">
        <f t="shared" si="212"/>
        <v>42247</v>
      </c>
      <c r="AG1566" s="185">
        <f t="shared" si="216"/>
        <v>-5.453450819498662E-3</v>
      </c>
      <c r="AH1566" s="339" t="str">
        <f>VLOOKUP(B1566,'MF PF'!A:B,2)</f>
        <v>FdMgt1</v>
      </c>
      <c r="AI1566" s="358">
        <f t="shared" si="213"/>
        <v>0</v>
      </c>
      <c r="AJ1566" s="94">
        <f t="shared" si="214"/>
        <v>42247</v>
      </c>
    </row>
    <row r="1567" spans="1:36" ht="12.75" customHeight="1">
      <c r="A1567" s="8">
        <v>42277</v>
      </c>
      <c r="B1567" s="94" t="s">
        <v>136</v>
      </c>
      <c r="C1567" s="358" t="s">
        <v>319</v>
      </c>
      <c r="D1567" s="374">
        <v>51778.12</v>
      </c>
      <c r="E1567" s="9" t="e">
        <f t="shared" si="217"/>
        <v>#DIV/0!</v>
      </c>
      <c r="F1567" s="98">
        <v>0.6</v>
      </c>
      <c r="G1567" s="98">
        <v>0</v>
      </c>
      <c r="H1567" s="98">
        <v>0</v>
      </c>
      <c r="I1567" s="98">
        <v>0</v>
      </c>
      <c r="J1567" s="98"/>
      <c r="L1567" s="93">
        <f t="shared" si="210"/>
        <v>0</v>
      </c>
      <c r="M1567" s="95" t="e">
        <f t="shared" ca="1" si="211"/>
        <v>#DIV/0!</v>
      </c>
      <c r="N1567" s="95">
        <f>IF(P1567="Hedge Fund",IF(A1567=Summary!$AD$3,M1567-E1567,M1567),IF(A1567=Summary!$AD$3,L1567-D1567,L1567))</f>
        <v>0</v>
      </c>
      <c r="O1567" s="95">
        <f t="shared" si="215"/>
        <v>0</v>
      </c>
      <c r="P1567" s="89" t="s">
        <v>155</v>
      </c>
      <c r="Q1567" s="107">
        <v>0</v>
      </c>
      <c r="R1567" s="107">
        <v>0</v>
      </c>
      <c r="S1567" s="107">
        <v>0</v>
      </c>
      <c r="T1567" s="107">
        <v>0</v>
      </c>
      <c r="U1567" s="107"/>
      <c r="V1567" s="107"/>
      <c r="W1567" s="107"/>
      <c r="X1567" s="107"/>
      <c r="Y1567" s="107"/>
      <c r="Z1567" s="107"/>
      <c r="AA1567" s="107"/>
      <c r="AB1567" s="107"/>
      <c r="AC1567" s="355"/>
      <c r="AD1567" s="355"/>
      <c r="AE1567" s="355"/>
      <c r="AF1567" s="94">
        <f t="shared" si="212"/>
        <v>42277</v>
      </c>
      <c r="AG1567" s="185">
        <f t="shared" si="216"/>
        <v>1.4029433573707895E-3</v>
      </c>
      <c r="AH1567" s="339" t="str">
        <f>VLOOKUP(B1567,'MF PF'!A:B,2)</f>
        <v>FdMgt1</v>
      </c>
      <c r="AI1567" s="358">
        <f t="shared" si="213"/>
        <v>0</v>
      </c>
      <c r="AJ1567" s="94">
        <f t="shared" si="214"/>
        <v>42277</v>
      </c>
    </row>
    <row r="1568" spans="1:36" ht="12.75" customHeight="1">
      <c r="A1568" s="94">
        <v>42307</v>
      </c>
      <c r="B1568" s="94" t="s">
        <v>136</v>
      </c>
      <c r="C1568" s="358" t="s">
        <v>319</v>
      </c>
      <c r="D1568" s="374">
        <v>96525.96</v>
      </c>
      <c r="E1568" s="9" t="e">
        <f t="shared" si="217"/>
        <v>#DIV/0!</v>
      </c>
      <c r="F1568" s="98">
        <v>0.6</v>
      </c>
      <c r="G1568" s="98">
        <v>0</v>
      </c>
      <c r="H1568" s="98">
        <v>0</v>
      </c>
      <c r="I1568" s="98">
        <v>0</v>
      </c>
      <c r="J1568" s="98"/>
      <c r="K1568" s="93"/>
      <c r="L1568" s="93">
        <f t="shared" si="210"/>
        <v>0</v>
      </c>
      <c r="M1568" s="95" t="e">
        <f t="shared" ca="1" si="211"/>
        <v>#DIV/0!</v>
      </c>
      <c r="N1568" s="95">
        <f>IF(P1568="Hedge Fund",IF(A1568=Summary!$AD$3,M1568-E1568,M1568),IF(A1568=Summary!$AD$3,L1568-D1568,L1568))</f>
        <v>0</v>
      </c>
      <c r="O1568" s="95">
        <f t="shared" si="215"/>
        <v>0</v>
      </c>
      <c r="P1568" s="89" t="s">
        <v>155</v>
      </c>
      <c r="Q1568" s="107">
        <v>0</v>
      </c>
      <c r="R1568" s="107">
        <v>0</v>
      </c>
      <c r="S1568" s="107">
        <v>0</v>
      </c>
      <c r="T1568" s="107">
        <v>0</v>
      </c>
      <c r="U1568" s="107"/>
      <c r="V1568" s="107"/>
      <c r="W1568" s="107"/>
      <c r="X1568" s="107"/>
      <c r="Y1568" s="107"/>
      <c r="Z1568" s="107"/>
      <c r="AA1568" s="107"/>
      <c r="AB1568" s="107"/>
      <c r="AC1568" s="355"/>
      <c r="AD1568" s="355"/>
      <c r="AE1568" s="355"/>
      <c r="AF1568" s="94">
        <f t="shared" si="212"/>
        <v>42307</v>
      </c>
      <c r="AG1568" s="185">
        <f t="shared" si="216"/>
        <v>0.86422295749633249</v>
      </c>
      <c r="AH1568" s="339" t="str">
        <f>VLOOKUP(B1568,'MF PF'!A:B,2)</f>
        <v>FdMgt1</v>
      </c>
      <c r="AI1568" s="358">
        <f t="shared" si="213"/>
        <v>0</v>
      </c>
      <c r="AJ1568" s="94">
        <f t="shared" si="214"/>
        <v>42308</v>
      </c>
    </row>
    <row r="1569" spans="1:36" ht="12.75" customHeight="1">
      <c r="A1569" s="94">
        <v>42338</v>
      </c>
      <c r="B1569" s="94" t="s">
        <v>136</v>
      </c>
      <c r="C1569" s="358" t="s">
        <v>319</v>
      </c>
      <c r="D1569" s="374">
        <v>96522.23</v>
      </c>
      <c r="E1569" s="9" t="e">
        <f t="shared" si="217"/>
        <v>#DIV/0!</v>
      </c>
      <c r="F1569" s="98">
        <v>0.6</v>
      </c>
      <c r="G1569" s="98">
        <v>54000</v>
      </c>
      <c r="H1569" s="98">
        <v>0</v>
      </c>
      <c r="I1569" s="98">
        <v>0</v>
      </c>
      <c r="J1569" s="98"/>
      <c r="K1569" s="93"/>
      <c r="L1569" s="93">
        <f t="shared" si="210"/>
        <v>54000</v>
      </c>
      <c r="M1569" s="95" t="e">
        <f t="shared" ca="1" si="211"/>
        <v>#DIV/0!</v>
      </c>
      <c r="N1569" s="95">
        <f>IF(P1569="Hedge Fund",IF(A1569=Summary!$AD$3,M1569-E1569,M1569),IF(A1569=Summary!$AD$3,L1569-D1569,L1569))</f>
        <v>54000</v>
      </c>
      <c r="O1569" s="95">
        <f t="shared" si="215"/>
        <v>54000</v>
      </c>
      <c r="P1569" s="107" t="s">
        <v>155</v>
      </c>
      <c r="Q1569" s="107">
        <v>0</v>
      </c>
      <c r="R1569" s="107">
        <v>0</v>
      </c>
      <c r="S1569" s="107">
        <v>0</v>
      </c>
      <c r="T1569" s="107">
        <v>0</v>
      </c>
      <c r="U1569" s="107"/>
      <c r="V1569" s="107"/>
      <c r="W1569" s="107"/>
      <c r="X1569" s="107"/>
      <c r="Y1569" s="107"/>
      <c r="Z1569" s="107"/>
      <c r="AA1569" s="107"/>
      <c r="AB1569" s="107"/>
      <c r="AC1569" s="355"/>
      <c r="AD1569" s="355"/>
      <c r="AE1569" s="355"/>
      <c r="AF1569" s="94">
        <f t="shared" si="212"/>
        <v>42338</v>
      </c>
      <c r="AG1569" s="185">
        <f t="shared" si="216"/>
        <v>-0.55947363797262417</v>
      </c>
      <c r="AH1569" s="339" t="str">
        <f>VLOOKUP(B1569,'MF PF'!A:B,2)</f>
        <v>FdMgt1</v>
      </c>
      <c r="AI1569" s="358">
        <f t="shared" si="213"/>
        <v>0</v>
      </c>
      <c r="AJ1569" s="94">
        <f t="shared" si="214"/>
        <v>42338</v>
      </c>
    </row>
    <row r="1570" spans="1:36" s="92" customFormat="1" ht="12.75" customHeight="1">
      <c r="A1570" s="94">
        <v>42369</v>
      </c>
      <c r="B1570" s="94" t="s">
        <v>136</v>
      </c>
      <c r="C1570" s="358" t="s">
        <v>319</v>
      </c>
      <c r="D1570" s="374">
        <v>106687.86599999999</v>
      </c>
      <c r="E1570" s="95" t="e">
        <f t="shared" si="217"/>
        <v>#DIV/0!</v>
      </c>
      <c r="F1570" s="98">
        <v>0.6</v>
      </c>
      <c r="G1570" s="98">
        <v>0</v>
      </c>
      <c r="H1570" s="98">
        <v>0</v>
      </c>
      <c r="I1570" s="98">
        <v>0</v>
      </c>
      <c r="J1570" s="98"/>
      <c r="K1570" s="93"/>
      <c r="L1570" s="93">
        <f t="shared" si="210"/>
        <v>0</v>
      </c>
      <c r="M1570" s="95" t="e">
        <f t="shared" ca="1" si="211"/>
        <v>#DIV/0!</v>
      </c>
      <c r="N1570" s="95">
        <f>IF(P1570="Hedge Fund",IF(A1570=Summary!$AD$3,M1570-E1570,M1570),IF(A1570=Summary!$AD$3,L1570-D1570,L1570))</f>
        <v>0</v>
      </c>
      <c r="O1570" s="95">
        <f t="shared" si="215"/>
        <v>0</v>
      </c>
      <c r="P1570" s="107" t="s">
        <v>155</v>
      </c>
      <c r="Q1570" s="107">
        <v>0</v>
      </c>
      <c r="R1570" s="107">
        <v>0</v>
      </c>
      <c r="S1570" s="107">
        <v>0</v>
      </c>
      <c r="T1570" s="107">
        <v>0</v>
      </c>
      <c r="U1570" s="107"/>
      <c r="V1570" s="107"/>
      <c r="W1570" s="107"/>
      <c r="X1570" s="107"/>
      <c r="Y1570" s="107"/>
      <c r="Z1570" s="107"/>
      <c r="AA1570" s="107"/>
      <c r="AB1570" s="107"/>
      <c r="AC1570" s="355"/>
      <c r="AD1570" s="355"/>
      <c r="AE1570" s="355"/>
      <c r="AF1570" s="94">
        <f t="shared" si="212"/>
        <v>42369</v>
      </c>
      <c r="AG1570" s="185">
        <f t="shared" si="216"/>
        <v>0.10531911664287086</v>
      </c>
      <c r="AH1570" s="339" t="str">
        <f>VLOOKUP(B1570,'MF PF'!A:B,2)</f>
        <v>FdMgt1</v>
      </c>
      <c r="AI1570" s="358">
        <f t="shared" si="213"/>
        <v>0</v>
      </c>
      <c r="AJ1570" s="94">
        <f t="shared" si="214"/>
        <v>42369</v>
      </c>
    </row>
    <row r="1571" spans="1:36" ht="12.75" customHeight="1">
      <c r="A1571" s="94">
        <v>42398</v>
      </c>
      <c r="B1571" s="94" t="s">
        <v>136</v>
      </c>
      <c r="C1571" s="358" t="s">
        <v>319</v>
      </c>
      <c r="D1571" s="374">
        <v>106318.0395</v>
      </c>
      <c r="E1571" s="95" t="e">
        <f t="shared" si="217"/>
        <v>#DIV/0!</v>
      </c>
      <c r="F1571" s="98">
        <v>0.6</v>
      </c>
      <c r="G1571" s="98">
        <v>0</v>
      </c>
      <c r="H1571" s="98">
        <v>0</v>
      </c>
      <c r="I1571" s="98">
        <v>0</v>
      </c>
      <c r="J1571" s="98"/>
      <c r="K1571" s="93"/>
      <c r="L1571" s="93">
        <f t="shared" si="210"/>
        <v>0</v>
      </c>
      <c r="M1571" s="95" t="e">
        <f t="shared" ca="1" si="211"/>
        <v>#DIV/0!</v>
      </c>
      <c r="N1571" s="95">
        <f>IF(P1571="Hedge Fund",IF(A1571=Summary!$AD$3,M1571-E1571,M1571),IF(A1571=Summary!$AD$3,L1571-D1571,L1571))</f>
        <v>0</v>
      </c>
      <c r="O1571" s="95">
        <f t="shared" si="215"/>
        <v>0</v>
      </c>
      <c r="P1571" s="107" t="s">
        <v>155</v>
      </c>
      <c r="Q1571" s="107">
        <v>0</v>
      </c>
      <c r="R1571" s="107">
        <v>0</v>
      </c>
      <c r="S1571" s="107">
        <v>0</v>
      </c>
      <c r="T1571" s="107">
        <v>0</v>
      </c>
      <c r="U1571" s="107"/>
      <c r="V1571" s="107"/>
      <c r="W1571" s="107"/>
      <c r="X1571" s="107"/>
      <c r="Y1571" s="107"/>
      <c r="Z1571" s="107"/>
      <c r="AA1571" s="107"/>
      <c r="AB1571" s="107"/>
      <c r="AC1571" s="355"/>
      <c r="AD1571" s="355"/>
      <c r="AE1571" s="355"/>
      <c r="AF1571" s="94">
        <f t="shared" si="212"/>
        <v>42398</v>
      </c>
      <c r="AG1571" s="185">
        <f t="shared" si="216"/>
        <v>-3.4664345053072587E-3</v>
      </c>
      <c r="AH1571" s="339" t="str">
        <f>VLOOKUP(B1571,'MF PF'!A:B,2)</f>
        <v>FdMgt1</v>
      </c>
      <c r="AI1571" s="358">
        <f t="shared" si="213"/>
        <v>0</v>
      </c>
      <c r="AJ1571" s="94">
        <f t="shared" si="214"/>
        <v>42400</v>
      </c>
    </row>
    <row r="1572" spans="1:36" ht="12.75" customHeight="1">
      <c r="A1572" s="8">
        <v>42429</v>
      </c>
      <c r="B1572" s="94" t="s">
        <v>136</v>
      </c>
      <c r="C1572" s="358" t="s">
        <v>319</v>
      </c>
      <c r="D1572" s="374">
        <v>241765.027</v>
      </c>
      <c r="E1572" s="95" t="e">
        <f t="shared" si="217"/>
        <v>#DIV/0!</v>
      </c>
      <c r="F1572" s="98">
        <v>0.6</v>
      </c>
      <c r="G1572" s="98">
        <v>134400</v>
      </c>
      <c r="H1572" s="98">
        <v>0</v>
      </c>
      <c r="I1572" s="98">
        <v>0</v>
      </c>
      <c r="J1572" s="98"/>
      <c r="K1572" s="93"/>
      <c r="L1572" s="93">
        <f t="shared" si="210"/>
        <v>134400</v>
      </c>
      <c r="M1572" s="95" t="e">
        <f t="shared" ca="1" si="211"/>
        <v>#DIV/0!</v>
      </c>
      <c r="N1572" s="95">
        <f>IF(P1572="Hedge Fund",IF(A1572=Summary!$AD$3,M1572-E1572,M1572),IF(A1572=Summary!$AD$3,L1572-D1572,L1572))</f>
        <v>134400</v>
      </c>
      <c r="O1572" s="95">
        <f t="shared" si="215"/>
        <v>134400</v>
      </c>
      <c r="P1572" s="89" t="s">
        <v>155</v>
      </c>
      <c r="Q1572" s="107">
        <v>0</v>
      </c>
      <c r="R1572" s="107">
        <v>0</v>
      </c>
      <c r="S1572" s="107">
        <v>0</v>
      </c>
      <c r="T1572" s="107">
        <v>0</v>
      </c>
      <c r="U1572" s="107"/>
      <c r="V1572" s="107"/>
      <c r="W1572" s="107"/>
      <c r="X1572" s="107"/>
      <c r="Y1572" s="107"/>
      <c r="Z1572" s="107"/>
      <c r="AA1572" s="107"/>
      <c r="AB1572" s="107"/>
      <c r="AC1572" s="355"/>
      <c r="AD1572" s="355"/>
      <c r="AE1572" s="355"/>
      <c r="AF1572" s="94">
        <f t="shared" si="212"/>
        <v>42429</v>
      </c>
      <c r="AG1572" s="185">
        <f t="shared" si="216"/>
        <v>9.8476938149334448E-3</v>
      </c>
      <c r="AH1572" s="339" t="str">
        <f>VLOOKUP(B1572,'MF PF'!A:B,2)</f>
        <v>FdMgt1</v>
      </c>
      <c r="AI1572" s="358">
        <f t="shared" si="213"/>
        <v>0</v>
      </c>
      <c r="AJ1572" s="94">
        <f t="shared" si="214"/>
        <v>42429</v>
      </c>
    </row>
    <row r="1573" spans="1:36" ht="12.75" customHeight="1">
      <c r="A1573" s="8">
        <v>42460</v>
      </c>
      <c r="B1573" s="94" t="s">
        <v>136</v>
      </c>
      <c r="C1573" s="358" t="s">
        <v>319</v>
      </c>
      <c r="D1573" s="374">
        <v>242495.245</v>
      </c>
      <c r="E1573" s="95" t="e">
        <f t="shared" si="217"/>
        <v>#DIV/0!</v>
      </c>
      <c r="F1573" s="98">
        <v>0.6</v>
      </c>
      <c r="G1573" s="98">
        <v>0</v>
      </c>
      <c r="H1573" s="98">
        <v>0</v>
      </c>
      <c r="I1573" s="98">
        <v>0</v>
      </c>
      <c r="J1573" s="98"/>
      <c r="K1573" s="93"/>
      <c r="L1573" s="93">
        <f t="shared" si="210"/>
        <v>0</v>
      </c>
      <c r="M1573" s="95" t="e">
        <f t="shared" ca="1" si="211"/>
        <v>#DIV/0!</v>
      </c>
      <c r="N1573" s="95">
        <f>IF(P1573="Hedge Fund",IF(A1573=Summary!$AD$3,M1573-E1573,M1573),IF(A1573=Summary!$AD$3,L1573-D1573,L1573))</f>
        <v>0</v>
      </c>
      <c r="O1573" s="95">
        <f t="shared" si="215"/>
        <v>0</v>
      </c>
      <c r="P1573" s="107" t="s">
        <v>155</v>
      </c>
      <c r="Q1573" s="107">
        <v>0</v>
      </c>
      <c r="R1573" s="107">
        <v>0</v>
      </c>
      <c r="S1573" s="107">
        <v>0</v>
      </c>
      <c r="T1573" s="107">
        <v>0</v>
      </c>
      <c r="U1573" s="107"/>
      <c r="V1573" s="107"/>
      <c r="W1573" s="107"/>
      <c r="X1573" s="107"/>
      <c r="Y1573" s="107"/>
      <c r="Z1573" s="107"/>
      <c r="AA1573" s="107"/>
      <c r="AB1573" s="107"/>
      <c r="AC1573" s="355"/>
      <c r="AD1573" s="355"/>
      <c r="AE1573" s="355"/>
      <c r="AF1573" s="94">
        <f t="shared" si="212"/>
        <v>42460</v>
      </c>
      <c r="AG1573" s="185">
        <f t="shared" si="216"/>
        <v>3.0203624116402761E-3</v>
      </c>
      <c r="AH1573" s="339" t="str">
        <f>VLOOKUP(B1573,'MF PF'!A:B,2)</f>
        <v>FdMgt1</v>
      </c>
      <c r="AI1573" s="358">
        <f t="shared" si="213"/>
        <v>0</v>
      </c>
      <c r="AJ1573" s="94">
        <f t="shared" si="214"/>
        <v>42460</v>
      </c>
    </row>
    <row r="1574" spans="1:36" ht="12.75" customHeight="1">
      <c r="A1574" s="8">
        <v>42489</v>
      </c>
      <c r="B1574" s="94" t="s">
        <v>136</v>
      </c>
      <c r="C1574" s="92" t="s">
        <v>319</v>
      </c>
      <c r="D1574" s="374">
        <v>339394.52799999999</v>
      </c>
      <c r="E1574" s="9" t="e">
        <f t="shared" si="217"/>
        <v>#DIV/0!</v>
      </c>
      <c r="F1574" s="98">
        <v>0.6</v>
      </c>
      <c r="G1574" s="98">
        <v>96000</v>
      </c>
      <c r="H1574" s="98">
        <v>0</v>
      </c>
      <c r="I1574" s="98">
        <v>0</v>
      </c>
      <c r="J1574" s="98"/>
      <c r="K1574" s="93"/>
      <c r="L1574" s="93">
        <f t="shared" si="210"/>
        <v>96000</v>
      </c>
      <c r="M1574" s="95" t="e">
        <f t="shared" ca="1" si="211"/>
        <v>#DIV/0!</v>
      </c>
      <c r="N1574" s="95">
        <f>IF(P1574="Hedge Fund",IF(A1574=Summary!$AD$3,M1574-E1574,M1574),IF(A1574=Summary!$AD$3,L1574-D1574,L1574))</f>
        <v>96000</v>
      </c>
      <c r="O1574" s="95">
        <f t="shared" si="215"/>
        <v>96000</v>
      </c>
      <c r="P1574" s="107" t="s">
        <v>155</v>
      </c>
      <c r="Q1574" s="107">
        <v>0</v>
      </c>
      <c r="R1574" s="107">
        <v>0</v>
      </c>
      <c r="S1574" s="107">
        <v>0</v>
      </c>
      <c r="T1574" s="107">
        <v>0</v>
      </c>
      <c r="U1574" s="107"/>
      <c r="V1574" s="107"/>
      <c r="W1574" s="107"/>
      <c r="X1574" s="107"/>
      <c r="Y1574" s="107"/>
      <c r="Z1574" s="107"/>
      <c r="AA1574" s="107"/>
      <c r="AB1574" s="107"/>
      <c r="AC1574" s="355"/>
      <c r="AD1574" s="355"/>
      <c r="AE1574" s="355"/>
      <c r="AF1574" s="94">
        <f t="shared" si="212"/>
        <v>42489</v>
      </c>
      <c r="AG1574" s="185">
        <f t="shared" si="216"/>
        <v>3.7084562214817485E-3</v>
      </c>
      <c r="AH1574" s="339" t="str">
        <f>VLOOKUP(B1574,'MF PF'!A:B,2)</f>
        <v>FdMgt1</v>
      </c>
      <c r="AI1574" s="358">
        <f t="shared" si="213"/>
        <v>0</v>
      </c>
      <c r="AJ1574" s="94">
        <f t="shared" si="214"/>
        <v>42490</v>
      </c>
    </row>
    <row r="1575" spans="1:36" ht="12.75" customHeight="1">
      <c r="A1575" s="8">
        <v>42521</v>
      </c>
      <c r="B1575" s="94" t="s">
        <v>136</v>
      </c>
      <c r="C1575" s="92" t="s">
        <v>319</v>
      </c>
      <c r="D1575" s="374">
        <v>343509.9645</v>
      </c>
      <c r="E1575" s="9" t="e">
        <f t="shared" si="217"/>
        <v>#DIV/0!</v>
      </c>
      <c r="F1575" s="98">
        <v>0.6</v>
      </c>
      <c r="G1575" s="98">
        <v>0</v>
      </c>
      <c r="H1575" s="98">
        <v>0</v>
      </c>
      <c r="I1575" s="98">
        <v>0</v>
      </c>
      <c r="J1575" s="98"/>
      <c r="L1575" s="93">
        <f t="shared" si="210"/>
        <v>0</v>
      </c>
      <c r="M1575" s="95" t="e">
        <f t="shared" ca="1" si="211"/>
        <v>#DIV/0!</v>
      </c>
      <c r="N1575" s="95">
        <f>IF(P1575="Hedge Fund",IF(A1575=Summary!$AD$3,M1575-E1575,M1575),IF(A1575=Summary!$AD$3,L1575-D1575,L1575))</f>
        <v>0</v>
      </c>
      <c r="O1575" s="95">
        <f t="shared" si="215"/>
        <v>0</v>
      </c>
      <c r="P1575" s="107" t="s">
        <v>155</v>
      </c>
      <c r="Q1575" s="107">
        <v>0</v>
      </c>
      <c r="R1575" s="107">
        <v>0</v>
      </c>
      <c r="S1575" s="107">
        <v>0</v>
      </c>
      <c r="T1575" s="107">
        <v>0</v>
      </c>
      <c r="U1575" s="107"/>
      <c r="V1575" s="107"/>
      <c r="W1575" s="107"/>
      <c r="X1575" s="107"/>
      <c r="Y1575" s="107"/>
      <c r="Z1575" s="107"/>
      <c r="AA1575" s="107"/>
      <c r="AB1575" s="107"/>
      <c r="AC1575" s="355"/>
      <c r="AD1575" s="355"/>
      <c r="AE1575" s="355"/>
      <c r="AF1575" s="94">
        <f t="shared" si="212"/>
        <v>42521</v>
      </c>
      <c r="AG1575" s="185">
        <f t="shared" si="216"/>
        <v>1.2125818657865883E-2</v>
      </c>
      <c r="AH1575" s="339" t="str">
        <f>VLOOKUP(B1575,'MF PF'!A:B,2)</f>
        <v>FdMgt1</v>
      </c>
      <c r="AI1575" s="358">
        <f t="shared" si="213"/>
        <v>0</v>
      </c>
      <c r="AJ1575" s="94">
        <f t="shared" si="214"/>
        <v>42521</v>
      </c>
    </row>
    <row r="1576" spans="1:36" ht="12.75" customHeight="1">
      <c r="A1576" s="8">
        <v>42551</v>
      </c>
      <c r="B1576" s="94" t="s">
        <v>136</v>
      </c>
      <c r="C1576" s="92" t="s">
        <v>319</v>
      </c>
      <c r="D1576" s="374">
        <v>342493.25400000002</v>
      </c>
      <c r="E1576" s="95" t="e">
        <f t="shared" si="217"/>
        <v>#DIV/0!</v>
      </c>
      <c r="F1576" s="98">
        <v>0.6</v>
      </c>
      <c r="G1576" s="98">
        <v>0</v>
      </c>
      <c r="H1576" s="98">
        <v>0</v>
      </c>
      <c r="I1576" s="98">
        <v>0</v>
      </c>
      <c r="J1576" s="98"/>
      <c r="K1576" s="93"/>
      <c r="L1576" s="93">
        <f t="shared" si="210"/>
        <v>0</v>
      </c>
      <c r="M1576" s="95" t="e">
        <f t="shared" ca="1" si="211"/>
        <v>#DIV/0!</v>
      </c>
      <c r="N1576" s="95">
        <f>IF(P1576="Hedge Fund",IF(A1576=Summary!$AD$3,M1576-E1576,M1576),IF(A1576=Summary!$AD$3,L1576-D1576,L1576))</f>
        <v>0</v>
      </c>
      <c r="O1576" s="95">
        <f t="shared" si="215"/>
        <v>0</v>
      </c>
      <c r="P1576" s="107" t="s">
        <v>155</v>
      </c>
      <c r="Q1576" s="107">
        <v>0</v>
      </c>
      <c r="R1576" s="107">
        <v>0</v>
      </c>
      <c r="S1576" s="107">
        <v>0</v>
      </c>
      <c r="T1576" s="107">
        <v>0</v>
      </c>
      <c r="U1576" s="107"/>
      <c r="V1576" s="107"/>
      <c r="W1576" s="107"/>
      <c r="X1576" s="107"/>
      <c r="Y1576" s="107"/>
      <c r="Z1576" s="107"/>
      <c r="AA1576" s="107"/>
      <c r="AB1576" s="107"/>
      <c r="AC1576" s="355"/>
      <c r="AD1576" s="355"/>
      <c r="AE1576" s="355"/>
      <c r="AF1576" s="94">
        <f t="shared" si="212"/>
        <v>42551</v>
      </c>
      <c r="AG1576" s="185">
        <f t="shared" si="216"/>
        <v>-2.9597700360158852E-3</v>
      </c>
      <c r="AH1576" s="339" t="str">
        <f>VLOOKUP(B1576,'MF PF'!A:B,2)</f>
        <v>FdMgt1</v>
      </c>
      <c r="AI1576" s="358">
        <f t="shared" si="213"/>
        <v>0</v>
      </c>
      <c r="AJ1576" s="94">
        <f t="shared" si="214"/>
        <v>42551</v>
      </c>
    </row>
    <row r="1577" spans="1:36" ht="12.75" customHeight="1">
      <c r="A1577" s="8">
        <v>42580</v>
      </c>
      <c r="B1577" s="94" t="s">
        <v>136</v>
      </c>
      <c r="C1577" s="92" t="s">
        <v>319</v>
      </c>
      <c r="D1577" s="374">
        <v>342298.25550000003</v>
      </c>
      <c r="E1577" s="95" t="e">
        <f t="shared" si="217"/>
        <v>#DIV/0!</v>
      </c>
      <c r="F1577" s="98">
        <v>0.6</v>
      </c>
      <c r="G1577" s="98">
        <v>0</v>
      </c>
      <c r="H1577" s="98">
        <v>0</v>
      </c>
      <c r="I1577" s="98">
        <v>0</v>
      </c>
      <c r="J1577" s="98"/>
      <c r="K1577" s="93"/>
      <c r="L1577" s="93">
        <f t="shared" si="210"/>
        <v>0</v>
      </c>
      <c r="M1577" s="95" t="e">
        <f t="shared" ca="1" si="211"/>
        <v>#DIV/0!</v>
      </c>
      <c r="N1577" s="95">
        <f>IF(P1577="Hedge Fund",IF(A1577=Summary!$AD$3,M1577-E1577,M1577),IF(A1577=Summary!$AD$3,L1577-D1577,L1577))</f>
        <v>0</v>
      </c>
      <c r="O1577" s="95">
        <f t="shared" si="215"/>
        <v>0</v>
      </c>
      <c r="P1577" s="107" t="s">
        <v>155</v>
      </c>
      <c r="Q1577" s="107">
        <v>0</v>
      </c>
      <c r="R1577" s="107">
        <v>0</v>
      </c>
      <c r="S1577" s="107">
        <v>0</v>
      </c>
      <c r="T1577" s="107">
        <v>0</v>
      </c>
      <c r="U1577" s="107"/>
      <c r="V1577" s="107"/>
      <c r="W1577" s="107"/>
      <c r="X1577" s="107"/>
      <c r="Y1577" s="107"/>
      <c r="Z1577" s="107"/>
      <c r="AA1577" s="107"/>
      <c r="AB1577" s="107"/>
      <c r="AC1577" s="355"/>
      <c r="AD1577" s="355"/>
      <c r="AE1577" s="355"/>
      <c r="AF1577" s="94">
        <f t="shared" si="212"/>
        <v>42580</v>
      </c>
      <c r="AG1577" s="185">
        <f t="shared" si="216"/>
        <v>-5.6934990024648524E-4</v>
      </c>
      <c r="AH1577" s="339" t="str">
        <f>VLOOKUP(B1577,'MF PF'!A:B,2)</f>
        <v>FdMgt1</v>
      </c>
      <c r="AI1577" s="358">
        <f t="shared" si="213"/>
        <v>0</v>
      </c>
      <c r="AJ1577" s="94">
        <f t="shared" si="214"/>
        <v>42582</v>
      </c>
    </row>
    <row r="1578" spans="1:36" ht="12.75" customHeight="1">
      <c r="A1578" s="8">
        <v>42613</v>
      </c>
      <c r="B1578" s="94" t="s">
        <v>136</v>
      </c>
      <c r="C1578" s="92" t="s">
        <v>319</v>
      </c>
      <c r="D1578" s="374">
        <v>342048.35550000001</v>
      </c>
      <c r="E1578" s="95" t="e">
        <f t="shared" si="217"/>
        <v>#DIV/0!</v>
      </c>
      <c r="F1578" s="98">
        <v>0.6</v>
      </c>
      <c r="G1578" s="98">
        <v>0</v>
      </c>
      <c r="H1578" s="98">
        <v>0</v>
      </c>
      <c r="I1578" s="98">
        <v>0</v>
      </c>
      <c r="J1578" s="98"/>
      <c r="K1578" s="93"/>
      <c r="L1578" s="93">
        <f t="shared" si="210"/>
        <v>0</v>
      </c>
      <c r="M1578" s="95" t="e">
        <f t="shared" ca="1" si="211"/>
        <v>#DIV/0!</v>
      </c>
      <c r="N1578" s="95">
        <f>IF(P1578="Hedge Fund",IF(A1578=Summary!$AD$3,M1578-E1578,M1578),IF(A1578=Summary!$AD$3,L1578-D1578,L1578))</f>
        <v>0</v>
      </c>
      <c r="O1578" s="95">
        <f t="shared" si="215"/>
        <v>0</v>
      </c>
      <c r="P1578" s="89" t="s">
        <v>155</v>
      </c>
      <c r="Q1578" s="107">
        <v>0</v>
      </c>
      <c r="R1578" s="107">
        <v>0</v>
      </c>
      <c r="S1578" s="107">
        <v>0</v>
      </c>
      <c r="T1578" s="107">
        <v>0</v>
      </c>
      <c r="U1578" s="107"/>
      <c r="V1578" s="107"/>
      <c r="W1578" s="107"/>
      <c r="X1578" s="107"/>
      <c r="Y1578" s="107"/>
      <c r="Z1578" s="107"/>
      <c r="AA1578" s="107"/>
      <c r="AB1578" s="107"/>
      <c r="AC1578" s="355"/>
      <c r="AD1578" s="355"/>
      <c r="AE1578" s="355"/>
      <c r="AF1578" s="94">
        <f t="shared" si="212"/>
        <v>42613</v>
      </c>
      <c r="AG1578" s="185">
        <f t="shared" si="216"/>
        <v>-7.3006507040185298E-4</v>
      </c>
      <c r="AH1578" s="339" t="str">
        <f>VLOOKUP(B1578,'MF PF'!A:B,2)</f>
        <v>FdMgt1</v>
      </c>
      <c r="AI1578" s="358">
        <f t="shared" si="213"/>
        <v>0</v>
      </c>
      <c r="AJ1578" s="94">
        <f t="shared" si="214"/>
        <v>42613</v>
      </c>
    </row>
    <row r="1579" spans="1:36" ht="12.75" customHeight="1">
      <c r="A1579" s="94">
        <v>42643</v>
      </c>
      <c r="B1579" s="94" t="s">
        <v>136</v>
      </c>
      <c r="C1579" s="358" t="s">
        <v>319</v>
      </c>
      <c r="D1579" s="374">
        <v>353574.88250000001</v>
      </c>
      <c r="E1579" s="95" t="e">
        <f t="shared" si="217"/>
        <v>#DIV/0!</v>
      </c>
      <c r="F1579" s="98">
        <v>0.6</v>
      </c>
      <c r="G1579" s="98">
        <v>0</v>
      </c>
      <c r="H1579" s="98">
        <v>0</v>
      </c>
      <c r="I1579" s="98">
        <v>0</v>
      </c>
      <c r="J1579" s="98"/>
      <c r="K1579" s="93"/>
      <c r="L1579" s="93">
        <f t="shared" si="210"/>
        <v>0</v>
      </c>
      <c r="M1579" s="95" t="e">
        <f t="shared" ca="1" si="211"/>
        <v>#DIV/0!</v>
      </c>
      <c r="N1579" s="95">
        <f>IF(P1579="Hedge Fund",IF(A1579=Summary!$AD$3,M1579-E1579,M1579),IF(A1579=Summary!$AD$3,L1579-D1579,L1579))</f>
        <v>0</v>
      </c>
      <c r="O1579" s="95">
        <f t="shared" si="215"/>
        <v>0</v>
      </c>
      <c r="P1579" s="89" t="s">
        <v>155</v>
      </c>
      <c r="Q1579" s="107">
        <v>0</v>
      </c>
      <c r="R1579" s="107">
        <v>0</v>
      </c>
      <c r="S1579" s="107">
        <v>0</v>
      </c>
      <c r="T1579" s="107">
        <v>0</v>
      </c>
      <c r="U1579" s="107"/>
      <c r="V1579" s="107"/>
      <c r="W1579" s="107"/>
      <c r="X1579" s="107"/>
      <c r="Y1579" s="107"/>
      <c r="Z1579" s="107"/>
      <c r="AA1579" s="107"/>
      <c r="AB1579" s="107"/>
      <c r="AC1579" s="355"/>
      <c r="AD1579" s="355"/>
      <c r="AE1579" s="355"/>
      <c r="AF1579" s="94">
        <f t="shared" si="212"/>
        <v>42643</v>
      </c>
      <c r="AG1579" s="185">
        <f t="shared" si="216"/>
        <v>3.3698530674561411E-2</v>
      </c>
      <c r="AH1579" s="339" t="str">
        <f>VLOOKUP(B1579,'MF PF'!A:B,2)</f>
        <v>FdMgt1</v>
      </c>
      <c r="AI1579" s="358">
        <f t="shared" si="213"/>
        <v>0</v>
      </c>
      <c r="AJ1579" s="94">
        <f t="shared" si="214"/>
        <v>42643</v>
      </c>
    </row>
    <row r="1580" spans="1:36" ht="12.75" customHeight="1">
      <c r="A1580" s="94">
        <v>42674</v>
      </c>
      <c r="B1580" s="94" t="s">
        <v>136</v>
      </c>
      <c r="C1580" s="358" t="s">
        <v>319</v>
      </c>
      <c r="D1580" s="374">
        <v>362976.40950000001</v>
      </c>
      <c r="E1580" s="9" t="e">
        <f t="shared" si="217"/>
        <v>#DIV/0!</v>
      </c>
      <c r="F1580" s="98">
        <v>0.6</v>
      </c>
      <c r="G1580" s="98">
        <v>0</v>
      </c>
      <c r="H1580" s="98">
        <v>0</v>
      </c>
      <c r="I1580" s="98">
        <v>0</v>
      </c>
      <c r="J1580" s="98"/>
      <c r="L1580" s="93">
        <f t="shared" si="210"/>
        <v>0</v>
      </c>
      <c r="M1580" s="95" t="e">
        <f t="shared" ca="1" si="211"/>
        <v>#DIV/0!</v>
      </c>
      <c r="N1580" s="95">
        <f>IF(P1580="Hedge Fund",IF(A1580=Summary!$AD$3,M1580-E1580,M1580),IF(A1580=Summary!$AD$3,L1580-D1580,L1580))</f>
        <v>0</v>
      </c>
      <c r="O1580" s="95">
        <f t="shared" si="215"/>
        <v>0</v>
      </c>
      <c r="P1580" s="89" t="s">
        <v>155</v>
      </c>
      <c r="Q1580" s="107">
        <v>0</v>
      </c>
      <c r="R1580" s="107">
        <v>0</v>
      </c>
      <c r="S1580" s="107">
        <v>0</v>
      </c>
      <c r="T1580" s="107">
        <v>0</v>
      </c>
      <c r="U1580" s="107"/>
      <c r="V1580" s="107"/>
      <c r="W1580" s="107"/>
      <c r="X1580" s="107"/>
      <c r="Y1580" s="107"/>
      <c r="Z1580" s="107"/>
      <c r="AA1580" s="107"/>
      <c r="AB1580" s="107"/>
      <c r="AC1580" s="355"/>
      <c r="AD1580" s="355"/>
      <c r="AE1580" s="355"/>
      <c r="AF1580" s="94">
        <f t="shared" si="212"/>
        <v>42674</v>
      </c>
      <c r="AG1580" s="185">
        <f t="shared" si="216"/>
        <v>2.6589917625158277E-2</v>
      </c>
      <c r="AH1580" s="339" t="str">
        <f>VLOOKUP(B1580,'MF PF'!A:B,2)</f>
        <v>FdMgt1</v>
      </c>
      <c r="AI1580" s="358">
        <f t="shared" si="213"/>
        <v>0</v>
      </c>
      <c r="AJ1580" s="94">
        <f t="shared" si="214"/>
        <v>42674</v>
      </c>
    </row>
    <row r="1581" spans="1:36" s="92" customFormat="1" ht="12.75" customHeight="1">
      <c r="A1581" s="94">
        <v>42704</v>
      </c>
      <c r="B1581" s="94" t="s">
        <v>136</v>
      </c>
      <c r="C1581" s="358" t="s">
        <v>319</v>
      </c>
      <c r="D1581" s="374">
        <v>366501.18099999998</v>
      </c>
      <c r="E1581" s="95" t="e">
        <f t="shared" si="217"/>
        <v>#DIV/0!</v>
      </c>
      <c r="F1581" s="98">
        <v>0.6</v>
      </c>
      <c r="G1581" s="98">
        <v>0</v>
      </c>
      <c r="H1581" s="98">
        <v>0</v>
      </c>
      <c r="I1581" s="98">
        <v>0</v>
      </c>
      <c r="J1581" s="98"/>
      <c r="K1581" s="93"/>
      <c r="L1581" s="93">
        <f t="shared" si="210"/>
        <v>0</v>
      </c>
      <c r="M1581" s="95" t="e">
        <f t="shared" ca="1" si="211"/>
        <v>#DIV/0!</v>
      </c>
      <c r="N1581" s="95">
        <f>IF(P1581="Hedge Fund",IF(A1581=Summary!$AD$3,M1581-E1581,M1581),IF(A1581=Summary!$AD$3,L1581-D1581,L1581))</f>
        <v>0</v>
      </c>
      <c r="O1581" s="95">
        <f t="shared" si="215"/>
        <v>0</v>
      </c>
      <c r="P1581" s="107" t="s">
        <v>155</v>
      </c>
      <c r="Q1581" s="107">
        <v>0</v>
      </c>
      <c r="R1581" s="107">
        <v>0</v>
      </c>
      <c r="S1581" s="107">
        <v>0</v>
      </c>
      <c r="T1581" s="107">
        <v>0</v>
      </c>
      <c r="U1581" s="107"/>
      <c r="V1581" s="107"/>
      <c r="W1581" s="107"/>
      <c r="X1581" s="107"/>
      <c r="Y1581" s="107"/>
      <c r="Z1581" s="107"/>
      <c r="AA1581" s="107"/>
      <c r="AB1581" s="107"/>
      <c r="AC1581" s="355"/>
      <c r="AD1581" s="355"/>
      <c r="AE1581" s="355"/>
      <c r="AF1581" s="94">
        <f t="shared" si="212"/>
        <v>42704</v>
      </c>
      <c r="AG1581" s="185">
        <f t="shared" si="216"/>
        <v>9.7107454031388762E-3</v>
      </c>
      <c r="AH1581" s="339" t="str">
        <f>VLOOKUP(B1581,'MF PF'!A:B,2)</f>
        <v>FdMgt1</v>
      </c>
      <c r="AI1581" s="358">
        <f t="shared" si="213"/>
        <v>0</v>
      </c>
      <c r="AJ1581" s="94">
        <f t="shared" si="214"/>
        <v>42704</v>
      </c>
    </row>
    <row r="1582" spans="1:36" s="92" customFormat="1" ht="12.75" customHeight="1">
      <c r="A1582" s="94">
        <v>42734</v>
      </c>
      <c r="B1582" s="94" t="s">
        <v>136</v>
      </c>
      <c r="C1582" s="92" t="s">
        <v>319</v>
      </c>
      <c r="D1582" s="374">
        <v>627958.79500000004</v>
      </c>
      <c r="E1582" s="95" t="e">
        <f t="shared" si="217"/>
        <v>#DIV/0!</v>
      </c>
      <c r="F1582" s="98">
        <v>0.6</v>
      </c>
      <c r="G1582" s="98">
        <v>263400</v>
      </c>
      <c r="H1582" s="98">
        <v>0</v>
      </c>
      <c r="I1582" s="98">
        <v>0</v>
      </c>
      <c r="J1582" s="98"/>
      <c r="K1582" s="93"/>
      <c r="L1582" s="93">
        <f t="shared" si="210"/>
        <v>263400</v>
      </c>
      <c r="M1582" s="95" t="e">
        <f t="shared" ca="1" si="211"/>
        <v>#DIV/0!</v>
      </c>
      <c r="N1582" s="95">
        <f>IF(P1582="Hedge Fund",IF(A1582=Summary!$AD$3,M1582-E1582,M1582),IF(A1582=Summary!$AD$3,L1582-D1582,L1582))</f>
        <v>263400</v>
      </c>
      <c r="O1582" s="95">
        <f t="shared" si="215"/>
        <v>263400</v>
      </c>
      <c r="P1582" s="107" t="s">
        <v>155</v>
      </c>
      <c r="Q1582" s="107">
        <v>0</v>
      </c>
      <c r="R1582" s="107">
        <v>0</v>
      </c>
      <c r="S1582" s="107">
        <v>0</v>
      </c>
      <c r="T1582" s="107">
        <v>0</v>
      </c>
      <c r="U1582" s="107"/>
      <c r="V1582" s="107"/>
      <c r="W1582" s="107"/>
      <c r="X1582" s="107"/>
      <c r="Y1582" s="107"/>
      <c r="Z1582" s="107"/>
      <c r="AA1582" s="107"/>
      <c r="AB1582" s="107"/>
      <c r="AC1582" s="355"/>
      <c r="AD1582" s="355"/>
      <c r="AE1582" s="355"/>
      <c r="AF1582" s="94">
        <f t="shared" si="212"/>
        <v>42734</v>
      </c>
      <c r="AG1582" s="185">
        <f t="shared" si="216"/>
        <v>-5.2998082972068872E-3</v>
      </c>
      <c r="AH1582" s="339" t="str">
        <f>VLOOKUP(B1582,'MF PF'!A:B,2)</f>
        <v>FdMgt1</v>
      </c>
      <c r="AI1582" s="358">
        <f t="shared" si="213"/>
        <v>0</v>
      </c>
      <c r="AJ1582" s="94">
        <f t="shared" si="214"/>
        <v>42735</v>
      </c>
    </row>
    <row r="1583" spans="1:36" s="92" customFormat="1" ht="12.75" customHeight="1">
      <c r="A1583" s="94">
        <v>42762</v>
      </c>
      <c r="B1583" s="94" t="s">
        <v>136</v>
      </c>
      <c r="C1583" s="92" t="s">
        <v>319</v>
      </c>
      <c r="D1583" s="374">
        <v>635782.39899999998</v>
      </c>
      <c r="E1583" s="95" t="e">
        <f t="shared" si="217"/>
        <v>#DIV/0!</v>
      </c>
      <c r="F1583" s="98">
        <v>0.6</v>
      </c>
      <c r="G1583" s="98">
        <v>0</v>
      </c>
      <c r="H1583" s="98">
        <v>0</v>
      </c>
      <c r="I1583" s="98">
        <v>0</v>
      </c>
      <c r="J1583" s="98"/>
      <c r="K1583" s="93"/>
      <c r="L1583" s="93">
        <f t="shared" si="210"/>
        <v>0</v>
      </c>
      <c r="M1583" s="95" t="e">
        <f t="shared" ca="1" si="211"/>
        <v>#DIV/0!</v>
      </c>
      <c r="N1583" s="95">
        <f>IF(P1583="Hedge Fund",IF(A1583=Summary!$AD$3,M1583-E1583,M1583),IF(A1583=Summary!$AD$3,L1583-D1583,L1583))</f>
        <v>0</v>
      </c>
      <c r="O1583" s="95">
        <f t="shared" si="215"/>
        <v>0</v>
      </c>
      <c r="P1583" s="107" t="s">
        <v>155</v>
      </c>
      <c r="Q1583" s="107">
        <v>0</v>
      </c>
      <c r="R1583" s="107">
        <v>0</v>
      </c>
      <c r="S1583" s="107">
        <v>0</v>
      </c>
      <c r="T1583" s="107">
        <v>0</v>
      </c>
      <c r="U1583" s="107"/>
      <c r="V1583" s="107"/>
      <c r="W1583" s="107"/>
      <c r="X1583" s="107"/>
      <c r="Y1583" s="107"/>
      <c r="Z1583" s="107"/>
      <c r="AA1583" s="107"/>
      <c r="AB1583" s="107"/>
      <c r="AC1583" s="355"/>
      <c r="AD1583" s="355"/>
      <c r="AE1583" s="355"/>
      <c r="AF1583" s="94">
        <f t="shared" si="212"/>
        <v>42762</v>
      </c>
      <c r="AG1583" s="185">
        <f t="shared" si="216"/>
        <v>1.2458785611880741E-2</v>
      </c>
      <c r="AH1583" s="339" t="str">
        <f>VLOOKUP(B1583,'MF PF'!A:B,2)</f>
        <v>FdMgt1</v>
      </c>
      <c r="AI1583" s="358">
        <f t="shared" si="213"/>
        <v>0</v>
      </c>
      <c r="AJ1583" s="94">
        <f t="shared" si="214"/>
        <v>42766</v>
      </c>
    </row>
    <row r="1584" spans="1:36" s="92" customFormat="1" ht="12.75" customHeight="1">
      <c r="A1584" s="94">
        <v>42794</v>
      </c>
      <c r="B1584" s="94" t="s">
        <v>136</v>
      </c>
      <c r="C1584" s="92" t="s">
        <v>319</v>
      </c>
      <c r="D1584" s="374">
        <v>647071.42749999999</v>
      </c>
      <c r="E1584" s="95" t="e">
        <f t="shared" si="217"/>
        <v>#DIV/0!</v>
      </c>
      <c r="F1584" s="98">
        <v>0.6</v>
      </c>
      <c r="G1584" s="98">
        <v>0</v>
      </c>
      <c r="H1584" s="98">
        <v>0</v>
      </c>
      <c r="I1584" s="98">
        <v>0</v>
      </c>
      <c r="J1584" s="98"/>
      <c r="K1584" s="93"/>
      <c r="L1584" s="93">
        <f t="shared" si="210"/>
        <v>0</v>
      </c>
      <c r="M1584" s="95" t="e">
        <f t="shared" ca="1" si="211"/>
        <v>#DIV/0!</v>
      </c>
      <c r="N1584" s="95">
        <f>IF(P1584="Hedge Fund",IF(A1584=Summary!$AD$3,M1584-E1584,M1584),IF(A1584=Summary!$AD$3,L1584-D1584,L1584))</f>
        <v>0</v>
      </c>
      <c r="O1584" s="95">
        <f t="shared" si="215"/>
        <v>0</v>
      </c>
      <c r="P1584" s="107" t="s">
        <v>155</v>
      </c>
      <c r="Q1584" s="107">
        <v>0</v>
      </c>
      <c r="R1584" s="107">
        <v>0</v>
      </c>
      <c r="S1584" s="107">
        <v>0</v>
      </c>
      <c r="T1584" s="107">
        <v>0</v>
      </c>
      <c r="U1584" s="107"/>
      <c r="V1584" s="107"/>
      <c r="W1584" s="107"/>
      <c r="X1584" s="107"/>
      <c r="Y1584" s="107"/>
      <c r="Z1584" s="107"/>
      <c r="AA1584" s="107"/>
      <c r="AB1584" s="107"/>
      <c r="AC1584" s="355"/>
      <c r="AD1584" s="355"/>
      <c r="AE1584" s="355"/>
      <c r="AF1584" s="94">
        <f t="shared" si="212"/>
        <v>42794</v>
      </c>
      <c r="AG1584" s="185">
        <f t="shared" si="216"/>
        <v>1.7756119889062782E-2</v>
      </c>
      <c r="AH1584" s="339" t="str">
        <f>VLOOKUP(B1584,'MF PF'!A:B,2)</f>
        <v>FdMgt1</v>
      </c>
      <c r="AI1584" s="358">
        <f t="shared" si="213"/>
        <v>0</v>
      </c>
      <c r="AJ1584" s="94">
        <f t="shared" si="214"/>
        <v>42794</v>
      </c>
    </row>
    <row r="1585" spans="1:36" s="92" customFormat="1" ht="12.75" customHeight="1">
      <c r="A1585" s="94">
        <v>42825</v>
      </c>
      <c r="B1585" s="94" t="s">
        <v>136</v>
      </c>
      <c r="C1585" s="92" t="s">
        <v>319</v>
      </c>
      <c r="D1585" s="374">
        <v>643274.17150000005</v>
      </c>
      <c r="E1585" s="95" t="e">
        <f t="shared" si="217"/>
        <v>#DIV/0!</v>
      </c>
      <c r="F1585" s="98">
        <v>0.6</v>
      </c>
      <c r="G1585" s="98">
        <v>0</v>
      </c>
      <c r="H1585" s="98">
        <v>0</v>
      </c>
      <c r="I1585" s="98">
        <v>0</v>
      </c>
      <c r="J1585" s="98"/>
      <c r="K1585" s="93"/>
      <c r="L1585" s="93">
        <f t="shared" si="210"/>
        <v>0</v>
      </c>
      <c r="M1585" s="95" t="e">
        <f t="shared" ca="1" si="211"/>
        <v>#DIV/0!</v>
      </c>
      <c r="N1585" s="95">
        <f>IF(P1585="Hedge Fund",IF(A1585=Summary!$AD$3,M1585-E1585,M1585),IF(A1585=Summary!$AD$3,L1585-D1585,L1585))</f>
        <v>0</v>
      </c>
      <c r="O1585" s="95">
        <f t="shared" si="215"/>
        <v>0</v>
      </c>
      <c r="P1585" s="107" t="s">
        <v>155</v>
      </c>
      <c r="Q1585" s="107">
        <v>0</v>
      </c>
      <c r="R1585" s="107">
        <v>0</v>
      </c>
      <c r="S1585" s="107">
        <v>0</v>
      </c>
      <c r="T1585" s="107">
        <v>0</v>
      </c>
      <c r="U1585" s="107"/>
      <c r="V1585" s="107"/>
      <c r="W1585" s="107"/>
      <c r="X1585" s="107"/>
      <c r="Y1585" s="107"/>
      <c r="Z1585" s="107"/>
      <c r="AA1585" s="107"/>
      <c r="AB1585" s="107"/>
      <c r="AC1585" s="355"/>
      <c r="AD1585" s="355"/>
      <c r="AE1585" s="355"/>
      <c r="AF1585" s="94">
        <f t="shared" si="212"/>
        <v>42825</v>
      </c>
      <c r="AG1585" s="185">
        <f t="shared" si="216"/>
        <v>-5.8683722362319335E-3</v>
      </c>
      <c r="AH1585" s="339" t="str">
        <f>VLOOKUP(B1585,'MF PF'!A:B,2)</f>
        <v>FdMgt1</v>
      </c>
      <c r="AI1585" s="358">
        <f t="shared" si="213"/>
        <v>0</v>
      </c>
      <c r="AJ1585" s="94">
        <f t="shared" si="214"/>
        <v>42825</v>
      </c>
    </row>
    <row r="1586" spans="1:36" s="92" customFormat="1" ht="12.75" customHeight="1">
      <c r="A1586" s="94">
        <v>42853</v>
      </c>
      <c r="B1586" s="94" t="s">
        <v>136</v>
      </c>
      <c r="C1586" s="92" t="s">
        <v>319</v>
      </c>
      <c r="D1586" s="374">
        <v>646577.42500000005</v>
      </c>
      <c r="E1586" s="95" t="e">
        <f t="shared" si="217"/>
        <v>#DIV/0!</v>
      </c>
      <c r="F1586" s="98">
        <v>0.6</v>
      </c>
      <c r="G1586" s="98">
        <v>0</v>
      </c>
      <c r="H1586" s="98">
        <v>0</v>
      </c>
      <c r="I1586" s="98">
        <v>0</v>
      </c>
      <c r="J1586" s="98"/>
      <c r="K1586" s="93"/>
      <c r="L1586" s="93">
        <f t="shared" si="210"/>
        <v>0</v>
      </c>
      <c r="M1586" s="95" t="e">
        <f t="shared" ca="1" si="211"/>
        <v>#DIV/0!</v>
      </c>
      <c r="N1586" s="95">
        <f>IF(P1586="Hedge Fund",IF(A1586=Summary!$AD$3,M1586-E1586,M1586),IF(A1586=Summary!$AD$3,L1586-D1586,L1586))</f>
        <v>0</v>
      </c>
      <c r="O1586" s="95">
        <f t="shared" si="215"/>
        <v>0</v>
      </c>
      <c r="P1586" s="107" t="s">
        <v>155</v>
      </c>
      <c r="Q1586" s="107">
        <v>0</v>
      </c>
      <c r="R1586" s="107">
        <v>0</v>
      </c>
      <c r="S1586" s="107">
        <v>0</v>
      </c>
      <c r="T1586" s="107">
        <v>0</v>
      </c>
      <c r="U1586" s="107"/>
      <c r="V1586" s="107"/>
      <c r="W1586" s="107"/>
      <c r="X1586" s="107"/>
      <c r="Y1586" s="107"/>
      <c r="Z1586" s="107"/>
      <c r="AA1586" s="107"/>
      <c r="AB1586" s="107"/>
      <c r="AC1586" s="355"/>
      <c r="AD1586" s="355"/>
      <c r="AE1586" s="355"/>
      <c r="AF1586" s="94">
        <f t="shared" si="212"/>
        <v>42853</v>
      </c>
      <c r="AG1586" s="185">
        <f t="shared" si="216"/>
        <v>5.1350631602344876E-3</v>
      </c>
      <c r="AH1586" s="339" t="str">
        <f>VLOOKUP(B1586,'MF PF'!A:B,2)</f>
        <v>FdMgt1</v>
      </c>
      <c r="AI1586" s="358">
        <f t="shared" si="213"/>
        <v>0</v>
      </c>
      <c r="AJ1586" s="94">
        <f t="shared" si="214"/>
        <v>42855</v>
      </c>
    </row>
    <row r="1587" spans="1:36" s="92" customFormat="1" ht="12.75" customHeight="1">
      <c r="A1587" s="94">
        <v>42886</v>
      </c>
      <c r="B1587" s="94" t="s">
        <v>136</v>
      </c>
      <c r="C1587" s="92" t="s">
        <v>319</v>
      </c>
      <c r="D1587" s="374">
        <v>655063.90099999995</v>
      </c>
      <c r="E1587" s="95" t="e">
        <f t="shared" si="217"/>
        <v>#DIV/0!</v>
      </c>
      <c r="F1587" s="98">
        <v>0.6</v>
      </c>
      <c r="G1587" s="98">
        <v>0</v>
      </c>
      <c r="H1587" s="98">
        <v>0</v>
      </c>
      <c r="I1587" s="98">
        <v>0</v>
      </c>
      <c r="J1587" s="98"/>
      <c r="K1587" s="93"/>
      <c r="L1587" s="93">
        <f t="shared" si="210"/>
        <v>0</v>
      </c>
      <c r="M1587" s="95" t="e">
        <f t="shared" ca="1" si="211"/>
        <v>#DIV/0!</v>
      </c>
      <c r="N1587" s="95">
        <f>IF(P1587="Hedge Fund",IF(A1587=Summary!$AD$3,M1587-E1587,M1587),IF(A1587=Summary!$AD$3,L1587-D1587,L1587))</f>
        <v>0</v>
      </c>
      <c r="O1587" s="95">
        <f t="shared" si="215"/>
        <v>0</v>
      </c>
      <c r="P1587" s="107" t="s">
        <v>155</v>
      </c>
      <c r="Q1587" s="107">
        <v>0</v>
      </c>
      <c r="R1587" s="107">
        <v>0</v>
      </c>
      <c r="S1587" s="107">
        <v>0</v>
      </c>
      <c r="T1587" s="107">
        <v>0</v>
      </c>
      <c r="U1587" s="107"/>
      <c r="V1587" s="107"/>
      <c r="W1587" s="107"/>
      <c r="X1587" s="107"/>
      <c r="Y1587" s="107"/>
      <c r="Z1587" s="107"/>
      <c r="AA1587" s="107"/>
      <c r="AB1587" s="107"/>
      <c r="AC1587" s="355"/>
      <c r="AD1587" s="355"/>
      <c r="AE1587" s="355"/>
      <c r="AF1587" s="94">
        <f t="shared" si="212"/>
        <v>42886</v>
      </c>
      <c r="AG1587" s="185">
        <f t="shared" si="216"/>
        <v>1.3125227810110829E-2</v>
      </c>
      <c r="AH1587" s="339" t="str">
        <f>VLOOKUP(B1587,'MF PF'!A:B,2)</f>
        <v>FdMgt1</v>
      </c>
      <c r="AI1587" s="358">
        <f t="shared" si="213"/>
        <v>0</v>
      </c>
      <c r="AJ1587" s="94">
        <f t="shared" si="214"/>
        <v>42886</v>
      </c>
    </row>
    <row r="1588" spans="1:36" s="92" customFormat="1" ht="12.75" customHeight="1">
      <c r="A1588" s="94">
        <v>42916</v>
      </c>
      <c r="B1588" s="94" t="s">
        <v>136</v>
      </c>
      <c r="C1588" s="92" t="s">
        <v>319</v>
      </c>
      <c r="D1588" s="374">
        <v>660784.40949999995</v>
      </c>
      <c r="E1588" s="95" t="e">
        <f t="shared" si="217"/>
        <v>#DIV/0!</v>
      </c>
      <c r="F1588" s="98">
        <v>0.6</v>
      </c>
      <c r="G1588" s="98">
        <v>0</v>
      </c>
      <c r="H1588" s="98">
        <v>0</v>
      </c>
      <c r="I1588" s="98">
        <v>0</v>
      </c>
      <c r="J1588" s="98"/>
      <c r="K1588" s="93"/>
      <c r="L1588" s="93">
        <f t="shared" si="210"/>
        <v>0</v>
      </c>
      <c r="M1588" s="95" t="e">
        <f t="shared" ca="1" si="211"/>
        <v>#DIV/0!</v>
      </c>
      <c r="N1588" s="95">
        <f>IF(P1588="Hedge Fund",IF(A1588=Summary!$AD$3,M1588-E1588,M1588),IF(A1588=Summary!$AD$3,L1588-D1588,L1588))</f>
        <v>0</v>
      </c>
      <c r="O1588" s="95">
        <f t="shared" si="215"/>
        <v>0</v>
      </c>
      <c r="P1588" s="107" t="s">
        <v>155</v>
      </c>
      <c r="Q1588" s="107">
        <v>0</v>
      </c>
      <c r="R1588" s="107">
        <v>0</v>
      </c>
      <c r="S1588" s="107">
        <v>0</v>
      </c>
      <c r="T1588" s="107">
        <v>0</v>
      </c>
      <c r="U1588" s="107"/>
      <c r="V1588" s="107"/>
      <c r="W1588" s="107"/>
      <c r="X1588" s="107"/>
      <c r="Y1588" s="107"/>
      <c r="Z1588" s="107"/>
      <c r="AA1588" s="107"/>
      <c r="AB1588" s="107"/>
      <c r="AC1588" s="355"/>
      <c r="AD1588" s="355"/>
      <c r="AE1588" s="355"/>
      <c r="AF1588" s="94">
        <f t="shared" si="212"/>
        <v>42916</v>
      </c>
      <c r="AG1588" s="185">
        <f t="shared" si="216"/>
        <v>8.732748807051216E-3</v>
      </c>
      <c r="AH1588" s="339" t="str">
        <f>VLOOKUP(B1588,'MF PF'!A:B,2)</f>
        <v>FdMgt1</v>
      </c>
      <c r="AI1588" s="358">
        <f t="shared" si="213"/>
        <v>0</v>
      </c>
      <c r="AJ1588" s="94">
        <f t="shared" si="214"/>
        <v>42916</v>
      </c>
    </row>
    <row r="1589" spans="1:36" s="92" customFormat="1" ht="12.75" customHeight="1">
      <c r="A1589" s="94">
        <v>42947</v>
      </c>
      <c r="B1589" s="94" t="s">
        <v>136</v>
      </c>
      <c r="C1589" s="92" t="s">
        <v>319</v>
      </c>
      <c r="D1589" s="374">
        <v>666029.86200000008</v>
      </c>
      <c r="E1589" s="95" t="e">
        <f t="shared" si="217"/>
        <v>#DIV/0!</v>
      </c>
      <c r="F1589" s="98">
        <v>0.6</v>
      </c>
      <c r="G1589" s="98">
        <v>0</v>
      </c>
      <c r="H1589" s="98">
        <v>0</v>
      </c>
      <c r="I1589" s="98">
        <v>0</v>
      </c>
      <c r="J1589" s="98"/>
      <c r="K1589" s="93"/>
      <c r="L1589" s="93">
        <f t="shared" si="210"/>
        <v>0</v>
      </c>
      <c r="M1589" s="95" t="e">
        <f t="shared" ca="1" si="211"/>
        <v>#DIV/0!</v>
      </c>
      <c r="N1589" s="95">
        <f>IF(P1589="Hedge Fund",IF(A1589=Summary!$AD$3,M1589-E1589,M1589),IF(A1589=Summary!$AD$3,L1589-D1589,L1589))</f>
        <v>0</v>
      </c>
      <c r="O1589" s="95">
        <f t="shared" si="215"/>
        <v>0</v>
      </c>
      <c r="P1589" s="107" t="s">
        <v>155</v>
      </c>
      <c r="Q1589" s="107">
        <v>0</v>
      </c>
      <c r="R1589" s="107">
        <v>0</v>
      </c>
      <c r="S1589" s="107">
        <v>0</v>
      </c>
      <c r="T1589" s="107">
        <v>0</v>
      </c>
      <c r="U1589" s="107"/>
      <c r="V1589" s="107"/>
      <c r="W1589" s="107"/>
      <c r="X1589" s="107"/>
      <c r="Y1589" s="107"/>
      <c r="Z1589" s="107"/>
      <c r="AA1589" s="107"/>
      <c r="AB1589" s="107"/>
      <c r="AC1589" s="355"/>
      <c r="AD1589" s="355"/>
      <c r="AE1589" s="355"/>
      <c r="AF1589" s="94">
        <f t="shared" si="212"/>
        <v>42947</v>
      </c>
      <c r="AG1589" s="185">
        <f t="shared" si="216"/>
        <v>7.9382207337022059E-3</v>
      </c>
      <c r="AH1589" s="339" t="str">
        <f>VLOOKUP(B1589,'MF PF'!A:B,2)</f>
        <v>FdMgt1</v>
      </c>
      <c r="AI1589" s="358">
        <f t="shared" si="213"/>
        <v>0</v>
      </c>
      <c r="AJ1589" s="94">
        <f t="shared" si="214"/>
        <v>42947</v>
      </c>
    </row>
    <row r="1590" spans="1:36" s="92" customFormat="1" ht="12.75" customHeight="1">
      <c r="A1590" s="94">
        <v>42978</v>
      </c>
      <c r="B1590" s="94" t="s">
        <v>136</v>
      </c>
      <c r="C1590" s="358" t="s">
        <v>319</v>
      </c>
      <c r="D1590" s="374">
        <v>665700</v>
      </c>
      <c r="E1590" s="95" t="e">
        <f t="shared" si="217"/>
        <v>#DIV/0!</v>
      </c>
      <c r="F1590" s="98">
        <v>0.6</v>
      </c>
      <c r="G1590" s="98">
        <v>0</v>
      </c>
      <c r="H1590" s="98">
        <v>0</v>
      </c>
      <c r="I1590" s="98">
        <v>0</v>
      </c>
      <c r="J1590" s="98"/>
      <c r="K1590" s="93"/>
      <c r="L1590" s="93">
        <f t="shared" si="210"/>
        <v>0</v>
      </c>
      <c r="M1590" s="95" t="e">
        <f t="shared" ca="1" si="211"/>
        <v>#DIV/0!</v>
      </c>
      <c r="N1590" s="95">
        <f>IF(P1590="Hedge Fund",IF(A1590=Summary!$AD$3,M1590-E1590,M1590),IF(A1590=Summary!$AD$3,L1590-D1590,L1590))</f>
        <v>0</v>
      </c>
      <c r="O1590" s="95">
        <f t="shared" si="215"/>
        <v>0</v>
      </c>
      <c r="P1590" s="107" t="s">
        <v>155</v>
      </c>
      <c r="Q1590" s="107">
        <v>0</v>
      </c>
      <c r="R1590" s="107">
        <v>0</v>
      </c>
      <c r="S1590" s="107">
        <v>0</v>
      </c>
      <c r="T1590" s="107">
        <v>0</v>
      </c>
      <c r="U1590" s="107"/>
      <c r="V1590" s="107"/>
      <c r="W1590" s="107"/>
      <c r="X1590" s="107"/>
      <c r="Y1590" s="107"/>
      <c r="Z1590" s="107"/>
      <c r="AA1590" s="107"/>
      <c r="AB1590" s="107"/>
      <c r="AC1590" s="355"/>
      <c r="AD1590" s="355"/>
      <c r="AE1590" s="355"/>
      <c r="AF1590" s="94">
        <f t="shared" si="212"/>
        <v>42978</v>
      </c>
      <c r="AG1590" s="185">
        <f t="shared" si="216"/>
        <v>-4.9526608162819841E-4</v>
      </c>
      <c r="AH1590" s="339" t="str">
        <f>VLOOKUP(B1590,'MF PF'!A:B,2)</f>
        <v>FdMgt1</v>
      </c>
      <c r="AI1590" s="358">
        <f t="shared" si="213"/>
        <v>0</v>
      </c>
      <c r="AJ1590" s="94">
        <f t="shared" si="214"/>
        <v>42978</v>
      </c>
    </row>
    <row r="1591" spans="1:36" s="92" customFormat="1" ht="12.75" customHeight="1">
      <c r="A1591" s="94">
        <v>43007</v>
      </c>
      <c r="B1591" s="94" t="s">
        <v>136</v>
      </c>
      <c r="C1591" s="358" t="s">
        <v>319</v>
      </c>
      <c r="D1591" s="374">
        <v>669245.40883801656</v>
      </c>
      <c r="E1591" s="95" t="e">
        <f t="shared" si="217"/>
        <v>#DIV/0!</v>
      </c>
      <c r="F1591" s="98">
        <v>0.6</v>
      </c>
      <c r="G1591" s="98">
        <v>0</v>
      </c>
      <c r="H1591" s="98">
        <v>0</v>
      </c>
      <c r="I1591" s="98">
        <v>0</v>
      </c>
      <c r="J1591" s="98"/>
      <c r="K1591" s="93"/>
      <c r="L1591" s="93">
        <f t="shared" si="210"/>
        <v>0</v>
      </c>
      <c r="M1591" s="95" t="e">
        <f t="shared" ca="1" si="211"/>
        <v>#DIV/0!</v>
      </c>
      <c r="N1591" s="95">
        <f>IF(P1591="Hedge Fund",IF(A1591=Summary!$AD$3,M1591-E1591,M1591),IF(A1591=Summary!$AD$3,L1591-D1591,L1591))</f>
        <v>0</v>
      </c>
      <c r="O1591" s="95">
        <f t="shared" si="215"/>
        <v>0</v>
      </c>
      <c r="P1591" s="107" t="s">
        <v>155</v>
      </c>
      <c r="Q1591" s="107">
        <v>0</v>
      </c>
      <c r="R1591" s="107">
        <v>0</v>
      </c>
      <c r="S1591" s="107">
        <v>0</v>
      </c>
      <c r="T1591" s="107">
        <v>0</v>
      </c>
      <c r="U1591" s="107"/>
      <c r="V1591" s="107"/>
      <c r="W1591" s="107"/>
      <c r="X1591" s="107"/>
      <c r="Y1591" s="107"/>
      <c r="Z1591" s="107"/>
      <c r="AA1591" s="107"/>
      <c r="AB1591" s="107"/>
      <c r="AC1591" s="355"/>
      <c r="AD1591" s="355"/>
      <c r="AE1591" s="355"/>
      <c r="AF1591" s="94">
        <f t="shared" si="212"/>
        <v>43007</v>
      </c>
      <c r="AG1591" s="185">
        <f t="shared" si="216"/>
        <v>5.3258357188170624E-3</v>
      </c>
      <c r="AH1591" s="339" t="str">
        <f>VLOOKUP(B1591,'MF PF'!A:B,2)</f>
        <v>FdMgt1</v>
      </c>
      <c r="AI1591" s="358">
        <f t="shared" si="213"/>
        <v>0</v>
      </c>
      <c r="AJ1591" s="94">
        <f t="shared" si="214"/>
        <v>43008</v>
      </c>
    </row>
    <row r="1592" spans="1:36" s="92" customFormat="1" ht="12.75" customHeight="1">
      <c r="A1592" s="94">
        <v>43039</v>
      </c>
      <c r="B1592" s="94" t="s">
        <v>136</v>
      </c>
      <c r="C1592" s="358" t="s">
        <v>319</v>
      </c>
      <c r="D1592" s="374">
        <v>675600</v>
      </c>
      <c r="E1592" s="95" t="e">
        <f t="shared" si="217"/>
        <v>#DIV/0!</v>
      </c>
      <c r="F1592" s="98">
        <v>0.6</v>
      </c>
      <c r="G1592" s="98">
        <v>0</v>
      </c>
      <c r="H1592" s="98">
        <v>0</v>
      </c>
      <c r="I1592" s="98">
        <v>0</v>
      </c>
      <c r="J1592" s="98"/>
      <c r="K1592" s="93"/>
      <c r="L1592" s="93">
        <f t="shared" si="210"/>
        <v>0</v>
      </c>
      <c r="M1592" s="95" t="e">
        <f t="shared" ca="1" si="211"/>
        <v>#DIV/0!</v>
      </c>
      <c r="N1592" s="95">
        <f>IF(P1592="Hedge Fund",IF(A1592=Summary!$AD$3,M1592-E1592,M1592),IF(A1592=Summary!$AD$3,L1592-D1592,L1592))</f>
        <v>0</v>
      </c>
      <c r="O1592" s="95">
        <f t="shared" si="215"/>
        <v>0</v>
      </c>
      <c r="P1592" s="107" t="s">
        <v>155</v>
      </c>
      <c r="Q1592" s="107">
        <v>0</v>
      </c>
      <c r="R1592" s="107">
        <v>0</v>
      </c>
      <c r="S1592" s="107">
        <v>0</v>
      </c>
      <c r="T1592" s="107">
        <v>0</v>
      </c>
      <c r="U1592" s="107"/>
      <c r="V1592" s="107"/>
      <c r="W1592" s="107"/>
      <c r="X1592" s="107"/>
      <c r="Y1592" s="107"/>
      <c r="Z1592" s="107"/>
      <c r="AA1592" s="107"/>
      <c r="AB1592" s="107"/>
      <c r="AC1592" s="355"/>
      <c r="AD1592" s="355"/>
      <c r="AE1592" s="355"/>
      <c r="AF1592" s="94">
        <f t="shared" si="212"/>
        <v>43039</v>
      </c>
      <c r="AG1592" s="185">
        <f t="shared" si="216"/>
        <v>9.4951583949103302E-3</v>
      </c>
      <c r="AH1592" s="339" t="str">
        <f>VLOOKUP(B1592,'MF PF'!A:B,2)</f>
        <v>FdMgt1</v>
      </c>
      <c r="AI1592" s="358">
        <f t="shared" si="213"/>
        <v>0</v>
      </c>
      <c r="AJ1592" s="94">
        <f t="shared" si="214"/>
        <v>43039</v>
      </c>
    </row>
    <row r="1593" spans="1:36" s="92" customFormat="1" ht="12.75" customHeight="1">
      <c r="A1593" s="94">
        <v>43069</v>
      </c>
      <c r="B1593" s="94" t="s">
        <v>136</v>
      </c>
      <c r="C1593" s="358" t="s">
        <v>319</v>
      </c>
      <c r="D1593" s="374">
        <v>675792</v>
      </c>
      <c r="E1593" s="95" t="e">
        <f t="shared" si="217"/>
        <v>#DIV/0!</v>
      </c>
      <c r="F1593" s="98">
        <v>0.6</v>
      </c>
      <c r="G1593" s="98">
        <v>0</v>
      </c>
      <c r="H1593" s="98">
        <v>0</v>
      </c>
      <c r="I1593" s="98">
        <v>0</v>
      </c>
      <c r="J1593" s="98"/>
      <c r="K1593" s="93"/>
      <c r="L1593" s="93">
        <f t="shared" si="210"/>
        <v>0</v>
      </c>
      <c r="M1593" s="95" t="e">
        <f t="shared" ca="1" si="211"/>
        <v>#DIV/0!</v>
      </c>
      <c r="N1593" s="95">
        <f>IF(P1593="Hedge Fund",IF(A1593=Summary!$AD$3,M1593-E1593,M1593),IF(A1593=Summary!$AD$3,L1593-D1593,L1593))</f>
        <v>0</v>
      </c>
      <c r="O1593" s="95">
        <f t="shared" si="215"/>
        <v>0</v>
      </c>
      <c r="P1593" s="107" t="s">
        <v>155</v>
      </c>
      <c r="Q1593" s="107">
        <v>0</v>
      </c>
      <c r="R1593" s="107">
        <v>0</v>
      </c>
      <c r="S1593" s="107">
        <v>0</v>
      </c>
      <c r="T1593" s="107">
        <v>0</v>
      </c>
      <c r="U1593" s="107"/>
      <c r="V1593" s="107"/>
      <c r="W1593" s="107"/>
      <c r="X1593" s="107"/>
      <c r="Y1593" s="107"/>
      <c r="Z1593" s="107"/>
      <c r="AA1593" s="107"/>
      <c r="AB1593" s="107"/>
      <c r="AC1593" s="355"/>
      <c r="AD1593" s="355"/>
      <c r="AE1593" s="355"/>
      <c r="AF1593" s="94">
        <f t="shared" si="212"/>
        <v>43069</v>
      </c>
      <c r="AG1593" s="185">
        <f t="shared" si="216"/>
        <v>2.8419182948491439E-4</v>
      </c>
      <c r="AH1593" s="339" t="str">
        <f>VLOOKUP(B1593,'MF PF'!A:B,2)</f>
        <v>FdMgt1</v>
      </c>
      <c r="AI1593" s="358">
        <f t="shared" si="213"/>
        <v>0</v>
      </c>
      <c r="AJ1593" s="94">
        <f t="shared" si="214"/>
        <v>43069</v>
      </c>
    </row>
    <row r="1594" spans="1:36" s="92" customFormat="1" ht="12.75" customHeight="1">
      <c r="A1594" s="94">
        <v>43098</v>
      </c>
      <c r="B1594" s="94" t="s">
        <v>136</v>
      </c>
      <c r="C1594" s="358" t="s">
        <v>319</v>
      </c>
      <c r="D1594" s="374">
        <v>730100</v>
      </c>
      <c r="E1594" s="95" t="e">
        <f t="shared" si="217"/>
        <v>#DIV/0!</v>
      </c>
      <c r="F1594" s="98">
        <v>0.6</v>
      </c>
      <c r="G1594" s="98">
        <v>0</v>
      </c>
      <c r="H1594" s="98">
        <v>0</v>
      </c>
      <c r="I1594" s="98">
        <v>0</v>
      </c>
      <c r="J1594" s="98"/>
      <c r="K1594" s="93"/>
      <c r="L1594" s="93">
        <f t="shared" si="210"/>
        <v>0</v>
      </c>
      <c r="M1594" s="95" t="e">
        <f t="shared" ca="1" si="211"/>
        <v>#DIV/0!</v>
      </c>
      <c r="N1594" s="95">
        <f>IF(P1594="Hedge Fund",IF(A1594=Summary!$AD$3,M1594-E1594,M1594),IF(A1594=Summary!$AD$3,L1594-D1594,L1594))</f>
        <v>0</v>
      </c>
      <c r="O1594" s="95">
        <f t="shared" si="215"/>
        <v>0</v>
      </c>
      <c r="P1594" s="107" t="s">
        <v>155</v>
      </c>
      <c r="Q1594" s="107">
        <v>0</v>
      </c>
      <c r="R1594" s="107">
        <v>0</v>
      </c>
      <c r="S1594" s="107">
        <v>0</v>
      </c>
      <c r="T1594" s="107">
        <v>0</v>
      </c>
      <c r="U1594" s="107"/>
      <c r="V1594" s="107"/>
      <c r="W1594" s="107"/>
      <c r="X1594" s="107"/>
      <c r="Y1594" s="107"/>
      <c r="Z1594" s="107"/>
      <c r="AA1594" s="107"/>
      <c r="AB1594" s="107"/>
      <c r="AC1594" s="355"/>
      <c r="AD1594" s="355"/>
      <c r="AE1594" s="355"/>
      <c r="AF1594" s="94">
        <f t="shared" si="212"/>
        <v>43098</v>
      </c>
      <c r="AG1594" s="185">
        <f t="shared" si="216"/>
        <v>8.0362004877240434E-2</v>
      </c>
      <c r="AH1594" s="339" t="str">
        <f>VLOOKUP(B1594,'MF PF'!A:B,2)</f>
        <v>FdMgt1</v>
      </c>
      <c r="AI1594" s="358">
        <f t="shared" si="213"/>
        <v>0</v>
      </c>
      <c r="AJ1594" s="94">
        <f t="shared" si="214"/>
        <v>43100</v>
      </c>
    </row>
    <row r="1595" spans="1:36" s="92" customFormat="1" ht="12.75" customHeight="1">
      <c r="A1595" s="94">
        <v>43131</v>
      </c>
      <c r="B1595" s="94" t="s">
        <v>136</v>
      </c>
      <c r="C1595" s="358" t="s">
        <v>319</v>
      </c>
      <c r="D1595" s="374">
        <v>749400</v>
      </c>
      <c r="E1595" s="95" t="e">
        <f t="shared" si="217"/>
        <v>#DIV/0!</v>
      </c>
      <c r="F1595" s="98">
        <v>0.6</v>
      </c>
      <c r="G1595" s="98">
        <v>0</v>
      </c>
      <c r="H1595" s="98">
        <v>0</v>
      </c>
      <c r="I1595" s="98">
        <v>0</v>
      </c>
      <c r="J1595" s="98"/>
      <c r="K1595" s="93"/>
      <c r="L1595" s="93">
        <f t="shared" si="210"/>
        <v>0</v>
      </c>
      <c r="M1595" s="95" t="e">
        <f t="shared" ca="1" si="211"/>
        <v>#DIV/0!</v>
      </c>
      <c r="N1595" s="95">
        <f>IF(P1595="Hedge Fund",IF(A1595=Summary!$AD$3,M1595-E1595,M1595),IF(A1595=Summary!$AD$3,L1595-D1595,L1595))</f>
        <v>0</v>
      </c>
      <c r="O1595" s="95">
        <f t="shared" si="215"/>
        <v>0</v>
      </c>
      <c r="P1595" s="107" t="s">
        <v>155</v>
      </c>
      <c r="Q1595" s="107">
        <v>0</v>
      </c>
      <c r="R1595" s="107">
        <v>0</v>
      </c>
      <c r="S1595" s="107">
        <v>0</v>
      </c>
      <c r="T1595" s="107">
        <v>0</v>
      </c>
      <c r="U1595" s="107"/>
      <c r="V1595" s="107"/>
      <c r="W1595" s="107"/>
      <c r="X1595" s="107"/>
      <c r="Y1595" s="107"/>
      <c r="Z1595" s="107"/>
      <c r="AA1595" s="107"/>
      <c r="AB1595" s="107"/>
      <c r="AC1595" s="355"/>
      <c r="AD1595" s="355"/>
      <c r="AE1595" s="355"/>
      <c r="AF1595" s="94">
        <f t="shared" si="212"/>
        <v>43131</v>
      </c>
      <c r="AG1595" s="185">
        <f t="shared" si="216"/>
        <v>2.6434734967812679E-2</v>
      </c>
      <c r="AH1595" s="339" t="str">
        <f>VLOOKUP(B1595,'MF PF'!A:B,2)</f>
        <v>FdMgt1</v>
      </c>
      <c r="AI1595" s="358">
        <f t="shared" si="213"/>
        <v>0</v>
      </c>
      <c r="AJ1595" s="94">
        <f t="shared" si="214"/>
        <v>43131</v>
      </c>
    </row>
    <row r="1596" spans="1:36" s="92" customFormat="1" ht="12.75" customHeight="1">
      <c r="A1596" s="94">
        <v>43159</v>
      </c>
      <c r="B1596" s="94" t="s">
        <v>136</v>
      </c>
      <c r="C1596" s="358" t="s">
        <v>319</v>
      </c>
      <c r="D1596" s="374">
        <v>752502.51</v>
      </c>
      <c r="E1596" s="95" t="e">
        <f t="shared" si="217"/>
        <v>#DIV/0!</v>
      </c>
      <c r="F1596" s="98">
        <v>0.6</v>
      </c>
      <c r="G1596" s="98">
        <v>0</v>
      </c>
      <c r="H1596" s="98">
        <v>0</v>
      </c>
      <c r="I1596" s="98">
        <v>0</v>
      </c>
      <c r="J1596" s="98"/>
      <c r="K1596" s="93"/>
      <c r="L1596" s="93">
        <f t="shared" si="210"/>
        <v>0</v>
      </c>
      <c r="M1596" s="95" t="e">
        <f t="shared" ca="1" si="211"/>
        <v>#DIV/0!</v>
      </c>
      <c r="N1596" s="95">
        <f>IF(P1596="Hedge Fund",IF(A1596=Summary!$AD$3,M1596-E1596,M1596),IF(A1596=Summary!$AD$3,L1596-D1596,L1596))</f>
        <v>0</v>
      </c>
      <c r="O1596" s="95">
        <f t="shared" si="215"/>
        <v>0</v>
      </c>
      <c r="P1596" s="107" t="s">
        <v>155</v>
      </c>
      <c r="Q1596" s="107">
        <v>0</v>
      </c>
      <c r="R1596" s="107">
        <v>0</v>
      </c>
      <c r="S1596" s="107">
        <v>0</v>
      </c>
      <c r="T1596" s="107">
        <v>0</v>
      </c>
      <c r="U1596" s="107"/>
      <c r="V1596" s="107"/>
      <c r="W1596" s="107"/>
      <c r="X1596" s="107"/>
      <c r="Y1596" s="107"/>
      <c r="Z1596" s="107"/>
      <c r="AA1596" s="107"/>
      <c r="AB1596" s="107"/>
      <c r="AC1596" s="355"/>
      <c r="AD1596" s="355"/>
      <c r="AE1596" s="355"/>
      <c r="AF1596" s="94">
        <f t="shared" si="212"/>
        <v>43159</v>
      </c>
      <c r="AG1596" s="185">
        <f t="shared" si="216"/>
        <v>4.1399919935949381E-3</v>
      </c>
      <c r="AH1596" s="339" t="str">
        <f>VLOOKUP(B1596,'MF PF'!A:B,2)</f>
        <v>FdMgt1</v>
      </c>
      <c r="AI1596" s="358">
        <f t="shared" si="213"/>
        <v>0</v>
      </c>
      <c r="AJ1596" s="94">
        <f t="shared" si="214"/>
        <v>43159</v>
      </c>
    </row>
    <row r="1597" spans="1:36" s="92" customFormat="1" ht="12.75" customHeight="1">
      <c r="A1597" s="94">
        <v>43188</v>
      </c>
      <c r="B1597" s="94" t="s">
        <v>136</v>
      </c>
      <c r="C1597" s="358" t="s">
        <v>319</v>
      </c>
      <c r="D1597" s="374">
        <v>759529.5895</v>
      </c>
      <c r="E1597" s="95" t="e">
        <f t="shared" si="217"/>
        <v>#DIV/0!</v>
      </c>
      <c r="F1597" s="98">
        <v>0.6</v>
      </c>
      <c r="G1597" s="98">
        <v>0</v>
      </c>
      <c r="H1597" s="98">
        <v>0</v>
      </c>
      <c r="I1597" s="98">
        <v>0</v>
      </c>
      <c r="J1597" s="98"/>
      <c r="K1597" s="93"/>
      <c r="L1597" s="93">
        <f t="shared" si="210"/>
        <v>0</v>
      </c>
      <c r="M1597" s="95" t="e">
        <f t="shared" ca="1" si="211"/>
        <v>#DIV/0!</v>
      </c>
      <c r="N1597" s="95">
        <f>IF(P1597="Hedge Fund",IF(A1597=Summary!$AD$3,M1597-E1597,M1597),IF(A1597=Summary!$AD$3,L1597-D1597,L1597))</f>
        <v>0</v>
      </c>
      <c r="O1597" s="95">
        <f t="shared" si="215"/>
        <v>0</v>
      </c>
      <c r="P1597" s="107" t="s">
        <v>155</v>
      </c>
      <c r="Q1597" s="109">
        <v>2.7285400512535355E-3</v>
      </c>
      <c r="R1597" s="109">
        <v>2.8152280499999998E-2</v>
      </c>
      <c r="S1597" s="107">
        <v>5.4570801025070708E-4</v>
      </c>
      <c r="T1597" s="107">
        <v>0</v>
      </c>
      <c r="U1597" s="107"/>
      <c r="V1597" s="107"/>
      <c r="W1597" s="107"/>
      <c r="X1597" s="107"/>
      <c r="Y1597" s="107"/>
      <c r="Z1597" s="107"/>
      <c r="AA1597" s="107"/>
      <c r="AB1597" s="107"/>
      <c r="AC1597" s="355"/>
      <c r="AD1597" s="355"/>
      <c r="AE1597" s="355"/>
      <c r="AF1597" s="94">
        <f t="shared" si="212"/>
        <v>43188</v>
      </c>
      <c r="AG1597" s="185">
        <f t="shared" si="216"/>
        <v>9.338280479622485E-3</v>
      </c>
      <c r="AH1597" s="339" t="str">
        <f>VLOOKUP(B1597,'MF PF'!A:B,2)</f>
        <v>FdMgt1</v>
      </c>
      <c r="AI1597" s="358">
        <f t="shared" si="213"/>
        <v>0</v>
      </c>
      <c r="AJ1597" s="94">
        <f t="shared" si="214"/>
        <v>43190</v>
      </c>
    </row>
    <row r="1598" spans="1:36" s="92" customFormat="1" ht="12.75" customHeight="1">
      <c r="A1598" s="94">
        <v>43220</v>
      </c>
      <c r="B1598" s="94" t="s">
        <v>136</v>
      </c>
      <c r="C1598" s="358" t="s">
        <v>319</v>
      </c>
      <c r="D1598" s="374">
        <v>764054.19050000003</v>
      </c>
      <c r="E1598" s="95" t="e">
        <f t="shared" si="217"/>
        <v>#DIV/0!</v>
      </c>
      <c r="F1598" s="98">
        <v>0.6</v>
      </c>
      <c r="G1598" s="98">
        <v>0</v>
      </c>
      <c r="H1598" s="98">
        <v>0</v>
      </c>
      <c r="I1598" s="98">
        <v>0</v>
      </c>
      <c r="J1598" s="98"/>
      <c r="K1598" s="93"/>
      <c r="L1598" s="93">
        <f t="shared" si="210"/>
        <v>0</v>
      </c>
      <c r="M1598" s="95" t="e">
        <f t="shared" ca="1" si="211"/>
        <v>#DIV/0!</v>
      </c>
      <c r="N1598" s="95">
        <f>IF(P1598="Hedge Fund",IF(A1598=Summary!$AD$3,M1598-E1598,M1598),IF(A1598=Summary!$AD$3,L1598-D1598,L1598))</f>
        <v>0</v>
      </c>
      <c r="O1598" s="95">
        <f t="shared" si="215"/>
        <v>0</v>
      </c>
      <c r="P1598" s="107" t="s">
        <v>155</v>
      </c>
      <c r="Q1598" s="109">
        <v>0</v>
      </c>
      <c r="R1598" s="109">
        <v>2.8950739999999999E-2</v>
      </c>
      <c r="S1598" s="107">
        <v>0</v>
      </c>
      <c r="T1598" s="107">
        <v>0</v>
      </c>
      <c r="U1598" s="107"/>
      <c r="V1598" s="107"/>
      <c r="W1598" s="107"/>
      <c r="X1598" s="107"/>
      <c r="Y1598" s="107"/>
      <c r="Z1598" s="107"/>
      <c r="AA1598" s="107"/>
      <c r="AB1598" s="107"/>
      <c r="AC1598" s="355"/>
      <c r="AD1598" s="355"/>
      <c r="AE1598" s="355"/>
      <c r="AF1598" s="94">
        <f t="shared" si="212"/>
        <v>43220</v>
      </c>
      <c r="AG1598" s="185">
        <f t="shared" si="216"/>
        <v>5.9571095880261993E-3</v>
      </c>
      <c r="AH1598" s="339" t="str">
        <f>VLOOKUP(B1598,'MF PF'!A:B,2)</f>
        <v>FdMgt1</v>
      </c>
      <c r="AI1598" s="358">
        <f t="shared" si="213"/>
        <v>0</v>
      </c>
      <c r="AJ1598" s="94">
        <f t="shared" si="214"/>
        <v>43220</v>
      </c>
    </row>
    <row r="1599" spans="1:36" s="92" customFormat="1" ht="12.75" customHeight="1">
      <c r="A1599" s="94">
        <v>43251</v>
      </c>
      <c r="B1599" s="358" t="s">
        <v>136</v>
      </c>
      <c r="C1599" s="94" t="s">
        <v>319</v>
      </c>
      <c r="D1599" s="374">
        <v>769051.08550000004</v>
      </c>
      <c r="E1599" s="95" t="e">
        <f t="shared" si="217"/>
        <v>#DIV/0!</v>
      </c>
      <c r="F1599" s="98">
        <v>0.6</v>
      </c>
      <c r="G1599" s="98">
        <v>0</v>
      </c>
      <c r="H1599" s="98">
        <v>0</v>
      </c>
      <c r="I1599" s="110">
        <v>0</v>
      </c>
      <c r="J1599" s="110"/>
      <c r="K1599" s="93"/>
      <c r="L1599" s="93">
        <f t="shared" si="210"/>
        <v>0</v>
      </c>
      <c r="M1599" s="95" t="e">
        <f t="shared" ca="1" si="211"/>
        <v>#DIV/0!</v>
      </c>
      <c r="N1599" s="95">
        <f>IF(P1599="Hedge Fund",IF(A1599=Summary!$AD$3,M1599-E1599,M1599),IF(A1599=Summary!$AD$3,L1599-D1599,L1599))</f>
        <v>0</v>
      </c>
      <c r="O1599" s="95">
        <f t="shared" si="215"/>
        <v>0</v>
      </c>
      <c r="P1599" s="107" t="s">
        <v>155</v>
      </c>
      <c r="Q1599" s="109">
        <v>0</v>
      </c>
      <c r="R1599" s="109">
        <v>2.9832540000000001E-2</v>
      </c>
      <c r="S1599" s="107">
        <v>0</v>
      </c>
      <c r="T1599" s="107">
        <v>0</v>
      </c>
      <c r="U1599" s="107"/>
      <c r="V1599" s="107"/>
      <c r="W1599" s="107"/>
      <c r="X1599" s="107"/>
      <c r="Y1599" s="107"/>
      <c r="Z1599" s="107"/>
      <c r="AA1599" s="107"/>
      <c r="AB1599" s="107"/>
      <c r="AC1599" s="355"/>
      <c r="AD1599" s="355"/>
      <c r="AE1599" s="355"/>
      <c r="AF1599" s="94">
        <f t="shared" si="212"/>
        <v>43251</v>
      </c>
      <c r="AG1599" s="185">
        <f t="shared" si="216"/>
        <v>6.539974601448062E-3</v>
      </c>
      <c r="AH1599" s="339" t="str">
        <f>VLOOKUP(B1599,'MF PF'!A:B,2)</f>
        <v>FdMgt1</v>
      </c>
      <c r="AI1599" s="358">
        <f t="shared" si="213"/>
        <v>0</v>
      </c>
      <c r="AJ1599" s="94">
        <f t="shared" si="214"/>
        <v>43251</v>
      </c>
    </row>
    <row r="1600" spans="1:36" s="92" customFormat="1" ht="12.75" customHeight="1">
      <c r="A1600" s="94">
        <v>43280</v>
      </c>
      <c r="B1600" s="358" t="s">
        <v>136</v>
      </c>
      <c r="C1600" s="94" t="s">
        <v>319</v>
      </c>
      <c r="D1600" s="374">
        <v>768033.86499999999</v>
      </c>
      <c r="E1600" s="95" t="e">
        <f t="shared" si="217"/>
        <v>#DIV/0!</v>
      </c>
      <c r="F1600" s="98">
        <v>0.6</v>
      </c>
      <c r="G1600" s="98">
        <v>0</v>
      </c>
      <c r="H1600" s="98">
        <v>0</v>
      </c>
      <c r="I1600" s="110">
        <v>0</v>
      </c>
      <c r="J1600" s="110"/>
      <c r="K1600" s="93"/>
      <c r="L1600" s="93">
        <f t="shared" si="210"/>
        <v>0</v>
      </c>
      <c r="M1600" s="95" t="e">
        <f t="shared" ca="1" si="211"/>
        <v>#DIV/0!</v>
      </c>
      <c r="N1600" s="95">
        <f>IF(P1600="Hedge Fund",IF(A1600=Summary!$AD$3,M1600-E1600,M1600),IF(A1600=Summary!$AD$3,L1600-D1600,L1600))</f>
        <v>0</v>
      </c>
      <c r="O1600" s="95">
        <f t="shared" si="215"/>
        <v>0</v>
      </c>
      <c r="P1600" s="107" t="s">
        <v>155</v>
      </c>
      <c r="Q1600" s="109">
        <v>2.82482E-3</v>
      </c>
      <c r="R1600" s="109">
        <v>2.9653039999999999E-2</v>
      </c>
      <c r="S1600" s="107">
        <v>5.6496388529984442E-4</v>
      </c>
      <c r="T1600" s="107">
        <v>0</v>
      </c>
      <c r="U1600" s="107"/>
      <c r="V1600" s="107"/>
      <c r="W1600" s="107"/>
      <c r="X1600" s="107"/>
      <c r="Y1600" s="107"/>
      <c r="Z1600" s="107"/>
      <c r="AA1600" s="107"/>
      <c r="AB1600" s="107"/>
      <c r="AC1600" s="355"/>
      <c r="AD1600" s="355"/>
      <c r="AE1600" s="355"/>
      <c r="AF1600" s="94">
        <f t="shared" si="212"/>
        <v>43280</v>
      </c>
      <c r="AG1600" s="185">
        <f t="shared" si="216"/>
        <v>-1.3226956169480886E-3</v>
      </c>
      <c r="AH1600" s="339" t="str">
        <f>VLOOKUP(B1600,'MF PF'!A:B,2)</f>
        <v>FdMgt1</v>
      </c>
      <c r="AI1600" s="358">
        <f t="shared" si="213"/>
        <v>0</v>
      </c>
      <c r="AJ1600" s="94">
        <f t="shared" si="214"/>
        <v>43281</v>
      </c>
    </row>
    <row r="1601" spans="1:36" s="92" customFormat="1" ht="12.75" customHeight="1">
      <c r="A1601" s="94">
        <v>43312</v>
      </c>
      <c r="B1601" s="358" t="s">
        <v>136</v>
      </c>
      <c r="C1601" s="94" t="s">
        <v>319</v>
      </c>
      <c r="D1601" s="374">
        <v>770563.3885</v>
      </c>
      <c r="E1601" s="95" t="str">
        <f>IF(K1601="","",D1601/K1601)</f>
        <v/>
      </c>
      <c r="F1601" s="98">
        <v>0.6</v>
      </c>
      <c r="G1601" s="98">
        <v>0</v>
      </c>
      <c r="H1601" s="98">
        <v>0</v>
      </c>
      <c r="I1601" s="98">
        <v>0</v>
      </c>
      <c r="J1601" s="98"/>
      <c r="K1601" s="93"/>
      <c r="L1601" s="93">
        <f t="shared" si="210"/>
        <v>0</v>
      </c>
      <c r="M1601" s="95" t="e">
        <f t="shared" ca="1" si="211"/>
        <v>#DIV/0!</v>
      </c>
      <c r="N1601" s="95">
        <f>IF(P1601="Hedge Fund",IF(A1601=Summary!$AD$3,M1601-E1601,M1601),IF(A1601=Summary!$AD$3,L1601-D1601,L1601))</f>
        <v>0</v>
      </c>
      <c r="O1601" s="95">
        <f t="shared" si="215"/>
        <v>0</v>
      </c>
      <c r="P1601" s="107" t="s">
        <v>155</v>
      </c>
      <c r="Q1601" s="107">
        <v>0</v>
      </c>
      <c r="R1601" s="109">
        <v>3.0099421500000008E-2</v>
      </c>
      <c r="S1601" s="107">
        <v>0</v>
      </c>
      <c r="T1601" s="107">
        <v>0</v>
      </c>
      <c r="U1601" s="107"/>
      <c r="V1601" s="107"/>
      <c r="W1601" s="107"/>
      <c r="X1601" s="107"/>
      <c r="Y1601" s="107"/>
      <c r="Z1601" s="107"/>
      <c r="AA1601" s="107"/>
      <c r="AB1601" s="107"/>
      <c r="AC1601" s="355"/>
      <c r="AD1601" s="355"/>
      <c r="AE1601" s="355"/>
      <c r="AF1601" s="94">
        <f t="shared" si="212"/>
        <v>43312</v>
      </c>
      <c r="AG1601" s="185">
        <f t="shared" si="216"/>
        <v>3.2935051633433687E-3</v>
      </c>
      <c r="AH1601" s="339" t="str">
        <f>VLOOKUP(B1601,'MF PF'!A:B,2)</f>
        <v>FdMgt1</v>
      </c>
      <c r="AI1601" s="358">
        <f t="shared" si="213"/>
        <v>0</v>
      </c>
      <c r="AJ1601" s="94">
        <f t="shared" si="214"/>
        <v>43312</v>
      </c>
    </row>
    <row r="1602" spans="1:36" s="92" customFormat="1" ht="12.75" customHeight="1">
      <c r="A1602" s="94">
        <v>43343</v>
      </c>
      <c r="B1602" s="358" t="s">
        <v>136</v>
      </c>
      <c r="C1602" s="94" t="s">
        <v>319</v>
      </c>
      <c r="D1602" s="374">
        <v>768702.9425</v>
      </c>
      <c r="E1602" s="95" t="str">
        <f>IF(K1602="","",D1602/K1602)</f>
        <v/>
      </c>
      <c r="F1602" s="98">
        <v>0.6</v>
      </c>
      <c r="G1602" s="98">
        <v>0</v>
      </c>
      <c r="H1602" s="98">
        <v>0</v>
      </c>
      <c r="I1602" s="98">
        <v>0</v>
      </c>
      <c r="J1602" s="98"/>
      <c r="K1602" s="93"/>
      <c r="L1602" s="93">
        <f t="shared" si="210"/>
        <v>0</v>
      </c>
      <c r="M1602" s="95" t="e">
        <f t="shared" ca="1" si="211"/>
        <v>#DIV/0!</v>
      </c>
      <c r="N1602" s="95">
        <f>IF(P1602="Hedge Fund",IF(A1602=Summary!$AD$3,M1602-E1602,M1602),IF(A1602=Summary!$AD$3,L1602-D1602,L1602))</f>
        <v>0</v>
      </c>
      <c r="O1602" s="95">
        <f t="shared" si="215"/>
        <v>0</v>
      </c>
      <c r="P1602" s="107" t="s">
        <v>155</v>
      </c>
      <c r="Q1602" s="107">
        <v>0</v>
      </c>
      <c r="R1602" s="109">
        <v>2.9771107500000005E-2</v>
      </c>
      <c r="S1602" s="107">
        <v>0</v>
      </c>
      <c r="T1602" s="107">
        <v>0</v>
      </c>
      <c r="U1602" s="107"/>
      <c r="V1602" s="107"/>
      <c r="W1602" s="107"/>
      <c r="X1602" s="107"/>
      <c r="Y1602" s="107"/>
      <c r="Z1602" s="107"/>
      <c r="AA1602" s="107"/>
      <c r="AB1602" s="107"/>
      <c r="AC1602" s="355"/>
      <c r="AD1602" s="355"/>
      <c r="AE1602" s="355"/>
      <c r="AF1602" s="94">
        <f t="shared" si="212"/>
        <v>43343</v>
      </c>
      <c r="AG1602" s="185">
        <f t="shared" si="216"/>
        <v>-2.4143970862949837E-3</v>
      </c>
      <c r="AH1602" s="339" t="str">
        <f>VLOOKUP(B1602,'MF PF'!A:B,2)</f>
        <v>FdMgt1</v>
      </c>
      <c r="AI1602" s="358">
        <f t="shared" si="213"/>
        <v>0</v>
      </c>
      <c r="AJ1602" s="94">
        <f t="shared" si="214"/>
        <v>43343</v>
      </c>
    </row>
    <row r="1603" spans="1:36" s="92" customFormat="1" ht="12.75" customHeight="1">
      <c r="A1603" s="94">
        <v>43371</v>
      </c>
      <c r="B1603" s="358" t="s">
        <v>136</v>
      </c>
      <c r="C1603" s="358" t="s">
        <v>319</v>
      </c>
      <c r="D1603" s="374">
        <v>755634.15</v>
      </c>
      <c r="E1603" s="95"/>
      <c r="F1603" s="105">
        <v>0.6</v>
      </c>
      <c r="G1603" s="93">
        <v>0</v>
      </c>
      <c r="H1603" s="93">
        <v>0</v>
      </c>
      <c r="I1603" s="93">
        <v>0</v>
      </c>
      <c r="J1603" s="93"/>
      <c r="K1603" s="93">
        <v>0</v>
      </c>
      <c r="L1603" s="93">
        <f t="shared" ref="L1603:L1666" si="218">G1603+H1603+I1603</f>
        <v>0</v>
      </c>
      <c r="M1603" s="95" t="e">
        <f t="shared" ref="M1603:M1666" ca="1" si="219">IF(A1603&gt;INDIRECT("A"&amp;ROW()-1),I1603/K1603,E1603)</f>
        <v>#DIV/0!</v>
      </c>
      <c r="N1603" s="95">
        <f>IF(P1603="Hedge Fund",IF(A1603=Summary!$AD$3,M1603-E1603,M1603),IF(A1603=Summary!$AD$3,L1603-D1603,L1603))</f>
        <v>0</v>
      </c>
      <c r="O1603" s="95">
        <f t="shared" si="215"/>
        <v>0</v>
      </c>
      <c r="P1603" s="95" t="s">
        <v>155</v>
      </c>
      <c r="Q1603" s="353">
        <v>2.7429112250025073E-3</v>
      </c>
      <c r="R1603" s="95">
        <v>2.7464849999999999E-2</v>
      </c>
      <c r="S1603" s="95">
        <v>5.4858224500050148E-4</v>
      </c>
      <c r="T1603" s="95"/>
      <c r="U1603" s="95"/>
      <c r="V1603" s="95"/>
      <c r="W1603" s="95"/>
      <c r="X1603" s="95"/>
      <c r="Y1603" s="95"/>
      <c r="Z1603" s="95"/>
      <c r="AA1603" s="95"/>
      <c r="AB1603" s="95"/>
      <c r="AC1603" s="355"/>
      <c r="AD1603" s="355"/>
      <c r="AE1603" s="355"/>
      <c r="AF1603" s="94">
        <f t="shared" ref="AF1603:AF1666" si="220">A1603</f>
        <v>43371</v>
      </c>
      <c r="AG1603" s="185">
        <f t="shared" si="216"/>
        <v>-1.7001095972778768E-2</v>
      </c>
      <c r="AH1603" s="339" t="str">
        <f>VLOOKUP(B1603,'MF PF'!A:B,2)</f>
        <v>FdMgt1</v>
      </c>
      <c r="AI1603" s="358">
        <f t="shared" ref="AI1603:AI1666" si="221">AF1603-A1603</f>
        <v>0</v>
      </c>
      <c r="AJ1603" s="94">
        <f t="shared" ref="AJ1603:AJ1666" si="222">EOMONTH(A1603,0)</f>
        <v>43373</v>
      </c>
    </row>
    <row r="1604" spans="1:36" ht="12.75" customHeight="1">
      <c r="A1604" s="8">
        <v>43404</v>
      </c>
      <c r="B1604" s="358" t="s">
        <v>136</v>
      </c>
      <c r="C1604" s="358" t="s">
        <v>319</v>
      </c>
      <c r="D1604" s="374">
        <v>749844.95299999998</v>
      </c>
      <c r="F1604" s="105">
        <v>0.6</v>
      </c>
      <c r="G1604" s="93">
        <v>0</v>
      </c>
      <c r="H1604" s="93">
        <v>0</v>
      </c>
      <c r="I1604" s="93">
        <v>0</v>
      </c>
      <c r="J1604" s="93">
        <v>0</v>
      </c>
      <c r="K1604" s="93"/>
      <c r="L1604" s="93">
        <f t="shared" si="218"/>
        <v>0</v>
      </c>
      <c r="M1604" s="95" t="e">
        <f t="shared" ca="1" si="219"/>
        <v>#DIV/0!</v>
      </c>
      <c r="N1604" s="95">
        <f>IF(P1604="Hedge Fund",IF(A1604=Summary!$AD$3,M1604-E1604,M1604),IF(A1604=Summary!$AD$3,L1604-D1604,L1604))</f>
        <v>0</v>
      </c>
      <c r="O1604" s="95">
        <f t="shared" si="215"/>
        <v>0</v>
      </c>
      <c r="P1604" s="95" t="s">
        <v>155</v>
      </c>
      <c r="Q1604" s="95">
        <v>9.8383470928153438E-4</v>
      </c>
      <c r="R1604" s="95">
        <v>2.6443227000000007E-2</v>
      </c>
      <c r="S1604" s="95"/>
      <c r="T1604" s="95"/>
      <c r="U1604" s="95"/>
      <c r="V1604" s="95"/>
      <c r="W1604" s="95"/>
      <c r="X1604" s="95"/>
      <c r="Y1604" s="95"/>
      <c r="Z1604" s="95"/>
      <c r="AA1604" s="95"/>
      <c r="AB1604" s="95"/>
      <c r="AC1604" s="355"/>
      <c r="AD1604" s="355"/>
      <c r="AE1604" s="355"/>
      <c r="AF1604" s="94">
        <f t="shared" si="220"/>
        <v>43404</v>
      </c>
      <c r="AG1604" s="185">
        <f t="shared" si="216"/>
        <v>-7.6613755479421064E-3</v>
      </c>
      <c r="AH1604" s="339" t="str">
        <f>VLOOKUP(B1604,'MF PF'!A:B,2)</f>
        <v>FdMgt1</v>
      </c>
      <c r="AI1604" s="358">
        <f t="shared" si="221"/>
        <v>0</v>
      </c>
      <c r="AJ1604" s="94">
        <f t="shared" si="222"/>
        <v>43404</v>
      </c>
    </row>
    <row r="1605" spans="1:36" ht="12.75" customHeight="1">
      <c r="A1605" s="8">
        <v>43434</v>
      </c>
      <c r="B1605" s="358" t="s">
        <v>136</v>
      </c>
      <c r="C1605" s="358" t="s">
        <v>319</v>
      </c>
      <c r="D1605" s="374">
        <v>752567.19700000004</v>
      </c>
      <c r="F1605" s="105">
        <v>0.6</v>
      </c>
      <c r="G1605" s="93">
        <v>0</v>
      </c>
      <c r="H1605" s="93">
        <v>0</v>
      </c>
      <c r="I1605" s="93">
        <v>0</v>
      </c>
      <c r="K1605" s="93">
        <v>0</v>
      </c>
      <c r="L1605" s="93">
        <f t="shared" si="218"/>
        <v>0</v>
      </c>
      <c r="M1605" s="95" t="e">
        <f t="shared" ca="1" si="219"/>
        <v>#DIV/0!</v>
      </c>
      <c r="N1605" s="95">
        <f>IF(P1605="Hedge Fund",IF(A1605=Summary!$AD$3,M1605-E1605,M1605),IF(A1605=Summary!$AD$3,L1605-D1605,L1605))</f>
        <v>0</v>
      </c>
      <c r="O1605" s="95">
        <f t="shared" si="215"/>
        <v>0</v>
      </c>
      <c r="P1605" s="95" t="s">
        <v>155</v>
      </c>
      <c r="Q1605" s="95">
        <v>1.8881541163914333E-3</v>
      </c>
      <c r="R1605" s="95">
        <v>2.6923622999999994E-2</v>
      </c>
      <c r="S1605" s="95"/>
      <c r="T1605" s="95"/>
      <c r="U1605" s="95"/>
      <c r="V1605" s="95"/>
      <c r="W1605" s="95"/>
      <c r="X1605" s="95"/>
      <c r="Y1605" s="95"/>
      <c r="Z1605" s="95"/>
      <c r="AA1605" s="95"/>
      <c r="AB1605" s="95"/>
      <c r="AC1605" s="355"/>
      <c r="AD1605" s="355"/>
      <c r="AE1605" s="355"/>
      <c r="AF1605" s="94">
        <f t="shared" si="220"/>
        <v>43434</v>
      </c>
      <c r="AG1605" s="185">
        <f t="shared" si="216"/>
        <v>3.6304091787360271E-3</v>
      </c>
      <c r="AH1605" s="339" t="str">
        <f>VLOOKUP(B1605,'MF PF'!A:B,2)</f>
        <v>FdMgt1</v>
      </c>
      <c r="AI1605" s="358">
        <f t="shared" si="221"/>
        <v>0</v>
      </c>
      <c r="AJ1605" s="94">
        <f t="shared" si="222"/>
        <v>43434</v>
      </c>
    </row>
    <row r="1606" spans="1:36" ht="12.75" customHeight="1">
      <c r="A1606" s="8">
        <v>43452</v>
      </c>
      <c r="B1606" s="358" t="s">
        <v>136</v>
      </c>
      <c r="C1606" s="92" t="s">
        <v>319</v>
      </c>
      <c r="D1606" s="93"/>
      <c r="F1606" s="93"/>
      <c r="G1606" s="93"/>
      <c r="H1606" s="93"/>
      <c r="I1606" s="93">
        <v>0</v>
      </c>
      <c r="L1606" s="93">
        <f t="shared" si="218"/>
        <v>0</v>
      </c>
      <c r="M1606" s="95" t="e">
        <f t="shared" ca="1" si="219"/>
        <v>#DIV/0!</v>
      </c>
      <c r="N1606" s="95">
        <f>IF(P1606="Hedge Fund",IF(A1606=Summary!$AD$3,M1606-E1606,M1606),IF(A1606=Summary!$AD$3,L1606-D1606,L1606))</f>
        <v>0</v>
      </c>
      <c r="O1606" s="95">
        <f t="shared" si="215"/>
        <v>0</v>
      </c>
      <c r="P1606" s="95" t="s">
        <v>155</v>
      </c>
      <c r="Q1606" s="95"/>
      <c r="R1606" s="95"/>
      <c r="S1606" s="95"/>
      <c r="T1606" s="95"/>
      <c r="U1606" s="95"/>
      <c r="V1606" s="95"/>
      <c r="W1606" s="95"/>
      <c r="X1606" s="95"/>
      <c r="Y1606" s="95"/>
      <c r="Z1606" s="95"/>
      <c r="AA1606" s="95"/>
      <c r="AB1606" s="95"/>
      <c r="AC1606" s="355"/>
      <c r="AD1606" s="355"/>
      <c r="AE1606" s="355"/>
      <c r="AF1606" s="94">
        <f t="shared" si="220"/>
        <v>43452</v>
      </c>
      <c r="AG1606" s="185">
        <f t="shared" si="216"/>
        <v>-1</v>
      </c>
      <c r="AH1606" s="339" t="str">
        <f>VLOOKUP(B1606,'MF PF'!A:B,2)</f>
        <v>FdMgt1</v>
      </c>
      <c r="AI1606" s="358">
        <f t="shared" si="221"/>
        <v>0</v>
      </c>
      <c r="AJ1606" s="94">
        <f t="shared" si="222"/>
        <v>43465</v>
      </c>
    </row>
    <row r="1607" spans="1:36" ht="12.75" customHeight="1">
      <c r="A1607" s="8">
        <v>43465</v>
      </c>
      <c r="B1607" s="358" t="s">
        <v>136</v>
      </c>
      <c r="C1607" s="92" t="s">
        <v>319</v>
      </c>
      <c r="D1607" s="93">
        <v>760463.95200000005</v>
      </c>
      <c r="E1607" s="95"/>
      <c r="F1607" s="93">
        <v>0.6</v>
      </c>
      <c r="G1607" s="93">
        <v>0</v>
      </c>
      <c r="H1607" s="93">
        <v>0</v>
      </c>
      <c r="I1607" s="93">
        <v>0</v>
      </c>
      <c r="K1607" s="93">
        <v>0</v>
      </c>
      <c r="L1607" s="93">
        <f t="shared" si="218"/>
        <v>0</v>
      </c>
      <c r="M1607" s="95" t="e">
        <f t="shared" ca="1" si="219"/>
        <v>#DIV/0!</v>
      </c>
      <c r="N1607" s="95">
        <f>IF(P1607="Hedge Fund",IF(A1607=Summary!$AD$3,M1607-E1607,M1607),IF(A1607=Summary!$AD$3,L1607-D1607,L1607))</f>
        <v>0</v>
      </c>
      <c r="O1607" s="95">
        <f t="shared" si="215"/>
        <v>0</v>
      </c>
      <c r="P1607" s="95" t="s">
        <v>155</v>
      </c>
      <c r="Q1607" s="95">
        <v>2.8542249538298843E-3</v>
      </c>
      <c r="R1607" s="95">
        <v>2.8317167999999997E-2</v>
      </c>
      <c r="S1607" s="95"/>
      <c r="T1607" s="95"/>
      <c r="U1607" s="95"/>
      <c r="V1607" s="95"/>
      <c r="W1607" s="95"/>
      <c r="X1607" s="95"/>
      <c r="Y1607" s="95"/>
      <c r="Z1607" s="95"/>
      <c r="AA1607" s="95"/>
      <c r="AB1607" s="95"/>
      <c r="AC1607" s="355"/>
      <c r="AD1607" s="355"/>
      <c r="AE1607" s="355"/>
      <c r="AF1607" s="94">
        <f t="shared" si="220"/>
        <v>43465</v>
      </c>
      <c r="AG1607" s="185" t="e">
        <f t="shared" si="216"/>
        <v>#DIV/0!</v>
      </c>
      <c r="AH1607" s="339" t="str">
        <f>VLOOKUP(B1607,'MF PF'!A:B,2)</f>
        <v>FdMgt1</v>
      </c>
      <c r="AI1607" s="358">
        <f t="shared" si="221"/>
        <v>0</v>
      </c>
      <c r="AJ1607" s="94">
        <f t="shared" si="222"/>
        <v>43465</v>
      </c>
    </row>
    <row r="1608" spans="1:36" ht="12.75" customHeight="1">
      <c r="A1608" s="94">
        <v>43487</v>
      </c>
      <c r="B1608" s="358" t="s">
        <v>136</v>
      </c>
      <c r="C1608" s="358" t="s">
        <v>319</v>
      </c>
      <c r="D1608" s="93"/>
      <c r="F1608" s="93"/>
      <c r="G1608" s="93"/>
      <c r="H1608" s="93"/>
      <c r="I1608" s="93"/>
      <c r="K1608" s="93"/>
      <c r="L1608" s="93">
        <f t="shared" si="218"/>
        <v>0</v>
      </c>
      <c r="M1608" s="95" t="e">
        <f t="shared" ca="1" si="219"/>
        <v>#DIV/0!</v>
      </c>
      <c r="N1608" s="95">
        <f>IF(P1608="Hedge Fund",IF(A1608=Summary!$AD$3,M1608-E1608,M1608),IF(A1608=Summary!$AD$3,L1608-D1608,L1608))</f>
        <v>0</v>
      </c>
      <c r="O1608" s="95">
        <f t="shared" si="215"/>
        <v>0</v>
      </c>
      <c r="P1608" s="95" t="s">
        <v>155</v>
      </c>
      <c r="Q1608" s="95"/>
      <c r="R1608" s="95"/>
      <c r="S1608" s="95"/>
      <c r="T1608" s="95"/>
      <c r="U1608" s="95"/>
      <c r="V1608" s="95"/>
      <c r="W1608" s="95"/>
      <c r="X1608" s="95"/>
      <c r="Y1608" s="95"/>
      <c r="Z1608" s="95"/>
      <c r="AA1608" s="95"/>
      <c r="AB1608" s="95"/>
      <c r="AC1608" s="355"/>
      <c r="AD1608" s="355"/>
      <c r="AE1608" s="355"/>
      <c r="AF1608" s="94">
        <f t="shared" si="220"/>
        <v>43487</v>
      </c>
      <c r="AG1608" s="185">
        <f t="shared" si="216"/>
        <v>-1</v>
      </c>
      <c r="AH1608" s="339" t="str">
        <f>VLOOKUP(B1608,'MF PF'!A:B,2)</f>
        <v>FdMgt1</v>
      </c>
      <c r="AI1608" s="358">
        <f t="shared" si="221"/>
        <v>0</v>
      </c>
      <c r="AJ1608" s="94">
        <f t="shared" si="222"/>
        <v>43496</v>
      </c>
    </row>
    <row r="1609" spans="1:36" ht="12.75" customHeight="1">
      <c r="A1609" s="94">
        <v>43496</v>
      </c>
      <c r="B1609" s="358" t="s">
        <v>136</v>
      </c>
      <c r="C1609" s="358" t="s">
        <v>319</v>
      </c>
      <c r="D1609" s="93">
        <v>767945.69449999998</v>
      </c>
      <c r="F1609" s="93">
        <v>0.6</v>
      </c>
      <c r="G1609" s="93">
        <v>0</v>
      </c>
      <c r="H1609" s="93">
        <v>0</v>
      </c>
      <c r="I1609" s="93">
        <v>0</v>
      </c>
      <c r="K1609" s="93">
        <v>0</v>
      </c>
      <c r="L1609" s="93">
        <f t="shared" si="218"/>
        <v>0</v>
      </c>
      <c r="M1609" s="95" t="e">
        <f t="shared" ca="1" si="219"/>
        <v>#DIV/0!</v>
      </c>
      <c r="N1609" s="95">
        <f>IF(P1609="Hedge Fund",IF(A1609=Summary!$AD$3,M1609-E1609,M1609),IF(A1609=Summary!$AD$3,L1609-D1609,L1609))</f>
        <v>-767945.69449999998</v>
      </c>
      <c r="O1609" s="95">
        <f t="shared" si="215"/>
        <v>-767945.69449999998</v>
      </c>
      <c r="P1609" s="95" t="s">
        <v>155</v>
      </c>
      <c r="Q1609" s="95">
        <v>9.4948814485582272E-4</v>
      </c>
      <c r="R1609" s="95">
        <v>2.9637475500000003E-2</v>
      </c>
      <c r="S1609" s="95"/>
      <c r="T1609" s="95"/>
      <c r="U1609" s="95"/>
      <c r="V1609" s="95"/>
      <c r="W1609" s="95"/>
      <c r="X1609" s="95"/>
      <c r="Y1609" s="95"/>
      <c r="Z1609" s="95"/>
      <c r="AA1609" s="95"/>
      <c r="AB1609" s="95"/>
      <c r="AC1609" s="355"/>
      <c r="AD1609" s="355"/>
      <c r="AE1609" s="355"/>
      <c r="AF1609" s="94">
        <f t="shared" si="220"/>
        <v>43496</v>
      </c>
      <c r="AG1609" s="185" t="e">
        <f t="shared" si="216"/>
        <v>#DIV/0!</v>
      </c>
      <c r="AH1609" s="339" t="str">
        <f>VLOOKUP(B1609,'MF PF'!A:B,2)</f>
        <v>FdMgt1</v>
      </c>
      <c r="AI1609" s="358">
        <f t="shared" si="221"/>
        <v>0</v>
      </c>
      <c r="AJ1609" s="94">
        <f t="shared" si="222"/>
        <v>43496</v>
      </c>
    </row>
    <row r="1610" spans="1:36" ht="12.75" customHeight="1">
      <c r="A1610" s="94">
        <v>42207</v>
      </c>
      <c r="B1610" s="94" t="s">
        <v>136</v>
      </c>
      <c r="C1610" s="358" t="s">
        <v>340</v>
      </c>
      <c r="D1610" s="374">
        <v>522000</v>
      </c>
      <c r="E1610" s="9" t="e">
        <f t="shared" ref="E1610:E1646" si="223">D1610/K1610</f>
        <v>#DIV/0!</v>
      </c>
      <c r="F1610" s="98">
        <v>6</v>
      </c>
      <c r="G1610" s="98">
        <v>522000</v>
      </c>
      <c r="H1610" s="98">
        <v>0</v>
      </c>
      <c r="I1610" s="98">
        <v>0</v>
      </c>
      <c r="J1610" s="98"/>
      <c r="K1610" s="93"/>
      <c r="L1610" s="93">
        <f t="shared" si="218"/>
        <v>522000</v>
      </c>
      <c r="M1610" s="95" t="e">
        <f t="shared" ca="1" si="219"/>
        <v>#DIV/0!</v>
      </c>
      <c r="N1610" s="95">
        <f>IF(P1610="Hedge Fund",IF(A1610=Summary!$AD$3,M1610-E1610,M1610),IF(A1610=Summary!$AD$3,L1610-D1610,L1610))</f>
        <v>522000</v>
      </c>
      <c r="O1610" s="95">
        <f t="shared" si="215"/>
        <v>522000</v>
      </c>
      <c r="P1610" s="89" t="s">
        <v>155</v>
      </c>
      <c r="Q1610" s="107">
        <v>0</v>
      </c>
      <c r="R1610" s="107">
        <v>0</v>
      </c>
      <c r="S1610" s="107">
        <v>0</v>
      </c>
      <c r="T1610" s="107">
        <v>0</v>
      </c>
      <c r="U1610" s="107"/>
      <c r="V1610" s="107"/>
      <c r="W1610" s="107"/>
      <c r="X1610" s="107"/>
      <c r="Y1610" s="107"/>
      <c r="Z1610" s="107"/>
      <c r="AA1610" s="107"/>
      <c r="AB1610" s="107"/>
      <c r="AC1610" s="355"/>
      <c r="AD1610" s="355"/>
      <c r="AE1610" s="355"/>
      <c r="AF1610" s="94">
        <f t="shared" si="220"/>
        <v>42207</v>
      </c>
      <c r="AG1610" s="185">
        <f t="shared" si="216"/>
        <v>0</v>
      </c>
      <c r="AH1610" s="339" t="str">
        <f>VLOOKUP(B1610,'MF PF'!A:B,2)</f>
        <v>FdMgt1</v>
      </c>
      <c r="AI1610" s="358">
        <f t="shared" si="221"/>
        <v>0</v>
      </c>
      <c r="AJ1610" s="94">
        <f t="shared" si="222"/>
        <v>42216</v>
      </c>
    </row>
    <row r="1611" spans="1:36" ht="12.75" customHeight="1">
      <c r="A1611" s="94">
        <v>42216</v>
      </c>
      <c r="B1611" s="94" t="s">
        <v>136</v>
      </c>
      <c r="C1611" s="92" t="s">
        <v>340</v>
      </c>
      <c r="D1611" s="374">
        <v>519846.82999999996</v>
      </c>
      <c r="E1611" s="9" t="e">
        <f t="shared" si="223"/>
        <v>#DIV/0!</v>
      </c>
      <c r="F1611" s="98">
        <v>6</v>
      </c>
      <c r="G1611" s="98">
        <v>0</v>
      </c>
      <c r="H1611" s="98">
        <v>0</v>
      </c>
      <c r="I1611" s="98">
        <v>0</v>
      </c>
      <c r="J1611" s="98"/>
      <c r="K1611" s="93"/>
      <c r="L1611" s="93">
        <f t="shared" si="218"/>
        <v>0</v>
      </c>
      <c r="M1611" s="95" t="e">
        <f t="shared" ca="1" si="219"/>
        <v>#DIV/0!</v>
      </c>
      <c r="N1611" s="95">
        <f>IF(P1611="Hedge Fund",IF(A1611=Summary!$AD$3,M1611-E1611,M1611),IF(A1611=Summary!$AD$3,L1611-D1611,L1611))</f>
        <v>0</v>
      </c>
      <c r="O1611" s="95">
        <f t="shared" si="215"/>
        <v>0</v>
      </c>
      <c r="P1611" s="89" t="s">
        <v>155</v>
      </c>
      <c r="Q1611" s="107">
        <v>0</v>
      </c>
      <c r="R1611" s="107">
        <v>0</v>
      </c>
      <c r="S1611" s="107">
        <v>0</v>
      </c>
      <c r="T1611" s="107">
        <v>0</v>
      </c>
      <c r="U1611" s="107"/>
      <c r="V1611" s="107"/>
      <c r="W1611" s="107"/>
      <c r="X1611" s="107"/>
      <c r="Y1611" s="107"/>
      <c r="Z1611" s="107"/>
      <c r="AA1611" s="107"/>
      <c r="AB1611" s="107"/>
      <c r="AC1611" s="355"/>
      <c r="AD1611" s="355"/>
      <c r="AE1611" s="355"/>
      <c r="AF1611" s="94">
        <f t="shared" si="220"/>
        <v>42216</v>
      </c>
      <c r="AG1611" s="185">
        <f t="shared" si="216"/>
        <v>-4.124846743295052E-3</v>
      </c>
      <c r="AH1611" s="339" t="str">
        <f>VLOOKUP(B1611,'MF PF'!A:B,2)</f>
        <v>FdMgt1</v>
      </c>
      <c r="AI1611" s="358">
        <f t="shared" si="221"/>
        <v>0</v>
      </c>
      <c r="AJ1611" s="94">
        <f t="shared" si="222"/>
        <v>42216</v>
      </c>
    </row>
    <row r="1612" spans="1:36" ht="12.75" customHeight="1">
      <c r="A1612" s="8">
        <v>42247</v>
      </c>
      <c r="B1612" s="94" t="s">
        <v>136</v>
      </c>
      <c r="C1612" s="92" t="s">
        <v>340</v>
      </c>
      <c r="D1612" s="374">
        <v>516967.77000000008</v>
      </c>
      <c r="E1612" s="95" t="e">
        <f t="shared" si="223"/>
        <v>#DIV/0!</v>
      </c>
      <c r="F1612" s="98">
        <v>6</v>
      </c>
      <c r="G1612" s="98">
        <v>0</v>
      </c>
      <c r="H1612" s="98">
        <v>0</v>
      </c>
      <c r="I1612" s="98">
        <v>0</v>
      </c>
      <c r="J1612" s="98"/>
      <c r="K1612" s="93"/>
      <c r="L1612" s="93">
        <f t="shared" si="218"/>
        <v>0</v>
      </c>
      <c r="M1612" s="95" t="e">
        <f t="shared" ca="1" si="219"/>
        <v>#DIV/0!</v>
      </c>
      <c r="N1612" s="95">
        <f>IF(P1612="Hedge Fund",IF(A1612=Summary!$AD$3,M1612-E1612,M1612),IF(A1612=Summary!$AD$3,L1612-D1612,L1612))</f>
        <v>0</v>
      </c>
      <c r="O1612" s="95">
        <f t="shared" si="215"/>
        <v>0</v>
      </c>
      <c r="P1612" s="89" t="s">
        <v>155</v>
      </c>
      <c r="Q1612" s="107">
        <v>0</v>
      </c>
      <c r="R1612" s="107">
        <v>0</v>
      </c>
      <c r="S1612" s="107">
        <v>0</v>
      </c>
      <c r="T1612" s="107">
        <v>0</v>
      </c>
      <c r="U1612" s="107"/>
      <c r="V1612" s="107"/>
      <c r="W1612" s="107"/>
      <c r="X1612" s="107"/>
      <c r="Y1612" s="107"/>
      <c r="Z1612" s="107"/>
      <c r="AA1612" s="107"/>
      <c r="AB1612" s="107"/>
      <c r="AC1612" s="355"/>
      <c r="AD1612" s="355"/>
      <c r="AE1612" s="355"/>
      <c r="AF1612" s="94">
        <f t="shared" si="220"/>
        <v>42247</v>
      </c>
      <c r="AG1612" s="185">
        <f t="shared" si="216"/>
        <v>-5.5382851906586872E-3</v>
      </c>
      <c r="AH1612" s="339" t="str">
        <f>VLOOKUP(B1612,'MF PF'!A:B,2)</f>
        <v>FdMgt1</v>
      </c>
      <c r="AI1612" s="358">
        <f t="shared" si="221"/>
        <v>0</v>
      </c>
      <c r="AJ1612" s="94">
        <f t="shared" si="222"/>
        <v>42247</v>
      </c>
    </row>
    <row r="1613" spans="1:36" ht="12.75" customHeight="1">
      <c r="A1613" s="94">
        <v>42277</v>
      </c>
      <c r="B1613" s="94" t="s">
        <v>136</v>
      </c>
      <c r="C1613" s="358" t="s">
        <v>340</v>
      </c>
      <c r="D1613" s="374">
        <v>517650.21</v>
      </c>
      <c r="E1613" s="9" t="e">
        <f t="shared" si="223"/>
        <v>#DIV/0!</v>
      </c>
      <c r="F1613" s="98">
        <v>6</v>
      </c>
      <c r="G1613" s="98">
        <v>0</v>
      </c>
      <c r="H1613" s="98">
        <v>0</v>
      </c>
      <c r="I1613" s="98">
        <v>0</v>
      </c>
      <c r="J1613" s="98"/>
      <c r="K1613" s="93"/>
      <c r="L1613" s="93">
        <f t="shared" si="218"/>
        <v>0</v>
      </c>
      <c r="M1613" s="95" t="e">
        <f t="shared" ca="1" si="219"/>
        <v>#DIV/0!</v>
      </c>
      <c r="N1613" s="95">
        <f>IF(P1613="Hedge Fund",IF(A1613=Summary!$AD$3,M1613-E1613,M1613),IF(A1613=Summary!$AD$3,L1613-D1613,L1613))</f>
        <v>0</v>
      </c>
      <c r="O1613" s="95">
        <f t="shared" si="215"/>
        <v>0</v>
      </c>
      <c r="P1613" s="89" t="s">
        <v>155</v>
      </c>
      <c r="Q1613" s="107">
        <v>0</v>
      </c>
      <c r="R1613" s="107">
        <v>0</v>
      </c>
      <c r="S1613" s="107">
        <v>0</v>
      </c>
      <c r="T1613" s="107">
        <v>0</v>
      </c>
      <c r="U1613" s="107"/>
      <c r="V1613" s="107"/>
      <c r="W1613" s="107"/>
      <c r="X1613" s="107"/>
      <c r="Y1613" s="107"/>
      <c r="Z1613" s="107"/>
      <c r="AA1613" s="107"/>
      <c r="AB1613" s="107"/>
      <c r="AC1613" s="355"/>
      <c r="AD1613" s="355"/>
      <c r="AE1613" s="355"/>
      <c r="AF1613" s="94">
        <f t="shared" si="220"/>
        <v>42277</v>
      </c>
      <c r="AG1613" s="185">
        <f t="shared" si="216"/>
        <v>1.3200822944918755E-3</v>
      </c>
      <c r="AH1613" s="339" t="str">
        <f>VLOOKUP(B1613,'MF PF'!A:B,2)</f>
        <v>FdMgt1</v>
      </c>
      <c r="AI1613" s="358">
        <f t="shared" si="221"/>
        <v>0</v>
      </c>
      <c r="AJ1613" s="94">
        <f t="shared" si="222"/>
        <v>42277</v>
      </c>
    </row>
    <row r="1614" spans="1:36" ht="12.75" customHeight="1">
      <c r="A1614" s="94">
        <v>42307</v>
      </c>
      <c r="B1614" s="94" t="s">
        <v>136</v>
      </c>
      <c r="C1614" s="358" t="s">
        <v>340</v>
      </c>
      <c r="D1614" s="374">
        <v>517106.36</v>
      </c>
      <c r="E1614" s="9" t="e">
        <f t="shared" si="223"/>
        <v>#DIV/0!</v>
      </c>
      <c r="F1614" s="98">
        <v>6</v>
      </c>
      <c r="G1614" s="98">
        <v>0</v>
      </c>
      <c r="H1614" s="98">
        <v>0</v>
      </c>
      <c r="I1614" s="98">
        <v>0</v>
      </c>
      <c r="J1614" s="98"/>
      <c r="K1614" s="93"/>
      <c r="L1614" s="93">
        <f t="shared" si="218"/>
        <v>0</v>
      </c>
      <c r="M1614" s="95" t="e">
        <f t="shared" ca="1" si="219"/>
        <v>#DIV/0!</v>
      </c>
      <c r="N1614" s="95">
        <f>IF(P1614="Hedge Fund",IF(A1614=Summary!$AD$3,M1614-E1614,M1614),IF(A1614=Summary!$AD$3,L1614-D1614,L1614))</f>
        <v>0</v>
      </c>
      <c r="O1614" s="95">
        <f t="shared" ref="O1614:O1677" si="224">N1614</f>
        <v>0</v>
      </c>
      <c r="P1614" s="89" t="s">
        <v>155</v>
      </c>
      <c r="Q1614" s="107">
        <v>0</v>
      </c>
      <c r="R1614" s="107">
        <v>0</v>
      </c>
      <c r="S1614" s="107">
        <v>0</v>
      </c>
      <c r="T1614" s="107">
        <v>0</v>
      </c>
      <c r="U1614" s="107"/>
      <c r="V1614" s="107"/>
      <c r="W1614" s="107"/>
      <c r="X1614" s="107"/>
      <c r="Y1614" s="107"/>
      <c r="Z1614" s="107"/>
      <c r="AA1614" s="107"/>
      <c r="AB1614" s="107"/>
      <c r="AC1614" s="355"/>
      <c r="AD1614" s="355"/>
      <c r="AE1614" s="355"/>
      <c r="AF1614" s="94">
        <f t="shared" si="220"/>
        <v>42307</v>
      </c>
      <c r="AG1614" s="185">
        <f t="shared" si="216"/>
        <v>-1.0506129225756888E-3</v>
      </c>
      <c r="AH1614" s="339" t="str">
        <f>VLOOKUP(B1614,'MF PF'!A:B,2)</f>
        <v>FdMgt1</v>
      </c>
      <c r="AI1614" s="358">
        <f t="shared" si="221"/>
        <v>0</v>
      </c>
      <c r="AJ1614" s="94">
        <f t="shared" si="222"/>
        <v>42308</v>
      </c>
    </row>
    <row r="1615" spans="1:36" ht="12.75" customHeight="1">
      <c r="A1615" s="94">
        <v>42338</v>
      </c>
      <c r="B1615" s="94" t="s">
        <v>136</v>
      </c>
      <c r="C1615" s="358" t="s">
        <v>340</v>
      </c>
      <c r="D1615" s="374">
        <v>964769.83</v>
      </c>
      <c r="E1615" s="9" t="e">
        <f t="shared" si="223"/>
        <v>#DIV/0!</v>
      </c>
      <c r="F1615" s="98">
        <v>6</v>
      </c>
      <c r="G1615" s="98">
        <v>540000</v>
      </c>
      <c r="H1615" s="98">
        <v>0</v>
      </c>
      <c r="I1615" s="98">
        <v>0</v>
      </c>
      <c r="J1615" s="98"/>
      <c r="K1615" s="93"/>
      <c r="L1615" s="93">
        <f t="shared" si="218"/>
        <v>540000</v>
      </c>
      <c r="M1615" s="95" t="e">
        <f t="shared" ca="1" si="219"/>
        <v>#DIV/0!</v>
      </c>
      <c r="N1615" s="95">
        <f>IF(P1615="Hedge Fund",IF(A1615=Summary!$AD$3,M1615-E1615,M1615),IF(A1615=Summary!$AD$3,L1615-D1615,L1615))</f>
        <v>540000</v>
      </c>
      <c r="O1615" s="95">
        <f t="shared" si="224"/>
        <v>540000</v>
      </c>
      <c r="P1615" s="89" t="s">
        <v>155</v>
      </c>
      <c r="Q1615" s="107">
        <v>0</v>
      </c>
      <c r="R1615" s="107">
        <v>0</v>
      </c>
      <c r="S1615" s="107">
        <v>0</v>
      </c>
      <c r="T1615" s="107">
        <v>0</v>
      </c>
      <c r="U1615" s="107"/>
      <c r="V1615" s="107"/>
      <c r="W1615" s="107"/>
      <c r="X1615" s="107"/>
      <c r="Y1615" s="107"/>
      <c r="Z1615" s="107"/>
      <c r="AA1615" s="107"/>
      <c r="AB1615" s="107"/>
      <c r="AC1615" s="355"/>
      <c r="AD1615" s="355"/>
      <c r="AE1615" s="355"/>
      <c r="AF1615" s="94">
        <f t="shared" si="220"/>
        <v>42338</v>
      </c>
      <c r="AG1615" s="185">
        <f t="shared" ref="AG1615:AG1678" si="225">IF(C1615&lt;&gt;C1614,D1615/G1615-1,(D1615-G1615-I1615-H1615)/(D1614)-1)</f>
        <v>-0.17856390317844872</v>
      </c>
      <c r="AH1615" s="339" t="str">
        <f>VLOOKUP(B1615,'MF PF'!A:B,2)</f>
        <v>FdMgt1</v>
      </c>
      <c r="AI1615" s="358">
        <f t="shared" si="221"/>
        <v>0</v>
      </c>
      <c r="AJ1615" s="94">
        <f t="shared" si="222"/>
        <v>42338</v>
      </c>
    </row>
    <row r="1616" spans="1:36" ht="12.75" customHeight="1">
      <c r="A1616" s="8">
        <v>42369</v>
      </c>
      <c r="B1616" s="94" t="s">
        <v>136</v>
      </c>
      <c r="C1616" s="92" t="s">
        <v>340</v>
      </c>
      <c r="D1616" s="374">
        <v>1066538.9745</v>
      </c>
      <c r="E1616" s="9" t="e">
        <f t="shared" si="223"/>
        <v>#DIV/0!</v>
      </c>
      <c r="F1616" s="98">
        <v>6</v>
      </c>
      <c r="G1616" s="98">
        <v>0</v>
      </c>
      <c r="H1616" s="98">
        <v>0</v>
      </c>
      <c r="I1616" s="98">
        <v>0</v>
      </c>
      <c r="J1616" s="98"/>
      <c r="K1616" s="93"/>
      <c r="L1616" s="93">
        <f t="shared" si="218"/>
        <v>0</v>
      </c>
      <c r="M1616" s="95" t="e">
        <f t="shared" ca="1" si="219"/>
        <v>#DIV/0!</v>
      </c>
      <c r="N1616" s="95">
        <f>IF(P1616="Hedge Fund",IF(A1616=Summary!$AD$3,M1616-E1616,M1616),IF(A1616=Summary!$AD$3,L1616-D1616,L1616))</f>
        <v>0</v>
      </c>
      <c r="O1616" s="95">
        <f t="shared" si="224"/>
        <v>0</v>
      </c>
      <c r="P1616" s="89" t="s">
        <v>155</v>
      </c>
      <c r="Q1616" s="107">
        <v>0</v>
      </c>
      <c r="R1616" s="107">
        <v>0</v>
      </c>
      <c r="S1616" s="107">
        <v>0</v>
      </c>
      <c r="T1616" s="107">
        <v>0</v>
      </c>
      <c r="U1616" s="107"/>
      <c r="V1616" s="107"/>
      <c r="W1616" s="107"/>
      <c r="X1616" s="107"/>
      <c r="Y1616" s="107"/>
      <c r="Z1616" s="107"/>
      <c r="AA1616" s="107"/>
      <c r="AB1616" s="107"/>
      <c r="AC1616" s="355"/>
      <c r="AD1616" s="355"/>
      <c r="AE1616" s="355"/>
      <c r="AF1616" s="94">
        <f t="shared" si="220"/>
        <v>42369</v>
      </c>
      <c r="AG1616" s="185">
        <f t="shared" si="225"/>
        <v>0.10548541355195584</v>
      </c>
      <c r="AH1616" s="339" t="str">
        <f>VLOOKUP(B1616,'MF PF'!A:B,2)</f>
        <v>FdMgt1</v>
      </c>
      <c r="AI1616" s="358">
        <f t="shared" si="221"/>
        <v>0</v>
      </c>
      <c r="AJ1616" s="94">
        <f t="shared" si="222"/>
        <v>42369</v>
      </c>
    </row>
    <row r="1617" spans="1:36" ht="12.75" customHeight="1">
      <c r="A1617" s="94">
        <v>42398</v>
      </c>
      <c r="B1617" s="94" t="s">
        <v>136</v>
      </c>
      <c r="C1617" s="92" t="s">
        <v>340</v>
      </c>
      <c r="D1617" s="374">
        <v>1062997.3049999999</v>
      </c>
      <c r="E1617" s="95" t="e">
        <f t="shared" si="223"/>
        <v>#DIV/0!</v>
      </c>
      <c r="F1617" s="98">
        <v>6</v>
      </c>
      <c r="G1617" s="98">
        <v>0</v>
      </c>
      <c r="H1617" s="98">
        <v>0</v>
      </c>
      <c r="I1617" s="98">
        <v>0</v>
      </c>
      <c r="J1617" s="98"/>
      <c r="K1617" s="93"/>
      <c r="L1617" s="93">
        <f t="shared" si="218"/>
        <v>0</v>
      </c>
      <c r="M1617" s="95" t="e">
        <f t="shared" ca="1" si="219"/>
        <v>#DIV/0!</v>
      </c>
      <c r="N1617" s="95">
        <f>IF(P1617="Hedge Fund",IF(A1617=Summary!$AD$3,M1617-E1617,M1617),IF(A1617=Summary!$AD$3,L1617-D1617,L1617))</f>
        <v>0</v>
      </c>
      <c r="O1617" s="95">
        <f t="shared" si="224"/>
        <v>0</v>
      </c>
      <c r="P1617" s="89" t="s">
        <v>155</v>
      </c>
      <c r="Q1617" s="107">
        <v>0</v>
      </c>
      <c r="R1617" s="107">
        <v>0</v>
      </c>
      <c r="S1617" s="107">
        <v>0</v>
      </c>
      <c r="T1617" s="107">
        <v>0</v>
      </c>
      <c r="U1617" s="107"/>
      <c r="V1617" s="107"/>
      <c r="W1617" s="107"/>
      <c r="X1617" s="107"/>
      <c r="Y1617" s="107"/>
      <c r="Z1617" s="107"/>
      <c r="AA1617" s="107"/>
      <c r="AB1617" s="107"/>
      <c r="AC1617" s="355"/>
      <c r="AD1617" s="355"/>
      <c r="AE1617" s="355"/>
      <c r="AF1617" s="94">
        <f t="shared" si="220"/>
        <v>42398</v>
      </c>
      <c r="AG1617" s="185">
        <f t="shared" si="225"/>
        <v>-3.3207126834351453E-3</v>
      </c>
      <c r="AH1617" s="339" t="str">
        <f>VLOOKUP(B1617,'MF PF'!A:B,2)</f>
        <v>FdMgt1</v>
      </c>
      <c r="AI1617" s="358">
        <f t="shared" si="221"/>
        <v>0</v>
      </c>
      <c r="AJ1617" s="94">
        <f t="shared" si="222"/>
        <v>42400</v>
      </c>
    </row>
    <row r="1618" spans="1:36" ht="12.75" customHeight="1">
      <c r="A1618" s="8">
        <v>42429</v>
      </c>
      <c r="B1618" s="94" t="s">
        <v>136</v>
      </c>
      <c r="C1618" s="92" t="s">
        <v>340</v>
      </c>
      <c r="D1618" s="374">
        <v>2417200.3650000002</v>
      </c>
      <c r="E1618" s="9" t="e">
        <f t="shared" si="223"/>
        <v>#DIV/0!</v>
      </c>
      <c r="F1618" s="98">
        <v>6</v>
      </c>
      <c r="G1618" s="98">
        <v>1344000</v>
      </c>
      <c r="H1618" s="98">
        <v>0</v>
      </c>
      <c r="I1618" s="98">
        <v>0</v>
      </c>
      <c r="J1618" s="98"/>
      <c r="L1618" s="93">
        <f t="shared" si="218"/>
        <v>1344000</v>
      </c>
      <c r="M1618" s="95" t="e">
        <f t="shared" ca="1" si="219"/>
        <v>#DIV/0!</v>
      </c>
      <c r="N1618" s="95">
        <f>IF(P1618="Hedge Fund",IF(A1618=Summary!$AD$3,M1618-E1618,M1618),IF(A1618=Summary!$AD$3,L1618-D1618,L1618))</f>
        <v>1344000</v>
      </c>
      <c r="O1618" s="95">
        <f t="shared" si="224"/>
        <v>1344000</v>
      </c>
      <c r="P1618" s="89" t="s">
        <v>155</v>
      </c>
      <c r="Q1618" s="107">
        <v>0</v>
      </c>
      <c r="R1618" s="107">
        <v>0</v>
      </c>
      <c r="S1618" s="107">
        <v>0</v>
      </c>
      <c r="T1618" s="107">
        <v>0</v>
      </c>
      <c r="U1618" s="107"/>
      <c r="V1618" s="107"/>
      <c r="W1618" s="107"/>
      <c r="X1618" s="107"/>
      <c r="Y1618" s="107"/>
      <c r="Z1618" s="107"/>
      <c r="AA1618" s="107"/>
      <c r="AB1618" s="107"/>
      <c r="AC1618" s="355"/>
      <c r="AD1618" s="355"/>
      <c r="AE1618" s="355"/>
      <c r="AF1618" s="94">
        <f t="shared" si="220"/>
        <v>42429</v>
      </c>
      <c r="AG1618" s="185">
        <f t="shared" si="225"/>
        <v>9.5983874578122741E-3</v>
      </c>
      <c r="AH1618" s="339" t="str">
        <f>VLOOKUP(B1618,'MF PF'!A:B,2)</f>
        <v>FdMgt1</v>
      </c>
      <c r="AI1618" s="358">
        <f t="shared" si="221"/>
        <v>0</v>
      </c>
      <c r="AJ1618" s="94">
        <f t="shared" si="222"/>
        <v>42429</v>
      </c>
    </row>
    <row r="1619" spans="1:36" ht="12.75" customHeight="1">
      <c r="A1619" s="94">
        <v>42460</v>
      </c>
      <c r="B1619" s="94" t="s">
        <v>136</v>
      </c>
      <c r="C1619" s="358" t="s">
        <v>340</v>
      </c>
      <c r="D1619" s="374">
        <v>2424099.0414999998</v>
      </c>
      <c r="E1619" s="9" t="e">
        <f t="shared" si="223"/>
        <v>#DIV/0!</v>
      </c>
      <c r="F1619" s="98">
        <v>6</v>
      </c>
      <c r="G1619" s="98">
        <v>0</v>
      </c>
      <c r="H1619" s="98">
        <v>0</v>
      </c>
      <c r="I1619" s="98">
        <v>0</v>
      </c>
      <c r="J1619" s="98"/>
      <c r="K1619" s="93"/>
      <c r="L1619" s="93">
        <f t="shared" si="218"/>
        <v>0</v>
      </c>
      <c r="M1619" s="95" t="e">
        <f t="shared" ca="1" si="219"/>
        <v>#DIV/0!</v>
      </c>
      <c r="N1619" s="95">
        <f>IF(P1619="Hedge Fund",IF(A1619=Summary!$AD$3,M1619-E1619,M1619),IF(A1619=Summary!$AD$3,L1619-D1619,L1619))</f>
        <v>0</v>
      </c>
      <c r="O1619" s="95">
        <f t="shared" si="224"/>
        <v>0</v>
      </c>
      <c r="P1619" s="89" t="s">
        <v>155</v>
      </c>
      <c r="Q1619" s="107">
        <v>0</v>
      </c>
      <c r="R1619" s="107">
        <v>0</v>
      </c>
      <c r="S1619" s="107">
        <v>0</v>
      </c>
      <c r="T1619" s="107">
        <v>0</v>
      </c>
      <c r="U1619" s="107"/>
      <c r="V1619" s="107"/>
      <c r="W1619" s="107"/>
      <c r="X1619" s="107"/>
      <c r="Y1619" s="107"/>
      <c r="Z1619" s="107"/>
      <c r="AA1619" s="107"/>
      <c r="AB1619" s="107"/>
      <c r="AC1619" s="355"/>
      <c r="AD1619" s="355"/>
      <c r="AE1619" s="355"/>
      <c r="AF1619" s="94">
        <f t="shared" si="220"/>
        <v>42460</v>
      </c>
      <c r="AG1619" s="185">
        <f t="shared" si="225"/>
        <v>2.8539944805112683E-3</v>
      </c>
      <c r="AH1619" s="339" t="str">
        <f>VLOOKUP(B1619,'MF PF'!A:B,2)</f>
        <v>FdMgt1</v>
      </c>
      <c r="AI1619" s="358">
        <f t="shared" si="221"/>
        <v>0</v>
      </c>
      <c r="AJ1619" s="94">
        <f t="shared" si="222"/>
        <v>42460</v>
      </c>
    </row>
    <row r="1620" spans="1:36" s="92" customFormat="1" ht="12.75" customHeight="1">
      <c r="A1620" s="94">
        <v>42489</v>
      </c>
      <c r="B1620" s="94" t="s">
        <v>136</v>
      </c>
      <c r="C1620" s="92" t="s">
        <v>340</v>
      </c>
      <c r="D1620" s="374">
        <v>3393604.3280000002</v>
      </c>
      <c r="E1620" s="95" t="e">
        <f t="shared" si="223"/>
        <v>#DIV/0!</v>
      </c>
      <c r="F1620" s="98">
        <v>6</v>
      </c>
      <c r="G1620" s="98">
        <v>960000</v>
      </c>
      <c r="H1620" s="98">
        <v>0</v>
      </c>
      <c r="I1620" s="98">
        <v>0</v>
      </c>
      <c r="J1620" s="98"/>
      <c r="K1620" s="93"/>
      <c r="L1620" s="93">
        <f t="shared" si="218"/>
        <v>960000</v>
      </c>
      <c r="M1620" s="95" t="e">
        <f t="shared" ca="1" si="219"/>
        <v>#DIV/0!</v>
      </c>
      <c r="N1620" s="95">
        <f>IF(P1620="Hedge Fund",IF(A1620=Summary!$AD$3,M1620-E1620,M1620),IF(A1620=Summary!$AD$3,L1620-D1620,L1620))</f>
        <v>960000</v>
      </c>
      <c r="O1620" s="95">
        <f t="shared" si="224"/>
        <v>960000</v>
      </c>
      <c r="P1620" s="107" t="s">
        <v>155</v>
      </c>
      <c r="Q1620" s="107">
        <v>0</v>
      </c>
      <c r="R1620" s="107">
        <v>0</v>
      </c>
      <c r="S1620" s="107">
        <v>0</v>
      </c>
      <c r="T1620" s="107">
        <v>0</v>
      </c>
      <c r="U1620" s="107"/>
      <c r="V1620" s="107"/>
      <c r="W1620" s="107"/>
      <c r="X1620" s="107"/>
      <c r="Y1620" s="107"/>
      <c r="Z1620" s="107"/>
      <c r="AA1620" s="107"/>
      <c r="AB1620" s="107"/>
      <c r="AC1620" s="355"/>
      <c r="AD1620" s="355"/>
      <c r="AE1620" s="355"/>
      <c r="AF1620" s="94">
        <f t="shared" si="220"/>
        <v>42489</v>
      </c>
      <c r="AG1620" s="185">
        <f t="shared" si="225"/>
        <v>3.9211625999071575E-3</v>
      </c>
      <c r="AH1620" s="339" t="str">
        <f>VLOOKUP(B1620,'MF PF'!A:B,2)</f>
        <v>FdMgt1</v>
      </c>
      <c r="AI1620" s="358">
        <f t="shared" si="221"/>
        <v>0</v>
      </c>
      <c r="AJ1620" s="94">
        <f t="shared" si="222"/>
        <v>42490</v>
      </c>
    </row>
    <row r="1621" spans="1:36" ht="12.75" customHeight="1">
      <c r="A1621" s="94">
        <v>42521</v>
      </c>
      <c r="B1621" s="94" t="s">
        <v>136</v>
      </c>
      <c r="C1621" s="92" t="s">
        <v>340</v>
      </c>
      <c r="D1621" s="374">
        <v>3434497.7259999998</v>
      </c>
      <c r="E1621" s="9" t="e">
        <f t="shared" si="223"/>
        <v>#DIV/0!</v>
      </c>
      <c r="F1621" s="98">
        <v>6</v>
      </c>
      <c r="G1621" s="98">
        <v>0</v>
      </c>
      <c r="H1621" s="98">
        <v>0</v>
      </c>
      <c r="I1621" s="98">
        <v>0</v>
      </c>
      <c r="J1621" s="98"/>
      <c r="K1621" s="93"/>
      <c r="L1621" s="93">
        <f t="shared" si="218"/>
        <v>0</v>
      </c>
      <c r="M1621" s="95" t="e">
        <f t="shared" ca="1" si="219"/>
        <v>#DIV/0!</v>
      </c>
      <c r="N1621" s="95">
        <f>IF(P1621="Hedge Fund",IF(A1621=Summary!$AD$3,M1621-E1621,M1621),IF(A1621=Summary!$AD$3,L1621-D1621,L1621))</f>
        <v>0</v>
      </c>
      <c r="O1621" s="95">
        <f t="shared" si="224"/>
        <v>0</v>
      </c>
      <c r="P1621" s="89" t="s">
        <v>155</v>
      </c>
      <c r="Q1621" s="107">
        <v>0</v>
      </c>
      <c r="R1621" s="107">
        <v>0</v>
      </c>
      <c r="S1621" s="107">
        <v>0</v>
      </c>
      <c r="T1621" s="107">
        <v>0</v>
      </c>
      <c r="U1621" s="107"/>
      <c r="V1621" s="107"/>
      <c r="W1621" s="107"/>
      <c r="X1621" s="107"/>
      <c r="Y1621" s="107"/>
      <c r="Z1621" s="107"/>
      <c r="AA1621" s="107"/>
      <c r="AB1621" s="107"/>
      <c r="AC1621" s="355"/>
      <c r="AD1621" s="355"/>
      <c r="AE1621" s="355"/>
      <c r="AF1621" s="94">
        <f t="shared" si="220"/>
        <v>42521</v>
      </c>
      <c r="AG1621" s="185">
        <f t="shared" si="225"/>
        <v>1.205013727221993E-2</v>
      </c>
      <c r="AH1621" s="339" t="str">
        <f>VLOOKUP(B1621,'MF PF'!A:B,2)</f>
        <v>FdMgt1</v>
      </c>
      <c r="AI1621" s="358">
        <f t="shared" si="221"/>
        <v>0</v>
      </c>
      <c r="AJ1621" s="94">
        <f t="shared" si="222"/>
        <v>42521</v>
      </c>
    </row>
    <row r="1622" spans="1:36" ht="12.75" customHeight="1">
      <c r="A1622" s="8">
        <v>42551</v>
      </c>
      <c r="B1622" s="94" t="s">
        <v>136</v>
      </c>
      <c r="C1622" s="92" t="s">
        <v>340</v>
      </c>
      <c r="D1622" s="374">
        <v>3423351.2</v>
      </c>
      <c r="E1622" s="9" t="e">
        <f t="shared" si="223"/>
        <v>#DIV/0!</v>
      </c>
      <c r="F1622" s="98">
        <v>6</v>
      </c>
      <c r="G1622" s="98">
        <v>0</v>
      </c>
      <c r="H1622" s="98">
        <v>0</v>
      </c>
      <c r="I1622" s="98">
        <v>0</v>
      </c>
      <c r="J1622" s="98"/>
      <c r="K1622" s="93"/>
      <c r="L1622" s="93">
        <f t="shared" si="218"/>
        <v>0</v>
      </c>
      <c r="M1622" s="95" t="e">
        <f t="shared" ca="1" si="219"/>
        <v>#DIV/0!</v>
      </c>
      <c r="N1622" s="95">
        <f>IF(P1622="Hedge Fund",IF(A1622=Summary!$AD$3,M1622-E1622,M1622),IF(A1622=Summary!$AD$3,L1622-D1622,L1622))</f>
        <v>0</v>
      </c>
      <c r="O1622" s="95">
        <f t="shared" si="224"/>
        <v>0</v>
      </c>
      <c r="P1622" s="89" t="s">
        <v>155</v>
      </c>
      <c r="Q1622" s="107">
        <v>0</v>
      </c>
      <c r="R1622" s="107">
        <v>0</v>
      </c>
      <c r="S1622" s="107">
        <v>0</v>
      </c>
      <c r="T1622" s="107">
        <v>0</v>
      </c>
      <c r="U1622" s="107"/>
      <c r="V1622" s="107"/>
      <c r="W1622" s="107"/>
      <c r="X1622" s="107"/>
      <c r="Y1622" s="107"/>
      <c r="Z1622" s="107"/>
      <c r="AA1622" s="107"/>
      <c r="AB1622" s="107"/>
      <c r="AC1622" s="355"/>
      <c r="AD1622" s="355"/>
      <c r="AE1622" s="355"/>
      <c r="AF1622" s="94">
        <f t="shared" si="220"/>
        <v>42551</v>
      </c>
      <c r="AG1622" s="185">
        <f t="shared" si="225"/>
        <v>-3.2454602941262012E-3</v>
      </c>
      <c r="AH1622" s="339" t="str">
        <f>VLOOKUP(B1622,'MF PF'!A:B,2)</f>
        <v>FdMgt1</v>
      </c>
      <c r="AI1622" s="358">
        <f t="shared" si="221"/>
        <v>0</v>
      </c>
      <c r="AJ1622" s="94">
        <f t="shared" si="222"/>
        <v>42551</v>
      </c>
    </row>
    <row r="1623" spans="1:36" ht="12.75" customHeight="1">
      <c r="A1623" s="8">
        <v>42580</v>
      </c>
      <c r="B1623" s="94" t="s">
        <v>136</v>
      </c>
      <c r="C1623" s="92" t="s">
        <v>340</v>
      </c>
      <c r="D1623" s="374">
        <v>3422639.9114999999</v>
      </c>
      <c r="E1623" s="95" t="e">
        <f t="shared" si="223"/>
        <v>#DIV/0!</v>
      </c>
      <c r="F1623" s="98">
        <v>6</v>
      </c>
      <c r="G1623" s="98">
        <v>0</v>
      </c>
      <c r="H1623" s="98">
        <v>0</v>
      </c>
      <c r="I1623" s="98">
        <v>0</v>
      </c>
      <c r="J1623" s="98"/>
      <c r="K1623" s="93"/>
      <c r="L1623" s="93">
        <f t="shared" si="218"/>
        <v>0</v>
      </c>
      <c r="M1623" s="95" t="e">
        <f t="shared" ca="1" si="219"/>
        <v>#DIV/0!</v>
      </c>
      <c r="N1623" s="95">
        <f>IF(P1623="Hedge Fund",IF(A1623=Summary!$AD$3,M1623-E1623,M1623),IF(A1623=Summary!$AD$3,L1623-D1623,L1623))</f>
        <v>0</v>
      </c>
      <c r="O1623" s="95">
        <f t="shared" si="224"/>
        <v>0</v>
      </c>
      <c r="P1623" s="89" t="s">
        <v>155</v>
      </c>
      <c r="Q1623" s="107">
        <v>0</v>
      </c>
      <c r="R1623" s="107">
        <v>0</v>
      </c>
      <c r="S1623" s="107">
        <v>0</v>
      </c>
      <c r="T1623" s="107">
        <v>0</v>
      </c>
      <c r="U1623" s="107"/>
      <c r="V1623" s="107"/>
      <c r="W1623" s="107"/>
      <c r="X1623" s="107"/>
      <c r="Y1623" s="107"/>
      <c r="Z1623" s="107"/>
      <c r="AA1623" s="107"/>
      <c r="AB1623" s="107"/>
      <c r="AC1623" s="355"/>
      <c r="AD1623" s="355"/>
      <c r="AE1623" s="355"/>
      <c r="AF1623" s="94">
        <f t="shared" si="220"/>
        <v>42580</v>
      </c>
      <c r="AG1623" s="185">
        <f t="shared" si="225"/>
        <v>-2.0777549788064675E-4</v>
      </c>
      <c r="AH1623" s="339" t="str">
        <f>VLOOKUP(B1623,'MF PF'!A:B,2)</f>
        <v>FdMgt1</v>
      </c>
      <c r="AI1623" s="358">
        <f t="shared" si="221"/>
        <v>0</v>
      </c>
      <c r="AJ1623" s="94">
        <f t="shared" si="222"/>
        <v>42582</v>
      </c>
    </row>
    <row r="1624" spans="1:36" ht="12.75" customHeight="1">
      <c r="A1624" s="8">
        <v>42613</v>
      </c>
      <c r="B1624" s="94" t="s">
        <v>136</v>
      </c>
      <c r="C1624" s="358" t="s">
        <v>340</v>
      </c>
      <c r="D1624" s="374">
        <v>3419876.06</v>
      </c>
      <c r="E1624" s="95" t="e">
        <f t="shared" si="223"/>
        <v>#DIV/0!</v>
      </c>
      <c r="F1624" s="98">
        <v>6</v>
      </c>
      <c r="G1624" s="98">
        <v>0</v>
      </c>
      <c r="H1624" s="98">
        <v>0</v>
      </c>
      <c r="I1624" s="98">
        <v>0</v>
      </c>
      <c r="J1624" s="98"/>
      <c r="K1624" s="93"/>
      <c r="L1624" s="93">
        <f t="shared" si="218"/>
        <v>0</v>
      </c>
      <c r="M1624" s="95" t="e">
        <f t="shared" ca="1" si="219"/>
        <v>#DIV/0!</v>
      </c>
      <c r="N1624" s="95">
        <f>IF(P1624="Hedge Fund",IF(A1624=Summary!$AD$3,M1624-E1624,M1624),IF(A1624=Summary!$AD$3,L1624-D1624,L1624))</f>
        <v>0</v>
      </c>
      <c r="O1624" s="95">
        <f t="shared" si="224"/>
        <v>0</v>
      </c>
      <c r="P1624" s="89" t="s">
        <v>155</v>
      </c>
      <c r="Q1624" s="107">
        <v>0</v>
      </c>
      <c r="R1624" s="107">
        <v>0</v>
      </c>
      <c r="S1624" s="107">
        <v>0</v>
      </c>
      <c r="T1624" s="107">
        <v>0</v>
      </c>
      <c r="U1624" s="107"/>
      <c r="V1624" s="107"/>
      <c r="W1624" s="107"/>
      <c r="X1624" s="107"/>
      <c r="Y1624" s="107"/>
      <c r="Z1624" s="107"/>
      <c r="AA1624" s="107"/>
      <c r="AB1624" s="107"/>
      <c r="AC1624" s="355"/>
      <c r="AD1624" s="355"/>
      <c r="AE1624" s="355"/>
      <c r="AF1624" s="94">
        <f t="shared" si="220"/>
        <v>42613</v>
      </c>
      <c r="AG1624" s="185">
        <f t="shared" si="225"/>
        <v>-8.0752038527731607E-4</v>
      </c>
      <c r="AH1624" s="339" t="str">
        <f>VLOOKUP(B1624,'MF PF'!A:B,2)</f>
        <v>FdMgt1</v>
      </c>
      <c r="AI1624" s="358">
        <f t="shared" si="221"/>
        <v>0</v>
      </c>
      <c r="AJ1624" s="94">
        <f t="shared" si="222"/>
        <v>42613</v>
      </c>
    </row>
    <row r="1625" spans="1:36" ht="12.75" customHeight="1">
      <c r="A1625" s="8">
        <v>42643</v>
      </c>
      <c r="B1625" s="94" t="s">
        <v>136</v>
      </c>
      <c r="C1625" s="358" t="s">
        <v>340</v>
      </c>
      <c r="D1625" s="374">
        <v>3533408.9534999998</v>
      </c>
      <c r="E1625" s="95" t="e">
        <f t="shared" si="223"/>
        <v>#DIV/0!</v>
      </c>
      <c r="F1625" s="98">
        <v>6</v>
      </c>
      <c r="G1625" s="98">
        <v>0</v>
      </c>
      <c r="H1625" s="98">
        <v>0</v>
      </c>
      <c r="I1625" s="98">
        <v>0</v>
      </c>
      <c r="J1625" s="98"/>
      <c r="K1625" s="93"/>
      <c r="L1625" s="93">
        <f t="shared" si="218"/>
        <v>0</v>
      </c>
      <c r="M1625" s="95" t="e">
        <f t="shared" ca="1" si="219"/>
        <v>#DIV/0!</v>
      </c>
      <c r="N1625" s="95">
        <f>IF(P1625="Hedge Fund",IF(A1625=Summary!$AD$3,M1625-E1625,M1625),IF(A1625=Summary!$AD$3,L1625-D1625,L1625))</f>
        <v>0</v>
      </c>
      <c r="O1625" s="95">
        <f t="shared" si="224"/>
        <v>0</v>
      </c>
      <c r="P1625" s="89" t="s">
        <v>155</v>
      </c>
      <c r="Q1625" s="107">
        <v>0</v>
      </c>
      <c r="R1625" s="107">
        <v>0</v>
      </c>
      <c r="S1625" s="107">
        <v>0</v>
      </c>
      <c r="T1625" s="107">
        <v>0</v>
      </c>
      <c r="U1625" s="107"/>
      <c r="V1625" s="107"/>
      <c r="W1625" s="107"/>
      <c r="X1625" s="107"/>
      <c r="Y1625" s="107"/>
      <c r="Z1625" s="107"/>
      <c r="AA1625" s="107"/>
      <c r="AB1625" s="107"/>
      <c r="AC1625" s="355"/>
      <c r="AD1625" s="355"/>
      <c r="AE1625" s="355"/>
      <c r="AF1625" s="94">
        <f t="shared" si="220"/>
        <v>42643</v>
      </c>
      <c r="AG1625" s="185">
        <f t="shared" si="225"/>
        <v>3.3197955571524274E-2</v>
      </c>
      <c r="AH1625" s="339" t="str">
        <f>VLOOKUP(B1625,'MF PF'!A:B,2)</f>
        <v>FdMgt1</v>
      </c>
      <c r="AI1625" s="358">
        <f t="shared" si="221"/>
        <v>0</v>
      </c>
      <c r="AJ1625" s="94">
        <f t="shared" si="222"/>
        <v>42643</v>
      </c>
    </row>
    <row r="1626" spans="1:36" ht="12.75" customHeight="1">
      <c r="A1626" s="94">
        <v>42674</v>
      </c>
      <c r="B1626" s="94" t="s">
        <v>136</v>
      </c>
      <c r="C1626" s="358" t="s">
        <v>340</v>
      </c>
      <c r="D1626" s="374">
        <v>3627163.1970000002</v>
      </c>
      <c r="E1626" s="9" t="e">
        <f t="shared" si="223"/>
        <v>#DIV/0!</v>
      </c>
      <c r="F1626" s="98">
        <v>6</v>
      </c>
      <c r="G1626" s="98">
        <v>0</v>
      </c>
      <c r="H1626" s="98">
        <v>0</v>
      </c>
      <c r="I1626" s="98">
        <v>0</v>
      </c>
      <c r="J1626" s="98"/>
      <c r="K1626" s="93"/>
      <c r="L1626" s="93">
        <f t="shared" si="218"/>
        <v>0</v>
      </c>
      <c r="M1626" s="95" t="e">
        <f t="shared" ca="1" si="219"/>
        <v>#DIV/0!</v>
      </c>
      <c r="N1626" s="95">
        <f>IF(P1626="Hedge Fund",IF(A1626=Summary!$AD$3,M1626-E1626,M1626),IF(A1626=Summary!$AD$3,L1626-D1626,L1626))</f>
        <v>0</v>
      </c>
      <c r="O1626" s="95">
        <f t="shared" si="224"/>
        <v>0</v>
      </c>
      <c r="P1626" s="89" t="s">
        <v>155</v>
      </c>
      <c r="Q1626" s="107">
        <v>0</v>
      </c>
      <c r="R1626" s="107">
        <v>0</v>
      </c>
      <c r="S1626" s="107">
        <v>0</v>
      </c>
      <c r="T1626" s="107">
        <v>0</v>
      </c>
      <c r="U1626" s="107"/>
      <c r="V1626" s="107"/>
      <c r="W1626" s="107"/>
      <c r="X1626" s="107"/>
      <c r="Y1626" s="107"/>
      <c r="Z1626" s="107"/>
      <c r="AA1626" s="107"/>
      <c r="AB1626" s="107"/>
      <c r="AC1626" s="355"/>
      <c r="AD1626" s="355"/>
      <c r="AE1626" s="355"/>
      <c r="AF1626" s="94">
        <f t="shared" si="220"/>
        <v>42674</v>
      </c>
      <c r="AG1626" s="185">
        <f t="shared" si="225"/>
        <v>2.6533651987022955E-2</v>
      </c>
      <c r="AH1626" s="339" t="str">
        <f>VLOOKUP(B1626,'MF PF'!A:B,2)</f>
        <v>FdMgt1</v>
      </c>
      <c r="AI1626" s="358">
        <f t="shared" si="221"/>
        <v>0</v>
      </c>
      <c r="AJ1626" s="94">
        <f t="shared" si="222"/>
        <v>42674</v>
      </c>
    </row>
    <row r="1627" spans="1:36" ht="12.75" customHeight="1">
      <c r="A1627" s="8">
        <v>42704</v>
      </c>
      <c r="B1627" s="94" t="s">
        <v>136</v>
      </c>
      <c r="C1627" s="358" t="s">
        <v>340</v>
      </c>
      <c r="D1627" s="374">
        <v>3662416.4879999999</v>
      </c>
      <c r="E1627" s="9" t="e">
        <f t="shared" si="223"/>
        <v>#DIV/0!</v>
      </c>
      <c r="F1627" s="98">
        <v>6</v>
      </c>
      <c r="G1627" s="98">
        <v>0</v>
      </c>
      <c r="H1627" s="98">
        <v>-4.6566128730773926E-10</v>
      </c>
      <c r="I1627" s="98">
        <v>0</v>
      </c>
      <c r="J1627" s="98"/>
      <c r="K1627" s="93"/>
      <c r="L1627" s="93">
        <f t="shared" si="218"/>
        <v>-4.6566128730773926E-10</v>
      </c>
      <c r="M1627" s="95" t="e">
        <f t="shared" ca="1" si="219"/>
        <v>#DIV/0!</v>
      </c>
      <c r="N1627" s="95">
        <f>IF(P1627="Hedge Fund",IF(A1627=Summary!$AD$3,M1627-E1627,M1627),IF(A1627=Summary!$AD$3,L1627-D1627,L1627))</f>
        <v>-4.6566128730773926E-10</v>
      </c>
      <c r="O1627" s="95">
        <f t="shared" si="224"/>
        <v>-4.6566128730773926E-10</v>
      </c>
      <c r="P1627" s="89" t="s">
        <v>155</v>
      </c>
      <c r="Q1627" s="107">
        <v>0</v>
      </c>
      <c r="R1627" s="107">
        <v>0</v>
      </c>
      <c r="S1627" s="107">
        <v>0</v>
      </c>
      <c r="T1627" s="107">
        <v>0</v>
      </c>
      <c r="U1627" s="107"/>
      <c r="V1627" s="107"/>
      <c r="W1627" s="107"/>
      <c r="X1627" s="107"/>
      <c r="Y1627" s="107"/>
      <c r="Z1627" s="107"/>
      <c r="AA1627" s="107"/>
      <c r="AB1627" s="107"/>
      <c r="AC1627" s="355"/>
      <c r="AD1627" s="355"/>
      <c r="AE1627" s="355"/>
      <c r="AF1627" s="94">
        <f t="shared" si="220"/>
        <v>42704</v>
      </c>
      <c r="AG1627" s="185">
        <f t="shared" si="225"/>
        <v>9.719245891433248E-3</v>
      </c>
      <c r="AH1627" s="339" t="str">
        <f>VLOOKUP(B1627,'MF PF'!A:B,2)</f>
        <v>FdMgt1</v>
      </c>
      <c r="AI1627" s="358">
        <f t="shared" si="221"/>
        <v>0</v>
      </c>
      <c r="AJ1627" s="94">
        <f t="shared" si="222"/>
        <v>42704</v>
      </c>
    </row>
    <row r="1628" spans="1:36" ht="12.75" customHeight="1">
      <c r="A1628" s="8">
        <v>42734</v>
      </c>
      <c r="B1628" s="94" t="s">
        <v>136</v>
      </c>
      <c r="C1628" s="358" t="s">
        <v>340</v>
      </c>
      <c r="D1628" s="374">
        <v>5229928.6804999998</v>
      </c>
      <c r="E1628" s="95" t="e">
        <f t="shared" si="223"/>
        <v>#DIV/0!</v>
      </c>
      <c r="F1628" s="98">
        <v>6</v>
      </c>
      <c r="G1628" s="98">
        <v>2195000</v>
      </c>
      <c r="H1628" s="98">
        <v>0</v>
      </c>
      <c r="I1628" s="98">
        <v>0</v>
      </c>
      <c r="J1628" s="98"/>
      <c r="K1628" s="93"/>
      <c r="L1628" s="93">
        <f t="shared" si="218"/>
        <v>2195000</v>
      </c>
      <c r="M1628" s="95" t="e">
        <f t="shared" ca="1" si="219"/>
        <v>#DIV/0!</v>
      </c>
      <c r="N1628" s="95">
        <f>IF(P1628="Hedge Fund",IF(A1628=Summary!$AD$3,M1628-E1628,M1628),IF(A1628=Summary!$AD$3,L1628-D1628,L1628))</f>
        <v>2195000</v>
      </c>
      <c r="O1628" s="95">
        <f t="shared" si="224"/>
        <v>2195000</v>
      </c>
      <c r="P1628" s="107" t="s">
        <v>155</v>
      </c>
      <c r="Q1628" s="107">
        <v>0</v>
      </c>
      <c r="R1628" s="107">
        <v>0</v>
      </c>
      <c r="S1628" s="107">
        <v>0</v>
      </c>
      <c r="T1628" s="107">
        <v>0</v>
      </c>
      <c r="U1628" s="107"/>
      <c r="V1628" s="107"/>
      <c r="W1628" s="107"/>
      <c r="X1628" s="107"/>
      <c r="Y1628" s="107"/>
      <c r="Z1628" s="107"/>
      <c r="AA1628" s="107"/>
      <c r="AB1628" s="107"/>
      <c r="AC1628" s="355"/>
      <c r="AD1628" s="355"/>
      <c r="AE1628" s="355"/>
      <c r="AF1628" s="94">
        <f t="shared" si="220"/>
        <v>42734</v>
      </c>
      <c r="AG1628" s="185">
        <f t="shared" si="225"/>
        <v>-0.17133163569899268</v>
      </c>
      <c r="AH1628" s="339" t="str">
        <f>VLOOKUP(B1628,'MF PF'!A:B,2)</f>
        <v>FdMgt1</v>
      </c>
      <c r="AI1628" s="358">
        <f t="shared" si="221"/>
        <v>0</v>
      </c>
      <c r="AJ1628" s="94">
        <f t="shared" si="222"/>
        <v>42735</v>
      </c>
    </row>
    <row r="1629" spans="1:36" ht="12.75" customHeight="1">
      <c r="A1629" s="8">
        <v>42762</v>
      </c>
      <c r="B1629" s="94" t="s">
        <v>136</v>
      </c>
      <c r="C1629" s="92" t="s">
        <v>340</v>
      </c>
      <c r="D1629" s="374">
        <v>5295889.5985000003</v>
      </c>
      <c r="E1629" s="95" t="e">
        <f t="shared" si="223"/>
        <v>#DIV/0!</v>
      </c>
      <c r="F1629" s="98">
        <v>6</v>
      </c>
      <c r="G1629" s="98">
        <v>0</v>
      </c>
      <c r="H1629" s="98">
        <v>0</v>
      </c>
      <c r="I1629" s="98">
        <v>0</v>
      </c>
      <c r="J1629" s="98"/>
      <c r="K1629" s="93"/>
      <c r="L1629" s="93">
        <f t="shared" si="218"/>
        <v>0</v>
      </c>
      <c r="M1629" s="95" t="e">
        <f t="shared" ca="1" si="219"/>
        <v>#DIV/0!</v>
      </c>
      <c r="N1629" s="95">
        <f>IF(P1629="Hedge Fund",IF(A1629=Summary!$AD$3,M1629-E1629,M1629),IF(A1629=Summary!$AD$3,L1629-D1629,L1629))</f>
        <v>0</v>
      </c>
      <c r="O1629" s="95">
        <f t="shared" si="224"/>
        <v>0</v>
      </c>
      <c r="P1629" s="107" t="s">
        <v>155</v>
      </c>
      <c r="Q1629" s="107">
        <v>0</v>
      </c>
      <c r="R1629" s="107">
        <v>0</v>
      </c>
      <c r="S1629" s="107">
        <v>0</v>
      </c>
      <c r="T1629" s="107">
        <v>0</v>
      </c>
      <c r="U1629" s="107"/>
      <c r="V1629" s="107"/>
      <c r="W1629" s="107"/>
      <c r="X1629" s="107"/>
      <c r="Y1629" s="107"/>
      <c r="Z1629" s="107"/>
      <c r="AA1629" s="107"/>
      <c r="AB1629" s="107"/>
      <c r="AC1629" s="355"/>
      <c r="AD1629" s="355"/>
      <c r="AE1629" s="355"/>
      <c r="AF1629" s="94">
        <f t="shared" si="220"/>
        <v>42762</v>
      </c>
      <c r="AG1629" s="185">
        <f t="shared" si="225"/>
        <v>1.2612202198079459E-2</v>
      </c>
      <c r="AH1629" s="339" t="str">
        <f>VLOOKUP(B1629,'MF PF'!A:B,2)</f>
        <v>FdMgt1</v>
      </c>
      <c r="AI1629" s="358">
        <f t="shared" si="221"/>
        <v>0</v>
      </c>
      <c r="AJ1629" s="94">
        <f t="shared" si="222"/>
        <v>42766</v>
      </c>
    </row>
    <row r="1630" spans="1:36" ht="12.75" customHeight="1">
      <c r="A1630" s="94">
        <v>42794</v>
      </c>
      <c r="B1630" s="94" t="s">
        <v>136</v>
      </c>
      <c r="C1630" s="358" t="s">
        <v>340</v>
      </c>
      <c r="D1630" s="374">
        <v>5389551.7529999996</v>
      </c>
      <c r="E1630" s="95" t="e">
        <f t="shared" si="223"/>
        <v>#DIV/0!</v>
      </c>
      <c r="F1630" s="98">
        <v>6</v>
      </c>
      <c r="G1630" s="98">
        <v>0</v>
      </c>
      <c r="H1630" s="98">
        <v>0</v>
      </c>
      <c r="I1630" s="98">
        <v>0</v>
      </c>
      <c r="J1630" s="98"/>
      <c r="K1630" s="93"/>
      <c r="L1630" s="93">
        <f t="shared" si="218"/>
        <v>0</v>
      </c>
      <c r="M1630" s="95" t="e">
        <f t="shared" ca="1" si="219"/>
        <v>#DIV/0!</v>
      </c>
      <c r="N1630" s="95">
        <f>IF(P1630="Hedge Fund",IF(A1630=Summary!$AD$3,M1630-E1630,M1630),IF(A1630=Summary!$AD$3,L1630-D1630,L1630))</f>
        <v>0</v>
      </c>
      <c r="O1630" s="95">
        <f t="shared" si="224"/>
        <v>0</v>
      </c>
      <c r="P1630" s="89" t="s">
        <v>155</v>
      </c>
      <c r="Q1630" s="107">
        <v>0</v>
      </c>
      <c r="R1630" s="107">
        <v>0</v>
      </c>
      <c r="S1630" s="107">
        <v>0</v>
      </c>
      <c r="T1630" s="107">
        <v>0</v>
      </c>
      <c r="U1630" s="107"/>
      <c r="V1630" s="107"/>
      <c r="W1630" s="107"/>
      <c r="X1630" s="107"/>
      <c r="Y1630" s="107"/>
      <c r="Z1630" s="107"/>
      <c r="AA1630" s="107"/>
      <c r="AB1630" s="107"/>
      <c r="AC1630" s="355"/>
      <c r="AD1630" s="355"/>
      <c r="AE1630" s="355"/>
      <c r="AF1630" s="94">
        <f t="shared" si="220"/>
        <v>42794</v>
      </c>
      <c r="AG1630" s="185">
        <f t="shared" si="225"/>
        <v>1.768582081592629E-2</v>
      </c>
      <c r="AH1630" s="339" t="str">
        <f>VLOOKUP(B1630,'MF PF'!A:B,2)</f>
        <v>FdMgt1</v>
      </c>
      <c r="AI1630" s="358">
        <f t="shared" si="221"/>
        <v>0</v>
      </c>
      <c r="AJ1630" s="94">
        <f t="shared" si="222"/>
        <v>42794</v>
      </c>
    </row>
    <row r="1631" spans="1:36" ht="12.75" customHeight="1">
      <c r="A1631" s="94">
        <v>42825</v>
      </c>
      <c r="B1631" s="94" t="s">
        <v>136</v>
      </c>
      <c r="C1631" s="358" t="s">
        <v>340</v>
      </c>
      <c r="D1631" s="374">
        <v>5356414.7750000004</v>
      </c>
      <c r="E1631" s="9" t="e">
        <f t="shared" si="223"/>
        <v>#DIV/0!</v>
      </c>
      <c r="F1631" s="98">
        <v>6</v>
      </c>
      <c r="G1631" s="98">
        <v>0</v>
      </c>
      <c r="H1631" s="98">
        <v>0</v>
      </c>
      <c r="I1631" s="98">
        <v>0</v>
      </c>
      <c r="J1631" s="98"/>
      <c r="L1631" s="93">
        <f t="shared" si="218"/>
        <v>0</v>
      </c>
      <c r="M1631" s="95" t="e">
        <f t="shared" ca="1" si="219"/>
        <v>#DIV/0!</v>
      </c>
      <c r="N1631" s="95">
        <f>IF(P1631="Hedge Fund",IF(A1631=Summary!$AD$3,M1631-E1631,M1631),IF(A1631=Summary!$AD$3,L1631-D1631,L1631))</f>
        <v>0</v>
      </c>
      <c r="O1631" s="95">
        <f t="shared" si="224"/>
        <v>0</v>
      </c>
      <c r="P1631" s="89" t="s">
        <v>155</v>
      </c>
      <c r="Q1631" s="107">
        <v>0</v>
      </c>
      <c r="R1631" s="107">
        <v>0</v>
      </c>
      <c r="S1631" s="107">
        <v>0</v>
      </c>
      <c r="T1631" s="107">
        <v>0</v>
      </c>
      <c r="U1631" s="107"/>
      <c r="V1631" s="107"/>
      <c r="W1631" s="107"/>
      <c r="X1631" s="107"/>
      <c r="Y1631" s="107"/>
      <c r="Z1631" s="107"/>
      <c r="AA1631" s="107"/>
      <c r="AB1631" s="107"/>
      <c r="AC1631" s="355"/>
      <c r="AD1631" s="355"/>
      <c r="AE1631" s="355"/>
      <c r="AF1631" s="94">
        <f t="shared" si="220"/>
        <v>42825</v>
      </c>
      <c r="AG1631" s="185">
        <f t="shared" si="225"/>
        <v>-6.1483736530694166E-3</v>
      </c>
      <c r="AH1631" s="339" t="str">
        <f>VLOOKUP(B1631,'MF PF'!A:B,2)</f>
        <v>FdMgt1</v>
      </c>
      <c r="AI1631" s="358">
        <f t="shared" si="221"/>
        <v>0</v>
      </c>
      <c r="AJ1631" s="94">
        <f t="shared" si="222"/>
        <v>42825</v>
      </c>
    </row>
    <row r="1632" spans="1:36" ht="12.75" customHeight="1">
      <c r="A1632" s="94">
        <v>42853</v>
      </c>
      <c r="B1632" s="94" t="s">
        <v>136</v>
      </c>
      <c r="C1632" s="358" t="s">
        <v>340</v>
      </c>
      <c r="D1632" s="374">
        <v>5384731.25</v>
      </c>
      <c r="E1632" s="9" t="e">
        <f t="shared" si="223"/>
        <v>#DIV/0!</v>
      </c>
      <c r="F1632" s="98">
        <v>6</v>
      </c>
      <c r="G1632" s="98">
        <v>0</v>
      </c>
      <c r="H1632" s="98">
        <v>0</v>
      </c>
      <c r="I1632" s="98">
        <v>0</v>
      </c>
      <c r="J1632" s="98"/>
      <c r="L1632" s="93">
        <f t="shared" si="218"/>
        <v>0</v>
      </c>
      <c r="M1632" s="95" t="e">
        <f t="shared" ca="1" si="219"/>
        <v>#DIV/0!</v>
      </c>
      <c r="N1632" s="95">
        <f>IF(P1632="Hedge Fund",IF(A1632=Summary!$AD$3,M1632-E1632,M1632),IF(A1632=Summary!$AD$3,L1632-D1632,L1632))</f>
        <v>0</v>
      </c>
      <c r="O1632" s="95">
        <f t="shared" si="224"/>
        <v>0</v>
      </c>
      <c r="P1632" s="89" t="s">
        <v>155</v>
      </c>
      <c r="Q1632" s="107">
        <v>0</v>
      </c>
      <c r="R1632" s="107">
        <v>0</v>
      </c>
      <c r="S1632" s="107">
        <v>0</v>
      </c>
      <c r="T1632" s="107">
        <v>0</v>
      </c>
      <c r="U1632" s="107"/>
      <c r="V1632" s="107"/>
      <c r="W1632" s="107"/>
      <c r="X1632" s="107"/>
      <c r="Y1632" s="107"/>
      <c r="Z1632" s="107"/>
      <c r="AA1632" s="107"/>
      <c r="AB1632" s="107"/>
      <c r="AC1632" s="355"/>
      <c r="AD1632" s="355"/>
      <c r="AE1632" s="355"/>
      <c r="AF1632" s="94">
        <f t="shared" si="220"/>
        <v>42853</v>
      </c>
      <c r="AG1632" s="185">
        <f t="shared" si="225"/>
        <v>5.2864604757945077E-3</v>
      </c>
      <c r="AH1632" s="339" t="str">
        <f>VLOOKUP(B1632,'MF PF'!A:B,2)</f>
        <v>FdMgt1</v>
      </c>
      <c r="AI1632" s="358">
        <f t="shared" si="221"/>
        <v>0</v>
      </c>
      <c r="AJ1632" s="94">
        <f t="shared" si="222"/>
        <v>42855</v>
      </c>
    </row>
    <row r="1633" spans="1:36" ht="12.75" customHeight="1">
      <c r="A1633" s="8">
        <v>42886</v>
      </c>
      <c r="B1633" s="94" t="s">
        <v>136</v>
      </c>
      <c r="C1633" s="358" t="s">
        <v>340</v>
      </c>
      <c r="D1633" s="374">
        <v>5453884.2154999999</v>
      </c>
      <c r="E1633" s="9" t="e">
        <f t="shared" si="223"/>
        <v>#DIV/0!</v>
      </c>
      <c r="F1633" s="98">
        <v>6</v>
      </c>
      <c r="G1633" s="98">
        <v>0</v>
      </c>
      <c r="H1633" s="98">
        <v>0</v>
      </c>
      <c r="I1633" s="98">
        <v>0</v>
      </c>
      <c r="J1633" s="98"/>
      <c r="L1633" s="93">
        <f t="shared" si="218"/>
        <v>0</v>
      </c>
      <c r="M1633" s="95" t="e">
        <f t="shared" ca="1" si="219"/>
        <v>#DIV/0!</v>
      </c>
      <c r="N1633" s="95">
        <f>IF(P1633="Hedge Fund",IF(A1633=Summary!$AD$3,M1633-E1633,M1633),IF(A1633=Summary!$AD$3,L1633-D1633,L1633))</f>
        <v>0</v>
      </c>
      <c r="O1633" s="95">
        <f t="shared" si="224"/>
        <v>0</v>
      </c>
      <c r="P1633" s="89" t="s">
        <v>155</v>
      </c>
      <c r="Q1633" s="107">
        <v>0</v>
      </c>
      <c r="R1633" s="107">
        <v>0</v>
      </c>
      <c r="S1633" s="107">
        <v>0</v>
      </c>
      <c r="T1633" s="107">
        <v>0</v>
      </c>
      <c r="U1633" s="107"/>
      <c r="V1633" s="107"/>
      <c r="W1633" s="107"/>
      <c r="X1633" s="107"/>
      <c r="Y1633" s="107"/>
      <c r="Z1633" s="107"/>
      <c r="AA1633" s="107"/>
      <c r="AB1633" s="107"/>
      <c r="AC1633" s="355"/>
      <c r="AD1633" s="355"/>
      <c r="AE1633" s="355"/>
      <c r="AF1633" s="94">
        <f t="shared" si="220"/>
        <v>42886</v>
      </c>
      <c r="AG1633" s="185">
        <f t="shared" si="225"/>
        <v>1.2842417251557325E-2</v>
      </c>
      <c r="AH1633" s="339" t="str">
        <f>VLOOKUP(B1633,'MF PF'!A:B,2)</f>
        <v>FdMgt1</v>
      </c>
      <c r="AI1633" s="358">
        <f t="shared" si="221"/>
        <v>0</v>
      </c>
      <c r="AJ1633" s="94">
        <f t="shared" si="222"/>
        <v>42886</v>
      </c>
    </row>
    <row r="1634" spans="1:36" ht="12.75" customHeight="1">
      <c r="A1634" s="8">
        <v>42916</v>
      </c>
      <c r="B1634" s="94" t="s">
        <v>136</v>
      </c>
      <c r="C1634" s="358" t="s">
        <v>340</v>
      </c>
      <c r="D1634" s="374">
        <v>5501159.1160000004</v>
      </c>
      <c r="E1634" s="95" t="e">
        <f t="shared" si="223"/>
        <v>#DIV/0!</v>
      </c>
      <c r="F1634" s="98">
        <v>6</v>
      </c>
      <c r="G1634" s="98">
        <v>0</v>
      </c>
      <c r="H1634" s="98">
        <v>0</v>
      </c>
      <c r="I1634" s="98">
        <v>0</v>
      </c>
      <c r="J1634" s="98"/>
      <c r="K1634" s="93"/>
      <c r="L1634" s="93">
        <f t="shared" si="218"/>
        <v>0</v>
      </c>
      <c r="M1634" s="95" t="e">
        <f t="shared" ca="1" si="219"/>
        <v>#DIV/0!</v>
      </c>
      <c r="N1634" s="95">
        <f>IF(P1634="Hedge Fund",IF(A1634=Summary!$AD$3,M1634-E1634,M1634),IF(A1634=Summary!$AD$3,L1634-D1634,L1634))</f>
        <v>0</v>
      </c>
      <c r="O1634" s="95">
        <f t="shared" si="224"/>
        <v>0</v>
      </c>
      <c r="P1634" s="107" t="s">
        <v>155</v>
      </c>
      <c r="Q1634" s="107">
        <v>0</v>
      </c>
      <c r="R1634" s="107">
        <v>0</v>
      </c>
      <c r="S1634" s="107">
        <v>0</v>
      </c>
      <c r="T1634" s="107">
        <v>0</v>
      </c>
      <c r="U1634" s="107"/>
      <c r="V1634" s="107"/>
      <c r="W1634" s="107"/>
      <c r="X1634" s="107"/>
      <c r="Y1634" s="107"/>
      <c r="Z1634" s="107"/>
      <c r="AA1634" s="107"/>
      <c r="AB1634" s="107"/>
      <c r="AC1634" s="355"/>
      <c r="AD1634" s="355"/>
      <c r="AE1634" s="355"/>
      <c r="AF1634" s="94">
        <f t="shared" si="220"/>
        <v>42916</v>
      </c>
      <c r="AG1634" s="185">
        <f t="shared" si="225"/>
        <v>8.6681159027257593E-3</v>
      </c>
      <c r="AH1634" s="339" t="str">
        <f>VLOOKUP(B1634,'MF PF'!A:B,2)</f>
        <v>FdMgt1</v>
      </c>
      <c r="AI1634" s="358">
        <f t="shared" si="221"/>
        <v>0</v>
      </c>
      <c r="AJ1634" s="94">
        <f t="shared" si="222"/>
        <v>42916</v>
      </c>
    </row>
    <row r="1635" spans="1:36" ht="12.75" customHeight="1">
      <c r="A1635" s="8">
        <v>42947</v>
      </c>
      <c r="B1635" s="94" t="s">
        <v>136</v>
      </c>
      <c r="C1635" s="92" t="s">
        <v>340</v>
      </c>
      <c r="D1635" s="374">
        <v>5545642.7189999996</v>
      </c>
      <c r="E1635" s="9" t="e">
        <f t="shared" si="223"/>
        <v>#DIV/0!</v>
      </c>
      <c r="F1635" s="98">
        <v>6</v>
      </c>
      <c r="G1635" s="98">
        <v>0</v>
      </c>
      <c r="H1635" s="98">
        <v>0</v>
      </c>
      <c r="I1635" s="98">
        <v>0</v>
      </c>
      <c r="J1635" s="98"/>
      <c r="K1635" s="93"/>
      <c r="L1635" s="93">
        <f t="shared" si="218"/>
        <v>0</v>
      </c>
      <c r="M1635" s="95" t="e">
        <f t="shared" ca="1" si="219"/>
        <v>#DIV/0!</v>
      </c>
      <c r="N1635" s="95">
        <f>IF(P1635="Hedge Fund",IF(A1635=Summary!$AD$3,M1635-E1635,M1635),IF(A1635=Summary!$AD$3,L1635-D1635,L1635))</f>
        <v>0</v>
      </c>
      <c r="O1635" s="95">
        <f t="shared" si="224"/>
        <v>0</v>
      </c>
      <c r="P1635" s="107" t="s">
        <v>155</v>
      </c>
      <c r="Q1635" s="107">
        <v>0</v>
      </c>
      <c r="R1635" s="107">
        <v>0</v>
      </c>
      <c r="S1635" s="107">
        <v>0</v>
      </c>
      <c r="T1635" s="107">
        <v>0</v>
      </c>
      <c r="U1635" s="107"/>
      <c r="V1635" s="107"/>
      <c r="W1635" s="107"/>
      <c r="X1635" s="107"/>
      <c r="Y1635" s="107"/>
      <c r="Z1635" s="107"/>
      <c r="AA1635" s="107"/>
      <c r="AB1635" s="107"/>
      <c r="AC1635" s="355"/>
      <c r="AD1635" s="355"/>
      <c r="AE1635" s="355"/>
      <c r="AF1635" s="94">
        <f t="shared" si="220"/>
        <v>42947</v>
      </c>
      <c r="AG1635" s="185">
        <f t="shared" si="225"/>
        <v>8.0862236597774029E-3</v>
      </c>
      <c r="AH1635" s="339" t="str">
        <f>VLOOKUP(B1635,'MF PF'!A:B,2)</f>
        <v>FdMgt1</v>
      </c>
      <c r="AI1635" s="358">
        <f t="shared" si="221"/>
        <v>0</v>
      </c>
      <c r="AJ1635" s="94">
        <f t="shared" si="222"/>
        <v>42947</v>
      </c>
    </row>
    <row r="1636" spans="1:36" ht="12.75" customHeight="1">
      <c r="A1636" s="8">
        <v>42978</v>
      </c>
      <c r="B1636" s="94" t="s">
        <v>136</v>
      </c>
      <c r="C1636" s="92" t="s">
        <v>340</v>
      </c>
      <c r="D1636" s="374">
        <v>5541200</v>
      </c>
      <c r="E1636" s="9" t="e">
        <f t="shared" si="223"/>
        <v>#DIV/0!</v>
      </c>
      <c r="F1636" s="98">
        <v>6</v>
      </c>
      <c r="G1636" s="98">
        <v>0</v>
      </c>
      <c r="H1636" s="98">
        <v>0</v>
      </c>
      <c r="I1636" s="98">
        <v>0</v>
      </c>
      <c r="J1636" s="98"/>
      <c r="K1636" s="93"/>
      <c r="L1636" s="93">
        <f t="shared" si="218"/>
        <v>0</v>
      </c>
      <c r="M1636" s="95" t="e">
        <f t="shared" ca="1" si="219"/>
        <v>#DIV/0!</v>
      </c>
      <c r="N1636" s="95">
        <f>IF(P1636="Hedge Fund",IF(A1636=Summary!$AD$3,M1636-E1636,M1636),IF(A1636=Summary!$AD$3,L1636-D1636,L1636))</f>
        <v>0</v>
      </c>
      <c r="O1636" s="95">
        <f t="shared" si="224"/>
        <v>0</v>
      </c>
      <c r="P1636" s="107" t="s">
        <v>155</v>
      </c>
      <c r="Q1636" s="107">
        <v>0</v>
      </c>
      <c r="R1636" s="107">
        <v>0</v>
      </c>
      <c r="S1636" s="107">
        <v>0</v>
      </c>
      <c r="T1636" s="107">
        <v>0</v>
      </c>
      <c r="U1636" s="107"/>
      <c r="V1636" s="107"/>
      <c r="W1636" s="107"/>
      <c r="X1636" s="107"/>
      <c r="Y1636" s="107"/>
      <c r="Z1636" s="107"/>
      <c r="AA1636" s="107"/>
      <c r="AB1636" s="107"/>
      <c r="AC1636" s="355"/>
      <c r="AD1636" s="355"/>
      <c r="AE1636" s="355"/>
      <c r="AF1636" s="94">
        <f t="shared" si="220"/>
        <v>42978</v>
      </c>
      <c r="AG1636" s="185">
        <f t="shared" si="225"/>
        <v>-8.0111886486633477E-4</v>
      </c>
      <c r="AH1636" s="339" t="str">
        <f>VLOOKUP(B1636,'MF PF'!A:B,2)</f>
        <v>FdMgt1</v>
      </c>
      <c r="AI1636" s="358">
        <f t="shared" si="221"/>
        <v>0</v>
      </c>
      <c r="AJ1636" s="94">
        <f t="shared" si="222"/>
        <v>42978</v>
      </c>
    </row>
    <row r="1637" spans="1:36" ht="12.75" customHeight="1">
      <c r="A1637" s="8">
        <v>43007</v>
      </c>
      <c r="B1637" s="94" t="s">
        <v>136</v>
      </c>
      <c r="C1637" s="92" t="s">
        <v>340</v>
      </c>
      <c r="D1637" s="374">
        <v>5570479.8676990084</v>
      </c>
      <c r="E1637" s="95" t="e">
        <f t="shared" si="223"/>
        <v>#DIV/0!</v>
      </c>
      <c r="F1637" s="98">
        <v>6</v>
      </c>
      <c r="G1637" s="98">
        <v>0</v>
      </c>
      <c r="H1637" s="98">
        <v>0</v>
      </c>
      <c r="I1637" s="98">
        <v>0</v>
      </c>
      <c r="J1637" s="98"/>
      <c r="K1637" s="93"/>
      <c r="L1637" s="93">
        <f t="shared" si="218"/>
        <v>0</v>
      </c>
      <c r="M1637" s="95" t="e">
        <f t="shared" ca="1" si="219"/>
        <v>#DIV/0!</v>
      </c>
      <c r="N1637" s="95">
        <f>IF(P1637="Hedge Fund",IF(A1637=Summary!$AD$3,M1637-E1637,M1637),IF(A1637=Summary!$AD$3,L1637-D1637,L1637))</f>
        <v>0</v>
      </c>
      <c r="O1637" s="95">
        <f t="shared" si="224"/>
        <v>0</v>
      </c>
      <c r="P1637" s="107" t="s">
        <v>155</v>
      </c>
      <c r="Q1637" s="107">
        <v>0</v>
      </c>
      <c r="R1637" s="107">
        <v>0</v>
      </c>
      <c r="S1637" s="107">
        <v>0</v>
      </c>
      <c r="T1637" s="107">
        <v>0</v>
      </c>
      <c r="U1637" s="107"/>
      <c r="V1637" s="107"/>
      <c r="W1637" s="107"/>
      <c r="X1637" s="107"/>
      <c r="Y1637" s="107"/>
      <c r="Z1637" s="107"/>
      <c r="AA1637" s="107"/>
      <c r="AB1637" s="107"/>
      <c r="AC1637" s="355"/>
      <c r="AD1637" s="355"/>
      <c r="AE1637" s="355"/>
      <c r="AF1637" s="94">
        <f t="shared" si="220"/>
        <v>43007</v>
      </c>
      <c r="AG1637" s="185">
        <f t="shared" si="225"/>
        <v>5.2840301196506179E-3</v>
      </c>
      <c r="AH1637" s="339" t="str">
        <f>VLOOKUP(B1637,'MF PF'!A:B,2)</f>
        <v>FdMgt1</v>
      </c>
      <c r="AI1637" s="358">
        <f t="shared" si="221"/>
        <v>0</v>
      </c>
      <c r="AJ1637" s="94">
        <f t="shared" si="222"/>
        <v>43008</v>
      </c>
    </row>
    <row r="1638" spans="1:36" ht="12.75" customHeight="1">
      <c r="A1638" s="8">
        <v>43039</v>
      </c>
      <c r="B1638" s="94" t="s">
        <v>136</v>
      </c>
      <c r="C1638" s="358" t="s">
        <v>340</v>
      </c>
      <c r="D1638" s="374">
        <v>5623900</v>
      </c>
      <c r="E1638" s="9" t="e">
        <f t="shared" si="223"/>
        <v>#DIV/0!</v>
      </c>
      <c r="F1638" s="98">
        <v>6</v>
      </c>
      <c r="G1638" s="98">
        <v>0</v>
      </c>
      <c r="H1638" s="98">
        <v>0</v>
      </c>
      <c r="I1638" s="98">
        <v>0</v>
      </c>
      <c r="J1638" s="98"/>
      <c r="K1638" s="93"/>
      <c r="L1638" s="93">
        <f t="shared" si="218"/>
        <v>0</v>
      </c>
      <c r="M1638" s="95" t="e">
        <f t="shared" ca="1" si="219"/>
        <v>#DIV/0!</v>
      </c>
      <c r="N1638" s="95">
        <f>IF(P1638="Hedge Fund",IF(A1638=Summary!$AD$3,M1638-E1638,M1638),IF(A1638=Summary!$AD$3,L1638-D1638,L1638))</f>
        <v>0</v>
      </c>
      <c r="O1638" s="95">
        <f t="shared" si="224"/>
        <v>0</v>
      </c>
      <c r="P1638" s="107" t="s">
        <v>155</v>
      </c>
      <c r="Q1638" s="107">
        <v>0</v>
      </c>
      <c r="R1638" s="107">
        <v>0</v>
      </c>
      <c r="S1638" s="107">
        <v>0</v>
      </c>
      <c r="T1638" s="107">
        <v>0</v>
      </c>
      <c r="U1638" s="107"/>
      <c r="V1638" s="107"/>
      <c r="W1638" s="107"/>
      <c r="X1638" s="107"/>
      <c r="Y1638" s="107"/>
      <c r="Z1638" s="107"/>
      <c r="AA1638" s="107"/>
      <c r="AB1638" s="107"/>
      <c r="AC1638" s="355"/>
      <c r="AD1638" s="355"/>
      <c r="AE1638" s="355"/>
      <c r="AF1638" s="94">
        <f t="shared" si="220"/>
        <v>43039</v>
      </c>
      <c r="AG1638" s="185">
        <f t="shared" si="225"/>
        <v>9.5898618377123768E-3</v>
      </c>
      <c r="AH1638" s="339" t="str">
        <f>VLOOKUP(B1638,'MF PF'!A:B,2)</f>
        <v>FdMgt1</v>
      </c>
      <c r="AI1638" s="358">
        <f t="shared" si="221"/>
        <v>0</v>
      </c>
      <c r="AJ1638" s="94">
        <f t="shared" si="222"/>
        <v>43039</v>
      </c>
    </row>
    <row r="1639" spans="1:36" ht="12.75" customHeight="1">
      <c r="A1639" s="8">
        <v>43069</v>
      </c>
      <c r="B1639" s="94" t="s">
        <v>136</v>
      </c>
      <c r="C1639" s="358" t="s">
        <v>340</v>
      </c>
      <c r="D1639" s="374">
        <v>5624220.3300000001</v>
      </c>
      <c r="E1639" s="9" t="e">
        <f t="shared" si="223"/>
        <v>#DIV/0!</v>
      </c>
      <c r="F1639" s="98">
        <v>6</v>
      </c>
      <c r="G1639" s="98">
        <v>0</v>
      </c>
      <c r="H1639" s="98">
        <v>0</v>
      </c>
      <c r="I1639" s="98">
        <v>0</v>
      </c>
      <c r="J1639" s="98"/>
      <c r="K1639" s="93"/>
      <c r="L1639" s="93">
        <f t="shared" si="218"/>
        <v>0</v>
      </c>
      <c r="M1639" s="95" t="e">
        <f t="shared" ca="1" si="219"/>
        <v>#DIV/0!</v>
      </c>
      <c r="N1639" s="95">
        <f>IF(P1639="Hedge Fund",IF(A1639=Summary!$AD$3,M1639-E1639,M1639),IF(A1639=Summary!$AD$3,L1639-D1639,L1639))</f>
        <v>0</v>
      </c>
      <c r="O1639" s="95">
        <f t="shared" si="224"/>
        <v>0</v>
      </c>
      <c r="P1639" s="89" t="s">
        <v>155</v>
      </c>
      <c r="Q1639" s="107">
        <v>0</v>
      </c>
      <c r="R1639" s="107">
        <v>0</v>
      </c>
      <c r="S1639" s="107">
        <v>0</v>
      </c>
      <c r="T1639" s="107">
        <v>0</v>
      </c>
      <c r="U1639" s="107"/>
      <c r="V1639" s="107"/>
      <c r="W1639" s="107"/>
      <c r="X1639" s="107"/>
      <c r="Y1639" s="107"/>
      <c r="Z1639" s="107"/>
      <c r="AA1639" s="107"/>
      <c r="AB1639" s="107"/>
      <c r="AC1639" s="355"/>
      <c r="AD1639" s="355"/>
      <c r="AE1639" s="355"/>
      <c r="AF1639" s="94">
        <f t="shared" si="220"/>
        <v>43069</v>
      </c>
      <c r="AG1639" s="185">
        <f t="shared" si="225"/>
        <v>5.6958694144570998E-5</v>
      </c>
      <c r="AH1639" s="339" t="str">
        <f>VLOOKUP(B1639,'MF PF'!A:B,2)</f>
        <v>FdMgt1</v>
      </c>
      <c r="AI1639" s="358">
        <f t="shared" si="221"/>
        <v>0</v>
      </c>
      <c r="AJ1639" s="94">
        <f t="shared" si="222"/>
        <v>43069</v>
      </c>
    </row>
    <row r="1640" spans="1:36" ht="12.75" customHeight="1">
      <c r="A1640" s="94">
        <v>43098</v>
      </c>
      <c r="B1640" s="94" t="s">
        <v>136</v>
      </c>
      <c r="C1640" s="358" t="s">
        <v>340</v>
      </c>
      <c r="D1640" s="374">
        <v>6076200</v>
      </c>
      <c r="E1640" s="9" t="e">
        <f t="shared" si="223"/>
        <v>#DIV/0!</v>
      </c>
      <c r="F1640" s="98">
        <v>6</v>
      </c>
      <c r="G1640" s="98">
        <v>0</v>
      </c>
      <c r="H1640" s="98">
        <v>0</v>
      </c>
      <c r="I1640" s="98">
        <v>0</v>
      </c>
      <c r="J1640" s="98"/>
      <c r="L1640" s="93">
        <f t="shared" si="218"/>
        <v>0</v>
      </c>
      <c r="M1640" s="95" t="e">
        <f t="shared" ca="1" si="219"/>
        <v>#DIV/0!</v>
      </c>
      <c r="N1640" s="95">
        <f>IF(P1640="Hedge Fund",IF(A1640=Summary!$AD$3,M1640-E1640,M1640),IF(A1640=Summary!$AD$3,L1640-D1640,L1640))</f>
        <v>0</v>
      </c>
      <c r="O1640" s="95">
        <f t="shared" si="224"/>
        <v>0</v>
      </c>
      <c r="P1640" s="89" t="s">
        <v>155</v>
      </c>
      <c r="Q1640" s="107">
        <v>0</v>
      </c>
      <c r="R1640" s="107">
        <v>0</v>
      </c>
      <c r="S1640" s="107">
        <v>0</v>
      </c>
      <c r="T1640" s="107">
        <v>0</v>
      </c>
      <c r="U1640" s="107"/>
      <c r="V1640" s="107"/>
      <c r="W1640" s="107"/>
      <c r="X1640" s="107"/>
      <c r="Y1640" s="107"/>
      <c r="Z1640" s="107"/>
      <c r="AA1640" s="107"/>
      <c r="AB1640" s="107"/>
      <c r="AC1640" s="355"/>
      <c r="AD1640" s="355"/>
      <c r="AE1640" s="355"/>
      <c r="AF1640" s="94">
        <f t="shared" si="220"/>
        <v>43098</v>
      </c>
      <c r="AG1640" s="185">
        <f t="shared" si="225"/>
        <v>8.03630802991675E-2</v>
      </c>
      <c r="AH1640" s="339" t="str">
        <f>VLOOKUP(B1640,'MF PF'!A:B,2)</f>
        <v>FdMgt1</v>
      </c>
      <c r="AI1640" s="358">
        <f t="shared" si="221"/>
        <v>0</v>
      </c>
      <c r="AJ1640" s="94">
        <f t="shared" si="222"/>
        <v>43100</v>
      </c>
    </row>
    <row r="1641" spans="1:36" ht="12.75" customHeight="1">
      <c r="A1641" s="94">
        <v>43131</v>
      </c>
      <c r="B1641" s="94" t="s">
        <v>136</v>
      </c>
      <c r="C1641" s="358" t="s">
        <v>340</v>
      </c>
      <c r="D1641" s="374">
        <v>6238100</v>
      </c>
      <c r="E1641" s="9" t="e">
        <f t="shared" si="223"/>
        <v>#DIV/0!</v>
      </c>
      <c r="F1641" s="98">
        <v>6</v>
      </c>
      <c r="G1641" s="98">
        <v>0</v>
      </c>
      <c r="H1641" s="98">
        <v>0</v>
      </c>
      <c r="I1641" s="98">
        <v>0</v>
      </c>
      <c r="J1641" s="98"/>
      <c r="L1641" s="93">
        <f t="shared" si="218"/>
        <v>0</v>
      </c>
      <c r="M1641" s="95" t="e">
        <f t="shared" ca="1" si="219"/>
        <v>#DIV/0!</v>
      </c>
      <c r="N1641" s="95">
        <f>IF(P1641="Hedge Fund",IF(A1641=Summary!$AD$3,M1641-E1641,M1641),IF(A1641=Summary!$AD$3,L1641-D1641,L1641))</f>
        <v>0</v>
      </c>
      <c r="O1641" s="95">
        <f t="shared" si="224"/>
        <v>0</v>
      </c>
      <c r="P1641" s="89" t="s">
        <v>155</v>
      </c>
      <c r="Q1641" s="107">
        <v>0</v>
      </c>
      <c r="R1641" s="107">
        <v>0</v>
      </c>
      <c r="S1641" s="107">
        <v>0</v>
      </c>
      <c r="T1641" s="107">
        <v>0</v>
      </c>
      <c r="U1641" s="107"/>
      <c r="V1641" s="107"/>
      <c r="W1641" s="107"/>
      <c r="X1641" s="107"/>
      <c r="Y1641" s="107"/>
      <c r="Z1641" s="107"/>
      <c r="AA1641" s="107"/>
      <c r="AB1641" s="107"/>
      <c r="AC1641" s="355"/>
      <c r="AD1641" s="355"/>
      <c r="AE1641" s="355"/>
      <c r="AF1641" s="94">
        <f t="shared" si="220"/>
        <v>43131</v>
      </c>
      <c r="AG1641" s="185">
        <f t="shared" si="225"/>
        <v>2.6644942562785934E-2</v>
      </c>
      <c r="AH1641" s="339" t="str">
        <f>VLOOKUP(B1641,'MF PF'!A:B,2)</f>
        <v>FdMgt1</v>
      </c>
      <c r="AI1641" s="358">
        <f t="shared" si="221"/>
        <v>0</v>
      </c>
      <c r="AJ1641" s="94">
        <f t="shared" si="222"/>
        <v>43131</v>
      </c>
    </row>
    <row r="1642" spans="1:36" ht="12.75" customHeight="1">
      <c r="A1642" s="94">
        <v>43159</v>
      </c>
      <c r="B1642" s="94" t="s">
        <v>136</v>
      </c>
      <c r="C1642" s="358" t="s">
        <v>340</v>
      </c>
      <c r="D1642" s="374">
        <v>6263410.5499999998</v>
      </c>
      <c r="E1642" s="9" t="e">
        <f t="shared" si="223"/>
        <v>#DIV/0!</v>
      </c>
      <c r="F1642" s="98">
        <v>6</v>
      </c>
      <c r="G1642" s="98">
        <v>0</v>
      </c>
      <c r="H1642" s="98">
        <v>0</v>
      </c>
      <c r="I1642" s="98">
        <v>0</v>
      </c>
      <c r="J1642" s="98"/>
      <c r="L1642" s="93">
        <f t="shared" si="218"/>
        <v>0</v>
      </c>
      <c r="M1642" s="95" t="e">
        <f t="shared" ca="1" si="219"/>
        <v>#DIV/0!</v>
      </c>
      <c r="N1642" s="95">
        <f>IF(P1642="Hedge Fund",IF(A1642=Summary!$AD$3,M1642-E1642,M1642),IF(A1642=Summary!$AD$3,L1642-D1642,L1642))</f>
        <v>0</v>
      </c>
      <c r="O1642" s="95">
        <f t="shared" si="224"/>
        <v>0</v>
      </c>
      <c r="P1642" s="89" t="s">
        <v>155</v>
      </c>
      <c r="Q1642" s="107">
        <v>0</v>
      </c>
      <c r="R1642" s="107">
        <v>0</v>
      </c>
      <c r="S1642" s="107">
        <v>0</v>
      </c>
      <c r="T1642" s="107">
        <v>0</v>
      </c>
      <c r="U1642" s="107"/>
      <c r="V1642" s="107"/>
      <c r="W1642" s="107"/>
      <c r="X1642" s="107"/>
      <c r="Y1642" s="107"/>
      <c r="Z1642" s="107"/>
      <c r="AA1642" s="107"/>
      <c r="AB1642" s="107"/>
      <c r="AC1642" s="355"/>
      <c r="AD1642" s="355"/>
      <c r="AE1642" s="355"/>
      <c r="AF1642" s="94">
        <f t="shared" si="220"/>
        <v>43159</v>
      </c>
      <c r="AG1642" s="185">
        <f t="shared" si="225"/>
        <v>4.0574133149515745E-3</v>
      </c>
      <c r="AH1642" s="339" t="str">
        <f>VLOOKUP(B1642,'MF PF'!A:B,2)</f>
        <v>FdMgt1</v>
      </c>
      <c r="AI1642" s="358">
        <f t="shared" si="221"/>
        <v>0</v>
      </c>
      <c r="AJ1642" s="94">
        <f t="shared" si="222"/>
        <v>43159</v>
      </c>
    </row>
    <row r="1643" spans="1:36" ht="12.75" customHeight="1">
      <c r="A1643" s="94">
        <v>43188</v>
      </c>
      <c r="B1643" s="94" t="s">
        <v>136</v>
      </c>
      <c r="C1643" s="358" t="s">
        <v>340</v>
      </c>
      <c r="D1643" s="374">
        <v>6320186.6885000002</v>
      </c>
      <c r="E1643" s="9" t="e">
        <f t="shared" si="223"/>
        <v>#DIV/0!</v>
      </c>
      <c r="F1643" s="98">
        <v>6</v>
      </c>
      <c r="G1643" s="98">
        <v>0</v>
      </c>
      <c r="H1643" s="98">
        <v>0</v>
      </c>
      <c r="I1643" s="98">
        <v>0</v>
      </c>
      <c r="J1643" s="98"/>
      <c r="L1643" s="93">
        <f t="shared" si="218"/>
        <v>0</v>
      </c>
      <c r="M1643" s="95" t="e">
        <f t="shared" ca="1" si="219"/>
        <v>#DIV/0!</v>
      </c>
      <c r="N1643" s="95">
        <f>IF(P1643="Hedge Fund",IF(A1643=Summary!$AD$3,M1643-E1643,M1643),IF(A1643=Summary!$AD$3,L1643-D1643,L1643))</f>
        <v>0</v>
      </c>
      <c r="O1643" s="95">
        <f t="shared" si="224"/>
        <v>0</v>
      </c>
      <c r="P1643" s="89" t="s">
        <v>155</v>
      </c>
      <c r="Q1643" s="109">
        <v>2.432769720614671E-2</v>
      </c>
      <c r="R1643" s="109">
        <v>0.23297412149999991</v>
      </c>
      <c r="S1643" s="107">
        <v>0</v>
      </c>
      <c r="T1643" s="107">
        <v>0</v>
      </c>
      <c r="U1643" s="107"/>
      <c r="V1643" s="107"/>
      <c r="W1643" s="107"/>
      <c r="X1643" s="107"/>
      <c r="Y1643" s="107"/>
      <c r="Z1643" s="107"/>
      <c r="AA1643" s="107"/>
      <c r="AB1643" s="107"/>
      <c r="AC1643" s="355"/>
      <c r="AD1643" s="355"/>
      <c r="AE1643" s="355"/>
      <c r="AF1643" s="94">
        <f t="shared" si="220"/>
        <v>43188</v>
      </c>
      <c r="AG1643" s="185">
        <f t="shared" si="225"/>
        <v>9.0647320731673808E-3</v>
      </c>
      <c r="AH1643" s="339" t="str">
        <f>VLOOKUP(B1643,'MF PF'!A:B,2)</f>
        <v>FdMgt1</v>
      </c>
      <c r="AI1643" s="358">
        <f t="shared" si="221"/>
        <v>0</v>
      </c>
      <c r="AJ1643" s="94">
        <f t="shared" si="222"/>
        <v>43190</v>
      </c>
    </row>
    <row r="1644" spans="1:36" ht="12.75" customHeight="1">
      <c r="A1644" s="94">
        <v>43220</v>
      </c>
      <c r="B1644" s="94" t="s">
        <v>136</v>
      </c>
      <c r="C1644" s="358" t="s">
        <v>340</v>
      </c>
      <c r="D1644" s="374">
        <v>6360068.6035000002</v>
      </c>
      <c r="E1644" s="9" t="e">
        <f t="shared" si="223"/>
        <v>#DIV/0!</v>
      </c>
      <c r="F1644" s="98">
        <v>6</v>
      </c>
      <c r="G1644" s="98">
        <v>0</v>
      </c>
      <c r="H1644" s="98">
        <v>0</v>
      </c>
      <c r="I1644" s="98">
        <v>0</v>
      </c>
      <c r="J1644" s="98"/>
      <c r="K1644" s="93"/>
      <c r="L1644" s="93">
        <f t="shared" si="218"/>
        <v>0</v>
      </c>
      <c r="M1644" s="95" t="e">
        <f t="shared" ca="1" si="219"/>
        <v>#DIV/0!</v>
      </c>
      <c r="N1644" s="95">
        <f>IF(P1644="Hedge Fund",IF(A1644=Summary!$AD$3,M1644-E1644,M1644),IF(A1644=Summary!$AD$3,L1644-D1644,L1644))</f>
        <v>0</v>
      </c>
      <c r="O1644" s="95">
        <f t="shared" si="224"/>
        <v>0</v>
      </c>
      <c r="P1644" s="89" t="s">
        <v>155</v>
      </c>
      <c r="Q1644" s="109">
        <v>0</v>
      </c>
      <c r="R1644" s="109">
        <v>0.24001211</v>
      </c>
      <c r="S1644" s="107">
        <v>0</v>
      </c>
      <c r="T1644" s="107">
        <v>0</v>
      </c>
      <c r="U1644" s="107"/>
      <c r="V1644" s="107"/>
      <c r="W1644" s="107"/>
      <c r="X1644" s="107"/>
      <c r="Y1644" s="107"/>
      <c r="Z1644" s="107"/>
      <c r="AA1644" s="107"/>
      <c r="AB1644" s="107"/>
      <c r="AC1644" s="355"/>
      <c r="AD1644" s="355"/>
      <c r="AE1644" s="355"/>
      <c r="AF1644" s="94">
        <f t="shared" si="220"/>
        <v>43220</v>
      </c>
      <c r="AG1644" s="185">
        <f t="shared" si="225"/>
        <v>6.3102431883170773E-3</v>
      </c>
      <c r="AH1644" s="339" t="str">
        <f>VLOOKUP(B1644,'MF PF'!A:B,2)</f>
        <v>FdMgt1</v>
      </c>
      <c r="AI1644" s="358">
        <f t="shared" si="221"/>
        <v>0</v>
      </c>
      <c r="AJ1644" s="94">
        <f t="shared" si="222"/>
        <v>43220</v>
      </c>
    </row>
    <row r="1645" spans="1:36" ht="12.75" customHeight="1">
      <c r="A1645" s="94">
        <v>43251</v>
      </c>
      <c r="B1645" s="358" t="s">
        <v>136</v>
      </c>
      <c r="C1645" s="94" t="s">
        <v>340</v>
      </c>
      <c r="D1645" s="374">
        <v>6401262.4000000004</v>
      </c>
      <c r="E1645" s="9" t="e">
        <f t="shared" si="223"/>
        <v>#DIV/0!</v>
      </c>
      <c r="F1645" s="98">
        <v>6</v>
      </c>
      <c r="G1645" s="98">
        <v>0</v>
      </c>
      <c r="H1645" s="98">
        <v>0</v>
      </c>
      <c r="I1645" s="110">
        <v>0</v>
      </c>
      <c r="J1645" s="110"/>
      <c r="K1645" s="93"/>
      <c r="L1645" s="93">
        <f t="shared" si="218"/>
        <v>0</v>
      </c>
      <c r="M1645" s="95" t="e">
        <f t="shared" ca="1" si="219"/>
        <v>#DIV/0!</v>
      </c>
      <c r="N1645" s="95">
        <f>IF(P1645="Hedge Fund",IF(A1645=Summary!$AD$3,M1645-E1645,M1645),IF(A1645=Summary!$AD$3,L1645-D1645,L1645))</f>
        <v>0</v>
      </c>
      <c r="O1645" s="95">
        <f t="shared" si="224"/>
        <v>0</v>
      </c>
      <c r="P1645" s="89" t="s">
        <v>155</v>
      </c>
      <c r="Q1645" s="109">
        <v>0</v>
      </c>
      <c r="R1645" s="109">
        <v>0.24728159999999999</v>
      </c>
      <c r="S1645" s="107">
        <v>0</v>
      </c>
      <c r="T1645" s="107">
        <v>0</v>
      </c>
      <c r="U1645" s="107"/>
      <c r="V1645" s="107"/>
      <c r="W1645" s="107"/>
      <c r="X1645" s="107"/>
      <c r="Y1645" s="107"/>
      <c r="Z1645" s="107"/>
      <c r="AA1645" s="107"/>
      <c r="AB1645" s="107"/>
      <c r="AC1645" s="355"/>
      <c r="AD1645" s="355"/>
      <c r="AE1645" s="355"/>
      <c r="AF1645" s="94">
        <f t="shared" si="220"/>
        <v>43251</v>
      </c>
      <c r="AG1645" s="185">
        <f t="shared" si="225"/>
        <v>6.4769421633803503E-3</v>
      </c>
      <c r="AH1645" s="339" t="str">
        <f>VLOOKUP(B1645,'MF PF'!A:B,2)</f>
        <v>FdMgt1</v>
      </c>
      <c r="AI1645" s="358">
        <f t="shared" si="221"/>
        <v>0</v>
      </c>
      <c r="AJ1645" s="94">
        <f t="shared" si="222"/>
        <v>43251</v>
      </c>
    </row>
    <row r="1646" spans="1:36" ht="12.75" customHeight="1">
      <c r="A1646" s="94">
        <v>43280</v>
      </c>
      <c r="B1646" s="358" t="s">
        <v>136</v>
      </c>
      <c r="C1646" s="94" t="s">
        <v>340</v>
      </c>
      <c r="D1646" s="374">
        <v>6389661.2769999998</v>
      </c>
      <c r="E1646" s="9" t="e">
        <f t="shared" si="223"/>
        <v>#DIV/0!</v>
      </c>
      <c r="F1646" s="98">
        <v>6</v>
      </c>
      <c r="G1646" s="98">
        <v>0</v>
      </c>
      <c r="H1646" s="98">
        <v>0</v>
      </c>
      <c r="I1646" s="110">
        <v>0</v>
      </c>
      <c r="J1646" s="110"/>
      <c r="K1646" s="93"/>
      <c r="L1646" s="93">
        <f t="shared" si="218"/>
        <v>0</v>
      </c>
      <c r="M1646" s="95" t="e">
        <f t="shared" ca="1" si="219"/>
        <v>#DIV/0!</v>
      </c>
      <c r="N1646" s="95">
        <f>IF(P1646="Hedge Fund",IF(A1646=Summary!$AD$3,M1646-E1646,M1646),IF(A1646=Summary!$AD$3,L1646-D1646,L1646))</f>
        <v>0</v>
      </c>
      <c r="O1646" s="95">
        <f t="shared" si="224"/>
        <v>0</v>
      </c>
      <c r="P1646" s="89" t="s">
        <v>155</v>
      </c>
      <c r="Q1646" s="109">
        <v>2.5180560000000001E-2</v>
      </c>
      <c r="R1646" s="109">
        <v>0.24523434</v>
      </c>
      <c r="S1646" s="107">
        <v>0</v>
      </c>
      <c r="T1646" s="107">
        <v>0</v>
      </c>
      <c r="U1646" s="107"/>
      <c r="V1646" s="107"/>
      <c r="W1646" s="107"/>
      <c r="X1646" s="107"/>
      <c r="Y1646" s="107"/>
      <c r="Z1646" s="107"/>
      <c r="AA1646" s="107"/>
      <c r="AB1646" s="107"/>
      <c r="AC1646" s="355"/>
      <c r="AD1646" s="355"/>
      <c r="AE1646" s="355"/>
      <c r="AF1646" s="94">
        <f t="shared" si="220"/>
        <v>43280</v>
      </c>
      <c r="AG1646" s="185">
        <f t="shared" si="225"/>
        <v>-1.8123179890268126E-3</v>
      </c>
      <c r="AH1646" s="339" t="str">
        <f>VLOOKUP(B1646,'MF PF'!A:B,2)</f>
        <v>FdMgt1</v>
      </c>
      <c r="AI1646" s="358">
        <f t="shared" si="221"/>
        <v>0</v>
      </c>
      <c r="AJ1646" s="94">
        <f t="shared" si="222"/>
        <v>43281</v>
      </c>
    </row>
    <row r="1647" spans="1:36" ht="12.75" customHeight="1">
      <c r="A1647" s="94">
        <v>43312</v>
      </c>
      <c r="B1647" s="358" t="s">
        <v>136</v>
      </c>
      <c r="C1647" s="94" t="s">
        <v>340</v>
      </c>
      <c r="D1647" s="374">
        <v>6414307.1885000002</v>
      </c>
      <c r="E1647" s="9" t="str">
        <f>IF(K1647="","",D1647/K1647)</f>
        <v/>
      </c>
      <c r="F1647" s="98">
        <v>6</v>
      </c>
      <c r="G1647" s="98">
        <v>0</v>
      </c>
      <c r="H1647" s="98">
        <v>0</v>
      </c>
      <c r="I1647" s="98">
        <v>0</v>
      </c>
      <c r="J1647" s="98"/>
      <c r="K1647" s="93"/>
      <c r="L1647" s="93">
        <f t="shared" si="218"/>
        <v>0</v>
      </c>
      <c r="M1647" s="95" t="e">
        <f t="shared" ca="1" si="219"/>
        <v>#DIV/0!</v>
      </c>
      <c r="N1647" s="95">
        <f>IF(P1647="Hedge Fund",IF(A1647=Summary!$AD$3,M1647-E1647,M1647),IF(A1647=Summary!$AD$3,L1647-D1647,L1647))</f>
        <v>0</v>
      </c>
      <c r="O1647" s="95">
        <f t="shared" si="224"/>
        <v>0</v>
      </c>
      <c r="P1647" s="89" t="s">
        <v>155</v>
      </c>
      <c r="Q1647" s="107">
        <v>0</v>
      </c>
      <c r="R1647" s="109">
        <v>0.24958362149999991</v>
      </c>
      <c r="S1647" s="107">
        <v>0</v>
      </c>
      <c r="T1647" s="107">
        <v>0</v>
      </c>
      <c r="U1647" s="107"/>
      <c r="V1647" s="107"/>
      <c r="W1647" s="107"/>
      <c r="X1647" s="107"/>
      <c r="Y1647" s="107"/>
      <c r="Z1647" s="107"/>
      <c r="AA1647" s="107"/>
      <c r="AB1647" s="107"/>
      <c r="AC1647" s="355"/>
      <c r="AD1647" s="355"/>
      <c r="AE1647" s="355"/>
      <c r="AF1647" s="94">
        <f t="shared" si="220"/>
        <v>43312</v>
      </c>
      <c r="AG1647" s="185">
        <f t="shared" si="225"/>
        <v>3.8571546176813243E-3</v>
      </c>
      <c r="AH1647" s="339" t="str">
        <f>VLOOKUP(B1647,'MF PF'!A:B,2)</f>
        <v>FdMgt1</v>
      </c>
      <c r="AI1647" s="358">
        <f t="shared" si="221"/>
        <v>0</v>
      </c>
      <c r="AJ1647" s="94">
        <f t="shared" si="222"/>
        <v>43312</v>
      </c>
    </row>
    <row r="1648" spans="1:36" ht="12.75" customHeight="1">
      <c r="A1648" s="94">
        <v>43343</v>
      </c>
      <c r="B1648" s="358" t="s">
        <v>136</v>
      </c>
      <c r="C1648" s="94" t="s">
        <v>340</v>
      </c>
      <c r="D1648" s="374">
        <v>6398331.0475000003</v>
      </c>
      <c r="E1648" s="9" t="str">
        <f>IF(K1648="","",D1648/K1648)</f>
        <v/>
      </c>
      <c r="F1648" s="98">
        <v>6</v>
      </c>
      <c r="G1648" s="98">
        <v>0</v>
      </c>
      <c r="H1648" s="98">
        <v>0</v>
      </c>
      <c r="I1648" s="98">
        <v>0</v>
      </c>
      <c r="J1648" s="98"/>
      <c r="L1648" s="93">
        <f t="shared" si="218"/>
        <v>0</v>
      </c>
      <c r="M1648" s="95" t="e">
        <f t="shared" ca="1" si="219"/>
        <v>#DIV/0!</v>
      </c>
      <c r="N1648" s="95">
        <f>IF(P1648="Hedge Fund",IF(A1648=Summary!$AD$3,M1648-E1648,M1648),IF(A1648=Summary!$AD$3,L1648-D1648,L1648))</f>
        <v>0</v>
      </c>
      <c r="O1648" s="95">
        <f t="shared" si="224"/>
        <v>0</v>
      </c>
      <c r="P1648" s="89" t="s">
        <v>155</v>
      </c>
      <c r="Q1648" s="107">
        <v>0</v>
      </c>
      <c r="R1648" s="109">
        <v>0.24676430249999992</v>
      </c>
      <c r="S1648" s="107">
        <v>0</v>
      </c>
      <c r="T1648" s="107">
        <v>0</v>
      </c>
      <c r="U1648" s="107"/>
      <c r="V1648" s="107"/>
      <c r="W1648" s="107"/>
      <c r="X1648" s="107"/>
      <c r="Y1648" s="107"/>
      <c r="Z1648" s="107"/>
      <c r="AA1648" s="107"/>
      <c r="AB1648" s="107"/>
      <c r="AC1648" s="355"/>
      <c r="AD1648" s="355"/>
      <c r="AE1648" s="355"/>
      <c r="AF1648" s="94">
        <f t="shared" si="220"/>
        <v>43343</v>
      </c>
      <c r="AG1648" s="185">
        <f t="shared" si="225"/>
        <v>-2.4907040667841995E-3</v>
      </c>
      <c r="AH1648" s="339" t="str">
        <f>VLOOKUP(B1648,'MF PF'!A:B,2)</f>
        <v>FdMgt1</v>
      </c>
      <c r="AI1648" s="358">
        <f t="shared" si="221"/>
        <v>0</v>
      </c>
      <c r="AJ1648" s="94">
        <f t="shared" si="222"/>
        <v>43343</v>
      </c>
    </row>
    <row r="1649" spans="1:36" ht="12.75" customHeight="1">
      <c r="A1649" s="94">
        <v>43371</v>
      </c>
      <c r="B1649" s="358" t="s">
        <v>136</v>
      </c>
      <c r="C1649" s="358" t="s">
        <v>340</v>
      </c>
      <c r="D1649" s="374">
        <f>6542666.148-257683.86</f>
        <v>6284982.2879999997</v>
      </c>
      <c r="E1649" s="95"/>
      <c r="F1649" s="105">
        <v>5</v>
      </c>
      <c r="G1649" s="93">
        <v>0</v>
      </c>
      <c r="H1649" s="93">
        <v>0</v>
      </c>
      <c r="I1649" s="93">
        <v>0</v>
      </c>
      <c r="K1649" s="7">
        <v>0</v>
      </c>
      <c r="L1649" s="93">
        <f t="shared" si="218"/>
        <v>0</v>
      </c>
      <c r="M1649" s="95" t="e">
        <f t="shared" ca="1" si="219"/>
        <v>#DIV/0!</v>
      </c>
      <c r="N1649" s="95">
        <f>IF(P1649="Hedge Fund",IF(A1649=Summary!$AD$3,M1649-E1649,M1649),IF(A1649=Summary!$AD$3,L1649-D1649,L1649))</f>
        <v>0</v>
      </c>
      <c r="O1649" s="95">
        <f t="shared" si="224"/>
        <v>0</v>
      </c>
      <c r="P1649" s="95" t="s">
        <v>155</v>
      </c>
      <c r="Q1649" s="353">
        <v>2.4435499999999999E-2</v>
      </c>
      <c r="R1649" s="353">
        <v>0.22676157999999999</v>
      </c>
      <c r="S1649" s="95"/>
      <c r="T1649" s="95"/>
      <c r="U1649" s="95"/>
      <c r="V1649" s="95"/>
      <c r="W1649" s="95"/>
      <c r="X1649" s="95"/>
      <c r="Y1649" s="95"/>
      <c r="Z1649" s="95"/>
      <c r="AA1649" s="95"/>
      <c r="AB1649" s="95"/>
      <c r="AC1649" s="355"/>
      <c r="AD1649" s="355"/>
      <c r="AE1649" s="355"/>
      <c r="AF1649" s="94">
        <f t="shared" si="220"/>
        <v>43371</v>
      </c>
      <c r="AG1649" s="185">
        <f t="shared" si="225"/>
        <v>-1.7715363374999016E-2</v>
      </c>
      <c r="AH1649" s="339" t="str">
        <f>VLOOKUP(B1649,'MF PF'!A:B,2)</f>
        <v>FdMgt1</v>
      </c>
      <c r="AI1649" s="358">
        <f t="shared" si="221"/>
        <v>0</v>
      </c>
      <c r="AJ1649" s="94">
        <f t="shared" si="222"/>
        <v>43373</v>
      </c>
    </row>
    <row r="1650" spans="1:36" ht="12.75" customHeight="1">
      <c r="A1650" s="94">
        <v>43404</v>
      </c>
      <c r="B1650" s="358" t="s">
        <v>136</v>
      </c>
      <c r="C1650" s="358" t="s">
        <v>340</v>
      </c>
      <c r="D1650" s="374">
        <v>6241653.8399999999</v>
      </c>
      <c r="E1650" s="95"/>
      <c r="F1650" s="105">
        <v>5</v>
      </c>
      <c r="G1650" s="93">
        <v>0</v>
      </c>
      <c r="H1650" s="93">
        <v>0</v>
      </c>
      <c r="I1650" s="93">
        <v>0</v>
      </c>
      <c r="K1650" s="7">
        <v>0</v>
      </c>
      <c r="L1650" s="93">
        <f t="shared" si="218"/>
        <v>0</v>
      </c>
      <c r="M1650" s="95" t="e">
        <f t="shared" ca="1" si="219"/>
        <v>#DIV/0!</v>
      </c>
      <c r="N1650" s="95">
        <f>IF(P1650="Hedge Fund",IF(A1650=Summary!$AD$3,M1650-E1650,M1650),IF(A1650=Summary!$AD$3,L1650-D1650,L1650))</f>
        <v>0</v>
      </c>
      <c r="O1650" s="95">
        <f t="shared" si="224"/>
        <v>0</v>
      </c>
      <c r="P1650" s="95" t="s">
        <v>155</v>
      </c>
      <c r="Q1650" s="353">
        <v>8.7737600000000002E-3</v>
      </c>
      <c r="R1650" s="353">
        <v>0.21911538</v>
      </c>
      <c r="S1650" s="95"/>
      <c r="T1650" s="95"/>
      <c r="U1650" s="95"/>
      <c r="V1650" s="95"/>
      <c r="W1650" s="95"/>
      <c r="X1650" s="95"/>
      <c r="Y1650" s="95"/>
      <c r="Z1650" s="95"/>
      <c r="AA1650" s="95"/>
      <c r="AB1650" s="95"/>
      <c r="AC1650" s="355"/>
      <c r="AD1650" s="355"/>
      <c r="AE1650" s="355"/>
      <c r="AF1650" s="94">
        <f t="shared" si="220"/>
        <v>43404</v>
      </c>
      <c r="AG1650" s="185">
        <f t="shared" si="225"/>
        <v>-6.8939650128732044E-3</v>
      </c>
      <c r="AH1650" s="339" t="str">
        <f>VLOOKUP(B1650,'MF PF'!A:B,2)</f>
        <v>FdMgt1</v>
      </c>
      <c r="AI1650" s="358">
        <f t="shared" si="221"/>
        <v>0</v>
      </c>
      <c r="AJ1650" s="94">
        <f t="shared" si="222"/>
        <v>43404</v>
      </c>
    </row>
    <row r="1651" spans="1:36" ht="12.75" customHeight="1">
      <c r="A1651" s="94">
        <v>43434</v>
      </c>
      <c r="B1651" s="358" t="s">
        <v>136</v>
      </c>
      <c r="C1651" s="358" t="s">
        <v>340</v>
      </c>
      <c r="D1651" s="374">
        <v>6263889.7604999999</v>
      </c>
      <c r="F1651" s="105">
        <v>5</v>
      </c>
      <c r="G1651" s="93">
        <v>0</v>
      </c>
      <c r="H1651" s="93">
        <v>0</v>
      </c>
      <c r="I1651" s="93">
        <v>0</v>
      </c>
      <c r="K1651" s="7">
        <v>0</v>
      </c>
      <c r="L1651" s="93">
        <f t="shared" si="218"/>
        <v>0</v>
      </c>
      <c r="M1651" s="95" t="e">
        <f t="shared" ca="1" si="219"/>
        <v>#DIV/0!</v>
      </c>
      <c r="N1651" s="95">
        <f>IF(P1651="Hedge Fund",IF(A1651=Summary!$AD$3,M1651-E1651,M1651),IF(A1651=Summary!$AD$3,L1651-D1651,L1651))</f>
        <v>0</v>
      </c>
      <c r="O1651" s="95">
        <f t="shared" si="224"/>
        <v>0</v>
      </c>
      <c r="P1651" s="95" t="s">
        <v>155</v>
      </c>
      <c r="Q1651" s="95">
        <v>1.6838521733986832E-2</v>
      </c>
      <c r="R1651" s="95">
        <v>0.22303936949999997</v>
      </c>
      <c r="S1651" s="95"/>
      <c r="T1651" s="95"/>
      <c r="U1651" s="95"/>
      <c r="V1651" s="95"/>
      <c r="W1651" s="95"/>
      <c r="X1651" s="95"/>
      <c r="Y1651" s="95"/>
      <c r="Z1651" s="95"/>
      <c r="AA1651" s="95"/>
      <c r="AB1651" s="95"/>
      <c r="AC1651" s="355"/>
      <c r="AD1651" s="355"/>
      <c r="AE1651" s="355"/>
      <c r="AF1651" s="94">
        <f t="shared" si="220"/>
        <v>43434</v>
      </c>
      <c r="AG1651" s="185">
        <f t="shared" si="225"/>
        <v>3.562504597339311E-3</v>
      </c>
      <c r="AH1651" s="339" t="str">
        <f>VLOOKUP(B1651,'MF PF'!A:B,2)</f>
        <v>FdMgt1</v>
      </c>
      <c r="AI1651" s="358">
        <f t="shared" si="221"/>
        <v>0</v>
      </c>
      <c r="AJ1651" s="94">
        <f t="shared" si="222"/>
        <v>43434</v>
      </c>
    </row>
    <row r="1652" spans="1:36" ht="12.75" customHeight="1">
      <c r="A1652" s="94">
        <v>43452</v>
      </c>
      <c r="B1652" s="358" t="s">
        <v>136</v>
      </c>
      <c r="C1652" s="358" t="s">
        <v>340</v>
      </c>
      <c r="D1652" s="93"/>
      <c r="F1652" s="93"/>
      <c r="G1652" s="93"/>
      <c r="H1652" s="93"/>
      <c r="I1652" s="93">
        <v>0</v>
      </c>
      <c r="L1652" s="93">
        <f t="shared" si="218"/>
        <v>0</v>
      </c>
      <c r="M1652" s="95" t="e">
        <f t="shared" ca="1" si="219"/>
        <v>#DIV/0!</v>
      </c>
      <c r="N1652" s="95">
        <f>IF(P1652="Hedge Fund",IF(A1652=Summary!$AD$3,M1652-E1652,M1652),IF(A1652=Summary!$AD$3,L1652-D1652,L1652))</f>
        <v>0</v>
      </c>
      <c r="O1652" s="95">
        <f t="shared" si="224"/>
        <v>0</v>
      </c>
      <c r="P1652" s="95" t="s">
        <v>155</v>
      </c>
      <c r="Q1652" s="95"/>
      <c r="R1652" s="95"/>
      <c r="S1652" s="95"/>
      <c r="T1652" s="95"/>
      <c r="U1652" s="95"/>
      <c r="V1652" s="95"/>
      <c r="W1652" s="95"/>
      <c r="X1652" s="95"/>
      <c r="Y1652" s="95"/>
      <c r="Z1652" s="95"/>
      <c r="AA1652" s="95"/>
      <c r="AB1652" s="95"/>
      <c r="AC1652" s="355"/>
      <c r="AD1652" s="355"/>
      <c r="AE1652" s="355"/>
      <c r="AF1652" s="94">
        <f t="shared" si="220"/>
        <v>43452</v>
      </c>
      <c r="AG1652" s="185">
        <f t="shared" si="225"/>
        <v>-1</v>
      </c>
      <c r="AH1652" s="339" t="str">
        <f>VLOOKUP(B1652,'MF PF'!A:B,2)</f>
        <v>FdMgt1</v>
      </c>
      <c r="AI1652" s="358">
        <f t="shared" si="221"/>
        <v>0</v>
      </c>
      <c r="AJ1652" s="94">
        <f t="shared" si="222"/>
        <v>43465</v>
      </c>
    </row>
    <row r="1653" spans="1:36" ht="12.75" customHeight="1">
      <c r="A1653" s="94">
        <v>43465</v>
      </c>
      <c r="B1653" s="358" t="s">
        <v>136</v>
      </c>
      <c r="C1653" s="358" t="s">
        <v>340</v>
      </c>
      <c r="D1653" s="93">
        <v>6323832.7465000004</v>
      </c>
      <c r="F1653" s="93">
        <v>5</v>
      </c>
      <c r="G1653" s="93">
        <v>0</v>
      </c>
      <c r="H1653" s="93">
        <v>0</v>
      </c>
      <c r="I1653" s="93">
        <v>0</v>
      </c>
      <c r="K1653" s="7">
        <v>0</v>
      </c>
      <c r="L1653" s="93">
        <f t="shared" si="218"/>
        <v>0</v>
      </c>
      <c r="M1653" s="95" t="e">
        <f t="shared" ca="1" si="219"/>
        <v>#DIV/0!</v>
      </c>
      <c r="N1653" s="95">
        <f>IF(P1653="Hedge Fund",IF(A1653=Summary!$AD$3,M1653-E1653,M1653),IF(A1653=Summary!$AD$3,L1653-D1653,L1653))</f>
        <v>0</v>
      </c>
      <c r="O1653" s="95">
        <f t="shared" si="224"/>
        <v>0</v>
      </c>
      <c r="P1653" s="95" t="s">
        <v>155</v>
      </c>
      <c r="Q1653" s="95">
        <v>2.5429755775398914E-2</v>
      </c>
      <c r="R1653" s="95">
        <v>0.2336175435</v>
      </c>
      <c r="S1653" s="95"/>
      <c r="T1653" s="95"/>
      <c r="U1653" s="95"/>
      <c r="V1653" s="95"/>
      <c r="W1653" s="95"/>
      <c r="X1653" s="95"/>
      <c r="Y1653" s="95"/>
      <c r="Z1653" s="95"/>
      <c r="AA1653" s="95"/>
      <c r="AB1653" s="95"/>
      <c r="AC1653" s="355"/>
      <c r="AD1653" s="355"/>
      <c r="AE1653" s="355"/>
      <c r="AF1653" s="94">
        <f t="shared" si="220"/>
        <v>43465</v>
      </c>
      <c r="AG1653" s="185" t="e">
        <f t="shared" si="225"/>
        <v>#DIV/0!</v>
      </c>
      <c r="AH1653" s="339" t="str">
        <f>VLOOKUP(B1653,'MF PF'!A:B,2)</f>
        <v>FdMgt1</v>
      </c>
      <c r="AI1653" s="358">
        <f t="shared" si="221"/>
        <v>0</v>
      </c>
      <c r="AJ1653" s="94">
        <f t="shared" si="222"/>
        <v>43465</v>
      </c>
    </row>
    <row r="1654" spans="1:36" ht="12.75" customHeight="1">
      <c r="A1654" s="94">
        <v>43487</v>
      </c>
      <c r="B1654" s="358" t="s">
        <v>136</v>
      </c>
      <c r="C1654" s="358" t="s">
        <v>340</v>
      </c>
      <c r="D1654" s="93"/>
      <c r="F1654" s="93"/>
      <c r="G1654" s="93"/>
      <c r="H1654" s="93"/>
      <c r="I1654" s="93"/>
      <c r="K1654" s="93"/>
      <c r="L1654" s="93">
        <f t="shared" si="218"/>
        <v>0</v>
      </c>
      <c r="M1654" s="95" t="e">
        <f t="shared" ca="1" si="219"/>
        <v>#DIV/0!</v>
      </c>
      <c r="N1654" s="95">
        <f>IF(P1654="Hedge Fund",IF(A1654=Summary!$AD$3,M1654-E1654,M1654),IF(A1654=Summary!$AD$3,L1654-D1654,L1654))</f>
        <v>0</v>
      </c>
      <c r="O1654" s="95">
        <f t="shared" si="224"/>
        <v>0</v>
      </c>
      <c r="P1654" s="95" t="s">
        <v>155</v>
      </c>
      <c r="Q1654" s="95"/>
      <c r="R1654" s="95"/>
      <c r="S1654" s="95"/>
      <c r="T1654" s="95"/>
      <c r="U1654" s="95"/>
      <c r="V1654" s="95"/>
      <c r="W1654" s="95"/>
      <c r="X1654" s="95"/>
      <c r="Y1654" s="95"/>
      <c r="Z1654" s="95"/>
      <c r="AA1654" s="95"/>
      <c r="AB1654" s="95"/>
      <c r="AC1654" s="355"/>
      <c r="AD1654" s="355"/>
      <c r="AE1654" s="355"/>
      <c r="AF1654" s="94">
        <f t="shared" si="220"/>
        <v>43487</v>
      </c>
      <c r="AG1654" s="185">
        <f t="shared" si="225"/>
        <v>-1</v>
      </c>
      <c r="AH1654" s="339" t="str">
        <f>VLOOKUP(B1654,'MF PF'!A:B,2)</f>
        <v>FdMgt1</v>
      </c>
      <c r="AI1654" s="358">
        <f t="shared" si="221"/>
        <v>0</v>
      </c>
      <c r="AJ1654" s="94">
        <f t="shared" si="222"/>
        <v>43496</v>
      </c>
    </row>
    <row r="1655" spans="1:36" ht="12.75" customHeight="1">
      <c r="A1655" s="94">
        <v>43496</v>
      </c>
      <c r="B1655" s="358" t="s">
        <v>136</v>
      </c>
      <c r="C1655" s="358" t="s">
        <v>340</v>
      </c>
      <c r="D1655" s="93">
        <v>6392510.2050000001</v>
      </c>
      <c r="F1655" s="93">
        <v>5</v>
      </c>
      <c r="G1655" s="93">
        <v>0</v>
      </c>
      <c r="H1655" s="93">
        <v>0</v>
      </c>
      <c r="I1655" s="93">
        <v>0</v>
      </c>
      <c r="K1655" s="93">
        <v>0</v>
      </c>
      <c r="L1655" s="93">
        <f t="shared" si="218"/>
        <v>0</v>
      </c>
      <c r="M1655" s="95" t="e">
        <f t="shared" ca="1" si="219"/>
        <v>#DIV/0!</v>
      </c>
      <c r="N1655" s="95">
        <f>IF(P1655="Hedge Fund",IF(A1655=Summary!$AD$3,M1655-E1655,M1655),IF(A1655=Summary!$AD$3,L1655-D1655,L1655))</f>
        <v>-6392510.2050000001</v>
      </c>
      <c r="O1655" s="95">
        <f t="shared" si="224"/>
        <v>-6392510.2050000001</v>
      </c>
      <c r="P1655" s="95" t="s">
        <v>155</v>
      </c>
      <c r="Q1655" s="95">
        <v>8.4677328483821861E-3</v>
      </c>
      <c r="R1655" s="95">
        <v>0.24573709499999996</v>
      </c>
      <c r="S1655" s="95"/>
      <c r="T1655" s="95"/>
      <c r="U1655" s="95"/>
      <c r="V1655" s="95"/>
      <c r="W1655" s="95"/>
      <c r="X1655" s="95"/>
      <c r="Y1655" s="95"/>
      <c r="Z1655" s="95"/>
      <c r="AA1655" s="95"/>
      <c r="AB1655" s="95"/>
      <c r="AC1655" s="355"/>
      <c r="AD1655" s="355"/>
      <c r="AE1655" s="355"/>
      <c r="AF1655" s="94">
        <f t="shared" si="220"/>
        <v>43496</v>
      </c>
      <c r="AG1655" s="185" t="e">
        <f t="shared" si="225"/>
        <v>#DIV/0!</v>
      </c>
      <c r="AH1655" s="339" t="str">
        <f>VLOOKUP(B1655,'MF PF'!A:B,2)</f>
        <v>FdMgt1</v>
      </c>
      <c r="AI1655" s="358">
        <f t="shared" si="221"/>
        <v>0</v>
      </c>
      <c r="AJ1655" s="94">
        <f t="shared" si="222"/>
        <v>43496</v>
      </c>
    </row>
    <row r="1656" spans="1:36" ht="12.75" customHeight="1">
      <c r="A1656" s="94">
        <v>41639</v>
      </c>
      <c r="B1656" s="94" t="s">
        <v>136</v>
      </c>
      <c r="C1656" s="358" t="s">
        <v>320</v>
      </c>
      <c r="D1656" s="374">
        <v>6860</v>
      </c>
      <c r="E1656" s="9" t="e">
        <f t="shared" ref="E1656:E1687" si="226">D1656/K1656</f>
        <v>#DIV/0!</v>
      </c>
      <c r="F1656" s="98">
        <v>0.02</v>
      </c>
      <c r="G1656" s="98">
        <v>6860</v>
      </c>
      <c r="H1656" s="98">
        <v>0</v>
      </c>
      <c r="I1656" s="98">
        <v>0</v>
      </c>
      <c r="J1656" s="98"/>
      <c r="K1656" s="93"/>
      <c r="L1656" s="93">
        <f t="shared" si="218"/>
        <v>6860</v>
      </c>
      <c r="M1656" s="95" t="e">
        <f t="shared" ca="1" si="219"/>
        <v>#DIV/0!</v>
      </c>
      <c r="N1656" s="95">
        <f>IF(P1656="Hedge Fund",IF(A1656=Summary!$AD$3,M1656-E1656,M1656),IF(A1656=Summary!$AD$3,L1656-D1656,L1656))</f>
        <v>6860</v>
      </c>
      <c r="O1656" s="95">
        <f t="shared" si="224"/>
        <v>6860</v>
      </c>
      <c r="P1656" s="107" t="s">
        <v>155</v>
      </c>
      <c r="Q1656" s="107">
        <v>0</v>
      </c>
      <c r="R1656" s="107">
        <v>0</v>
      </c>
      <c r="S1656" s="107">
        <v>0</v>
      </c>
      <c r="T1656" s="107">
        <v>0</v>
      </c>
      <c r="U1656" s="107"/>
      <c r="V1656" s="107"/>
      <c r="W1656" s="107"/>
      <c r="X1656" s="107"/>
      <c r="Y1656" s="107"/>
      <c r="Z1656" s="107"/>
      <c r="AA1656" s="107"/>
      <c r="AB1656" s="107"/>
      <c r="AC1656" s="355"/>
      <c r="AD1656" s="355"/>
      <c r="AE1656" s="355"/>
      <c r="AF1656" s="94">
        <f t="shared" si="220"/>
        <v>41639</v>
      </c>
      <c r="AG1656" s="185">
        <f t="shared" si="225"/>
        <v>0</v>
      </c>
      <c r="AH1656" s="339" t="str">
        <f>VLOOKUP(B1656,'MF PF'!A:B,2)</f>
        <v>FdMgt1</v>
      </c>
      <c r="AI1656" s="358">
        <f t="shared" si="221"/>
        <v>0</v>
      </c>
      <c r="AJ1656" s="94">
        <f t="shared" si="222"/>
        <v>41639</v>
      </c>
    </row>
    <row r="1657" spans="1:36" s="92" customFormat="1" ht="12.75" customHeight="1">
      <c r="A1657" s="94">
        <v>41669</v>
      </c>
      <c r="B1657" s="94" t="s">
        <v>136</v>
      </c>
      <c r="C1657" s="358" t="s">
        <v>320</v>
      </c>
      <c r="D1657" s="374">
        <v>6840.53</v>
      </c>
      <c r="E1657" s="95" t="e">
        <f t="shared" si="226"/>
        <v>#DIV/0!</v>
      </c>
      <c r="F1657" s="98">
        <v>0.02</v>
      </c>
      <c r="G1657" s="98">
        <v>0</v>
      </c>
      <c r="H1657" s="98">
        <v>0</v>
      </c>
      <c r="I1657" s="98">
        <v>0</v>
      </c>
      <c r="J1657" s="98"/>
      <c r="K1657" s="93"/>
      <c r="L1657" s="93">
        <f t="shared" si="218"/>
        <v>0</v>
      </c>
      <c r="M1657" s="95" t="e">
        <f t="shared" ca="1" si="219"/>
        <v>#DIV/0!</v>
      </c>
      <c r="N1657" s="95">
        <f>IF(P1657="Hedge Fund",IF(A1657=Summary!$AD$3,M1657-E1657,M1657),IF(A1657=Summary!$AD$3,L1657-D1657,L1657))</f>
        <v>0</v>
      </c>
      <c r="O1657" s="95">
        <f t="shared" si="224"/>
        <v>0</v>
      </c>
      <c r="P1657" s="107" t="s">
        <v>155</v>
      </c>
      <c r="Q1657" s="107">
        <v>0</v>
      </c>
      <c r="R1657" s="107">
        <v>0</v>
      </c>
      <c r="S1657" s="107">
        <v>0</v>
      </c>
      <c r="T1657" s="107">
        <v>0</v>
      </c>
      <c r="U1657" s="107"/>
      <c r="V1657" s="107"/>
      <c r="W1657" s="107"/>
      <c r="X1657" s="107"/>
      <c r="Y1657" s="107"/>
      <c r="Z1657" s="107"/>
      <c r="AA1657" s="107"/>
      <c r="AB1657" s="107"/>
      <c r="AC1657" s="355"/>
      <c r="AD1657" s="355"/>
      <c r="AE1657" s="355"/>
      <c r="AF1657" s="94">
        <f t="shared" si="220"/>
        <v>41669</v>
      </c>
      <c r="AG1657" s="185">
        <f t="shared" si="225"/>
        <v>-2.8381924198250807E-3</v>
      </c>
      <c r="AH1657" s="339" t="str">
        <f>VLOOKUP(B1657,'MF PF'!A:B,2)</f>
        <v>FdMgt1</v>
      </c>
      <c r="AI1657" s="358">
        <f t="shared" si="221"/>
        <v>0</v>
      </c>
      <c r="AJ1657" s="94">
        <f t="shared" si="222"/>
        <v>41670</v>
      </c>
    </row>
    <row r="1658" spans="1:36" s="92" customFormat="1" ht="12.75" customHeight="1">
      <c r="A1658" s="94">
        <v>41698</v>
      </c>
      <c r="B1658" s="94" t="s">
        <v>136</v>
      </c>
      <c r="C1658" s="358" t="s">
        <v>320</v>
      </c>
      <c r="D1658" s="374">
        <v>6835.22</v>
      </c>
      <c r="E1658" s="95" t="e">
        <f t="shared" si="226"/>
        <v>#DIV/0!</v>
      </c>
      <c r="F1658" s="98">
        <v>0.02</v>
      </c>
      <c r="G1658" s="98">
        <v>0</v>
      </c>
      <c r="H1658" s="98">
        <v>0</v>
      </c>
      <c r="I1658" s="98">
        <v>0</v>
      </c>
      <c r="J1658" s="98"/>
      <c r="K1658" s="93"/>
      <c r="L1658" s="93">
        <f t="shared" si="218"/>
        <v>0</v>
      </c>
      <c r="M1658" s="95" t="e">
        <f t="shared" ca="1" si="219"/>
        <v>#DIV/0!</v>
      </c>
      <c r="N1658" s="95">
        <f>IF(P1658="Hedge Fund",IF(A1658=Summary!$AD$3,M1658-E1658,M1658),IF(A1658=Summary!$AD$3,L1658-D1658,L1658))</f>
        <v>0</v>
      </c>
      <c r="O1658" s="95">
        <f t="shared" si="224"/>
        <v>0</v>
      </c>
      <c r="P1658" s="107" t="s">
        <v>155</v>
      </c>
      <c r="Q1658" s="107">
        <v>0</v>
      </c>
      <c r="R1658" s="107">
        <v>0</v>
      </c>
      <c r="S1658" s="107">
        <v>0</v>
      </c>
      <c r="T1658" s="107">
        <v>0</v>
      </c>
      <c r="U1658" s="107"/>
      <c r="V1658" s="107"/>
      <c r="W1658" s="107"/>
      <c r="X1658" s="107"/>
      <c r="Y1658" s="107"/>
      <c r="Z1658" s="107"/>
      <c r="AA1658" s="107"/>
      <c r="AB1658" s="107"/>
      <c r="AC1658" s="355"/>
      <c r="AD1658" s="355"/>
      <c r="AE1658" s="355"/>
      <c r="AF1658" s="94">
        <f t="shared" si="220"/>
        <v>41698</v>
      </c>
      <c r="AG1658" s="185">
        <f t="shared" si="225"/>
        <v>-7.7625564101024835E-4</v>
      </c>
      <c r="AH1658" s="339" t="str">
        <f>VLOOKUP(B1658,'MF PF'!A:B,2)</f>
        <v>FdMgt1</v>
      </c>
      <c r="AI1658" s="358">
        <f t="shared" si="221"/>
        <v>0</v>
      </c>
      <c r="AJ1658" s="94">
        <f t="shared" si="222"/>
        <v>41698</v>
      </c>
    </row>
    <row r="1659" spans="1:36" ht="12.75" customHeight="1">
      <c r="A1659" s="94">
        <v>41729</v>
      </c>
      <c r="B1659" s="94" t="s">
        <v>136</v>
      </c>
      <c r="C1659" s="358" t="s">
        <v>320</v>
      </c>
      <c r="D1659" s="374">
        <v>6749.94</v>
      </c>
      <c r="E1659" s="9" t="e">
        <f t="shared" si="226"/>
        <v>#DIV/0!</v>
      </c>
      <c r="F1659" s="98">
        <v>0.02</v>
      </c>
      <c r="G1659" s="98">
        <v>0</v>
      </c>
      <c r="H1659" s="98">
        <v>0</v>
      </c>
      <c r="I1659" s="98">
        <v>0</v>
      </c>
      <c r="J1659" s="98"/>
      <c r="K1659" s="93"/>
      <c r="L1659" s="93">
        <f t="shared" si="218"/>
        <v>0</v>
      </c>
      <c r="M1659" s="95" t="e">
        <f t="shared" ca="1" si="219"/>
        <v>#DIV/0!</v>
      </c>
      <c r="N1659" s="95">
        <f>IF(P1659="Hedge Fund",IF(A1659=Summary!$AD$3,M1659-E1659,M1659),IF(A1659=Summary!$AD$3,L1659-D1659,L1659))</f>
        <v>0</v>
      </c>
      <c r="O1659" s="95">
        <f t="shared" si="224"/>
        <v>0</v>
      </c>
      <c r="P1659" s="107" t="s">
        <v>155</v>
      </c>
      <c r="Q1659" s="107">
        <v>0</v>
      </c>
      <c r="R1659" s="107">
        <v>0</v>
      </c>
      <c r="S1659" s="107">
        <v>0</v>
      </c>
      <c r="T1659" s="107">
        <v>0</v>
      </c>
      <c r="U1659" s="107"/>
      <c r="V1659" s="107"/>
      <c r="W1659" s="107"/>
      <c r="X1659" s="107"/>
      <c r="Y1659" s="107"/>
      <c r="Z1659" s="107"/>
      <c r="AA1659" s="107"/>
      <c r="AB1659" s="107"/>
      <c r="AC1659" s="355"/>
      <c r="AD1659" s="355"/>
      <c r="AE1659" s="355"/>
      <c r="AF1659" s="94">
        <f t="shared" si="220"/>
        <v>41729</v>
      </c>
      <c r="AG1659" s="185">
        <f t="shared" si="225"/>
        <v>-1.2476555253525201E-2</v>
      </c>
      <c r="AH1659" s="339" t="str">
        <f>VLOOKUP(B1659,'MF PF'!A:B,2)</f>
        <v>FdMgt1</v>
      </c>
      <c r="AI1659" s="358">
        <f t="shared" si="221"/>
        <v>0</v>
      </c>
      <c r="AJ1659" s="94">
        <f t="shared" si="222"/>
        <v>41729</v>
      </c>
    </row>
    <row r="1660" spans="1:36" ht="12.75" customHeight="1">
      <c r="A1660" s="94">
        <v>41759</v>
      </c>
      <c r="B1660" s="94" t="s">
        <v>136</v>
      </c>
      <c r="C1660" s="358" t="s">
        <v>320</v>
      </c>
      <c r="D1660" s="374">
        <v>6575.3055722311401</v>
      </c>
      <c r="E1660" s="9" t="e">
        <f t="shared" si="226"/>
        <v>#DIV/0!</v>
      </c>
      <c r="F1660" s="98">
        <v>0.02</v>
      </c>
      <c r="G1660" s="98">
        <v>0</v>
      </c>
      <c r="H1660" s="98">
        <v>0</v>
      </c>
      <c r="I1660" s="98">
        <v>0</v>
      </c>
      <c r="J1660" s="98"/>
      <c r="K1660" s="93"/>
      <c r="L1660" s="93">
        <f t="shared" si="218"/>
        <v>0</v>
      </c>
      <c r="M1660" s="95" t="e">
        <f t="shared" ca="1" si="219"/>
        <v>#DIV/0!</v>
      </c>
      <c r="N1660" s="95">
        <f>IF(P1660="Hedge Fund",IF(A1660=Summary!$AD$3,M1660-E1660,M1660),IF(A1660=Summary!$AD$3,L1660-D1660,L1660))</f>
        <v>0</v>
      </c>
      <c r="O1660" s="95">
        <f t="shared" si="224"/>
        <v>0</v>
      </c>
      <c r="P1660" s="107" t="s">
        <v>155</v>
      </c>
      <c r="Q1660" s="107">
        <v>0</v>
      </c>
      <c r="R1660" s="107">
        <v>0</v>
      </c>
      <c r="S1660" s="107">
        <v>0</v>
      </c>
      <c r="T1660" s="107">
        <v>0</v>
      </c>
      <c r="U1660" s="107"/>
      <c r="V1660" s="107"/>
      <c r="W1660" s="107"/>
      <c r="X1660" s="107"/>
      <c r="Y1660" s="107"/>
      <c r="Z1660" s="107"/>
      <c r="AA1660" s="107"/>
      <c r="AB1660" s="107"/>
      <c r="AC1660" s="355"/>
      <c r="AD1660" s="355"/>
      <c r="AE1660" s="355"/>
      <c r="AF1660" s="94">
        <f t="shared" si="220"/>
        <v>41759</v>
      </c>
      <c r="AG1660" s="185">
        <f t="shared" si="225"/>
        <v>-2.5871997050175177E-2</v>
      </c>
      <c r="AH1660" s="339" t="str">
        <f>VLOOKUP(B1660,'MF PF'!A:B,2)</f>
        <v>FdMgt1</v>
      </c>
      <c r="AI1660" s="358">
        <f t="shared" si="221"/>
        <v>0</v>
      </c>
      <c r="AJ1660" s="94">
        <f t="shared" si="222"/>
        <v>41759</v>
      </c>
    </row>
    <row r="1661" spans="1:36" ht="12.75" customHeight="1">
      <c r="A1661" s="94">
        <v>41789</v>
      </c>
      <c r="B1661" s="94" t="s">
        <v>136</v>
      </c>
      <c r="C1661" s="358" t="s">
        <v>320</v>
      </c>
      <c r="D1661" s="374">
        <v>6501.3379899084402</v>
      </c>
      <c r="E1661" s="9" t="e">
        <f t="shared" si="226"/>
        <v>#DIV/0!</v>
      </c>
      <c r="F1661" s="98">
        <v>0.02</v>
      </c>
      <c r="G1661" s="98">
        <v>0</v>
      </c>
      <c r="H1661" s="98">
        <v>0</v>
      </c>
      <c r="I1661" s="98">
        <v>0</v>
      </c>
      <c r="J1661" s="98"/>
      <c r="K1661" s="93"/>
      <c r="L1661" s="93">
        <f t="shared" si="218"/>
        <v>0</v>
      </c>
      <c r="M1661" s="95" t="e">
        <f t="shared" ca="1" si="219"/>
        <v>#DIV/0!</v>
      </c>
      <c r="N1661" s="95">
        <f>IF(P1661="Hedge Fund",IF(A1661=Summary!$AD$3,M1661-E1661,M1661),IF(A1661=Summary!$AD$3,L1661-D1661,L1661))</f>
        <v>0</v>
      </c>
      <c r="O1661" s="95">
        <f t="shared" si="224"/>
        <v>0</v>
      </c>
      <c r="P1661" s="107" t="s">
        <v>155</v>
      </c>
      <c r="Q1661" s="107">
        <v>0</v>
      </c>
      <c r="R1661" s="107">
        <v>0</v>
      </c>
      <c r="S1661" s="107">
        <v>0</v>
      </c>
      <c r="T1661" s="107">
        <v>0</v>
      </c>
      <c r="U1661" s="107"/>
      <c r="V1661" s="107"/>
      <c r="W1661" s="107"/>
      <c r="X1661" s="107"/>
      <c r="Y1661" s="107"/>
      <c r="Z1661" s="107"/>
      <c r="AA1661" s="107"/>
      <c r="AB1661" s="107"/>
      <c r="AC1661" s="355"/>
      <c r="AD1661" s="355"/>
      <c r="AE1661" s="355"/>
      <c r="AF1661" s="94">
        <f t="shared" si="220"/>
        <v>41789</v>
      </c>
      <c r="AG1661" s="185">
        <f t="shared" si="225"/>
        <v>-1.1249299596824858E-2</v>
      </c>
      <c r="AH1661" s="339" t="str">
        <f>VLOOKUP(B1661,'MF PF'!A:B,2)</f>
        <v>FdMgt1</v>
      </c>
      <c r="AI1661" s="358">
        <f t="shared" si="221"/>
        <v>0</v>
      </c>
      <c r="AJ1661" s="94">
        <f t="shared" si="222"/>
        <v>41790</v>
      </c>
    </row>
    <row r="1662" spans="1:36" ht="12.75" customHeight="1">
      <c r="A1662" s="94">
        <v>41820</v>
      </c>
      <c r="B1662" s="94" t="s">
        <v>136</v>
      </c>
      <c r="C1662" s="358" t="s">
        <v>320</v>
      </c>
      <c r="D1662" s="374">
        <v>6495.03</v>
      </c>
      <c r="E1662" s="9" t="e">
        <f t="shared" si="226"/>
        <v>#DIV/0!</v>
      </c>
      <c r="F1662" s="98">
        <v>0.02</v>
      </c>
      <c r="G1662" s="98">
        <v>0</v>
      </c>
      <c r="H1662" s="98">
        <v>0</v>
      </c>
      <c r="I1662" s="98">
        <v>0</v>
      </c>
      <c r="J1662" s="98"/>
      <c r="K1662" s="93"/>
      <c r="L1662" s="93">
        <f t="shared" si="218"/>
        <v>0</v>
      </c>
      <c r="M1662" s="95" t="e">
        <f t="shared" ca="1" si="219"/>
        <v>#DIV/0!</v>
      </c>
      <c r="N1662" s="95">
        <f>IF(P1662="Hedge Fund",IF(A1662=Summary!$AD$3,M1662-E1662,M1662),IF(A1662=Summary!$AD$3,L1662-D1662,L1662))</f>
        <v>0</v>
      </c>
      <c r="O1662" s="95">
        <f t="shared" si="224"/>
        <v>0</v>
      </c>
      <c r="P1662" s="107" t="s">
        <v>155</v>
      </c>
      <c r="Q1662" s="107">
        <v>0</v>
      </c>
      <c r="R1662" s="107">
        <v>0</v>
      </c>
      <c r="S1662" s="107">
        <v>0</v>
      </c>
      <c r="T1662" s="107">
        <v>0</v>
      </c>
      <c r="U1662" s="107"/>
      <c r="V1662" s="107"/>
      <c r="W1662" s="107"/>
      <c r="X1662" s="107"/>
      <c r="Y1662" s="107"/>
      <c r="Z1662" s="107"/>
      <c r="AA1662" s="107"/>
      <c r="AB1662" s="107"/>
      <c r="AC1662" s="355"/>
      <c r="AD1662" s="355"/>
      <c r="AE1662" s="355"/>
      <c r="AF1662" s="94">
        <f t="shared" si="220"/>
        <v>41820</v>
      </c>
      <c r="AG1662" s="185">
        <f t="shared" si="225"/>
        <v>-9.7026026307689417E-4</v>
      </c>
      <c r="AH1662" s="339" t="str">
        <f>VLOOKUP(B1662,'MF PF'!A:B,2)</f>
        <v>FdMgt1</v>
      </c>
      <c r="AI1662" s="358">
        <f t="shared" si="221"/>
        <v>0</v>
      </c>
      <c r="AJ1662" s="94">
        <f t="shared" si="222"/>
        <v>41820</v>
      </c>
    </row>
    <row r="1663" spans="1:36" ht="12.75" customHeight="1">
      <c r="A1663" s="94">
        <v>41851</v>
      </c>
      <c r="B1663" s="94" t="s">
        <v>136</v>
      </c>
      <c r="C1663" s="358" t="s">
        <v>320</v>
      </c>
      <c r="D1663" s="374">
        <v>6603.5</v>
      </c>
      <c r="E1663" s="95" t="e">
        <f t="shared" si="226"/>
        <v>#DIV/0!</v>
      </c>
      <c r="F1663" s="98">
        <v>0.02</v>
      </c>
      <c r="G1663" s="98">
        <v>0</v>
      </c>
      <c r="H1663" s="98">
        <v>0</v>
      </c>
      <c r="I1663" s="98">
        <v>0</v>
      </c>
      <c r="J1663" s="98"/>
      <c r="K1663" s="93"/>
      <c r="L1663" s="93">
        <f t="shared" si="218"/>
        <v>0</v>
      </c>
      <c r="M1663" s="95" t="e">
        <f t="shared" ca="1" si="219"/>
        <v>#DIV/0!</v>
      </c>
      <c r="N1663" s="95">
        <f>IF(P1663="Hedge Fund",IF(A1663=Summary!$AD$3,M1663-E1663,M1663),IF(A1663=Summary!$AD$3,L1663-D1663,L1663))</f>
        <v>0</v>
      </c>
      <c r="O1663" s="95">
        <f t="shared" si="224"/>
        <v>0</v>
      </c>
      <c r="P1663" s="107" t="s">
        <v>155</v>
      </c>
      <c r="Q1663" s="107">
        <v>0</v>
      </c>
      <c r="R1663" s="107">
        <v>0</v>
      </c>
      <c r="S1663" s="107">
        <v>0</v>
      </c>
      <c r="T1663" s="107">
        <v>0</v>
      </c>
      <c r="U1663" s="107"/>
      <c r="V1663" s="107"/>
      <c r="W1663" s="107"/>
      <c r="X1663" s="107"/>
      <c r="Y1663" s="107"/>
      <c r="Z1663" s="107"/>
      <c r="AA1663" s="107"/>
      <c r="AB1663" s="107"/>
      <c r="AC1663" s="355"/>
      <c r="AD1663" s="355"/>
      <c r="AE1663" s="355"/>
      <c r="AF1663" s="94">
        <f t="shared" si="220"/>
        <v>41851</v>
      </c>
      <c r="AG1663" s="185">
        <f t="shared" si="225"/>
        <v>1.6700461737667149E-2</v>
      </c>
      <c r="AH1663" s="339" t="str">
        <f>VLOOKUP(B1663,'MF PF'!A:B,2)</f>
        <v>FdMgt1</v>
      </c>
      <c r="AI1663" s="358">
        <f t="shared" si="221"/>
        <v>0</v>
      </c>
      <c r="AJ1663" s="94">
        <f t="shared" si="222"/>
        <v>41851</v>
      </c>
    </row>
    <row r="1664" spans="1:36" ht="12.75" customHeight="1">
      <c r="A1664" s="94">
        <v>41880</v>
      </c>
      <c r="B1664" s="94" t="s">
        <v>136</v>
      </c>
      <c r="C1664" s="358" t="s">
        <v>320</v>
      </c>
      <c r="D1664" s="374">
        <v>11218.91</v>
      </c>
      <c r="E1664" s="9" t="e">
        <f t="shared" si="226"/>
        <v>#DIV/0!</v>
      </c>
      <c r="F1664" s="98">
        <v>0.02</v>
      </c>
      <c r="G1664" s="98">
        <v>4460</v>
      </c>
      <c r="H1664" s="98">
        <v>0</v>
      </c>
      <c r="I1664" s="98">
        <v>0</v>
      </c>
      <c r="J1664" s="98"/>
      <c r="K1664" s="93"/>
      <c r="L1664" s="93">
        <f t="shared" si="218"/>
        <v>4460</v>
      </c>
      <c r="M1664" s="95" t="e">
        <f t="shared" ca="1" si="219"/>
        <v>#DIV/0!</v>
      </c>
      <c r="N1664" s="95">
        <f>IF(P1664="Hedge Fund",IF(A1664=Summary!$AD$3,M1664-E1664,M1664),IF(A1664=Summary!$AD$3,L1664-D1664,L1664))</f>
        <v>4460</v>
      </c>
      <c r="O1664" s="95">
        <f t="shared" si="224"/>
        <v>4460</v>
      </c>
      <c r="P1664" s="89" t="s">
        <v>155</v>
      </c>
      <c r="Q1664" s="107">
        <v>0</v>
      </c>
      <c r="R1664" s="107">
        <v>0</v>
      </c>
      <c r="S1664" s="107">
        <v>0</v>
      </c>
      <c r="T1664" s="107">
        <v>0</v>
      </c>
      <c r="U1664" s="107"/>
      <c r="V1664" s="107"/>
      <c r="W1664" s="107"/>
      <c r="X1664" s="107"/>
      <c r="Y1664" s="107"/>
      <c r="Z1664" s="107"/>
      <c r="AA1664" s="107"/>
      <c r="AB1664" s="107"/>
      <c r="AC1664" s="355"/>
      <c r="AD1664" s="355"/>
      <c r="AE1664" s="355"/>
      <c r="AF1664" s="94">
        <f t="shared" si="220"/>
        <v>41880</v>
      </c>
      <c r="AG1664" s="185">
        <f t="shared" si="225"/>
        <v>2.3534489285984783E-2</v>
      </c>
      <c r="AH1664" s="339" t="str">
        <f>VLOOKUP(B1664,'MF PF'!A:B,2)</f>
        <v>FdMgt1</v>
      </c>
      <c r="AI1664" s="358">
        <f t="shared" si="221"/>
        <v>0</v>
      </c>
      <c r="AJ1664" s="94">
        <f t="shared" si="222"/>
        <v>41882</v>
      </c>
    </row>
    <row r="1665" spans="1:36" ht="12.75" customHeight="1">
      <c r="A1665" s="94">
        <v>41912</v>
      </c>
      <c r="B1665" s="94" t="s">
        <v>136</v>
      </c>
      <c r="C1665" s="358" t="s">
        <v>320</v>
      </c>
      <c r="D1665" s="374">
        <v>10873.42</v>
      </c>
      <c r="E1665" s="9" t="e">
        <f t="shared" si="226"/>
        <v>#DIV/0!</v>
      </c>
      <c r="F1665" s="98">
        <v>0.02</v>
      </c>
      <c r="G1665" s="98">
        <v>0</v>
      </c>
      <c r="H1665" s="98">
        <v>0</v>
      </c>
      <c r="I1665" s="98">
        <v>0</v>
      </c>
      <c r="J1665" s="98"/>
      <c r="L1665" s="93">
        <f t="shared" si="218"/>
        <v>0</v>
      </c>
      <c r="M1665" s="95" t="e">
        <f t="shared" ca="1" si="219"/>
        <v>#DIV/0!</v>
      </c>
      <c r="N1665" s="95">
        <f>IF(P1665="Hedge Fund",IF(A1665=Summary!$AD$3,M1665-E1665,M1665),IF(A1665=Summary!$AD$3,L1665-D1665,L1665))</f>
        <v>0</v>
      </c>
      <c r="O1665" s="95">
        <f t="shared" si="224"/>
        <v>0</v>
      </c>
      <c r="P1665" s="107" t="s">
        <v>155</v>
      </c>
      <c r="Q1665" s="107">
        <v>0</v>
      </c>
      <c r="R1665" s="107">
        <v>0</v>
      </c>
      <c r="S1665" s="107">
        <v>0</v>
      </c>
      <c r="T1665" s="107">
        <v>0</v>
      </c>
      <c r="U1665" s="107"/>
      <c r="V1665" s="107"/>
      <c r="W1665" s="107"/>
      <c r="X1665" s="107"/>
      <c r="Y1665" s="107"/>
      <c r="Z1665" s="107"/>
      <c r="AA1665" s="107"/>
      <c r="AB1665" s="107"/>
      <c r="AC1665" s="355"/>
      <c r="AD1665" s="355"/>
      <c r="AE1665" s="355"/>
      <c r="AF1665" s="94">
        <f t="shared" si="220"/>
        <v>41912</v>
      </c>
      <c r="AG1665" s="185">
        <f t="shared" si="225"/>
        <v>-3.0795326818737312E-2</v>
      </c>
      <c r="AH1665" s="339" t="str">
        <f>VLOOKUP(B1665,'MF PF'!A:B,2)</f>
        <v>FdMgt1</v>
      </c>
      <c r="AI1665" s="358">
        <f t="shared" si="221"/>
        <v>0</v>
      </c>
      <c r="AJ1665" s="94">
        <f t="shared" si="222"/>
        <v>41912</v>
      </c>
    </row>
    <row r="1666" spans="1:36" ht="12.75" customHeight="1">
      <c r="A1666" s="94">
        <v>41943</v>
      </c>
      <c r="B1666" s="94" t="s">
        <v>136</v>
      </c>
      <c r="C1666" s="358" t="s">
        <v>320</v>
      </c>
      <c r="D1666" s="374">
        <v>14128.13</v>
      </c>
      <c r="E1666" s="9" t="e">
        <f t="shared" si="226"/>
        <v>#DIV/0!</v>
      </c>
      <c r="F1666" s="98">
        <v>0.02</v>
      </c>
      <c r="G1666" s="98">
        <v>3380</v>
      </c>
      <c r="H1666" s="98">
        <v>0</v>
      </c>
      <c r="I1666" s="98">
        <v>0</v>
      </c>
      <c r="J1666" s="98"/>
      <c r="L1666" s="93">
        <f t="shared" si="218"/>
        <v>3380</v>
      </c>
      <c r="M1666" s="95" t="e">
        <f t="shared" ca="1" si="219"/>
        <v>#DIV/0!</v>
      </c>
      <c r="N1666" s="95">
        <f>IF(P1666="Hedge Fund",IF(A1666=Summary!$AD$3,M1666-E1666,M1666),IF(A1666=Summary!$AD$3,L1666-D1666,L1666))</f>
        <v>3380</v>
      </c>
      <c r="O1666" s="95">
        <f t="shared" si="224"/>
        <v>3380</v>
      </c>
      <c r="P1666" s="107" t="s">
        <v>155</v>
      </c>
      <c r="Q1666" s="107">
        <v>0</v>
      </c>
      <c r="R1666" s="107">
        <v>0</v>
      </c>
      <c r="S1666" s="107">
        <v>0</v>
      </c>
      <c r="T1666" s="107">
        <v>0</v>
      </c>
      <c r="U1666" s="107"/>
      <c r="V1666" s="107"/>
      <c r="W1666" s="107"/>
      <c r="X1666" s="107"/>
      <c r="Y1666" s="107"/>
      <c r="Z1666" s="107"/>
      <c r="AA1666" s="107"/>
      <c r="AB1666" s="107"/>
      <c r="AC1666" s="355"/>
      <c r="AD1666" s="355"/>
      <c r="AE1666" s="355"/>
      <c r="AF1666" s="94">
        <f t="shared" si="220"/>
        <v>41943</v>
      </c>
      <c r="AG1666" s="185">
        <f t="shared" si="225"/>
        <v>-1.1522593627396049E-2</v>
      </c>
      <c r="AH1666" s="339" t="str">
        <f>VLOOKUP(B1666,'MF PF'!A:B,2)</f>
        <v>FdMgt1</v>
      </c>
      <c r="AI1666" s="358">
        <f t="shared" si="221"/>
        <v>0</v>
      </c>
      <c r="AJ1666" s="94">
        <f t="shared" si="222"/>
        <v>41943</v>
      </c>
    </row>
    <row r="1667" spans="1:36" ht="12.75" customHeight="1">
      <c r="A1667" s="94">
        <v>41971</v>
      </c>
      <c r="B1667" s="94" t="s">
        <v>136</v>
      </c>
      <c r="C1667" s="358" t="s">
        <v>320</v>
      </c>
      <c r="D1667" s="374">
        <v>14253.05</v>
      </c>
      <c r="E1667" s="9" t="e">
        <f t="shared" si="226"/>
        <v>#DIV/0!</v>
      </c>
      <c r="F1667" s="98">
        <v>0.02</v>
      </c>
      <c r="G1667" s="98">
        <v>0</v>
      </c>
      <c r="H1667" s="98">
        <v>0</v>
      </c>
      <c r="I1667" s="98">
        <v>0</v>
      </c>
      <c r="J1667" s="98"/>
      <c r="K1667" s="93"/>
      <c r="L1667" s="93">
        <f t="shared" ref="L1667:L1730" si="227">G1667+H1667+I1667</f>
        <v>0</v>
      </c>
      <c r="M1667" s="95" t="e">
        <f t="shared" ref="M1667:M1730" ca="1" si="228">IF(A1667&gt;INDIRECT("A"&amp;ROW()-1),I1667/K1667,E1667)</f>
        <v>#DIV/0!</v>
      </c>
      <c r="N1667" s="95">
        <f>IF(P1667="Hedge Fund",IF(A1667=Summary!$AD$3,M1667-E1667,M1667),IF(A1667=Summary!$AD$3,L1667-D1667,L1667))</f>
        <v>0</v>
      </c>
      <c r="O1667" s="95">
        <f t="shared" si="224"/>
        <v>0</v>
      </c>
      <c r="P1667" s="89" t="s">
        <v>155</v>
      </c>
      <c r="Q1667" s="107">
        <v>0</v>
      </c>
      <c r="R1667" s="107">
        <v>0</v>
      </c>
      <c r="S1667" s="107">
        <v>0</v>
      </c>
      <c r="T1667" s="107">
        <v>0</v>
      </c>
      <c r="U1667" s="107"/>
      <c r="V1667" s="107"/>
      <c r="W1667" s="107"/>
      <c r="X1667" s="107"/>
      <c r="Y1667" s="107"/>
      <c r="Z1667" s="107"/>
      <c r="AA1667" s="107"/>
      <c r="AB1667" s="107"/>
      <c r="AC1667" s="355"/>
      <c r="AD1667" s="355"/>
      <c r="AE1667" s="355"/>
      <c r="AF1667" s="94">
        <f t="shared" ref="AF1667:AF1730" si="229">A1667</f>
        <v>41971</v>
      </c>
      <c r="AG1667" s="185">
        <f t="shared" si="225"/>
        <v>8.8419344952233025E-3</v>
      </c>
      <c r="AH1667" s="339" t="str">
        <f>VLOOKUP(B1667,'MF PF'!A:B,2)</f>
        <v>FdMgt1</v>
      </c>
      <c r="AI1667" s="358">
        <f t="shared" ref="AI1667:AI1730" si="230">AF1667-A1667</f>
        <v>0</v>
      </c>
      <c r="AJ1667" s="94">
        <f t="shared" ref="AJ1667:AJ1730" si="231">EOMONTH(A1667,0)</f>
        <v>41973</v>
      </c>
    </row>
    <row r="1668" spans="1:36" ht="12.75" customHeight="1">
      <c r="A1668" s="94">
        <v>42004</v>
      </c>
      <c r="B1668" s="94" t="s">
        <v>136</v>
      </c>
      <c r="C1668" s="358" t="s">
        <v>320</v>
      </c>
      <c r="D1668" s="374">
        <v>14163.07</v>
      </c>
      <c r="E1668" s="95" t="e">
        <f t="shared" si="226"/>
        <v>#DIV/0!</v>
      </c>
      <c r="F1668" s="98">
        <v>0.02</v>
      </c>
      <c r="G1668" s="98">
        <v>0</v>
      </c>
      <c r="H1668" s="98">
        <v>0</v>
      </c>
      <c r="I1668" s="98">
        <v>0</v>
      </c>
      <c r="J1668" s="98"/>
      <c r="K1668" s="93"/>
      <c r="L1668" s="93">
        <f t="shared" si="227"/>
        <v>0</v>
      </c>
      <c r="M1668" s="95" t="e">
        <f t="shared" ca="1" si="228"/>
        <v>#DIV/0!</v>
      </c>
      <c r="N1668" s="95">
        <f>IF(P1668="Hedge Fund",IF(A1668=Summary!$AD$3,M1668-E1668,M1668),IF(A1668=Summary!$AD$3,L1668-D1668,L1668))</f>
        <v>0</v>
      </c>
      <c r="O1668" s="95">
        <f t="shared" si="224"/>
        <v>0</v>
      </c>
      <c r="P1668" s="89" t="s">
        <v>155</v>
      </c>
      <c r="Q1668" s="107">
        <v>0</v>
      </c>
      <c r="R1668" s="107">
        <v>0</v>
      </c>
      <c r="S1668" s="107">
        <v>0</v>
      </c>
      <c r="T1668" s="107">
        <v>0</v>
      </c>
      <c r="U1668" s="107"/>
      <c r="V1668" s="107"/>
      <c r="W1668" s="107"/>
      <c r="X1668" s="107"/>
      <c r="Y1668" s="107"/>
      <c r="Z1668" s="107"/>
      <c r="AA1668" s="107"/>
      <c r="AB1668" s="107"/>
      <c r="AC1668" s="355"/>
      <c r="AD1668" s="355"/>
      <c r="AE1668" s="355"/>
      <c r="AF1668" s="94">
        <f t="shared" si="229"/>
        <v>42004</v>
      </c>
      <c r="AG1668" s="185">
        <f t="shared" si="225"/>
        <v>-6.3130347539649412E-3</v>
      </c>
      <c r="AH1668" s="339" t="str">
        <f>VLOOKUP(B1668,'MF PF'!A:B,2)</f>
        <v>FdMgt1</v>
      </c>
      <c r="AI1668" s="358">
        <f t="shared" si="230"/>
        <v>0</v>
      </c>
      <c r="AJ1668" s="94">
        <f t="shared" si="231"/>
        <v>42004</v>
      </c>
    </row>
    <row r="1669" spans="1:36" ht="12.75" customHeight="1">
      <c r="A1669" s="94">
        <v>42034</v>
      </c>
      <c r="B1669" s="94" t="s">
        <v>136</v>
      </c>
      <c r="C1669" s="358" t="s">
        <v>320</v>
      </c>
      <c r="D1669" s="374">
        <v>16972.490000000002</v>
      </c>
      <c r="E1669" s="9" t="e">
        <f t="shared" si="226"/>
        <v>#DIV/0!</v>
      </c>
      <c r="F1669" s="98">
        <v>0.02</v>
      </c>
      <c r="G1669" s="98">
        <v>2320</v>
      </c>
      <c r="H1669" s="98">
        <v>0</v>
      </c>
      <c r="I1669" s="98">
        <v>0</v>
      </c>
      <c r="J1669" s="98"/>
      <c r="K1669" s="93"/>
      <c r="L1669" s="93">
        <f t="shared" si="227"/>
        <v>2320</v>
      </c>
      <c r="M1669" s="95" t="e">
        <f t="shared" ca="1" si="228"/>
        <v>#DIV/0!</v>
      </c>
      <c r="N1669" s="95">
        <f>IF(P1669="Hedge Fund",IF(A1669=Summary!$AD$3,M1669-E1669,M1669),IF(A1669=Summary!$AD$3,L1669-D1669,L1669))</f>
        <v>2320</v>
      </c>
      <c r="O1669" s="95">
        <f t="shared" si="224"/>
        <v>2320</v>
      </c>
      <c r="P1669" s="89" t="s">
        <v>155</v>
      </c>
      <c r="Q1669" s="107">
        <v>0</v>
      </c>
      <c r="R1669" s="107">
        <v>0</v>
      </c>
      <c r="S1669" s="107">
        <v>0</v>
      </c>
      <c r="T1669" s="107">
        <v>0</v>
      </c>
      <c r="U1669" s="107"/>
      <c r="V1669" s="107"/>
      <c r="W1669" s="107"/>
      <c r="X1669" s="107"/>
      <c r="Y1669" s="107"/>
      <c r="Z1669" s="107"/>
      <c r="AA1669" s="107"/>
      <c r="AB1669" s="107"/>
      <c r="AC1669" s="355"/>
      <c r="AD1669" s="355"/>
      <c r="AE1669" s="355"/>
      <c r="AF1669" s="94">
        <f t="shared" si="229"/>
        <v>42034</v>
      </c>
      <c r="AG1669" s="185">
        <f t="shared" si="225"/>
        <v>3.4556067293320059E-2</v>
      </c>
      <c r="AH1669" s="339" t="str">
        <f>VLOOKUP(B1669,'MF PF'!A:B,2)</f>
        <v>FdMgt1</v>
      </c>
      <c r="AI1669" s="358">
        <f t="shared" si="230"/>
        <v>0</v>
      </c>
      <c r="AJ1669" s="94">
        <f t="shared" si="231"/>
        <v>42035</v>
      </c>
    </row>
    <row r="1670" spans="1:36" s="92" customFormat="1" ht="12.75" customHeight="1">
      <c r="A1670" s="94">
        <v>42062</v>
      </c>
      <c r="B1670" s="94" t="s">
        <v>136</v>
      </c>
      <c r="C1670" s="358" t="s">
        <v>320</v>
      </c>
      <c r="D1670" s="374">
        <v>17384.689999999999</v>
      </c>
      <c r="E1670" s="95" t="e">
        <f t="shared" si="226"/>
        <v>#DIV/0!</v>
      </c>
      <c r="F1670" s="98">
        <v>0.02</v>
      </c>
      <c r="G1670" s="98">
        <v>280</v>
      </c>
      <c r="H1670" s="98">
        <v>0</v>
      </c>
      <c r="I1670" s="98">
        <v>0</v>
      </c>
      <c r="J1670" s="98"/>
      <c r="K1670" s="93"/>
      <c r="L1670" s="93">
        <f t="shared" si="227"/>
        <v>280</v>
      </c>
      <c r="M1670" s="95" t="e">
        <f t="shared" ca="1" si="228"/>
        <v>#DIV/0!</v>
      </c>
      <c r="N1670" s="95">
        <f>IF(P1670="Hedge Fund",IF(A1670=Summary!$AD$3,M1670-E1670,M1670),IF(A1670=Summary!$AD$3,L1670-D1670,L1670))</f>
        <v>280</v>
      </c>
      <c r="O1670" s="95">
        <f t="shared" si="224"/>
        <v>280</v>
      </c>
      <c r="P1670" s="107" t="s">
        <v>155</v>
      </c>
      <c r="Q1670" s="107">
        <v>0</v>
      </c>
      <c r="R1670" s="107">
        <v>0</v>
      </c>
      <c r="S1670" s="107">
        <v>0</v>
      </c>
      <c r="T1670" s="107">
        <v>0</v>
      </c>
      <c r="U1670" s="107"/>
      <c r="V1670" s="107"/>
      <c r="W1670" s="107"/>
      <c r="X1670" s="107"/>
      <c r="Y1670" s="107"/>
      <c r="Z1670" s="107"/>
      <c r="AA1670" s="107"/>
      <c r="AB1670" s="107"/>
      <c r="AC1670" s="355"/>
      <c r="AD1670" s="355"/>
      <c r="AE1670" s="355"/>
      <c r="AF1670" s="94">
        <f t="shared" si="229"/>
        <v>42062</v>
      </c>
      <c r="AG1670" s="185">
        <f t="shared" si="225"/>
        <v>7.7890751445426343E-3</v>
      </c>
      <c r="AH1670" s="339" t="str">
        <f>VLOOKUP(B1670,'MF PF'!A:B,2)</f>
        <v>FdMgt1</v>
      </c>
      <c r="AI1670" s="358">
        <f t="shared" si="230"/>
        <v>0</v>
      </c>
      <c r="AJ1670" s="94">
        <f t="shared" si="231"/>
        <v>42063</v>
      </c>
    </row>
    <row r="1671" spans="1:36" ht="12.75" customHeight="1">
      <c r="A1671" s="94">
        <v>42094</v>
      </c>
      <c r="B1671" s="94" t="s">
        <v>136</v>
      </c>
      <c r="C1671" s="358" t="s">
        <v>320</v>
      </c>
      <c r="D1671" s="374">
        <v>18722.650000000001</v>
      </c>
      <c r="E1671" s="9" t="e">
        <f t="shared" si="226"/>
        <v>#DIV/0!</v>
      </c>
      <c r="F1671" s="98">
        <v>0.02</v>
      </c>
      <c r="G1671" s="98">
        <v>1080</v>
      </c>
      <c r="H1671" s="98">
        <v>0</v>
      </c>
      <c r="I1671" s="98">
        <v>0</v>
      </c>
      <c r="J1671" s="98"/>
      <c r="K1671" s="93"/>
      <c r="L1671" s="93">
        <f t="shared" si="227"/>
        <v>1080</v>
      </c>
      <c r="M1671" s="95" t="e">
        <f t="shared" ca="1" si="228"/>
        <v>#DIV/0!</v>
      </c>
      <c r="N1671" s="95">
        <f>IF(P1671="Hedge Fund",IF(A1671=Summary!$AD$3,M1671-E1671,M1671),IF(A1671=Summary!$AD$3,L1671-D1671,L1671))</f>
        <v>1080</v>
      </c>
      <c r="O1671" s="95">
        <f t="shared" si="224"/>
        <v>1080</v>
      </c>
      <c r="P1671" s="89" t="s">
        <v>155</v>
      </c>
      <c r="Q1671" s="107">
        <v>0</v>
      </c>
      <c r="R1671" s="107">
        <v>0</v>
      </c>
      <c r="S1671" s="107">
        <v>0</v>
      </c>
      <c r="T1671" s="107">
        <v>0</v>
      </c>
      <c r="U1671" s="107"/>
      <c r="V1671" s="107"/>
      <c r="W1671" s="107"/>
      <c r="X1671" s="107"/>
      <c r="Y1671" s="107"/>
      <c r="Z1671" s="107"/>
      <c r="AA1671" s="107"/>
      <c r="AB1671" s="107"/>
      <c r="AC1671" s="355"/>
      <c r="AD1671" s="355"/>
      <c r="AE1671" s="355"/>
      <c r="AF1671" s="94">
        <f t="shared" si="229"/>
        <v>42094</v>
      </c>
      <c r="AG1671" s="185">
        <f t="shared" si="225"/>
        <v>1.4838343392951092E-2</v>
      </c>
      <c r="AH1671" s="339" t="str">
        <f>VLOOKUP(B1671,'MF PF'!A:B,2)</f>
        <v>FdMgt1</v>
      </c>
      <c r="AI1671" s="358">
        <f t="shared" si="230"/>
        <v>0</v>
      </c>
      <c r="AJ1671" s="94">
        <f t="shared" si="231"/>
        <v>42094</v>
      </c>
    </row>
    <row r="1672" spans="1:36" ht="12.75" customHeight="1">
      <c r="A1672" s="94">
        <v>42124</v>
      </c>
      <c r="B1672" s="94" t="s">
        <v>136</v>
      </c>
      <c r="C1672" s="358" t="s">
        <v>320</v>
      </c>
      <c r="D1672" s="374">
        <v>20231.25</v>
      </c>
      <c r="E1672" s="9" t="e">
        <f t="shared" si="226"/>
        <v>#DIV/0!</v>
      </c>
      <c r="F1672" s="98">
        <v>0.02</v>
      </c>
      <c r="G1672" s="98">
        <v>0</v>
      </c>
      <c r="H1672" s="98">
        <v>0</v>
      </c>
      <c r="I1672" s="98">
        <v>0</v>
      </c>
      <c r="J1672" s="98"/>
      <c r="K1672" s="93"/>
      <c r="L1672" s="93">
        <f t="shared" si="227"/>
        <v>0</v>
      </c>
      <c r="M1672" s="95" t="e">
        <f t="shared" ca="1" si="228"/>
        <v>#DIV/0!</v>
      </c>
      <c r="N1672" s="95">
        <f>IF(P1672="Hedge Fund",IF(A1672=Summary!$AD$3,M1672-E1672,M1672),IF(A1672=Summary!$AD$3,L1672-D1672,L1672))</f>
        <v>0</v>
      </c>
      <c r="O1672" s="95">
        <f t="shared" si="224"/>
        <v>0</v>
      </c>
      <c r="P1672" s="89" t="s">
        <v>155</v>
      </c>
      <c r="Q1672" s="107">
        <v>0</v>
      </c>
      <c r="R1672" s="107">
        <v>0</v>
      </c>
      <c r="S1672" s="107">
        <v>0</v>
      </c>
      <c r="T1672" s="107">
        <v>0</v>
      </c>
      <c r="U1672" s="107"/>
      <c r="V1672" s="107"/>
      <c r="W1672" s="107"/>
      <c r="X1672" s="107"/>
      <c r="Y1672" s="107"/>
      <c r="Z1672" s="107"/>
      <c r="AA1672" s="107"/>
      <c r="AB1672" s="107"/>
      <c r="AC1672" s="355"/>
      <c r="AD1672" s="355"/>
      <c r="AE1672" s="355"/>
      <c r="AF1672" s="94">
        <f t="shared" si="229"/>
        <v>42124</v>
      </c>
      <c r="AG1672" s="185">
        <f t="shared" si="225"/>
        <v>8.0576200484439919E-2</v>
      </c>
      <c r="AH1672" s="339" t="str">
        <f>VLOOKUP(B1672,'MF PF'!A:B,2)</f>
        <v>FdMgt1</v>
      </c>
      <c r="AI1672" s="358">
        <f t="shared" si="230"/>
        <v>0</v>
      </c>
      <c r="AJ1672" s="94">
        <f t="shared" si="231"/>
        <v>42124</v>
      </c>
    </row>
    <row r="1673" spans="1:36" ht="12.75" customHeight="1">
      <c r="A1673" s="94">
        <v>42153</v>
      </c>
      <c r="B1673" s="94" t="s">
        <v>136</v>
      </c>
      <c r="C1673" s="358" t="s">
        <v>320</v>
      </c>
      <c r="D1673" s="374">
        <v>20501.650000000001</v>
      </c>
      <c r="E1673" s="9" t="e">
        <f t="shared" si="226"/>
        <v>#DIV/0!</v>
      </c>
      <c r="F1673" s="98">
        <v>0.02</v>
      </c>
      <c r="G1673" s="98">
        <v>0</v>
      </c>
      <c r="H1673" s="98">
        <v>0</v>
      </c>
      <c r="I1673" s="98">
        <v>0</v>
      </c>
      <c r="J1673" s="98"/>
      <c r="K1673" s="93"/>
      <c r="L1673" s="93">
        <f t="shared" si="227"/>
        <v>0</v>
      </c>
      <c r="M1673" s="95" t="e">
        <f t="shared" ca="1" si="228"/>
        <v>#DIV/0!</v>
      </c>
      <c r="N1673" s="95">
        <f>IF(P1673="Hedge Fund",IF(A1673=Summary!$AD$3,M1673-E1673,M1673),IF(A1673=Summary!$AD$3,L1673-D1673,L1673))</f>
        <v>0</v>
      </c>
      <c r="O1673" s="95">
        <f t="shared" si="224"/>
        <v>0</v>
      </c>
      <c r="P1673" s="89" t="s">
        <v>155</v>
      </c>
      <c r="Q1673" s="107">
        <v>0</v>
      </c>
      <c r="R1673" s="107">
        <v>0</v>
      </c>
      <c r="S1673" s="107">
        <v>0</v>
      </c>
      <c r="T1673" s="107">
        <v>0</v>
      </c>
      <c r="U1673" s="107"/>
      <c r="V1673" s="107"/>
      <c r="W1673" s="107"/>
      <c r="X1673" s="107"/>
      <c r="Y1673" s="107"/>
      <c r="Z1673" s="107"/>
      <c r="AA1673" s="107"/>
      <c r="AB1673" s="107"/>
      <c r="AC1673" s="355"/>
      <c r="AD1673" s="355"/>
      <c r="AE1673" s="355"/>
      <c r="AF1673" s="94">
        <f t="shared" si="229"/>
        <v>42153</v>
      </c>
      <c r="AG1673" s="185">
        <f t="shared" si="225"/>
        <v>1.3365461847389737E-2</v>
      </c>
      <c r="AH1673" s="339" t="str">
        <f>VLOOKUP(B1673,'MF PF'!A:B,2)</f>
        <v>FdMgt1</v>
      </c>
      <c r="AI1673" s="358">
        <f t="shared" si="230"/>
        <v>0</v>
      </c>
      <c r="AJ1673" s="94">
        <f t="shared" si="231"/>
        <v>42155</v>
      </c>
    </row>
    <row r="1674" spans="1:36" ht="12.75" customHeight="1">
      <c r="A1674" s="94">
        <v>42185</v>
      </c>
      <c r="B1674" s="94" t="s">
        <v>136</v>
      </c>
      <c r="C1674" s="358" t="s">
        <v>320</v>
      </c>
      <c r="D1674" s="374">
        <v>20313.28</v>
      </c>
      <c r="E1674" s="95" t="e">
        <f t="shared" si="226"/>
        <v>#DIV/0!</v>
      </c>
      <c r="F1674" s="98">
        <v>0.02</v>
      </c>
      <c r="G1674" s="98">
        <v>0</v>
      </c>
      <c r="H1674" s="98">
        <v>0</v>
      </c>
      <c r="I1674" s="98">
        <v>0</v>
      </c>
      <c r="J1674" s="98"/>
      <c r="K1674" s="93"/>
      <c r="L1674" s="93">
        <f t="shared" si="227"/>
        <v>0</v>
      </c>
      <c r="M1674" s="95" t="e">
        <f t="shared" ca="1" si="228"/>
        <v>#DIV/0!</v>
      </c>
      <c r="N1674" s="95">
        <f>IF(P1674="Hedge Fund",IF(A1674=Summary!$AD$3,M1674-E1674,M1674),IF(A1674=Summary!$AD$3,L1674-D1674,L1674))</f>
        <v>0</v>
      </c>
      <c r="O1674" s="95">
        <f t="shared" si="224"/>
        <v>0</v>
      </c>
      <c r="P1674" s="89" t="s">
        <v>155</v>
      </c>
      <c r="Q1674" s="107">
        <v>0</v>
      </c>
      <c r="R1674" s="107">
        <v>0</v>
      </c>
      <c r="S1674" s="107">
        <v>0</v>
      </c>
      <c r="T1674" s="107">
        <v>0</v>
      </c>
      <c r="U1674" s="107"/>
      <c r="V1674" s="107"/>
      <c r="W1674" s="107"/>
      <c r="X1674" s="107"/>
      <c r="Y1674" s="107"/>
      <c r="Z1674" s="107"/>
      <c r="AA1674" s="107"/>
      <c r="AB1674" s="107"/>
      <c r="AC1674" s="355"/>
      <c r="AD1674" s="355"/>
      <c r="AE1674" s="355"/>
      <c r="AF1674" s="94">
        <f t="shared" si="229"/>
        <v>42185</v>
      </c>
      <c r="AG1674" s="185">
        <f t="shared" si="225"/>
        <v>-9.1880409625567649E-3</v>
      </c>
      <c r="AH1674" s="339" t="str">
        <f>VLOOKUP(B1674,'MF PF'!A:B,2)</f>
        <v>FdMgt1</v>
      </c>
      <c r="AI1674" s="358">
        <f t="shared" si="230"/>
        <v>0</v>
      </c>
      <c r="AJ1674" s="94">
        <f t="shared" si="231"/>
        <v>42185</v>
      </c>
    </row>
    <row r="1675" spans="1:36" ht="12.75" customHeight="1">
      <c r="A1675" s="94">
        <v>42216</v>
      </c>
      <c r="B1675" s="94" t="s">
        <v>136</v>
      </c>
      <c r="C1675" s="358" t="s">
        <v>320</v>
      </c>
      <c r="D1675" s="374">
        <v>21604.3</v>
      </c>
      <c r="E1675" s="95" t="e">
        <f t="shared" si="226"/>
        <v>#DIV/0!</v>
      </c>
      <c r="F1675" s="98">
        <v>0.02</v>
      </c>
      <c r="G1675" s="98">
        <v>1620</v>
      </c>
      <c r="H1675" s="98">
        <v>0</v>
      </c>
      <c r="I1675" s="98">
        <v>0</v>
      </c>
      <c r="J1675" s="98"/>
      <c r="K1675" s="93"/>
      <c r="L1675" s="93">
        <f t="shared" si="227"/>
        <v>1620</v>
      </c>
      <c r="M1675" s="95" t="e">
        <f t="shared" ca="1" si="228"/>
        <v>#DIV/0!</v>
      </c>
      <c r="N1675" s="95">
        <f>IF(P1675="Hedge Fund",IF(A1675=Summary!$AD$3,M1675-E1675,M1675),IF(A1675=Summary!$AD$3,L1675-D1675,L1675))</f>
        <v>1620</v>
      </c>
      <c r="O1675" s="95">
        <f t="shared" si="224"/>
        <v>1620</v>
      </c>
      <c r="P1675" s="89" t="s">
        <v>155</v>
      </c>
      <c r="Q1675" s="107">
        <v>0</v>
      </c>
      <c r="R1675" s="107">
        <v>0</v>
      </c>
      <c r="S1675" s="107">
        <v>0</v>
      </c>
      <c r="T1675" s="107">
        <v>0</v>
      </c>
      <c r="U1675" s="107"/>
      <c r="V1675" s="107"/>
      <c r="W1675" s="107"/>
      <c r="X1675" s="107"/>
      <c r="Y1675" s="107"/>
      <c r="Z1675" s="107"/>
      <c r="AA1675" s="107"/>
      <c r="AB1675" s="107"/>
      <c r="AC1675" s="355"/>
      <c r="AD1675" s="355"/>
      <c r="AE1675" s="355"/>
      <c r="AF1675" s="94">
        <f t="shared" si="229"/>
        <v>42216</v>
      </c>
      <c r="AG1675" s="185">
        <f t="shared" si="225"/>
        <v>-1.6195316561382511E-2</v>
      </c>
      <c r="AH1675" s="339" t="str">
        <f>VLOOKUP(B1675,'MF PF'!A:B,2)</f>
        <v>FdMgt1</v>
      </c>
      <c r="AI1675" s="358">
        <f t="shared" si="230"/>
        <v>0</v>
      </c>
      <c r="AJ1675" s="94">
        <f t="shared" si="231"/>
        <v>42216</v>
      </c>
    </row>
    <row r="1676" spans="1:36" ht="12.75" customHeight="1">
      <c r="A1676" s="94">
        <v>42247</v>
      </c>
      <c r="B1676" s="94" t="s">
        <v>136</v>
      </c>
      <c r="C1676" s="358" t="s">
        <v>320</v>
      </c>
      <c r="D1676" s="374">
        <v>21266.32</v>
      </c>
      <c r="E1676" s="95" t="e">
        <f t="shared" si="226"/>
        <v>#DIV/0!</v>
      </c>
      <c r="F1676" s="98">
        <v>0.02</v>
      </c>
      <c r="G1676" s="98">
        <v>0</v>
      </c>
      <c r="H1676" s="98">
        <v>0</v>
      </c>
      <c r="I1676" s="98">
        <v>0</v>
      </c>
      <c r="J1676" s="98"/>
      <c r="K1676" s="93"/>
      <c r="L1676" s="93">
        <f t="shared" si="227"/>
        <v>0</v>
      </c>
      <c r="M1676" s="95" t="e">
        <f t="shared" ca="1" si="228"/>
        <v>#DIV/0!</v>
      </c>
      <c r="N1676" s="95">
        <f>IF(P1676="Hedge Fund",IF(A1676=Summary!$AD$3,M1676-E1676,M1676),IF(A1676=Summary!$AD$3,L1676-D1676,L1676))</f>
        <v>0</v>
      </c>
      <c r="O1676" s="95">
        <f t="shared" si="224"/>
        <v>0</v>
      </c>
      <c r="P1676" s="89" t="s">
        <v>155</v>
      </c>
      <c r="Q1676" s="107">
        <v>0</v>
      </c>
      <c r="R1676" s="107">
        <v>0</v>
      </c>
      <c r="S1676" s="107">
        <v>0</v>
      </c>
      <c r="T1676" s="107">
        <v>0</v>
      </c>
      <c r="U1676" s="107"/>
      <c r="V1676" s="107"/>
      <c r="W1676" s="107"/>
      <c r="X1676" s="107"/>
      <c r="Y1676" s="107"/>
      <c r="Z1676" s="107"/>
      <c r="AA1676" s="107"/>
      <c r="AB1676" s="107"/>
      <c r="AC1676" s="355"/>
      <c r="AD1676" s="355"/>
      <c r="AE1676" s="355"/>
      <c r="AF1676" s="94">
        <f t="shared" si="229"/>
        <v>42247</v>
      </c>
      <c r="AG1676" s="185">
        <f t="shared" si="225"/>
        <v>-1.564410788593007E-2</v>
      </c>
      <c r="AH1676" s="339" t="str">
        <f>VLOOKUP(B1676,'MF PF'!A:B,2)</f>
        <v>FdMgt1</v>
      </c>
      <c r="AI1676" s="358">
        <f t="shared" si="230"/>
        <v>0</v>
      </c>
      <c r="AJ1676" s="94">
        <f t="shared" si="231"/>
        <v>42247</v>
      </c>
    </row>
    <row r="1677" spans="1:36" ht="12.75" customHeight="1">
      <c r="A1677" s="94">
        <v>42277</v>
      </c>
      <c r="B1677" s="94" t="s">
        <v>136</v>
      </c>
      <c r="C1677" s="358" t="s">
        <v>320</v>
      </c>
      <c r="D1677" s="374">
        <v>21340.69</v>
      </c>
      <c r="E1677" s="9" t="e">
        <f t="shared" si="226"/>
        <v>#DIV/0!</v>
      </c>
      <c r="F1677" s="98">
        <v>0.02</v>
      </c>
      <c r="G1677" s="98">
        <v>0</v>
      </c>
      <c r="H1677" s="98">
        <v>0</v>
      </c>
      <c r="I1677" s="98">
        <v>0</v>
      </c>
      <c r="J1677" s="98"/>
      <c r="K1677" s="93"/>
      <c r="L1677" s="93">
        <f t="shared" si="227"/>
        <v>0</v>
      </c>
      <c r="M1677" s="95" t="e">
        <f t="shared" ca="1" si="228"/>
        <v>#DIV/0!</v>
      </c>
      <c r="N1677" s="95">
        <f>IF(P1677="Hedge Fund",IF(A1677=Summary!$AD$3,M1677-E1677,M1677),IF(A1677=Summary!$AD$3,L1677-D1677,L1677))</f>
        <v>0</v>
      </c>
      <c r="O1677" s="95">
        <f t="shared" si="224"/>
        <v>0</v>
      </c>
      <c r="P1677" s="89" t="s">
        <v>155</v>
      </c>
      <c r="Q1677" s="107">
        <v>0</v>
      </c>
      <c r="R1677" s="107">
        <v>0</v>
      </c>
      <c r="S1677" s="107">
        <v>0</v>
      </c>
      <c r="T1677" s="107">
        <v>0</v>
      </c>
      <c r="U1677" s="107"/>
      <c r="V1677" s="107"/>
      <c r="W1677" s="107"/>
      <c r="X1677" s="107"/>
      <c r="Y1677" s="107"/>
      <c r="Z1677" s="107"/>
      <c r="AA1677" s="107"/>
      <c r="AB1677" s="107"/>
      <c r="AC1677" s="355"/>
      <c r="AD1677" s="355"/>
      <c r="AE1677" s="355"/>
      <c r="AF1677" s="94">
        <f t="shared" si="229"/>
        <v>42277</v>
      </c>
      <c r="AG1677" s="185">
        <f t="shared" si="225"/>
        <v>3.4970789492492216E-3</v>
      </c>
      <c r="AH1677" s="339" t="str">
        <f>VLOOKUP(B1677,'MF PF'!A:B,2)</f>
        <v>FdMgt1</v>
      </c>
      <c r="AI1677" s="358">
        <f t="shared" si="230"/>
        <v>0</v>
      </c>
      <c r="AJ1677" s="94">
        <f t="shared" si="231"/>
        <v>42277</v>
      </c>
    </row>
    <row r="1678" spans="1:36" ht="12.75" customHeight="1">
      <c r="A1678" s="94">
        <v>42307</v>
      </c>
      <c r="B1678" s="94" t="s">
        <v>136</v>
      </c>
      <c r="C1678" s="358" t="s">
        <v>320</v>
      </c>
      <c r="D1678" s="374">
        <v>21913.07</v>
      </c>
      <c r="E1678" s="9" t="e">
        <f t="shared" si="226"/>
        <v>#DIV/0!</v>
      </c>
      <c r="F1678" s="98">
        <v>0.02</v>
      </c>
      <c r="G1678" s="98">
        <v>0</v>
      </c>
      <c r="H1678" s="98">
        <v>0</v>
      </c>
      <c r="I1678" s="98">
        <v>0</v>
      </c>
      <c r="J1678" s="98"/>
      <c r="K1678" s="93"/>
      <c r="L1678" s="93">
        <f t="shared" si="227"/>
        <v>0</v>
      </c>
      <c r="M1678" s="95" t="e">
        <f t="shared" ca="1" si="228"/>
        <v>#DIV/0!</v>
      </c>
      <c r="N1678" s="95">
        <f>IF(P1678="Hedge Fund",IF(A1678=Summary!$AD$3,M1678-E1678,M1678),IF(A1678=Summary!$AD$3,L1678-D1678,L1678))</f>
        <v>0</v>
      </c>
      <c r="O1678" s="95">
        <f t="shared" ref="O1678:O1741" si="232">N1678</f>
        <v>0</v>
      </c>
      <c r="P1678" s="89" t="s">
        <v>155</v>
      </c>
      <c r="Q1678" s="107">
        <v>0</v>
      </c>
      <c r="R1678" s="107">
        <v>0</v>
      </c>
      <c r="S1678" s="107">
        <v>0</v>
      </c>
      <c r="T1678" s="107">
        <v>0</v>
      </c>
      <c r="U1678" s="107"/>
      <c r="V1678" s="107"/>
      <c r="W1678" s="107"/>
      <c r="X1678" s="107"/>
      <c r="Y1678" s="107"/>
      <c r="Z1678" s="107"/>
      <c r="AA1678" s="107"/>
      <c r="AB1678" s="107"/>
      <c r="AC1678" s="355"/>
      <c r="AD1678" s="355"/>
      <c r="AE1678" s="355"/>
      <c r="AF1678" s="94">
        <f t="shared" si="229"/>
        <v>42307</v>
      </c>
      <c r="AG1678" s="185">
        <f t="shared" si="225"/>
        <v>2.6821063423909886E-2</v>
      </c>
      <c r="AH1678" s="339" t="str">
        <f>VLOOKUP(B1678,'MF PF'!A:B,2)</f>
        <v>FdMgt1</v>
      </c>
      <c r="AI1678" s="358">
        <f t="shared" si="230"/>
        <v>0</v>
      </c>
      <c r="AJ1678" s="94">
        <f t="shared" si="231"/>
        <v>42308</v>
      </c>
    </row>
    <row r="1679" spans="1:36" ht="12.75" customHeight="1">
      <c r="A1679" s="94">
        <v>42338</v>
      </c>
      <c r="B1679" s="94" t="s">
        <v>136</v>
      </c>
      <c r="C1679" s="358" t="s">
        <v>320</v>
      </c>
      <c r="D1679" s="374">
        <v>21874.77</v>
      </c>
      <c r="E1679" s="95" t="e">
        <f t="shared" si="226"/>
        <v>#DIV/0!</v>
      </c>
      <c r="F1679" s="98">
        <v>0.02</v>
      </c>
      <c r="G1679" s="98">
        <v>0</v>
      </c>
      <c r="H1679" s="98">
        <v>0</v>
      </c>
      <c r="I1679" s="98">
        <v>0</v>
      </c>
      <c r="J1679" s="98"/>
      <c r="K1679" s="93"/>
      <c r="L1679" s="93">
        <f t="shared" si="227"/>
        <v>0</v>
      </c>
      <c r="M1679" s="95" t="e">
        <f t="shared" ca="1" si="228"/>
        <v>#DIV/0!</v>
      </c>
      <c r="N1679" s="95">
        <f>IF(P1679="Hedge Fund",IF(A1679=Summary!$AD$3,M1679-E1679,M1679),IF(A1679=Summary!$AD$3,L1679-D1679,L1679))</f>
        <v>0</v>
      </c>
      <c r="O1679" s="95">
        <f t="shared" si="232"/>
        <v>0</v>
      </c>
      <c r="P1679" s="89" t="s">
        <v>155</v>
      </c>
      <c r="Q1679" s="107">
        <v>0</v>
      </c>
      <c r="R1679" s="107">
        <v>0</v>
      </c>
      <c r="S1679" s="107">
        <v>0</v>
      </c>
      <c r="T1679" s="107">
        <v>0</v>
      </c>
      <c r="U1679" s="107"/>
      <c r="V1679" s="107"/>
      <c r="W1679" s="107"/>
      <c r="X1679" s="107"/>
      <c r="Y1679" s="107"/>
      <c r="Z1679" s="107"/>
      <c r="AA1679" s="107"/>
      <c r="AB1679" s="107"/>
      <c r="AC1679" s="355"/>
      <c r="AD1679" s="355"/>
      <c r="AE1679" s="355"/>
      <c r="AF1679" s="94">
        <f t="shared" si="229"/>
        <v>42338</v>
      </c>
      <c r="AG1679" s="185">
        <f t="shared" ref="AG1679:AG1742" si="233">IF(C1679&lt;&gt;C1678,D1679/G1679-1,(D1679-G1679-I1679-H1679)/(D1678)-1)</f>
        <v>-1.7478153449059786E-3</v>
      </c>
      <c r="AH1679" s="339" t="str">
        <f>VLOOKUP(B1679,'MF PF'!A:B,2)</f>
        <v>FdMgt1</v>
      </c>
      <c r="AI1679" s="358">
        <f t="shared" si="230"/>
        <v>0</v>
      </c>
      <c r="AJ1679" s="94">
        <f t="shared" si="231"/>
        <v>42338</v>
      </c>
    </row>
    <row r="1680" spans="1:36" ht="12.75" customHeight="1">
      <c r="A1680" s="94">
        <v>42369</v>
      </c>
      <c r="B1680" s="94" t="s">
        <v>136</v>
      </c>
      <c r="C1680" s="358" t="s">
        <v>320</v>
      </c>
      <c r="D1680" s="374">
        <v>22066.04</v>
      </c>
      <c r="E1680" s="95" t="e">
        <f t="shared" si="226"/>
        <v>#DIV/0!</v>
      </c>
      <c r="F1680" s="98">
        <v>0.02</v>
      </c>
      <c r="G1680" s="98">
        <v>0</v>
      </c>
      <c r="H1680" s="98">
        <v>0</v>
      </c>
      <c r="I1680" s="98">
        <v>0</v>
      </c>
      <c r="J1680" s="98"/>
      <c r="K1680" s="93"/>
      <c r="L1680" s="93">
        <f t="shared" si="227"/>
        <v>0</v>
      </c>
      <c r="M1680" s="95" t="e">
        <f t="shared" ca="1" si="228"/>
        <v>#DIV/0!</v>
      </c>
      <c r="N1680" s="95">
        <f>IF(P1680="Hedge Fund",IF(A1680=Summary!$AD$3,M1680-E1680,M1680),IF(A1680=Summary!$AD$3,L1680-D1680,L1680))</f>
        <v>0</v>
      </c>
      <c r="O1680" s="95">
        <f t="shared" si="232"/>
        <v>0</v>
      </c>
      <c r="P1680" s="89" t="s">
        <v>155</v>
      </c>
      <c r="Q1680" s="107">
        <v>0</v>
      </c>
      <c r="R1680" s="107">
        <v>0</v>
      </c>
      <c r="S1680" s="107">
        <v>0</v>
      </c>
      <c r="T1680" s="107">
        <v>0</v>
      </c>
      <c r="U1680" s="107"/>
      <c r="V1680" s="107"/>
      <c r="W1680" s="107"/>
      <c r="X1680" s="107"/>
      <c r="Y1680" s="107"/>
      <c r="Z1680" s="107"/>
      <c r="AA1680" s="107"/>
      <c r="AB1680" s="107"/>
      <c r="AC1680" s="355"/>
      <c r="AD1680" s="355"/>
      <c r="AE1680" s="355"/>
      <c r="AF1680" s="94">
        <f t="shared" si="229"/>
        <v>42369</v>
      </c>
      <c r="AG1680" s="185">
        <f t="shared" si="233"/>
        <v>8.743863364049087E-3</v>
      </c>
      <c r="AH1680" s="339" t="str">
        <f>VLOOKUP(B1680,'MF PF'!A:B,2)</f>
        <v>FdMgt1</v>
      </c>
      <c r="AI1680" s="358">
        <f t="shared" si="230"/>
        <v>0</v>
      </c>
      <c r="AJ1680" s="94">
        <f t="shared" si="231"/>
        <v>42369</v>
      </c>
    </row>
    <row r="1681" spans="1:36" ht="12.75" customHeight="1">
      <c r="A1681" s="94">
        <v>42398</v>
      </c>
      <c r="B1681" s="94" t="s">
        <v>136</v>
      </c>
      <c r="C1681" s="358" t="s">
        <v>320</v>
      </c>
      <c r="D1681" s="374">
        <v>21818.23</v>
      </c>
      <c r="E1681" s="95" t="e">
        <f t="shared" si="226"/>
        <v>#DIV/0!</v>
      </c>
      <c r="F1681" s="98">
        <v>0.02</v>
      </c>
      <c r="G1681" s="98">
        <v>0</v>
      </c>
      <c r="H1681" s="98">
        <v>0</v>
      </c>
      <c r="I1681" s="98">
        <v>0</v>
      </c>
      <c r="J1681" s="98"/>
      <c r="K1681" s="93"/>
      <c r="L1681" s="93">
        <f t="shared" si="227"/>
        <v>0</v>
      </c>
      <c r="M1681" s="95" t="e">
        <f t="shared" ca="1" si="228"/>
        <v>#DIV/0!</v>
      </c>
      <c r="N1681" s="95">
        <f>IF(P1681="Hedge Fund",IF(A1681=Summary!$AD$3,M1681-E1681,M1681),IF(A1681=Summary!$AD$3,L1681-D1681,L1681))</f>
        <v>0</v>
      </c>
      <c r="O1681" s="95">
        <f t="shared" si="232"/>
        <v>0</v>
      </c>
      <c r="P1681" s="107" t="s">
        <v>155</v>
      </c>
      <c r="Q1681" s="107">
        <v>0</v>
      </c>
      <c r="R1681" s="107">
        <v>0</v>
      </c>
      <c r="S1681" s="107">
        <v>0</v>
      </c>
      <c r="T1681" s="107">
        <v>0</v>
      </c>
      <c r="U1681" s="107"/>
      <c r="V1681" s="107"/>
      <c r="W1681" s="107"/>
      <c r="X1681" s="107"/>
      <c r="Y1681" s="107"/>
      <c r="Z1681" s="107"/>
      <c r="AA1681" s="107"/>
      <c r="AB1681" s="107"/>
      <c r="AC1681" s="355"/>
      <c r="AD1681" s="355"/>
      <c r="AE1681" s="355"/>
      <c r="AF1681" s="94">
        <f t="shared" si="229"/>
        <v>42398</v>
      </c>
      <c r="AG1681" s="185">
        <f t="shared" si="233"/>
        <v>-1.1230379352162978E-2</v>
      </c>
      <c r="AH1681" s="339" t="str">
        <f>VLOOKUP(B1681,'MF PF'!A:B,2)</f>
        <v>FdMgt1</v>
      </c>
      <c r="AI1681" s="358">
        <f t="shared" si="230"/>
        <v>0</v>
      </c>
      <c r="AJ1681" s="94">
        <f t="shared" si="231"/>
        <v>42400</v>
      </c>
    </row>
    <row r="1682" spans="1:36" ht="12.75" customHeight="1">
      <c r="A1682" s="94">
        <v>42429</v>
      </c>
      <c r="B1682" s="94" t="s">
        <v>136</v>
      </c>
      <c r="C1682" s="358" t="s">
        <v>320</v>
      </c>
      <c r="D1682" s="374">
        <v>22217.13</v>
      </c>
      <c r="E1682" s="95" t="e">
        <f t="shared" si="226"/>
        <v>#DIV/0!</v>
      </c>
      <c r="F1682" s="98">
        <v>0.02</v>
      </c>
      <c r="G1682" s="98">
        <v>0</v>
      </c>
      <c r="H1682" s="98">
        <v>0</v>
      </c>
      <c r="I1682" s="98">
        <v>0</v>
      </c>
      <c r="J1682" s="98"/>
      <c r="K1682" s="93"/>
      <c r="L1682" s="93">
        <f t="shared" si="227"/>
        <v>0</v>
      </c>
      <c r="M1682" s="95" t="e">
        <f t="shared" ca="1" si="228"/>
        <v>#DIV/0!</v>
      </c>
      <c r="N1682" s="95">
        <f>IF(P1682="Hedge Fund",IF(A1682=Summary!$AD$3,M1682-E1682,M1682),IF(A1682=Summary!$AD$3,L1682-D1682,L1682))</f>
        <v>0</v>
      </c>
      <c r="O1682" s="95">
        <f t="shared" si="232"/>
        <v>0</v>
      </c>
      <c r="P1682" s="107" t="s">
        <v>155</v>
      </c>
      <c r="Q1682" s="107">
        <v>0</v>
      </c>
      <c r="R1682" s="107">
        <v>0</v>
      </c>
      <c r="S1682" s="107">
        <v>0</v>
      </c>
      <c r="T1682" s="107">
        <v>0</v>
      </c>
      <c r="U1682" s="107"/>
      <c r="V1682" s="107"/>
      <c r="W1682" s="107"/>
      <c r="X1682" s="107"/>
      <c r="Y1682" s="107"/>
      <c r="Z1682" s="107"/>
      <c r="AA1682" s="107"/>
      <c r="AB1682" s="107"/>
      <c r="AC1682" s="355"/>
      <c r="AD1682" s="355"/>
      <c r="AE1682" s="355"/>
      <c r="AF1682" s="94">
        <f t="shared" si="229"/>
        <v>42429</v>
      </c>
      <c r="AG1682" s="185">
        <f t="shared" si="233"/>
        <v>1.8282876291981554E-2</v>
      </c>
      <c r="AH1682" s="339" t="str">
        <f>VLOOKUP(B1682,'MF PF'!A:B,2)</f>
        <v>FdMgt1</v>
      </c>
      <c r="AI1682" s="358">
        <f t="shared" si="230"/>
        <v>0</v>
      </c>
      <c r="AJ1682" s="94">
        <f t="shared" si="231"/>
        <v>42429</v>
      </c>
    </row>
    <row r="1683" spans="1:36" ht="12.75" customHeight="1">
      <c r="A1683" s="94">
        <v>42460</v>
      </c>
      <c r="B1683" s="94" t="s">
        <v>136</v>
      </c>
      <c r="C1683" s="358" t="s">
        <v>320</v>
      </c>
      <c r="D1683" s="374">
        <v>22639.32</v>
      </c>
      <c r="E1683" s="9" t="e">
        <f t="shared" si="226"/>
        <v>#DIV/0!</v>
      </c>
      <c r="F1683" s="98">
        <v>0.02</v>
      </c>
      <c r="G1683" s="98">
        <v>0</v>
      </c>
      <c r="H1683" s="98">
        <v>0</v>
      </c>
      <c r="I1683" s="98">
        <v>0</v>
      </c>
      <c r="J1683" s="98"/>
      <c r="L1683" s="93">
        <f t="shared" si="227"/>
        <v>0</v>
      </c>
      <c r="M1683" s="95" t="e">
        <f t="shared" ca="1" si="228"/>
        <v>#DIV/0!</v>
      </c>
      <c r="N1683" s="95">
        <f>IF(P1683="Hedge Fund",IF(A1683=Summary!$AD$3,M1683-E1683,M1683),IF(A1683=Summary!$AD$3,L1683-D1683,L1683))</f>
        <v>0</v>
      </c>
      <c r="O1683" s="95">
        <f t="shared" si="232"/>
        <v>0</v>
      </c>
      <c r="P1683" s="89" t="s">
        <v>155</v>
      </c>
      <c r="Q1683" s="107">
        <v>0</v>
      </c>
      <c r="R1683" s="107">
        <v>0</v>
      </c>
      <c r="S1683" s="107">
        <v>0</v>
      </c>
      <c r="T1683" s="107">
        <v>0</v>
      </c>
      <c r="U1683" s="107"/>
      <c r="V1683" s="107"/>
      <c r="W1683" s="107"/>
      <c r="X1683" s="107"/>
      <c r="Y1683" s="107"/>
      <c r="Z1683" s="107"/>
      <c r="AA1683" s="107"/>
      <c r="AB1683" s="107"/>
      <c r="AC1683" s="355"/>
      <c r="AD1683" s="355"/>
      <c r="AE1683" s="355"/>
      <c r="AF1683" s="94">
        <f t="shared" si="229"/>
        <v>42460</v>
      </c>
      <c r="AG1683" s="185">
        <f t="shared" si="233"/>
        <v>1.9002904515569741E-2</v>
      </c>
      <c r="AH1683" s="339" t="str">
        <f>VLOOKUP(B1683,'MF PF'!A:B,2)</f>
        <v>FdMgt1</v>
      </c>
      <c r="AI1683" s="358">
        <f t="shared" si="230"/>
        <v>0</v>
      </c>
      <c r="AJ1683" s="94">
        <f t="shared" si="231"/>
        <v>42460</v>
      </c>
    </row>
    <row r="1684" spans="1:36" ht="12.75" customHeight="1">
      <c r="A1684" s="94">
        <v>42489</v>
      </c>
      <c r="B1684" s="94" t="s">
        <v>136</v>
      </c>
      <c r="C1684" s="358" t="s">
        <v>320</v>
      </c>
      <c r="D1684" s="374">
        <v>22939.99</v>
      </c>
      <c r="E1684" s="9" t="e">
        <f t="shared" si="226"/>
        <v>#DIV/0!</v>
      </c>
      <c r="F1684" s="98">
        <v>0.02</v>
      </c>
      <c r="G1684" s="98">
        <v>0</v>
      </c>
      <c r="H1684" s="98">
        <v>0</v>
      </c>
      <c r="I1684" s="98">
        <v>0</v>
      </c>
      <c r="J1684" s="98"/>
      <c r="L1684" s="93">
        <f t="shared" si="227"/>
        <v>0</v>
      </c>
      <c r="M1684" s="95" t="e">
        <f t="shared" ca="1" si="228"/>
        <v>#DIV/0!</v>
      </c>
      <c r="N1684" s="95">
        <f>IF(P1684="Hedge Fund",IF(A1684=Summary!$AD$3,M1684-E1684,M1684),IF(A1684=Summary!$AD$3,L1684-D1684,L1684))</f>
        <v>0</v>
      </c>
      <c r="O1684" s="95">
        <f t="shared" si="232"/>
        <v>0</v>
      </c>
      <c r="P1684" s="89" t="s">
        <v>155</v>
      </c>
      <c r="Q1684" s="107">
        <v>0</v>
      </c>
      <c r="R1684" s="107">
        <v>0</v>
      </c>
      <c r="S1684" s="107">
        <v>0</v>
      </c>
      <c r="T1684" s="107">
        <v>0</v>
      </c>
      <c r="U1684" s="107"/>
      <c r="V1684" s="107"/>
      <c r="W1684" s="107"/>
      <c r="X1684" s="107"/>
      <c r="Y1684" s="107"/>
      <c r="Z1684" s="107"/>
      <c r="AA1684" s="107"/>
      <c r="AB1684" s="107"/>
      <c r="AC1684" s="355"/>
      <c r="AD1684" s="355"/>
      <c r="AE1684" s="355"/>
      <c r="AF1684" s="94">
        <f t="shared" si="229"/>
        <v>42489</v>
      </c>
      <c r="AG1684" s="185">
        <f t="shared" si="233"/>
        <v>1.3280875927368818E-2</v>
      </c>
      <c r="AH1684" s="339" t="str">
        <f>VLOOKUP(B1684,'MF PF'!A:B,2)</f>
        <v>FdMgt1</v>
      </c>
      <c r="AI1684" s="358">
        <f t="shared" si="230"/>
        <v>0</v>
      </c>
      <c r="AJ1684" s="94">
        <f t="shared" si="231"/>
        <v>42490</v>
      </c>
    </row>
    <row r="1685" spans="1:36" ht="12.75" customHeight="1">
      <c r="A1685" s="94">
        <v>42521</v>
      </c>
      <c r="B1685" s="94" t="s">
        <v>136</v>
      </c>
      <c r="C1685" s="358" t="s">
        <v>320</v>
      </c>
      <c r="D1685" s="374">
        <v>23588.59</v>
      </c>
      <c r="E1685" s="9" t="e">
        <f t="shared" si="226"/>
        <v>#DIV/0!</v>
      </c>
      <c r="F1685" s="98">
        <v>0.02</v>
      </c>
      <c r="G1685" s="98">
        <v>0</v>
      </c>
      <c r="H1685" s="98">
        <v>0</v>
      </c>
      <c r="I1685" s="98">
        <v>0</v>
      </c>
      <c r="J1685" s="98"/>
      <c r="L1685" s="93">
        <f t="shared" si="227"/>
        <v>0</v>
      </c>
      <c r="M1685" s="95" t="e">
        <f t="shared" ca="1" si="228"/>
        <v>#DIV/0!</v>
      </c>
      <c r="N1685" s="95">
        <f>IF(P1685="Hedge Fund",IF(A1685=Summary!$AD$3,M1685-E1685,M1685),IF(A1685=Summary!$AD$3,L1685-D1685,L1685))</f>
        <v>0</v>
      </c>
      <c r="O1685" s="95">
        <f t="shared" si="232"/>
        <v>0</v>
      </c>
      <c r="P1685" s="89" t="s">
        <v>155</v>
      </c>
      <c r="Q1685" s="107">
        <v>0</v>
      </c>
      <c r="R1685" s="107">
        <v>0</v>
      </c>
      <c r="S1685" s="107">
        <v>0</v>
      </c>
      <c r="T1685" s="107">
        <v>0</v>
      </c>
      <c r="U1685" s="107"/>
      <c r="V1685" s="107"/>
      <c r="W1685" s="107"/>
      <c r="X1685" s="107"/>
      <c r="Y1685" s="107"/>
      <c r="Z1685" s="107"/>
      <c r="AA1685" s="107"/>
      <c r="AB1685" s="107"/>
      <c r="AC1685" s="355"/>
      <c r="AD1685" s="355"/>
      <c r="AE1685" s="355"/>
      <c r="AF1685" s="94">
        <f t="shared" si="229"/>
        <v>42521</v>
      </c>
      <c r="AG1685" s="185">
        <f t="shared" si="233"/>
        <v>2.8273769953692129E-2</v>
      </c>
      <c r="AH1685" s="339" t="str">
        <f>VLOOKUP(B1685,'MF PF'!A:B,2)</f>
        <v>FdMgt1</v>
      </c>
      <c r="AI1685" s="358">
        <f t="shared" si="230"/>
        <v>0</v>
      </c>
      <c r="AJ1685" s="94">
        <f t="shared" si="231"/>
        <v>42521</v>
      </c>
    </row>
    <row r="1686" spans="1:36" ht="12.75" customHeight="1">
      <c r="A1686" s="94">
        <v>42551</v>
      </c>
      <c r="B1686" s="94" t="s">
        <v>136</v>
      </c>
      <c r="C1686" s="358" t="s">
        <v>320</v>
      </c>
      <c r="D1686" s="374">
        <v>24334.89</v>
      </c>
      <c r="E1686" s="9" t="e">
        <f t="shared" si="226"/>
        <v>#DIV/0!</v>
      </c>
      <c r="F1686" s="98">
        <v>0.02</v>
      </c>
      <c r="G1686" s="98">
        <v>0</v>
      </c>
      <c r="H1686" s="98">
        <v>0</v>
      </c>
      <c r="I1686" s="98">
        <v>0</v>
      </c>
      <c r="J1686" s="98"/>
      <c r="L1686" s="93">
        <f t="shared" si="227"/>
        <v>0</v>
      </c>
      <c r="M1686" s="95" t="e">
        <f t="shared" ca="1" si="228"/>
        <v>#DIV/0!</v>
      </c>
      <c r="N1686" s="95">
        <f>IF(P1686="Hedge Fund",IF(A1686=Summary!$AD$3,M1686-E1686,M1686),IF(A1686=Summary!$AD$3,L1686-D1686,L1686))</f>
        <v>0</v>
      </c>
      <c r="O1686" s="95">
        <f t="shared" si="232"/>
        <v>0</v>
      </c>
      <c r="P1686" s="89" t="s">
        <v>155</v>
      </c>
      <c r="Q1686" s="107">
        <v>0</v>
      </c>
      <c r="R1686" s="107">
        <v>0</v>
      </c>
      <c r="S1686" s="107">
        <v>0</v>
      </c>
      <c r="T1686" s="107">
        <v>0</v>
      </c>
      <c r="U1686" s="107"/>
      <c r="V1686" s="107"/>
      <c r="W1686" s="107"/>
      <c r="X1686" s="107"/>
      <c r="Y1686" s="107"/>
      <c r="Z1686" s="107"/>
      <c r="AA1686" s="107"/>
      <c r="AB1686" s="107"/>
      <c r="AC1686" s="355"/>
      <c r="AD1686" s="355"/>
      <c r="AE1686" s="355"/>
      <c r="AF1686" s="94">
        <f t="shared" si="229"/>
        <v>42551</v>
      </c>
      <c r="AG1686" s="185">
        <f t="shared" si="233"/>
        <v>3.1638177610446405E-2</v>
      </c>
      <c r="AH1686" s="339" t="str">
        <f>VLOOKUP(B1686,'MF PF'!A:B,2)</f>
        <v>FdMgt1</v>
      </c>
      <c r="AI1686" s="358">
        <f t="shared" si="230"/>
        <v>0</v>
      </c>
      <c r="AJ1686" s="94">
        <f t="shared" si="231"/>
        <v>42551</v>
      </c>
    </row>
    <row r="1687" spans="1:36" ht="12.75" customHeight="1">
      <c r="A1687" s="94">
        <v>42580</v>
      </c>
      <c r="B1687" s="94" t="s">
        <v>136</v>
      </c>
      <c r="C1687" s="358" t="s">
        <v>320</v>
      </c>
      <c r="D1687" s="374">
        <v>24585.55</v>
      </c>
      <c r="E1687" s="95" t="e">
        <f t="shared" si="226"/>
        <v>#DIV/0!</v>
      </c>
      <c r="F1687" s="98">
        <v>0.02</v>
      </c>
      <c r="G1687" s="98">
        <v>0</v>
      </c>
      <c r="H1687" s="98">
        <v>0</v>
      </c>
      <c r="I1687" s="98">
        <v>0</v>
      </c>
      <c r="J1687" s="98"/>
      <c r="K1687" s="93"/>
      <c r="L1687" s="93">
        <f t="shared" si="227"/>
        <v>0</v>
      </c>
      <c r="M1687" s="95" t="e">
        <f t="shared" ca="1" si="228"/>
        <v>#DIV/0!</v>
      </c>
      <c r="N1687" s="95">
        <f>IF(P1687="Hedge Fund",IF(A1687=Summary!$AD$3,M1687-E1687,M1687),IF(A1687=Summary!$AD$3,L1687-D1687,L1687))</f>
        <v>0</v>
      </c>
      <c r="O1687" s="95">
        <f t="shared" si="232"/>
        <v>0</v>
      </c>
      <c r="P1687" s="89" t="s">
        <v>155</v>
      </c>
      <c r="Q1687" s="107">
        <v>0</v>
      </c>
      <c r="R1687" s="107">
        <v>0</v>
      </c>
      <c r="S1687" s="107">
        <v>0</v>
      </c>
      <c r="T1687" s="107">
        <v>0</v>
      </c>
      <c r="U1687" s="107"/>
      <c r="V1687" s="107"/>
      <c r="W1687" s="107"/>
      <c r="X1687" s="107"/>
      <c r="Y1687" s="107"/>
      <c r="Z1687" s="107"/>
      <c r="AA1687" s="107"/>
      <c r="AB1687" s="107"/>
      <c r="AC1687" s="355"/>
      <c r="AD1687" s="355"/>
      <c r="AE1687" s="355"/>
      <c r="AF1687" s="94">
        <f t="shared" si="229"/>
        <v>42580</v>
      </c>
      <c r="AG1687" s="185">
        <f t="shared" si="233"/>
        <v>1.0300436944650215E-2</v>
      </c>
      <c r="AH1687" s="339" t="str">
        <f>VLOOKUP(B1687,'MF PF'!A:B,2)</f>
        <v>FdMgt1</v>
      </c>
      <c r="AI1687" s="358">
        <f t="shared" si="230"/>
        <v>0</v>
      </c>
      <c r="AJ1687" s="94">
        <f t="shared" si="231"/>
        <v>42582</v>
      </c>
    </row>
    <row r="1688" spans="1:36" ht="12.75" customHeight="1">
      <c r="A1688" s="94">
        <v>42613</v>
      </c>
      <c r="B1688" s="94" t="s">
        <v>136</v>
      </c>
      <c r="C1688" s="358" t="s">
        <v>320</v>
      </c>
      <c r="D1688" s="374">
        <v>24540.560000000001</v>
      </c>
      <c r="E1688" s="9" t="e">
        <f t="shared" ref="E1688:E1710" si="234">D1688/K1688</f>
        <v>#DIV/0!</v>
      </c>
      <c r="F1688" s="98">
        <v>0.02</v>
      </c>
      <c r="G1688" s="98">
        <v>0</v>
      </c>
      <c r="H1688" s="98">
        <v>0</v>
      </c>
      <c r="I1688" s="98">
        <v>0</v>
      </c>
      <c r="J1688" s="98"/>
      <c r="K1688" s="93"/>
      <c r="L1688" s="93">
        <f t="shared" si="227"/>
        <v>0</v>
      </c>
      <c r="M1688" s="95" t="e">
        <f t="shared" ca="1" si="228"/>
        <v>#DIV/0!</v>
      </c>
      <c r="N1688" s="95">
        <f>IF(P1688="Hedge Fund",IF(A1688=Summary!$AD$3,M1688-E1688,M1688),IF(A1688=Summary!$AD$3,L1688-D1688,L1688))</f>
        <v>0</v>
      </c>
      <c r="O1688" s="95">
        <f t="shared" si="232"/>
        <v>0</v>
      </c>
      <c r="P1688" s="89" t="s">
        <v>155</v>
      </c>
      <c r="Q1688" s="107">
        <v>0</v>
      </c>
      <c r="R1688" s="107">
        <v>0</v>
      </c>
      <c r="S1688" s="107">
        <v>0</v>
      </c>
      <c r="T1688" s="107">
        <v>0</v>
      </c>
      <c r="U1688" s="107"/>
      <c r="V1688" s="107"/>
      <c r="W1688" s="107"/>
      <c r="X1688" s="107"/>
      <c r="Y1688" s="107"/>
      <c r="Z1688" s="107"/>
      <c r="AA1688" s="107"/>
      <c r="AB1688" s="107"/>
      <c r="AC1688" s="355"/>
      <c r="AD1688" s="355"/>
      <c r="AE1688" s="355"/>
      <c r="AF1688" s="94">
        <f t="shared" si="229"/>
        <v>42613</v>
      </c>
      <c r="AG1688" s="185">
        <f t="shared" si="233"/>
        <v>-1.8299366904542813E-3</v>
      </c>
      <c r="AH1688" s="339" t="str">
        <f>VLOOKUP(B1688,'MF PF'!A:B,2)</f>
        <v>FdMgt1</v>
      </c>
      <c r="AI1688" s="358">
        <f t="shared" si="230"/>
        <v>0</v>
      </c>
      <c r="AJ1688" s="94">
        <f t="shared" si="231"/>
        <v>42613</v>
      </c>
    </row>
    <row r="1689" spans="1:36" ht="12.75" customHeight="1">
      <c r="A1689" s="94">
        <v>42643</v>
      </c>
      <c r="B1689" s="94" t="s">
        <v>136</v>
      </c>
      <c r="C1689" s="358" t="s">
        <v>320</v>
      </c>
      <c r="D1689" s="374">
        <v>25683.38</v>
      </c>
      <c r="E1689" s="9" t="e">
        <f t="shared" si="234"/>
        <v>#DIV/0!</v>
      </c>
      <c r="F1689" s="98">
        <v>0.02</v>
      </c>
      <c r="G1689" s="98">
        <v>0</v>
      </c>
      <c r="H1689" s="98">
        <v>0</v>
      </c>
      <c r="I1689" s="98">
        <v>0</v>
      </c>
      <c r="J1689" s="98"/>
      <c r="K1689" s="93"/>
      <c r="L1689" s="93">
        <f t="shared" si="227"/>
        <v>0</v>
      </c>
      <c r="M1689" s="95" t="e">
        <f t="shared" ca="1" si="228"/>
        <v>#DIV/0!</v>
      </c>
      <c r="N1689" s="95">
        <f>IF(P1689="Hedge Fund",IF(A1689=Summary!$AD$3,M1689-E1689,M1689),IF(A1689=Summary!$AD$3,L1689-D1689,L1689))</f>
        <v>0</v>
      </c>
      <c r="O1689" s="95">
        <f t="shared" si="232"/>
        <v>0</v>
      </c>
      <c r="P1689" s="89" t="s">
        <v>155</v>
      </c>
      <c r="Q1689" s="107">
        <v>0</v>
      </c>
      <c r="R1689" s="107">
        <v>0</v>
      </c>
      <c r="S1689" s="107">
        <v>0</v>
      </c>
      <c r="T1689" s="107">
        <v>0</v>
      </c>
      <c r="U1689" s="107"/>
      <c r="V1689" s="107"/>
      <c r="W1689" s="107"/>
      <c r="X1689" s="107"/>
      <c r="Y1689" s="107"/>
      <c r="Z1689" s="107"/>
      <c r="AA1689" s="107"/>
      <c r="AB1689" s="107"/>
      <c r="AC1689" s="355"/>
      <c r="AD1689" s="355"/>
      <c r="AE1689" s="355"/>
      <c r="AF1689" s="94">
        <f t="shared" si="229"/>
        <v>42643</v>
      </c>
      <c r="AG1689" s="185">
        <f t="shared" si="233"/>
        <v>4.6568619461006655E-2</v>
      </c>
      <c r="AH1689" s="339" t="str">
        <f>VLOOKUP(B1689,'MF PF'!A:B,2)</f>
        <v>FdMgt1</v>
      </c>
      <c r="AI1689" s="358">
        <f t="shared" si="230"/>
        <v>0</v>
      </c>
      <c r="AJ1689" s="94">
        <f t="shared" si="231"/>
        <v>42643</v>
      </c>
    </row>
    <row r="1690" spans="1:36" ht="12.75" customHeight="1">
      <c r="A1690" s="94">
        <v>42674</v>
      </c>
      <c r="B1690" s="94" t="s">
        <v>136</v>
      </c>
      <c r="C1690" s="358" t="s">
        <v>320</v>
      </c>
      <c r="D1690" s="374">
        <v>26608.9</v>
      </c>
      <c r="E1690" s="9" t="e">
        <f t="shared" si="234"/>
        <v>#DIV/0!</v>
      </c>
      <c r="F1690" s="98">
        <v>0.02</v>
      </c>
      <c r="G1690" s="98">
        <v>0</v>
      </c>
      <c r="H1690" s="98">
        <v>0</v>
      </c>
      <c r="I1690" s="98">
        <v>0</v>
      </c>
      <c r="J1690" s="98"/>
      <c r="K1690" s="93"/>
      <c r="L1690" s="93">
        <f t="shared" si="227"/>
        <v>0</v>
      </c>
      <c r="M1690" s="95" t="e">
        <f t="shared" ca="1" si="228"/>
        <v>#DIV/0!</v>
      </c>
      <c r="N1690" s="95">
        <f>IF(P1690="Hedge Fund",IF(A1690=Summary!$AD$3,M1690-E1690,M1690),IF(A1690=Summary!$AD$3,L1690-D1690,L1690))</f>
        <v>0</v>
      </c>
      <c r="O1690" s="95">
        <f t="shared" si="232"/>
        <v>0</v>
      </c>
      <c r="P1690" s="89" t="s">
        <v>155</v>
      </c>
      <c r="Q1690" s="107">
        <v>0</v>
      </c>
      <c r="R1690" s="107">
        <v>0</v>
      </c>
      <c r="S1690" s="107">
        <v>0</v>
      </c>
      <c r="T1690" s="107">
        <v>0</v>
      </c>
      <c r="U1690" s="107"/>
      <c r="V1690" s="107"/>
      <c r="W1690" s="107"/>
      <c r="X1690" s="107"/>
      <c r="Y1690" s="107"/>
      <c r="Z1690" s="107"/>
      <c r="AA1690" s="107"/>
      <c r="AB1690" s="107"/>
      <c r="AC1690" s="355"/>
      <c r="AD1690" s="355"/>
      <c r="AE1690" s="355"/>
      <c r="AF1690" s="94">
        <f t="shared" si="229"/>
        <v>42674</v>
      </c>
      <c r="AG1690" s="185">
        <f t="shared" si="233"/>
        <v>3.6035755418484694E-2</v>
      </c>
      <c r="AH1690" s="339" t="str">
        <f>VLOOKUP(B1690,'MF PF'!A:B,2)</f>
        <v>FdMgt1</v>
      </c>
      <c r="AI1690" s="358">
        <f t="shared" si="230"/>
        <v>0</v>
      </c>
      <c r="AJ1690" s="94">
        <f t="shared" si="231"/>
        <v>42674</v>
      </c>
    </row>
    <row r="1691" spans="1:36" ht="12.75" customHeight="1">
      <c r="A1691" s="94">
        <v>42704</v>
      </c>
      <c r="B1691" s="94" t="s">
        <v>136</v>
      </c>
      <c r="C1691" s="358" t="s">
        <v>320</v>
      </c>
      <c r="D1691" s="374">
        <v>26748</v>
      </c>
      <c r="E1691" s="9" t="e">
        <f t="shared" si="234"/>
        <v>#DIV/0!</v>
      </c>
      <c r="F1691" s="98">
        <v>0.02</v>
      </c>
      <c r="G1691" s="98">
        <v>0</v>
      </c>
      <c r="H1691" s="98">
        <v>-3.637978807091713E-12</v>
      </c>
      <c r="I1691" s="98">
        <v>0</v>
      </c>
      <c r="J1691" s="98"/>
      <c r="K1691" s="93"/>
      <c r="L1691" s="93">
        <f t="shared" si="227"/>
        <v>-3.637978807091713E-12</v>
      </c>
      <c r="M1691" s="95" t="e">
        <f t="shared" ca="1" si="228"/>
        <v>#DIV/0!</v>
      </c>
      <c r="N1691" s="95">
        <f>IF(P1691="Hedge Fund",IF(A1691=Summary!$AD$3,M1691-E1691,M1691),IF(A1691=Summary!$AD$3,L1691-D1691,L1691))</f>
        <v>-3.637978807091713E-12</v>
      </c>
      <c r="O1691" s="95">
        <f t="shared" si="232"/>
        <v>-3.637978807091713E-12</v>
      </c>
      <c r="P1691" s="89" t="s">
        <v>155</v>
      </c>
      <c r="Q1691" s="107">
        <v>0</v>
      </c>
      <c r="R1691" s="107">
        <v>0</v>
      </c>
      <c r="S1691" s="107">
        <v>0</v>
      </c>
      <c r="T1691" s="107">
        <v>0</v>
      </c>
      <c r="U1691" s="107"/>
      <c r="V1691" s="107"/>
      <c r="W1691" s="107"/>
      <c r="X1691" s="107"/>
      <c r="Y1691" s="107"/>
      <c r="Z1691" s="107"/>
      <c r="AA1691" s="107"/>
      <c r="AB1691" s="107"/>
      <c r="AC1691" s="355"/>
      <c r="AD1691" s="355"/>
      <c r="AE1691" s="355"/>
      <c r="AF1691" s="94">
        <f t="shared" si="229"/>
        <v>42704</v>
      </c>
      <c r="AG1691" s="185">
        <f t="shared" si="233"/>
        <v>5.2275742326817198E-3</v>
      </c>
      <c r="AH1691" s="339" t="str">
        <f>VLOOKUP(B1691,'MF PF'!A:B,2)</f>
        <v>FdMgt1</v>
      </c>
      <c r="AI1691" s="358">
        <f t="shared" si="230"/>
        <v>0</v>
      </c>
      <c r="AJ1691" s="94">
        <f t="shared" si="231"/>
        <v>42704</v>
      </c>
    </row>
    <row r="1692" spans="1:36" ht="12.75" customHeight="1">
      <c r="A1692" s="94">
        <v>42734</v>
      </c>
      <c r="B1692" s="94" t="s">
        <v>136</v>
      </c>
      <c r="C1692" s="358" t="s">
        <v>320</v>
      </c>
      <c r="D1692" s="374">
        <v>26518.65</v>
      </c>
      <c r="E1692" s="9" t="e">
        <f t="shared" si="234"/>
        <v>#DIV/0!</v>
      </c>
      <c r="F1692" s="98">
        <v>0.02</v>
      </c>
      <c r="G1692" s="98">
        <v>0</v>
      </c>
      <c r="H1692" s="98">
        <v>0</v>
      </c>
      <c r="I1692" s="98">
        <v>0</v>
      </c>
      <c r="J1692" s="98"/>
      <c r="K1692" s="93"/>
      <c r="L1692" s="93">
        <f t="shared" si="227"/>
        <v>0</v>
      </c>
      <c r="M1692" s="95" t="e">
        <f t="shared" ca="1" si="228"/>
        <v>#DIV/0!</v>
      </c>
      <c r="N1692" s="95">
        <f>IF(P1692="Hedge Fund",IF(A1692=Summary!$AD$3,M1692-E1692,M1692),IF(A1692=Summary!$AD$3,L1692-D1692,L1692))</f>
        <v>0</v>
      </c>
      <c r="O1692" s="95">
        <f t="shared" si="232"/>
        <v>0</v>
      </c>
      <c r="P1692" s="89" t="s">
        <v>155</v>
      </c>
      <c r="Q1692" s="107">
        <v>0</v>
      </c>
      <c r="R1692" s="107">
        <v>0</v>
      </c>
      <c r="S1692" s="107">
        <v>0</v>
      </c>
      <c r="T1692" s="107">
        <v>0</v>
      </c>
      <c r="U1692" s="107"/>
      <c r="V1692" s="107"/>
      <c r="W1692" s="107"/>
      <c r="X1692" s="107"/>
      <c r="Y1692" s="107"/>
      <c r="Z1692" s="107"/>
      <c r="AA1692" s="107"/>
      <c r="AB1692" s="107"/>
      <c r="AC1692" s="355"/>
      <c r="AD1692" s="355"/>
      <c r="AE1692" s="355"/>
      <c r="AF1692" s="94">
        <f t="shared" si="229"/>
        <v>42734</v>
      </c>
      <c r="AG1692" s="185">
        <f t="shared" si="233"/>
        <v>-8.5744728577836771E-3</v>
      </c>
      <c r="AH1692" s="339" t="str">
        <f>VLOOKUP(B1692,'MF PF'!A:B,2)</f>
        <v>FdMgt1</v>
      </c>
      <c r="AI1692" s="358">
        <f t="shared" si="230"/>
        <v>0</v>
      </c>
      <c r="AJ1692" s="94">
        <f t="shared" si="231"/>
        <v>42735</v>
      </c>
    </row>
    <row r="1693" spans="1:36" ht="12.75" customHeight="1">
      <c r="A1693" s="94">
        <v>42762</v>
      </c>
      <c r="B1693" s="94" t="s">
        <v>136</v>
      </c>
      <c r="C1693" s="358" t="s">
        <v>320</v>
      </c>
      <c r="D1693" s="374">
        <v>26905.18</v>
      </c>
      <c r="E1693" s="9" t="e">
        <f t="shared" si="234"/>
        <v>#DIV/0!</v>
      </c>
      <c r="F1693" s="98">
        <v>0.02</v>
      </c>
      <c r="G1693" s="98">
        <v>0</v>
      </c>
      <c r="H1693" s="98">
        <v>0</v>
      </c>
      <c r="I1693" s="98">
        <v>0</v>
      </c>
      <c r="J1693" s="98"/>
      <c r="L1693" s="93">
        <f t="shared" si="227"/>
        <v>0</v>
      </c>
      <c r="M1693" s="95" t="e">
        <f t="shared" ca="1" si="228"/>
        <v>#DIV/0!</v>
      </c>
      <c r="N1693" s="95">
        <f>IF(P1693="Hedge Fund",IF(A1693=Summary!$AD$3,M1693-E1693,M1693),IF(A1693=Summary!$AD$3,L1693-D1693,L1693))</f>
        <v>0</v>
      </c>
      <c r="O1693" s="95">
        <f t="shared" si="232"/>
        <v>0</v>
      </c>
      <c r="P1693" s="89" t="s">
        <v>155</v>
      </c>
      <c r="Q1693" s="107">
        <v>0</v>
      </c>
      <c r="R1693" s="107">
        <v>0</v>
      </c>
      <c r="S1693" s="107">
        <v>0</v>
      </c>
      <c r="T1693" s="107">
        <v>0</v>
      </c>
      <c r="U1693" s="107"/>
      <c r="V1693" s="107"/>
      <c r="W1693" s="107"/>
      <c r="X1693" s="107"/>
      <c r="Y1693" s="107"/>
      <c r="Z1693" s="107"/>
      <c r="AA1693" s="107"/>
      <c r="AB1693" s="107"/>
      <c r="AC1693" s="355"/>
      <c r="AD1693" s="355"/>
      <c r="AE1693" s="355"/>
      <c r="AF1693" s="94">
        <f t="shared" si="229"/>
        <v>42762</v>
      </c>
      <c r="AG1693" s="185">
        <f t="shared" si="233"/>
        <v>1.4575779687125756E-2</v>
      </c>
      <c r="AH1693" s="339" t="str">
        <f>VLOOKUP(B1693,'MF PF'!A:B,2)</f>
        <v>FdMgt1</v>
      </c>
      <c r="AI1693" s="358">
        <f t="shared" si="230"/>
        <v>0</v>
      </c>
      <c r="AJ1693" s="94">
        <f t="shared" si="231"/>
        <v>42766</v>
      </c>
    </row>
    <row r="1694" spans="1:36" ht="12.75" customHeight="1">
      <c r="A1694" s="94">
        <v>42794</v>
      </c>
      <c r="B1694" s="94" t="s">
        <v>136</v>
      </c>
      <c r="C1694" s="358" t="s">
        <v>320</v>
      </c>
      <c r="D1694" s="374">
        <v>28129.75</v>
      </c>
      <c r="E1694" s="9" t="e">
        <f t="shared" si="234"/>
        <v>#DIV/0!</v>
      </c>
      <c r="F1694" s="98">
        <v>0.02</v>
      </c>
      <c r="G1694" s="98">
        <v>0</v>
      </c>
      <c r="H1694" s="98">
        <v>0</v>
      </c>
      <c r="I1694" s="98">
        <v>0</v>
      </c>
      <c r="J1694" s="98"/>
      <c r="L1694" s="93">
        <f t="shared" si="227"/>
        <v>0</v>
      </c>
      <c r="M1694" s="95" t="e">
        <f t="shared" ca="1" si="228"/>
        <v>#DIV/0!</v>
      </c>
      <c r="N1694" s="95">
        <f>IF(P1694="Hedge Fund",IF(A1694=Summary!$AD$3,M1694-E1694,M1694),IF(A1694=Summary!$AD$3,L1694-D1694,L1694))</f>
        <v>0</v>
      </c>
      <c r="O1694" s="95">
        <f t="shared" si="232"/>
        <v>0</v>
      </c>
      <c r="P1694" s="89" t="s">
        <v>155</v>
      </c>
      <c r="Q1694" s="107">
        <v>0</v>
      </c>
      <c r="R1694" s="107">
        <v>0</v>
      </c>
      <c r="S1694" s="107">
        <v>0</v>
      </c>
      <c r="T1694" s="107">
        <v>0</v>
      </c>
      <c r="U1694" s="107"/>
      <c r="V1694" s="107"/>
      <c r="W1694" s="107"/>
      <c r="X1694" s="107"/>
      <c r="Y1694" s="107"/>
      <c r="Z1694" s="107"/>
      <c r="AA1694" s="107"/>
      <c r="AB1694" s="107"/>
      <c r="AC1694" s="355"/>
      <c r="AD1694" s="355"/>
      <c r="AE1694" s="355"/>
      <c r="AF1694" s="94">
        <f t="shared" si="229"/>
        <v>42794</v>
      </c>
      <c r="AG1694" s="185">
        <f t="shared" si="233"/>
        <v>4.5514283866526783E-2</v>
      </c>
      <c r="AH1694" s="339" t="str">
        <f>VLOOKUP(B1694,'MF PF'!A:B,2)</f>
        <v>FdMgt1</v>
      </c>
      <c r="AI1694" s="358">
        <f t="shared" si="230"/>
        <v>0</v>
      </c>
      <c r="AJ1694" s="94">
        <f t="shared" si="231"/>
        <v>42794</v>
      </c>
    </row>
    <row r="1695" spans="1:36" ht="12.75" customHeight="1">
      <c r="A1695" s="94">
        <v>42825</v>
      </c>
      <c r="B1695" s="94" t="s">
        <v>136</v>
      </c>
      <c r="C1695" s="358" t="s">
        <v>320</v>
      </c>
      <c r="D1695" s="374">
        <v>27842.63</v>
      </c>
      <c r="E1695" s="9" t="e">
        <f t="shared" si="234"/>
        <v>#DIV/0!</v>
      </c>
      <c r="F1695" s="98">
        <v>0.02</v>
      </c>
      <c r="G1695" s="98">
        <v>0</v>
      </c>
      <c r="H1695" s="98">
        <v>0</v>
      </c>
      <c r="I1695" s="98">
        <v>0</v>
      </c>
      <c r="J1695" s="98"/>
      <c r="L1695" s="93">
        <f t="shared" si="227"/>
        <v>0</v>
      </c>
      <c r="M1695" s="95" t="e">
        <f t="shared" ca="1" si="228"/>
        <v>#DIV/0!</v>
      </c>
      <c r="N1695" s="95">
        <f>IF(P1695="Hedge Fund",IF(A1695=Summary!$AD$3,M1695-E1695,M1695),IF(A1695=Summary!$AD$3,L1695-D1695,L1695))</f>
        <v>0</v>
      </c>
      <c r="O1695" s="95">
        <f t="shared" si="232"/>
        <v>0</v>
      </c>
      <c r="P1695" s="107" t="s">
        <v>155</v>
      </c>
      <c r="Q1695" s="107">
        <v>0</v>
      </c>
      <c r="R1695" s="107">
        <v>0</v>
      </c>
      <c r="S1695" s="107">
        <v>0</v>
      </c>
      <c r="T1695" s="107">
        <v>0</v>
      </c>
      <c r="U1695" s="107"/>
      <c r="V1695" s="107"/>
      <c r="W1695" s="107"/>
      <c r="X1695" s="107"/>
      <c r="Y1695" s="107"/>
      <c r="Z1695" s="107"/>
      <c r="AA1695" s="107"/>
      <c r="AB1695" s="107"/>
      <c r="AC1695" s="355"/>
      <c r="AD1695" s="355"/>
      <c r="AE1695" s="355"/>
      <c r="AF1695" s="94">
        <f t="shared" si="229"/>
        <v>42825</v>
      </c>
      <c r="AG1695" s="185">
        <f t="shared" si="233"/>
        <v>-1.020698726437308E-2</v>
      </c>
      <c r="AH1695" s="339" t="str">
        <f>VLOOKUP(B1695,'MF PF'!A:B,2)</f>
        <v>FdMgt1</v>
      </c>
      <c r="AI1695" s="358">
        <f t="shared" si="230"/>
        <v>0</v>
      </c>
      <c r="AJ1695" s="94">
        <f t="shared" si="231"/>
        <v>42825</v>
      </c>
    </row>
    <row r="1696" spans="1:36" ht="12.75" customHeight="1">
      <c r="A1696" s="94">
        <v>42853</v>
      </c>
      <c r="B1696" s="94" t="s">
        <v>136</v>
      </c>
      <c r="C1696" s="358" t="s">
        <v>320</v>
      </c>
      <c r="D1696" s="374">
        <v>27708.07</v>
      </c>
      <c r="E1696" s="9" t="e">
        <f t="shared" si="234"/>
        <v>#DIV/0!</v>
      </c>
      <c r="F1696" s="98">
        <v>0.02</v>
      </c>
      <c r="G1696" s="98">
        <v>0</v>
      </c>
      <c r="H1696" s="98">
        <v>0</v>
      </c>
      <c r="I1696" s="98">
        <v>0</v>
      </c>
      <c r="J1696" s="98"/>
      <c r="L1696" s="93">
        <f t="shared" si="227"/>
        <v>0</v>
      </c>
      <c r="M1696" s="95" t="e">
        <f t="shared" ca="1" si="228"/>
        <v>#DIV/0!</v>
      </c>
      <c r="N1696" s="95">
        <f>IF(P1696="Hedge Fund",IF(A1696=Summary!$AD$3,M1696-E1696,M1696),IF(A1696=Summary!$AD$3,L1696-D1696,L1696))</f>
        <v>0</v>
      </c>
      <c r="O1696" s="95">
        <f t="shared" si="232"/>
        <v>0</v>
      </c>
      <c r="P1696" s="107" t="s">
        <v>155</v>
      </c>
      <c r="Q1696" s="107">
        <v>0</v>
      </c>
      <c r="R1696" s="107">
        <v>0</v>
      </c>
      <c r="S1696" s="107">
        <v>0</v>
      </c>
      <c r="T1696" s="107">
        <v>0</v>
      </c>
      <c r="U1696" s="107"/>
      <c r="V1696" s="107"/>
      <c r="W1696" s="107"/>
      <c r="X1696" s="107"/>
      <c r="Y1696" s="107"/>
      <c r="Z1696" s="107"/>
      <c r="AA1696" s="107"/>
      <c r="AB1696" s="107"/>
      <c r="AC1696" s="355"/>
      <c r="AD1696" s="355"/>
      <c r="AE1696" s="355"/>
      <c r="AF1696" s="94">
        <f t="shared" si="229"/>
        <v>42853</v>
      </c>
      <c r="AG1696" s="185">
        <f t="shared" si="233"/>
        <v>-4.8328767792410465E-3</v>
      </c>
      <c r="AH1696" s="339" t="str">
        <f>VLOOKUP(B1696,'MF PF'!A:B,2)</f>
        <v>FdMgt1</v>
      </c>
      <c r="AI1696" s="358">
        <f t="shared" si="230"/>
        <v>0</v>
      </c>
      <c r="AJ1696" s="94">
        <f t="shared" si="231"/>
        <v>42855</v>
      </c>
    </row>
    <row r="1697" spans="1:36" ht="12.75" customHeight="1">
      <c r="A1697" s="94">
        <v>42886</v>
      </c>
      <c r="B1697" s="94" t="s">
        <v>136</v>
      </c>
      <c r="C1697" s="358" t="s">
        <v>320</v>
      </c>
      <c r="D1697" s="374">
        <v>26970.46</v>
      </c>
      <c r="E1697" s="9" t="e">
        <f t="shared" si="234"/>
        <v>#DIV/0!</v>
      </c>
      <c r="F1697" s="98">
        <v>0.02</v>
      </c>
      <c r="G1697" s="98">
        <v>0</v>
      </c>
      <c r="H1697" s="98">
        <v>0</v>
      </c>
      <c r="I1697" s="98">
        <v>0</v>
      </c>
      <c r="J1697" s="98"/>
      <c r="L1697" s="93">
        <f t="shared" si="227"/>
        <v>0</v>
      </c>
      <c r="M1697" s="95" t="e">
        <f t="shared" ca="1" si="228"/>
        <v>#DIV/0!</v>
      </c>
      <c r="N1697" s="95">
        <f>IF(P1697="Hedge Fund",IF(A1697=Summary!$AD$3,M1697-E1697,M1697),IF(A1697=Summary!$AD$3,L1697-D1697,L1697))</f>
        <v>0</v>
      </c>
      <c r="O1697" s="95">
        <f t="shared" si="232"/>
        <v>0</v>
      </c>
      <c r="P1697" s="107" t="s">
        <v>155</v>
      </c>
      <c r="Q1697" s="107">
        <v>0</v>
      </c>
      <c r="R1697" s="107">
        <v>0</v>
      </c>
      <c r="S1697" s="107">
        <v>0</v>
      </c>
      <c r="T1697" s="107">
        <v>0</v>
      </c>
      <c r="U1697" s="107"/>
      <c r="V1697" s="107"/>
      <c r="W1697" s="107"/>
      <c r="X1697" s="107"/>
      <c r="Y1697" s="107"/>
      <c r="Z1697" s="107"/>
      <c r="AA1697" s="107"/>
      <c r="AB1697" s="107"/>
      <c r="AC1697" s="355"/>
      <c r="AD1697" s="355"/>
      <c r="AE1697" s="355"/>
      <c r="AF1697" s="94">
        <f t="shared" si="229"/>
        <v>42886</v>
      </c>
      <c r="AG1697" s="185">
        <f t="shared" si="233"/>
        <v>-2.662076427553417E-2</v>
      </c>
      <c r="AH1697" s="339" t="str">
        <f>VLOOKUP(B1697,'MF PF'!A:B,2)</f>
        <v>FdMgt1</v>
      </c>
      <c r="AI1697" s="358">
        <f t="shared" si="230"/>
        <v>0</v>
      </c>
      <c r="AJ1697" s="94">
        <f t="shared" si="231"/>
        <v>42886</v>
      </c>
    </row>
    <row r="1698" spans="1:36" ht="12.75" customHeight="1">
      <c r="A1698" s="94">
        <v>42916</v>
      </c>
      <c r="B1698" s="94" t="s">
        <v>136</v>
      </c>
      <c r="C1698" s="358" t="s">
        <v>320</v>
      </c>
      <c r="D1698" s="374">
        <v>27976.92</v>
      </c>
      <c r="E1698" s="95" t="e">
        <f t="shared" si="234"/>
        <v>#DIV/0!</v>
      </c>
      <c r="F1698" s="98">
        <v>0.02</v>
      </c>
      <c r="G1698" s="98">
        <v>0</v>
      </c>
      <c r="H1698" s="98">
        <v>0</v>
      </c>
      <c r="I1698" s="98">
        <v>0</v>
      </c>
      <c r="J1698" s="98"/>
      <c r="L1698" s="93">
        <f t="shared" si="227"/>
        <v>0</v>
      </c>
      <c r="M1698" s="95" t="e">
        <f t="shared" ca="1" si="228"/>
        <v>#DIV/0!</v>
      </c>
      <c r="N1698" s="95">
        <f>IF(P1698="Hedge Fund",IF(A1698=Summary!$AD$3,M1698-E1698,M1698),IF(A1698=Summary!$AD$3,L1698-D1698,L1698))</f>
        <v>0</v>
      </c>
      <c r="O1698" s="95">
        <f t="shared" si="232"/>
        <v>0</v>
      </c>
      <c r="P1698" s="107" t="s">
        <v>155</v>
      </c>
      <c r="Q1698" s="107">
        <v>0</v>
      </c>
      <c r="R1698" s="107">
        <v>0</v>
      </c>
      <c r="S1698" s="107">
        <v>0</v>
      </c>
      <c r="T1698" s="107">
        <v>0</v>
      </c>
      <c r="U1698" s="107"/>
      <c r="V1698" s="107"/>
      <c r="W1698" s="107"/>
      <c r="X1698" s="107"/>
      <c r="Y1698" s="107"/>
      <c r="Z1698" s="107"/>
      <c r="AA1698" s="107"/>
      <c r="AB1698" s="107"/>
      <c r="AC1698" s="355"/>
      <c r="AD1698" s="355"/>
      <c r="AE1698" s="355"/>
      <c r="AF1698" s="94">
        <f t="shared" si="229"/>
        <v>42916</v>
      </c>
      <c r="AG1698" s="185">
        <f t="shared" si="233"/>
        <v>3.7317123994177193E-2</v>
      </c>
      <c r="AH1698" s="339" t="str">
        <f>VLOOKUP(B1698,'MF PF'!A:B,2)</f>
        <v>FdMgt1</v>
      </c>
      <c r="AI1698" s="358">
        <f t="shared" si="230"/>
        <v>0</v>
      </c>
      <c r="AJ1698" s="94">
        <f t="shared" si="231"/>
        <v>42916</v>
      </c>
    </row>
    <row r="1699" spans="1:36" ht="12.75" customHeight="1">
      <c r="A1699" s="94">
        <v>42947</v>
      </c>
      <c r="B1699" s="94" t="s">
        <v>136</v>
      </c>
      <c r="C1699" s="358" t="s">
        <v>320</v>
      </c>
      <c r="D1699" s="374">
        <v>28691.759999999998</v>
      </c>
      <c r="E1699" s="9" t="e">
        <f t="shared" si="234"/>
        <v>#DIV/0!</v>
      </c>
      <c r="F1699" s="98">
        <v>0.02</v>
      </c>
      <c r="G1699" s="98">
        <v>0</v>
      </c>
      <c r="H1699" s="98">
        <v>0</v>
      </c>
      <c r="I1699" s="98">
        <v>0</v>
      </c>
      <c r="J1699" s="98"/>
      <c r="K1699" s="93"/>
      <c r="L1699" s="93">
        <f t="shared" si="227"/>
        <v>0</v>
      </c>
      <c r="M1699" s="95" t="e">
        <f t="shared" ca="1" si="228"/>
        <v>#DIV/0!</v>
      </c>
      <c r="N1699" s="95">
        <f>IF(P1699="Hedge Fund",IF(A1699=Summary!$AD$3,M1699-E1699,M1699),IF(A1699=Summary!$AD$3,L1699-D1699,L1699))</f>
        <v>0</v>
      </c>
      <c r="O1699" s="95">
        <f t="shared" si="232"/>
        <v>0</v>
      </c>
      <c r="P1699" s="107" t="s">
        <v>155</v>
      </c>
      <c r="Q1699" s="107">
        <v>0</v>
      </c>
      <c r="R1699" s="107">
        <v>0</v>
      </c>
      <c r="S1699" s="107">
        <v>0</v>
      </c>
      <c r="T1699" s="107">
        <v>0</v>
      </c>
      <c r="U1699" s="107"/>
      <c r="V1699" s="107"/>
      <c r="W1699" s="107"/>
      <c r="X1699" s="107"/>
      <c r="Y1699" s="107"/>
      <c r="Z1699" s="107"/>
      <c r="AA1699" s="107"/>
      <c r="AB1699" s="107"/>
      <c r="AC1699" s="355"/>
      <c r="AD1699" s="355"/>
      <c r="AE1699" s="355"/>
      <c r="AF1699" s="94">
        <f t="shared" si="229"/>
        <v>42947</v>
      </c>
      <c r="AG1699" s="185">
        <f t="shared" si="233"/>
        <v>2.5551061374876172E-2</v>
      </c>
      <c r="AH1699" s="339" t="str">
        <f>VLOOKUP(B1699,'MF PF'!A:B,2)</f>
        <v>FdMgt1</v>
      </c>
      <c r="AI1699" s="358">
        <f t="shared" si="230"/>
        <v>0</v>
      </c>
      <c r="AJ1699" s="94">
        <f t="shared" si="231"/>
        <v>42947</v>
      </c>
    </row>
    <row r="1700" spans="1:36" ht="12.75" customHeight="1">
      <c r="A1700" s="94">
        <v>42978</v>
      </c>
      <c r="B1700" s="94" t="s">
        <v>136</v>
      </c>
      <c r="C1700" s="358" t="s">
        <v>320</v>
      </c>
      <c r="D1700" s="374">
        <v>28900</v>
      </c>
      <c r="E1700" s="95" t="e">
        <f t="shared" si="234"/>
        <v>#DIV/0!</v>
      </c>
      <c r="F1700" s="98">
        <v>0.02</v>
      </c>
      <c r="G1700" s="98">
        <v>0</v>
      </c>
      <c r="H1700" s="98">
        <v>0</v>
      </c>
      <c r="I1700" s="98">
        <v>0</v>
      </c>
      <c r="J1700" s="98"/>
      <c r="K1700" s="93"/>
      <c r="L1700" s="93">
        <f t="shared" si="227"/>
        <v>0</v>
      </c>
      <c r="M1700" s="95" t="e">
        <f t="shared" ca="1" si="228"/>
        <v>#DIV/0!</v>
      </c>
      <c r="N1700" s="95">
        <f>IF(P1700="Hedge Fund",IF(A1700=Summary!$AD$3,M1700-E1700,M1700),IF(A1700=Summary!$AD$3,L1700-D1700,L1700))</f>
        <v>0</v>
      </c>
      <c r="O1700" s="95">
        <f t="shared" si="232"/>
        <v>0</v>
      </c>
      <c r="P1700" s="89" t="s">
        <v>155</v>
      </c>
      <c r="Q1700" s="107">
        <v>0</v>
      </c>
      <c r="R1700" s="107">
        <v>0</v>
      </c>
      <c r="S1700" s="107">
        <v>0</v>
      </c>
      <c r="T1700" s="107">
        <v>0</v>
      </c>
      <c r="U1700" s="107"/>
      <c r="V1700" s="107"/>
      <c r="W1700" s="107"/>
      <c r="X1700" s="107"/>
      <c r="Y1700" s="107"/>
      <c r="Z1700" s="107"/>
      <c r="AA1700" s="107"/>
      <c r="AB1700" s="107"/>
      <c r="AC1700" s="355"/>
      <c r="AD1700" s="355"/>
      <c r="AE1700" s="355"/>
      <c r="AF1700" s="94">
        <f t="shared" si="229"/>
        <v>42978</v>
      </c>
      <c r="AG1700" s="185">
        <f t="shared" si="233"/>
        <v>7.2578329109125317E-3</v>
      </c>
      <c r="AH1700" s="339" t="str">
        <f>VLOOKUP(B1700,'MF PF'!A:B,2)</f>
        <v>FdMgt1</v>
      </c>
      <c r="AI1700" s="358">
        <f t="shared" si="230"/>
        <v>0</v>
      </c>
      <c r="AJ1700" s="94">
        <f t="shared" si="231"/>
        <v>42978</v>
      </c>
    </row>
    <row r="1701" spans="1:36" ht="12.75" customHeight="1">
      <c r="A1701" s="94">
        <v>43007</v>
      </c>
      <c r="B1701" s="94" t="s">
        <v>136</v>
      </c>
      <c r="C1701" s="358" t="s">
        <v>320</v>
      </c>
      <c r="D1701" s="374">
        <v>28690.676788204917</v>
      </c>
      <c r="E1701" s="95" t="e">
        <f t="shared" si="234"/>
        <v>#DIV/0!</v>
      </c>
      <c r="F1701" s="98">
        <v>0.02</v>
      </c>
      <c r="G1701" s="98">
        <v>0</v>
      </c>
      <c r="H1701" s="98">
        <v>0</v>
      </c>
      <c r="I1701" s="98">
        <v>0</v>
      </c>
      <c r="J1701" s="98"/>
      <c r="K1701" s="93"/>
      <c r="L1701" s="93">
        <f t="shared" si="227"/>
        <v>0</v>
      </c>
      <c r="M1701" s="95" t="e">
        <f t="shared" ca="1" si="228"/>
        <v>#DIV/0!</v>
      </c>
      <c r="N1701" s="95">
        <f>IF(P1701="Hedge Fund",IF(A1701=Summary!$AD$3,M1701-E1701,M1701),IF(A1701=Summary!$AD$3,L1701-D1701,L1701))</f>
        <v>0</v>
      </c>
      <c r="O1701" s="95">
        <f t="shared" si="232"/>
        <v>0</v>
      </c>
      <c r="P1701" s="89" t="s">
        <v>155</v>
      </c>
      <c r="Q1701" s="107">
        <v>0</v>
      </c>
      <c r="R1701" s="107">
        <v>0</v>
      </c>
      <c r="S1701" s="107">
        <v>0</v>
      </c>
      <c r="T1701" s="107">
        <v>0</v>
      </c>
      <c r="U1701" s="107"/>
      <c r="V1701" s="107"/>
      <c r="W1701" s="107"/>
      <c r="X1701" s="107"/>
      <c r="Y1701" s="107"/>
      <c r="Z1701" s="107"/>
      <c r="AA1701" s="107"/>
      <c r="AB1701" s="107"/>
      <c r="AC1701" s="355"/>
      <c r="AD1701" s="355"/>
      <c r="AE1701" s="355"/>
      <c r="AF1701" s="94">
        <f t="shared" si="229"/>
        <v>43007</v>
      </c>
      <c r="AG1701" s="185">
        <f t="shared" si="233"/>
        <v>-7.2430177091724612E-3</v>
      </c>
      <c r="AH1701" s="339" t="str">
        <f>VLOOKUP(B1701,'MF PF'!A:B,2)</f>
        <v>FdMgt1</v>
      </c>
      <c r="AI1701" s="358">
        <f t="shared" si="230"/>
        <v>0</v>
      </c>
      <c r="AJ1701" s="94">
        <f t="shared" si="231"/>
        <v>43008</v>
      </c>
    </row>
    <row r="1702" spans="1:36" ht="12.75" customHeight="1">
      <c r="A1702" s="94">
        <v>43039</v>
      </c>
      <c r="B1702" s="94" t="s">
        <v>136</v>
      </c>
      <c r="C1702" s="358" t="s">
        <v>320</v>
      </c>
      <c r="D1702" s="374">
        <v>28900</v>
      </c>
      <c r="E1702" s="9" t="e">
        <f t="shared" si="234"/>
        <v>#DIV/0!</v>
      </c>
      <c r="F1702" s="98">
        <v>0.02</v>
      </c>
      <c r="G1702" s="98">
        <v>0</v>
      </c>
      <c r="H1702" s="98">
        <v>0</v>
      </c>
      <c r="I1702" s="98">
        <v>0</v>
      </c>
      <c r="J1702" s="98"/>
      <c r="K1702" s="93"/>
      <c r="L1702" s="93">
        <f t="shared" si="227"/>
        <v>0</v>
      </c>
      <c r="M1702" s="95" t="e">
        <f t="shared" ca="1" si="228"/>
        <v>#DIV/0!</v>
      </c>
      <c r="N1702" s="95">
        <f>IF(P1702="Hedge Fund",IF(A1702=Summary!$AD$3,M1702-E1702,M1702),IF(A1702=Summary!$AD$3,L1702-D1702,L1702))</f>
        <v>0</v>
      </c>
      <c r="O1702" s="95">
        <f t="shared" si="232"/>
        <v>0</v>
      </c>
      <c r="P1702" s="89" t="s">
        <v>155</v>
      </c>
      <c r="Q1702" s="107">
        <v>0</v>
      </c>
      <c r="R1702" s="107">
        <v>0</v>
      </c>
      <c r="S1702" s="107">
        <v>0</v>
      </c>
      <c r="T1702" s="107">
        <v>0</v>
      </c>
      <c r="U1702" s="107"/>
      <c r="V1702" s="107"/>
      <c r="W1702" s="107"/>
      <c r="X1702" s="107"/>
      <c r="Y1702" s="107"/>
      <c r="Z1702" s="107"/>
      <c r="AA1702" s="107"/>
      <c r="AB1702" s="107"/>
      <c r="AC1702" s="355"/>
      <c r="AD1702" s="355"/>
      <c r="AE1702" s="355"/>
      <c r="AF1702" s="94">
        <f t="shared" si="229"/>
        <v>43039</v>
      </c>
      <c r="AG1702" s="185">
        <f t="shared" si="233"/>
        <v>7.2958617651410762E-3</v>
      </c>
      <c r="AH1702" s="339" t="str">
        <f>VLOOKUP(B1702,'MF PF'!A:B,2)</f>
        <v>FdMgt1</v>
      </c>
      <c r="AI1702" s="358">
        <f t="shared" si="230"/>
        <v>0</v>
      </c>
      <c r="AJ1702" s="94">
        <f t="shared" si="231"/>
        <v>43039</v>
      </c>
    </row>
    <row r="1703" spans="1:36" ht="12.75" customHeight="1">
      <c r="A1703" s="94">
        <v>43069</v>
      </c>
      <c r="B1703" s="94" t="s">
        <v>136</v>
      </c>
      <c r="C1703" s="358" t="s">
        <v>320</v>
      </c>
      <c r="D1703" s="374">
        <v>29000</v>
      </c>
      <c r="E1703" s="9" t="e">
        <f t="shared" si="234"/>
        <v>#DIV/0!</v>
      </c>
      <c r="F1703" s="98">
        <v>0.02</v>
      </c>
      <c r="G1703" s="98">
        <v>0</v>
      </c>
      <c r="H1703" s="98">
        <v>0</v>
      </c>
      <c r="I1703" s="98">
        <v>0</v>
      </c>
      <c r="J1703" s="98"/>
      <c r="K1703" s="93"/>
      <c r="L1703" s="93">
        <f t="shared" si="227"/>
        <v>0</v>
      </c>
      <c r="M1703" s="95" t="e">
        <f t="shared" ca="1" si="228"/>
        <v>#DIV/0!</v>
      </c>
      <c r="N1703" s="95">
        <f>IF(P1703="Hedge Fund",IF(A1703=Summary!$AD$3,M1703-E1703,M1703),IF(A1703=Summary!$AD$3,L1703-D1703,L1703))</f>
        <v>0</v>
      </c>
      <c r="O1703" s="95">
        <f t="shared" si="232"/>
        <v>0</v>
      </c>
      <c r="P1703" s="89" t="s">
        <v>155</v>
      </c>
      <c r="Q1703" s="107">
        <v>0</v>
      </c>
      <c r="R1703" s="107">
        <v>0</v>
      </c>
      <c r="S1703" s="107">
        <v>0</v>
      </c>
      <c r="T1703" s="107">
        <v>0</v>
      </c>
      <c r="U1703" s="107"/>
      <c r="V1703" s="107"/>
      <c r="W1703" s="107"/>
      <c r="X1703" s="107"/>
      <c r="Y1703" s="107"/>
      <c r="Z1703" s="107"/>
      <c r="AA1703" s="107"/>
      <c r="AB1703" s="107"/>
      <c r="AC1703" s="355"/>
      <c r="AD1703" s="355"/>
      <c r="AE1703" s="355"/>
      <c r="AF1703" s="94">
        <f t="shared" si="229"/>
        <v>43069</v>
      </c>
      <c r="AG1703" s="185">
        <f t="shared" si="233"/>
        <v>3.4602076124568004E-3</v>
      </c>
      <c r="AH1703" s="339" t="str">
        <f>VLOOKUP(B1703,'MF PF'!A:B,2)</f>
        <v>FdMgt1</v>
      </c>
      <c r="AI1703" s="358">
        <f t="shared" si="230"/>
        <v>0</v>
      </c>
      <c r="AJ1703" s="94">
        <f t="shared" si="231"/>
        <v>43069</v>
      </c>
    </row>
    <row r="1704" spans="1:36" ht="12.75" customHeight="1">
      <c r="A1704" s="94">
        <v>43098</v>
      </c>
      <c r="B1704" s="94" t="s">
        <v>136</v>
      </c>
      <c r="C1704" s="358" t="s">
        <v>320</v>
      </c>
      <c r="D1704" s="374">
        <v>29800</v>
      </c>
      <c r="E1704" s="9" t="e">
        <f t="shared" si="234"/>
        <v>#DIV/0!</v>
      </c>
      <c r="F1704" s="98">
        <v>0.02</v>
      </c>
      <c r="G1704" s="98">
        <v>0</v>
      </c>
      <c r="H1704" s="98">
        <v>0</v>
      </c>
      <c r="I1704" s="98">
        <v>0</v>
      </c>
      <c r="J1704" s="98"/>
      <c r="K1704" s="93"/>
      <c r="L1704" s="93">
        <f t="shared" si="227"/>
        <v>0</v>
      </c>
      <c r="M1704" s="95" t="e">
        <f t="shared" ca="1" si="228"/>
        <v>#DIV/0!</v>
      </c>
      <c r="N1704" s="95">
        <f>IF(P1704="Hedge Fund",IF(A1704=Summary!$AD$3,M1704-E1704,M1704),IF(A1704=Summary!$AD$3,L1704-D1704,L1704))</f>
        <v>0</v>
      </c>
      <c r="O1704" s="95">
        <f t="shared" si="232"/>
        <v>0</v>
      </c>
      <c r="P1704" s="89" t="s">
        <v>155</v>
      </c>
      <c r="Q1704" s="107">
        <v>0</v>
      </c>
      <c r="R1704" s="107">
        <v>0</v>
      </c>
      <c r="S1704" s="107">
        <v>0</v>
      </c>
      <c r="T1704" s="107">
        <v>0</v>
      </c>
      <c r="U1704" s="107"/>
      <c r="V1704" s="107"/>
      <c r="W1704" s="107"/>
      <c r="X1704" s="107"/>
      <c r="Y1704" s="107"/>
      <c r="Z1704" s="107"/>
      <c r="AA1704" s="107"/>
      <c r="AB1704" s="107"/>
      <c r="AC1704" s="355"/>
      <c r="AD1704" s="355"/>
      <c r="AE1704" s="355"/>
      <c r="AF1704" s="94">
        <f t="shared" si="229"/>
        <v>43098</v>
      </c>
      <c r="AG1704" s="185">
        <f t="shared" si="233"/>
        <v>2.7586206896551779E-2</v>
      </c>
      <c r="AH1704" s="339" t="str">
        <f>VLOOKUP(B1704,'MF PF'!A:B,2)</f>
        <v>FdMgt1</v>
      </c>
      <c r="AI1704" s="358">
        <f t="shared" si="230"/>
        <v>0</v>
      </c>
      <c r="AJ1704" s="94">
        <f t="shared" si="231"/>
        <v>43100</v>
      </c>
    </row>
    <row r="1705" spans="1:36" ht="12.75" customHeight="1">
      <c r="A1705" s="94">
        <v>43131</v>
      </c>
      <c r="B1705" s="94" t="s">
        <v>136</v>
      </c>
      <c r="C1705" s="358" t="s">
        <v>320</v>
      </c>
      <c r="D1705" s="374">
        <v>30200</v>
      </c>
      <c r="E1705" s="9" t="e">
        <f t="shared" si="234"/>
        <v>#DIV/0!</v>
      </c>
      <c r="F1705" s="98">
        <v>0.02</v>
      </c>
      <c r="G1705" s="98">
        <v>0</v>
      </c>
      <c r="H1705" s="98">
        <v>0</v>
      </c>
      <c r="I1705" s="98">
        <v>0</v>
      </c>
      <c r="J1705" s="98"/>
      <c r="K1705" s="93"/>
      <c r="L1705" s="93">
        <f t="shared" si="227"/>
        <v>0</v>
      </c>
      <c r="M1705" s="95" t="e">
        <f t="shared" ca="1" si="228"/>
        <v>#DIV/0!</v>
      </c>
      <c r="N1705" s="95">
        <f>IF(P1705="Hedge Fund",IF(A1705=Summary!$AD$3,M1705-E1705,M1705),IF(A1705=Summary!$AD$3,L1705-D1705,L1705))</f>
        <v>0</v>
      </c>
      <c r="O1705" s="95">
        <f t="shared" si="232"/>
        <v>0</v>
      </c>
      <c r="P1705" s="89" t="s">
        <v>155</v>
      </c>
      <c r="Q1705" s="107">
        <v>0</v>
      </c>
      <c r="R1705" s="107">
        <v>0</v>
      </c>
      <c r="S1705" s="107">
        <v>0</v>
      </c>
      <c r="T1705" s="107">
        <v>0</v>
      </c>
      <c r="U1705" s="107"/>
      <c r="V1705" s="107"/>
      <c r="W1705" s="107"/>
      <c r="X1705" s="107"/>
      <c r="Y1705" s="107"/>
      <c r="Z1705" s="107"/>
      <c r="AA1705" s="107"/>
      <c r="AB1705" s="107"/>
      <c r="AC1705" s="355"/>
      <c r="AD1705" s="355"/>
      <c r="AE1705" s="355"/>
      <c r="AF1705" s="94">
        <f t="shared" si="229"/>
        <v>43131</v>
      </c>
      <c r="AG1705" s="185">
        <f t="shared" si="233"/>
        <v>1.3422818791946289E-2</v>
      </c>
      <c r="AH1705" s="339" t="str">
        <f>VLOOKUP(B1705,'MF PF'!A:B,2)</f>
        <v>FdMgt1</v>
      </c>
      <c r="AI1705" s="358">
        <f t="shared" si="230"/>
        <v>0</v>
      </c>
      <c r="AJ1705" s="94">
        <f t="shared" si="231"/>
        <v>43131</v>
      </c>
    </row>
    <row r="1706" spans="1:36" ht="12.75" customHeight="1">
      <c r="A1706" s="94">
        <v>43159</v>
      </c>
      <c r="B1706" s="94" t="s">
        <v>136</v>
      </c>
      <c r="C1706" s="358" t="s">
        <v>320</v>
      </c>
      <c r="D1706" s="374">
        <v>30495.759999999998</v>
      </c>
      <c r="E1706" s="9" t="e">
        <f t="shared" si="234"/>
        <v>#DIV/0!</v>
      </c>
      <c r="F1706" s="98">
        <v>0.02</v>
      </c>
      <c r="G1706" s="98">
        <v>0</v>
      </c>
      <c r="H1706" s="98">
        <v>0</v>
      </c>
      <c r="I1706" s="98">
        <v>0</v>
      </c>
      <c r="J1706" s="98"/>
      <c r="K1706" s="93"/>
      <c r="L1706" s="93">
        <f t="shared" si="227"/>
        <v>0</v>
      </c>
      <c r="M1706" s="95" t="e">
        <f t="shared" ca="1" si="228"/>
        <v>#DIV/0!</v>
      </c>
      <c r="N1706" s="95">
        <f>IF(P1706="Hedge Fund",IF(A1706=Summary!$AD$3,M1706-E1706,M1706),IF(A1706=Summary!$AD$3,L1706-D1706,L1706))</f>
        <v>0</v>
      </c>
      <c r="O1706" s="95">
        <f t="shared" si="232"/>
        <v>0</v>
      </c>
      <c r="P1706" s="89" t="s">
        <v>155</v>
      </c>
      <c r="Q1706" s="107">
        <v>0</v>
      </c>
      <c r="R1706" s="107">
        <v>0</v>
      </c>
      <c r="S1706" s="107">
        <v>0</v>
      </c>
      <c r="T1706" s="107">
        <v>0</v>
      </c>
      <c r="U1706" s="107"/>
      <c r="V1706" s="107"/>
      <c r="W1706" s="107"/>
      <c r="X1706" s="107"/>
      <c r="Y1706" s="107"/>
      <c r="Z1706" s="107"/>
      <c r="AA1706" s="107"/>
      <c r="AB1706" s="107"/>
      <c r="AC1706" s="355"/>
      <c r="AD1706" s="355"/>
      <c r="AE1706" s="355"/>
      <c r="AF1706" s="94">
        <f t="shared" si="229"/>
        <v>43159</v>
      </c>
      <c r="AG1706" s="185">
        <f t="shared" si="233"/>
        <v>9.793377483443555E-3</v>
      </c>
      <c r="AH1706" s="339" t="str">
        <f>VLOOKUP(B1706,'MF PF'!A:B,2)</f>
        <v>FdMgt1</v>
      </c>
      <c r="AI1706" s="358">
        <f t="shared" si="230"/>
        <v>0</v>
      </c>
      <c r="AJ1706" s="94">
        <f t="shared" si="231"/>
        <v>43159</v>
      </c>
    </row>
    <row r="1707" spans="1:36" ht="12.75" customHeight="1">
      <c r="A1707" s="94">
        <v>43188</v>
      </c>
      <c r="B1707" s="94" t="s">
        <v>136</v>
      </c>
      <c r="C1707" s="358" t="s">
        <v>320</v>
      </c>
      <c r="D1707" s="374">
        <v>30758.42</v>
      </c>
      <c r="E1707" s="9" t="e">
        <f t="shared" si="234"/>
        <v>#DIV/0!</v>
      </c>
      <c r="F1707" s="98">
        <v>0.02</v>
      </c>
      <c r="G1707" s="98">
        <v>0</v>
      </c>
      <c r="H1707" s="98">
        <v>0</v>
      </c>
      <c r="I1707" s="98">
        <v>0</v>
      </c>
      <c r="J1707" s="98"/>
      <c r="K1707" s="93"/>
      <c r="L1707" s="93">
        <f t="shared" si="227"/>
        <v>0</v>
      </c>
      <c r="M1707" s="95" t="e">
        <f t="shared" ca="1" si="228"/>
        <v>#DIV/0!</v>
      </c>
      <c r="N1707" s="95">
        <f>IF(P1707="Hedge Fund",IF(A1707=Summary!$AD$3,M1707-E1707,M1707),IF(A1707=Summary!$AD$3,L1707-D1707,L1707))</f>
        <v>0</v>
      </c>
      <c r="O1707" s="95">
        <f t="shared" si="232"/>
        <v>0</v>
      </c>
      <c r="P1707" s="89" t="s">
        <v>155</v>
      </c>
      <c r="Q1707" s="109">
        <v>0</v>
      </c>
      <c r="R1707" s="109">
        <v>0</v>
      </c>
      <c r="S1707" s="107">
        <v>0</v>
      </c>
      <c r="T1707" s="107">
        <v>0</v>
      </c>
      <c r="U1707" s="107"/>
      <c r="V1707" s="107"/>
      <c r="W1707" s="107"/>
      <c r="X1707" s="107"/>
      <c r="Y1707" s="107"/>
      <c r="Z1707" s="107"/>
      <c r="AA1707" s="107"/>
      <c r="AB1707" s="107"/>
      <c r="AC1707" s="355"/>
      <c r="AD1707" s="355"/>
      <c r="AE1707" s="355"/>
      <c r="AF1707" s="94">
        <f t="shared" si="229"/>
        <v>43188</v>
      </c>
      <c r="AG1707" s="185">
        <f t="shared" si="233"/>
        <v>8.6130006269724557E-3</v>
      </c>
      <c r="AH1707" s="339" t="str">
        <f>VLOOKUP(B1707,'MF PF'!A:B,2)</f>
        <v>FdMgt1</v>
      </c>
      <c r="AI1707" s="358">
        <f t="shared" si="230"/>
        <v>0</v>
      </c>
      <c r="AJ1707" s="94">
        <f t="shared" si="231"/>
        <v>43190</v>
      </c>
    </row>
    <row r="1708" spans="1:36" s="92" customFormat="1" ht="12.75" customHeight="1">
      <c r="A1708" s="94">
        <v>43220</v>
      </c>
      <c r="B1708" s="94" t="s">
        <v>136</v>
      </c>
      <c r="C1708" s="358" t="s">
        <v>320</v>
      </c>
      <c r="D1708" s="374">
        <v>31015.279999999999</v>
      </c>
      <c r="E1708" s="95" t="e">
        <f t="shared" si="234"/>
        <v>#DIV/0!</v>
      </c>
      <c r="F1708" s="98">
        <v>0.02</v>
      </c>
      <c r="G1708" s="98">
        <v>0</v>
      </c>
      <c r="H1708" s="98">
        <v>0</v>
      </c>
      <c r="I1708" s="98">
        <v>0</v>
      </c>
      <c r="J1708" s="98"/>
      <c r="K1708" s="93"/>
      <c r="L1708" s="93">
        <f t="shared" si="227"/>
        <v>0</v>
      </c>
      <c r="M1708" s="95" t="e">
        <f t="shared" ca="1" si="228"/>
        <v>#DIV/0!</v>
      </c>
      <c r="N1708" s="95">
        <f>IF(P1708="Hedge Fund",IF(A1708=Summary!$AD$3,M1708-E1708,M1708),IF(A1708=Summary!$AD$3,L1708-D1708,L1708))</f>
        <v>0</v>
      </c>
      <c r="O1708" s="95">
        <f t="shared" si="232"/>
        <v>0</v>
      </c>
      <c r="P1708" s="107" t="s">
        <v>155</v>
      </c>
      <c r="Q1708" s="109">
        <v>0</v>
      </c>
      <c r="R1708" s="109">
        <v>0</v>
      </c>
      <c r="S1708" s="107">
        <v>0</v>
      </c>
      <c r="T1708" s="107">
        <v>0</v>
      </c>
      <c r="U1708" s="107"/>
      <c r="V1708" s="107"/>
      <c r="W1708" s="107"/>
      <c r="X1708" s="107"/>
      <c r="Y1708" s="107"/>
      <c r="Z1708" s="107"/>
      <c r="AA1708" s="107"/>
      <c r="AB1708" s="107"/>
      <c r="AC1708" s="355"/>
      <c r="AD1708" s="355"/>
      <c r="AE1708" s="355"/>
      <c r="AF1708" s="94">
        <f t="shared" si="229"/>
        <v>43220</v>
      </c>
      <c r="AG1708" s="185">
        <f t="shared" si="233"/>
        <v>8.3508840831225672E-3</v>
      </c>
      <c r="AH1708" s="339" t="str">
        <f>VLOOKUP(B1708,'MF PF'!A:B,2)</f>
        <v>FdMgt1</v>
      </c>
      <c r="AI1708" s="358">
        <f t="shared" si="230"/>
        <v>0</v>
      </c>
      <c r="AJ1708" s="94">
        <f t="shared" si="231"/>
        <v>43220</v>
      </c>
    </row>
    <row r="1709" spans="1:36" ht="12.75" customHeight="1">
      <c r="A1709" s="94">
        <v>43251</v>
      </c>
      <c r="B1709" s="358" t="s">
        <v>136</v>
      </c>
      <c r="C1709" s="94" t="s">
        <v>320</v>
      </c>
      <c r="D1709" s="374">
        <v>31243.23</v>
      </c>
      <c r="E1709" s="95" t="e">
        <f t="shared" si="234"/>
        <v>#DIV/0!</v>
      </c>
      <c r="F1709" s="98">
        <v>0.02</v>
      </c>
      <c r="G1709" s="98">
        <v>0</v>
      </c>
      <c r="H1709" s="98">
        <v>0</v>
      </c>
      <c r="I1709" s="110">
        <v>0</v>
      </c>
      <c r="J1709" s="110"/>
      <c r="K1709" s="93"/>
      <c r="L1709" s="93">
        <f t="shared" si="227"/>
        <v>0</v>
      </c>
      <c r="M1709" s="95" t="e">
        <f t="shared" ca="1" si="228"/>
        <v>#DIV/0!</v>
      </c>
      <c r="N1709" s="95">
        <f>IF(P1709="Hedge Fund",IF(A1709=Summary!$AD$3,M1709-E1709,M1709),IF(A1709=Summary!$AD$3,L1709-D1709,L1709))</f>
        <v>0</v>
      </c>
      <c r="O1709" s="95">
        <f t="shared" si="232"/>
        <v>0</v>
      </c>
      <c r="P1709" s="107" t="s">
        <v>155</v>
      </c>
      <c r="Q1709" s="109">
        <v>0</v>
      </c>
      <c r="R1709" s="107">
        <v>0</v>
      </c>
      <c r="S1709" s="107">
        <v>0</v>
      </c>
      <c r="T1709" s="107">
        <v>0</v>
      </c>
      <c r="U1709" s="107"/>
      <c r="V1709" s="107"/>
      <c r="W1709" s="107"/>
      <c r="X1709" s="107"/>
      <c r="Y1709" s="107"/>
      <c r="Z1709" s="107"/>
      <c r="AA1709" s="107"/>
      <c r="AB1709" s="107"/>
      <c r="AC1709" s="355"/>
      <c r="AD1709" s="355"/>
      <c r="AE1709" s="355"/>
      <c r="AF1709" s="94">
        <f t="shared" si="229"/>
        <v>43251</v>
      </c>
      <c r="AG1709" s="185">
        <f t="shared" si="233"/>
        <v>7.3496031633439873E-3</v>
      </c>
      <c r="AH1709" s="339" t="str">
        <f>VLOOKUP(B1709,'MF PF'!A:B,2)</f>
        <v>FdMgt1</v>
      </c>
      <c r="AI1709" s="358">
        <f t="shared" si="230"/>
        <v>0</v>
      </c>
      <c r="AJ1709" s="94">
        <f t="shared" si="231"/>
        <v>43251</v>
      </c>
    </row>
    <row r="1710" spans="1:36" ht="12.75" customHeight="1">
      <c r="A1710" s="94">
        <v>43280</v>
      </c>
      <c r="B1710" s="358" t="s">
        <v>136</v>
      </c>
      <c r="C1710" s="94" t="s">
        <v>320</v>
      </c>
      <c r="D1710" s="374">
        <v>31578.23</v>
      </c>
      <c r="E1710" s="9" t="e">
        <f t="shared" si="234"/>
        <v>#DIV/0!</v>
      </c>
      <c r="F1710" s="98">
        <v>0.02</v>
      </c>
      <c r="G1710" s="98">
        <v>0</v>
      </c>
      <c r="H1710" s="98">
        <v>0</v>
      </c>
      <c r="I1710" s="110">
        <v>0</v>
      </c>
      <c r="J1710" s="110"/>
      <c r="K1710" s="93"/>
      <c r="L1710" s="93">
        <f t="shared" si="227"/>
        <v>0</v>
      </c>
      <c r="M1710" s="95" t="e">
        <f t="shared" ca="1" si="228"/>
        <v>#DIV/0!</v>
      </c>
      <c r="N1710" s="95">
        <f>IF(P1710="Hedge Fund",IF(A1710=Summary!$AD$3,M1710-E1710,M1710),IF(A1710=Summary!$AD$3,L1710-D1710,L1710))</f>
        <v>0</v>
      </c>
      <c r="O1710" s="95">
        <f t="shared" si="232"/>
        <v>0</v>
      </c>
      <c r="P1710" s="107" t="s">
        <v>155</v>
      </c>
      <c r="Q1710" s="109">
        <v>0</v>
      </c>
      <c r="R1710" s="107">
        <v>0</v>
      </c>
      <c r="S1710" s="107">
        <v>0</v>
      </c>
      <c r="T1710" s="107">
        <v>0</v>
      </c>
      <c r="U1710" s="107"/>
      <c r="V1710" s="107"/>
      <c r="W1710" s="107"/>
      <c r="X1710" s="107"/>
      <c r="Y1710" s="107"/>
      <c r="Z1710" s="107"/>
      <c r="AA1710" s="107"/>
      <c r="AB1710" s="107"/>
      <c r="AC1710" s="355"/>
      <c r="AD1710" s="355"/>
      <c r="AE1710" s="355"/>
      <c r="AF1710" s="94">
        <f t="shared" si="229"/>
        <v>43280</v>
      </c>
      <c r="AG1710" s="185">
        <f t="shared" si="233"/>
        <v>1.0722322884029634E-2</v>
      </c>
      <c r="AH1710" s="339" t="str">
        <f>VLOOKUP(B1710,'MF PF'!A:B,2)</f>
        <v>FdMgt1</v>
      </c>
      <c r="AI1710" s="358">
        <f t="shared" si="230"/>
        <v>0</v>
      </c>
      <c r="AJ1710" s="94">
        <f t="shared" si="231"/>
        <v>43281</v>
      </c>
    </row>
    <row r="1711" spans="1:36" ht="12.75" customHeight="1">
      <c r="A1711" s="94">
        <v>43312</v>
      </c>
      <c r="B1711" s="358" t="s">
        <v>136</v>
      </c>
      <c r="C1711" s="94" t="s">
        <v>320</v>
      </c>
      <c r="D1711" s="374">
        <v>31420.67</v>
      </c>
      <c r="E1711" s="9" t="str">
        <f>IF(K1711="","",D1711/K1711)</f>
        <v/>
      </c>
      <c r="F1711" s="98">
        <v>0.02</v>
      </c>
      <c r="G1711" s="98">
        <v>0</v>
      </c>
      <c r="H1711" s="98">
        <v>0</v>
      </c>
      <c r="I1711" s="98">
        <v>0</v>
      </c>
      <c r="J1711" s="98"/>
      <c r="K1711" s="93"/>
      <c r="L1711" s="93">
        <f t="shared" si="227"/>
        <v>0</v>
      </c>
      <c r="M1711" s="95" t="e">
        <f t="shared" ca="1" si="228"/>
        <v>#DIV/0!</v>
      </c>
      <c r="N1711" s="95">
        <f>IF(P1711="Hedge Fund",IF(A1711=Summary!$AD$3,M1711-E1711,M1711),IF(A1711=Summary!$AD$3,L1711-D1711,L1711))</f>
        <v>0</v>
      </c>
      <c r="O1711" s="95">
        <f t="shared" si="232"/>
        <v>0</v>
      </c>
      <c r="P1711" s="107" t="s">
        <v>155</v>
      </c>
      <c r="Q1711" s="107">
        <v>0</v>
      </c>
      <c r="R1711" s="107">
        <v>0</v>
      </c>
      <c r="S1711" s="107">
        <v>0</v>
      </c>
      <c r="T1711" s="107">
        <v>0</v>
      </c>
      <c r="U1711" s="107"/>
      <c r="V1711" s="107"/>
      <c r="W1711" s="107"/>
      <c r="X1711" s="107"/>
      <c r="Y1711" s="107"/>
      <c r="Z1711" s="107"/>
      <c r="AA1711" s="107"/>
      <c r="AB1711" s="107"/>
      <c r="AC1711" s="355"/>
      <c r="AD1711" s="355"/>
      <c r="AE1711" s="355"/>
      <c r="AF1711" s="94">
        <f t="shared" si="229"/>
        <v>43312</v>
      </c>
      <c r="AG1711" s="185">
        <f t="shared" si="233"/>
        <v>-4.9895133451115514E-3</v>
      </c>
      <c r="AH1711" s="339" t="str">
        <f>VLOOKUP(B1711,'MF PF'!A:B,2)</f>
        <v>FdMgt1</v>
      </c>
      <c r="AI1711" s="358">
        <f t="shared" si="230"/>
        <v>0</v>
      </c>
      <c r="AJ1711" s="94">
        <f t="shared" si="231"/>
        <v>43312</v>
      </c>
    </row>
    <row r="1712" spans="1:36" ht="12.75" customHeight="1">
      <c r="A1712" s="94">
        <v>43343</v>
      </c>
      <c r="B1712" s="358" t="s">
        <v>136</v>
      </c>
      <c r="C1712" s="94" t="s">
        <v>320</v>
      </c>
      <c r="D1712" s="374">
        <v>31539.040000000001</v>
      </c>
      <c r="E1712" s="9" t="str">
        <f>IF(K1712="","",D1712/K1712)</f>
        <v/>
      </c>
      <c r="F1712" s="98">
        <v>0.02</v>
      </c>
      <c r="G1712" s="98">
        <v>0</v>
      </c>
      <c r="H1712" s="98">
        <v>0</v>
      </c>
      <c r="I1712" s="98">
        <v>0</v>
      </c>
      <c r="J1712" s="98"/>
      <c r="K1712" s="93"/>
      <c r="L1712" s="93">
        <f t="shared" si="227"/>
        <v>0</v>
      </c>
      <c r="M1712" s="95" t="e">
        <f t="shared" ca="1" si="228"/>
        <v>#DIV/0!</v>
      </c>
      <c r="N1712" s="95">
        <f>IF(P1712="Hedge Fund",IF(A1712=Summary!$AD$3,M1712-E1712,M1712),IF(A1712=Summary!$AD$3,L1712-D1712,L1712))</f>
        <v>0</v>
      </c>
      <c r="O1712" s="95">
        <f t="shared" si="232"/>
        <v>0</v>
      </c>
      <c r="P1712" s="107" t="s">
        <v>155</v>
      </c>
      <c r="Q1712" s="107">
        <v>0</v>
      </c>
      <c r="R1712" s="107">
        <v>0</v>
      </c>
      <c r="S1712" s="107">
        <v>0</v>
      </c>
      <c r="T1712" s="107">
        <v>0</v>
      </c>
      <c r="U1712" s="107"/>
      <c r="V1712" s="107"/>
      <c r="W1712" s="107"/>
      <c r="X1712" s="107"/>
      <c r="Y1712" s="107"/>
      <c r="Z1712" s="107"/>
      <c r="AA1712" s="107"/>
      <c r="AB1712" s="107"/>
      <c r="AC1712" s="355"/>
      <c r="AD1712" s="355"/>
      <c r="AE1712" s="355"/>
      <c r="AF1712" s="94">
        <f t="shared" si="229"/>
        <v>43343</v>
      </c>
      <c r="AG1712" s="185">
        <f t="shared" si="233"/>
        <v>3.7672653065641271E-3</v>
      </c>
      <c r="AH1712" s="339" t="str">
        <f>VLOOKUP(B1712,'MF PF'!A:B,2)</f>
        <v>FdMgt1</v>
      </c>
      <c r="AI1712" s="358">
        <f t="shared" si="230"/>
        <v>0</v>
      </c>
      <c r="AJ1712" s="94">
        <f t="shared" si="231"/>
        <v>43343</v>
      </c>
    </row>
    <row r="1713" spans="1:36" ht="12.75" customHeight="1">
      <c r="A1713" s="94">
        <v>43371</v>
      </c>
      <c r="B1713" s="358" t="s">
        <v>136</v>
      </c>
      <c r="C1713" s="358" t="s">
        <v>320</v>
      </c>
      <c r="D1713" s="374">
        <v>31434.81</v>
      </c>
      <c r="F1713" s="105">
        <v>0.02</v>
      </c>
      <c r="G1713" s="93">
        <v>0</v>
      </c>
      <c r="H1713" s="93">
        <v>0</v>
      </c>
      <c r="I1713" s="93">
        <v>0</v>
      </c>
      <c r="K1713" s="93">
        <v>0</v>
      </c>
      <c r="L1713" s="93">
        <f t="shared" si="227"/>
        <v>0</v>
      </c>
      <c r="M1713" s="95" t="e">
        <f t="shared" ca="1" si="228"/>
        <v>#DIV/0!</v>
      </c>
      <c r="N1713" s="95">
        <f>IF(P1713="Hedge Fund",IF(A1713=Summary!$AD$3,M1713-E1713,M1713),IF(A1713=Summary!$AD$3,L1713-D1713,L1713))</f>
        <v>0</v>
      </c>
      <c r="O1713" s="95">
        <f t="shared" si="232"/>
        <v>0</v>
      </c>
      <c r="P1713" s="95" t="s">
        <v>155</v>
      </c>
      <c r="Q1713" s="353">
        <v>0</v>
      </c>
      <c r="R1713" s="95">
        <v>0</v>
      </c>
      <c r="S1713" s="95"/>
      <c r="T1713" s="95"/>
      <c r="U1713" s="95"/>
      <c r="V1713" s="95"/>
      <c r="W1713" s="95"/>
      <c r="X1713" s="95"/>
      <c r="Y1713" s="95"/>
      <c r="Z1713" s="95"/>
      <c r="AA1713" s="95"/>
      <c r="AB1713" s="95"/>
      <c r="AC1713" s="355"/>
      <c r="AD1713" s="355"/>
      <c r="AE1713" s="355"/>
      <c r="AF1713" s="94">
        <f t="shared" si="229"/>
        <v>43371</v>
      </c>
      <c r="AG1713" s="185">
        <f t="shared" si="233"/>
        <v>-3.3047930437958284E-3</v>
      </c>
      <c r="AH1713" s="339" t="str">
        <f>VLOOKUP(B1713,'MF PF'!A:B,2)</f>
        <v>FdMgt1</v>
      </c>
      <c r="AI1713" s="358">
        <f t="shared" si="230"/>
        <v>0</v>
      </c>
      <c r="AJ1713" s="94">
        <f t="shared" si="231"/>
        <v>43373</v>
      </c>
    </row>
    <row r="1714" spans="1:36" ht="12.75" customHeight="1">
      <c r="A1714" s="94">
        <v>43404</v>
      </c>
      <c r="B1714" s="358" t="s">
        <v>136</v>
      </c>
      <c r="C1714" s="358" t="s">
        <v>320</v>
      </c>
      <c r="D1714" s="374">
        <v>31117.49</v>
      </c>
      <c r="E1714" s="95"/>
      <c r="F1714" s="105">
        <v>0.02</v>
      </c>
      <c r="G1714" s="93">
        <v>0</v>
      </c>
      <c r="H1714" s="93">
        <v>0</v>
      </c>
      <c r="I1714" s="93">
        <v>0</v>
      </c>
      <c r="J1714" s="93">
        <v>0</v>
      </c>
      <c r="K1714" s="93"/>
      <c r="L1714" s="93">
        <f t="shared" si="227"/>
        <v>0</v>
      </c>
      <c r="M1714" s="95" t="e">
        <f t="shared" ca="1" si="228"/>
        <v>#DIV/0!</v>
      </c>
      <c r="N1714" s="95">
        <f>IF(P1714="Hedge Fund",IF(A1714=Summary!$AD$3,M1714-E1714,M1714),IF(A1714=Summary!$AD$3,L1714-D1714,L1714))</f>
        <v>0</v>
      </c>
      <c r="O1714" s="95">
        <f t="shared" si="232"/>
        <v>0</v>
      </c>
      <c r="P1714" s="95" t="s">
        <v>155</v>
      </c>
      <c r="Q1714" s="95">
        <v>0</v>
      </c>
      <c r="R1714" s="95">
        <v>0</v>
      </c>
      <c r="S1714" s="95"/>
      <c r="T1714" s="95"/>
      <c r="U1714" s="95"/>
      <c r="V1714" s="95"/>
      <c r="W1714" s="95"/>
      <c r="X1714" s="95"/>
      <c r="Y1714" s="95"/>
      <c r="Z1714" s="95"/>
      <c r="AA1714" s="95"/>
      <c r="AB1714" s="95"/>
      <c r="AC1714" s="355"/>
      <c r="AD1714" s="355"/>
      <c r="AE1714" s="355"/>
      <c r="AF1714" s="94">
        <f t="shared" si="229"/>
        <v>43404</v>
      </c>
      <c r="AG1714" s="185">
        <f t="shared" si="233"/>
        <v>-1.0094541688020375E-2</v>
      </c>
      <c r="AH1714" s="339" t="str">
        <f>VLOOKUP(B1714,'MF PF'!A:B,2)</f>
        <v>FdMgt1</v>
      </c>
      <c r="AI1714" s="358">
        <f t="shared" si="230"/>
        <v>0</v>
      </c>
      <c r="AJ1714" s="94">
        <f t="shared" si="231"/>
        <v>43404</v>
      </c>
    </row>
    <row r="1715" spans="1:36" ht="12.75" customHeight="1">
      <c r="A1715" s="94">
        <v>43434</v>
      </c>
      <c r="B1715" s="358" t="s">
        <v>136</v>
      </c>
      <c r="C1715" s="358" t="s">
        <v>320</v>
      </c>
      <c r="D1715" s="374">
        <v>31580.43</v>
      </c>
      <c r="F1715" s="105">
        <v>0.02</v>
      </c>
      <c r="G1715" s="93">
        <v>0</v>
      </c>
      <c r="H1715" s="93">
        <v>0</v>
      </c>
      <c r="I1715" s="93">
        <v>0</v>
      </c>
      <c r="K1715" s="93">
        <v>0</v>
      </c>
      <c r="L1715" s="93">
        <f t="shared" si="227"/>
        <v>0</v>
      </c>
      <c r="M1715" s="95" t="e">
        <f t="shared" ca="1" si="228"/>
        <v>#DIV/0!</v>
      </c>
      <c r="N1715" s="95">
        <f>IF(P1715="Hedge Fund",IF(A1715=Summary!$AD$3,M1715-E1715,M1715),IF(A1715=Summary!$AD$3,L1715-D1715,L1715))</f>
        <v>0</v>
      </c>
      <c r="O1715" s="95">
        <f t="shared" si="232"/>
        <v>0</v>
      </c>
      <c r="P1715" s="95" t="s">
        <v>155</v>
      </c>
      <c r="Q1715" s="95">
        <v>0</v>
      </c>
      <c r="R1715" s="95">
        <v>0</v>
      </c>
      <c r="S1715" s="95"/>
      <c r="T1715" s="95"/>
      <c r="U1715" s="95"/>
      <c r="V1715" s="95"/>
      <c r="W1715" s="95"/>
      <c r="X1715" s="95"/>
      <c r="Y1715" s="95"/>
      <c r="Z1715" s="95"/>
      <c r="AA1715" s="95"/>
      <c r="AB1715" s="95"/>
      <c r="AC1715" s="355"/>
      <c r="AD1715" s="355"/>
      <c r="AE1715" s="355"/>
      <c r="AF1715" s="94">
        <f t="shared" si="229"/>
        <v>43434</v>
      </c>
      <c r="AG1715" s="185">
        <f t="shared" si="233"/>
        <v>1.4877163935780091E-2</v>
      </c>
      <c r="AH1715" s="339" t="str">
        <f>VLOOKUP(B1715,'MF PF'!A:B,2)</f>
        <v>FdMgt1</v>
      </c>
      <c r="AI1715" s="358">
        <f t="shared" si="230"/>
        <v>0</v>
      </c>
      <c r="AJ1715" s="94">
        <f t="shared" si="231"/>
        <v>43434</v>
      </c>
    </row>
    <row r="1716" spans="1:36" ht="12.75" customHeight="1">
      <c r="A1716" s="94">
        <v>43452</v>
      </c>
      <c r="B1716" s="358" t="s">
        <v>136</v>
      </c>
      <c r="C1716" s="358" t="s">
        <v>320</v>
      </c>
      <c r="D1716" s="93"/>
      <c r="F1716" s="93"/>
      <c r="G1716" s="93"/>
      <c r="H1716" s="93"/>
      <c r="I1716" s="93">
        <v>-456.93561403616957</v>
      </c>
      <c r="L1716" s="93">
        <f t="shared" si="227"/>
        <v>-456.93561403616957</v>
      </c>
      <c r="M1716" s="95" t="e">
        <f t="shared" ca="1" si="228"/>
        <v>#DIV/0!</v>
      </c>
      <c r="N1716" s="95">
        <f>IF(P1716="Hedge Fund",IF(A1716=Summary!$AD$3,M1716-E1716,M1716),IF(A1716=Summary!$AD$3,L1716-D1716,L1716))</f>
        <v>-456.93561403616957</v>
      </c>
      <c r="O1716" s="95">
        <f t="shared" si="232"/>
        <v>-456.93561403616957</v>
      </c>
      <c r="P1716" s="95" t="s">
        <v>155</v>
      </c>
      <c r="Q1716" s="95"/>
      <c r="R1716" s="95"/>
      <c r="S1716" s="95"/>
      <c r="T1716" s="95"/>
      <c r="U1716" s="95"/>
      <c r="V1716" s="95"/>
      <c r="W1716" s="95"/>
      <c r="X1716" s="95"/>
      <c r="Y1716" s="95"/>
      <c r="Z1716" s="95"/>
      <c r="AA1716" s="95"/>
      <c r="AB1716" s="95"/>
      <c r="AC1716" s="355"/>
      <c r="AD1716" s="355"/>
      <c r="AE1716" s="355"/>
      <c r="AF1716" s="94">
        <f t="shared" si="229"/>
        <v>43452</v>
      </c>
      <c r="AG1716" s="185">
        <f t="shared" si="233"/>
        <v>-0.98553105153931819</v>
      </c>
      <c r="AH1716" s="339" t="str">
        <f>VLOOKUP(B1716,'MF PF'!A:B,2)</f>
        <v>FdMgt1</v>
      </c>
      <c r="AI1716" s="358">
        <f t="shared" si="230"/>
        <v>0</v>
      </c>
      <c r="AJ1716" s="94">
        <f t="shared" si="231"/>
        <v>43465</v>
      </c>
    </row>
    <row r="1717" spans="1:36" ht="12.75" customHeight="1">
      <c r="A1717" s="94">
        <v>43465</v>
      </c>
      <c r="B1717" s="358" t="s">
        <v>136</v>
      </c>
      <c r="C1717" s="358" t="s">
        <v>320</v>
      </c>
      <c r="D1717" s="93">
        <v>32018.16</v>
      </c>
      <c r="F1717" s="93">
        <v>0.02</v>
      </c>
      <c r="G1717" s="93">
        <v>0</v>
      </c>
      <c r="H1717" s="93">
        <v>0</v>
      </c>
      <c r="I1717" s="93">
        <v>0</v>
      </c>
      <c r="K1717" s="7">
        <v>0</v>
      </c>
      <c r="L1717" s="93">
        <f t="shared" si="227"/>
        <v>0</v>
      </c>
      <c r="M1717" s="95" t="e">
        <f t="shared" ca="1" si="228"/>
        <v>#DIV/0!</v>
      </c>
      <c r="N1717" s="95">
        <f>IF(P1717="Hedge Fund",IF(A1717=Summary!$AD$3,M1717-E1717,M1717),IF(A1717=Summary!$AD$3,L1717-D1717,L1717))</f>
        <v>0</v>
      </c>
      <c r="O1717" s="95">
        <f t="shared" si="232"/>
        <v>0</v>
      </c>
      <c r="P1717" s="95" t="s">
        <v>155</v>
      </c>
      <c r="Q1717" s="95">
        <v>0</v>
      </c>
      <c r="R1717" s="95">
        <v>0</v>
      </c>
      <c r="S1717" s="95"/>
      <c r="T1717" s="95"/>
      <c r="U1717" s="95"/>
      <c r="V1717" s="95"/>
      <c r="W1717" s="95"/>
      <c r="X1717" s="95"/>
      <c r="Y1717" s="95"/>
      <c r="Z1717" s="95"/>
      <c r="AA1717" s="95"/>
      <c r="AB1717" s="95"/>
      <c r="AC1717" s="355"/>
      <c r="AD1717" s="355"/>
      <c r="AE1717" s="355"/>
      <c r="AF1717" s="94">
        <f t="shared" si="229"/>
        <v>43465</v>
      </c>
      <c r="AG1717" s="185" t="e">
        <f t="shared" si="233"/>
        <v>#DIV/0!</v>
      </c>
      <c r="AH1717" s="339" t="str">
        <f>VLOOKUP(B1717,'MF PF'!A:B,2)</f>
        <v>FdMgt1</v>
      </c>
      <c r="AI1717" s="358">
        <f t="shared" si="230"/>
        <v>0</v>
      </c>
      <c r="AJ1717" s="94">
        <f t="shared" si="231"/>
        <v>43465</v>
      </c>
    </row>
    <row r="1718" spans="1:36" ht="12.75" customHeight="1">
      <c r="A1718" s="94">
        <v>43487</v>
      </c>
      <c r="B1718" s="358" t="s">
        <v>136</v>
      </c>
      <c r="C1718" s="358" t="s">
        <v>320</v>
      </c>
      <c r="D1718" s="93"/>
      <c r="F1718" s="93"/>
      <c r="G1718" s="93"/>
      <c r="H1718" s="93"/>
      <c r="I1718" s="93">
        <v>-1447.2534024927495</v>
      </c>
      <c r="K1718" s="93"/>
      <c r="L1718" s="93">
        <f t="shared" si="227"/>
        <v>-1447.2534024927495</v>
      </c>
      <c r="M1718" s="95" t="e">
        <f t="shared" ca="1" si="228"/>
        <v>#DIV/0!</v>
      </c>
      <c r="N1718" s="95">
        <f>IF(P1718="Hedge Fund",IF(A1718=Summary!$AD$3,M1718-E1718,M1718),IF(A1718=Summary!$AD$3,L1718-D1718,L1718))</f>
        <v>-1447.2534024927495</v>
      </c>
      <c r="O1718" s="95">
        <f t="shared" si="232"/>
        <v>-1447.2534024927495</v>
      </c>
      <c r="P1718" s="95" t="s">
        <v>155</v>
      </c>
      <c r="Q1718" s="95"/>
      <c r="R1718" s="95"/>
      <c r="S1718" s="95"/>
      <c r="T1718" s="95"/>
      <c r="U1718" s="95"/>
      <c r="V1718" s="95"/>
      <c r="W1718" s="95"/>
      <c r="X1718" s="95"/>
      <c r="Y1718" s="95"/>
      <c r="Z1718" s="95"/>
      <c r="AA1718" s="95"/>
      <c r="AB1718" s="95"/>
      <c r="AC1718" s="355"/>
      <c r="AD1718" s="355"/>
      <c r="AE1718" s="355"/>
      <c r="AF1718" s="94">
        <f t="shared" si="229"/>
        <v>43487</v>
      </c>
      <c r="AG1718" s="185">
        <f t="shared" si="233"/>
        <v>-0.95479898274939135</v>
      </c>
      <c r="AH1718" s="339" t="str">
        <f>VLOOKUP(B1718,'MF PF'!A:B,2)</f>
        <v>FdMgt1</v>
      </c>
      <c r="AI1718" s="358">
        <f t="shared" si="230"/>
        <v>0</v>
      </c>
      <c r="AJ1718" s="94">
        <f t="shared" si="231"/>
        <v>43496</v>
      </c>
    </row>
    <row r="1719" spans="1:36" ht="12.75" customHeight="1">
      <c r="A1719" s="94">
        <v>43496</v>
      </c>
      <c r="B1719" s="358" t="s">
        <v>136</v>
      </c>
      <c r="C1719" s="358" t="s">
        <v>320</v>
      </c>
      <c r="D1719" s="93">
        <v>30583.64</v>
      </c>
      <c r="E1719" s="95"/>
      <c r="F1719" s="93">
        <v>0.02</v>
      </c>
      <c r="G1719" s="93">
        <v>0</v>
      </c>
      <c r="H1719" s="93">
        <v>0</v>
      </c>
      <c r="I1719" s="93">
        <v>0</v>
      </c>
      <c r="K1719" s="93">
        <v>0</v>
      </c>
      <c r="L1719" s="93">
        <f t="shared" si="227"/>
        <v>0</v>
      </c>
      <c r="M1719" s="95" t="e">
        <f t="shared" ca="1" si="228"/>
        <v>#DIV/0!</v>
      </c>
      <c r="N1719" s="95">
        <f>IF(P1719="Hedge Fund",IF(A1719=Summary!$AD$3,M1719-E1719,M1719),IF(A1719=Summary!$AD$3,L1719-D1719,L1719))</f>
        <v>-30583.64</v>
      </c>
      <c r="O1719" s="95">
        <f t="shared" si="232"/>
        <v>-30583.64</v>
      </c>
      <c r="P1719" s="95" t="s">
        <v>155</v>
      </c>
      <c r="Q1719" s="95">
        <v>0</v>
      </c>
      <c r="R1719" s="95">
        <v>0</v>
      </c>
      <c r="S1719" s="95"/>
      <c r="T1719" s="95"/>
      <c r="U1719" s="95"/>
      <c r="V1719" s="95"/>
      <c r="W1719" s="95"/>
      <c r="X1719" s="95"/>
      <c r="Y1719" s="95"/>
      <c r="Z1719" s="95"/>
      <c r="AA1719" s="95"/>
      <c r="AB1719" s="95"/>
      <c r="AC1719" s="355"/>
      <c r="AD1719" s="355"/>
      <c r="AE1719" s="355"/>
      <c r="AF1719" s="94">
        <f t="shared" si="229"/>
        <v>43496</v>
      </c>
      <c r="AG1719" s="185" t="e">
        <f t="shared" si="233"/>
        <v>#DIV/0!</v>
      </c>
      <c r="AH1719" s="339" t="str">
        <f>VLOOKUP(B1719,'MF PF'!A:B,2)</f>
        <v>FdMgt1</v>
      </c>
      <c r="AI1719" s="358">
        <f t="shared" si="230"/>
        <v>0</v>
      </c>
      <c r="AJ1719" s="94">
        <f t="shared" si="231"/>
        <v>43496</v>
      </c>
    </row>
    <row r="1720" spans="1:36" ht="12.75" customHeight="1">
      <c r="A1720" s="94">
        <v>41639</v>
      </c>
      <c r="B1720" s="94" t="s">
        <v>136</v>
      </c>
      <c r="C1720" s="358" t="s">
        <v>321</v>
      </c>
      <c r="D1720" s="374">
        <v>860000</v>
      </c>
      <c r="E1720" s="9" t="e">
        <f t="shared" ref="E1720:E1751" si="235">D1720/K1720</f>
        <v>#DIV/0!</v>
      </c>
      <c r="F1720" s="98">
        <v>2.5</v>
      </c>
      <c r="G1720" s="98">
        <v>860000</v>
      </c>
      <c r="H1720" s="98">
        <v>0</v>
      </c>
      <c r="I1720" s="98">
        <v>0</v>
      </c>
      <c r="J1720" s="98"/>
      <c r="L1720" s="93">
        <f t="shared" si="227"/>
        <v>860000</v>
      </c>
      <c r="M1720" s="95" t="e">
        <f t="shared" ca="1" si="228"/>
        <v>#DIV/0!</v>
      </c>
      <c r="N1720" s="95">
        <f>IF(P1720="Hedge Fund",IF(A1720=Summary!$AD$3,M1720-E1720,M1720),IF(A1720=Summary!$AD$3,L1720-D1720,L1720))</f>
        <v>860000</v>
      </c>
      <c r="O1720" s="95">
        <f t="shared" si="232"/>
        <v>860000</v>
      </c>
      <c r="P1720" s="107" t="s">
        <v>155</v>
      </c>
      <c r="Q1720" s="107">
        <v>0</v>
      </c>
      <c r="R1720" s="107">
        <v>0</v>
      </c>
      <c r="S1720" s="107">
        <v>0</v>
      </c>
      <c r="T1720" s="107">
        <v>0</v>
      </c>
      <c r="U1720" s="107"/>
      <c r="V1720" s="107"/>
      <c r="W1720" s="107"/>
      <c r="X1720" s="107"/>
      <c r="Y1720" s="107"/>
      <c r="Z1720" s="107"/>
      <c r="AA1720" s="107"/>
      <c r="AB1720" s="107"/>
      <c r="AC1720" s="355"/>
      <c r="AD1720" s="355"/>
      <c r="AE1720" s="355"/>
      <c r="AF1720" s="94">
        <f t="shared" si="229"/>
        <v>41639</v>
      </c>
      <c r="AG1720" s="185">
        <f t="shared" si="233"/>
        <v>0</v>
      </c>
      <c r="AH1720" s="339" t="str">
        <f>VLOOKUP(B1720,'MF PF'!A:B,2)</f>
        <v>FdMgt1</v>
      </c>
      <c r="AI1720" s="358">
        <f t="shared" si="230"/>
        <v>0</v>
      </c>
      <c r="AJ1720" s="94">
        <f t="shared" si="231"/>
        <v>41639</v>
      </c>
    </row>
    <row r="1721" spans="1:36" ht="12.75" customHeight="1">
      <c r="A1721" s="94">
        <v>41669</v>
      </c>
      <c r="B1721" s="94" t="s">
        <v>136</v>
      </c>
      <c r="C1721" s="358" t="s">
        <v>321</v>
      </c>
      <c r="D1721" s="374">
        <v>857037.12</v>
      </c>
      <c r="E1721" s="9" t="e">
        <f t="shared" si="235"/>
        <v>#DIV/0!</v>
      </c>
      <c r="F1721" s="98">
        <v>2.5</v>
      </c>
      <c r="G1721" s="98">
        <v>0</v>
      </c>
      <c r="H1721" s="98">
        <v>0</v>
      </c>
      <c r="I1721" s="98">
        <v>0</v>
      </c>
      <c r="J1721" s="98"/>
      <c r="K1721" s="93"/>
      <c r="L1721" s="93">
        <f t="shared" si="227"/>
        <v>0</v>
      </c>
      <c r="M1721" s="95" t="e">
        <f t="shared" ca="1" si="228"/>
        <v>#DIV/0!</v>
      </c>
      <c r="N1721" s="95">
        <f>IF(P1721="Hedge Fund",IF(A1721=Summary!$AD$3,M1721-E1721,M1721),IF(A1721=Summary!$AD$3,L1721-D1721,L1721))</f>
        <v>0</v>
      </c>
      <c r="O1721" s="95">
        <f t="shared" si="232"/>
        <v>0</v>
      </c>
      <c r="P1721" s="107" t="s">
        <v>155</v>
      </c>
      <c r="Q1721" s="107">
        <v>0</v>
      </c>
      <c r="R1721" s="107">
        <v>0</v>
      </c>
      <c r="S1721" s="107">
        <v>0</v>
      </c>
      <c r="T1721" s="107">
        <v>0</v>
      </c>
      <c r="U1721" s="107"/>
      <c r="V1721" s="107"/>
      <c r="W1721" s="107"/>
      <c r="X1721" s="107"/>
      <c r="Y1721" s="107"/>
      <c r="Z1721" s="107"/>
      <c r="AA1721" s="107"/>
      <c r="AB1721" s="107"/>
      <c r="AC1721" s="355"/>
      <c r="AD1721" s="355"/>
      <c r="AE1721" s="355"/>
      <c r="AF1721" s="94">
        <f t="shared" si="229"/>
        <v>41669</v>
      </c>
      <c r="AG1721" s="185">
        <f t="shared" si="233"/>
        <v>-3.4452093023256136E-3</v>
      </c>
      <c r="AH1721" s="339" t="str">
        <f>VLOOKUP(B1721,'MF PF'!A:B,2)</f>
        <v>FdMgt1</v>
      </c>
      <c r="AI1721" s="358">
        <f t="shared" si="230"/>
        <v>0</v>
      </c>
      <c r="AJ1721" s="94">
        <f t="shared" si="231"/>
        <v>41670</v>
      </c>
    </row>
    <row r="1722" spans="1:36" ht="12.75" customHeight="1">
      <c r="A1722" s="94">
        <v>41698</v>
      </c>
      <c r="B1722" s="94" t="s">
        <v>136</v>
      </c>
      <c r="C1722" s="358" t="s">
        <v>321</v>
      </c>
      <c r="D1722" s="374">
        <v>855336.23</v>
      </c>
      <c r="E1722" s="9" t="e">
        <f t="shared" si="235"/>
        <v>#DIV/0!</v>
      </c>
      <c r="F1722" s="98">
        <v>2.5</v>
      </c>
      <c r="G1722" s="98">
        <v>0</v>
      </c>
      <c r="H1722" s="98">
        <v>0</v>
      </c>
      <c r="I1722" s="98">
        <v>0</v>
      </c>
      <c r="J1722" s="98"/>
      <c r="K1722" s="93"/>
      <c r="L1722" s="93">
        <f t="shared" si="227"/>
        <v>0</v>
      </c>
      <c r="M1722" s="95" t="e">
        <f t="shared" ca="1" si="228"/>
        <v>#DIV/0!</v>
      </c>
      <c r="N1722" s="95">
        <f>IF(P1722="Hedge Fund",IF(A1722=Summary!$AD$3,M1722-E1722,M1722),IF(A1722=Summary!$AD$3,L1722-D1722,L1722))</f>
        <v>0</v>
      </c>
      <c r="O1722" s="95">
        <f t="shared" si="232"/>
        <v>0</v>
      </c>
      <c r="P1722" s="107" t="s">
        <v>155</v>
      </c>
      <c r="Q1722" s="107">
        <v>0</v>
      </c>
      <c r="R1722" s="107">
        <v>0</v>
      </c>
      <c r="S1722" s="107">
        <v>0</v>
      </c>
      <c r="T1722" s="107">
        <v>0</v>
      </c>
      <c r="U1722" s="107"/>
      <c r="V1722" s="107"/>
      <c r="W1722" s="107"/>
      <c r="X1722" s="107"/>
      <c r="Y1722" s="107"/>
      <c r="Z1722" s="107"/>
      <c r="AA1722" s="107"/>
      <c r="AB1722" s="107"/>
      <c r="AC1722" s="355"/>
      <c r="AD1722" s="355"/>
      <c r="AE1722" s="355"/>
      <c r="AF1722" s="94">
        <f t="shared" si="229"/>
        <v>41698</v>
      </c>
      <c r="AG1722" s="185">
        <f t="shared" si="233"/>
        <v>-1.9846164889567586E-3</v>
      </c>
      <c r="AH1722" s="339" t="str">
        <f>VLOOKUP(B1722,'MF PF'!A:B,2)</f>
        <v>FdMgt1</v>
      </c>
      <c r="AI1722" s="358">
        <f t="shared" si="230"/>
        <v>0</v>
      </c>
      <c r="AJ1722" s="94">
        <f t="shared" si="231"/>
        <v>41698</v>
      </c>
    </row>
    <row r="1723" spans="1:36" ht="12.75" customHeight="1">
      <c r="A1723" s="94">
        <v>41729</v>
      </c>
      <c r="B1723" s="94" t="s">
        <v>136</v>
      </c>
      <c r="C1723" s="358" t="s">
        <v>321</v>
      </c>
      <c r="D1723" s="374">
        <v>844677.64</v>
      </c>
      <c r="E1723" s="9" t="e">
        <f t="shared" si="235"/>
        <v>#DIV/0!</v>
      </c>
      <c r="F1723" s="98">
        <v>2.5</v>
      </c>
      <c r="G1723" s="98">
        <v>0</v>
      </c>
      <c r="H1723" s="98">
        <v>0</v>
      </c>
      <c r="I1723" s="98">
        <v>0</v>
      </c>
      <c r="J1723" s="98"/>
      <c r="K1723" s="93"/>
      <c r="L1723" s="93">
        <f t="shared" si="227"/>
        <v>0</v>
      </c>
      <c r="M1723" s="95" t="e">
        <f t="shared" ca="1" si="228"/>
        <v>#DIV/0!</v>
      </c>
      <c r="N1723" s="95">
        <f>IF(P1723="Hedge Fund",IF(A1723=Summary!$AD$3,M1723-E1723,M1723),IF(A1723=Summary!$AD$3,L1723-D1723,L1723))</f>
        <v>0</v>
      </c>
      <c r="O1723" s="95">
        <f t="shared" si="232"/>
        <v>0</v>
      </c>
      <c r="P1723" s="107" t="s">
        <v>155</v>
      </c>
      <c r="Q1723" s="107">
        <v>0</v>
      </c>
      <c r="R1723" s="107">
        <v>0</v>
      </c>
      <c r="S1723" s="107">
        <v>0</v>
      </c>
      <c r="T1723" s="107">
        <v>0</v>
      </c>
      <c r="U1723" s="107"/>
      <c r="V1723" s="107"/>
      <c r="W1723" s="107"/>
      <c r="X1723" s="107"/>
      <c r="Y1723" s="107"/>
      <c r="Z1723" s="107"/>
      <c r="AA1723" s="107"/>
      <c r="AB1723" s="107"/>
      <c r="AC1723" s="355"/>
      <c r="AD1723" s="355"/>
      <c r="AE1723" s="355"/>
      <c r="AF1723" s="94">
        <f t="shared" si="229"/>
        <v>41729</v>
      </c>
      <c r="AG1723" s="185">
        <f t="shared" si="233"/>
        <v>-1.2461286715283793E-2</v>
      </c>
      <c r="AH1723" s="339" t="str">
        <f>VLOOKUP(B1723,'MF PF'!A:B,2)</f>
        <v>FdMgt1</v>
      </c>
      <c r="AI1723" s="358">
        <f t="shared" si="230"/>
        <v>0</v>
      </c>
      <c r="AJ1723" s="94">
        <f t="shared" si="231"/>
        <v>41729</v>
      </c>
    </row>
    <row r="1724" spans="1:36" ht="12.75" customHeight="1">
      <c r="A1724" s="94">
        <v>41759</v>
      </c>
      <c r="B1724" s="94" t="s">
        <v>136</v>
      </c>
      <c r="C1724" s="358" t="s">
        <v>321</v>
      </c>
      <c r="D1724" s="374">
        <v>821330.03320277296</v>
      </c>
      <c r="E1724" s="9" t="e">
        <f t="shared" si="235"/>
        <v>#DIV/0!</v>
      </c>
      <c r="F1724" s="98">
        <v>2.5</v>
      </c>
      <c r="G1724" s="98">
        <v>0</v>
      </c>
      <c r="H1724" s="98">
        <v>0</v>
      </c>
      <c r="I1724" s="98">
        <v>0</v>
      </c>
      <c r="J1724" s="98"/>
      <c r="K1724" s="93"/>
      <c r="L1724" s="93">
        <f t="shared" si="227"/>
        <v>0</v>
      </c>
      <c r="M1724" s="95" t="e">
        <f t="shared" ca="1" si="228"/>
        <v>#DIV/0!</v>
      </c>
      <c r="N1724" s="95">
        <f>IF(P1724="Hedge Fund",IF(A1724=Summary!$AD$3,M1724-E1724,M1724),IF(A1724=Summary!$AD$3,L1724-D1724,L1724))</f>
        <v>0</v>
      </c>
      <c r="O1724" s="95">
        <f t="shared" si="232"/>
        <v>0</v>
      </c>
      <c r="P1724" s="107" t="s">
        <v>155</v>
      </c>
      <c r="Q1724" s="107">
        <v>0</v>
      </c>
      <c r="R1724" s="107">
        <v>0</v>
      </c>
      <c r="S1724" s="107">
        <v>0</v>
      </c>
      <c r="T1724" s="107">
        <v>0</v>
      </c>
      <c r="U1724" s="107"/>
      <c r="V1724" s="107"/>
      <c r="W1724" s="107"/>
      <c r="X1724" s="107"/>
      <c r="Y1724" s="107"/>
      <c r="Z1724" s="107"/>
      <c r="AA1724" s="107"/>
      <c r="AB1724" s="107"/>
      <c r="AC1724" s="355"/>
      <c r="AD1724" s="355"/>
      <c r="AE1724" s="355"/>
      <c r="AF1724" s="94">
        <f t="shared" si="229"/>
        <v>41759</v>
      </c>
      <c r="AG1724" s="185">
        <f t="shared" si="233"/>
        <v>-2.764084864046723E-2</v>
      </c>
      <c r="AH1724" s="339" t="str">
        <f>VLOOKUP(B1724,'MF PF'!A:B,2)</f>
        <v>FdMgt1</v>
      </c>
      <c r="AI1724" s="358">
        <f t="shared" si="230"/>
        <v>0</v>
      </c>
      <c r="AJ1724" s="94">
        <f t="shared" si="231"/>
        <v>41759</v>
      </c>
    </row>
    <row r="1725" spans="1:36" ht="12.75" customHeight="1">
      <c r="A1725" s="94">
        <v>41789</v>
      </c>
      <c r="B1725" s="94" t="s">
        <v>136</v>
      </c>
      <c r="C1725" s="358" t="s">
        <v>321</v>
      </c>
      <c r="D1725" s="374">
        <v>812089.78496929305</v>
      </c>
      <c r="E1725" s="95" t="e">
        <f t="shared" si="235"/>
        <v>#DIV/0!</v>
      </c>
      <c r="F1725" s="98">
        <v>2.5</v>
      </c>
      <c r="G1725" s="98">
        <v>0</v>
      </c>
      <c r="H1725" s="98">
        <v>0</v>
      </c>
      <c r="I1725" s="98">
        <v>0</v>
      </c>
      <c r="J1725" s="98"/>
      <c r="K1725" s="93"/>
      <c r="L1725" s="93">
        <f t="shared" si="227"/>
        <v>0</v>
      </c>
      <c r="M1725" s="95" t="e">
        <f t="shared" ca="1" si="228"/>
        <v>#DIV/0!</v>
      </c>
      <c r="N1725" s="95">
        <f>IF(P1725="Hedge Fund",IF(A1725=Summary!$AD$3,M1725-E1725,M1725),IF(A1725=Summary!$AD$3,L1725-D1725,L1725))</f>
        <v>0</v>
      </c>
      <c r="O1725" s="95">
        <f t="shared" si="232"/>
        <v>0</v>
      </c>
      <c r="P1725" s="107" t="s">
        <v>155</v>
      </c>
      <c r="Q1725" s="107">
        <v>0</v>
      </c>
      <c r="R1725" s="107">
        <v>0</v>
      </c>
      <c r="S1725" s="107">
        <v>0</v>
      </c>
      <c r="T1725" s="107">
        <v>0</v>
      </c>
      <c r="U1725" s="107"/>
      <c r="V1725" s="107"/>
      <c r="W1725" s="107"/>
      <c r="X1725" s="107"/>
      <c r="Y1725" s="107"/>
      <c r="Z1725" s="107"/>
      <c r="AA1725" s="107"/>
      <c r="AB1725" s="107"/>
      <c r="AC1725" s="355"/>
      <c r="AD1725" s="355"/>
      <c r="AE1725" s="355"/>
      <c r="AF1725" s="94">
        <f t="shared" si="229"/>
        <v>41789</v>
      </c>
      <c r="AG1725" s="185">
        <f t="shared" si="233"/>
        <v>-1.1250347436398522E-2</v>
      </c>
      <c r="AH1725" s="339" t="str">
        <f>VLOOKUP(B1725,'MF PF'!A:B,2)</f>
        <v>FdMgt1</v>
      </c>
      <c r="AI1725" s="358">
        <f t="shared" si="230"/>
        <v>0</v>
      </c>
      <c r="AJ1725" s="94">
        <f t="shared" si="231"/>
        <v>41790</v>
      </c>
    </row>
    <row r="1726" spans="1:36" ht="12.75" customHeight="1">
      <c r="A1726" s="94">
        <v>41820</v>
      </c>
      <c r="B1726" s="94" t="s">
        <v>136</v>
      </c>
      <c r="C1726" s="358" t="s">
        <v>321</v>
      </c>
      <c r="D1726" s="374">
        <v>811293.34</v>
      </c>
      <c r="E1726" s="95" t="e">
        <f t="shared" si="235"/>
        <v>#DIV/0!</v>
      </c>
      <c r="F1726" s="98">
        <v>2.5</v>
      </c>
      <c r="G1726" s="98">
        <v>0</v>
      </c>
      <c r="H1726" s="98">
        <v>0</v>
      </c>
      <c r="I1726" s="98">
        <v>0</v>
      </c>
      <c r="J1726" s="98"/>
      <c r="K1726" s="93"/>
      <c r="L1726" s="93">
        <f t="shared" si="227"/>
        <v>0</v>
      </c>
      <c r="M1726" s="95" t="e">
        <f t="shared" ca="1" si="228"/>
        <v>#DIV/0!</v>
      </c>
      <c r="N1726" s="95">
        <f>IF(P1726="Hedge Fund",IF(A1726=Summary!$AD$3,M1726-E1726,M1726),IF(A1726=Summary!$AD$3,L1726-D1726,L1726))</f>
        <v>0</v>
      </c>
      <c r="O1726" s="95">
        <f t="shared" si="232"/>
        <v>0</v>
      </c>
      <c r="P1726" s="89" t="s">
        <v>155</v>
      </c>
      <c r="Q1726" s="107">
        <v>0</v>
      </c>
      <c r="R1726" s="107">
        <v>0</v>
      </c>
      <c r="S1726" s="107">
        <v>0</v>
      </c>
      <c r="T1726" s="107">
        <v>0</v>
      </c>
      <c r="U1726" s="107"/>
      <c r="V1726" s="107"/>
      <c r="W1726" s="107"/>
      <c r="X1726" s="107"/>
      <c r="Y1726" s="107"/>
      <c r="Z1726" s="107"/>
      <c r="AA1726" s="107"/>
      <c r="AB1726" s="107"/>
      <c r="AC1726" s="355"/>
      <c r="AD1726" s="355"/>
      <c r="AE1726" s="355"/>
      <c r="AF1726" s="94">
        <f t="shared" si="229"/>
        <v>41820</v>
      </c>
      <c r="AG1726" s="185">
        <f t="shared" si="233"/>
        <v>-9.807351157892219E-4</v>
      </c>
      <c r="AH1726" s="339" t="str">
        <f>VLOOKUP(B1726,'MF PF'!A:B,2)</f>
        <v>FdMgt1</v>
      </c>
      <c r="AI1726" s="358">
        <f t="shared" si="230"/>
        <v>0</v>
      </c>
      <c r="AJ1726" s="94">
        <f t="shared" si="231"/>
        <v>41820</v>
      </c>
    </row>
    <row r="1727" spans="1:36" ht="12.75" customHeight="1">
      <c r="A1727" s="94">
        <v>41851</v>
      </c>
      <c r="B1727" s="94" t="s">
        <v>136</v>
      </c>
      <c r="C1727" s="358" t="s">
        <v>321</v>
      </c>
      <c r="D1727" s="374">
        <v>824327.46</v>
      </c>
      <c r="E1727" s="95" t="e">
        <f t="shared" si="235"/>
        <v>#DIV/0!</v>
      </c>
      <c r="F1727" s="98">
        <v>2.5</v>
      </c>
      <c r="G1727" s="98">
        <v>0</v>
      </c>
      <c r="H1727" s="98">
        <v>0</v>
      </c>
      <c r="I1727" s="98">
        <v>0</v>
      </c>
      <c r="J1727" s="98"/>
      <c r="K1727" s="93"/>
      <c r="L1727" s="93">
        <f t="shared" si="227"/>
        <v>0</v>
      </c>
      <c r="M1727" s="95" t="e">
        <f t="shared" ca="1" si="228"/>
        <v>#DIV/0!</v>
      </c>
      <c r="N1727" s="95">
        <f>IF(P1727="Hedge Fund",IF(A1727=Summary!$AD$3,M1727-E1727,M1727),IF(A1727=Summary!$AD$3,L1727-D1727,L1727))</f>
        <v>0</v>
      </c>
      <c r="O1727" s="95">
        <f t="shared" si="232"/>
        <v>0</v>
      </c>
      <c r="P1727" s="89" t="s">
        <v>155</v>
      </c>
      <c r="Q1727" s="107">
        <v>0</v>
      </c>
      <c r="R1727" s="107">
        <v>0</v>
      </c>
      <c r="S1727" s="107">
        <v>0</v>
      </c>
      <c r="T1727" s="107">
        <v>0</v>
      </c>
      <c r="U1727" s="107"/>
      <c r="V1727" s="107"/>
      <c r="W1727" s="107"/>
      <c r="X1727" s="107"/>
      <c r="Y1727" s="107"/>
      <c r="Z1727" s="107"/>
      <c r="AA1727" s="107"/>
      <c r="AB1727" s="107"/>
      <c r="AC1727" s="355"/>
      <c r="AD1727" s="355"/>
      <c r="AE1727" s="355"/>
      <c r="AF1727" s="94">
        <f t="shared" si="229"/>
        <v>41851</v>
      </c>
      <c r="AG1727" s="185">
        <f t="shared" si="233"/>
        <v>1.6065853566602728E-2</v>
      </c>
      <c r="AH1727" s="339" t="str">
        <f>VLOOKUP(B1727,'MF PF'!A:B,2)</f>
        <v>FdMgt1</v>
      </c>
      <c r="AI1727" s="358">
        <f t="shared" si="230"/>
        <v>0</v>
      </c>
      <c r="AJ1727" s="94">
        <f t="shared" si="231"/>
        <v>41851</v>
      </c>
    </row>
    <row r="1728" spans="1:36" ht="12.75" customHeight="1">
      <c r="A1728" s="94">
        <v>41880</v>
      </c>
      <c r="B1728" s="94" t="s">
        <v>136</v>
      </c>
      <c r="C1728" s="358" t="s">
        <v>321</v>
      </c>
      <c r="D1728" s="374">
        <v>1405940.54</v>
      </c>
      <c r="E1728" s="9" t="e">
        <f t="shared" si="235"/>
        <v>#DIV/0!</v>
      </c>
      <c r="F1728" s="98">
        <v>2.5</v>
      </c>
      <c r="G1728" s="98">
        <v>562500</v>
      </c>
      <c r="H1728" s="98">
        <v>0</v>
      </c>
      <c r="I1728" s="98">
        <v>0</v>
      </c>
      <c r="J1728" s="98"/>
      <c r="K1728" s="93"/>
      <c r="L1728" s="93">
        <f t="shared" si="227"/>
        <v>562500</v>
      </c>
      <c r="M1728" s="95" t="e">
        <f t="shared" ca="1" si="228"/>
        <v>#DIV/0!</v>
      </c>
      <c r="N1728" s="95">
        <f>IF(P1728="Hedge Fund",IF(A1728=Summary!$AD$3,M1728-E1728,M1728),IF(A1728=Summary!$AD$3,L1728-D1728,L1728))</f>
        <v>562500</v>
      </c>
      <c r="O1728" s="95">
        <f t="shared" si="232"/>
        <v>562500</v>
      </c>
      <c r="P1728" s="89" t="s">
        <v>155</v>
      </c>
      <c r="Q1728" s="107">
        <v>0</v>
      </c>
      <c r="R1728" s="107">
        <v>0</v>
      </c>
      <c r="S1728" s="107">
        <v>0</v>
      </c>
      <c r="T1728" s="107">
        <v>0</v>
      </c>
      <c r="U1728" s="107"/>
      <c r="V1728" s="107"/>
      <c r="W1728" s="107"/>
      <c r="X1728" s="107"/>
      <c r="Y1728" s="107"/>
      <c r="Z1728" s="107"/>
      <c r="AA1728" s="107"/>
      <c r="AB1728" s="107"/>
      <c r="AC1728" s="355"/>
      <c r="AD1728" s="355"/>
      <c r="AE1728" s="355"/>
      <c r="AF1728" s="94">
        <f t="shared" si="229"/>
        <v>41880</v>
      </c>
      <c r="AG1728" s="185">
        <f t="shared" si="233"/>
        <v>2.3186271145207327E-2</v>
      </c>
      <c r="AH1728" s="339" t="str">
        <f>VLOOKUP(B1728,'MF PF'!A:B,2)</f>
        <v>FdMgt1</v>
      </c>
      <c r="AI1728" s="358">
        <f t="shared" si="230"/>
        <v>0</v>
      </c>
      <c r="AJ1728" s="94">
        <f t="shared" si="231"/>
        <v>41882</v>
      </c>
    </row>
    <row r="1729" spans="1:36" ht="12.75" customHeight="1">
      <c r="A1729" s="94">
        <v>41912</v>
      </c>
      <c r="B1729" s="94" t="s">
        <v>136</v>
      </c>
      <c r="C1729" s="358" t="s">
        <v>321</v>
      </c>
      <c r="D1729" s="374">
        <v>1361015.5</v>
      </c>
      <c r="E1729" s="9" t="e">
        <f t="shared" si="235"/>
        <v>#DIV/0!</v>
      </c>
      <c r="F1729" s="98">
        <v>2.5</v>
      </c>
      <c r="G1729" s="98">
        <v>0</v>
      </c>
      <c r="H1729" s="98">
        <v>0</v>
      </c>
      <c r="I1729" s="98">
        <v>0</v>
      </c>
      <c r="J1729" s="98"/>
      <c r="K1729" s="93"/>
      <c r="L1729" s="93">
        <f t="shared" si="227"/>
        <v>0</v>
      </c>
      <c r="M1729" s="95" t="e">
        <f t="shared" ca="1" si="228"/>
        <v>#DIV/0!</v>
      </c>
      <c r="N1729" s="95">
        <f>IF(P1729="Hedge Fund",IF(A1729=Summary!$AD$3,M1729-E1729,M1729),IF(A1729=Summary!$AD$3,L1729-D1729,L1729))</f>
        <v>0</v>
      </c>
      <c r="O1729" s="95">
        <f t="shared" si="232"/>
        <v>0</v>
      </c>
      <c r="P1729" s="89" t="s">
        <v>155</v>
      </c>
      <c r="Q1729" s="107">
        <v>0</v>
      </c>
      <c r="R1729" s="107">
        <v>0</v>
      </c>
      <c r="S1729" s="107">
        <v>0</v>
      </c>
      <c r="T1729" s="107">
        <v>0</v>
      </c>
      <c r="U1729" s="107"/>
      <c r="V1729" s="107"/>
      <c r="W1729" s="107"/>
      <c r="X1729" s="107"/>
      <c r="Y1729" s="107"/>
      <c r="Z1729" s="107"/>
      <c r="AA1729" s="107"/>
      <c r="AB1729" s="107"/>
      <c r="AC1729" s="355"/>
      <c r="AD1729" s="355"/>
      <c r="AE1729" s="355"/>
      <c r="AF1729" s="94">
        <f t="shared" si="229"/>
        <v>41912</v>
      </c>
      <c r="AG1729" s="185">
        <f t="shared" si="233"/>
        <v>-3.195372686244613E-2</v>
      </c>
      <c r="AH1729" s="339" t="str">
        <f>VLOOKUP(B1729,'MF PF'!A:B,2)</f>
        <v>FdMgt1</v>
      </c>
      <c r="AI1729" s="358">
        <f t="shared" si="230"/>
        <v>0</v>
      </c>
      <c r="AJ1729" s="94">
        <f t="shared" si="231"/>
        <v>41912</v>
      </c>
    </row>
    <row r="1730" spans="1:36" ht="12.75" customHeight="1">
      <c r="A1730" s="94">
        <v>41943</v>
      </c>
      <c r="B1730" s="94" t="s">
        <v>136</v>
      </c>
      <c r="C1730" s="358" t="s">
        <v>321</v>
      </c>
      <c r="D1730" s="374">
        <v>1766727.95</v>
      </c>
      <c r="E1730" s="95" t="e">
        <f t="shared" si="235"/>
        <v>#DIV/0!</v>
      </c>
      <c r="F1730" s="98">
        <v>2.5</v>
      </c>
      <c r="G1730" s="98">
        <v>422500</v>
      </c>
      <c r="H1730" s="98">
        <v>0</v>
      </c>
      <c r="I1730" s="98">
        <v>0</v>
      </c>
      <c r="J1730" s="98"/>
      <c r="K1730" s="93"/>
      <c r="L1730" s="93">
        <f t="shared" si="227"/>
        <v>422500</v>
      </c>
      <c r="M1730" s="95" t="e">
        <f t="shared" ca="1" si="228"/>
        <v>#DIV/0!</v>
      </c>
      <c r="N1730" s="95">
        <f>IF(P1730="Hedge Fund",IF(A1730=Summary!$AD$3,M1730-E1730,M1730),IF(A1730=Summary!$AD$3,L1730-D1730,L1730))</f>
        <v>422500</v>
      </c>
      <c r="O1730" s="95">
        <f t="shared" si="232"/>
        <v>422500</v>
      </c>
      <c r="P1730" s="89" t="s">
        <v>155</v>
      </c>
      <c r="Q1730" s="107">
        <v>0</v>
      </c>
      <c r="R1730" s="107">
        <v>0</v>
      </c>
      <c r="S1730" s="107">
        <v>0</v>
      </c>
      <c r="T1730" s="107">
        <v>0</v>
      </c>
      <c r="U1730" s="107"/>
      <c r="V1730" s="107"/>
      <c r="W1730" s="107"/>
      <c r="X1730" s="107"/>
      <c r="Y1730" s="107"/>
      <c r="Z1730" s="107"/>
      <c r="AA1730" s="107"/>
      <c r="AB1730" s="107"/>
      <c r="AC1730" s="355"/>
      <c r="AD1730" s="355"/>
      <c r="AE1730" s="355"/>
      <c r="AF1730" s="94">
        <f t="shared" si="229"/>
        <v>41943</v>
      </c>
      <c r="AG1730" s="185">
        <f t="shared" si="233"/>
        <v>-1.2334576645159467E-2</v>
      </c>
      <c r="AH1730" s="339" t="str">
        <f>VLOOKUP(B1730,'MF PF'!A:B,2)</f>
        <v>FdMgt1</v>
      </c>
      <c r="AI1730" s="358">
        <f t="shared" si="230"/>
        <v>0</v>
      </c>
      <c r="AJ1730" s="94">
        <f t="shared" si="231"/>
        <v>41943</v>
      </c>
    </row>
    <row r="1731" spans="1:36" ht="12.75" customHeight="1">
      <c r="A1731" s="94">
        <v>41971</v>
      </c>
      <c r="B1731" s="94" t="s">
        <v>136</v>
      </c>
      <c r="C1731" s="358" t="s">
        <v>321</v>
      </c>
      <c r="D1731" s="374">
        <v>1782442.72</v>
      </c>
      <c r="E1731" s="95" t="e">
        <f t="shared" si="235"/>
        <v>#DIV/0!</v>
      </c>
      <c r="F1731" s="98">
        <v>2.5</v>
      </c>
      <c r="G1731" s="98">
        <v>0</v>
      </c>
      <c r="H1731" s="98">
        <v>0</v>
      </c>
      <c r="I1731" s="98">
        <v>0</v>
      </c>
      <c r="J1731" s="98"/>
      <c r="K1731" s="93"/>
      <c r="L1731" s="93">
        <f t="shared" ref="L1731:L1794" si="236">G1731+H1731+I1731</f>
        <v>0</v>
      </c>
      <c r="M1731" s="95" t="e">
        <f t="shared" ref="M1731:M1794" ca="1" si="237">IF(A1731&gt;INDIRECT("A"&amp;ROW()-1),I1731/K1731,E1731)</f>
        <v>#DIV/0!</v>
      </c>
      <c r="N1731" s="95">
        <f>IF(P1731="Hedge Fund",IF(A1731=Summary!$AD$3,M1731-E1731,M1731),IF(A1731=Summary!$AD$3,L1731-D1731,L1731))</f>
        <v>0</v>
      </c>
      <c r="O1731" s="95">
        <f t="shared" si="232"/>
        <v>0</v>
      </c>
      <c r="P1731" s="89" t="s">
        <v>155</v>
      </c>
      <c r="Q1731" s="107">
        <v>0</v>
      </c>
      <c r="R1731" s="107">
        <v>0</v>
      </c>
      <c r="S1731" s="107">
        <v>0</v>
      </c>
      <c r="T1731" s="107">
        <v>0</v>
      </c>
      <c r="U1731" s="107"/>
      <c r="V1731" s="107"/>
      <c r="W1731" s="107"/>
      <c r="X1731" s="107"/>
      <c r="Y1731" s="107"/>
      <c r="Z1731" s="107"/>
      <c r="AA1731" s="107"/>
      <c r="AB1731" s="107"/>
      <c r="AC1731" s="355"/>
      <c r="AD1731" s="355"/>
      <c r="AE1731" s="355"/>
      <c r="AF1731" s="94">
        <f t="shared" ref="AF1731:AF1794" si="238">A1731</f>
        <v>41971</v>
      </c>
      <c r="AG1731" s="185">
        <f t="shared" si="233"/>
        <v>8.894844279788483E-3</v>
      </c>
      <c r="AH1731" s="339" t="str">
        <f>VLOOKUP(B1731,'MF PF'!A:B,2)</f>
        <v>FdMgt1</v>
      </c>
      <c r="AI1731" s="358">
        <f t="shared" ref="AI1731:AI1794" si="239">AF1731-A1731</f>
        <v>0</v>
      </c>
      <c r="AJ1731" s="94">
        <f t="shared" ref="AJ1731:AJ1794" si="240">EOMONTH(A1731,0)</f>
        <v>41973</v>
      </c>
    </row>
    <row r="1732" spans="1:36" ht="12.75" customHeight="1">
      <c r="A1732" s="94">
        <v>42004</v>
      </c>
      <c r="B1732" s="94" t="s">
        <v>136</v>
      </c>
      <c r="C1732" s="358" t="s">
        <v>321</v>
      </c>
      <c r="D1732" s="374">
        <v>1768829.07</v>
      </c>
      <c r="E1732" s="95" t="e">
        <f t="shared" si="235"/>
        <v>#DIV/0!</v>
      </c>
      <c r="F1732" s="98">
        <v>2.5</v>
      </c>
      <c r="G1732" s="98">
        <v>0</v>
      </c>
      <c r="H1732" s="98">
        <v>0</v>
      </c>
      <c r="I1732" s="98">
        <v>0</v>
      </c>
      <c r="J1732" s="98"/>
      <c r="K1732" s="93"/>
      <c r="L1732" s="93">
        <f t="shared" si="236"/>
        <v>0</v>
      </c>
      <c r="M1732" s="95" t="e">
        <f t="shared" ca="1" si="237"/>
        <v>#DIV/0!</v>
      </c>
      <c r="N1732" s="95">
        <f>IF(P1732="Hedge Fund",IF(A1732=Summary!$AD$3,M1732-E1732,M1732),IF(A1732=Summary!$AD$3,L1732-D1732,L1732))</f>
        <v>0</v>
      </c>
      <c r="O1732" s="95">
        <f t="shared" si="232"/>
        <v>0</v>
      </c>
      <c r="P1732" s="89" t="s">
        <v>155</v>
      </c>
      <c r="Q1732" s="107">
        <v>0</v>
      </c>
      <c r="R1732" s="107">
        <v>0</v>
      </c>
      <c r="S1732" s="107">
        <v>0</v>
      </c>
      <c r="T1732" s="107">
        <v>0</v>
      </c>
      <c r="U1732" s="107"/>
      <c r="V1732" s="107"/>
      <c r="W1732" s="107"/>
      <c r="X1732" s="107"/>
      <c r="Y1732" s="107"/>
      <c r="Z1732" s="107"/>
      <c r="AA1732" s="107"/>
      <c r="AB1732" s="107"/>
      <c r="AC1732" s="355"/>
      <c r="AD1732" s="355"/>
      <c r="AE1732" s="355"/>
      <c r="AF1732" s="94">
        <f t="shared" si="238"/>
        <v>42004</v>
      </c>
      <c r="AG1732" s="185">
        <f t="shared" si="233"/>
        <v>-7.6376367370727394E-3</v>
      </c>
      <c r="AH1732" s="339" t="str">
        <f>VLOOKUP(B1732,'MF PF'!A:B,2)</f>
        <v>FdMgt1</v>
      </c>
      <c r="AI1732" s="358">
        <f t="shared" si="239"/>
        <v>0</v>
      </c>
      <c r="AJ1732" s="94">
        <f t="shared" si="240"/>
        <v>42004</v>
      </c>
    </row>
    <row r="1733" spans="1:36" s="92" customFormat="1" ht="12.75" customHeight="1">
      <c r="A1733" s="94">
        <v>42034</v>
      </c>
      <c r="B1733" s="94" t="s">
        <v>136</v>
      </c>
      <c r="C1733" s="358" t="s">
        <v>321</v>
      </c>
      <c r="D1733" s="374">
        <v>2122046.6800000002</v>
      </c>
      <c r="E1733" s="95" t="e">
        <f t="shared" si="235"/>
        <v>#DIV/0!</v>
      </c>
      <c r="F1733" s="98">
        <v>2.5</v>
      </c>
      <c r="G1733" s="98">
        <v>290000</v>
      </c>
      <c r="H1733" s="98">
        <v>0</v>
      </c>
      <c r="I1733" s="98">
        <v>0</v>
      </c>
      <c r="J1733" s="98"/>
      <c r="K1733" s="93"/>
      <c r="L1733" s="93">
        <f t="shared" si="236"/>
        <v>290000</v>
      </c>
      <c r="M1733" s="95" t="e">
        <f t="shared" ca="1" si="237"/>
        <v>#DIV/0!</v>
      </c>
      <c r="N1733" s="95">
        <f>IF(P1733="Hedge Fund",IF(A1733=Summary!$AD$3,M1733-E1733,M1733),IF(A1733=Summary!$AD$3,L1733-D1733,L1733))</f>
        <v>290000</v>
      </c>
      <c r="O1733" s="95">
        <f t="shared" si="232"/>
        <v>290000</v>
      </c>
      <c r="P1733" s="107" t="s">
        <v>155</v>
      </c>
      <c r="Q1733" s="107">
        <v>0</v>
      </c>
      <c r="R1733" s="107">
        <v>0</v>
      </c>
      <c r="S1733" s="107">
        <v>0</v>
      </c>
      <c r="T1733" s="107">
        <v>0</v>
      </c>
      <c r="U1733" s="107"/>
      <c r="V1733" s="107"/>
      <c r="W1733" s="107"/>
      <c r="X1733" s="107"/>
      <c r="Y1733" s="107"/>
      <c r="Z1733" s="107"/>
      <c r="AA1733" s="107"/>
      <c r="AB1733" s="107"/>
      <c r="AC1733" s="355"/>
      <c r="AD1733" s="355"/>
      <c r="AE1733" s="355"/>
      <c r="AF1733" s="94">
        <f t="shared" si="238"/>
        <v>42034</v>
      </c>
      <c r="AG1733" s="185">
        <f t="shared" si="233"/>
        <v>3.5739807238694965E-2</v>
      </c>
      <c r="AH1733" s="339" t="str">
        <f>VLOOKUP(B1733,'MF PF'!A:B,2)</f>
        <v>FdMgt1</v>
      </c>
      <c r="AI1733" s="358">
        <f t="shared" si="239"/>
        <v>0</v>
      </c>
      <c r="AJ1733" s="94">
        <f t="shared" si="240"/>
        <v>42035</v>
      </c>
    </row>
    <row r="1734" spans="1:36" ht="12.75" customHeight="1">
      <c r="A1734" s="94">
        <v>42062</v>
      </c>
      <c r="B1734" s="94" t="s">
        <v>136</v>
      </c>
      <c r="C1734" s="358" t="s">
        <v>321</v>
      </c>
      <c r="D1734" s="374">
        <v>2172117.4822999998</v>
      </c>
      <c r="E1734" s="9" t="e">
        <f t="shared" si="235"/>
        <v>#DIV/0!</v>
      </c>
      <c r="F1734" s="98">
        <v>2.5</v>
      </c>
      <c r="G1734" s="98">
        <v>35000</v>
      </c>
      <c r="H1734" s="98">
        <v>0</v>
      </c>
      <c r="I1734" s="98">
        <v>0</v>
      </c>
      <c r="J1734" s="98"/>
      <c r="K1734" s="93"/>
      <c r="L1734" s="93">
        <f t="shared" si="236"/>
        <v>35000</v>
      </c>
      <c r="M1734" s="95" t="e">
        <f t="shared" ca="1" si="237"/>
        <v>#DIV/0!</v>
      </c>
      <c r="N1734" s="95">
        <f>IF(P1734="Hedge Fund",IF(A1734=Summary!$AD$3,M1734-E1734,M1734),IF(A1734=Summary!$AD$3,L1734-D1734,L1734))</f>
        <v>35000</v>
      </c>
      <c r="O1734" s="95">
        <f t="shared" si="232"/>
        <v>35000</v>
      </c>
      <c r="P1734" s="107" t="s">
        <v>155</v>
      </c>
      <c r="Q1734" s="107">
        <v>0</v>
      </c>
      <c r="R1734" s="107">
        <v>0</v>
      </c>
      <c r="S1734" s="107">
        <v>0</v>
      </c>
      <c r="T1734" s="107">
        <v>0</v>
      </c>
      <c r="U1734" s="107"/>
      <c r="V1734" s="107"/>
      <c r="W1734" s="107"/>
      <c r="X1734" s="107"/>
      <c r="Y1734" s="107"/>
      <c r="Z1734" s="107"/>
      <c r="AA1734" s="107"/>
      <c r="AB1734" s="107"/>
      <c r="AC1734" s="355"/>
      <c r="AD1734" s="355"/>
      <c r="AE1734" s="355"/>
      <c r="AF1734" s="94">
        <f t="shared" si="238"/>
        <v>42062</v>
      </c>
      <c r="AG1734" s="185">
        <f t="shared" si="233"/>
        <v>7.1020126192509192E-3</v>
      </c>
      <c r="AH1734" s="339" t="str">
        <f>VLOOKUP(B1734,'MF PF'!A:B,2)</f>
        <v>FdMgt1</v>
      </c>
      <c r="AI1734" s="358">
        <f t="shared" si="239"/>
        <v>0</v>
      </c>
      <c r="AJ1734" s="94">
        <f t="shared" si="240"/>
        <v>42063</v>
      </c>
    </row>
    <row r="1735" spans="1:36" ht="12.75" customHeight="1">
      <c r="A1735" s="94">
        <v>42094</v>
      </c>
      <c r="B1735" s="94" t="s">
        <v>136</v>
      </c>
      <c r="C1735" s="358" t="s">
        <v>321</v>
      </c>
      <c r="D1735" s="374">
        <v>2339729.5580000002</v>
      </c>
      <c r="E1735" s="9" t="e">
        <f t="shared" si="235"/>
        <v>#DIV/0!</v>
      </c>
      <c r="F1735" s="98">
        <v>2.5</v>
      </c>
      <c r="G1735" s="98">
        <v>142500</v>
      </c>
      <c r="H1735" s="98">
        <v>0</v>
      </c>
      <c r="I1735" s="98">
        <v>0</v>
      </c>
      <c r="J1735" s="98"/>
      <c r="K1735" s="93"/>
      <c r="L1735" s="93">
        <f t="shared" si="236"/>
        <v>142500</v>
      </c>
      <c r="M1735" s="95" t="e">
        <f t="shared" ca="1" si="237"/>
        <v>#DIV/0!</v>
      </c>
      <c r="N1735" s="95">
        <f>IF(P1735="Hedge Fund",IF(A1735=Summary!$AD$3,M1735-E1735,M1735),IF(A1735=Summary!$AD$3,L1735-D1735,L1735))</f>
        <v>142500</v>
      </c>
      <c r="O1735" s="95">
        <f t="shared" si="232"/>
        <v>142500</v>
      </c>
      <c r="P1735" s="107" t="s">
        <v>155</v>
      </c>
      <c r="Q1735" s="107">
        <v>0</v>
      </c>
      <c r="R1735" s="107">
        <v>0</v>
      </c>
      <c r="S1735" s="107">
        <v>0</v>
      </c>
      <c r="T1735" s="107">
        <v>0</v>
      </c>
      <c r="U1735" s="107"/>
      <c r="V1735" s="107"/>
      <c r="W1735" s="107"/>
      <c r="X1735" s="107"/>
      <c r="Y1735" s="107"/>
      <c r="Z1735" s="107"/>
      <c r="AA1735" s="107"/>
      <c r="AB1735" s="107"/>
      <c r="AC1735" s="355"/>
      <c r="AD1735" s="355"/>
      <c r="AE1735" s="355"/>
      <c r="AF1735" s="94">
        <f t="shared" si="238"/>
        <v>42094</v>
      </c>
      <c r="AG1735" s="185">
        <f t="shared" si="233"/>
        <v>1.1561103809822448E-2</v>
      </c>
      <c r="AH1735" s="339" t="str">
        <f>VLOOKUP(B1735,'MF PF'!A:B,2)</f>
        <v>FdMgt1</v>
      </c>
      <c r="AI1735" s="358">
        <f t="shared" si="239"/>
        <v>0</v>
      </c>
      <c r="AJ1735" s="94">
        <f t="shared" si="240"/>
        <v>42094</v>
      </c>
    </row>
    <row r="1736" spans="1:36" ht="12.75" customHeight="1">
      <c r="A1736" s="94">
        <v>42124</v>
      </c>
      <c r="B1736" s="94" t="s">
        <v>136</v>
      </c>
      <c r="C1736" s="358" t="s">
        <v>321</v>
      </c>
      <c r="D1736" s="374">
        <v>2519826.8267999999</v>
      </c>
      <c r="E1736" s="9" t="e">
        <f t="shared" si="235"/>
        <v>#DIV/0!</v>
      </c>
      <c r="F1736" s="98">
        <v>2.5</v>
      </c>
      <c r="G1736" s="98">
        <v>0</v>
      </c>
      <c r="H1736" s="98">
        <v>0</v>
      </c>
      <c r="I1736" s="98">
        <v>0</v>
      </c>
      <c r="J1736" s="98"/>
      <c r="K1736" s="93"/>
      <c r="L1736" s="93">
        <f t="shared" si="236"/>
        <v>0</v>
      </c>
      <c r="M1736" s="95" t="e">
        <f t="shared" ca="1" si="237"/>
        <v>#DIV/0!</v>
      </c>
      <c r="N1736" s="95">
        <f>IF(P1736="Hedge Fund",IF(A1736=Summary!$AD$3,M1736-E1736,M1736),IF(A1736=Summary!$AD$3,L1736-D1736,L1736))</f>
        <v>0</v>
      </c>
      <c r="O1736" s="95">
        <f t="shared" si="232"/>
        <v>0</v>
      </c>
      <c r="P1736" s="89" t="s">
        <v>155</v>
      </c>
      <c r="Q1736" s="107">
        <v>0</v>
      </c>
      <c r="R1736" s="107">
        <v>0</v>
      </c>
      <c r="S1736" s="107">
        <v>0</v>
      </c>
      <c r="T1736" s="107">
        <v>0</v>
      </c>
      <c r="U1736" s="107"/>
      <c r="V1736" s="107"/>
      <c r="W1736" s="107"/>
      <c r="X1736" s="107"/>
      <c r="Y1736" s="107"/>
      <c r="Z1736" s="107"/>
      <c r="AA1736" s="107"/>
      <c r="AB1736" s="107"/>
      <c r="AC1736" s="355"/>
      <c r="AD1736" s="355"/>
      <c r="AE1736" s="355"/>
      <c r="AF1736" s="94">
        <f t="shared" si="238"/>
        <v>42124</v>
      </c>
      <c r="AG1736" s="185">
        <f t="shared" si="233"/>
        <v>7.6973540888181535E-2</v>
      </c>
      <c r="AH1736" s="339" t="str">
        <f>VLOOKUP(B1736,'MF PF'!A:B,2)</f>
        <v>FdMgt1</v>
      </c>
      <c r="AI1736" s="358">
        <f t="shared" si="239"/>
        <v>0</v>
      </c>
      <c r="AJ1736" s="94">
        <f t="shared" si="240"/>
        <v>42124</v>
      </c>
    </row>
    <row r="1737" spans="1:36" ht="12.75" customHeight="1">
      <c r="A1737" s="94">
        <v>42153</v>
      </c>
      <c r="B1737" s="94" t="s">
        <v>136</v>
      </c>
      <c r="C1737" s="358" t="s">
        <v>321</v>
      </c>
      <c r="D1737" s="374">
        <v>2545631.2373000002</v>
      </c>
      <c r="E1737" s="9" t="e">
        <f t="shared" si="235"/>
        <v>#DIV/0!</v>
      </c>
      <c r="F1737" s="98">
        <v>2.5</v>
      </c>
      <c r="G1737" s="98">
        <v>0</v>
      </c>
      <c r="H1737" s="98">
        <v>0</v>
      </c>
      <c r="I1737" s="98">
        <v>0</v>
      </c>
      <c r="J1737" s="98"/>
      <c r="L1737" s="93">
        <f t="shared" si="236"/>
        <v>0</v>
      </c>
      <c r="M1737" s="95" t="e">
        <f t="shared" ca="1" si="237"/>
        <v>#DIV/0!</v>
      </c>
      <c r="N1737" s="95">
        <f>IF(P1737="Hedge Fund",IF(A1737=Summary!$AD$3,M1737-E1737,M1737),IF(A1737=Summary!$AD$3,L1737-D1737,L1737))</f>
        <v>0</v>
      </c>
      <c r="O1737" s="95">
        <f t="shared" si="232"/>
        <v>0</v>
      </c>
      <c r="P1737" s="89" t="s">
        <v>155</v>
      </c>
      <c r="Q1737" s="107">
        <v>0</v>
      </c>
      <c r="R1737" s="107">
        <v>0</v>
      </c>
      <c r="S1737" s="107">
        <v>0</v>
      </c>
      <c r="T1737" s="107">
        <v>0</v>
      </c>
      <c r="U1737" s="107"/>
      <c r="V1737" s="107"/>
      <c r="W1737" s="107"/>
      <c r="X1737" s="107"/>
      <c r="Y1737" s="107"/>
      <c r="Z1737" s="107"/>
      <c r="AA1737" s="107"/>
      <c r="AB1737" s="107"/>
      <c r="AC1737" s="355"/>
      <c r="AD1737" s="355"/>
      <c r="AE1737" s="355"/>
      <c r="AF1737" s="94">
        <f t="shared" si="238"/>
        <v>42153</v>
      </c>
      <c r="AG1737" s="185">
        <f t="shared" si="233"/>
        <v>1.0240549162169987E-2</v>
      </c>
      <c r="AH1737" s="339" t="str">
        <f>VLOOKUP(B1737,'MF PF'!A:B,2)</f>
        <v>FdMgt1</v>
      </c>
      <c r="AI1737" s="358">
        <f t="shared" si="239"/>
        <v>0</v>
      </c>
      <c r="AJ1737" s="94">
        <f t="shared" si="240"/>
        <v>42155</v>
      </c>
    </row>
    <row r="1738" spans="1:36" ht="12.75" customHeight="1">
      <c r="A1738" s="94">
        <v>42185</v>
      </c>
      <c r="B1738" s="94" t="s">
        <v>136</v>
      </c>
      <c r="C1738" s="358" t="s">
        <v>321</v>
      </c>
      <c r="D1738" s="374">
        <v>2519251.2548000002</v>
      </c>
      <c r="E1738" s="95" t="e">
        <f t="shared" si="235"/>
        <v>#DIV/0!</v>
      </c>
      <c r="F1738" s="98">
        <v>2.5</v>
      </c>
      <c r="G1738" s="98">
        <v>0</v>
      </c>
      <c r="H1738" s="98">
        <v>0</v>
      </c>
      <c r="I1738" s="98">
        <v>0</v>
      </c>
      <c r="J1738" s="98"/>
      <c r="K1738" s="93"/>
      <c r="L1738" s="93">
        <f t="shared" si="236"/>
        <v>0</v>
      </c>
      <c r="M1738" s="95" t="e">
        <f t="shared" ca="1" si="237"/>
        <v>#DIV/0!</v>
      </c>
      <c r="N1738" s="95">
        <f>IF(P1738="Hedge Fund",IF(A1738=Summary!$AD$3,M1738-E1738,M1738),IF(A1738=Summary!$AD$3,L1738-D1738,L1738))</f>
        <v>0</v>
      </c>
      <c r="O1738" s="95">
        <f t="shared" si="232"/>
        <v>0</v>
      </c>
      <c r="P1738" s="89" t="s">
        <v>155</v>
      </c>
      <c r="Q1738" s="107">
        <v>0</v>
      </c>
      <c r="R1738" s="107">
        <v>0</v>
      </c>
      <c r="S1738" s="107">
        <v>0</v>
      </c>
      <c r="T1738" s="107">
        <v>0</v>
      </c>
      <c r="U1738" s="107"/>
      <c r="V1738" s="107"/>
      <c r="W1738" s="107"/>
      <c r="X1738" s="107"/>
      <c r="Y1738" s="107"/>
      <c r="Z1738" s="107"/>
      <c r="AA1738" s="107"/>
      <c r="AB1738" s="107"/>
      <c r="AC1738" s="355"/>
      <c r="AD1738" s="355"/>
      <c r="AE1738" s="355"/>
      <c r="AF1738" s="94">
        <f t="shared" si="238"/>
        <v>42185</v>
      </c>
      <c r="AG1738" s="185">
        <f t="shared" si="233"/>
        <v>-1.036284522026043E-2</v>
      </c>
      <c r="AH1738" s="339" t="str">
        <f>VLOOKUP(B1738,'MF PF'!A:B,2)</f>
        <v>FdMgt1</v>
      </c>
      <c r="AI1738" s="358">
        <f t="shared" si="239"/>
        <v>0</v>
      </c>
      <c r="AJ1738" s="94">
        <f t="shared" si="240"/>
        <v>42185</v>
      </c>
    </row>
    <row r="1739" spans="1:36" ht="12.75" customHeight="1">
      <c r="A1739" s="94">
        <v>42216</v>
      </c>
      <c r="B1739" s="94" t="s">
        <v>136</v>
      </c>
      <c r="C1739" s="358" t="s">
        <v>321</v>
      </c>
      <c r="D1739" s="374">
        <v>2667132.7740000002</v>
      </c>
      <c r="E1739" s="95" t="e">
        <f t="shared" si="235"/>
        <v>#DIV/0!</v>
      </c>
      <c r="F1739" s="98">
        <v>2.5</v>
      </c>
      <c r="G1739" s="98">
        <v>187500</v>
      </c>
      <c r="H1739" s="98">
        <v>0</v>
      </c>
      <c r="I1739" s="98">
        <v>0</v>
      </c>
      <c r="J1739" s="98"/>
      <c r="K1739" s="93"/>
      <c r="L1739" s="93">
        <f t="shared" si="236"/>
        <v>187500</v>
      </c>
      <c r="M1739" s="95" t="e">
        <f t="shared" ca="1" si="237"/>
        <v>#DIV/0!</v>
      </c>
      <c r="N1739" s="95">
        <f>IF(P1739="Hedge Fund",IF(A1739=Summary!$AD$3,M1739-E1739,M1739),IF(A1739=Summary!$AD$3,L1739-D1739,L1739))</f>
        <v>187500</v>
      </c>
      <c r="O1739" s="95">
        <f t="shared" si="232"/>
        <v>187500</v>
      </c>
      <c r="P1739" s="89" t="s">
        <v>155</v>
      </c>
      <c r="Q1739" s="107">
        <v>0</v>
      </c>
      <c r="R1739" s="107">
        <v>0</v>
      </c>
      <c r="S1739" s="107">
        <v>0</v>
      </c>
      <c r="T1739" s="107">
        <v>0</v>
      </c>
      <c r="U1739" s="107"/>
      <c r="V1739" s="107"/>
      <c r="W1739" s="107"/>
      <c r="X1739" s="107"/>
      <c r="Y1739" s="107"/>
      <c r="Z1739" s="107"/>
      <c r="AA1739" s="107"/>
      <c r="AB1739" s="107"/>
      <c r="AC1739" s="355"/>
      <c r="AD1739" s="355"/>
      <c r="AE1739" s="355"/>
      <c r="AF1739" s="94">
        <f t="shared" si="238"/>
        <v>42216</v>
      </c>
      <c r="AG1739" s="185">
        <f t="shared" si="233"/>
        <v>-1.5726291978425677E-2</v>
      </c>
      <c r="AH1739" s="339" t="str">
        <f>VLOOKUP(B1739,'MF PF'!A:B,2)</f>
        <v>FdMgt1</v>
      </c>
      <c r="AI1739" s="358">
        <f t="shared" si="239"/>
        <v>0</v>
      </c>
      <c r="AJ1739" s="94">
        <f t="shared" si="240"/>
        <v>42216</v>
      </c>
    </row>
    <row r="1740" spans="1:36" ht="12.75" customHeight="1">
      <c r="A1740" s="94">
        <v>42247</v>
      </c>
      <c r="B1740" s="94" t="s">
        <v>136</v>
      </c>
      <c r="C1740" s="358" t="s">
        <v>321</v>
      </c>
      <c r="D1740" s="374">
        <v>2626523.3223000001</v>
      </c>
      <c r="E1740" s="95" t="e">
        <f t="shared" si="235"/>
        <v>#DIV/0!</v>
      </c>
      <c r="F1740" s="98">
        <v>2.5</v>
      </c>
      <c r="G1740" s="98">
        <v>0</v>
      </c>
      <c r="H1740" s="98">
        <v>0</v>
      </c>
      <c r="I1740" s="98">
        <v>0</v>
      </c>
      <c r="J1740" s="98"/>
      <c r="K1740" s="93"/>
      <c r="L1740" s="93">
        <f t="shared" si="236"/>
        <v>0</v>
      </c>
      <c r="M1740" s="95" t="e">
        <f t="shared" ca="1" si="237"/>
        <v>#DIV/0!</v>
      </c>
      <c r="N1740" s="95">
        <f>IF(P1740="Hedge Fund",IF(A1740=Summary!$AD$3,M1740-E1740,M1740),IF(A1740=Summary!$AD$3,L1740-D1740,L1740))</f>
        <v>0</v>
      </c>
      <c r="O1740" s="95">
        <f t="shared" si="232"/>
        <v>0</v>
      </c>
      <c r="P1740" s="89" t="s">
        <v>155</v>
      </c>
      <c r="Q1740" s="107">
        <v>0</v>
      </c>
      <c r="R1740" s="107">
        <v>0</v>
      </c>
      <c r="S1740" s="107">
        <v>0</v>
      </c>
      <c r="T1740" s="107">
        <v>0</v>
      </c>
      <c r="U1740" s="107"/>
      <c r="V1740" s="107"/>
      <c r="W1740" s="107"/>
      <c r="X1740" s="107"/>
      <c r="Y1740" s="107"/>
      <c r="Z1740" s="107"/>
      <c r="AA1740" s="107"/>
      <c r="AB1740" s="107"/>
      <c r="AC1740" s="355"/>
      <c r="AD1740" s="355"/>
      <c r="AE1740" s="355"/>
      <c r="AF1740" s="94">
        <f t="shared" si="238"/>
        <v>42247</v>
      </c>
      <c r="AG1740" s="185">
        <f t="shared" si="233"/>
        <v>-1.5225883051595002E-2</v>
      </c>
      <c r="AH1740" s="339" t="str">
        <f>VLOOKUP(B1740,'MF PF'!A:B,2)</f>
        <v>FdMgt1</v>
      </c>
      <c r="AI1740" s="358">
        <f t="shared" si="239"/>
        <v>0</v>
      </c>
      <c r="AJ1740" s="94">
        <f t="shared" si="240"/>
        <v>42247</v>
      </c>
    </row>
    <row r="1741" spans="1:36" ht="12.75" customHeight="1">
      <c r="A1741" s="94">
        <v>42277</v>
      </c>
      <c r="B1741" s="94" t="s">
        <v>136</v>
      </c>
      <c r="C1741" s="358" t="s">
        <v>321</v>
      </c>
      <c r="D1741" s="374">
        <v>2633600.0902999998</v>
      </c>
      <c r="E1741" s="9" t="e">
        <f t="shared" si="235"/>
        <v>#DIV/0!</v>
      </c>
      <c r="F1741" s="98">
        <v>2.5</v>
      </c>
      <c r="G1741" s="98">
        <v>0</v>
      </c>
      <c r="H1741" s="98">
        <v>0</v>
      </c>
      <c r="I1741" s="98">
        <v>0</v>
      </c>
      <c r="J1741" s="98"/>
      <c r="K1741" s="93"/>
      <c r="L1741" s="93">
        <f t="shared" si="236"/>
        <v>0</v>
      </c>
      <c r="M1741" s="95" t="e">
        <f t="shared" ca="1" si="237"/>
        <v>#DIV/0!</v>
      </c>
      <c r="N1741" s="95">
        <f>IF(P1741="Hedge Fund",IF(A1741=Summary!$AD$3,M1741-E1741,M1741),IF(A1741=Summary!$AD$3,L1741-D1741,L1741))</f>
        <v>0</v>
      </c>
      <c r="O1741" s="95">
        <f t="shared" si="232"/>
        <v>0</v>
      </c>
      <c r="P1741" s="89" t="s">
        <v>155</v>
      </c>
      <c r="Q1741" s="107">
        <v>0</v>
      </c>
      <c r="R1741" s="107">
        <v>0</v>
      </c>
      <c r="S1741" s="107">
        <v>0</v>
      </c>
      <c r="T1741" s="107">
        <v>0</v>
      </c>
      <c r="U1741" s="107"/>
      <c r="V1741" s="107"/>
      <c r="W1741" s="107"/>
      <c r="X1741" s="107"/>
      <c r="Y1741" s="107"/>
      <c r="Z1741" s="107"/>
      <c r="AA1741" s="107"/>
      <c r="AB1741" s="107"/>
      <c r="AC1741" s="355"/>
      <c r="AD1741" s="355"/>
      <c r="AE1741" s="355"/>
      <c r="AF1741" s="94">
        <f t="shared" si="238"/>
        <v>42277</v>
      </c>
      <c r="AG1741" s="185">
        <f t="shared" si="233"/>
        <v>2.6943480531529396E-3</v>
      </c>
      <c r="AH1741" s="339" t="str">
        <f>VLOOKUP(B1741,'MF PF'!A:B,2)</f>
        <v>FdMgt1</v>
      </c>
      <c r="AI1741" s="358">
        <f t="shared" si="239"/>
        <v>0</v>
      </c>
      <c r="AJ1741" s="94">
        <f t="shared" si="240"/>
        <v>42277</v>
      </c>
    </row>
    <row r="1742" spans="1:36" ht="12.75" customHeight="1">
      <c r="A1742" s="94">
        <v>42307</v>
      </c>
      <c r="B1742" s="94" t="s">
        <v>136</v>
      </c>
      <c r="C1742" s="358" t="s">
        <v>321</v>
      </c>
      <c r="D1742" s="374">
        <v>2702863.2115000002</v>
      </c>
      <c r="E1742" s="9" t="e">
        <f t="shared" si="235"/>
        <v>#DIV/0!</v>
      </c>
      <c r="F1742" s="98">
        <v>2.5</v>
      </c>
      <c r="G1742" s="98">
        <v>0</v>
      </c>
      <c r="H1742" s="98">
        <v>0</v>
      </c>
      <c r="I1742" s="98">
        <v>0</v>
      </c>
      <c r="J1742" s="98"/>
      <c r="K1742" s="93"/>
      <c r="L1742" s="93">
        <f t="shared" si="236"/>
        <v>0</v>
      </c>
      <c r="M1742" s="95" t="e">
        <f t="shared" ca="1" si="237"/>
        <v>#DIV/0!</v>
      </c>
      <c r="N1742" s="95">
        <f>IF(P1742="Hedge Fund",IF(A1742=Summary!$AD$3,M1742-E1742,M1742),IF(A1742=Summary!$AD$3,L1742-D1742,L1742))</f>
        <v>0</v>
      </c>
      <c r="O1742" s="95">
        <f t="shared" ref="O1742:O1805" si="241">N1742</f>
        <v>0</v>
      </c>
      <c r="P1742" s="89" t="s">
        <v>155</v>
      </c>
      <c r="Q1742" s="107">
        <v>0</v>
      </c>
      <c r="R1742" s="107">
        <v>0</v>
      </c>
      <c r="S1742" s="107">
        <v>0</v>
      </c>
      <c r="T1742" s="107">
        <v>0</v>
      </c>
      <c r="U1742" s="107"/>
      <c r="V1742" s="107"/>
      <c r="W1742" s="107"/>
      <c r="X1742" s="107"/>
      <c r="Y1742" s="107"/>
      <c r="Z1742" s="107"/>
      <c r="AA1742" s="107"/>
      <c r="AB1742" s="107"/>
      <c r="AC1742" s="355"/>
      <c r="AD1742" s="355"/>
      <c r="AE1742" s="355"/>
      <c r="AF1742" s="94">
        <f t="shared" si="238"/>
        <v>42307</v>
      </c>
      <c r="AG1742" s="185">
        <f t="shared" si="233"/>
        <v>2.629978691719681E-2</v>
      </c>
      <c r="AH1742" s="339" t="str">
        <f>VLOOKUP(B1742,'MF PF'!A:B,2)</f>
        <v>FdMgt1</v>
      </c>
      <c r="AI1742" s="358">
        <f t="shared" si="239"/>
        <v>0</v>
      </c>
      <c r="AJ1742" s="94">
        <f t="shared" si="240"/>
        <v>42308</v>
      </c>
    </row>
    <row r="1743" spans="1:36" ht="12.75" customHeight="1">
      <c r="A1743" s="94">
        <v>42338</v>
      </c>
      <c r="B1743" s="94" t="s">
        <v>136</v>
      </c>
      <c r="C1743" s="358" t="s">
        <v>321</v>
      </c>
      <c r="D1743" s="374">
        <v>2691209.4232999999</v>
      </c>
      <c r="E1743" s="9" t="e">
        <f t="shared" si="235"/>
        <v>#DIV/0!</v>
      </c>
      <c r="F1743" s="98">
        <v>2.5</v>
      </c>
      <c r="G1743" s="98">
        <v>0</v>
      </c>
      <c r="H1743" s="98">
        <v>0</v>
      </c>
      <c r="I1743" s="98">
        <v>0</v>
      </c>
      <c r="J1743" s="98"/>
      <c r="K1743" s="93"/>
      <c r="L1743" s="93">
        <f t="shared" si="236"/>
        <v>0</v>
      </c>
      <c r="M1743" s="95" t="e">
        <f t="shared" ca="1" si="237"/>
        <v>#DIV/0!</v>
      </c>
      <c r="N1743" s="95">
        <f>IF(P1743="Hedge Fund",IF(A1743=Summary!$AD$3,M1743-E1743,M1743),IF(A1743=Summary!$AD$3,L1743-D1743,L1743))</f>
        <v>0</v>
      </c>
      <c r="O1743" s="95">
        <f t="shared" si="241"/>
        <v>0</v>
      </c>
      <c r="P1743" s="107" t="s">
        <v>155</v>
      </c>
      <c r="Q1743" s="107">
        <v>0</v>
      </c>
      <c r="R1743" s="107">
        <v>0</v>
      </c>
      <c r="S1743" s="107">
        <v>0</v>
      </c>
      <c r="T1743" s="107">
        <v>0</v>
      </c>
      <c r="U1743" s="107"/>
      <c r="V1743" s="107"/>
      <c r="W1743" s="107"/>
      <c r="X1743" s="107"/>
      <c r="Y1743" s="107"/>
      <c r="Z1743" s="107"/>
      <c r="AA1743" s="107"/>
      <c r="AB1743" s="107"/>
      <c r="AC1743" s="355"/>
      <c r="AD1743" s="355"/>
      <c r="AE1743" s="355"/>
      <c r="AF1743" s="94">
        <f t="shared" si="238"/>
        <v>42338</v>
      </c>
      <c r="AG1743" s="185">
        <f t="shared" ref="AG1743:AG1806" si="242">IF(C1743&lt;&gt;C1742,D1743/G1743-1,(D1743-G1743-I1743-H1743)/(D1742)-1)</f>
        <v>-4.311645572893319E-3</v>
      </c>
      <c r="AH1743" s="339" t="str">
        <f>VLOOKUP(B1743,'MF PF'!A:B,2)</f>
        <v>FdMgt1</v>
      </c>
      <c r="AI1743" s="358">
        <f t="shared" si="239"/>
        <v>0</v>
      </c>
      <c r="AJ1743" s="94">
        <f t="shared" si="240"/>
        <v>42338</v>
      </c>
    </row>
    <row r="1744" spans="1:36" ht="12.75" customHeight="1">
      <c r="A1744" s="94">
        <v>42369</v>
      </c>
      <c r="B1744" s="94" t="s">
        <v>136</v>
      </c>
      <c r="C1744" s="358" t="s">
        <v>321</v>
      </c>
      <c r="D1744" s="374">
        <v>2712651.0528000002</v>
      </c>
      <c r="E1744" s="9" t="e">
        <f t="shared" si="235"/>
        <v>#DIV/0!</v>
      </c>
      <c r="F1744" s="98">
        <v>2.5</v>
      </c>
      <c r="G1744" s="98">
        <v>0</v>
      </c>
      <c r="H1744" s="98">
        <v>0</v>
      </c>
      <c r="I1744" s="98">
        <v>0</v>
      </c>
      <c r="J1744" s="98"/>
      <c r="L1744" s="93">
        <f t="shared" si="236"/>
        <v>0</v>
      </c>
      <c r="M1744" s="95" t="e">
        <f t="shared" ca="1" si="237"/>
        <v>#DIV/0!</v>
      </c>
      <c r="N1744" s="95">
        <f>IF(P1744="Hedge Fund",IF(A1744=Summary!$AD$3,M1744-E1744,M1744),IF(A1744=Summary!$AD$3,L1744-D1744,L1744))</f>
        <v>0</v>
      </c>
      <c r="O1744" s="95">
        <f t="shared" si="241"/>
        <v>0</v>
      </c>
      <c r="P1744" s="107" t="s">
        <v>155</v>
      </c>
      <c r="Q1744" s="107">
        <v>0</v>
      </c>
      <c r="R1744" s="107">
        <v>0</v>
      </c>
      <c r="S1744" s="107">
        <v>0</v>
      </c>
      <c r="T1744" s="107">
        <v>0</v>
      </c>
      <c r="U1744" s="107"/>
      <c r="V1744" s="107"/>
      <c r="W1744" s="107"/>
      <c r="X1744" s="107"/>
      <c r="Y1744" s="107"/>
      <c r="Z1744" s="107"/>
      <c r="AA1744" s="107"/>
      <c r="AB1744" s="107"/>
      <c r="AC1744" s="355"/>
      <c r="AD1744" s="355"/>
      <c r="AE1744" s="355"/>
      <c r="AF1744" s="94">
        <f t="shared" si="238"/>
        <v>42369</v>
      </c>
      <c r="AG1744" s="185">
        <f t="shared" si="242"/>
        <v>7.9672838963635861E-3</v>
      </c>
      <c r="AH1744" s="339" t="str">
        <f>VLOOKUP(B1744,'MF PF'!A:B,2)</f>
        <v>FdMgt1</v>
      </c>
      <c r="AI1744" s="358">
        <f t="shared" si="239"/>
        <v>0</v>
      </c>
      <c r="AJ1744" s="94">
        <f t="shared" si="240"/>
        <v>42369</v>
      </c>
    </row>
    <row r="1745" spans="1:36" s="92" customFormat="1" ht="12.75" customHeight="1">
      <c r="A1745" s="94">
        <v>42398</v>
      </c>
      <c r="B1745" s="94" t="s">
        <v>136</v>
      </c>
      <c r="C1745" s="358" t="s">
        <v>321</v>
      </c>
      <c r="D1745" s="374">
        <v>2687325.5980000002</v>
      </c>
      <c r="E1745" s="95" t="e">
        <f t="shared" si="235"/>
        <v>#DIV/0!</v>
      </c>
      <c r="F1745" s="98">
        <v>2.5</v>
      </c>
      <c r="G1745" s="98">
        <v>0</v>
      </c>
      <c r="H1745" s="98">
        <v>0</v>
      </c>
      <c r="I1745" s="98">
        <v>0</v>
      </c>
      <c r="J1745" s="98"/>
      <c r="K1745" s="93"/>
      <c r="L1745" s="93">
        <f t="shared" si="236"/>
        <v>0</v>
      </c>
      <c r="M1745" s="95" t="e">
        <f t="shared" ca="1" si="237"/>
        <v>#DIV/0!</v>
      </c>
      <c r="N1745" s="95">
        <f>IF(P1745="Hedge Fund",IF(A1745=Summary!$AD$3,M1745-E1745,M1745),IF(A1745=Summary!$AD$3,L1745-D1745,L1745))</f>
        <v>0</v>
      </c>
      <c r="O1745" s="95">
        <f t="shared" si="241"/>
        <v>0</v>
      </c>
      <c r="P1745" s="107" t="s">
        <v>155</v>
      </c>
      <c r="Q1745" s="107">
        <v>0</v>
      </c>
      <c r="R1745" s="107">
        <v>0</v>
      </c>
      <c r="S1745" s="107">
        <v>0</v>
      </c>
      <c r="T1745" s="107">
        <v>0</v>
      </c>
      <c r="U1745" s="107"/>
      <c r="V1745" s="107"/>
      <c r="W1745" s="107"/>
      <c r="X1745" s="107"/>
      <c r="Y1745" s="107"/>
      <c r="Z1745" s="107"/>
      <c r="AA1745" s="107"/>
      <c r="AB1745" s="107"/>
      <c r="AC1745" s="355"/>
      <c r="AD1745" s="355"/>
      <c r="AE1745" s="355"/>
      <c r="AF1745" s="94">
        <f t="shared" si="238"/>
        <v>42398</v>
      </c>
      <c r="AG1745" s="185">
        <f t="shared" si="242"/>
        <v>-9.3360532951184405E-3</v>
      </c>
      <c r="AH1745" s="339" t="str">
        <f>VLOOKUP(B1745,'MF PF'!A:B,2)</f>
        <v>FdMgt1</v>
      </c>
      <c r="AI1745" s="358">
        <f t="shared" si="239"/>
        <v>0</v>
      </c>
      <c r="AJ1745" s="94">
        <f t="shared" si="240"/>
        <v>42400</v>
      </c>
    </row>
    <row r="1746" spans="1:36" ht="12.75" customHeight="1">
      <c r="A1746" s="94">
        <v>42429</v>
      </c>
      <c r="B1746" s="94" t="s">
        <v>136</v>
      </c>
      <c r="C1746" s="358" t="s">
        <v>321</v>
      </c>
      <c r="D1746" s="374">
        <v>2731798.4139999999</v>
      </c>
      <c r="E1746" s="9" t="e">
        <f t="shared" si="235"/>
        <v>#DIV/0!</v>
      </c>
      <c r="F1746" s="98">
        <v>2.5</v>
      </c>
      <c r="G1746" s="98">
        <v>0</v>
      </c>
      <c r="H1746" s="98">
        <v>0</v>
      </c>
      <c r="I1746" s="98">
        <v>0</v>
      </c>
      <c r="J1746" s="98"/>
      <c r="L1746" s="93">
        <f t="shared" si="236"/>
        <v>0</v>
      </c>
      <c r="M1746" s="95" t="e">
        <f t="shared" ca="1" si="237"/>
        <v>#DIV/0!</v>
      </c>
      <c r="N1746" s="95">
        <f>IF(P1746="Hedge Fund",IF(A1746=Summary!$AD$3,M1746-E1746,M1746),IF(A1746=Summary!$AD$3,L1746-D1746,L1746))</f>
        <v>0</v>
      </c>
      <c r="O1746" s="95">
        <f t="shared" si="241"/>
        <v>0</v>
      </c>
      <c r="P1746" s="107" t="s">
        <v>155</v>
      </c>
      <c r="Q1746" s="107">
        <v>0</v>
      </c>
      <c r="R1746" s="107">
        <v>0</v>
      </c>
      <c r="S1746" s="107">
        <v>0</v>
      </c>
      <c r="T1746" s="107">
        <v>0</v>
      </c>
      <c r="U1746" s="107"/>
      <c r="V1746" s="107"/>
      <c r="W1746" s="107"/>
      <c r="X1746" s="107"/>
      <c r="Y1746" s="107"/>
      <c r="Z1746" s="107"/>
      <c r="AA1746" s="107"/>
      <c r="AB1746" s="107"/>
      <c r="AC1746" s="355"/>
      <c r="AD1746" s="355"/>
      <c r="AE1746" s="355"/>
      <c r="AF1746" s="94">
        <f t="shared" si="238"/>
        <v>42429</v>
      </c>
      <c r="AG1746" s="185">
        <f t="shared" si="242"/>
        <v>1.6549098491488223E-2</v>
      </c>
      <c r="AH1746" s="339" t="str">
        <f>VLOOKUP(B1746,'MF PF'!A:B,2)</f>
        <v>FdMgt1</v>
      </c>
      <c r="AI1746" s="358">
        <f t="shared" si="239"/>
        <v>0</v>
      </c>
      <c r="AJ1746" s="94">
        <f t="shared" si="240"/>
        <v>42429</v>
      </c>
    </row>
    <row r="1747" spans="1:36" ht="12.75" customHeight="1">
      <c r="A1747" s="94">
        <v>42460</v>
      </c>
      <c r="B1747" s="94" t="s">
        <v>136</v>
      </c>
      <c r="C1747" s="358" t="s">
        <v>321</v>
      </c>
      <c r="D1747" s="374">
        <v>2774104.4082999998</v>
      </c>
      <c r="E1747" s="9" t="e">
        <f t="shared" si="235"/>
        <v>#DIV/0!</v>
      </c>
      <c r="F1747" s="98">
        <v>2.5</v>
      </c>
      <c r="G1747" s="98">
        <v>0</v>
      </c>
      <c r="H1747" s="98">
        <v>0</v>
      </c>
      <c r="I1747" s="98">
        <v>0</v>
      </c>
      <c r="J1747" s="98"/>
      <c r="L1747" s="93">
        <f t="shared" si="236"/>
        <v>0</v>
      </c>
      <c r="M1747" s="95" t="e">
        <f t="shared" ca="1" si="237"/>
        <v>#DIV/0!</v>
      </c>
      <c r="N1747" s="95">
        <f>IF(P1747="Hedge Fund",IF(A1747=Summary!$AD$3,M1747-E1747,M1747),IF(A1747=Summary!$AD$3,L1747-D1747,L1747))</f>
        <v>0</v>
      </c>
      <c r="O1747" s="95">
        <f t="shared" si="241"/>
        <v>0</v>
      </c>
      <c r="P1747" s="107" t="s">
        <v>155</v>
      </c>
      <c r="Q1747" s="107">
        <v>0</v>
      </c>
      <c r="R1747" s="107">
        <v>0</v>
      </c>
      <c r="S1747" s="107">
        <v>0</v>
      </c>
      <c r="T1747" s="107">
        <v>0</v>
      </c>
      <c r="U1747" s="107"/>
      <c r="V1747" s="107"/>
      <c r="W1747" s="107"/>
      <c r="X1747" s="107"/>
      <c r="Y1747" s="107"/>
      <c r="Z1747" s="107"/>
      <c r="AA1747" s="107"/>
      <c r="AB1747" s="107"/>
      <c r="AC1747" s="355"/>
      <c r="AD1747" s="355"/>
      <c r="AE1747" s="355"/>
      <c r="AF1747" s="94">
        <f t="shared" si="238"/>
        <v>42460</v>
      </c>
      <c r="AG1747" s="185">
        <f t="shared" si="242"/>
        <v>1.5486499327032721E-2</v>
      </c>
      <c r="AH1747" s="339" t="str">
        <f>VLOOKUP(B1747,'MF PF'!A:B,2)</f>
        <v>FdMgt1</v>
      </c>
      <c r="AI1747" s="358">
        <f t="shared" si="239"/>
        <v>0</v>
      </c>
      <c r="AJ1747" s="94">
        <f t="shared" si="240"/>
        <v>42460</v>
      </c>
    </row>
    <row r="1748" spans="1:36" ht="12.75" customHeight="1">
      <c r="A1748" s="94">
        <v>42489</v>
      </c>
      <c r="B1748" s="94" t="s">
        <v>136</v>
      </c>
      <c r="C1748" s="358" t="s">
        <v>321</v>
      </c>
      <c r="D1748" s="374">
        <v>2816951.7217999999</v>
      </c>
      <c r="E1748" s="9" t="e">
        <f t="shared" si="235"/>
        <v>#DIV/0!</v>
      </c>
      <c r="F1748" s="98">
        <v>2.5</v>
      </c>
      <c r="G1748" s="98">
        <v>0</v>
      </c>
      <c r="H1748" s="98">
        <v>0</v>
      </c>
      <c r="I1748" s="98">
        <v>0</v>
      </c>
      <c r="J1748" s="98"/>
      <c r="L1748" s="93">
        <f t="shared" si="236"/>
        <v>0</v>
      </c>
      <c r="M1748" s="95" t="e">
        <f t="shared" ca="1" si="237"/>
        <v>#DIV/0!</v>
      </c>
      <c r="N1748" s="95">
        <f>IF(P1748="Hedge Fund",IF(A1748=Summary!$AD$3,M1748-E1748,M1748),IF(A1748=Summary!$AD$3,L1748-D1748,L1748))</f>
        <v>0</v>
      </c>
      <c r="O1748" s="95">
        <f t="shared" si="241"/>
        <v>0</v>
      </c>
      <c r="P1748" s="107" t="s">
        <v>155</v>
      </c>
      <c r="Q1748" s="107">
        <v>0</v>
      </c>
      <c r="R1748" s="107">
        <v>0</v>
      </c>
      <c r="S1748" s="107">
        <v>0</v>
      </c>
      <c r="T1748" s="107">
        <v>0</v>
      </c>
      <c r="U1748" s="107"/>
      <c r="V1748" s="107"/>
      <c r="W1748" s="107"/>
      <c r="X1748" s="107"/>
      <c r="Y1748" s="107"/>
      <c r="Z1748" s="107"/>
      <c r="AA1748" s="107"/>
      <c r="AB1748" s="107"/>
      <c r="AC1748" s="355"/>
      <c r="AD1748" s="355"/>
      <c r="AE1748" s="355"/>
      <c r="AF1748" s="94">
        <f t="shared" si="238"/>
        <v>42489</v>
      </c>
      <c r="AG1748" s="185">
        <f t="shared" si="242"/>
        <v>1.5445458134813794E-2</v>
      </c>
      <c r="AH1748" s="339" t="str">
        <f>VLOOKUP(B1748,'MF PF'!A:B,2)</f>
        <v>FdMgt1</v>
      </c>
      <c r="AI1748" s="358">
        <f t="shared" si="239"/>
        <v>0</v>
      </c>
      <c r="AJ1748" s="94">
        <f t="shared" si="240"/>
        <v>42490</v>
      </c>
    </row>
    <row r="1749" spans="1:36" ht="12.75" customHeight="1">
      <c r="A1749" s="94">
        <v>42521</v>
      </c>
      <c r="B1749" s="94" t="s">
        <v>136</v>
      </c>
      <c r="C1749" s="358" t="s">
        <v>321</v>
      </c>
      <c r="D1749" s="374">
        <v>2890121.2659999998</v>
      </c>
      <c r="E1749" s="9" t="e">
        <f t="shared" si="235"/>
        <v>#DIV/0!</v>
      </c>
      <c r="F1749" s="98">
        <v>2.5</v>
      </c>
      <c r="G1749" s="98">
        <v>0</v>
      </c>
      <c r="H1749" s="98">
        <v>0</v>
      </c>
      <c r="I1749" s="98">
        <v>0</v>
      </c>
      <c r="J1749" s="98"/>
      <c r="L1749" s="93">
        <f t="shared" si="236"/>
        <v>0</v>
      </c>
      <c r="M1749" s="95" t="e">
        <f t="shared" ca="1" si="237"/>
        <v>#DIV/0!</v>
      </c>
      <c r="N1749" s="95">
        <f>IF(P1749="Hedge Fund",IF(A1749=Summary!$AD$3,M1749-E1749,M1749),IF(A1749=Summary!$AD$3,L1749-D1749,L1749))</f>
        <v>0</v>
      </c>
      <c r="O1749" s="95">
        <f t="shared" si="241"/>
        <v>0</v>
      </c>
      <c r="P1749" s="107" t="s">
        <v>155</v>
      </c>
      <c r="Q1749" s="107">
        <v>0</v>
      </c>
      <c r="R1749" s="107">
        <v>0</v>
      </c>
      <c r="S1749" s="107">
        <v>0</v>
      </c>
      <c r="T1749" s="107">
        <v>0</v>
      </c>
      <c r="U1749" s="107"/>
      <c r="V1749" s="107"/>
      <c r="W1749" s="107"/>
      <c r="X1749" s="107"/>
      <c r="Y1749" s="107"/>
      <c r="Z1749" s="107"/>
      <c r="AA1749" s="107"/>
      <c r="AB1749" s="107"/>
      <c r="AC1749" s="355"/>
      <c r="AD1749" s="355"/>
      <c r="AE1749" s="355"/>
      <c r="AF1749" s="94">
        <f t="shared" si="238"/>
        <v>42521</v>
      </c>
      <c r="AG1749" s="185">
        <f t="shared" si="242"/>
        <v>2.5974724250242165E-2</v>
      </c>
      <c r="AH1749" s="339" t="str">
        <f>VLOOKUP(B1749,'MF PF'!A:B,2)</f>
        <v>FdMgt1</v>
      </c>
      <c r="AI1749" s="358">
        <f t="shared" si="239"/>
        <v>0</v>
      </c>
      <c r="AJ1749" s="94">
        <f t="shared" si="240"/>
        <v>42521</v>
      </c>
    </row>
    <row r="1750" spans="1:36" ht="12.75" customHeight="1">
      <c r="A1750" s="94">
        <v>42551</v>
      </c>
      <c r="B1750" s="94" t="s">
        <v>136</v>
      </c>
      <c r="C1750" s="358" t="s">
        <v>321</v>
      </c>
      <c r="D1750" s="374">
        <v>2965002.4580000001</v>
      </c>
      <c r="E1750" s="9" t="e">
        <f t="shared" si="235"/>
        <v>#DIV/0!</v>
      </c>
      <c r="F1750" s="98">
        <v>2.5</v>
      </c>
      <c r="G1750" s="98">
        <v>0</v>
      </c>
      <c r="H1750" s="98">
        <v>0</v>
      </c>
      <c r="I1750" s="98">
        <v>0</v>
      </c>
      <c r="J1750" s="98"/>
      <c r="L1750" s="93">
        <f t="shared" si="236"/>
        <v>0</v>
      </c>
      <c r="M1750" s="95" t="e">
        <f t="shared" ca="1" si="237"/>
        <v>#DIV/0!</v>
      </c>
      <c r="N1750" s="95">
        <f>IF(P1750="Hedge Fund",IF(A1750=Summary!$AD$3,M1750-E1750,M1750),IF(A1750=Summary!$AD$3,L1750-D1750,L1750))</f>
        <v>0</v>
      </c>
      <c r="O1750" s="95">
        <f t="shared" si="241"/>
        <v>0</v>
      </c>
      <c r="P1750" s="107" t="s">
        <v>155</v>
      </c>
      <c r="Q1750" s="107">
        <v>0</v>
      </c>
      <c r="R1750" s="107">
        <v>0</v>
      </c>
      <c r="S1750" s="107">
        <v>0</v>
      </c>
      <c r="T1750" s="107">
        <v>0</v>
      </c>
      <c r="U1750" s="107"/>
      <c r="V1750" s="107"/>
      <c r="W1750" s="107"/>
      <c r="X1750" s="107"/>
      <c r="Y1750" s="107"/>
      <c r="Z1750" s="107"/>
      <c r="AA1750" s="107"/>
      <c r="AB1750" s="107"/>
      <c r="AC1750" s="355"/>
      <c r="AD1750" s="355"/>
      <c r="AE1750" s="355"/>
      <c r="AF1750" s="94">
        <f t="shared" si="238"/>
        <v>42551</v>
      </c>
      <c r="AG1750" s="185">
        <f t="shared" si="242"/>
        <v>2.5909359887738459E-2</v>
      </c>
      <c r="AH1750" s="339" t="str">
        <f>VLOOKUP(B1750,'MF PF'!A:B,2)</f>
        <v>FdMgt1</v>
      </c>
      <c r="AI1750" s="358">
        <f t="shared" si="239"/>
        <v>0</v>
      </c>
      <c r="AJ1750" s="94">
        <f t="shared" si="240"/>
        <v>42551</v>
      </c>
    </row>
    <row r="1751" spans="1:36" ht="12.75" customHeight="1">
      <c r="A1751" s="94">
        <v>42580</v>
      </c>
      <c r="B1751" s="94" t="s">
        <v>136</v>
      </c>
      <c r="C1751" s="358" t="s">
        <v>321</v>
      </c>
      <c r="D1751" s="374">
        <v>3007110.5022999998</v>
      </c>
      <c r="E1751" s="9" t="e">
        <f t="shared" si="235"/>
        <v>#DIV/0!</v>
      </c>
      <c r="F1751" s="98">
        <v>2.5</v>
      </c>
      <c r="G1751" s="98">
        <v>0</v>
      </c>
      <c r="H1751" s="98">
        <v>0</v>
      </c>
      <c r="I1751" s="98">
        <v>0</v>
      </c>
      <c r="J1751" s="98"/>
      <c r="L1751" s="93">
        <f t="shared" si="236"/>
        <v>0</v>
      </c>
      <c r="M1751" s="95" t="e">
        <f t="shared" ca="1" si="237"/>
        <v>#DIV/0!</v>
      </c>
      <c r="N1751" s="95">
        <f>IF(P1751="Hedge Fund",IF(A1751=Summary!$AD$3,M1751-E1751,M1751),IF(A1751=Summary!$AD$3,L1751-D1751,L1751))</f>
        <v>0</v>
      </c>
      <c r="O1751" s="95">
        <f t="shared" si="241"/>
        <v>0</v>
      </c>
      <c r="P1751" s="107" t="s">
        <v>155</v>
      </c>
      <c r="Q1751" s="107">
        <v>0</v>
      </c>
      <c r="R1751" s="107">
        <v>0</v>
      </c>
      <c r="S1751" s="107">
        <v>0</v>
      </c>
      <c r="T1751" s="107">
        <v>0</v>
      </c>
      <c r="U1751" s="107"/>
      <c r="V1751" s="107"/>
      <c r="W1751" s="107"/>
      <c r="X1751" s="107"/>
      <c r="Y1751" s="107"/>
      <c r="Z1751" s="107"/>
      <c r="AA1751" s="107"/>
      <c r="AB1751" s="107"/>
      <c r="AC1751" s="355"/>
      <c r="AD1751" s="355"/>
      <c r="AE1751" s="355"/>
      <c r="AF1751" s="94">
        <f t="shared" si="238"/>
        <v>42580</v>
      </c>
      <c r="AG1751" s="185">
        <f t="shared" si="242"/>
        <v>1.4201689508346327E-2</v>
      </c>
      <c r="AH1751" s="339" t="str">
        <f>VLOOKUP(B1751,'MF PF'!A:B,2)</f>
        <v>FdMgt1</v>
      </c>
      <c r="AI1751" s="358">
        <f t="shared" si="239"/>
        <v>0</v>
      </c>
      <c r="AJ1751" s="94">
        <f t="shared" si="240"/>
        <v>42582</v>
      </c>
    </row>
    <row r="1752" spans="1:36" ht="12.75" customHeight="1">
      <c r="A1752" s="94">
        <v>42613</v>
      </c>
      <c r="B1752" s="94" t="s">
        <v>136</v>
      </c>
      <c r="C1752" s="358" t="s">
        <v>321</v>
      </c>
      <c r="D1752" s="374">
        <v>2999997.983</v>
      </c>
      <c r="E1752" s="95" t="e">
        <f t="shared" ref="E1752:E1774" si="243">D1752/K1752</f>
        <v>#DIV/0!</v>
      </c>
      <c r="F1752" s="98">
        <v>2.5</v>
      </c>
      <c r="G1752" s="98">
        <v>0</v>
      </c>
      <c r="H1752" s="98">
        <v>0</v>
      </c>
      <c r="I1752" s="98">
        <v>0</v>
      </c>
      <c r="J1752" s="98"/>
      <c r="L1752" s="93">
        <f t="shared" si="236"/>
        <v>0</v>
      </c>
      <c r="M1752" s="95" t="e">
        <f t="shared" ca="1" si="237"/>
        <v>#DIV/0!</v>
      </c>
      <c r="N1752" s="95">
        <f>IF(P1752="Hedge Fund",IF(A1752=Summary!$AD$3,M1752-E1752,M1752),IF(A1752=Summary!$AD$3,L1752-D1752,L1752))</f>
        <v>0</v>
      </c>
      <c r="O1752" s="95">
        <f t="shared" si="241"/>
        <v>0</v>
      </c>
      <c r="P1752" s="107" t="s">
        <v>155</v>
      </c>
      <c r="Q1752" s="107">
        <v>0</v>
      </c>
      <c r="R1752" s="107">
        <v>0</v>
      </c>
      <c r="S1752" s="107">
        <v>0</v>
      </c>
      <c r="T1752" s="107">
        <v>0</v>
      </c>
      <c r="U1752" s="107"/>
      <c r="V1752" s="107"/>
      <c r="W1752" s="107"/>
      <c r="X1752" s="107"/>
      <c r="Y1752" s="107"/>
      <c r="Z1752" s="107"/>
      <c r="AA1752" s="107"/>
      <c r="AB1752" s="107"/>
      <c r="AC1752" s="355"/>
      <c r="AD1752" s="355"/>
      <c r="AE1752" s="355"/>
      <c r="AF1752" s="94">
        <f t="shared" si="238"/>
        <v>42613</v>
      </c>
      <c r="AG1752" s="185">
        <f t="shared" si="242"/>
        <v>-2.365233766620789E-3</v>
      </c>
      <c r="AH1752" s="339" t="str">
        <f>VLOOKUP(B1752,'MF PF'!A:B,2)</f>
        <v>FdMgt1</v>
      </c>
      <c r="AI1752" s="358">
        <f t="shared" si="239"/>
        <v>0</v>
      </c>
      <c r="AJ1752" s="94">
        <f t="shared" si="240"/>
        <v>42613</v>
      </c>
    </row>
    <row r="1753" spans="1:36" ht="12.75" customHeight="1">
      <c r="A1753" s="94">
        <v>42643</v>
      </c>
      <c r="B1753" s="94" t="s">
        <v>136</v>
      </c>
      <c r="C1753" s="358" t="s">
        <v>321</v>
      </c>
      <c r="D1753" s="374">
        <v>3115391.6313</v>
      </c>
      <c r="E1753" s="95" t="e">
        <f t="shared" si="243"/>
        <v>#DIV/0!</v>
      </c>
      <c r="F1753" s="98">
        <v>2.5</v>
      </c>
      <c r="G1753" s="98">
        <v>0</v>
      </c>
      <c r="H1753" s="98">
        <v>0</v>
      </c>
      <c r="I1753" s="98">
        <v>0</v>
      </c>
      <c r="J1753" s="98"/>
      <c r="L1753" s="93">
        <f t="shared" si="236"/>
        <v>0</v>
      </c>
      <c r="M1753" s="95" t="e">
        <f t="shared" ca="1" si="237"/>
        <v>#DIV/0!</v>
      </c>
      <c r="N1753" s="95">
        <f>IF(P1753="Hedge Fund",IF(A1753=Summary!$AD$3,M1753-E1753,M1753),IF(A1753=Summary!$AD$3,L1753-D1753,L1753))</f>
        <v>0</v>
      </c>
      <c r="O1753" s="95">
        <f t="shared" si="241"/>
        <v>0</v>
      </c>
      <c r="P1753" s="107" t="s">
        <v>155</v>
      </c>
      <c r="Q1753" s="107">
        <v>0</v>
      </c>
      <c r="R1753" s="107">
        <v>0</v>
      </c>
      <c r="S1753" s="107">
        <v>0</v>
      </c>
      <c r="T1753" s="107">
        <v>0</v>
      </c>
      <c r="U1753" s="107"/>
      <c r="V1753" s="107"/>
      <c r="W1753" s="107"/>
      <c r="X1753" s="107"/>
      <c r="Y1753" s="107"/>
      <c r="Z1753" s="107"/>
      <c r="AA1753" s="107"/>
      <c r="AB1753" s="107"/>
      <c r="AC1753" s="355"/>
      <c r="AD1753" s="355"/>
      <c r="AE1753" s="355"/>
      <c r="AF1753" s="94">
        <f t="shared" si="238"/>
        <v>42643</v>
      </c>
      <c r="AG1753" s="185">
        <f t="shared" si="242"/>
        <v>3.8464575294349546E-2</v>
      </c>
      <c r="AH1753" s="339" t="str">
        <f>VLOOKUP(B1753,'MF PF'!A:B,2)</f>
        <v>FdMgt1</v>
      </c>
      <c r="AI1753" s="358">
        <f t="shared" si="239"/>
        <v>0</v>
      </c>
      <c r="AJ1753" s="94">
        <f t="shared" si="240"/>
        <v>42643</v>
      </c>
    </row>
    <row r="1754" spans="1:36" ht="12.75" customHeight="1">
      <c r="A1754" s="94">
        <v>42674</v>
      </c>
      <c r="B1754" s="94" t="s">
        <v>136</v>
      </c>
      <c r="C1754" s="92" t="s">
        <v>321</v>
      </c>
      <c r="D1754" s="374">
        <v>3220469.1060000001</v>
      </c>
      <c r="E1754" s="9" t="e">
        <f t="shared" si="243"/>
        <v>#DIV/0!</v>
      </c>
      <c r="F1754" s="98">
        <v>2.5</v>
      </c>
      <c r="G1754" s="98">
        <v>0</v>
      </c>
      <c r="H1754" s="98">
        <v>0</v>
      </c>
      <c r="I1754" s="98">
        <v>0</v>
      </c>
      <c r="J1754" s="98"/>
      <c r="L1754" s="93">
        <f t="shared" si="236"/>
        <v>0</v>
      </c>
      <c r="M1754" s="95" t="e">
        <f t="shared" ca="1" si="237"/>
        <v>#DIV/0!</v>
      </c>
      <c r="N1754" s="95">
        <f>IF(P1754="Hedge Fund",IF(A1754=Summary!$AD$3,M1754-E1754,M1754),IF(A1754=Summary!$AD$3,L1754-D1754,L1754))</f>
        <v>0</v>
      </c>
      <c r="O1754" s="95">
        <f t="shared" si="241"/>
        <v>0</v>
      </c>
      <c r="P1754" s="107" t="s">
        <v>155</v>
      </c>
      <c r="Q1754" s="107">
        <v>0</v>
      </c>
      <c r="R1754" s="107">
        <v>0</v>
      </c>
      <c r="S1754" s="107">
        <v>0</v>
      </c>
      <c r="T1754" s="107">
        <v>0</v>
      </c>
      <c r="U1754" s="107"/>
      <c r="V1754" s="107"/>
      <c r="W1754" s="107"/>
      <c r="X1754" s="107"/>
      <c r="Y1754" s="107"/>
      <c r="Z1754" s="107"/>
      <c r="AA1754" s="107"/>
      <c r="AB1754" s="107"/>
      <c r="AC1754" s="355"/>
      <c r="AD1754" s="355"/>
      <c r="AE1754" s="355"/>
      <c r="AF1754" s="94">
        <f t="shared" si="238"/>
        <v>42674</v>
      </c>
      <c r="AG1754" s="185">
        <f t="shared" si="242"/>
        <v>3.3728496168603073E-2</v>
      </c>
      <c r="AH1754" s="339" t="str">
        <f>VLOOKUP(B1754,'MF PF'!A:B,2)</f>
        <v>FdMgt1</v>
      </c>
      <c r="AI1754" s="358">
        <f t="shared" si="239"/>
        <v>0</v>
      </c>
      <c r="AJ1754" s="94">
        <f t="shared" si="240"/>
        <v>42674</v>
      </c>
    </row>
    <row r="1755" spans="1:36" ht="12.75" customHeight="1">
      <c r="A1755" s="94">
        <v>42704</v>
      </c>
      <c r="B1755" s="94" t="s">
        <v>136</v>
      </c>
      <c r="C1755" s="358" t="s">
        <v>321</v>
      </c>
      <c r="D1755" s="374">
        <v>3236605.5090000001</v>
      </c>
      <c r="E1755" s="9" t="e">
        <f t="shared" si="243"/>
        <v>#DIV/0!</v>
      </c>
      <c r="F1755" s="98">
        <v>2.5</v>
      </c>
      <c r="G1755" s="98">
        <v>0</v>
      </c>
      <c r="H1755" s="98">
        <v>0</v>
      </c>
      <c r="I1755" s="98">
        <v>0</v>
      </c>
      <c r="J1755" s="98"/>
      <c r="L1755" s="93">
        <f t="shared" si="236"/>
        <v>0</v>
      </c>
      <c r="M1755" s="95" t="e">
        <f t="shared" ca="1" si="237"/>
        <v>#DIV/0!</v>
      </c>
      <c r="N1755" s="95">
        <f>IF(P1755="Hedge Fund",IF(A1755=Summary!$AD$3,M1755-E1755,M1755),IF(A1755=Summary!$AD$3,L1755-D1755,L1755))</f>
        <v>0</v>
      </c>
      <c r="O1755" s="95">
        <f t="shared" si="241"/>
        <v>0</v>
      </c>
      <c r="P1755" s="107" t="s">
        <v>155</v>
      </c>
      <c r="Q1755" s="107">
        <v>0</v>
      </c>
      <c r="R1755" s="107">
        <v>0</v>
      </c>
      <c r="S1755" s="107">
        <v>0</v>
      </c>
      <c r="T1755" s="107">
        <v>0</v>
      </c>
      <c r="U1755" s="107"/>
      <c r="V1755" s="107"/>
      <c r="W1755" s="107"/>
      <c r="X1755" s="107"/>
      <c r="Y1755" s="107"/>
      <c r="Z1755" s="107"/>
      <c r="AA1755" s="107"/>
      <c r="AB1755" s="107"/>
      <c r="AC1755" s="355"/>
      <c r="AD1755" s="355"/>
      <c r="AE1755" s="355"/>
      <c r="AF1755" s="94">
        <f t="shared" si="238"/>
        <v>42704</v>
      </c>
      <c r="AG1755" s="185">
        <f t="shared" si="242"/>
        <v>5.0105753133717901E-3</v>
      </c>
      <c r="AH1755" s="339" t="str">
        <f>VLOOKUP(B1755,'MF PF'!A:B,2)</f>
        <v>FdMgt1</v>
      </c>
      <c r="AI1755" s="358">
        <f t="shared" si="239"/>
        <v>0</v>
      </c>
      <c r="AJ1755" s="94">
        <f t="shared" si="240"/>
        <v>42704</v>
      </c>
    </row>
    <row r="1756" spans="1:36" ht="12.75" customHeight="1">
      <c r="A1756" s="94">
        <v>42734</v>
      </c>
      <c r="B1756" s="94" t="s">
        <v>136</v>
      </c>
      <c r="C1756" s="92" t="s">
        <v>321</v>
      </c>
      <c r="D1756" s="374">
        <v>3206329.889</v>
      </c>
      <c r="E1756" s="9" t="e">
        <f t="shared" si="243"/>
        <v>#DIV/0!</v>
      </c>
      <c r="F1756" s="98">
        <v>2.5</v>
      </c>
      <c r="G1756" s="98">
        <v>0</v>
      </c>
      <c r="H1756" s="98">
        <v>0</v>
      </c>
      <c r="I1756" s="98">
        <v>0</v>
      </c>
      <c r="J1756" s="98"/>
      <c r="K1756" s="93"/>
      <c r="L1756" s="93">
        <f t="shared" si="236"/>
        <v>0</v>
      </c>
      <c r="M1756" s="95" t="e">
        <f t="shared" ca="1" si="237"/>
        <v>#DIV/0!</v>
      </c>
      <c r="N1756" s="95">
        <f>IF(P1756="Hedge Fund",IF(A1756=Summary!$AD$3,M1756-E1756,M1756),IF(A1756=Summary!$AD$3,L1756-D1756,L1756))</f>
        <v>0</v>
      </c>
      <c r="O1756" s="95">
        <f t="shared" si="241"/>
        <v>0</v>
      </c>
      <c r="P1756" s="107" t="s">
        <v>155</v>
      </c>
      <c r="Q1756" s="107">
        <v>0</v>
      </c>
      <c r="R1756" s="107">
        <v>0</v>
      </c>
      <c r="S1756" s="107">
        <v>0</v>
      </c>
      <c r="T1756" s="107">
        <v>0</v>
      </c>
      <c r="U1756" s="107"/>
      <c r="V1756" s="107"/>
      <c r="W1756" s="107"/>
      <c r="X1756" s="107"/>
      <c r="Y1756" s="107"/>
      <c r="Z1756" s="107"/>
      <c r="AA1756" s="107"/>
      <c r="AB1756" s="107"/>
      <c r="AC1756" s="355"/>
      <c r="AD1756" s="355"/>
      <c r="AE1756" s="355"/>
      <c r="AF1756" s="94">
        <f t="shared" si="238"/>
        <v>42734</v>
      </c>
      <c r="AG1756" s="185">
        <f t="shared" si="242"/>
        <v>-9.3541273151185322E-3</v>
      </c>
      <c r="AH1756" s="339" t="str">
        <f>VLOOKUP(B1756,'MF PF'!A:B,2)</f>
        <v>FdMgt1</v>
      </c>
      <c r="AI1756" s="358">
        <f t="shared" si="239"/>
        <v>0</v>
      </c>
      <c r="AJ1756" s="94">
        <f t="shared" si="240"/>
        <v>42735</v>
      </c>
    </row>
    <row r="1757" spans="1:36" ht="12.75" customHeight="1">
      <c r="A1757" s="94">
        <v>42762</v>
      </c>
      <c r="B1757" s="94" t="s">
        <v>136</v>
      </c>
      <c r="C1757" s="92" t="s">
        <v>321</v>
      </c>
      <c r="D1757" s="374">
        <v>3254896.5792999999</v>
      </c>
      <c r="E1757" s="9" t="e">
        <f t="shared" si="243"/>
        <v>#DIV/0!</v>
      </c>
      <c r="F1757" s="98">
        <v>2.5</v>
      </c>
      <c r="G1757" s="98">
        <v>0</v>
      </c>
      <c r="H1757" s="98">
        <v>0</v>
      </c>
      <c r="I1757" s="98">
        <v>0</v>
      </c>
      <c r="J1757" s="98"/>
      <c r="K1757" s="93"/>
      <c r="L1757" s="93">
        <f t="shared" si="236"/>
        <v>0</v>
      </c>
      <c r="M1757" s="95" t="e">
        <f t="shared" ca="1" si="237"/>
        <v>#DIV/0!</v>
      </c>
      <c r="N1757" s="95">
        <f>IF(P1757="Hedge Fund",IF(A1757=Summary!$AD$3,M1757-E1757,M1757),IF(A1757=Summary!$AD$3,L1757-D1757,L1757))</f>
        <v>0</v>
      </c>
      <c r="O1757" s="95">
        <f t="shared" si="241"/>
        <v>0</v>
      </c>
      <c r="P1757" s="107" t="s">
        <v>155</v>
      </c>
      <c r="Q1757" s="107">
        <v>0</v>
      </c>
      <c r="R1757" s="107">
        <v>0</v>
      </c>
      <c r="S1757" s="107">
        <v>0</v>
      </c>
      <c r="T1757" s="107">
        <v>0</v>
      </c>
      <c r="U1757" s="107"/>
      <c r="V1757" s="107"/>
      <c r="W1757" s="107"/>
      <c r="X1757" s="107"/>
      <c r="Y1757" s="107"/>
      <c r="Z1757" s="107"/>
      <c r="AA1757" s="107"/>
      <c r="AB1757" s="107"/>
      <c r="AC1757" s="355"/>
      <c r="AD1757" s="355"/>
      <c r="AE1757" s="355"/>
      <c r="AF1757" s="94">
        <f t="shared" si="238"/>
        <v>42762</v>
      </c>
      <c r="AG1757" s="185">
        <f t="shared" si="242"/>
        <v>1.5147128330936344E-2</v>
      </c>
      <c r="AH1757" s="339" t="str">
        <f>VLOOKUP(B1757,'MF PF'!A:B,2)</f>
        <v>FdMgt1</v>
      </c>
      <c r="AI1757" s="358">
        <f t="shared" si="239"/>
        <v>0</v>
      </c>
      <c r="AJ1757" s="94">
        <f t="shared" si="240"/>
        <v>42766</v>
      </c>
    </row>
    <row r="1758" spans="1:36" ht="12.75" customHeight="1">
      <c r="A1758" s="94">
        <v>42794</v>
      </c>
      <c r="B1758" s="94" t="s">
        <v>136</v>
      </c>
      <c r="C1758" s="92" t="s">
        <v>321</v>
      </c>
      <c r="D1758" s="374">
        <v>3394294.4863</v>
      </c>
      <c r="E1758" s="95" t="e">
        <f t="shared" si="243"/>
        <v>#DIV/0!</v>
      </c>
      <c r="F1758" s="98">
        <v>2.5</v>
      </c>
      <c r="G1758" s="98">
        <v>0</v>
      </c>
      <c r="H1758" s="98">
        <v>0</v>
      </c>
      <c r="I1758" s="98">
        <v>0</v>
      </c>
      <c r="J1758" s="98"/>
      <c r="K1758" s="93"/>
      <c r="L1758" s="93">
        <f t="shared" si="236"/>
        <v>0</v>
      </c>
      <c r="M1758" s="95" t="e">
        <f t="shared" ca="1" si="237"/>
        <v>#DIV/0!</v>
      </c>
      <c r="N1758" s="95">
        <f>IF(P1758="Hedge Fund",IF(A1758=Summary!$AD$3,M1758-E1758,M1758),IF(A1758=Summary!$AD$3,L1758-D1758,L1758))</f>
        <v>0</v>
      </c>
      <c r="O1758" s="95">
        <f t="shared" si="241"/>
        <v>0</v>
      </c>
      <c r="P1758" s="107" t="s">
        <v>155</v>
      </c>
      <c r="Q1758" s="107">
        <v>0</v>
      </c>
      <c r="R1758" s="107">
        <v>0</v>
      </c>
      <c r="S1758" s="107">
        <v>0</v>
      </c>
      <c r="T1758" s="107">
        <v>0</v>
      </c>
      <c r="U1758" s="107"/>
      <c r="V1758" s="107"/>
      <c r="W1758" s="107"/>
      <c r="X1758" s="107"/>
      <c r="Y1758" s="107"/>
      <c r="Z1758" s="107"/>
      <c r="AA1758" s="107"/>
      <c r="AB1758" s="107"/>
      <c r="AC1758" s="355"/>
      <c r="AD1758" s="355"/>
      <c r="AE1758" s="355"/>
      <c r="AF1758" s="94">
        <f t="shared" si="238"/>
        <v>42794</v>
      </c>
      <c r="AG1758" s="185">
        <f t="shared" si="242"/>
        <v>4.2827138621399419E-2</v>
      </c>
      <c r="AH1758" s="339" t="str">
        <f>VLOOKUP(B1758,'MF PF'!A:B,2)</f>
        <v>FdMgt1</v>
      </c>
      <c r="AI1758" s="358">
        <f t="shared" si="239"/>
        <v>0</v>
      </c>
      <c r="AJ1758" s="94">
        <f t="shared" si="240"/>
        <v>42794</v>
      </c>
    </row>
    <row r="1759" spans="1:36" s="92" customFormat="1" ht="12.75" customHeight="1">
      <c r="A1759" s="94">
        <v>42825</v>
      </c>
      <c r="B1759" s="94" t="s">
        <v>136</v>
      </c>
      <c r="C1759" s="358" t="s">
        <v>321</v>
      </c>
      <c r="D1759" s="374">
        <v>3353483.9024999999</v>
      </c>
      <c r="E1759" s="95" t="e">
        <f t="shared" si="243"/>
        <v>#DIV/0!</v>
      </c>
      <c r="F1759" s="98">
        <v>2.5</v>
      </c>
      <c r="G1759" s="98">
        <v>0</v>
      </c>
      <c r="H1759" s="98">
        <v>0</v>
      </c>
      <c r="I1759" s="98">
        <v>0</v>
      </c>
      <c r="J1759" s="98"/>
      <c r="K1759" s="93"/>
      <c r="L1759" s="93">
        <f t="shared" si="236"/>
        <v>0</v>
      </c>
      <c r="M1759" s="95" t="e">
        <f t="shared" ca="1" si="237"/>
        <v>#DIV/0!</v>
      </c>
      <c r="N1759" s="95">
        <f>IF(P1759="Hedge Fund",IF(A1759=Summary!$AD$3,M1759-E1759,M1759),IF(A1759=Summary!$AD$3,L1759-D1759,L1759))</f>
        <v>0</v>
      </c>
      <c r="O1759" s="95">
        <f t="shared" si="241"/>
        <v>0</v>
      </c>
      <c r="P1759" s="107" t="s">
        <v>155</v>
      </c>
      <c r="Q1759" s="107">
        <v>0</v>
      </c>
      <c r="R1759" s="107">
        <v>0</v>
      </c>
      <c r="S1759" s="107">
        <v>0</v>
      </c>
      <c r="T1759" s="107">
        <v>0</v>
      </c>
      <c r="U1759" s="107"/>
      <c r="V1759" s="107"/>
      <c r="W1759" s="107"/>
      <c r="X1759" s="107"/>
      <c r="Y1759" s="107"/>
      <c r="Z1759" s="107"/>
      <c r="AA1759" s="107"/>
      <c r="AB1759" s="107"/>
      <c r="AC1759" s="355"/>
      <c r="AD1759" s="355"/>
      <c r="AE1759" s="355"/>
      <c r="AF1759" s="94">
        <f t="shared" si="238"/>
        <v>42825</v>
      </c>
      <c r="AG1759" s="185">
        <f t="shared" si="242"/>
        <v>-1.2023289070738907E-2</v>
      </c>
      <c r="AH1759" s="339" t="str">
        <f>VLOOKUP(B1759,'MF PF'!A:B,2)</f>
        <v>FdMgt1</v>
      </c>
      <c r="AI1759" s="358">
        <f t="shared" si="239"/>
        <v>0</v>
      </c>
      <c r="AJ1759" s="94">
        <f t="shared" si="240"/>
        <v>42825</v>
      </c>
    </row>
    <row r="1760" spans="1:36" ht="12.75" customHeight="1">
      <c r="A1760" s="94">
        <v>42853</v>
      </c>
      <c r="B1760" s="94" t="s">
        <v>136</v>
      </c>
      <c r="C1760" s="358" t="s">
        <v>321</v>
      </c>
      <c r="D1760" s="374">
        <v>3342040.2650000001</v>
      </c>
      <c r="E1760" s="95" t="e">
        <f t="shared" si="243"/>
        <v>#DIV/0!</v>
      </c>
      <c r="F1760" s="98">
        <v>2.5</v>
      </c>
      <c r="G1760" s="98">
        <v>0</v>
      </c>
      <c r="H1760" s="98">
        <v>0</v>
      </c>
      <c r="I1760" s="98">
        <v>0</v>
      </c>
      <c r="J1760" s="98"/>
      <c r="K1760" s="93"/>
      <c r="L1760" s="93">
        <f t="shared" si="236"/>
        <v>0</v>
      </c>
      <c r="M1760" s="95" t="e">
        <f t="shared" ca="1" si="237"/>
        <v>#DIV/0!</v>
      </c>
      <c r="N1760" s="95">
        <f>IF(P1760="Hedge Fund",IF(A1760=Summary!$AD$3,M1760-E1760,M1760),IF(A1760=Summary!$AD$3,L1760-D1760,L1760))</f>
        <v>0</v>
      </c>
      <c r="O1760" s="95">
        <f t="shared" si="241"/>
        <v>0</v>
      </c>
      <c r="P1760" s="107" t="s">
        <v>155</v>
      </c>
      <c r="Q1760" s="107">
        <v>0</v>
      </c>
      <c r="R1760" s="107">
        <v>0</v>
      </c>
      <c r="S1760" s="107">
        <v>0</v>
      </c>
      <c r="T1760" s="107">
        <v>0</v>
      </c>
      <c r="U1760" s="107"/>
      <c r="V1760" s="107"/>
      <c r="W1760" s="107"/>
      <c r="X1760" s="107"/>
      <c r="Y1760" s="107"/>
      <c r="Z1760" s="107"/>
      <c r="AA1760" s="107"/>
      <c r="AB1760" s="107"/>
      <c r="AC1760" s="355"/>
      <c r="AD1760" s="355"/>
      <c r="AE1760" s="355"/>
      <c r="AF1760" s="94">
        <f t="shared" si="238"/>
        <v>42853</v>
      </c>
      <c r="AG1760" s="185">
        <f t="shared" si="242"/>
        <v>-3.4124623325219039E-3</v>
      </c>
      <c r="AH1760" s="339" t="str">
        <f>VLOOKUP(B1760,'MF PF'!A:B,2)</f>
        <v>FdMgt1</v>
      </c>
      <c r="AI1760" s="358">
        <f t="shared" si="239"/>
        <v>0</v>
      </c>
      <c r="AJ1760" s="94">
        <f t="shared" si="240"/>
        <v>42855</v>
      </c>
    </row>
    <row r="1761" spans="1:36" ht="12.75" customHeight="1">
      <c r="A1761" s="94">
        <v>42886</v>
      </c>
      <c r="B1761" s="94" t="s">
        <v>136</v>
      </c>
      <c r="C1761" s="358" t="s">
        <v>321</v>
      </c>
      <c r="D1761" s="374">
        <v>3248797.0923000001</v>
      </c>
      <c r="E1761" s="9" t="e">
        <f t="shared" si="243"/>
        <v>#DIV/0!</v>
      </c>
      <c r="F1761" s="98">
        <v>2.5</v>
      </c>
      <c r="G1761" s="98">
        <v>0</v>
      </c>
      <c r="H1761" s="98">
        <v>0</v>
      </c>
      <c r="I1761" s="98">
        <v>0</v>
      </c>
      <c r="J1761" s="98"/>
      <c r="K1761" s="93"/>
      <c r="L1761" s="93">
        <f t="shared" si="236"/>
        <v>0</v>
      </c>
      <c r="M1761" s="95" t="e">
        <f t="shared" ca="1" si="237"/>
        <v>#DIV/0!</v>
      </c>
      <c r="N1761" s="95">
        <f>IF(P1761="Hedge Fund",IF(A1761=Summary!$AD$3,M1761-E1761,M1761),IF(A1761=Summary!$AD$3,L1761-D1761,L1761))</f>
        <v>0</v>
      </c>
      <c r="O1761" s="95">
        <f t="shared" si="241"/>
        <v>0</v>
      </c>
      <c r="P1761" s="107" t="s">
        <v>155</v>
      </c>
      <c r="Q1761" s="107">
        <v>0</v>
      </c>
      <c r="R1761" s="107">
        <v>0</v>
      </c>
      <c r="S1761" s="107">
        <v>0</v>
      </c>
      <c r="T1761" s="107">
        <v>0</v>
      </c>
      <c r="U1761" s="107"/>
      <c r="V1761" s="107"/>
      <c r="W1761" s="107"/>
      <c r="X1761" s="107"/>
      <c r="Y1761" s="107"/>
      <c r="Z1761" s="107"/>
      <c r="AA1761" s="107"/>
      <c r="AB1761" s="107"/>
      <c r="AC1761" s="355"/>
      <c r="AD1761" s="355"/>
      <c r="AE1761" s="355"/>
      <c r="AF1761" s="94">
        <f t="shared" si="238"/>
        <v>42886</v>
      </c>
      <c r="AG1761" s="185">
        <f t="shared" si="242"/>
        <v>-2.7900074597096425E-2</v>
      </c>
      <c r="AH1761" s="339" t="str">
        <f>VLOOKUP(B1761,'MF PF'!A:B,2)</f>
        <v>FdMgt1</v>
      </c>
      <c r="AI1761" s="358">
        <f t="shared" si="239"/>
        <v>0</v>
      </c>
      <c r="AJ1761" s="94">
        <f t="shared" si="240"/>
        <v>42886</v>
      </c>
    </row>
    <row r="1762" spans="1:36" s="92" customFormat="1" ht="12.75" customHeight="1">
      <c r="A1762" s="94">
        <v>42916</v>
      </c>
      <c r="B1762" s="94" t="s">
        <v>136</v>
      </c>
      <c r="C1762" s="358" t="s">
        <v>321</v>
      </c>
      <c r="D1762" s="374">
        <v>3363062.7955</v>
      </c>
      <c r="E1762" s="95" t="e">
        <f t="shared" si="243"/>
        <v>#DIV/0!</v>
      </c>
      <c r="F1762" s="98">
        <v>2.5</v>
      </c>
      <c r="G1762" s="98">
        <v>0</v>
      </c>
      <c r="H1762" s="98">
        <v>0</v>
      </c>
      <c r="I1762" s="98">
        <v>0</v>
      </c>
      <c r="J1762" s="98"/>
      <c r="K1762" s="93"/>
      <c r="L1762" s="93">
        <f t="shared" si="236"/>
        <v>0</v>
      </c>
      <c r="M1762" s="95" t="e">
        <f t="shared" ca="1" si="237"/>
        <v>#DIV/0!</v>
      </c>
      <c r="N1762" s="95">
        <f>IF(P1762="Hedge Fund",IF(A1762=Summary!$AD$3,M1762-E1762,M1762),IF(A1762=Summary!$AD$3,L1762-D1762,L1762))</f>
        <v>0</v>
      </c>
      <c r="O1762" s="95">
        <f t="shared" si="241"/>
        <v>0</v>
      </c>
      <c r="P1762" s="107" t="s">
        <v>155</v>
      </c>
      <c r="Q1762" s="107">
        <v>0</v>
      </c>
      <c r="R1762" s="107">
        <v>0</v>
      </c>
      <c r="S1762" s="107">
        <v>0</v>
      </c>
      <c r="T1762" s="107">
        <v>0</v>
      </c>
      <c r="U1762" s="107"/>
      <c r="V1762" s="107"/>
      <c r="W1762" s="107"/>
      <c r="X1762" s="107"/>
      <c r="Y1762" s="107"/>
      <c r="Z1762" s="107"/>
      <c r="AA1762" s="107"/>
      <c r="AB1762" s="107"/>
      <c r="AC1762" s="355"/>
      <c r="AD1762" s="355"/>
      <c r="AE1762" s="355"/>
      <c r="AF1762" s="94">
        <f t="shared" si="238"/>
        <v>42916</v>
      </c>
      <c r="AG1762" s="185">
        <f t="shared" si="242"/>
        <v>3.5171695847309836E-2</v>
      </c>
      <c r="AH1762" s="339" t="str">
        <f>VLOOKUP(B1762,'MF PF'!A:B,2)</f>
        <v>FdMgt1</v>
      </c>
      <c r="AI1762" s="358">
        <f t="shared" si="239"/>
        <v>0</v>
      </c>
      <c r="AJ1762" s="94">
        <f t="shared" si="240"/>
        <v>42916</v>
      </c>
    </row>
    <row r="1763" spans="1:36" s="92" customFormat="1" ht="12.75" customHeight="1">
      <c r="A1763" s="94">
        <v>42947</v>
      </c>
      <c r="B1763" s="94" t="s">
        <v>136</v>
      </c>
      <c r="C1763" s="358" t="s">
        <v>321</v>
      </c>
      <c r="D1763" s="374">
        <v>3449585.14</v>
      </c>
      <c r="E1763" s="95" t="e">
        <f t="shared" si="243"/>
        <v>#DIV/0!</v>
      </c>
      <c r="F1763" s="98">
        <v>2.5</v>
      </c>
      <c r="G1763" s="98">
        <v>0</v>
      </c>
      <c r="H1763" s="98">
        <v>0</v>
      </c>
      <c r="I1763" s="98">
        <v>0</v>
      </c>
      <c r="J1763" s="98"/>
      <c r="K1763" s="93"/>
      <c r="L1763" s="93">
        <f t="shared" si="236"/>
        <v>0</v>
      </c>
      <c r="M1763" s="95" t="e">
        <f t="shared" ca="1" si="237"/>
        <v>#DIV/0!</v>
      </c>
      <c r="N1763" s="95">
        <f>IF(P1763="Hedge Fund",IF(A1763=Summary!$AD$3,M1763-E1763,M1763),IF(A1763=Summary!$AD$3,L1763-D1763,L1763))</f>
        <v>0</v>
      </c>
      <c r="O1763" s="95">
        <f t="shared" si="241"/>
        <v>0</v>
      </c>
      <c r="P1763" s="107" t="s">
        <v>155</v>
      </c>
      <c r="Q1763" s="107">
        <v>0</v>
      </c>
      <c r="R1763" s="107">
        <v>0</v>
      </c>
      <c r="S1763" s="107">
        <v>0</v>
      </c>
      <c r="T1763" s="107">
        <v>0</v>
      </c>
      <c r="U1763" s="107"/>
      <c r="V1763" s="107"/>
      <c r="W1763" s="107"/>
      <c r="X1763" s="107"/>
      <c r="Y1763" s="107"/>
      <c r="Z1763" s="107"/>
      <c r="AA1763" s="107"/>
      <c r="AB1763" s="107"/>
      <c r="AC1763" s="355"/>
      <c r="AD1763" s="355"/>
      <c r="AE1763" s="355"/>
      <c r="AF1763" s="94">
        <f t="shared" si="238"/>
        <v>42947</v>
      </c>
      <c r="AG1763" s="185">
        <f t="shared" si="242"/>
        <v>2.5727246192302156E-2</v>
      </c>
      <c r="AH1763" s="339" t="str">
        <f>VLOOKUP(B1763,'MF PF'!A:B,2)</f>
        <v>FdMgt1</v>
      </c>
      <c r="AI1763" s="358">
        <f t="shared" si="239"/>
        <v>0</v>
      </c>
      <c r="AJ1763" s="94">
        <f t="shared" si="240"/>
        <v>42947</v>
      </c>
    </row>
    <row r="1764" spans="1:36" ht="12.75" customHeight="1">
      <c r="A1764" s="94">
        <v>42978</v>
      </c>
      <c r="B1764" s="94" t="s">
        <v>136</v>
      </c>
      <c r="C1764" s="358" t="s">
        <v>321</v>
      </c>
      <c r="D1764" s="374">
        <v>3469000</v>
      </c>
      <c r="E1764" s="9" t="e">
        <f t="shared" si="243"/>
        <v>#DIV/0!</v>
      </c>
      <c r="F1764" s="98">
        <v>2.5</v>
      </c>
      <c r="G1764" s="98">
        <v>0</v>
      </c>
      <c r="H1764" s="98">
        <v>0</v>
      </c>
      <c r="I1764" s="98">
        <v>0</v>
      </c>
      <c r="J1764" s="98"/>
      <c r="K1764" s="93"/>
      <c r="L1764" s="93">
        <f t="shared" si="236"/>
        <v>0</v>
      </c>
      <c r="M1764" s="95" t="e">
        <f t="shared" ca="1" si="237"/>
        <v>#DIV/0!</v>
      </c>
      <c r="N1764" s="95">
        <f>IF(P1764="Hedge Fund",IF(A1764=Summary!$AD$3,M1764-E1764,M1764),IF(A1764=Summary!$AD$3,L1764-D1764,L1764))</f>
        <v>0</v>
      </c>
      <c r="O1764" s="95">
        <f t="shared" si="241"/>
        <v>0</v>
      </c>
      <c r="P1764" s="107" t="s">
        <v>155</v>
      </c>
      <c r="Q1764" s="107">
        <v>0</v>
      </c>
      <c r="R1764" s="107">
        <v>0</v>
      </c>
      <c r="S1764" s="107">
        <v>0</v>
      </c>
      <c r="T1764" s="107">
        <v>0</v>
      </c>
      <c r="U1764" s="107"/>
      <c r="V1764" s="107"/>
      <c r="W1764" s="107"/>
      <c r="X1764" s="107"/>
      <c r="Y1764" s="107"/>
      <c r="Z1764" s="107"/>
      <c r="AA1764" s="107"/>
      <c r="AB1764" s="107"/>
      <c r="AC1764" s="355"/>
      <c r="AD1764" s="355"/>
      <c r="AE1764" s="355"/>
      <c r="AF1764" s="94">
        <f t="shared" si="238"/>
        <v>42978</v>
      </c>
      <c r="AG1764" s="185">
        <f t="shared" si="242"/>
        <v>5.6281724358309138E-3</v>
      </c>
      <c r="AH1764" s="339" t="str">
        <f>VLOOKUP(B1764,'MF PF'!A:B,2)</f>
        <v>FdMgt1</v>
      </c>
      <c r="AI1764" s="358">
        <f t="shared" si="239"/>
        <v>0</v>
      </c>
      <c r="AJ1764" s="94">
        <f t="shared" si="240"/>
        <v>42978</v>
      </c>
    </row>
    <row r="1765" spans="1:36" s="92" customFormat="1" ht="12.75" customHeight="1">
      <c r="A1765" s="94">
        <v>43007</v>
      </c>
      <c r="B1765" s="94" t="s">
        <v>136</v>
      </c>
      <c r="C1765" s="92" t="s">
        <v>321</v>
      </c>
      <c r="D1765" s="374">
        <v>3439498.2622398427</v>
      </c>
      <c r="E1765" s="95" t="e">
        <f t="shared" si="243"/>
        <v>#DIV/0!</v>
      </c>
      <c r="F1765" s="98">
        <v>2.5</v>
      </c>
      <c r="G1765" s="98">
        <v>0</v>
      </c>
      <c r="H1765" s="98">
        <v>0</v>
      </c>
      <c r="I1765" s="98">
        <v>0</v>
      </c>
      <c r="J1765" s="98"/>
      <c r="K1765" s="93"/>
      <c r="L1765" s="93">
        <f t="shared" si="236"/>
        <v>0</v>
      </c>
      <c r="M1765" s="95" t="e">
        <f t="shared" ca="1" si="237"/>
        <v>#DIV/0!</v>
      </c>
      <c r="N1765" s="95">
        <f>IF(P1765="Hedge Fund",IF(A1765=Summary!$AD$3,M1765-E1765,M1765),IF(A1765=Summary!$AD$3,L1765-D1765,L1765))</f>
        <v>0</v>
      </c>
      <c r="O1765" s="95">
        <f t="shared" si="241"/>
        <v>0</v>
      </c>
      <c r="P1765" s="107" t="s">
        <v>155</v>
      </c>
      <c r="Q1765" s="107">
        <v>0</v>
      </c>
      <c r="R1765" s="107">
        <v>0</v>
      </c>
      <c r="S1765" s="107">
        <v>0</v>
      </c>
      <c r="T1765" s="107">
        <v>0</v>
      </c>
      <c r="U1765" s="107"/>
      <c r="V1765" s="107"/>
      <c r="W1765" s="107"/>
      <c r="X1765" s="107"/>
      <c r="Y1765" s="107"/>
      <c r="Z1765" s="107"/>
      <c r="AA1765" s="107"/>
      <c r="AB1765" s="107"/>
      <c r="AC1765" s="355"/>
      <c r="AD1765" s="355"/>
      <c r="AE1765" s="355"/>
      <c r="AF1765" s="94">
        <f t="shared" si="238"/>
        <v>43007</v>
      </c>
      <c r="AG1765" s="185">
        <f t="shared" si="242"/>
        <v>-8.5043925512128249E-3</v>
      </c>
      <c r="AH1765" s="339" t="str">
        <f>VLOOKUP(B1765,'MF PF'!A:B,2)</f>
        <v>FdMgt1</v>
      </c>
      <c r="AI1765" s="358">
        <f t="shared" si="239"/>
        <v>0</v>
      </c>
      <c r="AJ1765" s="94">
        <f t="shared" si="240"/>
        <v>43008</v>
      </c>
    </row>
    <row r="1766" spans="1:36" ht="12.75" customHeight="1">
      <c r="A1766" s="94">
        <v>43039</v>
      </c>
      <c r="B1766" s="94" t="s">
        <v>136</v>
      </c>
      <c r="C1766" s="358" t="s">
        <v>321</v>
      </c>
      <c r="D1766" s="374">
        <v>3464600</v>
      </c>
      <c r="E1766" s="9" t="e">
        <f t="shared" si="243"/>
        <v>#DIV/0!</v>
      </c>
      <c r="F1766" s="98">
        <v>2.5</v>
      </c>
      <c r="G1766" s="98">
        <v>0</v>
      </c>
      <c r="H1766" s="98">
        <v>-4.6566128730773926E-10</v>
      </c>
      <c r="I1766" s="98">
        <v>0</v>
      </c>
      <c r="J1766" s="98"/>
      <c r="K1766" s="93"/>
      <c r="L1766" s="93">
        <f t="shared" si="236"/>
        <v>-4.6566128730773926E-10</v>
      </c>
      <c r="M1766" s="95" t="e">
        <f t="shared" ca="1" si="237"/>
        <v>#DIV/0!</v>
      </c>
      <c r="N1766" s="95">
        <f>IF(P1766="Hedge Fund",IF(A1766=Summary!$AD$3,M1766-E1766,M1766),IF(A1766=Summary!$AD$3,L1766-D1766,L1766))</f>
        <v>-4.6566128730773926E-10</v>
      </c>
      <c r="O1766" s="95">
        <f t="shared" si="241"/>
        <v>-4.6566128730773926E-10</v>
      </c>
      <c r="P1766" s="107" t="s">
        <v>155</v>
      </c>
      <c r="Q1766" s="107">
        <v>0</v>
      </c>
      <c r="R1766" s="107">
        <v>0</v>
      </c>
      <c r="S1766" s="107">
        <v>0</v>
      </c>
      <c r="T1766" s="107">
        <v>0</v>
      </c>
      <c r="U1766" s="107"/>
      <c r="V1766" s="107"/>
      <c r="W1766" s="107"/>
      <c r="X1766" s="107"/>
      <c r="Y1766" s="107"/>
      <c r="Z1766" s="107"/>
      <c r="AA1766" s="107"/>
      <c r="AB1766" s="107"/>
      <c r="AC1766" s="355"/>
      <c r="AD1766" s="355"/>
      <c r="AE1766" s="355"/>
      <c r="AF1766" s="94">
        <f t="shared" si="238"/>
        <v>43039</v>
      </c>
      <c r="AG1766" s="185">
        <f t="shared" si="242"/>
        <v>7.2980812450857968E-3</v>
      </c>
      <c r="AH1766" s="339" t="str">
        <f>VLOOKUP(B1766,'MF PF'!A:B,2)</f>
        <v>FdMgt1</v>
      </c>
      <c r="AI1766" s="358">
        <f t="shared" si="239"/>
        <v>0</v>
      </c>
      <c r="AJ1766" s="94">
        <f t="shared" si="240"/>
        <v>43039</v>
      </c>
    </row>
    <row r="1767" spans="1:36" s="92" customFormat="1" ht="12.75" customHeight="1">
      <c r="A1767" s="94">
        <v>43069</v>
      </c>
      <c r="B1767" s="94" t="s">
        <v>136</v>
      </c>
      <c r="C1767" s="358" t="s">
        <v>321</v>
      </c>
      <c r="D1767" s="374">
        <v>3468500</v>
      </c>
      <c r="E1767" s="95" t="e">
        <f t="shared" si="243"/>
        <v>#DIV/0!</v>
      </c>
      <c r="F1767" s="98">
        <v>2.5</v>
      </c>
      <c r="G1767" s="98">
        <v>0</v>
      </c>
      <c r="H1767" s="98">
        <v>0</v>
      </c>
      <c r="I1767" s="98">
        <v>0</v>
      </c>
      <c r="J1767" s="98"/>
      <c r="K1767" s="93"/>
      <c r="L1767" s="93">
        <f t="shared" si="236"/>
        <v>0</v>
      </c>
      <c r="M1767" s="95" t="e">
        <f t="shared" ca="1" si="237"/>
        <v>#DIV/0!</v>
      </c>
      <c r="N1767" s="95">
        <f>IF(P1767="Hedge Fund",IF(A1767=Summary!$AD$3,M1767-E1767,M1767),IF(A1767=Summary!$AD$3,L1767-D1767,L1767))</f>
        <v>0</v>
      </c>
      <c r="O1767" s="95">
        <f t="shared" si="241"/>
        <v>0</v>
      </c>
      <c r="P1767" s="107" t="s">
        <v>155</v>
      </c>
      <c r="Q1767" s="107">
        <v>0</v>
      </c>
      <c r="R1767" s="107">
        <v>0</v>
      </c>
      <c r="S1767" s="107">
        <v>0</v>
      </c>
      <c r="T1767" s="107">
        <v>0</v>
      </c>
      <c r="U1767" s="107"/>
      <c r="V1767" s="107"/>
      <c r="W1767" s="107"/>
      <c r="X1767" s="107"/>
      <c r="Y1767" s="107"/>
      <c r="Z1767" s="107"/>
      <c r="AA1767" s="107"/>
      <c r="AB1767" s="107"/>
      <c r="AC1767" s="355"/>
      <c r="AD1767" s="355"/>
      <c r="AE1767" s="355"/>
      <c r="AF1767" s="94">
        <f t="shared" si="238"/>
        <v>43069</v>
      </c>
      <c r="AG1767" s="185">
        <f t="shared" si="242"/>
        <v>1.1256710731397668E-3</v>
      </c>
      <c r="AH1767" s="339" t="str">
        <f>VLOOKUP(B1767,'MF PF'!A:B,2)</f>
        <v>FdMgt1</v>
      </c>
      <c r="AI1767" s="358">
        <f t="shared" si="239"/>
        <v>0</v>
      </c>
      <c r="AJ1767" s="94">
        <f t="shared" si="240"/>
        <v>43069</v>
      </c>
    </row>
    <row r="1768" spans="1:36" ht="12.75" customHeight="1">
      <c r="A1768" s="94">
        <v>43098</v>
      </c>
      <c r="B1768" s="94" t="s">
        <v>136</v>
      </c>
      <c r="C1768" s="358" t="s">
        <v>321</v>
      </c>
      <c r="D1768" s="374">
        <v>3560200</v>
      </c>
      <c r="E1768" s="95" t="e">
        <f t="shared" si="243"/>
        <v>#DIV/0!</v>
      </c>
      <c r="F1768" s="98">
        <v>2.5</v>
      </c>
      <c r="G1768" s="98">
        <v>0</v>
      </c>
      <c r="H1768" s="98">
        <v>0</v>
      </c>
      <c r="I1768" s="98">
        <v>0</v>
      </c>
      <c r="J1768" s="98"/>
      <c r="L1768" s="93">
        <f t="shared" si="236"/>
        <v>0</v>
      </c>
      <c r="M1768" s="95" t="e">
        <f t="shared" ca="1" si="237"/>
        <v>#DIV/0!</v>
      </c>
      <c r="N1768" s="95">
        <f>IF(P1768="Hedge Fund",IF(A1768=Summary!$AD$3,M1768-E1768,M1768),IF(A1768=Summary!$AD$3,L1768-D1768,L1768))</f>
        <v>0</v>
      </c>
      <c r="O1768" s="95">
        <f t="shared" si="241"/>
        <v>0</v>
      </c>
      <c r="P1768" s="107" t="s">
        <v>155</v>
      </c>
      <c r="Q1768" s="107">
        <v>0</v>
      </c>
      <c r="R1768" s="107">
        <v>0</v>
      </c>
      <c r="S1768" s="107">
        <v>0</v>
      </c>
      <c r="T1768" s="107">
        <v>0</v>
      </c>
      <c r="U1768" s="107"/>
      <c r="V1768" s="107"/>
      <c r="W1768" s="107"/>
      <c r="X1768" s="107"/>
      <c r="Y1768" s="107"/>
      <c r="Z1768" s="107"/>
      <c r="AA1768" s="107"/>
      <c r="AB1768" s="107"/>
      <c r="AC1768" s="355"/>
      <c r="AD1768" s="355"/>
      <c r="AE1768" s="355"/>
      <c r="AF1768" s="94">
        <f t="shared" si="238"/>
        <v>43098</v>
      </c>
      <c r="AG1768" s="185">
        <f t="shared" si="242"/>
        <v>2.6437941473259396E-2</v>
      </c>
      <c r="AH1768" s="339" t="str">
        <f>VLOOKUP(B1768,'MF PF'!A:B,2)</f>
        <v>FdMgt1</v>
      </c>
      <c r="AI1768" s="358">
        <f t="shared" si="239"/>
        <v>0</v>
      </c>
      <c r="AJ1768" s="94">
        <f t="shared" si="240"/>
        <v>43100</v>
      </c>
    </row>
    <row r="1769" spans="1:36" ht="12.75" customHeight="1">
      <c r="A1769" s="94">
        <v>43131</v>
      </c>
      <c r="B1769" s="94" t="s">
        <v>136</v>
      </c>
      <c r="C1769" s="358" t="s">
        <v>321</v>
      </c>
      <c r="D1769" s="374">
        <v>3606800</v>
      </c>
      <c r="E1769" s="95" t="e">
        <f t="shared" si="243"/>
        <v>#DIV/0!</v>
      </c>
      <c r="F1769" s="98">
        <v>2.5</v>
      </c>
      <c r="G1769" s="98">
        <v>0</v>
      </c>
      <c r="H1769" s="98">
        <v>0</v>
      </c>
      <c r="I1769" s="98">
        <v>0</v>
      </c>
      <c r="J1769" s="98"/>
      <c r="K1769" s="93"/>
      <c r="L1769" s="93">
        <f t="shared" si="236"/>
        <v>0</v>
      </c>
      <c r="M1769" s="95" t="e">
        <f t="shared" ca="1" si="237"/>
        <v>#DIV/0!</v>
      </c>
      <c r="N1769" s="95">
        <f>IF(P1769="Hedge Fund",IF(A1769=Summary!$AD$3,M1769-E1769,M1769),IF(A1769=Summary!$AD$3,L1769-D1769,L1769))</f>
        <v>0</v>
      </c>
      <c r="O1769" s="95">
        <f t="shared" si="241"/>
        <v>0</v>
      </c>
      <c r="P1769" s="107" t="s">
        <v>155</v>
      </c>
      <c r="Q1769" s="107">
        <v>0</v>
      </c>
      <c r="R1769" s="107">
        <v>0</v>
      </c>
      <c r="S1769" s="107">
        <v>0</v>
      </c>
      <c r="T1769" s="107">
        <v>0</v>
      </c>
      <c r="U1769" s="107"/>
      <c r="V1769" s="107"/>
      <c r="W1769" s="107"/>
      <c r="X1769" s="107"/>
      <c r="Y1769" s="107"/>
      <c r="Z1769" s="107"/>
      <c r="AA1769" s="107"/>
      <c r="AB1769" s="107"/>
      <c r="AC1769" s="355"/>
      <c r="AD1769" s="355"/>
      <c r="AE1769" s="355"/>
      <c r="AF1769" s="94">
        <f t="shared" si="238"/>
        <v>43131</v>
      </c>
      <c r="AG1769" s="185">
        <f t="shared" si="242"/>
        <v>1.3089152294814888E-2</v>
      </c>
      <c r="AH1769" s="339" t="str">
        <f>VLOOKUP(B1769,'MF PF'!A:B,2)</f>
        <v>FdMgt1</v>
      </c>
      <c r="AI1769" s="358">
        <f t="shared" si="239"/>
        <v>0</v>
      </c>
      <c r="AJ1769" s="94">
        <f t="shared" si="240"/>
        <v>43131</v>
      </c>
    </row>
    <row r="1770" spans="1:36" ht="12.75" customHeight="1">
      <c r="A1770" s="94">
        <v>43159</v>
      </c>
      <c r="B1770" s="94" t="s">
        <v>136</v>
      </c>
      <c r="C1770" s="358" t="s">
        <v>321</v>
      </c>
      <c r="D1770" s="374">
        <v>3644015.38</v>
      </c>
      <c r="E1770" s="95" t="e">
        <f t="shared" si="243"/>
        <v>#DIV/0!</v>
      </c>
      <c r="F1770" s="98">
        <v>2.5</v>
      </c>
      <c r="G1770" s="98">
        <v>0</v>
      </c>
      <c r="H1770" s="98">
        <v>0</v>
      </c>
      <c r="I1770" s="98">
        <v>0</v>
      </c>
      <c r="J1770" s="98"/>
      <c r="K1770" s="93"/>
      <c r="L1770" s="93">
        <f t="shared" si="236"/>
        <v>0</v>
      </c>
      <c r="M1770" s="95" t="e">
        <f t="shared" ca="1" si="237"/>
        <v>#DIV/0!</v>
      </c>
      <c r="N1770" s="95">
        <f>IF(P1770="Hedge Fund",IF(A1770=Summary!$AD$3,M1770-E1770,M1770),IF(A1770=Summary!$AD$3,L1770-D1770,L1770))</f>
        <v>0</v>
      </c>
      <c r="O1770" s="95">
        <f t="shared" si="241"/>
        <v>0</v>
      </c>
      <c r="P1770" s="107" t="s">
        <v>155</v>
      </c>
      <c r="Q1770" s="107">
        <v>0</v>
      </c>
      <c r="R1770" s="107">
        <v>0</v>
      </c>
      <c r="S1770" s="107">
        <v>0</v>
      </c>
      <c r="T1770" s="107">
        <v>0</v>
      </c>
      <c r="U1770" s="107"/>
      <c r="V1770" s="107"/>
      <c r="W1770" s="107"/>
      <c r="X1770" s="107"/>
      <c r="Y1770" s="107"/>
      <c r="Z1770" s="107"/>
      <c r="AA1770" s="107"/>
      <c r="AB1770" s="107"/>
      <c r="AC1770" s="355"/>
      <c r="AD1770" s="355"/>
      <c r="AE1770" s="355"/>
      <c r="AF1770" s="94">
        <f t="shared" si="238"/>
        <v>43159</v>
      </c>
      <c r="AG1770" s="185">
        <f t="shared" si="242"/>
        <v>1.0318115781301929E-2</v>
      </c>
      <c r="AH1770" s="339" t="str">
        <f>VLOOKUP(B1770,'MF PF'!A:B,2)</f>
        <v>FdMgt1</v>
      </c>
      <c r="AI1770" s="358">
        <f t="shared" si="239"/>
        <v>0</v>
      </c>
      <c r="AJ1770" s="94">
        <f t="shared" si="240"/>
        <v>43159</v>
      </c>
    </row>
    <row r="1771" spans="1:36" ht="12.75" customHeight="1">
      <c r="A1771" s="94">
        <v>43188</v>
      </c>
      <c r="B1771" s="94" t="s">
        <v>136</v>
      </c>
      <c r="C1771" s="358" t="s">
        <v>321</v>
      </c>
      <c r="D1771" s="374">
        <v>3665818.0704999999</v>
      </c>
      <c r="E1771" s="9" t="e">
        <f t="shared" si="243"/>
        <v>#DIV/0!</v>
      </c>
      <c r="F1771" s="98">
        <v>2.5</v>
      </c>
      <c r="G1771" s="98">
        <v>0</v>
      </c>
      <c r="H1771" s="98">
        <v>0</v>
      </c>
      <c r="I1771" s="98">
        <v>0</v>
      </c>
      <c r="J1771" s="98"/>
      <c r="K1771" s="93"/>
      <c r="L1771" s="93">
        <f t="shared" si="236"/>
        <v>0</v>
      </c>
      <c r="M1771" s="95" t="e">
        <f t="shared" ca="1" si="237"/>
        <v>#DIV/0!</v>
      </c>
      <c r="N1771" s="95">
        <f>IF(P1771="Hedge Fund",IF(A1771=Summary!$AD$3,M1771-E1771,M1771),IF(A1771=Summary!$AD$3,L1771-D1771,L1771))</f>
        <v>0</v>
      </c>
      <c r="O1771" s="95">
        <f t="shared" si="241"/>
        <v>0</v>
      </c>
      <c r="P1771" s="107" t="s">
        <v>155</v>
      </c>
      <c r="Q1771" s="109">
        <v>6.9669446296834695E-3</v>
      </c>
      <c r="R1771" s="109">
        <v>9.4525789499999985E-2</v>
      </c>
      <c r="S1771" s="107">
        <v>0</v>
      </c>
      <c r="T1771" s="107">
        <v>0</v>
      </c>
      <c r="U1771" s="107"/>
      <c r="V1771" s="107"/>
      <c r="W1771" s="107"/>
      <c r="X1771" s="107"/>
      <c r="Y1771" s="107"/>
      <c r="Z1771" s="107"/>
      <c r="AA1771" s="107"/>
      <c r="AB1771" s="107"/>
      <c r="AC1771" s="355"/>
      <c r="AD1771" s="355"/>
      <c r="AE1771" s="355"/>
      <c r="AF1771" s="94">
        <f t="shared" si="238"/>
        <v>43188</v>
      </c>
      <c r="AG1771" s="185">
        <f t="shared" si="242"/>
        <v>5.9831499668367982E-3</v>
      </c>
      <c r="AH1771" s="339" t="str">
        <f>VLOOKUP(B1771,'MF PF'!A:B,2)</f>
        <v>FdMgt1</v>
      </c>
      <c r="AI1771" s="358">
        <f t="shared" si="239"/>
        <v>0</v>
      </c>
      <c r="AJ1771" s="94">
        <f t="shared" si="240"/>
        <v>43190</v>
      </c>
    </row>
    <row r="1772" spans="1:36" ht="12.75" customHeight="1">
      <c r="A1772" s="94">
        <v>43220</v>
      </c>
      <c r="B1772" s="94" t="s">
        <v>136</v>
      </c>
      <c r="C1772" s="358" t="s">
        <v>321</v>
      </c>
      <c r="D1772" s="374">
        <v>3705965.1609999998</v>
      </c>
      <c r="E1772" s="9" t="e">
        <f t="shared" si="243"/>
        <v>#DIV/0!</v>
      </c>
      <c r="F1772" s="98">
        <v>2.5</v>
      </c>
      <c r="G1772" s="98">
        <v>0</v>
      </c>
      <c r="H1772" s="98">
        <v>0</v>
      </c>
      <c r="I1772" s="98">
        <v>0</v>
      </c>
      <c r="J1772" s="98"/>
      <c r="K1772" s="93"/>
      <c r="L1772" s="93">
        <f t="shared" si="236"/>
        <v>0</v>
      </c>
      <c r="M1772" s="95" t="e">
        <f t="shared" ca="1" si="237"/>
        <v>#DIV/0!</v>
      </c>
      <c r="N1772" s="95">
        <f>IF(P1772="Hedge Fund",IF(A1772=Summary!$AD$3,M1772-E1772,M1772),IF(A1772=Summary!$AD$3,L1772-D1772,L1772))</f>
        <v>0</v>
      </c>
      <c r="O1772" s="95">
        <f t="shared" si="241"/>
        <v>0</v>
      </c>
      <c r="P1772" s="107" t="s">
        <v>155</v>
      </c>
      <c r="Q1772" s="109">
        <v>0</v>
      </c>
      <c r="R1772" s="109">
        <v>9.778096E-2</v>
      </c>
      <c r="S1772" s="107">
        <v>0</v>
      </c>
      <c r="T1772" s="107">
        <v>0</v>
      </c>
      <c r="U1772" s="107"/>
      <c r="V1772" s="107"/>
      <c r="W1772" s="107"/>
      <c r="X1772" s="107"/>
      <c r="Y1772" s="107"/>
      <c r="Z1772" s="107"/>
      <c r="AA1772" s="107"/>
      <c r="AB1772" s="107"/>
      <c r="AC1772" s="355"/>
      <c r="AD1772" s="355"/>
      <c r="AE1772" s="355"/>
      <c r="AF1772" s="94">
        <f t="shared" si="238"/>
        <v>43220</v>
      </c>
      <c r="AG1772" s="185">
        <f t="shared" si="242"/>
        <v>1.0951741119690661E-2</v>
      </c>
      <c r="AH1772" s="339" t="str">
        <f>VLOOKUP(B1772,'MF PF'!A:B,2)</f>
        <v>FdMgt1</v>
      </c>
      <c r="AI1772" s="358">
        <f t="shared" si="239"/>
        <v>0</v>
      </c>
      <c r="AJ1772" s="94">
        <f t="shared" si="240"/>
        <v>43220</v>
      </c>
    </row>
    <row r="1773" spans="1:36" ht="12.75" customHeight="1">
      <c r="A1773" s="94">
        <v>43251</v>
      </c>
      <c r="B1773" s="358" t="s">
        <v>136</v>
      </c>
      <c r="C1773" s="94" t="s">
        <v>321</v>
      </c>
      <c r="D1773" s="374">
        <v>3730191.0868000002</v>
      </c>
      <c r="E1773" s="9" t="e">
        <f t="shared" si="243"/>
        <v>#DIV/0!</v>
      </c>
      <c r="F1773" s="98">
        <v>2.5</v>
      </c>
      <c r="G1773" s="98">
        <v>0</v>
      </c>
      <c r="H1773" s="98">
        <v>0</v>
      </c>
      <c r="I1773" s="110">
        <v>0</v>
      </c>
      <c r="J1773" s="110"/>
      <c r="K1773" s="93"/>
      <c r="L1773" s="93">
        <f t="shared" si="236"/>
        <v>0</v>
      </c>
      <c r="M1773" s="95" t="e">
        <f t="shared" ca="1" si="237"/>
        <v>#DIV/0!</v>
      </c>
      <c r="N1773" s="95">
        <f>IF(P1773="Hedge Fund",IF(A1773=Summary!$AD$3,M1773-E1773,M1773),IF(A1773=Summary!$AD$3,L1773-D1773,L1773))</f>
        <v>0</v>
      </c>
      <c r="O1773" s="95">
        <f t="shared" si="241"/>
        <v>0</v>
      </c>
      <c r="P1773" s="107" t="s">
        <v>155</v>
      </c>
      <c r="Q1773" s="109">
        <v>0</v>
      </c>
      <c r="R1773" s="109">
        <v>9.9745219999999996E-2</v>
      </c>
      <c r="S1773" s="107">
        <v>0</v>
      </c>
      <c r="T1773" s="107">
        <v>0</v>
      </c>
      <c r="U1773" s="107"/>
      <c r="V1773" s="107"/>
      <c r="W1773" s="107"/>
      <c r="X1773" s="107"/>
      <c r="Y1773" s="107"/>
      <c r="Z1773" s="107"/>
      <c r="AA1773" s="107"/>
      <c r="AB1773" s="107"/>
      <c r="AC1773" s="355"/>
      <c r="AD1773" s="355"/>
      <c r="AE1773" s="355"/>
      <c r="AF1773" s="94">
        <f t="shared" si="238"/>
        <v>43251</v>
      </c>
      <c r="AG1773" s="185">
        <f t="shared" si="242"/>
        <v>6.5370085112896881E-3</v>
      </c>
      <c r="AH1773" s="339" t="str">
        <f>VLOOKUP(B1773,'MF PF'!A:B,2)</f>
        <v>FdMgt1</v>
      </c>
      <c r="AI1773" s="358">
        <f t="shared" si="239"/>
        <v>0</v>
      </c>
      <c r="AJ1773" s="94">
        <f t="shared" si="240"/>
        <v>43251</v>
      </c>
    </row>
    <row r="1774" spans="1:36" ht="12.75" customHeight="1">
      <c r="A1774" s="8">
        <v>43280</v>
      </c>
      <c r="B1774" s="358" t="s">
        <v>136</v>
      </c>
      <c r="C1774" s="94" t="s">
        <v>321</v>
      </c>
      <c r="D1774" s="374">
        <v>3753854.2148000002</v>
      </c>
      <c r="E1774" s="9" t="e">
        <f t="shared" si="243"/>
        <v>#DIV/0!</v>
      </c>
      <c r="F1774" s="98">
        <v>2.5</v>
      </c>
      <c r="G1774" s="98">
        <v>0</v>
      </c>
      <c r="H1774" s="98">
        <v>0</v>
      </c>
      <c r="I1774" s="110">
        <v>0</v>
      </c>
      <c r="J1774" s="110"/>
      <c r="K1774" s="93"/>
      <c r="L1774" s="93">
        <f t="shared" si="236"/>
        <v>0</v>
      </c>
      <c r="M1774" s="95" t="e">
        <f t="shared" ca="1" si="237"/>
        <v>#DIV/0!</v>
      </c>
      <c r="N1774" s="95">
        <f>IF(P1774="Hedge Fund",IF(A1774=Summary!$AD$3,M1774-E1774,M1774),IF(A1774=Summary!$AD$3,L1774-D1774,L1774))</f>
        <v>0</v>
      </c>
      <c r="O1774" s="95">
        <f t="shared" si="241"/>
        <v>0</v>
      </c>
      <c r="P1774" s="107" t="s">
        <v>155</v>
      </c>
      <c r="Q1774" s="109">
        <v>7.3023200000000002E-3</v>
      </c>
      <c r="R1774" s="109">
        <v>0.10166385999999999</v>
      </c>
      <c r="S1774" s="107">
        <v>0</v>
      </c>
      <c r="T1774" s="107">
        <v>0</v>
      </c>
      <c r="U1774" s="107"/>
      <c r="V1774" s="107"/>
      <c r="W1774" s="107"/>
      <c r="X1774" s="107"/>
      <c r="Y1774" s="107"/>
      <c r="Z1774" s="107"/>
      <c r="AA1774" s="107"/>
      <c r="AB1774" s="107"/>
      <c r="AC1774" s="355"/>
      <c r="AD1774" s="355"/>
      <c r="AE1774" s="355"/>
      <c r="AF1774" s="94">
        <f t="shared" si="238"/>
        <v>43280</v>
      </c>
      <c r="AG1774" s="185">
        <f t="shared" si="242"/>
        <v>6.3436771600620112E-3</v>
      </c>
      <c r="AH1774" s="339" t="str">
        <f>VLOOKUP(B1774,'MF PF'!A:B,2)</f>
        <v>FdMgt1</v>
      </c>
      <c r="AI1774" s="358">
        <f t="shared" si="239"/>
        <v>0</v>
      </c>
      <c r="AJ1774" s="94">
        <f t="shared" si="240"/>
        <v>43281</v>
      </c>
    </row>
    <row r="1775" spans="1:36" ht="12.75" customHeight="1">
      <c r="A1775" s="94">
        <v>43312</v>
      </c>
      <c r="B1775" s="358" t="s">
        <v>136</v>
      </c>
      <c r="C1775" s="94" t="s">
        <v>321</v>
      </c>
      <c r="D1775" s="374">
        <v>3752807.42</v>
      </c>
      <c r="E1775" s="9" t="str">
        <f>IF(K1775="","",D1775/K1775)</f>
        <v/>
      </c>
      <c r="F1775" s="98">
        <v>2.5</v>
      </c>
      <c r="G1775" s="98">
        <v>0</v>
      </c>
      <c r="H1775" s="98">
        <v>0</v>
      </c>
      <c r="I1775" s="98">
        <v>0</v>
      </c>
      <c r="J1775" s="98"/>
      <c r="K1775" s="93"/>
      <c r="L1775" s="93">
        <f t="shared" si="236"/>
        <v>0</v>
      </c>
      <c r="M1775" s="95" t="e">
        <f t="shared" ca="1" si="237"/>
        <v>#DIV/0!</v>
      </c>
      <c r="N1775" s="95">
        <f>IF(P1775="Hedge Fund",IF(A1775=Summary!$AD$3,M1775-E1775,M1775),IF(A1775=Summary!$AD$3,L1775-D1775,L1775))</f>
        <v>0</v>
      </c>
      <c r="O1775" s="95">
        <f t="shared" si="241"/>
        <v>0</v>
      </c>
      <c r="P1775" s="107" t="s">
        <v>155</v>
      </c>
      <c r="Q1775" s="107">
        <v>0</v>
      </c>
      <c r="R1775" s="109">
        <f>101578.98/10^6</f>
        <v>0.10157898</v>
      </c>
      <c r="S1775" s="107">
        <v>0</v>
      </c>
      <c r="T1775" s="107">
        <v>0</v>
      </c>
      <c r="U1775" s="107"/>
      <c r="V1775" s="107"/>
      <c r="W1775" s="107"/>
      <c r="X1775" s="107"/>
      <c r="Y1775" s="107"/>
      <c r="Z1775" s="107"/>
      <c r="AA1775" s="107"/>
      <c r="AB1775" s="107"/>
      <c r="AC1775" s="355"/>
      <c r="AD1775" s="355"/>
      <c r="AE1775" s="355"/>
      <c r="AF1775" s="94">
        <f t="shared" si="238"/>
        <v>43312</v>
      </c>
      <c r="AG1775" s="185">
        <f t="shared" si="242"/>
        <v>-2.7885867167487532E-4</v>
      </c>
      <c r="AH1775" s="339" t="str">
        <f>VLOOKUP(B1775,'MF PF'!A:B,2)</f>
        <v>FdMgt1</v>
      </c>
      <c r="AI1775" s="358">
        <f t="shared" si="239"/>
        <v>0</v>
      </c>
      <c r="AJ1775" s="94">
        <f t="shared" si="240"/>
        <v>43312</v>
      </c>
    </row>
    <row r="1776" spans="1:36" ht="12.75" customHeight="1">
      <c r="A1776" s="8">
        <v>43343</v>
      </c>
      <c r="B1776" s="358" t="s">
        <v>136</v>
      </c>
      <c r="C1776" s="94" t="s">
        <v>321</v>
      </c>
      <c r="D1776" s="374">
        <v>3764204.2803000002</v>
      </c>
      <c r="E1776" s="95" t="str">
        <f>IF(K1776="","",D1776/K1776)</f>
        <v/>
      </c>
      <c r="F1776" s="98">
        <v>2.5</v>
      </c>
      <c r="G1776" s="98">
        <v>0</v>
      </c>
      <c r="H1776" s="98">
        <v>0</v>
      </c>
      <c r="I1776" s="98">
        <v>0</v>
      </c>
      <c r="J1776" s="98"/>
      <c r="K1776" s="93"/>
      <c r="L1776" s="93">
        <f t="shared" si="236"/>
        <v>0</v>
      </c>
      <c r="M1776" s="95" t="e">
        <f t="shared" ca="1" si="237"/>
        <v>#DIV/0!</v>
      </c>
      <c r="N1776" s="95">
        <f>IF(P1776="Hedge Fund",IF(A1776=Summary!$AD$3,M1776-E1776,M1776),IF(A1776=Summary!$AD$3,L1776-D1776,L1776))</f>
        <v>0</v>
      </c>
      <c r="O1776" s="95">
        <f t="shared" si="241"/>
        <v>0</v>
      </c>
      <c r="P1776" s="107" t="s">
        <v>155</v>
      </c>
      <c r="Q1776" s="107">
        <v>0</v>
      </c>
      <c r="R1776" s="109">
        <v>0.10250304975000001</v>
      </c>
      <c r="S1776" s="107">
        <v>0</v>
      </c>
      <c r="T1776" s="107">
        <v>0</v>
      </c>
      <c r="U1776" s="107"/>
      <c r="V1776" s="107"/>
      <c r="W1776" s="107"/>
      <c r="X1776" s="107"/>
      <c r="Y1776" s="107"/>
      <c r="Z1776" s="107"/>
      <c r="AA1776" s="107"/>
      <c r="AB1776" s="107"/>
      <c r="AC1776" s="355"/>
      <c r="AD1776" s="355"/>
      <c r="AE1776" s="355"/>
      <c r="AF1776" s="94">
        <f t="shared" si="238"/>
        <v>43343</v>
      </c>
      <c r="AG1776" s="185">
        <f t="shared" si="242"/>
        <v>3.0368891937440079E-3</v>
      </c>
      <c r="AH1776" s="339" t="str">
        <f>VLOOKUP(B1776,'MF PF'!A:B,2)</f>
        <v>FdMgt1</v>
      </c>
      <c r="AI1776" s="358">
        <f t="shared" si="239"/>
        <v>0</v>
      </c>
      <c r="AJ1776" s="94">
        <f t="shared" si="240"/>
        <v>43343</v>
      </c>
    </row>
    <row r="1777" spans="1:36" ht="12.75" customHeight="1">
      <c r="A1777" s="8">
        <v>43371</v>
      </c>
      <c r="B1777" s="358" t="s">
        <v>136</v>
      </c>
      <c r="C1777" s="92" t="s">
        <v>321</v>
      </c>
      <c r="D1777" s="374">
        <v>3730633.2922999999</v>
      </c>
      <c r="E1777" s="95"/>
      <c r="F1777" s="105">
        <v>2.5</v>
      </c>
      <c r="G1777" s="93">
        <v>0</v>
      </c>
      <c r="H1777" s="93">
        <v>0</v>
      </c>
      <c r="I1777" s="93">
        <v>0</v>
      </c>
      <c r="K1777" s="93">
        <v>0</v>
      </c>
      <c r="L1777" s="93">
        <f t="shared" si="236"/>
        <v>0</v>
      </c>
      <c r="M1777" s="95" t="e">
        <f t="shared" ca="1" si="237"/>
        <v>#DIV/0!</v>
      </c>
      <c r="N1777" s="95">
        <f>IF(P1777="Hedge Fund",IF(A1777=Summary!$AD$3,M1777-E1777,M1777),IF(A1777=Summary!$AD$3,L1777-D1777,L1777))</f>
        <v>0</v>
      </c>
      <c r="O1777" s="95">
        <f t="shared" si="241"/>
        <v>0</v>
      </c>
      <c r="P1777" s="95" t="s">
        <v>155</v>
      </c>
      <c r="Q1777" s="353">
        <v>7.1757678695087944E-3</v>
      </c>
      <c r="R1777" s="95">
        <v>9.9781077750000016E-2</v>
      </c>
      <c r="S1777" s="95"/>
      <c r="T1777" s="95"/>
      <c r="U1777" s="95"/>
      <c r="V1777" s="95"/>
      <c r="W1777" s="95"/>
      <c r="X1777" s="95"/>
      <c r="Y1777" s="95"/>
      <c r="Z1777" s="95"/>
      <c r="AA1777" s="95"/>
      <c r="AB1777" s="95"/>
      <c r="AC1777" s="355"/>
      <c r="AD1777" s="355"/>
      <c r="AE1777" s="355"/>
      <c r="AF1777" s="94">
        <f t="shared" si="238"/>
        <v>43371</v>
      </c>
      <c r="AG1777" s="185">
        <f t="shared" si="242"/>
        <v>-8.9184819686047856E-3</v>
      </c>
      <c r="AH1777" s="339" t="str">
        <f>VLOOKUP(B1777,'MF PF'!A:B,2)</f>
        <v>FdMgt1</v>
      </c>
      <c r="AI1777" s="358">
        <f t="shared" si="239"/>
        <v>0</v>
      </c>
      <c r="AJ1777" s="94">
        <f t="shared" si="240"/>
        <v>43373</v>
      </c>
    </row>
    <row r="1778" spans="1:36" ht="12.75" customHeight="1">
      <c r="A1778" s="8">
        <v>43404</v>
      </c>
      <c r="B1778" s="358" t="s">
        <v>136</v>
      </c>
      <c r="C1778" s="92" t="s">
        <v>321</v>
      </c>
      <c r="D1778" s="374">
        <v>3717703.1058</v>
      </c>
      <c r="E1778" s="95"/>
      <c r="F1778" s="105">
        <v>2.5</v>
      </c>
      <c r="G1778" s="93">
        <v>0</v>
      </c>
      <c r="H1778" s="93">
        <v>0</v>
      </c>
      <c r="I1778" s="93">
        <v>0</v>
      </c>
      <c r="J1778" s="93">
        <v>0</v>
      </c>
      <c r="K1778" s="93"/>
      <c r="L1778" s="93">
        <f t="shared" si="236"/>
        <v>0</v>
      </c>
      <c r="M1778" s="95" t="e">
        <f t="shared" ca="1" si="237"/>
        <v>#DIV/0!</v>
      </c>
      <c r="N1778" s="95">
        <f>IF(P1778="Hedge Fund",IF(A1778=Summary!$AD$3,M1778-E1778,M1778),IF(A1778=Summary!$AD$3,L1778-D1778,L1778))</f>
        <v>0</v>
      </c>
      <c r="O1778" s="95">
        <f t="shared" si="241"/>
        <v>0</v>
      </c>
      <c r="P1778" s="95" t="s">
        <v>155</v>
      </c>
      <c r="Q1778" s="95">
        <v>2.5896131190994605E-3</v>
      </c>
      <c r="R1778" s="95">
        <v>9.8732684250000008E-2</v>
      </c>
      <c r="S1778" s="95"/>
      <c r="T1778" s="95"/>
      <c r="U1778" s="95"/>
      <c r="V1778" s="95"/>
      <c r="W1778" s="95"/>
      <c r="X1778" s="95"/>
      <c r="Y1778" s="95"/>
      <c r="Z1778" s="95"/>
      <c r="AA1778" s="95"/>
      <c r="AB1778" s="95"/>
      <c r="AC1778" s="355"/>
      <c r="AD1778" s="355"/>
      <c r="AE1778" s="355"/>
      <c r="AF1778" s="94">
        <f t="shared" si="238"/>
        <v>43404</v>
      </c>
      <c r="AG1778" s="185">
        <f t="shared" si="242"/>
        <v>-3.4659494747681929E-3</v>
      </c>
      <c r="AH1778" s="339" t="str">
        <f>VLOOKUP(B1778,'MF PF'!A:B,2)</f>
        <v>FdMgt1</v>
      </c>
      <c r="AI1778" s="358">
        <f t="shared" si="239"/>
        <v>0</v>
      </c>
      <c r="AJ1778" s="94">
        <f t="shared" si="240"/>
        <v>43404</v>
      </c>
    </row>
    <row r="1779" spans="1:36" ht="12.75" customHeight="1">
      <c r="A1779" s="8">
        <v>43434</v>
      </c>
      <c r="B1779" s="358" t="s">
        <v>136</v>
      </c>
      <c r="C1779" s="92" t="s">
        <v>321</v>
      </c>
      <c r="D1779" s="374">
        <v>3768983.3944999999</v>
      </c>
      <c r="F1779" s="105">
        <v>2.5</v>
      </c>
      <c r="G1779" s="93">
        <v>0</v>
      </c>
      <c r="H1779" s="93">
        <v>0</v>
      </c>
      <c r="I1779" s="93">
        <v>0</v>
      </c>
      <c r="K1779" s="93">
        <v>0</v>
      </c>
      <c r="L1779" s="93">
        <f t="shared" si="236"/>
        <v>0</v>
      </c>
      <c r="M1779" s="95" t="e">
        <f t="shared" ca="1" si="237"/>
        <v>#DIV/0!</v>
      </c>
      <c r="N1779" s="95">
        <f>IF(P1779="Hedge Fund",IF(A1779=Summary!$AD$3,M1779-E1779,M1779),IF(A1779=Summary!$AD$3,L1779-D1779,L1779))</f>
        <v>0</v>
      </c>
      <c r="O1779" s="95">
        <f t="shared" si="241"/>
        <v>0</v>
      </c>
      <c r="P1779" s="95" t="s">
        <v>155</v>
      </c>
      <c r="Q1779" s="95">
        <v>5.0187172040634248E-3</v>
      </c>
      <c r="R1779" s="95">
        <v>0.1028905455</v>
      </c>
      <c r="S1779" s="95"/>
      <c r="T1779" s="95"/>
      <c r="U1779" s="95"/>
      <c r="V1779" s="95"/>
      <c r="W1779" s="95"/>
      <c r="X1779" s="95"/>
      <c r="Y1779" s="95"/>
      <c r="Z1779" s="95"/>
      <c r="AA1779" s="95"/>
      <c r="AB1779" s="95"/>
      <c r="AC1779" s="355"/>
      <c r="AD1779" s="355"/>
      <c r="AE1779" s="355"/>
      <c r="AF1779" s="94">
        <f t="shared" si="238"/>
        <v>43434</v>
      </c>
      <c r="AG1779" s="185">
        <f t="shared" si="242"/>
        <v>1.3793540592307529E-2</v>
      </c>
      <c r="AH1779" s="339" t="str">
        <f>VLOOKUP(B1779,'MF PF'!A:B,2)</f>
        <v>FdMgt1</v>
      </c>
      <c r="AI1779" s="358">
        <f t="shared" si="239"/>
        <v>0</v>
      </c>
      <c r="AJ1779" s="94">
        <f t="shared" si="240"/>
        <v>43434</v>
      </c>
    </row>
    <row r="1780" spans="1:36" ht="12.75" customHeight="1">
      <c r="A1780" s="8">
        <v>43452</v>
      </c>
      <c r="B1780" s="358" t="s">
        <v>136</v>
      </c>
      <c r="C1780" s="92" t="s">
        <v>321</v>
      </c>
      <c r="D1780" s="93"/>
      <c r="F1780" s="93"/>
      <c r="G1780" s="93"/>
      <c r="H1780" s="93"/>
      <c r="I1780" s="93">
        <v>-57116.9517545212</v>
      </c>
      <c r="K1780" s="93"/>
      <c r="L1780" s="93">
        <f t="shared" si="236"/>
        <v>-57116.9517545212</v>
      </c>
      <c r="M1780" s="95" t="e">
        <f t="shared" ca="1" si="237"/>
        <v>#DIV/0!</v>
      </c>
      <c r="N1780" s="95">
        <f>IF(P1780="Hedge Fund",IF(A1780=Summary!$AD$3,M1780-E1780,M1780),IF(A1780=Summary!$AD$3,L1780-D1780,L1780))</f>
        <v>-57116.9517545212</v>
      </c>
      <c r="O1780" s="95">
        <f t="shared" si="241"/>
        <v>-57116.9517545212</v>
      </c>
      <c r="P1780" s="95" t="s">
        <v>155</v>
      </c>
      <c r="Q1780" s="95"/>
      <c r="R1780" s="95"/>
      <c r="S1780" s="95"/>
      <c r="T1780" s="95"/>
      <c r="U1780" s="95"/>
      <c r="V1780" s="95"/>
      <c r="W1780" s="95"/>
      <c r="X1780" s="95"/>
      <c r="Y1780" s="95"/>
      <c r="Z1780" s="95"/>
      <c r="AA1780" s="95"/>
      <c r="AB1780" s="95"/>
      <c r="AC1780" s="355"/>
      <c r="AD1780" s="355"/>
      <c r="AE1780" s="355"/>
      <c r="AF1780" s="94">
        <f t="shared" si="238"/>
        <v>43452</v>
      </c>
      <c r="AG1780" s="185">
        <f t="shared" si="242"/>
        <v>-0.98484552841546857</v>
      </c>
      <c r="AH1780" s="339" t="str">
        <f>VLOOKUP(B1780,'MF PF'!A:B,2)</f>
        <v>FdMgt1</v>
      </c>
      <c r="AI1780" s="358">
        <f t="shared" si="239"/>
        <v>0</v>
      </c>
      <c r="AJ1780" s="94">
        <f t="shared" si="240"/>
        <v>43465</v>
      </c>
    </row>
    <row r="1781" spans="1:36" ht="12.75" customHeight="1">
      <c r="A1781" s="8">
        <v>43465</v>
      </c>
      <c r="B1781" s="358" t="s">
        <v>136</v>
      </c>
      <c r="C1781" s="92" t="s">
        <v>321</v>
      </c>
      <c r="D1781" s="93">
        <v>3786242.1677000001</v>
      </c>
      <c r="E1781" s="95"/>
      <c r="F1781" s="93">
        <v>2.5</v>
      </c>
      <c r="G1781" s="93">
        <v>0</v>
      </c>
      <c r="H1781" s="93">
        <v>0</v>
      </c>
      <c r="I1781" s="93">
        <v>0</v>
      </c>
      <c r="K1781" s="93">
        <v>0</v>
      </c>
      <c r="L1781" s="93">
        <f t="shared" si="236"/>
        <v>0</v>
      </c>
      <c r="M1781" s="95" t="e">
        <f t="shared" ca="1" si="237"/>
        <v>#DIV/0!</v>
      </c>
      <c r="N1781" s="95">
        <f>IF(P1781="Hedge Fund",IF(A1781=Summary!$AD$3,M1781-E1781,M1781),IF(A1781=Summary!$AD$3,L1781-D1781,L1781))</f>
        <v>0</v>
      </c>
      <c r="O1781" s="95">
        <f t="shared" si="241"/>
        <v>0</v>
      </c>
      <c r="P1781" s="95" t="s">
        <v>155</v>
      </c>
      <c r="Q1781" s="95">
        <v>7.5392674359023269E-3</v>
      </c>
      <c r="R1781" s="95">
        <v>0.10952724234742069</v>
      </c>
      <c r="S1781" s="95"/>
      <c r="T1781" s="95"/>
      <c r="U1781" s="95"/>
      <c r="V1781" s="95"/>
      <c r="W1781" s="95"/>
      <c r="X1781" s="95"/>
      <c r="Y1781" s="95"/>
      <c r="Z1781" s="95"/>
      <c r="AA1781" s="95"/>
      <c r="AB1781" s="95"/>
      <c r="AC1781" s="355"/>
      <c r="AD1781" s="355"/>
      <c r="AE1781" s="355"/>
      <c r="AF1781" s="94">
        <f t="shared" si="238"/>
        <v>43465</v>
      </c>
      <c r="AG1781" s="185" t="e">
        <f t="shared" si="242"/>
        <v>#DIV/0!</v>
      </c>
      <c r="AH1781" s="339" t="str">
        <f>VLOOKUP(B1781,'MF PF'!A:B,2)</f>
        <v>FdMgt1</v>
      </c>
      <c r="AI1781" s="358">
        <f t="shared" si="239"/>
        <v>0</v>
      </c>
      <c r="AJ1781" s="94">
        <f t="shared" si="240"/>
        <v>43465</v>
      </c>
    </row>
    <row r="1782" spans="1:36" ht="12.75" customHeight="1">
      <c r="A1782" s="8">
        <v>43487</v>
      </c>
      <c r="B1782" s="358" t="s">
        <v>136</v>
      </c>
      <c r="C1782" s="92" t="s">
        <v>321</v>
      </c>
      <c r="D1782" s="93"/>
      <c r="E1782" s="95"/>
      <c r="F1782" s="93"/>
      <c r="G1782" s="93"/>
      <c r="H1782" s="93"/>
      <c r="I1782" s="93">
        <v>-180906.67531159369</v>
      </c>
      <c r="K1782" s="93"/>
      <c r="L1782" s="93">
        <f t="shared" si="236"/>
        <v>-180906.67531159369</v>
      </c>
      <c r="M1782" s="95" t="e">
        <f t="shared" ca="1" si="237"/>
        <v>#DIV/0!</v>
      </c>
      <c r="N1782" s="95">
        <f>IF(P1782="Hedge Fund",IF(A1782=Summary!$AD$3,M1782-E1782,M1782),IF(A1782=Summary!$AD$3,L1782-D1782,L1782))</f>
        <v>-180906.67531159369</v>
      </c>
      <c r="O1782" s="95">
        <f t="shared" si="241"/>
        <v>-180906.67531159369</v>
      </c>
      <c r="P1782" s="95" t="s">
        <v>155</v>
      </c>
      <c r="Q1782" s="95"/>
      <c r="R1782" s="95"/>
      <c r="S1782" s="95"/>
      <c r="T1782" s="95"/>
      <c r="U1782" s="95"/>
      <c r="V1782" s="95"/>
      <c r="W1782" s="95"/>
      <c r="X1782" s="95"/>
      <c r="Y1782" s="95"/>
      <c r="Z1782" s="95"/>
      <c r="AA1782" s="95"/>
      <c r="AB1782" s="95"/>
      <c r="AC1782" s="355"/>
      <c r="AD1782" s="355"/>
      <c r="AE1782" s="355"/>
      <c r="AF1782" s="94">
        <f t="shared" si="238"/>
        <v>43487</v>
      </c>
      <c r="AG1782" s="185">
        <f t="shared" si="242"/>
        <v>-0.95221999351893338</v>
      </c>
      <c r="AH1782" s="339" t="str">
        <f>VLOOKUP(B1782,'MF PF'!A:B,2)</f>
        <v>FdMgt1</v>
      </c>
      <c r="AI1782" s="358">
        <f t="shared" si="239"/>
        <v>0</v>
      </c>
      <c r="AJ1782" s="94">
        <f t="shared" si="240"/>
        <v>43496</v>
      </c>
    </row>
    <row r="1783" spans="1:36" ht="12.75" customHeight="1">
      <c r="A1783" s="94">
        <v>43496</v>
      </c>
      <c r="B1783" s="358" t="s">
        <v>136</v>
      </c>
      <c r="C1783" s="358" t="s">
        <v>321</v>
      </c>
      <c r="D1783" s="93">
        <v>3638394.3774000001</v>
      </c>
      <c r="E1783" s="95"/>
      <c r="F1783" s="93">
        <v>2.5</v>
      </c>
      <c r="G1783" s="93">
        <v>0</v>
      </c>
      <c r="H1783" s="93">
        <v>0</v>
      </c>
      <c r="I1783" s="93">
        <v>0</v>
      </c>
      <c r="K1783" s="93">
        <v>0</v>
      </c>
      <c r="L1783" s="93">
        <f t="shared" si="236"/>
        <v>0</v>
      </c>
      <c r="M1783" s="95" t="e">
        <f t="shared" ca="1" si="237"/>
        <v>#DIV/0!</v>
      </c>
      <c r="N1783" s="95">
        <f>IF(P1783="Hedge Fund",IF(A1783=Summary!$AD$3,M1783-E1783,M1783),IF(A1783=Summary!$AD$3,L1783-D1783,L1783))</f>
        <v>-3638394.3774000001</v>
      </c>
      <c r="O1783" s="95">
        <f t="shared" si="241"/>
        <v>-3638394.3774000001</v>
      </c>
      <c r="P1783" s="95" t="s">
        <v>155</v>
      </c>
      <c r="Q1783" s="95">
        <v>2.3130580165324223E-3</v>
      </c>
      <c r="R1783" s="95">
        <v>0.11158668262574852</v>
      </c>
      <c r="S1783" s="95"/>
      <c r="T1783" s="95"/>
      <c r="U1783" s="95"/>
      <c r="V1783" s="95"/>
      <c r="W1783" s="95"/>
      <c r="X1783" s="95"/>
      <c r="Y1783" s="95"/>
      <c r="Z1783" s="95"/>
      <c r="AA1783" s="95"/>
      <c r="AB1783" s="95"/>
      <c r="AC1783" s="355"/>
      <c r="AD1783" s="355"/>
      <c r="AE1783" s="355"/>
      <c r="AF1783" s="94">
        <f t="shared" si="238"/>
        <v>43496</v>
      </c>
      <c r="AG1783" s="185" t="e">
        <f t="shared" si="242"/>
        <v>#DIV/0!</v>
      </c>
      <c r="AH1783" s="339" t="str">
        <f>VLOOKUP(B1783,'MF PF'!A:B,2)</f>
        <v>FdMgt1</v>
      </c>
      <c r="AI1783" s="358">
        <f t="shared" si="239"/>
        <v>0</v>
      </c>
      <c r="AJ1783" s="94">
        <f t="shared" si="240"/>
        <v>43496</v>
      </c>
    </row>
    <row r="1784" spans="1:36" ht="12.75" customHeight="1">
      <c r="A1784" s="94">
        <v>41856</v>
      </c>
      <c r="B1784" s="94" t="s">
        <v>136</v>
      </c>
      <c r="C1784" s="358" t="s">
        <v>322</v>
      </c>
      <c r="D1784" s="374">
        <v>28500</v>
      </c>
      <c r="E1784" s="9" t="e">
        <f t="shared" ref="E1784:E1815" si="244">D1784/K1784</f>
        <v>#DIV/0!</v>
      </c>
      <c r="F1784" s="98">
        <v>0.25</v>
      </c>
      <c r="G1784" s="98">
        <v>28500</v>
      </c>
      <c r="H1784" s="98">
        <v>0</v>
      </c>
      <c r="I1784" s="98">
        <v>0</v>
      </c>
      <c r="J1784" s="98"/>
      <c r="K1784" s="93"/>
      <c r="L1784" s="93">
        <f t="shared" si="236"/>
        <v>28500</v>
      </c>
      <c r="M1784" s="95" t="e">
        <f t="shared" ca="1" si="237"/>
        <v>#DIV/0!</v>
      </c>
      <c r="N1784" s="95">
        <f>IF(P1784="Hedge Fund",IF(A1784=Summary!$AD$3,M1784-E1784,M1784),IF(A1784=Summary!$AD$3,L1784-D1784,L1784))</f>
        <v>28500</v>
      </c>
      <c r="O1784" s="95">
        <f t="shared" si="241"/>
        <v>28500</v>
      </c>
      <c r="P1784" s="107" t="s">
        <v>155</v>
      </c>
      <c r="Q1784" s="107">
        <v>0</v>
      </c>
      <c r="R1784" s="107">
        <v>0</v>
      </c>
      <c r="S1784" s="107">
        <v>0</v>
      </c>
      <c r="T1784" s="107">
        <v>0</v>
      </c>
      <c r="U1784" s="107"/>
      <c r="V1784" s="107"/>
      <c r="W1784" s="107"/>
      <c r="X1784" s="107"/>
      <c r="Y1784" s="107"/>
      <c r="Z1784" s="107"/>
      <c r="AA1784" s="107"/>
      <c r="AB1784" s="107"/>
      <c r="AC1784" s="355"/>
      <c r="AD1784" s="355"/>
      <c r="AE1784" s="355"/>
      <c r="AF1784" s="94">
        <f t="shared" si="238"/>
        <v>41856</v>
      </c>
      <c r="AG1784" s="185">
        <f t="shared" si="242"/>
        <v>0</v>
      </c>
      <c r="AH1784" s="339" t="str">
        <f>VLOOKUP(B1784,'MF PF'!A:B,2)</f>
        <v>FdMgt1</v>
      </c>
      <c r="AI1784" s="358">
        <f t="shared" si="239"/>
        <v>0</v>
      </c>
      <c r="AJ1784" s="94">
        <f t="shared" si="240"/>
        <v>41882</v>
      </c>
    </row>
    <row r="1785" spans="1:36" ht="12.75" customHeight="1">
      <c r="A1785" s="94">
        <v>41870</v>
      </c>
      <c r="B1785" s="94" t="s">
        <v>136</v>
      </c>
      <c r="C1785" s="358" t="s">
        <v>322</v>
      </c>
      <c r="D1785" s="374">
        <v>63250</v>
      </c>
      <c r="E1785" s="9" t="e">
        <f t="shared" si="244"/>
        <v>#DIV/0!</v>
      </c>
      <c r="F1785" s="98">
        <v>0.25</v>
      </c>
      <c r="G1785" s="98">
        <v>34750</v>
      </c>
      <c r="H1785" s="98">
        <v>0</v>
      </c>
      <c r="I1785" s="98">
        <v>0</v>
      </c>
      <c r="J1785" s="98"/>
      <c r="K1785" s="93"/>
      <c r="L1785" s="93">
        <f t="shared" si="236"/>
        <v>34750</v>
      </c>
      <c r="M1785" s="95" t="e">
        <f t="shared" ca="1" si="237"/>
        <v>#DIV/0!</v>
      </c>
      <c r="N1785" s="95">
        <f>IF(P1785="Hedge Fund",IF(A1785=Summary!$AD$3,M1785-E1785,M1785),IF(A1785=Summary!$AD$3,L1785-D1785,L1785))</f>
        <v>34750</v>
      </c>
      <c r="O1785" s="95">
        <f t="shared" si="241"/>
        <v>34750</v>
      </c>
      <c r="P1785" s="107" t="s">
        <v>155</v>
      </c>
      <c r="Q1785" s="107">
        <v>0</v>
      </c>
      <c r="R1785" s="107">
        <v>0</v>
      </c>
      <c r="S1785" s="107">
        <v>0</v>
      </c>
      <c r="T1785" s="107">
        <v>0</v>
      </c>
      <c r="U1785" s="107"/>
      <c r="V1785" s="107"/>
      <c r="W1785" s="107"/>
      <c r="X1785" s="107"/>
      <c r="Y1785" s="107"/>
      <c r="Z1785" s="107"/>
      <c r="AA1785" s="107"/>
      <c r="AB1785" s="107"/>
      <c r="AC1785" s="355"/>
      <c r="AD1785" s="355"/>
      <c r="AE1785" s="355"/>
      <c r="AF1785" s="94">
        <f t="shared" si="238"/>
        <v>41870</v>
      </c>
      <c r="AG1785" s="185">
        <f t="shared" si="242"/>
        <v>0</v>
      </c>
      <c r="AH1785" s="339" t="str">
        <f>VLOOKUP(B1785,'MF PF'!A:B,2)</f>
        <v>FdMgt1</v>
      </c>
      <c r="AI1785" s="358">
        <f t="shared" si="239"/>
        <v>0</v>
      </c>
      <c r="AJ1785" s="94">
        <f t="shared" si="240"/>
        <v>41882</v>
      </c>
    </row>
    <row r="1786" spans="1:36" ht="12.75" customHeight="1">
      <c r="A1786" s="8">
        <v>41880</v>
      </c>
      <c r="B1786" s="94" t="s">
        <v>136</v>
      </c>
      <c r="C1786" s="92" t="s">
        <v>322</v>
      </c>
      <c r="D1786" s="374">
        <v>61810.62</v>
      </c>
      <c r="E1786" s="9" t="e">
        <f t="shared" si="244"/>
        <v>#DIV/0!</v>
      </c>
      <c r="F1786" s="98">
        <v>0.25</v>
      </c>
      <c r="G1786" s="98">
        <v>0</v>
      </c>
      <c r="H1786" s="98">
        <v>0</v>
      </c>
      <c r="I1786" s="98">
        <v>0</v>
      </c>
      <c r="J1786" s="98"/>
      <c r="K1786" s="93"/>
      <c r="L1786" s="93">
        <f t="shared" si="236"/>
        <v>0</v>
      </c>
      <c r="M1786" s="95" t="e">
        <f t="shared" ca="1" si="237"/>
        <v>#DIV/0!</v>
      </c>
      <c r="N1786" s="95">
        <f>IF(P1786="Hedge Fund",IF(A1786=Summary!$AD$3,M1786-E1786,M1786),IF(A1786=Summary!$AD$3,L1786-D1786,L1786))</f>
        <v>0</v>
      </c>
      <c r="O1786" s="95">
        <f t="shared" si="241"/>
        <v>0</v>
      </c>
      <c r="P1786" s="107" t="s">
        <v>155</v>
      </c>
      <c r="Q1786" s="107">
        <v>0</v>
      </c>
      <c r="R1786" s="107">
        <v>0</v>
      </c>
      <c r="S1786" s="107">
        <v>0</v>
      </c>
      <c r="T1786" s="107">
        <v>0</v>
      </c>
      <c r="U1786" s="107"/>
      <c r="V1786" s="107"/>
      <c r="W1786" s="107"/>
      <c r="X1786" s="107"/>
      <c r="Y1786" s="107"/>
      <c r="Z1786" s="107"/>
      <c r="AA1786" s="107"/>
      <c r="AB1786" s="107"/>
      <c r="AC1786" s="355"/>
      <c r="AD1786" s="355"/>
      <c r="AE1786" s="355"/>
      <c r="AF1786" s="94">
        <f t="shared" si="238"/>
        <v>41880</v>
      </c>
      <c r="AG1786" s="185">
        <f t="shared" si="242"/>
        <v>-2.2756996047430755E-2</v>
      </c>
      <c r="AH1786" s="339" t="str">
        <f>VLOOKUP(B1786,'MF PF'!A:B,2)</f>
        <v>FdMgt1</v>
      </c>
      <c r="AI1786" s="358">
        <f t="shared" si="239"/>
        <v>0</v>
      </c>
      <c r="AJ1786" s="94">
        <f t="shared" si="240"/>
        <v>41882</v>
      </c>
    </row>
    <row r="1787" spans="1:36" ht="12.75" customHeight="1">
      <c r="A1787" s="8">
        <v>41912</v>
      </c>
      <c r="B1787" s="94" t="s">
        <v>136</v>
      </c>
      <c r="C1787" s="92" t="s">
        <v>322</v>
      </c>
      <c r="D1787" s="374">
        <v>61386.87</v>
      </c>
      <c r="E1787" s="9" t="e">
        <f t="shared" si="244"/>
        <v>#DIV/0!</v>
      </c>
      <c r="F1787" s="98">
        <v>0.25</v>
      </c>
      <c r="G1787" s="98">
        <v>0</v>
      </c>
      <c r="H1787" s="98">
        <v>0</v>
      </c>
      <c r="I1787" s="98">
        <v>0</v>
      </c>
      <c r="J1787" s="98"/>
      <c r="K1787" s="93"/>
      <c r="L1787" s="93">
        <f t="shared" si="236"/>
        <v>0</v>
      </c>
      <c r="M1787" s="95" t="e">
        <f t="shared" ca="1" si="237"/>
        <v>#DIV/0!</v>
      </c>
      <c r="N1787" s="95">
        <f>IF(P1787="Hedge Fund",IF(A1787=Summary!$AD$3,M1787-E1787,M1787),IF(A1787=Summary!$AD$3,L1787-D1787,L1787))</f>
        <v>0</v>
      </c>
      <c r="O1787" s="95">
        <f t="shared" si="241"/>
        <v>0</v>
      </c>
      <c r="P1787" s="89" t="s">
        <v>155</v>
      </c>
      <c r="Q1787" s="107">
        <v>0</v>
      </c>
      <c r="R1787" s="107">
        <v>0</v>
      </c>
      <c r="S1787" s="107">
        <v>0</v>
      </c>
      <c r="T1787" s="107">
        <v>0</v>
      </c>
      <c r="U1787" s="107"/>
      <c r="V1787" s="107"/>
      <c r="W1787" s="107"/>
      <c r="X1787" s="107"/>
      <c r="Y1787" s="107"/>
      <c r="Z1787" s="107"/>
      <c r="AA1787" s="107"/>
      <c r="AB1787" s="107"/>
      <c r="AC1787" s="355"/>
      <c r="AD1787" s="355"/>
      <c r="AE1787" s="355"/>
      <c r="AF1787" s="94">
        <f t="shared" si="238"/>
        <v>41912</v>
      </c>
      <c r="AG1787" s="185">
        <f t="shared" si="242"/>
        <v>-6.8556180151566615E-3</v>
      </c>
      <c r="AH1787" s="339" t="str">
        <f>VLOOKUP(B1787,'MF PF'!A:B,2)</f>
        <v>FdMgt1</v>
      </c>
      <c r="AI1787" s="358">
        <f t="shared" si="239"/>
        <v>0</v>
      </c>
      <c r="AJ1787" s="94">
        <f t="shared" si="240"/>
        <v>41912</v>
      </c>
    </row>
    <row r="1788" spans="1:36" ht="12.75" customHeight="1">
      <c r="A1788" s="94">
        <v>41943</v>
      </c>
      <c r="B1788" s="94" t="s">
        <v>136</v>
      </c>
      <c r="C1788" s="92" t="s">
        <v>322</v>
      </c>
      <c r="D1788" s="374">
        <v>104341.77</v>
      </c>
      <c r="E1788" s="9" t="e">
        <f t="shared" si="244"/>
        <v>#DIV/0!</v>
      </c>
      <c r="F1788" s="98">
        <v>0.25</v>
      </c>
      <c r="G1788" s="98">
        <v>42250</v>
      </c>
      <c r="H1788" s="98">
        <v>0</v>
      </c>
      <c r="I1788" s="98">
        <v>0</v>
      </c>
      <c r="J1788" s="98"/>
      <c r="K1788" s="93"/>
      <c r="L1788" s="93">
        <f t="shared" si="236"/>
        <v>42250</v>
      </c>
      <c r="M1788" s="95" t="e">
        <f t="shared" ca="1" si="237"/>
        <v>#DIV/0!</v>
      </c>
      <c r="N1788" s="95">
        <f>IF(P1788="Hedge Fund",IF(A1788=Summary!$AD$3,M1788-E1788,M1788),IF(A1788=Summary!$AD$3,L1788-D1788,L1788))</f>
        <v>42250</v>
      </c>
      <c r="O1788" s="95">
        <f t="shared" si="241"/>
        <v>42250</v>
      </c>
      <c r="P1788" s="107" t="s">
        <v>155</v>
      </c>
      <c r="Q1788" s="107">
        <v>0</v>
      </c>
      <c r="R1788" s="107">
        <v>0</v>
      </c>
      <c r="S1788" s="107">
        <v>0</v>
      </c>
      <c r="T1788" s="107">
        <v>0</v>
      </c>
      <c r="U1788" s="107"/>
      <c r="V1788" s="107"/>
      <c r="W1788" s="107"/>
      <c r="X1788" s="107"/>
      <c r="Y1788" s="107"/>
      <c r="Z1788" s="107"/>
      <c r="AA1788" s="107"/>
      <c r="AB1788" s="107"/>
      <c r="AC1788" s="355"/>
      <c r="AD1788" s="355"/>
      <c r="AE1788" s="355"/>
      <c r="AF1788" s="94">
        <f t="shared" si="238"/>
        <v>41943</v>
      </c>
      <c r="AG1788" s="185">
        <f t="shared" si="242"/>
        <v>1.1482911573761578E-2</v>
      </c>
      <c r="AH1788" s="339" t="str">
        <f>VLOOKUP(B1788,'MF PF'!A:B,2)</f>
        <v>FdMgt1</v>
      </c>
      <c r="AI1788" s="358">
        <f t="shared" si="239"/>
        <v>0</v>
      </c>
      <c r="AJ1788" s="94">
        <f t="shared" si="240"/>
        <v>41943</v>
      </c>
    </row>
    <row r="1789" spans="1:36" ht="12.75" customHeight="1">
      <c r="A1789" s="8">
        <v>41971</v>
      </c>
      <c r="B1789" s="94" t="s">
        <v>136</v>
      </c>
      <c r="C1789" s="92" t="s">
        <v>322</v>
      </c>
      <c r="D1789" s="374">
        <v>106492.28</v>
      </c>
      <c r="E1789" s="9" t="e">
        <f t="shared" si="244"/>
        <v>#DIV/0!</v>
      </c>
      <c r="F1789" s="98">
        <v>0.25</v>
      </c>
      <c r="G1789" s="98">
        <v>0</v>
      </c>
      <c r="H1789" s="98">
        <v>0</v>
      </c>
      <c r="I1789" s="98">
        <v>0</v>
      </c>
      <c r="J1789" s="98"/>
      <c r="K1789" s="93"/>
      <c r="L1789" s="93">
        <f t="shared" si="236"/>
        <v>0</v>
      </c>
      <c r="M1789" s="95" t="e">
        <f t="shared" ca="1" si="237"/>
        <v>#DIV/0!</v>
      </c>
      <c r="N1789" s="95">
        <f>IF(P1789="Hedge Fund",IF(A1789=Summary!$AD$3,M1789-E1789,M1789),IF(A1789=Summary!$AD$3,L1789-D1789,L1789))</f>
        <v>0</v>
      </c>
      <c r="O1789" s="95">
        <f t="shared" si="241"/>
        <v>0</v>
      </c>
      <c r="P1789" s="107" t="s">
        <v>155</v>
      </c>
      <c r="Q1789" s="107">
        <v>0</v>
      </c>
      <c r="R1789" s="107">
        <v>0</v>
      </c>
      <c r="S1789" s="107">
        <v>0</v>
      </c>
      <c r="T1789" s="107">
        <v>0</v>
      </c>
      <c r="U1789" s="107"/>
      <c r="V1789" s="107"/>
      <c r="W1789" s="107"/>
      <c r="X1789" s="107"/>
      <c r="Y1789" s="107"/>
      <c r="Z1789" s="107"/>
      <c r="AA1789" s="107"/>
      <c r="AB1789" s="107"/>
      <c r="AC1789" s="355"/>
      <c r="AD1789" s="355"/>
      <c r="AE1789" s="355"/>
      <c r="AF1789" s="94">
        <f t="shared" si="238"/>
        <v>41971</v>
      </c>
      <c r="AG1789" s="185">
        <f t="shared" si="242"/>
        <v>2.0610250334070379E-2</v>
      </c>
      <c r="AH1789" s="339" t="str">
        <f>VLOOKUP(B1789,'MF PF'!A:B,2)</f>
        <v>FdMgt1</v>
      </c>
      <c r="AI1789" s="358">
        <f t="shared" si="239"/>
        <v>0</v>
      </c>
      <c r="AJ1789" s="94">
        <f t="shared" si="240"/>
        <v>41973</v>
      </c>
    </row>
    <row r="1790" spans="1:36" ht="12.75" customHeight="1">
      <c r="A1790" s="8">
        <v>42004</v>
      </c>
      <c r="B1790" s="94" t="s">
        <v>136</v>
      </c>
      <c r="C1790" s="92" t="s">
        <v>322</v>
      </c>
      <c r="D1790" s="374">
        <v>106368.18</v>
      </c>
      <c r="E1790" s="9" t="e">
        <f t="shared" si="244"/>
        <v>#DIV/0!</v>
      </c>
      <c r="F1790" s="98">
        <v>0.25</v>
      </c>
      <c r="G1790" s="98">
        <v>0</v>
      </c>
      <c r="H1790" s="98">
        <v>0</v>
      </c>
      <c r="I1790" s="98">
        <v>0</v>
      </c>
      <c r="J1790" s="98"/>
      <c r="K1790" s="93"/>
      <c r="L1790" s="93">
        <f t="shared" si="236"/>
        <v>0</v>
      </c>
      <c r="M1790" s="95" t="e">
        <f t="shared" ca="1" si="237"/>
        <v>#DIV/0!</v>
      </c>
      <c r="N1790" s="95">
        <f>IF(P1790="Hedge Fund",IF(A1790=Summary!$AD$3,M1790-E1790,M1790),IF(A1790=Summary!$AD$3,L1790-D1790,L1790))</f>
        <v>0</v>
      </c>
      <c r="O1790" s="95">
        <f t="shared" si="241"/>
        <v>0</v>
      </c>
      <c r="P1790" s="107" t="s">
        <v>155</v>
      </c>
      <c r="Q1790" s="107">
        <v>0</v>
      </c>
      <c r="R1790" s="107">
        <v>0</v>
      </c>
      <c r="S1790" s="107">
        <v>0</v>
      </c>
      <c r="T1790" s="107">
        <v>0</v>
      </c>
      <c r="U1790" s="107"/>
      <c r="V1790" s="107"/>
      <c r="W1790" s="107"/>
      <c r="X1790" s="107"/>
      <c r="Y1790" s="107"/>
      <c r="Z1790" s="107"/>
      <c r="AA1790" s="107"/>
      <c r="AB1790" s="107"/>
      <c r="AC1790" s="355"/>
      <c r="AD1790" s="355"/>
      <c r="AE1790" s="355"/>
      <c r="AF1790" s="94">
        <f t="shared" si="238"/>
        <v>42004</v>
      </c>
      <c r="AG1790" s="185">
        <f t="shared" si="242"/>
        <v>-1.1653426896297558E-3</v>
      </c>
      <c r="AH1790" s="339" t="str">
        <f>VLOOKUP(B1790,'MF PF'!A:B,2)</f>
        <v>FdMgt1</v>
      </c>
      <c r="AI1790" s="358">
        <f t="shared" si="239"/>
        <v>0</v>
      </c>
      <c r="AJ1790" s="94">
        <f t="shared" si="240"/>
        <v>42004</v>
      </c>
    </row>
    <row r="1791" spans="1:36" ht="12.75" customHeight="1">
      <c r="A1791" s="94">
        <v>42034</v>
      </c>
      <c r="B1791" s="94" t="s">
        <v>136</v>
      </c>
      <c r="C1791" s="92" t="s">
        <v>322</v>
      </c>
      <c r="D1791" s="374">
        <v>140286.5</v>
      </c>
      <c r="E1791" s="9" t="e">
        <f t="shared" si="244"/>
        <v>#DIV/0!</v>
      </c>
      <c r="F1791" s="98">
        <v>0.25</v>
      </c>
      <c r="G1791" s="98">
        <v>29000</v>
      </c>
      <c r="H1791" s="98">
        <v>0</v>
      </c>
      <c r="I1791" s="98">
        <v>0</v>
      </c>
      <c r="J1791" s="98"/>
      <c r="K1791" s="93"/>
      <c r="L1791" s="93">
        <f t="shared" si="236"/>
        <v>29000</v>
      </c>
      <c r="M1791" s="95" t="e">
        <f t="shared" ca="1" si="237"/>
        <v>#DIV/0!</v>
      </c>
      <c r="N1791" s="95">
        <f>IF(P1791="Hedge Fund",IF(A1791=Summary!$AD$3,M1791-E1791,M1791),IF(A1791=Summary!$AD$3,L1791-D1791,L1791))</f>
        <v>29000</v>
      </c>
      <c r="O1791" s="95">
        <f t="shared" si="241"/>
        <v>29000</v>
      </c>
      <c r="P1791" s="107" t="s">
        <v>155</v>
      </c>
      <c r="Q1791" s="107">
        <v>0</v>
      </c>
      <c r="R1791" s="107">
        <v>0</v>
      </c>
      <c r="S1791" s="107">
        <v>0</v>
      </c>
      <c r="T1791" s="107">
        <v>0</v>
      </c>
      <c r="U1791" s="107"/>
      <c r="V1791" s="107"/>
      <c r="W1791" s="107"/>
      <c r="X1791" s="107"/>
      <c r="Y1791" s="107"/>
      <c r="Z1791" s="107"/>
      <c r="AA1791" s="107"/>
      <c r="AB1791" s="107"/>
      <c r="AC1791" s="355"/>
      <c r="AD1791" s="355"/>
      <c r="AE1791" s="355"/>
      <c r="AF1791" s="94">
        <f t="shared" si="238"/>
        <v>42034</v>
      </c>
      <c r="AG1791" s="185">
        <f t="shared" si="242"/>
        <v>4.6238640164756095E-2</v>
      </c>
      <c r="AH1791" s="339" t="str">
        <f>VLOOKUP(B1791,'MF PF'!A:B,2)</f>
        <v>FdMgt1</v>
      </c>
      <c r="AI1791" s="358">
        <f t="shared" si="239"/>
        <v>0</v>
      </c>
      <c r="AJ1791" s="94">
        <f t="shared" si="240"/>
        <v>42035</v>
      </c>
    </row>
    <row r="1792" spans="1:36" ht="12.75" customHeight="1">
      <c r="A1792" s="94">
        <v>42062</v>
      </c>
      <c r="B1792" s="94" t="s">
        <v>136</v>
      </c>
      <c r="C1792" s="358" t="s">
        <v>322</v>
      </c>
      <c r="D1792" s="374">
        <v>153766.51999999999</v>
      </c>
      <c r="E1792" s="9" t="e">
        <f t="shared" si="244"/>
        <v>#DIV/0!</v>
      </c>
      <c r="F1792" s="98">
        <v>0.25</v>
      </c>
      <c r="G1792" s="98">
        <v>11625</v>
      </c>
      <c r="H1792" s="98">
        <v>0</v>
      </c>
      <c r="I1792" s="98">
        <v>0</v>
      </c>
      <c r="J1792" s="98"/>
      <c r="K1792" s="93"/>
      <c r="L1792" s="93">
        <f t="shared" si="236"/>
        <v>11625</v>
      </c>
      <c r="M1792" s="95" t="e">
        <f t="shared" ca="1" si="237"/>
        <v>#DIV/0!</v>
      </c>
      <c r="N1792" s="95">
        <f>IF(P1792="Hedge Fund",IF(A1792=Summary!$AD$3,M1792-E1792,M1792),IF(A1792=Summary!$AD$3,L1792-D1792,L1792))</f>
        <v>11625</v>
      </c>
      <c r="O1792" s="95">
        <f t="shared" si="241"/>
        <v>11625</v>
      </c>
      <c r="P1792" s="107" t="s">
        <v>155</v>
      </c>
      <c r="Q1792" s="107">
        <v>0</v>
      </c>
      <c r="R1792" s="107">
        <v>0</v>
      </c>
      <c r="S1792" s="107">
        <v>0</v>
      </c>
      <c r="T1792" s="107">
        <v>0</v>
      </c>
      <c r="U1792" s="107"/>
      <c r="V1792" s="107"/>
      <c r="W1792" s="107"/>
      <c r="X1792" s="107"/>
      <c r="Y1792" s="107"/>
      <c r="Z1792" s="107"/>
      <c r="AA1792" s="107"/>
      <c r="AB1792" s="107"/>
      <c r="AC1792" s="355"/>
      <c r="AD1792" s="355"/>
      <c r="AE1792" s="355"/>
      <c r="AF1792" s="94">
        <f t="shared" si="238"/>
        <v>42062</v>
      </c>
      <c r="AG1792" s="185">
        <f t="shared" si="242"/>
        <v>1.3223082762774618E-2</v>
      </c>
      <c r="AH1792" s="339" t="str">
        <f>VLOOKUP(B1792,'MF PF'!A:B,2)</f>
        <v>FdMgt1</v>
      </c>
      <c r="AI1792" s="358">
        <f t="shared" si="239"/>
        <v>0</v>
      </c>
      <c r="AJ1792" s="94">
        <f t="shared" si="240"/>
        <v>42063</v>
      </c>
    </row>
    <row r="1793" spans="1:36" ht="12.75" customHeight="1">
      <c r="A1793" s="94">
        <v>42094</v>
      </c>
      <c r="B1793" s="94" t="s">
        <v>136</v>
      </c>
      <c r="C1793" s="358" t="s">
        <v>322</v>
      </c>
      <c r="D1793" s="374">
        <v>174059.74</v>
      </c>
      <c r="E1793" s="9" t="e">
        <f t="shared" si="244"/>
        <v>#DIV/0!</v>
      </c>
      <c r="F1793" s="98">
        <v>0.25</v>
      </c>
      <c r="G1793" s="98">
        <v>17750</v>
      </c>
      <c r="H1793" s="98">
        <v>0</v>
      </c>
      <c r="I1793" s="98">
        <v>0</v>
      </c>
      <c r="J1793" s="98"/>
      <c r="K1793" s="93"/>
      <c r="L1793" s="93">
        <f t="shared" si="236"/>
        <v>17750</v>
      </c>
      <c r="M1793" s="95" t="e">
        <f t="shared" ca="1" si="237"/>
        <v>#DIV/0!</v>
      </c>
      <c r="N1793" s="95">
        <f>IF(P1793="Hedge Fund",IF(A1793=Summary!$AD$3,M1793-E1793,M1793),IF(A1793=Summary!$AD$3,L1793-D1793,L1793))</f>
        <v>17750</v>
      </c>
      <c r="O1793" s="95">
        <f t="shared" si="241"/>
        <v>17750</v>
      </c>
      <c r="P1793" s="107" t="s">
        <v>155</v>
      </c>
      <c r="Q1793" s="107">
        <v>0</v>
      </c>
      <c r="R1793" s="107">
        <v>0</v>
      </c>
      <c r="S1793" s="107">
        <v>0</v>
      </c>
      <c r="T1793" s="107">
        <v>0</v>
      </c>
      <c r="U1793" s="107"/>
      <c r="V1793" s="107"/>
      <c r="W1793" s="107"/>
      <c r="X1793" s="107"/>
      <c r="Y1793" s="107"/>
      <c r="Z1793" s="107"/>
      <c r="AA1793" s="107"/>
      <c r="AB1793" s="107"/>
      <c r="AC1793" s="355"/>
      <c r="AD1793" s="355"/>
      <c r="AE1793" s="355"/>
      <c r="AF1793" s="94">
        <f t="shared" si="238"/>
        <v>42094</v>
      </c>
      <c r="AG1793" s="185">
        <f t="shared" si="242"/>
        <v>1.6539491171420062E-2</v>
      </c>
      <c r="AH1793" s="339" t="str">
        <f>VLOOKUP(B1793,'MF PF'!A:B,2)</f>
        <v>FdMgt1</v>
      </c>
      <c r="AI1793" s="358">
        <f t="shared" si="239"/>
        <v>0</v>
      </c>
      <c r="AJ1793" s="94">
        <f t="shared" si="240"/>
        <v>42094</v>
      </c>
    </row>
    <row r="1794" spans="1:36" ht="12.75" customHeight="1">
      <c r="A1794" s="94">
        <v>42124</v>
      </c>
      <c r="B1794" s="94" t="s">
        <v>136</v>
      </c>
      <c r="C1794" s="358" t="s">
        <v>322</v>
      </c>
      <c r="D1794" s="374">
        <v>192822.85</v>
      </c>
      <c r="E1794" s="9" t="e">
        <f t="shared" si="244"/>
        <v>#DIV/0!</v>
      </c>
      <c r="F1794" s="98">
        <v>0.25</v>
      </c>
      <c r="G1794" s="98">
        <v>2500</v>
      </c>
      <c r="H1794" s="98">
        <v>0</v>
      </c>
      <c r="I1794" s="98">
        <v>0</v>
      </c>
      <c r="J1794" s="98"/>
      <c r="K1794" s="93"/>
      <c r="L1794" s="93">
        <f t="shared" si="236"/>
        <v>2500</v>
      </c>
      <c r="M1794" s="95" t="e">
        <f t="shared" ca="1" si="237"/>
        <v>#DIV/0!</v>
      </c>
      <c r="N1794" s="95">
        <f>IF(P1794="Hedge Fund",IF(A1794=Summary!$AD$3,M1794-E1794,M1794),IF(A1794=Summary!$AD$3,L1794-D1794,L1794))</f>
        <v>2500</v>
      </c>
      <c r="O1794" s="95">
        <f t="shared" si="241"/>
        <v>2500</v>
      </c>
      <c r="P1794" s="107" t="s">
        <v>155</v>
      </c>
      <c r="Q1794" s="107">
        <v>0</v>
      </c>
      <c r="R1794" s="107">
        <v>0</v>
      </c>
      <c r="S1794" s="107">
        <v>0</v>
      </c>
      <c r="T1794" s="107">
        <v>0</v>
      </c>
      <c r="U1794" s="107"/>
      <c r="V1794" s="107"/>
      <c r="W1794" s="107"/>
      <c r="X1794" s="107"/>
      <c r="Y1794" s="107"/>
      <c r="Z1794" s="107"/>
      <c r="AA1794" s="107"/>
      <c r="AB1794" s="107"/>
      <c r="AC1794" s="355"/>
      <c r="AD1794" s="355"/>
      <c r="AE1794" s="355"/>
      <c r="AF1794" s="94">
        <f t="shared" si="238"/>
        <v>42124</v>
      </c>
      <c r="AG1794" s="185">
        <f t="shared" si="242"/>
        <v>9.3434070394452062E-2</v>
      </c>
      <c r="AH1794" s="339" t="str">
        <f>VLOOKUP(B1794,'MF PF'!A:B,2)</f>
        <v>FdMgt1</v>
      </c>
      <c r="AI1794" s="358">
        <f t="shared" si="239"/>
        <v>0</v>
      </c>
      <c r="AJ1794" s="94">
        <f t="shared" si="240"/>
        <v>42124</v>
      </c>
    </row>
    <row r="1795" spans="1:36" ht="12.75" customHeight="1">
      <c r="A1795" s="94">
        <v>42153</v>
      </c>
      <c r="B1795" s="94" t="s">
        <v>136</v>
      </c>
      <c r="C1795" s="358" t="s">
        <v>322</v>
      </c>
      <c r="D1795" s="374">
        <v>199382.9</v>
      </c>
      <c r="E1795" s="9" t="e">
        <f t="shared" si="244"/>
        <v>#DIV/0!</v>
      </c>
      <c r="F1795" s="98">
        <v>0.25</v>
      </c>
      <c r="G1795" s="98">
        <v>7500</v>
      </c>
      <c r="H1795" s="98">
        <v>0</v>
      </c>
      <c r="I1795" s="98">
        <v>0</v>
      </c>
      <c r="J1795" s="98"/>
      <c r="K1795" s="93"/>
      <c r="L1795" s="93">
        <f t="shared" ref="L1795:L1858" si="245">G1795+H1795+I1795</f>
        <v>7500</v>
      </c>
      <c r="M1795" s="95" t="e">
        <f t="shared" ref="M1795:M1858" ca="1" si="246">IF(A1795&gt;INDIRECT("A"&amp;ROW()-1),I1795/K1795,E1795)</f>
        <v>#DIV/0!</v>
      </c>
      <c r="N1795" s="95">
        <f>IF(P1795="Hedge Fund",IF(A1795=Summary!$AD$3,M1795-E1795,M1795),IF(A1795=Summary!$AD$3,L1795-D1795,L1795))</f>
        <v>7500</v>
      </c>
      <c r="O1795" s="95">
        <f t="shared" si="241"/>
        <v>7500</v>
      </c>
      <c r="P1795" s="107" t="s">
        <v>155</v>
      </c>
      <c r="Q1795" s="107">
        <v>0</v>
      </c>
      <c r="R1795" s="107">
        <v>0</v>
      </c>
      <c r="S1795" s="107">
        <v>0</v>
      </c>
      <c r="T1795" s="107">
        <v>0</v>
      </c>
      <c r="U1795" s="107"/>
      <c r="V1795" s="107"/>
      <c r="W1795" s="107"/>
      <c r="X1795" s="107"/>
      <c r="Y1795" s="107"/>
      <c r="Z1795" s="107"/>
      <c r="AA1795" s="107"/>
      <c r="AB1795" s="107"/>
      <c r="AC1795" s="355"/>
      <c r="AD1795" s="355"/>
      <c r="AE1795" s="355"/>
      <c r="AF1795" s="94">
        <f t="shared" ref="AF1795:AF1858" si="247">A1795</f>
        <v>42153</v>
      </c>
      <c r="AG1795" s="185">
        <f t="shared" si="242"/>
        <v>-4.8746816054218156E-3</v>
      </c>
      <c r="AH1795" s="339" t="str">
        <f>VLOOKUP(B1795,'MF PF'!A:B,2)</f>
        <v>FdMgt1</v>
      </c>
      <c r="AI1795" s="358">
        <f t="shared" ref="AI1795:AI1858" si="248">AF1795-A1795</f>
        <v>0</v>
      </c>
      <c r="AJ1795" s="94">
        <f t="shared" ref="AJ1795:AJ1858" si="249">EOMONTH(A1795,0)</f>
        <v>42155</v>
      </c>
    </row>
    <row r="1796" spans="1:36" ht="12.75" customHeight="1">
      <c r="A1796" s="94">
        <v>42185</v>
      </c>
      <c r="B1796" s="94" t="s">
        <v>136</v>
      </c>
      <c r="C1796" s="358" t="s">
        <v>322</v>
      </c>
      <c r="D1796" s="374">
        <v>196327.05</v>
      </c>
      <c r="E1796" s="9" t="e">
        <f t="shared" si="244"/>
        <v>#DIV/0!</v>
      </c>
      <c r="F1796" s="98">
        <v>0.25</v>
      </c>
      <c r="G1796" s="98">
        <v>0</v>
      </c>
      <c r="H1796" s="98">
        <v>0</v>
      </c>
      <c r="I1796" s="98">
        <v>0</v>
      </c>
      <c r="J1796" s="98"/>
      <c r="K1796" s="93"/>
      <c r="L1796" s="93">
        <f t="shared" si="245"/>
        <v>0</v>
      </c>
      <c r="M1796" s="95" t="e">
        <f t="shared" ca="1" si="246"/>
        <v>#DIV/0!</v>
      </c>
      <c r="N1796" s="95">
        <f>IF(P1796="Hedge Fund",IF(A1796=Summary!$AD$3,M1796-E1796,M1796),IF(A1796=Summary!$AD$3,L1796-D1796,L1796))</f>
        <v>0</v>
      </c>
      <c r="O1796" s="95">
        <f t="shared" si="241"/>
        <v>0</v>
      </c>
      <c r="P1796" s="107" t="s">
        <v>155</v>
      </c>
      <c r="Q1796" s="107">
        <v>0</v>
      </c>
      <c r="R1796" s="107">
        <v>0</v>
      </c>
      <c r="S1796" s="107">
        <v>0</v>
      </c>
      <c r="T1796" s="107">
        <v>0</v>
      </c>
      <c r="U1796" s="107"/>
      <c r="V1796" s="107"/>
      <c r="W1796" s="107"/>
      <c r="X1796" s="107"/>
      <c r="Y1796" s="107"/>
      <c r="Z1796" s="107"/>
      <c r="AA1796" s="107"/>
      <c r="AB1796" s="107"/>
      <c r="AC1796" s="355"/>
      <c r="AD1796" s="355"/>
      <c r="AE1796" s="355"/>
      <c r="AF1796" s="94">
        <f t="shared" si="247"/>
        <v>42185</v>
      </c>
      <c r="AG1796" s="185">
        <f t="shared" si="242"/>
        <v>-1.5326540039291237E-2</v>
      </c>
      <c r="AH1796" s="339" t="str">
        <f>VLOOKUP(B1796,'MF PF'!A:B,2)</f>
        <v>FdMgt1</v>
      </c>
      <c r="AI1796" s="358">
        <f t="shared" si="248"/>
        <v>0</v>
      </c>
      <c r="AJ1796" s="94">
        <f t="shared" si="249"/>
        <v>42185</v>
      </c>
    </row>
    <row r="1797" spans="1:36" ht="12.75" customHeight="1">
      <c r="A1797" s="94">
        <v>42216</v>
      </c>
      <c r="B1797" s="94" t="s">
        <v>136</v>
      </c>
      <c r="C1797" s="358" t="s">
        <v>322</v>
      </c>
      <c r="D1797" s="374">
        <v>199962.78</v>
      </c>
      <c r="E1797" s="9" t="e">
        <f t="shared" si="244"/>
        <v>#DIV/0!</v>
      </c>
      <c r="F1797" s="98">
        <v>0.25</v>
      </c>
      <c r="G1797" s="98">
        <v>7250</v>
      </c>
      <c r="H1797" s="98">
        <v>0</v>
      </c>
      <c r="I1797" s="98">
        <v>0</v>
      </c>
      <c r="J1797" s="98"/>
      <c r="K1797" s="93"/>
      <c r="L1797" s="93">
        <f t="shared" si="245"/>
        <v>7250</v>
      </c>
      <c r="M1797" s="95" t="e">
        <f t="shared" ca="1" si="246"/>
        <v>#DIV/0!</v>
      </c>
      <c r="N1797" s="95">
        <f>IF(P1797="Hedge Fund",IF(A1797=Summary!$AD$3,M1797-E1797,M1797),IF(A1797=Summary!$AD$3,L1797-D1797,L1797))</f>
        <v>7250</v>
      </c>
      <c r="O1797" s="95">
        <f t="shared" si="241"/>
        <v>7250</v>
      </c>
      <c r="P1797" s="107" t="s">
        <v>155</v>
      </c>
      <c r="Q1797" s="107">
        <v>0</v>
      </c>
      <c r="R1797" s="107">
        <v>0</v>
      </c>
      <c r="S1797" s="107">
        <v>0</v>
      </c>
      <c r="T1797" s="107">
        <v>0</v>
      </c>
      <c r="U1797" s="107"/>
      <c r="V1797" s="107"/>
      <c r="W1797" s="107"/>
      <c r="X1797" s="107"/>
      <c r="Y1797" s="107"/>
      <c r="Z1797" s="107"/>
      <c r="AA1797" s="107"/>
      <c r="AB1797" s="107"/>
      <c r="AC1797" s="355"/>
      <c r="AD1797" s="355"/>
      <c r="AE1797" s="355"/>
      <c r="AF1797" s="94">
        <f t="shared" si="247"/>
        <v>42216</v>
      </c>
      <c r="AG1797" s="185">
        <f t="shared" si="242"/>
        <v>-1.8409434665268898E-2</v>
      </c>
      <c r="AH1797" s="339" t="str">
        <f>VLOOKUP(B1797,'MF PF'!A:B,2)</f>
        <v>FdMgt1</v>
      </c>
      <c r="AI1797" s="358">
        <f t="shared" si="248"/>
        <v>0</v>
      </c>
      <c r="AJ1797" s="94">
        <f t="shared" si="249"/>
        <v>42216</v>
      </c>
    </row>
    <row r="1798" spans="1:36" ht="12.75" customHeight="1">
      <c r="A1798" s="94">
        <v>42247</v>
      </c>
      <c r="B1798" s="94" t="s">
        <v>136</v>
      </c>
      <c r="C1798" s="358" t="s">
        <v>322</v>
      </c>
      <c r="D1798" s="374">
        <v>196588.61</v>
      </c>
      <c r="E1798" s="9" t="e">
        <f t="shared" si="244"/>
        <v>#DIV/0!</v>
      </c>
      <c r="F1798" s="98">
        <v>0.25</v>
      </c>
      <c r="G1798" s="98">
        <v>0</v>
      </c>
      <c r="H1798" s="98">
        <v>0</v>
      </c>
      <c r="I1798" s="98">
        <v>0</v>
      </c>
      <c r="J1798" s="98"/>
      <c r="K1798" s="93"/>
      <c r="L1798" s="93">
        <f t="shared" si="245"/>
        <v>0</v>
      </c>
      <c r="M1798" s="95" t="e">
        <f t="shared" ca="1" si="246"/>
        <v>#DIV/0!</v>
      </c>
      <c r="N1798" s="95">
        <f>IF(P1798="Hedge Fund",IF(A1798=Summary!$AD$3,M1798-E1798,M1798),IF(A1798=Summary!$AD$3,L1798-D1798,L1798))</f>
        <v>0</v>
      </c>
      <c r="O1798" s="95">
        <f t="shared" si="241"/>
        <v>0</v>
      </c>
      <c r="P1798" s="107" t="s">
        <v>155</v>
      </c>
      <c r="Q1798" s="107">
        <v>0</v>
      </c>
      <c r="R1798" s="107">
        <v>0</v>
      </c>
      <c r="S1798" s="107">
        <v>0</v>
      </c>
      <c r="T1798" s="107">
        <v>0</v>
      </c>
      <c r="U1798" s="107"/>
      <c r="V1798" s="107"/>
      <c r="W1798" s="107"/>
      <c r="X1798" s="107"/>
      <c r="Y1798" s="107"/>
      <c r="Z1798" s="107"/>
      <c r="AA1798" s="107"/>
      <c r="AB1798" s="107"/>
      <c r="AC1798" s="355"/>
      <c r="AD1798" s="355"/>
      <c r="AE1798" s="355"/>
      <c r="AF1798" s="94">
        <f t="shared" si="247"/>
        <v>42247</v>
      </c>
      <c r="AG1798" s="185">
        <f t="shared" si="242"/>
        <v>-1.6873990249585469E-2</v>
      </c>
      <c r="AH1798" s="339" t="str">
        <f>VLOOKUP(B1798,'MF PF'!A:B,2)</f>
        <v>FdMgt1</v>
      </c>
      <c r="AI1798" s="358">
        <f t="shared" si="248"/>
        <v>0</v>
      </c>
      <c r="AJ1798" s="94">
        <f t="shared" si="249"/>
        <v>42247</v>
      </c>
    </row>
    <row r="1799" spans="1:36" ht="12.75" customHeight="1">
      <c r="A1799" s="94">
        <v>42277</v>
      </c>
      <c r="B1799" s="94" t="s">
        <v>136</v>
      </c>
      <c r="C1799" s="358" t="s">
        <v>322</v>
      </c>
      <c r="D1799" s="374">
        <v>197567.39</v>
      </c>
      <c r="E1799" s="9" t="e">
        <f t="shared" si="244"/>
        <v>#DIV/0!</v>
      </c>
      <c r="F1799" s="98">
        <v>0.25</v>
      </c>
      <c r="G1799" s="98">
        <v>0</v>
      </c>
      <c r="H1799" s="98">
        <v>0</v>
      </c>
      <c r="I1799" s="98">
        <v>0</v>
      </c>
      <c r="J1799" s="98"/>
      <c r="K1799" s="93"/>
      <c r="L1799" s="93">
        <f t="shared" si="245"/>
        <v>0</v>
      </c>
      <c r="M1799" s="95" t="e">
        <f t="shared" ca="1" si="246"/>
        <v>#DIV/0!</v>
      </c>
      <c r="N1799" s="95">
        <f>IF(P1799="Hedge Fund",IF(A1799=Summary!$AD$3,M1799-E1799,M1799),IF(A1799=Summary!$AD$3,L1799-D1799,L1799))</f>
        <v>0</v>
      </c>
      <c r="O1799" s="95">
        <f t="shared" si="241"/>
        <v>0</v>
      </c>
      <c r="P1799" s="107" t="s">
        <v>155</v>
      </c>
      <c r="Q1799" s="107">
        <v>0</v>
      </c>
      <c r="R1799" s="107">
        <v>0</v>
      </c>
      <c r="S1799" s="107">
        <v>0</v>
      </c>
      <c r="T1799" s="107">
        <v>0</v>
      </c>
      <c r="U1799" s="107"/>
      <c r="V1799" s="107"/>
      <c r="W1799" s="107"/>
      <c r="X1799" s="107"/>
      <c r="Y1799" s="107"/>
      <c r="Z1799" s="107"/>
      <c r="AA1799" s="107"/>
      <c r="AB1799" s="107"/>
      <c r="AC1799" s="355"/>
      <c r="AD1799" s="355"/>
      <c r="AE1799" s="355"/>
      <c r="AF1799" s="94">
        <f t="shared" si="247"/>
        <v>42277</v>
      </c>
      <c r="AG1799" s="185">
        <f t="shared" si="242"/>
        <v>4.9788235442533857E-3</v>
      </c>
      <c r="AH1799" s="339" t="str">
        <f>VLOOKUP(B1799,'MF PF'!A:B,2)</f>
        <v>FdMgt1</v>
      </c>
      <c r="AI1799" s="358">
        <f t="shared" si="248"/>
        <v>0</v>
      </c>
      <c r="AJ1799" s="94">
        <f t="shared" si="249"/>
        <v>42277</v>
      </c>
    </row>
    <row r="1800" spans="1:36" ht="12.75" customHeight="1">
      <c r="A1800" s="94">
        <v>42307</v>
      </c>
      <c r="B1800" s="94" t="s">
        <v>136</v>
      </c>
      <c r="C1800" s="358" t="s">
        <v>322</v>
      </c>
      <c r="D1800" s="374">
        <v>203778.71</v>
      </c>
      <c r="E1800" s="95" t="e">
        <f t="shared" si="244"/>
        <v>#DIV/0!</v>
      </c>
      <c r="F1800" s="98">
        <v>0.25</v>
      </c>
      <c r="G1800" s="98">
        <v>0</v>
      </c>
      <c r="H1800" s="98">
        <v>0</v>
      </c>
      <c r="I1800" s="98">
        <v>0</v>
      </c>
      <c r="J1800" s="98"/>
      <c r="K1800" s="93"/>
      <c r="L1800" s="93">
        <f t="shared" si="245"/>
        <v>0</v>
      </c>
      <c r="M1800" s="95" t="e">
        <f t="shared" ca="1" si="246"/>
        <v>#DIV/0!</v>
      </c>
      <c r="N1800" s="95">
        <f>IF(P1800="Hedge Fund",IF(A1800=Summary!$AD$3,M1800-E1800,M1800),IF(A1800=Summary!$AD$3,L1800-D1800,L1800))</f>
        <v>0</v>
      </c>
      <c r="O1800" s="95">
        <f t="shared" si="241"/>
        <v>0</v>
      </c>
      <c r="P1800" s="107" t="s">
        <v>155</v>
      </c>
      <c r="Q1800" s="107">
        <v>0</v>
      </c>
      <c r="R1800" s="107">
        <v>0</v>
      </c>
      <c r="S1800" s="107">
        <v>0</v>
      </c>
      <c r="T1800" s="107">
        <v>0</v>
      </c>
      <c r="U1800" s="107"/>
      <c r="V1800" s="107"/>
      <c r="W1800" s="107"/>
      <c r="X1800" s="107"/>
      <c r="Y1800" s="107"/>
      <c r="Z1800" s="107"/>
      <c r="AA1800" s="107"/>
      <c r="AB1800" s="107"/>
      <c r="AC1800" s="355"/>
      <c r="AD1800" s="355"/>
      <c r="AE1800" s="355"/>
      <c r="AF1800" s="94">
        <f t="shared" si="247"/>
        <v>42307</v>
      </c>
      <c r="AG1800" s="185">
        <f t="shared" si="242"/>
        <v>3.1438994056660841E-2</v>
      </c>
      <c r="AH1800" s="339" t="str">
        <f>VLOOKUP(B1800,'MF PF'!A:B,2)</f>
        <v>FdMgt1</v>
      </c>
      <c r="AI1800" s="358">
        <f t="shared" si="248"/>
        <v>0</v>
      </c>
      <c r="AJ1800" s="94">
        <f t="shared" si="249"/>
        <v>42308</v>
      </c>
    </row>
    <row r="1801" spans="1:36" ht="12.75" customHeight="1">
      <c r="A1801" s="94">
        <v>42338</v>
      </c>
      <c r="B1801" s="94" t="s">
        <v>136</v>
      </c>
      <c r="C1801" s="358" t="s">
        <v>322</v>
      </c>
      <c r="D1801" s="374">
        <v>214341.23</v>
      </c>
      <c r="E1801" s="95" t="e">
        <f t="shared" si="244"/>
        <v>#DIV/0!</v>
      </c>
      <c r="F1801" s="98">
        <v>0.25</v>
      </c>
      <c r="G1801" s="98">
        <v>10750</v>
      </c>
      <c r="H1801" s="98">
        <v>0</v>
      </c>
      <c r="I1801" s="98">
        <v>0</v>
      </c>
      <c r="J1801" s="98"/>
      <c r="K1801" s="93"/>
      <c r="L1801" s="93">
        <f t="shared" si="245"/>
        <v>10750</v>
      </c>
      <c r="M1801" s="95" t="e">
        <f t="shared" ca="1" si="246"/>
        <v>#DIV/0!</v>
      </c>
      <c r="N1801" s="95">
        <f>IF(P1801="Hedge Fund",IF(A1801=Summary!$AD$3,M1801-E1801,M1801),IF(A1801=Summary!$AD$3,L1801-D1801,L1801))</f>
        <v>10750</v>
      </c>
      <c r="O1801" s="95">
        <f t="shared" si="241"/>
        <v>10750</v>
      </c>
      <c r="P1801" s="107" t="s">
        <v>155</v>
      </c>
      <c r="Q1801" s="107">
        <v>0</v>
      </c>
      <c r="R1801" s="107">
        <v>0</v>
      </c>
      <c r="S1801" s="107">
        <v>0</v>
      </c>
      <c r="T1801" s="107">
        <v>0</v>
      </c>
      <c r="U1801" s="107"/>
      <c r="V1801" s="107"/>
      <c r="W1801" s="107"/>
      <c r="X1801" s="107"/>
      <c r="Y1801" s="107"/>
      <c r="Z1801" s="107"/>
      <c r="AA1801" s="107"/>
      <c r="AB1801" s="107"/>
      <c r="AC1801" s="355"/>
      <c r="AD1801" s="355"/>
      <c r="AE1801" s="355"/>
      <c r="AF1801" s="94">
        <f t="shared" si="247"/>
        <v>42338</v>
      </c>
      <c r="AG1801" s="185">
        <f t="shared" si="242"/>
        <v>-9.2001760144611033E-4</v>
      </c>
      <c r="AH1801" s="339" t="str">
        <f>VLOOKUP(B1801,'MF PF'!A:B,2)</f>
        <v>FdMgt1</v>
      </c>
      <c r="AI1801" s="358">
        <f t="shared" si="248"/>
        <v>0</v>
      </c>
      <c r="AJ1801" s="94">
        <f t="shared" si="249"/>
        <v>42338</v>
      </c>
    </row>
    <row r="1802" spans="1:36" ht="12.75" customHeight="1">
      <c r="A1802" s="94">
        <v>42369</v>
      </c>
      <c r="B1802" s="94" t="s">
        <v>136</v>
      </c>
      <c r="C1802" s="358" t="s">
        <v>322</v>
      </c>
      <c r="D1802" s="374">
        <v>216432.91</v>
      </c>
      <c r="E1802" s="95" t="e">
        <f t="shared" si="244"/>
        <v>#DIV/0!</v>
      </c>
      <c r="F1802" s="98">
        <v>0.25</v>
      </c>
      <c r="G1802" s="98">
        <v>0</v>
      </c>
      <c r="H1802" s="98">
        <v>0</v>
      </c>
      <c r="I1802" s="98">
        <v>0</v>
      </c>
      <c r="J1802" s="98"/>
      <c r="K1802" s="93"/>
      <c r="L1802" s="93">
        <f t="shared" si="245"/>
        <v>0</v>
      </c>
      <c r="M1802" s="95" t="e">
        <f t="shared" ca="1" si="246"/>
        <v>#DIV/0!</v>
      </c>
      <c r="N1802" s="95">
        <f>IF(P1802="Hedge Fund",IF(A1802=Summary!$AD$3,M1802-E1802,M1802),IF(A1802=Summary!$AD$3,L1802-D1802,L1802))</f>
        <v>0</v>
      </c>
      <c r="O1802" s="95">
        <f t="shared" si="241"/>
        <v>0</v>
      </c>
      <c r="P1802" s="107" t="s">
        <v>155</v>
      </c>
      <c r="Q1802" s="107">
        <v>0</v>
      </c>
      <c r="R1802" s="107">
        <v>0</v>
      </c>
      <c r="S1802" s="107">
        <v>0</v>
      </c>
      <c r="T1802" s="107">
        <v>0</v>
      </c>
      <c r="U1802" s="107"/>
      <c r="V1802" s="107"/>
      <c r="W1802" s="107"/>
      <c r="X1802" s="107"/>
      <c r="Y1802" s="107"/>
      <c r="Z1802" s="107"/>
      <c r="AA1802" s="107"/>
      <c r="AB1802" s="107"/>
      <c r="AC1802" s="355"/>
      <c r="AD1802" s="355"/>
      <c r="AE1802" s="355"/>
      <c r="AF1802" s="94">
        <f t="shared" si="247"/>
        <v>42369</v>
      </c>
      <c r="AG1802" s="185">
        <f t="shared" si="242"/>
        <v>9.7586451286109099E-3</v>
      </c>
      <c r="AH1802" s="339" t="str">
        <f>VLOOKUP(B1802,'MF PF'!A:B,2)</f>
        <v>FdMgt1</v>
      </c>
      <c r="AI1802" s="358">
        <f t="shared" si="248"/>
        <v>0</v>
      </c>
      <c r="AJ1802" s="94">
        <f t="shared" si="249"/>
        <v>42369</v>
      </c>
    </row>
    <row r="1803" spans="1:36" ht="12.75" customHeight="1">
      <c r="A1803" s="94">
        <v>42398</v>
      </c>
      <c r="B1803" s="94" t="s">
        <v>136</v>
      </c>
      <c r="C1803" s="358" t="s">
        <v>322</v>
      </c>
      <c r="D1803" s="374">
        <v>213263.95</v>
      </c>
      <c r="E1803" s="9" t="e">
        <f t="shared" si="244"/>
        <v>#DIV/0!</v>
      </c>
      <c r="F1803" s="98">
        <v>0.25</v>
      </c>
      <c r="G1803" s="98">
        <v>0</v>
      </c>
      <c r="H1803" s="98">
        <v>0</v>
      </c>
      <c r="I1803" s="98">
        <v>0</v>
      </c>
      <c r="J1803" s="98"/>
      <c r="K1803" s="93"/>
      <c r="L1803" s="93">
        <f t="shared" si="245"/>
        <v>0</v>
      </c>
      <c r="M1803" s="95" t="e">
        <f t="shared" ca="1" si="246"/>
        <v>#DIV/0!</v>
      </c>
      <c r="N1803" s="95">
        <f>IF(P1803="Hedge Fund",IF(A1803=Summary!$AD$3,M1803-E1803,M1803),IF(A1803=Summary!$AD$3,L1803-D1803,L1803))</f>
        <v>0</v>
      </c>
      <c r="O1803" s="95">
        <f t="shared" si="241"/>
        <v>0</v>
      </c>
      <c r="P1803" s="107" t="s">
        <v>155</v>
      </c>
      <c r="Q1803" s="107">
        <v>0</v>
      </c>
      <c r="R1803" s="107">
        <v>0</v>
      </c>
      <c r="S1803" s="107">
        <v>0</v>
      </c>
      <c r="T1803" s="107">
        <v>0</v>
      </c>
      <c r="U1803" s="107"/>
      <c r="V1803" s="107"/>
      <c r="W1803" s="107"/>
      <c r="X1803" s="107"/>
      <c r="Y1803" s="107"/>
      <c r="Z1803" s="107"/>
      <c r="AA1803" s="107"/>
      <c r="AB1803" s="107"/>
      <c r="AC1803" s="355"/>
      <c r="AD1803" s="355"/>
      <c r="AE1803" s="355"/>
      <c r="AF1803" s="94">
        <f t="shared" si="247"/>
        <v>42398</v>
      </c>
      <c r="AG1803" s="185">
        <f t="shared" si="242"/>
        <v>-1.4641765894105485E-2</v>
      </c>
      <c r="AH1803" s="339" t="str">
        <f>VLOOKUP(B1803,'MF PF'!A:B,2)</f>
        <v>FdMgt1</v>
      </c>
      <c r="AI1803" s="358">
        <f t="shared" si="248"/>
        <v>0</v>
      </c>
      <c r="AJ1803" s="94">
        <f t="shared" si="249"/>
        <v>42400</v>
      </c>
    </row>
    <row r="1804" spans="1:36" ht="12.75" customHeight="1">
      <c r="A1804" s="94">
        <v>42429</v>
      </c>
      <c r="B1804" s="94" t="s">
        <v>136</v>
      </c>
      <c r="C1804" s="358" t="s">
        <v>322</v>
      </c>
      <c r="D1804" s="374">
        <v>276202.56</v>
      </c>
      <c r="E1804" s="9" t="e">
        <f t="shared" si="244"/>
        <v>#DIV/0!</v>
      </c>
      <c r="F1804" s="98">
        <v>0.25</v>
      </c>
      <c r="G1804" s="98">
        <v>58125</v>
      </c>
      <c r="H1804" s="98">
        <v>0</v>
      </c>
      <c r="I1804" s="98">
        <v>0</v>
      </c>
      <c r="J1804" s="98"/>
      <c r="K1804" s="93"/>
      <c r="L1804" s="93">
        <f t="shared" si="245"/>
        <v>58125</v>
      </c>
      <c r="M1804" s="95" t="e">
        <f t="shared" ca="1" si="246"/>
        <v>#DIV/0!</v>
      </c>
      <c r="N1804" s="95">
        <f>IF(P1804="Hedge Fund",IF(A1804=Summary!$AD$3,M1804-E1804,M1804),IF(A1804=Summary!$AD$3,L1804-D1804,L1804))</f>
        <v>58125</v>
      </c>
      <c r="O1804" s="95">
        <f t="shared" si="241"/>
        <v>58125</v>
      </c>
      <c r="P1804" s="107" t="s">
        <v>155</v>
      </c>
      <c r="Q1804" s="107">
        <v>0</v>
      </c>
      <c r="R1804" s="107">
        <v>0</v>
      </c>
      <c r="S1804" s="107">
        <v>0</v>
      </c>
      <c r="T1804" s="107">
        <v>0</v>
      </c>
      <c r="U1804" s="107"/>
      <c r="V1804" s="107"/>
      <c r="W1804" s="107"/>
      <c r="X1804" s="107"/>
      <c r="Y1804" s="107"/>
      <c r="Z1804" s="107"/>
      <c r="AA1804" s="107"/>
      <c r="AB1804" s="107"/>
      <c r="AC1804" s="355"/>
      <c r="AD1804" s="355"/>
      <c r="AE1804" s="355"/>
      <c r="AF1804" s="94">
        <f t="shared" si="247"/>
        <v>42429</v>
      </c>
      <c r="AG1804" s="185">
        <f t="shared" si="242"/>
        <v>2.2571137784890505E-2</v>
      </c>
      <c r="AH1804" s="339" t="str">
        <f>VLOOKUP(B1804,'MF PF'!A:B,2)</f>
        <v>FdMgt1</v>
      </c>
      <c r="AI1804" s="358">
        <f t="shared" si="248"/>
        <v>0</v>
      </c>
      <c r="AJ1804" s="94">
        <f t="shared" si="249"/>
        <v>42429</v>
      </c>
    </row>
    <row r="1805" spans="1:36" ht="12.75" customHeight="1">
      <c r="A1805" s="94">
        <v>42460</v>
      </c>
      <c r="B1805" s="94" t="s">
        <v>136</v>
      </c>
      <c r="C1805" s="358" t="s">
        <v>322</v>
      </c>
      <c r="D1805" s="374">
        <v>279736.03000000003</v>
      </c>
      <c r="E1805" s="9" t="e">
        <f t="shared" si="244"/>
        <v>#DIV/0!</v>
      </c>
      <c r="F1805" s="98">
        <v>0.25</v>
      </c>
      <c r="G1805" s="98">
        <v>0</v>
      </c>
      <c r="H1805" s="98">
        <v>0</v>
      </c>
      <c r="I1805" s="98">
        <v>0</v>
      </c>
      <c r="J1805" s="98"/>
      <c r="K1805" s="93"/>
      <c r="L1805" s="93">
        <f t="shared" si="245"/>
        <v>0</v>
      </c>
      <c r="M1805" s="95" t="e">
        <f t="shared" ca="1" si="246"/>
        <v>#DIV/0!</v>
      </c>
      <c r="N1805" s="95">
        <f>IF(P1805="Hedge Fund",IF(A1805=Summary!$AD$3,M1805-E1805,M1805),IF(A1805=Summary!$AD$3,L1805-D1805,L1805))</f>
        <v>0</v>
      </c>
      <c r="O1805" s="95">
        <f t="shared" si="241"/>
        <v>0</v>
      </c>
      <c r="P1805" s="107" t="s">
        <v>155</v>
      </c>
      <c r="Q1805" s="107">
        <v>0</v>
      </c>
      <c r="R1805" s="107">
        <v>0</v>
      </c>
      <c r="S1805" s="107">
        <v>0</v>
      </c>
      <c r="T1805" s="107">
        <v>0</v>
      </c>
      <c r="U1805" s="107"/>
      <c r="V1805" s="107"/>
      <c r="W1805" s="107"/>
      <c r="X1805" s="107"/>
      <c r="Y1805" s="107"/>
      <c r="Z1805" s="107"/>
      <c r="AA1805" s="107"/>
      <c r="AB1805" s="107"/>
      <c r="AC1805" s="355"/>
      <c r="AD1805" s="355"/>
      <c r="AE1805" s="355"/>
      <c r="AF1805" s="94">
        <f t="shared" si="247"/>
        <v>42460</v>
      </c>
      <c r="AG1805" s="185">
        <f t="shared" si="242"/>
        <v>1.279303855836833E-2</v>
      </c>
      <c r="AH1805" s="339" t="str">
        <f>VLOOKUP(B1805,'MF PF'!A:B,2)</f>
        <v>FdMgt1</v>
      </c>
      <c r="AI1805" s="358">
        <f t="shared" si="248"/>
        <v>0</v>
      </c>
      <c r="AJ1805" s="94">
        <f t="shared" si="249"/>
        <v>42460</v>
      </c>
    </row>
    <row r="1806" spans="1:36" ht="12.75" customHeight="1">
      <c r="A1806" s="94">
        <v>42489</v>
      </c>
      <c r="B1806" s="94" t="s">
        <v>136</v>
      </c>
      <c r="C1806" s="358" t="s">
        <v>322</v>
      </c>
      <c r="D1806" s="374">
        <v>283076.76</v>
      </c>
      <c r="E1806" s="9" t="e">
        <f t="shared" si="244"/>
        <v>#DIV/0!</v>
      </c>
      <c r="F1806" s="98">
        <v>0.25</v>
      </c>
      <c r="G1806" s="98">
        <v>0</v>
      </c>
      <c r="H1806" s="98">
        <v>0</v>
      </c>
      <c r="I1806" s="98">
        <v>0</v>
      </c>
      <c r="J1806" s="98"/>
      <c r="K1806" s="93"/>
      <c r="L1806" s="93">
        <f t="shared" si="245"/>
        <v>0</v>
      </c>
      <c r="M1806" s="95" t="e">
        <f t="shared" ca="1" si="246"/>
        <v>#DIV/0!</v>
      </c>
      <c r="N1806" s="95">
        <f>IF(P1806="Hedge Fund",IF(A1806=Summary!$AD$3,M1806-E1806,M1806),IF(A1806=Summary!$AD$3,L1806-D1806,L1806))</f>
        <v>0</v>
      </c>
      <c r="O1806" s="95">
        <f t="shared" ref="O1806:O1869" si="250">N1806</f>
        <v>0</v>
      </c>
      <c r="P1806" s="107" t="s">
        <v>155</v>
      </c>
      <c r="Q1806" s="107">
        <v>0</v>
      </c>
      <c r="R1806" s="107">
        <v>0</v>
      </c>
      <c r="S1806" s="107">
        <v>0</v>
      </c>
      <c r="T1806" s="107">
        <v>0</v>
      </c>
      <c r="U1806" s="107"/>
      <c r="V1806" s="107"/>
      <c r="W1806" s="107"/>
      <c r="X1806" s="107"/>
      <c r="Y1806" s="107"/>
      <c r="Z1806" s="107"/>
      <c r="AA1806" s="107"/>
      <c r="AB1806" s="107"/>
      <c r="AC1806" s="355"/>
      <c r="AD1806" s="355"/>
      <c r="AE1806" s="355"/>
      <c r="AF1806" s="94">
        <f t="shared" si="247"/>
        <v>42489</v>
      </c>
      <c r="AG1806" s="185">
        <f t="shared" si="242"/>
        <v>1.1942437304196973E-2</v>
      </c>
      <c r="AH1806" s="339" t="str">
        <f>VLOOKUP(B1806,'MF PF'!A:B,2)</f>
        <v>FdMgt1</v>
      </c>
      <c r="AI1806" s="358">
        <f t="shared" si="248"/>
        <v>0</v>
      </c>
      <c r="AJ1806" s="94">
        <f t="shared" si="249"/>
        <v>42490</v>
      </c>
    </row>
    <row r="1807" spans="1:36" ht="12.75" customHeight="1">
      <c r="A1807" s="94">
        <v>42521</v>
      </c>
      <c r="B1807" s="94" t="s">
        <v>136</v>
      </c>
      <c r="C1807" s="358" t="s">
        <v>322</v>
      </c>
      <c r="D1807" s="374">
        <v>287267.21999999997</v>
      </c>
      <c r="E1807" s="9" t="e">
        <f t="shared" si="244"/>
        <v>#DIV/0!</v>
      </c>
      <c r="F1807" s="98">
        <v>0.25</v>
      </c>
      <c r="G1807" s="98">
        <v>0</v>
      </c>
      <c r="H1807" s="98">
        <v>0</v>
      </c>
      <c r="I1807" s="98">
        <v>0</v>
      </c>
      <c r="J1807" s="98"/>
      <c r="K1807" s="93"/>
      <c r="L1807" s="93">
        <f t="shared" si="245"/>
        <v>0</v>
      </c>
      <c r="M1807" s="95" t="e">
        <f t="shared" ca="1" si="246"/>
        <v>#DIV/0!</v>
      </c>
      <c r="N1807" s="95">
        <f>IF(P1807="Hedge Fund",IF(A1807=Summary!$AD$3,M1807-E1807,M1807),IF(A1807=Summary!$AD$3,L1807-D1807,L1807))</f>
        <v>0</v>
      </c>
      <c r="O1807" s="95">
        <f t="shared" si="250"/>
        <v>0</v>
      </c>
      <c r="P1807" s="107" t="s">
        <v>155</v>
      </c>
      <c r="Q1807" s="107">
        <v>0</v>
      </c>
      <c r="R1807" s="107">
        <v>0</v>
      </c>
      <c r="S1807" s="107">
        <v>0</v>
      </c>
      <c r="T1807" s="107">
        <v>0</v>
      </c>
      <c r="U1807" s="107"/>
      <c r="V1807" s="107"/>
      <c r="W1807" s="107"/>
      <c r="X1807" s="107"/>
      <c r="Y1807" s="107"/>
      <c r="Z1807" s="107"/>
      <c r="AA1807" s="107"/>
      <c r="AB1807" s="107"/>
      <c r="AC1807" s="355"/>
      <c r="AD1807" s="355"/>
      <c r="AE1807" s="355"/>
      <c r="AF1807" s="94">
        <f t="shared" si="247"/>
        <v>42521</v>
      </c>
      <c r="AG1807" s="185">
        <f t="shared" ref="AG1807:AG1870" si="251">IF(C1807&lt;&gt;C1806,D1807/G1807-1,(D1807-G1807-I1807-H1807)/(D1806)-1)</f>
        <v>1.480326396274978E-2</v>
      </c>
      <c r="AH1807" s="339" t="str">
        <f>VLOOKUP(B1807,'MF PF'!A:B,2)</f>
        <v>FdMgt1</v>
      </c>
      <c r="AI1807" s="358">
        <f t="shared" si="248"/>
        <v>0</v>
      </c>
      <c r="AJ1807" s="94">
        <f t="shared" si="249"/>
        <v>42521</v>
      </c>
    </row>
    <row r="1808" spans="1:36" ht="12.75" customHeight="1">
      <c r="A1808" s="94">
        <v>42551</v>
      </c>
      <c r="B1808" s="94" t="s">
        <v>136</v>
      </c>
      <c r="C1808" s="358" t="s">
        <v>322</v>
      </c>
      <c r="D1808" s="374">
        <v>296689.8</v>
      </c>
      <c r="E1808" s="95" t="e">
        <f t="shared" si="244"/>
        <v>#DIV/0!</v>
      </c>
      <c r="F1808" s="98">
        <v>0.25</v>
      </c>
      <c r="G1808" s="98">
        <v>0</v>
      </c>
      <c r="H1808" s="98">
        <v>0</v>
      </c>
      <c r="I1808" s="98">
        <v>0</v>
      </c>
      <c r="J1808" s="98"/>
      <c r="K1808" s="93"/>
      <c r="L1808" s="93">
        <f t="shared" si="245"/>
        <v>0</v>
      </c>
      <c r="M1808" s="95" t="e">
        <f t="shared" ca="1" si="246"/>
        <v>#DIV/0!</v>
      </c>
      <c r="N1808" s="95">
        <f>IF(P1808="Hedge Fund",IF(A1808=Summary!$AD$3,M1808-E1808,M1808),IF(A1808=Summary!$AD$3,L1808-D1808,L1808))</f>
        <v>0</v>
      </c>
      <c r="O1808" s="95">
        <f t="shared" si="250"/>
        <v>0</v>
      </c>
      <c r="P1808" s="107" t="s">
        <v>155</v>
      </c>
      <c r="Q1808" s="107">
        <v>0</v>
      </c>
      <c r="R1808" s="107">
        <v>0</v>
      </c>
      <c r="S1808" s="107">
        <v>0</v>
      </c>
      <c r="T1808" s="107">
        <v>0</v>
      </c>
      <c r="U1808" s="107"/>
      <c r="V1808" s="107"/>
      <c r="W1808" s="107"/>
      <c r="X1808" s="107"/>
      <c r="Y1808" s="107"/>
      <c r="Z1808" s="107"/>
      <c r="AA1808" s="107"/>
      <c r="AB1808" s="107"/>
      <c r="AC1808" s="355"/>
      <c r="AD1808" s="355"/>
      <c r="AE1808" s="355"/>
      <c r="AF1808" s="94">
        <f t="shared" si="247"/>
        <v>42551</v>
      </c>
      <c r="AG1808" s="185">
        <f t="shared" si="251"/>
        <v>3.2800749072588342E-2</v>
      </c>
      <c r="AH1808" s="339" t="str">
        <f>VLOOKUP(B1808,'MF PF'!A:B,2)</f>
        <v>FdMgt1</v>
      </c>
      <c r="AI1808" s="358">
        <f t="shared" si="248"/>
        <v>0</v>
      </c>
      <c r="AJ1808" s="94">
        <f t="shared" si="249"/>
        <v>42551</v>
      </c>
    </row>
    <row r="1809" spans="1:36" ht="12.75" customHeight="1">
      <c r="A1809" s="94">
        <v>42580</v>
      </c>
      <c r="B1809" s="94" t="s">
        <v>136</v>
      </c>
      <c r="C1809" s="358" t="s">
        <v>322</v>
      </c>
      <c r="D1809" s="374">
        <v>299654.90000000002</v>
      </c>
      <c r="E1809" s="9" t="e">
        <f t="shared" si="244"/>
        <v>#DIV/0!</v>
      </c>
      <c r="F1809" s="98">
        <v>0.25</v>
      </c>
      <c r="G1809" s="98">
        <v>0</v>
      </c>
      <c r="H1809" s="98">
        <v>0</v>
      </c>
      <c r="I1809" s="98">
        <v>0</v>
      </c>
      <c r="J1809" s="98"/>
      <c r="K1809" s="93"/>
      <c r="L1809" s="93">
        <f t="shared" si="245"/>
        <v>0</v>
      </c>
      <c r="M1809" s="95" t="e">
        <f t="shared" ca="1" si="246"/>
        <v>#DIV/0!</v>
      </c>
      <c r="N1809" s="95">
        <f>IF(P1809="Hedge Fund",IF(A1809=Summary!$AD$3,M1809-E1809,M1809),IF(A1809=Summary!$AD$3,L1809-D1809,L1809))</f>
        <v>0</v>
      </c>
      <c r="O1809" s="95">
        <f t="shared" si="250"/>
        <v>0</v>
      </c>
      <c r="P1809" s="107" t="s">
        <v>155</v>
      </c>
      <c r="Q1809" s="107">
        <v>0</v>
      </c>
      <c r="R1809" s="107">
        <v>0</v>
      </c>
      <c r="S1809" s="107">
        <v>0</v>
      </c>
      <c r="T1809" s="107">
        <v>0</v>
      </c>
      <c r="U1809" s="107"/>
      <c r="V1809" s="107"/>
      <c r="W1809" s="107"/>
      <c r="X1809" s="107"/>
      <c r="Y1809" s="107"/>
      <c r="Z1809" s="107"/>
      <c r="AA1809" s="107"/>
      <c r="AB1809" s="107"/>
      <c r="AC1809" s="355"/>
      <c r="AD1809" s="355"/>
      <c r="AE1809" s="355"/>
      <c r="AF1809" s="94">
        <f t="shared" si="247"/>
        <v>42580</v>
      </c>
      <c r="AG1809" s="185">
        <f t="shared" si="251"/>
        <v>9.9939397984023515E-3</v>
      </c>
      <c r="AH1809" s="339" t="str">
        <f>VLOOKUP(B1809,'MF PF'!A:B,2)</f>
        <v>FdMgt1</v>
      </c>
      <c r="AI1809" s="358">
        <f t="shared" si="248"/>
        <v>0</v>
      </c>
      <c r="AJ1809" s="94">
        <f t="shared" si="249"/>
        <v>42582</v>
      </c>
    </row>
    <row r="1810" spans="1:36" ht="12.75" customHeight="1">
      <c r="A1810" s="94">
        <v>42613</v>
      </c>
      <c r="B1810" s="94" t="s">
        <v>136</v>
      </c>
      <c r="C1810" s="358" t="s">
        <v>322</v>
      </c>
      <c r="D1810" s="374">
        <v>299119.86</v>
      </c>
      <c r="E1810" s="9" t="e">
        <f t="shared" si="244"/>
        <v>#DIV/0!</v>
      </c>
      <c r="F1810" s="98">
        <v>0.25</v>
      </c>
      <c r="G1810" s="98">
        <v>0</v>
      </c>
      <c r="H1810" s="98">
        <v>0</v>
      </c>
      <c r="I1810" s="98">
        <v>0</v>
      </c>
      <c r="J1810" s="98"/>
      <c r="K1810" s="93"/>
      <c r="L1810" s="93">
        <f t="shared" si="245"/>
        <v>0</v>
      </c>
      <c r="M1810" s="95" t="e">
        <f t="shared" ca="1" si="246"/>
        <v>#DIV/0!</v>
      </c>
      <c r="N1810" s="95">
        <f>IF(P1810="Hedge Fund",IF(A1810=Summary!$AD$3,M1810-E1810,M1810),IF(A1810=Summary!$AD$3,L1810-D1810,L1810))</f>
        <v>0</v>
      </c>
      <c r="O1810" s="95">
        <f t="shared" si="250"/>
        <v>0</v>
      </c>
      <c r="P1810" s="107" t="s">
        <v>155</v>
      </c>
      <c r="Q1810" s="107">
        <v>0</v>
      </c>
      <c r="R1810" s="107">
        <v>0</v>
      </c>
      <c r="S1810" s="107">
        <v>0</v>
      </c>
      <c r="T1810" s="107">
        <v>0</v>
      </c>
      <c r="U1810" s="107"/>
      <c r="V1810" s="107"/>
      <c r="W1810" s="107"/>
      <c r="X1810" s="107"/>
      <c r="Y1810" s="107"/>
      <c r="Z1810" s="107"/>
      <c r="AA1810" s="107"/>
      <c r="AB1810" s="107"/>
      <c r="AC1810" s="355"/>
      <c r="AD1810" s="355"/>
      <c r="AE1810" s="355"/>
      <c r="AF1810" s="94">
        <f t="shared" si="247"/>
        <v>42613</v>
      </c>
      <c r="AG1810" s="185">
        <f t="shared" si="251"/>
        <v>-1.7855206105424903E-3</v>
      </c>
      <c r="AH1810" s="339" t="str">
        <f>VLOOKUP(B1810,'MF PF'!A:B,2)</f>
        <v>FdMgt1</v>
      </c>
      <c r="AI1810" s="358">
        <f t="shared" si="248"/>
        <v>0</v>
      </c>
      <c r="AJ1810" s="94">
        <f t="shared" si="249"/>
        <v>42613</v>
      </c>
    </row>
    <row r="1811" spans="1:36" ht="12.75" customHeight="1">
      <c r="A1811" s="94">
        <v>42643</v>
      </c>
      <c r="B1811" s="94" t="s">
        <v>136</v>
      </c>
      <c r="C1811" s="358" t="s">
        <v>322</v>
      </c>
      <c r="D1811" s="374">
        <v>313535.59999999998</v>
      </c>
      <c r="E1811" s="9" t="e">
        <f t="shared" si="244"/>
        <v>#DIV/0!</v>
      </c>
      <c r="F1811" s="98">
        <v>0.25</v>
      </c>
      <c r="G1811" s="98">
        <v>0</v>
      </c>
      <c r="H1811" s="98">
        <v>0</v>
      </c>
      <c r="I1811" s="98">
        <v>0</v>
      </c>
      <c r="J1811" s="98"/>
      <c r="K1811" s="93"/>
      <c r="L1811" s="93">
        <f t="shared" si="245"/>
        <v>0</v>
      </c>
      <c r="M1811" s="95" t="e">
        <f t="shared" ca="1" si="246"/>
        <v>#DIV/0!</v>
      </c>
      <c r="N1811" s="95">
        <f>IF(P1811="Hedge Fund",IF(A1811=Summary!$AD$3,M1811-E1811,M1811),IF(A1811=Summary!$AD$3,L1811-D1811,L1811))</f>
        <v>0</v>
      </c>
      <c r="O1811" s="95">
        <f t="shared" si="250"/>
        <v>0</v>
      </c>
      <c r="P1811" s="107" t="s">
        <v>155</v>
      </c>
      <c r="Q1811" s="107">
        <v>0</v>
      </c>
      <c r="R1811" s="107">
        <v>0</v>
      </c>
      <c r="S1811" s="107">
        <v>0</v>
      </c>
      <c r="T1811" s="107">
        <v>0</v>
      </c>
      <c r="U1811" s="107"/>
      <c r="V1811" s="107"/>
      <c r="W1811" s="107"/>
      <c r="X1811" s="107"/>
      <c r="Y1811" s="107"/>
      <c r="Z1811" s="107"/>
      <c r="AA1811" s="107"/>
      <c r="AB1811" s="107"/>
      <c r="AC1811" s="355"/>
      <c r="AD1811" s="355"/>
      <c r="AE1811" s="355"/>
      <c r="AF1811" s="94">
        <f t="shared" si="247"/>
        <v>42643</v>
      </c>
      <c r="AG1811" s="185">
        <f t="shared" si="251"/>
        <v>4.8193857806699825E-2</v>
      </c>
      <c r="AH1811" s="339" t="str">
        <f>VLOOKUP(B1811,'MF PF'!A:B,2)</f>
        <v>FdMgt1</v>
      </c>
      <c r="AI1811" s="358">
        <f t="shared" si="248"/>
        <v>0</v>
      </c>
      <c r="AJ1811" s="94">
        <f t="shared" si="249"/>
        <v>42643</v>
      </c>
    </row>
    <row r="1812" spans="1:36" ht="12.75" customHeight="1">
      <c r="A1812" s="94">
        <v>42674</v>
      </c>
      <c r="B1812" s="94" t="s">
        <v>136</v>
      </c>
      <c r="C1812" s="358" t="s">
        <v>322</v>
      </c>
      <c r="D1812" s="374">
        <v>325043.51</v>
      </c>
      <c r="E1812" s="9" t="e">
        <f t="shared" si="244"/>
        <v>#DIV/0!</v>
      </c>
      <c r="F1812" s="98">
        <v>0.25</v>
      </c>
      <c r="G1812" s="98">
        <v>0</v>
      </c>
      <c r="H1812" s="98">
        <v>0</v>
      </c>
      <c r="I1812" s="98">
        <v>0</v>
      </c>
      <c r="J1812" s="98"/>
      <c r="K1812" s="93"/>
      <c r="L1812" s="93">
        <f t="shared" si="245"/>
        <v>0</v>
      </c>
      <c r="M1812" s="95" t="e">
        <f t="shared" ca="1" si="246"/>
        <v>#DIV/0!</v>
      </c>
      <c r="N1812" s="95">
        <f>IF(P1812="Hedge Fund",IF(A1812=Summary!$AD$3,M1812-E1812,M1812),IF(A1812=Summary!$AD$3,L1812-D1812,L1812))</f>
        <v>0</v>
      </c>
      <c r="O1812" s="95">
        <f t="shared" si="250"/>
        <v>0</v>
      </c>
      <c r="P1812" s="107" t="s">
        <v>155</v>
      </c>
      <c r="Q1812" s="107">
        <v>0</v>
      </c>
      <c r="R1812" s="107">
        <v>0</v>
      </c>
      <c r="S1812" s="107">
        <v>0</v>
      </c>
      <c r="T1812" s="107">
        <v>0</v>
      </c>
      <c r="U1812" s="107"/>
      <c r="V1812" s="107"/>
      <c r="W1812" s="107"/>
      <c r="X1812" s="107"/>
      <c r="Y1812" s="107"/>
      <c r="Z1812" s="107"/>
      <c r="AA1812" s="107"/>
      <c r="AB1812" s="107"/>
      <c r="AC1812" s="355"/>
      <c r="AD1812" s="355"/>
      <c r="AE1812" s="355"/>
      <c r="AF1812" s="94">
        <f t="shared" si="247"/>
        <v>42674</v>
      </c>
      <c r="AG1812" s="185">
        <f t="shared" si="251"/>
        <v>3.6703678944273177E-2</v>
      </c>
      <c r="AH1812" s="339" t="str">
        <f>VLOOKUP(B1812,'MF PF'!A:B,2)</f>
        <v>FdMgt1</v>
      </c>
      <c r="AI1812" s="358">
        <f t="shared" si="248"/>
        <v>0</v>
      </c>
      <c r="AJ1812" s="94">
        <f t="shared" si="249"/>
        <v>42674</v>
      </c>
    </row>
    <row r="1813" spans="1:36" ht="12.75" customHeight="1">
      <c r="A1813" s="94">
        <v>42704</v>
      </c>
      <c r="B1813" s="94" t="s">
        <v>136</v>
      </c>
      <c r="C1813" s="358" t="s">
        <v>322</v>
      </c>
      <c r="D1813" s="374">
        <v>326779.74</v>
      </c>
      <c r="E1813" s="9" t="e">
        <f t="shared" si="244"/>
        <v>#DIV/0!</v>
      </c>
      <c r="F1813" s="98">
        <v>0.25</v>
      </c>
      <c r="G1813" s="98">
        <v>0</v>
      </c>
      <c r="H1813" s="98">
        <v>0</v>
      </c>
      <c r="I1813" s="98">
        <v>0</v>
      </c>
      <c r="J1813" s="98"/>
      <c r="K1813" s="93"/>
      <c r="L1813" s="93">
        <f t="shared" si="245"/>
        <v>0</v>
      </c>
      <c r="M1813" s="95" t="e">
        <f t="shared" ca="1" si="246"/>
        <v>#DIV/0!</v>
      </c>
      <c r="N1813" s="95">
        <f>IF(P1813="Hedge Fund",IF(A1813=Summary!$AD$3,M1813-E1813,M1813),IF(A1813=Summary!$AD$3,L1813-D1813,L1813))</f>
        <v>0</v>
      </c>
      <c r="O1813" s="95">
        <f t="shared" si="250"/>
        <v>0</v>
      </c>
      <c r="P1813" s="107" t="s">
        <v>155</v>
      </c>
      <c r="Q1813" s="107">
        <v>0</v>
      </c>
      <c r="R1813" s="107">
        <v>0</v>
      </c>
      <c r="S1813" s="107">
        <v>0</v>
      </c>
      <c r="T1813" s="107">
        <v>0</v>
      </c>
      <c r="U1813" s="107"/>
      <c r="V1813" s="107"/>
      <c r="W1813" s="107"/>
      <c r="X1813" s="107"/>
      <c r="Y1813" s="107"/>
      <c r="Z1813" s="107"/>
      <c r="AA1813" s="107"/>
      <c r="AB1813" s="107"/>
      <c r="AC1813" s="355"/>
      <c r="AD1813" s="355"/>
      <c r="AE1813" s="355"/>
      <c r="AF1813" s="94">
        <f t="shared" si="247"/>
        <v>42704</v>
      </c>
      <c r="AG1813" s="185">
        <f t="shared" si="251"/>
        <v>5.3415310461051302E-3</v>
      </c>
      <c r="AH1813" s="339" t="str">
        <f>VLOOKUP(B1813,'MF PF'!A:B,2)</f>
        <v>FdMgt1</v>
      </c>
      <c r="AI1813" s="358">
        <f t="shared" si="248"/>
        <v>0</v>
      </c>
      <c r="AJ1813" s="94">
        <f t="shared" si="249"/>
        <v>42704</v>
      </c>
    </row>
    <row r="1814" spans="1:36" ht="12.75" customHeight="1">
      <c r="A1814" s="94">
        <v>42734</v>
      </c>
      <c r="B1814" s="94" t="s">
        <v>136</v>
      </c>
      <c r="C1814" s="358" t="s">
        <v>322</v>
      </c>
      <c r="D1814" s="374">
        <v>324924.71999999997</v>
      </c>
      <c r="E1814" s="9" t="e">
        <f t="shared" si="244"/>
        <v>#DIV/0!</v>
      </c>
      <c r="F1814" s="98">
        <v>0.25</v>
      </c>
      <c r="G1814" s="98">
        <v>0</v>
      </c>
      <c r="H1814" s="98">
        <v>0</v>
      </c>
      <c r="I1814" s="98">
        <v>0</v>
      </c>
      <c r="J1814" s="98"/>
      <c r="K1814" s="93"/>
      <c r="L1814" s="93">
        <f t="shared" si="245"/>
        <v>0</v>
      </c>
      <c r="M1814" s="95" t="e">
        <f t="shared" ca="1" si="246"/>
        <v>#DIV/0!</v>
      </c>
      <c r="N1814" s="95">
        <f>IF(P1814="Hedge Fund",IF(A1814=Summary!$AD$3,M1814-E1814,M1814),IF(A1814=Summary!$AD$3,L1814-D1814,L1814))</f>
        <v>0</v>
      </c>
      <c r="O1814" s="95">
        <f t="shared" si="250"/>
        <v>0</v>
      </c>
      <c r="P1814" s="89" t="s">
        <v>155</v>
      </c>
      <c r="Q1814" s="107">
        <v>0</v>
      </c>
      <c r="R1814" s="107">
        <v>0</v>
      </c>
      <c r="S1814" s="107">
        <v>0</v>
      </c>
      <c r="T1814" s="107">
        <v>0</v>
      </c>
      <c r="U1814" s="107"/>
      <c r="V1814" s="107"/>
      <c r="W1814" s="107"/>
      <c r="X1814" s="107"/>
      <c r="Y1814" s="107"/>
      <c r="Z1814" s="107"/>
      <c r="AA1814" s="107"/>
      <c r="AB1814" s="107"/>
      <c r="AC1814" s="355"/>
      <c r="AD1814" s="355"/>
      <c r="AE1814" s="355"/>
      <c r="AF1814" s="94">
        <f t="shared" si="247"/>
        <v>42734</v>
      </c>
      <c r="AG1814" s="185">
        <f t="shared" si="251"/>
        <v>-5.6766677150793532E-3</v>
      </c>
      <c r="AH1814" s="339" t="str">
        <f>VLOOKUP(B1814,'MF PF'!A:B,2)</f>
        <v>FdMgt1</v>
      </c>
      <c r="AI1814" s="358">
        <f t="shared" si="248"/>
        <v>0</v>
      </c>
      <c r="AJ1814" s="94">
        <f t="shared" si="249"/>
        <v>42735</v>
      </c>
    </row>
    <row r="1815" spans="1:36" ht="12.75" customHeight="1">
      <c r="A1815" s="94">
        <v>42762</v>
      </c>
      <c r="B1815" s="94" t="s">
        <v>136</v>
      </c>
      <c r="C1815" s="358" t="s">
        <v>322</v>
      </c>
      <c r="D1815" s="374">
        <v>329969.42</v>
      </c>
      <c r="E1815" s="9" t="e">
        <f t="shared" si="244"/>
        <v>#DIV/0!</v>
      </c>
      <c r="F1815" s="98">
        <v>0.25</v>
      </c>
      <c r="G1815" s="98">
        <v>0</v>
      </c>
      <c r="H1815" s="98">
        <v>0</v>
      </c>
      <c r="I1815" s="98">
        <v>0</v>
      </c>
      <c r="J1815" s="98"/>
      <c r="K1815" s="93"/>
      <c r="L1815" s="93">
        <f t="shared" si="245"/>
        <v>0</v>
      </c>
      <c r="M1815" s="95" t="e">
        <f t="shared" ca="1" si="246"/>
        <v>#DIV/0!</v>
      </c>
      <c r="N1815" s="95">
        <f>IF(P1815="Hedge Fund",IF(A1815=Summary!$AD$3,M1815-E1815,M1815),IF(A1815=Summary!$AD$3,L1815-D1815,L1815))</f>
        <v>0</v>
      </c>
      <c r="O1815" s="95">
        <f t="shared" si="250"/>
        <v>0</v>
      </c>
      <c r="P1815" s="89" t="s">
        <v>155</v>
      </c>
      <c r="Q1815" s="107">
        <v>0</v>
      </c>
      <c r="R1815" s="107">
        <v>0</v>
      </c>
      <c r="S1815" s="107">
        <v>0</v>
      </c>
      <c r="T1815" s="107">
        <v>0</v>
      </c>
      <c r="U1815" s="107"/>
      <c r="V1815" s="107"/>
      <c r="W1815" s="107"/>
      <c r="X1815" s="107"/>
      <c r="Y1815" s="107"/>
      <c r="Z1815" s="107"/>
      <c r="AA1815" s="107"/>
      <c r="AB1815" s="107"/>
      <c r="AC1815" s="355"/>
      <c r="AD1815" s="355"/>
      <c r="AE1815" s="355"/>
      <c r="AF1815" s="94">
        <f t="shared" si="247"/>
        <v>42762</v>
      </c>
      <c r="AG1815" s="185">
        <f t="shared" si="251"/>
        <v>1.5525750087589607E-2</v>
      </c>
      <c r="AH1815" s="339" t="str">
        <f>VLOOKUP(B1815,'MF PF'!A:B,2)</f>
        <v>FdMgt1</v>
      </c>
      <c r="AI1815" s="358">
        <f t="shared" si="248"/>
        <v>0</v>
      </c>
      <c r="AJ1815" s="94">
        <f t="shared" si="249"/>
        <v>42766</v>
      </c>
    </row>
    <row r="1816" spans="1:36" ht="12.75" customHeight="1">
      <c r="A1816" s="94">
        <v>42794</v>
      </c>
      <c r="B1816" s="94" t="s">
        <v>136</v>
      </c>
      <c r="C1816" s="358" t="s">
        <v>322</v>
      </c>
      <c r="D1816" s="374">
        <v>344746.22</v>
      </c>
      <c r="E1816" s="95" t="e">
        <f t="shared" ref="E1816:E1832" si="252">D1816/K1816</f>
        <v>#DIV/0!</v>
      </c>
      <c r="F1816" s="98">
        <v>0.25</v>
      </c>
      <c r="G1816" s="98">
        <v>0</v>
      </c>
      <c r="H1816" s="98">
        <v>0</v>
      </c>
      <c r="I1816" s="98">
        <v>0</v>
      </c>
      <c r="J1816" s="98"/>
      <c r="K1816" s="93"/>
      <c r="L1816" s="93">
        <f t="shared" si="245"/>
        <v>0</v>
      </c>
      <c r="M1816" s="95" t="e">
        <f t="shared" ca="1" si="246"/>
        <v>#DIV/0!</v>
      </c>
      <c r="N1816" s="95">
        <f>IF(P1816="Hedge Fund",IF(A1816=Summary!$AD$3,M1816-E1816,M1816),IF(A1816=Summary!$AD$3,L1816-D1816,L1816))</f>
        <v>0</v>
      </c>
      <c r="O1816" s="95">
        <f t="shared" si="250"/>
        <v>0</v>
      </c>
      <c r="P1816" s="89" t="s">
        <v>155</v>
      </c>
      <c r="Q1816" s="107">
        <v>0</v>
      </c>
      <c r="R1816" s="107">
        <v>0</v>
      </c>
      <c r="S1816" s="107">
        <v>0</v>
      </c>
      <c r="T1816" s="107">
        <v>0</v>
      </c>
      <c r="U1816" s="107"/>
      <c r="V1816" s="107"/>
      <c r="W1816" s="107"/>
      <c r="X1816" s="107"/>
      <c r="Y1816" s="107"/>
      <c r="Z1816" s="107"/>
      <c r="AA1816" s="107"/>
      <c r="AB1816" s="107"/>
      <c r="AC1816" s="355"/>
      <c r="AD1816" s="355"/>
      <c r="AE1816" s="355"/>
      <c r="AF1816" s="94">
        <f t="shared" si="247"/>
        <v>42794</v>
      </c>
      <c r="AG1816" s="185">
        <f t="shared" si="251"/>
        <v>4.4782331647581053E-2</v>
      </c>
      <c r="AH1816" s="339" t="str">
        <f>VLOOKUP(B1816,'MF PF'!A:B,2)</f>
        <v>FdMgt1</v>
      </c>
      <c r="AI1816" s="358">
        <f t="shared" si="248"/>
        <v>0</v>
      </c>
      <c r="AJ1816" s="94">
        <f t="shared" si="249"/>
        <v>42794</v>
      </c>
    </row>
    <row r="1817" spans="1:36" ht="12.75" customHeight="1">
      <c r="A1817" s="94">
        <v>42825</v>
      </c>
      <c r="B1817" s="94" t="s">
        <v>136</v>
      </c>
      <c r="C1817" s="358" t="s">
        <v>322</v>
      </c>
      <c r="D1817" s="374">
        <v>340148.43</v>
      </c>
      <c r="E1817" s="95" t="e">
        <f t="shared" si="252"/>
        <v>#DIV/0!</v>
      </c>
      <c r="F1817" s="98">
        <v>0.25</v>
      </c>
      <c r="G1817" s="98">
        <v>0</v>
      </c>
      <c r="H1817" s="98">
        <v>0</v>
      </c>
      <c r="I1817" s="98">
        <v>0</v>
      </c>
      <c r="J1817" s="98"/>
      <c r="K1817" s="93"/>
      <c r="L1817" s="93">
        <f t="shared" si="245"/>
        <v>0</v>
      </c>
      <c r="M1817" s="95" t="e">
        <f t="shared" ca="1" si="246"/>
        <v>#DIV/0!</v>
      </c>
      <c r="N1817" s="95">
        <f>IF(P1817="Hedge Fund",IF(A1817=Summary!$AD$3,M1817-E1817,M1817),IF(A1817=Summary!$AD$3,L1817-D1817,L1817))</f>
        <v>0</v>
      </c>
      <c r="O1817" s="95">
        <f t="shared" si="250"/>
        <v>0</v>
      </c>
      <c r="P1817" s="107" t="s">
        <v>155</v>
      </c>
      <c r="Q1817" s="107">
        <v>0</v>
      </c>
      <c r="R1817" s="107">
        <v>0</v>
      </c>
      <c r="S1817" s="107">
        <v>0</v>
      </c>
      <c r="T1817" s="107">
        <v>0</v>
      </c>
      <c r="U1817" s="107"/>
      <c r="V1817" s="107"/>
      <c r="W1817" s="107"/>
      <c r="X1817" s="107"/>
      <c r="Y1817" s="107"/>
      <c r="Z1817" s="107"/>
      <c r="AA1817" s="107"/>
      <c r="AB1817" s="107"/>
      <c r="AC1817" s="355"/>
      <c r="AD1817" s="355"/>
      <c r="AE1817" s="355"/>
      <c r="AF1817" s="94">
        <f t="shared" si="247"/>
        <v>42825</v>
      </c>
      <c r="AG1817" s="185">
        <f t="shared" si="251"/>
        <v>-1.333673796336321E-2</v>
      </c>
      <c r="AH1817" s="339" t="str">
        <f>VLOOKUP(B1817,'MF PF'!A:B,2)</f>
        <v>FdMgt1</v>
      </c>
      <c r="AI1817" s="358">
        <f t="shared" si="248"/>
        <v>0</v>
      </c>
      <c r="AJ1817" s="94">
        <f t="shared" si="249"/>
        <v>42825</v>
      </c>
    </row>
    <row r="1818" spans="1:36" ht="12.75" customHeight="1">
      <c r="A1818" s="94">
        <v>42853</v>
      </c>
      <c r="B1818" s="94" t="s">
        <v>136</v>
      </c>
      <c r="C1818" s="358" t="s">
        <v>322</v>
      </c>
      <c r="D1818" s="374">
        <v>338298.88</v>
      </c>
      <c r="E1818" s="95" t="e">
        <f t="shared" si="252"/>
        <v>#DIV/0!</v>
      </c>
      <c r="F1818" s="98">
        <v>0.25</v>
      </c>
      <c r="G1818" s="98">
        <v>0</v>
      </c>
      <c r="H1818" s="98">
        <v>0</v>
      </c>
      <c r="I1818" s="98">
        <v>0</v>
      </c>
      <c r="J1818" s="98"/>
      <c r="K1818" s="93"/>
      <c r="L1818" s="93">
        <f t="shared" si="245"/>
        <v>0</v>
      </c>
      <c r="M1818" s="95" t="e">
        <f t="shared" ca="1" si="246"/>
        <v>#DIV/0!</v>
      </c>
      <c r="N1818" s="95">
        <f>IF(P1818="Hedge Fund",IF(A1818=Summary!$AD$3,M1818-E1818,M1818),IF(A1818=Summary!$AD$3,L1818-D1818,L1818))</f>
        <v>0</v>
      </c>
      <c r="O1818" s="95">
        <f t="shared" si="250"/>
        <v>0</v>
      </c>
      <c r="P1818" s="89" t="s">
        <v>155</v>
      </c>
      <c r="Q1818" s="107">
        <v>0</v>
      </c>
      <c r="R1818" s="107">
        <v>0</v>
      </c>
      <c r="S1818" s="107">
        <v>0</v>
      </c>
      <c r="T1818" s="107">
        <v>0</v>
      </c>
      <c r="U1818" s="107"/>
      <c r="V1818" s="107"/>
      <c r="W1818" s="107"/>
      <c r="X1818" s="107"/>
      <c r="Y1818" s="107"/>
      <c r="Z1818" s="107"/>
      <c r="AA1818" s="107"/>
      <c r="AB1818" s="107"/>
      <c r="AC1818" s="355"/>
      <c r="AD1818" s="355"/>
      <c r="AE1818" s="355"/>
      <c r="AF1818" s="94">
        <f t="shared" si="247"/>
        <v>42853</v>
      </c>
      <c r="AG1818" s="185">
        <f t="shared" si="251"/>
        <v>-5.4374791616706997E-3</v>
      </c>
      <c r="AH1818" s="339" t="str">
        <f>VLOOKUP(B1818,'MF PF'!A:B,2)</f>
        <v>FdMgt1</v>
      </c>
      <c r="AI1818" s="358">
        <f t="shared" si="248"/>
        <v>0</v>
      </c>
      <c r="AJ1818" s="94">
        <f t="shared" si="249"/>
        <v>42855</v>
      </c>
    </row>
    <row r="1819" spans="1:36" ht="12.75" customHeight="1">
      <c r="A1819" s="94">
        <v>42886</v>
      </c>
      <c r="B1819" s="94" t="s">
        <v>136</v>
      </c>
      <c r="C1819" s="358" t="s">
        <v>322</v>
      </c>
      <c r="D1819" s="374">
        <v>329788.44</v>
      </c>
      <c r="E1819" s="95" t="e">
        <f t="shared" si="252"/>
        <v>#DIV/0!</v>
      </c>
      <c r="F1819" s="98">
        <v>0.25</v>
      </c>
      <c r="G1819" s="98">
        <v>0</v>
      </c>
      <c r="H1819" s="98">
        <v>0</v>
      </c>
      <c r="I1819" s="98">
        <v>0</v>
      </c>
      <c r="J1819" s="98"/>
      <c r="K1819" s="93"/>
      <c r="L1819" s="93">
        <f t="shared" si="245"/>
        <v>0</v>
      </c>
      <c r="M1819" s="95" t="e">
        <f t="shared" ca="1" si="246"/>
        <v>#DIV/0!</v>
      </c>
      <c r="N1819" s="95">
        <f>IF(P1819="Hedge Fund",IF(A1819=Summary!$AD$3,M1819-E1819,M1819),IF(A1819=Summary!$AD$3,L1819-D1819,L1819))</f>
        <v>0</v>
      </c>
      <c r="O1819" s="95">
        <f t="shared" si="250"/>
        <v>0</v>
      </c>
      <c r="P1819" s="89" t="s">
        <v>155</v>
      </c>
      <c r="Q1819" s="107">
        <v>0</v>
      </c>
      <c r="R1819" s="107">
        <v>0</v>
      </c>
      <c r="S1819" s="107">
        <v>0</v>
      </c>
      <c r="T1819" s="107">
        <v>0</v>
      </c>
      <c r="U1819" s="107"/>
      <c r="V1819" s="107"/>
      <c r="W1819" s="107"/>
      <c r="X1819" s="107"/>
      <c r="Y1819" s="107"/>
      <c r="Z1819" s="107"/>
      <c r="AA1819" s="107"/>
      <c r="AB1819" s="107"/>
      <c r="AC1819" s="355"/>
      <c r="AD1819" s="355"/>
      <c r="AE1819" s="355"/>
      <c r="AF1819" s="94">
        <f t="shared" si="247"/>
        <v>42886</v>
      </c>
      <c r="AG1819" s="185">
        <f t="shared" si="251"/>
        <v>-2.5156571609104894E-2</v>
      </c>
      <c r="AH1819" s="339" t="str">
        <f>VLOOKUP(B1819,'MF PF'!A:B,2)</f>
        <v>FdMgt1</v>
      </c>
      <c r="AI1819" s="358">
        <f t="shared" si="248"/>
        <v>0</v>
      </c>
      <c r="AJ1819" s="94">
        <f t="shared" si="249"/>
        <v>42886</v>
      </c>
    </row>
    <row r="1820" spans="1:36" ht="12.75" customHeight="1">
      <c r="A1820" s="94">
        <v>42916</v>
      </c>
      <c r="B1820" s="94" t="s">
        <v>136</v>
      </c>
      <c r="C1820" s="358" t="s">
        <v>322</v>
      </c>
      <c r="D1820" s="374">
        <v>343241.2</v>
      </c>
      <c r="E1820" s="95" t="e">
        <f t="shared" si="252"/>
        <v>#DIV/0!</v>
      </c>
      <c r="F1820" s="98">
        <v>0.25</v>
      </c>
      <c r="G1820" s="98">
        <v>0</v>
      </c>
      <c r="H1820" s="98">
        <v>0</v>
      </c>
      <c r="I1820" s="98">
        <v>0</v>
      </c>
      <c r="J1820" s="98"/>
      <c r="K1820" s="93"/>
      <c r="L1820" s="93">
        <f t="shared" si="245"/>
        <v>0</v>
      </c>
      <c r="M1820" s="95" t="e">
        <f t="shared" ca="1" si="246"/>
        <v>#DIV/0!</v>
      </c>
      <c r="N1820" s="95">
        <f>IF(P1820="Hedge Fund",IF(A1820=Summary!$AD$3,M1820-E1820,M1820),IF(A1820=Summary!$AD$3,L1820-D1820,L1820))</f>
        <v>0</v>
      </c>
      <c r="O1820" s="95">
        <f t="shared" si="250"/>
        <v>0</v>
      </c>
      <c r="P1820" s="89" t="s">
        <v>155</v>
      </c>
      <c r="Q1820" s="107">
        <v>0</v>
      </c>
      <c r="R1820" s="107">
        <v>0</v>
      </c>
      <c r="S1820" s="107">
        <v>0</v>
      </c>
      <c r="T1820" s="107">
        <v>0</v>
      </c>
      <c r="U1820" s="107"/>
      <c r="V1820" s="107"/>
      <c r="W1820" s="107"/>
      <c r="X1820" s="107"/>
      <c r="Y1820" s="107"/>
      <c r="Z1820" s="107"/>
      <c r="AA1820" s="107"/>
      <c r="AB1820" s="107"/>
      <c r="AC1820" s="355"/>
      <c r="AD1820" s="355"/>
      <c r="AE1820" s="355"/>
      <c r="AF1820" s="94">
        <f t="shared" si="247"/>
        <v>42916</v>
      </c>
      <c r="AG1820" s="185">
        <f t="shared" si="251"/>
        <v>4.0792090832534988E-2</v>
      </c>
      <c r="AH1820" s="339" t="str">
        <f>VLOOKUP(B1820,'MF PF'!A:B,2)</f>
        <v>FdMgt1</v>
      </c>
      <c r="AI1820" s="358">
        <f t="shared" si="248"/>
        <v>0</v>
      </c>
      <c r="AJ1820" s="94">
        <f t="shared" si="249"/>
        <v>42916</v>
      </c>
    </row>
    <row r="1821" spans="1:36" ht="12.75" customHeight="1">
      <c r="A1821" s="94">
        <v>42947</v>
      </c>
      <c r="B1821" s="94" t="s">
        <v>136</v>
      </c>
      <c r="C1821" s="358" t="s">
        <v>322</v>
      </c>
      <c r="D1821" s="374">
        <v>351239.95</v>
      </c>
      <c r="E1821" s="95" t="e">
        <f t="shared" si="252"/>
        <v>#DIV/0!</v>
      </c>
      <c r="F1821" s="98">
        <v>0.25</v>
      </c>
      <c r="G1821" s="98">
        <v>0</v>
      </c>
      <c r="H1821" s="98">
        <v>0</v>
      </c>
      <c r="I1821" s="98">
        <v>0</v>
      </c>
      <c r="J1821" s="98"/>
      <c r="K1821" s="93"/>
      <c r="L1821" s="93">
        <f t="shared" si="245"/>
        <v>0</v>
      </c>
      <c r="M1821" s="95" t="e">
        <f t="shared" ca="1" si="246"/>
        <v>#DIV/0!</v>
      </c>
      <c r="N1821" s="95">
        <f>IF(P1821="Hedge Fund",IF(A1821=Summary!$AD$3,M1821-E1821,M1821),IF(A1821=Summary!$AD$3,L1821-D1821,L1821))</f>
        <v>0</v>
      </c>
      <c r="O1821" s="95">
        <f t="shared" si="250"/>
        <v>0</v>
      </c>
      <c r="P1821" s="89" t="s">
        <v>155</v>
      </c>
      <c r="Q1821" s="107">
        <v>0</v>
      </c>
      <c r="R1821" s="107">
        <v>0</v>
      </c>
      <c r="S1821" s="107">
        <v>0</v>
      </c>
      <c r="T1821" s="107">
        <v>0</v>
      </c>
      <c r="U1821" s="107"/>
      <c r="V1821" s="107"/>
      <c r="W1821" s="107"/>
      <c r="X1821" s="107"/>
      <c r="Y1821" s="107"/>
      <c r="Z1821" s="107"/>
      <c r="AA1821" s="107"/>
      <c r="AB1821" s="107"/>
      <c r="AC1821" s="355"/>
      <c r="AD1821" s="355"/>
      <c r="AE1821" s="355"/>
      <c r="AF1821" s="94">
        <f t="shared" si="247"/>
        <v>42947</v>
      </c>
      <c r="AG1821" s="185">
        <f t="shared" si="251"/>
        <v>2.3303583602434674E-2</v>
      </c>
      <c r="AH1821" s="339" t="str">
        <f>VLOOKUP(B1821,'MF PF'!A:B,2)</f>
        <v>FdMgt1</v>
      </c>
      <c r="AI1821" s="358">
        <f t="shared" si="248"/>
        <v>0</v>
      </c>
      <c r="AJ1821" s="94">
        <f t="shared" si="249"/>
        <v>42947</v>
      </c>
    </row>
    <row r="1822" spans="1:36" ht="12.75" customHeight="1">
      <c r="A1822" s="94">
        <v>42978</v>
      </c>
      <c r="B1822" s="94" t="s">
        <v>136</v>
      </c>
      <c r="C1822" s="358" t="s">
        <v>322</v>
      </c>
      <c r="D1822" s="374">
        <v>353500</v>
      </c>
      <c r="E1822" s="95" t="e">
        <f t="shared" si="252"/>
        <v>#DIV/0!</v>
      </c>
      <c r="F1822" s="98">
        <v>0.25</v>
      </c>
      <c r="G1822" s="98">
        <v>0</v>
      </c>
      <c r="H1822" s="98">
        <v>0</v>
      </c>
      <c r="I1822" s="98">
        <v>0</v>
      </c>
      <c r="J1822" s="98"/>
      <c r="K1822" s="93"/>
      <c r="L1822" s="93">
        <f t="shared" si="245"/>
        <v>0</v>
      </c>
      <c r="M1822" s="95" t="e">
        <f t="shared" ca="1" si="246"/>
        <v>#DIV/0!</v>
      </c>
      <c r="N1822" s="95">
        <f>IF(P1822="Hedge Fund",IF(A1822=Summary!$AD$3,M1822-E1822,M1822),IF(A1822=Summary!$AD$3,L1822-D1822,L1822))</f>
        <v>0</v>
      </c>
      <c r="O1822" s="95">
        <f t="shared" si="250"/>
        <v>0</v>
      </c>
      <c r="P1822" s="89" t="s">
        <v>155</v>
      </c>
      <c r="Q1822" s="107">
        <v>0</v>
      </c>
      <c r="R1822" s="107">
        <v>0</v>
      </c>
      <c r="S1822" s="107">
        <v>0</v>
      </c>
      <c r="T1822" s="107">
        <v>0</v>
      </c>
      <c r="U1822" s="107"/>
      <c r="V1822" s="107"/>
      <c r="W1822" s="107"/>
      <c r="X1822" s="107"/>
      <c r="Y1822" s="107"/>
      <c r="Z1822" s="107"/>
      <c r="AA1822" s="107"/>
      <c r="AB1822" s="107"/>
      <c r="AC1822" s="355"/>
      <c r="AD1822" s="355"/>
      <c r="AE1822" s="355"/>
      <c r="AF1822" s="94">
        <f t="shared" si="247"/>
        <v>42978</v>
      </c>
      <c r="AG1822" s="185">
        <f t="shared" si="251"/>
        <v>6.4344901540955846E-3</v>
      </c>
      <c r="AH1822" s="339" t="str">
        <f>VLOOKUP(B1822,'MF PF'!A:B,2)</f>
        <v>FdMgt1</v>
      </c>
      <c r="AI1822" s="358">
        <f t="shared" si="248"/>
        <v>0</v>
      </c>
      <c r="AJ1822" s="94">
        <f t="shared" si="249"/>
        <v>42978</v>
      </c>
    </row>
    <row r="1823" spans="1:36" ht="12.75" customHeight="1">
      <c r="A1823" s="94">
        <v>43007</v>
      </c>
      <c r="B1823" s="94" t="s">
        <v>136</v>
      </c>
      <c r="C1823" s="358" t="s">
        <v>322</v>
      </c>
      <c r="D1823" s="374">
        <v>351409.67990511062</v>
      </c>
      <c r="E1823" s="95" t="e">
        <f t="shared" si="252"/>
        <v>#DIV/0!</v>
      </c>
      <c r="F1823" s="98">
        <v>0.25</v>
      </c>
      <c r="G1823" s="98">
        <v>0</v>
      </c>
      <c r="H1823" s="98">
        <v>0</v>
      </c>
      <c r="I1823" s="98">
        <v>0</v>
      </c>
      <c r="J1823" s="98"/>
      <c r="K1823" s="93"/>
      <c r="L1823" s="93">
        <f t="shared" si="245"/>
        <v>0</v>
      </c>
      <c r="M1823" s="95" t="e">
        <f t="shared" ca="1" si="246"/>
        <v>#DIV/0!</v>
      </c>
      <c r="N1823" s="95">
        <f>IF(P1823="Hedge Fund",IF(A1823=Summary!$AD$3,M1823-E1823,M1823),IF(A1823=Summary!$AD$3,L1823-D1823,L1823))</f>
        <v>0</v>
      </c>
      <c r="O1823" s="95">
        <f t="shared" si="250"/>
        <v>0</v>
      </c>
      <c r="P1823" s="89" t="s">
        <v>155</v>
      </c>
      <c r="Q1823" s="107">
        <v>0</v>
      </c>
      <c r="R1823" s="107">
        <v>0</v>
      </c>
      <c r="S1823" s="107">
        <v>0</v>
      </c>
      <c r="T1823" s="107">
        <v>0</v>
      </c>
      <c r="U1823" s="107"/>
      <c r="V1823" s="107"/>
      <c r="W1823" s="107"/>
      <c r="X1823" s="107"/>
      <c r="Y1823" s="107"/>
      <c r="Z1823" s="107"/>
      <c r="AA1823" s="107"/>
      <c r="AB1823" s="107"/>
      <c r="AC1823" s="355"/>
      <c r="AD1823" s="355"/>
      <c r="AE1823" s="355"/>
      <c r="AF1823" s="94">
        <f t="shared" si="247"/>
        <v>43007</v>
      </c>
      <c r="AG1823" s="185">
        <f t="shared" si="251"/>
        <v>-5.9132110180746267E-3</v>
      </c>
      <c r="AH1823" s="339" t="str">
        <f>VLOOKUP(B1823,'MF PF'!A:B,2)</f>
        <v>FdMgt1</v>
      </c>
      <c r="AI1823" s="358">
        <f t="shared" si="248"/>
        <v>0</v>
      </c>
      <c r="AJ1823" s="94">
        <f t="shared" si="249"/>
        <v>43008</v>
      </c>
    </row>
    <row r="1824" spans="1:36" ht="12.75" customHeight="1">
      <c r="A1824" s="94">
        <v>43039</v>
      </c>
      <c r="B1824" s="94" t="s">
        <v>136</v>
      </c>
      <c r="C1824" s="358" t="s">
        <v>322</v>
      </c>
      <c r="D1824" s="374">
        <v>353600</v>
      </c>
      <c r="E1824" s="9" t="e">
        <f t="shared" si="252"/>
        <v>#DIV/0!</v>
      </c>
      <c r="F1824" s="98">
        <v>0.25</v>
      </c>
      <c r="G1824" s="98">
        <v>0</v>
      </c>
      <c r="H1824" s="98">
        <v>0</v>
      </c>
      <c r="I1824" s="98">
        <v>0</v>
      </c>
      <c r="J1824" s="98"/>
      <c r="K1824" s="93"/>
      <c r="L1824" s="93">
        <f t="shared" si="245"/>
        <v>0</v>
      </c>
      <c r="M1824" s="95" t="e">
        <f t="shared" ca="1" si="246"/>
        <v>#DIV/0!</v>
      </c>
      <c r="N1824" s="95">
        <f>IF(P1824="Hedge Fund",IF(A1824=Summary!$AD$3,M1824-E1824,M1824),IF(A1824=Summary!$AD$3,L1824-D1824,L1824))</f>
        <v>0</v>
      </c>
      <c r="O1824" s="95">
        <f t="shared" si="250"/>
        <v>0</v>
      </c>
      <c r="P1824" s="89" t="s">
        <v>155</v>
      </c>
      <c r="Q1824" s="107">
        <v>0</v>
      </c>
      <c r="R1824" s="107">
        <v>0</v>
      </c>
      <c r="S1824" s="107">
        <v>0</v>
      </c>
      <c r="T1824" s="107">
        <v>0</v>
      </c>
      <c r="U1824" s="107"/>
      <c r="V1824" s="107"/>
      <c r="W1824" s="107"/>
      <c r="X1824" s="107"/>
      <c r="Y1824" s="107"/>
      <c r="Z1824" s="107"/>
      <c r="AA1824" s="107"/>
      <c r="AB1824" s="107"/>
      <c r="AC1824" s="355"/>
      <c r="AD1824" s="355"/>
      <c r="AE1824" s="355"/>
      <c r="AF1824" s="94">
        <f t="shared" si="247"/>
        <v>43039</v>
      </c>
      <c r="AG1824" s="185">
        <f t="shared" si="251"/>
        <v>6.2329532171134794E-3</v>
      </c>
      <c r="AH1824" s="339" t="str">
        <f>VLOOKUP(B1824,'MF PF'!A:B,2)</f>
        <v>FdMgt1</v>
      </c>
      <c r="AI1824" s="358">
        <f t="shared" si="248"/>
        <v>0</v>
      </c>
      <c r="AJ1824" s="94">
        <f t="shared" si="249"/>
        <v>43039</v>
      </c>
    </row>
    <row r="1825" spans="1:36" ht="12.75" customHeight="1">
      <c r="A1825" s="94">
        <v>43069</v>
      </c>
      <c r="B1825" s="94" t="s">
        <v>136</v>
      </c>
      <c r="C1825" s="358" t="s">
        <v>322</v>
      </c>
      <c r="D1825" s="374">
        <v>355400</v>
      </c>
      <c r="E1825" s="9" t="e">
        <f t="shared" si="252"/>
        <v>#DIV/0!</v>
      </c>
      <c r="F1825" s="98">
        <v>0.25</v>
      </c>
      <c r="G1825" s="98">
        <v>0</v>
      </c>
      <c r="H1825" s="98">
        <v>0</v>
      </c>
      <c r="I1825" s="98">
        <v>0</v>
      </c>
      <c r="J1825" s="98"/>
      <c r="K1825" s="93"/>
      <c r="L1825" s="93">
        <f t="shared" si="245"/>
        <v>0</v>
      </c>
      <c r="M1825" s="95" t="e">
        <f t="shared" ca="1" si="246"/>
        <v>#DIV/0!</v>
      </c>
      <c r="N1825" s="95">
        <f>IF(P1825="Hedge Fund",IF(A1825=Summary!$AD$3,M1825-E1825,M1825),IF(A1825=Summary!$AD$3,L1825-D1825,L1825))</f>
        <v>0</v>
      </c>
      <c r="O1825" s="95">
        <f t="shared" si="250"/>
        <v>0</v>
      </c>
      <c r="P1825" s="89" t="s">
        <v>155</v>
      </c>
      <c r="Q1825" s="107">
        <v>0</v>
      </c>
      <c r="R1825" s="107">
        <v>0</v>
      </c>
      <c r="S1825" s="107">
        <v>0</v>
      </c>
      <c r="T1825" s="107">
        <v>0</v>
      </c>
      <c r="U1825" s="107"/>
      <c r="V1825" s="107"/>
      <c r="W1825" s="107"/>
      <c r="X1825" s="107"/>
      <c r="Y1825" s="107"/>
      <c r="Z1825" s="107"/>
      <c r="AA1825" s="107"/>
      <c r="AB1825" s="107"/>
      <c r="AC1825" s="355"/>
      <c r="AD1825" s="355"/>
      <c r="AE1825" s="355"/>
      <c r="AF1825" s="94">
        <f t="shared" si="247"/>
        <v>43069</v>
      </c>
      <c r="AG1825" s="185">
        <f t="shared" si="251"/>
        <v>5.090497737556543E-3</v>
      </c>
      <c r="AH1825" s="339" t="str">
        <f>VLOOKUP(B1825,'MF PF'!A:B,2)</f>
        <v>FdMgt1</v>
      </c>
      <c r="AI1825" s="358">
        <f t="shared" si="248"/>
        <v>0</v>
      </c>
      <c r="AJ1825" s="94">
        <f t="shared" si="249"/>
        <v>43069</v>
      </c>
    </row>
    <row r="1826" spans="1:36" ht="12.75" customHeight="1">
      <c r="A1826" s="94">
        <v>43098</v>
      </c>
      <c r="B1826" s="94" t="s">
        <v>136</v>
      </c>
      <c r="C1826" s="358" t="s">
        <v>322</v>
      </c>
      <c r="D1826" s="374">
        <v>373900</v>
      </c>
      <c r="E1826" s="9" t="e">
        <f t="shared" si="252"/>
        <v>#DIV/0!</v>
      </c>
      <c r="F1826" s="98">
        <v>0.25</v>
      </c>
      <c r="G1826" s="98">
        <v>0</v>
      </c>
      <c r="H1826" s="98">
        <v>0</v>
      </c>
      <c r="I1826" s="98">
        <v>0</v>
      </c>
      <c r="J1826" s="98"/>
      <c r="K1826" s="93"/>
      <c r="L1826" s="93">
        <f t="shared" si="245"/>
        <v>0</v>
      </c>
      <c r="M1826" s="95" t="e">
        <f t="shared" ca="1" si="246"/>
        <v>#DIV/0!</v>
      </c>
      <c r="N1826" s="95">
        <f>IF(P1826="Hedge Fund",IF(A1826=Summary!$AD$3,M1826-E1826,M1826),IF(A1826=Summary!$AD$3,L1826-D1826,L1826))</f>
        <v>0</v>
      </c>
      <c r="O1826" s="95">
        <f t="shared" si="250"/>
        <v>0</v>
      </c>
      <c r="P1826" s="89" t="s">
        <v>155</v>
      </c>
      <c r="Q1826" s="107">
        <v>0</v>
      </c>
      <c r="R1826" s="107">
        <v>0</v>
      </c>
      <c r="S1826" s="107">
        <v>0</v>
      </c>
      <c r="T1826" s="107">
        <v>0</v>
      </c>
      <c r="U1826" s="107"/>
      <c r="V1826" s="107"/>
      <c r="W1826" s="107"/>
      <c r="X1826" s="107"/>
      <c r="Y1826" s="107"/>
      <c r="Z1826" s="107"/>
      <c r="AA1826" s="107"/>
      <c r="AB1826" s="107"/>
      <c r="AC1826" s="355"/>
      <c r="AD1826" s="355"/>
      <c r="AE1826" s="355"/>
      <c r="AF1826" s="94">
        <f t="shared" si="247"/>
        <v>43098</v>
      </c>
      <c r="AG1826" s="185">
        <f t="shared" si="251"/>
        <v>5.2054023635340396E-2</v>
      </c>
      <c r="AH1826" s="339" t="str">
        <f>VLOOKUP(B1826,'MF PF'!A:B,2)</f>
        <v>FdMgt1</v>
      </c>
      <c r="AI1826" s="358">
        <f t="shared" si="248"/>
        <v>0</v>
      </c>
      <c r="AJ1826" s="94">
        <f t="shared" si="249"/>
        <v>43100</v>
      </c>
    </row>
    <row r="1827" spans="1:36" ht="12.75" customHeight="1">
      <c r="A1827" s="94">
        <v>43131</v>
      </c>
      <c r="B1827" s="94" t="s">
        <v>136</v>
      </c>
      <c r="C1827" s="358" t="s">
        <v>322</v>
      </c>
      <c r="D1827" s="374">
        <v>378600</v>
      </c>
      <c r="E1827" s="95" t="e">
        <f t="shared" si="252"/>
        <v>#DIV/0!</v>
      </c>
      <c r="F1827" s="98">
        <v>0.25</v>
      </c>
      <c r="G1827" s="98">
        <v>0</v>
      </c>
      <c r="H1827" s="98">
        <v>0</v>
      </c>
      <c r="I1827" s="98">
        <v>0</v>
      </c>
      <c r="J1827" s="98"/>
      <c r="K1827" s="93"/>
      <c r="L1827" s="93">
        <f t="shared" si="245"/>
        <v>0</v>
      </c>
      <c r="M1827" s="95" t="e">
        <f t="shared" ca="1" si="246"/>
        <v>#DIV/0!</v>
      </c>
      <c r="N1827" s="95">
        <f>IF(P1827="Hedge Fund",IF(A1827=Summary!$AD$3,M1827-E1827,M1827),IF(A1827=Summary!$AD$3,L1827-D1827,L1827))</f>
        <v>0</v>
      </c>
      <c r="O1827" s="95">
        <f t="shared" si="250"/>
        <v>0</v>
      </c>
      <c r="P1827" s="89" t="s">
        <v>155</v>
      </c>
      <c r="Q1827" s="107">
        <v>0</v>
      </c>
      <c r="R1827" s="107">
        <v>0</v>
      </c>
      <c r="S1827" s="107">
        <v>0</v>
      </c>
      <c r="T1827" s="107">
        <v>0</v>
      </c>
      <c r="U1827" s="107"/>
      <c r="V1827" s="107"/>
      <c r="W1827" s="107"/>
      <c r="X1827" s="107"/>
      <c r="Y1827" s="107"/>
      <c r="Z1827" s="107"/>
      <c r="AA1827" s="107"/>
      <c r="AB1827" s="107"/>
      <c r="AC1827" s="355"/>
      <c r="AD1827" s="355"/>
      <c r="AE1827" s="355"/>
      <c r="AF1827" s="94">
        <f t="shared" si="247"/>
        <v>43131</v>
      </c>
      <c r="AG1827" s="185">
        <f t="shared" si="251"/>
        <v>1.2570205937416423E-2</v>
      </c>
      <c r="AH1827" s="339" t="str">
        <f>VLOOKUP(B1827,'MF PF'!A:B,2)</f>
        <v>FdMgt1</v>
      </c>
      <c r="AI1827" s="358">
        <f t="shared" si="248"/>
        <v>0</v>
      </c>
      <c r="AJ1827" s="94">
        <f t="shared" si="249"/>
        <v>43131</v>
      </c>
    </row>
    <row r="1828" spans="1:36" ht="12.75" customHeight="1">
      <c r="A1828" s="94">
        <v>43159</v>
      </c>
      <c r="B1828" s="94" t="s">
        <v>136</v>
      </c>
      <c r="C1828" s="358" t="s">
        <v>322</v>
      </c>
      <c r="D1828" s="374">
        <v>382487.18</v>
      </c>
      <c r="E1828" s="95" t="e">
        <f t="shared" si="252"/>
        <v>#DIV/0!</v>
      </c>
      <c r="F1828" s="98">
        <v>0.25</v>
      </c>
      <c r="G1828" s="98">
        <v>0</v>
      </c>
      <c r="H1828" s="98">
        <v>0</v>
      </c>
      <c r="I1828" s="98">
        <v>0</v>
      </c>
      <c r="J1828" s="98"/>
      <c r="K1828" s="93"/>
      <c r="L1828" s="93">
        <f t="shared" si="245"/>
        <v>0</v>
      </c>
      <c r="M1828" s="95" t="e">
        <f t="shared" ca="1" si="246"/>
        <v>#DIV/0!</v>
      </c>
      <c r="N1828" s="95">
        <f>IF(P1828="Hedge Fund",IF(A1828=Summary!$AD$3,M1828-E1828,M1828),IF(A1828=Summary!$AD$3,L1828-D1828,L1828))</f>
        <v>0</v>
      </c>
      <c r="O1828" s="95">
        <f t="shared" si="250"/>
        <v>0</v>
      </c>
      <c r="P1828" s="89" t="s">
        <v>155</v>
      </c>
      <c r="Q1828" s="107">
        <v>0</v>
      </c>
      <c r="R1828" s="107">
        <v>0</v>
      </c>
      <c r="S1828" s="107">
        <v>0</v>
      </c>
      <c r="T1828" s="107">
        <v>0</v>
      </c>
      <c r="U1828" s="107"/>
      <c r="V1828" s="107"/>
      <c r="W1828" s="107"/>
      <c r="X1828" s="107"/>
      <c r="Y1828" s="107"/>
      <c r="Z1828" s="107"/>
      <c r="AA1828" s="107"/>
      <c r="AB1828" s="107"/>
      <c r="AC1828" s="355"/>
      <c r="AD1828" s="355"/>
      <c r="AE1828" s="355"/>
      <c r="AF1828" s="94">
        <f t="shared" si="247"/>
        <v>43159</v>
      </c>
      <c r="AG1828" s="185">
        <f t="shared" si="251"/>
        <v>1.0267247754886411E-2</v>
      </c>
      <c r="AH1828" s="339" t="str">
        <f>VLOOKUP(B1828,'MF PF'!A:B,2)</f>
        <v>FdMgt1</v>
      </c>
      <c r="AI1828" s="358">
        <f t="shared" si="248"/>
        <v>0</v>
      </c>
      <c r="AJ1828" s="94">
        <f t="shared" si="249"/>
        <v>43159</v>
      </c>
    </row>
    <row r="1829" spans="1:36" ht="12.75" customHeight="1">
      <c r="A1829" s="94">
        <v>43188</v>
      </c>
      <c r="B1829" s="94" t="s">
        <v>136</v>
      </c>
      <c r="C1829" s="358" t="s">
        <v>322</v>
      </c>
      <c r="D1829" s="374">
        <v>386694.81</v>
      </c>
      <c r="E1829" s="95" t="e">
        <f t="shared" si="252"/>
        <v>#DIV/0!</v>
      </c>
      <c r="F1829" s="98">
        <v>0.25</v>
      </c>
      <c r="G1829" s="98">
        <v>0</v>
      </c>
      <c r="H1829" s="98">
        <v>0</v>
      </c>
      <c r="I1829" s="98">
        <v>0</v>
      </c>
      <c r="J1829" s="98"/>
      <c r="K1829" s="93"/>
      <c r="L1829" s="93">
        <f t="shared" si="245"/>
        <v>0</v>
      </c>
      <c r="M1829" s="95" t="e">
        <f t="shared" ca="1" si="246"/>
        <v>#DIV/0!</v>
      </c>
      <c r="N1829" s="95">
        <f>IF(P1829="Hedge Fund",IF(A1829=Summary!$AD$3,M1829-E1829,M1829),IF(A1829=Summary!$AD$3,L1829-D1829,L1829))</f>
        <v>0</v>
      </c>
      <c r="O1829" s="95">
        <f t="shared" si="250"/>
        <v>0</v>
      </c>
      <c r="P1829" s="89" t="s">
        <v>155</v>
      </c>
      <c r="Q1829" s="109">
        <v>0</v>
      </c>
      <c r="R1829" s="109">
        <v>0</v>
      </c>
      <c r="S1829" s="107">
        <v>0</v>
      </c>
      <c r="T1829" s="107">
        <v>0</v>
      </c>
      <c r="U1829" s="107"/>
      <c r="V1829" s="107"/>
      <c r="W1829" s="107"/>
      <c r="X1829" s="107"/>
      <c r="Y1829" s="107"/>
      <c r="Z1829" s="107"/>
      <c r="AA1829" s="107"/>
      <c r="AB1829" s="107"/>
      <c r="AC1829" s="355"/>
      <c r="AD1829" s="355"/>
      <c r="AE1829" s="355"/>
      <c r="AF1829" s="94">
        <f t="shared" si="247"/>
        <v>43188</v>
      </c>
      <c r="AG1829" s="185">
        <f t="shared" si="251"/>
        <v>1.1000708572768358E-2</v>
      </c>
      <c r="AH1829" s="339" t="str">
        <f>VLOOKUP(B1829,'MF PF'!A:B,2)</f>
        <v>FdMgt1</v>
      </c>
      <c r="AI1829" s="358">
        <f t="shared" si="248"/>
        <v>0</v>
      </c>
      <c r="AJ1829" s="94">
        <f t="shared" si="249"/>
        <v>43190</v>
      </c>
    </row>
    <row r="1830" spans="1:36" ht="12.75" customHeight="1">
      <c r="A1830" s="94">
        <v>43220</v>
      </c>
      <c r="B1830" s="94" t="s">
        <v>136</v>
      </c>
      <c r="C1830" s="358" t="s">
        <v>322</v>
      </c>
      <c r="D1830" s="374">
        <v>389937.62</v>
      </c>
      <c r="E1830" s="9" t="e">
        <f t="shared" si="252"/>
        <v>#DIV/0!</v>
      </c>
      <c r="F1830" s="98">
        <v>0.25</v>
      </c>
      <c r="G1830" s="98">
        <v>0</v>
      </c>
      <c r="H1830" s="98">
        <v>0</v>
      </c>
      <c r="I1830" s="98">
        <v>0</v>
      </c>
      <c r="J1830" s="98"/>
      <c r="K1830" s="93"/>
      <c r="L1830" s="93">
        <f t="shared" si="245"/>
        <v>0</v>
      </c>
      <c r="M1830" s="95" t="e">
        <f t="shared" ca="1" si="246"/>
        <v>#DIV/0!</v>
      </c>
      <c r="N1830" s="95">
        <f>IF(P1830="Hedge Fund",IF(A1830=Summary!$AD$3,M1830-E1830,M1830),IF(A1830=Summary!$AD$3,L1830-D1830,L1830))</f>
        <v>0</v>
      </c>
      <c r="O1830" s="95">
        <f t="shared" si="250"/>
        <v>0</v>
      </c>
      <c r="P1830" s="89" t="s">
        <v>155</v>
      </c>
      <c r="Q1830" s="109">
        <v>0</v>
      </c>
      <c r="R1830" s="109">
        <v>0</v>
      </c>
      <c r="S1830" s="107">
        <v>0</v>
      </c>
      <c r="T1830" s="107">
        <v>0</v>
      </c>
      <c r="U1830" s="107"/>
      <c r="V1830" s="107"/>
      <c r="W1830" s="107"/>
      <c r="X1830" s="107"/>
      <c r="Y1830" s="107"/>
      <c r="Z1830" s="107"/>
      <c r="AA1830" s="107"/>
      <c r="AB1830" s="107"/>
      <c r="AC1830" s="355"/>
      <c r="AD1830" s="355"/>
      <c r="AE1830" s="355"/>
      <c r="AF1830" s="94">
        <f t="shared" si="247"/>
        <v>43220</v>
      </c>
      <c r="AG1830" s="185">
        <f t="shared" si="251"/>
        <v>8.3859672179205091E-3</v>
      </c>
      <c r="AH1830" s="339" t="str">
        <f>VLOOKUP(B1830,'MF PF'!A:B,2)</f>
        <v>FdMgt1</v>
      </c>
      <c r="AI1830" s="358">
        <f t="shared" si="248"/>
        <v>0</v>
      </c>
      <c r="AJ1830" s="94">
        <f t="shared" si="249"/>
        <v>43220</v>
      </c>
    </row>
    <row r="1831" spans="1:36" ht="12.75" customHeight="1">
      <c r="A1831" s="94">
        <v>43251</v>
      </c>
      <c r="B1831" s="358" t="s">
        <v>136</v>
      </c>
      <c r="C1831" s="94" t="s">
        <v>322</v>
      </c>
      <c r="D1831" s="374">
        <v>392963.57</v>
      </c>
      <c r="E1831" s="9" t="e">
        <f t="shared" si="252"/>
        <v>#DIV/0!</v>
      </c>
      <c r="F1831" s="98">
        <v>0.25</v>
      </c>
      <c r="G1831" s="98">
        <v>0</v>
      </c>
      <c r="H1831" s="98">
        <v>0</v>
      </c>
      <c r="I1831" s="110">
        <v>0</v>
      </c>
      <c r="J1831" s="110"/>
      <c r="K1831" s="93"/>
      <c r="L1831" s="93">
        <f t="shared" si="245"/>
        <v>0</v>
      </c>
      <c r="M1831" s="95" t="e">
        <f t="shared" ca="1" si="246"/>
        <v>#DIV/0!</v>
      </c>
      <c r="N1831" s="95">
        <f>IF(P1831="Hedge Fund",IF(A1831=Summary!$AD$3,M1831-E1831,M1831),IF(A1831=Summary!$AD$3,L1831-D1831,L1831))</f>
        <v>0</v>
      </c>
      <c r="O1831" s="95">
        <f t="shared" si="250"/>
        <v>0</v>
      </c>
      <c r="P1831" s="107" t="s">
        <v>155</v>
      </c>
      <c r="Q1831" s="109">
        <v>0</v>
      </c>
      <c r="R1831" s="107">
        <v>0</v>
      </c>
      <c r="S1831" s="107">
        <v>0</v>
      </c>
      <c r="T1831" s="107">
        <v>0</v>
      </c>
      <c r="U1831" s="107"/>
      <c r="V1831" s="107"/>
      <c r="W1831" s="107"/>
      <c r="X1831" s="107"/>
      <c r="Y1831" s="107"/>
      <c r="Z1831" s="107"/>
      <c r="AA1831" s="107"/>
      <c r="AB1831" s="107"/>
      <c r="AC1831" s="355"/>
      <c r="AD1831" s="355"/>
      <c r="AE1831" s="355"/>
      <c r="AF1831" s="94">
        <f t="shared" si="247"/>
        <v>43251</v>
      </c>
      <c r="AG1831" s="185">
        <f t="shared" si="251"/>
        <v>7.760087369872215E-3</v>
      </c>
      <c r="AH1831" s="339" t="str">
        <f>VLOOKUP(B1831,'MF PF'!A:B,2)</f>
        <v>FdMgt1</v>
      </c>
      <c r="AI1831" s="358">
        <f t="shared" si="248"/>
        <v>0</v>
      </c>
      <c r="AJ1831" s="94">
        <f t="shared" si="249"/>
        <v>43251</v>
      </c>
    </row>
    <row r="1832" spans="1:36" ht="12.75" customHeight="1">
      <c r="A1832" s="94">
        <v>43280</v>
      </c>
      <c r="B1832" s="358" t="s">
        <v>136</v>
      </c>
      <c r="C1832" s="94" t="s">
        <v>322</v>
      </c>
      <c r="D1832" s="374">
        <v>396833.13</v>
      </c>
      <c r="E1832" s="9" t="e">
        <f t="shared" si="252"/>
        <v>#DIV/0!</v>
      </c>
      <c r="F1832" s="98">
        <v>0.25</v>
      </c>
      <c r="G1832" s="98">
        <v>0</v>
      </c>
      <c r="H1832" s="98">
        <v>0</v>
      </c>
      <c r="I1832" s="110">
        <v>0</v>
      </c>
      <c r="J1832" s="110"/>
      <c r="K1832" s="93"/>
      <c r="L1832" s="93">
        <f t="shared" si="245"/>
        <v>0</v>
      </c>
      <c r="M1832" s="95" t="e">
        <f t="shared" ca="1" si="246"/>
        <v>#DIV/0!</v>
      </c>
      <c r="N1832" s="95">
        <f>IF(P1832="Hedge Fund",IF(A1832=Summary!$AD$3,M1832-E1832,M1832),IF(A1832=Summary!$AD$3,L1832-D1832,L1832))</f>
        <v>0</v>
      </c>
      <c r="O1832" s="95">
        <f t="shared" si="250"/>
        <v>0</v>
      </c>
      <c r="P1832" s="107" t="s">
        <v>155</v>
      </c>
      <c r="Q1832" s="109">
        <v>0</v>
      </c>
      <c r="R1832" s="107">
        <v>0</v>
      </c>
      <c r="S1832" s="107">
        <v>0</v>
      </c>
      <c r="T1832" s="107">
        <v>0</v>
      </c>
      <c r="U1832" s="107"/>
      <c r="V1832" s="107"/>
      <c r="W1832" s="107"/>
      <c r="X1832" s="107"/>
      <c r="Y1832" s="107"/>
      <c r="Z1832" s="107"/>
      <c r="AA1832" s="107"/>
      <c r="AB1832" s="107"/>
      <c r="AC1832" s="355"/>
      <c r="AD1832" s="355"/>
      <c r="AE1832" s="355"/>
      <c r="AF1832" s="94">
        <f t="shared" si="247"/>
        <v>43280</v>
      </c>
      <c r="AG1832" s="185">
        <f t="shared" si="251"/>
        <v>9.8471214519961769E-3</v>
      </c>
      <c r="AH1832" s="339" t="str">
        <f>VLOOKUP(B1832,'MF PF'!A:B,2)</f>
        <v>FdMgt1</v>
      </c>
      <c r="AI1832" s="358">
        <f t="shared" si="248"/>
        <v>0</v>
      </c>
      <c r="AJ1832" s="94">
        <f t="shared" si="249"/>
        <v>43281</v>
      </c>
    </row>
    <row r="1833" spans="1:36" ht="12.75" customHeight="1">
      <c r="A1833" s="94">
        <v>43312</v>
      </c>
      <c r="B1833" s="358" t="s">
        <v>136</v>
      </c>
      <c r="C1833" s="94" t="s">
        <v>322</v>
      </c>
      <c r="D1833" s="374">
        <v>395121.07889534574</v>
      </c>
      <c r="E1833" s="9" t="str">
        <f>IF(K1833="","",D1833/K1833)</f>
        <v/>
      </c>
      <c r="F1833" s="98">
        <v>0.25</v>
      </c>
      <c r="G1833" s="98">
        <v>0</v>
      </c>
      <c r="H1833" s="98">
        <v>0</v>
      </c>
      <c r="I1833" s="98">
        <v>0</v>
      </c>
      <c r="J1833" s="98"/>
      <c r="K1833" s="93"/>
      <c r="L1833" s="93">
        <f t="shared" si="245"/>
        <v>0</v>
      </c>
      <c r="M1833" s="95" t="e">
        <f t="shared" ca="1" si="246"/>
        <v>#DIV/0!</v>
      </c>
      <c r="N1833" s="95">
        <f>IF(P1833="Hedge Fund",IF(A1833=Summary!$AD$3,M1833-E1833,M1833),IF(A1833=Summary!$AD$3,L1833-D1833,L1833))</f>
        <v>0</v>
      </c>
      <c r="O1833" s="95">
        <f t="shared" si="250"/>
        <v>0</v>
      </c>
      <c r="P1833" s="107" t="s">
        <v>155</v>
      </c>
      <c r="Q1833" s="107">
        <v>0</v>
      </c>
      <c r="R1833" s="107">
        <v>0</v>
      </c>
      <c r="S1833" s="107">
        <v>0</v>
      </c>
      <c r="T1833" s="107">
        <v>0</v>
      </c>
      <c r="U1833" s="107"/>
      <c r="V1833" s="107"/>
      <c r="W1833" s="107"/>
      <c r="X1833" s="107"/>
      <c r="Y1833" s="107"/>
      <c r="Z1833" s="107"/>
      <c r="AA1833" s="107"/>
      <c r="AB1833" s="107"/>
      <c r="AC1833" s="355"/>
      <c r="AD1833" s="355"/>
      <c r="AE1833" s="355"/>
      <c r="AF1833" s="94">
        <f t="shared" si="247"/>
        <v>43312</v>
      </c>
      <c r="AG1833" s="185">
        <f t="shared" si="251"/>
        <v>-4.3142847086740099E-3</v>
      </c>
      <c r="AH1833" s="339" t="str">
        <f>VLOOKUP(B1833,'MF PF'!A:B,2)</f>
        <v>FdMgt1</v>
      </c>
      <c r="AI1833" s="358">
        <f t="shared" si="248"/>
        <v>0</v>
      </c>
      <c r="AJ1833" s="94">
        <f t="shared" si="249"/>
        <v>43312</v>
      </c>
    </row>
    <row r="1834" spans="1:36" ht="12.75" customHeight="1">
      <c r="A1834" s="94">
        <v>43343</v>
      </c>
      <c r="B1834" s="358" t="s">
        <v>136</v>
      </c>
      <c r="C1834" s="94" t="s">
        <v>322</v>
      </c>
      <c r="D1834" s="374">
        <v>396598.91</v>
      </c>
      <c r="E1834" s="95" t="str">
        <f>IF(K1834="","",D1834/K1834)</f>
        <v/>
      </c>
      <c r="F1834" s="98">
        <v>0.25</v>
      </c>
      <c r="G1834" s="98">
        <v>0</v>
      </c>
      <c r="H1834" s="98">
        <v>0</v>
      </c>
      <c r="I1834" s="98">
        <v>0</v>
      </c>
      <c r="J1834" s="98"/>
      <c r="K1834" s="93"/>
      <c r="L1834" s="93">
        <f t="shared" si="245"/>
        <v>0</v>
      </c>
      <c r="M1834" s="95" t="e">
        <f t="shared" ca="1" si="246"/>
        <v>#DIV/0!</v>
      </c>
      <c r="N1834" s="95">
        <f>IF(P1834="Hedge Fund",IF(A1834=Summary!$AD$3,M1834-E1834,M1834),IF(A1834=Summary!$AD$3,L1834-D1834,L1834))</f>
        <v>0</v>
      </c>
      <c r="O1834" s="95">
        <f t="shared" si="250"/>
        <v>0</v>
      </c>
      <c r="P1834" s="107" t="s">
        <v>155</v>
      </c>
      <c r="Q1834" s="107">
        <v>0</v>
      </c>
      <c r="R1834" s="107">
        <v>0</v>
      </c>
      <c r="S1834" s="107">
        <v>0</v>
      </c>
      <c r="T1834" s="107">
        <v>0</v>
      </c>
      <c r="U1834" s="107"/>
      <c r="V1834" s="107"/>
      <c r="W1834" s="107"/>
      <c r="X1834" s="107"/>
      <c r="Y1834" s="107"/>
      <c r="Z1834" s="107"/>
      <c r="AA1834" s="107"/>
      <c r="AB1834" s="107"/>
      <c r="AC1834" s="355"/>
      <c r="AD1834" s="355"/>
      <c r="AE1834" s="355"/>
      <c r="AF1834" s="94">
        <f t="shared" si="247"/>
        <v>43343</v>
      </c>
      <c r="AG1834" s="185">
        <f t="shared" si="251"/>
        <v>3.7401980901294873E-3</v>
      </c>
      <c r="AH1834" s="339" t="str">
        <f>VLOOKUP(B1834,'MF PF'!A:B,2)</f>
        <v>FdMgt1</v>
      </c>
      <c r="AI1834" s="358">
        <f t="shared" si="248"/>
        <v>0</v>
      </c>
      <c r="AJ1834" s="94">
        <f t="shared" si="249"/>
        <v>43343</v>
      </c>
    </row>
    <row r="1835" spans="1:36" ht="12.75" customHeight="1">
      <c r="A1835" s="94">
        <v>43371</v>
      </c>
      <c r="B1835" s="358" t="s">
        <v>136</v>
      </c>
      <c r="C1835" s="358" t="s">
        <v>322</v>
      </c>
      <c r="D1835" s="374">
        <v>394778.75</v>
      </c>
      <c r="E1835" s="95"/>
      <c r="F1835" s="105">
        <v>0.25</v>
      </c>
      <c r="G1835" s="93">
        <v>0</v>
      </c>
      <c r="H1835" s="93">
        <v>0</v>
      </c>
      <c r="I1835" s="93">
        <v>0</v>
      </c>
      <c r="K1835" s="93">
        <v>0</v>
      </c>
      <c r="L1835" s="93">
        <f t="shared" si="245"/>
        <v>0</v>
      </c>
      <c r="M1835" s="95" t="e">
        <f t="shared" ca="1" si="246"/>
        <v>#DIV/0!</v>
      </c>
      <c r="N1835" s="95">
        <f>IF(P1835="Hedge Fund",IF(A1835=Summary!$AD$3,M1835-E1835,M1835),IF(A1835=Summary!$AD$3,L1835-D1835,L1835))</f>
        <v>0</v>
      </c>
      <c r="O1835" s="95">
        <f t="shared" si="250"/>
        <v>0</v>
      </c>
      <c r="P1835" s="95" t="s">
        <v>155</v>
      </c>
      <c r="Q1835" s="353">
        <v>0</v>
      </c>
      <c r="R1835" s="95">
        <v>0</v>
      </c>
      <c r="S1835" s="95"/>
      <c r="T1835" s="95"/>
      <c r="U1835" s="95"/>
      <c r="V1835" s="95"/>
      <c r="W1835" s="95"/>
      <c r="X1835" s="95"/>
      <c r="Y1835" s="95"/>
      <c r="Z1835" s="95"/>
      <c r="AA1835" s="95"/>
      <c r="AB1835" s="95"/>
      <c r="AC1835" s="355"/>
      <c r="AD1835" s="355"/>
      <c r="AE1835" s="355"/>
      <c r="AF1835" s="94">
        <f t="shared" si="247"/>
        <v>43371</v>
      </c>
      <c r="AG1835" s="185">
        <f t="shared" si="251"/>
        <v>-4.5894225982617831E-3</v>
      </c>
      <c r="AH1835" s="339" t="str">
        <f>VLOOKUP(B1835,'MF PF'!A:B,2)</f>
        <v>FdMgt1</v>
      </c>
      <c r="AI1835" s="358">
        <f t="shared" si="248"/>
        <v>0</v>
      </c>
      <c r="AJ1835" s="94">
        <f t="shared" si="249"/>
        <v>43373</v>
      </c>
    </row>
    <row r="1836" spans="1:36" ht="12.75" customHeight="1">
      <c r="A1836" s="94">
        <v>43404</v>
      </c>
      <c r="B1836" s="358" t="s">
        <v>136</v>
      </c>
      <c r="C1836" s="358" t="s">
        <v>322</v>
      </c>
      <c r="D1836" s="374">
        <v>390710.57</v>
      </c>
      <c r="E1836" s="95"/>
      <c r="F1836" s="105">
        <v>0.25</v>
      </c>
      <c r="G1836" s="93">
        <v>0</v>
      </c>
      <c r="H1836" s="93">
        <v>0</v>
      </c>
      <c r="I1836" s="93">
        <v>0</v>
      </c>
      <c r="J1836" s="93">
        <v>0</v>
      </c>
      <c r="K1836" s="93"/>
      <c r="L1836" s="93">
        <f t="shared" si="245"/>
        <v>0</v>
      </c>
      <c r="M1836" s="95" t="e">
        <f t="shared" ca="1" si="246"/>
        <v>#DIV/0!</v>
      </c>
      <c r="N1836" s="95">
        <f>IF(P1836="Hedge Fund",IF(A1836=Summary!$AD$3,M1836-E1836,M1836),IF(A1836=Summary!$AD$3,L1836-D1836,L1836))</f>
        <v>0</v>
      </c>
      <c r="O1836" s="95">
        <f t="shared" si="250"/>
        <v>0</v>
      </c>
      <c r="P1836" s="95" t="s">
        <v>155</v>
      </c>
      <c r="Q1836" s="95">
        <v>0</v>
      </c>
      <c r="R1836" s="95">
        <v>0</v>
      </c>
      <c r="S1836" s="95"/>
      <c r="T1836" s="95"/>
      <c r="U1836" s="95"/>
      <c r="V1836" s="95"/>
      <c r="W1836" s="95"/>
      <c r="X1836" s="95"/>
      <c r="Y1836" s="95"/>
      <c r="Z1836" s="95"/>
      <c r="AA1836" s="95"/>
      <c r="AB1836" s="95"/>
      <c r="AC1836" s="355"/>
      <c r="AD1836" s="355"/>
      <c r="AE1836" s="355"/>
      <c r="AF1836" s="94">
        <f t="shared" si="247"/>
        <v>43404</v>
      </c>
      <c r="AG1836" s="185">
        <f t="shared" si="251"/>
        <v>-1.0304961956538961E-2</v>
      </c>
      <c r="AH1836" s="339" t="str">
        <f>VLOOKUP(B1836,'MF PF'!A:B,2)</f>
        <v>FdMgt1</v>
      </c>
      <c r="AI1836" s="358">
        <f t="shared" si="248"/>
        <v>0</v>
      </c>
      <c r="AJ1836" s="94">
        <f t="shared" si="249"/>
        <v>43404</v>
      </c>
    </row>
    <row r="1837" spans="1:36" ht="12.75" customHeight="1">
      <c r="A1837" s="94">
        <v>43434</v>
      </c>
      <c r="B1837" s="358" t="s">
        <v>136</v>
      </c>
      <c r="C1837" s="358" t="s">
        <v>322</v>
      </c>
      <c r="D1837" s="374">
        <v>396509.72</v>
      </c>
      <c r="F1837" s="105">
        <v>0.25</v>
      </c>
      <c r="G1837" s="93">
        <v>0</v>
      </c>
      <c r="H1837" s="93">
        <v>0</v>
      </c>
      <c r="I1837" s="93">
        <v>0</v>
      </c>
      <c r="K1837" s="93">
        <v>0</v>
      </c>
      <c r="L1837" s="93">
        <f t="shared" si="245"/>
        <v>0</v>
      </c>
      <c r="M1837" s="95" t="e">
        <f t="shared" ca="1" si="246"/>
        <v>#DIV/0!</v>
      </c>
      <c r="N1837" s="95">
        <f>IF(P1837="Hedge Fund",IF(A1837=Summary!$AD$3,M1837-E1837,M1837),IF(A1837=Summary!$AD$3,L1837-D1837,L1837))</f>
        <v>0</v>
      </c>
      <c r="O1837" s="95">
        <f t="shared" si="250"/>
        <v>0</v>
      </c>
      <c r="P1837" s="95" t="s">
        <v>155</v>
      </c>
      <c r="Q1837" s="95">
        <v>0</v>
      </c>
      <c r="R1837" s="95">
        <v>0</v>
      </c>
      <c r="S1837" s="95"/>
      <c r="T1837" s="95"/>
      <c r="U1837" s="95"/>
      <c r="V1837" s="95"/>
      <c r="W1837" s="95"/>
      <c r="X1837" s="95"/>
      <c r="Y1837" s="95"/>
      <c r="Z1837" s="95"/>
      <c r="AA1837" s="95"/>
      <c r="AB1837" s="95"/>
      <c r="AC1837" s="355"/>
      <c r="AD1837" s="355"/>
      <c r="AE1837" s="355"/>
      <c r="AF1837" s="94">
        <f t="shared" si="247"/>
        <v>43434</v>
      </c>
      <c r="AG1837" s="185">
        <f t="shared" si="251"/>
        <v>1.4842572597920656E-2</v>
      </c>
      <c r="AH1837" s="339" t="str">
        <f>VLOOKUP(B1837,'MF PF'!A:B,2)</f>
        <v>FdMgt1</v>
      </c>
      <c r="AI1837" s="358">
        <f t="shared" si="248"/>
        <v>0</v>
      </c>
      <c r="AJ1837" s="94">
        <f t="shared" si="249"/>
        <v>43434</v>
      </c>
    </row>
    <row r="1838" spans="1:36" ht="12.75" customHeight="1">
      <c r="A1838" s="94">
        <v>43452</v>
      </c>
      <c r="B1838" s="358" t="s">
        <v>136</v>
      </c>
      <c r="C1838" s="358" t="s">
        <v>322</v>
      </c>
      <c r="D1838" s="93"/>
      <c r="F1838" s="93"/>
      <c r="G1838" s="93"/>
      <c r="H1838" s="93"/>
      <c r="I1838" s="93">
        <v>0</v>
      </c>
      <c r="K1838" s="93"/>
      <c r="L1838" s="93">
        <f t="shared" si="245"/>
        <v>0</v>
      </c>
      <c r="M1838" s="95" t="e">
        <f t="shared" ca="1" si="246"/>
        <v>#DIV/0!</v>
      </c>
      <c r="N1838" s="95">
        <f>IF(P1838="Hedge Fund",IF(A1838=Summary!$AD$3,M1838-E1838,M1838),IF(A1838=Summary!$AD$3,L1838-D1838,L1838))</f>
        <v>0</v>
      </c>
      <c r="O1838" s="95">
        <f t="shared" si="250"/>
        <v>0</v>
      </c>
      <c r="P1838" s="95" t="s">
        <v>155</v>
      </c>
      <c r="Q1838" s="95"/>
      <c r="R1838" s="95"/>
      <c r="S1838" s="95"/>
      <c r="T1838" s="95"/>
      <c r="U1838" s="95"/>
      <c r="V1838" s="95"/>
      <c r="W1838" s="95"/>
      <c r="X1838" s="95"/>
      <c r="Y1838" s="95"/>
      <c r="Z1838" s="95"/>
      <c r="AA1838" s="95"/>
      <c r="AB1838" s="95"/>
      <c r="AC1838" s="355"/>
      <c r="AD1838" s="355"/>
      <c r="AE1838" s="355"/>
      <c r="AF1838" s="94">
        <f t="shared" si="247"/>
        <v>43452</v>
      </c>
      <c r="AG1838" s="185">
        <f t="shared" si="251"/>
        <v>-1</v>
      </c>
      <c r="AH1838" s="339" t="str">
        <f>VLOOKUP(B1838,'MF PF'!A:B,2)</f>
        <v>FdMgt1</v>
      </c>
      <c r="AI1838" s="358">
        <f t="shared" si="248"/>
        <v>0</v>
      </c>
      <c r="AJ1838" s="94">
        <f t="shared" si="249"/>
        <v>43465</v>
      </c>
    </row>
    <row r="1839" spans="1:36" ht="12.75" customHeight="1">
      <c r="A1839" s="94">
        <v>43465</v>
      </c>
      <c r="B1839" s="358" t="s">
        <v>136</v>
      </c>
      <c r="C1839" s="358" t="s">
        <v>322</v>
      </c>
      <c r="D1839" s="93">
        <v>408228.37</v>
      </c>
      <c r="F1839" s="93">
        <v>0.25</v>
      </c>
      <c r="G1839" s="93">
        <v>0</v>
      </c>
      <c r="H1839" s="93">
        <v>0</v>
      </c>
      <c r="I1839" s="93">
        <v>0</v>
      </c>
      <c r="K1839" s="93">
        <v>0</v>
      </c>
      <c r="L1839" s="93">
        <f t="shared" si="245"/>
        <v>0</v>
      </c>
      <c r="M1839" s="95" t="e">
        <f t="shared" ca="1" si="246"/>
        <v>#DIV/0!</v>
      </c>
      <c r="N1839" s="95">
        <f>IF(P1839="Hedge Fund",IF(A1839=Summary!$AD$3,M1839-E1839,M1839),IF(A1839=Summary!$AD$3,L1839-D1839,L1839))</f>
        <v>0</v>
      </c>
      <c r="O1839" s="95">
        <f t="shared" si="250"/>
        <v>0</v>
      </c>
      <c r="P1839" s="95" t="s">
        <v>155</v>
      </c>
      <c r="Q1839" s="95">
        <v>0</v>
      </c>
      <c r="R1839" s="95">
        <v>0</v>
      </c>
      <c r="S1839" s="95"/>
      <c r="T1839" s="95"/>
      <c r="U1839" s="95"/>
      <c r="V1839" s="95"/>
      <c r="W1839" s="95"/>
      <c r="X1839" s="95"/>
      <c r="Y1839" s="95"/>
      <c r="Z1839" s="95"/>
      <c r="AA1839" s="95"/>
      <c r="AB1839" s="95"/>
      <c r="AC1839" s="355"/>
      <c r="AD1839" s="355"/>
      <c r="AE1839" s="355"/>
      <c r="AF1839" s="94">
        <f t="shared" si="247"/>
        <v>43465</v>
      </c>
      <c r="AG1839" s="185" t="e">
        <f t="shared" si="251"/>
        <v>#DIV/0!</v>
      </c>
      <c r="AH1839" s="339" t="str">
        <f>VLOOKUP(B1839,'MF PF'!A:B,2)</f>
        <v>FdMgt1</v>
      </c>
      <c r="AI1839" s="358">
        <f t="shared" si="248"/>
        <v>0</v>
      </c>
      <c r="AJ1839" s="94">
        <f t="shared" si="249"/>
        <v>43465</v>
      </c>
    </row>
    <row r="1840" spans="1:36" ht="12.75" customHeight="1">
      <c r="A1840" s="94">
        <v>43487</v>
      </c>
      <c r="B1840" s="358" t="s">
        <v>136</v>
      </c>
      <c r="C1840" s="358" t="s">
        <v>322</v>
      </c>
      <c r="D1840" s="93"/>
      <c r="F1840" s="93"/>
      <c r="G1840" s="93"/>
      <c r="H1840" s="93"/>
      <c r="I1840" s="93">
        <v>-3689.5601242115135</v>
      </c>
      <c r="K1840" s="93"/>
      <c r="L1840" s="93">
        <f t="shared" si="245"/>
        <v>-3689.5601242115135</v>
      </c>
      <c r="M1840" s="95" t="e">
        <f t="shared" ca="1" si="246"/>
        <v>#DIV/0!</v>
      </c>
      <c r="N1840" s="95">
        <f>IF(P1840="Hedge Fund",IF(A1840=Summary!$AD$3,M1840-E1840,M1840),IF(A1840=Summary!$AD$3,L1840-D1840,L1840))</f>
        <v>-3689.5601242115135</v>
      </c>
      <c r="O1840" s="95">
        <f t="shared" si="250"/>
        <v>-3689.5601242115135</v>
      </c>
      <c r="P1840" s="95" t="s">
        <v>155</v>
      </c>
      <c r="Q1840" s="95"/>
      <c r="R1840" s="95"/>
      <c r="S1840" s="95"/>
      <c r="T1840" s="95"/>
      <c r="U1840" s="95"/>
      <c r="V1840" s="95"/>
      <c r="W1840" s="95"/>
      <c r="X1840" s="95"/>
      <c r="Y1840" s="95"/>
      <c r="Z1840" s="95"/>
      <c r="AA1840" s="95"/>
      <c r="AB1840" s="95"/>
      <c r="AC1840" s="355"/>
      <c r="AD1840" s="355"/>
      <c r="AE1840" s="355"/>
      <c r="AF1840" s="94">
        <f t="shared" si="247"/>
        <v>43487</v>
      </c>
      <c r="AG1840" s="185">
        <f t="shared" si="251"/>
        <v>-0.9909620193123484</v>
      </c>
      <c r="AH1840" s="339" t="str">
        <f>VLOOKUP(B1840,'MF PF'!A:B,2)</f>
        <v>FdMgt1</v>
      </c>
      <c r="AI1840" s="358">
        <f t="shared" si="248"/>
        <v>0</v>
      </c>
      <c r="AJ1840" s="94">
        <f t="shared" si="249"/>
        <v>43496</v>
      </c>
    </row>
    <row r="1841" spans="1:36" ht="12.75" customHeight="1">
      <c r="A1841" s="94">
        <v>43496</v>
      </c>
      <c r="B1841" s="358" t="s">
        <v>136</v>
      </c>
      <c r="C1841" s="358" t="s">
        <v>322</v>
      </c>
      <c r="D1841" s="93">
        <v>402833.37</v>
      </c>
      <c r="F1841" s="93">
        <v>0.25</v>
      </c>
      <c r="G1841" s="93">
        <v>0</v>
      </c>
      <c r="H1841" s="93">
        <v>0</v>
      </c>
      <c r="I1841" s="93">
        <v>0</v>
      </c>
      <c r="K1841" s="93">
        <v>0</v>
      </c>
      <c r="L1841" s="93">
        <f t="shared" si="245"/>
        <v>0</v>
      </c>
      <c r="M1841" s="95" t="e">
        <f t="shared" ca="1" si="246"/>
        <v>#DIV/0!</v>
      </c>
      <c r="N1841" s="95">
        <f>IF(P1841="Hedge Fund",IF(A1841=Summary!$AD$3,M1841-E1841,M1841),IF(A1841=Summary!$AD$3,L1841-D1841,L1841))</f>
        <v>-402833.37</v>
      </c>
      <c r="O1841" s="95">
        <f t="shared" si="250"/>
        <v>-402833.37</v>
      </c>
      <c r="P1841" s="95" t="s">
        <v>155</v>
      </c>
      <c r="Q1841" s="95">
        <v>0</v>
      </c>
      <c r="R1841" s="95">
        <v>0</v>
      </c>
      <c r="S1841" s="95"/>
      <c r="T1841" s="95"/>
      <c r="U1841" s="95"/>
      <c r="V1841" s="95"/>
      <c r="W1841" s="95"/>
      <c r="X1841" s="95"/>
      <c r="Y1841" s="95"/>
      <c r="Z1841" s="95"/>
      <c r="AA1841" s="95"/>
      <c r="AB1841" s="95"/>
      <c r="AC1841" s="355"/>
      <c r="AD1841" s="355"/>
      <c r="AE1841" s="355"/>
      <c r="AF1841" s="94">
        <f t="shared" si="247"/>
        <v>43496</v>
      </c>
      <c r="AG1841" s="185" t="e">
        <f t="shared" si="251"/>
        <v>#DIV/0!</v>
      </c>
      <c r="AH1841" s="339" t="str">
        <f>VLOOKUP(B1841,'MF PF'!A:B,2)</f>
        <v>FdMgt1</v>
      </c>
      <c r="AI1841" s="358">
        <f t="shared" si="248"/>
        <v>0</v>
      </c>
      <c r="AJ1841" s="94">
        <f t="shared" si="249"/>
        <v>43496</v>
      </c>
    </row>
    <row r="1842" spans="1:36" ht="12.75" customHeight="1">
      <c r="A1842" s="94">
        <v>41856</v>
      </c>
      <c r="B1842" s="94" t="s">
        <v>136</v>
      </c>
      <c r="C1842" s="358" t="s">
        <v>323</v>
      </c>
      <c r="D1842" s="374">
        <v>171000</v>
      </c>
      <c r="E1842" s="9" t="e">
        <f t="shared" ref="E1842:E1873" si="253">D1842/K1842</f>
        <v>#DIV/0!</v>
      </c>
      <c r="F1842" s="98">
        <v>1.5</v>
      </c>
      <c r="G1842" s="98">
        <v>171000</v>
      </c>
      <c r="H1842" s="98">
        <v>0</v>
      </c>
      <c r="I1842" s="98">
        <v>0</v>
      </c>
      <c r="J1842" s="98"/>
      <c r="K1842" s="93"/>
      <c r="L1842" s="93">
        <f t="shared" si="245"/>
        <v>171000</v>
      </c>
      <c r="M1842" s="95" t="e">
        <f t="shared" ca="1" si="246"/>
        <v>#DIV/0!</v>
      </c>
      <c r="N1842" s="95">
        <f>IF(P1842="Hedge Fund",IF(A1842=Summary!$AD$3,M1842-E1842,M1842),IF(A1842=Summary!$AD$3,L1842-D1842,L1842))</f>
        <v>171000</v>
      </c>
      <c r="O1842" s="95">
        <f t="shared" si="250"/>
        <v>171000</v>
      </c>
      <c r="P1842" s="89" t="s">
        <v>155</v>
      </c>
      <c r="Q1842" s="107">
        <v>0</v>
      </c>
      <c r="R1842" s="107">
        <v>0</v>
      </c>
      <c r="S1842" s="107">
        <v>0</v>
      </c>
      <c r="T1842" s="107">
        <v>0</v>
      </c>
      <c r="U1842" s="107"/>
      <c r="V1842" s="107"/>
      <c r="W1842" s="107"/>
      <c r="X1842" s="107"/>
      <c r="Y1842" s="107"/>
      <c r="Z1842" s="107"/>
      <c r="AA1842" s="107"/>
      <c r="AB1842" s="107"/>
      <c r="AC1842" s="355"/>
      <c r="AD1842" s="355"/>
      <c r="AE1842" s="355"/>
      <c r="AF1842" s="94">
        <f t="shared" si="247"/>
        <v>41856</v>
      </c>
      <c r="AG1842" s="185">
        <f t="shared" si="251"/>
        <v>0</v>
      </c>
      <c r="AH1842" s="339" t="str">
        <f>VLOOKUP(B1842,'MF PF'!A:B,2)</f>
        <v>FdMgt1</v>
      </c>
      <c r="AI1842" s="358">
        <f t="shared" si="248"/>
        <v>0</v>
      </c>
      <c r="AJ1842" s="94">
        <f t="shared" si="249"/>
        <v>41882</v>
      </c>
    </row>
    <row r="1843" spans="1:36" ht="12.75" customHeight="1">
      <c r="A1843" s="94">
        <v>41870</v>
      </c>
      <c r="B1843" s="94" t="s">
        <v>136</v>
      </c>
      <c r="C1843" s="358" t="s">
        <v>323</v>
      </c>
      <c r="D1843" s="374">
        <v>379500</v>
      </c>
      <c r="E1843" s="9" t="e">
        <f t="shared" si="253"/>
        <v>#DIV/0!</v>
      </c>
      <c r="F1843" s="98">
        <v>1.5</v>
      </c>
      <c r="G1843" s="98">
        <v>208500</v>
      </c>
      <c r="H1843" s="98">
        <v>0</v>
      </c>
      <c r="I1843" s="98">
        <v>0</v>
      </c>
      <c r="J1843" s="98"/>
      <c r="K1843" s="93"/>
      <c r="L1843" s="93">
        <f t="shared" si="245"/>
        <v>208500</v>
      </c>
      <c r="M1843" s="95" t="e">
        <f t="shared" ca="1" si="246"/>
        <v>#DIV/0!</v>
      </c>
      <c r="N1843" s="95">
        <f>IF(P1843="Hedge Fund",IF(A1843=Summary!$AD$3,M1843-E1843,M1843),IF(A1843=Summary!$AD$3,L1843-D1843,L1843))</f>
        <v>208500</v>
      </c>
      <c r="O1843" s="95">
        <f t="shared" si="250"/>
        <v>208500</v>
      </c>
      <c r="P1843" s="89" t="s">
        <v>155</v>
      </c>
      <c r="Q1843" s="107">
        <v>0</v>
      </c>
      <c r="R1843" s="107">
        <v>0</v>
      </c>
      <c r="S1843" s="107">
        <v>0</v>
      </c>
      <c r="T1843" s="107">
        <v>0</v>
      </c>
      <c r="U1843" s="107"/>
      <c r="V1843" s="107"/>
      <c r="W1843" s="107"/>
      <c r="X1843" s="107"/>
      <c r="Y1843" s="107"/>
      <c r="Z1843" s="107"/>
      <c r="AA1843" s="107"/>
      <c r="AB1843" s="107"/>
      <c r="AC1843" s="355"/>
      <c r="AD1843" s="355"/>
      <c r="AE1843" s="355"/>
      <c r="AF1843" s="94">
        <f t="shared" si="247"/>
        <v>41870</v>
      </c>
      <c r="AG1843" s="185">
        <f t="shared" si="251"/>
        <v>0</v>
      </c>
      <c r="AH1843" s="339" t="str">
        <f>VLOOKUP(B1843,'MF PF'!A:B,2)</f>
        <v>FdMgt1</v>
      </c>
      <c r="AI1843" s="358">
        <f t="shared" si="248"/>
        <v>0</v>
      </c>
      <c r="AJ1843" s="94">
        <f t="shared" si="249"/>
        <v>41882</v>
      </c>
    </row>
    <row r="1844" spans="1:36" ht="12.75" customHeight="1">
      <c r="A1844" s="94">
        <v>41880</v>
      </c>
      <c r="B1844" s="94" t="s">
        <v>136</v>
      </c>
      <c r="C1844" s="358" t="s">
        <v>323</v>
      </c>
      <c r="D1844" s="374">
        <v>370421.75</v>
      </c>
      <c r="E1844" s="9" t="e">
        <f t="shared" si="253"/>
        <v>#DIV/0!</v>
      </c>
      <c r="F1844" s="98">
        <v>1.5</v>
      </c>
      <c r="G1844" s="98">
        <v>0</v>
      </c>
      <c r="H1844" s="98">
        <v>0</v>
      </c>
      <c r="I1844" s="98">
        <v>0</v>
      </c>
      <c r="J1844" s="98"/>
      <c r="K1844" s="93"/>
      <c r="L1844" s="93">
        <f t="shared" si="245"/>
        <v>0</v>
      </c>
      <c r="M1844" s="95" t="e">
        <f t="shared" ca="1" si="246"/>
        <v>#DIV/0!</v>
      </c>
      <c r="N1844" s="95">
        <f>IF(P1844="Hedge Fund",IF(A1844=Summary!$AD$3,M1844-E1844,M1844),IF(A1844=Summary!$AD$3,L1844-D1844,L1844))</f>
        <v>0</v>
      </c>
      <c r="O1844" s="95">
        <f t="shared" si="250"/>
        <v>0</v>
      </c>
      <c r="P1844" s="89" t="s">
        <v>155</v>
      </c>
      <c r="Q1844" s="107">
        <v>0</v>
      </c>
      <c r="R1844" s="107">
        <v>0</v>
      </c>
      <c r="S1844" s="107">
        <v>0</v>
      </c>
      <c r="T1844" s="107">
        <v>0</v>
      </c>
      <c r="U1844" s="107"/>
      <c r="V1844" s="107"/>
      <c r="W1844" s="107"/>
      <c r="X1844" s="107"/>
      <c r="Y1844" s="107"/>
      <c r="Z1844" s="107"/>
      <c r="AA1844" s="107"/>
      <c r="AB1844" s="107"/>
      <c r="AC1844" s="355"/>
      <c r="AD1844" s="355"/>
      <c r="AE1844" s="355"/>
      <c r="AF1844" s="94">
        <f t="shared" si="247"/>
        <v>41880</v>
      </c>
      <c r="AG1844" s="185">
        <f t="shared" si="251"/>
        <v>-2.3921607378129095E-2</v>
      </c>
      <c r="AH1844" s="339" t="str">
        <f>VLOOKUP(B1844,'MF PF'!A:B,2)</f>
        <v>FdMgt1</v>
      </c>
      <c r="AI1844" s="358">
        <f t="shared" si="248"/>
        <v>0</v>
      </c>
      <c r="AJ1844" s="94">
        <f t="shared" si="249"/>
        <v>41882</v>
      </c>
    </row>
    <row r="1845" spans="1:36" ht="12.75" customHeight="1">
      <c r="A1845" s="94">
        <v>41912</v>
      </c>
      <c r="B1845" s="94" t="s">
        <v>136</v>
      </c>
      <c r="C1845" s="358" t="s">
        <v>323</v>
      </c>
      <c r="D1845" s="374">
        <v>365516.54</v>
      </c>
      <c r="E1845" s="9" t="e">
        <f t="shared" si="253"/>
        <v>#DIV/0!</v>
      </c>
      <c r="F1845" s="98">
        <v>1.5</v>
      </c>
      <c r="G1845" s="98">
        <v>0</v>
      </c>
      <c r="H1845" s="98">
        <v>0</v>
      </c>
      <c r="I1845" s="98">
        <v>0</v>
      </c>
      <c r="J1845" s="98"/>
      <c r="K1845" s="93"/>
      <c r="L1845" s="93">
        <f t="shared" si="245"/>
        <v>0</v>
      </c>
      <c r="M1845" s="95" t="e">
        <f t="shared" ca="1" si="246"/>
        <v>#DIV/0!</v>
      </c>
      <c r="N1845" s="95">
        <f>IF(P1845="Hedge Fund",IF(A1845=Summary!$AD$3,M1845-E1845,M1845),IF(A1845=Summary!$AD$3,L1845-D1845,L1845))</f>
        <v>0</v>
      </c>
      <c r="O1845" s="95">
        <f t="shared" si="250"/>
        <v>0</v>
      </c>
      <c r="P1845" s="89" t="s">
        <v>155</v>
      </c>
      <c r="Q1845" s="107">
        <v>0</v>
      </c>
      <c r="R1845" s="107">
        <v>0</v>
      </c>
      <c r="S1845" s="107">
        <v>0</v>
      </c>
      <c r="T1845" s="107">
        <v>0</v>
      </c>
      <c r="U1845" s="107"/>
      <c r="V1845" s="107"/>
      <c r="W1845" s="107"/>
      <c r="X1845" s="107"/>
      <c r="Y1845" s="107"/>
      <c r="Z1845" s="107"/>
      <c r="AA1845" s="107"/>
      <c r="AB1845" s="107"/>
      <c r="AC1845" s="355"/>
      <c r="AD1845" s="355"/>
      <c r="AE1845" s="355"/>
      <c r="AF1845" s="94">
        <f t="shared" si="247"/>
        <v>41912</v>
      </c>
      <c r="AG1845" s="185">
        <f t="shared" si="251"/>
        <v>-1.3242229971647257E-2</v>
      </c>
      <c r="AH1845" s="339" t="str">
        <f>VLOOKUP(B1845,'MF PF'!A:B,2)</f>
        <v>FdMgt1</v>
      </c>
      <c r="AI1845" s="358">
        <f t="shared" si="248"/>
        <v>0</v>
      </c>
      <c r="AJ1845" s="94">
        <f t="shared" si="249"/>
        <v>41912</v>
      </c>
    </row>
    <row r="1846" spans="1:36" ht="12.75" customHeight="1">
      <c r="A1846" s="94">
        <v>41943</v>
      </c>
      <c r="B1846" s="94" t="s">
        <v>136</v>
      </c>
      <c r="C1846" s="358" t="s">
        <v>323</v>
      </c>
      <c r="D1846" s="374">
        <v>622083.77</v>
      </c>
      <c r="E1846" s="9" t="e">
        <f t="shared" si="253"/>
        <v>#DIV/0!</v>
      </c>
      <c r="F1846" s="98">
        <v>1.5</v>
      </c>
      <c r="G1846" s="98">
        <v>253500</v>
      </c>
      <c r="H1846" s="98">
        <v>0</v>
      </c>
      <c r="I1846" s="98">
        <v>0</v>
      </c>
      <c r="J1846" s="98"/>
      <c r="K1846" s="93"/>
      <c r="L1846" s="93">
        <f t="shared" si="245"/>
        <v>253500</v>
      </c>
      <c r="M1846" s="95" t="e">
        <f t="shared" ca="1" si="246"/>
        <v>#DIV/0!</v>
      </c>
      <c r="N1846" s="95">
        <f>IF(P1846="Hedge Fund",IF(A1846=Summary!$AD$3,M1846-E1846,M1846),IF(A1846=Summary!$AD$3,L1846-D1846,L1846))</f>
        <v>253500</v>
      </c>
      <c r="O1846" s="95">
        <f t="shared" si="250"/>
        <v>253500</v>
      </c>
      <c r="P1846" s="89" t="s">
        <v>155</v>
      </c>
      <c r="Q1846" s="107">
        <v>0</v>
      </c>
      <c r="R1846" s="107">
        <v>0</v>
      </c>
      <c r="S1846" s="107">
        <v>0</v>
      </c>
      <c r="T1846" s="107">
        <v>0</v>
      </c>
      <c r="U1846" s="107"/>
      <c r="V1846" s="107"/>
      <c r="W1846" s="107"/>
      <c r="X1846" s="107"/>
      <c r="Y1846" s="107"/>
      <c r="Z1846" s="107"/>
      <c r="AA1846" s="107"/>
      <c r="AB1846" s="107"/>
      <c r="AC1846" s="355"/>
      <c r="AD1846" s="355"/>
      <c r="AE1846" s="355"/>
      <c r="AF1846" s="94">
        <f t="shared" si="247"/>
        <v>41943</v>
      </c>
      <c r="AG1846" s="185">
        <f t="shared" si="251"/>
        <v>8.3914944040563988E-3</v>
      </c>
      <c r="AH1846" s="339" t="str">
        <f>VLOOKUP(B1846,'MF PF'!A:B,2)</f>
        <v>FdMgt1</v>
      </c>
      <c r="AI1846" s="358">
        <f t="shared" si="248"/>
        <v>0</v>
      </c>
      <c r="AJ1846" s="94">
        <f t="shared" si="249"/>
        <v>41943</v>
      </c>
    </row>
    <row r="1847" spans="1:36" ht="12.75" customHeight="1">
      <c r="A1847" s="94">
        <v>41971</v>
      </c>
      <c r="B1847" s="94" t="s">
        <v>136</v>
      </c>
      <c r="C1847" s="358" t="s">
        <v>323</v>
      </c>
      <c r="D1847" s="374">
        <v>634771.78249999997</v>
      </c>
      <c r="E1847" s="9" t="e">
        <f t="shared" si="253"/>
        <v>#DIV/0!</v>
      </c>
      <c r="F1847" s="98">
        <v>1.5</v>
      </c>
      <c r="G1847" s="98">
        <v>0</v>
      </c>
      <c r="H1847" s="98">
        <v>0</v>
      </c>
      <c r="I1847" s="98">
        <v>0</v>
      </c>
      <c r="J1847" s="98"/>
      <c r="K1847" s="93"/>
      <c r="L1847" s="93">
        <f t="shared" si="245"/>
        <v>0</v>
      </c>
      <c r="M1847" s="95" t="e">
        <f t="shared" ca="1" si="246"/>
        <v>#DIV/0!</v>
      </c>
      <c r="N1847" s="95">
        <f>IF(P1847="Hedge Fund",IF(A1847=Summary!$AD$3,M1847-E1847,M1847),IF(A1847=Summary!$AD$3,L1847-D1847,L1847))</f>
        <v>0</v>
      </c>
      <c r="O1847" s="95">
        <f t="shared" si="250"/>
        <v>0</v>
      </c>
      <c r="P1847" s="89" t="s">
        <v>155</v>
      </c>
      <c r="Q1847" s="107">
        <v>0</v>
      </c>
      <c r="R1847" s="107">
        <v>0</v>
      </c>
      <c r="S1847" s="107">
        <v>0</v>
      </c>
      <c r="T1847" s="107">
        <v>0</v>
      </c>
      <c r="U1847" s="107"/>
      <c r="V1847" s="107"/>
      <c r="W1847" s="107"/>
      <c r="X1847" s="107"/>
      <c r="Y1847" s="107"/>
      <c r="Z1847" s="107"/>
      <c r="AA1847" s="107"/>
      <c r="AB1847" s="107"/>
      <c r="AC1847" s="355"/>
      <c r="AD1847" s="355"/>
      <c r="AE1847" s="355"/>
      <c r="AF1847" s="94">
        <f t="shared" si="247"/>
        <v>41971</v>
      </c>
      <c r="AG1847" s="185">
        <f t="shared" si="251"/>
        <v>2.0395987022776563E-2</v>
      </c>
      <c r="AH1847" s="339" t="str">
        <f>VLOOKUP(B1847,'MF PF'!A:B,2)</f>
        <v>FdMgt1</v>
      </c>
      <c r="AI1847" s="358">
        <f t="shared" si="248"/>
        <v>0</v>
      </c>
      <c r="AJ1847" s="94">
        <f t="shared" si="249"/>
        <v>41973</v>
      </c>
    </row>
    <row r="1848" spans="1:36" ht="12.75" customHeight="1">
      <c r="A1848" s="94">
        <v>42004</v>
      </c>
      <c r="B1848" s="94" t="s">
        <v>136</v>
      </c>
      <c r="C1848" s="358" t="s">
        <v>323</v>
      </c>
      <c r="D1848" s="374">
        <v>631909.4</v>
      </c>
      <c r="E1848" s="9" t="e">
        <f t="shared" si="253"/>
        <v>#DIV/0!</v>
      </c>
      <c r="F1848" s="98">
        <v>1.5</v>
      </c>
      <c r="G1848" s="98">
        <v>0</v>
      </c>
      <c r="H1848" s="98">
        <v>0</v>
      </c>
      <c r="I1848" s="98">
        <v>0</v>
      </c>
      <c r="J1848" s="98"/>
      <c r="K1848" s="93"/>
      <c r="L1848" s="93">
        <f t="shared" si="245"/>
        <v>0</v>
      </c>
      <c r="M1848" s="95" t="e">
        <f t="shared" ca="1" si="246"/>
        <v>#DIV/0!</v>
      </c>
      <c r="N1848" s="95">
        <f>IF(P1848="Hedge Fund",IF(A1848=Summary!$AD$3,M1848-E1848,M1848),IF(A1848=Summary!$AD$3,L1848-D1848,L1848))</f>
        <v>0</v>
      </c>
      <c r="O1848" s="95">
        <f t="shared" si="250"/>
        <v>0</v>
      </c>
      <c r="P1848" s="107" t="s">
        <v>155</v>
      </c>
      <c r="Q1848" s="107">
        <v>0</v>
      </c>
      <c r="R1848" s="107">
        <v>0</v>
      </c>
      <c r="S1848" s="107">
        <v>0</v>
      </c>
      <c r="T1848" s="107">
        <v>0</v>
      </c>
      <c r="U1848" s="107"/>
      <c r="V1848" s="107"/>
      <c r="W1848" s="107"/>
      <c r="X1848" s="107"/>
      <c r="Y1848" s="107"/>
      <c r="Z1848" s="107"/>
      <c r="AA1848" s="107"/>
      <c r="AB1848" s="107"/>
      <c r="AC1848" s="355"/>
      <c r="AD1848" s="355"/>
      <c r="AE1848" s="355"/>
      <c r="AF1848" s="94">
        <f t="shared" si="247"/>
        <v>42004</v>
      </c>
      <c r="AG1848" s="185">
        <f t="shared" si="251"/>
        <v>-4.5093096116003428E-3</v>
      </c>
      <c r="AH1848" s="339" t="str">
        <f>VLOOKUP(B1848,'MF PF'!A:B,2)</f>
        <v>FdMgt1</v>
      </c>
      <c r="AI1848" s="358">
        <f t="shared" si="248"/>
        <v>0</v>
      </c>
      <c r="AJ1848" s="94">
        <f t="shared" si="249"/>
        <v>42004</v>
      </c>
    </row>
    <row r="1849" spans="1:36" ht="12.75" customHeight="1">
      <c r="A1849" s="94">
        <v>42034</v>
      </c>
      <c r="B1849" s="94" t="s">
        <v>136</v>
      </c>
      <c r="C1849" s="358" t="s">
        <v>323</v>
      </c>
      <c r="D1849" s="374">
        <v>833005.94550000003</v>
      </c>
      <c r="E1849" s="9" t="e">
        <f t="shared" si="253"/>
        <v>#DIV/0!</v>
      </c>
      <c r="F1849" s="98">
        <v>1.5</v>
      </c>
      <c r="G1849" s="98">
        <v>174000</v>
      </c>
      <c r="H1849" s="98">
        <v>0</v>
      </c>
      <c r="I1849" s="98">
        <v>0</v>
      </c>
      <c r="J1849" s="98"/>
      <c r="K1849" s="93"/>
      <c r="L1849" s="93">
        <f t="shared" si="245"/>
        <v>174000</v>
      </c>
      <c r="M1849" s="95" t="e">
        <f t="shared" ca="1" si="246"/>
        <v>#DIV/0!</v>
      </c>
      <c r="N1849" s="95">
        <f>IF(P1849="Hedge Fund",IF(A1849=Summary!$AD$3,M1849-E1849,M1849),IF(A1849=Summary!$AD$3,L1849-D1849,L1849))</f>
        <v>174000</v>
      </c>
      <c r="O1849" s="95">
        <f t="shared" si="250"/>
        <v>174000</v>
      </c>
      <c r="P1849" s="107" t="s">
        <v>155</v>
      </c>
      <c r="Q1849" s="107">
        <v>0</v>
      </c>
      <c r="R1849" s="107">
        <v>0</v>
      </c>
      <c r="S1849" s="107">
        <v>0</v>
      </c>
      <c r="T1849" s="107">
        <v>0</v>
      </c>
      <c r="U1849" s="107"/>
      <c r="V1849" s="107"/>
      <c r="W1849" s="107"/>
      <c r="X1849" s="107"/>
      <c r="Y1849" s="107"/>
      <c r="Z1849" s="107"/>
      <c r="AA1849" s="107"/>
      <c r="AB1849" s="107"/>
      <c r="AC1849" s="355"/>
      <c r="AD1849" s="355"/>
      <c r="AE1849" s="355"/>
      <c r="AF1849" s="94">
        <f t="shared" si="247"/>
        <v>42034</v>
      </c>
      <c r="AG1849" s="185">
        <f t="shared" si="251"/>
        <v>4.2880427953754241E-2</v>
      </c>
      <c r="AH1849" s="339" t="str">
        <f>VLOOKUP(B1849,'MF PF'!A:B,2)</f>
        <v>FdMgt1</v>
      </c>
      <c r="AI1849" s="358">
        <f t="shared" si="248"/>
        <v>0</v>
      </c>
      <c r="AJ1849" s="94">
        <f t="shared" si="249"/>
        <v>42035</v>
      </c>
    </row>
    <row r="1850" spans="1:36" ht="12.75" customHeight="1">
      <c r="A1850" s="94">
        <v>42062</v>
      </c>
      <c r="B1850" s="94" t="s">
        <v>136</v>
      </c>
      <c r="C1850" s="358" t="s">
        <v>323</v>
      </c>
      <c r="D1850" s="374">
        <v>911053.33100000001</v>
      </c>
      <c r="E1850" s="9" t="e">
        <f t="shared" si="253"/>
        <v>#DIV/0!</v>
      </c>
      <c r="F1850" s="98">
        <v>1.5</v>
      </c>
      <c r="G1850" s="98">
        <v>69750</v>
      </c>
      <c r="H1850" s="98">
        <v>0</v>
      </c>
      <c r="I1850" s="98">
        <v>0</v>
      </c>
      <c r="J1850" s="98"/>
      <c r="K1850" s="93"/>
      <c r="L1850" s="93">
        <f t="shared" si="245"/>
        <v>69750</v>
      </c>
      <c r="M1850" s="95" t="e">
        <f t="shared" ca="1" si="246"/>
        <v>#DIV/0!</v>
      </c>
      <c r="N1850" s="95">
        <f>IF(P1850="Hedge Fund",IF(A1850=Summary!$AD$3,M1850-E1850,M1850),IF(A1850=Summary!$AD$3,L1850-D1850,L1850))</f>
        <v>69750</v>
      </c>
      <c r="O1850" s="95">
        <f t="shared" si="250"/>
        <v>69750</v>
      </c>
      <c r="P1850" s="107" t="s">
        <v>155</v>
      </c>
      <c r="Q1850" s="107">
        <v>0</v>
      </c>
      <c r="R1850" s="107">
        <v>0</v>
      </c>
      <c r="S1850" s="107">
        <v>0</v>
      </c>
      <c r="T1850" s="107">
        <v>0</v>
      </c>
      <c r="U1850" s="107"/>
      <c r="V1850" s="107"/>
      <c r="W1850" s="107"/>
      <c r="X1850" s="107"/>
      <c r="Y1850" s="107"/>
      <c r="Z1850" s="107"/>
      <c r="AA1850" s="107"/>
      <c r="AB1850" s="107"/>
      <c r="AC1850" s="355"/>
      <c r="AD1850" s="355"/>
      <c r="AE1850" s="355"/>
      <c r="AF1850" s="94">
        <f t="shared" si="247"/>
        <v>42062</v>
      </c>
      <c r="AG1850" s="185">
        <f t="shared" si="251"/>
        <v>9.9607758441861982E-3</v>
      </c>
      <c r="AH1850" s="339" t="str">
        <f>VLOOKUP(B1850,'MF PF'!A:B,2)</f>
        <v>FdMgt1</v>
      </c>
      <c r="AI1850" s="358">
        <f t="shared" si="248"/>
        <v>0</v>
      </c>
      <c r="AJ1850" s="94">
        <f t="shared" si="249"/>
        <v>42063</v>
      </c>
    </row>
    <row r="1851" spans="1:36" ht="12.75" customHeight="1">
      <c r="A1851" s="94">
        <v>42094</v>
      </c>
      <c r="B1851" s="94" t="s">
        <v>136</v>
      </c>
      <c r="C1851" s="358" t="s">
        <v>323</v>
      </c>
      <c r="D1851" s="374">
        <v>1033516.7045</v>
      </c>
      <c r="E1851" s="95" t="e">
        <f t="shared" si="253"/>
        <v>#DIV/0!</v>
      </c>
      <c r="F1851" s="98">
        <v>1.5</v>
      </c>
      <c r="G1851" s="98">
        <v>114000</v>
      </c>
      <c r="H1851" s="98">
        <v>0</v>
      </c>
      <c r="I1851" s="98">
        <v>0</v>
      </c>
      <c r="J1851" s="98"/>
      <c r="K1851" s="93"/>
      <c r="L1851" s="93">
        <f t="shared" si="245"/>
        <v>114000</v>
      </c>
      <c r="M1851" s="95" t="e">
        <f t="shared" ca="1" si="246"/>
        <v>#DIV/0!</v>
      </c>
      <c r="N1851" s="95">
        <f>IF(P1851="Hedge Fund",IF(A1851=Summary!$AD$3,M1851-E1851,M1851),IF(A1851=Summary!$AD$3,L1851-D1851,L1851))</f>
        <v>114000</v>
      </c>
      <c r="O1851" s="95">
        <f t="shared" si="250"/>
        <v>114000</v>
      </c>
      <c r="P1851" s="107" t="s">
        <v>155</v>
      </c>
      <c r="Q1851" s="107">
        <v>0</v>
      </c>
      <c r="R1851" s="107">
        <v>0</v>
      </c>
      <c r="S1851" s="107">
        <v>0</v>
      </c>
      <c r="T1851" s="107">
        <v>0</v>
      </c>
      <c r="U1851" s="107"/>
      <c r="V1851" s="107"/>
      <c r="W1851" s="107"/>
      <c r="X1851" s="107"/>
      <c r="Y1851" s="107"/>
      <c r="Z1851" s="107"/>
      <c r="AA1851" s="107"/>
      <c r="AB1851" s="107"/>
      <c r="AC1851" s="355"/>
      <c r="AD1851" s="355"/>
      <c r="AE1851" s="355"/>
      <c r="AF1851" s="94">
        <f t="shared" si="247"/>
        <v>42094</v>
      </c>
      <c r="AG1851" s="185">
        <f t="shared" si="251"/>
        <v>9.2896575996384012E-3</v>
      </c>
      <c r="AH1851" s="339" t="str">
        <f>VLOOKUP(B1851,'MF PF'!A:B,2)</f>
        <v>FdMgt1</v>
      </c>
      <c r="AI1851" s="358">
        <f t="shared" si="248"/>
        <v>0</v>
      </c>
      <c r="AJ1851" s="94">
        <f t="shared" si="249"/>
        <v>42094</v>
      </c>
    </row>
    <row r="1852" spans="1:36" ht="12.75" customHeight="1">
      <c r="A1852" s="94">
        <v>42124</v>
      </c>
      <c r="B1852" s="94" t="s">
        <v>136</v>
      </c>
      <c r="C1852" s="358" t="s">
        <v>323</v>
      </c>
      <c r="D1852" s="374">
        <v>1136860.0689999999</v>
      </c>
      <c r="E1852" s="9" t="e">
        <f t="shared" si="253"/>
        <v>#DIV/0!</v>
      </c>
      <c r="F1852" s="98">
        <v>1.5</v>
      </c>
      <c r="G1852" s="98">
        <v>15000</v>
      </c>
      <c r="H1852" s="98">
        <v>0</v>
      </c>
      <c r="I1852" s="98">
        <v>0</v>
      </c>
      <c r="J1852" s="98"/>
      <c r="K1852" s="93"/>
      <c r="L1852" s="93">
        <f t="shared" si="245"/>
        <v>15000</v>
      </c>
      <c r="M1852" s="95" t="e">
        <f t="shared" ca="1" si="246"/>
        <v>#DIV/0!</v>
      </c>
      <c r="N1852" s="95">
        <f>IF(P1852="Hedge Fund",IF(A1852=Summary!$AD$3,M1852-E1852,M1852),IF(A1852=Summary!$AD$3,L1852-D1852,L1852))</f>
        <v>15000</v>
      </c>
      <c r="O1852" s="95">
        <f t="shared" si="250"/>
        <v>15000</v>
      </c>
      <c r="P1852" s="107" t="s">
        <v>155</v>
      </c>
      <c r="Q1852" s="107">
        <v>0</v>
      </c>
      <c r="R1852" s="107">
        <v>0</v>
      </c>
      <c r="S1852" s="107">
        <v>0</v>
      </c>
      <c r="T1852" s="107">
        <v>0</v>
      </c>
      <c r="U1852" s="107"/>
      <c r="V1852" s="107"/>
      <c r="W1852" s="107"/>
      <c r="X1852" s="107"/>
      <c r="Y1852" s="107"/>
      <c r="Z1852" s="107"/>
      <c r="AA1852" s="107"/>
      <c r="AB1852" s="107"/>
      <c r="AC1852" s="355"/>
      <c r="AD1852" s="355"/>
      <c r="AE1852" s="355"/>
      <c r="AF1852" s="94">
        <f t="shared" si="247"/>
        <v>42124</v>
      </c>
      <c r="AG1852" s="185">
        <f t="shared" si="251"/>
        <v>8.5478409894438112E-2</v>
      </c>
      <c r="AH1852" s="339" t="str">
        <f>VLOOKUP(B1852,'MF PF'!A:B,2)</f>
        <v>FdMgt1</v>
      </c>
      <c r="AI1852" s="358">
        <f t="shared" si="248"/>
        <v>0</v>
      </c>
      <c r="AJ1852" s="94">
        <f t="shared" si="249"/>
        <v>42124</v>
      </c>
    </row>
    <row r="1853" spans="1:36" ht="12.75" customHeight="1">
      <c r="A1853" s="94">
        <v>42153</v>
      </c>
      <c r="B1853" s="94" t="s">
        <v>136</v>
      </c>
      <c r="C1853" s="358" t="s">
        <v>323</v>
      </c>
      <c r="D1853" s="374">
        <v>1171814.7520000001</v>
      </c>
      <c r="E1853" s="9" t="e">
        <f t="shared" si="253"/>
        <v>#DIV/0!</v>
      </c>
      <c r="F1853" s="98">
        <v>1.5</v>
      </c>
      <c r="G1853" s="98">
        <v>45000</v>
      </c>
      <c r="H1853" s="98">
        <v>0</v>
      </c>
      <c r="I1853" s="98">
        <v>0</v>
      </c>
      <c r="J1853" s="98"/>
      <c r="K1853" s="93"/>
      <c r="L1853" s="93">
        <f t="shared" si="245"/>
        <v>45000</v>
      </c>
      <c r="M1853" s="95" t="e">
        <f t="shared" ca="1" si="246"/>
        <v>#DIV/0!</v>
      </c>
      <c r="N1853" s="95">
        <f>IF(P1853="Hedge Fund",IF(A1853=Summary!$AD$3,M1853-E1853,M1853),IF(A1853=Summary!$AD$3,L1853-D1853,L1853))</f>
        <v>45000</v>
      </c>
      <c r="O1853" s="95">
        <f t="shared" si="250"/>
        <v>45000</v>
      </c>
      <c r="P1853" s="89" t="s">
        <v>155</v>
      </c>
      <c r="Q1853" s="107">
        <v>0</v>
      </c>
      <c r="R1853" s="107">
        <v>0</v>
      </c>
      <c r="S1853" s="107">
        <v>0</v>
      </c>
      <c r="T1853" s="107">
        <v>0</v>
      </c>
      <c r="U1853" s="107"/>
      <c r="V1853" s="107"/>
      <c r="W1853" s="107"/>
      <c r="X1853" s="107"/>
      <c r="Y1853" s="107"/>
      <c r="Z1853" s="107"/>
      <c r="AA1853" s="107"/>
      <c r="AB1853" s="107"/>
      <c r="AC1853" s="355"/>
      <c r="AD1853" s="355"/>
      <c r="AE1853" s="355"/>
      <c r="AF1853" s="94">
        <f t="shared" si="247"/>
        <v>42153</v>
      </c>
      <c r="AG1853" s="185">
        <f t="shared" si="251"/>
        <v>-8.8360188504429393E-3</v>
      </c>
      <c r="AH1853" s="339" t="str">
        <f>VLOOKUP(B1853,'MF PF'!A:B,2)</f>
        <v>FdMgt1</v>
      </c>
      <c r="AI1853" s="358">
        <f t="shared" si="248"/>
        <v>0</v>
      </c>
      <c r="AJ1853" s="94">
        <f t="shared" si="249"/>
        <v>42155</v>
      </c>
    </row>
    <row r="1854" spans="1:36" ht="12.75" customHeight="1">
      <c r="A1854" s="94">
        <v>42185</v>
      </c>
      <c r="B1854" s="94" t="s">
        <v>136</v>
      </c>
      <c r="C1854" s="358" t="s">
        <v>323</v>
      </c>
      <c r="D1854" s="374">
        <v>1151869.9609999999</v>
      </c>
      <c r="E1854" s="9" t="e">
        <f t="shared" si="253"/>
        <v>#DIV/0!</v>
      </c>
      <c r="F1854" s="98">
        <v>1.5</v>
      </c>
      <c r="G1854" s="98">
        <v>0</v>
      </c>
      <c r="H1854" s="98">
        <v>0</v>
      </c>
      <c r="I1854" s="98">
        <v>0</v>
      </c>
      <c r="J1854" s="98"/>
      <c r="K1854" s="93"/>
      <c r="L1854" s="93">
        <f t="shared" si="245"/>
        <v>0</v>
      </c>
      <c r="M1854" s="95" t="e">
        <f t="shared" ca="1" si="246"/>
        <v>#DIV/0!</v>
      </c>
      <c r="N1854" s="95">
        <f>IF(P1854="Hedge Fund",IF(A1854=Summary!$AD$3,M1854-E1854,M1854),IF(A1854=Summary!$AD$3,L1854-D1854,L1854))</f>
        <v>0</v>
      </c>
      <c r="O1854" s="95">
        <f t="shared" si="250"/>
        <v>0</v>
      </c>
      <c r="P1854" s="107" t="s">
        <v>155</v>
      </c>
      <c r="Q1854" s="107">
        <v>0</v>
      </c>
      <c r="R1854" s="107">
        <v>0</v>
      </c>
      <c r="S1854" s="107">
        <v>0</v>
      </c>
      <c r="T1854" s="107">
        <v>0</v>
      </c>
      <c r="U1854" s="107"/>
      <c r="V1854" s="107"/>
      <c r="W1854" s="107"/>
      <c r="X1854" s="107"/>
      <c r="Y1854" s="107"/>
      <c r="Z1854" s="107"/>
      <c r="AA1854" s="107"/>
      <c r="AB1854" s="107"/>
      <c r="AC1854" s="355"/>
      <c r="AD1854" s="355"/>
      <c r="AE1854" s="355"/>
      <c r="AF1854" s="94">
        <f t="shared" si="247"/>
        <v>42185</v>
      </c>
      <c r="AG1854" s="185">
        <f t="shared" si="251"/>
        <v>-1.7020430034661471E-2</v>
      </c>
      <c r="AH1854" s="339" t="str">
        <f>VLOOKUP(B1854,'MF PF'!A:B,2)</f>
        <v>FdMgt1</v>
      </c>
      <c r="AI1854" s="358">
        <f t="shared" si="248"/>
        <v>0</v>
      </c>
      <c r="AJ1854" s="94">
        <f t="shared" si="249"/>
        <v>42185</v>
      </c>
    </row>
    <row r="1855" spans="1:36" ht="12.75" customHeight="1">
      <c r="A1855" s="94">
        <v>42216</v>
      </c>
      <c r="B1855" s="94" t="s">
        <v>136</v>
      </c>
      <c r="C1855" s="358" t="s">
        <v>323</v>
      </c>
      <c r="D1855" s="374">
        <v>1175500.446</v>
      </c>
      <c r="E1855" s="9" t="e">
        <f t="shared" si="253"/>
        <v>#DIV/0!</v>
      </c>
      <c r="F1855" s="98">
        <v>1.5</v>
      </c>
      <c r="G1855" s="98">
        <v>43500</v>
      </c>
      <c r="H1855" s="98">
        <v>0</v>
      </c>
      <c r="I1855" s="98">
        <v>0</v>
      </c>
      <c r="J1855" s="98"/>
      <c r="K1855" s="93"/>
      <c r="L1855" s="93">
        <f t="shared" si="245"/>
        <v>43500</v>
      </c>
      <c r="M1855" s="95" t="e">
        <f t="shared" ca="1" si="246"/>
        <v>#DIV/0!</v>
      </c>
      <c r="N1855" s="95">
        <f>IF(P1855="Hedge Fund",IF(A1855=Summary!$AD$3,M1855-E1855,M1855),IF(A1855=Summary!$AD$3,L1855-D1855,L1855))</f>
        <v>43500</v>
      </c>
      <c r="O1855" s="95">
        <f t="shared" si="250"/>
        <v>43500</v>
      </c>
      <c r="P1855" s="89" t="s">
        <v>155</v>
      </c>
      <c r="Q1855" s="107">
        <v>0</v>
      </c>
      <c r="R1855" s="107">
        <v>0</v>
      </c>
      <c r="S1855" s="107">
        <v>0</v>
      </c>
      <c r="T1855" s="107">
        <v>0</v>
      </c>
      <c r="U1855" s="107"/>
      <c r="V1855" s="107"/>
      <c r="W1855" s="107"/>
      <c r="X1855" s="107"/>
      <c r="Y1855" s="107"/>
      <c r="Z1855" s="107"/>
      <c r="AA1855" s="107"/>
      <c r="AB1855" s="107"/>
      <c r="AC1855" s="355"/>
      <c r="AD1855" s="355"/>
      <c r="AE1855" s="355"/>
      <c r="AF1855" s="94">
        <f t="shared" si="247"/>
        <v>42216</v>
      </c>
      <c r="AG1855" s="185">
        <f t="shared" si="251"/>
        <v>-1.7249790056813485E-2</v>
      </c>
      <c r="AH1855" s="339" t="str">
        <f>VLOOKUP(B1855,'MF PF'!A:B,2)</f>
        <v>FdMgt1</v>
      </c>
      <c r="AI1855" s="358">
        <f t="shared" si="248"/>
        <v>0</v>
      </c>
      <c r="AJ1855" s="94">
        <f t="shared" si="249"/>
        <v>42216</v>
      </c>
    </row>
    <row r="1856" spans="1:36" ht="12.75" customHeight="1">
      <c r="A1856" s="94">
        <v>42247</v>
      </c>
      <c r="B1856" s="94" t="s">
        <v>136</v>
      </c>
      <c r="C1856" s="358" t="s">
        <v>323</v>
      </c>
      <c r="D1856" s="374">
        <v>1156899.301</v>
      </c>
      <c r="E1856" s="95" t="e">
        <f t="shared" si="253"/>
        <v>#DIV/0!</v>
      </c>
      <c r="F1856" s="98">
        <v>1.5</v>
      </c>
      <c r="G1856" s="98">
        <v>0</v>
      </c>
      <c r="H1856" s="98">
        <v>0</v>
      </c>
      <c r="I1856" s="98">
        <v>0</v>
      </c>
      <c r="J1856" s="98"/>
      <c r="K1856" s="93"/>
      <c r="L1856" s="93">
        <f t="shared" si="245"/>
        <v>0</v>
      </c>
      <c r="M1856" s="95" t="e">
        <f t="shared" ca="1" si="246"/>
        <v>#DIV/0!</v>
      </c>
      <c r="N1856" s="95">
        <f>IF(P1856="Hedge Fund",IF(A1856=Summary!$AD$3,M1856-E1856,M1856),IF(A1856=Summary!$AD$3,L1856-D1856,L1856))</f>
        <v>0</v>
      </c>
      <c r="O1856" s="95">
        <f t="shared" si="250"/>
        <v>0</v>
      </c>
      <c r="P1856" s="89" t="s">
        <v>155</v>
      </c>
      <c r="Q1856" s="107">
        <v>0</v>
      </c>
      <c r="R1856" s="107">
        <v>0</v>
      </c>
      <c r="S1856" s="107">
        <v>0</v>
      </c>
      <c r="T1856" s="107">
        <v>0</v>
      </c>
      <c r="U1856" s="107"/>
      <c r="V1856" s="107"/>
      <c r="W1856" s="107"/>
      <c r="X1856" s="107"/>
      <c r="Y1856" s="107"/>
      <c r="Z1856" s="107"/>
      <c r="AA1856" s="107"/>
      <c r="AB1856" s="107"/>
      <c r="AC1856" s="355"/>
      <c r="AD1856" s="355"/>
      <c r="AE1856" s="355"/>
      <c r="AF1856" s="94">
        <f t="shared" si="247"/>
        <v>42247</v>
      </c>
      <c r="AG1856" s="185">
        <f t="shared" si="251"/>
        <v>-1.5824022069320431E-2</v>
      </c>
      <c r="AH1856" s="339" t="str">
        <f>VLOOKUP(B1856,'MF PF'!A:B,2)</f>
        <v>FdMgt1</v>
      </c>
      <c r="AI1856" s="358">
        <f t="shared" si="248"/>
        <v>0</v>
      </c>
      <c r="AJ1856" s="94">
        <f t="shared" si="249"/>
        <v>42247</v>
      </c>
    </row>
    <row r="1857" spans="1:36" ht="12.75" customHeight="1">
      <c r="A1857" s="94">
        <v>42277</v>
      </c>
      <c r="B1857" s="94" t="s">
        <v>136</v>
      </c>
      <c r="C1857" s="358" t="s">
        <v>323</v>
      </c>
      <c r="D1857" s="374">
        <v>1160503.0120000001</v>
      </c>
      <c r="E1857" s="9" t="e">
        <f t="shared" si="253"/>
        <v>#DIV/0!</v>
      </c>
      <c r="F1857" s="98">
        <v>1.5</v>
      </c>
      <c r="G1857" s="98">
        <v>0</v>
      </c>
      <c r="H1857" s="98">
        <v>0</v>
      </c>
      <c r="I1857" s="98">
        <v>0</v>
      </c>
      <c r="J1857" s="98"/>
      <c r="K1857" s="93"/>
      <c r="L1857" s="93">
        <f t="shared" si="245"/>
        <v>0</v>
      </c>
      <c r="M1857" s="95" t="e">
        <f t="shared" ca="1" si="246"/>
        <v>#DIV/0!</v>
      </c>
      <c r="N1857" s="95">
        <f>IF(P1857="Hedge Fund",IF(A1857=Summary!$AD$3,M1857-E1857,M1857),IF(A1857=Summary!$AD$3,L1857-D1857,L1857))</f>
        <v>0</v>
      </c>
      <c r="O1857" s="95">
        <f t="shared" si="250"/>
        <v>0</v>
      </c>
      <c r="P1857" s="89" t="s">
        <v>155</v>
      </c>
      <c r="Q1857" s="107">
        <v>0</v>
      </c>
      <c r="R1857" s="107">
        <v>0</v>
      </c>
      <c r="S1857" s="107">
        <v>0</v>
      </c>
      <c r="T1857" s="107">
        <v>0</v>
      </c>
      <c r="U1857" s="107"/>
      <c r="V1857" s="107"/>
      <c r="W1857" s="107"/>
      <c r="X1857" s="107"/>
      <c r="Y1857" s="107"/>
      <c r="Z1857" s="107"/>
      <c r="AA1857" s="107"/>
      <c r="AB1857" s="107"/>
      <c r="AC1857" s="355"/>
      <c r="AD1857" s="355"/>
      <c r="AE1857" s="355"/>
      <c r="AF1857" s="94">
        <f t="shared" si="247"/>
        <v>42277</v>
      </c>
      <c r="AG1857" s="185">
        <f t="shared" si="251"/>
        <v>3.1149737897544494E-3</v>
      </c>
      <c r="AH1857" s="339" t="str">
        <f>VLOOKUP(B1857,'MF PF'!A:B,2)</f>
        <v>FdMgt1</v>
      </c>
      <c r="AI1857" s="358">
        <f t="shared" si="248"/>
        <v>0</v>
      </c>
      <c r="AJ1857" s="94">
        <f t="shared" si="249"/>
        <v>42277</v>
      </c>
    </row>
    <row r="1858" spans="1:36" ht="12.75" customHeight="1">
      <c r="A1858" s="94">
        <v>42307</v>
      </c>
      <c r="B1858" s="94" t="s">
        <v>136</v>
      </c>
      <c r="C1858" s="358" t="s">
        <v>323</v>
      </c>
      <c r="D1858" s="374">
        <v>1194984.061</v>
      </c>
      <c r="E1858" s="9" t="e">
        <f t="shared" si="253"/>
        <v>#DIV/0!</v>
      </c>
      <c r="F1858" s="98">
        <v>1.5</v>
      </c>
      <c r="G1858" s="98">
        <v>0</v>
      </c>
      <c r="H1858" s="98">
        <v>0</v>
      </c>
      <c r="I1858" s="98">
        <v>0</v>
      </c>
      <c r="J1858" s="98"/>
      <c r="K1858" s="93"/>
      <c r="L1858" s="93">
        <f t="shared" si="245"/>
        <v>0</v>
      </c>
      <c r="M1858" s="95" t="e">
        <f t="shared" ca="1" si="246"/>
        <v>#DIV/0!</v>
      </c>
      <c r="N1858" s="95">
        <f>IF(P1858="Hedge Fund",IF(A1858=Summary!$AD$3,M1858-E1858,M1858),IF(A1858=Summary!$AD$3,L1858-D1858,L1858))</f>
        <v>0</v>
      </c>
      <c r="O1858" s="95">
        <f t="shared" si="250"/>
        <v>0</v>
      </c>
      <c r="P1858" s="107" t="s">
        <v>155</v>
      </c>
      <c r="Q1858" s="107">
        <v>0</v>
      </c>
      <c r="R1858" s="107">
        <v>0</v>
      </c>
      <c r="S1858" s="107">
        <v>0</v>
      </c>
      <c r="T1858" s="107">
        <v>0</v>
      </c>
      <c r="U1858" s="107"/>
      <c r="V1858" s="107"/>
      <c r="W1858" s="107"/>
      <c r="X1858" s="107"/>
      <c r="Y1858" s="107"/>
      <c r="Z1858" s="107"/>
      <c r="AA1858" s="107"/>
      <c r="AB1858" s="107"/>
      <c r="AC1858" s="355"/>
      <c r="AD1858" s="355"/>
      <c r="AE1858" s="355"/>
      <c r="AF1858" s="94">
        <f t="shared" si="247"/>
        <v>42307</v>
      </c>
      <c r="AG1858" s="185">
        <f t="shared" si="251"/>
        <v>2.971215812751371E-2</v>
      </c>
      <c r="AH1858" s="339" t="str">
        <f>VLOOKUP(B1858,'MF PF'!A:B,2)</f>
        <v>FdMgt1</v>
      </c>
      <c r="AI1858" s="358">
        <f t="shared" si="248"/>
        <v>0</v>
      </c>
      <c r="AJ1858" s="94">
        <f t="shared" si="249"/>
        <v>42308</v>
      </c>
    </row>
    <row r="1859" spans="1:36" ht="12.75" customHeight="1">
      <c r="A1859" s="94">
        <v>42338</v>
      </c>
      <c r="B1859" s="94" t="s">
        <v>136</v>
      </c>
      <c r="C1859" s="358" t="s">
        <v>323</v>
      </c>
      <c r="D1859" s="374">
        <v>1251678.7405000001</v>
      </c>
      <c r="E1859" s="9" t="e">
        <f t="shared" si="253"/>
        <v>#DIV/0!</v>
      </c>
      <c r="F1859" s="98">
        <v>1.5</v>
      </c>
      <c r="G1859" s="98">
        <v>64500</v>
      </c>
      <c r="H1859" s="98">
        <v>0</v>
      </c>
      <c r="I1859" s="98">
        <v>0</v>
      </c>
      <c r="J1859" s="98"/>
      <c r="K1859" s="93"/>
      <c r="L1859" s="93">
        <f t="shared" ref="L1859:L1922" si="254">G1859+H1859+I1859</f>
        <v>64500</v>
      </c>
      <c r="M1859" s="95" t="e">
        <f t="shared" ref="M1859:M1922" ca="1" si="255">IF(A1859&gt;INDIRECT("A"&amp;ROW()-1),I1859/K1859,E1859)</f>
        <v>#DIV/0!</v>
      </c>
      <c r="N1859" s="95">
        <f>IF(P1859="Hedge Fund",IF(A1859=Summary!$AD$3,M1859-E1859,M1859),IF(A1859=Summary!$AD$3,L1859-D1859,L1859))</f>
        <v>64500</v>
      </c>
      <c r="O1859" s="95">
        <f t="shared" si="250"/>
        <v>64500</v>
      </c>
      <c r="P1859" s="89" t="s">
        <v>155</v>
      </c>
      <c r="Q1859" s="107">
        <v>0</v>
      </c>
      <c r="R1859" s="107">
        <v>0</v>
      </c>
      <c r="S1859" s="107">
        <v>0</v>
      </c>
      <c r="T1859" s="107">
        <v>0</v>
      </c>
      <c r="U1859" s="107"/>
      <c r="V1859" s="107"/>
      <c r="W1859" s="107"/>
      <c r="X1859" s="107"/>
      <c r="Y1859" s="107"/>
      <c r="Z1859" s="107"/>
      <c r="AA1859" s="107"/>
      <c r="AB1859" s="107"/>
      <c r="AC1859" s="355"/>
      <c r="AD1859" s="355"/>
      <c r="AE1859" s="355"/>
      <c r="AF1859" s="94">
        <f t="shared" ref="AF1859:AF1922" si="256">A1859</f>
        <v>42338</v>
      </c>
      <c r="AG1859" s="185">
        <f t="shared" si="251"/>
        <v>-6.5317360747625397E-3</v>
      </c>
      <c r="AH1859" s="339" t="str">
        <f>VLOOKUP(B1859,'MF PF'!A:B,2)</f>
        <v>FdMgt1</v>
      </c>
      <c r="AI1859" s="358">
        <f t="shared" ref="AI1859:AI1922" si="257">AF1859-A1859</f>
        <v>0</v>
      </c>
      <c r="AJ1859" s="94">
        <f t="shared" ref="AJ1859:AJ1922" si="258">EOMONTH(A1859,0)</f>
        <v>42338</v>
      </c>
    </row>
    <row r="1860" spans="1:36" ht="12.75" customHeight="1">
      <c r="A1860" s="94">
        <v>42369</v>
      </c>
      <c r="B1860" s="94" t="s">
        <v>136</v>
      </c>
      <c r="C1860" s="358" t="s">
        <v>323</v>
      </c>
      <c r="D1860" s="374">
        <v>1261897.959</v>
      </c>
      <c r="E1860" s="9" t="e">
        <f t="shared" si="253"/>
        <v>#DIV/0!</v>
      </c>
      <c r="F1860" s="98">
        <v>1.5</v>
      </c>
      <c r="G1860" s="98">
        <v>0</v>
      </c>
      <c r="H1860" s="98">
        <v>0</v>
      </c>
      <c r="I1860" s="98">
        <v>0</v>
      </c>
      <c r="J1860" s="98"/>
      <c r="K1860" s="93"/>
      <c r="L1860" s="93">
        <f t="shared" si="254"/>
        <v>0</v>
      </c>
      <c r="M1860" s="95" t="e">
        <f t="shared" ca="1" si="255"/>
        <v>#DIV/0!</v>
      </c>
      <c r="N1860" s="95">
        <f>IF(P1860="Hedge Fund",IF(A1860=Summary!$AD$3,M1860-E1860,M1860),IF(A1860=Summary!$AD$3,L1860-D1860,L1860))</f>
        <v>0</v>
      </c>
      <c r="O1860" s="95">
        <f t="shared" si="250"/>
        <v>0</v>
      </c>
      <c r="P1860" s="89" t="s">
        <v>155</v>
      </c>
      <c r="Q1860" s="107">
        <v>0</v>
      </c>
      <c r="R1860" s="107">
        <v>0</v>
      </c>
      <c r="S1860" s="107">
        <v>0</v>
      </c>
      <c r="T1860" s="107">
        <v>0</v>
      </c>
      <c r="U1860" s="107"/>
      <c r="V1860" s="107"/>
      <c r="W1860" s="107"/>
      <c r="X1860" s="107"/>
      <c r="Y1860" s="107"/>
      <c r="Z1860" s="107"/>
      <c r="AA1860" s="107"/>
      <c r="AB1860" s="107"/>
      <c r="AC1860" s="355"/>
      <c r="AD1860" s="355"/>
      <c r="AE1860" s="355"/>
      <c r="AF1860" s="94">
        <f t="shared" si="256"/>
        <v>42369</v>
      </c>
      <c r="AG1860" s="185">
        <f t="shared" si="251"/>
        <v>8.1644100593398772E-3</v>
      </c>
      <c r="AH1860" s="339" t="str">
        <f>VLOOKUP(B1860,'MF PF'!A:B,2)</f>
        <v>FdMgt1</v>
      </c>
      <c r="AI1860" s="358">
        <f t="shared" si="257"/>
        <v>0</v>
      </c>
      <c r="AJ1860" s="94">
        <f t="shared" si="258"/>
        <v>42369</v>
      </c>
    </row>
    <row r="1861" spans="1:36" ht="12.75" customHeight="1">
      <c r="A1861" s="94">
        <v>42398</v>
      </c>
      <c r="B1861" s="94" t="s">
        <v>136</v>
      </c>
      <c r="C1861" s="358" t="s">
        <v>323</v>
      </c>
      <c r="D1861" s="374">
        <v>1248832.405</v>
      </c>
      <c r="E1861" s="9" t="e">
        <f t="shared" si="253"/>
        <v>#DIV/0!</v>
      </c>
      <c r="F1861" s="98">
        <v>1.5</v>
      </c>
      <c r="G1861" s="98">
        <v>0</v>
      </c>
      <c r="H1861" s="98">
        <v>0</v>
      </c>
      <c r="I1861" s="98">
        <v>0</v>
      </c>
      <c r="J1861" s="98"/>
      <c r="K1861" s="93"/>
      <c r="L1861" s="93">
        <f t="shared" si="254"/>
        <v>0</v>
      </c>
      <c r="M1861" s="95" t="e">
        <f t="shared" ca="1" si="255"/>
        <v>#DIV/0!</v>
      </c>
      <c r="N1861" s="95">
        <f>IF(P1861="Hedge Fund",IF(A1861=Summary!$AD$3,M1861-E1861,M1861),IF(A1861=Summary!$AD$3,L1861-D1861,L1861))</f>
        <v>0</v>
      </c>
      <c r="O1861" s="95">
        <f t="shared" si="250"/>
        <v>0</v>
      </c>
      <c r="P1861" s="89" t="s">
        <v>155</v>
      </c>
      <c r="Q1861" s="107">
        <v>0</v>
      </c>
      <c r="R1861" s="107">
        <v>0</v>
      </c>
      <c r="S1861" s="107">
        <v>0</v>
      </c>
      <c r="T1861" s="107">
        <v>0</v>
      </c>
      <c r="U1861" s="107"/>
      <c r="V1861" s="107"/>
      <c r="W1861" s="107"/>
      <c r="X1861" s="107"/>
      <c r="Y1861" s="107"/>
      <c r="Z1861" s="107"/>
      <c r="AA1861" s="107"/>
      <c r="AB1861" s="107"/>
      <c r="AC1861" s="355"/>
      <c r="AD1861" s="355"/>
      <c r="AE1861" s="355"/>
      <c r="AF1861" s="94">
        <f t="shared" si="256"/>
        <v>42398</v>
      </c>
      <c r="AG1861" s="185">
        <f t="shared" si="251"/>
        <v>-1.03538910629144E-2</v>
      </c>
      <c r="AH1861" s="339" t="str">
        <f>VLOOKUP(B1861,'MF PF'!A:B,2)</f>
        <v>FdMgt1</v>
      </c>
      <c r="AI1861" s="358">
        <f t="shared" si="257"/>
        <v>0</v>
      </c>
      <c r="AJ1861" s="94">
        <f t="shared" si="258"/>
        <v>42400</v>
      </c>
    </row>
    <row r="1862" spans="1:36" ht="12.75" customHeight="1">
      <c r="A1862" s="94">
        <v>42429</v>
      </c>
      <c r="B1862" s="94" t="s">
        <v>136</v>
      </c>
      <c r="C1862" s="358" t="s">
        <v>323</v>
      </c>
      <c r="D1862" s="374">
        <v>1612599.959</v>
      </c>
      <c r="E1862" s="9" t="e">
        <f t="shared" si="253"/>
        <v>#DIV/0!</v>
      </c>
      <c r="F1862" s="98">
        <v>1.5</v>
      </c>
      <c r="G1862" s="98">
        <v>341250</v>
      </c>
      <c r="H1862" s="98">
        <v>0</v>
      </c>
      <c r="I1862" s="98">
        <v>0</v>
      </c>
      <c r="J1862" s="98"/>
      <c r="K1862" s="93"/>
      <c r="L1862" s="93">
        <f t="shared" si="254"/>
        <v>341250</v>
      </c>
      <c r="M1862" s="95" t="e">
        <f t="shared" ca="1" si="255"/>
        <v>#DIV/0!</v>
      </c>
      <c r="N1862" s="95">
        <f>IF(P1862="Hedge Fund",IF(A1862=Summary!$AD$3,M1862-E1862,M1862),IF(A1862=Summary!$AD$3,L1862-D1862,L1862))</f>
        <v>341250</v>
      </c>
      <c r="O1862" s="95">
        <f t="shared" si="250"/>
        <v>341250</v>
      </c>
      <c r="P1862" s="89" t="s">
        <v>155</v>
      </c>
      <c r="Q1862" s="107">
        <v>0</v>
      </c>
      <c r="R1862" s="107">
        <v>0</v>
      </c>
      <c r="S1862" s="107">
        <v>0</v>
      </c>
      <c r="T1862" s="107">
        <v>0</v>
      </c>
      <c r="U1862" s="107"/>
      <c r="V1862" s="107"/>
      <c r="W1862" s="107"/>
      <c r="X1862" s="107"/>
      <c r="Y1862" s="107"/>
      <c r="Z1862" s="107"/>
      <c r="AA1862" s="107"/>
      <c r="AB1862" s="107"/>
      <c r="AC1862" s="355"/>
      <c r="AD1862" s="355"/>
      <c r="AE1862" s="355"/>
      <c r="AF1862" s="94">
        <f t="shared" si="256"/>
        <v>42429</v>
      </c>
      <c r="AG1862" s="185">
        <f t="shared" si="251"/>
        <v>1.8030885417327003E-2</v>
      </c>
      <c r="AH1862" s="339" t="str">
        <f>VLOOKUP(B1862,'MF PF'!A:B,2)</f>
        <v>FdMgt1</v>
      </c>
      <c r="AI1862" s="358">
        <f t="shared" si="257"/>
        <v>0</v>
      </c>
      <c r="AJ1862" s="94">
        <f t="shared" si="258"/>
        <v>42429</v>
      </c>
    </row>
    <row r="1863" spans="1:36" ht="12.75" customHeight="1">
      <c r="A1863" s="94">
        <v>42460</v>
      </c>
      <c r="B1863" s="94" t="s">
        <v>136</v>
      </c>
      <c r="C1863" s="358" t="s">
        <v>323</v>
      </c>
      <c r="D1863" s="374">
        <v>1624318.0589999999</v>
      </c>
      <c r="E1863" s="9" t="e">
        <f t="shared" si="253"/>
        <v>#DIV/0!</v>
      </c>
      <c r="F1863" s="98">
        <v>1.5</v>
      </c>
      <c r="G1863" s="98">
        <v>0</v>
      </c>
      <c r="H1863" s="98">
        <v>0</v>
      </c>
      <c r="I1863" s="98">
        <v>0</v>
      </c>
      <c r="J1863" s="98"/>
      <c r="K1863" s="93"/>
      <c r="L1863" s="93">
        <f t="shared" si="254"/>
        <v>0</v>
      </c>
      <c r="M1863" s="95" t="e">
        <f t="shared" ca="1" si="255"/>
        <v>#DIV/0!</v>
      </c>
      <c r="N1863" s="95">
        <f>IF(P1863="Hedge Fund",IF(A1863=Summary!$AD$3,M1863-E1863,M1863),IF(A1863=Summary!$AD$3,L1863-D1863,L1863))</f>
        <v>0</v>
      </c>
      <c r="O1863" s="95">
        <f t="shared" si="250"/>
        <v>0</v>
      </c>
      <c r="P1863" s="89" t="s">
        <v>155</v>
      </c>
      <c r="Q1863" s="107">
        <v>0</v>
      </c>
      <c r="R1863" s="107">
        <v>0</v>
      </c>
      <c r="S1863" s="107">
        <v>0</v>
      </c>
      <c r="T1863" s="107">
        <v>0</v>
      </c>
      <c r="U1863" s="107"/>
      <c r="V1863" s="107"/>
      <c r="W1863" s="107"/>
      <c r="X1863" s="107"/>
      <c r="Y1863" s="107"/>
      <c r="Z1863" s="107"/>
      <c r="AA1863" s="107"/>
      <c r="AB1863" s="107"/>
      <c r="AC1863" s="355"/>
      <c r="AD1863" s="355"/>
      <c r="AE1863" s="355"/>
      <c r="AF1863" s="94">
        <f t="shared" si="256"/>
        <v>42460</v>
      </c>
      <c r="AG1863" s="185">
        <f t="shared" si="251"/>
        <v>7.2665883033176115E-3</v>
      </c>
      <c r="AH1863" s="339" t="str">
        <f>VLOOKUP(B1863,'MF PF'!A:B,2)</f>
        <v>FdMgt1</v>
      </c>
      <c r="AI1863" s="358">
        <f t="shared" si="257"/>
        <v>0</v>
      </c>
      <c r="AJ1863" s="94">
        <f t="shared" si="258"/>
        <v>42460</v>
      </c>
    </row>
    <row r="1864" spans="1:36" ht="12.75" customHeight="1">
      <c r="A1864" s="94">
        <v>42489</v>
      </c>
      <c r="B1864" s="94" t="s">
        <v>136</v>
      </c>
      <c r="C1864" s="358" t="s">
        <v>323</v>
      </c>
      <c r="D1864" s="374">
        <v>1649388.7239999999</v>
      </c>
      <c r="E1864" s="9" t="e">
        <f t="shared" si="253"/>
        <v>#DIV/0!</v>
      </c>
      <c r="F1864" s="98">
        <v>1.5</v>
      </c>
      <c r="G1864" s="98">
        <v>0</v>
      </c>
      <c r="H1864" s="98">
        <v>0</v>
      </c>
      <c r="I1864" s="98">
        <v>0</v>
      </c>
      <c r="J1864" s="98"/>
      <c r="K1864" s="93"/>
      <c r="L1864" s="93">
        <f t="shared" si="254"/>
        <v>0</v>
      </c>
      <c r="M1864" s="95" t="e">
        <f t="shared" ca="1" si="255"/>
        <v>#DIV/0!</v>
      </c>
      <c r="N1864" s="95">
        <f>IF(P1864="Hedge Fund",IF(A1864=Summary!$AD$3,M1864-E1864,M1864),IF(A1864=Summary!$AD$3,L1864-D1864,L1864))</f>
        <v>0</v>
      </c>
      <c r="O1864" s="95">
        <f t="shared" si="250"/>
        <v>0</v>
      </c>
      <c r="P1864" s="89" t="s">
        <v>155</v>
      </c>
      <c r="Q1864" s="107">
        <v>0</v>
      </c>
      <c r="R1864" s="107">
        <v>0</v>
      </c>
      <c r="S1864" s="107">
        <v>0</v>
      </c>
      <c r="T1864" s="107">
        <v>0</v>
      </c>
      <c r="U1864" s="107"/>
      <c r="V1864" s="107"/>
      <c r="W1864" s="107"/>
      <c r="X1864" s="107"/>
      <c r="Y1864" s="107"/>
      <c r="Z1864" s="107"/>
      <c r="AA1864" s="107"/>
      <c r="AB1864" s="107"/>
      <c r="AC1864" s="355"/>
      <c r="AD1864" s="355"/>
      <c r="AE1864" s="355"/>
      <c r="AF1864" s="94">
        <f t="shared" si="256"/>
        <v>42489</v>
      </c>
      <c r="AG1864" s="185">
        <f t="shared" si="251"/>
        <v>1.5434578752042238E-2</v>
      </c>
      <c r="AH1864" s="339" t="str">
        <f>VLOOKUP(B1864,'MF PF'!A:B,2)</f>
        <v>FdMgt1</v>
      </c>
      <c r="AI1864" s="358">
        <f t="shared" si="257"/>
        <v>0</v>
      </c>
      <c r="AJ1864" s="94">
        <f t="shared" si="258"/>
        <v>42490</v>
      </c>
    </row>
    <row r="1865" spans="1:36" ht="12.75" customHeight="1">
      <c r="A1865" s="94">
        <v>42521</v>
      </c>
      <c r="B1865" s="94" t="s">
        <v>136</v>
      </c>
      <c r="C1865" s="358" t="s">
        <v>323</v>
      </c>
      <c r="D1865" s="374">
        <v>1668831.08</v>
      </c>
      <c r="E1865" s="95" t="e">
        <f t="shared" si="253"/>
        <v>#DIV/0!</v>
      </c>
      <c r="F1865" s="98">
        <v>1.5</v>
      </c>
      <c r="G1865" s="98">
        <v>0</v>
      </c>
      <c r="H1865" s="98">
        <v>0</v>
      </c>
      <c r="I1865" s="98">
        <v>0</v>
      </c>
      <c r="J1865" s="98"/>
      <c r="K1865" s="93"/>
      <c r="L1865" s="93">
        <f t="shared" si="254"/>
        <v>0</v>
      </c>
      <c r="M1865" s="95" t="e">
        <f t="shared" ca="1" si="255"/>
        <v>#DIV/0!</v>
      </c>
      <c r="N1865" s="95">
        <f>IF(P1865="Hedge Fund",IF(A1865=Summary!$AD$3,M1865-E1865,M1865),IF(A1865=Summary!$AD$3,L1865-D1865,L1865))</f>
        <v>0</v>
      </c>
      <c r="O1865" s="95">
        <f t="shared" si="250"/>
        <v>0</v>
      </c>
      <c r="P1865" s="89" t="s">
        <v>155</v>
      </c>
      <c r="Q1865" s="107">
        <v>0</v>
      </c>
      <c r="R1865" s="107">
        <v>0</v>
      </c>
      <c r="S1865" s="107">
        <v>0</v>
      </c>
      <c r="T1865" s="107">
        <v>0</v>
      </c>
      <c r="U1865" s="107"/>
      <c r="V1865" s="107"/>
      <c r="W1865" s="107"/>
      <c r="X1865" s="107"/>
      <c r="Y1865" s="107"/>
      <c r="Z1865" s="107"/>
      <c r="AA1865" s="107"/>
      <c r="AB1865" s="107"/>
      <c r="AC1865" s="355"/>
      <c r="AD1865" s="355"/>
      <c r="AE1865" s="355"/>
      <c r="AF1865" s="94">
        <f t="shared" si="256"/>
        <v>42521</v>
      </c>
      <c r="AG1865" s="185">
        <f t="shared" si="251"/>
        <v>1.1787613021174037E-2</v>
      </c>
      <c r="AH1865" s="339" t="str">
        <f>VLOOKUP(B1865,'MF PF'!A:B,2)</f>
        <v>FdMgt1</v>
      </c>
      <c r="AI1865" s="358">
        <f t="shared" si="257"/>
        <v>0</v>
      </c>
      <c r="AJ1865" s="94">
        <f t="shared" si="258"/>
        <v>42521</v>
      </c>
    </row>
    <row r="1866" spans="1:36" ht="12.75" customHeight="1">
      <c r="A1866" s="94">
        <v>42551</v>
      </c>
      <c r="B1866" s="94" t="s">
        <v>136</v>
      </c>
      <c r="C1866" s="358" t="s">
        <v>323</v>
      </c>
      <c r="D1866" s="374">
        <v>1705241.6035</v>
      </c>
      <c r="E1866" s="95" t="e">
        <f t="shared" si="253"/>
        <v>#DIV/0!</v>
      </c>
      <c r="F1866" s="98">
        <v>1.5</v>
      </c>
      <c r="G1866" s="98">
        <v>0</v>
      </c>
      <c r="H1866" s="98">
        <v>0</v>
      </c>
      <c r="I1866" s="98">
        <v>0</v>
      </c>
      <c r="J1866" s="98"/>
      <c r="K1866" s="93"/>
      <c r="L1866" s="93">
        <f t="shared" si="254"/>
        <v>0</v>
      </c>
      <c r="M1866" s="95" t="e">
        <f t="shared" ca="1" si="255"/>
        <v>#DIV/0!</v>
      </c>
      <c r="N1866" s="95">
        <f>IF(P1866="Hedge Fund",IF(A1866=Summary!$AD$3,M1866-E1866,M1866),IF(A1866=Summary!$AD$3,L1866-D1866,L1866))</f>
        <v>0</v>
      </c>
      <c r="O1866" s="95">
        <f t="shared" si="250"/>
        <v>0</v>
      </c>
      <c r="P1866" s="89" t="s">
        <v>155</v>
      </c>
      <c r="Q1866" s="107">
        <v>0</v>
      </c>
      <c r="R1866" s="107">
        <v>0</v>
      </c>
      <c r="S1866" s="107">
        <v>0</v>
      </c>
      <c r="T1866" s="107">
        <v>0</v>
      </c>
      <c r="U1866" s="107"/>
      <c r="V1866" s="107"/>
      <c r="W1866" s="107"/>
      <c r="X1866" s="107"/>
      <c r="Y1866" s="107"/>
      <c r="Z1866" s="107"/>
      <c r="AA1866" s="107"/>
      <c r="AB1866" s="107"/>
      <c r="AC1866" s="355"/>
      <c r="AD1866" s="355"/>
      <c r="AE1866" s="355"/>
      <c r="AF1866" s="94">
        <f t="shared" si="256"/>
        <v>42551</v>
      </c>
      <c r="AG1866" s="185">
        <f t="shared" si="251"/>
        <v>2.1817980223618472E-2</v>
      </c>
      <c r="AH1866" s="339" t="str">
        <f>VLOOKUP(B1866,'MF PF'!A:B,2)</f>
        <v>FdMgt1</v>
      </c>
      <c r="AI1866" s="358">
        <f t="shared" si="257"/>
        <v>0</v>
      </c>
      <c r="AJ1866" s="94">
        <f t="shared" si="258"/>
        <v>42551</v>
      </c>
    </row>
    <row r="1867" spans="1:36" ht="12.75" customHeight="1">
      <c r="A1867" s="94">
        <v>42580</v>
      </c>
      <c r="B1867" s="94" t="s">
        <v>136</v>
      </c>
      <c r="C1867" s="358" t="s">
        <v>323</v>
      </c>
      <c r="D1867" s="374">
        <v>1733841.409</v>
      </c>
      <c r="E1867" s="95" t="e">
        <f t="shared" si="253"/>
        <v>#DIV/0!</v>
      </c>
      <c r="F1867" s="98">
        <v>1.5</v>
      </c>
      <c r="G1867" s="98">
        <v>0</v>
      </c>
      <c r="H1867" s="98">
        <v>0</v>
      </c>
      <c r="I1867" s="98">
        <v>0</v>
      </c>
      <c r="J1867" s="98"/>
      <c r="K1867" s="93"/>
      <c r="L1867" s="93">
        <f t="shared" si="254"/>
        <v>0</v>
      </c>
      <c r="M1867" s="95" t="e">
        <f t="shared" ca="1" si="255"/>
        <v>#DIV/0!</v>
      </c>
      <c r="N1867" s="95">
        <f>IF(P1867="Hedge Fund",IF(A1867=Summary!$AD$3,M1867-E1867,M1867),IF(A1867=Summary!$AD$3,L1867-D1867,L1867))</f>
        <v>0</v>
      </c>
      <c r="O1867" s="95">
        <f t="shared" si="250"/>
        <v>0</v>
      </c>
      <c r="P1867" s="89" t="s">
        <v>155</v>
      </c>
      <c r="Q1867" s="107">
        <v>0</v>
      </c>
      <c r="R1867" s="107">
        <v>0</v>
      </c>
      <c r="S1867" s="107">
        <v>0</v>
      </c>
      <c r="T1867" s="107">
        <v>0</v>
      </c>
      <c r="U1867" s="107"/>
      <c r="V1867" s="107"/>
      <c r="W1867" s="107"/>
      <c r="X1867" s="107"/>
      <c r="Y1867" s="107"/>
      <c r="Z1867" s="107"/>
      <c r="AA1867" s="107"/>
      <c r="AB1867" s="107"/>
      <c r="AC1867" s="355"/>
      <c r="AD1867" s="355"/>
      <c r="AE1867" s="355"/>
      <c r="AF1867" s="94">
        <f t="shared" si="256"/>
        <v>42580</v>
      </c>
      <c r="AG1867" s="185">
        <f t="shared" si="251"/>
        <v>1.6771702872659944E-2</v>
      </c>
      <c r="AH1867" s="339" t="str">
        <f>VLOOKUP(B1867,'MF PF'!A:B,2)</f>
        <v>FdMgt1</v>
      </c>
      <c r="AI1867" s="358">
        <f t="shared" si="257"/>
        <v>0</v>
      </c>
      <c r="AJ1867" s="94">
        <f t="shared" si="258"/>
        <v>42582</v>
      </c>
    </row>
    <row r="1868" spans="1:36" ht="12.75" customHeight="1">
      <c r="A1868" s="94">
        <v>42613</v>
      </c>
      <c r="B1868" s="94" t="s">
        <v>136</v>
      </c>
      <c r="C1868" s="358" t="s">
        <v>323</v>
      </c>
      <c r="D1868" s="374">
        <v>1729066.0665</v>
      </c>
      <c r="E1868" s="95" t="e">
        <f t="shared" si="253"/>
        <v>#DIV/0!</v>
      </c>
      <c r="F1868" s="98">
        <v>1.5</v>
      </c>
      <c r="G1868" s="98">
        <v>0</v>
      </c>
      <c r="H1868" s="98">
        <v>-2.3283064365386963E-10</v>
      </c>
      <c r="I1868" s="98">
        <v>0</v>
      </c>
      <c r="J1868" s="98"/>
      <c r="K1868" s="93"/>
      <c r="L1868" s="93">
        <f t="shared" si="254"/>
        <v>-2.3283064365386963E-10</v>
      </c>
      <c r="M1868" s="95" t="e">
        <f t="shared" ca="1" si="255"/>
        <v>#DIV/0!</v>
      </c>
      <c r="N1868" s="95">
        <f>IF(P1868="Hedge Fund",IF(A1868=Summary!$AD$3,M1868-E1868,M1868),IF(A1868=Summary!$AD$3,L1868-D1868,L1868))</f>
        <v>-2.3283064365386963E-10</v>
      </c>
      <c r="O1868" s="95">
        <f t="shared" si="250"/>
        <v>-2.3283064365386963E-10</v>
      </c>
      <c r="P1868" s="89" t="s">
        <v>155</v>
      </c>
      <c r="Q1868" s="107">
        <v>0</v>
      </c>
      <c r="R1868" s="107">
        <v>0</v>
      </c>
      <c r="S1868" s="107">
        <v>0</v>
      </c>
      <c r="T1868" s="107">
        <v>0</v>
      </c>
      <c r="U1868" s="107"/>
      <c r="V1868" s="107"/>
      <c r="W1868" s="107"/>
      <c r="X1868" s="107"/>
      <c r="Y1868" s="107"/>
      <c r="Z1868" s="107"/>
      <c r="AA1868" s="107"/>
      <c r="AB1868" s="107"/>
      <c r="AC1868" s="355"/>
      <c r="AD1868" s="355"/>
      <c r="AE1868" s="355"/>
      <c r="AF1868" s="94">
        <f t="shared" si="256"/>
        <v>42613</v>
      </c>
      <c r="AG1868" s="185">
        <f t="shared" si="251"/>
        <v>-2.754197976361672E-3</v>
      </c>
      <c r="AH1868" s="339" t="str">
        <f>VLOOKUP(B1868,'MF PF'!A:B,2)</f>
        <v>FdMgt1</v>
      </c>
      <c r="AI1868" s="358">
        <f t="shared" si="257"/>
        <v>0</v>
      </c>
      <c r="AJ1868" s="94">
        <f t="shared" si="258"/>
        <v>42613</v>
      </c>
    </row>
    <row r="1869" spans="1:36" s="92" customFormat="1" ht="12.75" customHeight="1">
      <c r="A1869" s="94">
        <v>42643</v>
      </c>
      <c r="B1869" s="94" t="s">
        <v>136</v>
      </c>
      <c r="C1869" s="358" t="s">
        <v>323</v>
      </c>
      <c r="D1869" s="374">
        <v>1785250.004</v>
      </c>
      <c r="E1869" s="95" t="e">
        <f t="shared" si="253"/>
        <v>#DIV/0!</v>
      </c>
      <c r="F1869" s="98">
        <v>1.5</v>
      </c>
      <c r="G1869" s="98">
        <v>0</v>
      </c>
      <c r="H1869" s="98">
        <v>0</v>
      </c>
      <c r="I1869" s="98">
        <v>0</v>
      </c>
      <c r="J1869" s="98"/>
      <c r="K1869" s="93"/>
      <c r="L1869" s="93">
        <f t="shared" si="254"/>
        <v>0</v>
      </c>
      <c r="M1869" s="95" t="e">
        <f t="shared" ca="1" si="255"/>
        <v>#DIV/0!</v>
      </c>
      <c r="N1869" s="95">
        <f>IF(P1869="Hedge Fund",IF(A1869=Summary!$AD$3,M1869-E1869,M1869),IF(A1869=Summary!$AD$3,L1869-D1869,L1869))</f>
        <v>0</v>
      </c>
      <c r="O1869" s="95">
        <f t="shared" si="250"/>
        <v>0</v>
      </c>
      <c r="P1869" s="107" t="s">
        <v>155</v>
      </c>
      <c r="Q1869" s="107">
        <v>0</v>
      </c>
      <c r="R1869" s="107">
        <v>0</v>
      </c>
      <c r="S1869" s="107">
        <v>0</v>
      </c>
      <c r="T1869" s="107">
        <v>0</v>
      </c>
      <c r="U1869" s="107"/>
      <c r="V1869" s="107"/>
      <c r="W1869" s="107"/>
      <c r="X1869" s="107"/>
      <c r="Y1869" s="107"/>
      <c r="Z1869" s="107"/>
      <c r="AA1869" s="107"/>
      <c r="AB1869" s="107"/>
      <c r="AC1869" s="355"/>
      <c r="AD1869" s="355"/>
      <c r="AE1869" s="355"/>
      <c r="AF1869" s="94">
        <f t="shared" si="256"/>
        <v>42643</v>
      </c>
      <c r="AG1869" s="185">
        <f t="shared" si="251"/>
        <v>3.2493806100612588E-2</v>
      </c>
      <c r="AH1869" s="339" t="str">
        <f>VLOOKUP(B1869,'MF PF'!A:B,2)</f>
        <v>FdMgt1</v>
      </c>
      <c r="AI1869" s="358">
        <f t="shared" si="257"/>
        <v>0</v>
      </c>
      <c r="AJ1869" s="94">
        <f t="shared" si="258"/>
        <v>42643</v>
      </c>
    </row>
    <row r="1870" spans="1:36" ht="12.75" customHeight="1">
      <c r="A1870" s="94">
        <v>42674</v>
      </c>
      <c r="B1870" s="94" t="s">
        <v>136</v>
      </c>
      <c r="C1870" s="358" t="s">
        <v>323</v>
      </c>
      <c r="D1870" s="374">
        <v>1841875.1170000001</v>
      </c>
      <c r="E1870" s="9" t="e">
        <f t="shared" si="253"/>
        <v>#DIV/0!</v>
      </c>
      <c r="F1870" s="98">
        <v>1.5</v>
      </c>
      <c r="G1870" s="98">
        <v>0</v>
      </c>
      <c r="H1870" s="98">
        <v>0</v>
      </c>
      <c r="I1870" s="98">
        <v>0</v>
      </c>
      <c r="J1870" s="98"/>
      <c r="K1870" s="93"/>
      <c r="L1870" s="93">
        <f t="shared" si="254"/>
        <v>0</v>
      </c>
      <c r="M1870" s="95" t="e">
        <f t="shared" ca="1" si="255"/>
        <v>#DIV/0!</v>
      </c>
      <c r="N1870" s="95">
        <f>IF(P1870="Hedge Fund",IF(A1870=Summary!$AD$3,M1870-E1870,M1870),IF(A1870=Summary!$AD$3,L1870-D1870,L1870))</f>
        <v>0</v>
      </c>
      <c r="O1870" s="95">
        <f t="shared" ref="O1870:O1933" si="259">N1870</f>
        <v>0</v>
      </c>
      <c r="P1870" s="89" t="s">
        <v>155</v>
      </c>
      <c r="Q1870" s="107">
        <v>0</v>
      </c>
      <c r="R1870" s="107">
        <v>0</v>
      </c>
      <c r="S1870" s="107">
        <v>0</v>
      </c>
      <c r="T1870" s="107">
        <v>0</v>
      </c>
      <c r="U1870" s="107"/>
      <c r="V1870" s="107"/>
      <c r="W1870" s="107"/>
      <c r="X1870" s="107"/>
      <c r="Y1870" s="107"/>
      <c r="Z1870" s="107"/>
      <c r="AA1870" s="107"/>
      <c r="AB1870" s="107"/>
      <c r="AC1870" s="355"/>
      <c r="AD1870" s="355"/>
      <c r="AE1870" s="355"/>
      <c r="AF1870" s="94">
        <f t="shared" si="256"/>
        <v>42674</v>
      </c>
      <c r="AG1870" s="185">
        <f t="shared" si="251"/>
        <v>3.1718309969543057E-2</v>
      </c>
      <c r="AH1870" s="339" t="str">
        <f>VLOOKUP(B1870,'MF PF'!A:B,2)</f>
        <v>FdMgt1</v>
      </c>
      <c r="AI1870" s="358">
        <f t="shared" si="257"/>
        <v>0</v>
      </c>
      <c r="AJ1870" s="94">
        <f t="shared" si="258"/>
        <v>42674</v>
      </c>
    </row>
    <row r="1871" spans="1:36" ht="12.75" customHeight="1">
      <c r="A1871" s="94">
        <v>42704</v>
      </c>
      <c r="B1871" s="94" t="s">
        <v>136</v>
      </c>
      <c r="C1871" s="358" t="s">
        <v>323</v>
      </c>
      <c r="D1871" s="374">
        <v>1850785.497</v>
      </c>
      <c r="E1871" s="95" t="e">
        <f t="shared" si="253"/>
        <v>#DIV/0!</v>
      </c>
      <c r="F1871" s="98">
        <v>1.5</v>
      </c>
      <c r="G1871" s="98">
        <v>0</v>
      </c>
      <c r="H1871" s="98">
        <v>0</v>
      </c>
      <c r="I1871" s="98">
        <v>0</v>
      </c>
      <c r="J1871" s="98"/>
      <c r="K1871" s="93"/>
      <c r="L1871" s="93">
        <f t="shared" si="254"/>
        <v>0</v>
      </c>
      <c r="M1871" s="95" t="e">
        <f t="shared" ca="1" si="255"/>
        <v>#DIV/0!</v>
      </c>
      <c r="N1871" s="95">
        <f>IF(P1871="Hedge Fund",IF(A1871=Summary!$AD$3,M1871-E1871,M1871),IF(A1871=Summary!$AD$3,L1871-D1871,L1871))</f>
        <v>0</v>
      </c>
      <c r="O1871" s="95">
        <f t="shared" si="259"/>
        <v>0</v>
      </c>
      <c r="P1871" s="89" t="s">
        <v>155</v>
      </c>
      <c r="Q1871" s="107">
        <v>0</v>
      </c>
      <c r="R1871" s="107">
        <v>0</v>
      </c>
      <c r="S1871" s="107">
        <v>0</v>
      </c>
      <c r="T1871" s="107">
        <v>0</v>
      </c>
      <c r="U1871" s="107"/>
      <c r="V1871" s="107"/>
      <c r="W1871" s="107"/>
      <c r="X1871" s="107"/>
      <c r="Y1871" s="107"/>
      <c r="Z1871" s="107"/>
      <c r="AA1871" s="107"/>
      <c r="AB1871" s="107"/>
      <c r="AC1871" s="355"/>
      <c r="AD1871" s="355"/>
      <c r="AE1871" s="355"/>
      <c r="AF1871" s="94">
        <f t="shared" si="256"/>
        <v>42704</v>
      </c>
      <c r="AG1871" s="185">
        <f t="shared" ref="AG1871:AG1934" si="260">IF(C1871&lt;&gt;C1870,D1871/G1871-1,(D1871-G1871-I1871-H1871)/(D1870)-1)</f>
        <v>4.8376678297890052E-3</v>
      </c>
      <c r="AH1871" s="339" t="str">
        <f>VLOOKUP(B1871,'MF PF'!A:B,2)</f>
        <v>FdMgt1</v>
      </c>
      <c r="AI1871" s="358">
        <f t="shared" si="257"/>
        <v>0</v>
      </c>
      <c r="AJ1871" s="94">
        <f t="shared" si="258"/>
        <v>42704</v>
      </c>
    </row>
    <row r="1872" spans="1:36" ht="12.75" customHeight="1">
      <c r="A1872" s="94">
        <v>42734</v>
      </c>
      <c r="B1872" s="94" t="s">
        <v>136</v>
      </c>
      <c r="C1872" s="358" t="s">
        <v>323</v>
      </c>
      <c r="D1872" s="374">
        <v>1837298.9380000001</v>
      </c>
      <c r="E1872" s="9" t="e">
        <f t="shared" si="253"/>
        <v>#DIV/0!</v>
      </c>
      <c r="F1872" s="98">
        <v>1.5</v>
      </c>
      <c r="G1872" s="98">
        <v>0</v>
      </c>
      <c r="H1872" s="98">
        <v>0</v>
      </c>
      <c r="I1872" s="98">
        <v>0</v>
      </c>
      <c r="J1872" s="98"/>
      <c r="K1872" s="93"/>
      <c r="L1872" s="93">
        <f t="shared" si="254"/>
        <v>0</v>
      </c>
      <c r="M1872" s="95" t="e">
        <f t="shared" ca="1" si="255"/>
        <v>#DIV/0!</v>
      </c>
      <c r="N1872" s="95">
        <f>IF(P1872="Hedge Fund",IF(A1872=Summary!$AD$3,M1872-E1872,M1872),IF(A1872=Summary!$AD$3,L1872-D1872,L1872))</f>
        <v>0</v>
      </c>
      <c r="O1872" s="95">
        <f t="shared" si="259"/>
        <v>0</v>
      </c>
      <c r="P1872" s="89" t="s">
        <v>155</v>
      </c>
      <c r="Q1872" s="107">
        <v>0</v>
      </c>
      <c r="R1872" s="107">
        <v>0</v>
      </c>
      <c r="S1872" s="107">
        <v>0</v>
      </c>
      <c r="T1872" s="107">
        <v>0</v>
      </c>
      <c r="U1872" s="107"/>
      <c r="V1872" s="107"/>
      <c r="W1872" s="107"/>
      <c r="X1872" s="107"/>
      <c r="Y1872" s="107"/>
      <c r="Z1872" s="107"/>
      <c r="AA1872" s="107"/>
      <c r="AB1872" s="107"/>
      <c r="AC1872" s="355"/>
      <c r="AD1872" s="355"/>
      <c r="AE1872" s="355"/>
      <c r="AF1872" s="94">
        <f t="shared" si="256"/>
        <v>42734</v>
      </c>
      <c r="AG1872" s="185">
        <f t="shared" si="260"/>
        <v>-7.2869379092610487E-3</v>
      </c>
      <c r="AH1872" s="339" t="str">
        <f>VLOOKUP(B1872,'MF PF'!A:B,2)</f>
        <v>FdMgt1</v>
      </c>
      <c r="AI1872" s="358">
        <f t="shared" si="257"/>
        <v>0</v>
      </c>
      <c r="AJ1872" s="94">
        <f t="shared" si="258"/>
        <v>42735</v>
      </c>
    </row>
    <row r="1873" spans="1:36" ht="12.75" customHeight="1">
      <c r="A1873" s="94">
        <v>42762</v>
      </c>
      <c r="B1873" s="94" t="s">
        <v>136</v>
      </c>
      <c r="C1873" s="358" t="s">
        <v>323</v>
      </c>
      <c r="D1873" s="374">
        <v>1867170.6835</v>
      </c>
      <c r="E1873" s="9" t="e">
        <f t="shared" si="253"/>
        <v>#DIV/0!</v>
      </c>
      <c r="F1873" s="98">
        <v>1.5</v>
      </c>
      <c r="G1873" s="98">
        <v>0</v>
      </c>
      <c r="H1873" s="98">
        <v>0</v>
      </c>
      <c r="I1873" s="98">
        <v>0</v>
      </c>
      <c r="J1873" s="98"/>
      <c r="K1873" s="93"/>
      <c r="L1873" s="93">
        <f t="shared" si="254"/>
        <v>0</v>
      </c>
      <c r="M1873" s="95" t="e">
        <f t="shared" ca="1" si="255"/>
        <v>#DIV/0!</v>
      </c>
      <c r="N1873" s="95">
        <f>IF(P1873="Hedge Fund",IF(A1873=Summary!$AD$3,M1873-E1873,M1873),IF(A1873=Summary!$AD$3,L1873-D1873,L1873))</f>
        <v>0</v>
      </c>
      <c r="O1873" s="95">
        <f t="shared" si="259"/>
        <v>0</v>
      </c>
      <c r="P1873" s="89" t="s">
        <v>155</v>
      </c>
      <c r="Q1873" s="107">
        <v>0</v>
      </c>
      <c r="R1873" s="107">
        <v>0</v>
      </c>
      <c r="S1873" s="107">
        <v>0</v>
      </c>
      <c r="T1873" s="107">
        <v>0</v>
      </c>
      <c r="U1873" s="107"/>
      <c r="V1873" s="107"/>
      <c r="W1873" s="107"/>
      <c r="X1873" s="107"/>
      <c r="Y1873" s="107"/>
      <c r="Z1873" s="107"/>
      <c r="AA1873" s="107"/>
      <c r="AB1873" s="107"/>
      <c r="AC1873" s="355"/>
      <c r="AD1873" s="355"/>
      <c r="AE1873" s="355"/>
      <c r="AF1873" s="94">
        <f t="shared" si="256"/>
        <v>42762</v>
      </c>
      <c r="AG1873" s="185">
        <f t="shared" si="260"/>
        <v>1.6258511275534238E-2</v>
      </c>
      <c r="AH1873" s="339" t="str">
        <f>VLOOKUP(B1873,'MF PF'!A:B,2)</f>
        <v>FdMgt1</v>
      </c>
      <c r="AI1873" s="358">
        <f t="shared" si="257"/>
        <v>0</v>
      </c>
      <c r="AJ1873" s="94">
        <f t="shared" si="258"/>
        <v>42766</v>
      </c>
    </row>
    <row r="1874" spans="1:36" ht="12.75" customHeight="1">
      <c r="A1874" s="94">
        <v>42794</v>
      </c>
      <c r="B1874" s="94" t="s">
        <v>136</v>
      </c>
      <c r="C1874" s="358" t="s">
        <v>323</v>
      </c>
      <c r="D1874" s="374">
        <v>1940184.4765000001</v>
      </c>
      <c r="E1874" s="9" t="e">
        <f t="shared" ref="E1874:E1890" si="261">D1874/K1874</f>
        <v>#DIV/0!</v>
      </c>
      <c r="F1874" s="98">
        <v>1.5</v>
      </c>
      <c r="G1874" s="98">
        <v>0</v>
      </c>
      <c r="H1874" s="98">
        <v>0</v>
      </c>
      <c r="I1874" s="98">
        <v>0</v>
      </c>
      <c r="J1874" s="98"/>
      <c r="K1874" s="93"/>
      <c r="L1874" s="93">
        <f t="shared" si="254"/>
        <v>0</v>
      </c>
      <c r="M1874" s="95" t="e">
        <f t="shared" ca="1" si="255"/>
        <v>#DIV/0!</v>
      </c>
      <c r="N1874" s="95">
        <f>IF(P1874="Hedge Fund",IF(A1874=Summary!$AD$3,M1874-E1874,M1874),IF(A1874=Summary!$AD$3,L1874-D1874,L1874))</f>
        <v>0</v>
      </c>
      <c r="O1874" s="95">
        <f t="shared" si="259"/>
        <v>0</v>
      </c>
      <c r="P1874" s="89" t="s">
        <v>155</v>
      </c>
      <c r="Q1874" s="107">
        <v>0</v>
      </c>
      <c r="R1874" s="107">
        <v>0</v>
      </c>
      <c r="S1874" s="107">
        <v>0</v>
      </c>
      <c r="T1874" s="107">
        <v>0</v>
      </c>
      <c r="U1874" s="107"/>
      <c r="V1874" s="107"/>
      <c r="W1874" s="107"/>
      <c r="X1874" s="107"/>
      <c r="Y1874" s="107"/>
      <c r="Z1874" s="107"/>
      <c r="AA1874" s="107"/>
      <c r="AB1874" s="107"/>
      <c r="AC1874" s="355"/>
      <c r="AD1874" s="355"/>
      <c r="AE1874" s="355"/>
      <c r="AF1874" s="94">
        <f t="shared" si="256"/>
        <v>42794</v>
      </c>
      <c r="AG1874" s="185">
        <f t="shared" si="260"/>
        <v>3.9103973538796133E-2</v>
      </c>
      <c r="AH1874" s="339" t="str">
        <f>VLOOKUP(B1874,'MF PF'!A:B,2)</f>
        <v>FdMgt1</v>
      </c>
      <c r="AI1874" s="358">
        <f t="shared" si="257"/>
        <v>0</v>
      </c>
      <c r="AJ1874" s="94">
        <f t="shared" si="258"/>
        <v>42794</v>
      </c>
    </row>
    <row r="1875" spans="1:36" ht="12.75" customHeight="1">
      <c r="A1875" s="94">
        <v>42825</v>
      </c>
      <c r="B1875" s="94" t="s">
        <v>136</v>
      </c>
      <c r="C1875" s="358" t="s">
        <v>323</v>
      </c>
      <c r="D1875" s="374">
        <v>1908620.007</v>
      </c>
      <c r="E1875" s="9" t="e">
        <f t="shared" si="261"/>
        <v>#DIV/0!</v>
      </c>
      <c r="F1875" s="98">
        <v>1.5</v>
      </c>
      <c r="G1875" s="98">
        <v>0</v>
      </c>
      <c r="H1875" s="98">
        <v>0</v>
      </c>
      <c r="I1875" s="98">
        <v>0</v>
      </c>
      <c r="J1875" s="98"/>
      <c r="K1875" s="93"/>
      <c r="L1875" s="93">
        <f t="shared" si="254"/>
        <v>0</v>
      </c>
      <c r="M1875" s="95" t="e">
        <f t="shared" ca="1" si="255"/>
        <v>#DIV/0!</v>
      </c>
      <c r="N1875" s="95">
        <f>IF(P1875="Hedge Fund",IF(A1875=Summary!$AD$3,M1875-E1875,M1875),IF(A1875=Summary!$AD$3,L1875-D1875,L1875))</f>
        <v>0</v>
      </c>
      <c r="O1875" s="95">
        <f t="shared" si="259"/>
        <v>0</v>
      </c>
      <c r="P1875" s="107" t="s">
        <v>155</v>
      </c>
      <c r="Q1875" s="107">
        <v>0</v>
      </c>
      <c r="R1875" s="107">
        <v>0</v>
      </c>
      <c r="S1875" s="107">
        <v>0</v>
      </c>
      <c r="T1875" s="107">
        <v>0</v>
      </c>
      <c r="U1875" s="107"/>
      <c r="V1875" s="107"/>
      <c r="W1875" s="107"/>
      <c r="X1875" s="107"/>
      <c r="Y1875" s="107"/>
      <c r="Z1875" s="107"/>
      <c r="AA1875" s="107"/>
      <c r="AB1875" s="107"/>
      <c r="AC1875" s="355"/>
      <c r="AD1875" s="355"/>
      <c r="AE1875" s="355"/>
      <c r="AF1875" s="94">
        <f t="shared" si="256"/>
        <v>42825</v>
      </c>
      <c r="AG1875" s="185">
        <f t="shared" si="260"/>
        <v>-1.6268798087149428E-2</v>
      </c>
      <c r="AH1875" s="339" t="str">
        <f>VLOOKUP(B1875,'MF PF'!A:B,2)</f>
        <v>FdMgt1</v>
      </c>
      <c r="AI1875" s="358">
        <f t="shared" si="257"/>
        <v>0</v>
      </c>
      <c r="AJ1875" s="94">
        <f t="shared" si="258"/>
        <v>42825</v>
      </c>
    </row>
    <row r="1876" spans="1:36" ht="12.75" customHeight="1">
      <c r="A1876" s="94">
        <v>42853</v>
      </c>
      <c r="B1876" s="94" t="s">
        <v>136</v>
      </c>
      <c r="C1876" s="358" t="s">
        <v>323</v>
      </c>
      <c r="D1876" s="374">
        <v>1903525.014</v>
      </c>
      <c r="E1876" s="9" t="e">
        <f t="shared" si="261"/>
        <v>#DIV/0!</v>
      </c>
      <c r="F1876" s="98">
        <v>1.5</v>
      </c>
      <c r="G1876" s="98">
        <v>0</v>
      </c>
      <c r="H1876" s="98">
        <v>0</v>
      </c>
      <c r="I1876" s="98">
        <v>0</v>
      </c>
      <c r="J1876" s="98"/>
      <c r="K1876" s="93"/>
      <c r="L1876" s="93">
        <f t="shared" si="254"/>
        <v>0</v>
      </c>
      <c r="M1876" s="95" t="e">
        <f t="shared" ca="1" si="255"/>
        <v>#DIV/0!</v>
      </c>
      <c r="N1876" s="95">
        <f>IF(P1876="Hedge Fund",IF(A1876=Summary!$AD$3,M1876-E1876,M1876),IF(A1876=Summary!$AD$3,L1876-D1876,L1876))</f>
        <v>0</v>
      </c>
      <c r="O1876" s="95">
        <f t="shared" si="259"/>
        <v>0</v>
      </c>
      <c r="P1876" s="107" t="s">
        <v>155</v>
      </c>
      <c r="Q1876" s="107">
        <v>0</v>
      </c>
      <c r="R1876" s="107">
        <v>0</v>
      </c>
      <c r="S1876" s="107">
        <v>0</v>
      </c>
      <c r="T1876" s="107">
        <v>0</v>
      </c>
      <c r="U1876" s="107"/>
      <c r="V1876" s="107"/>
      <c r="W1876" s="107"/>
      <c r="X1876" s="107"/>
      <c r="Y1876" s="107"/>
      <c r="Z1876" s="107"/>
      <c r="AA1876" s="107"/>
      <c r="AB1876" s="107"/>
      <c r="AC1876" s="355"/>
      <c r="AD1876" s="355"/>
      <c r="AE1876" s="355"/>
      <c r="AF1876" s="94">
        <f t="shared" si="256"/>
        <v>42853</v>
      </c>
      <c r="AG1876" s="185">
        <f t="shared" si="260"/>
        <v>-2.6694643152193054E-3</v>
      </c>
      <c r="AH1876" s="339" t="str">
        <f>VLOOKUP(B1876,'MF PF'!A:B,2)</f>
        <v>FdMgt1</v>
      </c>
      <c r="AI1876" s="358">
        <f t="shared" si="257"/>
        <v>0</v>
      </c>
      <c r="AJ1876" s="94">
        <f t="shared" si="258"/>
        <v>42855</v>
      </c>
    </row>
    <row r="1877" spans="1:36" ht="12.75" customHeight="1">
      <c r="A1877" s="94">
        <v>42886</v>
      </c>
      <c r="B1877" s="94" t="s">
        <v>136</v>
      </c>
      <c r="C1877" s="358" t="s">
        <v>323</v>
      </c>
      <c r="D1877" s="374">
        <v>1851576.9745</v>
      </c>
      <c r="E1877" s="95" t="e">
        <f t="shared" si="261"/>
        <v>#DIV/0!</v>
      </c>
      <c r="F1877" s="98">
        <v>1.5</v>
      </c>
      <c r="G1877" s="98">
        <v>0</v>
      </c>
      <c r="H1877" s="98">
        <v>0</v>
      </c>
      <c r="I1877" s="98">
        <v>0</v>
      </c>
      <c r="J1877" s="98"/>
      <c r="K1877" s="93"/>
      <c r="L1877" s="93">
        <f t="shared" si="254"/>
        <v>0</v>
      </c>
      <c r="M1877" s="95" t="e">
        <f t="shared" ca="1" si="255"/>
        <v>#DIV/0!</v>
      </c>
      <c r="N1877" s="95">
        <f>IF(P1877="Hedge Fund",IF(A1877=Summary!$AD$3,M1877-E1877,M1877),IF(A1877=Summary!$AD$3,L1877-D1877,L1877))</f>
        <v>0</v>
      </c>
      <c r="O1877" s="95">
        <f t="shared" si="259"/>
        <v>0</v>
      </c>
      <c r="P1877" s="107" t="s">
        <v>155</v>
      </c>
      <c r="Q1877" s="107">
        <v>0</v>
      </c>
      <c r="R1877" s="107">
        <v>0</v>
      </c>
      <c r="S1877" s="107">
        <v>0</v>
      </c>
      <c r="T1877" s="107">
        <v>0</v>
      </c>
      <c r="U1877" s="107"/>
      <c r="V1877" s="107"/>
      <c r="W1877" s="107"/>
      <c r="X1877" s="107"/>
      <c r="Y1877" s="107"/>
      <c r="Z1877" s="107"/>
      <c r="AA1877" s="107"/>
      <c r="AB1877" s="107"/>
      <c r="AC1877" s="355"/>
      <c r="AD1877" s="355"/>
      <c r="AE1877" s="355"/>
      <c r="AF1877" s="94">
        <f t="shared" si="256"/>
        <v>42886</v>
      </c>
      <c r="AG1877" s="185">
        <f t="shared" si="260"/>
        <v>-2.7290442267862924E-2</v>
      </c>
      <c r="AH1877" s="339" t="str">
        <f>VLOOKUP(B1877,'MF PF'!A:B,2)</f>
        <v>FdMgt1</v>
      </c>
      <c r="AI1877" s="358">
        <f t="shared" si="257"/>
        <v>0</v>
      </c>
      <c r="AJ1877" s="94">
        <f t="shared" si="258"/>
        <v>42886</v>
      </c>
    </row>
    <row r="1878" spans="1:36" ht="12.75" customHeight="1">
      <c r="A1878" s="8">
        <v>42916</v>
      </c>
      <c r="B1878" s="94" t="s">
        <v>136</v>
      </c>
      <c r="C1878" s="358" t="s">
        <v>323</v>
      </c>
      <c r="D1878" s="374">
        <v>1917871.4325000001</v>
      </c>
      <c r="E1878" s="9" t="e">
        <f t="shared" si="261"/>
        <v>#DIV/0!</v>
      </c>
      <c r="F1878" s="98">
        <v>1.5</v>
      </c>
      <c r="G1878" s="98">
        <v>0</v>
      </c>
      <c r="H1878" s="98">
        <v>0</v>
      </c>
      <c r="I1878" s="98">
        <v>0</v>
      </c>
      <c r="J1878" s="98"/>
      <c r="K1878" s="93"/>
      <c r="L1878" s="93">
        <f t="shared" si="254"/>
        <v>0</v>
      </c>
      <c r="M1878" s="95" t="e">
        <f t="shared" ca="1" si="255"/>
        <v>#DIV/0!</v>
      </c>
      <c r="N1878" s="95">
        <f>IF(P1878="Hedge Fund",IF(A1878=Summary!$AD$3,M1878-E1878,M1878),IF(A1878=Summary!$AD$3,L1878-D1878,L1878))</f>
        <v>0</v>
      </c>
      <c r="O1878" s="95">
        <f t="shared" si="259"/>
        <v>0</v>
      </c>
      <c r="P1878" s="107" t="s">
        <v>155</v>
      </c>
      <c r="Q1878" s="107">
        <v>0</v>
      </c>
      <c r="R1878" s="107">
        <v>0</v>
      </c>
      <c r="S1878" s="107">
        <v>0</v>
      </c>
      <c r="T1878" s="107">
        <v>0</v>
      </c>
      <c r="U1878" s="107"/>
      <c r="V1878" s="107"/>
      <c r="W1878" s="107"/>
      <c r="X1878" s="107"/>
      <c r="Y1878" s="107"/>
      <c r="Z1878" s="107"/>
      <c r="AA1878" s="107"/>
      <c r="AB1878" s="107"/>
      <c r="AC1878" s="355"/>
      <c r="AD1878" s="355"/>
      <c r="AE1878" s="355"/>
      <c r="AF1878" s="94">
        <f t="shared" si="256"/>
        <v>42916</v>
      </c>
      <c r="AG1878" s="185">
        <f t="shared" si="260"/>
        <v>3.5804321890480661E-2</v>
      </c>
      <c r="AH1878" s="339" t="str">
        <f>VLOOKUP(B1878,'MF PF'!A:B,2)</f>
        <v>FdMgt1</v>
      </c>
      <c r="AI1878" s="358">
        <f t="shared" si="257"/>
        <v>0</v>
      </c>
      <c r="AJ1878" s="94">
        <f t="shared" si="258"/>
        <v>42916</v>
      </c>
    </row>
    <row r="1879" spans="1:36" ht="12.75" customHeight="1">
      <c r="A1879" s="94">
        <v>42947</v>
      </c>
      <c r="B1879" s="94" t="s">
        <v>136</v>
      </c>
      <c r="C1879" s="358" t="s">
        <v>323</v>
      </c>
      <c r="D1879" s="374">
        <v>1962810.372</v>
      </c>
      <c r="E1879" s="9" t="e">
        <f t="shared" si="261"/>
        <v>#DIV/0!</v>
      </c>
      <c r="F1879" s="98">
        <v>1.5</v>
      </c>
      <c r="G1879" s="98">
        <v>0</v>
      </c>
      <c r="H1879" s="98">
        <v>0</v>
      </c>
      <c r="I1879" s="98">
        <v>0</v>
      </c>
      <c r="J1879" s="98"/>
      <c r="K1879" s="93"/>
      <c r="L1879" s="93">
        <f t="shared" si="254"/>
        <v>0</v>
      </c>
      <c r="M1879" s="95" t="e">
        <f t="shared" ca="1" si="255"/>
        <v>#DIV/0!</v>
      </c>
      <c r="N1879" s="95">
        <f>IF(P1879="Hedge Fund",IF(A1879=Summary!$AD$3,M1879-E1879,M1879),IF(A1879=Summary!$AD$3,L1879-D1879,L1879))</f>
        <v>0</v>
      </c>
      <c r="O1879" s="95">
        <f t="shared" si="259"/>
        <v>0</v>
      </c>
      <c r="P1879" s="107" t="s">
        <v>155</v>
      </c>
      <c r="Q1879" s="107">
        <v>0</v>
      </c>
      <c r="R1879" s="107">
        <v>0</v>
      </c>
      <c r="S1879" s="107">
        <v>0</v>
      </c>
      <c r="T1879" s="107">
        <v>0</v>
      </c>
      <c r="U1879" s="107"/>
      <c r="V1879" s="107"/>
      <c r="W1879" s="107"/>
      <c r="X1879" s="107"/>
      <c r="Y1879" s="107"/>
      <c r="Z1879" s="107"/>
      <c r="AA1879" s="107"/>
      <c r="AB1879" s="107"/>
      <c r="AC1879" s="355"/>
      <c r="AD1879" s="355"/>
      <c r="AE1879" s="355"/>
      <c r="AF1879" s="94">
        <f t="shared" si="256"/>
        <v>42947</v>
      </c>
      <c r="AG1879" s="185">
        <f t="shared" si="260"/>
        <v>2.3431674688131121E-2</v>
      </c>
      <c r="AH1879" s="339" t="str">
        <f>VLOOKUP(B1879,'MF PF'!A:B,2)</f>
        <v>FdMgt1</v>
      </c>
      <c r="AI1879" s="358">
        <f t="shared" si="257"/>
        <v>0</v>
      </c>
      <c r="AJ1879" s="94">
        <f t="shared" si="258"/>
        <v>42947</v>
      </c>
    </row>
    <row r="1880" spans="1:36" ht="12.75" customHeight="1">
      <c r="A1880" s="94">
        <v>42978</v>
      </c>
      <c r="B1880" s="94" t="s">
        <v>136</v>
      </c>
      <c r="C1880" s="358" t="s">
        <v>323</v>
      </c>
      <c r="D1880" s="374">
        <v>1965700</v>
      </c>
      <c r="E1880" s="9" t="e">
        <f t="shared" si="261"/>
        <v>#DIV/0!</v>
      </c>
      <c r="F1880" s="98">
        <v>1.5</v>
      </c>
      <c r="G1880" s="98">
        <v>0</v>
      </c>
      <c r="H1880" s="98">
        <v>0</v>
      </c>
      <c r="I1880" s="98">
        <v>0</v>
      </c>
      <c r="J1880" s="98"/>
      <c r="K1880" s="93"/>
      <c r="L1880" s="93">
        <f t="shared" si="254"/>
        <v>0</v>
      </c>
      <c r="M1880" s="95" t="e">
        <f t="shared" ca="1" si="255"/>
        <v>#DIV/0!</v>
      </c>
      <c r="N1880" s="95">
        <f>IF(P1880="Hedge Fund",IF(A1880=Summary!$AD$3,M1880-E1880,M1880),IF(A1880=Summary!$AD$3,L1880-D1880,L1880))</f>
        <v>0</v>
      </c>
      <c r="O1880" s="95">
        <f t="shared" si="259"/>
        <v>0</v>
      </c>
      <c r="P1880" s="107" t="s">
        <v>155</v>
      </c>
      <c r="Q1880" s="107">
        <v>0</v>
      </c>
      <c r="R1880" s="107">
        <v>0</v>
      </c>
      <c r="S1880" s="107">
        <v>0</v>
      </c>
      <c r="T1880" s="107">
        <v>0</v>
      </c>
      <c r="U1880" s="107"/>
      <c r="V1880" s="107"/>
      <c r="W1880" s="107"/>
      <c r="X1880" s="107"/>
      <c r="Y1880" s="107"/>
      <c r="Z1880" s="107"/>
      <c r="AA1880" s="107"/>
      <c r="AB1880" s="107"/>
      <c r="AC1880" s="355"/>
      <c r="AD1880" s="355"/>
      <c r="AE1880" s="355"/>
      <c r="AF1880" s="94">
        <f t="shared" si="256"/>
        <v>42978</v>
      </c>
      <c r="AG1880" s="185">
        <f t="shared" si="260"/>
        <v>1.4721890821556283E-3</v>
      </c>
      <c r="AH1880" s="339" t="str">
        <f>VLOOKUP(B1880,'MF PF'!A:B,2)</f>
        <v>FdMgt1</v>
      </c>
      <c r="AI1880" s="358">
        <f t="shared" si="257"/>
        <v>0</v>
      </c>
      <c r="AJ1880" s="94">
        <f t="shared" si="258"/>
        <v>42978</v>
      </c>
    </row>
    <row r="1881" spans="1:36" ht="12.75" customHeight="1">
      <c r="A1881" s="8">
        <v>43007</v>
      </c>
      <c r="B1881" s="94" t="s">
        <v>136</v>
      </c>
      <c r="C1881" s="358" t="s">
        <v>323</v>
      </c>
      <c r="D1881" s="374">
        <v>1952857.6001246925</v>
      </c>
      <c r="E1881" s="9" t="e">
        <f t="shared" si="261"/>
        <v>#DIV/0!</v>
      </c>
      <c r="F1881" s="98">
        <v>1.5</v>
      </c>
      <c r="G1881" s="98">
        <v>0</v>
      </c>
      <c r="H1881" s="98">
        <v>0</v>
      </c>
      <c r="I1881" s="98">
        <v>0</v>
      </c>
      <c r="J1881" s="98"/>
      <c r="K1881" s="93"/>
      <c r="L1881" s="93">
        <f t="shared" si="254"/>
        <v>0</v>
      </c>
      <c r="M1881" s="95" t="e">
        <f t="shared" ca="1" si="255"/>
        <v>#DIV/0!</v>
      </c>
      <c r="N1881" s="95">
        <f>IF(P1881="Hedge Fund",IF(A1881=Summary!$AD$3,M1881-E1881,M1881),IF(A1881=Summary!$AD$3,L1881-D1881,L1881))</f>
        <v>0</v>
      </c>
      <c r="O1881" s="95">
        <f t="shared" si="259"/>
        <v>0</v>
      </c>
      <c r="P1881" s="107" t="s">
        <v>155</v>
      </c>
      <c r="Q1881" s="107">
        <v>0</v>
      </c>
      <c r="R1881" s="107">
        <v>0</v>
      </c>
      <c r="S1881" s="107">
        <v>0</v>
      </c>
      <c r="T1881" s="107">
        <v>0</v>
      </c>
      <c r="U1881" s="107"/>
      <c r="V1881" s="107"/>
      <c r="W1881" s="107"/>
      <c r="X1881" s="107"/>
      <c r="Y1881" s="107"/>
      <c r="Z1881" s="107"/>
      <c r="AA1881" s="107"/>
      <c r="AB1881" s="107"/>
      <c r="AC1881" s="355"/>
      <c r="AD1881" s="355"/>
      <c r="AE1881" s="355"/>
      <c r="AF1881" s="94">
        <f t="shared" si="256"/>
        <v>43007</v>
      </c>
      <c r="AG1881" s="185">
        <f t="shared" si="260"/>
        <v>-6.5332450909637574E-3</v>
      </c>
      <c r="AH1881" s="339" t="str">
        <f>VLOOKUP(B1881,'MF PF'!A:B,2)</f>
        <v>FdMgt1</v>
      </c>
      <c r="AI1881" s="358">
        <f t="shared" si="257"/>
        <v>0</v>
      </c>
      <c r="AJ1881" s="94">
        <f t="shared" si="258"/>
        <v>43008</v>
      </c>
    </row>
    <row r="1882" spans="1:36" ht="12.75" customHeight="1">
      <c r="A1882" s="8">
        <v>43039</v>
      </c>
      <c r="B1882" s="94" t="s">
        <v>136</v>
      </c>
      <c r="C1882" s="358" t="s">
        <v>323</v>
      </c>
      <c r="D1882" s="374">
        <v>1968200</v>
      </c>
      <c r="E1882" s="95" t="e">
        <f t="shared" si="261"/>
        <v>#DIV/0!</v>
      </c>
      <c r="F1882" s="98">
        <v>1.5</v>
      </c>
      <c r="G1882" s="98">
        <v>0</v>
      </c>
      <c r="H1882" s="98">
        <v>0</v>
      </c>
      <c r="I1882" s="98">
        <v>0</v>
      </c>
      <c r="J1882" s="98"/>
      <c r="K1882" s="93"/>
      <c r="L1882" s="93">
        <f t="shared" si="254"/>
        <v>0</v>
      </c>
      <c r="M1882" s="95" t="e">
        <f t="shared" ca="1" si="255"/>
        <v>#DIV/0!</v>
      </c>
      <c r="N1882" s="95">
        <f>IF(P1882="Hedge Fund",IF(A1882=Summary!$AD$3,M1882-E1882,M1882),IF(A1882=Summary!$AD$3,L1882-D1882,L1882))</f>
        <v>0</v>
      </c>
      <c r="O1882" s="95">
        <f t="shared" si="259"/>
        <v>0</v>
      </c>
      <c r="P1882" s="107" t="s">
        <v>155</v>
      </c>
      <c r="Q1882" s="107">
        <v>0</v>
      </c>
      <c r="R1882" s="107">
        <v>0</v>
      </c>
      <c r="S1882" s="107">
        <v>0</v>
      </c>
      <c r="T1882" s="107">
        <v>0</v>
      </c>
      <c r="U1882" s="107"/>
      <c r="V1882" s="107"/>
      <c r="W1882" s="107"/>
      <c r="X1882" s="107"/>
      <c r="Y1882" s="107"/>
      <c r="Z1882" s="107"/>
      <c r="AA1882" s="107"/>
      <c r="AB1882" s="107"/>
      <c r="AC1882" s="355"/>
      <c r="AD1882" s="355"/>
      <c r="AE1882" s="355"/>
      <c r="AF1882" s="94">
        <f t="shared" si="256"/>
        <v>43039</v>
      </c>
      <c r="AG1882" s="185">
        <f t="shared" si="260"/>
        <v>7.8563843438086423E-3</v>
      </c>
      <c r="AH1882" s="339" t="str">
        <f>VLOOKUP(B1882,'MF PF'!A:B,2)</f>
        <v>FdMgt1</v>
      </c>
      <c r="AI1882" s="358">
        <f t="shared" si="257"/>
        <v>0</v>
      </c>
      <c r="AJ1882" s="94">
        <f t="shared" si="258"/>
        <v>43039</v>
      </c>
    </row>
    <row r="1883" spans="1:36" ht="12.75" customHeight="1">
      <c r="A1883" s="94">
        <v>43069</v>
      </c>
      <c r="B1883" s="94" t="s">
        <v>136</v>
      </c>
      <c r="C1883" s="92" t="s">
        <v>323</v>
      </c>
      <c r="D1883" s="374">
        <v>1968900</v>
      </c>
      <c r="E1883" s="95" t="e">
        <f t="shared" si="261"/>
        <v>#DIV/0!</v>
      </c>
      <c r="F1883" s="98">
        <v>1.5</v>
      </c>
      <c r="G1883" s="98">
        <v>0</v>
      </c>
      <c r="H1883" s="98">
        <v>0</v>
      </c>
      <c r="I1883" s="98">
        <v>0</v>
      </c>
      <c r="J1883" s="98"/>
      <c r="K1883" s="93"/>
      <c r="L1883" s="93">
        <f t="shared" si="254"/>
        <v>0</v>
      </c>
      <c r="M1883" s="95" t="e">
        <f t="shared" ca="1" si="255"/>
        <v>#DIV/0!</v>
      </c>
      <c r="N1883" s="95">
        <f>IF(P1883="Hedge Fund",IF(A1883=Summary!$AD$3,M1883-E1883,M1883),IF(A1883=Summary!$AD$3,L1883-D1883,L1883))</f>
        <v>0</v>
      </c>
      <c r="O1883" s="95">
        <f t="shared" si="259"/>
        <v>0</v>
      </c>
      <c r="P1883" s="107" t="s">
        <v>155</v>
      </c>
      <c r="Q1883" s="107">
        <v>0</v>
      </c>
      <c r="R1883" s="107">
        <v>0</v>
      </c>
      <c r="S1883" s="107">
        <v>0</v>
      </c>
      <c r="T1883" s="107">
        <v>0</v>
      </c>
      <c r="U1883" s="107"/>
      <c r="V1883" s="107"/>
      <c r="W1883" s="107"/>
      <c r="X1883" s="107"/>
      <c r="Y1883" s="107"/>
      <c r="Z1883" s="107"/>
      <c r="AA1883" s="107"/>
      <c r="AB1883" s="107"/>
      <c r="AC1883" s="355"/>
      <c r="AD1883" s="355"/>
      <c r="AE1883" s="355"/>
      <c r="AF1883" s="94">
        <f t="shared" si="256"/>
        <v>43069</v>
      </c>
      <c r="AG1883" s="185">
        <f t="shared" si="260"/>
        <v>3.5565491311850828E-4</v>
      </c>
      <c r="AH1883" s="339" t="str">
        <f>VLOOKUP(B1883,'MF PF'!A:B,2)</f>
        <v>FdMgt1</v>
      </c>
      <c r="AI1883" s="358">
        <f t="shared" si="257"/>
        <v>0</v>
      </c>
      <c r="AJ1883" s="94">
        <f t="shared" si="258"/>
        <v>43069</v>
      </c>
    </row>
    <row r="1884" spans="1:36" ht="12.75" customHeight="1">
      <c r="A1884" s="8">
        <v>43098</v>
      </c>
      <c r="B1884" s="94" t="s">
        <v>136</v>
      </c>
      <c r="C1884" s="92" t="s">
        <v>323</v>
      </c>
      <c r="D1884" s="374">
        <v>2058600.0000000002</v>
      </c>
      <c r="E1884" s="95" t="e">
        <f t="shared" si="261"/>
        <v>#DIV/0!</v>
      </c>
      <c r="F1884" s="98">
        <v>1.5</v>
      </c>
      <c r="G1884" s="98">
        <v>0</v>
      </c>
      <c r="H1884" s="98">
        <v>0</v>
      </c>
      <c r="I1884" s="98">
        <v>0</v>
      </c>
      <c r="J1884" s="98"/>
      <c r="K1884" s="93"/>
      <c r="L1884" s="93">
        <f t="shared" si="254"/>
        <v>0</v>
      </c>
      <c r="M1884" s="95" t="e">
        <f t="shared" ca="1" si="255"/>
        <v>#DIV/0!</v>
      </c>
      <c r="N1884" s="95">
        <f>IF(P1884="Hedge Fund",IF(A1884=Summary!$AD$3,M1884-E1884,M1884),IF(A1884=Summary!$AD$3,L1884-D1884,L1884))</f>
        <v>0</v>
      </c>
      <c r="O1884" s="95">
        <f t="shared" si="259"/>
        <v>0</v>
      </c>
      <c r="P1884" s="89" t="s">
        <v>155</v>
      </c>
      <c r="Q1884" s="107">
        <v>0</v>
      </c>
      <c r="R1884" s="107">
        <v>0</v>
      </c>
      <c r="S1884" s="107">
        <v>0</v>
      </c>
      <c r="T1884" s="107">
        <v>0</v>
      </c>
      <c r="U1884" s="107"/>
      <c r="V1884" s="107"/>
      <c r="W1884" s="107"/>
      <c r="X1884" s="107"/>
      <c r="Y1884" s="107"/>
      <c r="Z1884" s="107"/>
      <c r="AA1884" s="107"/>
      <c r="AB1884" s="107"/>
      <c r="AC1884" s="355"/>
      <c r="AD1884" s="355"/>
      <c r="AE1884" s="355"/>
      <c r="AF1884" s="94">
        <f t="shared" si="256"/>
        <v>43098</v>
      </c>
      <c r="AG1884" s="185">
        <f t="shared" si="260"/>
        <v>4.5558433643151153E-2</v>
      </c>
      <c r="AH1884" s="339" t="str">
        <f>VLOOKUP(B1884,'MF PF'!A:B,2)</f>
        <v>FdMgt1</v>
      </c>
      <c r="AI1884" s="358">
        <f t="shared" si="257"/>
        <v>0</v>
      </c>
      <c r="AJ1884" s="94">
        <f t="shared" si="258"/>
        <v>43100</v>
      </c>
    </row>
    <row r="1885" spans="1:36" ht="12.75" customHeight="1">
      <c r="A1885" s="94">
        <v>43131</v>
      </c>
      <c r="B1885" s="94" t="s">
        <v>136</v>
      </c>
      <c r="C1885" s="92" t="s">
        <v>323</v>
      </c>
      <c r="D1885" s="374">
        <v>2086800.0000000002</v>
      </c>
      <c r="E1885" s="9" t="e">
        <f t="shared" si="261"/>
        <v>#DIV/0!</v>
      </c>
      <c r="F1885" s="98">
        <v>1.5</v>
      </c>
      <c r="G1885" s="98">
        <v>0</v>
      </c>
      <c r="H1885" s="98">
        <v>0</v>
      </c>
      <c r="I1885" s="98">
        <v>0</v>
      </c>
      <c r="J1885" s="98"/>
      <c r="K1885" s="93"/>
      <c r="L1885" s="93">
        <f t="shared" si="254"/>
        <v>0</v>
      </c>
      <c r="M1885" s="95" t="e">
        <f t="shared" ca="1" si="255"/>
        <v>#DIV/0!</v>
      </c>
      <c r="N1885" s="95">
        <f>IF(P1885="Hedge Fund",IF(A1885=Summary!$AD$3,M1885-E1885,M1885),IF(A1885=Summary!$AD$3,L1885-D1885,L1885))</f>
        <v>0</v>
      </c>
      <c r="O1885" s="95">
        <f t="shared" si="259"/>
        <v>0</v>
      </c>
      <c r="P1885" s="89" t="s">
        <v>155</v>
      </c>
      <c r="Q1885" s="107">
        <v>0</v>
      </c>
      <c r="R1885" s="107">
        <v>0</v>
      </c>
      <c r="S1885" s="107">
        <v>0</v>
      </c>
      <c r="T1885" s="107">
        <v>0</v>
      </c>
      <c r="U1885" s="107"/>
      <c r="V1885" s="107"/>
      <c r="W1885" s="107"/>
      <c r="X1885" s="107"/>
      <c r="Y1885" s="107"/>
      <c r="Z1885" s="107"/>
      <c r="AA1885" s="107"/>
      <c r="AB1885" s="107"/>
      <c r="AC1885" s="355"/>
      <c r="AD1885" s="355"/>
      <c r="AE1885" s="355"/>
      <c r="AF1885" s="94">
        <f t="shared" si="256"/>
        <v>43131</v>
      </c>
      <c r="AG1885" s="185">
        <f t="shared" si="260"/>
        <v>1.3698630136986356E-2</v>
      </c>
      <c r="AH1885" s="339" t="str">
        <f>VLOOKUP(B1885,'MF PF'!A:B,2)</f>
        <v>FdMgt1</v>
      </c>
      <c r="AI1885" s="358">
        <f t="shared" si="257"/>
        <v>0</v>
      </c>
      <c r="AJ1885" s="94">
        <f t="shared" si="258"/>
        <v>43131</v>
      </c>
    </row>
    <row r="1886" spans="1:36" s="92" customFormat="1" ht="12.75" customHeight="1">
      <c r="A1886" s="94">
        <v>43159</v>
      </c>
      <c r="B1886" s="94" t="s">
        <v>136</v>
      </c>
      <c r="C1886" s="92" t="s">
        <v>323</v>
      </c>
      <c r="D1886" s="374">
        <v>2104762.9</v>
      </c>
      <c r="E1886" s="95" t="e">
        <f t="shared" si="261"/>
        <v>#DIV/0!</v>
      </c>
      <c r="F1886" s="98">
        <v>1.5</v>
      </c>
      <c r="G1886" s="98">
        <v>0</v>
      </c>
      <c r="H1886" s="98">
        <v>0</v>
      </c>
      <c r="I1886" s="98">
        <v>0</v>
      </c>
      <c r="J1886" s="98"/>
      <c r="K1886" s="93"/>
      <c r="L1886" s="93">
        <f t="shared" si="254"/>
        <v>0</v>
      </c>
      <c r="M1886" s="95" t="e">
        <f t="shared" ca="1" si="255"/>
        <v>#DIV/0!</v>
      </c>
      <c r="N1886" s="95">
        <f>IF(P1886="Hedge Fund",IF(A1886=Summary!$AD$3,M1886-E1886,M1886),IF(A1886=Summary!$AD$3,L1886-D1886,L1886))</f>
        <v>0</v>
      </c>
      <c r="O1886" s="95">
        <f t="shared" si="259"/>
        <v>0</v>
      </c>
      <c r="P1886" s="107" t="s">
        <v>155</v>
      </c>
      <c r="Q1886" s="107">
        <v>0</v>
      </c>
      <c r="R1886" s="107">
        <v>0</v>
      </c>
      <c r="S1886" s="107">
        <v>0</v>
      </c>
      <c r="T1886" s="107">
        <v>0</v>
      </c>
      <c r="U1886" s="107"/>
      <c r="V1886" s="107"/>
      <c r="W1886" s="107"/>
      <c r="X1886" s="107"/>
      <c r="Y1886" s="107"/>
      <c r="Z1886" s="107"/>
      <c r="AA1886" s="107"/>
      <c r="AB1886" s="107"/>
      <c r="AC1886" s="355"/>
      <c r="AD1886" s="355"/>
      <c r="AE1886" s="355"/>
      <c r="AF1886" s="94">
        <f t="shared" si="256"/>
        <v>43159</v>
      </c>
      <c r="AG1886" s="185">
        <f t="shared" si="260"/>
        <v>8.6078685068045058E-3</v>
      </c>
      <c r="AH1886" s="339" t="str">
        <f>VLOOKUP(B1886,'MF PF'!A:B,2)</f>
        <v>FdMgt1</v>
      </c>
      <c r="AI1886" s="358">
        <f t="shared" si="257"/>
        <v>0</v>
      </c>
      <c r="AJ1886" s="94">
        <f t="shared" si="258"/>
        <v>43159</v>
      </c>
    </row>
    <row r="1887" spans="1:36" ht="12.75" customHeight="1">
      <c r="A1887" s="8">
        <v>43188</v>
      </c>
      <c r="B1887" s="94" t="s">
        <v>136</v>
      </c>
      <c r="C1887" s="92" t="s">
        <v>323</v>
      </c>
      <c r="D1887" s="374">
        <v>2116774.7390000001</v>
      </c>
      <c r="E1887" s="9" t="e">
        <f t="shared" si="261"/>
        <v>#DIV/0!</v>
      </c>
      <c r="F1887" s="98">
        <v>1.5</v>
      </c>
      <c r="G1887" s="98">
        <v>0</v>
      </c>
      <c r="H1887" s="98">
        <v>0</v>
      </c>
      <c r="I1887" s="98">
        <v>0</v>
      </c>
      <c r="J1887" s="98"/>
      <c r="K1887" s="93"/>
      <c r="L1887" s="93">
        <f t="shared" si="254"/>
        <v>0</v>
      </c>
      <c r="M1887" s="95" t="e">
        <f t="shared" ca="1" si="255"/>
        <v>#DIV/0!</v>
      </c>
      <c r="N1887" s="95">
        <f>IF(P1887="Hedge Fund",IF(A1887=Summary!$AD$3,M1887-E1887,M1887),IF(A1887=Summary!$AD$3,L1887-D1887,L1887))</f>
        <v>0</v>
      </c>
      <c r="O1887" s="95">
        <f t="shared" si="259"/>
        <v>0</v>
      </c>
      <c r="P1887" s="89" t="s">
        <v>155</v>
      </c>
      <c r="Q1887" s="361">
        <v>8.2622945324499174E-3</v>
      </c>
      <c r="R1887" s="109">
        <v>0.10884260099999998</v>
      </c>
      <c r="S1887" s="107">
        <v>8.2622945324499182E-4</v>
      </c>
      <c r="T1887" s="107">
        <v>1.0884260074726808E-2</v>
      </c>
      <c r="U1887" s="107"/>
      <c r="V1887" s="107"/>
      <c r="W1887" s="107"/>
      <c r="X1887" s="107"/>
      <c r="Y1887" s="107"/>
      <c r="Z1887" s="107"/>
      <c r="AA1887" s="107"/>
      <c r="AB1887" s="107"/>
      <c r="AC1887" s="355"/>
      <c r="AD1887" s="355"/>
      <c r="AE1887" s="355"/>
      <c r="AF1887" s="94">
        <f t="shared" si="256"/>
        <v>43188</v>
      </c>
      <c r="AG1887" s="185">
        <f t="shared" si="260"/>
        <v>5.7069796317676946E-3</v>
      </c>
      <c r="AH1887" s="339" t="str">
        <f>VLOOKUP(B1887,'MF PF'!A:B,2)</f>
        <v>FdMgt1</v>
      </c>
      <c r="AI1887" s="358">
        <f t="shared" si="257"/>
        <v>0</v>
      </c>
      <c r="AJ1887" s="94">
        <f t="shared" si="258"/>
        <v>43190</v>
      </c>
    </row>
    <row r="1888" spans="1:36" ht="12.75" customHeight="1">
      <c r="A1888" s="8">
        <v>43220</v>
      </c>
      <c r="B1888" s="94" t="s">
        <v>136</v>
      </c>
      <c r="C1888" s="92" t="s">
        <v>323</v>
      </c>
      <c r="D1888" s="374">
        <v>2144638.2914999998</v>
      </c>
      <c r="E1888" s="95" t="e">
        <f t="shared" si="261"/>
        <v>#DIV/0!</v>
      </c>
      <c r="F1888" s="98">
        <v>1.5</v>
      </c>
      <c r="G1888" s="98">
        <v>0</v>
      </c>
      <c r="H1888" s="98">
        <v>0</v>
      </c>
      <c r="I1888" s="98">
        <v>0</v>
      </c>
      <c r="J1888" s="98"/>
      <c r="K1888" s="93"/>
      <c r="L1888" s="93">
        <f t="shared" si="254"/>
        <v>0</v>
      </c>
      <c r="M1888" s="95" t="e">
        <f t="shared" ca="1" si="255"/>
        <v>#DIV/0!</v>
      </c>
      <c r="N1888" s="95">
        <f>IF(P1888="Hedge Fund",IF(A1888=Summary!$AD$3,M1888-E1888,M1888),IF(A1888=Summary!$AD$3,L1888-D1888,L1888))</f>
        <v>0</v>
      </c>
      <c r="O1888" s="95">
        <f t="shared" si="259"/>
        <v>0</v>
      </c>
      <c r="P1888" s="89" t="s">
        <v>155</v>
      </c>
      <c r="Q1888" s="109">
        <v>0</v>
      </c>
      <c r="R1888" s="109">
        <v>0.11375970000000001</v>
      </c>
      <c r="S1888" s="107">
        <v>0</v>
      </c>
      <c r="T1888" s="107">
        <v>0</v>
      </c>
      <c r="U1888" s="107"/>
      <c r="V1888" s="107"/>
      <c r="W1888" s="107"/>
      <c r="X1888" s="107"/>
      <c r="Y1888" s="107"/>
      <c r="Z1888" s="107"/>
      <c r="AA1888" s="107"/>
      <c r="AB1888" s="107"/>
      <c r="AC1888" s="355"/>
      <c r="AD1888" s="355"/>
      <c r="AE1888" s="355"/>
      <c r="AF1888" s="94">
        <f t="shared" si="256"/>
        <v>43220</v>
      </c>
      <c r="AG1888" s="185">
        <f t="shared" si="260"/>
        <v>1.3163210986334217E-2</v>
      </c>
      <c r="AH1888" s="339" t="str">
        <f>VLOOKUP(B1888,'MF PF'!A:B,2)</f>
        <v>FdMgt1</v>
      </c>
      <c r="AI1888" s="358">
        <f t="shared" si="257"/>
        <v>0</v>
      </c>
      <c r="AJ1888" s="94">
        <f t="shared" si="258"/>
        <v>43220</v>
      </c>
    </row>
    <row r="1889" spans="1:36" ht="12.75" customHeight="1">
      <c r="A1889" s="8">
        <v>43251</v>
      </c>
      <c r="B1889" s="358" t="s">
        <v>136</v>
      </c>
      <c r="C1889" s="94" t="s">
        <v>323</v>
      </c>
      <c r="D1889" s="374">
        <v>2157690.0499999998</v>
      </c>
      <c r="E1889" s="95" t="e">
        <f t="shared" si="261"/>
        <v>#DIV/0!</v>
      </c>
      <c r="F1889" s="98">
        <v>1.5</v>
      </c>
      <c r="G1889" s="98">
        <v>0</v>
      </c>
      <c r="H1889" s="98">
        <v>0</v>
      </c>
      <c r="I1889" s="110">
        <v>0</v>
      </c>
      <c r="J1889" s="110"/>
      <c r="K1889" s="93"/>
      <c r="L1889" s="93">
        <f t="shared" si="254"/>
        <v>0</v>
      </c>
      <c r="M1889" s="95" t="e">
        <f t="shared" ca="1" si="255"/>
        <v>#DIV/0!</v>
      </c>
      <c r="N1889" s="95">
        <f>IF(P1889="Hedge Fund",IF(A1889=Summary!$AD$3,M1889-E1889,M1889),IF(A1889=Summary!$AD$3,L1889-D1889,L1889))</f>
        <v>0</v>
      </c>
      <c r="O1889" s="95">
        <f t="shared" si="259"/>
        <v>0</v>
      </c>
      <c r="P1889" s="107" t="s">
        <v>155</v>
      </c>
      <c r="Q1889" s="109">
        <v>0</v>
      </c>
      <c r="R1889" s="109">
        <v>0.11606295</v>
      </c>
      <c r="S1889" s="107">
        <v>0</v>
      </c>
      <c r="T1889" s="107">
        <v>0</v>
      </c>
      <c r="U1889" s="107"/>
      <c r="V1889" s="107"/>
      <c r="W1889" s="107"/>
      <c r="X1889" s="107"/>
      <c r="Y1889" s="107"/>
      <c r="Z1889" s="107"/>
      <c r="AA1889" s="107"/>
      <c r="AB1889" s="107"/>
      <c r="AC1889" s="355"/>
      <c r="AD1889" s="355"/>
      <c r="AE1889" s="355"/>
      <c r="AF1889" s="94">
        <f t="shared" si="256"/>
        <v>43251</v>
      </c>
      <c r="AG1889" s="185">
        <f t="shared" si="260"/>
        <v>6.0857621314180932E-3</v>
      </c>
      <c r="AH1889" s="339" t="str">
        <f>VLOOKUP(B1889,'MF PF'!A:B,2)</f>
        <v>FdMgt1</v>
      </c>
      <c r="AI1889" s="358">
        <f t="shared" si="257"/>
        <v>0</v>
      </c>
      <c r="AJ1889" s="94">
        <f t="shared" si="258"/>
        <v>43251</v>
      </c>
    </row>
    <row r="1890" spans="1:36" ht="12.75" customHeight="1">
      <c r="A1890" s="94">
        <v>43280</v>
      </c>
      <c r="B1890" s="358" t="s">
        <v>136</v>
      </c>
      <c r="C1890" s="94" t="s">
        <v>323</v>
      </c>
      <c r="D1890" s="374">
        <v>2161044.4134999998</v>
      </c>
      <c r="E1890" s="95" t="e">
        <f t="shared" si="261"/>
        <v>#DIV/0!</v>
      </c>
      <c r="F1890" s="98">
        <v>1.5</v>
      </c>
      <c r="G1890" s="98">
        <v>0</v>
      </c>
      <c r="H1890" s="98">
        <v>0</v>
      </c>
      <c r="I1890" s="110">
        <v>0</v>
      </c>
      <c r="J1890" s="110"/>
      <c r="K1890" s="93"/>
      <c r="L1890" s="93">
        <f t="shared" si="254"/>
        <v>0</v>
      </c>
      <c r="M1890" s="95" t="e">
        <f t="shared" ca="1" si="255"/>
        <v>#DIV/0!</v>
      </c>
      <c r="N1890" s="95">
        <f>IF(P1890="Hedge Fund",IF(A1890=Summary!$AD$3,M1890-E1890,M1890),IF(A1890=Summary!$AD$3,L1890-D1890,L1890))</f>
        <v>0</v>
      </c>
      <c r="O1890" s="95">
        <f t="shared" si="259"/>
        <v>0</v>
      </c>
      <c r="P1890" s="107" t="s">
        <v>155</v>
      </c>
      <c r="Q1890" s="109">
        <v>8.6442600000000008E-3</v>
      </c>
      <c r="R1890" s="109">
        <v>0.11665490000000001</v>
      </c>
      <c r="S1890" s="107">
        <v>8.6442578711791018E-4</v>
      </c>
      <c r="T1890" s="107">
        <v>1.1665489642588534E-2</v>
      </c>
      <c r="U1890" s="107"/>
      <c r="V1890" s="107"/>
      <c r="W1890" s="107"/>
      <c r="X1890" s="107"/>
      <c r="Y1890" s="107"/>
      <c r="Z1890" s="107"/>
      <c r="AA1890" s="107"/>
      <c r="AB1890" s="107"/>
      <c r="AC1890" s="355"/>
      <c r="AD1890" s="355"/>
      <c r="AE1890" s="355"/>
      <c r="AF1890" s="94">
        <f t="shared" si="256"/>
        <v>43280</v>
      </c>
      <c r="AG1890" s="185">
        <f t="shared" si="260"/>
        <v>1.5546085963551448E-3</v>
      </c>
      <c r="AH1890" s="339" t="str">
        <f>VLOOKUP(B1890,'MF PF'!A:B,2)</f>
        <v>FdMgt1</v>
      </c>
      <c r="AI1890" s="358">
        <f t="shared" si="257"/>
        <v>0</v>
      </c>
      <c r="AJ1890" s="94">
        <f t="shared" si="258"/>
        <v>43281</v>
      </c>
    </row>
    <row r="1891" spans="1:36" ht="12.75" customHeight="1">
      <c r="A1891" s="94">
        <v>43312</v>
      </c>
      <c r="B1891" s="358" t="s">
        <v>136</v>
      </c>
      <c r="C1891" s="94" t="s">
        <v>323</v>
      </c>
      <c r="D1891" s="374">
        <v>2170940.3854999999</v>
      </c>
      <c r="E1891" s="9" t="str">
        <f>IF(K1891="","",D1891/K1891)</f>
        <v/>
      </c>
      <c r="F1891" s="98">
        <v>1.5</v>
      </c>
      <c r="G1891" s="98">
        <v>0</v>
      </c>
      <c r="H1891" s="98">
        <v>0</v>
      </c>
      <c r="I1891" s="98">
        <v>0</v>
      </c>
      <c r="J1891" s="98"/>
      <c r="K1891" s="93"/>
      <c r="L1891" s="93">
        <f t="shared" si="254"/>
        <v>0</v>
      </c>
      <c r="M1891" s="95" t="e">
        <f t="shared" ca="1" si="255"/>
        <v>#DIV/0!</v>
      </c>
      <c r="N1891" s="95">
        <f>IF(P1891="Hedge Fund",IF(A1891=Summary!$AD$3,M1891-E1891,M1891),IF(A1891=Summary!$AD$3,L1891-D1891,L1891))</f>
        <v>0</v>
      </c>
      <c r="O1891" s="95">
        <f t="shared" si="259"/>
        <v>0</v>
      </c>
      <c r="P1891" s="107" t="s">
        <v>155</v>
      </c>
      <c r="Q1891" s="107">
        <v>0</v>
      </c>
      <c r="R1891" s="109">
        <f>118401.2445/10^6</f>
        <v>0.1184012445</v>
      </c>
      <c r="S1891" s="107">
        <v>0</v>
      </c>
      <c r="T1891" s="107">
        <v>0</v>
      </c>
      <c r="U1891" s="107"/>
      <c r="V1891" s="107"/>
      <c r="W1891" s="107"/>
      <c r="X1891" s="107"/>
      <c r="Y1891" s="107"/>
      <c r="Z1891" s="107"/>
      <c r="AA1891" s="107"/>
      <c r="AB1891" s="107"/>
      <c r="AC1891" s="355"/>
      <c r="AD1891" s="355"/>
      <c r="AE1891" s="355"/>
      <c r="AF1891" s="94">
        <f t="shared" si="256"/>
        <v>43312</v>
      </c>
      <c r="AG1891" s="185">
        <f t="shared" si="260"/>
        <v>4.579254335626004E-3</v>
      </c>
      <c r="AH1891" s="339" t="str">
        <f>VLOOKUP(B1891,'MF PF'!A:B,2)</f>
        <v>FdMgt1</v>
      </c>
      <c r="AI1891" s="358">
        <f t="shared" si="257"/>
        <v>0</v>
      </c>
      <c r="AJ1891" s="94">
        <f t="shared" si="258"/>
        <v>43312</v>
      </c>
    </row>
    <row r="1892" spans="1:36" ht="12.75" customHeight="1">
      <c r="A1892" s="94">
        <v>43343</v>
      </c>
      <c r="B1892" s="358" t="s">
        <v>136</v>
      </c>
      <c r="C1892" s="94" t="s">
        <v>323</v>
      </c>
      <c r="D1892" s="374">
        <v>2175925.9925000002</v>
      </c>
      <c r="E1892" s="9" t="str">
        <f>IF(K1892="","",D1892/K1892)</f>
        <v/>
      </c>
      <c r="F1892" s="98">
        <v>1.5</v>
      </c>
      <c r="G1892" s="98">
        <v>0</v>
      </c>
      <c r="H1892" s="98">
        <v>0</v>
      </c>
      <c r="I1892" s="98">
        <v>0</v>
      </c>
      <c r="J1892" s="98"/>
      <c r="K1892" s="93"/>
      <c r="L1892" s="93">
        <f t="shared" si="254"/>
        <v>0</v>
      </c>
      <c r="M1892" s="95" t="e">
        <f t="shared" ca="1" si="255"/>
        <v>#DIV/0!</v>
      </c>
      <c r="N1892" s="95">
        <f>IF(P1892="Hedge Fund",IF(A1892=Summary!$AD$3,M1892-E1892,M1892),IF(A1892=Summary!$AD$3,L1892-D1892,L1892))</f>
        <v>0</v>
      </c>
      <c r="O1892" s="9">
        <f t="shared" si="259"/>
        <v>0</v>
      </c>
      <c r="P1892" s="107" t="s">
        <v>155</v>
      </c>
      <c r="Q1892" s="107">
        <v>0</v>
      </c>
      <c r="R1892" s="109">
        <v>0.11928105749999997</v>
      </c>
      <c r="S1892" s="107">
        <v>0</v>
      </c>
      <c r="T1892" s="107">
        <v>0</v>
      </c>
      <c r="U1892" s="107"/>
      <c r="V1892" s="107"/>
      <c r="W1892" s="107"/>
      <c r="X1892" s="107"/>
      <c r="Y1892" s="107"/>
      <c r="Z1892" s="107"/>
      <c r="AA1892" s="107"/>
      <c r="AB1892" s="107"/>
      <c r="AC1892" s="355"/>
      <c r="AD1892" s="355"/>
      <c r="AE1892" s="355"/>
      <c r="AF1892" s="94">
        <f t="shared" si="256"/>
        <v>43343</v>
      </c>
      <c r="AG1892" s="185">
        <f t="shared" si="260"/>
        <v>2.296519532871466E-3</v>
      </c>
      <c r="AH1892" s="339" t="str">
        <f>VLOOKUP(B1892,'MF PF'!A:B,2)</f>
        <v>FdMgt1</v>
      </c>
      <c r="AI1892" s="358">
        <f t="shared" si="257"/>
        <v>0</v>
      </c>
      <c r="AJ1892" s="94">
        <f t="shared" si="258"/>
        <v>43343</v>
      </c>
    </row>
    <row r="1893" spans="1:36" ht="12.75" customHeight="1">
      <c r="A1893" s="8">
        <v>43371</v>
      </c>
      <c r="B1893" s="358" t="s">
        <v>136</v>
      </c>
      <c r="C1893" s="92" t="s">
        <v>323</v>
      </c>
      <c r="D1893" s="374">
        <v>2143437.8110000002</v>
      </c>
      <c r="F1893" s="105">
        <v>1.5</v>
      </c>
      <c r="G1893" s="93">
        <v>0</v>
      </c>
      <c r="H1893" s="93">
        <v>0</v>
      </c>
      <c r="I1893" s="93">
        <v>0</v>
      </c>
      <c r="K1893" s="93">
        <v>0</v>
      </c>
      <c r="L1893" s="93">
        <f t="shared" si="254"/>
        <v>0</v>
      </c>
      <c r="M1893" s="95" t="e">
        <f t="shared" ca="1" si="255"/>
        <v>#DIV/0!</v>
      </c>
      <c r="N1893" s="95">
        <f>IF(P1893="Hedge Fund",IF(A1893=Summary!$AD$3,M1893-E1893,M1893),IF(A1893=Summary!$AD$3,L1893-D1893,L1893))</f>
        <v>0</v>
      </c>
      <c r="O1893" s="9">
        <f t="shared" si="259"/>
        <v>0</v>
      </c>
      <c r="P1893" s="95" t="s">
        <v>155</v>
      </c>
      <c r="Q1893" s="353">
        <v>8.4721916883442258E-3</v>
      </c>
      <c r="R1893" s="95">
        <v>0.11354784900000002</v>
      </c>
      <c r="S1893" s="95">
        <v>8.4721916883442275E-4</v>
      </c>
      <c r="T1893" s="95">
        <v>1.1354784885615966E-2</v>
      </c>
      <c r="U1893" s="95"/>
      <c r="V1893" s="95"/>
      <c r="W1893" s="95"/>
      <c r="X1893" s="95"/>
      <c r="Y1893" s="95"/>
      <c r="Z1893" s="95"/>
      <c r="AA1893" s="95"/>
      <c r="AB1893" s="95"/>
      <c r="AC1893" s="355"/>
      <c r="AD1893" s="355"/>
      <c r="AE1893" s="355"/>
      <c r="AF1893" s="94">
        <f t="shared" si="256"/>
        <v>43371</v>
      </c>
      <c r="AG1893" s="185">
        <f t="shared" si="260"/>
        <v>-1.4930738275097832E-2</v>
      </c>
      <c r="AH1893" s="339" t="str">
        <f>VLOOKUP(B1893,'MF PF'!A:B,2)</f>
        <v>FdMgt1</v>
      </c>
      <c r="AI1893" s="358">
        <f t="shared" si="257"/>
        <v>0</v>
      </c>
      <c r="AJ1893" s="94">
        <f t="shared" si="258"/>
        <v>43373</v>
      </c>
    </row>
    <row r="1894" spans="1:36" ht="12.75" customHeight="1">
      <c r="A1894" s="8">
        <v>43404</v>
      </c>
      <c r="B1894" s="358" t="s">
        <v>136</v>
      </c>
      <c r="C1894" s="92" t="s">
        <v>323</v>
      </c>
      <c r="D1894" s="374">
        <v>2148469.8280000002</v>
      </c>
      <c r="F1894" s="105">
        <v>1.5</v>
      </c>
      <c r="G1894" s="93">
        <v>0</v>
      </c>
      <c r="H1894" s="93">
        <v>0</v>
      </c>
      <c r="I1894" s="93">
        <v>0</v>
      </c>
      <c r="J1894" s="93">
        <v>0</v>
      </c>
      <c r="K1894" s="93"/>
      <c r="L1894" s="93">
        <f t="shared" si="254"/>
        <v>0</v>
      </c>
      <c r="M1894" s="95" t="e">
        <f t="shared" ca="1" si="255"/>
        <v>#DIV/0!</v>
      </c>
      <c r="N1894" s="95">
        <f>IF(P1894="Hedge Fund",IF(A1894=Summary!$AD$3,M1894-E1894,M1894),IF(A1894=Summary!$AD$3,L1894-D1894,L1894))</f>
        <v>0</v>
      </c>
      <c r="O1894" s="9">
        <f t="shared" si="259"/>
        <v>0</v>
      </c>
      <c r="P1894" s="95" t="s">
        <v>155</v>
      </c>
      <c r="Q1894" s="95">
        <v>3.0730396340098135E-3</v>
      </c>
      <c r="R1894" s="95">
        <v>0.11443585200000003</v>
      </c>
      <c r="S1894" s="95"/>
      <c r="T1894" s="95"/>
      <c r="U1894" s="95"/>
      <c r="V1894" s="95"/>
      <c r="W1894" s="95"/>
      <c r="X1894" s="95"/>
      <c r="Y1894" s="95"/>
      <c r="Z1894" s="95"/>
      <c r="AA1894" s="95"/>
      <c r="AB1894" s="95"/>
      <c r="AC1894" s="355"/>
      <c r="AD1894" s="355"/>
      <c r="AE1894" s="355"/>
      <c r="AF1894" s="94">
        <f t="shared" si="256"/>
        <v>43404</v>
      </c>
      <c r="AG1894" s="185">
        <f t="shared" si="260"/>
        <v>2.3476384405349826E-3</v>
      </c>
      <c r="AH1894" s="339" t="str">
        <f>VLOOKUP(B1894,'MF PF'!A:B,2)</f>
        <v>FdMgt1</v>
      </c>
      <c r="AI1894" s="358">
        <f t="shared" si="257"/>
        <v>0</v>
      </c>
      <c r="AJ1894" s="94">
        <f t="shared" si="258"/>
        <v>43404</v>
      </c>
    </row>
    <row r="1895" spans="1:36" ht="12.75" customHeight="1">
      <c r="A1895" s="94">
        <v>43434</v>
      </c>
      <c r="B1895" s="358" t="s">
        <v>136</v>
      </c>
      <c r="C1895" s="92" t="s">
        <v>323</v>
      </c>
      <c r="D1895" s="374">
        <v>2175544.3594999998</v>
      </c>
      <c r="F1895" s="105">
        <v>1.5</v>
      </c>
      <c r="G1895" s="93">
        <v>0</v>
      </c>
      <c r="H1895" s="93">
        <v>0</v>
      </c>
      <c r="I1895" s="93">
        <v>0</v>
      </c>
      <c r="K1895" s="93">
        <v>0</v>
      </c>
      <c r="L1895" s="93">
        <f t="shared" si="254"/>
        <v>0</v>
      </c>
      <c r="M1895" s="95" t="e">
        <f t="shared" ca="1" si="255"/>
        <v>#DIV/0!</v>
      </c>
      <c r="N1895" s="95">
        <f>IF(P1895="Hedge Fund",IF(A1895=Summary!$AD$3,M1895-E1895,M1895),IF(A1895=Summary!$AD$3,L1895-D1895,L1895))</f>
        <v>0</v>
      </c>
      <c r="O1895" s="9">
        <f t="shared" si="259"/>
        <v>0</v>
      </c>
      <c r="P1895" s="95" t="s">
        <v>155</v>
      </c>
      <c r="Q1895" s="95">
        <v>5.9566449457654214E-3</v>
      </c>
      <c r="R1895" s="95">
        <v>0.11921371049999997</v>
      </c>
      <c r="S1895" s="95"/>
      <c r="T1895" s="95"/>
      <c r="U1895" s="95"/>
      <c r="V1895" s="95"/>
      <c r="W1895" s="95"/>
      <c r="X1895" s="95"/>
      <c r="Y1895" s="95"/>
      <c r="Z1895" s="95"/>
      <c r="AA1895" s="95"/>
      <c r="AB1895" s="95"/>
      <c r="AC1895" s="355"/>
      <c r="AD1895" s="355"/>
      <c r="AE1895" s="355"/>
      <c r="AF1895" s="94">
        <f t="shared" si="256"/>
        <v>43434</v>
      </c>
      <c r="AG1895" s="185">
        <f t="shared" si="260"/>
        <v>1.2601774131128174E-2</v>
      </c>
      <c r="AH1895" s="339" t="str">
        <f>VLOOKUP(B1895,'MF PF'!A:B,2)</f>
        <v>FdMgt1</v>
      </c>
      <c r="AI1895" s="358">
        <f t="shared" si="257"/>
        <v>0</v>
      </c>
      <c r="AJ1895" s="94">
        <f t="shared" si="258"/>
        <v>43434</v>
      </c>
    </row>
    <row r="1896" spans="1:36" ht="12.75" customHeight="1">
      <c r="A1896" s="8">
        <v>43452</v>
      </c>
      <c r="B1896" s="358" t="s">
        <v>136</v>
      </c>
      <c r="C1896" s="92" t="s">
        <v>323</v>
      </c>
      <c r="D1896" s="93"/>
      <c r="F1896" s="93"/>
      <c r="G1896" s="93"/>
      <c r="H1896" s="93"/>
      <c r="I1896" s="93">
        <v>0</v>
      </c>
      <c r="K1896" s="93"/>
      <c r="L1896" s="93">
        <f t="shared" si="254"/>
        <v>0</v>
      </c>
      <c r="M1896" s="95" t="e">
        <f t="shared" ca="1" si="255"/>
        <v>#DIV/0!</v>
      </c>
      <c r="N1896" s="95">
        <f>IF(P1896="Hedge Fund",IF(A1896=Summary!$AD$3,M1896-E1896,M1896),IF(A1896=Summary!$AD$3,L1896-D1896,L1896))</f>
        <v>0</v>
      </c>
      <c r="O1896" s="9">
        <f t="shared" si="259"/>
        <v>0</v>
      </c>
      <c r="P1896" s="95" t="s">
        <v>155</v>
      </c>
      <c r="Q1896" s="95"/>
      <c r="R1896" s="95"/>
      <c r="S1896" s="95"/>
      <c r="T1896" s="95"/>
      <c r="U1896" s="95"/>
      <c r="V1896" s="95"/>
      <c r="W1896" s="95"/>
      <c r="X1896" s="95"/>
      <c r="Y1896" s="95"/>
      <c r="Z1896" s="95"/>
      <c r="AA1896" s="95"/>
      <c r="AB1896" s="95"/>
      <c r="AC1896" s="355"/>
      <c r="AD1896" s="355"/>
      <c r="AE1896" s="355"/>
      <c r="AF1896" s="94">
        <f t="shared" si="256"/>
        <v>43452</v>
      </c>
      <c r="AG1896" s="185">
        <f t="shared" si="260"/>
        <v>-1</v>
      </c>
      <c r="AH1896" s="339" t="str">
        <f>VLOOKUP(B1896,'MF PF'!A:B,2)</f>
        <v>FdMgt1</v>
      </c>
      <c r="AI1896" s="358">
        <f t="shared" si="257"/>
        <v>0</v>
      </c>
      <c r="AJ1896" s="94">
        <f t="shared" si="258"/>
        <v>43465</v>
      </c>
    </row>
    <row r="1897" spans="1:36" ht="12.75" customHeight="1">
      <c r="A1897" s="94">
        <v>43465</v>
      </c>
      <c r="B1897" s="358" t="s">
        <v>136</v>
      </c>
      <c r="C1897" s="92" t="s">
        <v>323</v>
      </c>
      <c r="D1897" s="93">
        <v>2204382.148</v>
      </c>
      <c r="F1897" s="93">
        <v>1.5</v>
      </c>
      <c r="G1897" s="93">
        <v>0</v>
      </c>
      <c r="H1897" s="93">
        <v>0</v>
      </c>
      <c r="I1897" s="93">
        <v>0</v>
      </c>
      <c r="K1897" s="93">
        <v>0</v>
      </c>
      <c r="L1897" s="93">
        <f t="shared" si="254"/>
        <v>0</v>
      </c>
      <c r="M1897" s="95" t="e">
        <f t="shared" ca="1" si="255"/>
        <v>#DIV/0!</v>
      </c>
      <c r="N1897" s="95">
        <f>IF(P1897="Hedge Fund",IF(A1897=Summary!$AD$3,M1897-E1897,M1897),IF(A1897=Summary!$AD$3,L1897-D1897,L1897))</f>
        <v>0</v>
      </c>
      <c r="O1897" s="9">
        <f t="shared" si="259"/>
        <v>0</v>
      </c>
      <c r="P1897" s="95" t="s">
        <v>155</v>
      </c>
      <c r="Q1897" s="95">
        <v>9.0306270326336972E-3</v>
      </c>
      <c r="R1897" s="95">
        <v>0.12430273199999997</v>
      </c>
      <c r="S1897" s="95"/>
      <c r="T1897" s="95"/>
      <c r="U1897" s="95"/>
      <c r="V1897" s="95"/>
      <c r="W1897" s="95"/>
      <c r="X1897" s="95"/>
      <c r="Y1897" s="95"/>
      <c r="Z1897" s="95"/>
      <c r="AA1897" s="95"/>
      <c r="AB1897" s="95"/>
      <c r="AC1897" s="355"/>
      <c r="AD1897" s="355"/>
      <c r="AE1897" s="355"/>
      <c r="AF1897" s="94">
        <f t="shared" si="256"/>
        <v>43465</v>
      </c>
      <c r="AG1897" s="185" t="e">
        <f t="shared" si="260"/>
        <v>#DIV/0!</v>
      </c>
      <c r="AH1897" s="339" t="str">
        <f>VLOOKUP(B1897,'MF PF'!A:B,2)</f>
        <v>FdMgt1</v>
      </c>
      <c r="AI1897" s="358">
        <f t="shared" si="257"/>
        <v>0</v>
      </c>
      <c r="AJ1897" s="94">
        <f t="shared" si="258"/>
        <v>43465</v>
      </c>
    </row>
    <row r="1898" spans="1:36" ht="12.75" customHeight="1">
      <c r="A1898" s="8">
        <v>43487</v>
      </c>
      <c r="B1898" s="358" t="s">
        <v>136</v>
      </c>
      <c r="C1898" s="92" t="s">
        <v>323</v>
      </c>
      <c r="D1898" s="93"/>
      <c r="F1898" s="93"/>
      <c r="G1898" s="93"/>
      <c r="H1898" s="93"/>
      <c r="I1898" s="93">
        <v>-23556.203195734823</v>
      </c>
      <c r="K1898" s="93"/>
      <c r="L1898" s="93">
        <f t="shared" si="254"/>
        <v>-23556.203195734823</v>
      </c>
      <c r="M1898" s="95" t="e">
        <f t="shared" ca="1" si="255"/>
        <v>#DIV/0!</v>
      </c>
      <c r="N1898" s="95">
        <f>IF(P1898="Hedge Fund",IF(A1898=Summary!$AD$3,M1898-E1898,M1898),IF(A1898=Summary!$AD$3,L1898-D1898,L1898))</f>
        <v>-23556.203195734823</v>
      </c>
      <c r="O1898" s="9">
        <f t="shared" si="259"/>
        <v>-23556.203195734823</v>
      </c>
      <c r="P1898" s="95" t="s">
        <v>155</v>
      </c>
      <c r="Q1898" s="95"/>
      <c r="R1898" s="95"/>
      <c r="S1898" s="95"/>
      <c r="T1898" s="95"/>
      <c r="U1898" s="95"/>
      <c r="V1898" s="95"/>
      <c r="W1898" s="95"/>
      <c r="X1898" s="95"/>
      <c r="Y1898" s="95"/>
      <c r="Z1898" s="95"/>
      <c r="AA1898" s="95"/>
      <c r="AB1898" s="95"/>
      <c r="AC1898" s="355"/>
      <c r="AD1898" s="355"/>
      <c r="AE1898" s="355"/>
      <c r="AF1898" s="94">
        <f t="shared" si="256"/>
        <v>43487</v>
      </c>
      <c r="AG1898" s="185">
        <f t="shared" si="260"/>
        <v>-0.98931392035763532</v>
      </c>
      <c r="AH1898" s="339" t="str">
        <f>VLOOKUP(B1898,'MF PF'!A:B,2)</f>
        <v>FdMgt1</v>
      </c>
      <c r="AI1898" s="358">
        <f t="shared" si="257"/>
        <v>0</v>
      </c>
      <c r="AJ1898" s="94">
        <f t="shared" si="258"/>
        <v>43496</v>
      </c>
    </row>
    <row r="1899" spans="1:36" ht="12.75" customHeight="1">
      <c r="A1899" s="8">
        <v>43496</v>
      </c>
      <c r="B1899" s="358" t="s">
        <v>136</v>
      </c>
      <c r="C1899" s="92" t="s">
        <v>323</v>
      </c>
      <c r="D1899" s="93">
        <v>2209400.2250000001</v>
      </c>
      <c r="F1899" s="93">
        <v>1.5</v>
      </c>
      <c r="G1899" s="93">
        <v>0</v>
      </c>
      <c r="H1899" s="93">
        <v>0</v>
      </c>
      <c r="I1899" s="93">
        <v>0</v>
      </c>
      <c r="K1899" s="93">
        <v>0</v>
      </c>
      <c r="L1899" s="93">
        <f t="shared" si="254"/>
        <v>0</v>
      </c>
      <c r="M1899" s="95" t="e">
        <f t="shared" ca="1" si="255"/>
        <v>#DIV/0!</v>
      </c>
      <c r="N1899" s="95">
        <f>IF(P1899="Hedge Fund",IF(A1899=Summary!$AD$3,M1899-E1899,M1899),IF(A1899=Summary!$AD$3,L1899-D1899,L1899))</f>
        <v>-2209400.2250000001</v>
      </c>
      <c r="O1899" s="9">
        <f t="shared" si="259"/>
        <v>-2209400.2250000001</v>
      </c>
      <c r="P1899" s="95" t="s">
        <v>155</v>
      </c>
      <c r="Q1899" s="95">
        <v>2.9779956788903556E-3</v>
      </c>
      <c r="R1899" s="95">
        <v>0.12518827499999999</v>
      </c>
      <c r="S1899" s="95"/>
      <c r="T1899" s="95"/>
      <c r="U1899" s="95"/>
      <c r="V1899" s="95"/>
      <c r="W1899" s="95"/>
      <c r="X1899" s="95"/>
      <c r="Y1899" s="95"/>
      <c r="Z1899" s="95"/>
      <c r="AA1899" s="95"/>
      <c r="AB1899" s="95"/>
      <c r="AC1899" s="355"/>
      <c r="AD1899" s="355"/>
      <c r="AE1899" s="355"/>
      <c r="AF1899" s="94">
        <f t="shared" si="256"/>
        <v>43496</v>
      </c>
      <c r="AG1899" s="185" t="e">
        <f t="shared" si="260"/>
        <v>#DIV/0!</v>
      </c>
      <c r="AH1899" s="339" t="str">
        <f>VLOOKUP(B1899,'MF PF'!A:B,2)</f>
        <v>FdMgt1</v>
      </c>
      <c r="AI1899" s="358">
        <f t="shared" si="257"/>
        <v>0</v>
      </c>
      <c r="AJ1899" s="94">
        <f t="shared" si="258"/>
        <v>43496</v>
      </c>
    </row>
    <row r="1900" spans="1:36" ht="12.75" customHeight="1">
      <c r="A1900" s="94">
        <v>42207</v>
      </c>
      <c r="B1900" s="94" t="s">
        <v>136</v>
      </c>
      <c r="C1900" s="92" t="s">
        <v>324</v>
      </c>
      <c r="D1900" s="374">
        <v>1831350</v>
      </c>
      <c r="E1900" s="9" t="e">
        <f t="shared" ref="E1900:E1936" si="262">D1900/K1900</f>
        <v>#DIV/0!</v>
      </c>
      <c r="F1900" s="98">
        <v>21.05</v>
      </c>
      <c r="G1900" s="98">
        <v>1831350</v>
      </c>
      <c r="H1900" s="98">
        <v>0</v>
      </c>
      <c r="I1900" s="98">
        <v>0</v>
      </c>
      <c r="J1900" s="98"/>
      <c r="K1900" s="93"/>
      <c r="L1900" s="93">
        <f t="shared" si="254"/>
        <v>1831350</v>
      </c>
      <c r="M1900" s="95" t="e">
        <f t="shared" ca="1" si="255"/>
        <v>#DIV/0!</v>
      </c>
      <c r="N1900" s="95">
        <f>IF(P1900="Hedge Fund",IF(A1900=Summary!$AD$3,M1900-E1900,M1900),IF(A1900=Summary!$AD$3,L1900-D1900,L1900))</f>
        <v>1831350</v>
      </c>
      <c r="O1900" s="9">
        <f t="shared" si="259"/>
        <v>1831350</v>
      </c>
      <c r="P1900" s="107" t="s">
        <v>155</v>
      </c>
      <c r="Q1900" s="107">
        <v>0</v>
      </c>
      <c r="R1900" s="107">
        <v>0</v>
      </c>
      <c r="S1900" s="107">
        <v>0</v>
      </c>
      <c r="T1900" s="107">
        <v>0</v>
      </c>
      <c r="U1900" s="107"/>
      <c r="V1900" s="107"/>
      <c r="W1900" s="107"/>
      <c r="X1900" s="107"/>
      <c r="Y1900" s="107"/>
      <c r="Z1900" s="107"/>
      <c r="AA1900" s="107"/>
      <c r="AB1900" s="107"/>
      <c r="AC1900" s="355"/>
      <c r="AD1900" s="355"/>
      <c r="AE1900" s="355"/>
      <c r="AF1900" s="94">
        <f t="shared" si="256"/>
        <v>42207</v>
      </c>
      <c r="AG1900" s="185">
        <f t="shared" si="260"/>
        <v>0</v>
      </c>
      <c r="AH1900" s="339" t="str">
        <f>VLOOKUP(B1900,'MF PF'!A:B,2)</f>
        <v>FdMgt1</v>
      </c>
      <c r="AI1900" s="358">
        <f t="shared" si="257"/>
        <v>0</v>
      </c>
      <c r="AJ1900" s="94">
        <f t="shared" si="258"/>
        <v>42216</v>
      </c>
    </row>
    <row r="1901" spans="1:36" ht="12.75" customHeight="1">
      <c r="A1901" s="8">
        <v>42216</v>
      </c>
      <c r="B1901" s="94" t="s">
        <v>136</v>
      </c>
      <c r="C1901" s="92" t="s">
        <v>324</v>
      </c>
      <c r="D1901" s="374">
        <v>1820369.53</v>
      </c>
      <c r="E1901" s="9" t="e">
        <f t="shared" si="262"/>
        <v>#DIV/0!</v>
      </c>
      <c r="F1901" s="98">
        <v>21.05</v>
      </c>
      <c r="G1901" s="98">
        <v>0</v>
      </c>
      <c r="H1901" s="98">
        <v>0</v>
      </c>
      <c r="I1901" s="98">
        <v>0</v>
      </c>
      <c r="J1901" s="98"/>
      <c r="K1901" s="93"/>
      <c r="L1901" s="93">
        <f t="shared" si="254"/>
        <v>0</v>
      </c>
      <c r="M1901" s="95" t="e">
        <f t="shared" ca="1" si="255"/>
        <v>#DIV/0!</v>
      </c>
      <c r="N1901" s="95">
        <f>IF(P1901="Hedge Fund",IF(A1901=Summary!$AD$3,M1901-E1901,M1901),IF(A1901=Summary!$AD$3,L1901-D1901,L1901))</f>
        <v>0</v>
      </c>
      <c r="O1901" s="9">
        <f t="shared" si="259"/>
        <v>0</v>
      </c>
      <c r="P1901" s="89" t="s">
        <v>155</v>
      </c>
      <c r="Q1901" s="107">
        <v>0</v>
      </c>
      <c r="R1901" s="107">
        <v>0</v>
      </c>
      <c r="S1901" s="107">
        <v>0</v>
      </c>
      <c r="T1901" s="107">
        <v>0</v>
      </c>
      <c r="U1901" s="107"/>
      <c r="V1901" s="107"/>
      <c r="W1901" s="107"/>
      <c r="X1901" s="107"/>
      <c r="Y1901" s="107"/>
      <c r="Z1901" s="107"/>
      <c r="AA1901" s="107"/>
      <c r="AB1901" s="107"/>
      <c r="AC1901" s="355"/>
      <c r="AD1901" s="355"/>
      <c r="AE1901" s="355"/>
      <c r="AF1901" s="94">
        <f t="shared" si="256"/>
        <v>42216</v>
      </c>
      <c r="AG1901" s="185">
        <f t="shared" si="260"/>
        <v>-5.9958336746116503E-3</v>
      </c>
      <c r="AH1901" s="339" t="str">
        <f>VLOOKUP(B1901,'MF PF'!A:B,2)</f>
        <v>FdMgt1</v>
      </c>
      <c r="AI1901" s="358">
        <f t="shared" si="257"/>
        <v>0</v>
      </c>
      <c r="AJ1901" s="94">
        <f t="shared" si="258"/>
        <v>42216</v>
      </c>
    </row>
    <row r="1902" spans="1:36" ht="12.75" customHeight="1">
      <c r="A1902" s="8">
        <v>42247</v>
      </c>
      <c r="B1902" s="94" t="s">
        <v>136</v>
      </c>
      <c r="C1902" s="92" t="s">
        <v>324</v>
      </c>
      <c r="D1902" s="374">
        <v>1806851.16</v>
      </c>
      <c r="E1902" s="9" t="e">
        <f t="shared" si="262"/>
        <v>#DIV/0!</v>
      </c>
      <c r="F1902" s="98">
        <v>21.05</v>
      </c>
      <c r="G1902" s="98">
        <v>0</v>
      </c>
      <c r="H1902" s="98">
        <v>0</v>
      </c>
      <c r="I1902" s="98">
        <v>0</v>
      </c>
      <c r="J1902" s="98"/>
      <c r="K1902" s="93"/>
      <c r="L1902" s="93">
        <f t="shared" si="254"/>
        <v>0</v>
      </c>
      <c r="M1902" s="95" t="e">
        <f t="shared" ca="1" si="255"/>
        <v>#DIV/0!</v>
      </c>
      <c r="N1902" s="95">
        <f>IF(P1902="Hedge Fund",IF(A1902=Summary!$AD$3,M1902-E1902,M1902),IF(A1902=Summary!$AD$3,L1902-D1902,L1902))</f>
        <v>0</v>
      </c>
      <c r="O1902" s="9">
        <f t="shared" si="259"/>
        <v>0</v>
      </c>
      <c r="P1902" s="89" t="s">
        <v>155</v>
      </c>
      <c r="Q1902" s="107">
        <v>0</v>
      </c>
      <c r="R1902" s="107">
        <v>0</v>
      </c>
      <c r="S1902" s="107">
        <v>0</v>
      </c>
      <c r="T1902" s="107">
        <v>0</v>
      </c>
      <c r="U1902" s="107"/>
      <c r="V1902" s="107"/>
      <c r="W1902" s="107"/>
      <c r="X1902" s="107"/>
      <c r="Y1902" s="107"/>
      <c r="Z1902" s="107"/>
      <c r="AA1902" s="107"/>
      <c r="AB1902" s="107"/>
      <c r="AC1902" s="355"/>
      <c r="AD1902" s="355"/>
      <c r="AE1902" s="355"/>
      <c r="AF1902" s="94">
        <f t="shared" si="256"/>
        <v>42247</v>
      </c>
      <c r="AG1902" s="185">
        <f t="shared" si="260"/>
        <v>-7.4261680264446905E-3</v>
      </c>
      <c r="AH1902" s="339" t="str">
        <f>VLOOKUP(B1902,'MF PF'!A:B,2)</f>
        <v>FdMgt1</v>
      </c>
      <c r="AI1902" s="358">
        <f t="shared" si="257"/>
        <v>0</v>
      </c>
      <c r="AJ1902" s="94">
        <f t="shared" si="258"/>
        <v>42247</v>
      </c>
    </row>
    <row r="1903" spans="1:36" ht="12.75" customHeight="1">
      <c r="A1903" s="8">
        <v>42277</v>
      </c>
      <c r="B1903" s="94" t="s">
        <v>136</v>
      </c>
      <c r="C1903" s="92" t="s">
        <v>324</v>
      </c>
      <c r="D1903" s="374">
        <v>1805815.34</v>
      </c>
      <c r="E1903" s="9" t="e">
        <f t="shared" si="262"/>
        <v>#DIV/0!</v>
      </c>
      <c r="F1903" s="98">
        <v>21.05</v>
      </c>
      <c r="G1903" s="98">
        <v>0</v>
      </c>
      <c r="H1903" s="98">
        <v>0</v>
      </c>
      <c r="I1903" s="98">
        <v>0</v>
      </c>
      <c r="J1903" s="98"/>
      <c r="K1903" s="93"/>
      <c r="L1903" s="93">
        <f t="shared" si="254"/>
        <v>0</v>
      </c>
      <c r="M1903" s="95" t="e">
        <f t="shared" ca="1" si="255"/>
        <v>#DIV/0!</v>
      </c>
      <c r="N1903" s="95">
        <f>IF(P1903="Hedge Fund",IF(A1903=Summary!$AD$3,M1903-E1903,M1903),IF(A1903=Summary!$AD$3,L1903-D1903,L1903))</f>
        <v>0</v>
      </c>
      <c r="O1903" s="9">
        <f t="shared" si="259"/>
        <v>0</v>
      </c>
      <c r="P1903" s="107" t="s">
        <v>155</v>
      </c>
      <c r="Q1903" s="107">
        <v>0</v>
      </c>
      <c r="R1903" s="107">
        <v>0</v>
      </c>
      <c r="S1903" s="107">
        <v>0</v>
      </c>
      <c r="T1903" s="107">
        <v>0</v>
      </c>
      <c r="U1903" s="107"/>
      <c r="V1903" s="107"/>
      <c r="W1903" s="107"/>
      <c r="X1903" s="107"/>
      <c r="Y1903" s="107"/>
      <c r="Z1903" s="107"/>
      <c r="AA1903" s="107"/>
      <c r="AB1903" s="107"/>
      <c r="AC1903" s="355"/>
      <c r="AD1903" s="355"/>
      <c r="AE1903" s="355"/>
      <c r="AF1903" s="94">
        <f t="shared" si="256"/>
        <v>42277</v>
      </c>
      <c r="AG1903" s="185">
        <f t="shared" si="260"/>
        <v>-5.7327356172487409E-4</v>
      </c>
      <c r="AH1903" s="339" t="str">
        <f>VLOOKUP(B1903,'MF PF'!A:B,2)</f>
        <v>FdMgt1</v>
      </c>
      <c r="AI1903" s="358">
        <f t="shared" si="257"/>
        <v>0</v>
      </c>
      <c r="AJ1903" s="94">
        <f t="shared" si="258"/>
        <v>42277</v>
      </c>
    </row>
    <row r="1904" spans="1:36" ht="12.75" customHeight="1">
      <c r="A1904" s="94">
        <v>42307</v>
      </c>
      <c r="B1904" s="94" t="s">
        <v>136</v>
      </c>
      <c r="C1904" s="92" t="s">
        <v>324</v>
      </c>
      <c r="D1904" s="374">
        <v>1800195.78</v>
      </c>
      <c r="E1904" s="9" t="e">
        <f t="shared" si="262"/>
        <v>#DIV/0!</v>
      </c>
      <c r="F1904" s="98">
        <v>21.05</v>
      </c>
      <c r="G1904" s="98">
        <v>0</v>
      </c>
      <c r="H1904" s="98">
        <v>0</v>
      </c>
      <c r="I1904" s="98">
        <v>0</v>
      </c>
      <c r="J1904" s="98"/>
      <c r="K1904" s="93"/>
      <c r="L1904" s="93">
        <f t="shared" si="254"/>
        <v>0</v>
      </c>
      <c r="M1904" s="95" t="e">
        <f t="shared" ca="1" si="255"/>
        <v>#DIV/0!</v>
      </c>
      <c r="N1904" s="95">
        <f>IF(P1904="Hedge Fund",IF(A1904=Summary!$AD$3,M1904-E1904,M1904),IF(A1904=Summary!$AD$3,L1904-D1904,L1904))</f>
        <v>0</v>
      </c>
      <c r="O1904" s="95">
        <f t="shared" si="259"/>
        <v>0</v>
      </c>
      <c r="P1904" s="107" t="s">
        <v>155</v>
      </c>
      <c r="Q1904" s="107">
        <v>0</v>
      </c>
      <c r="R1904" s="107">
        <v>0</v>
      </c>
      <c r="S1904" s="107">
        <v>0</v>
      </c>
      <c r="T1904" s="107">
        <v>0</v>
      </c>
      <c r="U1904" s="107"/>
      <c r="V1904" s="107"/>
      <c r="W1904" s="107"/>
      <c r="X1904" s="107"/>
      <c r="Y1904" s="107"/>
      <c r="Z1904" s="107"/>
      <c r="AA1904" s="107"/>
      <c r="AB1904" s="107"/>
      <c r="AC1904" s="355"/>
      <c r="AD1904" s="355"/>
      <c r="AE1904" s="355"/>
      <c r="AF1904" s="94">
        <f t="shared" si="256"/>
        <v>42307</v>
      </c>
      <c r="AG1904" s="185">
        <f t="shared" si="260"/>
        <v>-3.1119239467752857E-3</v>
      </c>
      <c r="AH1904" s="339" t="str">
        <f>VLOOKUP(B1904,'MF PF'!A:B,2)</f>
        <v>FdMgt1</v>
      </c>
      <c r="AI1904" s="358">
        <f t="shared" si="257"/>
        <v>0</v>
      </c>
      <c r="AJ1904" s="94">
        <f t="shared" si="258"/>
        <v>42308</v>
      </c>
    </row>
    <row r="1905" spans="1:36" s="92" customFormat="1" ht="12.75" customHeight="1">
      <c r="A1905" s="94">
        <v>42338</v>
      </c>
      <c r="B1905" s="94" t="s">
        <v>136</v>
      </c>
      <c r="C1905" s="92" t="s">
        <v>324</v>
      </c>
      <c r="D1905" s="374">
        <v>3367839.44</v>
      </c>
      <c r="E1905" s="95" t="e">
        <f t="shared" si="262"/>
        <v>#DIV/0!</v>
      </c>
      <c r="F1905" s="98">
        <v>21.05</v>
      </c>
      <c r="G1905" s="98">
        <v>1894500</v>
      </c>
      <c r="H1905" s="98">
        <v>0</v>
      </c>
      <c r="I1905" s="98">
        <v>0</v>
      </c>
      <c r="J1905" s="98"/>
      <c r="K1905" s="93"/>
      <c r="L1905" s="93">
        <f t="shared" si="254"/>
        <v>1894500</v>
      </c>
      <c r="M1905" s="95" t="e">
        <f t="shared" ca="1" si="255"/>
        <v>#DIV/0!</v>
      </c>
      <c r="N1905" s="95">
        <f>IF(P1905="Hedge Fund",IF(A1905=Summary!$AD$3,M1905-E1905,M1905),IF(A1905=Summary!$AD$3,L1905-D1905,L1905))</f>
        <v>1894500</v>
      </c>
      <c r="O1905" s="95">
        <f t="shared" si="259"/>
        <v>1894500</v>
      </c>
      <c r="P1905" s="107" t="s">
        <v>155</v>
      </c>
      <c r="Q1905" s="107">
        <v>0</v>
      </c>
      <c r="R1905" s="107">
        <v>0</v>
      </c>
      <c r="S1905" s="107">
        <v>0</v>
      </c>
      <c r="T1905" s="107">
        <v>0</v>
      </c>
      <c r="U1905" s="107"/>
      <c r="V1905" s="107"/>
      <c r="W1905" s="107"/>
      <c r="X1905" s="107"/>
      <c r="Y1905" s="107"/>
      <c r="Z1905" s="107"/>
      <c r="AA1905" s="107"/>
      <c r="AB1905" s="107"/>
      <c r="AC1905" s="355"/>
      <c r="AD1905" s="355"/>
      <c r="AE1905" s="355"/>
      <c r="AF1905" s="94">
        <f t="shared" si="256"/>
        <v>42338</v>
      </c>
      <c r="AG1905" s="185">
        <f t="shared" si="260"/>
        <v>-0.18156710710653934</v>
      </c>
      <c r="AH1905" s="339" t="str">
        <f>VLOOKUP(B1905,'MF PF'!A:B,2)</f>
        <v>FdMgt1</v>
      </c>
      <c r="AI1905" s="358">
        <f t="shared" si="257"/>
        <v>0</v>
      </c>
      <c r="AJ1905" s="94">
        <f t="shared" si="258"/>
        <v>42338</v>
      </c>
    </row>
    <row r="1906" spans="1:36" ht="12.75" customHeight="1">
      <c r="A1906" s="8">
        <v>42369</v>
      </c>
      <c r="B1906" s="94" t="s">
        <v>136</v>
      </c>
      <c r="C1906" s="92" t="s">
        <v>324</v>
      </c>
      <c r="D1906" s="374">
        <v>3720124.38</v>
      </c>
      <c r="E1906" s="9" t="e">
        <f t="shared" si="262"/>
        <v>#DIV/0!</v>
      </c>
      <c r="F1906" s="98">
        <v>21.05</v>
      </c>
      <c r="G1906" s="98">
        <v>0</v>
      </c>
      <c r="H1906" s="98">
        <v>0</v>
      </c>
      <c r="I1906" s="98">
        <v>0</v>
      </c>
      <c r="J1906" s="98"/>
      <c r="K1906" s="93"/>
      <c r="L1906" s="93">
        <f t="shared" si="254"/>
        <v>0</v>
      </c>
      <c r="M1906" s="95" t="e">
        <f t="shared" ca="1" si="255"/>
        <v>#DIV/0!</v>
      </c>
      <c r="N1906" s="95">
        <f>IF(P1906="Hedge Fund",IF(A1906=Summary!$AD$3,M1906-E1906,M1906),IF(A1906=Summary!$AD$3,L1906-D1906,L1906))</f>
        <v>0</v>
      </c>
      <c r="O1906" s="95">
        <f t="shared" si="259"/>
        <v>0</v>
      </c>
      <c r="P1906" s="107" t="s">
        <v>155</v>
      </c>
      <c r="Q1906" s="107">
        <v>0</v>
      </c>
      <c r="R1906" s="107">
        <v>0</v>
      </c>
      <c r="S1906" s="107">
        <v>0</v>
      </c>
      <c r="T1906" s="107">
        <v>0</v>
      </c>
      <c r="U1906" s="107"/>
      <c r="V1906" s="107"/>
      <c r="W1906" s="107"/>
      <c r="X1906" s="107"/>
      <c r="Y1906" s="107"/>
      <c r="Z1906" s="107"/>
      <c r="AA1906" s="107"/>
      <c r="AB1906" s="107"/>
      <c r="AC1906" s="355"/>
      <c r="AD1906" s="355"/>
      <c r="AE1906" s="355"/>
      <c r="AF1906" s="94">
        <f t="shared" si="256"/>
        <v>42369</v>
      </c>
      <c r="AG1906" s="185">
        <f t="shared" si="260"/>
        <v>0.10460265291031812</v>
      </c>
      <c r="AH1906" s="339" t="str">
        <f>VLOOKUP(B1906,'MF PF'!A:B,2)</f>
        <v>FdMgt1</v>
      </c>
      <c r="AI1906" s="358">
        <f t="shared" si="257"/>
        <v>0</v>
      </c>
      <c r="AJ1906" s="94">
        <f t="shared" si="258"/>
        <v>42369</v>
      </c>
    </row>
    <row r="1907" spans="1:36" ht="12.75" customHeight="1">
      <c r="A1907" s="8">
        <v>42398</v>
      </c>
      <c r="B1907" s="94" t="s">
        <v>136</v>
      </c>
      <c r="C1907" s="92" t="s">
        <v>324</v>
      </c>
      <c r="D1907" s="374">
        <v>3704328.18</v>
      </c>
      <c r="E1907" s="9" t="e">
        <f t="shared" si="262"/>
        <v>#DIV/0!</v>
      </c>
      <c r="F1907" s="98">
        <v>21.05</v>
      </c>
      <c r="G1907" s="98">
        <v>0</v>
      </c>
      <c r="H1907" s="98">
        <v>0</v>
      </c>
      <c r="I1907" s="98">
        <v>0</v>
      </c>
      <c r="J1907" s="98"/>
      <c r="K1907" s="93"/>
      <c r="L1907" s="93">
        <f t="shared" si="254"/>
        <v>0</v>
      </c>
      <c r="M1907" s="95" t="e">
        <f t="shared" ca="1" si="255"/>
        <v>#DIV/0!</v>
      </c>
      <c r="N1907" s="95">
        <f>IF(P1907="Hedge Fund",IF(A1907=Summary!$AD$3,M1907-E1907,M1907),IF(A1907=Summary!$AD$3,L1907-D1907,L1907))</f>
        <v>0</v>
      </c>
      <c r="O1907" s="95">
        <f t="shared" si="259"/>
        <v>0</v>
      </c>
      <c r="P1907" s="107" t="s">
        <v>155</v>
      </c>
      <c r="Q1907" s="107">
        <v>0</v>
      </c>
      <c r="R1907" s="107">
        <v>0</v>
      </c>
      <c r="S1907" s="107">
        <v>0</v>
      </c>
      <c r="T1907" s="107">
        <v>0</v>
      </c>
      <c r="U1907" s="107"/>
      <c r="V1907" s="107"/>
      <c r="W1907" s="107"/>
      <c r="X1907" s="107"/>
      <c r="Y1907" s="107"/>
      <c r="Z1907" s="107"/>
      <c r="AA1907" s="107"/>
      <c r="AB1907" s="107"/>
      <c r="AC1907" s="355"/>
      <c r="AD1907" s="355"/>
      <c r="AE1907" s="355"/>
      <c r="AF1907" s="94">
        <f t="shared" si="256"/>
        <v>42398</v>
      </c>
      <c r="AG1907" s="185">
        <f t="shared" si="260"/>
        <v>-4.2461483505559228E-3</v>
      </c>
      <c r="AH1907" s="339" t="str">
        <f>VLOOKUP(B1907,'MF PF'!A:B,2)</f>
        <v>FdMgt1</v>
      </c>
      <c r="AI1907" s="358">
        <f t="shared" si="257"/>
        <v>0</v>
      </c>
      <c r="AJ1907" s="94">
        <f t="shared" si="258"/>
        <v>42400</v>
      </c>
    </row>
    <row r="1908" spans="1:36" ht="12.75" customHeight="1">
      <c r="A1908" s="8">
        <v>42429</v>
      </c>
      <c r="B1908" s="94" t="s">
        <v>136</v>
      </c>
      <c r="C1908" s="92" t="s">
        <v>324</v>
      </c>
      <c r="D1908" s="374">
        <v>8442957.6040000003</v>
      </c>
      <c r="E1908" s="9" t="e">
        <f t="shared" si="262"/>
        <v>#DIV/0!</v>
      </c>
      <c r="F1908" s="98">
        <v>21.05</v>
      </c>
      <c r="G1908" s="98">
        <v>4715200</v>
      </c>
      <c r="H1908" s="98">
        <v>0</v>
      </c>
      <c r="I1908" s="98">
        <v>0</v>
      </c>
      <c r="J1908" s="98"/>
      <c r="K1908" s="93"/>
      <c r="L1908" s="93">
        <f t="shared" si="254"/>
        <v>4715200</v>
      </c>
      <c r="M1908" s="95" t="e">
        <f t="shared" ca="1" si="255"/>
        <v>#DIV/0!</v>
      </c>
      <c r="N1908" s="95">
        <f>IF(P1908="Hedge Fund",IF(A1908=Summary!$AD$3,M1908-E1908,M1908),IF(A1908=Summary!$AD$3,L1908-D1908,L1908))</f>
        <v>4715200</v>
      </c>
      <c r="O1908" s="95">
        <f t="shared" si="259"/>
        <v>4715200</v>
      </c>
      <c r="P1908" s="107" t="s">
        <v>155</v>
      </c>
      <c r="Q1908" s="107">
        <v>0</v>
      </c>
      <c r="R1908" s="107">
        <v>0</v>
      </c>
      <c r="S1908" s="107">
        <v>0</v>
      </c>
      <c r="T1908" s="107">
        <v>0</v>
      </c>
      <c r="U1908" s="107"/>
      <c r="V1908" s="107"/>
      <c r="W1908" s="107"/>
      <c r="X1908" s="107"/>
      <c r="Y1908" s="107"/>
      <c r="Z1908" s="107"/>
      <c r="AA1908" s="107"/>
      <c r="AB1908" s="107"/>
      <c r="AC1908" s="355"/>
      <c r="AD1908" s="355"/>
      <c r="AE1908" s="355"/>
      <c r="AF1908" s="94">
        <f t="shared" si="256"/>
        <v>42429</v>
      </c>
      <c r="AG1908" s="185">
        <f t="shared" si="260"/>
        <v>6.3248780511666602E-3</v>
      </c>
      <c r="AH1908" s="339" t="str">
        <f>VLOOKUP(B1908,'MF PF'!A:B,2)</f>
        <v>FdMgt1</v>
      </c>
      <c r="AI1908" s="358">
        <f t="shared" si="257"/>
        <v>0</v>
      </c>
      <c r="AJ1908" s="94">
        <f t="shared" si="258"/>
        <v>42429</v>
      </c>
    </row>
    <row r="1909" spans="1:36" ht="12.75" customHeight="1">
      <c r="A1909" s="94">
        <v>42460</v>
      </c>
      <c r="B1909" s="94" t="s">
        <v>136</v>
      </c>
      <c r="C1909" s="358" t="s">
        <v>324</v>
      </c>
      <c r="D1909" s="374">
        <v>8474713.2809999995</v>
      </c>
      <c r="E1909" s="9" t="e">
        <f t="shared" si="262"/>
        <v>#DIV/0!</v>
      </c>
      <c r="F1909" s="98">
        <v>21.05</v>
      </c>
      <c r="G1909" s="98">
        <v>0</v>
      </c>
      <c r="H1909" s="98">
        <v>0</v>
      </c>
      <c r="I1909" s="98">
        <v>0</v>
      </c>
      <c r="J1909" s="98"/>
      <c r="K1909" s="93"/>
      <c r="L1909" s="93">
        <f t="shared" si="254"/>
        <v>0</v>
      </c>
      <c r="M1909" s="95" t="e">
        <f t="shared" ca="1" si="255"/>
        <v>#DIV/0!</v>
      </c>
      <c r="N1909" s="95">
        <f>IF(P1909="Hedge Fund",IF(A1909=Summary!$AD$3,M1909-E1909,M1909),IF(A1909=Summary!$AD$3,L1909-D1909,L1909))</f>
        <v>0</v>
      </c>
      <c r="O1909" s="9">
        <f t="shared" si="259"/>
        <v>0</v>
      </c>
      <c r="P1909" s="107" t="s">
        <v>155</v>
      </c>
      <c r="Q1909" s="107">
        <v>0</v>
      </c>
      <c r="R1909" s="107">
        <v>0</v>
      </c>
      <c r="S1909" s="107">
        <v>0</v>
      </c>
      <c r="T1909" s="107">
        <v>0</v>
      </c>
      <c r="U1909" s="107"/>
      <c r="V1909" s="107"/>
      <c r="W1909" s="107"/>
      <c r="X1909" s="107"/>
      <c r="Y1909" s="107"/>
      <c r="Z1909" s="107"/>
      <c r="AA1909" s="107"/>
      <c r="AB1909" s="107"/>
      <c r="AC1909" s="355"/>
      <c r="AD1909" s="355"/>
      <c r="AE1909" s="355"/>
      <c r="AF1909" s="94">
        <f t="shared" si="256"/>
        <v>42460</v>
      </c>
      <c r="AG1909" s="185">
        <f t="shared" si="260"/>
        <v>3.7612029444462625E-3</v>
      </c>
      <c r="AH1909" s="339" t="str">
        <f>VLOOKUP(B1909,'MF PF'!A:B,2)</f>
        <v>FdMgt1</v>
      </c>
      <c r="AI1909" s="358">
        <f t="shared" si="257"/>
        <v>0</v>
      </c>
      <c r="AJ1909" s="94">
        <f t="shared" si="258"/>
        <v>42460</v>
      </c>
    </row>
    <row r="1910" spans="1:36" ht="12.75" customHeight="1">
      <c r="A1910" s="94">
        <v>42489</v>
      </c>
      <c r="B1910" s="94" t="s">
        <v>136</v>
      </c>
      <c r="C1910" s="358" t="s">
        <v>324</v>
      </c>
      <c r="D1910" s="374">
        <v>11874267.287</v>
      </c>
      <c r="E1910" s="95" t="e">
        <f t="shared" si="262"/>
        <v>#DIV/0!</v>
      </c>
      <c r="F1910" s="98">
        <v>21.05</v>
      </c>
      <c r="G1910" s="98">
        <v>3368000</v>
      </c>
      <c r="H1910" s="98">
        <v>0</v>
      </c>
      <c r="I1910" s="98">
        <v>0</v>
      </c>
      <c r="J1910" s="98"/>
      <c r="K1910" s="93"/>
      <c r="L1910" s="93">
        <f t="shared" si="254"/>
        <v>3368000</v>
      </c>
      <c r="M1910" s="95" t="e">
        <f t="shared" ca="1" si="255"/>
        <v>#DIV/0!</v>
      </c>
      <c r="N1910" s="95">
        <f>IF(P1910="Hedge Fund",IF(A1910=Summary!$AD$3,M1910-E1910,M1910),IF(A1910=Summary!$AD$3,L1910-D1910,L1910))</f>
        <v>3368000</v>
      </c>
      <c r="O1910" s="9">
        <f t="shared" si="259"/>
        <v>3368000</v>
      </c>
      <c r="P1910" s="89" t="s">
        <v>155</v>
      </c>
      <c r="Q1910" s="107">
        <v>0</v>
      </c>
      <c r="R1910" s="107">
        <v>0</v>
      </c>
      <c r="S1910" s="107">
        <v>0</v>
      </c>
      <c r="T1910" s="107">
        <v>0</v>
      </c>
      <c r="U1910" s="107"/>
      <c r="V1910" s="107"/>
      <c r="W1910" s="107"/>
      <c r="X1910" s="107"/>
      <c r="Y1910" s="107"/>
      <c r="Z1910" s="107"/>
      <c r="AA1910" s="107"/>
      <c r="AB1910" s="107"/>
      <c r="AC1910" s="355"/>
      <c r="AD1910" s="355"/>
      <c r="AE1910" s="355"/>
      <c r="AF1910" s="94">
        <f t="shared" si="256"/>
        <v>42489</v>
      </c>
      <c r="AG1910" s="185">
        <f t="shared" si="260"/>
        <v>3.7233125126183708E-3</v>
      </c>
      <c r="AH1910" s="339" t="str">
        <f>VLOOKUP(B1910,'MF PF'!A:B,2)</f>
        <v>FdMgt1</v>
      </c>
      <c r="AI1910" s="358">
        <f t="shared" si="257"/>
        <v>0</v>
      </c>
      <c r="AJ1910" s="94">
        <f t="shared" si="258"/>
        <v>42490</v>
      </c>
    </row>
    <row r="1911" spans="1:36" ht="12.75" customHeight="1">
      <c r="A1911" s="8">
        <v>42521</v>
      </c>
      <c r="B1911" s="94" t="s">
        <v>136</v>
      </c>
      <c r="C1911" s="358" t="s">
        <v>324</v>
      </c>
      <c r="D1911" s="374">
        <v>12017034.715</v>
      </c>
      <c r="E1911" s="9" t="e">
        <f t="shared" si="262"/>
        <v>#DIV/0!</v>
      </c>
      <c r="F1911" s="98">
        <v>21.05</v>
      </c>
      <c r="G1911" s="98">
        <v>0</v>
      </c>
      <c r="H1911" s="98">
        <v>0</v>
      </c>
      <c r="I1911" s="98">
        <v>0</v>
      </c>
      <c r="J1911" s="98"/>
      <c r="K1911" s="93"/>
      <c r="L1911" s="93">
        <f t="shared" si="254"/>
        <v>0</v>
      </c>
      <c r="M1911" s="95" t="e">
        <f t="shared" ca="1" si="255"/>
        <v>#DIV/0!</v>
      </c>
      <c r="N1911" s="95">
        <f>IF(P1911="Hedge Fund",IF(A1911=Summary!$AD$3,M1911-E1911,M1911),IF(A1911=Summary!$AD$3,L1911-D1911,L1911))</f>
        <v>0</v>
      </c>
      <c r="O1911" s="9">
        <f t="shared" si="259"/>
        <v>0</v>
      </c>
      <c r="P1911" s="89" t="s">
        <v>155</v>
      </c>
      <c r="Q1911" s="107">
        <v>0</v>
      </c>
      <c r="R1911" s="107">
        <v>0</v>
      </c>
      <c r="S1911" s="107">
        <v>0</v>
      </c>
      <c r="T1911" s="107">
        <v>0</v>
      </c>
      <c r="U1911" s="107"/>
      <c r="V1911" s="107"/>
      <c r="W1911" s="107"/>
      <c r="X1911" s="107"/>
      <c r="Y1911" s="107"/>
      <c r="Z1911" s="107"/>
      <c r="AA1911" s="107"/>
      <c r="AB1911" s="107"/>
      <c r="AC1911" s="355"/>
      <c r="AD1911" s="355"/>
      <c r="AE1911" s="355"/>
      <c r="AF1911" s="94">
        <f t="shared" si="256"/>
        <v>42521</v>
      </c>
      <c r="AG1911" s="185">
        <f t="shared" si="260"/>
        <v>1.2023262113722399E-2</v>
      </c>
      <c r="AH1911" s="339" t="str">
        <f>VLOOKUP(B1911,'MF PF'!A:B,2)</f>
        <v>FdMgt1</v>
      </c>
      <c r="AI1911" s="358">
        <f t="shared" si="257"/>
        <v>0</v>
      </c>
      <c r="AJ1911" s="94">
        <f t="shared" si="258"/>
        <v>42521</v>
      </c>
    </row>
    <row r="1912" spans="1:36" ht="12.75" customHeight="1">
      <c r="A1912" s="8">
        <v>42551</v>
      </c>
      <c r="B1912" s="94" t="s">
        <v>136</v>
      </c>
      <c r="C1912" s="358" t="s">
        <v>324</v>
      </c>
      <c r="D1912" s="374">
        <v>11969811.537</v>
      </c>
      <c r="E1912" s="9" t="e">
        <f t="shared" si="262"/>
        <v>#DIV/0!</v>
      </c>
      <c r="F1912" s="98">
        <v>21.05</v>
      </c>
      <c r="G1912" s="98">
        <v>0</v>
      </c>
      <c r="H1912" s="98">
        <v>0</v>
      </c>
      <c r="I1912" s="98">
        <v>0</v>
      </c>
      <c r="J1912" s="98"/>
      <c r="K1912" s="93"/>
      <c r="L1912" s="93">
        <f t="shared" si="254"/>
        <v>0</v>
      </c>
      <c r="M1912" s="95" t="e">
        <f t="shared" ca="1" si="255"/>
        <v>#DIV/0!</v>
      </c>
      <c r="N1912" s="95">
        <f>IF(P1912="Hedge Fund",IF(A1912=Summary!$AD$3,M1912-E1912,M1912),IF(A1912=Summary!$AD$3,L1912-D1912,L1912))</f>
        <v>0</v>
      </c>
      <c r="O1912" s="9">
        <f t="shared" si="259"/>
        <v>0</v>
      </c>
      <c r="P1912" s="89" t="s">
        <v>155</v>
      </c>
      <c r="Q1912" s="107">
        <v>0</v>
      </c>
      <c r="R1912" s="107">
        <v>0</v>
      </c>
      <c r="S1912" s="107">
        <v>0</v>
      </c>
      <c r="T1912" s="107">
        <v>0</v>
      </c>
      <c r="U1912" s="107"/>
      <c r="V1912" s="107"/>
      <c r="W1912" s="107"/>
      <c r="X1912" s="107"/>
      <c r="Y1912" s="107"/>
      <c r="Z1912" s="107"/>
      <c r="AA1912" s="107"/>
      <c r="AB1912" s="107"/>
      <c r="AC1912" s="355"/>
      <c r="AD1912" s="355"/>
      <c r="AE1912" s="355"/>
      <c r="AF1912" s="94">
        <f t="shared" si="256"/>
        <v>42551</v>
      </c>
      <c r="AG1912" s="185">
        <f t="shared" si="260"/>
        <v>-3.9296864093314454E-3</v>
      </c>
      <c r="AH1912" s="339" t="str">
        <f>VLOOKUP(B1912,'MF PF'!A:B,2)</f>
        <v>FdMgt1</v>
      </c>
      <c r="AI1912" s="358">
        <f t="shared" si="257"/>
        <v>0</v>
      </c>
      <c r="AJ1912" s="94">
        <f t="shared" si="258"/>
        <v>42551</v>
      </c>
    </row>
    <row r="1913" spans="1:36" ht="12.75" customHeight="1">
      <c r="A1913" s="8">
        <v>42580</v>
      </c>
      <c r="B1913" s="94" t="s">
        <v>136</v>
      </c>
      <c r="C1913" s="358" t="s">
        <v>324</v>
      </c>
      <c r="D1913" s="374">
        <v>11975009.669500001</v>
      </c>
      <c r="E1913" s="95" t="e">
        <f t="shared" si="262"/>
        <v>#DIV/0!</v>
      </c>
      <c r="F1913" s="98">
        <v>21.05</v>
      </c>
      <c r="G1913" s="98">
        <v>0</v>
      </c>
      <c r="H1913" s="98">
        <v>0</v>
      </c>
      <c r="I1913" s="98">
        <v>0</v>
      </c>
      <c r="J1913" s="98"/>
      <c r="K1913" s="93"/>
      <c r="L1913" s="93">
        <f t="shared" si="254"/>
        <v>0</v>
      </c>
      <c r="M1913" s="95" t="e">
        <f t="shared" ca="1" si="255"/>
        <v>#DIV/0!</v>
      </c>
      <c r="N1913" s="95">
        <f>IF(P1913="Hedge Fund",IF(A1913=Summary!$AD$3,M1913-E1913,M1913),IF(A1913=Summary!$AD$3,L1913-D1913,L1913))</f>
        <v>0</v>
      </c>
      <c r="O1913" s="9">
        <f t="shared" si="259"/>
        <v>0</v>
      </c>
      <c r="P1913" s="89" t="s">
        <v>155</v>
      </c>
      <c r="Q1913" s="107">
        <v>0</v>
      </c>
      <c r="R1913" s="107">
        <v>0</v>
      </c>
      <c r="S1913" s="107">
        <v>0</v>
      </c>
      <c r="T1913" s="107">
        <v>0</v>
      </c>
      <c r="U1913" s="107"/>
      <c r="V1913" s="107"/>
      <c r="W1913" s="107"/>
      <c r="X1913" s="107"/>
      <c r="Y1913" s="107"/>
      <c r="Z1913" s="107"/>
      <c r="AA1913" s="107"/>
      <c r="AB1913" s="107"/>
      <c r="AC1913" s="355"/>
      <c r="AD1913" s="355"/>
      <c r="AE1913" s="355"/>
      <c r="AF1913" s="94">
        <f t="shared" si="256"/>
        <v>42580</v>
      </c>
      <c r="AG1913" s="185">
        <f t="shared" si="260"/>
        <v>4.3427020416597628E-4</v>
      </c>
      <c r="AH1913" s="339" t="str">
        <f>VLOOKUP(B1913,'MF PF'!A:B,2)</f>
        <v>FdMgt1</v>
      </c>
      <c r="AI1913" s="358">
        <f t="shared" si="257"/>
        <v>0</v>
      </c>
      <c r="AJ1913" s="94">
        <f t="shared" si="258"/>
        <v>42582</v>
      </c>
    </row>
    <row r="1914" spans="1:36" ht="12.75" customHeight="1">
      <c r="A1914" s="94">
        <v>42613</v>
      </c>
      <c r="B1914" s="94" t="s">
        <v>136</v>
      </c>
      <c r="C1914" s="358" t="s">
        <v>324</v>
      </c>
      <c r="D1914" s="374">
        <v>11962083.6855</v>
      </c>
      <c r="E1914" s="95" t="e">
        <f t="shared" si="262"/>
        <v>#DIV/0!</v>
      </c>
      <c r="F1914" s="98">
        <v>21.05</v>
      </c>
      <c r="G1914" s="98">
        <v>0</v>
      </c>
      <c r="H1914" s="98">
        <v>0</v>
      </c>
      <c r="I1914" s="98">
        <v>0</v>
      </c>
      <c r="J1914" s="98"/>
      <c r="K1914" s="93"/>
      <c r="L1914" s="93">
        <f t="shared" si="254"/>
        <v>0</v>
      </c>
      <c r="M1914" s="95" t="e">
        <f t="shared" ca="1" si="255"/>
        <v>#DIV/0!</v>
      </c>
      <c r="N1914" s="95">
        <f>IF(P1914="Hedge Fund",IF(A1914=Summary!$AD$3,M1914-E1914,M1914),IF(A1914=Summary!$AD$3,L1914-D1914,L1914))</f>
        <v>0</v>
      </c>
      <c r="O1914" s="9">
        <f t="shared" si="259"/>
        <v>0</v>
      </c>
      <c r="P1914" s="89" t="s">
        <v>155</v>
      </c>
      <c r="Q1914" s="107">
        <v>0</v>
      </c>
      <c r="R1914" s="107">
        <v>0</v>
      </c>
      <c r="S1914" s="107">
        <v>0</v>
      </c>
      <c r="T1914" s="107">
        <v>0</v>
      </c>
      <c r="U1914" s="107"/>
      <c r="V1914" s="107"/>
      <c r="W1914" s="107"/>
      <c r="X1914" s="107"/>
      <c r="Y1914" s="107"/>
      <c r="Z1914" s="107"/>
      <c r="AA1914" s="107"/>
      <c r="AB1914" s="107"/>
      <c r="AC1914" s="355"/>
      <c r="AD1914" s="355"/>
      <c r="AE1914" s="355"/>
      <c r="AF1914" s="94">
        <f t="shared" si="256"/>
        <v>42613</v>
      </c>
      <c r="AG1914" s="185">
        <f t="shared" si="260"/>
        <v>-1.0794132411369173E-3</v>
      </c>
      <c r="AH1914" s="339" t="str">
        <f>VLOOKUP(B1914,'MF PF'!A:B,2)</f>
        <v>FdMgt1</v>
      </c>
      <c r="AI1914" s="358">
        <f t="shared" si="257"/>
        <v>0</v>
      </c>
      <c r="AJ1914" s="94">
        <f t="shared" si="258"/>
        <v>42613</v>
      </c>
    </row>
    <row r="1915" spans="1:36" ht="12.75" customHeight="1">
      <c r="A1915" s="94">
        <v>42643</v>
      </c>
      <c r="B1915" s="94" t="s">
        <v>136</v>
      </c>
      <c r="C1915" s="92" t="s">
        <v>324</v>
      </c>
      <c r="D1915" s="374">
        <v>12346544.083000001</v>
      </c>
      <c r="E1915" s="95" t="e">
        <f t="shared" si="262"/>
        <v>#DIV/0!</v>
      </c>
      <c r="F1915" s="98">
        <v>21.05</v>
      </c>
      <c r="G1915" s="98">
        <v>0</v>
      </c>
      <c r="H1915" s="98">
        <v>0</v>
      </c>
      <c r="I1915" s="98">
        <v>0</v>
      </c>
      <c r="J1915" s="98"/>
      <c r="K1915" s="93"/>
      <c r="L1915" s="93">
        <f t="shared" si="254"/>
        <v>0</v>
      </c>
      <c r="M1915" s="95" t="e">
        <f t="shared" ca="1" si="255"/>
        <v>#DIV/0!</v>
      </c>
      <c r="N1915" s="95">
        <f>IF(P1915="Hedge Fund",IF(A1915=Summary!$AD$3,M1915-E1915,M1915),IF(A1915=Summary!$AD$3,L1915-D1915,L1915))</f>
        <v>0</v>
      </c>
      <c r="O1915" s="9">
        <f t="shared" si="259"/>
        <v>0</v>
      </c>
      <c r="P1915" s="89" t="s">
        <v>155</v>
      </c>
      <c r="Q1915" s="107">
        <v>0</v>
      </c>
      <c r="R1915" s="107">
        <v>0</v>
      </c>
      <c r="S1915" s="107">
        <v>0</v>
      </c>
      <c r="T1915" s="107">
        <v>0</v>
      </c>
      <c r="U1915" s="107"/>
      <c r="V1915" s="107"/>
      <c r="W1915" s="107"/>
      <c r="X1915" s="107"/>
      <c r="Y1915" s="107"/>
      <c r="Z1915" s="107"/>
      <c r="AA1915" s="107"/>
      <c r="AB1915" s="107"/>
      <c r="AC1915" s="355"/>
      <c r="AD1915" s="355"/>
      <c r="AE1915" s="355"/>
      <c r="AF1915" s="94">
        <f t="shared" si="256"/>
        <v>42643</v>
      </c>
      <c r="AG1915" s="185">
        <f t="shared" si="260"/>
        <v>3.2139918730549333E-2</v>
      </c>
      <c r="AH1915" s="339" t="str">
        <f>VLOOKUP(B1915,'MF PF'!A:B,2)</f>
        <v>FdMgt1</v>
      </c>
      <c r="AI1915" s="358">
        <f t="shared" si="257"/>
        <v>0</v>
      </c>
      <c r="AJ1915" s="94">
        <f t="shared" si="258"/>
        <v>42643</v>
      </c>
    </row>
    <row r="1916" spans="1:36" ht="12.75" customHeight="1">
      <c r="A1916" s="8">
        <v>42674</v>
      </c>
      <c r="B1916" s="94" t="s">
        <v>136</v>
      </c>
      <c r="C1916" s="92" t="s">
        <v>324</v>
      </c>
      <c r="D1916" s="374">
        <v>12683243.584000001</v>
      </c>
      <c r="E1916" s="95" t="e">
        <f t="shared" si="262"/>
        <v>#DIV/0!</v>
      </c>
      <c r="F1916" s="98">
        <v>21.05</v>
      </c>
      <c r="G1916" s="98">
        <v>0</v>
      </c>
      <c r="H1916" s="98">
        <v>0</v>
      </c>
      <c r="I1916" s="98">
        <v>0</v>
      </c>
      <c r="J1916" s="98"/>
      <c r="K1916" s="93"/>
      <c r="L1916" s="93">
        <f t="shared" si="254"/>
        <v>0</v>
      </c>
      <c r="M1916" s="95" t="e">
        <f t="shared" ca="1" si="255"/>
        <v>#DIV/0!</v>
      </c>
      <c r="N1916" s="95">
        <f>IF(P1916="Hedge Fund",IF(A1916=Summary!$AD$3,M1916-E1916,M1916),IF(A1916=Summary!$AD$3,L1916-D1916,L1916))</f>
        <v>0</v>
      </c>
      <c r="O1916" s="9">
        <f t="shared" si="259"/>
        <v>0</v>
      </c>
      <c r="P1916" s="89" t="s">
        <v>155</v>
      </c>
      <c r="Q1916" s="107">
        <v>0</v>
      </c>
      <c r="R1916" s="107">
        <v>0</v>
      </c>
      <c r="S1916" s="107">
        <v>0</v>
      </c>
      <c r="T1916" s="107">
        <v>0</v>
      </c>
      <c r="U1916" s="107"/>
      <c r="V1916" s="107"/>
      <c r="W1916" s="107"/>
      <c r="X1916" s="107"/>
      <c r="Y1916" s="107"/>
      <c r="Z1916" s="107"/>
      <c r="AA1916" s="107"/>
      <c r="AB1916" s="107"/>
      <c r="AC1916" s="355"/>
      <c r="AD1916" s="355"/>
      <c r="AE1916" s="355"/>
      <c r="AF1916" s="94">
        <f t="shared" si="256"/>
        <v>42674</v>
      </c>
      <c r="AG1916" s="185">
        <f t="shared" si="260"/>
        <v>2.7270748699921965E-2</v>
      </c>
      <c r="AH1916" s="339" t="str">
        <f>VLOOKUP(B1916,'MF PF'!A:B,2)</f>
        <v>FdMgt1</v>
      </c>
      <c r="AI1916" s="358">
        <f t="shared" si="257"/>
        <v>0</v>
      </c>
      <c r="AJ1916" s="94">
        <f t="shared" si="258"/>
        <v>42674</v>
      </c>
    </row>
    <row r="1917" spans="1:36" ht="12.75" customHeight="1">
      <c r="A1917" s="8">
        <v>42704</v>
      </c>
      <c r="B1917" s="94" t="s">
        <v>136</v>
      </c>
      <c r="C1917" s="92" t="s">
        <v>324</v>
      </c>
      <c r="D1917" s="374">
        <v>12803643.772</v>
      </c>
      <c r="E1917" s="95" t="e">
        <f t="shared" si="262"/>
        <v>#DIV/0!</v>
      </c>
      <c r="F1917" s="98">
        <v>21.05</v>
      </c>
      <c r="G1917" s="98">
        <v>0</v>
      </c>
      <c r="H1917" s="98">
        <v>0</v>
      </c>
      <c r="I1917" s="98">
        <v>0</v>
      </c>
      <c r="J1917" s="98"/>
      <c r="K1917" s="93"/>
      <c r="L1917" s="93">
        <f t="shared" si="254"/>
        <v>0</v>
      </c>
      <c r="M1917" s="95" t="e">
        <f t="shared" ca="1" si="255"/>
        <v>#DIV/0!</v>
      </c>
      <c r="N1917" s="95">
        <f>IF(P1917="Hedge Fund",IF(A1917=Summary!$AD$3,M1917-E1917,M1917),IF(A1917=Summary!$AD$3,L1917-D1917,L1917))</f>
        <v>0</v>
      </c>
      <c r="O1917" s="9">
        <f t="shared" si="259"/>
        <v>0</v>
      </c>
      <c r="P1917" s="89" t="s">
        <v>155</v>
      </c>
      <c r="Q1917" s="107">
        <v>0</v>
      </c>
      <c r="R1917" s="107">
        <v>0</v>
      </c>
      <c r="S1917" s="107">
        <v>0</v>
      </c>
      <c r="T1917" s="107">
        <v>0</v>
      </c>
      <c r="U1917" s="107"/>
      <c r="V1917" s="107"/>
      <c r="W1917" s="107"/>
      <c r="X1917" s="107"/>
      <c r="Y1917" s="107"/>
      <c r="Z1917" s="107"/>
      <c r="AA1917" s="107"/>
      <c r="AB1917" s="107"/>
      <c r="AC1917" s="355"/>
      <c r="AD1917" s="355"/>
      <c r="AE1917" s="355"/>
      <c r="AF1917" s="94">
        <f t="shared" si="256"/>
        <v>42704</v>
      </c>
      <c r="AG1917" s="185">
        <f t="shared" si="260"/>
        <v>9.4928546631307675E-3</v>
      </c>
      <c r="AH1917" s="339" t="str">
        <f>VLOOKUP(B1917,'MF PF'!A:B,2)</f>
        <v>FdMgt1</v>
      </c>
      <c r="AI1917" s="358">
        <f t="shared" si="257"/>
        <v>0</v>
      </c>
      <c r="AJ1917" s="94">
        <f t="shared" si="258"/>
        <v>42704</v>
      </c>
    </row>
    <row r="1918" spans="1:36" ht="12.75" customHeight="1">
      <c r="A1918" s="94">
        <v>42734</v>
      </c>
      <c r="B1918" s="94" t="s">
        <v>136</v>
      </c>
      <c r="C1918" s="92" t="s">
        <v>324</v>
      </c>
      <c r="D1918" s="374">
        <v>23005376.302000001</v>
      </c>
      <c r="E1918" s="95" t="e">
        <f t="shared" si="262"/>
        <v>#DIV/0!</v>
      </c>
      <c r="F1918" s="98">
        <v>21.05</v>
      </c>
      <c r="G1918" s="98">
        <v>9679950</v>
      </c>
      <c r="H1918" s="98">
        <v>0</v>
      </c>
      <c r="I1918" s="98">
        <v>0</v>
      </c>
      <c r="J1918" s="98"/>
      <c r="K1918" s="93"/>
      <c r="L1918" s="93">
        <f t="shared" si="254"/>
        <v>9679950</v>
      </c>
      <c r="M1918" s="95" t="e">
        <f t="shared" ca="1" si="255"/>
        <v>#DIV/0!</v>
      </c>
      <c r="N1918" s="95">
        <f>IF(P1918="Hedge Fund",IF(A1918=Summary!$AD$3,M1918-E1918,M1918),IF(A1918=Summary!$AD$3,L1918-D1918,L1918))</f>
        <v>9679950</v>
      </c>
      <c r="O1918" s="9">
        <f t="shared" si="259"/>
        <v>9679950</v>
      </c>
      <c r="P1918" s="89" t="s">
        <v>155</v>
      </c>
      <c r="Q1918" s="107">
        <v>0</v>
      </c>
      <c r="R1918" s="107">
        <v>0</v>
      </c>
      <c r="S1918" s="107">
        <v>0</v>
      </c>
      <c r="T1918" s="107">
        <v>0</v>
      </c>
      <c r="U1918" s="107"/>
      <c r="V1918" s="107"/>
      <c r="W1918" s="107"/>
      <c r="X1918" s="107"/>
      <c r="Y1918" s="107"/>
      <c r="Z1918" s="107"/>
      <c r="AA1918" s="107"/>
      <c r="AB1918" s="107"/>
      <c r="AC1918" s="355"/>
      <c r="AD1918" s="355"/>
      <c r="AE1918" s="355"/>
      <c r="AF1918" s="94">
        <f t="shared" si="256"/>
        <v>42734</v>
      </c>
      <c r="AG1918" s="185">
        <f t="shared" si="260"/>
        <v>4.0752659109516642E-2</v>
      </c>
      <c r="AH1918" s="339" t="str">
        <f>VLOOKUP(B1918,'MF PF'!A:B,2)</f>
        <v>FdMgt1</v>
      </c>
      <c r="AI1918" s="358">
        <f t="shared" si="257"/>
        <v>0</v>
      </c>
      <c r="AJ1918" s="94">
        <f t="shared" si="258"/>
        <v>42735</v>
      </c>
    </row>
    <row r="1919" spans="1:36" ht="12.75" customHeight="1">
      <c r="A1919" s="8">
        <v>42762</v>
      </c>
      <c r="B1919" s="94" t="s">
        <v>136</v>
      </c>
      <c r="C1919" s="92" t="s">
        <v>324</v>
      </c>
      <c r="D1919" s="374">
        <v>23291460.614999998</v>
      </c>
      <c r="E1919" s="9" t="e">
        <f t="shared" si="262"/>
        <v>#DIV/0!</v>
      </c>
      <c r="F1919" s="98">
        <v>21.05</v>
      </c>
      <c r="G1919" s="98">
        <v>0</v>
      </c>
      <c r="H1919" s="98">
        <v>0</v>
      </c>
      <c r="I1919" s="98">
        <v>0</v>
      </c>
      <c r="J1919" s="98"/>
      <c r="K1919" s="93"/>
      <c r="L1919" s="93">
        <f t="shared" si="254"/>
        <v>0</v>
      </c>
      <c r="M1919" s="95" t="e">
        <f t="shared" ca="1" si="255"/>
        <v>#DIV/0!</v>
      </c>
      <c r="N1919" s="95">
        <f>IF(P1919="Hedge Fund",IF(A1919=Summary!$AD$3,M1919-E1919,M1919),IF(A1919=Summary!$AD$3,L1919-D1919,L1919))</f>
        <v>0</v>
      </c>
      <c r="O1919" s="9">
        <f t="shared" si="259"/>
        <v>0</v>
      </c>
      <c r="P1919" s="89" t="s">
        <v>155</v>
      </c>
      <c r="Q1919" s="107">
        <v>0</v>
      </c>
      <c r="R1919" s="107">
        <v>0</v>
      </c>
      <c r="S1919" s="107">
        <v>0</v>
      </c>
      <c r="T1919" s="107">
        <v>0</v>
      </c>
      <c r="U1919" s="107"/>
      <c r="V1919" s="107"/>
      <c r="W1919" s="107"/>
      <c r="X1919" s="107"/>
      <c r="Y1919" s="107"/>
      <c r="Z1919" s="107"/>
      <c r="AA1919" s="107"/>
      <c r="AB1919" s="107"/>
      <c r="AC1919" s="355"/>
      <c r="AD1919" s="355"/>
      <c r="AE1919" s="355"/>
      <c r="AF1919" s="94">
        <f t="shared" si="256"/>
        <v>42762</v>
      </c>
      <c r="AG1919" s="185">
        <f t="shared" si="260"/>
        <v>1.2435541555350538E-2</v>
      </c>
      <c r="AH1919" s="339" t="str">
        <f>VLOOKUP(B1919,'MF PF'!A:B,2)</f>
        <v>FdMgt1</v>
      </c>
      <c r="AI1919" s="358">
        <f t="shared" si="257"/>
        <v>0</v>
      </c>
      <c r="AJ1919" s="94">
        <f t="shared" si="258"/>
        <v>42766</v>
      </c>
    </row>
    <row r="1920" spans="1:36" ht="12.75" customHeight="1">
      <c r="A1920" s="94">
        <v>42794</v>
      </c>
      <c r="B1920" s="94" t="s">
        <v>136</v>
      </c>
      <c r="C1920" s="358" t="s">
        <v>324</v>
      </c>
      <c r="D1920" s="374">
        <v>23702772.1215</v>
      </c>
      <c r="E1920" s="9" t="e">
        <f t="shared" si="262"/>
        <v>#DIV/0!</v>
      </c>
      <c r="F1920" s="98">
        <v>21.05</v>
      </c>
      <c r="G1920" s="98">
        <v>0</v>
      </c>
      <c r="H1920" s="98">
        <v>0</v>
      </c>
      <c r="I1920" s="98">
        <v>0</v>
      </c>
      <c r="J1920" s="98"/>
      <c r="K1920" s="93"/>
      <c r="L1920" s="93">
        <f t="shared" si="254"/>
        <v>0</v>
      </c>
      <c r="M1920" s="95" t="e">
        <f t="shared" ca="1" si="255"/>
        <v>#DIV/0!</v>
      </c>
      <c r="N1920" s="95">
        <f>IF(P1920="Hedge Fund",IF(A1920=Summary!$AD$3,M1920-E1920,M1920),IF(A1920=Summary!$AD$3,L1920-D1920,L1920))</f>
        <v>0</v>
      </c>
      <c r="O1920" s="9">
        <f t="shared" si="259"/>
        <v>0</v>
      </c>
      <c r="P1920" s="89" t="s">
        <v>155</v>
      </c>
      <c r="Q1920" s="107">
        <v>0</v>
      </c>
      <c r="R1920" s="107">
        <v>0</v>
      </c>
      <c r="S1920" s="107">
        <v>0</v>
      </c>
      <c r="T1920" s="107">
        <v>0</v>
      </c>
      <c r="U1920" s="107"/>
      <c r="V1920" s="107"/>
      <c r="W1920" s="107"/>
      <c r="X1920" s="107"/>
      <c r="Y1920" s="107"/>
      <c r="Z1920" s="107"/>
      <c r="AA1920" s="107"/>
      <c r="AB1920" s="107"/>
      <c r="AC1920" s="355"/>
      <c r="AD1920" s="355"/>
      <c r="AE1920" s="355"/>
      <c r="AF1920" s="94">
        <f t="shared" si="256"/>
        <v>42794</v>
      </c>
      <c r="AG1920" s="185">
        <f t="shared" si="260"/>
        <v>1.7659326450103041E-2</v>
      </c>
      <c r="AH1920" s="339" t="str">
        <f>VLOOKUP(B1920,'MF PF'!A:B,2)</f>
        <v>FdMgt1</v>
      </c>
      <c r="AI1920" s="358">
        <f t="shared" si="257"/>
        <v>0</v>
      </c>
      <c r="AJ1920" s="94">
        <f t="shared" si="258"/>
        <v>42794</v>
      </c>
    </row>
    <row r="1921" spans="1:36" ht="12.75" customHeight="1">
      <c r="A1921" s="94">
        <v>42825</v>
      </c>
      <c r="B1921" s="94" t="s">
        <v>136</v>
      </c>
      <c r="C1921" s="358" t="s">
        <v>324</v>
      </c>
      <c r="D1921" s="374">
        <v>23556426.006499998</v>
      </c>
      <c r="E1921" s="9" t="e">
        <f t="shared" si="262"/>
        <v>#DIV/0!</v>
      </c>
      <c r="F1921" s="98">
        <v>21.05</v>
      </c>
      <c r="G1921" s="98">
        <v>0</v>
      </c>
      <c r="H1921" s="98">
        <v>0</v>
      </c>
      <c r="I1921" s="98">
        <v>0</v>
      </c>
      <c r="J1921" s="98"/>
      <c r="K1921" s="93"/>
      <c r="L1921" s="93">
        <f t="shared" si="254"/>
        <v>0</v>
      </c>
      <c r="M1921" s="95" t="e">
        <f t="shared" ca="1" si="255"/>
        <v>#DIV/0!</v>
      </c>
      <c r="N1921" s="95">
        <f>IF(P1921="Hedge Fund",IF(A1921=Summary!$AD$3,M1921-E1921,M1921),IF(A1921=Summary!$AD$3,L1921-D1921,L1921))</f>
        <v>0</v>
      </c>
      <c r="O1921" s="9">
        <f t="shared" si="259"/>
        <v>0</v>
      </c>
      <c r="P1921" s="107" t="s">
        <v>155</v>
      </c>
      <c r="Q1921" s="107">
        <v>0</v>
      </c>
      <c r="R1921" s="107">
        <v>0</v>
      </c>
      <c r="S1921" s="107">
        <v>0</v>
      </c>
      <c r="T1921" s="107">
        <v>0</v>
      </c>
      <c r="U1921" s="107"/>
      <c r="V1921" s="107"/>
      <c r="W1921" s="107"/>
      <c r="X1921" s="107"/>
      <c r="Y1921" s="107"/>
      <c r="Z1921" s="107"/>
      <c r="AA1921" s="107"/>
      <c r="AB1921" s="107"/>
      <c r="AC1921" s="355"/>
      <c r="AD1921" s="355"/>
      <c r="AE1921" s="355"/>
      <c r="AF1921" s="94">
        <f t="shared" si="256"/>
        <v>42825</v>
      </c>
      <c r="AG1921" s="185">
        <f t="shared" si="260"/>
        <v>-6.1742193803253631E-3</v>
      </c>
      <c r="AH1921" s="339" t="str">
        <f>VLOOKUP(B1921,'MF PF'!A:B,2)</f>
        <v>FdMgt1</v>
      </c>
      <c r="AI1921" s="358">
        <f t="shared" si="257"/>
        <v>0</v>
      </c>
      <c r="AJ1921" s="94">
        <f t="shared" si="258"/>
        <v>42825</v>
      </c>
    </row>
    <row r="1922" spans="1:36" ht="12.75" customHeight="1">
      <c r="A1922" s="94">
        <v>42853</v>
      </c>
      <c r="B1922" s="94" t="s">
        <v>136</v>
      </c>
      <c r="C1922" s="358" t="s">
        <v>324</v>
      </c>
      <c r="D1922" s="374">
        <v>23679333.369999997</v>
      </c>
      <c r="E1922" s="9" t="e">
        <f t="shared" si="262"/>
        <v>#DIV/0!</v>
      </c>
      <c r="F1922" s="98">
        <v>21.05</v>
      </c>
      <c r="G1922" s="98">
        <v>0</v>
      </c>
      <c r="H1922" s="98">
        <v>0</v>
      </c>
      <c r="I1922" s="98">
        <v>0</v>
      </c>
      <c r="J1922" s="98"/>
      <c r="K1922" s="93"/>
      <c r="L1922" s="93">
        <f t="shared" si="254"/>
        <v>0</v>
      </c>
      <c r="M1922" s="95" t="e">
        <f t="shared" ca="1" si="255"/>
        <v>#DIV/0!</v>
      </c>
      <c r="N1922" s="95">
        <f>IF(P1922="Hedge Fund",IF(A1922=Summary!$AD$3,M1922-E1922,M1922),IF(A1922=Summary!$AD$3,L1922-D1922,L1922))</f>
        <v>0</v>
      </c>
      <c r="O1922" s="9">
        <f t="shared" si="259"/>
        <v>0</v>
      </c>
      <c r="P1922" s="107" t="s">
        <v>155</v>
      </c>
      <c r="Q1922" s="107">
        <v>0</v>
      </c>
      <c r="R1922" s="107">
        <v>0</v>
      </c>
      <c r="S1922" s="107">
        <v>0</v>
      </c>
      <c r="T1922" s="107">
        <v>0</v>
      </c>
      <c r="U1922" s="107"/>
      <c r="V1922" s="107"/>
      <c r="W1922" s="107"/>
      <c r="X1922" s="107"/>
      <c r="Y1922" s="107"/>
      <c r="Z1922" s="107"/>
      <c r="AA1922" s="107"/>
      <c r="AB1922" s="107"/>
      <c r="AC1922" s="355"/>
      <c r="AD1922" s="355"/>
      <c r="AE1922" s="355"/>
      <c r="AF1922" s="94">
        <f t="shared" si="256"/>
        <v>42853</v>
      </c>
      <c r="AG1922" s="185">
        <f t="shared" si="260"/>
        <v>5.2175726260887956E-3</v>
      </c>
      <c r="AH1922" s="339" t="str">
        <f>VLOOKUP(B1922,'MF PF'!A:B,2)</f>
        <v>FdMgt1</v>
      </c>
      <c r="AI1922" s="358">
        <f t="shared" si="257"/>
        <v>0</v>
      </c>
      <c r="AJ1922" s="94">
        <f t="shared" si="258"/>
        <v>42855</v>
      </c>
    </row>
    <row r="1923" spans="1:36" ht="12.75" customHeight="1">
      <c r="A1923" s="8">
        <v>42886</v>
      </c>
      <c r="B1923" s="94" t="s">
        <v>136</v>
      </c>
      <c r="C1923" s="92" t="s">
        <v>324</v>
      </c>
      <c r="D1923" s="374">
        <v>23992307.519499999</v>
      </c>
      <c r="E1923" s="9" t="e">
        <f t="shared" si="262"/>
        <v>#DIV/0!</v>
      </c>
      <c r="F1923" s="98">
        <v>21.05</v>
      </c>
      <c r="G1923" s="98">
        <v>0</v>
      </c>
      <c r="H1923" s="98">
        <v>0</v>
      </c>
      <c r="I1923" s="98">
        <v>0</v>
      </c>
      <c r="J1923" s="98"/>
      <c r="K1923" s="93"/>
      <c r="L1923" s="93">
        <f t="shared" ref="L1923:L1986" si="263">G1923+H1923+I1923</f>
        <v>0</v>
      </c>
      <c r="M1923" s="95" t="e">
        <f t="shared" ref="M1923:M1986" ca="1" si="264">IF(A1923&gt;INDIRECT("A"&amp;ROW()-1),I1923/K1923,E1923)</f>
        <v>#DIV/0!</v>
      </c>
      <c r="N1923" s="95">
        <f>IF(P1923="Hedge Fund",IF(A1923=Summary!$AD$3,M1923-E1923,M1923),IF(A1923=Summary!$AD$3,L1923-D1923,L1923))</f>
        <v>0</v>
      </c>
      <c r="O1923" s="9">
        <f t="shared" si="259"/>
        <v>0</v>
      </c>
      <c r="P1923" s="107" t="s">
        <v>155</v>
      </c>
      <c r="Q1923" s="107">
        <v>0</v>
      </c>
      <c r="R1923" s="107">
        <v>0</v>
      </c>
      <c r="S1923" s="107">
        <v>0</v>
      </c>
      <c r="T1923" s="107">
        <v>0</v>
      </c>
      <c r="U1923" s="107"/>
      <c r="V1923" s="107"/>
      <c r="W1923" s="107"/>
      <c r="X1923" s="107"/>
      <c r="Y1923" s="107"/>
      <c r="Z1923" s="107"/>
      <c r="AA1923" s="107"/>
      <c r="AB1923" s="107"/>
      <c r="AC1923" s="355"/>
      <c r="AD1923" s="355"/>
      <c r="AE1923" s="355"/>
      <c r="AF1923" s="94">
        <f t="shared" ref="AF1923:AF1986" si="265">A1923</f>
        <v>42886</v>
      </c>
      <c r="AG1923" s="185">
        <f t="shared" si="260"/>
        <v>1.3217185830768141E-2</v>
      </c>
      <c r="AH1923" s="339" t="str">
        <f>VLOOKUP(B1923,'MF PF'!A:B,2)</f>
        <v>FdMgt1</v>
      </c>
      <c r="AI1923" s="358">
        <f t="shared" ref="AI1923:AI1986" si="266">AF1923-A1923</f>
        <v>0</v>
      </c>
      <c r="AJ1923" s="94">
        <f t="shared" ref="AJ1923:AJ1986" si="267">EOMONTH(A1923,0)</f>
        <v>42886</v>
      </c>
    </row>
    <row r="1924" spans="1:36" ht="12.75" customHeight="1">
      <c r="A1924" s="8">
        <v>42916</v>
      </c>
      <c r="B1924" s="94" t="s">
        <v>136</v>
      </c>
      <c r="C1924" s="92" t="s">
        <v>324</v>
      </c>
      <c r="D1924" s="374">
        <v>24187274.170000002</v>
      </c>
      <c r="E1924" s="9" t="e">
        <f t="shared" si="262"/>
        <v>#DIV/0!</v>
      </c>
      <c r="F1924" s="98">
        <v>21.05</v>
      </c>
      <c r="G1924" s="98">
        <v>0</v>
      </c>
      <c r="H1924" s="98">
        <v>-3.7252902984619141E-9</v>
      </c>
      <c r="I1924" s="98">
        <v>0</v>
      </c>
      <c r="J1924" s="98"/>
      <c r="K1924" s="93"/>
      <c r="L1924" s="93">
        <f t="shared" si="263"/>
        <v>-3.7252902984619141E-9</v>
      </c>
      <c r="M1924" s="95" t="e">
        <f t="shared" ca="1" si="264"/>
        <v>#DIV/0!</v>
      </c>
      <c r="N1924" s="95">
        <f>IF(P1924="Hedge Fund",IF(A1924=Summary!$AD$3,M1924-E1924,M1924),IF(A1924=Summary!$AD$3,L1924-D1924,L1924))</f>
        <v>-3.7252902984619141E-9</v>
      </c>
      <c r="O1924" s="9">
        <f t="shared" si="259"/>
        <v>-3.7252902984619141E-9</v>
      </c>
      <c r="P1924" s="107" t="s">
        <v>155</v>
      </c>
      <c r="Q1924" s="107">
        <v>0</v>
      </c>
      <c r="R1924" s="107">
        <v>0</v>
      </c>
      <c r="S1924" s="107">
        <v>0</v>
      </c>
      <c r="T1924" s="107">
        <v>0</v>
      </c>
      <c r="U1924" s="107"/>
      <c r="V1924" s="107"/>
      <c r="W1924" s="107"/>
      <c r="X1924" s="107"/>
      <c r="Y1924" s="107"/>
      <c r="Z1924" s="107"/>
      <c r="AA1924" s="107"/>
      <c r="AB1924" s="107"/>
      <c r="AC1924" s="355"/>
      <c r="AD1924" s="355"/>
      <c r="AE1924" s="355"/>
      <c r="AF1924" s="94">
        <f t="shared" si="265"/>
        <v>42916</v>
      </c>
      <c r="AG1924" s="185">
        <f t="shared" si="260"/>
        <v>8.1262150521181908E-3</v>
      </c>
      <c r="AH1924" s="339" t="str">
        <f>VLOOKUP(B1924,'MF PF'!A:B,2)</f>
        <v>FdMgt1</v>
      </c>
      <c r="AI1924" s="358">
        <f t="shared" si="266"/>
        <v>0</v>
      </c>
      <c r="AJ1924" s="94">
        <f t="shared" si="267"/>
        <v>42916</v>
      </c>
    </row>
    <row r="1925" spans="1:36" ht="12.75" customHeight="1">
      <c r="A1925" s="94">
        <v>42947</v>
      </c>
      <c r="B1925" s="94" t="s">
        <v>136</v>
      </c>
      <c r="C1925" s="358" t="s">
        <v>324</v>
      </c>
      <c r="D1925" s="374">
        <v>24403627.09</v>
      </c>
      <c r="E1925" s="9" t="e">
        <f t="shared" si="262"/>
        <v>#DIV/0!</v>
      </c>
      <c r="F1925" s="98">
        <v>21.05</v>
      </c>
      <c r="G1925" s="98">
        <v>0</v>
      </c>
      <c r="H1925" s="98">
        <v>0</v>
      </c>
      <c r="I1925" s="98">
        <v>0</v>
      </c>
      <c r="J1925" s="98"/>
      <c r="K1925" s="93"/>
      <c r="L1925" s="93">
        <f t="shared" si="263"/>
        <v>0</v>
      </c>
      <c r="M1925" s="95" t="e">
        <f t="shared" ca="1" si="264"/>
        <v>#DIV/0!</v>
      </c>
      <c r="N1925" s="95">
        <f>IF(P1925="Hedge Fund",IF(A1925=Summary!$AD$3,M1925-E1925,M1925),IF(A1925=Summary!$AD$3,L1925-D1925,L1925))</f>
        <v>0</v>
      </c>
      <c r="O1925" s="9">
        <f t="shared" si="259"/>
        <v>0</v>
      </c>
      <c r="P1925" s="107" t="s">
        <v>155</v>
      </c>
      <c r="Q1925" s="107">
        <v>0</v>
      </c>
      <c r="R1925" s="107">
        <v>0</v>
      </c>
      <c r="S1925" s="107">
        <v>0</v>
      </c>
      <c r="T1925" s="107">
        <v>0</v>
      </c>
      <c r="U1925" s="107"/>
      <c r="V1925" s="107"/>
      <c r="W1925" s="107"/>
      <c r="X1925" s="107"/>
      <c r="Y1925" s="107"/>
      <c r="Z1925" s="107"/>
      <c r="AA1925" s="107"/>
      <c r="AB1925" s="107"/>
      <c r="AC1925" s="355"/>
      <c r="AD1925" s="355"/>
      <c r="AE1925" s="355"/>
      <c r="AF1925" s="94">
        <f t="shared" si="265"/>
        <v>42947</v>
      </c>
      <c r="AG1925" s="185">
        <f t="shared" si="260"/>
        <v>8.9449070812759324E-3</v>
      </c>
      <c r="AH1925" s="339" t="str">
        <f>VLOOKUP(B1925,'MF PF'!A:B,2)</f>
        <v>FdMgt1</v>
      </c>
      <c r="AI1925" s="358">
        <f t="shared" si="266"/>
        <v>0</v>
      </c>
      <c r="AJ1925" s="94">
        <f t="shared" si="267"/>
        <v>42947</v>
      </c>
    </row>
    <row r="1926" spans="1:36" ht="12.75" customHeight="1">
      <c r="A1926" s="94">
        <v>42978</v>
      </c>
      <c r="B1926" s="94" t="s">
        <v>136</v>
      </c>
      <c r="C1926" s="358" t="s">
        <v>324</v>
      </c>
      <c r="D1926" s="374">
        <v>24382200</v>
      </c>
      <c r="E1926" s="95" t="e">
        <f t="shared" si="262"/>
        <v>#DIV/0!</v>
      </c>
      <c r="F1926" s="98">
        <v>21.05</v>
      </c>
      <c r="G1926" s="98">
        <v>0</v>
      </c>
      <c r="H1926" s="98">
        <v>-3.7252902984619141E-9</v>
      </c>
      <c r="I1926" s="98">
        <v>0</v>
      </c>
      <c r="J1926" s="98"/>
      <c r="K1926" s="93"/>
      <c r="L1926" s="93">
        <f t="shared" si="263"/>
        <v>-3.7252902984619141E-9</v>
      </c>
      <c r="M1926" s="95" t="e">
        <f t="shared" ca="1" si="264"/>
        <v>#DIV/0!</v>
      </c>
      <c r="N1926" s="95">
        <f>IF(P1926="Hedge Fund",IF(A1926=Summary!$AD$3,M1926-E1926,M1926),IF(A1926=Summary!$AD$3,L1926-D1926,L1926))</f>
        <v>-3.7252902984619141E-9</v>
      </c>
      <c r="O1926" s="9">
        <f t="shared" si="259"/>
        <v>-3.7252902984619141E-9</v>
      </c>
      <c r="P1926" s="107" t="s">
        <v>155</v>
      </c>
      <c r="Q1926" s="107">
        <v>0</v>
      </c>
      <c r="R1926" s="107">
        <v>0</v>
      </c>
      <c r="S1926" s="107">
        <v>0</v>
      </c>
      <c r="T1926" s="107">
        <v>0</v>
      </c>
      <c r="U1926" s="107"/>
      <c r="V1926" s="107"/>
      <c r="W1926" s="107"/>
      <c r="X1926" s="107"/>
      <c r="Y1926" s="107"/>
      <c r="Z1926" s="107"/>
      <c r="AA1926" s="107"/>
      <c r="AB1926" s="107"/>
      <c r="AC1926" s="355"/>
      <c r="AD1926" s="355"/>
      <c r="AE1926" s="355"/>
      <c r="AF1926" s="94">
        <f t="shared" si="265"/>
        <v>42978</v>
      </c>
      <c r="AG1926" s="185">
        <f t="shared" si="260"/>
        <v>-8.7802890615296114E-4</v>
      </c>
      <c r="AH1926" s="339" t="str">
        <f>VLOOKUP(B1926,'MF PF'!A:B,2)</f>
        <v>FdMgt1</v>
      </c>
      <c r="AI1926" s="358">
        <f t="shared" si="266"/>
        <v>0</v>
      </c>
      <c r="AJ1926" s="94">
        <f t="shared" si="267"/>
        <v>42978</v>
      </c>
    </row>
    <row r="1927" spans="1:36" ht="12.75" customHeight="1">
      <c r="A1927" s="94">
        <v>43007</v>
      </c>
      <c r="B1927" s="94" t="s">
        <v>136</v>
      </c>
      <c r="C1927" s="358" t="s">
        <v>324</v>
      </c>
      <c r="D1927" s="374">
        <v>24484859.076039348</v>
      </c>
      <c r="E1927" s="9" t="e">
        <f t="shared" si="262"/>
        <v>#DIV/0!</v>
      </c>
      <c r="F1927" s="98">
        <v>21.05</v>
      </c>
      <c r="G1927" s="98">
        <v>0</v>
      </c>
      <c r="H1927" s="98">
        <v>0</v>
      </c>
      <c r="I1927" s="98">
        <v>0</v>
      </c>
      <c r="J1927" s="98"/>
      <c r="K1927" s="93"/>
      <c r="L1927" s="93">
        <f t="shared" si="263"/>
        <v>0</v>
      </c>
      <c r="M1927" s="95" t="e">
        <f t="shared" ca="1" si="264"/>
        <v>#DIV/0!</v>
      </c>
      <c r="N1927" s="95">
        <f>IF(P1927="Hedge Fund",IF(A1927=Summary!$AD$3,M1927-E1927,M1927),IF(A1927=Summary!$AD$3,L1927-D1927,L1927))</f>
        <v>0</v>
      </c>
      <c r="O1927" s="9">
        <f t="shared" si="259"/>
        <v>0</v>
      </c>
      <c r="P1927" s="89" t="s">
        <v>155</v>
      </c>
      <c r="Q1927" s="107">
        <v>0</v>
      </c>
      <c r="R1927" s="107">
        <v>0</v>
      </c>
      <c r="S1927" s="107">
        <v>0</v>
      </c>
      <c r="T1927" s="107">
        <v>0</v>
      </c>
      <c r="U1927" s="107"/>
      <c r="V1927" s="107"/>
      <c r="W1927" s="107"/>
      <c r="X1927" s="107"/>
      <c r="Y1927" s="107"/>
      <c r="Z1927" s="107"/>
      <c r="AA1927" s="107"/>
      <c r="AB1927" s="107"/>
      <c r="AC1927" s="355"/>
      <c r="AD1927" s="355"/>
      <c r="AE1927" s="355"/>
      <c r="AF1927" s="94">
        <f t="shared" si="265"/>
        <v>43007</v>
      </c>
      <c r="AG1927" s="185">
        <f t="shared" si="260"/>
        <v>4.2104107110658706E-3</v>
      </c>
      <c r="AH1927" s="339" t="str">
        <f>VLOOKUP(B1927,'MF PF'!A:B,2)</f>
        <v>FdMgt1</v>
      </c>
      <c r="AI1927" s="358">
        <f t="shared" si="266"/>
        <v>0</v>
      </c>
      <c r="AJ1927" s="94">
        <f t="shared" si="267"/>
        <v>43008</v>
      </c>
    </row>
    <row r="1928" spans="1:36" ht="12.75" customHeight="1">
      <c r="A1928" s="8">
        <v>43039</v>
      </c>
      <c r="B1928" s="94" t="s">
        <v>136</v>
      </c>
      <c r="C1928" s="92" t="s">
        <v>324</v>
      </c>
      <c r="D1928" s="374">
        <v>24745400</v>
      </c>
      <c r="E1928" s="9" t="e">
        <f t="shared" si="262"/>
        <v>#DIV/0!</v>
      </c>
      <c r="F1928" s="98">
        <v>21.05</v>
      </c>
      <c r="G1928" s="98">
        <v>0</v>
      </c>
      <c r="H1928" s="98">
        <v>-3.7252902984619141E-9</v>
      </c>
      <c r="I1928" s="98">
        <v>0</v>
      </c>
      <c r="J1928" s="98"/>
      <c r="K1928" s="93"/>
      <c r="L1928" s="93">
        <f t="shared" si="263"/>
        <v>-3.7252902984619141E-9</v>
      </c>
      <c r="M1928" s="95" t="e">
        <f t="shared" ca="1" si="264"/>
        <v>#DIV/0!</v>
      </c>
      <c r="N1928" s="95">
        <f>IF(P1928="Hedge Fund",IF(A1928=Summary!$AD$3,M1928-E1928,M1928),IF(A1928=Summary!$AD$3,L1928-D1928,L1928))</f>
        <v>-3.7252902984619141E-9</v>
      </c>
      <c r="O1928" s="9">
        <f t="shared" si="259"/>
        <v>-3.7252902984619141E-9</v>
      </c>
      <c r="P1928" s="89" t="s">
        <v>155</v>
      </c>
      <c r="Q1928" s="107">
        <v>0</v>
      </c>
      <c r="R1928" s="107">
        <v>0</v>
      </c>
      <c r="S1928" s="107">
        <v>0</v>
      </c>
      <c r="T1928" s="107">
        <v>0</v>
      </c>
      <c r="U1928" s="107"/>
      <c r="V1928" s="107"/>
      <c r="W1928" s="107"/>
      <c r="X1928" s="107"/>
      <c r="Y1928" s="107"/>
      <c r="Z1928" s="107"/>
      <c r="AA1928" s="107"/>
      <c r="AB1928" s="107"/>
      <c r="AC1928" s="355"/>
      <c r="AD1928" s="355"/>
      <c r="AE1928" s="355"/>
      <c r="AF1928" s="94">
        <f t="shared" si="265"/>
        <v>43039</v>
      </c>
      <c r="AG1928" s="185">
        <f t="shared" si="260"/>
        <v>1.0640899469812393E-2</v>
      </c>
      <c r="AH1928" s="339" t="str">
        <f>VLOOKUP(B1928,'MF PF'!A:B,2)</f>
        <v>FdMgt1</v>
      </c>
      <c r="AI1928" s="358">
        <f t="shared" si="266"/>
        <v>0</v>
      </c>
      <c r="AJ1928" s="94">
        <f t="shared" si="267"/>
        <v>43039</v>
      </c>
    </row>
    <row r="1929" spans="1:36" ht="12.75" customHeight="1">
      <c r="A1929" s="8">
        <v>43069</v>
      </c>
      <c r="B1929" s="94" t="s">
        <v>162</v>
      </c>
      <c r="C1929" s="92" t="s">
        <v>324</v>
      </c>
      <c r="D1929" s="374">
        <v>24745809.349999998</v>
      </c>
      <c r="E1929" s="9" t="e">
        <f t="shared" si="262"/>
        <v>#DIV/0!</v>
      </c>
      <c r="F1929" s="98">
        <v>21.05</v>
      </c>
      <c r="G1929" s="98">
        <v>0</v>
      </c>
      <c r="H1929" s="98">
        <v>0</v>
      </c>
      <c r="I1929" s="98">
        <v>0</v>
      </c>
      <c r="J1929" s="98"/>
      <c r="K1929" s="93"/>
      <c r="L1929" s="93">
        <f t="shared" si="263"/>
        <v>0</v>
      </c>
      <c r="M1929" s="95" t="e">
        <f t="shared" ca="1" si="264"/>
        <v>#DIV/0!</v>
      </c>
      <c r="N1929" s="95">
        <f>IF(P1929="Hedge Fund",IF(A1929=Summary!$AD$3,M1929-E1929,M1929),IF(A1929=Summary!$AD$3,L1929-D1929,L1929))</f>
        <v>0</v>
      </c>
      <c r="O1929" s="9">
        <f t="shared" si="259"/>
        <v>0</v>
      </c>
      <c r="P1929" s="89" t="s">
        <v>155</v>
      </c>
      <c r="Q1929" s="107">
        <v>0</v>
      </c>
      <c r="R1929" s="107">
        <v>0</v>
      </c>
      <c r="S1929" s="107">
        <v>0</v>
      </c>
      <c r="T1929" s="107">
        <v>0</v>
      </c>
      <c r="U1929" s="107"/>
      <c r="V1929" s="107"/>
      <c r="W1929" s="107"/>
      <c r="X1929" s="107"/>
      <c r="Y1929" s="107"/>
      <c r="Z1929" s="107"/>
      <c r="AA1929" s="107"/>
      <c r="AB1929" s="107"/>
      <c r="AC1929" s="355"/>
      <c r="AD1929" s="355"/>
      <c r="AE1929" s="355"/>
      <c r="AF1929" s="94">
        <f t="shared" si="265"/>
        <v>43069</v>
      </c>
      <c r="AG1929" s="185">
        <f t="shared" si="260"/>
        <v>1.6542468499025631E-5</v>
      </c>
      <c r="AH1929" s="339" t="str">
        <f>VLOOKUP(B1929,'MF PF'!A:B,2)</f>
        <v>FdMgt1</v>
      </c>
      <c r="AI1929" s="358">
        <f t="shared" si="266"/>
        <v>0</v>
      </c>
      <c r="AJ1929" s="94">
        <f t="shared" si="267"/>
        <v>43069</v>
      </c>
    </row>
    <row r="1930" spans="1:36" ht="12.75" customHeight="1">
      <c r="A1930" s="94">
        <v>43098</v>
      </c>
      <c r="B1930" s="94" t="s">
        <v>162</v>
      </c>
      <c r="C1930" s="92" t="s">
        <v>324</v>
      </c>
      <c r="D1930" s="374">
        <v>26709200</v>
      </c>
      <c r="E1930" s="95" t="e">
        <f t="shared" si="262"/>
        <v>#DIV/0!</v>
      </c>
      <c r="F1930" s="98">
        <v>21.05</v>
      </c>
      <c r="G1930" s="98">
        <v>0</v>
      </c>
      <c r="H1930" s="98">
        <v>0</v>
      </c>
      <c r="I1930" s="98">
        <v>0</v>
      </c>
      <c r="J1930" s="98"/>
      <c r="K1930" s="93"/>
      <c r="L1930" s="93">
        <f t="shared" si="263"/>
        <v>0</v>
      </c>
      <c r="M1930" s="95" t="e">
        <f t="shared" ca="1" si="264"/>
        <v>#DIV/0!</v>
      </c>
      <c r="N1930" s="95">
        <f>IF(P1930="Hedge Fund",IF(A1930=Summary!$AD$3,M1930-E1930,M1930),IF(A1930=Summary!$AD$3,L1930-D1930,L1930))</f>
        <v>0</v>
      </c>
      <c r="O1930" s="9">
        <f t="shared" si="259"/>
        <v>0</v>
      </c>
      <c r="P1930" s="89" t="s">
        <v>155</v>
      </c>
      <c r="Q1930" s="107">
        <v>0</v>
      </c>
      <c r="R1930" s="107">
        <v>0</v>
      </c>
      <c r="S1930" s="107">
        <v>0</v>
      </c>
      <c r="T1930" s="107">
        <v>0</v>
      </c>
      <c r="U1930" s="107"/>
      <c r="V1930" s="107"/>
      <c r="W1930" s="107"/>
      <c r="X1930" s="107"/>
      <c r="Y1930" s="107"/>
      <c r="Z1930" s="107"/>
      <c r="AA1930" s="107"/>
      <c r="AB1930" s="107"/>
      <c r="AC1930" s="355"/>
      <c r="AD1930" s="355"/>
      <c r="AE1930" s="355"/>
      <c r="AF1930" s="94">
        <f t="shared" si="265"/>
        <v>43098</v>
      </c>
      <c r="AG1930" s="185">
        <f t="shared" si="260"/>
        <v>7.9342349333989537E-2</v>
      </c>
      <c r="AH1930" s="339" t="str">
        <f>VLOOKUP(B1930,'MF PF'!A:B,2)</f>
        <v>FdMgt1</v>
      </c>
      <c r="AI1930" s="358">
        <f t="shared" si="266"/>
        <v>0</v>
      </c>
      <c r="AJ1930" s="94">
        <f t="shared" si="267"/>
        <v>43100</v>
      </c>
    </row>
    <row r="1931" spans="1:36" ht="12.75" customHeight="1">
      <c r="A1931" s="8">
        <v>43131</v>
      </c>
      <c r="B1931" s="94" t="s">
        <v>162</v>
      </c>
      <c r="C1931" s="92" t="s">
        <v>324</v>
      </c>
      <c r="D1931" s="374">
        <v>27448400</v>
      </c>
      <c r="E1931" s="9" t="e">
        <f t="shared" si="262"/>
        <v>#DIV/0!</v>
      </c>
      <c r="F1931" s="98">
        <v>21.05</v>
      </c>
      <c r="G1931" s="98">
        <v>0</v>
      </c>
      <c r="H1931" s="98">
        <v>0</v>
      </c>
      <c r="I1931" s="98">
        <v>0</v>
      </c>
      <c r="J1931" s="98"/>
      <c r="K1931" s="93"/>
      <c r="L1931" s="93">
        <f t="shared" si="263"/>
        <v>0</v>
      </c>
      <c r="M1931" s="95" t="e">
        <f t="shared" ca="1" si="264"/>
        <v>#DIV/0!</v>
      </c>
      <c r="N1931" s="95">
        <f>IF(P1931="Hedge Fund",IF(A1931=Summary!$AD$3,M1931-E1931,M1931),IF(A1931=Summary!$AD$3,L1931-D1931,L1931))</f>
        <v>0</v>
      </c>
      <c r="O1931" s="9">
        <f t="shared" si="259"/>
        <v>0</v>
      </c>
      <c r="P1931" s="107" t="s">
        <v>155</v>
      </c>
      <c r="Q1931" s="107">
        <v>0</v>
      </c>
      <c r="R1931" s="107">
        <v>0</v>
      </c>
      <c r="S1931" s="107">
        <v>0</v>
      </c>
      <c r="T1931" s="107">
        <v>0</v>
      </c>
      <c r="U1931" s="107"/>
      <c r="V1931" s="107"/>
      <c r="W1931" s="107"/>
      <c r="X1931" s="107"/>
      <c r="Y1931" s="107"/>
      <c r="Z1931" s="107"/>
      <c r="AA1931" s="107"/>
      <c r="AB1931" s="107"/>
      <c r="AC1931" s="355"/>
      <c r="AD1931" s="355"/>
      <c r="AE1931" s="355"/>
      <c r="AF1931" s="94">
        <f t="shared" si="265"/>
        <v>43131</v>
      </c>
      <c r="AG1931" s="185">
        <f t="shared" si="260"/>
        <v>2.767585700807218E-2</v>
      </c>
      <c r="AH1931" s="339" t="str">
        <f>VLOOKUP(B1931,'MF PF'!A:B,2)</f>
        <v>FdMgt1</v>
      </c>
      <c r="AI1931" s="358">
        <f t="shared" si="266"/>
        <v>0</v>
      </c>
      <c r="AJ1931" s="94">
        <f t="shared" si="267"/>
        <v>43131</v>
      </c>
    </row>
    <row r="1932" spans="1:36" ht="12.75" customHeight="1">
      <c r="A1932" s="8">
        <v>43159</v>
      </c>
      <c r="B1932" s="94" t="s">
        <v>162</v>
      </c>
      <c r="C1932" s="92" t="s">
        <v>324</v>
      </c>
      <c r="D1932" s="374">
        <v>27557653.829999998</v>
      </c>
      <c r="E1932" s="9" t="e">
        <f t="shared" si="262"/>
        <v>#DIV/0!</v>
      </c>
      <c r="F1932" s="98">
        <v>21.05</v>
      </c>
      <c r="G1932" s="98">
        <v>0</v>
      </c>
      <c r="H1932" s="98">
        <v>0</v>
      </c>
      <c r="I1932" s="98">
        <v>0</v>
      </c>
      <c r="J1932" s="98"/>
      <c r="K1932" s="93"/>
      <c r="L1932" s="93">
        <f t="shared" si="263"/>
        <v>0</v>
      </c>
      <c r="M1932" s="95" t="e">
        <f t="shared" ca="1" si="264"/>
        <v>#DIV/0!</v>
      </c>
      <c r="N1932" s="95">
        <f>IF(P1932="Hedge Fund",IF(A1932=Summary!$AD$3,M1932-E1932,M1932),IF(A1932=Summary!$AD$3,L1932-D1932,L1932))</f>
        <v>0</v>
      </c>
      <c r="O1932" s="95">
        <f t="shared" si="259"/>
        <v>0</v>
      </c>
      <c r="P1932" s="107" t="s">
        <v>155</v>
      </c>
      <c r="Q1932" s="107">
        <v>0</v>
      </c>
      <c r="R1932" s="107">
        <v>0</v>
      </c>
      <c r="S1932" s="107">
        <v>0</v>
      </c>
      <c r="T1932" s="107">
        <v>0</v>
      </c>
      <c r="U1932" s="107"/>
      <c r="V1932" s="107"/>
      <c r="W1932" s="107"/>
      <c r="X1932" s="107"/>
      <c r="Y1932" s="107"/>
      <c r="Z1932" s="107"/>
      <c r="AA1932" s="107"/>
      <c r="AB1932" s="107"/>
      <c r="AC1932" s="355"/>
      <c r="AD1932" s="355"/>
      <c r="AE1932" s="355"/>
      <c r="AF1932" s="94">
        <f t="shared" si="265"/>
        <v>43159</v>
      </c>
      <c r="AG1932" s="185">
        <f t="shared" si="260"/>
        <v>3.9803351014995325E-3</v>
      </c>
      <c r="AH1932" s="339" t="str">
        <f>VLOOKUP(B1932,'MF PF'!A:B,2)</f>
        <v>FdMgt1</v>
      </c>
      <c r="AI1932" s="358">
        <f t="shared" si="266"/>
        <v>0</v>
      </c>
      <c r="AJ1932" s="94">
        <f t="shared" si="267"/>
        <v>43159</v>
      </c>
    </row>
    <row r="1933" spans="1:36" ht="12.75" customHeight="1">
      <c r="A1933" s="94">
        <v>43188</v>
      </c>
      <c r="B1933" s="94" t="s">
        <v>162</v>
      </c>
      <c r="C1933" s="358" t="s">
        <v>324</v>
      </c>
      <c r="D1933" s="374">
        <v>27778505.8015</v>
      </c>
      <c r="E1933" s="9" t="e">
        <f t="shared" si="262"/>
        <v>#DIV/0!</v>
      </c>
      <c r="F1933" s="98">
        <v>21.05</v>
      </c>
      <c r="G1933" s="98">
        <v>0</v>
      </c>
      <c r="H1933" s="98">
        <v>0</v>
      </c>
      <c r="I1933" s="98">
        <v>0</v>
      </c>
      <c r="J1933" s="98"/>
      <c r="K1933" s="93"/>
      <c r="L1933" s="93">
        <f t="shared" si="263"/>
        <v>0</v>
      </c>
      <c r="M1933" s="95" t="e">
        <f t="shared" ca="1" si="264"/>
        <v>#DIV/0!</v>
      </c>
      <c r="N1933" s="95">
        <f>IF(P1933="Hedge Fund",IF(A1933=Summary!$AD$3,M1933-E1933,M1933),IF(A1933=Summary!$AD$3,L1933-D1933,L1933))</f>
        <v>0</v>
      </c>
      <c r="O1933" s="9">
        <f t="shared" si="259"/>
        <v>0</v>
      </c>
      <c r="P1933" s="107" t="s">
        <v>155</v>
      </c>
      <c r="Q1933" s="109">
        <v>0.10687670862403684</v>
      </c>
      <c r="R1933" s="109">
        <v>1.0109127885</v>
      </c>
      <c r="S1933" s="107">
        <v>1.0202004032539106E-2</v>
      </c>
      <c r="T1933" s="107">
        <v>9.6467640714760633E-2</v>
      </c>
      <c r="U1933" s="107"/>
      <c r="V1933" s="107"/>
      <c r="W1933" s="107"/>
      <c r="X1933" s="107"/>
      <c r="Y1933" s="107"/>
      <c r="Z1933" s="107"/>
      <c r="AA1933" s="107"/>
      <c r="AB1933" s="107"/>
      <c r="AC1933" s="355"/>
      <c r="AD1933" s="355"/>
      <c r="AE1933" s="355"/>
      <c r="AF1933" s="94">
        <f t="shared" si="265"/>
        <v>43188</v>
      </c>
      <c r="AG1933" s="185">
        <f t="shared" si="260"/>
        <v>8.0141790321632822E-3</v>
      </c>
      <c r="AH1933" s="339" t="str">
        <f>VLOOKUP(B1933,'MF PF'!A:B,2)</f>
        <v>FdMgt1</v>
      </c>
      <c r="AI1933" s="358">
        <f t="shared" si="266"/>
        <v>0</v>
      </c>
      <c r="AJ1933" s="94">
        <f t="shared" si="267"/>
        <v>43190</v>
      </c>
    </row>
    <row r="1934" spans="1:36" ht="12.75" customHeight="1">
      <c r="A1934" s="8">
        <v>43220</v>
      </c>
      <c r="B1934" s="94" t="s">
        <v>162</v>
      </c>
      <c r="C1934" s="92" t="s">
        <v>324</v>
      </c>
      <c r="D1934" s="374">
        <v>27951739.311999999</v>
      </c>
      <c r="E1934" s="9" t="e">
        <f t="shared" si="262"/>
        <v>#DIV/0!</v>
      </c>
      <c r="F1934" s="98">
        <v>21.05</v>
      </c>
      <c r="G1934" s="98">
        <v>0</v>
      </c>
      <c r="H1934" s="98">
        <v>0</v>
      </c>
      <c r="I1934" s="98">
        <v>0</v>
      </c>
      <c r="J1934" s="98"/>
      <c r="K1934" s="93"/>
      <c r="L1934" s="93">
        <f t="shared" si="263"/>
        <v>0</v>
      </c>
      <c r="M1934" s="95" t="e">
        <f t="shared" ca="1" si="264"/>
        <v>#DIV/0!</v>
      </c>
      <c r="N1934" s="95">
        <f>IF(P1934="Hedge Fund",IF(A1934=Summary!$AD$3,M1934-E1934,M1934),IF(A1934=Summary!$AD$3,L1934-D1934,L1934))</f>
        <v>0</v>
      </c>
      <c r="O1934" s="9">
        <f t="shared" ref="O1934:O1997" si="268">N1934</f>
        <v>0</v>
      </c>
      <c r="P1934" s="107" t="s">
        <v>155</v>
      </c>
      <c r="Q1934" s="109">
        <v>0</v>
      </c>
      <c r="R1934" s="109">
        <v>1.0414834100000001</v>
      </c>
      <c r="S1934" s="107">
        <v>0</v>
      </c>
      <c r="T1934" s="107">
        <v>0</v>
      </c>
      <c r="U1934" s="107"/>
      <c r="V1934" s="107"/>
      <c r="W1934" s="107"/>
      <c r="X1934" s="107"/>
      <c r="Y1934" s="107"/>
      <c r="Z1934" s="107"/>
      <c r="AA1934" s="107"/>
      <c r="AB1934" s="107"/>
      <c r="AC1934" s="355"/>
      <c r="AD1934" s="355"/>
      <c r="AE1934" s="355"/>
      <c r="AF1934" s="94">
        <f t="shared" si="265"/>
        <v>43220</v>
      </c>
      <c r="AG1934" s="185">
        <f t="shared" si="260"/>
        <v>6.2362429332194491E-3</v>
      </c>
      <c r="AH1934" s="339" t="str">
        <f>VLOOKUP(B1934,'MF PF'!A:B,2)</f>
        <v>FdMgt1</v>
      </c>
      <c r="AI1934" s="358">
        <f t="shared" si="266"/>
        <v>0</v>
      </c>
      <c r="AJ1934" s="94">
        <f t="shared" si="267"/>
        <v>43220</v>
      </c>
    </row>
    <row r="1935" spans="1:36" s="92" customFormat="1" ht="12.75" customHeight="1">
      <c r="A1935" s="94">
        <v>43251</v>
      </c>
      <c r="B1935" s="358" t="s">
        <v>136</v>
      </c>
      <c r="C1935" s="94" t="s">
        <v>324</v>
      </c>
      <c r="D1935" s="374">
        <v>28131200.101</v>
      </c>
      <c r="E1935" s="95" t="e">
        <f t="shared" si="262"/>
        <v>#DIV/0!</v>
      </c>
      <c r="F1935" s="98">
        <v>21.05</v>
      </c>
      <c r="G1935" s="98">
        <v>0</v>
      </c>
      <c r="H1935" s="98">
        <v>0</v>
      </c>
      <c r="I1935" s="110">
        <v>0</v>
      </c>
      <c r="J1935" s="110"/>
      <c r="K1935" s="93"/>
      <c r="L1935" s="93">
        <f t="shared" si="263"/>
        <v>0</v>
      </c>
      <c r="M1935" s="95" t="e">
        <f t="shared" ca="1" si="264"/>
        <v>#DIV/0!</v>
      </c>
      <c r="N1935" s="95">
        <f>IF(P1935="Hedge Fund",IF(A1935=Summary!$AD$3,M1935-E1935,M1935),IF(A1935=Summary!$AD$3,L1935-D1935,L1935))</f>
        <v>0</v>
      </c>
      <c r="O1935" s="95">
        <f t="shared" si="268"/>
        <v>0</v>
      </c>
      <c r="P1935" s="107" t="s">
        <v>155</v>
      </c>
      <c r="Q1935" s="109">
        <v>0</v>
      </c>
      <c r="R1935" s="109">
        <v>1.07315296</v>
      </c>
      <c r="S1935" s="107">
        <v>0</v>
      </c>
      <c r="T1935" s="107">
        <v>0</v>
      </c>
      <c r="U1935" s="107"/>
      <c r="V1935" s="107"/>
      <c r="W1935" s="107"/>
      <c r="X1935" s="107"/>
      <c r="Y1935" s="107"/>
      <c r="Z1935" s="107"/>
      <c r="AA1935" s="107"/>
      <c r="AB1935" s="107"/>
      <c r="AC1935" s="355"/>
      <c r="AD1935" s="355"/>
      <c r="AE1935" s="355"/>
      <c r="AF1935" s="94">
        <f t="shared" si="265"/>
        <v>43251</v>
      </c>
      <c r="AG1935" s="185">
        <f t="shared" ref="AG1935:AG1988" si="269">IF(C1935&lt;&gt;C1934,D1935/G1935-1,(D1935-G1935-I1935-H1935)/(D1934)-1)</f>
        <v>6.420380034202644E-3</v>
      </c>
      <c r="AH1935" s="339" t="str">
        <f>VLOOKUP(B1935,'MF PF'!A:B,2)</f>
        <v>FdMgt1</v>
      </c>
      <c r="AI1935" s="358">
        <f t="shared" si="266"/>
        <v>0</v>
      </c>
      <c r="AJ1935" s="94">
        <f t="shared" si="267"/>
        <v>43251</v>
      </c>
    </row>
    <row r="1936" spans="1:36" ht="12.75" customHeight="1">
      <c r="A1936" s="8">
        <v>43280</v>
      </c>
      <c r="B1936" s="358" t="s">
        <v>136</v>
      </c>
      <c r="C1936" s="94" t="s">
        <v>324</v>
      </c>
      <c r="D1936" s="374">
        <v>28077608.8675</v>
      </c>
      <c r="E1936" s="95" t="e">
        <f t="shared" si="262"/>
        <v>#DIV/0!</v>
      </c>
      <c r="F1936" s="98">
        <v>21.05</v>
      </c>
      <c r="G1936" s="98">
        <v>0</v>
      </c>
      <c r="H1936" s="98">
        <v>0</v>
      </c>
      <c r="I1936" s="110">
        <v>0</v>
      </c>
      <c r="J1936" s="110"/>
      <c r="K1936" s="93"/>
      <c r="L1936" s="93">
        <f t="shared" si="263"/>
        <v>0</v>
      </c>
      <c r="M1936" s="95" t="e">
        <f t="shared" ca="1" si="264"/>
        <v>#DIV/0!</v>
      </c>
      <c r="N1936" s="95">
        <f>IF(P1936="Hedge Fund",IF(A1936=Summary!$AD$3,M1936-E1936,M1936),IF(A1936=Summary!$AD$3,L1936-D1936,L1936))</f>
        <v>0</v>
      </c>
      <c r="O1936" s="95">
        <f t="shared" si="268"/>
        <v>0</v>
      </c>
      <c r="P1936" s="107" t="s">
        <v>155</v>
      </c>
      <c r="Q1936" s="109">
        <v>0.11059623</v>
      </c>
      <c r="R1936" s="109">
        <v>1.0636956799999999</v>
      </c>
      <c r="S1936" s="107">
        <v>1.0557069563628523E-2</v>
      </c>
      <c r="T1936" s="107">
        <v>0.10150669942680482</v>
      </c>
      <c r="U1936" s="107"/>
      <c r="V1936" s="107"/>
      <c r="W1936" s="107"/>
      <c r="X1936" s="107"/>
      <c r="Y1936" s="107"/>
      <c r="Z1936" s="107"/>
      <c r="AA1936" s="107"/>
      <c r="AB1936" s="107"/>
      <c r="AC1936" s="355"/>
      <c r="AD1936" s="355"/>
      <c r="AE1936" s="355"/>
      <c r="AF1936" s="94">
        <f t="shared" si="265"/>
        <v>43280</v>
      </c>
      <c r="AG1936" s="185">
        <f t="shared" si="269"/>
        <v>-1.9050461163260257E-3</v>
      </c>
      <c r="AH1936" s="339" t="str">
        <f>VLOOKUP(B1936,'MF PF'!A:B,2)</f>
        <v>FdMgt1</v>
      </c>
      <c r="AI1936" s="358">
        <f t="shared" si="266"/>
        <v>0</v>
      </c>
      <c r="AJ1936" s="94">
        <f t="shared" si="267"/>
        <v>43281</v>
      </c>
    </row>
    <row r="1937" spans="1:36" ht="12.75" customHeight="1">
      <c r="A1937" s="8">
        <v>43312</v>
      </c>
      <c r="B1937" s="358" t="s">
        <v>136</v>
      </c>
      <c r="C1937" s="94" t="s">
        <v>324</v>
      </c>
      <c r="D1937" s="374">
        <v>28205901.399</v>
      </c>
      <c r="E1937" s="95" t="str">
        <f>IF(K1937="","",D1937/K1937)</f>
        <v/>
      </c>
      <c r="F1937" s="98">
        <v>21.05</v>
      </c>
      <c r="G1937" s="98">
        <v>0</v>
      </c>
      <c r="H1937" s="98">
        <v>0</v>
      </c>
      <c r="I1937" s="98">
        <v>0</v>
      </c>
      <c r="J1937" s="98"/>
      <c r="K1937" s="93"/>
      <c r="L1937" s="93">
        <f t="shared" si="263"/>
        <v>0</v>
      </c>
      <c r="M1937" s="95" t="e">
        <f t="shared" ca="1" si="264"/>
        <v>#DIV/0!</v>
      </c>
      <c r="N1937" s="95">
        <f>IF(P1937="Hedge Fund",IF(A1937=Summary!$AD$3,M1937-E1937,M1937),IF(A1937=Summary!$AD$3,L1937-D1937,L1937))</f>
        <v>0</v>
      </c>
      <c r="O1937" s="95">
        <f t="shared" si="268"/>
        <v>0</v>
      </c>
      <c r="P1937" s="107" t="s">
        <v>155</v>
      </c>
      <c r="Q1937" s="107">
        <v>0</v>
      </c>
      <c r="R1937" s="109">
        <v>1.0863355410000002</v>
      </c>
      <c r="S1937" s="107">
        <v>0</v>
      </c>
      <c r="T1937" s="107">
        <v>0</v>
      </c>
      <c r="U1937" s="107"/>
      <c r="V1937" s="107"/>
      <c r="W1937" s="107"/>
      <c r="X1937" s="107"/>
      <c r="Y1937" s="107"/>
      <c r="Z1937" s="107"/>
      <c r="AA1937" s="107"/>
      <c r="AB1937" s="107"/>
      <c r="AC1937" s="355"/>
      <c r="AD1937" s="355"/>
      <c r="AE1937" s="355"/>
      <c r="AF1937" s="94">
        <f t="shared" si="265"/>
        <v>43312</v>
      </c>
      <c r="AG1937" s="185">
        <f t="shared" si="269"/>
        <v>4.5692114348276913E-3</v>
      </c>
      <c r="AH1937" s="339" t="str">
        <f>VLOOKUP(B1937,'MF PF'!A:B,2)</f>
        <v>FdMgt1</v>
      </c>
      <c r="AI1937" s="358">
        <f t="shared" si="266"/>
        <v>0</v>
      </c>
      <c r="AJ1937" s="94">
        <f t="shared" si="267"/>
        <v>43312</v>
      </c>
    </row>
    <row r="1938" spans="1:36" ht="12.75" customHeight="1">
      <c r="A1938" s="8">
        <v>43343</v>
      </c>
      <c r="B1938" s="358" t="s">
        <v>136</v>
      </c>
      <c r="C1938" s="94" t="s">
        <v>324</v>
      </c>
      <c r="D1938" s="374">
        <v>28133464.467</v>
      </c>
      <c r="E1938" s="95" t="str">
        <f>IF(K1938="","",D1938/K1938)</f>
        <v/>
      </c>
      <c r="F1938" s="98">
        <v>21.05</v>
      </c>
      <c r="G1938" s="98">
        <v>0</v>
      </c>
      <c r="H1938" s="98">
        <v>0</v>
      </c>
      <c r="I1938" s="98">
        <v>0</v>
      </c>
      <c r="J1938" s="98"/>
      <c r="K1938" s="93"/>
      <c r="L1938" s="93">
        <f t="shared" si="263"/>
        <v>0</v>
      </c>
      <c r="M1938" s="95" t="e">
        <f t="shared" ca="1" si="264"/>
        <v>#DIV/0!</v>
      </c>
      <c r="N1938" s="95">
        <f>IF(P1938="Hedge Fund",IF(A1938=Summary!$AD$3,M1938-E1938,M1938),IF(A1938=Summary!$AD$3,L1938-D1938,L1938))</f>
        <v>0</v>
      </c>
      <c r="O1938" s="95">
        <f t="shared" si="268"/>
        <v>0</v>
      </c>
      <c r="P1938" s="107" t="s">
        <v>155</v>
      </c>
      <c r="Q1938" s="107">
        <v>0</v>
      </c>
      <c r="R1938" s="109">
        <v>1.0735525529999999</v>
      </c>
      <c r="S1938" s="107">
        <v>0</v>
      </c>
      <c r="T1938" s="107">
        <v>0</v>
      </c>
      <c r="U1938" s="107"/>
      <c r="V1938" s="107"/>
      <c r="W1938" s="107"/>
      <c r="X1938" s="107"/>
      <c r="Y1938" s="107"/>
      <c r="Z1938" s="107"/>
      <c r="AA1938" s="107"/>
      <c r="AB1938" s="107"/>
      <c r="AC1938" s="355"/>
      <c r="AD1938" s="355"/>
      <c r="AE1938" s="355"/>
      <c r="AF1938" s="94">
        <f t="shared" si="265"/>
        <v>43343</v>
      </c>
      <c r="AG1938" s="185">
        <f t="shared" si="269"/>
        <v>-2.5681480969287351E-3</v>
      </c>
      <c r="AH1938" s="339" t="str">
        <f>VLOOKUP(B1938,'MF PF'!A:B,2)</f>
        <v>FdMgt1</v>
      </c>
      <c r="AI1938" s="358">
        <f t="shared" si="266"/>
        <v>0</v>
      </c>
      <c r="AJ1938" s="94">
        <f t="shared" si="267"/>
        <v>43343</v>
      </c>
    </row>
    <row r="1939" spans="1:36" ht="12.75" customHeight="1">
      <c r="A1939" s="8">
        <v>43371</v>
      </c>
      <c r="B1939" s="358" t="s">
        <v>136</v>
      </c>
      <c r="C1939" s="92" t="s">
        <v>324</v>
      </c>
      <c r="D1939" s="374">
        <v>27609142.749000002</v>
      </c>
      <c r="E1939" s="95"/>
      <c r="F1939" s="105">
        <v>22.05</v>
      </c>
      <c r="G1939" s="93">
        <v>0</v>
      </c>
      <c r="H1939" s="93">
        <v>0</v>
      </c>
      <c r="I1939" s="93">
        <v>0</v>
      </c>
      <c r="K1939" s="93">
        <v>0</v>
      </c>
      <c r="L1939" s="93">
        <f t="shared" si="263"/>
        <v>0</v>
      </c>
      <c r="M1939" s="95" t="e">
        <f t="shared" ca="1" si="264"/>
        <v>#DIV/0!</v>
      </c>
      <c r="N1939" s="95">
        <f>IF(P1939="Hedge Fund",IF(A1939=Summary!$AD$3,M1939-E1939,M1939),IF(A1939=Summary!$AD$3,L1939-D1939,L1939))</f>
        <v>0</v>
      </c>
      <c r="O1939" s="95">
        <f t="shared" si="268"/>
        <v>0</v>
      </c>
      <c r="P1939" s="95" t="s">
        <v>155</v>
      </c>
      <c r="Q1939" s="353">
        <v>0.10732074536836229</v>
      </c>
      <c r="R1939" s="95">
        <v>0.98102519100000007</v>
      </c>
      <c r="S1939" s="95">
        <v>1.02443904961647E-2</v>
      </c>
      <c r="T1939" s="95">
        <v>9.3614718469544084E-2</v>
      </c>
      <c r="U1939" s="95"/>
      <c r="V1939" s="95"/>
      <c r="W1939" s="95"/>
      <c r="X1939" s="95"/>
      <c r="Y1939" s="95"/>
      <c r="Z1939" s="95"/>
      <c r="AA1939" s="95"/>
      <c r="AB1939" s="95"/>
      <c r="AC1939" s="355"/>
      <c r="AD1939" s="355"/>
      <c r="AE1939" s="355"/>
      <c r="AF1939" s="94">
        <f t="shared" si="265"/>
        <v>43371</v>
      </c>
      <c r="AG1939" s="185">
        <f t="shared" si="269"/>
        <v>-1.8636941021430764E-2</v>
      </c>
      <c r="AH1939" s="339" t="str">
        <f>VLOOKUP(B1939,'MF PF'!A:B,2)</f>
        <v>FdMgt1</v>
      </c>
      <c r="AI1939" s="358">
        <f t="shared" si="266"/>
        <v>0</v>
      </c>
      <c r="AJ1939" s="94">
        <f t="shared" si="267"/>
        <v>43373</v>
      </c>
    </row>
    <row r="1940" spans="1:36" ht="12.75" customHeight="1">
      <c r="A1940" s="94">
        <v>43404</v>
      </c>
      <c r="B1940" s="358" t="s">
        <v>136</v>
      </c>
      <c r="C1940" s="92" t="s">
        <v>324</v>
      </c>
      <c r="D1940" s="374">
        <v>27441294.6855</v>
      </c>
      <c r="F1940" s="105">
        <v>22.05</v>
      </c>
      <c r="G1940" s="93"/>
      <c r="H1940" s="93">
        <v>0</v>
      </c>
      <c r="I1940" s="93">
        <v>0</v>
      </c>
      <c r="J1940" s="93">
        <v>0</v>
      </c>
      <c r="K1940" s="93">
        <v>0</v>
      </c>
      <c r="L1940" s="93">
        <f t="shared" si="263"/>
        <v>0</v>
      </c>
      <c r="M1940" s="95" t="e">
        <f t="shared" ca="1" si="264"/>
        <v>#DIV/0!</v>
      </c>
      <c r="N1940" s="95">
        <f>IF(P1940="Hedge Fund",IF(A1940=Summary!$AD$3,M1940-E1940,M1940),IF(A1940=Summary!$AD$3,L1940-D1940,L1940))</f>
        <v>0</v>
      </c>
      <c r="O1940" s="95">
        <f t="shared" si="268"/>
        <v>0</v>
      </c>
      <c r="P1940" s="95" t="s">
        <v>155</v>
      </c>
      <c r="Q1940" s="95">
        <v>3.8557458241334608E-2</v>
      </c>
      <c r="R1940" s="95">
        <v>0.95140494449999979</v>
      </c>
      <c r="S1940" s="95"/>
      <c r="T1940" s="95"/>
      <c r="U1940" s="95"/>
      <c r="V1940" s="95"/>
      <c r="W1940" s="95"/>
      <c r="X1940" s="95"/>
      <c r="Y1940" s="95"/>
      <c r="Z1940" s="95"/>
      <c r="AA1940" s="95"/>
      <c r="AB1940" s="95"/>
      <c r="AC1940" s="355"/>
      <c r="AD1940" s="355"/>
      <c r="AE1940" s="355"/>
      <c r="AF1940" s="94">
        <f t="shared" si="265"/>
        <v>43404</v>
      </c>
      <c r="AG1940" s="185">
        <f t="shared" si="269"/>
        <v>-6.0794377074993022E-3</v>
      </c>
      <c r="AH1940" s="339" t="str">
        <f>VLOOKUP(B1940,'MF PF'!A:B,2)</f>
        <v>FdMgt1</v>
      </c>
      <c r="AI1940" s="358">
        <f t="shared" si="266"/>
        <v>0</v>
      </c>
      <c r="AJ1940" s="94">
        <f t="shared" si="267"/>
        <v>43404</v>
      </c>
    </row>
    <row r="1941" spans="1:36" ht="12.75" customHeight="1">
      <c r="A1941" s="8">
        <v>43434</v>
      </c>
      <c r="B1941" s="358" t="s">
        <v>136</v>
      </c>
      <c r="C1941" s="92" t="s">
        <v>324</v>
      </c>
      <c r="D1941" s="374">
        <v>27538167.715</v>
      </c>
      <c r="E1941" s="95"/>
      <c r="F1941" s="105">
        <v>22.05</v>
      </c>
      <c r="G1941" s="93">
        <v>0</v>
      </c>
      <c r="H1941" s="93">
        <v>0</v>
      </c>
      <c r="I1941" s="93">
        <v>0</v>
      </c>
      <c r="K1941" s="93">
        <v>0</v>
      </c>
      <c r="L1941" s="93">
        <f t="shared" si="263"/>
        <v>0</v>
      </c>
      <c r="M1941" s="95" t="e">
        <f t="shared" ca="1" si="264"/>
        <v>#DIV/0!</v>
      </c>
      <c r="N1941" s="95">
        <f>IF(P1941="Hedge Fund",IF(A1941=Summary!$AD$3,M1941-E1941,M1941),IF(A1941=Summary!$AD$3,L1941-D1941,L1941))</f>
        <v>0</v>
      </c>
      <c r="O1941" s="95">
        <f t="shared" si="268"/>
        <v>0</v>
      </c>
      <c r="P1941" s="95" t="s">
        <v>155</v>
      </c>
      <c r="Q1941" s="95">
        <v>7.3996514718466605E-2</v>
      </c>
      <c r="R1941" s="95">
        <v>0.96850018499999968</v>
      </c>
      <c r="S1941" s="95"/>
      <c r="T1941" s="95"/>
      <c r="U1941" s="95"/>
      <c r="V1941" s="95"/>
      <c r="W1941" s="95"/>
      <c r="X1941" s="95"/>
      <c r="Y1941" s="95"/>
      <c r="Z1941" s="95"/>
      <c r="AA1941" s="95"/>
      <c r="AB1941" s="95"/>
      <c r="AC1941" s="355"/>
      <c r="AD1941" s="355"/>
      <c r="AE1941" s="355"/>
      <c r="AF1941" s="94">
        <f t="shared" si="265"/>
        <v>43434</v>
      </c>
      <c r="AG1941" s="185">
        <f t="shared" si="269"/>
        <v>3.5301916549581591E-3</v>
      </c>
      <c r="AH1941" s="339" t="str">
        <f>VLOOKUP(B1941,'MF PF'!A:B,2)</f>
        <v>FdMgt1</v>
      </c>
      <c r="AI1941" s="358">
        <f t="shared" si="266"/>
        <v>0</v>
      </c>
      <c r="AJ1941" s="94">
        <f t="shared" si="267"/>
        <v>43434</v>
      </c>
    </row>
    <row r="1942" spans="1:36" s="92" customFormat="1" ht="12.75" customHeight="1">
      <c r="A1942" s="94">
        <v>43452</v>
      </c>
      <c r="B1942" s="358" t="s">
        <v>136</v>
      </c>
      <c r="C1942" s="92" t="s">
        <v>324</v>
      </c>
      <c r="D1942" s="93"/>
      <c r="E1942" s="95"/>
      <c r="F1942" s="93"/>
      <c r="G1942" s="93"/>
      <c r="H1942" s="93"/>
      <c r="I1942" s="93">
        <v>0</v>
      </c>
      <c r="J1942" s="93"/>
      <c r="K1942" s="93"/>
      <c r="L1942" s="93">
        <f t="shared" si="263"/>
        <v>0</v>
      </c>
      <c r="M1942" s="95" t="e">
        <f t="shared" ca="1" si="264"/>
        <v>#DIV/0!</v>
      </c>
      <c r="N1942" s="95">
        <f>IF(P1942="Hedge Fund",IF(A1942=Summary!$AD$3,M1942-E1942,M1942),IF(A1942=Summary!$AD$3,L1942-D1942,L1942))</f>
        <v>0</v>
      </c>
      <c r="O1942" s="95">
        <f t="shared" si="268"/>
        <v>0</v>
      </c>
      <c r="P1942" s="95" t="s">
        <v>155</v>
      </c>
      <c r="Q1942" s="95"/>
      <c r="R1942" s="95"/>
      <c r="S1942" s="95"/>
      <c r="T1942" s="95"/>
      <c r="U1942" s="95"/>
      <c r="V1942" s="95"/>
      <c r="W1942" s="95"/>
      <c r="X1942" s="95"/>
      <c r="Y1942" s="95"/>
      <c r="Z1942" s="95"/>
      <c r="AA1942" s="95"/>
      <c r="AB1942" s="95"/>
      <c r="AC1942" s="355"/>
      <c r="AD1942" s="355"/>
      <c r="AE1942" s="355"/>
      <c r="AF1942" s="94">
        <f t="shared" si="265"/>
        <v>43452</v>
      </c>
      <c r="AG1942" s="185">
        <f t="shared" si="269"/>
        <v>-1</v>
      </c>
      <c r="AH1942" s="339" t="str">
        <f>VLOOKUP(B1942,'MF PF'!A:B,2)</f>
        <v>FdMgt1</v>
      </c>
      <c r="AI1942" s="358">
        <f t="shared" si="266"/>
        <v>0</v>
      </c>
      <c r="AJ1942" s="94">
        <f t="shared" si="267"/>
        <v>43465</v>
      </c>
    </row>
    <row r="1943" spans="1:36" ht="12.75" customHeight="1">
      <c r="A1943" s="8">
        <v>43465</v>
      </c>
      <c r="B1943" s="358" t="s">
        <v>136</v>
      </c>
      <c r="C1943" s="92" t="s">
        <v>324</v>
      </c>
      <c r="D1943" s="93">
        <v>27775828.870999999</v>
      </c>
      <c r="E1943" s="95"/>
      <c r="F1943" s="93">
        <v>22.05</v>
      </c>
      <c r="G1943" s="93">
        <v>0</v>
      </c>
      <c r="H1943" s="93">
        <v>0</v>
      </c>
      <c r="I1943" s="93">
        <v>0</v>
      </c>
      <c r="K1943" s="93">
        <v>0</v>
      </c>
      <c r="L1943" s="93">
        <f t="shared" si="263"/>
        <v>0</v>
      </c>
      <c r="M1943" s="95" t="e">
        <f t="shared" ca="1" si="264"/>
        <v>#DIV/0!</v>
      </c>
      <c r="N1943" s="95">
        <f>IF(P1943="Hedge Fund",IF(A1943=Summary!$AD$3,M1943-E1943,M1943),IF(A1943=Summary!$AD$3,L1943-D1943,L1943))</f>
        <v>0</v>
      </c>
      <c r="O1943" s="95">
        <f t="shared" si="268"/>
        <v>0</v>
      </c>
      <c r="P1943" s="95" t="s">
        <v>155</v>
      </c>
      <c r="Q1943" s="95">
        <v>0.11163299226894893</v>
      </c>
      <c r="R1943" s="95">
        <v>1.0104403890000002</v>
      </c>
      <c r="S1943" s="95"/>
      <c r="T1943" s="95"/>
      <c r="U1943" s="95"/>
      <c r="V1943" s="95"/>
      <c r="W1943" s="95"/>
      <c r="X1943" s="95"/>
      <c r="Y1943" s="95"/>
      <c r="Z1943" s="95"/>
      <c r="AA1943" s="95"/>
      <c r="AB1943" s="95"/>
      <c r="AC1943" s="355"/>
      <c r="AD1943" s="355"/>
      <c r="AE1943" s="355"/>
      <c r="AF1943" s="94">
        <f t="shared" si="265"/>
        <v>43465</v>
      </c>
      <c r="AG1943" s="185" t="e">
        <f t="shared" si="269"/>
        <v>#DIV/0!</v>
      </c>
      <c r="AH1943" s="339" t="str">
        <f>VLOOKUP(B1943,'MF PF'!A:B,2)</f>
        <v>FdMgt1</v>
      </c>
      <c r="AI1943" s="358">
        <f t="shared" si="266"/>
        <v>0</v>
      </c>
      <c r="AJ1943" s="94">
        <f t="shared" si="267"/>
        <v>43465</v>
      </c>
    </row>
    <row r="1944" spans="1:36" ht="12.75" customHeight="1">
      <c r="A1944" s="94">
        <v>43487</v>
      </c>
      <c r="B1944" s="358" t="s">
        <v>136</v>
      </c>
      <c r="C1944" s="358" t="s">
        <v>324</v>
      </c>
      <c r="D1944" s="93"/>
      <c r="F1944" s="93"/>
      <c r="G1944" s="93"/>
      <c r="H1944" s="93"/>
      <c r="I1944" s="93"/>
      <c r="K1944" s="93"/>
      <c r="L1944" s="93">
        <f t="shared" si="263"/>
        <v>0</v>
      </c>
      <c r="M1944" s="95" t="e">
        <f t="shared" ca="1" si="264"/>
        <v>#DIV/0!</v>
      </c>
      <c r="N1944" s="95">
        <f>IF(P1944="Hedge Fund",IF(A1944=Summary!$AD$3,M1944-E1944,M1944),IF(A1944=Summary!$AD$3,L1944-D1944,L1944))</f>
        <v>0</v>
      </c>
      <c r="O1944" s="95">
        <f t="shared" si="268"/>
        <v>0</v>
      </c>
      <c r="P1944" s="95" t="s">
        <v>155</v>
      </c>
      <c r="Q1944" s="95"/>
      <c r="R1944" s="95"/>
      <c r="S1944" s="95"/>
      <c r="T1944" s="95"/>
      <c r="U1944" s="95"/>
      <c r="V1944" s="95"/>
      <c r="W1944" s="95"/>
      <c r="X1944" s="95"/>
      <c r="Y1944" s="95"/>
      <c r="Z1944" s="95"/>
      <c r="AA1944" s="95"/>
      <c r="AB1944" s="95"/>
      <c r="AC1944" s="355"/>
      <c r="AD1944" s="355"/>
      <c r="AE1944" s="355"/>
      <c r="AF1944" s="94">
        <f t="shared" si="265"/>
        <v>43487</v>
      </c>
      <c r="AG1944" s="185">
        <f t="shared" si="269"/>
        <v>-1</v>
      </c>
      <c r="AH1944" s="339" t="str">
        <f>VLOOKUP(B1944,'MF PF'!A:B,2)</f>
        <v>FdMgt1</v>
      </c>
      <c r="AI1944" s="358">
        <f t="shared" si="266"/>
        <v>0</v>
      </c>
      <c r="AJ1944" s="94">
        <f t="shared" si="267"/>
        <v>43496</v>
      </c>
    </row>
    <row r="1945" spans="1:36" ht="12.75" customHeight="1">
      <c r="A1945" s="94">
        <v>43496</v>
      </c>
      <c r="B1945" s="358" t="s">
        <v>136</v>
      </c>
      <c r="C1945" s="358" t="s">
        <v>324</v>
      </c>
      <c r="D1945" s="93">
        <v>28107413.9135</v>
      </c>
      <c r="F1945" s="93">
        <v>22.05</v>
      </c>
      <c r="G1945" s="93">
        <v>0</v>
      </c>
      <c r="H1945" s="93">
        <v>0</v>
      </c>
      <c r="I1945" s="93">
        <v>0</v>
      </c>
      <c r="K1945" s="93">
        <v>0</v>
      </c>
      <c r="L1945" s="93">
        <f t="shared" si="263"/>
        <v>0</v>
      </c>
      <c r="M1945" s="95" t="e">
        <f t="shared" ca="1" si="264"/>
        <v>#DIV/0!</v>
      </c>
      <c r="N1945" s="95">
        <f>IF(P1945="Hedge Fund",IF(A1945=Summary!$AD$3,M1945-E1945,M1945),IF(A1945=Summary!$AD$3,L1945-D1945,L1945))</f>
        <v>-28107413.9135</v>
      </c>
      <c r="O1945" s="95">
        <f t="shared" si="268"/>
        <v>-28107413.9135</v>
      </c>
      <c r="P1945" s="95" t="s">
        <v>155</v>
      </c>
      <c r="Q1945" s="95">
        <v>3.7217308984283673E-2</v>
      </c>
      <c r="R1945" s="95">
        <v>1.0689553964999998</v>
      </c>
      <c r="S1945" s="95"/>
      <c r="T1945" s="95"/>
      <c r="U1945" s="95"/>
      <c r="V1945" s="95"/>
      <c r="W1945" s="95"/>
      <c r="X1945" s="95"/>
      <c r="Y1945" s="95"/>
      <c r="Z1945" s="95"/>
      <c r="AA1945" s="95"/>
      <c r="AB1945" s="95"/>
      <c r="AC1945" s="355"/>
      <c r="AD1945" s="355"/>
      <c r="AE1945" s="355"/>
      <c r="AF1945" s="94">
        <f t="shared" si="265"/>
        <v>43496</v>
      </c>
      <c r="AG1945" s="185" t="e">
        <f t="shared" si="269"/>
        <v>#DIV/0!</v>
      </c>
      <c r="AH1945" s="339" t="str">
        <f>VLOOKUP(B1945,'MF PF'!A:B,2)</f>
        <v>FdMgt1</v>
      </c>
      <c r="AI1945" s="358">
        <f t="shared" si="266"/>
        <v>0</v>
      </c>
      <c r="AJ1945" s="94">
        <f t="shared" si="267"/>
        <v>43496</v>
      </c>
    </row>
    <row r="1946" spans="1:36" ht="12.75" customHeight="1">
      <c r="A1946" s="94">
        <v>42597</v>
      </c>
      <c r="B1946" s="358" t="s">
        <v>175</v>
      </c>
      <c r="C1946" s="358" t="s">
        <v>299</v>
      </c>
      <c r="D1946" s="93"/>
      <c r="F1946" s="93"/>
      <c r="G1946" s="95">
        <v>1035000</v>
      </c>
      <c r="H1946" s="93"/>
      <c r="I1946" s="93"/>
      <c r="K1946" s="93"/>
      <c r="L1946" s="93">
        <f t="shared" si="263"/>
        <v>1035000</v>
      </c>
      <c r="M1946" s="95">
        <f t="shared" ca="1" si="264"/>
        <v>0</v>
      </c>
      <c r="N1946" s="95">
        <f>IF(P1946="Hedge Fund",IF(A1946=Summary!$AD$3,M1946-E1946,M1946),IF(A1946=Summary!$AD$3,L1946-D1946,L1946))</f>
        <v>1035000</v>
      </c>
      <c r="O1946" s="95">
        <f t="shared" si="268"/>
        <v>1035000</v>
      </c>
      <c r="P1946" s="89" t="s">
        <v>155</v>
      </c>
      <c r="Q1946" s="95">
        <v>0</v>
      </c>
      <c r="R1946" s="95">
        <v>0</v>
      </c>
      <c r="S1946" s="95"/>
      <c r="T1946" s="95"/>
      <c r="U1946" s="95"/>
      <c r="V1946" s="95"/>
      <c r="W1946" s="95"/>
      <c r="X1946" s="95"/>
      <c r="Y1946" s="95"/>
      <c r="Z1946" s="95"/>
      <c r="AA1946" s="95"/>
      <c r="AB1946" s="95"/>
      <c r="AC1946" s="355"/>
      <c r="AD1946" s="355"/>
      <c r="AE1946" s="355"/>
      <c r="AF1946" s="94">
        <f t="shared" si="265"/>
        <v>42597</v>
      </c>
      <c r="AG1946" s="185">
        <f t="shared" si="269"/>
        <v>-1</v>
      </c>
      <c r="AH1946" s="339" t="str">
        <f>VLOOKUP(B1946,'MF PF'!A:B,2)</f>
        <v>FdMgt1</v>
      </c>
      <c r="AI1946" s="358">
        <f t="shared" si="266"/>
        <v>0</v>
      </c>
      <c r="AJ1946" s="94">
        <f t="shared" si="267"/>
        <v>42613</v>
      </c>
    </row>
    <row r="1947" spans="1:36" ht="12.75" customHeight="1">
      <c r="A1947" s="8">
        <v>42605</v>
      </c>
      <c r="B1947" s="358" t="s">
        <v>175</v>
      </c>
      <c r="C1947" s="92" t="s">
        <v>299</v>
      </c>
      <c r="D1947" s="93"/>
      <c r="F1947" s="93"/>
      <c r="G1947" s="95">
        <v>1680000</v>
      </c>
      <c r="H1947" s="93"/>
      <c r="I1947" s="93"/>
      <c r="K1947" s="93"/>
      <c r="L1947" s="93">
        <f t="shared" si="263"/>
        <v>1680000</v>
      </c>
      <c r="M1947" s="95" t="e">
        <f t="shared" ca="1" si="264"/>
        <v>#DIV/0!</v>
      </c>
      <c r="N1947" s="95">
        <f>IF(P1947="Hedge Fund",IF(A1947=Summary!$AD$3,M1947-E1947,M1947),IF(A1947=Summary!$AD$3,L1947-D1947,L1947))</f>
        <v>1680000</v>
      </c>
      <c r="O1947" s="95">
        <f t="shared" si="268"/>
        <v>1680000</v>
      </c>
      <c r="P1947" s="89" t="s">
        <v>155</v>
      </c>
      <c r="Q1947" s="95">
        <v>0</v>
      </c>
      <c r="R1947" s="95">
        <v>0</v>
      </c>
      <c r="S1947" s="95"/>
      <c r="T1947" s="95"/>
      <c r="U1947" s="95"/>
      <c r="V1947" s="95"/>
      <c r="W1947" s="95"/>
      <c r="X1947" s="95"/>
      <c r="Y1947" s="95"/>
      <c r="Z1947" s="95"/>
      <c r="AA1947" s="95"/>
      <c r="AB1947" s="95"/>
      <c r="AC1947" s="355"/>
      <c r="AD1947" s="355"/>
      <c r="AE1947" s="355"/>
      <c r="AF1947" s="94">
        <f t="shared" si="265"/>
        <v>42605</v>
      </c>
      <c r="AG1947" s="185" t="e">
        <f t="shared" si="269"/>
        <v>#DIV/0!</v>
      </c>
      <c r="AH1947" s="339" t="str">
        <f>VLOOKUP(B1947,'MF PF'!A:B,2)</f>
        <v>FdMgt1</v>
      </c>
      <c r="AI1947" s="358">
        <f t="shared" si="266"/>
        <v>0</v>
      </c>
      <c r="AJ1947" s="94">
        <f t="shared" si="267"/>
        <v>42613</v>
      </c>
    </row>
    <row r="1948" spans="1:36" ht="12.75" customHeight="1">
      <c r="A1948" s="8">
        <v>42634</v>
      </c>
      <c r="B1948" s="358" t="s">
        <v>175</v>
      </c>
      <c r="C1948" s="92" t="s">
        <v>299</v>
      </c>
      <c r="D1948" s="93"/>
      <c r="F1948" s="93"/>
      <c r="G1948" s="95">
        <v>3735000</v>
      </c>
      <c r="H1948" s="93"/>
      <c r="I1948" s="93"/>
      <c r="K1948" s="93"/>
      <c r="L1948" s="93">
        <f t="shared" si="263"/>
        <v>3735000</v>
      </c>
      <c r="M1948" s="95" t="e">
        <f t="shared" ca="1" si="264"/>
        <v>#DIV/0!</v>
      </c>
      <c r="N1948" s="95">
        <f>IF(P1948="Hedge Fund",IF(A1948=Summary!$AD$3,M1948-E1948,M1948),IF(A1948=Summary!$AD$3,L1948-D1948,L1948))</f>
        <v>3735000</v>
      </c>
      <c r="O1948" s="95">
        <f t="shared" si="268"/>
        <v>3735000</v>
      </c>
      <c r="P1948" s="89" t="s">
        <v>155</v>
      </c>
      <c r="Q1948" s="95">
        <v>0</v>
      </c>
      <c r="R1948" s="95">
        <v>0</v>
      </c>
      <c r="S1948" s="95"/>
      <c r="T1948" s="95"/>
      <c r="U1948" s="95"/>
      <c r="V1948" s="95"/>
      <c r="W1948" s="95"/>
      <c r="X1948" s="95"/>
      <c r="Y1948" s="95"/>
      <c r="Z1948" s="95"/>
      <c r="AA1948" s="95"/>
      <c r="AB1948" s="95"/>
      <c r="AC1948" s="355"/>
      <c r="AD1948" s="355"/>
      <c r="AE1948" s="355"/>
      <c r="AF1948" s="94">
        <f t="shared" si="265"/>
        <v>42634</v>
      </c>
      <c r="AG1948" s="185" t="e">
        <f t="shared" si="269"/>
        <v>#DIV/0!</v>
      </c>
      <c r="AH1948" s="339" t="str">
        <f>VLOOKUP(B1948,'MF PF'!A:B,2)</f>
        <v>FdMgt1</v>
      </c>
      <c r="AI1948" s="358">
        <f t="shared" si="266"/>
        <v>0</v>
      </c>
      <c r="AJ1948" s="94">
        <f t="shared" si="267"/>
        <v>42643</v>
      </c>
    </row>
    <row r="1949" spans="1:36" ht="12.75" customHeight="1">
      <c r="A1949" s="8">
        <v>42643</v>
      </c>
      <c r="B1949" s="358" t="s">
        <v>175</v>
      </c>
      <c r="C1949" s="92" t="s">
        <v>299</v>
      </c>
      <c r="D1949" s="93">
        <v>6703485.8399999999</v>
      </c>
      <c r="F1949" s="93"/>
      <c r="G1949" s="95"/>
      <c r="H1949" s="93"/>
      <c r="I1949" s="93"/>
      <c r="K1949" s="93"/>
      <c r="L1949" s="93">
        <f t="shared" si="263"/>
        <v>0</v>
      </c>
      <c r="M1949" s="95" t="e">
        <f t="shared" ca="1" si="264"/>
        <v>#DIV/0!</v>
      </c>
      <c r="N1949" s="95">
        <f>IF(P1949="Hedge Fund",IF(A1949=Summary!$AD$3,M1949-E1949,M1949),IF(A1949=Summary!$AD$3,L1949-D1949,L1949))</f>
        <v>0</v>
      </c>
      <c r="O1949" s="95">
        <f t="shared" si="268"/>
        <v>0</v>
      </c>
      <c r="P1949" s="89" t="s">
        <v>155</v>
      </c>
      <c r="Q1949" s="95">
        <v>1.3023700000000001E-2</v>
      </c>
      <c r="R1949" s="95">
        <v>4.4732800000000003E-2</v>
      </c>
      <c r="S1949" s="95"/>
      <c r="T1949" s="95"/>
      <c r="U1949" s="95"/>
      <c r="V1949" s="95"/>
      <c r="W1949" s="95"/>
      <c r="X1949" s="95"/>
      <c r="Y1949" s="95"/>
      <c r="Z1949" s="95"/>
      <c r="AA1949" s="95"/>
      <c r="AB1949" s="95"/>
      <c r="AC1949" s="355"/>
      <c r="AD1949" s="355"/>
      <c r="AE1949" s="355"/>
      <c r="AF1949" s="94">
        <f t="shared" si="265"/>
        <v>42643</v>
      </c>
      <c r="AG1949" s="185" t="e">
        <f t="shared" si="269"/>
        <v>#DIV/0!</v>
      </c>
      <c r="AH1949" s="339" t="str">
        <f>VLOOKUP(B1949,'MF PF'!A:B,2)</f>
        <v>FdMgt1</v>
      </c>
      <c r="AI1949" s="358">
        <f t="shared" si="266"/>
        <v>0</v>
      </c>
      <c r="AJ1949" s="94">
        <f t="shared" si="267"/>
        <v>42643</v>
      </c>
    </row>
    <row r="1950" spans="1:36" ht="12.75" customHeight="1">
      <c r="A1950" s="94">
        <v>42655</v>
      </c>
      <c r="B1950" s="358" t="s">
        <v>175</v>
      </c>
      <c r="C1950" s="92" t="s">
        <v>299</v>
      </c>
      <c r="D1950" s="93"/>
      <c r="F1950" s="93"/>
      <c r="G1950" s="95">
        <v>2925000</v>
      </c>
      <c r="H1950" s="93"/>
      <c r="I1950" s="93"/>
      <c r="K1950" s="93"/>
      <c r="L1950" s="93">
        <f t="shared" si="263"/>
        <v>2925000</v>
      </c>
      <c r="M1950" s="95" t="e">
        <f t="shared" ca="1" si="264"/>
        <v>#DIV/0!</v>
      </c>
      <c r="N1950" s="95">
        <f>IF(P1950="Hedge Fund",IF(A1950=Summary!$AD$3,M1950-E1950,M1950),IF(A1950=Summary!$AD$3,L1950-D1950,L1950))</f>
        <v>2925000</v>
      </c>
      <c r="O1950" s="95">
        <f t="shared" si="268"/>
        <v>2925000</v>
      </c>
      <c r="P1950" s="89" t="s">
        <v>155</v>
      </c>
      <c r="Q1950" s="95">
        <v>0</v>
      </c>
      <c r="R1950" s="95">
        <v>0</v>
      </c>
      <c r="S1950" s="95"/>
      <c r="T1950" s="95"/>
      <c r="U1950" s="95"/>
      <c r="V1950" s="95"/>
      <c r="W1950" s="95"/>
      <c r="X1950" s="95"/>
      <c r="Y1950" s="95"/>
      <c r="Z1950" s="95"/>
      <c r="AA1950" s="95"/>
      <c r="AB1950" s="95"/>
      <c r="AC1950" s="355"/>
      <c r="AD1950" s="355"/>
      <c r="AE1950" s="355"/>
      <c r="AF1950" s="94">
        <f t="shared" si="265"/>
        <v>42655</v>
      </c>
      <c r="AG1950" s="185">
        <f t="shared" si="269"/>
        <v>-1.4363401474716921</v>
      </c>
      <c r="AH1950" s="339" t="str">
        <f>VLOOKUP(B1950,'MF PF'!A:B,2)</f>
        <v>FdMgt1</v>
      </c>
      <c r="AI1950" s="358">
        <f t="shared" si="266"/>
        <v>0</v>
      </c>
      <c r="AJ1950" s="94">
        <f t="shared" si="267"/>
        <v>42674</v>
      </c>
    </row>
    <row r="1951" spans="1:36" ht="12.75" customHeight="1">
      <c r="A1951" s="8">
        <v>42667</v>
      </c>
      <c r="B1951" s="358" t="s">
        <v>175</v>
      </c>
      <c r="C1951" s="92" t="s">
        <v>299</v>
      </c>
      <c r="D1951" s="93"/>
      <c r="F1951" s="93"/>
      <c r="G1951" s="95">
        <v>2190000</v>
      </c>
      <c r="H1951" s="93"/>
      <c r="I1951" s="93"/>
      <c r="K1951" s="93"/>
      <c r="L1951" s="93">
        <f t="shared" si="263"/>
        <v>2190000</v>
      </c>
      <c r="M1951" s="95" t="e">
        <f t="shared" ca="1" si="264"/>
        <v>#DIV/0!</v>
      </c>
      <c r="N1951" s="95">
        <f>IF(P1951="Hedge Fund",IF(A1951=Summary!$AD$3,M1951-E1951,M1951),IF(A1951=Summary!$AD$3,L1951-D1951,L1951))</f>
        <v>2190000</v>
      </c>
      <c r="O1951" s="95">
        <f t="shared" si="268"/>
        <v>2190000</v>
      </c>
      <c r="P1951" s="89" t="s">
        <v>155</v>
      </c>
      <c r="Q1951" s="95">
        <v>0</v>
      </c>
      <c r="R1951" s="95">
        <v>0</v>
      </c>
      <c r="S1951" s="95"/>
      <c r="T1951" s="95"/>
      <c r="U1951" s="95"/>
      <c r="V1951" s="95"/>
      <c r="W1951" s="95"/>
      <c r="X1951" s="95"/>
      <c r="Y1951" s="95"/>
      <c r="Z1951" s="95"/>
      <c r="AA1951" s="95"/>
      <c r="AB1951" s="95"/>
      <c r="AC1951" s="355"/>
      <c r="AD1951" s="355"/>
      <c r="AE1951" s="355"/>
      <c r="AF1951" s="94">
        <f t="shared" si="265"/>
        <v>42667</v>
      </c>
      <c r="AG1951" s="185" t="e">
        <f t="shared" si="269"/>
        <v>#DIV/0!</v>
      </c>
      <c r="AH1951" s="339" t="str">
        <f>VLOOKUP(B1951,'MF PF'!A:B,2)</f>
        <v>FdMgt1</v>
      </c>
      <c r="AI1951" s="358">
        <f t="shared" si="266"/>
        <v>0</v>
      </c>
      <c r="AJ1951" s="94">
        <f t="shared" si="267"/>
        <v>42674</v>
      </c>
    </row>
    <row r="1952" spans="1:36" ht="12.75" customHeight="1">
      <c r="A1952" s="8">
        <v>42674</v>
      </c>
      <c r="B1952" s="358" t="s">
        <v>175</v>
      </c>
      <c r="C1952" s="92" t="s">
        <v>299</v>
      </c>
      <c r="D1952" s="93">
        <v>12250631.060000001</v>
      </c>
      <c r="F1952" s="93"/>
      <c r="G1952" s="95"/>
      <c r="H1952" s="93"/>
      <c r="I1952" s="93"/>
      <c r="K1952" s="93"/>
      <c r="L1952" s="93">
        <f t="shared" si="263"/>
        <v>0</v>
      </c>
      <c r="M1952" s="95" t="e">
        <f t="shared" ca="1" si="264"/>
        <v>#DIV/0!</v>
      </c>
      <c r="N1952" s="95">
        <f>IF(P1952="Hedge Fund",IF(A1952=Summary!$AD$3,M1952-E1952,M1952),IF(A1952=Summary!$AD$3,L1952-D1952,L1952))</f>
        <v>0</v>
      </c>
      <c r="O1952" s="95">
        <f t="shared" si="268"/>
        <v>0</v>
      </c>
      <c r="P1952" s="89" t="s">
        <v>155</v>
      </c>
      <c r="Q1952" s="95">
        <v>1.5738040000000002E-2</v>
      </c>
      <c r="R1952" s="95">
        <v>0.12099372</v>
      </c>
      <c r="S1952" s="95"/>
      <c r="T1952" s="95"/>
      <c r="U1952" s="95"/>
      <c r="V1952" s="95"/>
      <c r="W1952" s="95"/>
      <c r="X1952" s="95"/>
      <c r="Y1952" s="95"/>
      <c r="Z1952" s="95"/>
      <c r="AA1952" s="95"/>
      <c r="AB1952" s="95"/>
      <c r="AC1952" s="355"/>
      <c r="AD1952" s="355"/>
      <c r="AE1952" s="355"/>
      <c r="AF1952" s="94">
        <f t="shared" si="265"/>
        <v>42674</v>
      </c>
      <c r="AG1952" s="185" t="e">
        <f t="shared" si="269"/>
        <v>#DIV/0!</v>
      </c>
      <c r="AH1952" s="339" t="str">
        <f>VLOOKUP(B1952,'MF PF'!A:B,2)</f>
        <v>FdMgt1</v>
      </c>
      <c r="AI1952" s="358">
        <f t="shared" si="266"/>
        <v>0</v>
      </c>
      <c r="AJ1952" s="94">
        <f t="shared" si="267"/>
        <v>42674</v>
      </c>
    </row>
    <row r="1953" spans="1:36" ht="12.75" customHeight="1">
      <c r="A1953" s="8">
        <v>42695</v>
      </c>
      <c r="B1953" s="358" t="s">
        <v>175</v>
      </c>
      <c r="C1953" s="92" t="s">
        <v>299</v>
      </c>
      <c r="D1953" s="93"/>
      <c r="F1953" s="93"/>
      <c r="G1953" s="358"/>
      <c r="H1953" s="93"/>
      <c r="I1953" s="95">
        <f>-6238035*0</f>
        <v>0</v>
      </c>
      <c r="K1953" s="93"/>
      <c r="L1953" s="93">
        <f t="shared" si="263"/>
        <v>0</v>
      </c>
      <c r="M1953" s="95" t="e">
        <f t="shared" ca="1" si="264"/>
        <v>#DIV/0!</v>
      </c>
      <c r="N1953" s="95">
        <f>IF(P1953="Hedge Fund",IF(A1953=Summary!$AD$3,M1953-E1953,M1953),IF(A1953=Summary!$AD$3,L1953-D1953,L1953))</f>
        <v>0</v>
      </c>
      <c r="O1953" s="95">
        <f t="shared" si="268"/>
        <v>0</v>
      </c>
      <c r="P1953" s="89" t="s">
        <v>155</v>
      </c>
      <c r="Q1953" s="95">
        <v>0</v>
      </c>
      <c r="R1953" s="95">
        <v>0</v>
      </c>
      <c r="S1953" s="95"/>
      <c r="T1953" s="95"/>
      <c r="U1953" s="95"/>
      <c r="V1953" s="95"/>
      <c r="W1953" s="95"/>
      <c r="X1953" s="95"/>
      <c r="Y1953" s="95"/>
      <c r="Z1953" s="95"/>
      <c r="AA1953" s="95"/>
      <c r="AB1953" s="95"/>
      <c r="AC1953" s="355"/>
      <c r="AD1953" s="355"/>
      <c r="AE1953" s="355"/>
      <c r="AF1953" s="94">
        <f t="shared" si="265"/>
        <v>42695</v>
      </c>
      <c r="AG1953" s="185">
        <f t="shared" si="269"/>
        <v>-1</v>
      </c>
      <c r="AH1953" s="339" t="str">
        <f>VLOOKUP(B1953,'MF PF'!A:B,2)</f>
        <v>FdMgt1</v>
      </c>
      <c r="AI1953" s="358">
        <f t="shared" si="266"/>
        <v>0</v>
      </c>
      <c r="AJ1953" s="94">
        <f t="shared" si="267"/>
        <v>42704</v>
      </c>
    </row>
    <row r="1954" spans="1:36" ht="12.75" customHeight="1">
      <c r="A1954" s="8">
        <v>42695</v>
      </c>
      <c r="B1954" s="358" t="s">
        <v>175</v>
      </c>
      <c r="C1954" s="92" t="s">
        <v>299</v>
      </c>
      <c r="D1954" s="93"/>
      <c r="F1954" s="93"/>
      <c r="G1954" s="95">
        <f>1020000*0</f>
        <v>0</v>
      </c>
      <c r="H1954" s="93"/>
      <c r="I1954" s="93"/>
      <c r="K1954" s="93"/>
      <c r="L1954" s="93">
        <f t="shared" si="263"/>
        <v>0</v>
      </c>
      <c r="M1954" s="95">
        <f t="shared" ca="1" si="264"/>
        <v>0</v>
      </c>
      <c r="N1954" s="95">
        <f>IF(P1954="Hedge Fund",IF(A1954=Summary!$AD$3,M1954-E1954,M1954),IF(A1954=Summary!$AD$3,L1954-D1954,L1954))</f>
        <v>0</v>
      </c>
      <c r="O1954" s="95">
        <f t="shared" si="268"/>
        <v>0</v>
      </c>
      <c r="P1954" s="89" t="s">
        <v>155</v>
      </c>
      <c r="Q1954" s="95">
        <v>0</v>
      </c>
      <c r="R1954" s="95">
        <v>0</v>
      </c>
      <c r="S1954" s="95"/>
      <c r="T1954" s="95"/>
      <c r="U1954" s="95"/>
      <c r="V1954" s="95"/>
      <c r="W1954" s="95"/>
      <c r="X1954" s="95"/>
      <c r="Y1954" s="95"/>
      <c r="Z1954" s="95"/>
      <c r="AA1954" s="95"/>
      <c r="AB1954" s="95"/>
      <c r="AC1954" s="355"/>
      <c r="AD1954" s="355"/>
      <c r="AE1954" s="355"/>
      <c r="AF1954" s="94">
        <f t="shared" si="265"/>
        <v>42695</v>
      </c>
      <c r="AG1954" s="185" t="e">
        <f t="shared" si="269"/>
        <v>#DIV/0!</v>
      </c>
      <c r="AH1954" s="339" t="str">
        <f>VLOOKUP(B1954,'MF PF'!A:B,2)</f>
        <v>FdMgt1</v>
      </c>
      <c r="AI1954" s="358">
        <f t="shared" si="266"/>
        <v>0</v>
      </c>
      <c r="AJ1954" s="94">
        <f t="shared" si="267"/>
        <v>42704</v>
      </c>
    </row>
    <row r="1955" spans="1:36" ht="12.75" customHeight="1">
      <c r="A1955" s="94">
        <v>42703</v>
      </c>
      <c r="B1955" s="358" t="s">
        <v>175</v>
      </c>
      <c r="C1955" s="92" t="s">
        <v>299</v>
      </c>
      <c r="D1955" s="93"/>
      <c r="F1955" s="93"/>
      <c r="G1955" s="95">
        <f>2415000*0</f>
        <v>0</v>
      </c>
      <c r="H1955" s="93"/>
      <c r="I1955" s="93"/>
      <c r="K1955" s="93"/>
      <c r="L1955" s="93">
        <f t="shared" si="263"/>
        <v>0</v>
      </c>
      <c r="M1955" s="95" t="e">
        <f t="shared" ca="1" si="264"/>
        <v>#DIV/0!</v>
      </c>
      <c r="N1955" s="95">
        <f>IF(P1955="Hedge Fund",IF(A1955=Summary!$AD$3,M1955-E1955,M1955),IF(A1955=Summary!$AD$3,L1955-D1955,L1955))</f>
        <v>0</v>
      </c>
      <c r="O1955" s="95">
        <f t="shared" si="268"/>
        <v>0</v>
      </c>
      <c r="P1955" s="89" t="s">
        <v>155</v>
      </c>
      <c r="Q1955" s="95">
        <v>0</v>
      </c>
      <c r="R1955" s="95">
        <v>0</v>
      </c>
      <c r="S1955" s="95"/>
      <c r="T1955" s="95"/>
      <c r="U1955" s="95"/>
      <c r="V1955" s="95"/>
      <c r="W1955" s="95"/>
      <c r="X1955" s="95"/>
      <c r="Y1955" s="95"/>
      <c r="Z1955" s="95"/>
      <c r="AA1955" s="95"/>
      <c r="AB1955" s="95"/>
      <c r="AC1955" s="355"/>
      <c r="AD1955" s="355"/>
      <c r="AE1955" s="355"/>
      <c r="AF1955" s="94">
        <f t="shared" si="265"/>
        <v>42703</v>
      </c>
      <c r="AG1955" s="185" t="e">
        <f t="shared" si="269"/>
        <v>#DIV/0!</v>
      </c>
      <c r="AH1955" s="339" t="str">
        <f>VLOOKUP(B1955,'MF PF'!A:B,2)</f>
        <v>FdMgt1</v>
      </c>
      <c r="AI1955" s="358">
        <f t="shared" si="266"/>
        <v>0</v>
      </c>
      <c r="AJ1955" s="94">
        <f t="shared" si="267"/>
        <v>42704</v>
      </c>
    </row>
    <row r="1956" spans="1:36" ht="12.75" customHeight="1">
      <c r="A1956" s="8">
        <v>42704</v>
      </c>
      <c r="B1956" s="358" t="s">
        <v>175</v>
      </c>
      <c r="C1956" s="92" t="s">
        <v>299</v>
      </c>
      <c r="D1956" s="93">
        <v>9492634.9199999999</v>
      </c>
      <c r="F1956" s="93"/>
      <c r="G1956" s="95"/>
      <c r="H1956" s="93"/>
      <c r="I1956" s="93"/>
      <c r="K1956" s="93"/>
      <c r="L1956" s="93">
        <f t="shared" si="263"/>
        <v>0</v>
      </c>
      <c r="M1956" s="95" t="e">
        <f t="shared" ca="1" si="264"/>
        <v>#DIV/0!</v>
      </c>
      <c r="N1956" s="95">
        <f>IF(P1956="Hedge Fund",IF(A1956=Summary!$AD$3,M1956-E1956,M1956),IF(A1956=Summary!$AD$3,L1956-D1956,L1956))</f>
        <v>0</v>
      </c>
      <c r="O1956" s="95">
        <f t="shared" si="268"/>
        <v>0</v>
      </c>
      <c r="P1956" s="89" t="s">
        <v>155</v>
      </c>
      <c r="Q1956" s="95">
        <v>2.411423E-2</v>
      </c>
      <c r="R1956" s="95">
        <v>0.12894174999999999</v>
      </c>
      <c r="S1956" s="95"/>
      <c r="T1956" s="95"/>
      <c r="U1956" s="95"/>
      <c r="V1956" s="95"/>
      <c r="W1956" s="95"/>
      <c r="X1956" s="95"/>
      <c r="Y1956" s="95"/>
      <c r="Z1956" s="95"/>
      <c r="AA1956" s="95"/>
      <c r="AB1956" s="95"/>
      <c r="AC1956" s="355"/>
      <c r="AD1956" s="355"/>
      <c r="AE1956" s="355"/>
      <c r="AF1956" s="94">
        <f t="shared" si="265"/>
        <v>42704</v>
      </c>
      <c r="AG1956" s="185" t="e">
        <f t="shared" si="269"/>
        <v>#DIV/0!</v>
      </c>
      <c r="AH1956" s="339" t="str">
        <f>VLOOKUP(B1956,'MF PF'!A:B,2)</f>
        <v>FdMgt1</v>
      </c>
      <c r="AI1956" s="358">
        <f t="shared" si="266"/>
        <v>0</v>
      </c>
      <c r="AJ1956" s="94">
        <f t="shared" si="267"/>
        <v>42704</v>
      </c>
    </row>
    <row r="1957" spans="1:36" ht="12.75" customHeight="1">
      <c r="A1957" s="94">
        <v>42735</v>
      </c>
      <c r="B1957" s="358" t="s">
        <v>175</v>
      </c>
      <c r="C1957" s="92" t="s">
        <v>299</v>
      </c>
      <c r="D1957" s="93">
        <v>9388408.1400000006</v>
      </c>
      <c r="F1957" s="93"/>
      <c r="G1957" s="95"/>
      <c r="H1957" s="93"/>
      <c r="I1957" s="93"/>
      <c r="K1957" s="93"/>
      <c r="L1957" s="93">
        <f t="shared" si="263"/>
        <v>0</v>
      </c>
      <c r="M1957" s="95" t="e">
        <f t="shared" ca="1" si="264"/>
        <v>#DIV/0!</v>
      </c>
      <c r="N1957" s="95">
        <f>IF(P1957="Hedge Fund",IF(A1957=Summary!$AD$3,M1957-E1957,M1957),IF(A1957=Summary!$AD$3,L1957-D1957,L1957))</f>
        <v>0</v>
      </c>
      <c r="O1957" s="95">
        <f t="shared" si="268"/>
        <v>0</v>
      </c>
      <c r="P1957" s="89" t="s">
        <v>155</v>
      </c>
      <c r="Q1957" s="95">
        <v>4.06573E-2</v>
      </c>
      <c r="R1957" s="95">
        <v>0.11054878999999999</v>
      </c>
      <c r="S1957" s="95"/>
      <c r="T1957" s="95"/>
      <c r="U1957" s="95"/>
      <c r="V1957" s="95"/>
      <c r="W1957" s="95"/>
      <c r="X1957" s="95"/>
      <c r="Y1957" s="95"/>
      <c r="Z1957" s="95"/>
      <c r="AA1957" s="95"/>
      <c r="AB1957" s="95"/>
      <c r="AC1957" s="355"/>
      <c r="AD1957" s="355"/>
      <c r="AE1957" s="355"/>
      <c r="AF1957" s="94">
        <f t="shared" si="265"/>
        <v>42735</v>
      </c>
      <c r="AG1957" s="185">
        <f t="shared" si="269"/>
        <v>-1.0979752289894118E-2</v>
      </c>
      <c r="AH1957" s="339" t="str">
        <f>VLOOKUP(B1957,'MF PF'!A:B,2)</f>
        <v>FdMgt1</v>
      </c>
      <c r="AI1957" s="358">
        <f t="shared" si="266"/>
        <v>0</v>
      </c>
      <c r="AJ1957" s="94">
        <f t="shared" si="267"/>
        <v>42735</v>
      </c>
    </row>
    <row r="1958" spans="1:36" ht="12.75" customHeight="1">
      <c r="A1958" s="8">
        <v>42766</v>
      </c>
      <c r="B1958" s="358" t="s">
        <v>175</v>
      </c>
      <c r="C1958" s="92" t="s">
        <v>299</v>
      </c>
      <c r="D1958" s="93">
        <v>9589391.3000000007</v>
      </c>
      <c r="F1958" s="93"/>
      <c r="G1958" s="95"/>
      <c r="H1958" s="93"/>
      <c r="I1958" s="93"/>
      <c r="K1958" s="93"/>
      <c r="L1958" s="93">
        <f t="shared" si="263"/>
        <v>0</v>
      </c>
      <c r="M1958" s="95" t="e">
        <f t="shared" ca="1" si="264"/>
        <v>#DIV/0!</v>
      </c>
      <c r="N1958" s="95">
        <f>IF(P1958="Hedge Fund",IF(A1958=Summary!$AD$3,M1958-E1958,M1958),IF(A1958=Summary!$AD$3,L1958-D1958,L1958))</f>
        <v>0</v>
      </c>
      <c r="O1958" s="95">
        <f t="shared" si="268"/>
        <v>0</v>
      </c>
      <c r="P1958" s="89" t="s">
        <v>155</v>
      </c>
      <c r="Q1958" s="95">
        <v>5.239949E-2</v>
      </c>
      <c r="R1958" s="95">
        <v>0.14601641000000001</v>
      </c>
      <c r="S1958" s="95"/>
      <c r="T1958" s="95"/>
      <c r="U1958" s="95"/>
      <c r="V1958" s="95"/>
      <c r="W1958" s="95"/>
      <c r="X1958" s="95"/>
      <c r="Y1958" s="95"/>
      <c r="Z1958" s="95"/>
      <c r="AA1958" s="95"/>
      <c r="AB1958" s="95"/>
      <c r="AC1958" s="355"/>
      <c r="AD1958" s="355"/>
      <c r="AE1958" s="355"/>
      <c r="AF1958" s="94">
        <f t="shared" si="265"/>
        <v>42766</v>
      </c>
      <c r="AG1958" s="185">
        <f t="shared" si="269"/>
        <v>2.140758656877062E-2</v>
      </c>
      <c r="AH1958" s="339" t="str">
        <f>VLOOKUP(B1958,'MF PF'!A:B,2)</f>
        <v>FdMgt1</v>
      </c>
      <c r="AI1958" s="358">
        <f t="shared" si="266"/>
        <v>0</v>
      </c>
      <c r="AJ1958" s="94">
        <f t="shared" si="267"/>
        <v>42766</v>
      </c>
    </row>
    <row r="1959" spans="1:36" ht="12.75" customHeight="1">
      <c r="A1959" s="8">
        <v>42793</v>
      </c>
      <c r="B1959" s="358" t="s">
        <v>175</v>
      </c>
      <c r="C1959" s="92" t="s">
        <v>299</v>
      </c>
      <c r="D1959" s="93"/>
      <c r="F1959" s="93"/>
      <c r="G1959" s="95">
        <f>1410000*0</f>
        <v>0</v>
      </c>
      <c r="H1959" s="93"/>
      <c r="I1959" s="93"/>
      <c r="K1959" s="93"/>
      <c r="L1959" s="93">
        <f t="shared" si="263"/>
        <v>0</v>
      </c>
      <c r="M1959" s="95" t="e">
        <f t="shared" ca="1" si="264"/>
        <v>#DIV/0!</v>
      </c>
      <c r="N1959" s="95">
        <f>IF(P1959="Hedge Fund",IF(A1959=Summary!$AD$3,M1959-E1959,M1959),IF(A1959=Summary!$AD$3,L1959-D1959,L1959))</f>
        <v>0</v>
      </c>
      <c r="O1959" s="95">
        <f t="shared" si="268"/>
        <v>0</v>
      </c>
      <c r="P1959" s="89" t="s">
        <v>155</v>
      </c>
      <c r="Q1959" s="95">
        <v>0</v>
      </c>
      <c r="R1959" s="95">
        <v>0</v>
      </c>
      <c r="S1959" s="95"/>
      <c r="T1959" s="95"/>
      <c r="U1959" s="95"/>
      <c r="V1959" s="95"/>
      <c r="W1959" s="95"/>
      <c r="X1959" s="95"/>
      <c r="Y1959" s="95"/>
      <c r="Z1959" s="95"/>
      <c r="AA1959" s="95"/>
      <c r="AB1959" s="95"/>
      <c r="AC1959" s="355"/>
      <c r="AD1959" s="355"/>
      <c r="AE1959" s="355"/>
      <c r="AF1959" s="94">
        <f t="shared" si="265"/>
        <v>42793</v>
      </c>
      <c r="AG1959" s="185">
        <f t="shared" si="269"/>
        <v>-1</v>
      </c>
      <c r="AH1959" s="339" t="str">
        <f>VLOOKUP(B1959,'MF PF'!A:B,2)</f>
        <v>FdMgt1</v>
      </c>
      <c r="AI1959" s="358">
        <f t="shared" si="266"/>
        <v>0</v>
      </c>
      <c r="AJ1959" s="94">
        <f t="shared" si="267"/>
        <v>42794</v>
      </c>
    </row>
    <row r="1960" spans="1:36" ht="12.75" customHeight="1">
      <c r="A1960" s="94">
        <v>42794</v>
      </c>
      <c r="B1960" s="358" t="s">
        <v>175</v>
      </c>
      <c r="C1960" s="92" t="s">
        <v>299</v>
      </c>
      <c r="D1960" s="93">
        <v>10259522.17</v>
      </c>
      <c r="F1960" s="93"/>
      <c r="G1960" s="95"/>
      <c r="H1960" s="93"/>
      <c r="I1960" s="93"/>
      <c r="K1960" s="93"/>
      <c r="L1960" s="93">
        <f t="shared" si="263"/>
        <v>0</v>
      </c>
      <c r="M1960" s="95" t="e">
        <f t="shared" ca="1" si="264"/>
        <v>#DIV/0!</v>
      </c>
      <c r="N1960" s="95">
        <f>IF(P1960="Hedge Fund",IF(A1960=Summary!$AD$3,M1960-E1960,M1960),IF(A1960=Summary!$AD$3,L1960-D1960,L1960))</f>
        <v>0</v>
      </c>
      <c r="O1960" s="95">
        <f t="shared" si="268"/>
        <v>0</v>
      </c>
      <c r="P1960" s="89" t="s">
        <v>155</v>
      </c>
      <c r="Q1960" s="95">
        <v>4.7526260000000001E-2</v>
      </c>
      <c r="R1960" s="95">
        <v>1.132294E-2</v>
      </c>
      <c r="S1960" s="95"/>
      <c r="T1960" s="95"/>
      <c r="U1960" s="95"/>
      <c r="V1960" s="95"/>
      <c r="W1960" s="95"/>
      <c r="X1960" s="95"/>
      <c r="Y1960" s="95"/>
      <c r="Z1960" s="95"/>
      <c r="AA1960" s="95"/>
      <c r="AB1960" s="95"/>
      <c r="AC1960" s="355"/>
      <c r="AD1960" s="355"/>
      <c r="AE1960" s="355"/>
      <c r="AF1960" s="94">
        <f t="shared" si="265"/>
        <v>42794</v>
      </c>
      <c r="AG1960" s="185" t="e">
        <f t="shared" si="269"/>
        <v>#DIV/0!</v>
      </c>
      <c r="AH1960" s="339" t="str">
        <f>VLOOKUP(B1960,'MF PF'!A:B,2)</f>
        <v>FdMgt1</v>
      </c>
      <c r="AI1960" s="358">
        <f t="shared" si="266"/>
        <v>0</v>
      </c>
      <c r="AJ1960" s="94">
        <f t="shared" si="267"/>
        <v>42794</v>
      </c>
    </row>
    <row r="1961" spans="1:36" ht="12.75" customHeight="1">
      <c r="A1961" s="94">
        <v>42825</v>
      </c>
      <c r="B1961" s="358" t="s">
        <v>175</v>
      </c>
      <c r="C1961" s="92" t="s">
        <v>299</v>
      </c>
      <c r="D1961" s="93">
        <v>11041112.789999999</v>
      </c>
      <c r="F1961" s="93"/>
      <c r="G1961" s="95"/>
      <c r="H1961" s="93"/>
      <c r="I1961" s="93"/>
      <c r="K1961" s="93"/>
      <c r="L1961" s="93">
        <f t="shared" si="263"/>
        <v>0</v>
      </c>
      <c r="M1961" s="95" t="e">
        <f t="shared" ca="1" si="264"/>
        <v>#DIV/0!</v>
      </c>
      <c r="N1961" s="95">
        <f>IF(P1961="Hedge Fund",IF(A1961=Summary!$AD$3,M1961-E1961,M1961),IF(A1961=Summary!$AD$3,L1961-D1961,L1961))</f>
        <v>0</v>
      </c>
      <c r="O1961" s="95">
        <f t="shared" si="268"/>
        <v>0</v>
      </c>
      <c r="P1961" s="89" t="s">
        <v>155</v>
      </c>
      <c r="Q1961" s="95">
        <v>8.1788520000000003E-2</v>
      </c>
      <c r="R1961" s="95">
        <v>0.15337901999999998</v>
      </c>
      <c r="S1961" s="95"/>
      <c r="T1961" s="95"/>
      <c r="U1961" s="95"/>
      <c r="V1961" s="95"/>
      <c r="W1961" s="95"/>
      <c r="X1961" s="95"/>
      <c r="Y1961" s="95"/>
      <c r="Z1961" s="95"/>
      <c r="AA1961" s="95"/>
      <c r="AB1961" s="95"/>
      <c r="AC1961" s="355"/>
      <c r="AD1961" s="355"/>
      <c r="AE1961" s="355"/>
      <c r="AF1961" s="94">
        <f t="shared" si="265"/>
        <v>42825</v>
      </c>
      <c r="AG1961" s="185">
        <f t="shared" si="269"/>
        <v>7.6181970958204781E-2</v>
      </c>
      <c r="AH1961" s="339" t="str">
        <f>VLOOKUP(B1961,'MF PF'!A:B,2)</f>
        <v>FdMgt1</v>
      </c>
      <c r="AI1961" s="358">
        <f t="shared" si="266"/>
        <v>0</v>
      </c>
      <c r="AJ1961" s="94">
        <f t="shared" si="267"/>
        <v>42825</v>
      </c>
    </row>
    <row r="1962" spans="1:36" ht="12.75" customHeight="1">
      <c r="A1962" s="94">
        <v>42835</v>
      </c>
      <c r="B1962" s="358" t="s">
        <v>175</v>
      </c>
      <c r="C1962" s="92" t="s">
        <v>299</v>
      </c>
      <c r="D1962" s="93"/>
      <c r="F1962" s="93"/>
      <c r="G1962" s="95">
        <f>1620000*0+226965</f>
        <v>226965</v>
      </c>
      <c r="H1962" s="93"/>
      <c r="I1962" s="93"/>
      <c r="K1962" s="93"/>
      <c r="L1962" s="93">
        <f t="shared" si="263"/>
        <v>226965</v>
      </c>
      <c r="M1962" s="95" t="e">
        <f t="shared" ca="1" si="264"/>
        <v>#DIV/0!</v>
      </c>
      <c r="N1962" s="95">
        <f>IF(P1962="Hedge Fund",IF(A1962=Summary!$AD$3,M1962-E1962,M1962),IF(A1962=Summary!$AD$3,L1962-D1962,L1962))</f>
        <v>226965</v>
      </c>
      <c r="O1962" s="95">
        <f t="shared" si="268"/>
        <v>226965</v>
      </c>
      <c r="P1962" s="89" t="s">
        <v>155</v>
      </c>
      <c r="Q1962" s="95">
        <v>0</v>
      </c>
      <c r="R1962" s="95">
        <v>0</v>
      </c>
      <c r="S1962" s="95"/>
      <c r="T1962" s="95"/>
      <c r="U1962" s="95"/>
      <c r="V1962" s="95"/>
      <c r="W1962" s="95"/>
      <c r="X1962" s="95"/>
      <c r="Y1962" s="95"/>
      <c r="Z1962" s="95"/>
      <c r="AA1962" s="95"/>
      <c r="AB1962" s="95"/>
      <c r="AC1962" s="355"/>
      <c r="AD1962" s="355"/>
      <c r="AE1962" s="355"/>
      <c r="AF1962" s="94">
        <f t="shared" si="265"/>
        <v>42835</v>
      </c>
      <c r="AG1962" s="185">
        <f t="shared" si="269"/>
        <v>-1.0205563519109744</v>
      </c>
      <c r="AH1962" s="339" t="str">
        <f>VLOOKUP(B1962,'MF PF'!A:B,2)</f>
        <v>FdMgt1</v>
      </c>
      <c r="AI1962" s="358">
        <f t="shared" si="266"/>
        <v>0</v>
      </c>
      <c r="AJ1962" s="94">
        <f t="shared" si="267"/>
        <v>42855</v>
      </c>
    </row>
    <row r="1963" spans="1:36" ht="12.75" customHeight="1">
      <c r="A1963" s="94">
        <v>42855</v>
      </c>
      <c r="B1963" s="358" t="s">
        <v>175</v>
      </c>
      <c r="C1963" s="358" t="s">
        <v>299</v>
      </c>
      <c r="D1963" s="93">
        <v>12739274.27</v>
      </c>
      <c r="F1963" s="93"/>
      <c r="G1963" s="95"/>
      <c r="H1963" s="93"/>
      <c r="I1963" s="93"/>
      <c r="K1963" s="93"/>
      <c r="L1963" s="93">
        <f t="shared" si="263"/>
        <v>0</v>
      </c>
      <c r="M1963" s="95" t="e">
        <f t="shared" ca="1" si="264"/>
        <v>#DIV/0!</v>
      </c>
      <c r="N1963" s="95">
        <f>IF(P1963="Hedge Fund",IF(A1963=Summary!$AD$3,M1963-E1963,M1963),IF(A1963=Summary!$AD$3,L1963-D1963,L1963))</f>
        <v>0</v>
      </c>
      <c r="O1963" s="95">
        <f t="shared" si="268"/>
        <v>0</v>
      </c>
      <c r="P1963" s="89" t="s">
        <v>155</v>
      </c>
      <c r="Q1963" s="95">
        <v>8.8139999999999996E-2</v>
      </c>
      <c r="R1963" s="95">
        <v>0.16717222000000001</v>
      </c>
      <c r="S1963" s="95"/>
      <c r="T1963" s="95"/>
      <c r="U1963" s="95"/>
      <c r="V1963" s="95"/>
      <c r="W1963" s="95"/>
      <c r="X1963" s="95"/>
      <c r="Y1963" s="95"/>
      <c r="Z1963" s="95"/>
      <c r="AA1963" s="95"/>
      <c r="AB1963" s="95"/>
      <c r="AC1963" s="355"/>
      <c r="AD1963" s="355"/>
      <c r="AE1963" s="355"/>
      <c r="AF1963" s="94">
        <f t="shared" si="265"/>
        <v>42855</v>
      </c>
      <c r="AG1963" s="185" t="e">
        <f t="shared" si="269"/>
        <v>#DIV/0!</v>
      </c>
      <c r="AH1963" s="339" t="str">
        <f>VLOOKUP(B1963,'MF PF'!A:B,2)</f>
        <v>FdMgt1</v>
      </c>
      <c r="AI1963" s="358">
        <f t="shared" si="266"/>
        <v>0</v>
      </c>
      <c r="AJ1963" s="94">
        <f t="shared" si="267"/>
        <v>42855</v>
      </c>
    </row>
    <row r="1964" spans="1:36" ht="12.75" customHeight="1">
      <c r="A1964" s="8">
        <v>42881</v>
      </c>
      <c r="B1964" s="358" t="s">
        <v>175</v>
      </c>
      <c r="C1964" s="92" t="s">
        <v>299</v>
      </c>
      <c r="D1964" s="93"/>
      <c r="F1964" s="93"/>
      <c r="G1964" s="95">
        <v>3208035</v>
      </c>
      <c r="H1964" s="93"/>
      <c r="I1964" s="93"/>
      <c r="K1964" s="93"/>
      <c r="L1964" s="93">
        <f t="shared" si="263"/>
        <v>3208035</v>
      </c>
      <c r="M1964" s="95" t="e">
        <f t="shared" ca="1" si="264"/>
        <v>#DIV/0!</v>
      </c>
      <c r="N1964" s="95">
        <f>IF(P1964="Hedge Fund",IF(A1964=Summary!$AD$3,M1964-E1964,M1964),IF(A1964=Summary!$AD$3,L1964-D1964,L1964))</f>
        <v>3208035</v>
      </c>
      <c r="O1964" s="95">
        <f t="shared" si="268"/>
        <v>3208035</v>
      </c>
      <c r="P1964" s="89" t="s">
        <v>155</v>
      </c>
      <c r="Q1964" s="95">
        <v>0</v>
      </c>
      <c r="R1964" s="95">
        <v>0</v>
      </c>
      <c r="S1964" s="95"/>
      <c r="T1964" s="95"/>
      <c r="U1964" s="95"/>
      <c r="V1964" s="95"/>
      <c r="W1964" s="95"/>
      <c r="X1964" s="95"/>
      <c r="Y1964" s="95"/>
      <c r="Z1964" s="95"/>
      <c r="AA1964" s="95"/>
      <c r="AB1964" s="95"/>
      <c r="AC1964" s="355"/>
      <c r="AD1964" s="355"/>
      <c r="AE1964" s="355"/>
      <c r="AF1964" s="94">
        <f t="shared" si="265"/>
        <v>42881</v>
      </c>
      <c r="AG1964" s="185">
        <f t="shared" si="269"/>
        <v>-1.2518224297560399</v>
      </c>
      <c r="AH1964" s="339" t="str">
        <f>VLOOKUP(B1964,'MF PF'!A:B,2)</f>
        <v>FdMgt1</v>
      </c>
      <c r="AI1964" s="358">
        <f t="shared" si="266"/>
        <v>0</v>
      </c>
      <c r="AJ1964" s="94">
        <f t="shared" si="267"/>
        <v>42886</v>
      </c>
    </row>
    <row r="1965" spans="1:36" ht="12.75" customHeight="1">
      <c r="A1965" s="94">
        <v>42886</v>
      </c>
      <c r="B1965" s="358" t="s">
        <v>175</v>
      </c>
      <c r="C1965" s="92" t="s">
        <v>299</v>
      </c>
      <c r="D1965" s="93">
        <v>15571437.140000001</v>
      </c>
      <c r="F1965" s="93"/>
      <c r="G1965" s="95"/>
      <c r="H1965" s="93"/>
      <c r="I1965" s="93"/>
      <c r="K1965" s="93"/>
      <c r="L1965" s="93">
        <f t="shared" si="263"/>
        <v>0</v>
      </c>
      <c r="M1965" s="95" t="e">
        <f t="shared" ca="1" si="264"/>
        <v>#DIV/0!</v>
      </c>
      <c r="N1965" s="95">
        <f>IF(P1965="Hedge Fund",IF(A1965=Summary!$AD$3,M1965-E1965,M1965),IF(A1965=Summary!$AD$3,L1965-D1965,L1965))</f>
        <v>0</v>
      </c>
      <c r="O1965" s="95">
        <f t="shared" si="268"/>
        <v>0</v>
      </c>
      <c r="P1965" s="107" t="s">
        <v>155</v>
      </c>
      <c r="Q1965" s="95">
        <v>0.11948458000000001</v>
      </c>
      <c r="R1965" s="95">
        <v>0.10084185000000001</v>
      </c>
      <c r="S1965" s="95"/>
      <c r="T1965" s="95"/>
      <c r="U1965" s="95"/>
      <c r="V1965" s="95"/>
      <c r="W1965" s="95"/>
      <c r="X1965" s="95"/>
      <c r="Y1965" s="95"/>
      <c r="Z1965" s="95"/>
      <c r="AA1965" s="95"/>
      <c r="AB1965" s="95"/>
      <c r="AC1965" s="355"/>
      <c r="AD1965" s="355"/>
      <c r="AE1965" s="355"/>
      <c r="AF1965" s="94">
        <f t="shared" si="265"/>
        <v>42886</v>
      </c>
      <c r="AG1965" s="185" t="e">
        <f t="shared" si="269"/>
        <v>#DIV/0!</v>
      </c>
      <c r="AH1965" s="339" t="str">
        <f>VLOOKUP(B1965,'MF PF'!A:B,2)</f>
        <v>FdMgt1</v>
      </c>
      <c r="AI1965" s="358">
        <f t="shared" si="266"/>
        <v>0</v>
      </c>
      <c r="AJ1965" s="94">
        <f t="shared" si="267"/>
        <v>42886</v>
      </c>
    </row>
    <row r="1966" spans="1:36" ht="12.75" customHeight="1">
      <c r="A1966" s="94">
        <v>42916</v>
      </c>
      <c r="B1966" s="358" t="s">
        <v>175</v>
      </c>
      <c r="C1966" s="92" t="s">
        <v>299</v>
      </c>
      <c r="D1966" s="93">
        <v>15852888.880000001</v>
      </c>
      <c r="F1966" s="93"/>
      <c r="G1966" s="95"/>
      <c r="H1966" s="93"/>
      <c r="I1966" s="93"/>
      <c r="K1966" s="93"/>
      <c r="L1966" s="93">
        <f t="shared" si="263"/>
        <v>0</v>
      </c>
      <c r="M1966" s="95" t="e">
        <f t="shared" ca="1" si="264"/>
        <v>#DIV/0!</v>
      </c>
      <c r="N1966" s="95">
        <f>IF(P1966="Hedge Fund",IF(A1966=Summary!$AD$3,M1966-E1966,M1966),IF(A1966=Summary!$AD$3,L1966-D1966,L1966))</f>
        <v>0</v>
      </c>
      <c r="O1966" s="95">
        <f t="shared" si="268"/>
        <v>0</v>
      </c>
      <c r="P1966" s="107" t="s">
        <v>155</v>
      </c>
      <c r="Q1966" s="95">
        <v>0.14049895000000001</v>
      </c>
      <c r="R1966" s="95">
        <v>0.1505098</v>
      </c>
      <c r="S1966" s="95"/>
      <c r="T1966" s="95"/>
      <c r="U1966" s="95"/>
      <c r="V1966" s="95"/>
      <c r="W1966" s="95"/>
      <c r="X1966" s="95"/>
      <c r="Y1966" s="95"/>
      <c r="Z1966" s="95"/>
      <c r="AA1966" s="95"/>
      <c r="AB1966" s="95"/>
      <c r="AC1966" s="355"/>
      <c r="AD1966" s="355"/>
      <c r="AE1966" s="355"/>
      <c r="AF1966" s="94">
        <f t="shared" si="265"/>
        <v>42916</v>
      </c>
      <c r="AG1966" s="185">
        <f t="shared" si="269"/>
        <v>1.8074872439166612E-2</v>
      </c>
      <c r="AH1966" s="339" t="str">
        <f>VLOOKUP(B1966,'MF PF'!A:B,2)</f>
        <v>FdMgt1</v>
      </c>
      <c r="AI1966" s="358">
        <f t="shared" si="266"/>
        <v>0</v>
      </c>
      <c r="AJ1966" s="94">
        <f t="shared" si="267"/>
        <v>42916</v>
      </c>
    </row>
    <row r="1967" spans="1:36" ht="12.75" customHeight="1">
      <c r="A1967" s="8">
        <v>42947</v>
      </c>
      <c r="B1967" s="358" t="s">
        <v>175</v>
      </c>
      <c r="C1967" s="92" t="s">
        <v>299</v>
      </c>
      <c r="D1967" s="93">
        <v>14354896.08</v>
      </c>
      <c r="F1967" s="93"/>
      <c r="G1967" s="95"/>
      <c r="H1967" s="93"/>
      <c r="I1967" s="93"/>
      <c r="K1967" s="93"/>
      <c r="L1967" s="93">
        <f t="shared" si="263"/>
        <v>0</v>
      </c>
      <c r="M1967" s="95" t="e">
        <f t="shared" ca="1" si="264"/>
        <v>#DIV/0!</v>
      </c>
      <c r="N1967" s="95">
        <f>IF(P1967="Hedge Fund",IF(A1967=Summary!$AD$3,M1967-E1967,M1967),IF(A1967=Summary!$AD$3,L1967-D1967,L1967))</f>
        <v>0</v>
      </c>
      <c r="O1967" s="95">
        <f t="shared" si="268"/>
        <v>0</v>
      </c>
      <c r="P1967" s="107" t="s">
        <v>155</v>
      </c>
      <c r="Q1967" s="95">
        <v>0.14525354000000001</v>
      </c>
      <c r="R1967" s="95">
        <v>0.13676843</v>
      </c>
      <c r="S1967" s="95"/>
      <c r="T1967" s="95"/>
      <c r="U1967" s="95"/>
      <c r="V1967" s="95"/>
      <c r="W1967" s="95"/>
      <c r="X1967" s="95"/>
      <c r="Y1967" s="95"/>
      <c r="Z1967" s="95"/>
      <c r="AA1967" s="95"/>
      <c r="AB1967" s="95"/>
      <c r="AC1967" s="355"/>
      <c r="AD1967" s="355"/>
      <c r="AE1967" s="355"/>
      <c r="AF1967" s="94">
        <f t="shared" si="265"/>
        <v>42947</v>
      </c>
      <c r="AG1967" s="185">
        <f t="shared" si="269"/>
        <v>-9.4493364038517158E-2</v>
      </c>
      <c r="AH1967" s="339" t="str">
        <f>VLOOKUP(B1967,'MF PF'!A:B,2)</f>
        <v>FdMgt1</v>
      </c>
      <c r="AI1967" s="358">
        <f t="shared" si="266"/>
        <v>0</v>
      </c>
      <c r="AJ1967" s="94">
        <f t="shared" si="267"/>
        <v>42947</v>
      </c>
    </row>
    <row r="1968" spans="1:36" ht="12.75" customHeight="1">
      <c r="A1968" s="94">
        <v>42958</v>
      </c>
      <c r="B1968" s="358" t="s">
        <v>175</v>
      </c>
      <c r="C1968" s="358" t="s">
        <v>299</v>
      </c>
      <c r="D1968" s="93"/>
      <c r="F1968" s="93"/>
      <c r="G1968" s="358"/>
      <c r="H1968" s="93"/>
      <c r="I1968" s="95">
        <v>-1420125</v>
      </c>
      <c r="K1968" s="93"/>
      <c r="L1968" s="93">
        <f t="shared" si="263"/>
        <v>-1420125</v>
      </c>
      <c r="M1968" s="95" t="e">
        <f t="shared" ca="1" si="264"/>
        <v>#DIV/0!</v>
      </c>
      <c r="N1968" s="95">
        <f>IF(P1968="Hedge Fund",IF(A1968=Summary!$AD$3,M1968-E1968,M1968),IF(A1968=Summary!$AD$3,L1968-D1968,L1968))</f>
        <v>-1420125</v>
      </c>
      <c r="O1968" s="95">
        <f t="shared" si="268"/>
        <v>-1420125</v>
      </c>
      <c r="P1968" s="107" t="s">
        <v>155</v>
      </c>
      <c r="Q1968" s="95">
        <v>0</v>
      </c>
      <c r="R1968" s="95">
        <v>0</v>
      </c>
      <c r="S1968" s="95"/>
      <c r="T1968" s="95"/>
      <c r="U1968" s="95"/>
      <c r="V1968" s="95"/>
      <c r="W1968" s="95"/>
      <c r="X1968" s="95"/>
      <c r="Y1968" s="95"/>
      <c r="Z1968" s="95"/>
      <c r="AA1968" s="95"/>
      <c r="AB1968" s="95"/>
      <c r="AC1968" s="355"/>
      <c r="AD1968" s="355"/>
      <c r="AE1968" s="355"/>
      <c r="AF1968" s="94">
        <f t="shared" si="265"/>
        <v>42958</v>
      </c>
      <c r="AG1968" s="185">
        <f t="shared" si="269"/>
        <v>-0.90107033920095092</v>
      </c>
      <c r="AH1968" s="339" t="str">
        <f>VLOOKUP(B1968,'MF PF'!A:B,2)</f>
        <v>FdMgt1</v>
      </c>
      <c r="AI1968" s="358">
        <f t="shared" si="266"/>
        <v>0</v>
      </c>
      <c r="AJ1968" s="94">
        <f t="shared" si="267"/>
        <v>42978</v>
      </c>
    </row>
    <row r="1969" spans="1:36" ht="12.75" customHeight="1">
      <c r="A1969" s="8">
        <v>42958</v>
      </c>
      <c r="B1969" s="358" t="s">
        <v>175</v>
      </c>
      <c r="C1969" s="358" t="s">
        <v>299</v>
      </c>
      <c r="D1969" s="93"/>
      <c r="E1969" s="95"/>
      <c r="F1969" s="93"/>
      <c r="G1969" s="95">
        <v>1420125</v>
      </c>
      <c r="H1969" s="93"/>
      <c r="I1969" s="93"/>
      <c r="K1969" s="93"/>
      <c r="L1969" s="93">
        <f t="shared" si="263"/>
        <v>1420125</v>
      </c>
      <c r="M1969" s="95">
        <f t="shared" ca="1" si="264"/>
        <v>0</v>
      </c>
      <c r="N1969" s="95">
        <f>IF(P1969="Hedge Fund",IF(A1969=Summary!$AD$3,M1969-E1969,M1969),IF(A1969=Summary!$AD$3,L1969-D1969,L1969))</f>
        <v>1420125</v>
      </c>
      <c r="O1969" s="95">
        <f t="shared" si="268"/>
        <v>1420125</v>
      </c>
      <c r="P1969" s="107" t="s">
        <v>155</v>
      </c>
      <c r="Q1969" s="95">
        <v>0</v>
      </c>
      <c r="R1969" s="95">
        <v>0</v>
      </c>
      <c r="S1969" s="95"/>
      <c r="T1969" s="95"/>
      <c r="U1969" s="95"/>
      <c r="V1969" s="95"/>
      <c r="W1969" s="95"/>
      <c r="X1969" s="95"/>
      <c r="Y1969" s="95"/>
      <c r="Z1969" s="95"/>
      <c r="AA1969" s="95"/>
      <c r="AB1969" s="95"/>
      <c r="AC1969" s="355"/>
      <c r="AD1969" s="355"/>
      <c r="AE1969" s="355"/>
      <c r="AF1969" s="94">
        <f t="shared" si="265"/>
        <v>42958</v>
      </c>
      <c r="AG1969" s="185" t="e">
        <f t="shared" si="269"/>
        <v>#DIV/0!</v>
      </c>
      <c r="AH1969" s="339" t="str">
        <f>VLOOKUP(B1969,'MF PF'!A:B,2)</f>
        <v>FdMgt1</v>
      </c>
      <c r="AI1969" s="358">
        <f t="shared" si="266"/>
        <v>0</v>
      </c>
      <c r="AJ1969" s="94">
        <f t="shared" si="267"/>
        <v>42978</v>
      </c>
    </row>
    <row r="1970" spans="1:36" ht="12.75" customHeight="1">
      <c r="A1970" s="94">
        <v>42978</v>
      </c>
      <c r="B1970" s="358" t="s">
        <v>175</v>
      </c>
      <c r="C1970" s="358" t="s">
        <v>299</v>
      </c>
      <c r="D1970" s="93">
        <v>15747081.99</v>
      </c>
      <c r="F1970" s="93"/>
      <c r="G1970" s="95"/>
      <c r="H1970" s="93"/>
      <c r="I1970" s="93"/>
      <c r="K1970" s="93"/>
      <c r="L1970" s="93">
        <f t="shared" si="263"/>
        <v>0</v>
      </c>
      <c r="M1970" s="95" t="e">
        <f t="shared" ca="1" si="264"/>
        <v>#DIV/0!</v>
      </c>
      <c r="N1970" s="95">
        <f>IF(P1970="Hedge Fund",IF(A1970=Summary!$AD$3,M1970-E1970,M1970),IF(A1970=Summary!$AD$3,L1970-D1970,L1970))</f>
        <v>0</v>
      </c>
      <c r="O1970" s="95">
        <f t="shared" si="268"/>
        <v>0</v>
      </c>
      <c r="P1970" s="107" t="s">
        <v>155</v>
      </c>
      <c r="Q1970" s="95">
        <v>0.16706735</v>
      </c>
      <c r="R1970" s="95">
        <v>0.13183800000000001</v>
      </c>
      <c r="S1970" s="95"/>
      <c r="T1970" s="95"/>
      <c r="U1970" s="95"/>
      <c r="V1970" s="95"/>
      <c r="W1970" s="95"/>
      <c r="X1970" s="95"/>
      <c r="Y1970" s="95"/>
      <c r="Z1970" s="95"/>
      <c r="AA1970" s="95"/>
      <c r="AB1970" s="95"/>
      <c r="AC1970" s="355"/>
      <c r="AD1970" s="355"/>
      <c r="AE1970" s="355"/>
      <c r="AF1970" s="94">
        <f t="shared" si="265"/>
        <v>42978</v>
      </c>
      <c r="AG1970" s="185" t="e">
        <f t="shared" si="269"/>
        <v>#DIV/0!</v>
      </c>
      <c r="AH1970" s="339" t="str">
        <f>VLOOKUP(B1970,'MF PF'!A:B,2)</f>
        <v>FdMgt1</v>
      </c>
      <c r="AI1970" s="358">
        <f t="shared" si="266"/>
        <v>0</v>
      </c>
      <c r="AJ1970" s="94">
        <f t="shared" si="267"/>
        <v>42978</v>
      </c>
    </row>
    <row r="1971" spans="1:36" ht="12.75" customHeight="1">
      <c r="A1971" s="8">
        <v>43008</v>
      </c>
      <c r="B1971" s="358" t="s">
        <v>175</v>
      </c>
      <c r="C1971" s="358" t="s">
        <v>299</v>
      </c>
      <c r="D1971" s="93">
        <v>15801478.99</v>
      </c>
      <c r="F1971" s="93"/>
      <c r="G1971" s="95"/>
      <c r="H1971" s="93"/>
      <c r="I1971" s="93"/>
      <c r="K1971" s="93"/>
      <c r="L1971" s="93">
        <f t="shared" si="263"/>
        <v>0</v>
      </c>
      <c r="M1971" s="95" t="e">
        <f t="shared" ca="1" si="264"/>
        <v>#DIV/0!</v>
      </c>
      <c r="N1971" s="95">
        <f>IF(P1971="Hedge Fund",IF(A1971=Summary!$AD$3,M1971-E1971,M1971),IF(A1971=Summary!$AD$3,L1971-D1971,L1971))</f>
        <v>0</v>
      </c>
      <c r="O1971" s="95">
        <f t="shared" si="268"/>
        <v>0</v>
      </c>
      <c r="P1971" s="107" t="s">
        <v>155</v>
      </c>
      <c r="Q1971" s="95">
        <v>0.18567357999999998</v>
      </c>
      <c r="R1971" s="95">
        <v>0.14143747000000001</v>
      </c>
      <c r="S1971" s="95"/>
      <c r="T1971" s="95"/>
      <c r="U1971" s="95"/>
      <c r="V1971" s="95"/>
      <c r="W1971" s="95"/>
      <c r="X1971" s="95"/>
      <c r="Y1971" s="95"/>
      <c r="Z1971" s="95"/>
      <c r="AA1971" s="95"/>
      <c r="AB1971" s="95"/>
      <c r="AC1971" s="355"/>
      <c r="AD1971" s="355"/>
      <c r="AE1971" s="355"/>
      <c r="AF1971" s="94">
        <f t="shared" si="265"/>
        <v>43008</v>
      </c>
      <c r="AG1971" s="185">
        <f t="shared" si="269"/>
        <v>3.4544177794046949E-3</v>
      </c>
      <c r="AH1971" s="339" t="str">
        <f>VLOOKUP(B1971,'MF PF'!A:B,2)</f>
        <v>FdMgt1</v>
      </c>
      <c r="AI1971" s="358">
        <f t="shared" si="266"/>
        <v>0</v>
      </c>
      <c r="AJ1971" s="94">
        <f t="shared" si="267"/>
        <v>43008</v>
      </c>
    </row>
    <row r="1972" spans="1:36" ht="12.75" customHeight="1">
      <c r="A1972" s="8">
        <v>43039</v>
      </c>
      <c r="B1972" s="358" t="s">
        <v>175</v>
      </c>
      <c r="C1972" s="358" t="s">
        <v>299</v>
      </c>
      <c r="D1972" s="93">
        <v>15838570.16</v>
      </c>
      <c r="F1972" s="93"/>
      <c r="G1972" s="95"/>
      <c r="H1972" s="93"/>
      <c r="I1972" s="93"/>
      <c r="K1972" s="93"/>
      <c r="L1972" s="93">
        <f t="shared" si="263"/>
        <v>0</v>
      </c>
      <c r="M1972" s="95" t="e">
        <f t="shared" ca="1" si="264"/>
        <v>#DIV/0!</v>
      </c>
      <c r="N1972" s="95">
        <f>IF(P1972="Hedge Fund",IF(A1972=Summary!$AD$3,M1972-E1972,M1972),IF(A1972=Summary!$AD$3,L1972-D1972,L1972))</f>
        <v>0</v>
      </c>
      <c r="O1972" s="95">
        <f t="shared" si="268"/>
        <v>0</v>
      </c>
      <c r="P1972" s="89" t="s">
        <v>155</v>
      </c>
      <c r="Q1972" s="95">
        <v>0.18567357999999998</v>
      </c>
      <c r="R1972" s="95">
        <v>0.14798296999999999</v>
      </c>
      <c r="S1972" s="95"/>
      <c r="T1972" s="95"/>
      <c r="U1972" s="95"/>
      <c r="V1972" s="95"/>
      <c r="W1972" s="95"/>
      <c r="X1972" s="95"/>
      <c r="Y1972" s="95"/>
      <c r="Z1972" s="95"/>
      <c r="AA1972" s="95"/>
      <c r="AB1972" s="95"/>
      <c r="AC1972" s="355"/>
      <c r="AD1972" s="355"/>
      <c r="AE1972" s="355"/>
      <c r="AF1972" s="94">
        <f t="shared" si="265"/>
        <v>43039</v>
      </c>
      <c r="AG1972" s="185">
        <f t="shared" si="269"/>
        <v>2.3473226793184754E-3</v>
      </c>
      <c r="AH1972" s="339" t="str">
        <f>VLOOKUP(B1972,'MF PF'!A:B,2)</f>
        <v>FdMgt1</v>
      </c>
      <c r="AI1972" s="358">
        <f t="shared" si="266"/>
        <v>0</v>
      </c>
      <c r="AJ1972" s="94">
        <f t="shared" si="267"/>
        <v>43039</v>
      </c>
    </row>
    <row r="1973" spans="1:36" ht="12.75" customHeight="1">
      <c r="A1973" s="94">
        <v>43069</v>
      </c>
      <c r="B1973" s="358" t="s">
        <v>175</v>
      </c>
      <c r="C1973" s="358" t="s">
        <v>299</v>
      </c>
      <c r="D1973" s="93">
        <v>15767016.34</v>
      </c>
      <c r="E1973" s="95"/>
      <c r="F1973" s="93"/>
      <c r="G1973" s="95"/>
      <c r="H1973" s="93"/>
      <c r="I1973" s="93"/>
      <c r="K1973" s="93"/>
      <c r="L1973" s="93">
        <f t="shared" si="263"/>
        <v>0</v>
      </c>
      <c r="M1973" s="95" t="e">
        <f t="shared" ca="1" si="264"/>
        <v>#DIV/0!</v>
      </c>
      <c r="N1973" s="95">
        <f>IF(P1973="Hedge Fund",IF(A1973=Summary!$AD$3,M1973-E1973,M1973),IF(A1973=Summary!$AD$3,L1973-D1973,L1973))</f>
        <v>0</v>
      </c>
      <c r="O1973" s="95">
        <f t="shared" si="268"/>
        <v>0</v>
      </c>
      <c r="P1973" s="107" t="s">
        <v>155</v>
      </c>
      <c r="Q1973" s="95">
        <v>0.22529195000000002</v>
      </c>
      <c r="R1973" s="95">
        <v>0.13535582999999998</v>
      </c>
      <c r="S1973" s="95"/>
      <c r="T1973" s="95"/>
      <c r="U1973" s="95"/>
      <c r="V1973" s="95"/>
      <c r="W1973" s="95"/>
      <c r="X1973" s="95"/>
      <c r="Y1973" s="95"/>
      <c r="Z1973" s="95"/>
      <c r="AA1973" s="95"/>
      <c r="AB1973" s="95"/>
      <c r="AC1973" s="355"/>
      <c r="AD1973" s="355"/>
      <c r="AE1973" s="355"/>
      <c r="AF1973" s="94">
        <f t="shared" si="265"/>
        <v>43069</v>
      </c>
      <c r="AG1973" s="185">
        <f t="shared" si="269"/>
        <v>-4.5176944179411427E-3</v>
      </c>
      <c r="AH1973" s="339" t="str">
        <f>VLOOKUP(B1973,'MF PF'!A:B,2)</f>
        <v>FdMgt1</v>
      </c>
      <c r="AI1973" s="358">
        <f t="shared" si="266"/>
        <v>0</v>
      </c>
      <c r="AJ1973" s="94">
        <f t="shared" si="267"/>
        <v>43069</v>
      </c>
    </row>
    <row r="1974" spans="1:36" ht="12.75" customHeight="1">
      <c r="A1974" s="94">
        <v>43087</v>
      </c>
      <c r="B1974" s="358" t="s">
        <v>175</v>
      </c>
      <c r="C1974" s="358" t="s">
        <v>299</v>
      </c>
      <c r="D1974" s="93"/>
      <c r="F1974" s="93"/>
      <c r="G1974" s="358"/>
      <c r="H1974" s="93"/>
      <c r="I1974" s="95">
        <v>-1837506.57</v>
      </c>
      <c r="K1974" s="93"/>
      <c r="L1974" s="93">
        <f t="shared" si="263"/>
        <v>-1837506.57</v>
      </c>
      <c r="M1974" s="95" t="e">
        <f t="shared" ca="1" si="264"/>
        <v>#DIV/0!</v>
      </c>
      <c r="N1974" s="95">
        <f>IF(P1974="Hedge Fund",IF(A1974=Summary!$AD$3,M1974-E1974,M1974),IF(A1974=Summary!$AD$3,L1974-D1974,L1974))</f>
        <v>-1837506.57</v>
      </c>
      <c r="O1974" s="95">
        <f t="shared" si="268"/>
        <v>-1837506.57</v>
      </c>
      <c r="P1974" s="89" t="s">
        <v>155</v>
      </c>
      <c r="Q1974" s="95">
        <v>0</v>
      </c>
      <c r="R1974" s="95">
        <v>0</v>
      </c>
      <c r="S1974" s="95"/>
      <c r="T1974" s="95"/>
      <c r="U1974" s="95"/>
      <c r="V1974" s="95"/>
      <c r="W1974" s="95"/>
      <c r="X1974" s="95"/>
      <c r="Y1974" s="95"/>
      <c r="Z1974" s="95"/>
      <c r="AA1974" s="95"/>
      <c r="AB1974" s="95"/>
      <c r="AC1974" s="355"/>
      <c r="AD1974" s="355"/>
      <c r="AE1974" s="355"/>
      <c r="AF1974" s="94">
        <f t="shared" si="265"/>
        <v>43087</v>
      </c>
      <c r="AG1974" s="185">
        <f t="shared" si="269"/>
        <v>-0.88345882756914806</v>
      </c>
      <c r="AH1974" s="339" t="str">
        <f>VLOOKUP(B1974,'MF PF'!A:B,2)</f>
        <v>FdMgt1</v>
      </c>
      <c r="AI1974" s="358">
        <f t="shared" si="266"/>
        <v>0</v>
      </c>
      <c r="AJ1974" s="94">
        <f t="shared" si="267"/>
        <v>43100</v>
      </c>
    </row>
    <row r="1975" spans="1:36" ht="12.75" customHeight="1">
      <c r="A1975" s="94">
        <v>43087</v>
      </c>
      <c r="B1975" s="358" t="s">
        <v>175</v>
      </c>
      <c r="C1975" s="358" t="s">
        <v>299</v>
      </c>
      <c r="D1975" s="93"/>
      <c r="E1975" s="95"/>
      <c r="F1975" s="93"/>
      <c r="G1975" s="95">
        <v>1837506.57</v>
      </c>
      <c r="H1975" s="93"/>
      <c r="I1975" s="93"/>
      <c r="K1975" s="93"/>
      <c r="L1975" s="93">
        <f t="shared" si="263"/>
        <v>1837506.57</v>
      </c>
      <c r="M1975" s="95">
        <f t="shared" ca="1" si="264"/>
        <v>0</v>
      </c>
      <c r="N1975" s="95">
        <f>IF(P1975="Hedge Fund",IF(A1975=Summary!$AD$3,M1975-E1975,M1975),IF(A1975=Summary!$AD$3,L1975-D1975,L1975))</f>
        <v>1837506.57</v>
      </c>
      <c r="O1975" s="95">
        <f t="shared" si="268"/>
        <v>1837506.57</v>
      </c>
      <c r="P1975" s="89" t="s">
        <v>155</v>
      </c>
      <c r="Q1975" s="95">
        <v>0</v>
      </c>
      <c r="R1975" s="95">
        <v>0</v>
      </c>
      <c r="S1975" s="95"/>
      <c r="T1975" s="95"/>
      <c r="U1975" s="95"/>
      <c r="V1975" s="95"/>
      <c r="W1975" s="95"/>
      <c r="X1975" s="95"/>
      <c r="Y1975" s="95"/>
      <c r="Z1975" s="95"/>
      <c r="AA1975" s="95"/>
      <c r="AB1975" s="95"/>
      <c r="AC1975" s="355"/>
      <c r="AD1975" s="355"/>
      <c r="AE1975" s="355"/>
      <c r="AF1975" s="94">
        <f t="shared" si="265"/>
        <v>43087</v>
      </c>
      <c r="AG1975" s="185" t="e">
        <f t="shared" si="269"/>
        <v>#DIV/0!</v>
      </c>
      <c r="AH1975" s="339" t="str">
        <f>VLOOKUP(B1975,'MF PF'!A:B,2)</f>
        <v>FdMgt1</v>
      </c>
      <c r="AI1975" s="358">
        <f t="shared" si="266"/>
        <v>0</v>
      </c>
      <c r="AJ1975" s="94">
        <f t="shared" si="267"/>
        <v>43100</v>
      </c>
    </row>
    <row r="1976" spans="1:36" ht="12.75" customHeight="1">
      <c r="A1976" s="94">
        <v>43100</v>
      </c>
      <c r="B1976" s="358" t="s">
        <v>175</v>
      </c>
      <c r="C1976" s="358" t="s">
        <v>299</v>
      </c>
      <c r="D1976" s="93">
        <v>17838440.370000001</v>
      </c>
      <c r="F1976" s="93"/>
      <c r="G1976" s="95"/>
      <c r="H1976" s="93"/>
      <c r="I1976" s="93"/>
      <c r="K1976" s="93"/>
      <c r="L1976" s="93">
        <f t="shared" si="263"/>
        <v>0</v>
      </c>
      <c r="M1976" s="95" t="e">
        <f t="shared" ca="1" si="264"/>
        <v>#DIV/0!</v>
      </c>
      <c r="N1976" s="95">
        <f>IF(P1976="Hedge Fund",IF(A1976=Summary!$AD$3,M1976-E1976,M1976),IF(A1976=Summary!$AD$3,L1976-D1976,L1976))</f>
        <v>0</v>
      </c>
      <c r="O1976" s="95">
        <f t="shared" si="268"/>
        <v>0</v>
      </c>
      <c r="P1976" s="89" t="s">
        <v>155</v>
      </c>
      <c r="Q1976" s="95">
        <v>0.26887283000000001</v>
      </c>
      <c r="R1976" s="95">
        <v>0.50090124000000003</v>
      </c>
      <c r="S1976" s="95"/>
      <c r="T1976" s="95"/>
      <c r="U1976" s="95"/>
      <c r="V1976" s="95"/>
      <c r="W1976" s="95"/>
      <c r="X1976" s="95"/>
      <c r="Y1976" s="95"/>
      <c r="Z1976" s="95"/>
      <c r="AA1976" s="95"/>
      <c r="AB1976" s="95"/>
      <c r="AC1976" s="355"/>
      <c r="AD1976" s="355"/>
      <c r="AE1976" s="355"/>
      <c r="AF1976" s="94">
        <f t="shared" si="265"/>
        <v>43100</v>
      </c>
      <c r="AG1976" s="185" t="e">
        <f t="shared" si="269"/>
        <v>#DIV/0!</v>
      </c>
      <c r="AH1976" s="339" t="str">
        <f>VLOOKUP(B1976,'MF PF'!A:B,2)</f>
        <v>FdMgt1</v>
      </c>
      <c r="AI1976" s="358">
        <f t="shared" si="266"/>
        <v>0</v>
      </c>
      <c r="AJ1976" s="94">
        <f t="shared" si="267"/>
        <v>43100</v>
      </c>
    </row>
    <row r="1977" spans="1:36" ht="12.75" customHeight="1">
      <c r="A1977" s="8">
        <v>43131</v>
      </c>
      <c r="B1977" s="358" t="s">
        <v>175</v>
      </c>
      <c r="C1977" s="92" t="s">
        <v>299</v>
      </c>
      <c r="D1977" s="93">
        <v>18724846.699999999</v>
      </c>
      <c r="E1977" s="95"/>
      <c r="F1977" s="93"/>
      <c r="G1977" s="95"/>
      <c r="H1977" s="93"/>
      <c r="I1977" s="93"/>
      <c r="K1977" s="93"/>
      <c r="L1977" s="93">
        <f t="shared" si="263"/>
        <v>0</v>
      </c>
      <c r="M1977" s="95" t="e">
        <f t="shared" ca="1" si="264"/>
        <v>#DIV/0!</v>
      </c>
      <c r="N1977" s="95">
        <f>IF(P1977="Hedge Fund",IF(A1977=Summary!$AD$3,M1977-E1977,M1977),IF(A1977=Summary!$AD$3,L1977-D1977,L1977))</f>
        <v>0</v>
      </c>
      <c r="O1977" s="95">
        <f t="shared" si="268"/>
        <v>0</v>
      </c>
      <c r="P1977" s="107" t="s">
        <v>155</v>
      </c>
      <c r="Q1977" s="95"/>
      <c r="R1977" s="95">
        <v>0.65732588999999997</v>
      </c>
      <c r="S1977" s="95"/>
      <c r="T1977" s="95"/>
      <c r="U1977" s="95"/>
      <c r="V1977" s="95"/>
      <c r="W1977" s="95"/>
      <c r="X1977" s="95"/>
      <c r="Y1977" s="95"/>
      <c r="Z1977" s="95"/>
      <c r="AA1977" s="95"/>
      <c r="AB1977" s="95"/>
      <c r="AC1977" s="355"/>
      <c r="AD1977" s="355"/>
      <c r="AE1977" s="355"/>
      <c r="AF1977" s="94">
        <f t="shared" si="265"/>
        <v>43131</v>
      </c>
      <c r="AG1977" s="185">
        <f t="shared" si="269"/>
        <v>4.9690797604185377E-2</v>
      </c>
      <c r="AH1977" s="339" t="str">
        <f>VLOOKUP(B1977,'MF PF'!A:B,2)</f>
        <v>FdMgt1</v>
      </c>
      <c r="AI1977" s="358">
        <f t="shared" si="266"/>
        <v>0</v>
      </c>
      <c r="AJ1977" s="94">
        <f t="shared" si="267"/>
        <v>43131</v>
      </c>
    </row>
    <row r="1978" spans="1:36" ht="12.75" customHeight="1">
      <c r="A1978" s="8">
        <v>43159</v>
      </c>
      <c r="B1978" s="358" t="s">
        <v>175</v>
      </c>
      <c r="C1978" s="92" t="s">
        <v>299</v>
      </c>
      <c r="D1978" s="93">
        <v>18776004.09</v>
      </c>
      <c r="E1978" s="95"/>
      <c r="F1978" s="93"/>
      <c r="G1978" s="95"/>
      <c r="H1978" s="93"/>
      <c r="I1978" s="93"/>
      <c r="K1978" s="93"/>
      <c r="L1978" s="93">
        <f t="shared" si="263"/>
        <v>0</v>
      </c>
      <c r="M1978" s="95" t="e">
        <f t="shared" ca="1" si="264"/>
        <v>#DIV/0!</v>
      </c>
      <c r="N1978" s="95">
        <f>IF(P1978="Hedge Fund",IF(A1978=Summary!$AD$3,M1978-E1978,M1978),IF(A1978=Summary!$AD$3,L1978-D1978,L1978))</f>
        <v>0</v>
      </c>
      <c r="O1978" s="95">
        <f t="shared" si="268"/>
        <v>0</v>
      </c>
      <c r="P1978" s="107" t="s">
        <v>155</v>
      </c>
      <c r="Q1978" s="95"/>
      <c r="R1978" s="95">
        <v>0.66635366000000007</v>
      </c>
      <c r="S1978" s="95"/>
      <c r="T1978" s="95"/>
      <c r="U1978" s="95"/>
      <c r="V1978" s="95"/>
      <c r="W1978" s="95"/>
      <c r="X1978" s="95"/>
      <c r="Y1978" s="95"/>
      <c r="Z1978" s="95"/>
      <c r="AA1978" s="95"/>
      <c r="AB1978" s="95"/>
      <c r="AC1978" s="355"/>
      <c r="AD1978" s="355"/>
      <c r="AE1978" s="355"/>
      <c r="AF1978" s="94">
        <f t="shared" si="265"/>
        <v>43159</v>
      </c>
      <c r="AG1978" s="185">
        <f t="shared" si="269"/>
        <v>2.7320592162711765E-3</v>
      </c>
      <c r="AH1978" s="339" t="str">
        <f>VLOOKUP(B1978,'MF PF'!A:B,2)</f>
        <v>FdMgt1</v>
      </c>
      <c r="AI1978" s="358">
        <f t="shared" si="266"/>
        <v>0</v>
      </c>
      <c r="AJ1978" s="94">
        <f t="shared" si="267"/>
        <v>43159</v>
      </c>
    </row>
    <row r="1979" spans="1:36" ht="12.75" customHeight="1">
      <c r="A1979" s="94">
        <v>43190</v>
      </c>
      <c r="B1979" s="358" t="s">
        <v>175</v>
      </c>
      <c r="C1979" s="358" t="s">
        <v>299</v>
      </c>
      <c r="D1979" s="93">
        <v>18897873.370000001</v>
      </c>
      <c r="E1979" s="95"/>
      <c r="F1979" s="93"/>
      <c r="G1979" s="95"/>
      <c r="H1979" s="93"/>
      <c r="I1979" s="93"/>
      <c r="K1979" s="93"/>
      <c r="L1979" s="93">
        <f t="shared" si="263"/>
        <v>0</v>
      </c>
      <c r="M1979" s="95" t="e">
        <f t="shared" ca="1" si="264"/>
        <v>#DIV/0!</v>
      </c>
      <c r="N1979" s="95">
        <f>IF(P1979="Hedge Fund",IF(A1979=Summary!$AD$3,M1979-E1979,M1979),IF(A1979=Summary!$AD$3,L1979-D1979,L1979))</f>
        <v>0</v>
      </c>
      <c r="O1979" s="95">
        <f t="shared" si="268"/>
        <v>0</v>
      </c>
      <c r="P1979" s="107" t="s">
        <v>155</v>
      </c>
      <c r="Q1979" s="95">
        <v>7.2709309999999999E-2</v>
      </c>
      <c r="R1979" s="95">
        <v>0.68786000999999997</v>
      </c>
      <c r="S1979" s="95"/>
      <c r="T1979" s="95"/>
      <c r="U1979" s="95"/>
      <c r="V1979" s="95"/>
      <c r="W1979" s="95"/>
      <c r="X1979" s="95"/>
      <c r="Y1979" s="95"/>
      <c r="Z1979" s="95"/>
      <c r="AA1979" s="95"/>
      <c r="AB1979" s="95"/>
      <c r="AC1979" s="355"/>
      <c r="AD1979" s="355"/>
      <c r="AE1979" s="355"/>
      <c r="AF1979" s="94">
        <f t="shared" si="265"/>
        <v>43190</v>
      </c>
      <c r="AG1979" s="185">
        <f t="shared" si="269"/>
        <v>6.4906930897457027E-3</v>
      </c>
      <c r="AH1979" s="339" t="str">
        <f>VLOOKUP(B1979,'MF PF'!A:B,2)</f>
        <v>FdMgt1</v>
      </c>
      <c r="AI1979" s="358">
        <f t="shared" si="266"/>
        <v>0</v>
      </c>
      <c r="AJ1979" s="94">
        <f t="shared" si="267"/>
        <v>43190</v>
      </c>
    </row>
    <row r="1980" spans="1:36" ht="12.75" customHeight="1">
      <c r="A1980" s="94">
        <v>43220</v>
      </c>
      <c r="B1980" s="358" t="s">
        <v>175</v>
      </c>
      <c r="C1980" s="358" t="s">
        <v>299</v>
      </c>
      <c r="D1980" s="93">
        <v>18799244.719999999</v>
      </c>
      <c r="E1980" s="95"/>
      <c r="F1980" s="93"/>
      <c r="G1980" s="95"/>
      <c r="H1980" s="93"/>
      <c r="I1980" s="93"/>
      <c r="K1980" s="93"/>
      <c r="L1980" s="93">
        <f t="shared" si="263"/>
        <v>0</v>
      </c>
      <c r="M1980" s="95" t="e">
        <f t="shared" ca="1" si="264"/>
        <v>#DIV/0!</v>
      </c>
      <c r="N1980" s="95">
        <f>IF(P1980="Hedge Fund",IF(A1980=Summary!$AD$3,M1980-E1980,M1980),IF(A1980=Summary!$AD$3,L1980-D1980,L1980))</f>
        <v>0</v>
      </c>
      <c r="O1980" s="95">
        <f t="shared" si="268"/>
        <v>0</v>
      </c>
      <c r="P1980" s="107" t="s">
        <v>155</v>
      </c>
      <c r="Q1980" s="95"/>
      <c r="R1980" s="95">
        <v>0.67045494999999999</v>
      </c>
      <c r="S1980" s="95"/>
      <c r="T1980" s="95"/>
      <c r="U1980" s="95"/>
      <c r="V1980" s="95"/>
      <c r="W1980" s="95"/>
      <c r="X1980" s="95"/>
      <c r="Y1980" s="95"/>
      <c r="Z1980" s="95"/>
      <c r="AA1980" s="95"/>
      <c r="AB1980" s="95"/>
      <c r="AC1980" s="355"/>
      <c r="AD1980" s="355"/>
      <c r="AE1980" s="355"/>
      <c r="AF1980" s="94">
        <f t="shared" si="265"/>
        <v>43220</v>
      </c>
      <c r="AG1980" s="185">
        <f t="shared" si="269"/>
        <v>-5.2190343362430447E-3</v>
      </c>
      <c r="AH1980" s="339" t="str">
        <f>VLOOKUP(B1980,'MF PF'!A:B,2)</f>
        <v>FdMgt1</v>
      </c>
      <c r="AI1980" s="358">
        <f t="shared" si="266"/>
        <v>0</v>
      </c>
      <c r="AJ1980" s="94">
        <f t="shared" si="267"/>
        <v>43220</v>
      </c>
    </row>
    <row r="1981" spans="1:36" ht="12.75" customHeight="1">
      <c r="A1981" s="94">
        <v>43251</v>
      </c>
      <c r="B1981" s="358" t="s">
        <v>175</v>
      </c>
      <c r="C1981" s="358" t="s">
        <v>299</v>
      </c>
      <c r="D1981" s="93">
        <v>19039649.370000001</v>
      </c>
      <c r="E1981" s="95"/>
      <c r="F1981" s="93"/>
      <c r="G1981" s="95"/>
      <c r="H1981" s="93"/>
      <c r="I1981" s="93"/>
      <c r="K1981" s="93"/>
      <c r="L1981" s="93">
        <f t="shared" si="263"/>
        <v>0</v>
      </c>
      <c r="M1981" s="95" t="e">
        <f t="shared" ca="1" si="264"/>
        <v>#DIV/0!</v>
      </c>
      <c r="N1981" s="95">
        <f>IF(P1981="Hedge Fund",IF(A1981=Summary!$AD$3,M1981-E1981,M1981),IF(A1981=Summary!$AD$3,L1981-D1981,L1981))</f>
        <v>0</v>
      </c>
      <c r="O1981" s="95">
        <f t="shared" si="268"/>
        <v>0</v>
      </c>
      <c r="P1981" s="107" t="s">
        <v>155</v>
      </c>
      <c r="Q1981" s="95"/>
      <c r="R1981" s="95">
        <v>0.71287929999999999</v>
      </c>
      <c r="S1981" s="95"/>
      <c r="T1981" s="95"/>
      <c r="U1981" s="95"/>
      <c r="V1981" s="95"/>
      <c r="W1981" s="95"/>
      <c r="X1981" s="95"/>
      <c r="Y1981" s="95"/>
      <c r="Z1981" s="95"/>
      <c r="AA1981" s="95"/>
      <c r="AB1981" s="95"/>
      <c r="AC1981" s="355"/>
      <c r="AD1981" s="355"/>
      <c r="AE1981" s="355"/>
      <c r="AF1981" s="94">
        <f t="shared" si="265"/>
        <v>43251</v>
      </c>
      <c r="AG1981" s="185">
        <f t="shared" si="269"/>
        <v>1.278799513388118E-2</v>
      </c>
      <c r="AH1981" s="339" t="str">
        <f>VLOOKUP(B1981,'MF PF'!A:B,2)</f>
        <v>FdMgt1</v>
      </c>
      <c r="AI1981" s="358">
        <f t="shared" si="266"/>
        <v>0</v>
      </c>
      <c r="AJ1981" s="94">
        <f t="shared" si="267"/>
        <v>43251</v>
      </c>
    </row>
    <row r="1982" spans="1:36" ht="12.75" customHeight="1">
      <c r="A1982" s="8">
        <v>43281</v>
      </c>
      <c r="B1982" s="358" t="s">
        <v>175</v>
      </c>
      <c r="C1982" s="92" t="s">
        <v>299</v>
      </c>
      <c r="D1982" s="93">
        <v>18868621.899999999</v>
      </c>
      <c r="E1982" s="95"/>
      <c r="F1982" s="93"/>
      <c r="G1982" s="95"/>
      <c r="H1982" s="93"/>
      <c r="I1982" s="93"/>
      <c r="K1982" s="93"/>
      <c r="L1982" s="93">
        <f t="shared" si="263"/>
        <v>0</v>
      </c>
      <c r="M1982" s="95" t="e">
        <f t="shared" ca="1" si="264"/>
        <v>#DIV/0!</v>
      </c>
      <c r="N1982" s="95">
        <f>IF(P1982="Hedge Fund",IF(A1982=Summary!$AD$3,M1982-E1982,M1982),IF(A1982=Summary!$AD$3,L1982-D1982,L1982))</f>
        <v>0</v>
      </c>
      <c r="O1982" s="95">
        <f t="shared" si="268"/>
        <v>0</v>
      </c>
      <c r="P1982" s="107" t="s">
        <v>155</v>
      </c>
      <c r="Q1982" s="95">
        <v>7.4200600000000005E-2</v>
      </c>
      <c r="R1982" s="95">
        <v>0.68269797999999993</v>
      </c>
      <c r="S1982" s="95"/>
      <c r="T1982" s="95"/>
      <c r="U1982" s="95"/>
      <c r="V1982" s="95"/>
      <c r="W1982" s="95"/>
      <c r="X1982" s="95"/>
      <c r="Y1982" s="95"/>
      <c r="Z1982" s="95"/>
      <c r="AA1982" s="95"/>
      <c r="AB1982" s="95"/>
      <c r="AC1982" s="355"/>
      <c r="AD1982" s="355"/>
      <c r="AE1982" s="355"/>
      <c r="AF1982" s="94">
        <f t="shared" si="265"/>
        <v>43281</v>
      </c>
      <c r="AG1982" s="185">
        <f t="shared" si="269"/>
        <v>-8.9827006094704842E-3</v>
      </c>
      <c r="AH1982" s="339" t="str">
        <f>VLOOKUP(B1982,'MF PF'!A:B,2)</f>
        <v>FdMgt1</v>
      </c>
      <c r="AI1982" s="358">
        <f t="shared" si="266"/>
        <v>0</v>
      </c>
      <c r="AJ1982" s="94">
        <f t="shared" si="267"/>
        <v>43281</v>
      </c>
    </row>
    <row r="1983" spans="1:36" ht="12.75" customHeight="1">
      <c r="A1983" s="94">
        <v>43312</v>
      </c>
      <c r="B1983" s="358" t="s">
        <v>175</v>
      </c>
      <c r="C1983" s="92" t="s">
        <v>299</v>
      </c>
      <c r="D1983" s="93">
        <v>18765436.329999998</v>
      </c>
      <c r="E1983" s="95"/>
      <c r="F1983" s="93"/>
      <c r="G1983" s="95"/>
      <c r="H1983" s="93"/>
      <c r="I1983" s="93"/>
      <c r="K1983" s="93"/>
      <c r="L1983" s="93">
        <f t="shared" si="263"/>
        <v>0</v>
      </c>
      <c r="M1983" s="95" t="e">
        <f t="shared" ca="1" si="264"/>
        <v>#DIV/0!</v>
      </c>
      <c r="N1983" s="95">
        <f>IF(P1983="Hedge Fund",IF(A1983=Summary!$AD$3,M1983-E1983,M1983),IF(A1983=Summary!$AD$3,L1983-D1983,L1983))</f>
        <v>0</v>
      </c>
      <c r="O1983" s="95">
        <f t="shared" si="268"/>
        <v>0</v>
      </c>
      <c r="P1983" s="107" t="s">
        <v>155</v>
      </c>
      <c r="Q1983" s="95">
        <v>0</v>
      </c>
      <c r="R1983" s="95">
        <v>0.66448876000000001</v>
      </c>
      <c r="S1983" s="95"/>
      <c r="T1983" s="95"/>
      <c r="U1983" s="95"/>
      <c r="V1983" s="95"/>
      <c r="W1983" s="95"/>
      <c r="X1983" s="95"/>
      <c r="Y1983" s="95"/>
      <c r="Z1983" s="95"/>
      <c r="AA1983" s="95"/>
      <c r="AB1983" s="95"/>
      <c r="AC1983" s="355"/>
      <c r="AD1983" s="355"/>
      <c r="AE1983" s="355"/>
      <c r="AF1983" s="94">
        <f t="shared" si="265"/>
        <v>43312</v>
      </c>
      <c r="AG1983" s="185">
        <f t="shared" si="269"/>
        <v>-5.4686330854931686E-3</v>
      </c>
      <c r="AH1983" s="339" t="str">
        <f>VLOOKUP(B1983,'MF PF'!A:B,2)</f>
        <v>FdMgt1</v>
      </c>
      <c r="AI1983" s="358">
        <f t="shared" si="266"/>
        <v>0</v>
      </c>
      <c r="AJ1983" s="94">
        <f t="shared" si="267"/>
        <v>43312</v>
      </c>
    </row>
    <row r="1984" spans="1:36" ht="12.75" customHeight="1">
      <c r="A1984" s="8">
        <v>43343</v>
      </c>
      <c r="B1984" s="358" t="s">
        <v>175</v>
      </c>
      <c r="C1984" s="92" t="s">
        <v>299</v>
      </c>
      <c r="D1984" s="93">
        <v>18635387.879999999</v>
      </c>
      <c r="E1984" s="95"/>
      <c r="F1984" s="93"/>
      <c r="G1984" s="95"/>
      <c r="H1984" s="93"/>
      <c r="I1984" s="93"/>
      <c r="K1984" s="93"/>
      <c r="L1984" s="93">
        <f t="shared" si="263"/>
        <v>0</v>
      </c>
      <c r="M1984" s="95" t="e">
        <f t="shared" ca="1" si="264"/>
        <v>#DIV/0!</v>
      </c>
      <c r="N1984" s="95">
        <f>IF(P1984="Hedge Fund",IF(A1984=Summary!$AD$3,M1984-E1984,M1984),IF(A1984=Summary!$AD$3,L1984-D1984,L1984))</f>
        <v>0</v>
      </c>
      <c r="O1984" s="95">
        <f t="shared" si="268"/>
        <v>0</v>
      </c>
      <c r="P1984" s="107" t="s">
        <v>155</v>
      </c>
      <c r="Q1984" s="95">
        <v>0</v>
      </c>
      <c r="R1984" s="95">
        <v>0.64153904000000006</v>
      </c>
      <c r="S1984" s="95"/>
      <c r="T1984" s="95"/>
      <c r="U1984" s="95"/>
      <c r="V1984" s="95"/>
      <c r="W1984" s="95"/>
      <c r="X1984" s="95"/>
      <c r="Y1984" s="95"/>
      <c r="Z1984" s="95"/>
      <c r="AA1984" s="95"/>
      <c r="AB1984" s="95"/>
      <c r="AC1984" s="355"/>
      <c r="AD1984" s="355"/>
      <c r="AE1984" s="355"/>
      <c r="AF1984" s="94">
        <f t="shared" si="265"/>
        <v>43343</v>
      </c>
      <c r="AG1984" s="185">
        <f t="shared" si="269"/>
        <v>-6.9302118913213695E-3</v>
      </c>
      <c r="AH1984" s="339" t="str">
        <f>VLOOKUP(B1984,'MF PF'!A:B,2)</f>
        <v>FdMgt1</v>
      </c>
      <c r="AI1984" s="358">
        <f t="shared" si="266"/>
        <v>0</v>
      </c>
      <c r="AJ1984" s="94">
        <f t="shared" si="267"/>
        <v>43343</v>
      </c>
    </row>
    <row r="1985" spans="1:36" ht="12.75" customHeight="1">
      <c r="A1985" s="94">
        <v>43373</v>
      </c>
      <c r="B1985" s="358" t="s">
        <v>175</v>
      </c>
      <c r="C1985" s="92" t="s">
        <v>299</v>
      </c>
      <c r="D1985" s="93">
        <v>17887701.600000001</v>
      </c>
      <c r="E1985" s="95"/>
      <c r="F1985" s="93"/>
      <c r="G1985" s="95"/>
      <c r="H1985" s="93"/>
      <c r="I1985" s="93"/>
      <c r="K1985" s="93"/>
      <c r="L1985" s="93">
        <f t="shared" si="263"/>
        <v>0</v>
      </c>
      <c r="M1985" s="95" t="e">
        <f t="shared" ca="1" si="264"/>
        <v>#DIV/0!</v>
      </c>
      <c r="N1985" s="95">
        <f>IF(P1985="Hedge Fund",IF(A1985=Summary!$AD$3,M1985-E1985,M1985),IF(A1985=Summary!$AD$3,L1985-D1985,L1985))</f>
        <v>0</v>
      </c>
      <c r="O1985" s="95">
        <f t="shared" si="268"/>
        <v>0</v>
      </c>
      <c r="P1985" s="107" t="s">
        <v>155</v>
      </c>
      <c r="Q1985" s="95">
        <v>6.9059110000000007E-2</v>
      </c>
      <c r="R1985" s="95">
        <v>0.5095944</v>
      </c>
      <c r="S1985" s="95"/>
      <c r="T1985" s="95"/>
      <c r="U1985" s="95"/>
      <c r="V1985" s="95"/>
      <c r="W1985" s="95"/>
      <c r="X1985" s="95"/>
      <c r="Y1985" s="95"/>
      <c r="Z1985" s="95"/>
      <c r="AA1985" s="95"/>
      <c r="AB1985" s="95"/>
      <c r="AC1985" s="355"/>
      <c r="AD1985" s="355"/>
      <c r="AE1985" s="355"/>
      <c r="AF1985" s="94">
        <f t="shared" si="265"/>
        <v>43373</v>
      </c>
      <c r="AG1985" s="185">
        <f t="shared" si="269"/>
        <v>-4.0121852295998295E-2</v>
      </c>
      <c r="AH1985" s="339" t="str">
        <f>VLOOKUP(B1985,'MF PF'!A:B,2)</f>
        <v>FdMgt1</v>
      </c>
      <c r="AI1985" s="358">
        <f t="shared" si="266"/>
        <v>0</v>
      </c>
      <c r="AJ1985" s="94">
        <f t="shared" si="267"/>
        <v>43373</v>
      </c>
    </row>
    <row r="1986" spans="1:36" ht="12.75" customHeight="1">
      <c r="A1986" s="94">
        <v>43404</v>
      </c>
      <c r="B1986" s="358" t="s">
        <v>175</v>
      </c>
      <c r="C1986" s="358" t="s">
        <v>299</v>
      </c>
      <c r="D1986" s="93">
        <v>17808274.208500002</v>
      </c>
      <c r="E1986" s="95"/>
      <c r="F1986" s="93">
        <v>15</v>
      </c>
      <c r="G1986" s="93"/>
      <c r="H1986" s="93">
        <v>0</v>
      </c>
      <c r="I1986" s="93">
        <v>0</v>
      </c>
      <c r="J1986" s="93">
        <v>0</v>
      </c>
      <c r="K1986" s="93"/>
      <c r="L1986" s="93">
        <f t="shared" si="263"/>
        <v>0</v>
      </c>
      <c r="M1986" s="95" t="e">
        <f t="shared" ca="1" si="264"/>
        <v>#DIV/0!</v>
      </c>
      <c r="N1986" s="95">
        <f>IF(P1986="Hedge Fund",IF(A1986=Summary!$AD$3,M1986-E1986,M1986),IF(A1986=Summary!$AD$3,L1986-D1986,L1986))</f>
        <v>0</v>
      </c>
      <c r="O1986" s="95">
        <f t="shared" si="268"/>
        <v>0</v>
      </c>
      <c r="P1986" s="95" t="s">
        <v>155</v>
      </c>
      <c r="Q1986" s="95">
        <v>9.3920669695228567E-2</v>
      </c>
      <c r="R1986" s="95">
        <v>0.49557780150000025</v>
      </c>
      <c r="S1986" s="95"/>
      <c r="T1986" s="95"/>
      <c r="U1986" s="95"/>
      <c r="V1986" s="95"/>
      <c r="W1986" s="95"/>
      <c r="X1986" s="95"/>
      <c r="Y1986" s="95"/>
      <c r="Z1986" s="95"/>
      <c r="AA1986" s="95"/>
      <c r="AB1986" s="95"/>
      <c r="AC1986" s="355"/>
      <c r="AD1986" s="355"/>
      <c r="AE1986" s="355"/>
      <c r="AF1986" s="94">
        <f t="shared" si="265"/>
        <v>43404</v>
      </c>
      <c r="AG1986" s="185">
        <f t="shared" si="269"/>
        <v>-4.4403352245098171E-3</v>
      </c>
      <c r="AH1986" s="339" t="str">
        <f>VLOOKUP(B1986,'MF PF'!A:B,2)</f>
        <v>FdMgt1</v>
      </c>
      <c r="AI1986" s="358">
        <f t="shared" si="266"/>
        <v>0</v>
      </c>
      <c r="AJ1986" s="94">
        <f t="shared" si="267"/>
        <v>43404</v>
      </c>
    </row>
    <row r="1987" spans="1:36" ht="12.75" customHeight="1">
      <c r="A1987" s="8">
        <v>43434</v>
      </c>
      <c r="B1987" s="358" t="s">
        <v>175</v>
      </c>
      <c r="C1987" s="92" t="s">
        <v>299</v>
      </c>
      <c r="D1987" s="93">
        <v>17838968.550000001</v>
      </c>
      <c r="E1987" s="95"/>
      <c r="F1987" s="93">
        <v>15</v>
      </c>
      <c r="G1987" s="93"/>
      <c r="H1987" s="93">
        <v>0</v>
      </c>
      <c r="I1987" s="93">
        <v>0</v>
      </c>
      <c r="K1987" s="93">
        <v>0</v>
      </c>
      <c r="L1987" s="93">
        <f t="shared" ref="L1987:L2050" si="270">G1987+H1987+I1987</f>
        <v>0</v>
      </c>
      <c r="M1987" s="95" t="e">
        <f t="shared" ref="M1987:M2050" ca="1" si="271">IF(A1987&gt;INDIRECT("A"&amp;ROW()-1),I1987/K1987,E1987)</f>
        <v>#DIV/0!</v>
      </c>
      <c r="N1987" s="95">
        <f>IF(P1987="Hedge Fund",IF(A1987=Summary!$AD$3,M1987-E1987,M1987),IF(A1987=Summary!$AD$3,L1987-D1987,L1987))</f>
        <v>0</v>
      </c>
      <c r="O1987" s="95">
        <f t="shared" si="268"/>
        <v>0</v>
      </c>
      <c r="P1987" s="95" t="s">
        <v>155</v>
      </c>
      <c r="Q1987" s="95">
        <v>4.7780788657178636E-2</v>
      </c>
      <c r="R1987" s="95">
        <v>0.50099444999999998</v>
      </c>
      <c r="S1987" s="95"/>
      <c r="T1987" s="95"/>
      <c r="U1987" s="95"/>
      <c r="V1987" s="95"/>
      <c r="W1987" s="95"/>
      <c r="X1987" s="95"/>
      <c r="Y1987" s="95"/>
      <c r="Z1987" s="95"/>
      <c r="AA1987" s="95"/>
      <c r="AB1987" s="95"/>
      <c r="AC1987" s="355"/>
      <c r="AD1987" s="355"/>
      <c r="AE1987" s="355"/>
      <c r="AF1987" s="94">
        <f t="shared" ref="AF1987:AF2050" si="272">A1987</f>
        <v>43434</v>
      </c>
      <c r="AG1987" s="185">
        <f t="shared" si="269"/>
        <v>1.7236000041682686E-3</v>
      </c>
      <c r="AH1987" s="339" t="str">
        <f>VLOOKUP(B1987,'MF PF'!A:B,2)</f>
        <v>FdMgt1</v>
      </c>
      <c r="AI1987" s="358">
        <f t="shared" ref="AI1987:AI2050" si="273">AF1987-A1987</f>
        <v>0</v>
      </c>
      <c r="AJ1987" s="94">
        <f t="shared" ref="AJ1987:AJ2050" si="274">EOMONTH(A1987,0)</f>
        <v>43434</v>
      </c>
    </row>
    <row r="1988" spans="1:36" ht="12.75" customHeight="1">
      <c r="A1988" s="8">
        <v>43465</v>
      </c>
      <c r="B1988" s="358" t="s">
        <v>175</v>
      </c>
      <c r="C1988" s="92" t="s">
        <v>299</v>
      </c>
      <c r="D1988" s="93">
        <v>17983559.534000002</v>
      </c>
      <c r="E1988" s="95"/>
      <c r="F1988" s="93">
        <v>15</v>
      </c>
      <c r="G1988" s="93"/>
      <c r="H1988" s="93">
        <v>0</v>
      </c>
      <c r="I1988" s="93">
        <v>0</v>
      </c>
      <c r="K1988" s="93">
        <v>0</v>
      </c>
      <c r="L1988" s="93">
        <f t="shared" si="270"/>
        <v>0</v>
      </c>
      <c r="M1988" s="95" t="e">
        <f t="shared" ca="1" si="271"/>
        <v>#DIV/0!</v>
      </c>
      <c r="N1988" s="95">
        <f>IF(P1988="Hedge Fund",IF(A1988=Summary!$AD$3,M1988-E1988,M1988),IF(A1988=Summary!$AD$3,L1988-D1988,L1988))</f>
        <v>0</v>
      </c>
      <c r="O1988" s="95">
        <f t="shared" si="268"/>
        <v>0</v>
      </c>
      <c r="P1988" s="95" t="s">
        <v>155</v>
      </c>
      <c r="Q1988" s="95">
        <v>7.1781948762528483E-2</v>
      </c>
      <c r="R1988" s="95">
        <v>0.52651050599999982</v>
      </c>
      <c r="S1988" s="95"/>
      <c r="T1988" s="95"/>
      <c r="U1988" s="95"/>
      <c r="V1988" s="95"/>
      <c r="W1988" s="95"/>
      <c r="X1988" s="95"/>
      <c r="Y1988" s="95"/>
      <c r="Z1988" s="95"/>
      <c r="AA1988" s="95"/>
      <c r="AB1988" s="95"/>
      <c r="AC1988" s="355"/>
      <c r="AD1988" s="355"/>
      <c r="AE1988" s="355"/>
      <c r="AF1988" s="94">
        <f t="shared" si="272"/>
        <v>43465</v>
      </c>
      <c r="AG1988" s="185">
        <f t="shared" si="269"/>
        <v>8.1053444090521953E-3</v>
      </c>
      <c r="AH1988" s="339" t="str">
        <f>VLOOKUP(B1988,'MF PF'!A:B,2)</f>
        <v>FdMgt1</v>
      </c>
      <c r="AI1988" s="358">
        <f t="shared" si="273"/>
        <v>0</v>
      </c>
      <c r="AJ1988" s="94">
        <f t="shared" si="274"/>
        <v>43465</v>
      </c>
    </row>
    <row r="1989" spans="1:36" s="92" customFormat="1" ht="12.75" customHeight="1">
      <c r="A1989" s="94">
        <v>43496</v>
      </c>
      <c r="B1989" s="358" t="s">
        <v>175</v>
      </c>
      <c r="C1989" s="92" t="s">
        <v>299</v>
      </c>
      <c r="D1989" s="93">
        <v>18547514.618500002</v>
      </c>
      <c r="E1989" s="95"/>
      <c r="F1989" s="93">
        <v>15</v>
      </c>
      <c r="G1989" s="93"/>
      <c r="H1989" s="93">
        <v>0</v>
      </c>
      <c r="I1989" s="93">
        <v>0</v>
      </c>
      <c r="J1989" s="93"/>
      <c r="K1989" s="93">
        <v>0</v>
      </c>
      <c r="L1989" s="93">
        <f t="shared" si="270"/>
        <v>0</v>
      </c>
      <c r="M1989" s="95" t="e">
        <f t="shared" ca="1" si="271"/>
        <v>#DIV/0!</v>
      </c>
      <c r="N1989" s="95">
        <f>IF(P1989="Hedge Fund",IF(A1989=Summary!$AD$3,M1989-E1989,M1989),IF(A1989=Summary!$AD$3,L1989-D1989,L1989))</f>
        <v>-18547514.618500002</v>
      </c>
      <c r="O1989" s="95">
        <f t="shared" si="268"/>
        <v>-18547514.618500002</v>
      </c>
      <c r="P1989" s="95" t="s">
        <v>155</v>
      </c>
      <c r="Q1989" s="95">
        <v>2.4460046844984474E-2</v>
      </c>
      <c r="R1989" s="95">
        <v>0.62603199149999988</v>
      </c>
      <c r="S1989" s="95"/>
      <c r="T1989" s="95"/>
      <c r="U1989" s="95"/>
      <c r="V1989" s="95"/>
      <c r="W1989" s="95"/>
      <c r="X1989" s="95"/>
      <c r="Y1989" s="95"/>
      <c r="Z1989" s="95"/>
      <c r="AA1989" s="95"/>
      <c r="AB1989" s="95"/>
      <c r="AC1989" s="355"/>
      <c r="AD1989" s="355"/>
      <c r="AE1989" s="355"/>
      <c r="AF1989" s="94">
        <f t="shared" si="272"/>
        <v>43496</v>
      </c>
      <c r="AG1989" s="185" t="e">
        <f>IF(C1989&lt;&gt;#REF!,D1989/G1989-1,(D1989-G1989-I1989-H1989)/(#REF!)-1)</f>
        <v>#REF!</v>
      </c>
      <c r="AH1989" s="339" t="str">
        <f>VLOOKUP(B1989,'MF PF'!A:B,2)</f>
        <v>FdMgt1</v>
      </c>
      <c r="AI1989" s="358">
        <f t="shared" si="273"/>
        <v>0</v>
      </c>
      <c r="AJ1989" s="94">
        <f t="shared" si="274"/>
        <v>43496</v>
      </c>
    </row>
    <row r="1990" spans="1:36" ht="12.75" customHeight="1">
      <c r="A1990" s="94">
        <v>42597</v>
      </c>
      <c r="B1990" s="358" t="s">
        <v>175</v>
      </c>
      <c r="C1990" s="92" t="s">
        <v>300</v>
      </c>
      <c r="D1990" s="93"/>
      <c r="E1990" s="95"/>
      <c r="F1990" s="93"/>
      <c r="G1990" s="95">
        <v>95000</v>
      </c>
      <c r="H1990" s="93"/>
      <c r="I1990" s="93"/>
      <c r="K1990" s="93"/>
      <c r="L1990" s="93">
        <f t="shared" si="270"/>
        <v>95000</v>
      </c>
      <c r="M1990" s="95">
        <f t="shared" ca="1" si="271"/>
        <v>0</v>
      </c>
      <c r="N1990" s="95">
        <f>IF(P1990="Hedge Fund",IF(A1990=Summary!$AD$3,M1990-E1990,M1990),IF(A1990=Summary!$AD$3,L1990-D1990,L1990))</f>
        <v>95000</v>
      </c>
      <c r="O1990" s="95">
        <f t="shared" si="268"/>
        <v>95000</v>
      </c>
      <c r="P1990" s="89" t="s">
        <v>155</v>
      </c>
      <c r="Q1990" s="95">
        <v>0</v>
      </c>
      <c r="R1990" s="95">
        <v>0</v>
      </c>
      <c r="S1990" s="95"/>
      <c r="T1990" s="95"/>
      <c r="U1990" s="95"/>
      <c r="V1990" s="95"/>
      <c r="W1990" s="95"/>
      <c r="X1990" s="95"/>
      <c r="Y1990" s="95"/>
      <c r="Z1990" s="95"/>
      <c r="AA1990" s="95"/>
      <c r="AB1990" s="95"/>
      <c r="AC1990" s="355"/>
      <c r="AD1990" s="355"/>
      <c r="AE1990" s="355"/>
      <c r="AF1990" s="94">
        <f t="shared" si="272"/>
        <v>42597</v>
      </c>
      <c r="AG1990" s="185">
        <f t="shared" ref="AG1990:AG2053" si="275">IF(C1990&lt;&gt;C1989,D1990/G1990-1,(D1990-G1990-I1990-H1990)/(D1989)-1)</f>
        <v>-1</v>
      </c>
      <c r="AH1990" s="339" t="str">
        <f>VLOOKUP(B1990,'MF PF'!A:B,2)</f>
        <v>FdMgt1</v>
      </c>
      <c r="AI1990" s="358">
        <f t="shared" si="273"/>
        <v>0</v>
      </c>
      <c r="AJ1990" s="94">
        <f t="shared" si="274"/>
        <v>42613</v>
      </c>
    </row>
    <row r="1991" spans="1:36" ht="12.75" customHeight="1">
      <c r="A1991" s="8">
        <v>42605</v>
      </c>
      <c r="B1991" s="358" t="s">
        <v>175</v>
      </c>
      <c r="C1991" s="92" t="s">
        <v>300</v>
      </c>
      <c r="D1991" s="93"/>
      <c r="E1991" s="95"/>
      <c r="F1991" s="93"/>
      <c r="G1991" s="95">
        <v>112000</v>
      </c>
      <c r="H1991" s="93"/>
      <c r="I1991" s="93"/>
      <c r="K1991" s="93"/>
      <c r="L1991" s="93">
        <f t="shared" si="270"/>
        <v>112000</v>
      </c>
      <c r="M1991" s="95" t="e">
        <f t="shared" ca="1" si="271"/>
        <v>#DIV/0!</v>
      </c>
      <c r="N1991" s="95">
        <f>IF(P1991="Hedge Fund",IF(A1991=Summary!$AD$3,M1991-E1991,M1991),IF(A1991=Summary!$AD$3,L1991-D1991,L1991))</f>
        <v>112000</v>
      </c>
      <c r="O1991" s="95">
        <f t="shared" si="268"/>
        <v>112000</v>
      </c>
      <c r="P1991" s="89" t="s">
        <v>155</v>
      </c>
      <c r="Q1991" s="95">
        <v>0</v>
      </c>
      <c r="R1991" s="95">
        <v>0</v>
      </c>
      <c r="S1991" s="95"/>
      <c r="T1991" s="95"/>
      <c r="U1991" s="95"/>
      <c r="V1991" s="95"/>
      <c r="W1991" s="95"/>
      <c r="X1991" s="95"/>
      <c r="Y1991" s="95"/>
      <c r="Z1991" s="95"/>
      <c r="AA1991" s="95"/>
      <c r="AB1991" s="95"/>
      <c r="AC1991" s="355"/>
      <c r="AD1991" s="355"/>
      <c r="AE1991" s="355"/>
      <c r="AF1991" s="94">
        <f t="shared" si="272"/>
        <v>42605</v>
      </c>
      <c r="AG1991" s="185" t="e">
        <f t="shared" si="275"/>
        <v>#DIV/0!</v>
      </c>
      <c r="AH1991" s="339" t="str">
        <f>VLOOKUP(B1991,'MF PF'!A:B,2)</f>
        <v>FdMgt1</v>
      </c>
      <c r="AI1991" s="358">
        <f t="shared" si="273"/>
        <v>0</v>
      </c>
      <c r="AJ1991" s="94">
        <f t="shared" si="274"/>
        <v>42613</v>
      </c>
    </row>
    <row r="1992" spans="1:36" ht="12.75" customHeight="1">
      <c r="A1992" s="8">
        <v>42634</v>
      </c>
      <c r="B1992" s="358" t="s">
        <v>175</v>
      </c>
      <c r="C1992" s="92" t="s">
        <v>300</v>
      </c>
      <c r="D1992" s="93"/>
      <c r="E1992" s="95"/>
      <c r="F1992" s="93"/>
      <c r="G1992" s="95">
        <v>249000</v>
      </c>
      <c r="H1992" s="93"/>
      <c r="I1992" s="93"/>
      <c r="K1992" s="93"/>
      <c r="L1992" s="93">
        <f t="shared" si="270"/>
        <v>249000</v>
      </c>
      <c r="M1992" s="95" t="e">
        <f t="shared" ca="1" si="271"/>
        <v>#DIV/0!</v>
      </c>
      <c r="N1992" s="95">
        <f>IF(P1992="Hedge Fund",IF(A1992=Summary!$AD$3,M1992-E1992,M1992),IF(A1992=Summary!$AD$3,L1992-D1992,L1992))</f>
        <v>249000</v>
      </c>
      <c r="O1992" s="95">
        <f t="shared" si="268"/>
        <v>249000</v>
      </c>
      <c r="P1992" s="89" t="s">
        <v>155</v>
      </c>
      <c r="Q1992" s="95">
        <v>0</v>
      </c>
      <c r="R1992" s="95">
        <v>0</v>
      </c>
      <c r="S1992" s="95"/>
      <c r="T1992" s="95"/>
      <c r="U1992" s="95"/>
      <c r="V1992" s="95"/>
      <c r="W1992" s="95"/>
      <c r="X1992" s="95"/>
      <c r="Y1992" s="95"/>
      <c r="Z1992" s="95"/>
      <c r="AA1992" s="95"/>
      <c r="AB1992" s="95"/>
      <c r="AC1992" s="355"/>
      <c r="AD1992" s="355"/>
      <c r="AE1992" s="355"/>
      <c r="AF1992" s="94">
        <f t="shared" si="272"/>
        <v>42634</v>
      </c>
      <c r="AG1992" s="185" t="e">
        <f t="shared" si="275"/>
        <v>#DIV/0!</v>
      </c>
      <c r="AH1992" s="339" t="str">
        <f>VLOOKUP(B1992,'MF PF'!A:B,2)</f>
        <v>FdMgt1</v>
      </c>
      <c r="AI1992" s="358">
        <f t="shared" si="273"/>
        <v>0</v>
      </c>
      <c r="AJ1992" s="94">
        <f t="shared" si="274"/>
        <v>42643</v>
      </c>
    </row>
    <row r="1993" spans="1:36" ht="12.75" customHeight="1">
      <c r="A1993" s="8">
        <v>42643</v>
      </c>
      <c r="B1993" s="358" t="s">
        <v>175</v>
      </c>
      <c r="C1993" s="92" t="s">
        <v>300</v>
      </c>
      <c r="D1993" s="93">
        <v>472559.59</v>
      </c>
      <c r="E1993" s="95"/>
      <c r="F1993" s="93"/>
      <c r="G1993" s="95"/>
      <c r="H1993" s="93"/>
      <c r="I1993" s="93"/>
      <c r="K1993" s="93"/>
      <c r="L1993" s="93">
        <f t="shared" si="270"/>
        <v>0</v>
      </c>
      <c r="M1993" s="95" t="e">
        <f t="shared" ca="1" si="271"/>
        <v>#DIV/0!</v>
      </c>
      <c r="N1993" s="95">
        <f>IF(P1993="Hedge Fund",IF(A1993=Summary!$AD$3,M1993-E1993,M1993),IF(A1993=Summary!$AD$3,L1993-D1993,L1993))</f>
        <v>0</v>
      </c>
      <c r="O1993" s="95">
        <f t="shared" si="268"/>
        <v>0</v>
      </c>
      <c r="P1993" s="89" t="s">
        <v>155</v>
      </c>
      <c r="Q1993" s="95">
        <v>9.1833000000000008E-4</v>
      </c>
      <c r="R1993" s="95">
        <v>2.9222800000000002E-3</v>
      </c>
      <c r="S1993" s="95"/>
      <c r="T1993" s="95"/>
      <c r="U1993" s="95"/>
      <c r="V1993" s="95"/>
      <c r="W1993" s="95"/>
      <c r="X1993" s="95"/>
      <c r="Y1993" s="95"/>
      <c r="Z1993" s="95"/>
      <c r="AA1993" s="95"/>
      <c r="AB1993" s="95"/>
      <c r="AC1993" s="355"/>
      <c r="AD1993" s="355"/>
      <c r="AE1993" s="355"/>
      <c r="AF1993" s="94">
        <f t="shared" si="272"/>
        <v>42643</v>
      </c>
      <c r="AG1993" s="185" t="e">
        <f t="shared" si="275"/>
        <v>#DIV/0!</v>
      </c>
      <c r="AH1993" s="339" t="str">
        <f>VLOOKUP(B1993,'MF PF'!A:B,2)</f>
        <v>FdMgt1</v>
      </c>
      <c r="AI1993" s="358">
        <f t="shared" si="273"/>
        <v>0</v>
      </c>
      <c r="AJ1993" s="94">
        <f t="shared" si="274"/>
        <v>42643</v>
      </c>
    </row>
    <row r="1994" spans="1:36" ht="12.75" customHeight="1">
      <c r="A1994" s="8">
        <v>42655</v>
      </c>
      <c r="B1994" s="358" t="s">
        <v>175</v>
      </c>
      <c r="C1994" s="92" t="s">
        <v>300</v>
      </c>
      <c r="D1994" s="93"/>
      <c r="E1994" s="95"/>
      <c r="F1994" s="93"/>
      <c r="G1994" s="95">
        <v>195000</v>
      </c>
      <c r="H1994" s="93"/>
      <c r="I1994" s="93"/>
      <c r="K1994" s="93"/>
      <c r="L1994" s="93">
        <f t="shared" si="270"/>
        <v>195000</v>
      </c>
      <c r="M1994" s="95" t="e">
        <f t="shared" ca="1" si="271"/>
        <v>#DIV/0!</v>
      </c>
      <c r="N1994" s="95">
        <f>IF(P1994="Hedge Fund",IF(A1994=Summary!$AD$3,M1994-E1994,M1994),IF(A1994=Summary!$AD$3,L1994-D1994,L1994))</f>
        <v>195000</v>
      </c>
      <c r="O1994" s="95">
        <f t="shared" si="268"/>
        <v>195000</v>
      </c>
      <c r="P1994" s="89" t="s">
        <v>155</v>
      </c>
      <c r="Q1994" s="95">
        <v>0</v>
      </c>
      <c r="R1994" s="95">
        <v>0</v>
      </c>
      <c r="S1994" s="95"/>
      <c r="T1994" s="95"/>
      <c r="U1994" s="95"/>
      <c r="V1994" s="95"/>
      <c r="W1994" s="95"/>
      <c r="X1994" s="95"/>
      <c r="Y1994" s="95"/>
      <c r="Z1994" s="95"/>
      <c r="AA1994" s="95"/>
      <c r="AB1994" s="95"/>
      <c r="AC1994" s="355"/>
      <c r="AD1994" s="355"/>
      <c r="AE1994" s="355"/>
      <c r="AF1994" s="94">
        <f t="shared" si="272"/>
        <v>42655</v>
      </c>
      <c r="AG1994" s="185">
        <f t="shared" si="275"/>
        <v>-1.4126463712227277</v>
      </c>
      <c r="AH1994" s="339" t="str">
        <f>VLOOKUP(B1994,'MF PF'!A:B,2)</f>
        <v>FdMgt1</v>
      </c>
      <c r="AI1994" s="358">
        <f t="shared" si="273"/>
        <v>0</v>
      </c>
      <c r="AJ1994" s="94">
        <f t="shared" si="274"/>
        <v>42674</v>
      </c>
    </row>
    <row r="1995" spans="1:36" ht="12.75" customHeight="1">
      <c r="A1995" s="94">
        <v>42667</v>
      </c>
      <c r="B1995" s="358" t="s">
        <v>175</v>
      </c>
      <c r="C1995" s="92" t="s">
        <v>300</v>
      </c>
      <c r="D1995" s="93"/>
      <c r="E1995" s="95"/>
      <c r="F1995" s="93"/>
      <c r="G1995" s="95">
        <v>146000</v>
      </c>
      <c r="H1995" s="93"/>
      <c r="I1995" s="93"/>
      <c r="K1995" s="93"/>
      <c r="L1995" s="93">
        <f t="shared" si="270"/>
        <v>146000</v>
      </c>
      <c r="M1995" s="95" t="e">
        <f t="shared" ca="1" si="271"/>
        <v>#DIV/0!</v>
      </c>
      <c r="N1995" s="95">
        <f>IF(P1995="Hedge Fund",IF(A1995=Summary!$AD$3,M1995-E1995,M1995),IF(A1995=Summary!$AD$3,L1995-D1995,L1995))</f>
        <v>146000</v>
      </c>
      <c r="O1995" s="95">
        <f t="shared" si="268"/>
        <v>146000</v>
      </c>
      <c r="P1995" s="89" t="s">
        <v>155</v>
      </c>
      <c r="Q1995" s="95">
        <v>0</v>
      </c>
      <c r="R1995" s="95">
        <v>0</v>
      </c>
      <c r="S1995" s="95"/>
      <c r="T1995" s="95"/>
      <c r="U1995" s="95"/>
      <c r="V1995" s="95"/>
      <c r="W1995" s="95"/>
      <c r="X1995" s="95"/>
      <c r="Y1995" s="95"/>
      <c r="Z1995" s="95"/>
      <c r="AA1995" s="95"/>
      <c r="AB1995" s="95"/>
      <c r="AC1995" s="355"/>
      <c r="AD1995" s="355"/>
      <c r="AE1995" s="355"/>
      <c r="AF1995" s="94">
        <f t="shared" si="272"/>
        <v>42667</v>
      </c>
      <c r="AG1995" s="185" t="e">
        <f t="shared" si="275"/>
        <v>#DIV/0!</v>
      </c>
      <c r="AH1995" s="339" t="str">
        <f>VLOOKUP(B1995,'MF PF'!A:B,2)</f>
        <v>FdMgt1</v>
      </c>
      <c r="AI1995" s="358">
        <f t="shared" si="273"/>
        <v>0</v>
      </c>
      <c r="AJ1995" s="94">
        <f t="shared" si="274"/>
        <v>42674</v>
      </c>
    </row>
    <row r="1996" spans="1:36" ht="12.75" customHeight="1">
      <c r="A1996" s="8">
        <v>42674</v>
      </c>
      <c r="B1996" s="358" t="s">
        <v>175</v>
      </c>
      <c r="C1996" s="92" t="s">
        <v>300</v>
      </c>
      <c r="D1996" s="93">
        <v>842268.55</v>
      </c>
      <c r="E1996" s="95"/>
      <c r="F1996" s="93"/>
      <c r="G1996" s="95"/>
      <c r="H1996" s="93"/>
      <c r="I1996" s="93"/>
      <c r="K1996" s="93"/>
      <c r="L1996" s="93">
        <f t="shared" si="270"/>
        <v>0</v>
      </c>
      <c r="M1996" s="95" t="e">
        <f t="shared" ca="1" si="271"/>
        <v>#DIV/0!</v>
      </c>
      <c r="N1996" s="95">
        <f>IF(P1996="Hedge Fund",IF(A1996=Summary!$AD$3,M1996-E1996,M1996),IF(A1996=Summary!$AD$3,L1996-D1996,L1996))</f>
        <v>0</v>
      </c>
      <c r="O1996" s="95">
        <f t="shared" si="268"/>
        <v>0</v>
      </c>
      <c r="P1996" s="89" t="s">
        <v>155</v>
      </c>
      <c r="Q1996" s="95">
        <v>1.0817299999999999E-3</v>
      </c>
      <c r="R1996" s="95">
        <v>7.9885700000000004E-3</v>
      </c>
      <c r="S1996" s="95"/>
      <c r="T1996" s="95"/>
      <c r="U1996" s="95"/>
      <c r="V1996" s="95"/>
      <c r="W1996" s="95"/>
      <c r="X1996" s="95"/>
      <c r="Y1996" s="95"/>
      <c r="Z1996" s="95"/>
      <c r="AA1996" s="95"/>
      <c r="AB1996" s="95"/>
      <c r="AC1996" s="355"/>
      <c r="AD1996" s="355"/>
      <c r="AE1996" s="355"/>
      <c r="AF1996" s="94">
        <f t="shared" si="272"/>
        <v>42674</v>
      </c>
      <c r="AG1996" s="185" t="e">
        <f t="shared" si="275"/>
        <v>#DIV/0!</v>
      </c>
      <c r="AH1996" s="339" t="str">
        <f>VLOOKUP(B1996,'MF PF'!A:B,2)</f>
        <v>FdMgt1</v>
      </c>
      <c r="AI1996" s="358">
        <f t="shared" si="273"/>
        <v>0</v>
      </c>
      <c r="AJ1996" s="94">
        <f t="shared" si="274"/>
        <v>42674</v>
      </c>
    </row>
    <row r="1997" spans="1:36" ht="12.75" customHeight="1">
      <c r="A1997" s="94">
        <v>42695</v>
      </c>
      <c r="B1997" s="358" t="s">
        <v>175</v>
      </c>
      <c r="C1997" s="358" t="s">
        <v>300</v>
      </c>
      <c r="D1997" s="93"/>
      <c r="E1997" s="95"/>
      <c r="F1997" s="93"/>
      <c r="G1997" s="358"/>
      <c r="H1997" s="93"/>
      <c r="I1997" s="95">
        <f>-415869*0</f>
        <v>0</v>
      </c>
      <c r="K1997" s="93"/>
      <c r="L1997" s="93">
        <f t="shared" si="270"/>
        <v>0</v>
      </c>
      <c r="M1997" s="95" t="e">
        <f t="shared" ca="1" si="271"/>
        <v>#DIV/0!</v>
      </c>
      <c r="N1997" s="95">
        <f>IF(P1997="Hedge Fund",IF(A1997=Summary!$AD$3,M1997-E1997,M1997),IF(A1997=Summary!$AD$3,L1997-D1997,L1997))</f>
        <v>0</v>
      </c>
      <c r="O1997" s="95">
        <f t="shared" si="268"/>
        <v>0</v>
      </c>
      <c r="P1997" s="89" t="s">
        <v>155</v>
      </c>
      <c r="Q1997" s="95">
        <v>0</v>
      </c>
      <c r="R1997" s="95">
        <v>0</v>
      </c>
      <c r="S1997" s="95"/>
      <c r="T1997" s="95"/>
      <c r="U1997" s="95"/>
      <c r="V1997" s="95"/>
      <c r="W1997" s="95"/>
      <c r="X1997" s="95"/>
      <c r="Y1997" s="95"/>
      <c r="Z1997" s="95"/>
      <c r="AA1997" s="95"/>
      <c r="AB1997" s="95"/>
      <c r="AC1997" s="355"/>
      <c r="AD1997" s="355"/>
      <c r="AE1997" s="355"/>
      <c r="AF1997" s="94">
        <f t="shared" si="272"/>
        <v>42695</v>
      </c>
      <c r="AG1997" s="185">
        <f t="shared" si="275"/>
        <v>-1</v>
      </c>
      <c r="AH1997" s="339" t="str">
        <f>VLOOKUP(B1997,'MF PF'!A:B,2)</f>
        <v>FdMgt1</v>
      </c>
      <c r="AI1997" s="358">
        <f t="shared" si="273"/>
        <v>0</v>
      </c>
      <c r="AJ1997" s="94">
        <f t="shared" si="274"/>
        <v>42704</v>
      </c>
    </row>
    <row r="1998" spans="1:36" ht="12.75" customHeight="1">
      <c r="A1998" s="94">
        <v>42695</v>
      </c>
      <c r="B1998" s="358" t="s">
        <v>175</v>
      </c>
      <c r="C1998" s="358" t="s">
        <v>300</v>
      </c>
      <c r="D1998" s="93"/>
      <c r="E1998" s="95"/>
      <c r="F1998" s="93"/>
      <c r="G1998" s="95">
        <f>68000*0</f>
        <v>0</v>
      </c>
      <c r="H1998" s="93"/>
      <c r="I1998" s="93"/>
      <c r="K1998" s="93"/>
      <c r="L1998" s="93">
        <f t="shared" si="270"/>
        <v>0</v>
      </c>
      <c r="M1998" s="95">
        <f t="shared" ca="1" si="271"/>
        <v>0</v>
      </c>
      <c r="N1998" s="95">
        <f>IF(P1998="Hedge Fund",IF(A1998=Summary!$AD$3,M1998-E1998,M1998),IF(A1998=Summary!$AD$3,L1998-D1998,L1998))</f>
        <v>0</v>
      </c>
      <c r="O1998" s="95">
        <f t="shared" ref="O1998:O2033" si="276">N1998</f>
        <v>0</v>
      </c>
      <c r="P1998" s="89" t="s">
        <v>155</v>
      </c>
      <c r="Q1998" s="95">
        <v>0</v>
      </c>
      <c r="R1998" s="95">
        <v>0</v>
      </c>
      <c r="S1998" s="95"/>
      <c r="T1998" s="95"/>
      <c r="U1998" s="95"/>
      <c r="V1998" s="95"/>
      <c r="W1998" s="95"/>
      <c r="X1998" s="95"/>
      <c r="Y1998" s="95"/>
      <c r="Z1998" s="95"/>
      <c r="AA1998" s="95"/>
      <c r="AB1998" s="95"/>
      <c r="AC1998" s="355"/>
      <c r="AD1998" s="355"/>
      <c r="AE1998" s="355"/>
      <c r="AF1998" s="94">
        <f t="shared" si="272"/>
        <v>42695</v>
      </c>
      <c r="AG1998" s="185" t="e">
        <f t="shared" si="275"/>
        <v>#DIV/0!</v>
      </c>
      <c r="AH1998" s="339" t="str">
        <f>VLOOKUP(B1998,'MF PF'!A:B,2)</f>
        <v>FdMgt1</v>
      </c>
      <c r="AI1998" s="358">
        <f t="shared" si="273"/>
        <v>0</v>
      </c>
      <c r="AJ1998" s="94">
        <f t="shared" si="274"/>
        <v>42704</v>
      </c>
    </row>
    <row r="1999" spans="1:36" ht="12.75" customHeight="1">
      <c r="A1999" s="94">
        <v>42703</v>
      </c>
      <c r="B1999" s="358" t="s">
        <v>175</v>
      </c>
      <c r="C1999" s="358" t="s">
        <v>300</v>
      </c>
      <c r="D1999" s="93"/>
      <c r="E1999" s="95"/>
      <c r="F1999" s="93"/>
      <c r="G1999" s="95">
        <f>161000*0</f>
        <v>0</v>
      </c>
      <c r="H1999" s="93"/>
      <c r="I1999" s="93"/>
      <c r="K1999" s="93"/>
      <c r="L1999" s="93">
        <f t="shared" si="270"/>
        <v>0</v>
      </c>
      <c r="M1999" s="95" t="e">
        <f t="shared" ca="1" si="271"/>
        <v>#DIV/0!</v>
      </c>
      <c r="N1999" s="95">
        <f>IF(P1999="Hedge Fund",IF(A1999=Summary!$AD$3,M1999-E1999,M1999),IF(A1999=Summary!$AD$3,L1999-D1999,L1999))</f>
        <v>0</v>
      </c>
      <c r="O1999" s="95">
        <f t="shared" si="276"/>
        <v>0</v>
      </c>
      <c r="P1999" s="107" t="s">
        <v>155</v>
      </c>
      <c r="Q1999" s="95">
        <v>0</v>
      </c>
      <c r="R1999" s="95">
        <v>0</v>
      </c>
      <c r="S1999" s="95"/>
      <c r="T1999" s="95"/>
      <c r="U1999" s="95"/>
      <c r="V1999" s="95"/>
      <c r="W1999" s="95"/>
      <c r="X1999" s="95"/>
      <c r="Y1999" s="95"/>
      <c r="Z1999" s="95"/>
      <c r="AA1999" s="95"/>
      <c r="AB1999" s="95"/>
      <c r="AC1999" s="355"/>
      <c r="AD1999" s="355"/>
      <c r="AE1999" s="355"/>
      <c r="AF1999" s="94">
        <f t="shared" si="272"/>
        <v>42703</v>
      </c>
      <c r="AG1999" s="185" t="e">
        <f t="shared" si="275"/>
        <v>#DIV/0!</v>
      </c>
      <c r="AH1999" s="339" t="str">
        <f>VLOOKUP(B1999,'MF PF'!A:B,2)</f>
        <v>FdMgt1</v>
      </c>
      <c r="AI1999" s="358">
        <f t="shared" si="273"/>
        <v>0</v>
      </c>
      <c r="AJ1999" s="94">
        <f t="shared" si="274"/>
        <v>42704</v>
      </c>
    </row>
    <row r="2000" spans="1:36" ht="12.75" customHeight="1">
      <c r="A2000" s="94">
        <v>42704</v>
      </c>
      <c r="B2000" s="358" t="s">
        <v>175</v>
      </c>
      <c r="C2000" s="92" t="s">
        <v>300</v>
      </c>
      <c r="D2000" s="93">
        <v>658449.07999999996</v>
      </c>
      <c r="E2000" s="95"/>
      <c r="F2000" s="93"/>
      <c r="G2000" s="95"/>
      <c r="H2000" s="93"/>
      <c r="I2000" s="93"/>
      <c r="K2000" s="93"/>
      <c r="L2000" s="93">
        <f t="shared" si="270"/>
        <v>0</v>
      </c>
      <c r="M2000" s="95" t="e">
        <f t="shared" ca="1" si="271"/>
        <v>#DIV/0!</v>
      </c>
      <c r="N2000" s="95">
        <f>IF(P2000="Hedge Fund",IF(A2000=Summary!$AD$3,M2000-E2000,M2000),IF(A2000=Summary!$AD$3,L2000-D2000,L2000))</f>
        <v>0</v>
      </c>
      <c r="O2000" s="95">
        <f t="shared" si="276"/>
        <v>0</v>
      </c>
      <c r="P2000" s="107" t="s">
        <v>155</v>
      </c>
      <c r="Q2000" s="95">
        <v>1.67162E-3</v>
      </c>
      <c r="R2000" s="95">
        <v>8.5267199999999998E-3</v>
      </c>
      <c r="S2000" s="95"/>
      <c r="T2000" s="95"/>
      <c r="U2000" s="95"/>
      <c r="V2000" s="95"/>
      <c r="W2000" s="95"/>
      <c r="X2000" s="95"/>
      <c r="Y2000" s="95"/>
      <c r="Z2000" s="95"/>
      <c r="AA2000" s="95"/>
      <c r="AB2000" s="95"/>
      <c r="AC2000" s="355"/>
      <c r="AD2000" s="355"/>
      <c r="AE2000" s="355"/>
      <c r="AF2000" s="94">
        <f t="shared" si="272"/>
        <v>42704</v>
      </c>
      <c r="AG2000" s="185" t="e">
        <f t="shared" si="275"/>
        <v>#DIV/0!</v>
      </c>
      <c r="AH2000" s="339" t="str">
        <f>VLOOKUP(B2000,'MF PF'!A:B,2)</f>
        <v>FdMgt1</v>
      </c>
      <c r="AI2000" s="358">
        <f t="shared" si="273"/>
        <v>0</v>
      </c>
      <c r="AJ2000" s="94">
        <f t="shared" si="274"/>
        <v>42704</v>
      </c>
    </row>
    <row r="2001" spans="1:36" ht="12.75" customHeight="1">
      <c r="A2001" s="8">
        <v>42735</v>
      </c>
      <c r="B2001" s="358" t="s">
        <v>175</v>
      </c>
      <c r="C2001" s="92" t="s">
        <v>300</v>
      </c>
      <c r="D2001" s="93">
        <v>651252.27</v>
      </c>
      <c r="E2001" s="95"/>
      <c r="F2001" s="93"/>
      <c r="G2001" s="95"/>
      <c r="H2001" s="93"/>
      <c r="I2001" s="93"/>
      <c r="K2001" s="93"/>
      <c r="L2001" s="93">
        <f t="shared" si="270"/>
        <v>0</v>
      </c>
      <c r="M2001" s="95" t="e">
        <f t="shared" ca="1" si="271"/>
        <v>#DIV/0!</v>
      </c>
      <c r="N2001" s="95">
        <f>IF(P2001="Hedge Fund",IF(A2001=Summary!$AD$3,M2001-E2001,M2001),IF(A2001=Summary!$AD$3,L2001-D2001,L2001))</f>
        <v>0</v>
      </c>
      <c r="O2001" s="95">
        <f t="shared" si="276"/>
        <v>0</v>
      </c>
      <c r="P2001" s="89" t="s">
        <v>155</v>
      </c>
      <c r="Q2001" s="95">
        <v>2.7104899999999999E-3</v>
      </c>
      <c r="R2001" s="95">
        <v>7.2566999999999996E-3</v>
      </c>
      <c r="S2001" s="95"/>
      <c r="T2001" s="95"/>
      <c r="U2001" s="95"/>
      <c r="V2001" s="95"/>
      <c r="W2001" s="95"/>
      <c r="X2001" s="95"/>
      <c r="Y2001" s="95"/>
      <c r="Z2001" s="95"/>
      <c r="AA2001" s="95"/>
      <c r="AB2001" s="95"/>
      <c r="AC2001" s="355"/>
      <c r="AD2001" s="355"/>
      <c r="AE2001" s="355"/>
      <c r="AF2001" s="94">
        <f t="shared" si="272"/>
        <v>42735</v>
      </c>
      <c r="AG2001" s="185">
        <f t="shared" si="275"/>
        <v>-1.0929941613708305E-2</v>
      </c>
      <c r="AH2001" s="339" t="str">
        <f>VLOOKUP(B2001,'MF PF'!A:B,2)</f>
        <v>FdMgt1</v>
      </c>
      <c r="AI2001" s="358">
        <f t="shared" si="273"/>
        <v>0</v>
      </c>
      <c r="AJ2001" s="94">
        <f t="shared" si="274"/>
        <v>42735</v>
      </c>
    </row>
    <row r="2002" spans="1:36" ht="12.75" customHeight="1">
      <c r="A2002" s="8">
        <v>42766</v>
      </c>
      <c r="B2002" s="358" t="s">
        <v>175</v>
      </c>
      <c r="C2002" s="92" t="s">
        <v>300</v>
      </c>
      <c r="D2002" s="93">
        <v>664227.72</v>
      </c>
      <c r="E2002" s="95"/>
      <c r="F2002" s="93"/>
      <c r="G2002" s="95"/>
      <c r="H2002" s="93"/>
      <c r="I2002" s="93"/>
      <c r="K2002" s="93"/>
      <c r="L2002" s="93">
        <f t="shared" si="270"/>
        <v>0</v>
      </c>
      <c r="M2002" s="95" t="e">
        <f t="shared" ca="1" si="271"/>
        <v>#DIV/0!</v>
      </c>
      <c r="N2002" s="95">
        <f>IF(P2002="Hedge Fund",IF(A2002=Summary!$AD$3,M2002-E2002,M2002),IF(A2002=Summary!$AD$3,L2002-D2002,L2002))</f>
        <v>0</v>
      </c>
      <c r="O2002" s="95">
        <f t="shared" si="276"/>
        <v>0</v>
      </c>
      <c r="P2002" s="107" t="s">
        <v>155</v>
      </c>
      <c r="Q2002" s="95">
        <v>3.4933000000000004E-3</v>
      </c>
      <c r="R2002" s="95">
        <v>9.5464799999999995E-3</v>
      </c>
      <c r="S2002" s="95"/>
      <c r="T2002" s="95"/>
      <c r="U2002" s="95"/>
      <c r="V2002" s="95"/>
      <c r="W2002" s="95"/>
      <c r="X2002" s="95"/>
      <c r="Y2002" s="95"/>
      <c r="Z2002" s="95"/>
      <c r="AA2002" s="95"/>
      <c r="AB2002" s="95"/>
      <c r="AC2002" s="355"/>
      <c r="AD2002" s="355"/>
      <c r="AE2002" s="355"/>
      <c r="AF2002" s="94">
        <f t="shared" si="272"/>
        <v>42766</v>
      </c>
      <c r="AG2002" s="185">
        <f t="shared" si="275"/>
        <v>1.9923846100375231E-2</v>
      </c>
      <c r="AH2002" s="339" t="str">
        <f>VLOOKUP(B2002,'MF PF'!A:B,2)</f>
        <v>FdMgt1</v>
      </c>
      <c r="AI2002" s="358">
        <f t="shared" si="273"/>
        <v>0</v>
      </c>
      <c r="AJ2002" s="94">
        <f t="shared" si="274"/>
        <v>42766</v>
      </c>
    </row>
    <row r="2003" spans="1:36" ht="12.75" customHeight="1">
      <c r="A2003" s="8">
        <v>42793</v>
      </c>
      <c r="B2003" s="358" t="s">
        <v>175</v>
      </c>
      <c r="C2003" s="92" t="s">
        <v>300</v>
      </c>
      <c r="D2003" s="93"/>
      <c r="E2003" s="95"/>
      <c r="F2003" s="93"/>
      <c r="G2003" s="95">
        <f>94000*0</f>
        <v>0</v>
      </c>
      <c r="H2003" s="93"/>
      <c r="I2003" s="93"/>
      <c r="K2003" s="93"/>
      <c r="L2003" s="93">
        <f t="shared" si="270"/>
        <v>0</v>
      </c>
      <c r="M2003" s="95" t="e">
        <f t="shared" ca="1" si="271"/>
        <v>#DIV/0!</v>
      </c>
      <c r="N2003" s="95">
        <f>IF(P2003="Hedge Fund",IF(A2003=Summary!$AD$3,M2003-E2003,M2003),IF(A2003=Summary!$AD$3,L2003-D2003,L2003))</f>
        <v>0</v>
      </c>
      <c r="O2003" s="95">
        <f t="shared" si="276"/>
        <v>0</v>
      </c>
      <c r="P2003" s="107" t="s">
        <v>155</v>
      </c>
      <c r="Q2003" s="95">
        <v>0</v>
      </c>
      <c r="R2003" s="95">
        <v>0</v>
      </c>
      <c r="S2003" s="95"/>
      <c r="T2003" s="95"/>
      <c r="U2003" s="95"/>
      <c r="V2003" s="95"/>
      <c r="W2003" s="95"/>
      <c r="X2003" s="95"/>
      <c r="Y2003" s="95"/>
      <c r="Z2003" s="95"/>
      <c r="AA2003" s="95"/>
      <c r="AB2003" s="95"/>
      <c r="AC2003" s="355"/>
      <c r="AD2003" s="355"/>
      <c r="AE2003" s="355"/>
      <c r="AF2003" s="94">
        <f t="shared" si="272"/>
        <v>42793</v>
      </c>
      <c r="AG2003" s="185">
        <f t="shared" si="275"/>
        <v>-1</v>
      </c>
      <c r="AH2003" s="339" t="str">
        <f>VLOOKUP(B2003,'MF PF'!A:B,2)</f>
        <v>FdMgt1</v>
      </c>
      <c r="AI2003" s="358">
        <f t="shared" si="273"/>
        <v>0</v>
      </c>
      <c r="AJ2003" s="94">
        <f t="shared" si="274"/>
        <v>42794</v>
      </c>
    </row>
    <row r="2004" spans="1:36" ht="12.75" customHeight="1">
      <c r="A2004" s="8">
        <v>42794</v>
      </c>
      <c r="B2004" s="358" t="s">
        <v>175</v>
      </c>
      <c r="C2004" s="92" t="s">
        <v>300</v>
      </c>
      <c r="D2004" s="93">
        <v>708820.35</v>
      </c>
      <c r="E2004" s="95"/>
      <c r="F2004" s="93"/>
      <c r="G2004" s="95"/>
      <c r="H2004" s="93"/>
      <c r="I2004" s="93"/>
      <c r="K2004" s="93"/>
      <c r="L2004" s="93">
        <f t="shared" si="270"/>
        <v>0</v>
      </c>
      <c r="M2004" s="95" t="e">
        <f t="shared" ca="1" si="271"/>
        <v>#DIV/0!</v>
      </c>
      <c r="N2004" s="95">
        <f>IF(P2004="Hedge Fund",IF(A2004=Summary!$AD$3,M2004-E2004,M2004),IF(A2004=Summary!$AD$3,L2004-D2004,L2004))</f>
        <v>0</v>
      </c>
      <c r="O2004" s="95">
        <f t="shared" si="276"/>
        <v>0</v>
      </c>
      <c r="P2004" s="107" t="s">
        <v>155</v>
      </c>
      <c r="Q2004" s="95">
        <v>3.1684199999999999E-3</v>
      </c>
      <c r="R2004" s="95">
        <v>1.9156999999999998E-4</v>
      </c>
      <c r="S2004" s="95"/>
      <c r="T2004" s="95"/>
      <c r="U2004" s="95"/>
      <c r="V2004" s="95"/>
      <c r="W2004" s="95"/>
      <c r="X2004" s="95"/>
      <c r="Y2004" s="95"/>
      <c r="Z2004" s="95"/>
      <c r="AA2004" s="95"/>
      <c r="AB2004" s="95"/>
      <c r="AC2004" s="355"/>
      <c r="AD2004" s="355"/>
      <c r="AE2004" s="355"/>
      <c r="AF2004" s="94">
        <f t="shared" si="272"/>
        <v>42794</v>
      </c>
      <c r="AG2004" s="185" t="e">
        <f t="shared" si="275"/>
        <v>#DIV/0!</v>
      </c>
      <c r="AH2004" s="339" t="str">
        <f>VLOOKUP(B2004,'MF PF'!A:B,2)</f>
        <v>FdMgt1</v>
      </c>
      <c r="AI2004" s="358">
        <f t="shared" si="273"/>
        <v>0</v>
      </c>
      <c r="AJ2004" s="94">
        <f t="shared" si="274"/>
        <v>42794</v>
      </c>
    </row>
    <row r="2005" spans="1:36" ht="12.75" customHeight="1">
      <c r="A2005" s="94">
        <v>42825</v>
      </c>
      <c r="B2005" s="358" t="s">
        <v>175</v>
      </c>
      <c r="C2005" s="92" t="s">
        <v>300</v>
      </c>
      <c r="D2005" s="93">
        <v>761119.1</v>
      </c>
      <c r="E2005" s="95"/>
      <c r="F2005" s="93"/>
      <c r="G2005" s="95"/>
      <c r="H2005" s="93"/>
      <c r="I2005" s="93"/>
      <c r="K2005" s="93"/>
      <c r="L2005" s="93">
        <f t="shared" si="270"/>
        <v>0</v>
      </c>
      <c r="M2005" s="95" t="e">
        <f t="shared" ca="1" si="271"/>
        <v>#DIV/0!</v>
      </c>
      <c r="N2005" s="95">
        <f>IF(P2005="Hedge Fund",IF(A2005=Summary!$AD$3,M2005-E2005,M2005),IF(A2005=Summary!$AD$3,L2005-D2005,L2005))</f>
        <v>0</v>
      </c>
      <c r="O2005" s="95">
        <f t="shared" si="276"/>
        <v>0</v>
      </c>
      <c r="P2005" s="107" t="s">
        <v>155</v>
      </c>
      <c r="Q2005" s="95">
        <v>5.4525699999999995E-3</v>
      </c>
      <c r="R2005" s="95">
        <v>1.005672E-2</v>
      </c>
      <c r="S2005" s="95"/>
      <c r="T2005" s="95"/>
      <c r="U2005" s="95"/>
      <c r="V2005" s="95"/>
      <c r="W2005" s="95"/>
      <c r="X2005" s="95"/>
      <c r="Y2005" s="95"/>
      <c r="Z2005" s="95"/>
      <c r="AA2005" s="95"/>
      <c r="AB2005" s="95"/>
      <c r="AC2005" s="355"/>
      <c r="AD2005" s="355"/>
      <c r="AE2005" s="355"/>
      <c r="AF2005" s="94">
        <f t="shared" si="272"/>
        <v>42825</v>
      </c>
      <c r="AG2005" s="185">
        <f t="shared" si="275"/>
        <v>7.378279983073277E-2</v>
      </c>
      <c r="AH2005" s="339" t="str">
        <f>VLOOKUP(B2005,'MF PF'!A:B,2)</f>
        <v>FdMgt1</v>
      </c>
      <c r="AI2005" s="358">
        <f t="shared" si="273"/>
        <v>0</v>
      </c>
      <c r="AJ2005" s="94">
        <f t="shared" si="274"/>
        <v>42825</v>
      </c>
    </row>
    <row r="2006" spans="1:36" ht="12.75" customHeight="1">
      <c r="A2006" s="8">
        <v>42835</v>
      </c>
      <c r="B2006" s="358" t="s">
        <v>175</v>
      </c>
      <c r="C2006" s="92" t="s">
        <v>300</v>
      </c>
      <c r="D2006" s="93"/>
      <c r="E2006" s="95"/>
      <c r="F2006" s="93"/>
      <c r="G2006" s="95">
        <f>108000*0+15131</f>
        <v>15131</v>
      </c>
      <c r="H2006" s="93"/>
      <c r="I2006" s="93"/>
      <c r="K2006" s="93"/>
      <c r="L2006" s="93">
        <f t="shared" si="270"/>
        <v>15131</v>
      </c>
      <c r="M2006" s="95" t="e">
        <f t="shared" ca="1" si="271"/>
        <v>#DIV/0!</v>
      </c>
      <c r="N2006" s="95">
        <f>IF(P2006="Hedge Fund",IF(A2006=Summary!$AD$3,M2006-E2006,M2006),IF(A2006=Summary!$AD$3,L2006-D2006,L2006))</f>
        <v>15131</v>
      </c>
      <c r="O2006" s="95">
        <f t="shared" si="276"/>
        <v>15131</v>
      </c>
      <c r="P2006" s="89" t="s">
        <v>155</v>
      </c>
      <c r="Q2006" s="95">
        <v>0</v>
      </c>
      <c r="R2006" s="95">
        <v>0</v>
      </c>
      <c r="S2006" s="95"/>
      <c r="T2006" s="95"/>
      <c r="U2006" s="95"/>
      <c r="V2006" s="95"/>
      <c r="W2006" s="95"/>
      <c r="X2006" s="95"/>
      <c r="Y2006" s="95"/>
      <c r="Z2006" s="95"/>
      <c r="AA2006" s="95"/>
      <c r="AB2006" s="95"/>
      <c r="AC2006" s="355"/>
      <c r="AD2006" s="355"/>
      <c r="AE2006" s="355"/>
      <c r="AF2006" s="94">
        <f t="shared" si="272"/>
        <v>42835</v>
      </c>
      <c r="AG2006" s="185">
        <f t="shared" si="275"/>
        <v>-1.019879937318614</v>
      </c>
      <c r="AH2006" s="339" t="str">
        <f>VLOOKUP(B2006,'MF PF'!A:B,2)</f>
        <v>FdMgt1</v>
      </c>
      <c r="AI2006" s="358">
        <f t="shared" si="273"/>
        <v>0</v>
      </c>
      <c r="AJ2006" s="94">
        <f t="shared" si="274"/>
        <v>42855</v>
      </c>
    </row>
    <row r="2007" spans="1:36" ht="12.75" customHeight="1">
      <c r="A2007" s="8">
        <v>42855</v>
      </c>
      <c r="B2007" s="358" t="s">
        <v>175</v>
      </c>
      <c r="C2007" s="92" t="s">
        <v>300</v>
      </c>
      <c r="D2007" s="93">
        <v>874086.2</v>
      </c>
      <c r="E2007" s="95"/>
      <c r="F2007" s="93"/>
      <c r="G2007" s="95"/>
      <c r="H2007" s="93"/>
      <c r="I2007" s="93"/>
      <c r="K2007" s="93"/>
      <c r="L2007" s="93">
        <f t="shared" si="270"/>
        <v>0</v>
      </c>
      <c r="M2007" s="95" t="e">
        <f t="shared" ca="1" si="271"/>
        <v>#DIV/0!</v>
      </c>
      <c r="N2007" s="95">
        <f>IF(P2007="Hedge Fund",IF(A2007=Summary!$AD$3,M2007-E2007,M2007),IF(A2007=Summary!$AD$3,L2007-D2007,L2007))</f>
        <v>0</v>
      </c>
      <c r="O2007" s="95">
        <f t="shared" si="276"/>
        <v>0</v>
      </c>
      <c r="P2007" s="89" t="s">
        <v>155</v>
      </c>
      <c r="Q2007" s="95">
        <v>5.8760000000000001E-3</v>
      </c>
      <c r="R2007" s="95">
        <v>1.093327E-2</v>
      </c>
      <c r="S2007" s="95"/>
      <c r="T2007" s="95"/>
      <c r="U2007" s="95"/>
      <c r="V2007" s="95"/>
      <c r="W2007" s="95"/>
      <c r="X2007" s="95"/>
      <c r="Y2007" s="95"/>
      <c r="Z2007" s="95"/>
      <c r="AA2007" s="95"/>
      <c r="AB2007" s="95"/>
      <c r="AC2007" s="355"/>
      <c r="AD2007" s="355"/>
      <c r="AE2007" s="355"/>
      <c r="AF2007" s="94">
        <f t="shared" si="272"/>
        <v>42855</v>
      </c>
      <c r="AG2007" s="185" t="e">
        <f t="shared" si="275"/>
        <v>#DIV/0!</v>
      </c>
      <c r="AH2007" s="339" t="str">
        <f>VLOOKUP(B2007,'MF PF'!A:B,2)</f>
        <v>FdMgt1</v>
      </c>
      <c r="AI2007" s="358">
        <f t="shared" si="273"/>
        <v>0</v>
      </c>
      <c r="AJ2007" s="94">
        <f t="shared" si="274"/>
        <v>42855</v>
      </c>
    </row>
    <row r="2008" spans="1:36" ht="12.75" customHeight="1">
      <c r="A2008" s="8">
        <v>42881</v>
      </c>
      <c r="B2008" s="358" t="s">
        <v>175</v>
      </c>
      <c r="C2008" s="92" t="s">
        <v>300</v>
      </c>
      <c r="D2008" s="93"/>
      <c r="E2008" s="95"/>
      <c r="F2008" s="93"/>
      <c r="G2008" s="95">
        <v>187869</v>
      </c>
      <c r="H2008" s="93"/>
      <c r="I2008" s="93"/>
      <c r="K2008" s="93"/>
      <c r="L2008" s="93">
        <f t="shared" si="270"/>
        <v>187869</v>
      </c>
      <c r="M2008" s="95" t="e">
        <f t="shared" ca="1" si="271"/>
        <v>#DIV/0!</v>
      </c>
      <c r="N2008" s="95">
        <f>IF(P2008="Hedge Fund",IF(A2008=Summary!$AD$3,M2008-E2008,M2008),IF(A2008=Summary!$AD$3,L2008-D2008,L2008))</f>
        <v>187869</v>
      </c>
      <c r="O2008" s="95">
        <f t="shared" si="276"/>
        <v>187869</v>
      </c>
      <c r="P2008" s="89" t="s">
        <v>155</v>
      </c>
      <c r="Q2008" s="95">
        <v>0</v>
      </c>
      <c r="R2008" s="95">
        <v>0</v>
      </c>
      <c r="S2008" s="95"/>
      <c r="T2008" s="95"/>
      <c r="U2008" s="95"/>
      <c r="V2008" s="95"/>
      <c r="W2008" s="95"/>
      <c r="X2008" s="95"/>
      <c r="Y2008" s="95"/>
      <c r="Z2008" s="95"/>
      <c r="AA2008" s="95"/>
      <c r="AB2008" s="95"/>
      <c r="AC2008" s="355"/>
      <c r="AD2008" s="355"/>
      <c r="AE2008" s="355"/>
      <c r="AF2008" s="94">
        <f t="shared" si="272"/>
        <v>42881</v>
      </c>
      <c r="AG2008" s="185">
        <f t="shared" si="275"/>
        <v>-1.2149318911567304</v>
      </c>
      <c r="AH2008" s="339" t="str">
        <f>VLOOKUP(B2008,'MF PF'!A:B,2)</f>
        <v>FdMgt1</v>
      </c>
      <c r="AI2008" s="358">
        <f t="shared" si="273"/>
        <v>0</v>
      </c>
      <c r="AJ2008" s="94">
        <f t="shared" si="274"/>
        <v>42886</v>
      </c>
    </row>
    <row r="2009" spans="1:36" ht="12.75" customHeight="1">
      <c r="A2009" s="8">
        <v>42886</v>
      </c>
      <c r="B2009" s="358" t="s">
        <v>175</v>
      </c>
      <c r="C2009" s="92" t="s">
        <v>300</v>
      </c>
      <c r="D2009" s="93">
        <v>1059898.97</v>
      </c>
      <c r="E2009" s="95"/>
      <c r="F2009" s="93"/>
      <c r="G2009" s="95"/>
      <c r="H2009" s="93"/>
      <c r="I2009" s="93"/>
      <c r="K2009" s="93"/>
      <c r="L2009" s="93">
        <f t="shared" si="270"/>
        <v>0</v>
      </c>
      <c r="M2009" s="95" t="e">
        <f t="shared" ca="1" si="271"/>
        <v>#DIV/0!</v>
      </c>
      <c r="N2009" s="95">
        <f>IF(P2009="Hedge Fund",IF(A2009=Summary!$AD$3,M2009-E2009,M2009),IF(A2009=Summary!$AD$3,L2009-D2009,L2009))</f>
        <v>0</v>
      </c>
      <c r="O2009" s="95">
        <f t="shared" si="276"/>
        <v>0</v>
      </c>
      <c r="P2009" s="89" t="s">
        <v>155</v>
      </c>
      <c r="Q2009" s="95">
        <v>7.9656399999999995E-3</v>
      </c>
      <c r="R2009" s="95">
        <v>1.0570410000000001E-2</v>
      </c>
      <c r="S2009" s="95"/>
      <c r="T2009" s="95"/>
      <c r="U2009" s="95"/>
      <c r="V2009" s="95"/>
      <c r="W2009" s="95"/>
      <c r="X2009" s="95"/>
      <c r="Y2009" s="95"/>
      <c r="Z2009" s="95"/>
      <c r="AA2009" s="95"/>
      <c r="AB2009" s="95"/>
      <c r="AC2009" s="355"/>
      <c r="AD2009" s="355"/>
      <c r="AE2009" s="355"/>
      <c r="AF2009" s="94">
        <f t="shared" si="272"/>
        <v>42886</v>
      </c>
      <c r="AG2009" s="185" t="e">
        <f t="shared" si="275"/>
        <v>#DIV/0!</v>
      </c>
      <c r="AH2009" s="339" t="str">
        <f>VLOOKUP(B2009,'MF PF'!A:B,2)</f>
        <v>FdMgt1</v>
      </c>
      <c r="AI2009" s="358">
        <f t="shared" si="273"/>
        <v>0</v>
      </c>
      <c r="AJ2009" s="94">
        <f t="shared" si="274"/>
        <v>42886</v>
      </c>
    </row>
    <row r="2010" spans="1:36" ht="12.75" customHeight="1">
      <c r="A2010" s="94">
        <v>42916</v>
      </c>
      <c r="B2010" s="358" t="s">
        <v>175</v>
      </c>
      <c r="C2010" s="92" t="s">
        <v>300</v>
      </c>
      <c r="D2010" s="93">
        <v>1055904.17</v>
      </c>
      <c r="E2010" s="95"/>
      <c r="F2010" s="93"/>
      <c r="G2010" s="95"/>
      <c r="H2010" s="93"/>
      <c r="I2010" s="93"/>
      <c r="K2010" s="93"/>
      <c r="L2010" s="93">
        <f t="shared" si="270"/>
        <v>0</v>
      </c>
      <c r="M2010" s="95" t="e">
        <f t="shared" ca="1" si="271"/>
        <v>#DIV/0!</v>
      </c>
      <c r="N2010" s="95">
        <f>IF(P2010="Hedge Fund",IF(A2010=Summary!$AD$3,M2010-E2010,M2010),IF(A2010=Summary!$AD$3,L2010-D2010,L2010))</f>
        <v>0</v>
      </c>
      <c r="O2010" s="95">
        <f t="shared" si="276"/>
        <v>0</v>
      </c>
      <c r="P2010" s="107" t="s">
        <v>155</v>
      </c>
      <c r="Q2010" s="95">
        <v>9.366600000000001E-3</v>
      </c>
      <c r="R2010" s="95">
        <v>9.8654400000000014E-3</v>
      </c>
      <c r="S2010" s="95"/>
      <c r="T2010" s="95"/>
      <c r="U2010" s="95"/>
      <c r="V2010" s="95"/>
      <c r="W2010" s="95"/>
      <c r="X2010" s="95"/>
      <c r="Y2010" s="95"/>
      <c r="Z2010" s="95"/>
      <c r="AA2010" s="95"/>
      <c r="AB2010" s="95"/>
      <c r="AC2010" s="355"/>
      <c r="AD2010" s="355"/>
      <c r="AE2010" s="355"/>
      <c r="AF2010" s="94">
        <f t="shared" si="272"/>
        <v>42916</v>
      </c>
      <c r="AG2010" s="185">
        <f t="shared" si="275"/>
        <v>-3.7690384773183538E-3</v>
      </c>
      <c r="AH2010" s="339" t="str">
        <f>VLOOKUP(B2010,'MF PF'!A:B,2)</f>
        <v>FdMgt1</v>
      </c>
      <c r="AI2010" s="358">
        <f t="shared" si="273"/>
        <v>0</v>
      </c>
      <c r="AJ2010" s="94">
        <f t="shared" si="274"/>
        <v>42916</v>
      </c>
    </row>
    <row r="2011" spans="1:36" ht="12.75" customHeight="1">
      <c r="A2011" s="8">
        <v>42947</v>
      </c>
      <c r="B2011" s="358" t="s">
        <v>175</v>
      </c>
      <c r="C2011" s="92" t="s">
        <v>300</v>
      </c>
      <c r="D2011" s="93">
        <v>956003.86</v>
      </c>
      <c r="E2011" s="95"/>
      <c r="F2011" s="93"/>
      <c r="G2011" s="95"/>
      <c r="H2011" s="93"/>
      <c r="I2011" s="93"/>
      <c r="K2011" s="93"/>
      <c r="L2011" s="93">
        <f t="shared" si="270"/>
        <v>0</v>
      </c>
      <c r="M2011" s="95" t="e">
        <f t="shared" ca="1" si="271"/>
        <v>#DIV/0!</v>
      </c>
      <c r="N2011" s="95">
        <f>IF(P2011="Hedge Fund",IF(A2011=Summary!$AD$3,M2011-E2011,M2011),IF(A2011=Summary!$AD$3,L2011-D2011,L2011))</f>
        <v>0</v>
      </c>
      <c r="O2011" s="95">
        <f t="shared" si="276"/>
        <v>0</v>
      </c>
      <c r="P2011" s="107" t="s">
        <v>155</v>
      </c>
      <c r="Q2011" s="95">
        <v>9.683569999999999E-3</v>
      </c>
      <c r="R2011" s="95">
        <v>8.9433299999999993E-3</v>
      </c>
      <c r="S2011" s="95"/>
      <c r="T2011" s="95"/>
      <c r="U2011" s="95"/>
      <c r="V2011" s="95"/>
      <c r="W2011" s="95"/>
      <c r="X2011" s="95"/>
      <c r="Y2011" s="95"/>
      <c r="Z2011" s="95"/>
      <c r="AA2011" s="95"/>
      <c r="AB2011" s="95"/>
      <c r="AC2011" s="355"/>
      <c r="AD2011" s="355"/>
      <c r="AE2011" s="355"/>
      <c r="AF2011" s="94">
        <f t="shared" si="272"/>
        <v>42947</v>
      </c>
      <c r="AG2011" s="185">
        <f t="shared" si="275"/>
        <v>-9.4611152070741333E-2</v>
      </c>
      <c r="AH2011" s="339" t="str">
        <f>VLOOKUP(B2011,'MF PF'!A:B,2)</f>
        <v>FdMgt1</v>
      </c>
      <c r="AI2011" s="358">
        <f t="shared" si="273"/>
        <v>0</v>
      </c>
      <c r="AJ2011" s="94">
        <f t="shared" si="274"/>
        <v>42947</v>
      </c>
    </row>
    <row r="2012" spans="1:36" ht="12.75" customHeight="1">
      <c r="A2012" s="8">
        <v>42958</v>
      </c>
      <c r="B2012" s="358" t="s">
        <v>175</v>
      </c>
      <c r="C2012" s="92" t="s">
        <v>300</v>
      </c>
      <c r="D2012" s="93"/>
      <c r="F2012" s="93"/>
      <c r="G2012" s="358"/>
      <c r="H2012" s="93"/>
      <c r="I2012" s="95">
        <v>-94675</v>
      </c>
      <c r="K2012" s="93"/>
      <c r="L2012" s="93">
        <f t="shared" si="270"/>
        <v>-94675</v>
      </c>
      <c r="M2012" s="95" t="e">
        <f t="shared" ca="1" si="271"/>
        <v>#DIV/0!</v>
      </c>
      <c r="N2012" s="95">
        <f>IF(P2012="Hedge Fund",IF(A2012=Summary!$AD$3,M2012-E2012,M2012),IF(A2012=Summary!$AD$3,L2012-D2012,L2012))</f>
        <v>-94675</v>
      </c>
      <c r="O2012" s="95">
        <f t="shared" si="276"/>
        <v>-94675</v>
      </c>
      <c r="P2012" s="107" t="s">
        <v>155</v>
      </c>
      <c r="Q2012" s="95">
        <v>0</v>
      </c>
      <c r="R2012" s="95">
        <v>0</v>
      </c>
      <c r="S2012" s="95"/>
      <c r="T2012" s="95"/>
      <c r="U2012" s="95"/>
      <c r="V2012" s="95"/>
      <c r="W2012" s="95"/>
      <c r="X2012" s="95"/>
      <c r="Y2012" s="95"/>
      <c r="Z2012" s="95"/>
      <c r="AA2012" s="95"/>
      <c r="AB2012" s="95"/>
      <c r="AC2012" s="355"/>
      <c r="AD2012" s="355"/>
      <c r="AE2012" s="355"/>
      <c r="AF2012" s="94">
        <f t="shared" si="272"/>
        <v>42958</v>
      </c>
      <c r="AG2012" s="185">
        <f t="shared" si="275"/>
        <v>-0.90096797307910448</v>
      </c>
      <c r="AH2012" s="339" t="str">
        <f>VLOOKUP(B2012,'MF PF'!A:B,2)</f>
        <v>FdMgt1</v>
      </c>
      <c r="AI2012" s="358">
        <f t="shared" si="273"/>
        <v>0</v>
      </c>
      <c r="AJ2012" s="94">
        <f t="shared" si="274"/>
        <v>42978</v>
      </c>
    </row>
    <row r="2013" spans="1:36" ht="12.75" customHeight="1">
      <c r="A2013" s="8">
        <v>42958</v>
      </c>
      <c r="B2013" s="358" t="s">
        <v>175</v>
      </c>
      <c r="C2013" s="92" t="s">
        <v>300</v>
      </c>
      <c r="D2013" s="93"/>
      <c r="F2013" s="93"/>
      <c r="G2013" s="95">
        <v>94675</v>
      </c>
      <c r="H2013" s="93"/>
      <c r="I2013" s="93"/>
      <c r="K2013" s="93"/>
      <c r="L2013" s="93">
        <f t="shared" si="270"/>
        <v>94675</v>
      </c>
      <c r="M2013" s="95">
        <f t="shared" ca="1" si="271"/>
        <v>0</v>
      </c>
      <c r="N2013" s="95">
        <f>IF(P2013="Hedge Fund",IF(A2013=Summary!$AD$3,M2013-E2013,M2013),IF(A2013=Summary!$AD$3,L2013-D2013,L2013))</f>
        <v>94675</v>
      </c>
      <c r="O2013" s="95">
        <f t="shared" si="276"/>
        <v>94675</v>
      </c>
      <c r="P2013" s="107" t="s">
        <v>155</v>
      </c>
      <c r="Q2013" s="95">
        <v>0</v>
      </c>
      <c r="R2013" s="95">
        <v>0</v>
      </c>
      <c r="S2013" s="95"/>
      <c r="T2013" s="95"/>
      <c r="U2013" s="95"/>
      <c r="V2013" s="95"/>
      <c r="W2013" s="95"/>
      <c r="X2013" s="95"/>
      <c r="Y2013" s="95"/>
      <c r="Z2013" s="95"/>
      <c r="AA2013" s="95"/>
      <c r="AB2013" s="95"/>
      <c r="AC2013" s="355"/>
      <c r="AD2013" s="355"/>
      <c r="AE2013" s="355"/>
      <c r="AF2013" s="94">
        <f t="shared" si="272"/>
        <v>42958</v>
      </c>
      <c r="AG2013" s="185" t="e">
        <f t="shared" si="275"/>
        <v>#DIV/0!</v>
      </c>
      <c r="AH2013" s="339" t="str">
        <f>VLOOKUP(B2013,'MF PF'!A:B,2)</f>
        <v>FdMgt1</v>
      </c>
      <c r="AI2013" s="358">
        <f t="shared" si="273"/>
        <v>0</v>
      </c>
      <c r="AJ2013" s="94">
        <f t="shared" si="274"/>
        <v>42978</v>
      </c>
    </row>
    <row r="2014" spans="1:36" ht="12.75" customHeight="1">
      <c r="A2014" s="94">
        <v>42978</v>
      </c>
      <c r="B2014" s="358" t="s">
        <v>175</v>
      </c>
      <c r="C2014" s="92" t="s">
        <v>300</v>
      </c>
      <c r="D2014" s="93">
        <v>1048850.3799999999</v>
      </c>
      <c r="F2014" s="93"/>
      <c r="G2014" s="95"/>
      <c r="H2014" s="93"/>
      <c r="I2014" s="93"/>
      <c r="K2014" s="93"/>
      <c r="L2014" s="93">
        <f t="shared" si="270"/>
        <v>0</v>
      </c>
      <c r="M2014" s="95" t="e">
        <f t="shared" ca="1" si="271"/>
        <v>#DIV/0!</v>
      </c>
      <c r="N2014" s="95">
        <f>IF(P2014="Hedge Fund",IF(A2014=Summary!$AD$3,M2014-E2014,M2014),IF(A2014=Summary!$AD$3,L2014-D2014,L2014))</f>
        <v>0</v>
      </c>
      <c r="O2014" s="95">
        <f t="shared" si="276"/>
        <v>0</v>
      </c>
      <c r="P2014" s="107" t="s">
        <v>155</v>
      </c>
      <c r="Q2014" s="95">
        <v>1.113782E-2</v>
      </c>
      <c r="R2014" s="95">
        <v>8.6206499999999988E-3</v>
      </c>
      <c r="S2014" s="95"/>
      <c r="T2014" s="95"/>
      <c r="U2014" s="95"/>
      <c r="V2014" s="95"/>
      <c r="W2014" s="95"/>
      <c r="X2014" s="95"/>
      <c r="Y2014" s="95"/>
      <c r="Z2014" s="95"/>
      <c r="AA2014" s="95"/>
      <c r="AB2014" s="95"/>
      <c r="AC2014" s="355"/>
      <c r="AD2014" s="355"/>
      <c r="AE2014" s="355"/>
      <c r="AF2014" s="94">
        <f t="shared" si="272"/>
        <v>42978</v>
      </c>
      <c r="AG2014" s="185" t="e">
        <f t="shared" si="275"/>
        <v>#DIV/0!</v>
      </c>
      <c r="AH2014" s="339" t="str">
        <f>VLOOKUP(B2014,'MF PF'!A:B,2)</f>
        <v>FdMgt1</v>
      </c>
      <c r="AI2014" s="358">
        <f t="shared" si="273"/>
        <v>0</v>
      </c>
      <c r="AJ2014" s="94">
        <f t="shared" si="274"/>
        <v>42978</v>
      </c>
    </row>
    <row r="2015" spans="1:36" ht="12.75" customHeight="1">
      <c r="A2015" s="94">
        <v>43008</v>
      </c>
      <c r="B2015" s="358" t="s">
        <v>175</v>
      </c>
      <c r="C2015" s="358" t="s">
        <v>300</v>
      </c>
      <c r="D2015" s="93">
        <v>1052476.8400000001</v>
      </c>
      <c r="F2015" s="93"/>
      <c r="G2015" s="95"/>
      <c r="H2015" s="93"/>
      <c r="I2015" s="93"/>
      <c r="K2015" s="93"/>
      <c r="L2015" s="93">
        <f t="shared" si="270"/>
        <v>0</v>
      </c>
      <c r="M2015" s="95" t="e">
        <f t="shared" ca="1" si="271"/>
        <v>#DIV/0!</v>
      </c>
      <c r="N2015" s="95">
        <f>IF(P2015="Hedge Fund",IF(A2015=Summary!$AD$3,M2015-E2015,M2015),IF(A2015=Summary!$AD$3,L2015-D2015,L2015))</f>
        <v>0</v>
      </c>
      <c r="O2015" s="95">
        <f t="shared" si="276"/>
        <v>0</v>
      </c>
      <c r="P2015" s="107" t="s">
        <v>155</v>
      </c>
      <c r="Q2015" s="95">
        <v>1.237824E-2</v>
      </c>
      <c r="R2015" s="95">
        <v>9.2606200000000007E-3</v>
      </c>
      <c r="S2015" s="95"/>
      <c r="T2015" s="95"/>
      <c r="U2015" s="95"/>
      <c r="V2015" s="95"/>
      <c r="W2015" s="95"/>
      <c r="X2015" s="95"/>
      <c r="Y2015" s="95"/>
      <c r="Z2015" s="95"/>
      <c r="AA2015" s="95"/>
      <c r="AB2015" s="95"/>
      <c r="AC2015" s="355"/>
      <c r="AD2015" s="355"/>
      <c r="AE2015" s="355"/>
      <c r="AF2015" s="94">
        <f t="shared" si="272"/>
        <v>43008</v>
      </c>
      <c r="AG2015" s="185">
        <f t="shared" si="275"/>
        <v>3.4575570254360422E-3</v>
      </c>
      <c r="AH2015" s="339" t="str">
        <f>VLOOKUP(B2015,'MF PF'!A:B,2)</f>
        <v>FdMgt1</v>
      </c>
      <c r="AI2015" s="358">
        <f t="shared" si="273"/>
        <v>0</v>
      </c>
      <c r="AJ2015" s="94">
        <f t="shared" si="274"/>
        <v>43008</v>
      </c>
    </row>
    <row r="2016" spans="1:36" ht="12.75" customHeight="1">
      <c r="A2016" s="94">
        <v>43039</v>
      </c>
      <c r="B2016" s="358" t="s">
        <v>175</v>
      </c>
      <c r="C2016" s="358" t="s">
        <v>300</v>
      </c>
      <c r="D2016" s="93">
        <v>1054949.6399999999</v>
      </c>
      <c r="F2016" s="93"/>
      <c r="G2016" s="95"/>
      <c r="H2016" s="93"/>
      <c r="I2016" s="93"/>
      <c r="K2016" s="93"/>
      <c r="L2016" s="93">
        <f t="shared" si="270"/>
        <v>0</v>
      </c>
      <c r="M2016" s="95" t="e">
        <f t="shared" ca="1" si="271"/>
        <v>#DIV/0!</v>
      </c>
      <c r="N2016" s="95">
        <f>IF(P2016="Hedge Fund",IF(A2016=Summary!$AD$3,M2016-E2016,M2016),IF(A2016=Summary!$AD$3,L2016-D2016,L2016))</f>
        <v>0</v>
      </c>
      <c r="O2016" s="95">
        <f t="shared" si="276"/>
        <v>0</v>
      </c>
      <c r="P2016" s="107" t="s">
        <v>155</v>
      </c>
      <c r="Q2016" s="95">
        <v>1.237824E-2</v>
      </c>
      <c r="R2016" s="95">
        <v>9.6970000000000008E-3</v>
      </c>
      <c r="S2016" s="95"/>
      <c r="T2016" s="95"/>
      <c r="U2016" s="95"/>
      <c r="V2016" s="95"/>
      <c r="W2016" s="95"/>
      <c r="X2016" s="95"/>
      <c r="Y2016" s="95"/>
      <c r="Z2016" s="95"/>
      <c r="AA2016" s="95"/>
      <c r="AB2016" s="95"/>
      <c r="AC2016" s="355"/>
      <c r="AD2016" s="355"/>
      <c r="AE2016" s="355"/>
      <c r="AF2016" s="94">
        <f t="shared" si="272"/>
        <v>43039</v>
      </c>
      <c r="AG2016" s="185">
        <f t="shared" si="275"/>
        <v>2.3495053819899692E-3</v>
      </c>
      <c r="AH2016" s="339" t="str">
        <f>VLOOKUP(B2016,'MF PF'!A:B,2)</f>
        <v>FdMgt1</v>
      </c>
      <c r="AI2016" s="358">
        <f t="shared" si="273"/>
        <v>0</v>
      </c>
      <c r="AJ2016" s="94">
        <f t="shared" si="274"/>
        <v>43039</v>
      </c>
    </row>
    <row r="2017" spans="1:36" ht="12.75" customHeight="1">
      <c r="A2017" s="8">
        <v>43069</v>
      </c>
      <c r="B2017" s="358" t="s">
        <v>175</v>
      </c>
      <c r="C2017" s="92" t="s">
        <v>300</v>
      </c>
      <c r="D2017" s="93">
        <v>1050179.3799999999</v>
      </c>
      <c r="F2017" s="93"/>
      <c r="G2017" s="95"/>
      <c r="H2017" s="93"/>
      <c r="I2017" s="93"/>
      <c r="K2017" s="93"/>
      <c r="L2017" s="93">
        <f t="shared" si="270"/>
        <v>0</v>
      </c>
      <c r="M2017" s="95" t="e">
        <f t="shared" ca="1" si="271"/>
        <v>#DIV/0!</v>
      </c>
      <c r="N2017" s="95">
        <f>IF(P2017="Hedge Fund",IF(A2017=Summary!$AD$3,M2017-E2017,M2017),IF(A2017=Summary!$AD$3,L2017-D2017,L2017))</f>
        <v>0</v>
      </c>
      <c r="O2017" s="95">
        <f t="shared" si="276"/>
        <v>0</v>
      </c>
      <c r="P2017" s="107" t="s">
        <v>155</v>
      </c>
      <c r="Q2017" s="95">
        <v>1.5019459999999998E-2</v>
      </c>
      <c r="R2017" s="95">
        <v>8.8551900000000006E-3</v>
      </c>
      <c r="S2017" s="95"/>
      <c r="T2017" s="95"/>
      <c r="U2017" s="95"/>
      <c r="V2017" s="95"/>
      <c r="W2017" s="95"/>
      <c r="X2017" s="95"/>
      <c r="Y2017" s="95"/>
      <c r="Z2017" s="95"/>
      <c r="AA2017" s="95"/>
      <c r="AB2017" s="95"/>
      <c r="AC2017" s="355"/>
      <c r="AD2017" s="355"/>
      <c r="AE2017" s="355"/>
      <c r="AF2017" s="94">
        <f t="shared" si="272"/>
        <v>43069</v>
      </c>
      <c r="AG2017" s="185">
        <f t="shared" si="275"/>
        <v>-4.5217893055066183E-3</v>
      </c>
      <c r="AH2017" s="339" t="str">
        <f>VLOOKUP(B2017,'MF PF'!A:B,2)</f>
        <v>FdMgt1</v>
      </c>
      <c r="AI2017" s="358">
        <f t="shared" si="273"/>
        <v>0</v>
      </c>
      <c r="AJ2017" s="94">
        <f t="shared" si="274"/>
        <v>43069</v>
      </c>
    </row>
    <row r="2018" spans="1:36" ht="12.75" customHeight="1">
      <c r="A2018" s="94">
        <v>43087</v>
      </c>
      <c r="B2018" s="358" t="s">
        <v>175</v>
      </c>
      <c r="C2018" s="92" t="s">
        <v>300</v>
      </c>
      <c r="D2018" s="93"/>
      <c r="F2018" s="93"/>
      <c r="G2018" s="358"/>
      <c r="H2018" s="93"/>
      <c r="I2018" s="95">
        <v>-122500.44</v>
      </c>
      <c r="K2018" s="93"/>
      <c r="L2018" s="93">
        <f t="shared" si="270"/>
        <v>-122500.44</v>
      </c>
      <c r="M2018" s="95" t="e">
        <f t="shared" ca="1" si="271"/>
        <v>#DIV/0!</v>
      </c>
      <c r="N2018" s="95">
        <f>IF(P2018="Hedge Fund",IF(A2018=Summary!$AD$3,M2018-E2018,M2018),IF(A2018=Summary!$AD$3,L2018-D2018,L2018))</f>
        <v>-122500.44</v>
      </c>
      <c r="O2018" s="95">
        <f t="shared" si="276"/>
        <v>-122500.44</v>
      </c>
      <c r="P2018" s="89" t="s">
        <v>155</v>
      </c>
      <c r="Q2018" s="95">
        <v>0</v>
      </c>
      <c r="R2018" s="95">
        <v>0</v>
      </c>
      <c r="S2018" s="95"/>
      <c r="T2018" s="95"/>
      <c r="U2018" s="95"/>
      <c r="V2018" s="95"/>
      <c r="W2018" s="95"/>
      <c r="X2018" s="95"/>
      <c r="Y2018" s="95"/>
      <c r="Z2018" s="95"/>
      <c r="AA2018" s="95"/>
      <c r="AB2018" s="95"/>
      <c r="AC2018" s="355"/>
      <c r="AD2018" s="355"/>
      <c r="AE2018" s="355"/>
      <c r="AF2018" s="94">
        <f t="shared" si="272"/>
        <v>43087</v>
      </c>
      <c r="AG2018" s="185">
        <f t="shared" si="275"/>
        <v>-0.88335284206399101</v>
      </c>
      <c r="AH2018" s="339" t="str">
        <f>VLOOKUP(B2018,'MF PF'!A:B,2)</f>
        <v>FdMgt1</v>
      </c>
      <c r="AI2018" s="358">
        <f t="shared" si="273"/>
        <v>0</v>
      </c>
      <c r="AJ2018" s="94">
        <f t="shared" si="274"/>
        <v>43100</v>
      </c>
    </row>
    <row r="2019" spans="1:36" ht="12.75" customHeight="1">
      <c r="A2019" s="8">
        <v>43087</v>
      </c>
      <c r="B2019" s="358" t="s">
        <v>175</v>
      </c>
      <c r="C2019" s="92" t="s">
        <v>300</v>
      </c>
      <c r="D2019" s="93"/>
      <c r="E2019" s="95"/>
      <c r="F2019" s="93"/>
      <c r="G2019" s="95">
        <v>122500.44</v>
      </c>
      <c r="H2019" s="93"/>
      <c r="I2019" s="93"/>
      <c r="K2019" s="93"/>
      <c r="L2019" s="93">
        <f t="shared" si="270"/>
        <v>122500.44</v>
      </c>
      <c r="M2019" s="95">
        <f t="shared" ca="1" si="271"/>
        <v>0</v>
      </c>
      <c r="N2019" s="95">
        <f>IF(P2019="Hedge Fund",IF(A2019=Summary!$AD$3,M2019-E2019,M2019),IF(A2019=Summary!$AD$3,L2019-D2019,L2019))</f>
        <v>122500.44</v>
      </c>
      <c r="O2019" s="95">
        <f t="shared" si="276"/>
        <v>122500.44</v>
      </c>
      <c r="P2019" s="107" t="s">
        <v>155</v>
      </c>
      <c r="Q2019" s="95">
        <v>0</v>
      </c>
      <c r="R2019" s="95">
        <v>0</v>
      </c>
      <c r="S2019" s="95"/>
      <c r="T2019" s="95"/>
      <c r="U2019" s="95"/>
      <c r="V2019" s="95"/>
      <c r="W2019" s="95"/>
      <c r="X2019" s="95"/>
      <c r="Y2019" s="95"/>
      <c r="Z2019" s="95"/>
      <c r="AA2019" s="95"/>
      <c r="AB2019" s="95"/>
      <c r="AC2019" s="355"/>
      <c r="AD2019" s="355"/>
      <c r="AE2019" s="355"/>
      <c r="AF2019" s="94">
        <f t="shared" si="272"/>
        <v>43087</v>
      </c>
      <c r="AG2019" s="185" t="e">
        <f t="shared" si="275"/>
        <v>#DIV/0!</v>
      </c>
      <c r="AH2019" s="339" t="str">
        <f>VLOOKUP(B2019,'MF PF'!A:B,2)</f>
        <v>FdMgt1</v>
      </c>
      <c r="AI2019" s="358">
        <f t="shared" si="273"/>
        <v>0</v>
      </c>
      <c r="AJ2019" s="94">
        <f t="shared" si="274"/>
        <v>43100</v>
      </c>
    </row>
    <row r="2020" spans="1:36" ht="12.75" customHeight="1">
      <c r="A2020" s="94">
        <v>43100</v>
      </c>
      <c r="B2020" s="358" t="s">
        <v>175</v>
      </c>
      <c r="C2020" s="92" t="s">
        <v>300</v>
      </c>
      <c r="D2020" s="93">
        <v>1188274.27</v>
      </c>
      <c r="E2020" s="95"/>
      <c r="F2020" s="93"/>
      <c r="G2020" s="95"/>
      <c r="H2020" s="93"/>
      <c r="I2020" s="93"/>
      <c r="K2020" s="93"/>
      <c r="L2020" s="93">
        <f t="shared" si="270"/>
        <v>0</v>
      </c>
      <c r="M2020" s="95" t="e">
        <f t="shared" ca="1" si="271"/>
        <v>#DIV/0!</v>
      </c>
      <c r="N2020" s="95">
        <f>IF(P2020="Hedge Fund",IF(A2020=Summary!$AD$3,M2020-E2020,M2020),IF(A2020=Summary!$AD$3,L2020-D2020,L2020))</f>
        <v>0</v>
      </c>
      <c r="O2020" s="95">
        <f t="shared" si="276"/>
        <v>0</v>
      </c>
      <c r="P2020" s="107" t="s">
        <v>155</v>
      </c>
      <c r="Q2020" s="95">
        <v>1.7924860000000001E-2</v>
      </c>
      <c r="R2020" s="95">
        <v>3.3224870000000004E-2</v>
      </c>
      <c r="S2020" s="95"/>
      <c r="T2020" s="95"/>
      <c r="U2020" s="95"/>
      <c r="V2020" s="95"/>
      <c r="W2020" s="95"/>
      <c r="X2020" s="95"/>
      <c r="Y2020" s="95"/>
      <c r="Z2020" s="95"/>
      <c r="AA2020" s="95"/>
      <c r="AB2020" s="95"/>
      <c r="AC2020" s="355"/>
      <c r="AD2020" s="355"/>
      <c r="AE2020" s="355"/>
      <c r="AF2020" s="94">
        <f t="shared" si="272"/>
        <v>43100</v>
      </c>
      <c r="AG2020" s="185" t="e">
        <f t="shared" si="275"/>
        <v>#DIV/0!</v>
      </c>
      <c r="AH2020" s="339" t="str">
        <f>VLOOKUP(B2020,'MF PF'!A:B,2)</f>
        <v>FdMgt1</v>
      </c>
      <c r="AI2020" s="358">
        <f t="shared" si="273"/>
        <v>0</v>
      </c>
      <c r="AJ2020" s="94">
        <f t="shared" si="274"/>
        <v>43100</v>
      </c>
    </row>
    <row r="2021" spans="1:36" ht="12.75" customHeight="1">
      <c r="A2021" s="94">
        <v>43131</v>
      </c>
      <c r="B2021" s="358" t="s">
        <v>175</v>
      </c>
      <c r="C2021" s="358" t="s">
        <v>300</v>
      </c>
      <c r="D2021" s="93">
        <v>1247368.08</v>
      </c>
      <c r="E2021" s="95"/>
      <c r="F2021" s="93"/>
      <c r="G2021" s="95"/>
      <c r="H2021" s="93"/>
      <c r="I2021" s="93"/>
      <c r="K2021" s="93"/>
      <c r="L2021" s="93">
        <f t="shared" si="270"/>
        <v>0</v>
      </c>
      <c r="M2021" s="95" t="e">
        <f t="shared" ca="1" si="271"/>
        <v>#DIV/0!</v>
      </c>
      <c r="N2021" s="95">
        <f>IF(P2021="Hedge Fund",IF(A2021=Summary!$AD$3,M2021-E2021,M2021),IF(A2021=Summary!$AD$3,L2021-D2021,L2021))</f>
        <v>0</v>
      </c>
      <c r="O2021" s="95">
        <f t="shared" si="276"/>
        <v>0</v>
      </c>
      <c r="P2021" s="107" t="s">
        <v>155</v>
      </c>
      <c r="Q2021" s="95"/>
      <c r="R2021" s="95">
        <v>4.3653190000000001E-2</v>
      </c>
      <c r="S2021" s="95"/>
      <c r="T2021" s="95"/>
      <c r="U2021" s="95"/>
      <c r="V2021" s="95"/>
      <c r="W2021" s="95"/>
      <c r="X2021" s="95"/>
      <c r="Y2021" s="95"/>
      <c r="Z2021" s="95"/>
      <c r="AA2021" s="95"/>
      <c r="AB2021" s="95"/>
      <c r="AC2021" s="355"/>
      <c r="AD2021" s="355"/>
      <c r="AE2021" s="355"/>
      <c r="AF2021" s="94">
        <f t="shared" si="272"/>
        <v>43131</v>
      </c>
      <c r="AG2021" s="185">
        <f t="shared" si="275"/>
        <v>4.9730783112891919E-2</v>
      </c>
      <c r="AH2021" s="339" t="str">
        <f>VLOOKUP(B2021,'MF PF'!A:B,2)</f>
        <v>FdMgt1</v>
      </c>
      <c r="AI2021" s="358">
        <f t="shared" si="273"/>
        <v>0</v>
      </c>
      <c r="AJ2021" s="94">
        <f t="shared" si="274"/>
        <v>43131</v>
      </c>
    </row>
    <row r="2022" spans="1:36" ht="12.75" customHeight="1">
      <c r="A2022" s="8">
        <v>43159</v>
      </c>
      <c r="B2022" s="358" t="s">
        <v>175</v>
      </c>
      <c r="C2022" s="92" t="s">
        <v>300</v>
      </c>
      <c r="D2022" s="93">
        <v>1250780.22</v>
      </c>
      <c r="E2022" s="95"/>
      <c r="F2022" s="93"/>
      <c r="G2022" s="95"/>
      <c r="H2022" s="93"/>
      <c r="I2022" s="93"/>
      <c r="K2022" s="93"/>
      <c r="L2022" s="93">
        <f t="shared" si="270"/>
        <v>0</v>
      </c>
      <c r="M2022" s="95" t="e">
        <f t="shared" ca="1" si="271"/>
        <v>#DIV/0!</v>
      </c>
      <c r="N2022" s="95">
        <f>IF(P2022="Hedge Fund",IF(A2022=Summary!$AD$3,M2022-E2022,M2022),IF(A2022=Summary!$AD$3,L2022-D2022,L2022))</f>
        <v>0</v>
      </c>
      <c r="O2022" s="95">
        <f t="shared" si="276"/>
        <v>0</v>
      </c>
      <c r="P2022" s="107" t="s">
        <v>155</v>
      </c>
      <c r="Q2022" s="95"/>
      <c r="R2022" s="95">
        <v>4.4255330000000002E-2</v>
      </c>
      <c r="S2022" s="95"/>
      <c r="T2022" s="95"/>
      <c r="U2022" s="95"/>
      <c r="V2022" s="95"/>
      <c r="W2022" s="95"/>
      <c r="X2022" s="95"/>
      <c r="Y2022" s="95"/>
      <c r="Z2022" s="95"/>
      <c r="AA2022" s="95"/>
      <c r="AB2022" s="95"/>
      <c r="AC2022" s="355"/>
      <c r="AD2022" s="355"/>
      <c r="AE2022" s="355"/>
      <c r="AF2022" s="94">
        <f t="shared" si="272"/>
        <v>43159</v>
      </c>
      <c r="AG2022" s="185">
        <f t="shared" si="275"/>
        <v>2.7354716340022289E-3</v>
      </c>
      <c r="AH2022" s="339" t="str">
        <f>VLOOKUP(B2022,'MF PF'!A:B,2)</f>
        <v>FdMgt1</v>
      </c>
      <c r="AI2022" s="358">
        <f t="shared" si="273"/>
        <v>0</v>
      </c>
      <c r="AJ2022" s="94">
        <f t="shared" si="274"/>
        <v>43159</v>
      </c>
    </row>
    <row r="2023" spans="1:36" ht="12.75" customHeight="1">
      <c r="A2023" s="94">
        <v>43190</v>
      </c>
      <c r="B2023" s="358" t="s">
        <v>175</v>
      </c>
      <c r="C2023" s="92" t="s">
        <v>300</v>
      </c>
      <c r="D2023" s="93">
        <v>1258903.1299999999</v>
      </c>
      <c r="E2023" s="95"/>
      <c r="F2023" s="93"/>
      <c r="G2023" s="95"/>
      <c r="H2023" s="93"/>
      <c r="I2023" s="93"/>
      <c r="K2023" s="93"/>
      <c r="L2023" s="93">
        <f t="shared" si="270"/>
        <v>0</v>
      </c>
      <c r="M2023" s="95" t="e">
        <f t="shared" ca="1" si="271"/>
        <v>#DIV/0!</v>
      </c>
      <c r="N2023" s="95">
        <f>IF(P2023="Hedge Fund",IF(A2023=Summary!$AD$3,M2023-E2023,M2023),IF(A2023=Summary!$AD$3,L2023-D2023,L2023))</f>
        <v>0</v>
      </c>
      <c r="O2023" s="95">
        <f t="shared" si="276"/>
        <v>0</v>
      </c>
      <c r="P2023" s="89" t="s">
        <v>155</v>
      </c>
      <c r="Q2023" s="95">
        <v>4.8472899999999998E-3</v>
      </c>
      <c r="R2023" s="95">
        <v>4.568879E-2</v>
      </c>
      <c r="S2023" s="95"/>
      <c r="T2023" s="95"/>
      <c r="U2023" s="95"/>
      <c r="V2023" s="95"/>
      <c r="W2023" s="95"/>
      <c r="X2023" s="95"/>
      <c r="Y2023" s="95"/>
      <c r="Z2023" s="95"/>
      <c r="AA2023" s="95"/>
      <c r="AB2023" s="95"/>
      <c r="AC2023" s="355"/>
      <c r="AD2023" s="355"/>
      <c r="AE2023" s="355"/>
      <c r="AF2023" s="94">
        <f t="shared" si="272"/>
        <v>43190</v>
      </c>
      <c r="AG2023" s="185">
        <f t="shared" si="275"/>
        <v>6.4942744297633581E-3</v>
      </c>
      <c r="AH2023" s="339" t="str">
        <f>VLOOKUP(B2023,'MF PF'!A:B,2)</f>
        <v>FdMgt1</v>
      </c>
      <c r="AI2023" s="358">
        <f t="shared" si="273"/>
        <v>0</v>
      </c>
      <c r="AJ2023" s="94">
        <f t="shared" si="274"/>
        <v>43190</v>
      </c>
    </row>
    <row r="2024" spans="1:36" ht="12.75" customHeight="1">
      <c r="A2024" s="8">
        <v>43220</v>
      </c>
      <c r="B2024" s="358" t="s">
        <v>175</v>
      </c>
      <c r="C2024" s="92" t="s">
        <v>300</v>
      </c>
      <c r="D2024" s="93">
        <v>1252327.6499999999</v>
      </c>
      <c r="E2024" s="95"/>
      <c r="F2024" s="93"/>
      <c r="G2024" s="95"/>
      <c r="H2024" s="93"/>
      <c r="I2024" s="93"/>
      <c r="K2024" s="93"/>
      <c r="L2024" s="93">
        <f t="shared" si="270"/>
        <v>0</v>
      </c>
      <c r="M2024" s="95" t="e">
        <f t="shared" ca="1" si="271"/>
        <v>#DIV/0!</v>
      </c>
      <c r="N2024" s="95">
        <f>IF(P2024="Hedge Fund",IF(A2024=Summary!$AD$3,M2024-E2024,M2024),IF(A2024=Summary!$AD$3,L2024-D2024,L2024))</f>
        <v>0</v>
      </c>
      <c r="O2024" s="95">
        <f t="shared" si="276"/>
        <v>0</v>
      </c>
      <c r="P2024" s="89" t="s">
        <v>155</v>
      </c>
      <c r="Q2024" s="95"/>
      <c r="R2024" s="95">
        <v>4.4528410000000004E-2</v>
      </c>
      <c r="S2024" s="95"/>
      <c r="T2024" s="95"/>
      <c r="U2024" s="95"/>
      <c r="V2024" s="95"/>
      <c r="W2024" s="95"/>
      <c r="X2024" s="95"/>
      <c r="Y2024" s="95"/>
      <c r="Z2024" s="95"/>
      <c r="AA2024" s="95"/>
      <c r="AB2024" s="95"/>
      <c r="AC2024" s="355"/>
      <c r="AD2024" s="355"/>
      <c r="AE2024" s="355"/>
      <c r="AF2024" s="94">
        <f t="shared" si="272"/>
        <v>43220</v>
      </c>
      <c r="AG2024" s="185">
        <f t="shared" si="275"/>
        <v>-5.2231818662648033E-3</v>
      </c>
      <c r="AH2024" s="339" t="str">
        <f>VLOOKUP(B2024,'MF PF'!A:B,2)</f>
        <v>FdMgt1</v>
      </c>
      <c r="AI2024" s="358">
        <f t="shared" si="273"/>
        <v>0</v>
      </c>
      <c r="AJ2024" s="94">
        <f t="shared" si="274"/>
        <v>43220</v>
      </c>
    </row>
    <row r="2025" spans="1:36" ht="12.75" customHeight="1">
      <c r="A2025" s="94">
        <v>43251</v>
      </c>
      <c r="B2025" s="358" t="s">
        <v>175</v>
      </c>
      <c r="C2025" s="92" t="s">
        <v>300</v>
      </c>
      <c r="D2025" s="93">
        <v>1268354.6100000001</v>
      </c>
      <c r="E2025" s="95"/>
      <c r="F2025" s="93"/>
      <c r="G2025" s="95"/>
      <c r="H2025" s="93"/>
      <c r="I2025" s="93"/>
      <c r="K2025" s="93"/>
      <c r="L2025" s="93">
        <f t="shared" si="270"/>
        <v>0</v>
      </c>
      <c r="M2025" s="95" t="e">
        <f t="shared" ca="1" si="271"/>
        <v>#DIV/0!</v>
      </c>
      <c r="N2025" s="95">
        <f>IF(P2025="Hedge Fund",IF(A2025=Summary!$AD$3,M2025-E2025,M2025),IF(A2025=Summary!$AD$3,L2025-D2025,L2025))</f>
        <v>0</v>
      </c>
      <c r="O2025" s="95">
        <f t="shared" si="276"/>
        <v>0</v>
      </c>
      <c r="P2025" s="107" t="s">
        <v>155</v>
      </c>
      <c r="Q2025" s="95"/>
      <c r="R2025" s="95">
        <v>4.7356699999999995E-2</v>
      </c>
      <c r="S2025" s="95"/>
      <c r="T2025" s="95"/>
      <c r="U2025" s="95"/>
      <c r="V2025" s="95"/>
      <c r="W2025" s="95"/>
      <c r="X2025" s="95"/>
      <c r="Y2025" s="95"/>
      <c r="Z2025" s="95"/>
      <c r="AA2025" s="95"/>
      <c r="AB2025" s="95"/>
      <c r="AC2025" s="355"/>
      <c r="AD2025" s="355"/>
      <c r="AE2025" s="355"/>
      <c r="AF2025" s="94">
        <f t="shared" si="272"/>
        <v>43251</v>
      </c>
      <c r="AG2025" s="185">
        <f t="shared" si="275"/>
        <v>1.2797737077832716E-2</v>
      </c>
      <c r="AH2025" s="339" t="str">
        <f>VLOOKUP(B2025,'MF PF'!A:B,2)</f>
        <v>FdMgt1</v>
      </c>
      <c r="AI2025" s="358">
        <f t="shared" si="273"/>
        <v>0</v>
      </c>
      <c r="AJ2025" s="94">
        <f t="shared" si="274"/>
        <v>43251</v>
      </c>
    </row>
    <row r="2026" spans="1:36" ht="12.75" customHeight="1">
      <c r="A2026" s="8">
        <v>43281</v>
      </c>
      <c r="B2026" s="358" t="s">
        <v>175</v>
      </c>
      <c r="C2026" s="92" t="s">
        <v>300</v>
      </c>
      <c r="D2026" s="93">
        <v>1256953.04</v>
      </c>
      <c r="E2026" s="95"/>
      <c r="F2026" s="93"/>
      <c r="G2026" s="95"/>
      <c r="H2026" s="93"/>
      <c r="I2026" s="93"/>
      <c r="K2026" s="93"/>
      <c r="L2026" s="93">
        <f t="shared" si="270"/>
        <v>0</v>
      </c>
      <c r="M2026" s="95" t="e">
        <f t="shared" ca="1" si="271"/>
        <v>#DIV/0!</v>
      </c>
      <c r="N2026" s="95">
        <f>IF(P2026="Hedge Fund",IF(A2026=Summary!$AD$3,M2026-E2026,M2026),IF(A2026=Summary!$AD$3,L2026-D2026,L2026))</f>
        <v>0</v>
      </c>
      <c r="O2026" s="95">
        <f t="shared" si="276"/>
        <v>0</v>
      </c>
      <c r="P2026" s="89" t="s">
        <v>155</v>
      </c>
      <c r="Q2026" s="95">
        <v>4.94671E-3</v>
      </c>
      <c r="R2026" s="95">
        <v>4.534465E-2</v>
      </c>
      <c r="S2026" s="95"/>
      <c r="T2026" s="95"/>
      <c r="U2026" s="95"/>
      <c r="V2026" s="95"/>
      <c r="W2026" s="95"/>
      <c r="X2026" s="95"/>
      <c r="Y2026" s="95"/>
      <c r="Z2026" s="95"/>
      <c r="AA2026" s="95"/>
      <c r="AB2026" s="95"/>
      <c r="AC2026" s="355"/>
      <c r="AD2026" s="355"/>
      <c r="AE2026" s="355"/>
      <c r="AF2026" s="94">
        <f t="shared" si="272"/>
        <v>43281</v>
      </c>
      <c r="AG2026" s="185">
        <f t="shared" si="275"/>
        <v>-8.9892605034171957E-3</v>
      </c>
      <c r="AH2026" s="339" t="str">
        <f>VLOOKUP(B2026,'MF PF'!A:B,2)</f>
        <v>FdMgt1</v>
      </c>
      <c r="AI2026" s="358">
        <f t="shared" si="273"/>
        <v>0</v>
      </c>
      <c r="AJ2026" s="94">
        <f t="shared" si="274"/>
        <v>43281</v>
      </c>
    </row>
    <row r="2027" spans="1:36" ht="12.75" customHeight="1">
      <c r="A2027" s="94">
        <v>43312</v>
      </c>
      <c r="B2027" s="358" t="s">
        <v>175</v>
      </c>
      <c r="C2027" s="358" t="s">
        <v>300</v>
      </c>
      <c r="D2027" s="93">
        <v>1250073.73</v>
      </c>
      <c r="F2027" s="93"/>
      <c r="G2027" s="95"/>
      <c r="H2027" s="93"/>
      <c r="I2027" s="93"/>
      <c r="K2027" s="93"/>
      <c r="L2027" s="93">
        <f t="shared" si="270"/>
        <v>0</v>
      </c>
      <c r="M2027" s="95" t="e">
        <f t="shared" ca="1" si="271"/>
        <v>#DIV/0!</v>
      </c>
      <c r="N2027" s="95">
        <f>IF(P2027="Hedge Fund",IF(A2027=Summary!$AD$3,M2027-E2027,M2027),IF(A2027=Summary!$AD$3,L2027-D2027,L2027))</f>
        <v>0</v>
      </c>
      <c r="O2027" s="95">
        <f t="shared" si="276"/>
        <v>0</v>
      </c>
      <c r="P2027" s="89" t="s">
        <v>155</v>
      </c>
      <c r="Q2027" s="95">
        <v>0</v>
      </c>
      <c r="R2027" s="95">
        <v>4.4130660000000002E-2</v>
      </c>
      <c r="S2027" s="95"/>
      <c r="T2027" s="95"/>
      <c r="U2027" s="95"/>
      <c r="V2027" s="95"/>
      <c r="W2027" s="95"/>
      <c r="X2027" s="95"/>
      <c r="Y2027" s="95"/>
      <c r="Z2027" s="95"/>
      <c r="AA2027" s="95"/>
      <c r="AB2027" s="95"/>
      <c r="AC2027" s="355"/>
      <c r="AD2027" s="355"/>
      <c r="AE2027" s="355"/>
      <c r="AF2027" s="94">
        <f t="shared" si="272"/>
        <v>43312</v>
      </c>
      <c r="AG2027" s="185">
        <f t="shared" si="275"/>
        <v>-5.473004783058566E-3</v>
      </c>
      <c r="AH2027" s="339" t="str">
        <f>VLOOKUP(B2027,'MF PF'!A:B,2)</f>
        <v>FdMgt1</v>
      </c>
      <c r="AI2027" s="358">
        <f t="shared" si="273"/>
        <v>0</v>
      </c>
      <c r="AJ2027" s="94">
        <f t="shared" si="274"/>
        <v>43312</v>
      </c>
    </row>
    <row r="2028" spans="1:36" ht="12.75" customHeight="1">
      <c r="A2028" s="94">
        <v>43343</v>
      </c>
      <c r="B2028" s="358" t="s">
        <v>175</v>
      </c>
      <c r="C2028" s="358" t="s">
        <v>300</v>
      </c>
      <c r="D2028" s="93">
        <v>1241403.83</v>
      </c>
      <c r="F2028" s="93"/>
      <c r="G2028" s="95"/>
      <c r="H2028" s="93"/>
      <c r="I2028" s="93"/>
      <c r="K2028" s="93"/>
      <c r="L2028" s="93">
        <f t="shared" si="270"/>
        <v>0</v>
      </c>
      <c r="M2028" s="95" t="e">
        <f t="shared" ca="1" si="271"/>
        <v>#DIV/0!</v>
      </c>
      <c r="N2028" s="95">
        <f>IF(P2028="Hedge Fund",IF(A2028=Summary!$AD$3,M2028-E2028,M2028),IF(A2028=Summary!$AD$3,L2028-D2028,L2028))</f>
        <v>0</v>
      </c>
      <c r="O2028" s="95">
        <f t="shared" si="276"/>
        <v>0</v>
      </c>
      <c r="P2028" s="89" t="s">
        <v>155</v>
      </c>
      <c r="Q2028" s="95">
        <v>0</v>
      </c>
      <c r="R2028" s="95">
        <v>4.2600680000000002E-2</v>
      </c>
      <c r="S2028" s="95"/>
      <c r="T2028" s="95"/>
      <c r="U2028" s="95"/>
      <c r="V2028" s="95"/>
      <c r="W2028" s="95"/>
      <c r="X2028" s="95"/>
      <c r="Y2028" s="95"/>
      <c r="Z2028" s="95"/>
      <c r="AA2028" s="95"/>
      <c r="AB2028" s="95"/>
      <c r="AC2028" s="355"/>
      <c r="AD2028" s="355"/>
      <c r="AE2028" s="355"/>
      <c r="AF2028" s="94">
        <f t="shared" si="272"/>
        <v>43343</v>
      </c>
      <c r="AG2028" s="185">
        <f t="shared" si="275"/>
        <v>-6.9355109158241168E-3</v>
      </c>
      <c r="AH2028" s="339" t="str">
        <f>VLOOKUP(B2028,'MF PF'!A:B,2)</f>
        <v>FdMgt1</v>
      </c>
      <c r="AI2028" s="358">
        <f t="shared" si="273"/>
        <v>0</v>
      </c>
      <c r="AJ2028" s="94">
        <f t="shared" si="274"/>
        <v>43343</v>
      </c>
    </row>
    <row r="2029" spans="1:36" ht="12.75" customHeight="1">
      <c r="A2029" s="94">
        <v>43373</v>
      </c>
      <c r="B2029" s="358" t="s">
        <v>175</v>
      </c>
      <c r="C2029" s="358" t="s">
        <v>300</v>
      </c>
      <c r="D2029" s="93">
        <v>1191558.3500000001</v>
      </c>
      <c r="F2029" s="93"/>
      <c r="G2029" s="95"/>
      <c r="H2029" s="93"/>
      <c r="I2029" s="93"/>
      <c r="K2029" s="93"/>
      <c r="L2029" s="93">
        <f t="shared" si="270"/>
        <v>0</v>
      </c>
      <c r="M2029" s="95" t="e">
        <f t="shared" ca="1" si="271"/>
        <v>#DIV/0!</v>
      </c>
      <c r="N2029" s="95">
        <f>IF(P2029="Hedge Fund",IF(A2029=Summary!$AD$3,M2029-E2029,M2029),IF(A2029=Summary!$AD$3,L2029-D2029,L2029))</f>
        <v>0</v>
      </c>
      <c r="O2029" s="95">
        <f t="shared" si="276"/>
        <v>0</v>
      </c>
      <c r="P2029" s="89" t="s">
        <v>155</v>
      </c>
      <c r="Q2029" s="95">
        <v>4.6039399999999999E-3</v>
      </c>
      <c r="R2029" s="95">
        <v>3.3804420000000002E-2</v>
      </c>
      <c r="S2029" s="95"/>
      <c r="T2029" s="95"/>
      <c r="U2029" s="95"/>
      <c r="V2029" s="95"/>
      <c r="W2029" s="95"/>
      <c r="X2029" s="95"/>
      <c r="Y2029" s="95"/>
      <c r="Z2029" s="95"/>
      <c r="AA2029" s="95"/>
      <c r="AB2029" s="95"/>
      <c r="AC2029" s="355"/>
      <c r="AD2029" s="355"/>
      <c r="AE2029" s="355"/>
      <c r="AF2029" s="94">
        <f t="shared" si="272"/>
        <v>43373</v>
      </c>
      <c r="AG2029" s="185">
        <f t="shared" si="275"/>
        <v>-4.0152510243181672E-2</v>
      </c>
      <c r="AH2029" s="339" t="str">
        <f>VLOOKUP(B2029,'MF PF'!A:B,2)</f>
        <v>FdMgt1</v>
      </c>
      <c r="AI2029" s="358">
        <f t="shared" si="273"/>
        <v>0</v>
      </c>
      <c r="AJ2029" s="94">
        <f t="shared" si="274"/>
        <v>43373</v>
      </c>
    </row>
    <row r="2030" spans="1:36" ht="12.75" customHeight="1">
      <c r="A2030" s="94">
        <v>43404</v>
      </c>
      <c r="B2030" s="358" t="s">
        <v>175</v>
      </c>
      <c r="C2030" s="358" t="s">
        <v>300</v>
      </c>
      <c r="D2030" s="93">
        <v>1186262.9140000001</v>
      </c>
      <c r="F2030" s="93">
        <v>1</v>
      </c>
      <c r="G2030" s="93"/>
      <c r="H2030" s="93">
        <v>0</v>
      </c>
      <c r="I2030" s="93">
        <v>0</v>
      </c>
      <c r="J2030" s="93">
        <v>0</v>
      </c>
      <c r="K2030" s="93"/>
      <c r="L2030" s="93">
        <f t="shared" si="270"/>
        <v>0</v>
      </c>
      <c r="M2030" s="95" t="e">
        <f t="shared" ca="1" si="271"/>
        <v>#DIV/0!</v>
      </c>
      <c r="N2030" s="95">
        <f>IF(P2030="Hedge Fund",IF(A2030=Summary!$AD$3,M2030-E2030,M2030),IF(A2030=Summary!$AD$3,L2030-D2030,L2030))</f>
        <v>0</v>
      </c>
      <c r="O2030" s="95">
        <f t="shared" si="276"/>
        <v>0</v>
      </c>
      <c r="P2030" s="95" t="s">
        <v>155</v>
      </c>
      <c r="Q2030" s="95">
        <v>6.2613775611426569E-3</v>
      </c>
      <c r="R2030" s="95">
        <v>3.2869926000000015E-2</v>
      </c>
      <c r="S2030" s="95"/>
      <c r="T2030" s="95"/>
      <c r="U2030" s="95"/>
      <c r="V2030" s="95"/>
      <c r="W2030" s="95"/>
      <c r="X2030" s="95"/>
      <c r="Y2030" s="95"/>
      <c r="Z2030" s="95"/>
      <c r="AA2030" s="95"/>
      <c r="AB2030" s="95"/>
      <c r="AC2030" s="355"/>
      <c r="AD2030" s="355"/>
      <c r="AE2030" s="355"/>
      <c r="AF2030" s="94">
        <f t="shared" si="272"/>
        <v>43404</v>
      </c>
      <c r="AG2030" s="185">
        <f t="shared" si="275"/>
        <v>-4.4441264668239056E-3</v>
      </c>
      <c r="AH2030" s="339" t="str">
        <f>VLOOKUP(B2030,'MF PF'!A:B,2)</f>
        <v>FdMgt1</v>
      </c>
      <c r="AI2030" s="358">
        <f t="shared" si="273"/>
        <v>0</v>
      </c>
      <c r="AJ2030" s="94">
        <f t="shared" si="274"/>
        <v>43404</v>
      </c>
    </row>
    <row r="2031" spans="1:36" ht="12.75" customHeight="1">
      <c r="A2031" s="8">
        <v>43434</v>
      </c>
      <c r="B2031" s="358" t="s">
        <v>175</v>
      </c>
      <c r="C2031" s="358" t="s">
        <v>300</v>
      </c>
      <c r="D2031" s="93">
        <v>1188309.1954999999</v>
      </c>
      <c r="F2031" s="93">
        <v>1</v>
      </c>
      <c r="G2031" s="93"/>
      <c r="H2031" s="93">
        <v>0</v>
      </c>
      <c r="I2031" s="93">
        <v>0</v>
      </c>
      <c r="K2031" s="93">
        <v>0</v>
      </c>
      <c r="L2031" s="93">
        <f t="shared" si="270"/>
        <v>0</v>
      </c>
      <c r="M2031" s="95" t="e">
        <f t="shared" ca="1" si="271"/>
        <v>#DIV/0!</v>
      </c>
      <c r="N2031" s="95">
        <f>IF(P2031="Hedge Fund",IF(A2031=Summary!$AD$3,M2031-E2031,M2031),IF(A2031=Summary!$AD$3,L2031-D2031,L2031))</f>
        <v>0</v>
      </c>
      <c r="O2031" s="95">
        <f t="shared" si="276"/>
        <v>0</v>
      </c>
      <c r="P2031" s="95" t="s">
        <v>155</v>
      </c>
      <c r="Q2031" s="95">
        <v>3.1853850556398029E-3</v>
      </c>
      <c r="R2031" s="95">
        <v>3.3231034499999992E-2</v>
      </c>
      <c r="S2031" s="95"/>
      <c r="T2031" s="95"/>
      <c r="U2031" s="95"/>
      <c r="V2031" s="95"/>
      <c r="W2031" s="95"/>
      <c r="X2031" s="95"/>
      <c r="Y2031" s="95"/>
      <c r="Z2031" s="95"/>
      <c r="AA2031" s="95"/>
      <c r="AB2031" s="95"/>
      <c r="AC2031" s="355"/>
      <c r="AD2031" s="355"/>
      <c r="AE2031" s="355"/>
      <c r="AF2031" s="94">
        <f t="shared" si="272"/>
        <v>43434</v>
      </c>
      <c r="AG2031" s="185">
        <f t="shared" si="275"/>
        <v>1.7249814318984757E-3</v>
      </c>
      <c r="AH2031" s="339" t="str">
        <f>VLOOKUP(B2031,'MF PF'!A:B,2)</f>
        <v>FdMgt1</v>
      </c>
      <c r="AI2031" s="358">
        <f t="shared" si="273"/>
        <v>0</v>
      </c>
      <c r="AJ2031" s="94">
        <f t="shared" si="274"/>
        <v>43434</v>
      </c>
    </row>
    <row r="2032" spans="1:36" ht="12.75" customHeight="1">
      <c r="A2032" s="94">
        <v>43465</v>
      </c>
      <c r="B2032" s="358" t="s">
        <v>175</v>
      </c>
      <c r="C2032" s="358" t="s">
        <v>300</v>
      </c>
      <c r="D2032" s="93">
        <v>1197948.8840000001</v>
      </c>
      <c r="F2032" s="93">
        <v>1</v>
      </c>
      <c r="G2032" s="93"/>
      <c r="H2032" s="93">
        <v>0</v>
      </c>
      <c r="I2032" s="93">
        <v>0</v>
      </c>
      <c r="K2032" s="93">
        <v>0</v>
      </c>
      <c r="L2032" s="93">
        <f t="shared" si="270"/>
        <v>0</v>
      </c>
      <c r="M2032" s="95" t="e">
        <f t="shared" ca="1" si="271"/>
        <v>#DIV/0!</v>
      </c>
      <c r="N2032" s="95">
        <f>IF(P2032="Hedge Fund",IF(A2032=Summary!$AD$3,M2032-E2032,M2032),IF(A2032=Summary!$AD$3,L2032-D2032,L2032))</f>
        <v>0</v>
      </c>
      <c r="O2032" s="95">
        <f t="shared" si="276"/>
        <v>0</v>
      </c>
      <c r="P2032" s="95" t="s">
        <v>155</v>
      </c>
      <c r="Q2032" s="95">
        <v>4.7854632831346028E-3</v>
      </c>
      <c r="R2032" s="95">
        <v>3.4932156000000006E-2</v>
      </c>
      <c r="S2032" s="95"/>
      <c r="T2032" s="95"/>
      <c r="U2032" s="95"/>
      <c r="V2032" s="95"/>
      <c r="W2032" s="95"/>
      <c r="X2032" s="95"/>
      <c r="Y2032" s="95"/>
      <c r="Z2032" s="95"/>
      <c r="AA2032" s="95"/>
      <c r="AB2032" s="95"/>
      <c r="AC2032" s="355"/>
      <c r="AD2032" s="355"/>
      <c r="AE2032" s="355"/>
      <c r="AF2032" s="94">
        <f t="shared" si="272"/>
        <v>43465</v>
      </c>
      <c r="AG2032" s="185">
        <f t="shared" si="275"/>
        <v>8.1121046075420811E-3</v>
      </c>
      <c r="AH2032" s="339" t="str">
        <f>VLOOKUP(B2032,'MF PF'!A:B,2)</f>
        <v>FdMgt1</v>
      </c>
      <c r="AI2032" s="358">
        <f t="shared" si="273"/>
        <v>0</v>
      </c>
      <c r="AJ2032" s="94">
        <f t="shared" si="274"/>
        <v>43465</v>
      </c>
    </row>
    <row r="2033" spans="1:36" ht="12.75" customHeight="1">
      <c r="A2033" s="94">
        <v>43496</v>
      </c>
      <c r="B2033" s="358" t="s">
        <v>175</v>
      </c>
      <c r="C2033" s="358" t="s">
        <v>300</v>
      </c>
      <c r="D2033" s="93">
        <v>1235545.5995</v>
      </c>
      <c r="E2033" s="95"/>
      <c r="F2033" s="93">
        <v>1</v>
      </c>
      <c r="G2033" s="93"/>
      <c r="H2033" s="93">
        <v>0</v>
      </c>
      <c r="I2033" s="93">
        <v>0</v>
      </c>
      <c r="K2033" s="93">
        <v>0</v>
      </c>
      <c r="L2033" s="93">
        <f t="shared" si="270"/>
        <v>0</v>
      </c>
      <c r="M2033" s="95" t="e">
        <f t="shared" ca="1" si="271"/>
        <v>#DIV/0!</v>
      </c>
      <c r="N2033" s="95">
        <f>IF(P2033="Hedge Fund",IF(A2033=Summary!$AD$3,M2033-E2033,M2033),IF(A2033=Summary!$AD$3,L2033-D2033,L2033))</f>
        <v>-1235545.5995</v>
      </c>
      <c r="O2033" s="95">
        <f t="shared" si="276"/>
        <v>-1235545.5995</v>
      </c>
      <c r="P2033" s="95" t="s">
        <v>155</v>
      </c>
      <c r="Q2033" s="95">
        <v>1.6306693569535582E-3</v>
      </c>
      <c r="R2033" s="95">
        <v>4.1566870499999999E-2</v>
      </c>
      <c r="S2033" s="95"/>
      <c r="T2033" s="95"/>
      <c r="U2033" s="95"/>
      <c r="V2033" s="95"/>
      <c r="W2033" s="95"/>
      <c r="X2033" s="95"/>
      <c r="Y2033" s="95"/>
      <c r="Z2033" s="95"/>
      <c r="AA2033" s="95"/>
      <c r="AB2033" s="95"/>
      <c r="AC2033" s="355"/>
      <c r="AD2033" s="355"/>
      <c r="AE2033" s="355"/>
      <c r="AF2033" s="94">
        <f t="shared" si="272"/>
        <v>43496</v>
      </c>
      <c r="AG2033" s="185">
        <f t="shared" si="275"/>
        <v>3.1384240180985845E-2</v>
      </c>
      <c r="AH2033" s="339" t="str">
        <f>VLOOKUP(B2033,'MF PF'!A:B,2)</f>
        <v>FdMgt1</v>
      </c>
      <c r="AI2033" s="358">
        <f t="shared" si="273"/>
        <v>0</v>
      </c>
      <c r="AJ2033" s="94">
        <f t="shared" si="274"/>
        <v>43496</v>
      </c>
    </row>
    <row r="2034" spans="1:36" ht="12.75" customHeight="1">
      <c r="A2034" s="94">
        <v>42597</v>
      </c>
      <c r="B2034" s="358" t="s">
        <v>175</v>
      </c>
      <c r="C2034" s="358" t="s">
        <v>343</v>
      </c>
      <c r="D2034" s="93"/>
      <c r="F2034" s="93"/>
      <c r="G2034" s="95">
        <v>900000</v>
      </c>
      <c r="H2034" s="93"/>
      <c r="I2034" s="93"/>
      <c r="K2034" s="93"/>
      <c r="L2034" s="93">
        <f t="shared" si="270"/>
        <v>900000</v>
      </c>
      <c r="M2034" s="95">
        <f t="shared" ca="1" si="271"/>
        <v>0</v>
      </c>
      <c r="N2034" s="95">
        <f>IF(P2034="Hedge Fund",IF(A2034=Summary!$AD$3,M2034-E2034,M2034),IF(A2034=Summary!$AD$3,L2034-D2034,L2034))</f>
        <v>900000</v>
      </c>
      <c r="O2034" s="95"/>
      <c r="P2034" s="107" t="s">
        <v>155</v>
      </c>
      <c r="Q2034" s="95">
        <v>0</v>
      </c>
      <c r="R2034" s="95">
        <v>0</v>
      </c>
      <c r="S2034" s="95"/>
      <c r="T2034" s="95"/>
      <c r="U2034" s="95"/>
      <c r="V2034" s="95"/>
      <c r="W2034" s="95"/>
      <c r="X2034" s="95"/>
      <c r="Y2034" s="95"/>
      <c r="Z2034" s="95"/>
      <c r="AA2034" s="95"/>
      <c r="AB2034" s="95"/>
      <c r="AC2034" s="355"/>
      <c r="AD2034" s="355"/>
      <c r="AE2034" s="355"/>
      <c r="AF2034" s="94">
        <f t="shared" si="272"/>
        <v>42597</v>
      </c>
      <c r="AG2034" s="185">
        <f t="shared" si="275"/>
        <v>-1</v>
      </c>
      <c r="AH2034" s="339" t="str">
        <f>VLOOKUP(B2034,'MF PF'!A:B,2)</f>
        <v>FdMgt1</v>
      </c>
      <c r="AI2034" s="358">
        <f t="shared" si="273"/>
        <v>0</v>
      </c>
      <c r="AJ2034" s="94">
        <f t="shared" si="274"/>
        <v>42613</v>
      </c>
    </row>
    <row r="2035" spans="1:36" ht="12.75" customHeight="1">
      <c r="A2035" s="94">
        <v>42605</v>
      </c>
      <c r="B2035" s="358" t="s">
        <v>175</v>
      </c>
      <c r="C2035" s="358" t="s">
        <v>343</v>
      </c>
      <c r="D2035" s="93"/>
      <c r="F2035" s="93"/>
      <c r="G2035" s="95">
        <v>2240000</v>
      </c>
      <c r="H2035" s="93"/>
      <c r="I2035" s="93"/>
      <c r="K2035" s="93"/>
      <c r="L2035" s="93">
        <f t="shared" si="270"/>
        <v>2240000</v>
      </c>
      <c r="M2035" s="95" t="e">
        <f t="shared" ca="1" si="271"/>
        <v>#DIV/0!</v>
      </c>
      <c r="N2035" s="95">
        <f>IF(P2035="Hedge Fund",IF(A2035=Summary!$AD$3,M2035-E2035,M2035),IF(A2035=Summary!$AD$3,L2035-D2035,L2035))</f>
        <v>2240000</v>
      </c>
      <c r="O2035" s="95"/>
      <c r="P2035" s="89" t="s">
        <v>155</v>
      </c>
      <c r="Q2035" s="95">
        <v>0</v>
      </c>
      <c r="R2035" s="95">
        <v>0</v>
      </c>
      <c r="S2035" s="95"/>
      <c r="T2035" s="95"/>
      <c r="U2035" s="95"/>
      <c r="V2035" s="95"/>
      <c r="W2035" s="95"/>
      <c r="X2035" s="95"/>
      <c r="Y2035" s="95"/>
      <c r="Z2035" s="95"/>
      <c r="AA2035" s="95"/>
      <c r="AB2035" s="95"/>
      <c r="AC2035" s="355"/>
      <c r="AD2035" s="355"/>
      <c r="AE2035" s="355"/>
      <c r="AF2035" s="94">
        <f t="shared" si="272"/>
        <v>42605</v>
      </c>
      <c r="AG2035" s="185" t="e">
        <f t="shared" si="275"/>
        <v>#DIV/0!</v>
      </c>
      <c r="AH2035" s="339" t="str">
        <f>VLOOKUP(B2035,'MF PF'!A:B,2)</f>
        <v>FdMgt1</v>
      </c>
      <c r="AI2035" s="358">
        <f t="shared" si="273"/>
        <v>0</v>
      </c>
      <c r="AJ2035" s="94">
        <f t="shared" si="274"/>
        <v>42613</v>
      </c>
    </row>
    <row r="2036" spans="1:36" ht="12.75" customHeight="1">
      <c r="A2036" s="94">
        <v>42634</v>
      </c>
      <c r="B2036" s="358" t="s">
        <v>175</v>
      </c>
      <c r="C2036" s="358" t="s">
        <v>343</v>
      </c>
      <c r="D2036" s="93"/>
      <c r="E2036" s="95"/>
      <c r="F2036" s="93"/>
      <c r="G2036" s="95">
        <v>4980000</v>
      </c>
      <c r="H2036" s="93"/>
      <c r="I2036" s="93"/>
      <c r="K2036" s="93"/>
      <c r="L2036" s="93">
        <f t="shared" si="270"/>
        <v>4980000</v>
      </c>
      <c r="M2036" s="95" t="e">
        <f t="shared" ca="1" si="271"/>
        <v>#DIV/0!</v>
      </c>
      <c r="N2036" s="95">
        <f>IF(P2036="Hedge Fund",IF(A2036=Summary!$AD$3,M2036-E2036,M2036),IF(A2036=Summary!$AD$3,L2036-D2036,L2036))</f>
        <v>4980000</v>
      </c>
      <c r="O2036" s="95"/>
      <c r="P2036" s="89" t="s">
        <v>155</v>
      </c>
      <c r="Q2036" s="95">
        <v>0</v>
      </c>
      <c r="R2036" s="95">
        <v>0</v>
      </c>
      <c r="S2036" s="95"/>
      <c r="T2036" s="95"/>
      <c r="U2036" s="95"/>
      <c r="V2036" s="95"/>
      <c r="W2036" s="95"/>
      <c r="X2036" s="95"/>
      <c r="Y2036" s="95"/>
      <c r="Z2036" s="95"/>
      <c r="AA2036" s="95"/>
      <c r="AB2036" s="95"/>
      <c r="AC2036" s="355"/>
      <c r="AD2036" s="355"/>
      <c r="AE2036" s="355"/>
      <c r="AF2036" s="94">
        <f t="shared" si="272"/>
        <v>42634</v>
      </c>
      <c r="AG2036" s="185" t="e">
        <f t="shared" si="275"/>
        <v>#DIV/0!</v>
      </c>
      <c r="AH2036" s="339" t="str">
        <f>VLOOKUP(B2036,'MF PF'!A:B,2)</f>
        <v>FdMgt1</v>
      </c>
      <c r="AI2036" s="358">
        <f t="shared" si="273"/>
        <v>0</v>
      </c>
      <c r="AJ2036" s="94">
        <f t="shared" si="274"/>
        <v>42643</v>
      </c>
    </row>
    <row r="2037" spans="1:36" ht="12.75" customHeight="1">
      <c r="A2037" s="94">
        <v>42643</v>
      </c>
      <c r="B2037" s="358" t="s">
        <v>175</v>
      </c>
      <c r="C2037" s="358" t="s">
        <v>343</v>
      </c>
      <c r="D2037" s="93">
        <v>8582644.8699999992</v>
      </c>
      <c r="E2037" s="95"/>
      <c r="F2037" s="93"/>
      <c r="G2037" s="95"/>
      <c r="H2037" s="93"/>
      <c r="I2037" s="93"/>
      <c r="K2037" s="93"/>
      <c r="L2037" s="93">
        <f t="shared" si="270"/>
        <v>0</v>
      </c>
      <c r="M2037" s="95" t="e">
        <f t="shared" ca="1" si="271"/>
        <v>#DIV/0!</v>
      </c>
      <c r="N2037" s="95">
        <f>IF(P2037="Hedge Fund",IF(A2037=Summary!$AD$3,M2037-E2037,M2037),IF(A2037=Summary!$AD$3,L2037-D2037,L2037))</f>
        <v>0</v>
      </c>
      <c r="O2037" s="95"/>
      <c r="P2037" s="107" t="s">
        <v>155</v>
      </c>
      <c r="Q2037" s="95">
        <v>0</v>
      </c>
      <c r="R2037" s="95">
        <v>-4.7655080000000002E-2</v>
      </c>
      <c r="S2037" s="95"/>
      <c r="T2037" s="95"/>
      <c r="U2037" s="95"/>
      <c r="V2037" s="95"/>
      <c r="W2037" s="95"/>
      <c r="X2037" s="95"/>
      <c r="Y2037" s="95"/>
      <c r="Z2037" s="95"/>
      <c r="AA2037" s="95"/>
      <c r="AB2037" s="95"/>
      <c r="AC2037" s="355"/>
      <c r="AD2037" s="355"/>
      <c r="AE2037" s="355"/>
      <c r="AF2037" s="94">
        <f t="shared" si="272"/>
        <v>42643</v>
      </c>
      <c r="AG2037" s="185" t="e">
        <f t="shared" si="275"/>
        <v>#DIV/0!</v>
      </c>
      <c r="AH2037" s="339" t="str">
        <f>VLOOKUP(B2037,'MF PF'!A:B,2)</f>
        <v>FdMgt1</v>
      </c>
      <c r="AI2037" s="358">
        <f t="shared" si="273"/>
        <v>0</v>
      </c>
      <c r="AJ2037" s="94">
        <f t="shared" si="274"/>
        <v>42643</v>
      </c>
    </row>
    <row r="2038" spans="1:36" ht="12.75" customHeight="1">
      <c r="A2038" s="94">
        <v>42655</v>
      </c>
      <c r="B2038" s="358" t="s">
        <v>175</v>
      </c>
      <c r="C2038" s="358" t="s">
        <v>343</v>
      </c>
      <c r="D2038" s="93"/>
      <c r="E2038" s="95"/>
      <c r="F2038" s="93"/>
      <c r="G2038" s="95">
        <v>3900000</v>
      </c>
      <c r="H2038" s="93"/>
      <c r="I2038" s="93"/>
      <c r="K2038" s="93"/>
      <c r="L2038" s="93">
        <f t="shared" si="270"/>
        <v>3900000</v>
      </c>
      <c r="M2038" s="95" t="e">
        <f t="shared" ca="1" si="271"/>
        <v>#DIV/0!</v>
      </c>
      <c r="N2038" s="95">
        <f>IF(P2038="Hedge Fund",IF(A2038=Summary!$AD$3,M2038-E2038,M2038),IF(A2038=Summary!$AD$3,L2038-D2038,L2038))</f>
        <v>3900000</v>
      </c>
      <c r="O2038" s="95"/>
      <c r="P2038" s="107" t="s">
        <v>155</v>
      </c>
      <c r="Q2038" s="95">
        <v>0</v>
      </c>
      <c r="R2038" s="95">
        <v>0</v>
      </c>
      <c r="S2038" s="95"/>
      <c r="T2038" s="95"/>
      <c r="U2038" s="95"/>
      <c r="V2038" s="95"/>
      <c r="W2038" s="95"/>
      <c r="X2038" s="95"/>
      <c r="Y2038" s="95"/>
      <c r="Z2038" s="95"/>
      <c r="AA2038" s="95"/>
      <c r="AB2038" s="95"/>
      <c r="AC2038" s="355"/>
      <c r="AD2038" s="355"/>
      <c r="AE2038" s="355"/>
      <c r="AF2038" s="94">
        <f t="shared" si="272"/>
        <v>42655</v>
      </c>
      <c r="AG2038" s="185">
        <f t="shared" si="275"/>
        <v>-1.4544053795855123</v>
      </c>
      <c r="AH2038" s="339" t="str">
        <f>VLOOKUP(B2038,'MF PF'!A:B,2)</f>
        <v>FdMgt1</v>
      </c>
      <c r="AI2038" s="358">
        <f t="shared" si="273"/>
        <v>0</v>
      </c>
      <c r="AJ2038" s="94">
        <f t="shared" si="274"/>
        <v>42674</v>
      </c>
    </row>
    <row r="2039" spans="1:36" ht="12.75" customHeight="1">
      <c r="A2039" s="94">
        <v>42667</v>
      </c>
      <c r="B2039" s="358" t="s">
        <v>175</v>
      </c>
      <c r="C2039" s="358" t="s">
        <v>343</v>
      </c>
      <c r="D2039" s="93"/>
      <c r="E2039" s="95"/>
      <c r="F2039" s="93"/>
      <c r="G2039" s="95">
        <v>2920000</v>
      </c>
      <c r="H2039" s="93"/>
      <c r="I2039" s="93"/>
      <c r="K2039" s="93"/>
      <c r="L2039" s="93">
        <f t="shared" si="270"/>
        <v>2920000</v>
      </c>
      <c r="M2039" s="95" t="e">
        <f t="shared" ca="1" si="271"/>
        <v>#DIV/0!</v>
      </c>
      <c r="N2039" s="95">
        <f>IF(P2039="Hedge Fund",IF(A2039=Summary!$AD$3,M2039-E2039,M2039),IF(A2039=Summary!$AD$3,L2039-D2039,L2039))</f>
        <v>2920000</v>
      </c>
      <c r="O2039" s="95"/>
      <c r="P2039" s="107" t="s">
        <v>155</v>
      </c>
      <c r="Q2039" s="95">
        <v>0</v>
      </c>
      <c r="R2039" s="95">
        <v>0</v>
      </c>
      <c r="S2039" s="95"/>
      <c r="T2039" s="95"/>
      <c r="U2039" s="95"/>
      <c r="V2039" s="95"/>
      <c r="W2039" s="95"/>
      <c r="X2039" s="95"/>
      <c r="Y2039" s="95"/>
      <c r="Z2039" s="95"/>
      <c r="AA2039" s="95"/>
      <c r="AB2039" s="95"/>
      <c r="AC2039" s="355"/>
      <c r="AD2039" s="355"/>
      <c r="AE2039" s="355"/>
      <c r="AF2039" s="94">
        <f t="shared" si="272"/>
        <v>42667</v>
      </c>
      <c r="AG2039" s="185" t="e">
        <f t="shared" si="275"/>
        <v>#DIV/0!</v>
      </c>
      <c r="AH2039" s="339" t="str">
        <f>VLOOKUP(B2039,'MF PF'!A:B,2)</f>
        <v>FdMgt1</v>
      </c>
      <c r="AI2039" s="358">
        <f t="shared" si="273"/>
        <v>0</v>
      </c>
      <c r="AJ2039" s="94">
        <f t="shared" si="274"/>
        <v>42674</v>
      </c>
    </row>
    <row r="2040" spans="1:36" ht="12.75" customHeight="1">
      <c r="A2040" s="94">
        <v>42674</v>
      </c>
      <c r="B2040" s="358" t="s">
        <v>175</v>
      </c>
      <c r="C2040" s="358" t="s">
        <v>343</v>
      </c>
      <c r="D2040" s="93">
        <v>16182831</v>
      </c>
      <c r="E2040" s="95"/>
      <c r="F2040" s="93"/>
      <c r="G2040" s="95"/>
      <c r="H2040" s="93"/>
      <c r="I2040" s="93"/>
      <c r="K2040" s="93"/>
      <c r="L2040" s="93">
        <f t="shared" si="270"/>
        <v>0</v>
      </c>
      <c r="M2040" s="95" t="e">
        <f t="shared" ca="1" si="271"/>
        <v>#DIV/0!</v>
      </c>
      <c r="N2040" s="95">
        <f>IF(P2040="Hedge Fund",IF(A2040=Summary!$AD$3,M2040-E2040,M2040),IF(A2040=Summary!$AD$3,L2040-D2040,L2040))</f>
        <v>0</v>
      </c>
      <c r="O2040" s="95"/>
      <c r="P2040" s="107" t="s">
        <v>155</v>
      </c>
      <c r="Q2040" s="95">
        <v>0</v>
      </c>
      <c r="R2040" s="95">
        <v>-0.12898229</v>
      </c>
      <c r="S2040" s="95"/>
      <c r="T2040" s="95"/>
      <c r="U2040" s="95"/>
      <c r="V2040" s="95"/>
      <c r="W2040" s="95"/>
      <c r="X2040" s="95"/>
      <c r="Y2040" s="95"/>
      <c r="Z2040" s="95"/>
      <c r="AA2040" s="95"/>
      <c r="AB2040" s="95"/>
      <c r="AC2040" s="355"/>
      <c r="AD2040" s="355"/>
      <c r="AE2040" s="355"/>
      <c r="AF2040" s="94">
        <f t="shared" si="272"/>
        <v>42674</v>
      </c>
      <c r="AG2040" s="185" t="e">
        <f t="shared" si="275"/>
        <v>#DIV/0!</v>
      </c>
      <c r="AH2040" s="339" t="str">
        <f>VLOOKUP(B2040,'MF PF'!A:B,2)</f>
        <v>FdMgt1</v>
      </c>
      <c r="AI2040" s="358">
        <f t="shared" si="273"/>
        <v>0</v>
      </c>
      <c r="AJ2040" s="94">
        <f t="shared" si="274"/>
        <v>42674</v>
      </c>
    </row>
    <row r="2041" spans="1:36" ht="12.75" customHeight="1">
      <c r="A2041" s="94">
        <v>42695</v>
      </c>
      <c r="B2041" s="358" t="s">
        <v>175</v>
      </c>
      <c r="C2041" s="358" t="s">
        <v>343</v>
      </c>
      <c r="D2041" s="93"/>
      <c r="E2041" s="95"/>
      <c r="F2041" s="93"/>
      <c r="G2041" s="358"/>
      <c r="H2041" s="93"/>
      <c r="I2041" s="95">
        <f>-8317379*0</f>
        <v>0</v>
      </c>
      <c r="K2041" s="93"/>
      <c r="L2041" s="93">
        <f t="shared" si="270"/>
        <v>0</v>
      </c>
      <c r="M2041" s="95" t="e">
        <f t="shared" ca="1" si="271"/>
        <v>#DIV/0!</v>
      </c>
      <c r="N2041" s="95">
        <f>IF(P2041="Hedge Fund",IF(A2041=Summary!$AD$3,M2041-E2041,M2041),IF(A2041=Summary!$AD$3,L2041-D2041,L2041))</f>
        <v>0</v>
      </c>
      <c r="O2041" s="95"/>
      <c r="P2041" s="89" t="s">
        <v>155</v>
      </c>
      <c r="Q2041" s="95">
        <v>0</v>
      </c>
      <c r="R2041" s="95">
        <v>0</v>
      </c>
      <c r="S2041" s="95"/>
      <c r="T2041" s="95"/>
      <c r="U2041" s="95"/>
      <c r="V2041" s="95"/>
      <c r="W2041" s="95"/>
      <c r="X2041" s="95"/>
      <c r="Y2041" s="95"/>
      <c r="Z2041" s="95"/>
      <c r="AA2041" s="95"/>
      <c r="AB2041" s="95"/>
      <c r="AC2041" s="355"/>
      <c r="AD2041" s="355"/>
      <c r="AE2041" s="355"/>
      <c r="AF2041" s="94">
        <f t="shared" si="272"/>
        <v>42695</v>
      </c>
      <c r="AG2041" s="185">
        <f t="shared" si="275"/>
        <v>-1</v>
      </c>
      <c r="AH2041" s="339" t="str">
        <f>VLOOKUP(B2041,'MF PF'!A:B,2)</f>
        <v>FdMgt1</v>
      </c>
      <c r="AI2041" s="358">
        <f t="shared" si="273"/>
        <v>0</v>
      </c>
      <c r="AJ2041" s="94">
        <f t="shared" si="274"/>
        <v>42704</v>
      </c>
    </row>
    <row r="2042" spans="1:36" ht="12.75" customHeight="1">
      <c r="A2042" s="94">
        <v>42695</v>
      </c>
      <c r="B2042" s="358" t="s">
        <v>175</v>
      </c>
      <c r="C2042" s="358" t="s">
        <v>343</v>
      </c>
      <c r="D2042" s="93"/>
      <c r="F2042" s="93"/>
      <c r="G2042" s="95">
        <f>1360000*0</f>
        <v>0</v>
      </c>
      <c r="H2042" s="93"/>
      <c r="I2042" s="93"/>
      <c r="K2042" s="93"/>
      <c r="L2042" s="93">
        <f t="shared" si="270"/>
        <v>0</v>
      </c>
      <c r="M2042" s="95">
        <f t="shared" ca="1" si="271"/>
        <v>0</v>
      </c>
      <c r="N2042" s="95">
        <f>IF(P2042="Hedge Fund",IF(A2042=Summary!$AD$3,M2042-E2042,M2042),IF(A2042=Summary!$AD$3,L2042-D2042,L2042))</f>
        <v>0</v>
      </c>
      <c r="O2042" s="95"/>
      <c r="P2042" s="89" t="s">
        <v>155</v>
      </c>
      <c r="Q2042" s="95">
        <v>0</v>
      </c>
      <c r="R2042" s="95">
        <v>0</v>
      </c>
      <c r="S2042" s="95"/>
      <c r="T2042" s="95"/>
      <c r="U2042" s="95"/>
      <c r="V2042" s="95"/>
      <c r="W2042" s="95"/>
      <c r="X2042" s="95"/>
      <c r="Y2042" s="95"/>
      <c r="Z2042" s="95"/>
      <c r="AA2042" s="95"/>
      <c r="AB2042" s="95"/>
      <c r="AC2042" s="355"/>
      <c r="AD2042" s="355"/>
      <c r="AE2042" s="355"/>
      <c r="AF2042" s="94">
        <f t="shared" si="272"/>
        <v>42695</v>
      </c>
      <c r="AG2042" s="185" t="e">
        <f t="shared" si="275"/>
        <v>#DIV/0!</v>
      </c>
      <c r="AH2042" s="339" t="str">
        <f>VLOOKUP(B2042,'MF PF'!A:B,2)</f>
        <v>FdMgt1</v>
      </c>
      <c r="AI2042" s="358">
        <f t="shared" si="273"/>
        <v>0</v>
      </c>
      <c r="AJ2042" s="94">
        <f t="shared" si="274"/>
        <v>42704</v>
      </c>
    </row>
    <row r="2043" spans="1:36" s="92" customFormat="1" ht="12.75" customHeight="1">
      <c r="A2043" s="94">
        <v>42703</v>
      </c>
      <c r="B2043" s="358" t="s">
        <v>175</v>
      </c>
      <c r="C2043" s="358" t="s">
        <v>343</v>
      </c>
      <c r="D2043" s="93"/>
      <c r="E2043" s="95"/>
      <c r="F2043" s="93"/>
      <c r="G2043" s="95">
        <f>3220000*0</f>
        <v>0</v>
      </c>
      <c r="H2043" s="93"/>
      <c r="I2043" s="93"/>
      <c r="J2043" s="93"/>
      <c r="K2043" s="93"/>
      <c r="L2043" s="93">
        <f t="shared" si="270"/>
        <v>0</v>
      </c>
      <c r="M2043" s="95" t="e">
        <f t="shared" ca="1" si="271"/>
        <v>#DIV/0!</v>
      </c>
      <c r="N2043" s="95">
        <f>IF(P2043="Hedge Fund",IF(A2043=Summary!$AD$3,M2043-E2043,M2043),IF(A2043=Summary!$AD$3,L2043-D2043,L2043))</f>
        <v>0</v>
      </c>
      <c r="O2043" s="95"/>
      <c r="P2043" s="107" t="s">
        <v>155</v>
      </c>
      <c r="Q2043" s="95">
        <v>0</v>
      </c>
      <c r="R2043" s="95">
        <v>0</v>
      </c>
      <c r="S2043" s="95"/>
      <c r="T2043" s="95"/>
      <c r="U2043" s="95"/>
      <c r="V2043" s="95"/>
      <c r="W2043" s="95"/>
      <c r="X2043" s="95"/>
      <c r="Y2043" s="95"/>
      <c r="Z2043" s="95"/>
      <c r="AA2043" s="95"/>
      <c r="AB2043" s="95"/>
      <c r="AC2043" s="355"/>
      <c r="AD2043" s="355"/>
      <c r="AE2043" s="355"/>
      <c r="AF2043" s="94">
        <f t="shared" si="272"/>
        <v>42703</v>
      </c>
      <c r="AG2043" s="185" t="e">
        <f t="shared" si="275"/>
        <v>#DIV/0!</v>
      </c>
      <c r="AH2043" s="339" t="str">
        <f>VLOOKUP(B2043,'MF PF'!A:B,2)</f>
        <v>FdMgt1</v>
      </c>
      <c r="AI2043" s="358">
        <f t="shared" si="273"/>
        <v>0</v>
      </c>
      <c r="AJ2043" s="94">
        <f t="shared" si="274"/>
        <v>42704</v>
      </c>
    </row>
    <row r="2044" spans="1:36" ht="12.75" customHeight="1">
      <c r="A2044" s="94">
        <v>42704</v>
      </c>
      <c r="B2044" s="358" t="s">
        <v>175</v>
      </c>
      <c r="C2044" s="358" t="s">
        <v>343</v>
      </c>
      <c r="D2044" s="93">
        <v>12535756.279999999</v>
      </c>
      <c r="E2044" s="95"/>
      <c r="F2044" s="93"/>
      <c r="G2044" s="95"/>
      <c r="H2044" s="93"/>
      <c r="I2044" s="93"/>
      <c r="K2044" s="93"/>
      <c r="L2044" s="93">
        <f t="shared" si="270"/>
        <v>0</v>
      </c>
      <c r="M2044" s="95" t="e">
        <f t="shared" ca="1" si="271"/>
        <v>#DIV/0!</v>
      </c>
      <c r="N2044" s="95">
        <f>IF(P2044="Hedge Fund",IF(A2044=Summary!$AD$3,M2044-E2044,M2044),IF(A2044=Summary!$AD$3,L2044-D2044,L2044))</f>
        <v>0</v>
      </c>
      <c r="O2044" s="95"/>
      <c r="P2044" s="89" t="s">
        <v>155</v>
      </c>
      <c r="Q2044" s="95">
        <v>0</v>
      </c>
      <c r="R2044" s="95">
        <v>-0.13746847000000001</v>
      </c>
      <c r="S2044" s="95"/>
      <c r="T2044" s="95"/>
      <c r="U2044" s="95"/>
      <c r="V2044" s="95"/>
      <c r="W2044" s="95"/>
      <c r="X2044" s="95"/>
      <c r="Y2044" s="95"/>
      <c r="Z2044" s="95"/>
      <c r="AA2044" s="95"/>
      <c r="AB2044" s="95"/>
      <c r="AC2044" s="355"/>
      <c r="AD2044" s="355"/>
      <c r="AE2044" s="355"/>
      <c r="AF2044" s="94">
        <f t="shared" si="272"/>
        <v>42704</v>
      </c>
      <c r="AG2044" s="185" t="e">
        <f t="shared" si="275"/>
        <v>#DIV/0!</v>
      </c>
      <c r="AH2044" s="339" t="str">
        <f>VLOOKUP(B2044,'MF PF'!A:B,2)</f>
        <v>FdMgt1</v>
      </c>
      <c r="AI2044" s="358">
        <f t="shared" si="273"/>
        <v>0</v>
      </c>
      <c r="AJ2044" s="94">
        <f t="shared" si="274"/>
        <v>42704</v>
      </c>
    </row>
    <row r="2045" spans="1:36" ht="12.75" customHeight="1">
      <c r="A2045" s="94">
        <v>42735</v>
      </c>
      <c r="B2045" s="358" t="s">
        <v>175</v>
      </c>
      <c r="C2045" s="358" t="s">
        <v>343</v>
      </c>
      <c r="D2045" s="93">
        <v>12357292.130000001</v>
      </c>
      <c r="E2045" s="95"/>
      <c r="F2045" s="93"/>
      <c r="G2045" s="95"/>
      <c r="H2045" s="93"/>
      <c r="I2045" s="93"/>
      <c r="K2045" s="93"/>
      <c r="L2045" s="93">
        <f t="shared" si="270"/>
        <v>0</v>
      </c>
      <c r="M2045" s="95" t="e">
        <f t="shared" ca="1" si="271"/>
        <v>#DIV/0!</v>
      </c>
      <c r="N2045" s="95">
        <f>IF(P2045="Hedge Fund",IF(A2045=Summary!$AD$3,M2045-E2045,M2045),IF(A2045=Summary!$AD$3,L2045-D2045,L2045))</f>
        <v>0</v>
      </c>
      <c r="O2045" s="95"/>
      <c r="P2045" s="89" t="s">
        <v>155</v>
      </c>
      <c r="Q2045" s="95">
        <v>0</v>
      </c>
      <c r="R2045" s="95">
        <v>-0.11780549</v>
      </c>
      <c r="S2045" s="95"/>
      <c r="T2045" s="95"/>
      <c r="U2045" s="95"/>
      <c r="V2045" s="95"/>
      <c r="W2045" s="95"/>
      <c r="X2045" s="95"/>
      <c r="Y2045" s="95"/>
      <c r="Z2045" s="95"/>
      <c r="AA2045" s="95"/>
      <c r="AB2045" s="95"/>
      <c r="AC2045" s="355"/>
      <c r="AD2045" s="355"/>
      <c r="AE2045" s="355"/>
      <c r="AF2045" s="94">
        <f t="shared" si="272"/>
        <v>42735</v>
      </c>
      <c r="AG2045" s="185">
        <f t="shared" si="275"/>
        <v>-1.4236408718692695E-2</v>
      </c>
      <c r="AH2045" s="339" t="str">
        <f>VLOOKUP(B2045,'MF PF'!A:B,2)</f>
        <v>FdMgt1</v>
      </c>
      <c r="AI2045" s="358">
        <f t="shared" si="273"/>
        <v>0</v>
      </c>
      <c r="AJ2045" s="94">
        <f t="shared" si="274"/>
        <v>42735</v>
      </c>
    </row>
    <row r="2046" spans="1:36" ht="12.75" customHeight="1">
      <c r="A2046" s="94">
        <v>42766</v>
      </c>
      <c r="B2046" s="358" t="s">
        <v>175</v>
      </c>
      <c r="C2046" s="358" t="s">
        <v>343</v>
      </c>
      <c r="D2046" s="93">
        <v>12729217.140000001</v>
      </c>
      <c r="E2046" s="95"/>
      <c r="F2046" s="93"/>
      <c r="G2046" s="95"/>
      <c r="H2046" s="93"/>
      <c r="I2046" s="93"/>
      <c r="K2046" s="93"/>
      <c r="L2046" s="93">
        <f t="shared" si="270"/>
        <v>0</v>
      </c>
      <c r="M2046" s="95" t="e">
        <f t="shared" ca="1" si="271"/>
        <v>#DIV/0!</v>
      </c>
      <c r="N2046" s="95">
        <f>IF(P2046="Hedge Fund",IF(A2046=Summary!$AD$3,M2046-E2046,M2046),IF(A2046=Summary!$AD$3,L2046-D2046,L2046))</f>
        <v>0</v>
      </c>
      <c r="O2046" s="95"/>
      <c r="P2046" s="89" t="s">
        <v>155</v>
      </c>
      <c r="Q2046" s="95">
        <v>0</v>
      </c>
      <c r="R2046" s="95">
        <v>-0.15880621</v>
      </c>
      <c r="S2046" s="95"/>
      <c r="T2046" s="95"/>
      <c r="U2046" s="95"/>
      <c r="V2046" s="95"/>
      <c r="W2046" s="95"/>
      <c r="X2046" s="95"/>
      <c r="Y2046" s="95"/>
      <c r="Z2046" s="95"/>
      <c r="AA2046" s="95"/>
      <c r="AB2046" s="95"/>
      <c r="AC2046" s="355"/>
      <c r="AD2046" s="355"/>
      <c r="AE2046" s="355"/>
      <c r="AF2046" s="94">
        <f t="shared" si="272"/>
        <v>42766</v>
      </c>
      <c r="AG2046" s="185">
        <f t="shared" si="275"/>
        <v>3.0097614112162274E-2</v>
      </c>
      <c r="AH2046" s="339" t="str">
        <f>VLOOKUP(B2046,'MF PF'!A:B,2)</f>
        <v>FdMgt1</v>
      </c>
      <c r="AI2046" s="358">
        <f t="shared" si="273"/>
        <v>0</v>
      </c>
      <c r="AJ2046" s="94">
        <f t="shared" si="274"/>
        <v>42766</v>
      </c>
    </row>
    <row r="2047" spans="1:36" ht="12.75" customHeight="1">
      <c r="A2047" s="94">
        <v>42793</v>
      </c>
      <c r="B2047" s="358" t="s">
        <v>175</v>
      </c>
      <c r="C2047" s="358" t="s">
        <v>343</v>
      </c>
      <c r="D2047" s="93"/>
      <c r="F2047" s="93"/>
      <c r="G2047" s="95">
        <f>1880000*0</f>
        <v>0</v>
      </c>
      <c r="H2047" s="93"/>
      <c r="I2047" s="93"/>
      <c r="K2047" s="93"/>
      <c r="L2047" s="93">
        <f t="shared" si="270"/>
        <v>0</v>
      </c>
      <c r="M2047" s="95" t="e">
        <f t="shared" ca="1" si="271"/>
        <v>#DIV/0!</v>
      </c>
      <c r="N2047" s="95">
        <f>IF(P2047="Hedge Fund",IF(A2047=Summary!$AD$3,M2047-E2047,M2047),IF(A2047=Summary!$AD$3,L2047-D2047,L2047))</f>
        <v>0</v>
      </c>
      <c r="O2047" s="95"/>
      <c r="P2047" s="107" t="s">
        <v>155</v>
      </c>
      <c r="Q2047" s="95">
        <v>0</v>
      </c>
      <c r="R2047" s="95">
        <v>0</v>
      </c>
      <c r="S2047" s="95"/>
      <c r="T2047" s="95"/>
      <c r="U2047" s="95"/>
      <c r="V2047" s="95"/>
      <c r="W2047" s="95"/>
      <c r="X2047" s="95"/>
      <c r="Y2047" s="95"/>
      <c r="Z2047" s="95"/>
      <c r="AA2047" s="95"/>
      <c r="AB2047" s="95"/>
      <c r="AC2047" s="355"/>
      <c r="AD2047" s="355"/>
      <c r="AE2047" s="355"/>
      <c r="AF2047" s="94">
        <f t="shared" si="272"/>
        <v>42793</v>
      </c>
      <c r="AG2047" s="185">
        <f t="shared" si="275"/>
        <v>-1</v>
      </c>
      <c r="AH2047" s="339" t="str">
        <f>VLOOKUP(B2047,'MF PF'!A:B,2)</f>
        <v>FdMgt1</v>
      </c>
      <c r="AI2047" s="358">
        <f t="shared" si="273"/>
        <v>0</v>
      </c>
      <c r="AJ2047" s="94">
        <f t="shared" si="274"/>
        <v>42794</v>
      </c>
    </row>
    <row r="2048" spans="1:36" ht="12.75" customHeight="1">
      <c r="A2048" s="94">
        <v>42794</v>
      </c>
      <c r="B2048" s="358" t="s">
        <v>175</v>
      </c>
      <c r="C2048" s="358" t="s">
        <v>343</v>
      </c>
      <c r="D2048" s="93">
        <v>15202436.27</v>
      </c>
      <c r="F2048" s="93"/>
      <c r="G2048" s="95"/>
      <c r="H2048" s="93"/>
      <c r="I2048" s="93"/>
      <c r="K2048" s="93"/>
      <c r="L2048" s="93">
        <f t="shared" si="270"/>
        <v>0</v>
      </c>
      <c r="M2048" s="95" t="e">
        <f t="shared" ca="1" si="271"/>
        <v>#DIV/0!</v>
      </c>
      <c r="N2048" s="95">
        <f>IF(P2048="Hedge Fund",IF(A2048=Summary!$AD$3,M2048-E2048,M2048),IF(A2048=Summary!$AD$3,L2048-D2048,L2048))</f>
        <v>0</v>
      </c>
      <c r="O2048" s="95"/>
      <c r="P2048" s="107" t="s">
        <v>155</v>
      </c>
      <c r="Q2048" s="95">
        <v>0</v>
      </c>
      <c r="R2048" s="95">
        <v>-3.393695E-2</v>
      </c>
      <c r="S2048" s="95"/>
      <c r="T2048" s="95"/>
      <c r="U2048" s="95"/>
      <c r="V2048" s="95"/>
      <c r="W2048" s="95"/>
      <c r="X2048" s="95"/>
      <c r="Y2048" s="95"/>
      <c r="Z2048" s="95"/>
      <c r="AA2048" s="95"/>
      <c r="AB2048" s="95"/>
      <c r="AC2048" s="355"/>
      <c r="AD2048" s="355"/>
      <c r="AE2048" s="355"/>
      <c r="AF2048" s="94">
        <f t="shared" si="272"/>
        <v>42794</v>
      </c>
      <c r="AG2048" s="185" t="e">
        <f t="shared" si="275"/>
        <v>#DIV/0!</v>
      </c>
      <c r="AH2048" s="339" t="str">
        <f>VLOOKUP(B2048,'MF PF'!A:B,2)</f>
        <v>FdMgt1</v>
      </c>
      <c r="AI2048" s="358">
        <f t="shared" si="273"/>
        <v>0</v>
      </c>
      <c r="AJ2048" s="94">
        <f t="shared" si="274"/>
        <v>42794</v>
      </c>
    </row>
    <row r="2049" spans="1:36" ht="12.75" customHeight="1">
      <c r="A2049" s="94">
        <v>42825</v>
      </c>
      <c r="B2049" s="358" t="s">
        <v>175</v>
      </c>
      <c r="C2049" s="358" t="s">
        <v>343</v>
      </c>
      <c r="D2049" s="93">
        <v>14725352.25</v>
      </c>
      <c r="F2049" s="93"/>
      <c r="G2049" s="95"/>
      <c r="H2049" s="93"/>
      <c r="I2049" s="93"/>
      <c r="K2049" s="93"/>
      <c r="L2049" s="93">
        <f t="shared" si="270"/>
        <v>0</v>
      </c>
      <c r="M2049" s="95" t="e">
        <f t="shared" ca="1" si="271"/>
        <v>#DIV/0!</v>
      </c>
      <c r="N2049" s="95">
        <f>IF(P2049="Hedge Fund",IF(A2049=Summary!$AD$3,M2049-E2049,M2049),IF(A2049=Summary!$AD$3,L2049-D2049,L2049))</f>
        <v>0</v>
      </c>
      <c r="O2049" s="95"/>
      <c r="P2049" s="107" t="s">
        <v>155</v>
      </c>
      <c r="Q2049" s="95">
        <v>0</v>
      </c>
      <c r="R2049" s="95">
        <v>-0.17031079999999998</v>
      </c>
      <c r="S2049" s="95"/>
      <c r="T2049" s="95"/>
      <c r="U2049" s="95"/>
      <c r="V2049" s="95"/>
      <c r="W2049" s="95"/>
      <c r="X2049" s="95"/>
      <c r="Y2049" s="95"/>
      <c r="Z2049" s="95"/>
      <c r="AA2049" s="95"/>
      <c r="AB2049" s="95"/>
      <c r="AC2049" s="355"/>
      <c r="AD2049" s="355"/>
      <c r="AE2049" s="355"/>
      <c r="AF2049" s="94">
        <f t="shared" si="272"/>
        <v>42825</v>
      </c>
      <c r="AG2049" s="185">
        <f t="shared" si="275"/>
        <v>-3.1382076630800393E-2</v>
      </c>
      <c r="AH2049" s="339" t="str">
        <f>VLOOKUP(B2049,'MF PF'!A:B,2)</f>
        <v>FdMgt1</v>
      </c>
      <c r="AI2049" s="358">
        <f t="shared" si="273"/>
        <v>0</v>
      </c>
      <c r="AJ2049" s="94">
        <f t="shared" si="274"/>
        <v>42825</v>
      </c>
    </row>
    <row r="2050" spans="1:36" ht="12.75" customHeight="1">
      <c r="A2050" s="94">
        <v>42835</v>
      </c>
      <c r="B2050" s="358" t="s">
        <v>175</v>
      </c>
      <c r="C2050" s="358" t="s">
        <v>343</v>
      </c>
      <c r="D2050" s="93"/>
      <c r="F2050" s="93"/>
      <c r="G2050" s="95">
        <f>2160000*0+302621</f>
        <v>302621</v>
      </c>
      <c r="H2050" s="93"/>
      <c r="I2050" s="93"/>
      <c r="K2050" s="93"/>
      <c r="L2050" s="93">
        <f t="shared" si="270"/>
        <v>302621</v>
      </c>
      <c r="M2050" s="95" t="e">
        <f t="shared" ca="1" si="271"/>
        <v>#DIV/0!</v>
      </c>
      <c r="N2050" s="95">
        <f>IF(P2050="Hedge Fund",IF(A2050=Summary!$AD$3,M2050-E2050,M2050),IF(A2050=Summary!$AD$3,L2050-D2050,L2050))</f>
        <v>302621</v>
      </c>
      <c r="O2050" s="95"/>
      <c r="P2050" s="107" t="s">
        <v>155</v>
      </c>
      <c r="Q2050" s="95">
        <v>0</v>
      </c>
      <c r="R2050" s="95">
        <v>0</v>
      </c>
      <c r="S2050" s="95"/>
      <c r="T2050" s="95"/>
      <c r="U2050" s="95"/>
      <c r="V2050" s="95"/>
      <c r="W2050" s="95"/>
      <c r="X2050" s="95"/>
      <c r="Y2050" s="95"/>
      <c r="Z2050" s="95"/>
      <c r="AA2050" s="95"/>
      <c r="AB2050" s="95"/>
      <c r="AC2050" s="355"/>
      <c r="AD2050" s="355"/>
      <c r="AE2050" s="355"/>
      <c r="AF2050" s="94">
        <f t="shared" si="272"/>
        <v>42835</v>
      </c>
      <c r="AG2050" s="185">
        <f t="shared" si="275"/>
        <v>-1.0205510194161909</v>
      </c>
      <c r="AH2050" s="339" t="str">
        <f>VLOOKUP(B2050,'MF PF'!A:B,2)</f>
        <v>FdMgt1</v>
      </c>
      <c r="AI2050" s="358">
        <f t="shared" si="273"/>
        <v>0</v>
      </c>
      <c r="AJ2050" s="94">
        <f t="shared" si="274"/>
        <v>42855</v>
      </c>
    </row>
    <row r="2051" spans="1:36" ht="12.75" customHeight="1">
      <c r="A2051" s="94">
        <v>42855</v>
      </c>
      <c r="B2051" s="358" t="s">
        <v>175</v>
      </c>
      <c r="C2051" s="358" t="s">
        <v>343</v>
      </c>
      <c r="D2051" s="93">
        <v>17033301.52</v>
      </c>
      <c r="F2051" s="93"/>
      <c r="G2051" s="95"/>
      <c r="H2051" s="93"/>
      <c r="I2051" s="93"/>
      <c r="K2051" s="93"/>
      <c r="L2051" s="93">
        <f t="shared" ref="L2051:L2114" si="277">G2051+H2051+I2051</f>
        <v>0</v>
      </c>
      <c r="M2051" s="95" t="e">
        <f t="shared" ref="M2051:M2114" ca="1" si="278">IF(A2051&gt;INDIRECT("A"&amp;ROW()-1),I2051/K2051,E2051)</f>
        <v>#DIV/0!</v>
      </c>
      <c r="N2051" s="95">
        <f>IF(P2051="Hedge Fund",IF(A2051=Summary!$AD$3,M2051-E2051,M2051),IF(A2051=Summary!$AD$3,L2051-D2051,L2051))</f>
        <v>0</v>
      </c>
      <c r="O2051" s="95"/>
      <c r="P2051" s="107" t="s">
        <v>155</v>
      </c>
      <c r="Q2051" s="95">
        <v>0</v>
      </c>
      <c r="R2051" s="95">
        <v>-0.18718485999999998</v>
      </c>
      <c r="S2051" s="95"/>
      <c r="T2051" s="95"/>
      <c r="U2051" s="95"/>
      <c r="V2051" s="95"/>
      <c r="W2051" s="95"/>
      <c r="X2051" s="95"/>
      <c r="Y2051" s="95"/>
      <c r="Z2051" s="95"/>
      <c r="AA2051" s="95"/>
      <c r="AB2051" s="95"/>
      <c r="AC2051" s="355"/>
      <c r="AD2051" s="355"/>
      <c r="AE2051" s="355"/>
      <c r="AF2051" s="94">
        <f t="shared" ref="AF2051:AF2114" si="279">A2051</f>
        <v>42855</v>
      </c>
      <c r="AG2051" s="185" t="e">
        <f t="shared" si="275"/>
        <v>#DIV/0!</v>
      </c>
      <c r="AH2051" s="339" t="str">
        <f>VLOOKUP(B2051,'MF PF'!A:B,2)</f>
        <v>FdMgt1</v>
      </c>
      <c r="AI2051" s="358">
        <f t="shared" ref="AI2051:AI2114" si="280">AF2051-A2051</f>
        <v>0</v>
      </c>
      <c r="AJ2051" s="94">
        <f t="shared" ref="AJ2051:AJ2114" si="281">EOMONTH(A2051,0)</f>
        <v>42855</v>
      </c>
    </row>
    <row r="2052" spans="1:36" ht="12.75" customHeight="1">
      <c r="A2052" s="94">
        <v>42881</v>
      </c>
      <c r="B2052" s="358" t="s">
        <v>175</v>
      </c>
      <c r="C2052" s="358" t="s">
        <v>343</v>
      </c>
      <c r="D2052" s="93"/>
      <c r="F2052" s="93"/>
      <c r="G2052" s="358"/>
      <c r="H2052" s="93"/>
      <c r="I2052" s="95">
        <f>-1189669-57687.2580972067</f>
        <v>-1247356.2580972067</v>
      </c>
      <c r="K2052" s="93"/>
      <c r="L2052" s="93">
        <f t="shared" si="277"/>
        <v>-1247356.2580972067</v>
      </c>
      <c r="M2052" s="95" t="e">
        <f t="shared" ca="1" si="278"/>
        <v>#DIV/0!</v>
      </c>
      <c r="N2052" s="95">
        <f>IF(P2052="Hedge Fund",IF(A2052=Summary!$AD$3,M2052-E2052,M2052),IF(A2052=Summary!$AD$3,L2052-D2052,L2052))</f>
        <v>-1247356.2580972067</v>
      </c>
      <c r="O2052" s="95"/>
      <c r="P2052" s="107" t="s">
        <v>155</v>
      </c>
      <c r="Q2052" s="95">
        <v>0</v>
      </c>
      <c r="R2052" s="95">
        <v>0</v>
      </c>
      <c r="S2052" s="95"/>
      <c r="T2052" s="95"/>
      <c r="U2052" s="95"/>
      <c r="V2052" s="95"/>
      <c r="W2052" s="95"/>
      <c r="X2052" s="95"/>
      <c r="Y2052" s="95"/>
      <c r="Z2052" s="95"/>
      <c r="AA2052" s="95"/>
      <c r="AB2052" s="95"/>
      <c r="AC2052" s="355"/>
      <c r="AD2052" s="355"/>
      <c r="AE2052" s="355"/>
      <c r="AF2052" s="94">
        <f t="shared" si="279"/>
        <v>42881</v>
      </c>
      <c r="AG2052" s="185">
        <f t="shared" si="275"/>
        <v>-0.92676955453218524</v>
      </c>
      <c r="AH2052" s="339" t="str">
        <f>VLOOKUP(B2052,'MF PF'!A:B,2)</f>
        <v>FdMgt1</v>
      </c>
      <c r="AI2052" s="358">
        <f t="shared" si="280"/>
        <v>0</v>
      </c>
      <c r="AJ2052" s="94">
        <f t="shared" si="281"/>
        <v>42886</v>
      </c>
    </row>
    <row r="2053" spans="1:36" ht="12.75" customHeight="1">
      <c r="A2053" s="94">
        <v>42881</v>
      </c>
      <c r="B2053" s="358" t="s">
        <v>175</v>
      </c>
      <c r="C2053" s="358" t="s">
        <v>343</v>
      </c>
      <c r="D2053" s="93"/>
      <c r="F2053" s="93"/>
      <c r="G2053" s="95">
        <v>4386072</v>
      </c>
      <c r="H2053" s="93"/>
      <c r="I2053" s="93"/>
      <c r="K2053" s="93"/>
      <c r="L2053" s="93">
        <f t="shared" si="277"/>
        <v>4386072</v>
      </c>
      <c r="M2053" s="95">
        <f t="shared" ca="1" si="278"/>
        <v>0</v>
      </c>
      <c r="N2053" s="95">
        <f>IF(P2053="Hedge Fund",IF(A2053=Summary!$AD$3,M2053-E2053,M2053),IF(A2053=Summary!$AD$3,L2053-D2053,L2053))</f>
        <v>4386072</v>
      </c>
      <c r="O2053" s="95"/>
      <c r="P2053" s="107" t="s">
        <v>155</v>
      </c>
      <c r="Q2053" s="95">
        <v>0</v>
      </c>
      <c r="R2053" s="95">
        <v>0</v>
      </c>
      <c r="S2053" s="95"/>
      <c r="T2053" s="95"/>
      <c r="U2053" s="95"/>
      <c r="V2053" s="95"/>
      <c r="W2053" s="95"/>
      <c r="X2053" s="95"/>
      <c r="Y2053" s="95"/>
      <c r="Z2053" s="95"/>
      <c r="AA2053" s="95"/>
      <c r="AB2053" s="95"/>
      <c r="AC2053" s="355"/>
      <c r="AD2053" s="355"/>
      <c r="AE2053" s="355"/>
      <c r="AF2053" s="94">
        <f t="shared" si="279"/>
        <v>42881</v>
      </c>
      <c r="AG2053" s="185" t="e">
        <f t="shared" si="275"/>
        <v>#DIV/0!</v>
      </c>
      <c r="AH2053" s="339" t="str">
        <f>VLOOKUP(B2053,'MF PF'!A:B,2)</f>
        <v>FdMgt1</v>
      </c>
      <c r="AI2053" s="358">
        <f t="shared" si="280"/>
        <v>0</v>
      </c>
      <c r="AJ2053" s="94">
        <f t="shared" si="281"/>
        <v>42886</v>
      </c>
    </row>
    <row r="2054" spans="1:36" ht="12.75" customHeight="1">
      <c r="A2054" s="94">
        <v>42886</v>
      </c>
      <c r="B2054" s="358" t="s">
        <v>175</v>
      </c>
      <c r="C2054" s="358" t="s">
        <v>343</v>
      </c>
      <c r="D2054" s="93">
        <v>19093188.699999999</v>
      </c>
      <c r="F2054" s="93"/>
      <c r="G2054" s="95"/>
      <c r="H2054" s="93"/>
      <c r="I2054" s="93"/>
      <c r="K2054" s="93"/>
      <c r="L2054" s="93">
        <f t="shared" si="277"/>
        <v>0</v>
      </c>
      <c r="M2054" s="95" t="e">
        <f t="shared" ca="1" si="278"/>
        <v>#DIV/0!</v>
      </c>
      <c r="N2054" s="95">
        <f>IF(P2054="Hedge Fund",IF(A2054=Summary!$AD$3,M2054-E2054,M2054),IF(A2054=Summary!$AD$3,L2054-D2054,L2054))</f>
        <v>0</v>
      </c>
      <c r="O2054" s="95"/>
      <c r="P2054" s="89" t="s">
        <v>155</v>
      </c>
      <c r="Q2054" s="95">
        <v>0</v>
      </c>
      <c r="R2054" s="95">
        <v>-0.12330902000000001</v>
      </c>
      <c r="S2054" s="95"/>
      <c r="T2054" s="95"/>
      <c r="U2054" s="95"/>
      <c r="V2054" s="95"/>
      <c r="W2054" s="95"/>
      <c r="X2054" s="95"/>
      <c r="Y2054" s="95"/>
      <c r="Z2054" s="95"/>
      <c r="AA2054" s="95"/>
      <c r="AB2054" s="95"/>
      <c r="AC2054" s="355"/>
      <c r="AD2054" s="355"/>
      <c r="AE2054" s="355"/>
      <c r="AF2054" s="94">
        <f t="shared" si="279"/>
        <v>42886</v>
      </c>
      <c r="AG2054" s="185" t="e">
        <f t="shared" ref="AG2054:AG2117" si="282">IF(C2054&lt;&gt;C2053,D2054/G2054-1,(D2054-G2054-I2054-H2054)/(D2053)-1)</f>
        <v>#DIV/0!</v>
      </c>
      <c r="AH2054" s="339" t="str">
        <f>VLOOKUP(B2054,'MF PF'!A:B,2)</f>
        <v>FdMgt1</v>
      </c>
      <c r="AI2054" s="358">
        <f t="shared" si="280"/>
        <v>0</v>
      </c>
      <c r="AJ2054" s="94">
        <f t="shared" si="281"/>
        <v>42886</v>
      </c>
    </row>
    <row r="2055" spans="1:36" ht="12.75" customHeight="1">
      <c r="A2055" s="94">
        <v>42916</v>
      </c>
      <c r="B2055" s="358" t="s">
        <v>175</v>
      </c>
      <c r="C2055" s="358" t="s">
        <v>343</v>
      </c>
      <c r="D2055" s="93">
        <v>20016985.48</v>
      </c>
      <c r="F2055" s="93"/>
      <c r="G2055" s="95"/>
      <c r="H2055" s="93"/>
      <c r="I2055" s="93"/>
      <c r="K2055" s="93"/>
      <c r="L2055" s="93">
        <f t="shared" si="277"/>
        <v>0</v>
      </c>
      <c r="M2055" s="95" t="e">
        <f t="shared" ca="1" si="278"/>
        <v>#DIV/0!</v>
      </c>
      <c r="N2055" s="95">
        <f>IF(P2055="Hedge Fund",IF(A2055=Summary!$AD$3,M2055-E2055,M2055),IF(A2055=Summary!$AD$3,L2055-D2055,L2055))</f>
        <v>0</v>
      </c>
      <c r="O2055" s="95"/>
      <c r="P2055" s="89" t="s">
        <v>155</v>
      </c>
      <c r="Q2055" s="95">
        <v>0</v>
      </c>
      <c r="R2055" s="95">
        <v>-0.17180442000000001</v>
      </c>
      <c r="S2055" s="95"/>
      <c r="T2055" s="95"/>
      <c r="U2055" s="95"/>
      <c r="V2055" s="95"/>
      <c r="W2055" s="95"/>
      <c r="X2055" s="95"/>
      <c r="Y2055" s="95"/>
      <c r="Z2055" s="95"/>
      <c r="AA2055" s="95"/>
      <c r="AB2055" s="95"/>
      <c r="AC2055" s="355"/>
      <c r="AD2055" s="355"/>
      <c r="AE2055" s="355"/>
      <c r="AF2055" s="94">
        <f t="shared" si="279"/>
        <v>42916</v>
      </c>
      <c r="AG2055" s="185">
        <f t="shared" si="282"/>
        <v>4.8383577751996976E-2</v>
      </c>
      <c r="AH2055" s="339" t="str">
        <f>VLOOKUP(B2055,'MF PF'!A:B,2)</f>
        <v>FdMgt1</v>
      </c>
      <c r="AI2055" s="358">
        <f t="shared" si="280"/>
        <v>0</v>
      </c>
      <c r="AJ2055" s="94">
        <f t="shared" si="281"/>
        <v>42916</v>
      </c>
    </row>
    <row r="2056" spans="1:36" ht="12.75" customHeight="1">
      <c r="A2056" s="94">
        <v>42947</v>
      </c>
      <c r="B2056" s="358" t="s">
        <v>175</v>
      </c>
      <c r="C2056" s="358" t="s">
        <v>343</v>
      </c>
      <c r="D2056" s="93">
        <v>18149798.98</v>
      </c>
      <c r="F2056" s="93"/>
      <c r="G2056" s="95"/>
      <c r="H2056" s="93"/>
      <c r="I2056" s="93"/>
      <c r="K2056" s="93"/>
      <c r="L2056" s="93">
        <f t="shared" si="277"/>
        <v>0</v>
      </c>
      <c r="M2056" s="95" t="e">
        <f t="shared" ca="1" si="278"/>
        <v>#DIV/0!</v>
      </c>
      <c r="N2056" s="95">
        <f>IF(P2056="Hedge Fund",IF(A2056=Summary!$AD$3,M2056-E2056,M2056),IF(A2056=Summary!$AD$3,L2056-D2056,L2056))</f>
        <v>0</v>
      </c>
      <c r="O2056" s="95"/>
      <c r="P2056" s="107" t="s">
        <v>155</v>
      </c>
      <c r="Q2056" s="95">
        <v>0</v>
      </c>
      <c r="R2056" s="95">
        <v>-0.15047690999999999</v>
      </c>
      <c r="S2056" s="95"/>
      <c r="T2056" s="95"/>
      <c r="U2056" s="95"/>
      <c r="V2056" s="95"/>
      <c r="W2056" s="95"/>
      <c r="X2056" s="95"/>
      <c r="Y2056" s="95"/>
      <c r="Z2056" s="95"/>
      <c r="AA2056" s="95"/>
      <c r="AB2056" s="95"/>
      <c r="AC2056" s="355"/>
      <c r="AD2056" s="355"/>
      <c r="AE2056" s="355"/>
      <c r="AF2056" s="94">
        <f t="shared" si="279"/>
        <v>42947</v>
      </c>
      <c r="AG2056" s="185">
        <f t="shared" si="282"/>
        <v>-9.3280104632418426E-2</v>
      </c>
      <c r="AH2056" s="339" t="str">
        <f>VLOOKUP(B2056,'MF PF'!A:B,2)</f>
        <v>FdMgt1</v>
      </c>
      <c r="AI2056" s="358">
        <f t="shared" si="280"/>
        <v>0</v>
      </c>
      <c r="AJ2056" s="94">
        <f t="shared" si="281"/>
        <v>42947</v>
      </c>
    </row>
    <row r="2057" spans="1:36" ht="12.75" customHeight="1">
      <c r="A2057" s="94">
        <v>42958</v>
      </c>
      <c r="B2057" s="358" t="s">
        <v>175</v>
      </c>
      <c r="C2057" s="358" t="s">
        <v>343</v>
      </c>
      <c r="D2057" s="93"/>
      <c r="F2057" s="93"/>
      <c r="G2057" s="358"/>
      <c r="H2057" s="93"/>
      <c r="I2057" s="95">
        <v>-1745715</v>
      </c>
      <c r="K2057" s="93"/>
      <c r="L2057" s="93">
        <f t="shared" si="277"/>
        <v>-1745715</v>
      </c>
      <c r="M2057" s="95" t="e">
        <f t="shared" ca="1" si="278"/>
        <v>#DIV/0!</v>
      </c>
      <c r="N2057" s="95">
        <f>IF(P2057="Hedge Fund",IF(A2057=Summary!$AD$3,M2057-E2057,M2057),IF(A2057=Summary!$AD$3,L2057-D2057,L2057))</f>
        <v>-1745715</v>
      </c>
      <c r="O2057" s="95"/>
      <c r="P2057" s="107" t="s">
        <v>155</v>
      </c>
      <c r="Q2057" s="95">
        <v>0</v>
      </c>
      <c r="R2057" s="95">
        <v>0</v>
      </c>
      <c r="S2057" s="95"/>
      <c r="T2057" s="95"/>
      <c r="U2057" s="95"/>
      <c r="V2057" s="95"/>
      <c r="W2057" s="95"/>
      <c r="X2057" s="95"/>
      <c r="Y2057" s="95"/>
      <c r="Z2057" s="95"/>
      <c r="AA2057" s="95"/>
      <c r="AB2057" s="95"/>
      <c r="AC2057" s="355"/>
      <c r="AD2057" s="355"/>
      <c r="AE2057" s="355"/>
      <c r="AF2057" s="94">
        <f t="shared" si="279"/>
        <v>42958</v>
      </c>
      <c r="AG2057" s="185">
        <f t="shared" si="282"/>
        <v>-0.903816290090944</v>
      </c>
      <c r="AH2057" s="339" t="str">
        <f>VLOOKUP(B2057,'MF PF'!A:B,2)</f>
        <v>FdMgt1</v>
      </c>
      <c r="AI2057" s="358">
        <f t="shared" si="280"/>
        <v>0</v>
      </c>
      <c r="AJ2057" s="94">
        <f t="shared" si="281"/>
        <v>42978</v>
      </c>
    </row>
    <row r="2058" spans="1:36" ht="12.75" customHeight="1">
      <c r="A2058" s="94">
        <v>42958</v>
      </c>
      <c r="B2058" s="358" t="s">
        <v>175</v>
      </c>
      <c r="C2058" s="358" t="s">
        <v>343</v>
      </c>
      <c r="D2058" s="93"/>
      <c r="F2058" s="93"/>
      <c r="G2058" s="95">
        <v>1745715</v>
      </c>
      <c r="H2058" s="93"/>
      <c r="I2058" s="93"/>
      <c r="K2058" s="93"/>
      <c r="L2058" s="93">
        <f t="shared" si="277"/>
        <v>1745715</v>
      </c>
      <c r="M2058" s="95">
        <f t="shared" ca="1" si="278"/>
        <v>0</v>
      </c>
      <c r="N2058" s="95">
        <f>IF(P2058="Hedge Fund",IF(A2058=Summary!$AD$3,M2058-E2058,M2058),IF(A2058=Summary!$AD$3,L2058-D2058,L2058))</f>
        <v>1745715</v>
      </c>
      <c r="O2058" s="95"/>
      <c r="P2058" s="107" t="s">
        <v>155</v>
      </c>
      <c r="Q2058" s="95">
        <v>0</v>
      </c>
      <c r="R2058" s="95">
        <v>0</v>
      </c>
      <c r="S2058" s="95"/>
      <c r="T2058" s="95"/>
      <c r="U2058" s="95"/>
      <c r="V2058" s="95"/>
      <c r="W2058" s="95"/>
      <c r="X2058" s="95"/>
      <c r="Y2058" s="95"/>
      <c r="Z2058" s="95"/>
      <c r="AA2058" s="95"/>
      <c r="AB2058" s="95"/>
      <c r="AC2058" s="355"/>
      <c r="AD2058" s="355"/>
      <c r="AE2058" s="355"/>
      <c r="AF2058" s="94">
        <f t="shared" si="279"/>
        <v>42958</v>
      </c>
      <c r="AG2058" s="185" t="e">
        <f t="shared" si="282"/>
        <v>#DIV/0!</v>
      </c>
      <c r="AH2058" s="339" t="str">
        <f>VLOOKUP(B2058,'MF PF'!A:B,2)</f>
        <v>FdMgt1</v>
      </c>
      <c r="AI2058" s="358">
        <f t="shared" si="280"/>
        <v>0</v>
      </c>
      <c r="AJ2058" s="94">
        <f t="shared" si="281"/>
        <v>42978</v>
      </c>
    </row>
    <row r="2059" spans="1:36" ht="12.75" customHeight="1">
      <c r="A2059" s="94">
        <v>42978</v>
      </c>
      <c r="B2059" s="358" t="s">
        <v>175</v>
      </c>
      <c r="C2059" s="358" t="s">
        <v>343</v>
      </c>
      <c r="D2059" s="93">
        <v>19870779.280000001</v>
      </c>
      <c r="F2059" s="93"/>
      <c r="G2059" s="95"/>
      <c r="H2059" s="93"/>
      <c r="I2059" s="93"/>
      <c r="K2059" s="93"/>
      <c r="L2059" s="93">
        <f t="shared" si="277"/>
        <v>0</v>
      </c>
      <c r="M2059" s="95" t="e">
        <f t="shared" ca="1" si="278"/>
        <v>#DIV/0!</v>
      </c>
      <c r="N2059" s="95">
        <f>IF(P2059="Hedge Fund",IF(A2059=Summary!$AD$3,M2059-E2059,M2059),IF(A2059=Summary!$AD$3,L2059-D2059,L2059))</f>
        <v>0</v>
      </c>
      <c r="O2059" s="95"/>
      <c r="P2059" s="107" t="s">
        <v>155</v>
      </c>
      <c r="Q2059" s="95">
        <v>0</v>
      </c>
      <c r="R2059" s="95">
        <v>-0.14595648</v>
      </c>
      <c r="S2059" s="95"/>
      <c r="T2059" s="95"/>
      <c r="U2059" s="95"/>
      <c r="V2059" s="95"/>
      <c r="W2059" s="95"/>
      <c r="X2059" s="95"/>
      <c r="Y2059" s="95"/>
      <c r="Z2059" s="95"/>
      <c r="AA2059" s="95"/>
      <c r="AB2059" s="95"/>
      <c r="AC2059" s="355"/>
      <c r="AD2059" s="355"/>
      <c r="AE2059" s="355"/>
      <c r="AF2059" s="94">
        <f t="shared" si="279"/>
        <v>42978</v>
      </c>
      <c r="AG2059" s="185" t="e">
        <f t="shared" si="282"/>
        <v>#DIV/0!</v>
      </c>
      <c r="AH2059" s="339" t="str">
        <f>VLOOKUP(B2059,'MF PF'!A:B,2)</f>
        <v>FdMgt1</v>
      </c>
      <c r="AI2059" s="358">
        <f t="shared" si="280"/>
        <v>0</v>
      </c>
      <c r="AJ2059" s="94">
        <f t="shared" si="281"/>
        <v>42978</v>
      </c>
    </row>
    <row r="2060" spans="1:36" ht="12.75" customHeight="1">
      <c r="A2060" s="94">
        <v>43008</v>
      </c>
      <c r="B2060" s="358" t="s">
        <v>175</v>
      </c>
      <c r="C2060" s="358" t="s">
        <v>343</v>
      </c>
      <c r="D2060" s="93">
        <v>19985895.530000001</v>
      </c>
      <c r="F2060" s="93"/>
      <c r="G2060" s="95"/>
      <c r="H2060" s="93"/>
      <c r="I2060" s="93"/>
      <c r="K2060" s="93"/>
      <c r="L2060" s="93">
        <f t="shared" si="277"/>
        <v>0</v>
      </c>
      <c r="M2060" s="95" t="e">
        <f t="shared" ca="1" si="278"/>
        <v>#DIV/0!</v>
      </c>
      <c r="N2060" s="95">
        <f>IF(P2060="Hedge Fund",IF(A2060=Summary!$AD$3,M2060-E2060,M2060),IF(A2060=Summary!$AD$3,L2060-D2060,L2060))</f>
        <v>0</v>
      </c>
      <c r="O2060" s="95"/>
      <c r="P2060" s="89" t="s">
        <v>155</v>
      </c>
      <c r="Q2060" s="95">
        <v>0</v>
      </c>
      <c r="R2060" s="95">
        <v>-0.15953210999999998</v>
      </c>
      <c r="S2060" s="95"/>
      <c r="T2060" s="95"/>
      <c r="U2060" s="95"/>
      <c r="V2060" s="95"/>
      <c r="W2060" s="95"/>
      <c r="X2060" s="95"/>
      <c r="Y2060" s="95"/>
      <c r="Z2060" s="95"/>
      <c r="AA2060" s="95"/>
      <c r="AB2060" s="95"/>
      <c r="AC2060" s="355"/>
      <c r="AD2060" s="355"/>
      <c r="AE2060" s="355"/>
      <c r="AF2060" s="94">
        <f t="shared" si="279"/>
        <v>43008</v>
      </c>
      <c r="AG2060" s="185">
        <f t="shared" si="282"/>
        <v>5.793242850614666E-3</v>
      </c>
      <c r="AH2060" s="339" t="str">
        <f>VLOOKUP(B2060,'MF PF'!A:B,2)</f>
        <v>FdMgt1</v>
      </c>
      <c r="AI2060" s="358">
        <f t="shared" si="280"/>
        <v>0</v>
      </c>
      <c r="AJ2060" s="94">
        <f t="shared" si="281"/>
        <v>43008</v>
      </c>
    </row>
    <row r="2061" spans="1:36" ht="12.75" customHeight="1">
      <c r="A2061" s="94">
        <v>43039</v>
      </c>
      <c r="B2061" s="358" t="s">
        <v>175</v>
      </c>
      <c r="C2061" s="358" t="s">
        <v>343</v>
      </c>
      <c r="D2061" s="93">
        <v>20053153.120000001</v>
      </c>
      <c r="F2061" s="93"/>
      <c r="G2061" s="95"/>
      <c r="H2061" s="93"/>
      <c r="I2061" s="93"/>
      <c r="K2061" s="93"/>
      <c r="L2061" s="93">
        <f t="shared" si="277"/>
        <v>0</v>
      </c>
      <c r="M2061" s="95" t="e">
        <f t="shared" ca="1" si="278"/>
        <v>#DIV/0!</v>
      </c>
      <c r="N2061" s="95">
        <f>IF(P2061="Hedge Fund",IF(A2061=Summary!$AD$3,M2061-E2061,M2061),IF(A2061=Summary!$AD$3,L2061-D2061,L2061))</f>
        <v>0</v>
      </c>
      <c r="O2061" s="95"/>
      <c r="P2061" s="107" t="s">
        <v>155</v>
      </c>
      <c r="Q2061" s="95">
        <v>0</v>
      </c>
      <c r="R2061" s="95">
        <v>-0.16652484000000001</v>
      </c>
      <c r="S2061" s="95"/>
      <c r="T2061" s="95"/>
      <c r="U2061" s="95"/>
      <c r="V2061" s="95"/>
      <c r="W2061" s="95"/>
      <c r="X2061" s="95"/>
      <c r="Y2061" s="95"/>
      <c r="Z2061" s="95"/>
      <c r="AA2061" s="95"/>
      <c r="AB2061" s="95"/>
      <c r="AC2061" s="355"/>
      <c r="AD2061" s="355"/>
      <c r="AE2061" s="355"/>
      <c r="AF2061" s="94">
        <f t="shared" si="279"/>
        <v>43039</v>
      </c>
      <c r="AG2061" s="185">
        <f t="shared" si="282"/>
        <v>3.3652527553265088E-3</v>
      </c>
      <c r="AH2061" s="339" t="str">
        <f>VLOOKUP(B2061,'MF PF'!A:B,2)</f>
        <v>FdMgt1</v>
      </c>
      <c r="AI2061" s="358">
        <f t="shared" si="280"/>
        <v>0</v>
      </c>
      <c r="AJ2061" s="94">
        <f t="shared" si="281"/>
        <v>43039</v>
      </c>
    </row>
    <row r="2062" spans="1:36" ht="12.75" customHeight="1">
      <c r="A2062" s="94">
        <v>43069</v>
      </c>
      <c r="B2062" s="358" t="s">
        <v>175</v>
      </c>
      <c r="C2062" s="358" t="s">
        <v>343</v>
      </c>
      <c r="D2062" s="93">
        <v>19981086.07</v>
      </c>
      <c r="F2062" s="93"/>
      <c r="G2062" s="95"/>
      <c r="H2062" s="93"/>
      <c r="I2062" s="93"/>
      <c r="K2062" s="93"/>
      <c r="L2062" s="93">
        <f t="shared" si="277"/>
        <v>0</v>
      </c>
      <c r="M2062" s="95" t="e">
        <f t="shared" ca="1" si="278"/>
        <v>#DIV/0!</v>
      </c>
      <c r="N2062" s="95">
        <f>IF(P2062="Hedge Fund",IF(A2062=Summary!$AD$3,M2062-E2062,M2062),IF(A2062=Summary!$AD$3,L2062-D2062,L2062))</f>
        <v>0</v>
      </c>
      <c r="O2062" s="95"/>
      <c r="P2062" s="89" t="s">
        <v>155</v>
      </c>
      <c r="Q2062" s="95">
        <v>0</v>
      </c>
      <c r="R2062" s="95">
        <v>-0.14923717</v>
      </c>
      <c r="S2062" s="95"/>
      <c r="T2062" s="95"/>
      <c r="U2062" s="95"/>
      <c r="V2062" s="95"/>
      <c r="W2062" s="95"/>
      <c r="X2062" s="95"/>
      <c r="Y2062" s="95"/>
      <c r="Z2062" s="95"/>
      <c r="AA2062" s="95"/>
      <c r="AB2062" s="95"/>
      <c r="AC2062" s="355"/>
      <c r="AD2062" s="355"/>
      <c r="AE2062" s="355"/>
      <c r="AF2062" s="94">
        <f t="shared" si="279"/>
        <v>43069</v>
      </c>
      <c r="AG2062" s="185">
        <f t="shared" si="282"/>
        <v>-3.5938014121142947E-3</v>
      </c>
      <c r="AH2062" s="339" t="str">
        <f>VLOOKUP(B2062,'MF PF'!A:B,2)</f>
        <v>FdMgt1</v>
      </c>
      <c r="AI2062" s="358">
        <f t="shared" si="280"/>
        <v>0</v>
      </c>
      <c r="AJ2062" s="94">
        <f t="shared" si="281"/>
        <v>43069</v>
      </c>
    </row>
    <row r="2063" spans="1:36" ht="12.75" customHeight="1">
      <c r="A2063" s="94">
        <v>43087</v>
      </c>
      <c r="B2063" s="358" t="s">
        <v>175</v>
      </c>
      <c r="C2063" s="358" t="s">
        <v>343</v>
      </c>
      <c r="D2063" s="93"/>
      <c r="F2063" s="93"/>
      <c r="G2063" s="358"/>
      <c r="H2063" s="93"/>
      <c r="I2063" s="95">
        <v>-2258788.52</v>
      </c>
      <c r="K2063" s="93"/>
      <c r="L2063" s="93">
        <f t="shared" si="277"/>
        <v>-2258788.52</v>
      </c>
      <c r="M2063" s="95" t="e">
        <f t="shared" ca="1" si="278"/>
        <v>#DIV/0!</v>
      </c>
      <c r="N2063" s="95">
        <f>IF(P2063="Hedge Fund",IF(A2063=Summary!$AD$3,M2063-E2063,M2063),IF(A2063=Summary!$AD$3,L2063-D2063,L2063))</f>
        <v>-2258788.52</v>
      </c>
      <c r="O2063" s="95"/>
      <c r="P2063" s="89" t="s">
        <v>155</v>
      </c>
      <c r="Q2063" s="95">
        <v>0</v>
      </c>
      <c r="R2063" s="95">
        <v>0</v>
      </c>
      <c r="S2063" s="95"/>
      <c r="T2063" s="95"/>
      <c r="U2063" s="95"/>
      <c r="V2063" s="95"/>
      <c r="W2063" s="95"/>
      <c r="X2063" s="95"/>
      <c r="Y2063" s="95"/>
      <c r="Z2063" s="95"/>
      <c r="AA2063" s="95"/>
      <c r="AB2063" s="95"/>
      <c r="AC2063" s="355"/>
      <c r="AD2063" s="355"/>
      <c r="AE2063" s="355"/>
      <c r="AF2063" s="94">
        <f t="shared" si="279"/>
        <v>43087</v>
      </c>
      <c r="AG2063" s="185">
        <f t="shared" si="282"/>
        <v>-0.88695366647805041</v>
      </c>
      <c r="AH2063" s="339" t="str">
        <f>VLOOKUP(B2063,'MF PF'!A:B,2)</f>
        <v>FdMgt1</v>
      </c>
      <c r="AI2063" s="358">
        <f t="shared" si="280"/>
        <v>0</v>
      </c>
      <c r="AJ2063" s="94">
        <f t="shared" si="281"/>
        <v>43100</v>
      </c>
    </row>
    <row r="2064" spans="1:36" ht="12.75" customHeight="1">
      <c r="A2064" s="94">
        <v>43087</v>
      </c>
      <c r="B2064" s="358" t="s">
        <v>175</v>
      </c>
      <c r="C2064" s="358" t="s">
        <v>343</v>
      </c>
      <c r="D2064" s="93"/>
      <c r="F2064" s="93"/>
      <c r="G2064" s="95">
        <v>2258788.52</v>
      </c>
      <c r="H2064" s="93"/>
      <c r="I2064" s="93"/>
      <c r="K2064" s="93"/>
      <c r="L2064" s="93">
        <f t="shared" si="277"/>
        <v>2258788.52</v>
      </c>
      <c r="M2064" s="95">
        <f t="shared" ca="1" si="278"/>
        <v>0</v>
      </c>
      <c r="N2064" s="95">
        <f>IF(P2064="Hedge Fund",IF(A2064=Summary!$AD$3,M2064-E2064,M2064),IF(A2064=Summary!$AD$3,L2064-D2064,L2064))</f>
        <v>2258788.52</v>
      </c>
      <c r="O2064" s="95"/>
      <c r="P2064" s="107" t="s">
        <v>155</v>
      </c>
      <c r="Q2064" s="95">
        <v>0</v>
      </c>
      <c r="R2064" s="95">
        <v>0</v>
      </c>
      <c r="S2064" s="95"/>
      <c r="T2064" s="95"/>
      <c r="U2064" s="95"/>
      <c r="V2064" s="95"/>
      <c r="W2064" s="95"/>
      <c r="X2064" s="95"/>
      <c r="Y2064" s="95"/>
      <c r="Z2064" s="95"/>
      <c r="AA2064" s="95"/>
      <c r="AB2064" s="95"/>
      <c r="AC2064" s="355"/>
      <c r="AD2064" s="355"/>
      <c r="AE2064" s="355"/>
      <c r="AF2064" s="94">
        <f t="shared" si="279"/>
        <v>43087</v>
      </c>
      <c r="AG2064" s="185" t="e">
        <f t="shared" si="282"/>
        <v>#DIV/0!</v>
      </c>
      <c r="AH2064" s="339" t="str">
        <f>VLOOKUP(B2064,'MF PF'!A:B,2)</f>
        <v>FdMgt1</v>
      </c>
      <c r="AI2064" s="358">
        <f t="shared" si="280"/>
        <v>0</v>
      </c>
      <c r="AJ2064" s="94">
        <f t="shared" si="281"/>
        <v>43100</v>
      </c>
    </row>
    <row r="2065" spans="1:36" ht="12.75" customHeight="1">
      <c r="A2065" s="94">
        <v>43100</v>
      </c>
      <c r="B2065" s="358" t="s">
        <v>175</v>
      </c>
      <c r="C2065" s="358" t="s">
        <v>343</v>
      </c>
      <c r="D2065" s="93">
        <v>23826921.539999999</v>
      </c>
      <c r="F2065" s="93"/>
      <c r="G2065" s="95"/>
      <c r="H2065" s="93"/>
      <c r="I2065" s="93"/>
      <c r="K2065" s="93"/>
      <c r="L2065" s="93">
        <f t="shared" si="277"/>
        <v>0</v>
      </c>
      <c r="M2065" s="95" t="e">
        <f t="shared" ca="1" si="278"/>
        <v>#DIV/0!</v>
      </c>
      <c r="N2065" s="95">
        <f>IF(P2065="Hedge Fund",IF(A2065=Summary!$AD$3,M2065-E2065,M2065),IF(A2065=Summary!$AD$3,L2065-D2065,L2065))</f>
        <v>0</v>
      </c>
      <c r="O2065" s="95"/>
      <c r="P2065" s="89" t="s">
        <v>155</v>
      </c>
      <c r="Q2065" s="95">
        <v>0</v>
      </c>
      <c r="R2065" s="95">
        <v>-0.95243478000000004</v>
      </c>
      <c r="S2065" s="95"/>
      <c r="T2065" s="95"/>
      <c r="U2065" s="95"/>
      <c r="V2065" s="95"/>
      <c r="W2065" s="95"/>
      <c r="X2065" s="95"/>
      <c r="Y2065" s="95"/>
      <c r="Z2065" s="95"/>
      <c r="AA2065" s="95"/>
      <c r="AB2065" s="95"/>
      <c r="AC2065" s="355"/>
      <c r="AD2065" s="355"/>
      <c r="AE2065" s="355"/>
      <c r="AF2065" s="94">
        <f t="shared" si="279"/>
        <v>43100</v>
      </c>
      <c r="AG2065" s="185" t="e">
        <f t="shared" si="282"/>
        <v>#DIV/0!</v>
      </c>
      <c r="AH2065" s="339" t="str">
        <f>VLOOKUP(B2065,'MF PF'!A:B,2)</f>
        <v>FdMgt1</v>
      </c>
      <c r="AI2065" s="358">
        <f t="shared" si="280"/>
        <v>0</v>
      </c>
      <c r="AJ2065" s="94">
        <f t="shared" si="281"/>
        <v>43100</v>
      </c>
    </row>
    <row r="2066" spans="1:36" ht="12.75" customHeight="1">
      <c r="A2066" s="94">
        <v>43131</v>
      </c>
      <c r="B2066" s="358" t="s">
        <v>175</v>
      </c>
      <c r="C2066" s="358" t="s">
        <v>343</v>
      </c>
      <c r="D2066" s="93">
        <v>25511607.32</v>
      </c>
      <c r="F2066" s="93"/>
      <c r="G2066" s="95"/>
      <c r="H2066" s="93"/>
      <c r="I2066" s="93"/>
      <c r="K2066" s="93"/>
      <c r="L2066" s="93">
        <f t="shared" si="277"/>
        <v>0</v>
      </c>
      <c r="M2066" s="95" t="e">
        <f t="shared" ca="1" si="278"/>
        <v>#DIV/0!</v>
      </c>
      <c r="N2066" s="95">
        <f>IF(P2066="Hedge Fund",IF(A2066=Summary!$AD$3,M2066-E2066,M2066),IF(A2066=Summary!$AD$3,L2066-D2066,L2066))</f>
        <v>0</v>
      </c>
      <c r="O2066" s="95"/>
      <c r="P2066" s="89" t="s">
        <v>155</v>
      </c>
      <c r="Q2066" s="95"/>
      <c r="R2066" s="95">
        <v>-1.31612967</v>
      </c>
      <c r="S2066" s="95"/>
      <c r="T2066" s="95"/>
      <c r="U2066" s="95"/>
      <c r="V2066" s="95"/>
      <c r="W2066" s="95"/>
      <c r="X2066" s="95"/>
      <c r="Y2066" s="95"/>
      <c r="Z2066" s="95"/>
      <c r="AA2066" s="95"/>
      <c r="AB2066" s="95"/>
      <c r="AC2066" s="355"/>
      <c r="AD2066" s="355"/>
      <c r="AE2066" s="355"/>
      <c r="AF2066" s="94">
        <f t="shared" si="279"/>
        <v>43131</v>
      </c>
      <c r="AG2066" s="185">
        <f t="shared" si="282"/>
        <v>7.0705138184628424E-2</v>
      </c>
      <c r="AH2066" s="339" t="str">
        <f>VLOOKUP(B2066,'MF PF'!A:B,2)</f>
        <v>FdMgt1</v>
      </c>
      <c r="AI2066" s="358">
        <f t="shared" si="280"/>
        <v>0</v>
      </c>
      <c r="AJ2066" s="94">
        <f t="shared" si="281"/>
        <v>43131</v>
      </c>
    </row>
    <row r="2067" spans="1:36" ht="12.75" customHeight="1">
      <c r="A2067" s="94">
        <v>43159</v>
      </c>
      <c r="B2067" s="358" t="s">
        <v>175</v>
      </c>
      <c r="C2067" s="358" t="s">
        <v>343</v>
      </c>
      <c r="D2067" s="93">
        <v>25635984.129999999</v>
      </c>
      <c r="F2067" s="93"/>
      <c r="G2067" s="95"/>
      <c r="H2067" s="93"/>
      <c r="I2067" s="93"/>
      <c r="K2067" s="93"/>
      <c r="L2067" s="93">
        <f t="shared" si="277"/>
        <v>0</v>
      </c>
      <c r="M2067" s="95" t="e">
        <f t="shared" ca="1" si="278"/>
        <v>#DIV/0!</v>
      </c>
      <c r="N2067" s="95">
        <f>IF(P2067="Hedge Fund",IF(A2067=Summary!$AD$3,M2067-E2067,M2067),IF(A2067=Summary!$AD$3,L2067-D2067,L2067))</f>
        <v>0</v>
      </c>
      <c r="O2067" s="95"/>
      <c r="P2067" s="89" t="s">
        <v>155</v>
      </c>
      <c r="Q2067" s="95"/>
      <c r="R2067" s="95">
        <v>-1.3397229099999999</v>
      </c>
      <c r="S2067" s="95"/>
      <c r="T2067" s="95"/>
      <c r="U2067" s="95"/>
      <c r="V2067" s="95"/>
      <c r="W2067" s="95"/>
      <c r="X2067" s="95"/>
      <c r="Y2067" s="95"/>
      <c r="Z2067" s="95"/>
      <c r="AA2067" s="95"/>
      <c r="AB2067" s="95"/>
      <c r="AC2067" s="355"/>
      <c r="AD2067" s="355"/>
      <c r="AE2067" s="355"/>
      <c r="AF2067" s="94">
        <f t="shared" si="279"/>
        <v>43159</v>
      </c>
      <c r="AG2067" s="185">
        <f t="shared" si="282"/>
        <v>4.8753027764931733E-3</v>
      </c>
      <c r="AH2067" s="339" t="str">
        <f>VLOOKUP(B2067,'MF PF'!A:B,2)</f>
        <v>FdMgt1</v>
      </c>
      <c r="AI2067" s="358">
        <f t="shared" si="280"/>
        <v>0</v>
      </c>
      <c r="AJ2067" s="94">
        <f t="shared" si="281"/>
        <v>43159</v>
      </c>
    </row>
    <row r="2068" spans="1:36" ht="12.75" customHeight="1">
      <c r="A2068" s="94">
        <v>43190</v>
      </c>
      <c r="B2068" s="358" t="s">
        <v>175</v>
      </c>
      <c r="C2068" s="358" t="s">
        <v>343</v>
      </c>
      <c r="D2068" s="93">
        <v>25866945.579999998</v>
      </c>
      <c r="F2068" s="93"/>
      <c r="G2068" s="95"/>
      <c r="H2068" s="93"/>
      <c r="I2068" s="93"/>
      <c r="K2068" s="93"/>
      <c r="L2068" s="93">
        <f t="shared" si="277"/>
        <v>0</v>
      </c>
      <c r="M2068" s="95" t="e">
        <f t="shared" ca="1" si="278"/>
        <v>#DIV/0!</v>
      </c>
      <c r="N2068" s="95">
        <f>IF(P2068="Hedge Fund",IF(A2068=Summary!$AD$3,M2068-E2068,M2068),IF(A2068=Summary!$AD$3,L2068-D2068,L2068))</f>
        <v>0</v>
      </c>
      <c r="O2068" s="95"/>
      <c r="P2068" s="107" t="s">
        <v>155</v>
      </c>
      <c r="Q2068" s="95">
        <v>0</v>
      </c>
      <c r="R2068" s="95"/>
      <c r="S2068" s="95"/>
      <c r="T2068" s="95"/>
      <c r="U2068" s="95"/>
      <c r="V2068" s="95"/>
      <c r="W2068" s="95"/>
      <c r="X2068" s="95"/>
      <c r="Y2068" s="95"/>
      <c r="Z2068" s="95"/>
      <c r="AA2068" s="95"/>
      <c r="AB2068" s="95"/>
      <c r="AC2068" s="355"/>
      <c r="AD2068" s="355"/>
      <c r="AE2068" s="355"/>
      <c r="AF2068" s="94">
        <f t="shared" si="279"/>
        <v>43190</v>
      </c>
      <c r="AG2068" s="185">
        <f t="shared" si="282"/>
        <v>9.0092679426230227E-3</v>
      </c>
      <c r="AH2068" s="339" t="str">
        <f>VLOOKUP(B2068,'MF PF'!A:B,2)</f>
        <v>FdMgt1</v>
      </c>
      <c r="AI2068" s="358">
        <f t="shared" si="280"/>
        <v>0</v>
      </c>
      <c r="AJ2068" s="94">
        <f t="shared" si="281"/>
        <v>43190</v>
      </c>
    </row>
    <row r="2069" spans="1:36" ht="12.75" customHeight="1">
      <c r="A2069" s="94">
        <v>43220</v>
      </c>
      <c r="B2069" s="358" t="s">
        <v>175</v>
      </c>
      <c r="C2069" s="358" t="s">
        <v>343</v>
      </c>
      <c r="D2069" s="93">
        <v>25717878.460000001</v>
      </c>
      <c r="F2069" s="93"/>
      <c r="G2069" s="95"/>
      <c r="H2069" s="93"/>
      <c r="I2069" s="93"/>
      <c r="K2069" s="93"/>
      <c r="L2069" s="93">
        <f t="shared" si="277"/>
        <v>0</v>
      </c>
      <c r="M2069" s="95" t="e">
        <f t="shared" ca="1" si="278"/>
        <v>#DIV/0!</v>
      </c>
      <c r="N2069" s="95">
        <f>IF(P2069="Hedge Fund",IF(A2069=Summary!$AD$3,M2069-E2069,M2069),IF(A2069=Summary!$AD$3,L2069-D2069,L2069))</f>
        <v>0</v>
      </c>
      <c r="O2069" s="95"/>
      <c r="P2069" s="107" t="s">
        <v>155</v>
      </c>
      <c r="Q2069" s="95"/>
      <c r="R2069" s="95">
        <v>-1.3262478899999999</v>
      </c>
      <c r="S2069" s="95"/>
      <c r="T2069" s="95"/>
      <c r="U2069" s="95"/>
      <c r="V2069" s="95"/>
      <c r="W2069" s="95"/>
      <c r="X2069" s="95"/>
      <c r="Y2069" s="95"/>
      <c r="Z2069" s="95"/>
      <c r="AA2069" s="95"/>
      <c r="AB2069" s="95"/>
      <c r="AC2069" s="355"/>
      <c r="AD2069" s="355"/>
      <c r="AE2069" s="355"/>
      <c r="AF2069" s="94">
        <f t="shared" si="279"/>
        <v>43220</v>
      </c>
      <c r="AG2069" s="185">
        <f t="shared" si="282"/>
        <v>-5.7628419845308088E-3</v>
      </c>
      <c r="AH2069" s="339" t="str">
        <f>VLOOKUP(B2069,'MF PF'!A:B,2)</f>
        <v>FdMgt1</v>
      </c>
      <c r="AI2069" s="358">
        <f t="shared" si="280"/>
        <v>0</v>
      </c>
      <c r="AJ2069" s="94">
        <f t="shared" si="281"/>
        <v>43220</v>
      </c>
    </row>
    <row r="2070" spans="1:36" ht="12.75" customHeight="1">
      <c r="A2070" s="94">
        <v>43251</v>
      </c>
      <c r="B2070" s="358" t="s">
        <v>175</v>
      </c>
      <c r="C2070" s="358" t="s">
        <v>343</v>
      </c>
      <c r="D2070" s="93">
        <v>26179442.640000001</v>
      </c>
      <c r="F2070" s="93"/>
      <c r="G2070" s="95"/>
      <c r="H2070" s="93"/>
      <c r="I2070" s="93"/>
      <c r="K2070" s="93"/>
      <c r="L2070" s="93">
        <f t="shared" si="277"/>
        <v>0</v>
      </c>
      <c r="M2070" s="95" t="e">
        <f t="shared" ca="1" si="278"/>
        <v>#DIV/0!</v>
      </c>
      <c r="N2070" s="95">
        <f>IF(P2070="Hedge Fund",IF(A2070=Summary!$AD$3,M2070-E2070,M2070),IF(A2070=Summary!$AD$3,L2070-D2070,L2070))</f>
        <v>0</v>
      </c>
      <c r="O2070" s="95"/>
      <c r="P2070" s="89" t="s">
        <v>155</v>
      </c>
      <c r="Q2070" s="95"/>
      <c r="R2070" s="95">
        <v>-1.4089706100000001</v>
      </c>
      <c r="S2070" s="95"/>
      <c r="T2070" s="95"/>
      <c r="U2070" s="95"/>
      <c r="V2070" s="95"/>
      <c r="W2070" s="95"/>
      <c r="X2070" s="95"/>
      <c r="Y2070" s="95"/>
      <c r="Z2070" s="95"/>
      <c r="AA2070" s="95"/>
      <c r="AB2070" s="95"/>
      <c r="AC2070" s="355"/>
      <c r="AD2070" s="355"/>
      <c r="AE2070" s="355"/>
      <c r="AF2070" s="94">
        <f t="shared" si="279"/>
        <v>43251</v>
      </c>
      <c r="AG2070" s="185">
        <f t="shared" si="282"/>
        <v>1.794721056473958E-2</v>
      </c>
      <c r="AH2070" s="339" t="str">
        <f>VLOOKUP(B2070,'MF PF'!A:B,2)</f>
        <v>FdMgt1</v>
      </c>
      <c r="AI2070" s="358">
        <f t="shared" si="280"/>
        <v>0</v>
      </c>
      <c r="AJ2070" s="94">
        <f t="shared" si="281"/>
        <v>43251</v>
      </c>
    </row>
    <row r="2071" spans="1:36" ht="12.75" customHeight="1">
      <c r="A2071" s="94">
        <v>43281</v>
      </c>
      <c r="B2071" s="358" t="s">
        <v>175</v>
      </c>
      <c r="C2071" s="358" t="s">
        <v>343</v>
      </c>
      <c r="D2071" s="93">
        <v>25898977.030000001</v>
      </c>
      <c r="E2071" s="95"/>
      <c r="F2071" s="93"/>
      <c r="G2071" s="95"/>
      <c r="H2071" s="93"/>
      <c r="I2071" s="93"/>
      <c r="K2071" s="93"/>
      <c r="L2071" s="93">
        <f t="shared" si="277"/>
        <v>0</v>
      </c>
      <c r="M2071" s="95" t="e">
        <f t="shared" ca="1" si="278"/>
        <v>#DIV/0!</v>
      </c>
      <c r="N2071" s="95">
        <f>IF(P2071="Hedge Fund",IF(A2071=Summary!$AD$3,M2071-E2071,M2071),IF(A2071=Summary!$AD$3,L2071-D2071,L2071))</f>
        <v>0</v>
      </c>
      <c r="O2071" s="95"/>
      <c r="P2071" s="89" t="s">
        <v>155</v>
      </c>
      <c r="Q2071" s="95">
        <v>0</v>
      </c>
      <c r="R2071" s="95"/>
      <c r="S2071" s="95"/>
      <c r="T2071" s="95"/>
      <c r="U2071" s="95"/>
      <c r="V2071" s="95"/>
      <c r="W2071" s="95"/>
      <c r="X2071" s="95"/>
      <c r="Y2071" s="95"/>
      <c r="Z2071" s="95"/>
      <c r="AA2071" s="95"/>
      <c r="AB2071" s="95"/>
      <c r="AC2071" s="355"/>
      <c r="AD2071" s="355"/>
      <c r="AE2071" s="355"/>
      <c r="AF2071" s="94">
        <f t="shared" si="279"/>
        <v>43281</v>
      </c>
      <c r="AG2071" s="185">
        <f t="shared" si="282"/>
        <v>-1.0713200195158867E-2</v>
      </c>
      <c r="AH2071" s="339" t="str">
        <f>VLOOKUP(B2071,'MF PF'!A:B,2)</f>
        <v>FdMgt1</v>
      </c>
      <c r="AI2071" s="358">
        <f t="shared" si="280"/>
        <v>0</v>
      </c>
      <c r="AJ2071" s="94">
        <f t="shared" si="281"/>
        <v>43281</v>
      </c>
    </row>
    <row r="2072" spans="1:36" ht="12.75" customHeight="1">
      <c r="A2072" s="94">
        <v>43312</v>
      </c>
      <c r="B2072" s="358" t="s">
        <v>175</v>
      </c>
      <c r="C2072" s="358" t="s">
        <v>343</v>
      </c>
      <c r="D2072" s="93">
        <v>25732180.699999999</v>
      </c>
      <c r="F2072" s="93"/>
      <c r="G2072" s="95"/>
      <c r="H2072" s="93"/>
      <c r="I2072" s="93"/>
      <c r="K2072" s="93"/>
      <c r="L2072" s="93">
        <f t="shared" si="277"/>
        <v>0</v>
      </c>
      <c r="M2072" s="95" t="e">
        <f t="shared" ca="1" si="278"/>
        <v>#DIV/0!</v>
      </c>
      <c r="N2072" s="95">
        <f>IF(P2072="Hedge Fund",IF(A2072=Summary!$AD$3,M2072-E2072,M2072),IF(A2072=Summary!$AD$3,L2072-D2072,L2072))</f>
        <v>0</v>
      </c>
      <c r="O2072" s="95"/>
      <c r="P2072" s="89" t="s">
        <v>155</v>
      </c>
      <c r="Q2072" s="95">
        <v>0</v>
      </c>
      <c r="R2072" s="95"/>
      <c r="S2072" s="95"/>
      <c r="T2072" s="95"/>
      <c r="U2072" s="95"/>
      <c r="V2072" s="95"/>
      <c r="W2072" s="95"/>
      <c r="X2072" s="95"/>
      <c r="Y2072" s="95"/>
      <c r="Z2072" s="95"/>
      <c r="AA2072" s="95"/>
      <c r="AB2072" s="95"/>
      <c r="AC2072" s="355"/>
      <c r="AD2072" s="355"/>
      <c r="AE2072" s="355"/>
      <c r="AF2072" s="94">
        <f t="shared" si="279"/>
        <v>43312</v>
      </c>
      <c r="AG2072" s="185">
        <f t="shared" si="282"/>
        <v>-6.4402671119709876E-3</v>
      </c>
      <c r="AH2072" s="339" t="str">
        <f>VLOOKUP(B2072,'MF PF'!A:B,2)</f>
        <v>FdMgt1</v>
      </c>
      <c r="AI2072" s="358">
        <f t="shared" si="280"/>
        <v>0</v>
      </c>
      <c r="AJ2072" s="94">
        <f t="shared" si="281"/>
        <v>43312</v>
      </c>
    </row>
    <row r="2073" spans="1:36" ht="12.75" customHeight="1">
      <c r="A2073" s="94">
        <v>43343</v>
      </c>
      <c r="B2073" s="358" t="s">
        <v>175</v>
      </c>
      <c r="C2073" s="358" t="s">
        <v>343</v>
      </c>
      <c r="D2073" s="93">
        <v>25428464.949999999</v>
      </c>
      <c r="F2073" s="93"/>
      <c r="G2073" s="95"/>
      <c r="H2073" s="93"/>
      <c r="I2073" s="93"/>
      <c r="K2073" s="93"/>
      <c r="L2073" s="93">
        <f t="shared" si="277"/>
        <v>0</v>
      </c>
      <c r="M2073" s="95" t="e">
        <f t="shared" ca="1" si="278"/>
        <v>#DIV/0!</v>
      </c>
      <c r="N2073" s="95">
        <f>IF(P2073="Hedge Fund",IF(A2073=Summary!$AD$3,M2073-E2073,M2073),IF(A2073=Summary!$AD$3,L2073-D2073,L2073))</f>
        <v>0</v>
      </c>
      <c r="O2073" s="95"/>
      <c r="P2073" s="89" t="s">
        <v>155</v>
      </c>
      <c r="Q2073" s="95">
        <v>0</v>
      </c>
      <c r="R2073" s="95"/>
      <c r="S2073" s="95"/>
      <c r="T2073" s="95"/>
      <c r="U2073" s="95"/>
      <c r="V2073" s="95"/>
      <c r="W2073" s="95"/>
      <c r="X2073" s="95"/>
      <c r="Y2073" s="95"/>
      <c r="Z2073" s="95"/>
      <c r="AA2073" s="95"/>
      <c r="AB2073" s="95"/>
      <c r="AC2073" s="355"/>
      <c r="AD2073" s="355"/>
      <c r="AE2073" s="355"/>
      <c r="AF2073" s="94">
        <f t="shared" si="279"/>
        <v>43343</v>
      </c>
      <c r="AG2073" s="185">
        <f t="shared" si="282"/>
        <v>-1.1802954189576331E-2</v>
      </c>
      <c r="AH2073" s="339" t="str">
        <f>VLOOKUP(B2073,'MF PF'!A:B,2)</f>
        <v>FdMgt1</v>
      </c>
      <c r="AI2073" s="358">
        <f t="shared" si="280"/>
        <v>0</v>
      </c>
      <c r="AJ2073" s="94">
        <f t="shared" si="281"/>
        <v>43343</v>
      </c>
    </row>
    <row r="2074" spans="1:36" ht="12.75" customHeight="1">
      <c r="A2074" s="94">
        <v>43373</v>
      </c>
      <c r="B2074" s="358" t="s">
        <v>175</v>
      </c>
      <c r="C2074" s="358" t="s">
        <v>343</v>
      </c>
      <c r="D2074" s="93">
        <v>24174212.559999999</v>
      </c>
      <c r="F2074" s="93"/>
      <c r="G2074" s="95"/>
      <c r="H2074" s="93"/>
      <c r="I2074" s="93"/>
      <c r="K2074" s="93"/>
      <c r="L2074" s="93">
        <f t="shared" si="277"/>
        <v>0</v>
      </c>
      <c r="M2074" s="95" t="e">
        <f t="shared" ca="1" si="278"/>
        <v>#DIV/0!</v>
      </c>
      <c r="N2074" s="95">
        <f>IF(P2074="Hedge Fund",IF(A2074=Summary!$AD$3,M2074-E2074,M2074),IF(A2074=Summary!$AD$3,L2074-D2074,L2074))</f>
        <v>0</v>
      </c>
      <c r="O2074" s="95"/>
      <c r="P2074" s="107" t="s">
        <v>155</v>
      </c>
      <c r="Q2074" s="95">
        <v>0</v>
      </c>
      <c r="R2074" s="95"/>
      <c r="S2074" s="95"/>
      <c r="T2074" s="95"/>
      <c r="U2074" s="95"/>
      <c r="V2074" s="95"/>
      <c r="W2074" s="95"/>
      <c r="X2074" s="95"/>
      <c r="Y2074" s="95"/>
      <c r="Z2074" s="95"/>
      <c r="AA2074" s="95"/>
      <c r="AB2074" s="95"/>
      <c r="AC2074" s="355"/>
      <c r="AD2074" s="355"/>
      <c r="AE2074" s="355"/>
      <c r="AF2074" s="94">
        <f t="shared" si="279"/>
        <v>43373</v>
      </c>
      <c r="AG2074" s="185">
        <f t="shared" si="282"/>
        <v>-4.9324738731427065E-2</v>
      </c>
      <c r="AH2074" s="339" t="str">
        <f>VLOOKUP(B2074,'MF PF'!A:B,2)</f>
        <v>FdMgt1</v>
      </c>
      <c r="AI2074" s="358">
        <f t="shared" si="280"/>
        <v>0</v>
      </c>
      <c r="AJ2074" s="94">
        <f t="shared" si="281"/>
        <v>43373</v>
      </c>
    </row>
    <row r="2075" spans="1:36" ht="12.75" customHeight="1">
      <c r="A2075" s="94">
        <v>43404</v>
      </c>
      <c r="B2075" s="358" t="s">
        <v>175</v>
      </c>
      <c r="C2075" s="358" t="s">
        <v>343</v>
      </c>
      <c r="D2075" s="93">
        <v>23956623.047699999</v>
      </c>
      <c r="F2075" s="93">
        <v>18.439024</v>
      </c>
      <c r="G2075" s="93"/>
      <c r="H2075" s="93">
        <v>0</v>
      </c>
      <c r="I2075" s="93">
        <v>0</v>
      </c>
      <c r="J2075" s="93">
        <v>0</v>
      </c>
      <c r="K2075" s="93">
        <v>0</v>
      </c>
      <c r="L2075" s="93">
        <f t="shared" si="277"/>
        <v>0</v>
      </c>
      <c r="M2075" s="95" t="e">
        <f t="shared" ca="1" si="278"/>
        <v>#DIV/0!</v>
      </c>
      <c r="N2075" s="95">
        <f>IF(P2075="Hedge Fund",IF(A2075=Summary!$AD$3,M2075-E2075,M2075),IF(A2075=Summary!$AD$3,L2075-D2075,L2075))</f>
        <v>0</v>
      </c>
      <c r="O2075" s="95"/>
      <c r="P2075" s="95" t="s">
        <v>155</v>
      </c>
      <c r="Q2075" s="95">
        <v>0</v>
      </c>
      <c r="R2075" s="95"/>
      <c r="S2075" s="95"/>
      <c r="T2075" s="95"/>
      <c r="U2075" s="95"/>
      <c r="V2075" s="95"/>
      <c r="W2075" s="95"/>
      <c r="X2075" s="95"/>
      <c r="Y2075" s="95"/>
      <c r="Z2075" s="95"/>
      <c r="AA2075" s="95"/>
      <c r="AB2075" s="95"/>
      <c r="AC2075" s="355"/>
      <c r="AD2075" s="355"/>
      <c r="AE2075" s="355"/>
      <c r="AF2075" s="94">
        <f t="shared" si="279"/>
        <v>43404</v>
      </c>
      <c r="AG2075" s="185">
        <f t="shared" si="282"/>
        <v>-9.0008934834979737E-3</v>
      </c>
      <c r="AH2075" s="339" t="str">
        <f>VLOOKUP(B2075,'MF PF'!A:B,2)</f>
        <v>FdMgt1</v>
      </c>
      <c r="AI2075" s="358">
        <f t="shared" si="280"/>
        <v>0</v>
      </c>
      <c r="AJ2075" s="94">
        <f t="shared" si="281"/>
        <v>43404</v>
      </c>
    </row>
    <row r="2076" spans="1:36" ht="12.75" customHeight="1">
      <c r="A2076" s="94">
        <v>43434</v>
      </c>
      <c r="B2076" s="358" t="s">
        <v>175</v>
      </c>
      <c r="C2076" s="358" t="s">
        <v>343</v>
      </c>
      <c r="D2076" s="93">
        <v>23949361.353399999</v>
      </c>
      <c r="E2076" s="95"/>
      <c r="F2076" s="93">
        <v>18.439024</v>
      </c>
      <c r="G2076" s="93"/>
      <c r="H2076" s="93">
        <v>0</v>
      </c>
      <c r="I2076" s="93">
        <v>0</v>
      </c>
      <c r="K2076" s="93">
        <v>0</v>
      </c>
      <c r="L2076" s="93">
        <f t="shared" si="277"/>
        <v>0</v>
      </c>
      <c r="M2076" s="95" t="e">
        <f t="shared" ca="1" si="278"/>
        <v>#DIV/0!</v>
      </c>
      <c r="N2076" s="95">
        <f>IF(P2076="Hedge Fund",IF(A2076=Summary!$AD$3,M2076-E2076,M2076),IF(A2076=Summary!$AD$3,L2076-D2076,L2076))</f>
        <v>0</v>
      </c>
      <c r="O2076" s="95"/>
      <c r="P2076" s="95" t="s">
        <v>155</v>
      </c>
      <c r="Q2076" s="95">
        <v>0</v>
      </c>
      <c r="R2076" s="95">
        <v>0</v>
      </c>
      <c r="S2076" s="95"/>
      <c r="T2076" s="95"/>
      <c r="U2076" s="95"/>
      <c r="V2076" s="95"/>
      <c r="W2076" s="95"/>
      <c r="X2076" s="95"/>
      <c r="Y2076" s="95"/>
      <c r="Z2076" s="95"/>
      <c r="AA2076" s="95"/>
      <c r="AB2076" s="95"/>
      <c r="AC2076" s="355"/>
      <c r="AD2076" s="355"/>
      <c r="AE2076" s="355"/>
      <c r="AF2076" s="94">
        <f t="shared" si="279"/>
        <v>43434</v>
      </c>
      <c r="AG2076" s="185">
        <f t="shared" si="282"/>
        <v>-3.0311844392849618E-4</v>
      </c>
      <c r="AH2076" s="339" t="str">
        <f>VLOOKUP(B2076,'MF PF'!A:B,2)</f>
        <v>FdMgt1</v>
      </c>
      <c r="AI2076" s="358">
        <f t="shared" si="280"/>
        <v>0</v>
      </c>
      <c r="AJ2076" s="94">
        <f t="shared" si="281"/>
        <v>43434</v>
      </c>
    </row>
    <row r="2077" spans="1:36" ht="12.75" customHeight="1">
      <c r="A2077" s="8">
        <v>43465</v>
      </c>
      <c r="B2077" s="358" t="s">
        <v>175</v>
      </c>
      <c r="C2077" s="358" t="s">
        <v>343</v>
      </c>
      <c r="D2077" s="93">
        <v>24428732.536899999</v>
      </c>
      <c r="E2077" s="95"/>
      <c r="F2077" s="93">
        <v>18.439024</v>
      </c>
      <c r="G2077" s="93"/>
      <c r="H2077" s="93">
        <v>0</v>
      </c>
      <c r="I2077" s="93">
        <v>0</v>
      </c>
      <c r="K2077" s="93">
        <v>0</v>
      </c>
      <c r="L2077" s="93">
        <f t="shared" si="277"/>
        <v>0</v>
      </c>
      <c r="M2077" s="95" t="e">
        <f t="shared" ca="1" si="278"/>
        <v>#DIV/0!</v>
      </c>
      <c r="N2077" s="95">
        <f>IF(P2077="Hedge Fund",IF(A2077=Summary!$AD$3,M2077-E2077,M2077),IF(A2077=Summary!$AD$3,L2077-D2077,L2077))</f>
        <v>0</v>
      </c>
      <c r="O2077" s="95"/>
      <c r="P2077" s="95" t="s">
        <v>155</v>
      </c>
      <c r="Q2077" s="95">
        <v>0</v>
      </c>
      <c r="R2077" s="95">
        <v>0</v>
      </c>
      <c r="S2077" s="95"/>
      <c r="T2077" s="95"/>
      <c r="U2077" s="95"/>
      <c r="V2077" s="95"/>
      <c r="W2077" s="95"/>
      <c r="X2077" s="95"/>
      <c r="Y2077" s="95"/>
      <c r="Z2077" s="95"/>
      <c r="AA2077" s="95"/>
      <c r="AB2077" s="95"/>
      <c r="AC2077" s="355"/>
      <c r="AD2077" s="355"/>
      <c r="AE2077" s="355"/>
      <c r="AF2077" s="94">
        <f t="shared" si="279"/>
        <v>43465</v>
      </c>
      <c r="AG2077" s="185">
        <f t="shared" si="282"/>
        <v>2.0016032011306528E-2</v>
      </c>
      <c r="AH2077" s="339" t="str">
        <f>VLOOKUP(B2077,'MF PF'!A:B,2)</f>
        <v>FdMgt1</v>
      </c>
      <c r="AI2077" s="358">
        <f t="shared" si="280"/>
        <v>0</v>
      </c>
      <c r="AJ2077" s="94">
        <f t="shared" si="281"/>
        <v>43465</v>
      </c>
    </row>
    <row r="2078" spans="1:36" ht="12.75" customHeight="1">
      <c r="A2078" s="8">
        <v>43496</v>
      </c>
      <c r="B2078" s="358" t="s">
        <v>175</v>
      </c>
      <c r="C2078" s="358" t="s">
        <v>343</v>
      </c>
      <c r="D2078" s="93">
        <v>25307492.193</v>
      </c>
      <c r="F2078" s="93">
        <v>18.439024</v>
      </c>
      <c r="G2078" s="93"/>
      <c r="H2078" s="93">
        <v>0</v>
      </c>
      <c r="I2078" s="93">
        <v>0</v>
      </c>
      <c r="K2078" s="93">
        <v>0</v>
      </c>
      <c r="L2078" s="93">
        <f t="shared" si="277"/>
        <v>0</v>
      </c>
      <c r="M2078" s="95" t="e">
        <f t="shared" ca="1" si="278"/>
        <v>#DIV/0!</v>
      </c>
      <c r="N2078" s="95">
        <f>IF(P2078="Hedge Fund",IF(A2078=Summary!$AD$3,M2078-E2078,M2078),IF(A2078=Summary!$AD$3,L2078-D2078,L2078))</f>
        <v>-25307492.193</v>
      </c>
      <c r="O2078" s="95"/>
      <c r="P2078" s="95" t="s">
        <v>155</v>
      </c>
      <c r="Q2078" s="95">
        <v>0</v>
      </c>
      <c r="R2078" s="95">
        <v>0</v>
      </c>
      <c r="S2078" s="95"/>
      <c r="T2078" s="95"/>
      <c r="U2078" s="95"/>
      <c r="V2078" s="95"/>
      <c r="W2078" s="95"/>
      <c r="X2078" s="95"/>
      <c r="Y2078" s="95"/>
      <c r="Z2078" s="95"/>
      <c r="AA2078" s="95"/>
      <c r="AB2078" s="95"/>
      <c r="AC2078" s="355"/>
      <c r="AD2078" s="355"/>
      <c r="AE2078" s="355"/>
      <c r="AF2078" s="94">
        <f t="shared" si="279"/>
        <v>43496</v>
      </c>
      <c r="AG2078" s="185">
        <f t="shared" si="282"/>
        <v>3.5972380260524073E-2</v>
      </c>
      <c r="AH2078" s="339" t="str">
        <f>VLOOKUP(B2078,'MF PF'!A:B,2)</f>
        <v>FdMgt1</v>
      </c>
      <c r="AI2078" s="358">
        <f t="shared" si="280"/>
        <v>0</v>
      </c>
      <c r="AJ2078" s="94">
        <f t="shared" si="281"/>
        <v>43496</v>
      </c>
    </row>
    <row r="2079" spans="1:36" ht="12.75" customHeight="1">
      <c r="A2079" s="94">
        <v>42695</v>
      </c>
      <c r="B2079" s="358" t="s">
        <v>175</v>
      </c>
      <c r="C2079" s="358" t="s">
        <v>302</v>
      </c>
      <c r="D2079" s="93"/>
      <c r="F2079" s="93"/>
      <c r="G2079" s="95">
        <v>19584</v>
      </c>
      <c r="H2079" s="93"/>
      <c r="I2079" s="93"/>
      <c r="K2079" s="93"/>
      <c r="L2079" s="93">
        <f t="shared" si="277"/>
        <v>19584</v>
      </c>
      <c r="M2079" s="95">
        <f t="shared" ca="1" si="278"/>
        <v>0</v>
      </c>
      <c r="N2079" s="95">
        <f>IF(P2079="Hedge Fund",IF(A2079=Summary!$AD$3,M2079-E2079,M2079),IF(A2079=Summary!$AD$3,L2079-D2079,L2079))</f>
        <v>19584</v>
      </c>
      <c r="O2079" s="95">
        <f t="shared" ref="O2079:O2142" si="283">N2079</f>
        <v>19584</v>
      </c>
      <c r="P2079" s="89" t="s">
        <v>155</v>
      </c>
      <c r="Q2079" s="95">
        <v>0</v>
      </c>
      <c r="R2079" s="95">
        <v>0</v>
      </c>
      <c r="S2079" s="95"/>
      <c r="T2079" s="95"/>
      <c r="U2079" s="95"/>
      <c r="V2079" s="95"/>
      <c r="W2079" s="95"/>
      <c r="X2079" s="95"/>
      <c r="Y2079" s="95"/>
      <c r="Z2079" s="95"/>
      <c r="AA2079" s="95"/>
      <c r="AB2079" s="95"/>
      <c r="AC2079" s="355"/>
      <c r="AD2079" s="355"/>
      <c r="AE2079" s="355"/>
      <c r="AF2079" s="94">
        <f t="shared" si="279"/>
        <v>42695</v>
      </c>
      <c r="AG2079" s="185">
        <f t="shared" si="282"/>
        <v>-1</v>
      </c>
      <c r="AH2079" s="339" t="str">
        <f>VLOOKUP(B2079,'MF PF'!A:B,2)</f>
        <v>FdMgt1</v>
      </c>
      <c r="AI2079" s="358">
        <f t="shared" si="280"/>
        <v>0</v>
      </c>
      <c r="AJ2079" s="94">
        <f t="shared" si="281"/>
        <v>42704</v>
      </c>
    </row>
    <row r="2080" spans="1:36" ht="12.75" customHeight="1">
      <c r="A2080" s="94">
        <v>42695</v>
      </c>
      <c r="B2080" s="358" t="s">
        <v>175</v>
      </c>
      <c r="C2080" s="92" t="s">
        <v>302</v>
      </c>
      <c r="D2080" s="93"/>
      <c r="F2080" s="93"/>
      <c r="G2080" s="95">
        <v>111883</v>
      </c>
      <c r="H2080" s="93"/>
      <c r="I2080" s="93"/>
      <c r="K2080" s="93"/>
      <c r="L2080" s="93">
        <f t="shared" si="277"/>
        <v>111883</v>
      </c>
      <c r="M2080" s="95">
        <f t="shared" ca="1" si="278"/>
        <v>0</v>
      </c>
      <c r="N2080" s="95">
        <f>IF(P2080="Hedge Fund",IF(A2080=Summary!$AD$3,M2080-E2080,M2080),IF(A2080=Summary!$AD$3,L2080-D2080,L2080))</f>
        <v>111883</v>
      </c>
      <c r="O2080" s="95">
        <f t="shared" si="283"/>
        <v>111883</v>
      </c>
      <c r="P2080" s="89" t="s">
        <v>155</v>
      </c>
      <c r="Q2080" s="95">
        <v>0</v>
      </c>
      <c r="R2080" s="95">
        <v>0</v>
      </c>
      <c r="S2080" s="95"/>
      <c r="T2080" s="95"/>
      <c r="U2080" s="95"/>
      <c r="V2080" s="95"/>
      <c r="W2080" s="95"/>
      <c r="X2080" s="95"/>
      <c r="Y2080" s="95"/>
      <c r="Z2080" s="95"/>
      <c r="AA2080" s="95"/>
      <c r="AB2080" s="95"/>
      <c r="AC2080" s="355"/>
      <c r="AD2080" s="355"/>
      <c r="AE2080" s="355"/>
      <c r="AF2080" s="94">
        <f t="shared" si="279"/>
        <v>42695</v>
      </c>
      <c r="AG2080" s="185" t="e">
        <f t="shared" si="282"/>
        <v>#DIV/0!</v>
      </c>
      <c r="AH2080" s="339" t="str">
        <f>VLOOKUP(B2080,'MF PF'!A:B,2)</f>
        <v>FdMgt1</v>
      </c>
      <c r="AI2080" s="358">
        <f t="shared" si="280"/>
        <v>0</v>
      </c>
      <c r="AJ2080" s="94">
        <f t="shared" si="281"/>
        <v>42704</v>
      </c>
    </row>
    <row r="2081" spans="1:36" ht="12.75" customHeight="1">
      <c r="A2081" s="94">
        <v>42703</v>
      </c>
      <c r="B2081" s="358" t="s">
        <v>175</v>
      </c>
      <c r="C2081" s="92" t="s">
        <v>302</v>
      </c>
      <c r="D2081" s="93"/>
      <c r="F2081" s="93"/>
      <c r="G2081" s="95">
        <v>46368</v>
      </c>
      <c r="H2081" s="93"/>
      <c r="I2081" s="93"/>
      <c r="K2081" s="93"/>
      <c r="L2081" s="93">
        <f t="shared" si="277"/>
        <v>46368</v>
      </c>
      <c r="M2081" s="95" t="e">
        <f t="shared" ca="1" si="278"/>
        <v>#DIV/0!</v>
      </c>
      <c r="N2081" s="95">
        <f>IF(P2081="Hedge Fund",IF(A2081=Summary!$AD$3,M2081-E2081,M2081),IF(A2081=Summary!$AD$3,L2081-D2081,L2081))</f>
        <v>46368</v>
      </c>
      <c r="O2081" s="95">
        <f t="shared" si="283"/>
        <v>46368</v>
      </c>
      <c r="P2081" s="89" t="s">
        <v>155</v>
      </c>
      <c r="Q2081" s="95">
        <v>0</v>
      </c>
      <c r="R2081" s="95">
        <v>0</v>
      </c>
      <c r="S2081" s="95"/>
      <c r="T2081" s="95"/>
      <c r="U2081" s="95"/>
      <c r="V2081" s="95"/>
      <c r="W2081" s="95"/>
      <c r="X2081" s="95"/>
      <c r="Y2081" s="95"/>
      <c r="Z2081" s="95"/>
      <c r="AA2081" s="95"/>
      <c r="AB2081" s="95"/>
      <c r="AC2081" s="355"/>
      <c r="AD2081" s="355"/>
      <c r="AE2081" s="355"/>
      <c r="AF2081" s="94">
        <f t="shared" si="279"/>
        <v>42703</v>
      </c>
      <c r="AG2081" s="185" t="e">
        <f t="shared" si="282"/>
        <v>#DIV/0!</v>
      </c>
      <c r="AH2081" s="339" t="str">
        <f>VLOOKUP(B2081,'MF PF'!A:B,2)</f>
        <v>FdMgt1</v>
      </c>
      <c r="AI2081" s="358">
        <f t="shared" si="280"/>
        <v>0</v>
      </c>
      <c r="AJ2081" s="94">
        <f t="shared" si="281"/>
        <v>42704</v>
      </c>
    </row>
    <row r="2082" spans="1:36" ht="12.75" customHeight="1">
      <c r="A2082" s="8">
        <v>42704</v>
      </c>
      <c r="B2082" s="358" t="s">
        <v>175</v>
      </c>
      <c r="C2082" s="92" t="s">
        <v>302</v>
      </c>
      <c r="D2082" s="93">
        <v>177016.75</v>
      </c>
      <c r="F2082" s="93"/>
      <c r="G2082" s="95"/>
      <c r="H2082" s="93"/>
      <c r="I2082" s="93"/>
      <c r="K2082" s="93"/>
      <c r="L2082" s="93">
        <f t="shared" si="277"/>
        <v>0</v>
      </c>
      <c r="M2082" s="95" t="e">
        <f t="shared" ca="1" si="278"/>
        <v>#DIV/0!</v>
      </c>
      <c r="N2082" s="95">
        <f>IF(P2082="Hedge Fund",IF(A2082=Summary!$AD$3,M2082-E2082,M2082),IF(A2082=Summary!$AD$3,L2082-D2082,L2082))</f>
        <v>0</v>
      </c>
      <c r="O2082" s="95">
        <f t="shared" si="283"/>
        <v>0</v>
      </c>
      <c r="P2082" s="107" t="s">
        <v>155</v>
      </c>
      <c r="Q2082" s="95">
        <v>7.8700000000000005E-4</v>
      </c>
      <c r="R2082" s="95">
        <v>0</v>
      </c>
      <c r="S2082" s="95"/>
      <c r="T2082" s="95"/>
      <c r="U2082" s="95"/>
      <c r="V2082" s="95"/>
      <c r="W2082" s="95"/>
      <c r="X2082" s="95"/>
      <c r="Y2082" s="95"/>
      <c r="Z2082" s="95"/>
      <c r="AA2082" s="95"/>
      <c r="AB2082" s="95"/>
      <c r="AC2082" s="355"/>
      <c r="AD2082" s="355"/>
      <c r="AE2082" s="355"/>
      <c r="AF2082" s="94">
        <f t="shared" si="279"/>
        <v>42704</v>
      </c>
      <c r="AG2082" s="185" t="e">
        <f t="shared" si="282"/>
        <v>#DIV/0!</v>
      </c>
      <c r="AH2082" s="339" t="str">
        <f>VLOOKUP(B2082,'MF PF'!A:B,2)</f>
        <v>FdMgt1</v>
      </c>
      <c r="AI2082" s="358">
        <f t="shared" si="280"/>
        <v>0</v>
      </c>
      <c r="AJ2082" s="94">
        <f t="shared" si="281"/>
        <v>42704</v>
      </c>
    </row>
    <row r="2083" spans="1:36" ht="12.75" customHeight="1">
      <c r="A2083" s="94">
        <v>42735</v>
      </c>
      <c r="B2083" s="358" t="s">
        <v>175</v>
      </c>
      <c r="C2083" s="92" t="s">
        <v>302</v>
      </c>
      <c r="D2083" s="93">
        <v>175467.47</v>
      </c>
      <c r="F2083" s="93"/>
      <c r="G2083" s="95"/>
      <c r="H2083" s="93"/>
      <c r="I2083" s="93"/>
      <c r="K2083" s="93"/>
      <c r="L2083" s="93">
        <f t="shared" si="277"/>
        <v>0</v>
      </c>
      <c r="M2083" s="95" t="e">
        <f t="shared" ca="1" si="278"/>
        <v>#DIV/0!</v>
      </c>
      <c r="N2083" s="95">
        <f>IF(P2083="Hedge Fund",IF(A2083=Summary!$AD$3,M2083-E2083,M2083),IF(A2083=Summary!$AD$3,L2083-D2083,L2083))</f>
        <v>0</v>
      </c>
      <c r="O2083" s="95">
        <f t="shared" si="283"/>
        <v>0</v>
      </c>
      <c r="P2083" s="107" t="s">
        <v>155</v>
      </c>
      <c r="Q2083" s="95">
        <v>7.8061999999999999E-4</v>
      </c>
      <c r="R2083" s="95">
        <v>0</v>
      </c>
      <c r="S2083" s="95"/>
      <c r="T2083" s="95"/>
      <c r="U2083" s="95"/>
      <c r="V2083" s="95"/>
      <c r="W2083" s="95"/>
      <c r="X2083" s="95"/>
      <c r="Y2083" s="95"/>
      <c r="Z2083" s="95"/>
      <c r="AA2083" s="95"/>
      <c r="AB2083" s="95"/>
      <c r="AC2083" s="355"/>
      <c r="AD2083" s="355"/>
      <c r="AE2083" s="355"/>
      <c r="AF2083" s="94">
        <f t="shared" si="279"/>
        <v>42735</v>
      </c>
      <c r="AG2083" s="185">
        <f t="shared" si="282"/>
        <v>-8.7521661085744329E-3</v>
      </c>
      <c r="AH2083" s="339" t="str">
        <f>VLOOKUP(B2083,'MF PF'!A:B,2)</f>
        <v>FdMgt1</v>
      </c>
      <c r="AI2083" s="358">
        <f t="shared" si="280"/>
        <v>0</v>
      </c>
      <c r="AJ2083" s="94">
        <f t="shared" si="281"/>
        <v>42735</v>
      </c>
    </row>
    <row r="2084" spans="1:36" ht="12.75" customHeight="1">
      <c r="A2084" s="8">
        <v>42766</v>
      </c>
      <c r="B2084" s="358" t="s">
        <v>175</v>
      </c>
      <c r="C2084" s="92" t="s">
        <v>302</v>
      </c>
      <c r="D2084" s="93">
        <v>179056.49</v>
      </c>
      <c r="E2084" s="95"/>
      <c r="F2084" s="93"/>
      <c r="G2084" s="95"/>
      <c r="H2084" s="93"/>
      <c r="I2084" s="93"/>
      <c r="K2084" s="93"/>
      <c r="L2084" s="93">
        <f t="shared" si="277"/>
        <v>0</v>
      </c>
      <c r="M2084" s="95" t="e">
        <f t="shared" ca="1" si="278"/>
        <v>#DIV/0!</v>
      </c>
      <c r="N2084" s="95">
        <f>IF(P2084="Hedge Fund",IF(A2084=Summary!$AD$3,M2084-E2084,M2084),IF(A2084=Summary!$AD$3,L2084-D2084,L2084))</f>
        <v>0</v>
      </c>
      <c r="O2084" s="95">
        <f t="shared" si="283"/>
        <v>0</v>
      </c>
      <c r="P2084" s="107" t="s">
        <v>155</v>
      </c>
      <c r="Q2084" s="95">
        <v>1.00607E-3</v>
      </c>
      <c r="R2084" s="95">
        <v>2.1556E-4</v>
      </c>
      <c r="S2084" s="95"/>
      <c r="T2084" s="95"/>
      <c r="U2084" s="95"/>
      <c r="V2084" s="95"/>
      <c r="W2084" s="95"/>
      <c r="X2084" s="95"/>
      <c r="Y2084" s="95"/>
      <c r="Z2084" s="95"/>
      <c r="AA2084" s="95"/>
      <c r="AB2084" s="95"/>
      <c r="AC2084" s="355"/>
      <c r="AD2084" s="355"/>
      <c r="AE2084" s="355"/>
      <c r="AF2084" s="94">
        <f t="shared" si="279"/>
        <v>42766</v>
      </c>
      <c r="AG2084" s="185">
        <f t="shared" si="282"/>
        <v>2.0454047693284627E-2</v>
      </c>
      <c r="AH2084" s="339" t="str">
        <f>VLOOKUP(B2084,'MF PF'!A:B,2)</f>
        <v>FdMgt1</v>
      </c>
      <c r="AI2084" s="358">
        <f t="shared" si="280"/>
        <v>0</v>
      </c>
      <c r="AJ2084" s="94">
        <f t="shared" si="281"/>
        <v>42766</v>
      </c>
    </row>
    <row r="2085" spans="1:36" ht="12.75" customHeight="1">
      <c r="A2085" s="94">
        <v>42793</v>
      </c>
      <c r="B2085" s="358" t="s">
        <v>175</v>
      </c>
      <c r="C2085" s="358" t="s">
        <v>302</v>
      </c>
      <c r="D2085" s="93"/>
      <c r="F2085" s="93"/>
      <c r="G2085" s="95">
        <v>27072</v>
      </c>
      <c r="H2085" s="93"/>
      <c r="I2085" s="93"/>
      <c r="K2085" s="93"/>
      <c r="L2085" s="93">
        <f t="shared" si="277"/>
        <v>27072</v>
      </c>
      <c r="M2085" s="95" t="e">
        <f t="shared" ca="1" si="278"/>
        <v>#DIV/0!</v>
      </c>
      <c r="N2085" s="95">
        <f>IF(P2085="Hedge Fund",IF(A2085=Summary!$AD$3,M2085-E2085,M2085),IF(A2085=Summary!$AD$3,L2085-D2085,L2085))</f>
        <v>27072</v>
      </c>
      <c r="O2085" s="95">
        <f t="shared" si="283"/>
        <v>27072</v>
      </c>
      <c r="P2085" s="107" t="s">
        <v>155</v>
      </c>
      <c r="Q2085" s="95">
        <v>0</v>
      </c>
      <c r="R2085" s="95">
        <v>0</v>
      </c>
      <c r="S2085" s="95"/>
      <c r="T2085" s="95"/>
      <c r="U2085" s="95"/>
      <c r="V2085" s="95"/>
      <c r="W2085" s="95"/>
      <c r="X2085" s="95"/>
      <c r="Y2085" s="95"/>
      <c r="Z2085" s="95"/>
      <c r="AA2085" s="95"/>
      <c r="AB2085" s="95"/>
      <c r="AC2085" s="355"/>
      <c r="AD2085" s="355"/>
      <c r="AE2085" s="355"/>
      <c r="AF2085" s="94">
        <f t="shared" si="279"/>
        <v>42793</v>
      </c>
      <c r="AG2085" s="185">
        <f t="shared" si="282"/>
        <v>-1.1511925091349662</v>
      </c>
      <c r="AH2085" s="339" t="str">
        <f>VLOOKUP(B2085,'MF PF'!A:B,2)</f>
        <v>FdMgt1</v>
      </c>
      <c r="AI2085" s="358">
        <f t="shared" si="280"/>
        <v>0</v>
      </c>
      <c r="AJ2085" s="94">
        <f t="shared" si="281"/>
        <v>42794</v>
      </c>
    </row>
    <row r="2086" spans="1:36" ht="12.75" customHeight="1">
      <c r="A2086" s="94">
        <v>42794</v>
      </c>
      <c r="B2086" s="358" t="s">
        <v>175</v>
      </c>
      <c r="C2086" s="358" t="s">
        <v>302</v>
      </c>
      <c r="D2086" s="93">
        <v>214912.61</v>
      </c>
      <c r="F2086" s="93"/>
      <c r="G2086" s="95"/>
      <c r="H2086" s="93"/>
      <c r="I2086" s="93"/>
      <c r="K2086" s="93"/>
      <c r="L2086" s="93">
        <f t="shared" si="277"/>
        <v>0</v>
      </c>
      <c r="M2086" s="95" t="e">
        <f t="shared" ca="1" si="278"/>
        <v>#DIV/0!</v>
      </c>
      <c r="N2086" s="95">
        <f>IF(P2086="Hedge Fund",IF(A2086=Summary!$AD$3,M2086-E2086,M2086),IF(A2086=Summary!$AD$3,L2086-D2086,L2086))</f>
        <v>0</v>
      </c>
      <c r="O2086" s="95">
        <f t="shared" si="283"/>
        <v>0</v>
      </c>
      <c r="P2086" s="107" t="s">
        <v>155</v>
      </c>
      <c r="Q2086" s="95">
        <v>9.1250000000000001E-4</v>
      </c>
      <c r="R2086" s="95">
        <v>1.68643E-3</v>
      </c>
      <c r="S2086" s="95"/>
      <c r="T2086" s="95"/>
      <c r="U2086" s="95"/>
      <c r="V2086" s="95"/>
      <c r="W2086" s="95"/>
      <c r="X2086" s="95"/>
      <c r="Y2086" s="95"/>
      <c r="Z2086" s="95"/>
      <c r="AA2086" s="95"/>
      <c r="AB2086" s="95"/>
      <c r="AC2086" s="355"/>
      <c r="AD2086" s="355"/>
      <c r="AE2086" s="355"/>
      <c r="AF2086" s="94">
        <f t="shared" si="279"/>
        <v>42794</v>
      </c>
      <c r="AG2086" s="185" t="e">
        <f t="shared" si="282"/>
        <v>#DIV/0!</v>
      </c>
      <c r="AH2086" s="339" t="str">
        <f>VLOOKUP(B2086,'MF PF'!A:B,2)</f>
        <v>FdMgt1</v>
      </c>
      <c r="AI2086" s="358">
        <f t="shared" si="280"/>
        <v>0</v>
      </c>
      <c r="AJ2086" s="94">
        <f t="shared" si="281"/>
        <v>42794</v>
      </c>
    </row>
    <row r="2087" spans="1:36" ht="12.75" customHeight="1">
      <c r="A2087" s="94">
        <v>42825</v>
      </c>
      <c r="B2087" s="358" t="s">
        <v>175</v>
      </c>
      <c r="C2087" s="358" t="s">
        <v>302</v>
      </c>
      <c r="D2087" s="93">
        <v>207554.53</v>
      </c>
      <c r="F2087" s="93"/>
      <c r="G2087" s="95"/>
      <c r="H2087" s="93"/>
      <c r="I2087" s="93"/>
      <c r="K2087" s="93"/>
      <c r="L2087" s="93">
        <f t="shared" si="277"/>
        <v>0</v>
      </c>
      <c r="M2087" s="95" t="e">
        <f t="shared" ca="1" si="278"/>
        <v>#DIV/0!</v>
      </c>
      <c r="N2087" s="95">
        <f>IF(P2087="Hedge Fund",IF(A2087=Summary!$AD$3,M2087-E2087,M2087),IF(A2087=Summary!$AD$3,L2087-D2087,L2087))</f>
        <v>0</v>
      </c>
      <c r="O2087" s="95">
        <f t="shared" si="283"/>
        <v>0</v>
      </c>
      <c r="P2087" s="107" t="s">
        <v>155</v>
      </c>
      <c r="Q2087" s="95">
        <v>1.5703399999999999E-3</v>
      </c>
      <c r="R2087" s="95">
        <v>4.6720999999999997E-4</v>
      </c>
      <c r="S2087" s="95"/>
      <c r="T2087" s="95"/>
      <c r="U2087" s="95"/>
      <c r="V2087" s="95"/>
      <c r="W2087" s="95"/>
      <c r="X2087" s="95"/>
      <c r="Y2087" s="95"/>
      <c r="Z2087" s="95"/>
      <c r="AA2087" s="95"/>
      <c r="AB2087" s="95"/>
      <c r="AC2087" s="355"/>
      <c r="AD2087" s="355"/>
      <c r="AE2087" s="355"/>
      <c r="AF2087" s="94">
        <f t="shared" si="279"/>
        <v>42825</v>
      </c>
      <c r="AG2087" s="185">
        <f t="shared" si="282"/>
        <v>-3.4237544274391296E-2</v>
      </c>
      <c r="AH2087" s="339" t="str">
        <f>VLOOKUP(B2087,'MF PF'!A:B,2)</f>
        <v>FdMgt1</v>
      </c>
      <c r="AI2087" s="358">
        <f t="shared" si="280"/>
        <v>0</v>
      </c>
      <c r="AJ2087" s="94">
        <f t="shared" si="281"/>
        <v>42825</v>
      </c>
    </row>
    <row r="2088" spans="1:36" ht="12.75" customHeight="1">
      <c r="A2088" s="8">
        <v>42835</v>
      </c>
      <c r="B2088" s="358" t="s">
        <v>175</v>
      </c>
      <c r="C2088" s="92" t="s">
        <v>302</v>
      </c>
      <c r="D2088" s="93"/>
      <c r="F2088" s="93"/>
      <c r="G2088" s="95">
        <v>31104</v>
      </c>
      <c r="H2088" s="93"/>
      <c r="I2088" s="93"/>
      <c r="K2088" s="93"/>
      <c r="L2088" s="93">
        <f t="shared" si="277"/>
        <v>31104</v>
      </c>
      <c r="M2088" s="95" t="e">
        <f t="shared" ca="1" si="278"/>
        <v>#DIV/0!</v>
      </c>
      <c r="N2088" s="95">
        <f>IF(P2088="Hedge Fund",IF(A2088=Summary!$AD$3,M2088-E2088,M2088),IF(A2088=Summary!$AD$3,L2088-D2088,L2088))</f>
        <v>31104</v>
      </c>
      <c r="O2088" s="95">
        <f t="shared" si="283"/>
        <v>31104</v>
      </c>
      <c r="P2088" s="107" t="s">
        <v>155</v>
      </c>
      <c r="Q2088" s="95">
        <v>0</v>
      </c>
      <c r="R2088" s="95">
        <v>0</v>
      </c>
      <c r="S2088" s="95"/>
      <c r="T2088" s="95"/>
      <c r="U2088" s="95"/>
      <c r="V2088" s="95"/>
      <c r="W2088" s="95"/>
      <c r="X2088" s="95"/>
      <c r="Y2088" s="95"/>
      <c r="Z2088" s="95"/>
      <c r="AA2088" s="95"/>
      <c r="AB2088" s="95"/>
      <c r="AC2088" s="355"/>
      <c r="AD2088" s="355"/>
      <c r="AE2088" s="355"/>
      <c r="AF2088" s="94">
        <f t="shared" si="279"/>
        <v>42835</v>
      </c>
      <c r="AG2088" s="185">
        <f t="shared" si="282"/>
        <v>-1.1498594128492401</v>
      </c>
      <c r="AH2088" s="339" t="str">
        <f>VLOOKUP(B2088,'MF PF'!A:B,2)</f>
        <v>FdMgt1</v>
      </c>
      <c r="AI2088" s="358">
        <f t="shared" si="280"/>
        <v>0</v>
      </c>
      <c r="AJ2088" s="94">
        <f t="shared" si="281"/>
        <v>42855</v>
      </c>
    </row>
    <row r="2089" spans="1:36" ht="12.75" customHeight="1">
      <c r="A2089" s="8">
        <v>42855</v>
      </c>
      <c r="B2089" s="358" t="s">
        <v>175</v>
      </c>
      <c r="C2089" s="92" t="s">
        <v>302</v>
      </c>
      <c r="D2089" s="93">
        <v>239533.91</v>
      </c>
      <c r="E2089" s="95"/>
      <c r="F2089" s="93"/>
      <c r="G2089" s="95"/>
      <c r="H2089" s="93"/>
      <c r="I2089" s="93"/>
      <c r="K2089" s="93"/>
      <c r="L2089" s="93">
        <f t="shared" si="277"/>
        <v>0</v>
      </c>
      <c r="M2089" s="95" t="e">
        <f t="shared" ca="1" si="278"/>
        <v>#DIV/0!</v>
      </c>
      <c r="N2089" s="95">
        <f>IF(P2089="Hedge Fund",IF(A2089=Summary!$AD$3,M2089-E2089,M2089),IF(A2089=Summary!$AD$3,L2089-D2089,L2089))</f>
        <v>0</v>
      </c>
      <c r="O2089" s="95">
        <f t="shared" si="283"/>
        <v>0</v>
      </c>
      <c r="P2089" s="107" t="s">
        <v>155</v>
      </c>
      <c r="Q2089" s="95">
        <v>1.6922899999999999E-3</v>
      </c>
      <c r="R2089" s="95">
        <v>6.2169000000000005E-4</v>
      </c>
      <c r="S2089" s="95"/>
      <c r="T2089" s="95"/>
      <c r="U2089" s="95"/>
      <c r="V2089" s="95"/>
      <c r="W2089" s="95"/>
      <c r="X2089" s="95"/>
      <c r="Y2089" s="95"/>
      <c r="Z2089" s="95"/>
      <c r="AA2089" s="95"/>
      <c r="AB2089" s="95"/>
      <c r="AC2089" s="355"/>
      <c r="AD2089" s="355"/>
      <c r="AE2089" s="355"/>
      <c r="AF2089" s="94">
        <f t="shared" si="279"/>
        <v>42855</v>
      </c>
      <c r="AG2089" s="185" t="e">
        <f t="shared" si="282"/>
        <v>#DIV/0!</v>
      </c>
      <c r="AH2089" s="339" t="str">
        <f>VLOOKUP(B2089,'MF PF'!A:B,2)</f>
        <v>FdMgt1</v>
      </c>
      <c r="AI2089" s="358">
        <f t="shared" si="280"/>
        <v>0</v>
      </c>
      <c r="AJ2089" s="94">
        <f t="shared" si="281"/>
        <v>42855</v>
      </c>
    </row>
    <row r="2090" spans="1:36" ht="12.75" customHeight="1">
      <c r="A2090" s="94">
        <v>42881</v>
      </c>
      <c r="B2090" s="358" t="s">
        <v>175</v>
      </c>
      <c r="C2090" s="358" t="s">
        <v>302</v>
      </c>
      <c r="D2090" s="93"/>
      <c r="E2090" s="95"/>
      <c r="F2090" s="93"/>
      <c r="G2090" s="95">
        <v>51989</v>
      </c>
      <c r="H2090" s="93"/>
      <c r="I2090" s="93"/>
      <c r="K2090" s="93"/>
      <c r="L2090" s="93">
        <f t="shared" si="277"/>
        <v>51989</v>
      </c>
      <c r="M2090" s="95" t="e">
        <f t="shared" ca="1" si="278"/>
        <v>#DIV/0!</v>
      </c>
      <c r="N2090" s="95">
        <f>IF(P2090="Hedge Fund",IF(A2090=Summary!$AD$3,M2090-E2090,M2090),IF(A2090=Summary!$AD$3,L2090-D2090,L2090))</f>
        <v>51989</v>
      </c>
      <c r="O2090" s="95">
        <f t="shared" si="283"/>
        <v>51989</v>
      </c>
      <c r="P2090" s="89" t="s">
        <v>155</v>
      </c>
      <c r="Q2090" s="95">
        <v>0</v>
      </c>
      <c r="R2090" s="95">
        <v>0</v>
      </c>
      <c r="S2090" s="95"/>
      <c r="T2090" s="95"/>
      <c r="U2090" s="95"/>
      <c r="V2090" s="95"/>
      <c r="W2090" s="95"/>
      <c r="X2090" s="95"/>
      <c r="Y2090" s="95"/>
      <c r="Z2090" s="95"/>
      <c r="AA2090" s="95"/>
      <c r="AB2090" s="95"/>
      <c r="AC2090" s="355"/>
      <c r="AD2090" s="355"/>
      <c r="AE2090" s="355"/>
      <c r="AF2090" s="94">
        <f t="shared" si="279"/>
        <v>42881</v>
      </c>
      <c r="AG2090" s="185">
        <f t="shared" si="282"/>
        <v>-1.217042338598322</v>
      </c>
      <c r="AH2090" s="339" t="str">
        <f>VLOOKUP(B2090,'MF PF'!A:B,2)</f>
        <v>FdMgt1</v>
      </c>
      <c r="AI2090" s="358">
        <f t="shared" si="280"/>
        <v>0</v>
      </c>
      <c r="AJ2090" s="94">
        <f t="shared" si="281"/>
        <v>42886</v>
      </c>
    </row>
    <row r="2091" spans="1:36" ht="12.75" customHeight="1">
      <c r="A2091" s="94">
        <v>42886</v>
      </c>
      <c r="B2091" s="358" t="s">
        <v>175</v>
      </c>
      <c r="C2091" s="358" t="s">
        <v>302</v>
      </c>
      <c r="D2091" s="93">
        <v>292470.64</v>
      </c>
      <c r="E2091" s="95"/>
      <c r="F2091" s="93"/>
      <c r="G2091" s="95"/>
      <c r="H2091" s="93"/>
      <c r="I2091" s="93"/>
      <c r="K2091" s="93"/>
      <c r="L2091" s="93">
        <f t="shared" si="277"/>
        <v>0</v>
      </c>
      <c r="M2091" s="95" t="e">
        <f t="shared" ca="1" si="278"/>
        <v>#DIV/0!</v>
      </c>
      <c r="N2091" s="95">
        <f>IF(P2091="Hedge Fund",IF(A2091=Summary!$AD$3,M2091-E2091,M2091),IF(A2091=Summary!$AD$3,L2091-D2091,L2091))</f>
        <v>0</v>
      </c>
      <c r="O2091" s="95">
        <f t="shared" si="283"/>
        <v>0</v>
      </c>
      <c r="P2091" s="89" t="s">
        <v>155</v>
      </c>
      <c r="Q2091" s="95">
        <v>2.2940999999999999E-3</v>
      </c>
      <c r="R2091" s="95">
        <v>7.8894000000000002E-4</v>
      </c>
      <c r="S2091" s="95"/>
      <c r="T2091" s="95"/>
      <c r="U2091" s="95"/>
      <c r="V2091" s="95"/>
      <c r="W2091" s="95"/>
      <c r="X2091" s="95"/>
      <c r="Y2091" s="95"/>
      <c r="Z2091" s="95"/>
      <c r="AA2091" s="95"/>
      <c r="AB2091" s="95"/>
      <c r="AC2091" s="355"/>
      <c r="AD2091" s="355"/>
      <c r="AE2091" s="355"/>
      <c r="AF2091" s="94">
        <f t="shared" si="279"/>
        <v>42886</v>
      </c>
      <c r="AG2091" s="185" t="e">
        <f t="shared" si="282"/>
        <v>#DIV/0!</v>
      </c>
      <c r="AH2091" s="339" t="str">
        <f>VLOOKUP(B2091,'MF PF'!A:B,2)</f>
        <v>FdMgt1</v>
      </c>
      <c r="AI2091" s="358">
        <f t="shared" si="280"/>
        <v>0</v>
      </c>
      <c r="AJ2091" s="94">
        <f t="shared" si="281"/>
        <v>42886</v>
      </c>
    </row>
    <row r="2092" spans="1:36" ht="12.75" customHeight="1">
      <c r="A2092" s="94">
        <v>42916</v>
      </c>
      <c r="B2092" s="358" t="s">
        <v>175</v>
      </c>
      <c r="C2092" s="358" t="s">
        <v>302</v>
      </c>
      <c r="D2092" s="93">
        <v>290336.17</v>
      </c>
      <c r="E2092" s="95"/>
      <c r="F2092" s="93"/>
      <c r="G2092" s="95"/>
      <c r="H2092" s="93"/>
      <c r="I2092" s="93"/>
      <c r="K2092" s="93"/>
      <c r="L2092" s="93">
        <f t="shared" si="277"/>
        <v>0</v>
      </c>
      <c r="M2092" s="95" t="e">
        <f t="shared" ca="1" si="278"/>
        <v>#DIV/0!</v>
      </c>
      <c r="N2092" s="95">
        <f>IF(P2092="Hedge Fund",IF(A2092=Summary!$AD$3,M2092-E2092,M2092),IF(A2092=Summary!$AD$3,L2092-D2092,L2092))</f>
        <v>0</v>
      </c>
      <c r="O2092" s="95">
        <f t="shared" si="283"/>
        <v>0</v>
      </c>
      <c r="P2092" s="107" t="s">
        <v>155</v>
      </c>
      <c r="Q2092" s="95">
        <v>2.6975799999999998E-3</v>
      </c>
      <c r="R2092" s="95">
        <v>4.1227000000000001E-4</v>
      </c>
      <c r="S2092" s="95"/>
      <c r="T2092" s="95"/>
      <c r="U2092" s="95"/>
      <c r="V2092" s="95"/>
      <c r="W2092" s="95"/>
      <c r="X2092" s="95"/>
      <c r="Y2092" s="95"/>
      <c r="Z2092" s="95"/>
      <c r="AA2092" s="95"/>
      <c r="AB2092" s="95"/>
      <c r="AC2092" s="355"/>
      <c r="AD2092" s="355"/>
      <c r="AE2092" s="355"/>
      <c r="AF2092" s="94">
        <f t="shared" si="279"/>
        <v>42916</v>
      </c>
      <c r="AG2092" s="185">
        <f t="shared" si="282"/>
        <v>-7.2980658844936652E-3</v>
      </c>
      <c r="AH2092" s="339" t="str">
        <f>VLOOKUP(B2092,'MF PF'!A:B,2)</f>
        <v>FdMgt1</v>
      </c>
      <c r="AI2092" s="358">
        <f t="shared" si="280"/>
        <v>0</v>
      </c>
      <c r="AJ2092" s="94">
        <f t="shared" si="281"/>
        <v>42916</v>
      </c>
    </row>
    <row r="2093" spans="1:36" s="92" customFormat="1" ht="12.75" customHeight="1">
      <c r="A2093" s="94">
        <v>42947</v>
      </c>
      <c r="B2093" s="358" t="s">
        <v>175</v>
      </c>
      <c r="C2093" s="92" t="s">
        <v>302</v>
      </c>
      <c r="D2093" s="93">
        <v>260948.63</v>
      </c>
      <c r="E2093" s="95"/>
      <c r="F2093" s="93"/>
      <c r="G2093" s="95"/>
      <c r="H2093" s="93"/>
      <c r="I2093" s="93"/>
      <c r="J2093" s="93"/>
      <c r="K2093" s="93"/>
      <c r="L2093" s="93">
        <f t="shared" si="277"/>
        <v>0</v>
      </c>
      <c r="M2093" s="95" t="e">
        <f t="shared" ca="1" si="278"/>
        <v>#DIV/0!</v>
      </c>
      <c r="N2093" s="95">
        <f>IF(P2093="Hedge Fund",IF(A2093=Summary!$AD$3,M2093-E2093,M2093),IF(A2093=Summary!$AD$3,L2093-D2093,L2093))</f>
        <v>0</v>
      </c>
      <c r="O2093" s="95">
        <f t="shared" si="283"/>
        <v>0</v>
      </c>
      <c r="P2093" s="107" t="s">
        <v>155</v>
      </c>
      <c r="Q2093" s="95">
        <v>2.7888699999999997E-3</v>
      </c>
      <c r="R2093" s="95">
        <v>3.7880000000000003E-5</v>
      </c>
      <c r="S2093" s="95"/>
      <c r="T2093" s="95"/>
      <c r="U2093" s="95"/>
      <c r="V2093" s="95"/>
      <c r="W2093" s="95"/>
      <c r="X2093" s="95"/>
      <c r="Y2093" s="95"/>
      <c r="Z2093" s="95"/>
      <c r="AA2093" s="95"/>
      <c r="AB2093" s="95"/>
      <c r="AC2093" s="355"/>
      <c r="AD2093" s="355"/>
      <c r="AE2093" s="355"/>
      <c r="AF2093" s="94">
        <f t="shared" si="279"/>
        <v>42947</v>
      </c>
      <c r="AG2093" s="185">
        <f t="shared" si="282"/>
        <v>-0.10121901105191267</v>
      </c>
      <c r="AH2093" s="339" t="str">
        <f>VLOOKUP(B2093,'MF PF'!A:B,2)</f>
        <v>FdMgt1</v>
      </c>
      <c r="AI2093" s="358">
        <f t="shared" si="280"/>
        <v>0</v>
      </c>
      <c r="AJ2093" s="94">
        <f t="shared" si="281"/>
        <v>42947</v>
      </c>
    </row>
    <row r="2094" spans="1:36" ht="12.75" customHeight="1">
      <c r="A2094" s="8">
        <v>42958</v>
      </c>
      <c r="B2094" s="358" t="s">
        <v>175</v>
      </c>
      <c r="C2094" s="92" t="s">
        <v>302</v>
      </c>
      <c r="D2094" s="93"/>
      <c r="E2094" s="95"/>
      <c r="F2094" s="93"/>
      <c r="G2094" s="358"/>
      <c r="H2094" s="93"/>
      <c r="I2094" s="95">
        <v>-27266</v>
      </c>
      <c r="K2094" s="93"/>
      <c r="L2094" s="93">
        <f t="shared" si="277"/>
        <v>-27266</v>
      </c>
      <c r="M2094" s="95" t="e">
        <f t="shared" ca="1" si="278"/>
        <v>#DIV/0!</v>
      </c>
      <c r="N2094" s="95">
        <f>IF(P2094="Hedge Fund",IF(A2094=Summary!$AD$3,M2094-E2094,M2094),IF(A2094=Summary!$AD$3,L2094-D2094,L2094))</f>
        <v>-27266</v>
      </c>
      <c r="O2094" s="95">
        <f t="shared" si="283"/>
        <v>-27266</v>
      </c>
      <c r="P2094" s="107" t="s">
        <v>155</v>
      </c>
      <c r="Q2094" s="95">
        <v>0</v>
      </c>
      <c r="R2094" s="95">
        <v>0</v>
      </c>
      <c r="S2094" s="95"/>
      <c r="T2094" s="95"/>
      <c r="U2094" s="95"/>
      <c r="V2094" s="95"/>
      <c r="W2094" s="95"/>
      <c r="X2094" s="95"/>
      <c r="Y2094" s="95"/>
      <c r="Z2094" s="95"/>
      <c r="AA2094" s="95"/>
      <c r="AB2094" s="95"/>
      <c r="AC2094" s="355"/>
      <c r="AD2094" s="355"/>
      <c r="AE2094" s="355"/>
      <c r="AF2094" s="94">
        <f t="shared" si="279"/>
        <v>42958</v>
      </c>
      <c r="AG2094" s="185">
        <f t="shared" si="282"/>
        <v>-0.89551200172999568</v>
      </c>
      <c r="AH2094" s="339" t="str">
        <f>VLOOKUP(B2094,'MF PF'!A:B,2)</f>
        <v>FdMgt1</v>
      </c>
      <c r="AI2094" s="358">
        <f t="shared" si="280"/>
        <v>0</v>
      </c>
      <c r="AJ2094" s="94">
        <f t="shared" si="281"/>
        <v>42978</v>
      </c>
    </row>
    <row r="2095" spans="1:36" s="92" customFormat="1" ht="12.75" customHeight="1">
      <c r="A2095" s="94">
        <v>42958</v>
      </c>
      <c r="B2095" s="358" t="s">
        <v>175</v>
      </c>
      <c r="C2095" s="92" t="s">
        <v>302</v>
      </c>
      <c r="D2095" s="93"/>
      <c r="E2095" s="95"/>
      <c r="F2095" s="93"/>
      <c r="G2095" s="95">
        <v>27266</v>
      </c>
      <c r="H2095" s="93"/>
      <c r="I2095" s="93"/>
      <c r="J2095" s="93"/>
      <c r="K2095" s="93"/>
      <c r="L2095" s="93">
        <f t="shared" si="277"/>
        <v>27266</v>
      </c>
      <c r="M2095" s="95">
        <f t="shared" ca="1" si="278"/>
        <v>0</v>
      </c>
      <c r="N2095" s="95">
        <f>IF(P2095="Hedge Fund",IF(A2095=Summary!$AD$3,M2095-E2095,M2095),IF(A2095=Summary!$AD$3,L2095-D2095,L2095))</f>
        <v>27266</v>
      </c>
      <c r="O2095" s="95">
        <f t="shared" si="283"/>
        <v>27266</v>
      </c>
      <c r="P2095" s="107" t="s">
        <v>155</v>
      </c>
      <c r="Q2095" s="95">
        <v>0</v>
      </c>
      <c r="R2095" s="95">
        <v>0</v>
      </c>
      <c r="S2095" s="95"/>
      <c r="T2095" s="95"/>
      <c r="U2095" s="95"/>
      <c r="V2095" s="95"/>
      <c r="W2095" s="95"/>
      <c r="X2095" s="95"/>
      <c r="Y2095" s="95"/>
      <c r="Z2095" s="95"/>
      <c r="AA2095" s="95"/>
      <c r="AB2095" s="95"/>
      <c r="AC2095" s="355"/>
      <c r="AD2095" s="355"/>
      <c r="AE2095" s="355"/>
      <c r="AF2095" s="94">
        <f t="shared" si="279"/>
        <v>42958</v>
      </c>
      <c r="AG2095" s="185" t="e">
        <f t="shared" si="282"/>
        <v>#DIV/0!</v>
      </c>
      <c r="AH2095" s="339" t="str">
        <f>VLOOKUP(B2095,'MF PF'!A:B,2)</f>
        <v>FdMgt1</v>
      </c>
      <c r="AI2095" s="358">
        <f t="shared" si="280"/>
        <v>0</v>
      </c>
      <c r="AJ2095" s="94">
        <f t="shared" si="281"/>
        <v>42978</v>
      </c>
    </row>
    <row r="2096" spans="1:36" ht="12.75" customHeight="1">
      <c r="A2096" s="8">
        <v>42978</v>
      </c>
      <c r="B2096" s="358" t="s">
        <v>175</v>
      </c>
      <c r="C2096" s="92" t="s">
        <v>302</v>
      </c>
      <c r="D2096" s="93">
        <v>288304.67</v>
      </c>
      <c r="F2096" s="93"/>
      <c r="G2096" s="95"/>
      <c r="H2096" s="93"/>
      <c r="I2096" s="93"/>
      <c r="K2096" s="93"/>
      <c r="L2096" s="93">
        <f t="shared" si="277"/>
        <v>0</v>
      </c>
      <c r="M2096" s="95" t="e">
        <f t="shared" ca="1" si="278"/>
        <v>#DIV/0!</v>
      </c>
      <c r="N2096" s="95">
        <f>IF(P2096="Hedge Fund",IF(A2096=Summary!$AD$3,M2096-E2096,M2096),IF(A2096=Summary!$AD$3,L2096-D2096,L2096))</f>
        <v>0</v>
      </c>
      <c r="O2096" s="95">
        <f t="shared" si="283"/>
        <v>0</v>
      </c>
      <c r="P2096" s="107" t="s">
        <v>155</v>
      </c>
      <c r="Q2096" s="95">
        <v>3.20769E-3</v>
      </c>
      <c r="R2096" s="95">
        <v>5.3770000000000002E-5</v>
      </c>
      <c r="S2096" s="95"/>
      <c r="T2096" s="95"/>
      <c r="U2096" s="95"/>
      <c r="V2096" s="95"/>
      <c r="W2096" s="95"/>
      <c r="X2096" s="95"/>
      <c r="Y2096" s="95"/>
      <c r="Z2096" s="95"/>
      <c r="AA2096" s="95"/>
      <c r="AB2096" s="95"/>
      <c r="AC2096" s="355"/>
      <c r="AD2096" s="355"/>
      <c r="AE2096" s="355"/>
      <c r="AF2096" s="94">
        <f t="shared" si="279"/>
        <v>42978</v>
      </c>
      <c r="AG2096" s="185" t="e">
        <f t="shared" si="282"/>
        <v>#DIV/0!</v>
      </c>
      <c r="AH2096" s="339" t="str">
        <f>VLOOKUP(B2096,'MF PF'!A:B,2)</f>
        <v>FdMgt1</v>
      </c>
      <c r="AI2096" s="358">
        <f t="shared" si="280"/>
        <v>0</v>
      </c>
      <c r="AJ2096" s="94">
        <f t="shared" si="281"/>
        <v>42978</v>
      </c>
    </row>
    <row r="2097" spans="1:36" ht="12.75" customHeight="1">
      <c r="A2097" s="8">
        <v>43008</v>
      </c>
      <c r="B2097" s="358" t="s">
        <v>175</v>
      </c>
      <c r="C2097" s="92" t="s">
        <v>302</v>
      </c>
      <c r="D2097" s="93">
        <v>289349.09000000003</v>
      </c>
      <c r="F2097" s="93"/>
      <c r="G2097" s="95"/>
      <c r="H2097" s="93"/>
      <c r="I2097" s="93"/>
      <c r="K2097" s="93"/>
      <c r="L2097" s="93">
        <f t="shared" si="277"/>
        <v>0</v>
      </c>
      <c r="M2097" s="95" t="e">
        <f t="shared" ca="1" si="278"/>
        <v>#DIV/0!</v>
      </c>
      <c r="N2097" s="95">
        <f>IF(P2097="Hedge Fund",IF(A2097=Summary!$AD$3,M2097-E2097,M2097),IF(A2097=Summary!$AD$3,L2097-D2097,L2097))</f>
        <v>0</v>
      </c>
      <c r="O2097" s="95">
        <f t="shared" si="283"/>
        <v>0</v>
      </c>
      <c r="P2097" s="89" t="s">
        <v>155</v>
      </c>
      <c r="Q2097" s="95">
        <v>3.56493E-3</v>
      </c>
      <c r="R2097" s="95">
        <v>2.3808000000000002E-4</v>
      </c>
      <c r="S2097" s="95"/>
      <c r="T2097" s="95"/>
      <c r="U2097" s="95"/>
      <c r="V2097" s="95"/>
      <c r="W2097" s="95"/>
      <c r="X2097" s="95"/>
      <c r="Y2097" s="95"/>
      <c r="Z2097" s="95"/>
      <c r="AA2097" s="95"/>
      <c r="AB2097" s="95"/>
      <c r="AC2097" s="355"/>
      <c r="AD2097" s="355"/>
      <c r="AE2097" s="355"/>
      <c r="AF2097" s="94">
        <f t="shared" si="279"/>
        <v>43008</v>
      </c>
      <c r="AG2097" s="185">
        <f t="shared" si="282"/>
        <v>3.6226260226726037E-3</v>
      </c>
      <c r="AH2097" s="339" t="str">
        <f>VLOOKUP(B2097,'MF PF'!A:B,2)</f>
        <v>FdMgt1</v>
      </c>
      <c r="AI2097" s="358">
        <f t="shared" si="280"/>
        <v>0</v>
      </c>
      <c r="AJ2097" s="94">
        <f t="shared" si="281"/>
        <v>43008</v>
      </c>
    </row>
    <row r="2098" spans="1:36" ht="12.75" customHeight="1">
      <c r="A2098" s="8">
        <v>43039</v>
      </c>
      <c r="B2098" s="358" t="s">
        <v>175</v>
      </c>
      <c r="C2098" s="92" t="s">
        <v>302</v>
      </c>
      <c r="D2098" s="93">
        <v>289435.11</v>
      </c>
      <c r="F2098" s="93"/>
      <c r="G2098" s="95"/>
      <c r="H2098" s="93"/>
      <c r="I2098" s="93"/>
      <c r="K2098" s="93"/>
      <c r="L2098" s="93">
        <f t="shared" si="277"/>
        <v>0</v>
      </c>
      <c r="M2098" s="95" t="e">
        <f t="shared" ca="1" si="278"/>
        <v>#DIV/0!</v>
      </c>
      <c r="N2098" s="95">
        <f>IF(P2098="Hedge Fund",IF(A2098=Summary!$AD$3,M2098-E2098,M2098),IF(A2098=Summary!$AD$3,L2098-D2098,L2098))</f>
        <v>0</v>
      </c>
      <c r="O2098" s="95">
        <f t="shared" si="283"/>
        <v>0</v>
      </c>
      <c r="P2098" s="107" t="s">
        <v>155</v>
      </c>
      <c r="Q2098" s="95">
        <v>3.56493E-3</v>
      </c>
      <c r="R2098" s="95">
        <v>2.5326E-4</v>
      </c>
      <c r="S2098" s="95"/>
      <c r="T2098" s="95"/>
      <c r="U2098" s="95"/>
      <c r="V2098" s="95"/>
      <c r="W2098" s="95"/>
      <c r="X2098" s="95"/>
      <c r="Y2098" s="95"/>
      <c r="Z2098" s="95"/>
      <c r="AA2098" s="95"/>
      <c r="AB2098" s="95"/>
      <c r="AC2098" s="355"/>
      <c r="AD2098" s="355"/>
      <c r="AE2098" s="355"/>
      <c r="AF2098" s="94">
        <f t="shared" si="279"/>
        <v>43039</v>
      </c>
      <c r="AG2098" s="185">
        <f t="shared" si="282"/>
        <v>2.9728795760153304E-4</v>
      </c>
      <c r="AH2098" s="339" t="str">
        <f>VLOOKUP(B2098,'MF PF'!A:B,2)</f>
        <v>FdMgt1</v>
      </c>
      <c r="AI2098" s="358">
        <f t="shared" si="280"/>
        <v>0</v>
      </c>
      <c r="AJ2098" s="94">
        <f t="shared" si="281"/>
        <v>43039</v>
      </c>
    </row>
    <row r="2099" spans="1:36" ht="12.75" customHeight="1">
      <c r="A2099" s="8">
        <v>43069</v>
      </c>
      <c r="B2099" s="358" t="s">
        <v>175</v>
      </c>
      <c r="C2099" s="92" t="s">
        <v>302</v>
      </c>
      <c r="D2099" s="93">
        <v>288061.28999999998</v>
      </c>
      <c r="F2099" s="93"/>
      <c r="G2099" s="95"/>
      <c r="H2099" s="93"/>
      <c r="I2099" s="93"/>
      <c r="K2099" s="93"/>
      <c r="L2099" s="93">
        <f t="shared" si="277"/>
        <v>0</v>
      </c>
      <c r="M2099" s="95" t="e">
        <f t="shared" ca="1" si="278"/>
        <v>#DIV/0!</v>
      </c>
      <c r="N2099" s="95">
        <f>IF(P2099="Hedge Fund",IF(A2099=Summary!$AD$3,M2099-E2099,M2099),IF(A2099=Summary!$AD$3,L2099-D2099,L2099))</f>
        <v>0</v>
      </c>
      <c r="O2099" s="95">
        <f t="shared" si="283"/>
        <v>0</v>
      </c>
      <c r="P2099" s="107" t="s">
        <v>155</v>
      </c>
      <c r="Q2099" s="95">
        <v>4.3256099999999997E-3</v>
      </c>
      <c r="R2099" s="95">
        <v>1.081E-5</v>
      </c>
      <c r="S2099" s="95"/>
      <c r="T2099" s="95"/>
      <c r="U2099" s="95"/>
      <c r="V2099" s="95"/>
      <c r="W2099" s="95"/>
      <c r="X2099" s="95"/>
      <c r="Y2099" s="95"/>
      <c r="Z2099" s="95"/>
      <c r="AA2099" s="95"/>
      <c r="AB2099" s="95"/>
      <c r="AC2099" s="355"/>
      <c r="AD2099" s="355"/>
      <c r="AE2099" s="355"/>
      <c r="AF2099" s="94">
        <f t="shared" si="279"/>
        <v>43069</v>
      </c>
      <c r="AG2099" s="185">
        <f t="shared" si="282"/>
        <v>-4.7465561451753846E-3</v>
      </c>
      <c r="AH2099" s="339" t="str">
        <f>VLOOKUP(B2099,'MF PF'!A:B,2)</f>
        <v>FdMgt1</v>
      </c>
      <c r="AI2099" s="358">
        <f t="shared" si="280"/>
        <v>0</v>
      </c>
      <c r="AJ2099" s="94">
        <f t="shared" si="281"/>
        <v>43069</v>
      </c>
    </row>
    <row r="2100" spans="1:36" ht="12.75" customHeight="1">
      <c r="A2100" s="94">
        <v>43087</v>
      </c>
      <c r="B2100" s="358" t="s">
        <v>175</v>
      </c>
      <c r="C2100" s="358" t="s">
        <v>302</v>
      </c>
      <c r="D2100" s="93"/>
      <c r="F2100" s="93"/>
      <c r="G2100" s="358"/>
      <c r="H2100" s="93"/>
      <c r="I2100" s="95">
        <v>-35280.129999999997</v>
      </c>
      <c r="K2100" s="93"/>
      <c r="L2100" s="93">
        <f t="shared" si="277"/>
        <v>-35280.129999999997</v>
      </c>
      <c r="M2100" s="95" t="e">
        <f t="shared" ca="1" si="278"/>
        <v>#DIV/0!</v>
      </c>
      <c r="N2100" s="95">
        <f>IF(P2100="Hedge Fund",IF(A2100=Summary!$AD$3,M2100-E2100,M2100),IF(A2100=Summary!$AD$3,L2100-D2100,L2100))</f>
        <v>-35280.129999999997</v>
      </c>
      <c r="O2100" s="95">
        <f t="shared" si="283"/>
        <v>-35280.129999999997</v>
      </c>
      <c r="P2100" s="107" t="s">
        <v>155</v>
      </c>
      <c r="Q2100" s="95">
        <v>0</v>
      </c>
      <c r="R2100" s="95">
        <v>0</v>
      </c>
      <c r="S2100" s="95"/>
      <c r="T2100" s="95"/>
      <c r="U2100" s="95"/>
      <c r="V2100" s="95"/>
      <c r="W2100" s="95"/>
      <c r="X2100" s="95"/>
      <c r="Y2100" s="95"/>
      <c r="Z2100" s="95"/>
      <c r="AA2100" s="95"/>
      <c r="AB2100" s="95"/>
      <c r="AC2100" s="355"/>
      <c r="AD2100" s="355"/>
      <c r="AE2100" s="355"/>
      <c r="AF2100" s="94">
        <f t="shared" si="279"/>
        <v>43087</v>
      </c>
      <c r="AG2100" s="185">
        <f t="shared" si="282"/>
        <v>-0.87752561269166018</v>
      </c>
      <c r="AH2100" s="339" t="str">
        <f>VLOOKUP(B2100,'MF PF'!A:B,2)</f>
        <v>FdMgt1</v>
      </c>
      <c r="AI2100" s="358">
        <f t="shared" si="280"/>
        <v>0</v>
      </c>
      <c r="AJ2100" s="94">
        <f t="shared" si="281"/>
        <v>43100</v>
      </c>
    </row>
    <row r="2101" spans="1:36" ht="12.75" customHeight="1">
      <c r="A2101" s="8">
        <v>43087</v>
      </c>
      <c r="B2101" s="358" t="s">
        <v>175</v>
      </c>
      <c r="C2101" s="92" t="s">
        <v>302</v>
      </c>
      <c r="D2101" s="93"/>
      <c r="F2101" s="93"/>
      <c r="G2101" s="95">
        <v>35280.129999999997</v>
      </c>
      <c r="H2101" s="93"/>
      <c r="I2101" s="93"/>
      <c r="K2101" s="93"/>
      <c r="L2101" s="93">
        <f t="shared" si="277"/>
        <v>35280.129999999997</v>
      </c>
      <c r="M2101" s="95">
        <f t="shared" ca="1" si="278"/>
        <v>0</v>
      </c>
      <c r="N2101" s="95">
        <f>IF(P2101="Hedge Fund",IF(A2101=Summary!$AD$3,M2101-E2101,M2101),IF(A2101=Summary!$AD$3,L2101-D2101,L2101))</f>
        <v>35280.129999999997</v>
      </c>
      <c r="O2101" s="95">
        <f t="shared" si="283"/>
        <v>35280.129999999997</v>
      </c>
      <c r="P2101" s="107" t="s">
        <v>155</v>
      </c>
      <c r="Q2101" s="95">
        <v>0</v>
      </c>
      <c r="R2101" s="95">
        <v>0</v>
      </c>
      <c r="S2101" s="95"/>
      <c r="T2101" s="95"/>
      <c r="U2101" s="95"/>
      <c r="V2101" s="95"/>
      <c r="W2101" s="95"/>
      <c r="X2101" s="95"/>
      <c r="Y2101" s="95"/>
      <c r="Z2101" s="95"/>
      <c r="AA2101" s="95"/>
      <c r="AB2101" s="95"/>
      <c r="AC2101" s="355"/>
      <c r="AD2101" s="355"/>
      <c r="AE2101" s="355"/>
      <c r="AF2101" s="94">
        <f t="shared" si="279"/>
        <v>43087</v>
      </c>
      <c r="AG2101" s="185" t="e">
        <f t="shared" si="282"/>
        <v>#DIV/0!</v>
      </c>
      <c r="AH2101" s="339" t="str">
        <f>VLOOKUP(B2101,'MF PF'!A:B,2)</f>
        <v>FdMgt1</v>
      </c>
      <c r="AI2101" s="358">
        <f t="shared" si="280"/>
        <v>0</v>
      </c>
      <c r="AJ2101" s="94">
        <f t="shared" si="281"/>
        <v>43100</v>
      </c>
    </row>
    <row r="2102" spans="1:36" s="92" customFormat="1" ht="12.75" customHeight="1">
      <c r="A2102" s="94">
        <v>43100</v>
      </c>
      <c r="B2102" s="358" t="s">
        <v>175</v>
      </c>
      <c r="C2102" s="92" t="s">
        <v>302</v>
      </c>
      <c r="D2102" s="93">
        <v>328563.52</v>
      </c>
      <c r="E2102" s="95"/>
      <c r="F2102" s="93"/>
      <c r="G2102" s="95"/>
      <c r="H2102" s="93"/>
      <c r="I2102" s="93"/>
      <c r="J2102" s="93"/>
      <c r="K2102" s="93"/>
      <c r="L2102" s="93">
        <f t="shared" si="277"/>
        <v>0</v>
      </c>
      <c r="M2102" s="95" t="e">
        <f t="shared" ca="1" si="278"/>
        <v>#DIV/0!</v>
      </c>
      <c r="N2102" s="95">
        <f>IF(P2102="Hedge Fund",IF(A2102=Summary!$AD$3,M2102-E2102,M2102),IF(A2102=Summary!$AD$3,L2102-D2102,L2102))</f>
        <v>0</v>
      </c>
      <c r="O2102" s="95">
        <f t="shared" si="283"/>
        <v>0</v>
      </c>
      <c r="P2102" s="107" t="s">
        <v>155</v>
      </c>
      <c r="Q2102" s="95">
        <v>5.0391000000000003E-3</v>
      </c>
      <c r="R2102" s="95">
        <v>7.1582700000000004E-3</v>
      </c>
      <c r="S2102" s="95"/>
      <c r="T2102" s="95"/>
      <c r="U2102" s="95"/>
      <c r="V2102" s="95"/>
      <c r="W2102" s="95"/>
      <c r="X2102" s="95"/>
      <c r="Y2102" s="95"/>
      <c r="Z2102" s="95"/>
      <c r="AA2102" s="95"/>
      <c r="AB2102" s="95"/>
      <c r="AC2102" s="355"/>
      <c r="AD2102" s="355"/>
      <c r="AE2102" s="355"/>
      <c r="AF2102" s="94">
        <f t="shared" si="279"/>
        <v>43100</v>
      </c>
      <c r="AG2102" s="185" t="e">
        <f t="shared" si="282"/>
        <v>#DIV/0!</v>
      </c>
      <c r="AH2102" s="339" t="str">
        <f>VLOOKUP(B2102,'MF PF'!A:B,2)</f>
        <v>FdMgt1</v>
      </c>
      <c r="AI2102" s="358">
        <f t="shared" si="280"/>
        <v>0</v>
      </c>
      <c r="AJ2102" s="94">
        <f t="shared" si="281"/>
        <v>43100</v>
      </c>
    </row>
    <row r="2103" spans="1:36" ht="12.75" customHeight="1">
      <c r="A2103" s="94">
        <v>43131</v>
      </c>
      <c r="B2103" s="358" t="s">
        <v>175</v>
      </c>
      <c r="C2103" s="92" t="s">
        <v>302</v>
      </c>
      <c r="D2103" s="93">
        <v>344976.14</v>
      </c>
      <c r="E2103" s="95"/>
      <c r="F2103" s="93"/>
      <c r="G2103" s="95"/>
      <c r="H2103" s="93"/>
      <c r="I2103" s="93"/>
      <c r="K2103" s="93"/>
      <c r="L2103" s="93">
        <f t="shared" si="277"/>
        <v>0</v>
      </c>
      <c r="M2103" s="95" t="e">
        <f t="shared" ca="1" si="278"/>
        <v>#DIV/0!</v>
      </c>
      <c r="N2103" s="95">
        <f>IF(P2103="Hedge Fund",IF(A2103=Summary!$AD$3,M2103-E2103,M2103),IF(A2103=Summary!$AD$3,L2103-D2103,L2103))</f>
        <v>0</v>
      </c>
      <c r="O2103" s="95">
        <f t="shared" si="283"/>
        <v>0</v>
      </c>
      <c r="P2103" s="89" t="s">
        <v>155</v>
      </c>
      <c r="Q2103" s="95"/>
      <c r="R2103" s="95">
        <v>1.005461E-2</v>
      </c>
      <c r="S2103" s="95"/>
      <c r="T2103" s="95"/>
      <c r="U2103" s="95"/>
      <c r="V2103" s="95"/>
      <c r="W2103" s="95"/>
      <c r="X2103" s="95"/>
      <c r="Y2103" s="95"/>
      <c r="Z2103" s="95"/>
      <c r="AA2103" s="95"/>
      <c r="AB2103" s="95"/>
      <c r="AC2103" s="355"/>
      <c r="AD2103" s="355"/>
      <c r="AE2103" s="355"/>
      <c r="AF2103" s="94">
        <f t="shared" si="279"/>
        <v>43131</v>
      </c>
      <c r="AG2103" s="185">
        <f t="shared" si="282"/>
        <v>4.9952654512588568E-2</v>
      </c>
      <c r="AH2103" s="339" t="str">
        <f>VLOOKUP(B2103,'MF PF'!A:B,2)</f>
        <v>FdMgt1</v>
      </c>
      <c r="AI2103" s="358">
        <f t="shared" si="280"/>
        <v>0</v>
      </c>
      <c r="AJ2103" s="94">
        <f t="shared" si="281"/>
        <v>43131</v>
      </c>
    </row>
    <row r="2104" spans="1:36" ht="12.75" customHeight="1">
      <c r="A2104" s="8">
        <v>43159</v>
      </c>
      <c r="B2104" s="358" t="s">
        <v>175</v>
      </c>
      <c r="C2104" s="92" t="s">
        <v>302</v>
      </c>
      <c r="D2104" s="93">
        <v>345974.85</v>
      </c>
      <c r="E2104" s="95"/>
      <c r="F2104" s="93"/>
      <c r="G2104" s="95"/>
      <c r="H2104" s="93"/>
      <c r="I2104" s="93"/>
      <c r="K2104" s="93"/>
      <c r="L2104" s="93">
        <f t="shared" si="277"/>
        <v>0</v>
      </c>
      <c r="M2104" s="95" t="e">
        <f t="shared" ca="1" si="278"/>
        <v>#DIV/0!</v>
      </c>
      <c r="N2104" s="95">
        <f>IF(P2104="Hedge Fund",IF(A2104=Summary!$AD$3,M2104-E2104,M2104),IF(A2104=Summary!$AD$3,L2104-D2104,L2104))</f>
        <v>0</v>
      </c>
      <c r="O2104" s="95">
        <f t="shared" si="283"/>
        <v>0</v>
      </c>
      <c r="P2104" s="89" t="s">
        <v>155</v>
      </c>
      <c r="Q2104" s="95"/>
      <c r="R2104" s="95">
        <v>1.0230860000000001E-2</v>
      </c>
      <c r="S2104" s="95"/>
      <c r="T2104" s="95"/>
      <c r="U2104" s="95"/>
      <c r="V2104" s="95"/>
      <c r="W2104" s="95"/>
      <c r="X2104" s="95"/>
      <c r="Y2104" s="95"/>
      <c r="Z2104" s="95"/>
      <c r="AA2104" s="95"/>
      <c r="AB2104" s="95"/>
      <c r="AC2104" s="355"/>
      <c r="AD2104" s="355"/>
      <c r="AE2104" s="355"/>
      <c r="AF2104" s="94">
        <f t="shared" si="279"/>
        <v>43159</v>
      </c>
      <c r="AG2104" s="185">
        <f t="shared" si="282"/>
        <v>2.8950118115413925E-3</v>
      </c>
      <c r="AH2104" s="339" t="str">
        <f>VLOOKUP(B2104,'MF PF'!A:B,2)</f>
        <v>FdMgt1</v>
      </c>
      <c r="AI2104" s="358">
        <f t="shared" si="280"/>
        <v>0</v>
      </c>
      <c r="AJ2104" s="94">
        <f t="shared" si="281"/>
        <v>43159</v>
      </c>
    </row>
    <row r="2105" spans="1:36" s="92" customFormat="1" ht="12.75" customHeight="1">
      <c r="A2105" s="94">
        <v>43190</v>
      </c>
      <c r="B2105" s="358" t="s">
        <v>175</v>
      </c>
      <c r="C2105" s="92" t="s">
        <v>302</v>
      </c>
      <c r="D2105" s="93">
        <v>348885.47</v>
      </c>
      <c r="E2105" s="95"/>
      <c r="F2105" s="93"/>
      <c r="G2105" s="95"/>
      <c r="H2105" s="93"/>
      <c r="I2105" s="93"/>
      <c r="J2105" s="93"/>
      <c r="K2105" s="93"/>
      <c r="L2105" s="93">
        <f t="shared" si="277"/>
        <v>0</v>
      </c>
      <c r="M2105" s="95" t="e">
        <f t="shared" ca="1" si="278"/>
        <v>#DIV/0!</v>
      </c>
      <c r="N2105" s="95">
        <f>IF(P2105="Hedge Fund",IF(A2105=Summary!$AD$3,M2105-E2105,M2105),IF(A2105=Summary!$AD$3,L2105-D2105,L2105))</f>
        <v>0</v>
      </c>
      <c r="O2105" s="95">
        <f t="shared" si="283"/>
        <v>0</v>
      </c>
      <c r="P2105" s="107" t="s">
        <v>155</v>
      </c>
      <c r="Q2105" s="95">
        <v>1.33508E-3</v>
      </c>
      <c r="R2105" s="95">
        <v>1.0744490000000001E-2</v>
      </c>
      <c r="S2105" s="95"/>
      <c r="T2105" s="95"/>
      <c r="U2105" s="95"/>
      <c r="V2105" s="95"/>
      <c r="W2105" s="95"/>
      <c r="X2105" s="95"/>
      <c r="Y2105" s="95"/>
      <c r="Z2105" s="95"/>
      <c r="AA2105" s="95"/>
      <c r="AB2105" s="95"/>
      <c r="AC2105" s="355"/>
      <c r="AD2105" s="355"/>
      <c r="AE2105" s="355"/>
      <c r="AF2105" s="94">
        <f t="shared" si="279"/>
        <v>43190</v>
      </c>
      <c r="AG2105" s="185">
        <f t="shared" si="282"/>
        <v>8.412808040815678E-3</v>
      </c>
      <c r="AH2105" s="339" t="str">
        <f>VLOOKUP(B2105,'MF PF'!A:B,2)</f>
        <v>FdMgt1</v>
      </c>
      <c r="AI2105" s="358">
        <f t="shared" si="280"/>
        <v>0</v>
      </c>
      <c r="AJ2105" s="94">
        <f t="shared" si="281"/>
        <v>43190</v>
      </c>
    </row>
    <row r="2106" spans="1:36" ht="12.75" customHeight="1">
      <c r="A2106" s="8">
        <v>43220</v>
      </c>
      <c r="B2106" s="358" t="s">
        <v>175</v>
      </c>
      <c r="C2106" s="92" t="s">
        <v>302</v>
      </c>
      <c r="D2106" s="93">
        <v>346195.28</v>
      </c>
      <c r="F2106" s="93"/>
      <c r="G2106" s="95"/>
      <c r="H2106" s="93"/>
      <c r="I2106" s="93"/>
      <c r="K2106" s="93"/>
      <c r="L2106" s="93">
        <f t="shared" si="277"/>
        <v>0</v>
      </c>
      <c r="M2106" s="95" t="e">
        <f t="shared" ca="1" si="278"/>
        <v>#DIV/0!</v>
      </c>
      <c r="N2106" s="95">
        <f>IF(P2106="Hedge Fund",IF(A2106=Summary!$AD$3,M2106-E2106,M2106),IF(A2106=Summary!$AD$3,L2106-D2106,L2106))</f>
        <v>0</v>
      </c>
      <c r="O2106" s="95">
        <f t="shared" si="283"/>
        <v>0</v>
      </c>
      <c r="P2106" s="89" t="s">
        <v>155</v>
      </c>
      <c r="Q2106" s="95"/>
      <c r="R2106" s="95">
        <v>1.0269760000000001E-2</v>
      </c>
      <c r="S2106" s="95"/>
      <c r="T2106" s="95"/>
      <c r="U2106" s="95"/>
      <c r="V2106" s="95"/>
      <c r="W2106" s="95"/>
      <c r="X2106" s="95"/>
      <c r="Y2106" s="95"/>
      <c r="Z2106" s="95"/>
      <c r="AA2106" s="95"/>
      <c r="AB2106" s="95"/>
      <c r="AC2106" s="355"/>
      <c r="AD2106" s="355"/>
      <c r="AE2106" s="355"/>
      <c r="AF2106" s="94">
        <f t="shared" si="279"/>
        <v>43220</v>
      </c>
      <c r="AG2106" s="185">
        <f t="shared" si="282"/>
        <v>-7.7108112298283071E-3</v>
      </c>
      <c r="AH2106" s="339" t="str">
        <f>VLOOKUP(B2106,'MF PF'!A:B,2)</f>
        <v>FdMgt1</v>
      </c>
      <c r="AI2106" s="358">
        <f t="shared" si="280"/>
        <v>0</v>
      </c>
      <c r="AJ2106" s="94">
        <f t="shared" si="281"/>
        <v>43220</v>
      </c>
    </row>
    <row r="2107" spans="1:36" ht="12.75" customHeight="1">
      <c r="A2107" s="8">
        <v>43251</v>
      </c>
      <c r="B2107" s="358" t="s">
        <v>175</v>
      </c>
      <c r="C2107" s="92" t="s">
        <v>302</v>
      </c>
      <c r="D2107" s="93">
        <v>349820.43</v>
      </c>
      <c r="F2107" s="93"/>
      <c r="G2107" s="95"/>
      <c r="H2107" s="93"/>
      <c r="I2107" s="93"/>
      <c r="K2107" s="93"/>
      <c r="L2107" s="93">
        <f t="shared" si="277"/>
        <v>0</v>
      </c>
      <c r="M2107" s="95" t="e">
        <f t="shared" ca="1" si="278"/>
        <v>#DIV/0!</v>
      </c>
      <c r="N2107" s="95">
        <f>IF(P2107="Hedge Fund",IF(A2107=Summary!$AD$3,M2107-E2107,M2107),IF(A2107=Summary!$AD$3,L2107-D2107,L2107))</f>
        <v>0</v>
      </c>
      <c r="O2107" s="95">
        <f t="shared" si="283"/>
        <v>0</v>
      </c>
      <c r="P2107" s="89" t="s">
        <v>155</v>
      </c>
      <c r="Q2107" s="95"/>
      <c r="R2107" s="95">
        <v>1.0909489999999999E-2</v>
      </c>
      <c r="S2107" s="95"/>
      <c r="T2107" s="95"/>
      <c r="U2107" s="95"/>
      <c r="V2107" s="95"/>
      <c r="W2107" s="95"/>
      <c r="X2107" s="95"/>
      <c r="Y2107" s="95"/>
      <c r="Z2107" s="95"/>
      <c r="AA2107" s="95"/>
      <c r="AB2107" s="95"/>
      <c r="AC2107" s="355"/>
      <c r="AD2107" s="355"/>
      <c r="AE2107" s="355"/>
      <c r="AF2107" s="94">
        <f t="shared" si="279"/>
        <v>43251</v>
      </c>
      <c r="AG2107" s="185">
        <f t="shared" si="282"/>
        <v>1.0471402151987608E-2</v>
      </c>
      <c r="AH2107" s="339" t="str">
        <f>VLOOKUP(B2107,'MF PF'!A:B,2)</f>
        <v>FdMgt1</v>
      </c>
      <c r="AI2107" s="358">
        <f t="shared" si="280"/>
        <v>0</v>
      </c>
      <c r="AJ2107" s="94">
        <f t="shared" si="281"/>
        <v>43251</v>
      </c>
    </row>
    <row r="2108" spans="1:36" ht="12.75" customHeight="1">
      <c r="A2108" s="8">
        <v>43281</v>
      </c>
      <c r="B2108" s="358" t="s">
        <v>175</v>
      </c>
      <c r="C2108" s="92" t="s">
        <v>302</v>
      </c>
      <c r="D2108" s="93">
        <v>347965.02</v>
      </c>
      <c r="F2108" s="93"/>
      <c r="G2108" s="95"/>
      <c r="H2108" s="93"/>
      <c r="I2108" s="93"/>
      <c r="K2108" s="93"/>
      <c r="L2108" s="93">
        <f t="shared" si="277"/>
        <v>0</v>
      </c>
      <c r="M2108" s="95" t="e">
        <f t="shared" ca="1" si="278"/>
        <v>#DIV/0!</v>
      </c>
      <c r="N2108" s="95">
        <f>IF(P2108="Hedge Fund",IF(A2108=Summary!$AD$3,M2108-E2108,M2108),IF(A2108=Summary!$AD$3,L2108-D2108,L2108))</f>
        <v>0</v>
      </c>
      <c r="O2108" s="95">
        <f t="shared" si="283"/>
        <v>0</v>
      </c>
      <c r="P2108" s="89" t="s">
        <v>155</v>
      </c>
      <c r="Q2108" s="95">
        <v>1.36046E-3</v>
      </c>
      <c r="R2108" s="95">
        <v>1.0505250000000001E-2</v>
      </c>
      <c r="S2108" s="95"/>
      <c r="T2108" s="95"/>
      <c r="U2108" s="95"/>
      <c r="V2108" s="95"/>
      <c r="W2108" s="95"/>
      <c r="X2108" s="95"/>
      <c r="Y2108" s="95"/>
      <c r="Z2108" s="95"/>
      <c r="AA2108" s="95"/>
      <c r="AB2108" s="95"/>
      <c r="AC2108" s="355"/>
      <c r="AD2108" s="355"/>
      <c r="AE2108" s="355"/>
      <c r="AF2108" s="94">
        <f t="shared" si="279"/>
        <v>43281</v>
      </c>
      <c r="AG2108" s="185">
        <f t="shared" si="282"/>
        <v>-5.30389262856934E-3</v>
      </c>
      <c r="AH2108" s="339" t="str">
        <f>VLOOKUP(B2108,'MF PF'!A:B,2)</f>
        <v>FdMgt1</v>
      </c>
      <c r="AI2108" s="358">
        <f t="shared" si="280"/>
        <v>0</v>
      </c>
      <c r="AJ2108" s="94">
        <f t="shared" si="281"/>
        <v>43281</v>
      </c>
    </row>
    <row r="2109" spans="1:36" ht="12.75" customHeight="1">
      <c r="A2109" s="8">
        <v>43312</v>
      </c>
      <c r="B2109" s="358" t="s">
        <v>175</v>
      </c>
      <c r="C2109" s="92" t="s">
        <v>302</v>
      </c>
      <c r="D2109" s="93">
        <v>344354.46</v>
      </c>
      <c r="F2109" s="93"/>
      <c r="G2109" s="95"/>
      <c r="H2109" s="93"/>
      <c r="I2109" s="93"/>
      <c r="K2109" s="93"/>
      <c r="L2109" s="93">
        <f t="shared" si="277"/>
        <v>0</v>
      </c>
      <c r="M2109" s="95" t="e">
        <f t="shared" ca="1" si="278"/>
        <v>#DIV/0!</v>
      </c>
      <c r="N2109" s="95">
        <f>IF(P2109="Hedge Fund",IF(A2109=Summary!$AD$3,M2109-E2109,M2109),IF(A2109=Summary!$AD$3,L2109-D2109,L2109))</f>
        <v>0</v>
      </c>
      <c r="O2109" s="95">
        <f t="shared" si="283"/>
        <v>0</v>
      </c>
      <c r="P2109" s="89" t="s">
        <v>155</v>
      </c>
      <c r="Q2109" s="95">
        <v>0</v>
      </c>
      <c r="R2109" s="95">
        <v>9.9448999999999996E-3</v>
      </c>
      <c r="S2109" s="95"/>
      <c r="T2109" s="95"/>
      <c r="U2109" s="95"/>
      <c r="V2109" s="95"/>
      <c r="W2109" s="95"/>
      <c r="X2109" s="95"/>
      <c r="Y2109" s="95"/>
      <c r="Z2109" s="95"/>
      <c r="AA2109" s="95"/>
      <c r="AB2109" s="95"/>
      <c r="AC2109" s="355"/>
      <c r="AD2109" s="355"/>
      <c r="AE2109" s="355"/>
      <c r="AF2109" s="94">
        <f t="shared" si="279"/>
        <v>43312</v>
      </c>
      <c r="AG2109" s="185">
        <f t="shared" si="282"/>
        <v>-1.0376215402341349E-2</v>
      </c>
      <c r="AH2109" s="339" t="str">
        <f>VLOOKUP(B2109,'MF PF'!A:B,2)</f>
        <v>FdMgt1</v>
      </c>
      <c r="AI2109" s="358">
        <f t="shared" si="280"/>
        <v>0</v>
      </c>
      <c r="AJ2109" s="94">
        <f t="shared" si="281"/>
        <v>43312</v>
      </c>
    </row>
    <row r="2110" spans="1:36" ht="12.75" customHeight="1">
      <c r="A2110" s="94">
        <v>43343</v>
      </c>
      <c r="B2110" s="358" t="s">
        <v>175</v>
      </c>
      <c r="C2110" s="92" t="s">
        <v>302</v>
      </c>
      <c r="D2110" s="93">
        <v>341681.16</v>
      </c>
      <c r="F2110" s="93"/>
      <c r="G2110" s="95"/>
      <c r="H2110" s="93"/>
      <c r="I2110" s="93"/>
      <c r="K2110" s="93"/>
      <c r="L2110" s="93">
        <f t="shared" si="277"/>
        <v>0</v>
      </c>
      <c r="M2110" s="95" t="e">
        <f t="shared" ca="1" si="278"/>
        <v>#DIV/0!</v>
      </c>
      <c r="N2110" s="95">
        <f>IF(P2110="Hedge Fund",IF(A2110=Summary!$AD$3,M2110-E2110,M2110),IF(A2110=Summary!$AD$3,L2110-D2110,L2110))</f>
        <v>0</v>
      </c>
      <c r="O2110" s="95">
        <f t="shared" si="283"/>
        <v>0</v>
      </c>
      <c r="P2110" s="89" t="s">
        <v>155</v>
      </c>
      <c r="Q2110" s="95">
        <v>0</v>
      </c>
      <c r="R2110" s="95">
        <v>9.4731499999999996E-3</v>
      </c>
      <c r="S2110" s="95"/>
      <c r="T2110" s="95"/>
      <c r="U2110" s="95"/>
      <c r="V2110" s="95"/>
      <c r="W2110" s="95"/>
      <c r="X2110" s="95"/>
      <c r="Y2110" s="95"/>
      <c r="Z2110" s="95"/>
      <c r="AA2110" s="95"/>
      <c r="AB2110" s="95"/>
      <c r="AC2110" s="355"/>
      <c r="AD2110" s="355"/>
      <c r="AE2110" s="355"/>
      <c r="AF2110" s="94">
        <f t="shared" si="279"/>
        <v>43343</v>
      </c>
      <c r="AG2110" s="185">
        <f t="shared" si="282"/>
        <v>-7.7632216524800013E-3</v>
      </c>
      <c r="AH2110" s="339" t="str">
        <f>VLOOKUP(B2110,'MF PF'!A:B,2)</f>
        <v>FdMgt1</v>
      </c>
      <c r="AI2110" s="358">
        <f t="shared" si="280"/>
        <v>0</v>
      </c>
      <c r="AJ2110" s="94">
        <f t="shared" si="281"/>
        <v>43343</v>
      </c>
    </row>
    <row r="2111" spans="1:36" ht="12.75" customHeight="1">
      <c r="A2111" s="94">
        <v>43373</v>
      </c>
      <c r="B2111" s="358" t="s">
        <v>175</v>
      </c>
      <c r="C2111" s="358" t="s">
        <v>302</v>
      </c>
      <c r="D2111" s="93">
        <v>328745.86</v>
      </c>
      <c r="F2111" s="93"/>
      <c r="G2111" s="95"/>
      <c r="H2111" s="93"/>
      <c r="I2111" s="93"/>
      <c r="K2111" s="93"/>
      <c r="L2111" s="93">
        <f t="shared" si="277"/>
        <v>0</v>
      </c>
      <c r="M2111" s="95" t="e">
        <f t="shared" ca="1" si="278"/>
        <v>#DIV/0!</v>
      </c>
      <c r="N2111" s="95">
        <f>IF(P2111="Hedge Fund",IF(A2111=Summary!$AD$3,M2111-E2111,M2111),IF(A2111=Summary!$AD$3,L2111-D2111,L2111))</f>
        <v>0</v>
      </c>
      <c r="O2111" s="95">
        <f t="shared" si="283"/>
        <v>0</v>
      </c>
      <c r="P2111" s="89" t="s">
        <v>155</v>
      </c>
      <c r="Q2111" s="95">
        <v>1.26103E-3</v>
      </c>
      <c r="R2111" s="95">
        <v>7.1904500000000001E-3</v>
      </c>
      <c r="S2111" s="95"/>
      <c r="T2111" s="95"/>
      <c r="U2111" s="95"/>
      <c r="V2111" s="95"/>
      <c r="W2111" s="95"/>
      <c r="X2111" s="95"/>
      <c r="Y2111" s="95"/>
      <c r="Z2111" s="95"/>
      <c r="AA2111" s="95"/>
      <c r="AB2111" s="95"/>
      <c r="AC2111" s="355"/>
      <c r="AD2111" s="355"/>
      <c r="AE2111" s="355"/>
      <c r="AF2111" s="94">
        <f t="shared" si="279"/>
        <v>43373</v>
      </c>
      <c r="AG2111" s="185">
        <f t="shared" si="282"/>
        <v>-3.7857808724367392E-2</v>
      </c>
      <c r="AH2111" s="339" t="str">
        <f>VLOOKUP(B2111,'MF PF'!A:B,2)</f>
        <v>FdMgt1</v>
      </c>
      <c r="AI2111" s="358">
        <f t="shared" si="280"/>
        <v>0</v>
      </c>
      <c r="AJ2111" s="94">
        <f t="shared" si="281"/>
        <v>43373</v>
      </c>
    </row>
    <row r="2112" spans="1:36" ht="12.75" customHeight="1">
      <c r="A2112" s="94">
        <v>43404</v>
      </c>
      <c r="B2112" s="358" t="s">
        <v>175</v>
      </c>
      <c r="C2112" s="358" t="s">
        <v>302</v>
      </c>
      <c r="D2112" s="93">
        <v>325524.93300000002</v>
      </c>
      <c r="F2112" s="93">
        <v>0.28799999999999998</v>
      </c>
      <c r="G2112" s="93"/>
      <c r="H2112" s="93">
        <v>0</v>
      </c>
      <c r="I2112" s="93">
        <v>0</v>
      </c>
      <c r="J2112" s="93">
        <v>0</v>
      </c>
      <c r="K2112" s="93"/>
      <c r="L2112" s="93">
        <f t="shared" si="277"/>
        <v>0</v>
      </c>
      <c r="M2112" s="95" t="e">
        <f t="shared" ca="1" si="278"/>
        <v>#DIV/0!</v>
      </c>
      <c r="N2112" s="95">
        <f>IF(P2112="Hedge Fund",IF(A2112=Summary!$AD$3,M2112-E2112,M2112),IF(A2112=Summary!$AD$3,L2112-D2112,L2112))</f>
        <v>0</v>
      </c>
      <c r="O2112" s="95">
        <f t="shared" si="283"/>
        <v>0</v>
      </c>
      <c r="P2112" s="95" t="s">
        <v>155</v>
      </c>
      <c r="Q2112" s="95">
        <v>1.7120876354672491E-3</v>
      </c>
      <c r="R2112" s="95">
        <v>6.6220469999999972E-3</v>
      </c>
      <c r="S2112" s="95"/>
      <c r="T2112" s="95"/>
      <c r="U2112" s="95"/>
      <c r="V2112" s="95"/>
      <c r="W2112" s="95"/>
      <c r="X2112" s="95"/>
      <c r="Y2112" s="95"/>
      <c r="Z2112" s="95"/>
      <c r="AA2112" s="95"/>
      <c r="AB2112" s="95"/>
      <c r="AC2112" s="355"/>
      <c r="AD2112" s="355"/>
      <c r="AE2112" s="355"/>
      <c r="AF2112" s="94">
        <f t="shared" si="279"/>
        <v>43404</v>
      </c>
      <c r="AG2112" s="185">
        <f t="shared" si="282"/>
        <v>-9.7976199609022263E-3</v>
      </c>
      <c r="AH2112" s="339" t="str">
        <f>VLOOKUP(B2112,'MF PF'!A:B,2)</f>
        <v>FdMgt1</v>
      </c>
      <c r="AI2112" s="358">
        <f t="shared" si="280"/>
        <v>0</v>
      </c>
      <c r="AJ2112" s="94">
        <f t="shared" si="281"/>
        <v>43404</v>
      </c>
    </row>
    <row r="2113" spans="1:36" ht="12.75" customHeight="1">
      <c r="A2113" s="94">
        <v>43434</v>
      </c>
      <c r="B2113" s="358" t="s">
        <v>175</v>
      </c>
      <c r="C2113" s="358" t="s">
        <v>302</v>
      </c>
      <c r="D2113" s="93">
        <v>325606.1165</v>
      </c>
      <c r="F2113" s="93">
        <v>0.28799999999999998</v>
      </c>
      <c r="G2113" s="93"/>
      <c r="H2113" s="93">
        <v>0</v>
      </c>
      <c r="I2113" s="93">
        <v>0</v>
      </c>
      <c r="K2113" s="93">
        <v>0</v>
      </c>
      <c r="L2113" s="93">
        <f t="shared" si="277"/>
        <v>0</v>
      </c>
      <c r="M2113" s="95" t="e">
        <f t="shared" ca="1" si="278"/>
        <v>#DIV/0!</v>
      </c>
      <c r="N2113" s="95">
        <f>IF(P2113="Hedge Fund",IF(A2113=Summary!$AD$3,M2113-E2113,M2113),IF(A2113=Summary!$AD$3,L2113-D2113,L2113))</f>
        <v>0</v>
      </c>
      <c r="O2113" s="95">
        <f t="shared" si="283"/>
        <v>0</v>
      </c>
      <c r="P2113" s="95" t="s">
        <v>155</v>
      </c>
      <c r="Q2113" s="95">
        <v>8.656064560221585E-4</v>
      </c>
      <c r="R2113" s="95">
        <v>6.636373499999999E-3</v>
      </c>
      <c r="S2113" s="95"/>
      <c r="T2113" s="95"/>
      <c r="U2113" s="95"/>
      <c r="V2113" s="95"/>
      <c r="W2113" s="95"/>
      <c r="X2113" s="95"/>
      <c r="Y2113" s="95"/>
      <c r="Z2113" s="95"/>
      <c r="AA2113" s="95"/>
      <c r="AB2113" s="95"/>
      <c r="AC2113" s="355"/>
      <c r="AD2113" s="355"/>
      <c r="AE2113" s="355"/>
      <c r="AF2113" s="94">
        <f t="shared" si="279"/>
        <v>43434</v>
      </c>
      <c r="AG2113" s="185">
        <f t="shared" si="282"/>
        <v>2.4939257110601076E-4</v>
      </c>
      <c r="AH2113" s="339" t="str">
        <f>VLOOKUP(B2113,'MF PF'!A:B,2)</f>
        <v>FdMgt1</v>
      </c>
      <c r="AI2113" s="358">
        <f t="shared" si="280"/>
        <v>0</v>
      </c>
      <c r="AJ2113" s="94">
        <f t="shared" si="281"/>
        <v>43434</v>
      </c>
    </row>
    <row r="2114" spans="1:36" ht="12.75" customHeight="1">
      <c r="A2114" s="8">
        <v>43465</v>
      </c>
      <c r="B2114" s="358" t="s">
        <v>175</v>
      </c>
      <c r="C2114" s="92" t="s">
        <v>302</v>
      </c>
      <c r="D2114" s="93">
        <v>329804.74249999999</v>
      </c>
      <c r="F2114" s="93">
        <v>0.28799999999999998</v>
      </c>
      <c r="G2114" s="93"/>
      <c r="H2114" s="93">
        <v>0</v>
      </c>
      <c r="I2114" s="93">
        <v>0</v>
      </c>
      <c r="K2114" s="93">
        <v>0</v>
      </c>
      <c r="L2114" s="93">
        <f t="shared" si="277"/>
        <v>0</v>
      </c>
      <c r="M2114" s="95" t="e">
        <f t="shared" ca="1" si="278"/>
        <v>#DIV/0!</v>
      </c>
      <c r="N2114" s="95">
        <f>IF(P2114="Hedge Fund",IF(A2114=Summary!$AD$3,M2114-E2114,M2114),IF(A2114=Summary!$AD$3,L2114-D2114,L2114))</f>
        <v>0</v>
      </c>
      <c r="O2114" s="95">
        <f t="shared" si="283"/>
        <v>0</v>
      </c>
      <c r="P2114" s="95" t="s">
        <v>155</v>
      </c>
      <c r="Q2114" s="95">
        <v>1.3075901068224538E-3</v>
      </c>
      <c r="R2114" s="95">
        <v>7.3773074999999985E-3</v>
      </c>
      <c r="S2114" s="95"/>
      <c r="T2114" s="95"/>
      <c r="U2114" s="95"/>
      <c r="V2114" s="95"/>
      <c r="W2114" s="95"/>
      <c r="X2114" s="95"/>
      <c r="Y2114" s="95"/>
      <c r="Z2114" s="95"/>
      <c r="AA2114" s="95"/>
      <c r="AB2114" s="95"/>
      <c r="AC2114" s="355"/>
      <c r="AD2114" s="355"/>
      <c r="AE2114" s="355"/>
      <c r="AF2114" s="94">
        <f t="shared" si="279"/>
        <v>43465</v>
      </c>
      <c r="AG2114" s="185">
        <f t="shared" si="282"/>
        <v>1.2894800764591929E-2</v>
      </c>
      <c r="AH2114" s="339" t="str">
        <f>VLOOKUP(B2114,'MF PF'!A:B,2)</f>
        <v>FdMgt1</v>
      </c>
      <c r="AI2114" s="358">
        <f t="shared" si="280"/>
        <v>0</v>
      </c>
      <c r="AJ2114" s="94">
        <f t="shared" si="281"/>
        <v>43465</v>
      </c>
    </row>
    <row r="2115" spans="1:36" ht="12.75" customHeight="1">
      <c r="A2115" s="94">
        <v>43496</v>
      </c>
      <c r="B2115" s="358" t="s">
        <v>175</v>
      </c>
      <c r="C2115" s="92" t="s">
        <v>302</v>
      </c>
      <c r="D2115" s="93">
        <v>338776.42450000002</v>
      </c>
      <c r="F2115" s="93">
        <v>0.28799999999999998</v>
      </c>
      <c r="G2115" s="93"/>
      <c r="H2115" s="93">
        <v>0</v>
      </c>
      <c r="I2115" s="93">
        <v>0</v>
      </c>
      <c r="K2115" s="93">
        <v>0</v>
      </c>
      <c r="L2115" s="93">
        <f t="shared" ref="L2115:L2178" si="284">G2115+H2115+I2115</f>
        <v>0</v>
      </c>
      <c r="M2115" s="95" t="e">
        <f t="shared" ref="M2115:M2178" ca="1" si="285">IF(A2115&gt;INDIRECT("A"&amp;ROW()-1),I2115/K2115,E2115)</f>
        <v>#DIV/0!</v>
      </c>
      <c r="N2115" s="95">
        <f>IF(P2115="Hedge Fund",IF(A2115=Summary!$AD$3,M2115-E2115,M2115),IF(A2115=Summary!$AD$3,L2115-D2115,L2115))</f>
        <v>-338776.42450000002</v>
      </c>
      <c r="O2115" s="95">
        <f t="shared" si="283"/>
        <v>-338776.42450000002</v>
      </c>
      <c r="P2115" s="95" t="s">
        <v>155</v>
      </c>
      <c r="Q2115" s="95">
        <v>4.4361695495419111E-4</v>
      </c>
      <c r="R2115" s="95">
        <v>8.9605454999999948E-3</v>
      </c>
      <c r="S2115" s="95"/>
      <c r="T2115" s="95"/>
      <c r="U2115" s="95"/>
      <c r="V2115" s="95"/>
      <c r="W2115" s="95"/>
      <c r="X2115" s="95"/>
      <c r="Y2115" s="95"/>
      <c r="Z2115" s="95"/>
      <c r="AA2115" s="95"/>
      <c r="AB2115" s="95"/>
      <c r="AC2115" s="355"/>
      <c r="AD2115" s="355"/>
      <c r="AE2115" s="355"/>
      <c r="AF2115" s="94">
        <f t="shared" ref="AF2115:AF2178" si="286">A2115</f>
        <v>43496</v>
      </c>
      <c r="AG2115" s="185">
        <f t="shared" si="282"/>
        <v>2.7203010884538914E-2</v>
      </c>
      <c r="AH2115" s="339" t="str">
        <f>VLOOKUP(B2115,'MF PF'!A:B,2)</f>
        <v>FdMgt1</v>
      </c>
      <c r="AI2115" s="358">
        <f t="shared" ref="AI2115:AI2178" si="287">AF2115-A2115</f>
        <v>0</v>
      </c>
      <c r="AJ2115" s="94">
        <f t="shared" ref="AJ2115:AJ2178" si="288">EOMONTH(A2115,0)</f>
        <v>43496</v>
      </c>
    </row>
    <row r="2116" spans="1:36" ht="12.75" customHeight="1">
      <c r="A2116" s="8">
        <v>42695</v>
      </c>
      <c r="B2116" s="358" t="s">
        <v>175</v>
      </c>
      <c r="C2116" s="92" t="s">
        <v>303</v>
      </c>
      <c r="D2116" s="93"/>
      <c r="F2116" s="93"/>
      <c r="G2116" s="95">
        <v>68000</v>
      </c>
      <c r="H2116" s="93"/>
      <c r="I2116" s="93"/>
      <c r="K2116" s="93"/>
      <c r="L2116" s="93">
        <f t="shared" si="284"/>
        <v>68000</v>
      </c>
      <c r="M2116" s="95">
        <f t="shared" ca="1" si="285"/>
        <v>0</v>
      </c>
      <c r="N2116" s="95">
        <f>IF(P2116="Hedge Fund",IF(A2116=Summary!$AD$3,M2116-E2116,M2116),IF(A2116=Summary!$AD$3,L2116-D2116,L2116))</f>
        <v>68000</v>
      </c>
      <c r="O2116" s="95">
        <f t="shared" si="283"/>
        <v>68000</v>
      </c>
      <c r="P2116" s="107" t="s">
        <v>155</v>
      </c>
      <c r="Q2116" s="95">
        <v>0</v>
      </c>
      <c r="R2116" s="95">
        <v>0</v>
      </c>
      <c r="S2116" s="95"/>
      <c r="T2116" s="95"/>
      <c r="U2116" s="95"/>
      <c r="V2116" s="95"/>
      <c r="W2116" s="95"/>
      <c r="X2116" s="95"/>
      <c r="Y2116" s="95"/>
      <c r="Z2116" s="95"/>
      <c r="AA2116" s="95"/>
      <c r="AB2116" s="95"/>
      <c r="AC2116" s="355"/>
      <c r="AD2116" s="355"/>
      <c r="AE2116" s="355"/>
      <c r="AF2116" s="94">
        <f t="shared" si="286"/>
        <v>42695</v>
      </c>
      <c r="AG2116" s="185">
        <f t="shared" si="282"/>
        <v>-1</v>
      </c>
      <c r="AH2116" s="339" t="str">
        <f>VLOOKUP(B2116,'MF PF'!A:B,2)</f>
        <v>FdMgt1</v>
      </c>
      <c r="AI2116" s="358">
        <f t="shared" si="287"/>
        <v>0</v>
      </c>
      <c r="AJ2116" s="94">
        <f t="shared" si="288"/>
        <v>42704</v>
      </c>
    </row>
    <row r="2117" spans="1:36" ht="12.75" customHeight="1">
      <c r="A2117" s="8">
        <v>42695</v>
      </c>
      <c r="B2117" s="358" t="s">
        <v>175</v>
      </c>
      <c r="C2117" s="92" t="s">
        <v>303</v>
      </c>
      <c r="D2117" s="93"/>
      <c r="F2117" s="93"/>
      <c r="G2117" s="95">
        <v>388481</v>
      </c>
      <c r="H2117" s="93"/>
      <c r="I2117" s="93"/>
      <c r="K2117" s="93"/>
      <c r="L2117" s="93">
        <f t="shared" si="284"/>
        <v>388481</v>
      </c>
      <c r="M2117" s="95">
        <f t="shared" ca="1" si="285"/>
        <v>0</v>
      </c>
      <c r="N2117" s="95">
        <f>IF(P2117="Hedge Fund",IF(A2117=Summary!$AD$3,M2117-E2117,M2117),IF(A2117=Summary!$AD$3,L2117-D2117,L2117))</f>
        <v>388481</v>
      </c>
      <c r="O2117" s="95">
        <f t="shared" si="283"/>
        <v>388481</v>
      </c>
      <c r="P2117" s="107" t="s">
        <v>155</v>
      </c>
      <c r="Q2117" s="95">
        <v>0</v>
      </c>
      <c r="R2117" s="95">
        <v>0</v>
      </c>
      <c r="S2117" s="95"/>
      <c r="T2117" s="95"/>
      <c r="U2117" s="95"/>
      <c r="V2117" s="95"/>
      <c r="W2117" s="95"/>
      <c r="X2117" s="95"/>
      <c r="Y2117" s="95"/>
      <c r="Z2117" s="95"/>
      <c r="AA2117" s="95"/>
      <c r="AB2117" s="95"/>
      <c r="AC2117" s="355"/>
      <c r="AD2117" s="355"/>
      <c r="AE2117" s="355"/>
      <c r="AF2117" s="94">
        <f t="shared" si="286"/>
        <v>42695</v>
      </c>
      <c r="AG2117" s="185" t="e">
        <f t="shared" si="282"/>
        <v>#DIV/0!</v>
      </c>
      <c r="AH2117" s="339" t="str">
        <f>VLOOKUP(B2117,'MF PF'!A:B,2)</f>
        <v>FdMgt1</v>
      </c>
      <c r="AI2117" s="358">
        <f t="shared" si="287"/>
        <v>0</v>
      </c>
      <c r="AJ2117" s="94">
        <f t="shared" si="288"/>
        <v>42704</v>
      </c>
    </row>
    <row r="2118" spans="1:36" ht="12.75" customHeight="1">
      <c r="A2118" s="8">
        <v>42703</v>
      </c>
      <c r="B2118" s="358" t="s">
        <v>175</v>
      </c>
      <c r="C2118" s="92" t="s">
        <v>303</v>
      </c>
      <c r="D2118" s="93"/>
      <c r="F2118" s="93"/>
      <c r="G2118" s="95">
        <v>161000</v>
      </c>
      <c r="H2118" s="93"/>
      <c r="I2118" s="93"/>
      <c r="K2118" s="93"/>
      <c r="L2118" s="93">
        <f t="shared" si="284"/>
        <v>161000</v>
      </c>
      <c r="M2118" s="95" t="e">
        <f t="shared" ca="1" si="285"/>
        <v>#DIV/0!</v>
      </c>
      <c r="N2118" s="95">
        <f>IF(P2118="Hedge Fund",IF(A2118=Summary!$AD$3,M2118-E2118,M2118),IF(A2118=Summary!$AD$3,L2118-D2118,L2118))</f>
        <v>161000</v>
      </c>
      <c r="O2118" s="95">
        <f t="shared" si="283"/>
        <v>161000</v>
      </c>
      <c r="P2118" s="107" t="s">
        <v>155</v>
      </c>
      <c r="Q2118" s="95">
        <v>0</v>
      </c>
      <c r="R2118" s="95">
        <v>0</v>
      </c>
      <c r="S2118" s="95"/>
      <c r="T2118" s="95"/>
      <c r="U2118" s="95"/>
      <c r="V2118" s="95"/>
      <c r="W2118" s="95"/>
      <c r="X2118" s="95"/>
      <c r="Y2118" s="95"/>
      <c r="Z2118" s="95"/>
      <c r="AA2118" s="95"/>
      <c r="AB2118" s="95"/>
      <c r="AC2118" s="355"/>
      <c r="AD2118" s="355"/>
      <c r="AE2118" s="355"/>
      <c r="AF2118" s="94">
        <f t="shared" si="286"/>
        <v>42703</v>
      </c>
      <c r="AG2118" s="185" t="e">
        <f t="shared" ref="AG2118:AG2181" si="289">IF(C2118&lt;&gt;C2117,D2118/G2118-1,(D2118-G2118-I2118-H2118)/(D2117)-1)</f>
        <v>#DIV/0!</v>
      </c>
      <c r="AH2118" s="339" t="str">
        <f>VLOOKUP(B2118,'MF PF'!A:B,2)</f>
        <v>FdMgt1</v>
      </c>
      <c r="AI2118" s="358">
        <f t="shared" si="287"/>
        <v>0</v>
      </c>
      <c r="AJ2118" s="94">
        <f t="shared" si="288"/>
        <v>42704</v>
      </c>
    </row>
    <row r="2119" spans="1:36" ht="12.75" customHeight="1">
      <c r="A2119" s="8">
        <v>42704</v>
      </c>
      <c r="B2119" s="358" t="s">
        <v>175</v>
      </c>
      <c r="C2119" s="92" t="s">
        <v>303</v>
      </c>
      <c r="D2119" s="93">
        <v>614641.5</v>
      </c>
      <c r="F2119" s="93"/>
      <c r="G2119" s="95"/>
      <c r="H2119" s="93"/>
      <c r="I2119" s="93"/>
      <c r="K2119" s="93"/>
      <c r="L2119" s="93">
        <f t="shared" si="284"/>
        <v>0</v>
      </c>
      <c r="M2119" s="95" t="e">
        <f t="shared" ca="1" si="285"/>
        <v>#DIV/0!</v>
      </c>
      <c r="N2119" s="95">
        <f>IF(P2119="Hedge Fund",IF(A2119=Summary!$AD$3,M2119-E2119,M2119),IF(A2119=Summary!$AD$3,L2119-D2119,L2119))</f>
        <v>0</v>
      </c>
      <c r="O2119" s="95">
        <f t="shared" si="283"/>
        <v>0</v>
      </c>
      <c r="P2119" s="107" t="s">
        <v>155</v>
      </c>
      <c r="Q2119" s="95">
        <v>2.7326399999999997E-3</v>
      </c>
      <c r="R2119" s="95">
        <v>0</v>
      </c>
      <c r="S2119" s="95"/>
      <c r="T2119" s="95"/>
      <c r="U2119" s="95"/>
      <c r="V2119" s="95"/>
      <c r="W2119" s="95"/>
      <c r="X2119" s="95"/>
      <c r="Y2119" s="95"/>
      <c r="Z2119" s="95"/>
      <c r="AA2119" s="95"/>
      <c r="AB2119" s="95"/>
      <c r="AC2119" s="355"/>
      <c r="AD2119" s="355"/>
      <c r="AE2119" s="355"/>
      <c r="AF2119" s="94">
        <f t="shared" si="286"/>
        <v>42704</v>
      </c>
      <c r="AG2119" s="185" t="e">
        <f t="shared" si="289"/>
        <v>#DIV/0!</v>
      </c>
      <c r="AH2119" s="339" t="str">
        <f>VLOOKUP(B2119,'MF PF'!A:B,2)</f>
        <v>FdMgt1</v>
      </c>
      <c r="AI2119" s="358">
        <f t="shared" si="287"/>
        <v>0</v>
      </c>
      <c r="AJ2119" s="94">
        <f t="shared" si="288"/>
        <v>42704</v>
      </c>
    </row>
    <row r="2120" spans="1:36" ht="12.75" customHeight="1">
      <c r="A2120" s="94">
        <v>42735</v>
      </c>
      <c r="B2120" s="358" t="s">
        <v>175</v>
      </c>
      <c r="C2120" s="92" t="s">
        <v>303</v>
      </c>
      <c r="D2120" s="93">
        <v>609263.80000000005</v>
      </c>
      <c r="F2120" s="93"/>
      <c r="G2120" s="95"/>
      <c r="H2120" s="93"/>
      <c r="I2120" s="93"/>
      <c r="K2120" s="93"/>
      <c r="L2120" s="93">
        <f t="shared" si="284"/>
        <v>0</v>
      </c>
      <c r="M2120" s="95" t="e">
        <f t="shared" ca="1" si="285"/>
        <v>#DIV/0!</v>
      </c>
      <c r="N2120" s="95">
        <f>IF(P2120="Hedge Fund",IF(A2120=Summary!$AD$3,M2120-E2120,M2120),IF(A2120=Summary!$AD$3,L2120-D2120,L2120))</f>
        <v>0</v>
      </c>
      <c r="O2120" s="95">
        <f t="shared" si="283"/>
        <v>0</v>
      </c>
      <c r="P2120" s="107" t="s">
        <v>155</v>
      </c>
      <c r="Q2120" s="95">
        <v>2.7104899999999999E-3</v>
      </c>
      <c r="R2120" s="95">
        <v>0</v>
      </c>
      <c r="S2120" s="95"/>
      <c r="T2120" s="95"/>
      <c r="U2120" s="95"/>
      <c r="V2120" s="95"/>
      <c r="W2120" s="95"/>
      <c r="X2120" s="95"/>
      <c r="Y2120" s="95"/>
      <c r="Z2120" s="95"/>
      <c r="AA2120" s="95"/>
      <c r="AB2120" s="95"/>
      <c r="AC2120" s="355"/>
      <c r="AD2120" s="355"/>
      <c r="AE2120" s="355"/>
      <c r="AF2120" s="94">
        <f t="shared" si="286"/>
        <v>42735</v>
      </c>
      <c r="AG2120" s="185">
        <f t="shared" si="289"/>
        <v>-8.7493278602240876E-3</v>
      </c>
      <c r="AH2120" s="339" t="str">
        <f>VLOOKUP(B2120,'MF PF'!A:B,2)</f>
        <v>FdMgt1</v>
      </c>
      <c r="AI2120" s="358">
        <f t="shared" si="287"/>
        <v>0</v>
      </c>
      <c r="AJ2120" s="94">
        <f t="shared" si="288"/>
        <v>42735</v>
      </c>
    </row>
    <row r="2121" spans="1:36" ht="12.75" customHeight="1">
      <c r="A2121" s="8">
        <v>42766</v>
      </c>
      <c r="B2121" s="358" t="s">
        <v>175</v>
      </c>
      <c r="C2121" s="92" t="s">
        <v>303</v>
      </c>
      <c r="D2121" s="93">
        <v>621724.47</v>
      </c>
      <c r="F2121" s="93"/>
      <c r="G2121" s="95"/>
      <c r="H2121" s="93"/>
      <c r="I2121" s="93"/>
      <c r="K2121" s="93"/>
      <c r="L2121" s="93">
        <f t="shared" si="284"/>
        <v>0</v>
      </c>
      <c r="M2121" s="95" t="e">
        <f t="shared" ca="1" si="285"/>
        <v>#DIV/0!</v>
      </c>
      <c r="N2121" s="95">
        <f>IF(P2121="Hedge Fund",IF(A2121=Summary!$AD$3,M2121-E2121,M2121),IF(A2121=Summary!$AD$3,L2121-D2121,L2121))</f>
        <v>0</v>
      </c>
      <c r="O2121" s="95">
        <f t="shared" si="283"/>
        <v>0</v>
      </c>
      <c r="P2121" s="107" t="s">
        <v>155</v>
      </c>
      <c r="Q2121" s="95">
        <v>3.4933000000000004E-3</v>
      </c>
      <c r="R2121" s="95">
        <v>7.4885000000000001E-4</v>
      </c>
      <c r="S2121" s="95"/>
      <c r="T2121" s="95"/>
      <c r="U2121" s="95"/>
      <c r="V2121" s="95"/>
      <c r="W2121" s="95"/>
      <c r="X2121" s="95"/>
      <c r="Y2121" s="95"/>
      <c r="Z2121" s="95"/>
      <c r="AA2121" s="95"/>
      <c r="AB2121" s="95"/>
      <c r="AC2121" s="355"/>
      <c r="AD2121" s="355"/>
      <c r="AE2121" s="355"/>
      <c r="AF2121" s="94">
        <f t="shared" si="286"/>
        <v>42766</v>
      </c>
      <c r="AG2121" s="185">
        <f t="shared" si="289"/>
        <v>2.0452011099297174E-2</v>
      </c>
      <c r="AH2121" s="339" t="str">
        <f>VLOOKUP(B2121,'MF PF'!A:B,2)</f>
        <v>FdMgt1</v>
      </c>
      <c r="AI2121" s="358">
        <f t="shared" si="287"/>
        <v>0</v>
      </c>
      <c r="AJ2121" s="94">
        <f t="shared" si="288"/>
        <v>42766</v>
      </c>
    </row>
    <row r="2122" spans="1:36" ht="12.75" customHeight="1">
      <c r="A2122" s="8">
        <v>42793</v>
      </c>
      <c r="B2122" s="358" t="s">
        <v>175</v>
      </c>
      <c r="C2122" s="92" t="s">
        <v>303</v>
      </c>
      <c r="D2122" s="93"/>
      <c r="F2122" s="93"/>
      <c r="G2122" s="95">
        <v>94000</v>
      </c>
      <c r="H2122" s="93"/>
      <c r="I2122" s="93"/>
      <c r="K2122" s="93"/>
      <c r="L2122" s="93">
        <f t="shared" si="284"/>
        <v>94000</v>
      </c>
      <c r="M2122" s="95" t="e">
        <f t="shared" ca="1" si="285"/>
        <v>#DIV/0!</v>
      </c>
      <c r="N2122" s="95">
        <f>IF(P2122="Hedge Fund",IF(A2122=Summary!$AD$3,M2122-E2122,M2122),IF(A2122=Summary!$AD$3,L2122-D2122,L2122))</f>
        <v>94000</v>
      </c>
      <c r="O2122" s="95">
        <f t="shared" si="283"/>
        <v>94000</v>
      </c>
      <c r="P2122" s="107" t="s">
        <v>155</v>
      </c>
      <c r="Q2122" s="95">
        <v>0</v>
      </c>
      <c r="R2122" s="95">
        <v>0</v>
      </c>
      <c r="S2122" s="95"/>
      <c r="T2122" s="95"/>
      <c r="U2122" s="95"/>
      <c r="V2122" s="95"/>
      <c r="W2122" s="95"/>
      <c r="X2122" s="95"/>
      <c r="Y2122" s="95"/>
      <c r="Z2122" s="95"/>
      <c r="AA2122" s="95"/>
      <c r="AB2122" s="95"/>
      <c r="AC2122" s="355"/>
      <c r="AD2122" s="355"/>
      <c r="AE2122" s="355"/>
      <c r="AF2122" s="94">
        <f t="shared" si="286"/>
        <v>42793</v>
      </c>
      <c r="AG2122" s="185">
        <f t="shared" si="289"/>
        <v>-1.1511923762627518</v>
      </c>
      <c r="AH2122" s="339" t="str">
        <f>VLOOKUP(B2122,'MF PF'!A:B,2)</f>
        <v>FdMgt1</v>
      </c>
      <c r="AI2122" s="358">
        <f t="shared" si="287"/>
        <v>0</v>
      </c>
      <c r="AJ2122" s="94">
        <f t="shared" si="288"/>
        <v>42794</v>
      </c>
    </row>
    <row r="2123" spans="1:36" ht="12.75" customHeight="1">
      <c r="A2123" s="8">
        <v>42794</v>
      </c>
      <c r="B2123" s="358" t="s">
        <v>175</v>
      </c>
      <c r="C2123" s="92" t="s">
        <v>303</v>
      </c>
      <c r="D2123" s="93">
        <v>746224.89</v>
      </c>
      <c r="F2123" s="93"/>
      <c r="G2123" s="95"/>
      <c r="H2123" s="93"/>
      <c r="I2123" s="93"/>
      <c r="K2123" s="93"/>
      <c r="L2123" s="93">
        <f t="shared" si="284"/>
        <v>0</v>
      </c>
      <c r="M2123" s="95" t="e">
        <f t="shared" ca="1" si="285"/>
        <v>#DIV/0!</v>
      </c>
      <c r="N2123" s="95">
        <f>IF(P2123="Hedge Fund",IF(A2123=Summary!$AD$3,M2123-E2123,M2123),IF(A2123=Summary!$AD$3,L2123-D2123,L2123))</f>
        <v>0</v>
      </c>
      <c r="O2123" s="95">
        <f t="shared" si="283"/>
        <v>0</v>
      </c>
      <c r="P2123" s="107" t="s">
        <v>155</v>
      </c>
      <c r="Q2123" s="95">
        <v>3.1684199999999999E-3</v>
      </c>
      <c r="R2123" s="95">
        <v>5.8560499999999998E-3</v>
      </c>
      <c r="S2123" s="95"/>
      <c r="T2123" s="95"/>
      <c r="U2123" s="95"/>
      <c r="V2123" s="95"/>
      <c r="W2123" s="95"/>
      <c r="X2123" s="95"/>
      <c r="Y2123" s="95"/>
      <c r="Z2123" s="95"/>
      <c r="AA2123" s="95"/>
      <c r="AB2123" s="95"/>
      <c r="AC2123" s="355"/>
      <c r="AD2123" s="355"/>
      <c r="AE2123" s="355"/>
      <c r="AF2123" s="94">
        <f t="shared" si="286"/>
        <v>42794</v>
      </c>
      <c r="AG2123" s="185" t="e">
        <f t="shared" si="289"/>
        <v>#DIV/0!</v>
      </c>
      <c r="AH2123" s="339" t="str">
        <f>VLOOKUP(B2123,'MF PF'!A:B,2)</f>
        <v>FdMgt1</v>
      </c>
      <c r="AI2123" s="358">
        <f t="shared" si="287"/>
        <v>0</v>
      </c>
      <c r="AJ2123" s="94">
        <f t="shared" si="288"/>
        <v>42794</v>
      </c>
    </row>
    <row r="2124" spans="1:36" ht="12.75" customHeight="1">
      <c r="A2124" s="8">
        <v>42825</v>
      </c>
      <c r="B2124" s="358" t="s">
        <v>175</v>
      </c>
      <c r="C2124" s="92" t="s">
        <v>303</v>
      </c>
      <c r="D2124" s="93">
        <v>720676.68</v>
      </c>
      <c r="F2124" s="93"/>
      <c r="G2124" s="95"/>
      <c r="H2124" s="93"/>
      <c r="I2124" s="93"/>
      <c r="K2124" s="93"/>
      <c r="L2124" s="93">
        <f t="shared" si="284"/>
        <v>0</v>
      </c>
      <c r="M2124" s="95" t="e">
        <f t="shared" ca="1" si="285"/>
        <v>#DIV/0!</v>
      </c>
      <c r="N2124" s="95">
        <f>IF(P2124="Hedge Fund",IF(A2124=Summary!$AD$3,M2124-E2124,M2124),IF(A2124=Summary!$AD$3,L2124-D2124,L2124))</f>
        <v>0</v>
      </c>
      <c r="O2124" s="95">
        <f t="shared" si="283"/>
        <v>0</v>
      </c>
      <c r="P2124" s="107" t="s">
        <v>155</v>
      </c>
      <c r="Q2124" s="95">
        <v>5.4525699999999995E-3</v>
      </c>
      <c r="R2124" s="95">
        <v>1.6227699999999999E-3</v>
      </c>
      <c r="S2124" s="95"/>
      <c r="T2124" s="95"/>
      <c r="U2124" s="95"/>
      <c r="V2124" s="95"/>
      <c r="W2124" s="95"/>
      <c r="X2124" s="95"/>
      <c r="Y2124" s="95"/>
      <c r="Z2124" s="95"/>
      <c r="AA2124" s="95"/>
      <c r="AB2124" s="95"/>
      <c r="AC2124" s="355"/>
      <c r="AD2124" s="355"/>
      <c r="AE2124" s="355"/>
      <c r="AF2124" s="94">
        <f t="shared" si="286"/>
        <v>42825</v>
      </c>
      <c r="AG2124" s="185">
        <f t="shared" si="289"/>
        <v>-3.4236609288119557E-2</v>
      </c>
      <c r="AH2124" s="339" t="str">
        <f>VLOOKUP(B2124,'MF PF'!A:B,2)</f>
        <v>FdMgt1</v>
      </c>
      <c r="AI2124" s="358">
        <f t="shared" si="287"/>
        <v>0</v>
      </c>
      <c r="AJ2124" s="94">
        <f t="shared" si="288"/>
        <v>42825</v>
      </c>
    </row>
    <row r="2125" spans="1:36" ht="12.75" customHeight="1">
      <c r="A2125" s="94">
        <v>42835</v>
      </c>
      <c r="B2125" s="358" t="s">
        <v>175</v>
      </c>
      <c r="C2125" s="358" t="s">
        <v>303</v>
      </c>
      <c r="D2125" s="93"/>
      <c r="F2125" s="93"/>
      <c r="G2125" s="95">
        <v>108000</v>
      </c>
      <c r="H2125" s="93"/>
      <c r="I2125" s="93"/>
      <c r="K2125" s="93"/>
      <c r="L2125" s="93">
        <f t="shared" si="284"/>
        <v>108000</v>
      </c>
      <c r="M2125" s="95" t="e">
        <f t="shared" ca="1" si="285"/>
        <v>#DIV/0!</v>
      </c>
      <c r="N2125" s="95">
        <f>IF(P2125="Hedge Fund",IF(A2125=Summary!$AD$3,M2125-E2125,M2125),IF(A2125=Summary!$AD$3,L2125-D2125,L2125))</f>
        <v>108000</v>
      </c>
      <c r="O2125" s="95">
        <f t="shared" si="283"/>
        <v>108000</v>
      </c>
      <c r="P2125" s="107" t="s">
        <v>155</v>
      </c>
      <c r="Q2125" s="95">
        <v>0</v>
      </c>
      <c r="R2125" s="95">
        <v>0</v>
      </c>
      <c r="S2125" s="95"/>
      <c r="T2125" s="95"/>
      <c r="U2125" s="95"/>
      <c r="V2125" s="95"/>
      <c r="W2125" s="95"/>
      <c r="X2125" s="95"/>
      <c r="Y2125" s="95"/>
      <c r="Z2125" s="95"/>
      <c r="AA2125" s="95"/>
      <c r="AB2125" s="95"/>
      <c r="AC2125" s="355"/>
      <c r="AD2125" s="355"/>
      <c r="AE2125" s="355"/>
      <c r="AF2125" s="94">
        <f t="shared" si="286"/>
        <v>42835</v>
      </c>
      <c r="AG2125" s="185">
        <f t="shared" si="289"/>
        <v>-1.1498591573685997</v>
      </c>
      <c r="AH2125" s="339" t="str">
        <f>VLOOKUP(B2125,'MF PF'!A:B,2)</f>
        <v>FdMgt1</v>
      </c>
      <c r="AI2125" s="358">
        <f t="shared" si="287"/>
        <v>0</v>
      </c>
      <c r="AJ2125" s="94">
        <f t="shared" si="288"/>
        <v>42855</v>
      </c>
    </row>
    <row r="2126" spans="1:36" ht="12.75" customHeight="1">
      <c r="A2126" s="8">
        <v>42855</v>
      </c>
      <c r="B2126" s="358" t="s">
        <v>175</v>
      </c>
      <c r="C2126" s="358" t="s">
        <v>303</v>
      </c>
      <c r="D2126" s="93">
        <v>831716.5</v>
      </c>
      <c r="F2126" s="93"/>
      <c r="G2126" s="95"/>
      <c r="H2126" s="93"/>
      <c r="I2126" s="93"/>
      <c r="K2126" s="93"/>
      <c r="L2126" s="93">
        <f t="shared" si="284"/>
        <v>0</v>
      </c>
      <c r="M2126" s="95" t="e">
        <f t="shared" ca="1" si="285"/>
        <v>#DIV/0!</v>
      </c>
      <c r="N2126" s="95">
        <f>IF(P2126="Hedge Fund",IF(A2126=Summary!$AD$3,M2126-E2126,M2126),IF(A2126=Summary!$AD$3,L2126-D2126,L2126))</f>
        <v>0</v>
      </c>
      <c r="O2126" s="9">
        <f t="shared" si="283"/>
        <v>0</v>
      </c>
      <c r="P2126" s="107" t="s">
        <v>155</v>
      </c>
      <c r="Q2126" s="95">
        <v>5.8760000000000001E-3</v>
      </c>
      <c r="R2126" s="95">
        <v>2.1592099999999999E-3</v>
      </c>
      <c r="S2126" s="95"/>
      <c r="T2126" s="95"/>
      <c r="U2126" s="95"/>
      <c r="V2126" s="95"/>
      <c r="W2126" s="95"/>
      <c r="X2126" s="95"/>
      <c r="Y2126" s="95"/>
      <c r="Z2126" s="95"/>
      <c r="AA2126" s="95"/>
      <c r="AB2126" s="95"/>
      <c r="AC2126" s="355"/>
      <c r="AD2126" s="355"/>
      <c r="AE2126" s="355"/>
      <c r="AF2126" s="94">
        <f t="shared" si="286"/>
        <v>42855</v>
      </c>
      <c r="AG2126" s="185" t="e">
        <f t="shared" si="289"/>
        <v>#DIV/0!</v>
      </c>
      <c r="AH2126" s="339" t="str">
        <f>VLOOKUP(B2126,'MF PF'!A:B,2)</f>
        <v>FdMgt1</v>
      </c>
      <c r="AI2126" s="358">
        <f t="shared" si="287"/>
        <v>0</v>
      </c>
      <c r="AJ2126" s="94">
        <f t="shared" si="288"/>
        <v>42855</v>
      </c>
    </row>
    <row r="2127" spans="1:36" s="92" customFormat="1" ht="12.75" customHeight="1">
      <c r="A2127" s="94">
        <v>42881</v>
      </c>
      <c r="B2127" s="358" t="s">
        <v>175</v>
      </c>
      <c r="C2127" s="358" t="s">
        <v>303</v>
      </c>
      <c r="D2127" s="93"/>
      <c r="E2127" s="95"/>
      <c r="F2127" s="93"/>
      <c r="G2127" s="95">
        <v>180519</v>
      </c>
      <c r="H2127" s="93"/>
      <c r="I2127" s="93"/>
      <c r="J2127" s="93"/>
      <c r="K2127" s="93"/>
      <c r="L2127" s="93">
        <f t="shared" si="284"/>
        <v>180519</v>
      </c>
      <c r="M2127" s="95" t="e">
        <f t="shared" ca="1" si="285"/>
        <v>#DIV/0!</v>
      </c>
      <c r="N2127" s="95">
        <f>IF(P2127="Hedge Fund",IF(A2127=Summary!$AD$3,M2127-E2127,M2127),IF(A2127=Summary!$AD$3,L2127-D2127,L2127))</f>
        <v>180519</v>
      </c>
      <c r="O2127" s="95">
        <f t="shared" si="283"/>
        <v>180519</v>
      </c>
      <c r="P2127" s="107" t="s">
        <v>155</v>
      </c>
      <c r="Q2127" s="95">
        <v>0</v>
      </c>
      <c r="R2127" s="95">
        <v>0</v>
      </c>
      <c r="S2127" s="95"/>
      <c r="T2127" s="95"/>
      <c r="U2127" s="95"/>
      <c r="V2127" s="95"/>
      <c r="W2127" s="95"/>
      <c r="X2127" s="95"/>
      <c r="Y2127" s="95"/>
      <c r="Z2127" s="95"/>
      <c r="AA2127" s="95"/>
      <c r="AB2127" s="95"/>
      <c r="AC2127" s="355"/>
      <c r="AD2127" s="355"/>
      <c r="AE2127" s="355"/>
      <c r="AF2127" s="94">
        <f t="shared" si="286"/>
        <v>42881</v>
      </c>
      <c r="AG2127" s="185">
        <f t="shared" si="289"/>
        <v>-1.2170439085914491</v>
      </c>
      <c r="AH2127" s="339" t="str">
        <f>VLOOKUP(B2127,'MF PF'!A:B,2)</f>
        <v>FdMgt1</v>
      </c>
      <c r="AI2127" s="358">
        <f t="shared" si="287"/>
        <v>0</v>
      </c>
      <c r="AJ2127" s="94">
        <f t="shared" si="288"/>
        <v>42886</v>
      </c>
    </row>
    <row r="2128" spans="1:36" ht="12.75" customHeight="1">
      <c r="A2128" s="8">
        <v>42886</v>
      </c>
      <c r="B2128" s="358" t="s">
        <v>175</v>
      </c>
      <c r="C2128" s="358" t="s">
        <v>303</v>
      </c>
      <c r="D2128" s="93">
        <v>1015524.86</v>
      </c>
      <c r="F2128" s="93"/>
      <c r="G2128" s="95"/>
      <c r="H2128" s="93"/>
      <c r="I2128" s="93"/>
      <c r="K2128" s="93"/>
      <c r="L2128" s="93">
        <f t="shared" si="284"/>
        <v>0</v>
      </c>
      <c r="M2128" s="95" t="e">
        <f t="shared" ca="1" si="285"/>
        <v>#DIV/0!</v>
      </c>
      <c r="N2128" s="95">
        <f>IF(P2128="Hedge Fund",IF(A2128=Summary!$AD$3,M2128-E2128,M2128),IF(A2128=Summary!$AD$3,L2128-D2128,L2128))</f>
        <v>0</v>
      </c>
      <c r="O2128" s="9">
        <f t="shared" si="283"/>
        <v>0</v>
      </c>
      <c r="P2128" s="89" t="s">
        <v>155</v>
      </c>
      <c r="Q2128" s="95">
        <v>7.9656399999999995E-3</v>
      </c>
      <c r="R2128" s="95">
        <v>2.73968E-3</v>
      </c>
      <c r="S2128" s="95"/>
      <c r="T2128" s="95"/>
      <c r="U2128" s="95"/>
      <c r="V2128" s="95"/>
      <c r="W2128" s="95"/>
      <c r="X2128" s="95"/>
      <c r="Y2128" s="95"/>
      <c r="Z2128" s="95"/>
      <c r="AA2128" s="95"/>
      <c r="AB2128" s="95"/>
      <c r="AC2128" s="355"/>
      <c r="AD2128" s="355"/>
      <c r="AE2128" s="355"/>
      <c r="AF2128" s="94">
        <f t="shared" si="286"/>
        <v>42886</v>
      </c>
      <c r="AG2128" s="185" t="e">
        <f t="shared" si="289"/>
        <v>#DIV/0!</v>
      </c>
      <c r="AH2128" s="339" t="str">
        <f>VLOOKUP(B2128,'MF PF'!A:B,2)</f>
        <v>FdMgt1</v>
      </c>
      <c r="AI2128" s="358">
        <f t="shared" si="287"/>
        <v>0</v>
      </c>
      <c r="AJ2128" s="94">
        <f t="shared" si="288"/>
        <v>42886</v>
      </c>
    </row>
    <row r="2129" spans="1:36" ht="12.75" customHeight="1">
      <c r="A2129" s="8">
        <v>42916</v>
      </c>
      <c r="B2129" s="358" t="s">
        <v>175</v>
      </c>
      <c r="C2129" s="92" t="s">
        <v>303</v>
      </c>
      <c r="D2129" s="93">
        <v>1008111.71</v>
      </c>
      <c r="F2129" s="93"/>
      <c r="G2129" s="95"/>
      <c r="H2129" s="93"/>
      <c r="I2129" s="93"/>
      <c r="K2129" s="93"/>
      <c r="L2129" s="93">
        <f t="shared" si="284"/>
        <v>0</v>
      </c>
      <c r="M2129" s="95" t="e">
        <f t="shared" ca="1" si="285"/>
        <v>#DIV/0!</v>
      </c>
      <c r="N2129" s="95">
        <f>IF(P2129="Hedge Fund",IF(A2129=Summary!$AD$3,M2129-E2129,M2129),IF(A2129=Summary!$AD$3,L2129-D2129,L2129))</f>
        <v>0</v>
      </c>
      <c r="O2129" s="9">
        <f t="shared" si="283"/>
        <v>0</v>
      </c>
      <c r="P2129" s="89" t="s">
        <v>155</v>
      </c>
      <c r="Q2129" s="95">
        <v>9.366600000000001E-3</v>
      </c>
      <c r="R2129" s="95">
        <v>1.4314799999999999E-3</v>
      </c>
      <c r="S2129" s="95"/>
      <c r="T2129" s="95"/>
      <c r="U2129" s="95"/>
      <c r="V2129" s="95"/>
      <c r="W2129" s="95"/>
      <c r="X2129" s="95"/>
      <c r="Y2129" s="95"/>
      <c r="Z2129" s="95"/>
      <c r="AA2129" s="95"/>
      <c r="AB2129" s="95"/>
      <c r="AC2129" s="355"/>
      <c r="AD2129" s="355"/>
      <c r="AE2129" s="355"/>
      <c r="AF2129" s="94">
        <f t="shared" si="286"/>
        <v>42916</v>
      </c>
      <c r="AG2129" s="185">
        <f t="shared" si="289"/>
        <v>-7.2998212963492071E-3</v>
      </c>
      <c r="AH2129" s="339" t="str">
        <f>VLOOKUP(B2129,'MF PF'!A:B,2)</f>
        <v>FdMgt1</v>
      </c>
      <c r="AI2129" s="358">
        <f t="shared" si="287"/>
        <v>0</v>
      </c>
      <c r="AJ2129" s="94">
        <f t="shared" si="288"/>
        <v>42916</v>
      </c>
    </row>
    <row r="2130" spans="1:36" ht="12.75" customHeight="1">
      <c r="A2130" s="94">
        <v>42947</v>
      </c>
      <c r="B2130" s="358" t="s">
        <v>175</v>
      </c>
      <c r="C2130" s="92" t="s">
        <v>303</v>
      </c>
      <c r="D2130" s="93">
        <v>906074.62</v>
      </c>
      <c r="F2130" s="93"/>
      <c r="G2130" s="95"/>
      <c r="H2130" s="93"/>
      <c r="I2130" s="93"/>
      <c r="K2130" s="93"/>
      <c r="L2130" s="93">
        <f t="shared" si="284"/>
        <v>0</v>
      </c>
      <c r="M2130" s="95" t="e">
        <f t="shared" ca="1" si="285"/>
        <v>#DIV/0!</v>
      </c>
      <c r="N2130" s="95">
        <f>IF(P2130="Hedge Fund",IF(A2130=Summary!$AD$3,M2130-E2130,M2130),IF(A2130=Summary!$AD$3,L2130-D2130,L2130))</f>
        <v>0</v>
      </c>
      <c r="O2130" s="9">
        <f t="shared" si="283"/>
        <v>0</v>
      </c>
      <c r="P2130" s="89" t="s">
        <v>155</v>
      </c>
      <c r="Q2130" s="95">
        <v>9.683569999999999E-3</v>
      </c>
      <c r="R2130" s="95">
        <v>1.3229E-4</v>
      </c>
      <c r="S2130" s="95"/>
      <c r="T2130" s="95"/>
      <c r="U2130" s="95"/>
      <c r="V2130" s="95"/>
      <c r="W2130" s="95"/>
      <c r="X2130" s="95"/>
      <c r="Y2130" s="95"/>
      <c r="Z2130" s="95"/>
      <c r="AA2130" s="95"/>
      <c r="AB2130" s="95"/>
      <c r="AC2130" s="355"/>
      <c r="AD2130" s="355"/>
      <c r="AE2130" s="355"/>
      <c r="AF2130" s="94">
        <f t="shared" si="286"/>
        <v>42947</v>
      </c>
      <c r="AG2130" s="185">
        <f t="shared" si="289"/>
        <v>-0.10121605471679318</v>
      </c>
      <c r="AH2130" s="339" t="str">
        <f>VLOOKUP(B2130,'MF PF'!A:B,2)</f>
        <v>FdMgt1</v>
      </c>
      <c r="AI2130" s="358">
        <f t="shared" si="287"/>
        <v>0</v>
      </c>
      <c r="AJ2130" s="94">
        <f t="shared" si="288"/>
        <v>42947</v>
      </c>
    </row>
    <row r="2131" spans="1:36" ht="12.75" customHeight="1">
      <c r="A2131" s="8">
        <v>42958</v>
      </c>
      <c r="B2131" s="358" t="s">
        <v>175</v>
      </c>
      <c r="C2131" s="92" t="s">
        <v>303</v>
      </c>
      <c r="D2131" s="93"/>
      <c r="F2131" s="93"/>
      <c r="G2131" s="358"/>
      <c r="H2131" s="93"/>
      <c r="I2131" s="95">
        <v>-94675</v>
      </c>
      <c r="K2131" s="93"/>
      <c r="L2131" s="93">
        <f t="shared" si="284"/>
        <v>-94675</v>
      </c>
      <c r="M2131" s="95" t="e">
        <f t="shared" ca="1" si="285"/>
        <v>#DIV/0!</v>
      </c>
      <c r="N2131" s="95">
        <f>IF(P2131="Hedge Fund",IF(A2131=Summary!$AD$3,M2131-E2131,M2131),IF(A2131=Summary!$AD$3,L2131-D2131,L2131))</f>
        <v>-94675</v>
      </c>
      <c r="O2131" s="9">
        <f t="shared" si="283"/>
        <v>-94675</v>
      </c>
      <c r="P2131" s="107" t="s">
        <v>155</v>
      </c>
      <c r="Q2131" s="95">
        <v>0</v>
      </c>
      <c r="R2131" s="95">
        <v>0</v>
      </c>
      <c r="S2131" s="95"/>
      <c r="T2131" s="95"/>
      <c r="U2131" s="95"/>
      <c r="V2131" s="95"/>
      <c r="W2131" s="95"/>
      <c r="X2131" s="95"/>
      <c r="Y2131" s="95"/>
      <c r="Z2131" s="95"/>
      <c r="AA2131" s="95"/>
      <c r="AB2131" s="95"/>
      <c r="AC2131" s="355"/>
      <c r="AD2131" s="355"/>
      <c r="AE2131" s="355"/>
      <c r="AF2131" s="94">
        <f t="shared" si="286"/>
        <v>42958</v>
      </c>
      <c r="AG2131" s="185">
        <f t="shared" si="289"/>
        <v>-0.8955108134471309</v>
      </c>
      <c r="AH2131" s="339" t="str">
        <f>VLOOKUP(B2131,'MF PF'!A:B,2)</f>
        <v>FdMgt1</v>
      </c>
      <c r="AI2131" s="358">
        <f t="shared" si="287"/>
        <v>0</v>
      </c>
      <c r="AJ2131" s="94">
        <f t="shared" si="288"/>
        <v>42978</v>
      </c>
    </row>
    <row r="2132" spans="1:36" ht="12.75" customHeight="1">
      <c r="A2132" s="94">
        <v>42958</v>
      </c>
      <c r="B2132" s="358" t="s">
        <v>175</v>
      </c>
      <c r="C2132" s="358" t="s">
        <v>303</v>
      </c>
      <c r="D2132" s="93"/>
      <c r="F2132" s="93"/>
      <c r="G2132" s="95">
        <v>94675</v>
      </c>
      <c r="H2132" s="93"/>
      <c r="I2132" s="93"/>
      <c r="K2132" s="93"/>
      <c r="L2132" s="93">
        <f t="shared" si="284"/>
        <v>94675</v>
      </c>
      <c r="M2132" s="95">
        <f t="shared" ca="1" si="285"/>
        <v>0</v>
      </c>
      <c r="N2132" s="95">
        <f>IF(P2132="Hedge Fund",IF(A2132=Summary!$AD$3,M2132-E2132,M2132),IF(A2132=Summary!$AD$3,L2132-D2132,L2132))</f>
        <v>94675</v>
      </c>
      <c r="O2132" s="9">
        <f t="shared" si="283"/>
        <v>94675</v>
      </c>
      <c r="P2132" s="107" t="s">
        <v>155</v>
      </c>
      <c r="Q2132" s="95">
        <v>0</v>
      </c>
      <c r="R2132" s="95">
        <v>0</v>
      </c>
      <c r="S2132" s="95"/>
      <c r="T2132" s="95"/>
      <c r="U2132" s="95"/>
      <c r="V2132" s="95"/>
      <c r="W2132" s="95"/>
      <c r="X2132" s="95"/>
      <c r="Y2132" s="95"/>
      <c r="Z2132" s="95"/>
      <c r="AA2132" s="95"/>
      <c r="AB2132" s="95"/>
      <c r="AC2132" s="355"/>
      <c r="AD2132" s="355"/>
      <c r="AE2132" s="355"/>
      <c r="AF2132" s="94">
        <f t="shared" si="286"/>
        <v>42958</v>
      </c>
      <c r="AG2132" s="185" t="e">
        <f t="shared" si="289"/>
        <v>#DIV/0!</v>
      </c>
      <c r="AH2132" s="339" t="str">
        <f>VLOOKUP(B2132,'MF PF'!A:B,2)</f>
        <v>FdMgt1</v>
      </c>
      <c r="AI2132" s="358">
        <f t="shared" si="287"/>
        <v>0</v>
      </c>
      <c r="AJ2132" s="94">
        <f t="shared" si="288"/>
        <v>42978</v>
      </c>
    </row>
    <row r="2133" spans="1:36" ht="12.75" customHeight="1">
      <c r="A2133" s="8">
        <v>42978</v>
      </c>
      <c r="B2133" s="358" t="s">
        <v>175</v>
      </c>
      <c r="C2133" s="92" t="s">
        <v>303</v>
      </c>
      <c r="D2133" s="93">
        <v>1001057.91</v>
      </c>
      <c r="F2133" s="93"/>
      <c r="G2133" s="95"/>
      <c r="H2133" s="93"/>
      <c r="I2133" s="93"/>
      <c r="K2133" s="93"/>
      <c r="L2133" s="93">
        <f t="shared" si="284"/>
        <v>0</v>
      </c>
      <c r="M2133" s="95" t="e">
        <f t="shared" ca="1" si="285"/>
        <v>#DIV/0!</v>
      </c>
      <c r="N2133" s="95">
        <f>IF(P2133="Hedge Fund",IF(A2133=Summary!$AD$3,M2133-E2133,M2133),IF(A2133=Summary!$AD$3,L2133-D2133,L2133))</f>
        <v>0</v>
      </c>
      <c r="O2133" s="9">
        <f t="shared" si="283"/>
        <v>0</v>
      </c>
      <c r="P2133" s="107" t="s">
        <v>155</v>
      </c>
      <c r="Q2133" s="95">
        <v>1.113782E-2</v>
      </c>
      <c r="R2133" s="95">
        <v>1.8668999999999999E-4</v>
      </c>
      <c r="S2133" s="95"/>
      <c r="T2133" s="95"/>
      <c r="U2133" s="95"/>
      <c r="V2133" s="95"/>
      <c r="W2133" s="95"/>
      <c r="X2133" s="95"/>
      <c r="Y2133" s="95"/>
      <c r="Z2133" s="95"/>
      <c r="AA2133" s="95"/>
      <c r="AB2133" s="95"/>
      <c r="AC2133" s="355"/>
      <c r="AD2133" s="355"/>
      <c r="AE2133" s="355"/>
      <c r="AF2133" s="94">
        <f t="shared" si="286"/>
        <v>42978</v>
      </c>
      <c r="AG2133" s="185" t="e">
        <f t="shared" si="289"/>
        <v>#DIV/0!</v>
      </c>
      <c r="AH2133" s="339" t="str">
        <f>VLOOKUP(B2133,'MF PF'!A:B,2)</f>
        <v>FdMgt1</v>
      </c>
      <c r="AI2133" s="358">
        <f t="shared" si="287"/>
        <v>0</v>
      </c>
      <c r="AJ2133" s="94">
        <f t="shared" si="288"/>
        <v>42978</v>
      </c>
    </row>
    <row r="2134" spans="1:36" ht="12.75" customHeight="1">
      <c r="A2134" s="94">
        <v>43008</v>
      </c>
      <c r="B2134" s="358" t="s">
        <v>175</v>
      </c>
      <c r="C2134" s="92" t="s">
        <v>303</v>
      </c>
      <c r="D2134" s="93">
        <v>1004684.36</v>
      </c>
      <c r="F2134" s="93"/>
      <c r="G2134" s="95"/>
      <c r="H2134" s="93"/>
      <c r="I2134" s="93"/>
      <c r="K2134" s="93"/>
      <c r="L2134" s="93">
        <f t="shared" si="284"/>
        <v>0</v>
      </c>
      <c r="M2134" s="95" t="e">
        <f t="shared" ca="1" si="285"/>
        <v>#DIV/0!</v>
      </c>
      <c r="N2134" s="95">
        <f>IF(P2134="Hedge Fund",IF(A2134=Summary!$AD$3,M2134-E2134,M2134),IF(A2134=Summary!$AD$3,L2134-D2134,L2134))</f>
        <v>0</v>
      </c>
      <c r="O2134" s="9">
        <f t="shared" si="283"/>
        <v>0</v>
      </c>
      <c r="P2134" s="107" t="s">
        <v>155</v>
      </c>
      <c r="Q2134" s="95">
        <v>1.237824E-2</v>
      </c>
      <c r="R2134" s="95">
        <v>8.2664999999999995E-4</v>
      </c>
      <c r="S2134" s="95"/>
      <c r="T2134" s="95"/>
      <c r="U2134" s="95"/>
      <c r="V2134" s="95"/>
      <c r="W2134" s="95"/>
      <c r="X2134" s="95"/>
      <c r="Y2134" s="95"/>
      <c r="Z2134" s="95"/>
      <c r="AA2134" s="95"/>
      <c r="AB2134" s="95"/>
      <c r="AC2134" s="355"/>
      <c r="AD2134" s="355"/>
      <c r="AE2134" s="355"/>
      <c r="AF2134" s="94">
        <f t="shared" si="286"/>
        <v>43008</v>
      </c>
      <c r="AG2134" s="185">
        <f t="shared" si="289"/>
        <v>3.622617596618305E-3</v>
      </c>
      <c r="AH2134" s="339" t="str">
        <f>VLOOKUP(B2134,'MF PF'!A:B,2)</f>
        <v>FdMgt1</v>
      </c>
      <c r="AI2134" s="358">
        <f t="shared" si="287"/>
        <v>0</v>
      </c>
      <c r="AJ2134" s="94">
        <f t="shared" si="288"/>
        <v>43008</v>
      </c>
    </row>
    <row r="2135" spans="1:36" ht="12.75" customHeight="1">
      <c r="A2135" s="94">
        <v>43039</v>
      </c>
      <c r="B2135" s="358" t="s">
        <v>175</v>
      </c>
      <c r="C2135" s="92" t="s">
        <v>303</v>
      </c>
      <c r="D2135" s="93">
        <v>1004986.23</v>
      </c>
      <c r="F2135" s="93"/>
      <c r="G2135" s="95"/>
      <c r="H2135" s="93"/>
      <c r="I2135" s="93"/>
      <c r="K2135" s="93"/>
      <c r="L2135" s="93">
        <f t="shared" si="284"/>
        <v>0</v>
      </c>
      <c r="M2135" s="95" t="e">
        <f t="shared" ca="1" si="285"/>
        <v>#DIV/0!</v>
      </c>
      <c r="N2135" s="95">
        <f>IF(P2135="Hedge Fund",IF(A2135=Summary!$AD$3,M2135-E2135,M2135),IF(A2135=Summary!$AD$3,L2135-D2135,L2135))</f>
        <v>0</v>
      </c>
      <c r="O2135" s="9">
        <f t="shared" si="283"/>
        <v>0</v>
      </c>
      <c r="P2135" s="89" t="s">
        <v>155</v>
      </c>
      <c r="Q2135" s="95">
        <v>1.237824E-2</v>
      </c>
      <c r="R2135" s="95">
        <v>8.7991999999999996E-4</v>
      </c>
      <c r="S2135" s="95"/>
      <c r="T2135" s="95"/>
      <c r="U2135" s="95"/>
      <c r="V2135" s="95"/>
      <c r="W2135" s="95"/>
      <c r="X2135" s="95"/>
      <c r="Y2135" s="95"/>
      <c r="Z2135" s="95"/>
      <c r="AA2135" s="95"/>
      <c r="AB2135" s="95"/>
      <c r="AC2135" s="355"/>
      <c r="AD2135" s="355"/>
      <c r="AE2135" s="355"/>
      <c r="AF2135" s="94">
        <f t="shared" si="286"/>
        <v>43039</v>
      </c>
      <c r="AG2135" s="185">
        <f t="shared" si="289"/>
        <v>3.0046252536464202E-4</v>
      </c>
      <c r="AH2135" s="339" t="str">
        <f>VLOOKUP(B2135,'MF PF'!A:B,2)</f>
        <v>FdMgt1</v>
      </c>
      <c r="AI2135" s="358">
        <f t="shared" si="287"/>
        <v>0</v>
      </c>
      <c r="AJ2135" s="94">
        <f t="shared" si="288"/>
        <v>43039</v>
      </c>
    </row>
    <row r="2136" spans="1:36" ht="12.75" customHeight="1">
      <c r="A2136" s="8">
        <v>43069</v>
      </c>
      <c r="B2136" s="358" t="s">
        <v>175</v>
      </c>
      <c r="C2136" s="92" t="s">
        <v>303</v>
      </c>
      <c r="D2136" s="93">
        <v>1000215.98</v>
      </c>
      <c r="F2136" s="93"/>
      <c r="G2136" s="95"/>
      <c r="H2136" s="93"/>
      <c r="I2136" s="93"/>
      <c r="K2136" s="93"/>
      <c r="L2136" s="93">
        <f t="shared" si="284"/>
        <v>0</v>
      </c>
      <c r="M2136" s="95" t="e">
        <f t="shared" ca="1" si="285"/>
        <v>#DIV/0!</v>
      </c>
      <c r="N2136" s="95">
        <f>IF(P2136="Hedge Fund",IF(A2136=Summary!$AD$3,M2136-E2136,M2136),IF(A2136=Summary!$AD$3,L2136-D2136,L2136))</f>
        <v>0</v>
      </c>
      <c r="O2136" s="9">
        <f t="shared" si="283"/>
        <v>0</v>
      </c>
      <c r="P2136" s="89" t="s">
        <v>155</v>
      </c>
      <c r="Q2136" s="95">
        <v>1.5019459999999998E-2</v>
      </c>
      <c r="R2136" s="95">
        <v>3.8109999999999999E-5</v>
      </c>
      <c r="S2136" s="95"/>
      <c r="T2136" s="95"/>
      <c r="U2136" s="95"/>
      <c r="V2136" s="95"/>
      <c r="W2136" s="95"/>
      <c r="X2136" s="95"/>
      <c r="Y2136" s="95"/>
      <c r="Z2136" s="95"/>
      <c r="AA2136" s="95"/>
      <c r="AB2136" s="95"/>
      <c r="AC2136" s="355"/>
      <c r="AD2136" s="355"/>
      <c r="AE2136" s="355"/>
      <c r="AF2136" s="94">
        <f t="shared" si="286"/>
        <v>43069</v>
      </c>
      <c r="AG2136" s="185">
        <f t="shared" si="289"/>
        <v>-4.7465824481993657E-3</v>
      </c>
      <c r="AH2136" s="339" t="str">
        <f>VLOOKUP(B2136,'MF PF'!A:B,2)</f>
        <v>FdMgt1</v>
      </c>
      <c r="AI2136" s="358">
        <f t="shared" si="287"/>
        <v>0</v>
      </c>
      <c r="AJ2136" s="94">
        <f t="shared" si="288"/>
        <v>43069</v>
      </c>
    </row>
    <row r="2137" spans="1:36" ht="12.75" customHeight="1">
      <c r="A2137" s="94">
        <v>43087</v>
      </c>
      <c r="B2137" s="358" t="s">
        <v>175</v>
      </c>
      <c r="C2137" s="358" t="s">
        <v>303</v>
      </c>
      <c r="D2137" s="93"/>
      <c r="F2137" s="93"/>
      <c r="G2137" s="358"/>
      <c r="H2137" s="93"/>
      <c r="I2137" s="95">
        <v>-122500.44</v>
      </c>
      <c r="K2137" s="93"/>
      <c r="L2137" s="93">
        <f t="shared" si="284"/>
        <v>-122500.44</v>
      </c>
      <c r="M2137" s="95" t="e">
        <f t="shared" ca="1" si="285"/>
        <v>#DIV/0!</v>
      </c>
      <c r="N2137" s="95">
        <f>IF(P2137="Hedge Fund",IF(A2137=Summary!$AD$3,M2137-E2137,M2137),IF(A2137=Summary!$AD$3,L2137-D2137,L2137))</f>
        <v>-122500.44</v>
      </c>
      <c r="O2137" s="9">
        <f t="shared" si="283"/>
        <v>-122500.44</v>
      </c>
      <c r="P2137" s="89" t="s">
        <v>155</v>
      </c>
      <c r="Q2137" s="95">
        <v>0</v>
      </c>
      <c r="R2137" s="95">
        <v>0</v>
      </c>
      <c r="S2137" s="95"/>
      <c r="T2137" s="95"/>
      <c r="U2137" s="95"/>
      <c r="V2137" s="95"/>
      <c r="W2137" s="95"/>
      <c r="X2137" s="95"/>
      <c r="Y2137" s="95"/>
      <c r="Z2137" s="95"/>
      <c r="AA2137" s="95"/>
      <c r="AB2137" s="95"/>
      <c r="AC2137" s="355"/>
      <c r="AD2137" s="355"/>
      <c r="AE2137" s="355"/>
      <c r="AF2137" s="94">
        <f t="shared" si="286"/>
        <v>43087</v>
      </c>
      <c r="AG2137" s="185">
        <f t="shared" si="289"/>
        <v>-0.87752601193194291</v>
      </c>
      <c r="AH2137" s="339" t="str">
        <f>VLOOKUP(B2137,'MF PF'!A:B,2)</f>
        <v>FdMgt1</v>
      </c>
      <c r="AI2137" s="358">
        <f t="shared" si="287"/>
        <v>0</v>
      </c>
      <c r="AJ2137" s="94">
        <f t="shared" si="288"/>
        <v>43100</v>
      </c>
    </row>
    <row r="2138" spans="1:36" ht="12.75" customHeight="1">
      <c r="A2138" s="8">
        <v>43087</v>
      </c>
      <c r="B2138" s="358" t="s">
        <v>175</v>
      </c>
      <c r="C2138" s="92" t="s">
        <v>303</v>
      </c>
      <c r="D2138" s="93"/>
      <c r="F2138" s="93"/>
      <c r="G2138" s="95">
        <v>122500.44</v>
      </c>
      <c r="H2138" s="93"/>
      <c r="I2138" s="93"/>
      <c r="K2138" s="93"/>
      <c r="L2138" s="93">
        <f t="shared" si="284"/>
        <v>122500.44</v>
      </c>
      <c r="M2138" s="95">
        <f t="shared" ca="1" si="285"/>
        <v>0</v>
      </c>
      <c r="N2138" s="95">
        <f>IF(P2138="Hedge Fund",IF(A2138=Summary!$AD$3,M2138-E2138,M2138),IF(A2138=Summary!$AD$3,L2138-D2138,L2138))</f>
        <v>122500.44</v>
      </c>
      <c r="O2138" s="9">
        <f t="shared" si="283"/>
        <v>122500.44</v>
      </c>
      <c r="P2138" s="89" t="s">
        <v>155</v>
      </c>
      <c r="Q2138" s="95">
        <v>0</v>
      </c>
      <c r="R2138" s="95">
        <v>0</v>
      </c>
      <c r="S2138" s="95"/>
      <c r="T2138" s="95"/>
      <c r="U2138" s="95"/>
      <c r="V2138" s="95"/>
      <c r="W2138" s="95"/>
      <c r="X2138" s="95"/>
      <c r="Y2138" s="95"/>
      <c r="Z2138" s="95"/>
      <c r="AA2138" s="95"/>
      <c r="AB2138" s="95"/>
      <c r="AC2138" s="355"/>
      <c r="AD2138" s="355"/>
      <c r="AE2138" s="355"/>
      <c r="AF2138" s="94">
        <f t="shared" si="286"/>
        <v>43087</v>
      </c>
      <c r="AG2138" s="185" t="e">
        <f t="shared" si="289"/>
        <v>#DIV/0!</v>
      </c>
      <c r="AH2138" s="339" t="str">
        <f>VLOOKUP(B2138,'MF PF'!A:B,2)</f>
        <v>FdMgt1</v>
      </c>
      <c r="AI2138" s="358">
        <f t="shared" si="287"/>
        <v>0</v>
      </c>
      <c r="AJ2138" s="94">
        <f t="shared" si="288"/>
        <v>43100</v>
      </c>
    </row>
    <row r="2139" spans="1:36" ht="12.75" customHeight="1">
      <c r="A2139" s="94">
        <v>43100</v>
      </c>
      <c r="B2139" s="358" t="s">
        <v>175</v>
      </c>
      <c r="C2139" s="92" t="s">
        <v>303</v>
      </c>
      <c r="D2139" s="93">
        <v>1140845.55</v>
      </c>
      <c r="F2139" s="93"/>
      <c r="G2139" s="95"/>
      <c r="H2139" s="93"/>
      <c r="I2139" s="93"/>
      <c r="K2139" s="93"/>
      <c r="L2139" s="93">
        <f t="shared" si="284"/>
        <v>0</v>
      </c>
      <c r="M2139" s="95" t="e">
        <f t="shared" ca="1" si="285"/>
        <v>#DIV/0!</v>
      </c>
      <c r="N2139" s="95">
        <f>IF(P2139="Hedge Fund",IF(A2139=Summary!$AD$3,M2139-E2139,M2139),IF(A2139=Summary!$AD$3,L2139-D2139,L2139))</f>
        <v>0</v>
      </c>
      <c r="O2139" s="9">
        <f t="shared" si="283"/>
        <v>0</v>
      </c>
      <c r="P2139" s="89" t="s">
        <v>155</v>
      </c>
      <c r="Q2139" s="95">
        <v>1.7496879999999999E-2</v>
      </c>
      <c r="R2139" s="95">
        <v>2.4855099999999998E-2</v>
      </c>
      <c r="S2139" s="95"/>
      <c r="T2139" s="95"/>
      <c r="U2139" s="95"/>
      <c r="V2139" s="95"/>
      <c r="W2139" s="95"/>
      <c r="X2139" s="95"/>
      <c r="Y2139" s="95"/>
      <c r="Z2139" s="95"/>
      <c r="AA2139" s="95"/>
      <c r="AB2139" s="95"/>
      <c r="AC2139" s="355"/>
      <c r="AD2139" s="355"/>
      <c r="AE2139" s="355"/>
      <c r="AF2139" s="94">
        <f t="shared" si="286"/>
        <v>43100</v>
      </c>
      <c r="AG2139" s="185" t="e">
        <f t="shared" si="289"/>
        <v>#DIV/0!</v>
      </c>
      <c r="AH2139" s="339" t="str">
        <f>VLOOKUP(B2139,'MF PF'!A:B,2)</f>
        <v>FdMgt1</v>
      </c>
      <c r="AI2139" s="358">
        <f t="shared" si="287"/>
        <v>0</v>
      </c>
      <c r="AJ2139" s="94">
        <f t="shared" si="288"/>
        <v>43100</v>
      </c>
    </row>
    <row r="2140" spans="1:36" ht="12.75" customHeight="1">
      <c r="A2140" s="94">
        <v>43131</v>
      </c>
      <c r="B2140" s="358" t="s">
        <v>175</v>
      </c>
      <c r="C2140" s="92" t="s">
        <v>303</v>
      </c>
      <c r="D2140" s="93">
        <v>1197837</v>
      </c>
      <c r="F2140" s="93"/>
      <c r="G2140" s="95"/>
      <c r="H2140" s="93"/>
      <c r="I2140" s="93"/>
      <c r="K2140" s="93"/>
      <c r="L2140" s="93">
        <f t="shared" si="284"/>
        <v>0</v>
      </c>
      <c r="M2140" s="95" t="e">
        <f t="shared" ca="1" si="285"/>
        <v>#DIV/0!</v>
      </c>
      <c r="N2140" s="95">
        <f>IF(P2140="Hedge Fund",IF(A2140=Summary!$AD$3,M2140-E2140,M2140),IF(A2140=Summary!$AD$3,L2140-D2140,L2140))</f>
        <v>0</v>
      </c>
      <c r="O2140" s="9">
        <f t="shared" si="283"/>
        <v>0</v>
      </c>
      <c r="P2140" s="107" t="s">
        <v>155</v>
      </c>
      <c r="Q2140" s="95"/>
      <c r="R2140" s="95">
        <v>3.4912410000000005E-2</v>
      </c>
      <c r="S2140" s="95"/>
      <c r="T2140" s="95"/>
      <c r="U2140" s="95"/>
      <c r="V2140" s="95"/>
      <c r="W2140" s="95"/>
      <c r="X2140" s="95"/>
      <c r="Y2140" s="95"/>
      <c r="Z2140" s="95"/>
      <c r="AA2140" s="95"/>
      <c r="AB2140" s="95"/>
      <c r="AC2140" s="355"/>
      <c r="AD2140" s="355"/>
      <c r="AE2140" s="355"/>
      <c r="AF2140" s="94">
        <f t="shared" si="286"/>
        <v>43131</v>
      </c>
      <c r="AG2140" s="185">
        <f t="shared" si="289"/>
        <v>4.9955447518728491E-2</v>
      </c>
      <c r="AH2140" s="339" t="str">
        <f>VLOOKUP(B2140,'MF PF'!A:B,2)</f>
        <v>FdMgt1</v>
      </c>
      <c r="AI2140" s="358">
        <f t="shared" si="287"/>
        <v>0</v>
      </c>
      <c r="AJ2140" s="94">
        <f t="shared" si="288"/>
        <v>43131</v>
      </c>
    </row>
    <row r="2141" spans="1:36" ht="12.75" customHeight="1">
      <c r="A2141" s="8">
        <v>43159</v>
      </c>
      <c r="B2141" s="358" t="s">
        <v>175</v>
      </c>
      <c r="C2141" s="92" t="s">
        <v>303</v>
      </c>
      <c r="D2141" s="93">
        <v>1201304.75</v>
      </c>
      <c r="E2141" s="95"/>
      <c r="F2141" s="93"/>
      <c r="G2141" s="95"/>
      <c r="H2141" s="93"/>
      <c r="I2141" s="93"/>
      <c r="K2141" s="93"/>
      <c r="L2141" s="93">
        <f t="shared" si="284"/>
        <v>0</v>
      </c>
      <c r="M2141" s="95" t="e">
        <f t="shared" ca="1" si="285"/>
        <v>#DIV/0!</v>
      </c>
      <c r="N2141" s="95">
        <f>IF(P2141="Hedge Fund",IF(A2141=Summary!$AD$3,M2141-E2141,M2141),IF(A2141=Summary!$AD$3,L2141-D2141,L2141))</f>
        <v>0</v>
      </c>
      <c r="O2141" s="9">
        <f t="shared" si="283"/>
        <v>0</v>
      </c>
      <c r="P2141" s="89" t="s">
        <v>155</v>
      </c>
      <c r="Q2141" s="95"/>
      <c r="R2141" s="95">
        <v>3.552437E-2</v>
      </c>
      <c r="S2141" s="95"/>
      <c r="T2141" s="95"/>
      <c r="U2141" s="95"/>
      <c r="V2141" s="95"/>
      <c r="W2141" s="95"/>
      <c r="X2141" s="95"/>
      <c r="Y2141" s="95"/>
      <c r="Z2141" s="95"/>
      <c r="AA2141" s="95"/>
      <c r="AB2141" s="95"/>
      <c r="AC2141" s="355"/>
      <c r="AD2141" s="355"/>
      <c r="AE2141" s="355"/>
      <c r="AF2141" s="94">
        <f t="shared" si="286"/>
        <v>43159</v>
      </c>
      <c r="AG2141" s="185">
        <f t="shared" si="289"/>
        <v>2.8950099220512726E-3</v>
      </c>
      <c r="AH2141" s="339" t="str">
        <f>VLOOKUP(B2141,'MF PF'!A:B,2)</f>
        <v>FdMgt1</v>
      </c>
      <c r="AI2141" s="358">
        <f t="shared" si="287"/>
        <v>0</v>
      </c>
      <c r="AJ2141" s="94">
        <f t="shared" si="288"/>
        <v>43159</v>
      </c>
    </row>
    <row r="2142" spans="1:36" ht="12.75" customHeight="1">
      <c r="A2142" s="8">
        <v>43190</v>
      </c>
      <c r="B2142" s="358" t="s">
        <v>175</v>
      </c>
      <c r="C2142" s="92" t="s">
        <v>303</v>
      </c>
      <c r="D2142" s="93">
        <v>1211407.8700000001</v>
      </c>
      <c r="E2142" s="95"/>
      <c r="F2142" s="93"/>
      <c r="G2142" s="95"/>
      <c r="H2142" s="93"/>
      <c r="I2142" s="93"/>
      <c r="K2142" s="93"/>
      <c r="L2142" s="93">
        <f t="shared" si="284"/>
        <v>0</v>
      </c>
      <c r="M2142" s="95" t="e">
        <f t="shared" ca="1" si="285"/>
        <v>#DIV/0!</v>
      </c>
      <c r="N2142" s="95">
        <f>IF(P2142="Hedge Fund",IF(A2142=Summary!$AD$3,M2142-E2142,M2142),IF(A2142=Summary!$AD$3,L2142-D2142,L2142))</f>
        <v>0</v>
      </c>
      <c r="O2142" s="9">
        <f t="shared" si="283"/>
        <v>0</v>
      </c>
      <c r="P2142" s="89" t="s">
        <v>155</v>
      </c>
      <c r="Q2142" s="95">
        <v>4.6356800000000005E-3</v>
      </c>
      <c r="R2142" s="95">
        <v>3.7307269999999997E-2</v>
      </c>
      <c r="S2142" s="95"/>
      <c r="T2142" s="95"/>
      <c r="U2142" s="95"/>
      <c r="V2142" s="95"/>
      <c r="W2142" s="95"/>
      <c r="X2142" s="95"/>
      <c r="Y2142" s="95"/>
      <c r="Z2142" s="95"/>
      <c r="AA2142" s="95"/>
      <c r="AB2142" s="95"/>
      <c r="AC2142" s="355"/>
      <c r="AD2142" s="355"/>
      <c r="AE2142" s="355"/>
      <c r="AF2142" s="94">
        <f t="shared" si="286"/>
        <v>43190</v>
      </c>
      <c r="AG2142" s="185">
        <f t="shared" si="289"/>
        <v>8.4101224106540862E-3</v>
      </c>
      <c r="AH2142" s="339" t="str">
        <f>VLOOKUP(B2142,'MF PF'!A:B,2)</f>
        <v>FdMgt1</v>
      </c>
      <c r="AI2142" s="358">
        <f t="shared" si="287"/>
        <v>0</v>
      </c>
      <c r="AJ2142" s="94">
        <f t="shared" si="288"/>
        <v>43190</v>
      </c>
    </row>
    <row r="2143" spans="1:36" ht="12.75" customHeight="1">
      <c r="A2143" s="94">
        <v>43220</v>
      </c>
      <c r="B2143" s="358" t="s">
        <v>175</v>
      </c>
      <c r="C2143" s="358" t="s">
        <v>303</v>
      </c>
      <c r="D2143" s="93">
        <v>1202071.08</v>
      </c>
      <c r="E2143" s="95"/>
      <c r="F2143" s="93"/>
      <c r="G2143" s="95"/>
      <c r="H2143" s="93"/>
      <c r="I2143" s="93"/>
      <c r="K2143" s="93"/>
      <c r="L2143" s="93">
        <f t="shared" si="284"/>
        <v>0</v>
      </c>
      <c r="M2143" s="95" t="e">
        <f t="shared" ca="1" si="285"/>
        <v>#DIV/0!</v>
      </c>
      <c r="N2143" s="95">
        <f>IF(P2143="Hedge Fund",IF(A2143=Summary!$AD$3,M2143-E2143,M2143),IF(A2143=Summary!$AD$3,L2143-D2143,L2143))</f>
        <v>0</v>
      </c>
      <c r="O2143" s="9">
        <f t="shared" ref="O2143:O2206" si="290">N2143</f>
        <v>0</v>
      </c>
      <c r="P2143" s="107" t="s">
        <v>155</v>
      </c>
      <c r="Q2143" s="95"/>
      <c r="R2143" s="95">
        <v>3.56596E-2</v>
      </c>
      <c r="S2143" s="95"/>
      <c r="T2143" s="95"/>
      <c r="U2143" s="95"/>
      <c r="V2143" s="95"/>
      <c r="W2143" s="95"/>
      <c r="X2143" s="95"/>
      <c r="Y2143" s="95"/>
      <c r="Z2143" s="95"/>
      <c r="AA2143" s="95"/>
      <c r="AB2143" s="95"/>
      <c r="AC2143" s="355"/>
      <c r="AD2143" s="355"/>
      <c r="AE2143" s="355"/>
      <c r="AF2143" s="94">
        <f t="shared" si="286"/>
        <v>43220</v>
      </c>
      <c r="AG2143" s="185">
        <f t="shared" si="289"/>
        <v>-7.7073876034832178E-3</v>
      </c>
      <c r="AH2143" s="339" t="str">
        <f>VLOOKUP(B2143,'MF PF'!A:B,2)</f>
        <v>FdMgt1</v>
      </c>
      <c r="AI2143" s="358">
        <f t="shared" si="287"/>
        <v>0</v>
      </c>
      <c r="AJ2143" s="94">
        <f t="shared" si="288"/>
        <v>43220</v>
      </c>
    </row>
    <row r="2144" spans="1:36" ht="12.75" customHeight="1">
      <c r="A2144" s="94">
        <v>43251</v>
      </c>
      <c r="B2144" s="358" t="s">
        <v>175</v>
      </c>
      <c r="C2144" s="358" t="s">
        <v>303</v>
      </c>
      <c r="D2144" s="93">
        <v>1214658.58</v>
      </c>
      <c r="E2144" s="95"/>
      <c r="F2144" s="93"/>
      <c r="G2144" s="95"/>
      <c r="H2144" s="93"/>
      <c r="I2144" s="93"/>
      <c r="K2144" s="93"/>
      <c r="L2144" s="93">
        <f t="shared" si="284"/>
        <v>0</v>
      </c>
      <c r="M2144" s="95" t="e">
        <f t="shared" ca="1" si="285"/>
        <v>#DIV/0!</v>
      </c>
      <c r="N2144" s="95">
        <f>IF(P2144="Hedge Fund",IF(A2144=Summary!$AD$3,M2144-E2144,M2144),IF(A2144=Summary!$AD$3,L2144-D2144,L2144))</f>
        <v>0</v>
      </c>
      <c r="O2144" s="9">
        <f t="shared" si="290"/>
        <v>0</v>
      </c>
      <c r="P2144" s="107" t="s">
        <v>155</v>
      </c>
      <c r="Q2144" s="95"/>
      <c r="R2144" s="95">
        <v>3.788093E-2</v>
      </c>
      <c r="S2144" s="95"/>
      <c r="T2144" s="95"/>
      <c r="U2144" s="95"/>
      <c r="V2144" s="95"/>
      <c r="W2144" s="95"/>
      <c r="X2144" s="95"/>
      <c r="Y2144" s="95"/>
      <c r="Z2144" s="95"/>
      <c r="AA2144" s="95"/>
      <c r="AB2144" s="95"/>
      <c r="AC2144" s="355"/>
      <c r="AD2144" s="355"/>
      <c r="AE2144" s="355"/>
      <c r="AF2144" s="94">
        <f t="shared" si="286"/>
        <v>43251</v>
      </c>
      <c r="AG2144" s="185">
        <f t="shared" si="289"/>
        <v>1.0471510553269336E-2</v>
      </c>
      <c r="AH2144" s="339" t="str">
        <f>VLOOKUP(B2144,'MF PF'!A:B,2)</f>
        <v>FdMgt1</v>
      </c>
      <c r="AI2144" s="358">
        <f t="shared" si="287"/>
        <v>0</v>
      </c>
      <c r="AJ2144" s="94">
        <f t="shared" si="288"/>
        <v>43251</v>
      </c>
    </row>
    <row r="2145" spans="1:36" ht="12.75" customHeight="1">
      <c r="A2145" s="94">
        <v>43281</v>
      </c>
      <c r="B2145" s="358" t="s">
        <v>175</v>
      </c>
      <c r="C2145" s="358" t="s">
        <v>303</v>
      </c>
      <c r="D2145" s="93">
        <v>1207985.23</v>
      </c>
      <c r="E2145" s="95"/>
      <c r="F2145" s="93"/>
      <c r="G2145" s="95"/>
      <c r="H2145" s="93"/>
      <c r="I2145" s="93"/>
      <c r="K2145" s="93"/>
      <c r="L2145" s="93">
        <f t="shared" si="284"/>
        <v>0</v>
      </c>
      <c r="M2145" s="95" t="e">
        <f t="shared" ca="1" si="285"/>
        <v>#DIV/0!</v>
      </c>
      <c r="N2145" s="95">
        <f>IF(P2145="Hedge Fund",IF(A2145=Summary!$AD$3,M2145-E2145,M2145),IF(A2145=Summary!$AD$3,L2145-D2145,L2145))</f>
        <v>0</v>
      </c>
      <c r="O2145" s="9">
        <f t="shared" si="290"/>
        <v>0</v>
      </c>
      <c r="P2145" s="89" t="s">
        <v>155</v>
      </c>
      <c r="Q2145" s="95">
        <v>4.7238100000000002E-3</v>
      </c>
      <c r="R2145" s="95">
        <v>3.6703279999999998E-2</v>
      </c>
      <c r="S2145" s="95"/>
      <c r="T2145" s="95"/>
      <c r="U2145" s="95"/>
      <c r="V2145" s="95"/>
      <c r="W2145" s="95"/>
      <c r="X2145" s="95"/>
      <c r="Y2145" s="95"/>
      <c r="Z2145" s="95"/>
      <c r="AA2145" s="95"/>
      <c r="AB2145" s="95"/>
      <c r="AC2145" s="355"/>
      <c r="AD2145" s="355"/>
      <c r="AE2145" s="355"/>
      <c r="AF2145" s="94">
        <f t="shared" si="286"/>
        <v>43281</v>
      </c>
      <c r="AG2145" s="185">
        <f t="shared" si="289"/>
        <v>-5.4940129760578937E-3</v>
      </c>
      <c r="AH2145" s="339" t="str">
        <f>VLOOKUP(B2145,'MF PF'!A:B,2)</f>
        <v>FdMgt1</v>
      </c>
      <c r="AI2145" s="358">
        <f t="shared" si="287"/>
        <v>0</v>
      </c>
      <c r="AJ2145" s="94">
        <f t="shared" si="288"/>
        <v>43281</v>
      </c>
    </row>
    <row r="2146" spans="1:36" ht="12.75" customHeight="1">
      <c r="A2146" s="8">
        <v>43312</v>
      </c>
      <c r="B2146" s="358" t="s">
        <v>175</v>
      </c>
      <c r="C2146" s="92" t="s">
        <v>303</v>
      </c>
      <c r="D2146" s="93">
        <v>1195679.56</v>
      </c>
      <c r="E2146" s="95"/>
      <c r="F2146" s="93"/>
      <c r="G2146" s="95"/>
      <c r="H2146" s="93"/>
      <c r="I2146" s="93"/>
      <c r="K2146" s="93"/>
      <c r="L2146" s="93">
        <f t="shared" si="284"/>
        <v>0</v>
      </c>
      <c r="M2146" s="95" t="e">
        <f t="shared" ca="1" si="285"/>
        <v>#DIV/0!</v>
      </c>
      <c r="N2146" s="95">
        <f>IF(P2146="Hedge Fund",IF(A2146=Summary!$AD$3,M2146-E2146,M2146),IF(A2146=Summary!$AD$3,L2146-D2146,L2146))</f>
        <v>0</v>
      </c>
      <c r="O2146" s="9">
        <f t="shared" si="290"/>
        <v>0</v>
      </c>
      <c r="P2146" s="89" t="s">
        <v>155</v>
      </c>
      <c r="Q2146" s="95">
        <v>0</v>
      </c>
      <c r="R2146" s="95">
        <v>3.4531690000000004E-2</v>
      </c>
      <c r="S2146" s="95"/>
      <c r="T2146" s="95"/>
      <c r="U2146" s="95"/>
      <c r="V2146" s="95"/>
      <c r="W2146" s="95"/>
      <c r="X2146" s="95"/>
      <c r="Y2146" s="95"/>
      <c r="Z2146" s="95"/>
      <c r="AA2146" s="95"/>
      <c r="AB2146" s="95"/>
      <c r="AC2146" s="355"/>
      <c r="AD2146" s="355"/>
      <c r="AE2146" s="355"/>
      <c r="AF2146" s="94">
        <f t="shared" si="286"/>
        <v>43312</v>
      </c>
      <c r="AG2146" s="185">
        <f t="shared" si="289"/>
        <v>-1.0186937467770107E-2</v>
      </c>
      <c r="AH2146" s="339" t="str">
        <f>VLOOKUP(B2146,'MF PF'!A:B,2)</f>
        <v>FdMgt1</v>
      </c>
      <c r="AI2146" s="358">
        <f t="shared" si="287"/>
        <v>0</v>
      </c>
      <c r="AJ2146" s="94">
        <f t="shared" si="288"/>
        <v>43312</v>
      </c>
    </row>
    <row r="2147" spans="1:36" ht="12.75" customHeight="1">
      <c r="A2147" s="8">
        <v>43343</v>
      </c>
      <c r="B2147" s="358" t="s">
        <v>175</v>
      </c>
      <c r="C2147" s="92" t="s">
        <v>303</v>
      </c>
      <c r="D2147" s="93">
        <v>1186397.32</v>
      </c>
      <c r="E2147" s="95"/>
      <c r="F2147" s="93"/>
      <c r="G2147" s="95"/>
      <c r="H2147" s="93"/>
      <c r="I2147" s="93"/>
      <c r="K2147" s="93"/>
      <c r="L2147" s="93">
        <f t="shared" si="284"/>
        <v>0</v>
      </c>
      <c r="M2147" s="95" t="e">
        <f t="shared" ca="1" si="285"/>
        <v>#DIV/0!</v>
      </c>
      <c r="N2147" s="95">
        <f>IF(P2147="Hedge Fund",IF(A2147=Summary!$AD$3,M2147-E2147,M2147),IF(A2147=Summary!$AD$3,L2147-D2147,L2147))</f>
        <v>0</v>
      </c>
      <c r="O2147" s="9">
        <f t="shared" si="290"/>
        <v>0</v>
      </c>
      <c r="P2147" s="89" t="s">
        <v>155</v>
      </c>
      <c r="Q2147" s="95">
        <v>0</v>
      </c>
      <c r="R2147" s="95">
        <v>3.2893640000000002E-2</v>
      </c>
      <c r="S2147" s="95"/>
      <c r="T2147" s="95"/>
      <c r="U2147" s="95"/>
      <c r="V2147" s="95"/>
      <c r="W2147" s="95"/>
      <c r="X2147" s="95"/>
      <c r="Y2147" s="95"/>
      <c r="Z2147" s="95"/>
      <c r="AA2147" s="95"/>
      <c r="AB2147" s="95"/>
      <c r="AC2147" s="355"/>
      <c r="AD2147" s="355"/>
      <c r="AE2147" s="355"/>
      <c r="AF2147" s="94">
        <f t="shared" si="286"/>
        <v>43343</v>
      </c>
      <c r="AG2147" s="185">
        <f t="shared" si="289"/>
        <v>-7.7631501871622266E-3</v>
      </c>
      <c r="AH2147" s="339" t="str">
        <f>VLOOKUP(B2147,'MF PF'!A:B,2)</f>
        <v>FdMgt1</v>
      </c>
      <c r="AI2147" s="358">
        <f t="shared" si="287"/>
        <v>0</v>
      </c>
      <c r="AJ2147" s="94">
        <f t="shared" si="288"/>
        <v>43343</v>
      </c>
    </row>
    <row r="2148" spans="1:36" ht="12.75" customHeight="1">
      <c r="A2148" s="94">
        <v>43373</v>
      </c>
      <c r="B2148" s="358" t="s">
        <v>175</v>
      </c>
      <c r="C2148" s="358" t="s">
        <v>303</v>
      </c>
      <c r="D2148" s="93">
        <v>1141478.79</v>
      </c>
      <c r="E2148" s="95"/>
      <c r="F2148" s="93"/>
      <c r="G2148" s="95"/>
      <c r="H2148" s="93"/>
      <c r="I2148" s="93"/>
      <c r="K2148" s="93"/>
      <c r="L2148" s="93">
        <f t="shared" si="284"/>
        <v>0</v>
      </c>
      <c r="M2148" s="95" t="e">
        <f t="shared" ca="1" si="285"/>
        <v>#DIV/0!</v>
      </c>
      <c r="N2148" s="95">
        <f>IF(P2148="Hedge Fund",IF(A2148=Summary!$AD$3,M2148-E2148,M2148),IF(A2148=Summary!$AD$3,L2148-D2148,L2148))</f>
        <v>0</v>
      </c>
      <c r="O2148" s="9">
        <f t="shared" si="290"/>
        <v>0</v>
      </c>
      <c r="P2148" s="89" t="s">
        <v>155</v>
      </c>
      <c r="Q2148" s="95">
        <v>4.3785600000000001E-3</v>
      </c>
      <c r="R2148" s="95">
        <v>2.4966849999999999E-2</v>
      </c>
      <c r="S2148" s="95"/>
      <c r="T2148" s="95"/>
      <c r="U2148" s="95"/>
      <c r="V2148" s="95"/>
      <c r="W2148" s="95"/>
      <c r="X2148" s="95"/>
      <c r="Y2148" s="95"/>
      <c r="Z2148" s="95"/>
      <c r="AA2148" s="95"/>
      <c r="AB2148" s="95"/>
      <c r="AC2148" s="355"/>
      <c r="AD2148" s="355"/>
      <c r="AE2148" s="355"/>
      <c r="AF2148" s="94">
        <f t="shared" si="286"/>
        <v>43373</v>
      </c>
      <c r="AG2148" s="185">
        <f t="shared" si="289"/>
        <v>-3.7861287481667616E-2</v>
      </c>
      <c r="AH2148" s="339" t="str">
        <f>VLOOKUP(B2148,'MF PF'!A:B,2)</f>
        <v>FdMgt1</v>
      </c>
      <c r="AI2148" s="358">
        <f t="shared" si="287"/>
        <v>0</v>
      </c>
      <c r="AJ2148" s="94">
        <f t="shared" si="288"/>
        <v>43373</v>
      </c>
    </row>
    <row r="2149" spans="1:36" ht="12.75" customHeight="1">
      <c r="A2149" s="94">
        <v>43404</v>
      </c>
      <c r="B2149" s="358" t="s">
        <v>175</v>
      </c>
      <c r="C2149" s="358" t="s">
        <v>303</v>
      </c>
      <c r="D2149" s="93">
        <v>1130299.3389999999</v>
      </c>
      <c r="E2149" s="95"/>
      <c r="F2149" s="93">
        <v>1</v>
      </c>
      <c r="G2149" s="93"/>
      <c r="H2149" s="93">
        <v>0</v>
      </c>
      <c r="I2149" s="93">
        <v>0</v>
      </c>
      <c r="J2149" s="93">
        <v>0</v>
      </c>
      <c r="K2149" s="93"/>
      <c r="L2149" s="93">
        <f t="shared" si="284"/>
        <v>0</v>
      </c>
      <c r="M2149" s="95" t="e">
        <f t="shared" ca="1" si="285"/>
        <v>#DIV/0!</v>
      </c>
      <c r="N2149" s="95">
        <f>IF(P2149="Hedge Fund",IF(A2149=Summary!$AD$3,M2149-E2149,M2149),IF(A2149=Summary!$AD$3,L2149-D2149,L2149))</f>
        <v>0</v>
      </c>
      <c r="O2149" s="9">
        <f t="shared" si="290"/>
        <v>0</v>
      </c>
      <c r="P2149" s="95" t="s">
        <v>155</v>
      </c>
      <c r="Q2149" s="95">
        <v>5.9447563034687187E-3</v>
      </c>
      <c r="R2149" s="95">
        <v>2.299400100000001E-2</v>
      </c>
      <c r="S2149" s="95"/>
      <c r="T2149" s="95"/>
      <c r="U2149" s="95"/>
      <c r="V2149" s="95"/>
      <c r="W2149" s="95"/>
      <c r="X2149" s="95"/>
      <c r="Y2149" s="95"/>
      <c r="Z2149" s="95"/>
      <c r="AA2149" s="95"/>
      <c r="AB2149" s="95"/>
      <c r="AC2149" s="355"/>
      <c r="AD2149" s="355"/>
      <c r="AE2149" s="355"/>
      <c r="AF2149" s="94">
        <f t="shared" si="286"/>
        <v>43404</v>
      </c>
      <c r="AG2149" s="185">
        <f t="shared" si="289"/>
        <v>-9.7938315612505766E-3</v>
      </c>
      <c r="AH2149" s="339" t="str">
        <f>VLOOKUP(B2149,'MF PF'!A:B,2)</f>
        <v>FdMgt1</v>
      </c>
      <c r="AI2149" s="358">
        <f t="shared" si="287"/>
        <v>0</v>
      </c>
      <c r="AJ2149" s="94">
        <f t="shared" si="288"/>
        <v>43404</v>
      </c>
    </row>
    <row r="2150" spans="1:36" ht="12.75" customHeight="1">
      <c r="A2150" s="94">
        <v>43434</v>
      </c>
      <c r="B2150" s="358" t="s">
        <v>175</v>
      </c>
      <c r="C2150" s="358" t="s">
        <v>303</v>
      </c>
      <c r="D2150" s="93">
        <v>1130581.318</v>
      </c>
      <c r="E2150" s="95"/>
      <c r="F2150" s="93">
        <v>1</v>
      </c>
      <c r="G2150" s="93"/>
      <c r="H2150" s="93">
        <v>0</v>
      </c>
      <c r="I2150" s="93">
        <v>0</v>
      </c>
      <c r="K2150" s="93">
        <v>0</v>
      </c>
      <c r="L2150" s="93">
        <f t="shared" si="284"/>
        <v>0</v>
      </c>
      <c r="M2150" s="95" t="e">
        <f t="shared" ca="1" si="285"/>
        <v>#DIV/0!</v>
      </c>
      <c r="N2150" s="95">
        <f>IF(P2150="Hedge Fund",IF(A2150=Summary!$AD$3,M2150-E2150,M2150),IF(A2150=Summary!$AD$3,L2150-D2150,L2150))</f>
        <v>0</v>
      </c>
      <c r="O2150" s="9">
        <f t="shared" si="290"/>
        <v>0</v>
      </c>
      <c r="P2150" s="95" t="s">
        <v>155</v>
      </c>
      <c r="Q2150" s="95">
        <v>3.0055917757558673E-3</v>
      </c>
      <c r="R2150" s="95">
        <v>2.3043762000000009E-2</v>
      </c>
      <c r="S2150" s="95"/>
      <c r="T2150" s="95"/>
      <c r="U2150" s="95"/>
      <c r="V2150" s="95"/>
      <c r="W2150" s="95"/>
      <c r="X2150" s="95"/>
      <c r="Y2150" s="95"/>
      <c r="Z2150" s="95"/>
      <c r="AA2150" s="95"/>
      <c r="AB2150" s="95"/>
      <c r="AC2150" s="355"/>
      <c r="AD2150" s="355"/>
      <c r="AE2150" s="355"/>
      <c r="AF2150" s="94">
        <f t="shared" si="286"/>
        <v>43434</v>
      </c>
      <c r="AG2150" s="185">
        <f t="shared" si="289"/>
        <v>2.4947285225307425E-4</v>
      </c>
      <c r="AH2150" s="339" t="str">
        <f>VLOOKUP(B2150,'MF PF'!A:B,2)</f>
        <v>FdMgt1</v>
      </c>
      <c r="AI2150" s="358">
        <f t="shared" si="287"/>
        <v>0</v>
      </c>
      <c r="AJ2150" s="94">
        <f t="shared" si="288"/>
        <v>43434</v>
      </c>
    </row>
    <row r="2151" spans="1:36" ht="12.75" customHeight="1">
      <c r="A2151" s="8">
        <v>43465</v>
      </c>
      <c r="B2151" s="358" t="s">
        <v>175</v>
      </c>
      <c r="C2151" s="358" t="s">
        <v>303</v>
      </c>
      <c r="D2151" s="93">
        <v>1145155.554</v>
      </c>
      <c r="E2151" s="95"/>
      <c r="F2151" s="93">
        <v>1</v>
      </c>
      <c r="G2151" s="93"/>
      <c r="H2151" s="93">
        <v>0</v>
      </c>
      <c r="I2151" s="93">
        <v>0</v>
      </c>
      <c r="K2151" s="93">
        <v>0</v>
      </c>
      <c r="L2151" s="93">
        <f t="shared" si="284"/>
        <v>0</v>
      </c>
      <c r="M2151" s="95" t="e">
        <f t="shared" ca="1" si="285"/>
        <v>#DIV/0!</v>
      </c>
      <c r="N2151" s="95">
        <f>IF(P2151="Hedge Fund",IF(A2151=Summary!$AD$3,M2151-E2151,M2151),IF(A2151=Summary!$AD$3,L2151-D2151,L2151))</f>
        <v>0</v>
      </c>
      <c r="O2151" s="9">
        <f t="shared" si="290"/>
        <v>0</v>
      </c>
      <c r="P2151" s="95" t="s">
        <v>155</v>
      </c>
      <c r="Q2151" s="95">
        <v>4.5402443685317881E-3</v>
      </c>
      <c r="R2151" s="95">
        <v>2.5615685999999999E-2</v>
      </c>
      <c r="S2151" s="95"/>
      <c r="T2151" s="95"/>
      <c r="U2151" s="95"/>
      <c r="V2151" s="95"/>
      <c r="W2151" s="95"/>
      <c r="X2151" s="95"/>
      <c r="Y2151" s="95"/>
      <c r="Z2151" s="95"/>
      <c r="AA2151" s="95"/>
      <c r="AB2151" s="95"/>
      <c r="AC2151" s="355"/>
      <c r="AD2151" s="355"/>
      <c r="AE2151" s="355"/>
      <c r="AF2151" s="94">
        <f t="shared" si="286"/>
        <v>43465</v>
      </c>
      <c r="AG2151" s="185">
        <f t="shared" si="289"/>
        <v>1.2890922367072122E-2</v>
      </c>
      <c r="AH2151" s="339" t="str">
        <f>VLOOKUP(B2151,'MF PF'!A:B,2)</f>
        <v>FdMgt1</v>
      </c>
      <c r="AI2151" s="358">
        <f t="shared" si="287"/>
        <v>0</v>
      </c>
      <c r="AJ2151" s="94">
        <f t="shared" si="288"/>
        <v>43465</v>
      </c>
    </row>
    <row r="2152" spans="1:36" ht="12.75" customHeight="1">
      <c r="A2152" s="8">
        <v>43496</v>
      </c>
      <c r="B2152" s="358" t="s">
        <v>175</v>
      </c>
      <c r="C2152" s="358" t="s">
        <v>303</v>
      </c>
      <c r="D2152" s="93">
        <v>1176311.6495000001</v>
      </c>
      <c r="E2152" s="95"/>
      <c r="F2152" s="93">
        <v>1</v>
      </c>
      <c r="G2152" s="93"/>
      <c r="H2152" s="93">
        <v>0</v>
      </c>
      <c r="I2152" s="93">
        <v>0</v>
      </c>
      <c r="K2152" s="93">
        <v>0</v>
      </c>
      <c r="L2152" s="93">
        <f t="shared" si="284"/>
        <v>0</v>
      </c>
      <c r="M2152" s="95" t="e">
        <f t="shared" ca="1" si="285"/>
        <v>#DIV/0!</v>
      </c>
      <c r="N2152" s="95">
        <f>IF(P2152="Hedge Fund",IF(A2152=Summary!$AD$3,M2152-E2152,M2152),IF(A2152=Summary!$AD$3,L2152-D2152,L2152))</f>
        <v>-1176311.6495000001</v>
      </c>
      <c r="O2152" s="95">
        <f t="shared" si="290"/>
        <v>-1176311.6495000001</v>
      </c>
      <c r="P2152" s="95" t="s">
        <v>155</v>
      </c>
      <c r="Q2152" s="95">
        <v>1.5403435687186813E-3</v>
      </c>
      <c r="R2152" s="95">
        <v>3.1113820499999993E-2</v>
      </c>
      <c r="S2152" s="95"/>
      <c r="T2152" s="95"/>
      <c r="U2152" s="95"/>
      <c r="V2152" s="95"/>
      <c r="W2152" s="95"/>
      <c r="X2152" s="95"/>
      <c r="Y2152" s="95"/>
      <c r="Z2152" s="95"/>
      <c r="AA2152" s="95"/>
      <c r="AB2152" s="95"/>
      <c r="AC2152" s="355"/>
      <c r="AD2152" s="355"/>
      <c r="AE2152" s="355"/>
      <c r="AF2152" s="94">
        <f t="shared" si="286"/>
        <v>43496</v>
      </c>
      <c r="AG2152" s="185">
        <f t="shared" si="289"/>
        <v>2.7206867565871429E-2</v>
      </c>
      <c r="AH2152" s="339" t="str">
        <f>VLOOKUP(B2152,'MF PF'!A:B,2)</f>
        <v>FdMgt1</v>
      </c>
      <c r="AI2152" s="358">
        <f t="shared" si="287"/>
        <v>0</v>
      </c>
      <c r="AJ2152" s="94">
        <f t="shared" si="288"/>
        <v>43496</v>
      </c>
    </row>
    <row r="2153" spans="1:36" ht="12.75" customHeight="1">
      <c r="A2153" s="94">
        <v>42695</v>
      </c>
      <c r="B2153" s="358" t="s">
        <v>175</v>
      </c>
      <c r="C2153" s="358" t="s">
        <v>325</v>
      </c>
      <c r="D2153" s="93"/>
      <c r="E2153" s="95"/>
      <c r="F2153" s="93"/>
      <c r="G2153" s="95">
        <v>340000</v>
      </c>
      <c r="H2153" s="93"/>
      <c r="I2153" s="93"/>
      <c r="K2153" s="93"/>
      <c r="L2153" s="93">
        <f t="shared" si="284"/>
        <v>340000</v>
      </c>
      <c r="M2153" s="95">
        <f t="shared" ca="1" si="285"/>
        <v>0</v>
      </c>
      <c r="N2153" s="95">
        <f>IF(P2153="Hedge Fund",IF(A2153=Summary!$AD$3,M2153-E2153,M2153),IF(A2153=Summary!$AD$3,L2153-D2153,L2153))</f>
        <v>340000</v>
      </c>
      <c r="O2153" s="9">
        <f t="shared" si="290"/>
        <v>340000</v>
      </c>
      <c r="P2153" s="89" t="s">
        <v>155</v>
      </c>
      <c r="Q2153" s="95">
        <v>0</v>
      </c>
      <c r="R2153" s="95">
        <v>0</v>
      </c>
      <c r="S2153" s="95"/>
      <c r="T2153" s="95"/>
      <c r="U2153" s="95"/>
      <c r="V2153" s="95"/>
      <c r="W2153" s="95"/>
      <c r="X2153" s="95"/>
      <c r="Y2153" s="95"/>
      <c r="Z2153" s="95"/>
      <c r="AA2153" s="95"/>
      <c r="AB2153" s="95"/>
      <c r="AC2153" s="355"/>
      <c r="AD2153" s="355"/>
      <c r="AE2153" s="355"/>
      <c r="AF2153" s="94">
        <f t="shared" si="286"/>
        <v>42695</v>
      </c>
      <c r="AG2153" s="185">
        <f t="shared" si="289"/>
        <v>-1</v>
      </c>
      <c r="AH2153" s="339" t="str">
        <f>VLOOKUP(B2153,'MF PF'!A:B,2)</f>
        <v>FdMgt1</v>
      </c>
      <c r="AI2153" s="358">
        <f t="shared" si="287"/>
        <v>0</v>
      </c>
      <c r="AJ2153" s="94">
        <f t="shared" si="288"/>
        <v>42704</v>
      </c>
    </row>
    <row r="2154" spans="1:36" ht="12.75" customHeight="1">
      <c r="A2154" s="8">
        <v>42695</v>
      </c>
      <c r="B2154" s="358" t="s">
        <v>175</v>
      </c>
      <c r="C2154" s="358" t="s">
        <v>325</v>
      </c>
      <c r="D2154" s="93"/>
      <c r="E2154" s="95"/>
      <c r="F2154" s="93"/>
      <c r="G2154" s="95">
        <v>1942405</v>
      </c>
      <c r="H2154" s="93"/>
      <c r="I2154" s="93"/>
      <c r="K2154" s="93"/>
      <c r="L2154" s="93">
        <f t="shared" si="284"/>
        <v>1942405</v>
      </c>
      <c r="M2154" s="95">
        <f t="shared" ca="1" si="285"/>
        <v>0</v>
      </c>
      <c r="N2154" s="95">
        <f>IF(P2154="Hedge Fund",IF(A2154=Summary!$AD$3,M2154-E2154,M2154),IF(A2154=Summary!$AD$3,L2154-D2154,L2154))</f>
        <v>1942405</v>
      </c>
      <c r="O2154" s="9">
        <f t="shared" si="290"/>
        <v>1942405</v>
      </c>
      <c r="P2154" s="89" t="s">
        <v>155</v>
      </c>
      <c r="Q2154" s="95">
        <v>0</v>
      </c>
      <c r="R2154" s="95">
        <v>0</v>
      </c>
      <c r="S2154" s="95"/>
      <c r="T2154" s="95"/>
      <c r="U2154" s="95"/>
      <c r="V2154" s="95"/>
      <c r="W2154" s="95"/>
      <c r="X2154" s="95"/>
      <c r="Y2154" s="95"/>
      <c r="Z2154" s="95"/>
      <c r="AA2154" s="95"/>
      <c r="AB2154" s="95"/>
      <c r="AC2154" s="355"/>
      <c r="AD2154" s="355"/>
      <c r="AE2154" s="355"/>
      <c r="AF2154" s="94">
        <f t="shared" si="286"/>
        <v>42695</v>
      </c>
      <c r="AG2154" s="185" t="e">
        <f t="shared" si="289"/>
        <v>#DIV/0!</v>
      </c>
      <c r="AH2154" s="339" t="str">
        <f>VLOOKUP(B2154,'MF PF'!A:B,2)</f>
        <v>FdMgt1</v>
      </c>
      <c r="AI2154" s="358">
        <f t="shared" si="287"/>
        <v>0</v>
      </c>
      <c r="AJ2154" s="94">
        <f t="shared" si="288"/>
        <v>42704</v>
      </c>
    </row>
    <row r="2155" spans="1:36" ht="12.75" customHeight="1">
      <c r="A2155" s="94">
        <v>42703</v>
      </c>
      <c r="B2155" s="358" t="s">
        <v>175</v>
      </c>
      <c r="C2155" s="92" t="s">
        <v>325</v>
      </c>
      <c r="D2155" s="93"/>
      <c r="E2155" s="95"/>
      <c r="F2155" s="93"/>
      <c r="G2155" s="95">
        <v>805000</v>
      </c>
      <c r="H2155" s="93"/>
      <c r="I2155" s="93"/>
      <c r="K2155" s="93"/>
      <c r="L2155" s="93">
        <f t="shared" si="284"/>
        <v>805000</v>
      </c>
      <c r="M2155" s="95" t="e">
        <f t="shared" ca="1" si="285"/>
        <v>#DIV/0!</v>
      </c>
      <c r="N2155" s="95">
        <f>IF(P2155="Hedge Fund",IF(A2155=Summary!$AD$3,M2155-E2155,M2155),IF(A2155=Summary!$AD$3,L2155-D2155,L2155))</f>
        <v>805000</v>
      </c>
      <c r="O2155" s="9">
        <f t="shared" si="290"/>
        <v>805000</v>
      </c>
      <c r="P2155" s="107" t="s">
        <v>155</v>
      </c>
      <c r="Q2155" s="95">
        <v>0</v>
      </c>
      <c r="R2155" s="95">
        <v>0</v>
      </c>
      <c r="S2155" s="95"/>
      <c r="T2155" s="95"/>
      <c r="U2155" s="95"/>
      <c r="V2155" s="95"/>
      <c r="W2155" s="95"/>
      <c r="X2155" s="95"/>
      <c r="Y2155" s="95"/>
      <c r="Z2155" s="95"/>
      <c r="AA2155" s="95"/>
      <c r="AB2155" s="95"/>
      <c r="AC2155" s="355"/>
      <c r="AD2155" s="355"/>
      <c r="AE2155" s="355"/>
      <c r="AF2155" s="94">
        <f t="shared" si="286"/>
        <v>42703</v>
      </c>
      <c r="AG2155" s="185" t="e">
        <f t="shared" si="289"/>
        <v>#DIV/0!</v>
      </c>
      <c r="AH2155" s="339" t="str">
        <f>VLOOKUP(B2155,'MF PF'!A:B,2)</f>
        <v>FdMgt1</v>
      </c>
      <c r="AI2155" s="358">
        <f t="shared" si="287"/>
        <v>0</v>
      </c>
      <c r="AJ2155" s="94">
        <f t="shared" si="288"/>
        <v>42704</v>
      </c>
    </row>
    <row r="2156" spans="1:36" ht="12.75" customHeight="1">
      <c r="A2156" s="8">
        <v>42704</v>
      </c>
      <c r="B2156" s="358" t="s">
        <v>175</v>
      </c>
      <c r="C2156" s="92" t="s">
        <v>325</v>
      </c>
      <c r="D2156" s="93">
        <v>3077761.88</v>
      </c>
      <c r="E2156" s="95"/>
      <c r="F2156" s="93"/>
      <c r="G2156" s="95"/>
      <c r="H2156" s="93"/>
      <c r="I2156" s="93"/>
      <c r="K2156" s="93"/>
      <c r="L2156" s="93">
        <f t="shared" si="284"/>
        <v>0</v>
      </c>
      <c r="M2156" s="95" t="e">
        <f t="shared" ca="1" si="285"/>
        <v>#DIV/0!</v>
      </c>
      <c r="N2156" s="95">
        <f>IF(P2156="Hedge Fund",IF(A2156=Summary!$AD$3,M2156-E2156,M2156),IF(A2156=Summary!$AD$3,L2156-D2156,L2156))</f>
        <v>0</v>
      </c>
      <c r="O2156" s="9">
        <f t="shared" si="290"/>
        <v>0</v>
      </c>
      <c r="P2156" s="89" t="s">
        <v>155</v>
      </c>
      <c r="Q2156" s="95">
        <v>9.1087999999999985E-3</v>
      </c>
      <c r="R2156" s="95">
        <v>0</v>
      </c>
      <c r="S2156" s="95"/>
      <c r="T2156" s="95"/>
      <c r="U2156" s="95"/>
      <c r="V2156" s="95"/>
      <c r="W2156" s="95"/>
      <c r="X2156" s="95"/>
      <c r="Y2156" s="95"/>
      <c r="Z2156" s="95"/>
      <c r="AA2156" s="95"/>
      <c r="AB2156" s="95"/>
      <c r="AC2156" s="355"/>
      <c r="AD2156" s="355"/>
      <c r="AE2156" s="355"/>
      <c r="AF2156" s="94">
        <f t="shared" si="286"/>
        <v>42704</v>
      </c>
      <c r="AG2156" s="185" t="e">
        <f t="shared" si="289"/>
        <v>#DIV/0!</v>
      </c>
      <c r="AH2156" s="339" t="str">
        <f>VLOOKUP(B2156,'MF PF'!A:B,2)</f>
        <v>FdMgt1</v>
      </c>
      <c r="AI2156" s="358">
        <f t="shared" si="287"/>
        <v>0</v>
      </c>
      <c r="AJ2156" s="94">
        <f t="shared" si="288"/>
        <v>42704</v>
      </c>
    </row>
    <row r="2157" spans="1:36" ht="12.75" customHeight="1">
      <c r="A2157" s="8">
        <v>42735</v>
      </c>
      <c r="B2157" s="358" t="s">
        <v>175</v>
      </c>
      <c r="C2157" s="92" t="s">
        <v>325</v>
      </c>
      <c r="D2157" s="93">
        <v>3049268.25</v>
      </c>
      <c r="E2157" s="95"/>
      <c r="F2157" s="93"/>
      <c r="G2157" s="95"/>
      <c r="H2157" s="93"/>
      <c r="I2157" s="93"/>
      <c r="K2157" s="93"/>
      <c r="L2157" s="93">
        <f t="shared" si="284"/>
        <v>0</v>
      </c>
      <c r="M2157" s="95" t="e">
        <f t="shared" ca="1" si="285"/>
        <v>#DIV/0!</v>
      </c>
      <c r="N2157" s="95">
        <f>IF(P2157="Hedge Fund",IF(A2157=Summary!$AD$3,M2157-E2157,M2157),IF(A2157=Summary!$AD$3,L2157-D2157,L2157))</f>
        <v>0</v>
      </c>
      <c r="O2157" s="9">
        <f t="shared" si="290"/>
        <v>0</v>
      </c>
      <c r="P2157" s="107" t="s">
        <v>155</v>
      </c>
      <c r="Q2157" s="95">
        <v>9.0349599999999999E-3</v>
      </c>
      <c r="R2157" s="95">
        <v>0</v>
      </c>
      <c r="S2157" s="95"/>
      <c r="T2157" s="95"/>
      <c r="U2157" s="95"/>
      <c r="V2157" s="95"/>
      <c r="W2157" s="95"/>
      <c r="X2157" s="95"/>
      <c r="Y2157" s="95"/>
      <c r="Z2157" s="95"/>
      <c r="AA2157" s="95"/>
      <c r="AB2157" s="95"/>
      <c r="AC2157" s="355"/>
      <c r="AD2157" s="355"/>
      <c r="AE2157" s="355"/>
      <c r="AF2157" s="94">
        <f t="shared" si="286"/>
        <v>42735</v>
      </c>
      <c r="AG2157" s="185">
        <f t="shared" si="289"/>
        <v>-9.2579059430029087E-3</v>
      </c>
      <c r="AH2157" s="339" t="str">
        <f>VLOOKUP(B2157,'MF PF'!A:B,2)</f>
        <v>FdMgt1</v>
      </c>
      <c r="AI2157" s="358">
        <f t="shared" si="287"/>
        <v>0</v>
      </c>
      <c r="AJ2157" s="94">
        <f t="shared" si="288"/>
        <v>42735</v>
      </c>
    </row>
    <row r="2158" spans="1:36" ht="12.75" customHeight="1">
      <c r="A2158" s="8">
        <v>42766</v>
      </c>
      <c r="B2158" s="358" t="s">
        <v>175</v>
      </c>
      <c r="C2158" s="92" t="s">
        <v>325</v>
      </c>
      <c r="D2158" s="93">
        <v>3113612.56</v>
      </c>
      <c r="E2158" s="95"/>
      <c r="F2158" s="93"/>
      <c r="G2158" s="95"/>
      <c r="H2158" s="93"/>
      <c r="I2158" s="93"/>
      <c r="K2158" s="93"/>
      <c r="L2158" s="93">
        <f t="shared" si="284"/>
        <v>0</v>
      </c>
      <c r="M2158" s="95" t="e">
        <f t="shared" ca="1" si="285"/>
        <v>#DIV/0!</v>
      </c>
      <c r="N2158" s="95">
        <f>IF(P2158="Hedge Fund",IF(A2158=Summary!$AD$3,M2158-E2158,M2158),IF(A2158=Summary!$AD$3,L2158-D2158,L2158))</f>
        <v>0</v>
      </c>
      <c r="O2158" s="9">
        <f t="shared" si="290"/>
        <v>0</v>
      </c>
      <c r="P2158" s="107" t="s">
        <v>155</v>
      </c>
      <c r="Q2158" s="95">
        <v>1.164433E-2</v>
      </c>
      <c r="R2158" s="95">
        <v>2.2789200000000003E-3</v>
      </c>
      <c r="S2158" s="95"/>
      <c r="T2158" s="95"/>
      <c r="U2158" s="95"/>
      <c r="V2158" s="95"/>
      <c r="W2158" s="95"/>
      <c r="X2158" s="95"/>
      <c r="Y2158" s="95"/>
      <c r="Z2158" s="95"/>
      <c r="AA2158" s="95"/>
      <c r="AB2158" s="95"/>
      <c r="AC2158" s="355"/>
      <c r="AD2158" s="355"/>
      <c r="AE2158" s="355"/>
      <c r="AF2158" s="94">
        <f t="shared" si="286"/>
        <v>42766</v>
      </c>
      <c r="AG2158" s="185">
        <f t="shared" si="289"/>
        <v>2.1101557726185716E-2</v>
      </c>
      <c r="AH2158" s="339" t="str">
        <f>VLOOKUP(B2158,'MF PF'!A:B,2)</f>
        <v>FdMgt1</v>
      </c>
      <c r="AI2158" s="358">
        <f t="shared" si="287"/>
        <v>0</v>
      </c>
      <c r="AJ2158" s="94">
        <f t="shared" si="288"/>
        <v>42766</v>
      </c>
    </row>
    <row r="2159" spans="1:36" ht="12.75" customHeight="1">
      <c r="A2159" s="8">
        <v>42793</v>
      </c>
      <c r="B2159" s="358" t="s">
        <v>175</v>
      </c>
      <c r="C2159" s="92" t="s">
        <v>325</v>
      </c>
      <c r="D2159" s="93"/>
      <c r="E2159" s="95"/>
      <c r="F2159" s="93"/>
      <c r="G2159" s="95">
        <v>470000</v>
      </c>
      <c r="H2159" s="93"/>
      <c r="I2159" s="93"/>
      <c r="K2159" s="93"/>
      <c r="L2159" s="93">
        <f t="shared" si="284"/>
        <v>470000</v>
      </c>
      <c r="M2159" s="95" t="e">
        <f t="shared" ca="1" si="285"/>
        <v>#DIV/0!</v>
      </c>
      <c r="N2159" s="95">
        <f>IF(P2159="Hedge Fund",IF(A2159=Summary!$AD$3,M2159-E2159,M2159),IF(A2159=Summary!$AD$3,L2159-D2159,L2159))</f>
        <v>470000</v>
      </c>
      <c r="O2159" s="9">
        <f t="shared" si="290"/>
        <v>470000</v>
      </c>
      <c r="P2159" s="107" t="s">
        <v>155</v>
      </c>
      <c r="Q2159" s="95">
        <v>0</v>
      </c>
      <c r="R2159" s="95">
        <v>0</v>
      </c>
      <c r="S2159" s="95"/>
      <c r="T2159" s="95"/>
      <c r="U2159" s="95"/>
      <c r="V2159" s="95"/>
      <c r="W2159" s="95"/>
      <c r="X2159" s="95"/>
      <c r="Y2159" s="95"/>
      <c r="Z2159" s="95"/>
      <c r="AA2159" s="95"/>
      <c r="AB2159" s="95"/>
      <c r="AC2159" s="355"/>
      <c r="AD2159" s="355"/>
      <c r="AE2159" s="355"/>
      <c r="AF2159" s="94">
        <f t="shared" si="286"/>
        <v>42793</v>
      </c>
      <c r="AG2159" s="185">
        <f t="shared" si="289"/>
        <v>-1.150950059117182</v>
      </c>
      <c r="AH2159" s="339" t="str">
        <f>VLOOKUP(B2159,'MF PF'!A:B,2)</f>
        <v>FdMgt1</v>
      </c>
      <c r="AI2159" s="358">
        <f t="shared" si="287"/>
        <v>0</v>
      </c>
      <c r="AJ2159" s="94">
        <f t="shared" si="288"/>
        <v>42794</v>
      </c>
    </row>
    <row r="2160" spans="1:36" ht="12.75" customHeight="1">
      <c r="A2160" s="94">
        <v>42794</v>
      </c>
      <c r="B2160" s="358" t="s">
        <v>175</v>
      </c>
      <c r="C2160" s="92" t="s">
        <v>325</v>
      </c>
      <c r="D2160" s="93">
        <v>3747763.06</v>
      </c>
      <c r="E2160" s="95"/>
      <c r="F2160" s="93"/>
      <c r="G2160" s="95"/>
      <c r="H2160" s="93"/>
      <c r="I2160" s="93"/>
      <c r="K2160" s="93"/>
      <c r="L2160" s="93">
        <f t="shared" si="284"/>
        <v>0</v>
      </c>
      <c r="M2160" s="95" t="e">
        <f t="shared" ca="1" si="285"/>
        <v>#DIV/0!</v>
      </c>
      <c r="N2160" s="95">
        <f>IF(P2160="Hedge Fund",IF(A2160=Summary!$AD$3,M2160-E2160,M2160),IF(A2160=Summary!$AD$3,L2160-D2160,L2160))</f>
        <v>0</v>
      </c>
      <c r="O2160" s="9">
        <f t="shared" si="290"/>
        <v>0</v>
      </c>
      <c r="P2160" s="107" t="s">
        <v>155</v>
      </c>
      <c r="Q2160" s="95">
        <v>1.0561389999999999E-2</v>
      </c>
      <c r="R2160" s="95">
        <v>1.4879950000000001E-2</v>
      </c>
      <c r="S2160" s="95"/>
      <c r="T2160" s="95"/>
      <c r="U2160" s="95"/>
      <c r="V2160" s="95"/>
      <c r="W2160" s="95"/>
      <c r="X2160" s="95"/>
      <c r="Y2160" s="95"/>
      <c r="Z2160" s="95"/>
      <c r="AA2160" s="95"/>
      <c r="AB2160" s="95"/>
      <c r="AC2160" s="355"/>
      <c r="AD2160" s="355"/>
      <c r="AE2160" s="355"/>
      <c r="AF2160" s="94">
        <f t="shared" si="286"/>
        <v>42794</v>
      </c>
      <c r="AG2160" s="185" t="e">
        <f t="shared" si="289"/>
        <v>#DIV/0!</v>
      </c>
      <c r="AH2160" s="339" t="str">
        <f>VLOOKUP(B2160,'MF PF'!A:B,2)</f>
        <v>FdMgt1</v>
      </c>
      <c r="AI2160" s="358">
        <f t="shared" si="287"/>
        <v>0</v>
      </c>
      <c r="AJ2160" s="94">
        <f t="shared" si="288"/>
        <v>42794</v>
      </c>
    </row>
    <row r="2161" spans="1:36" ht="12.75" customHeight="1">
      <c r="A2161" s="94">
        <v>42825</v>
      </c>
      <c r="B2161" s="358" t="s">
        <v>175</v>
      </c>
      <c r="C2161" s="92" t="s">
        <v>325</v>
      </c>
      <c r="D2161" s="93">
        <v>3612433.36</v>
      </c>
      <c r="E2161" s="95"/>
      <c r="F2161" s="93"/>
      <c r="G2161" s="95"/>
      <c r="H2161" s="93"/>
      <c r="I2161" s="93"/>
      <c r="K2161" s="93"/>
      <c r="L2161" s="93">
        <f t="shared" si="284"/>
        <v>0</v>
      </c>
      <c r="M2161" s="95" t="e">
        <f t="shared" ca="1" si="285"/>
        <v>#DIV/0!</v>
      </c>
      <c r="N2161" s="95">
        <f>IF(P2161="Hedge Fund",IF(A2161=Summary!$AD$3,M2161-E2161,M2161),IF(A2161=Summary!$AD$3,L2161-D2161,L2161))</f>
        <v>0</v>
      </c>
      <c r="O2161" s="9">
        <f t="shared" si="290"/>
        <v>0</v>
      </c>
      <c r="P2161" s="107" t="s">
        <v>155</v>
      </c>
      <c r="Q2161" s="95">
        <v>1.8175230000000001E-2</v>
      </c>
      <c r="R2161" s="95">
        <v>4.7850699999999998E-3</v>
      </c>
      <c r="S2161" s="95"/>
      <c r="T2161" s="95"/>
      <c r="U2161" s="95"/>
      <c r="V2161" s="95"/>
      <c r="W2161" s="95"/>
      <c r="X2161" s="95"/>
      <c r="Y2161" s="95"/>
      <c r="Z2161" s="95"/>
      <c r="AA2161" s="95"/>
      <c r="AB2161" s="95"/>
      <c r="AC2161" s="355"/>
      <c r="AD2161" s="355"/>
      <c r="AE2161" s="355"/>
      <c r="AF2161" s="94">
        <f t="shared" si="286"/>
        <v>42825</v>
      </c>
      <c r="AG2161" s="185">
        <f t="shared" si="289"/>
        <v>-3.6109459918738929E-2</v>
      </c>
      <c r="AH2161" s="339" t="str">
        <f>VLOOKUP(B2161,'MF PF'!A:B,2)</f>
        <v>FdMgt1</v>
      </c>
      <c r="AI2161" s="358">
        <f t="shared" si="287"/>
        <v>0</v>
      </c>
      <c r="AJ2161" s="94">
        <f t="shared" si="288"/>
        <v>42825</v>
      </c>
    </row>
    <row r="2162" spans="1:36" ht="12.75" customHeight="1">
      <c r="A2162" s="94">
        <v>42835</v>
      </c>
      <c r="B2162" s="358" t="s">
        <v>175</v>
      </c>
      <c r="C2162" s="358" t="s">
        <v>325</v>
      </c>
      <c r="D2162" s="93"/>
      <c r="E2162" s="95"/>
      <c r="F2162" s="93"/>
      <c r="G2162" s="95">
        <v>540000</v>
      </c>
      <c r="H2162" s="93"/>
      <c r="I2162" s="93"/>
      <c r="K2162" s="93"/>
      <c r="L2162" s="93">
        <f t="shared" si="284"/>
        <v>540000</v>
      </c>
      <c r="M2162" s="95" t="e">
        <f t="shared" ca="1" si="285"/>
        <v>#DIV/0!</v>
      </c>
      <c r="N2162" s="95">
        <f>IF(P2162="Hedge Fund",IF(A2162=Summary!$AD$3,M2162-E2162,M2162),IF(A2162=Summary!$AD$3,L2162-D2162,L2162))</f>
        <v>540000</v>
      </c>
      <c r="O2162" s="95">
        <f t="shared" si="290"/>
        <v>540000</v>
      </c>
      <c r="P2162" s="107" t="s">
        <v>155</v>
      </c>
      <c r="Q2162" s="95">
        <v>0</v>
      </c>
      <c r="R2162" s="95">
        <v>0</v>
      </c>
      <c r="S2162" s="95"/>
      <c r="T2162" s="95"/>
      <c r="U2162" s="95"/>
      <c r="V2162" s="95"/>
      <c r="W2162" s="95"/>
      <c r="X2162" s="95"/>
      <c r="Y2162" s="95"/>
      <c r="Z2162" s="95"/>
      <c r="AA2162" s="95"/>
      <c r="AB2162" s="95"/>
      <c r="AC2162" s="355"/>
      <c r="AD2162" s="355"/>
      <c r="AE2162" s="355"/>
      <c r="AF2162" s="94">
        <f t="shared" si="286"/>
        <v>42835</v>
      </c>
      <c r="AG2162" s="185">
        <f t="shared" si="289"/>
        <v>-1.1494837263932254</v>
      </c>
      <c r="AH2162" s="339" t="str">
        <f>VLOOKUP(B2162,'MF PF'!A:B,2)</f>
        <v>FdMgt1</v>
      </c>
      <c r="AI2162" s="358">
        <f t="shared" si="287"/>
        <v>0</v>
      </c>
      <c r="AJ2162" s="94">
        <f t="shared" si="288"/>
        <v>42855</v>
      </c>
    </row>
    <row r="2163" spans="1:36" ht="12.75" customHeight="1">
      <c r="A2163" s="8">
        <v>42855</v>
      </c>
      <c r="B2163" s="358" t="s">
        <v>175</v>
      </c>
      <c r="C2163" s="92" t="s">
        <v>325</v>
      </c>
      <c r="D2163" s="93">
        <v>4169837.38</v>
      </c>
      <c r="E2163" s="95"/>
      <c r="F2163" s="93"/>
      <c r="G2163" s="95"/>
      <c r="H2163" s="93"/>
      <c r="I2163" s="93"/>
      <c r="K2163" s="93"/>
      <c r="L2163" s="93">
        <f t="shared" si="284"/>
        <v>0</v>
      </c>
      <c r="M2163" s="95" t="e">
        <f t="shared" ca="1" si="285"/>
        <v>#DIV/0!</v>
      </c>
      <c r="N2163" s="95">
        <f>IF(P2163="Hedge Fund",IF(A2163=Summary!$AD$3,M2163-E2163,M2163),IF(A2163=Summary!$AD$3,L2163-D2163,L2163))</f>
        <v>0</v>
      </c>
      <c r="O2163" s="95">
        <f t="shared" si="290"/>
        <v>0</v>
      </c>
      <c r="P2163" s="107" t="s">
        <v>155</v>
      </c>
      <c r="Q2163" s="95">
        <v>1.9586669999999997E-2</v>
      </c>
      <c r="R2163" s="95">
        <v>6.2984700000000005E-3</v>
      </c>
      <c r="S2163" s="95"/>
      <c r="T2163" s="95"/>
      <c r="U2163" s="95"/>
      <c r="V2163" s="95"/>
      <c r="W2163" s="95"/>
      <c r="X2163" s="95"/>
      <c r="Y2163" s="95"/>
      <c r="Z2163" s="95"/>
      <c r="AA2163" s="95"/>
      <c r="AB2163" s="95"/>
      <c r="AC2163" s="355"/>
      <c r="AD2163" s="355"/>
      <c r="AE2163" s="355"/>
      <c r="AF2163" s="94">
        <f t="shared" si="286"/>
        <v>42855</v>
      </c>
      <c r="AG2163" s="185" t="e">
        <f t="shared" si="289"/>
        <v>#DIV/0!</v>
      </c>
      <c r="AH2163" s="339" t="str">
        <f>VLOOKUP(B2163,'MF PF'!A:B,2)</f>
        <v>FdMgt1</v>
      </c>
      <c r="AI2163" s="358">
        <f t="shared" si="287"/>
        <v>0</v>
      </c>
      <c r="AJ2163" s="94">
        <f t="shared" si="288"/>
        <v>42855</v>
      </c>
    </row>
    <row r="2164" spans="1:36" ht="12.75" customHeight="1">
      <c r="A2164" s="8">
        <v>42881</v>
      </c>
      <c r="B2164" s="358" t="s">
        <v>175</v>
      </c>
      <c r="C2164" s="92" t="s">
        <v>325</v>
      </c>
      <c r="D2164" s="93"/>
      <c r="E2164" s="95"/>
      <c r="F2164" s="93"/>
      <c r="G2164" s="95">
        <v>902595</v>
      </c>
      <c r="H2164" s="93"/>
      <c r="I2164" s="93"/>
      <c r="K2164" s="93"/>
      <c r="L2164" s="93">
        <f t="shared" si="284"/>
        <v>902595</v>
      </c>
      <c r="M2164" s="95" t="e">
        <f t="shared" ca="1" si="285"/>
        <v>#DIV/0!</v>
      </c>
      <c r="N2164" s="95">
        <f>IF(P2164="Hedge Fund",IF(A2164=Summary!$AD$3,M2164-E2164,M2164),IF(A2164=Summary!$AD$3,L2164-D2164,L2164))</f>
        <v>902595</v>
      </c>
      <c r="O2164" s="95">
        <f t="shared" si="290"/>
        <v>902595</v>
      </c>
      <c r="P2164" s="107" t="s">
        <v>155</v>
      </c>
      <c r="Q2164" s="95">
        <v>0</v>
      </c>
      <c r="R2164" s="95">
        <v>0</v>
      </c>
      <c r="S2164" s="95"/>
      <c r="T2164" s="95"/>
      <c r="U2164" s="95"/>
      <c r="V2164" s="95"/>
      <c r="W2164" s="95"/>
      <c r="X2164" s="95"/>
      <c r="Y2164" s="95"/>
      <c r="Z2164" s="95"/>
      <c r="AA2164" s="95"/>
      <c r="AB2164" s="95"/>
      <c r="AC2164" s="355"/>
      <c r="AD2164" s="355"/>
      <c r="AE2164" s="355"/>
      <c r="AF2164" s="94">
        <f t="shared" si="286"/>
        <v>42881</v>
      </c>
      <c r="AG2164" s="185">
        <f t="shared" si="289"/>
        <v>-1.2164580816338693</v>
      </c>
      <c r="AH2164" s="339" t="str">
        <f>VLOOKUP(B2164,'MF PF'!A:B,2)</f>
        <v>FdMgt1</v>
      </c>
      <c r="AI2164" s="358">
        <f t="shared" si="287"/>
        <v>0</v>
      </c>
      <c r="AJ2164" s="94">
        <f t="shared" si="288"/>
        <v>42886</v>
      </c>
    </row>
    <row r="2165" spans="1:36" ht="12.75" customHeight="1">
      <c r="A2165" s="94">
        <v>42886</v>
      </c>
      <c r="B2165" s="358" t="s">
        <v>175</v>
      </c>
      <c r="C2165" s="92" t="s">
        <v>325</v>
      </c>
      <c r="D2165" s="93">
        <v>5096233.63</v>
      </c>
      <c r="E2165" s="95"/>
      <c r="F2165" s="93"/>
      <c r="G2165" s="95"/>
      <c r="H2165" s="93"/>
      <c r="I2165" s="93"/>
      <c r="K2165" s="93"/>
      <c r="L2165" s="93">
        <f t="shared" si="284"/>
        <v>0</v>
      </c>
      <c r="M2165" s="95" t="e">
        <f t="shared" ca="1" si="285"/>
        <v>#DIV/0!</v>
      </c>
      <c r="N2165" s="95">
        <f>IF(P2165="Hedge Fund",IF(A2165=Summary!$AD$3,M2165-E2165,M2165),IF(A2165=Summary!$AD$3,L2165-D2165,L2165))</f>
        <v>0</v>
      </c>
      <c r="O2165" s="95">
        <f t="shared" si="290"/>
        <v>0</v>
      </c>
      <c r="P2165" s="89" t="s">
        <v>155</v>
      </c>
      <c r="Q2165" s="95">
        <v>2.655213E-2</v>
      </c>
      <c r="R2165" s="95">
        <v>8.3681399999999996E-3</v>
      </c>
      <c r="S2165" s="95"/>
      <c r="T2165" s="95"/>
      <c r="U2165" s="95"/>
      <c r="V2165" s="95"/>
      <c r="W2165" s="95"/>
      <c r="X2165" s="95"/>
      <c r="Y2165" s="95"/>
      <c r="Z2165" s="95"/>
      <c r="AA2165" s="95"/>
      <c r="AB2165" s="95"/>
      <c r="AC2165" s="355"/>
      <c r="AD2165" s="355"/>
      <c r="AE2165" s="355"/>
      <c r="AF2165" s="94">
        <f t="shared" si="286"/>
        <v>42886</v>
      </c>
      <c r="AG2165" s="185" t="e">
        <f t="shared" si="289"/>
        <v>#DIV/0!</v>
      </c>
      <c r="AH2165" s="339" t="str">
        <f>VLOOKUP(B2165,'MF PF'!A:B,2)</f>
        <v>FdMgt1</v>
      </c>
      <c r="AI2165" s="358">
        <f t="shared" si="287"/>
        <v>0</v>
      </c>
      <c r="AJ2165" s="94">
        <f t="shared" si="288"/>
        <v>42886</v>
      </c>
    </row>
    <row r="2166" spans="1:36" ht="12.75" customHeight="1">
      <c r="A2166" s="8">
        <v>42916</v>
      </c>
      <c r="B2166" s="358" t="s">
        <v>175</v>
      </c>
      <c r="C2166" s="92" t="s">
        <v>325</v>
      </c>
      <c r="D2166" s="93">
        <v>5055164.1100000003</v>
      </c>
      <c r="E2166" s="95"/>
      <c r="F2166" s="93"/>
      <c r="G2166" s="95"/>
      <c r="H2166" s="93"/>
      <c r="I2166" s="93"/>
      <c r="K2166" s="93"/>
      <c r="L2166" s="93">
        <f t="shared" si="284"/>
        <v>0</v>
      </c>
      <c r="M2166" s="95" t="e">
        <f t="shared" ca="1" si="285"/>
        <v>#DIV/0!</v>
      </c>
      <c r="N2166" s="95">
        <f>IF(P2166="Hedge Fund",IF(A2166=Summary!$AD$3,M2166-E2166,M2166),IF(A2166=Summary!$AD$3,L2166-D2166,L2166))</f>
        <v>0</v>
      </c>
      <c r="O2166" s="95">
        <f t="shared" si="290"/>
        <v>0</v>
      </c>
      <c r="P2166" s="89" t="s">
        <v>155</v>
      </c>
      <c r="Q2166" s="95">
        <v>3.1221990000000002E-2</v>
      </c>
      <c r="R2166" s="95">
        <v>4.7968799999999999E-3</v>
      </c>
      <c r="S2166" s="95"/>
      <c r="T2166" s="95"/>
      <c r="U2166" s="95"/>
      <c r="V2166" s="95"/>
      <c r="W2166" s="95"/>
      <c r="X2166" s="95"/>
      <c r="Y2166" s="95"/>
      <c r="Z2166" s="95"/>
      <c r="AA2166" s="95"/>
      <c r="AB2166" s="95"/>
      <c r="AC2166" s="355"/>
      <c r="AD2166" s="355"/>
      <c r="AE2166" s="355"/>
      <c r="AF2166" s="94">
        <f t="shared" si="286"/>
        <v>42916</v>
      </c>
      <c r="AG2166" s="185">
        <f t="shared" si="289"/>
        <v>-8.0587985131285178E-3</v>
      </c>
      <c r="AH2166" s="339" t="str">
        <f>VLOOKUP(B2166,'MF PF'!A:B,2)</f>
        <v>FdMgt1</v>
      </c>
      <c r="AI2166" s="358">
        <f t="shared" si="287"/>
        <v>0</v>
      </c>
      <c r="AJ2166" s="94">
        <f t="shared" si="288"/>
        <v>42916</v>
      </c>
    </row>
    <row r="2167" spans="1:36" ht="12.75" customHeight="1">
      <c r="A2167" s="8">
        <v>42947</v>
      </c>
      <c r="B2167" s="358" t="s">
        <v>175</v>
      </c>
      <c r="C2167" s="92" t="s">
        <v>325</v>
      </c>
      <c r="D2167" s="93">
        <v>4542251.0599999996</v>
      </c>
      <c r="E2167" s="95"/>
      <c r="F2167" s="93"/>
      <c r="G2167" s="95"/>
      <c r="H2167" s="93"/>
      <c r="I2167" s="93"/>
      <c r="K2167" s="93"/>
      <c r="L2167" s="93">
        <f t="shared" si="284"/>
        <v>0</v>
      </c>
      <c r="M2167" s="95" t="e">
        <f t="shared" ca="1" si="285"/>
        <v>#DIV/0!</v>
      </c>
      <c r="N2167" s="95">
        <f>IF(P2167="Hedge Fund",IF(A2167=Summary!$AD$3,M2167-E2167,M2167),IF(A2167=Summary!$AD$3,L2167-D2167,L2167))</f>
        <v>0</v>
      </c>
      <c r="O2167" s="95">
        <f t="shared" si="290"/>
        <v>0</v>
      </c>
      <c r="P2167" s="89" t="s">
        <v>155</v>
      </c>
      <c r="Q2167" s="95">
        <v>3.2278569999999999E-2</v>
      </c>
      <c r="R2167" s="95">
        <v>1.3587899999999999E-3</v>
      </c>
      <c r="S2167" s="95"/>
      <c r="T2167" s="95"/>
      <c r="U2167" s="95"/>
      <c r="V2167" s="95"/>
      <c r="W2167" s="95"/>
      <c r="X2167" s="95"/>
      <c r="Y2167" s="95"/>
      <c r="Z2167" s="95"/>
      <c r="AA2167" s="95"/>
      <c r="AB2167" s="95"/>
      <c r="AC2167" s="355"/>
      <c r="AD2167" s="355"/>
      <c r="AE2167" s="355"/>
      <c r="AF2167" s="94">
        <f t="shared" si="286"/>
        <v>42947</v>
      </c>
      <c r="AG2167" s="185">
        <f t="shared" si="289"/>
        <v>-0.10146318474317562</v>
      </c>
      <c r="AH2167" s="339" t="str">
        <f>VLOOKUP(B2167,'MF PF'!A:B,2)</f>
        <v>FdMgt1</v>
      </c>
      <c r="AI2167" s="358">
        <f t="shared" si="287"/>
        <v>0</v>
      </c>
      <c r="AJ2167" s="94">
        <f t="shared" si="288"/>
        <v>42947</v>
      </c>
    </row>
    <row r="2168" spans="1:36" ht="12.75" customHeight="1">
      <c r="A2168" s="8">
        <v>42958</v>
      </c>
      <c r="B2168" s="358" t="s">
        <v>175</v>
      </c>
      <c r="C2168" s="92" t="s">
        <v>325</v>
      </c>
      <c r="D2168" s="93"/>
      <c r="E2168" s="95"/>
      <c r="F2168" s="93"/>
      <c r="G2168" s="358"/>
      <c r="H2168" s="93"/>
      <c r="I2168" s="95">
        <v>-473375</v>
      </c>
      <c r="K2168" s="93"/>
      <c r="L2168" s="93">
        <f t="shared" si="284"/>
        <v>-473375</v>
      </c>
      <c r="M2168" s="95" t="e">
        <f t="shared" ca="1" si="285"/>
        <v>#DIV/0!</v>
      </c>
      <c r="N2168" s="95">
        <f>IF(P2168="Hedge Fund",IF(A2168=Summary!$AD$3,M2168-E2168,M2168),IF(A2168=Summary!$AD$3,L2168-D2168,L2168))</f>
        <v>-473375</v>
      </c>
      <c r="O2168" s="95">
        <f t="shared" si="290"/>
        <v>-473375</v>
      </c>
      <c r="P2168" s="107" t="s">
        <v>155</v>
      </c>
      <c r="Q2168" s="95">
        <v>0</v>
      </c>
      <c r="R2168" s="95">
        <v>0</v>
      </c>
      <c r="S2168" s="95"/>
      <c r="T2168" s="95"/>
      <c r="U2168" s="95"/>
      <c r="V2168" s="95"/>
      <c r="W2168" s="95"/>
      <c r="X2168" s="95"/>
      <c r="Y2168" s="95"/>
      <c r="Z2168" s="95"/>
      <c r="AA2168" s="95"/>
      <c r="AB2168" s="95"/>
      <c r="AC2168" s="355"/>
      <c r="AD2168" s="355"/>
      <c r="AE2168" s="355"/>
      <c r="AF2168" s="94">
        <f t="shared" si="286"/>
        <v>42958</v>
      </c>
      <c r="AG2168" s="185">
        <f t="shared" si="289"/>
        <v>-0.89578405205986122</v>
      </c>
      <c r="AH2168" s="339" t="str">
        <f>VLOOKUP(B2168,'MF PF'!A:B,2)</f>
        <v>FdMgt1</v>
      </c>
      <c r="AI2168" s="358">
        <f t="shared" si="287"/>
        <v>0</v>
      </c>
      <c r="AJ2168" s="94">
        <f t="shared" si="288"/>
        <v>42978</v>
      </c>
    </row>
    <row r="2169" spans="1:36" ht="12.75" customHeight="1">
      <c r="A2169" s="8">
        <v>42958</v>
      </c>
      <c r="B2169" s="358" t="s">
        <v>175</v>
      </c>
      <c r="C2169" s="92" t="s">
        <v>325</v>
      </c>
      <c r="D2169" s="93"/>
      <c r="E2169" s="95"/>
      <c r="F2169" s="93"/>
      <c r="G2169" s="95">
        <v>473375</v>
      </c>
      <c r="H2169" s="93"/>
      <c r="I2169" s="93"/>
      <c r="K2169" s="93"/>
      <c r="L2169" s="93">
        <f t="shared" si="284"/>
        <v>473375</v>
      </c>
      <c r="M2169" s="95">
        <f t="shared" ca="1" si="285"/>
        <v>0</v>
      </c>
      <c r="N2169" s="95">
        <f>IF(P2169="Hedge Fund",IF(A2169=Summary!$AD$3,M2169-E2169,M2169),IF(A2169=Summary!$AD$3,L2169-D2169,L2169))</f>
        <v>473375</v>
      </c>
      <c r="O2169" s="95">
        <f t="shared" si="290"/>
        <v>473375</v>
      </c>
      <c r="P2169" s="107" t="s">
        <v>155</v>
      </c>
      <c r="Q2169" s="95">
        <v>0</v>
      </c>
      <c r="R2169" s="95">
        <v>0</v>
      </c>
      <c r="S2169" s="95"/>
      <c r="T2169" s="95"/>
      <c r="U2169" s="95"/>
      <c r="V2169" s="95"/>
      <c r="W2169" s="95"/>
      <c r="X2169" s="95"/>
      <c r="Y2169" s="95"/>
      <c r="Z2169" s="95"/>
      <c r="AA2169" s="95"/>
      <c r="AB2169" s="95"/>
      <c r="AC2169" s="355"/>
      <c r="AD2169" s="355"/>
      <c r="AE2169" s="355"/>
      <c r="AF2169" s="94">
        <f t="shared" si="286"/>
        <v>42958</v>
      </c>
      <c r="AG2169" s="185" t="e">
        <f t="shared" si="289"/>
        <v>#DIV/0!</v>
      </c>
      <c r="AH2169" s="339" t="str">
        <f>VLOOKUP(B2169,'MF PF'!A:B,2)</f>
        <v>FdMgt1</v>
      </c>
      <c r="AI2169" s="358">
        <f t="shared" si="287"/>
        <v>0</v>
      </c>
      <c r="AJ2169" s="94">
        <f t="shared" si="288"/>
        <v>42978</v>
      </c>
    </row>
    <row r="2170" spans="1:36" ht="12.75" customHeight="1">
      <c r="A2170" s="94">
        <v>42978</v>
      </c>
      <c r="B2170" s="358" t="s">
        <v>175</v>
      </c>
      <c r="C2170" s="92" t="s">
        <v>325</v>
      </c>
      <c r="D2170" s="93">
        <v>5019706.46</v>
      </c>
      <c r="E2170" s="95"/>
      <c r="F2170" s="93"/>
      <c r="G2170" s="95"/>
      <c r="H2170" s="93"/>
      <c r="I2170" s="93"/>
      <c r="K2170" s="93"/>
      <c r="L2170" s="93">
        <f t="shared" si="284"/>
        <v>0</v>
      </c>
      <c r="M2170" s="95" t="e">
        <f t="shared" ca="1" si="285"/>
        <v>#DIV/0!</v>
      </c>
      <c r="N2170" s="95">
        <f>IF(P2170="Hedge Fund",IF(A2170=Summary!$AD$3,M2170-E2170,M2170),IF(A2170=Summary!$AD$3,L2170-D2170,L2170))</f>
        <v>0</v>
      </c>
      <c r="O2170" s="95">
        <f t="shared" si="290"/>
        <v>0</v>
      </c>
      <c r="P2170" s="89" t="s">
        <v>155</v>
      </c>
      <c r="Q2170" s="95">
        <v>3.7126079999999999E-2</v>
      </c>
      <c r="R2170" s="95">
        <v>1.71361E-3</v>
      </c>
      <c r="S2170" s="95"/>
      <c r="T2170" s="95"/>
      <c r="U2170" s="95"/>
      <c r="V2170" s="95"/>
      <c r="W2170" s="95"/>
      <c r="X2170" s="95"/>
      <c r="Y2170" s="95"/>
      <c r="Z2170" s="95"/>
      <c r="AA2170" s="95"/>
      <c r="AB2170" s="95"/>
      <c r="AC2170" s="355"/>
      <c r="AD2170" s="355"/>
      <c r="AE2170" s="355"/>
      <c r="AF2170" s="94">
        <f t="shared" si="286"/>
        <v>42978</v>
      </c>
      <c r="AG2170" s="185" t="e">
        <f t="shared" si="289"/>
        <v>#DIV/0!</v>
      </c>
      <c r="AH2170" s="339" t="str">
        <f>VLOOKUP(B2170,'MF PF'!A:B,2)</f>
        <v>FdMgt1</v>
      </c>
      <c r="AI2170" s="358">
        <f t="shared" si="287"/>
        <v>0</v>
      </c>
      <c r="AJ2170" s="94">
        <f t="shared" si="288"/>
        <v>42978</v>
      </c>
    </row>
    <row r="2171" spans="1:36" ht="12.75" customHeight="1">
      <c r="A2171" s="8">
        <v>43008</v>
      </c>
      <c r="B2171" s="358" t="s">
        <v>175</v>
      </c>
      <c r="C2171" s="92" t="s">
        <v>325</v>
      </c>
      <c r="D2171" s="93">
        <v>5041233.95</v>
      </c>
      <c r="E2171" s="95"/>
      <c r="F2171" s="93"/>
      <c r="G2171" s="95"/>
      <c r="H2171" s="93"/>
      <c r="I2171" s="93"/>
      <c r="K2171" s="93"/>
      <c r="L2171" s="93">
        <f t="shared" si="284"/>
        <v>0</v>
      </c>
      <c r="M2171" s="95" t="e">
        <f t="shared" ca="1" si="285"/>
        <v>#DIV/0!</v>
      </c>
      <c r="N2171" s="95">
        <f>IF(P2171="Hedge Fund",IF(A2171=Summary!$AD$3,M2171-E2171,M2171),IF(A2171=Summary!$AD$3,L2171-D2171,L2171))</f>
        <v>0</v>
      </c>
      <c r="O2171" s="95">
        <f t="shared" si="290"/>
        <v>0</v>
      </c>
      <c r="P2171" s="107" t="s">
        <v>155</v>
      </c>
      <c r="Q2171" s="95">
        <v>4.12608E-2</v>
      </c>
      <c r="R2171" s="95">
        <v>3.5855599999999998E-3</v>
      </c>
      <c r="S2171" s="95"/>
      <c r="T2171" s="95"/>
      <c r="U2171" s="95"/>
      <c r="V2171" s="95"/>
      <c r="W2171" s="95"/>
      <c r="X2171" s="95"/>
      <c r="Y2171" s="95"/>
      <c r="Z2171" s="95"/>
      <c r="AA2171" s="95"/>
      <c r="AB2171" s="95"/>
      <c r="AC2171" s="355"/>
      <c r="AD2171" s="355"/>
      <c r="AE2171" s="355"/>
      <c r="AF2171" s="94">
        <f t="shared" si="286"/>
        <v>43008</v>
      </c>
      <c r="AG2171" s="185">
        <f t="shared" si="289"/>
        <v>4.2885953932851884E-3</v>
      </c>
      <c r="AH2171" s="339" t="str">
        <f>VLOOKUP(B2171,'MF PF'!A:B,2)</f>
        <v>FdMgt1</v>
      </c>
      <c r="AI2171" s="358">
        <f t="shared" si="287"/>
        <v>0</v>
      </c>
      <c r="AJ2171" s="94">
        <f t="shared" si="288"/>
        <v>43008</v>
      </c>
    </row>
    <row r="2172" spans="1:36" ht="12.75" customHeight="1">
      <c r="A2172" s="8">
        <v>43039</v>
      </c>
      <c r="B2172" s="358" t="s">
        <v>175</v>
      </c>
      <c r="C2172" s="92" t="s">
        <v>325</v>
      </c>
      <c r="D2172" s="93">
        <v>5042870.33</v>
      </c>
      <c r="E2172" s="95"/>
      <c r="F2172" s="93"/>
      <c r="G2172" s="95"/>
      <c r="H2172" s="93"/>
      <c r="I2172" s="93"/>
      <c r="K2172" s="93"/>
      <c r="L2172" s="93">
        <f t="shared" si="284"/>
        <v>0</v>
      </c>
      <c r="M2172" s="95" t="e">
        <f t="shared" ca="1" si="285"/>
        <v>#DIV/0!</v>
      </c>
      <c r="N2172" s="95">
        <f>IF(P2172="Hedge Fund",IF(A2172=Summary!$AD$3,M2172-E2172,M2172),IF(A2172=Summary!$AD$3,L2172-D2172,L2172))</f>
        <v>0</v>
      </c>
      <c r="O2172" s="95">
        <f t="shared" si="290"/>
        <v>0</v>
      </c>
      <c r="P2172" s="107" t="s">
        <v>155</v>
      </c>
      <c r="Q2172" s="95">
        <v>4.12608E-2</v>
      </c>
      <c r="R2172" s="95">
        <v>3.7278599999999999E-3</v>
      </c>
      <c r="S2172" s="95"/>
      <c r="T2172" s="95"/>
      <c r="U2172" s="95"/>
      <c r="V2172" s="95"/>
      <c r="W2172" s="95"/>
      <c r="X2172" s="95"/>
      <c r="Y2172" s="95"/>
      <c r="Z2172" s="95"/>
      <c r="AA2172" s="95"/>
      <c r="AB2172" s="95"/>
      <c r="AC2172" s="355"/>
      <c r="AD2172" s="355"/>
      <c r="AE2172" s="355"/>
      <c r="AF2172" s="94">
        <f t="shared" si="286"/>
        <v>43039</v>
      </c>
      <c r="AG2172" s="185">
        <f t="shared" si="289"/>
        <v>3.2459909939319687E-4</v>
      </c>
      <c r="AH2172" s="339" t="str">
        <f>VLOOKUP(B2172,'MF PF'!A:B,2)</f>
        <v>FdMgt1</v>
      </c>
      <c r="AI2172" s="358">
        <f t="shared" si="287"/>
        <v>0</v>
      </c>
      <c r="AJ2172" s="94">
        <f t="shared" si="288"/>
        <v>43039</v>
      </c>
    </row>
    <row r="2173" spans="1:36" ht="12.75" customHeight="1">
      <c r="A2173" s="94">
        <v>43069</v>
      </c>
      <c r="B2173" s="358" t="s">
        <v>175</v>
      </c>
      <c r="C2173" s="358" t="s">
        <v>325</v>
      </c>
      <c r="D2173" s="93">
        <v>5021104.7300000004</v>
      </c>
      <c r="E2173" s="95"/>
      <c r="F2173" s="93"/>
      <c r="G2173" s="95"/>
      <c r="H2173" s="93"/>
      <c r="I2173" s="93"/>
      <c r="K2173" s="93"/>
      <c r="L2173" s="93">
        <f t="shared" si="284"/>
        <v>0</v>
      </c>
      <c r="M2173" s="95" t="e">
        <f t="shared" ca="1" si="285"/>
        <v>#DIV/0!</v>
      </c>
      <c r="N2173" s="95">
        <f>IF(P2173="Hedge Fund",IF(A2173=Summary!$AD$3,M2173-E2173,M2173),IF(A2173=Summary!$AD$3,L2173-D2173,L2173))</f>
        <v>0</v>
      </c>
      <c r="O2173" s="95">
        <f t="shared" si="290"/>
        <v>0</v>
      </c>
      <c r="P2173" s="89" t="s">
        <v>155</v>
      </c>
      <c r="Q2173" s="95">
        <v>5.0064879999999999E-2</v>
      </c>
      <c r="R2173" s="95">
        <v>1.83519E-3</v>
      </c>
      <c r="S2173" s="95"/>
      <c r="T2173" s="95"/>
      <c r="U2173" s="95"/>
      <c r="V2173" s="95"/>
      <c r="W2173" s="95"/>
      <c r="X2173" s="95"/>
      <c r="Y2173" s="95"/>
      <c r="Z2173" s="95"/>
      <c r="AA2173" s="95"/>
      <c r="AB2173" s="95"/>
      <c r="AC2173" s="355"/>
      <c r="AD2173" s="355"/>
      <c r="AE2173" s="355"/>
      <c r="AF2173" s="94">
        <f t="shared" si="286"/>
        <v>43069</v>
      </c>
      <c r="AG2173" s="185">
        <f t="shared" si="289"/>
        <v>-4.3161133591946843E-3</v>
      </c>
      <c r="AH2173" s="339" t="str">
        <f>VLOOKUP(B2173,'MF PF'!A:B,2)</f>
        <v>FdMgt1</v>
      </c>
      <c r="AI2173" s="358">
        <f t="shared" si="287"/>
        <v>0</v>
      </c>
      <c r="AJ2173" s="94">
        <f t="shared" si="288"/>
        <v>43069</v>
      </c>
    </row>
    <row r="2174" spans="1:36" ht="12.75" customHeight="1">
      <c r="A2174" s="94">
        <v>43087</v>
      </c>
      <c r="B2174" s="358" t="s">
        <v>175</v>
      </c>
      <c r="C2174" s="358" t="s">
        <v>325</v>
      </c>
      <c r="D2174" s="93"/>
      <c r="E2174" s="95"/>
      <c r="F2174" s="93"/>
      <c r="G2174" s="358"/>
      <c r="H2174" s="93"/>
      <c r="I2174" s="95">
        <v>-612502.18999999994</v>
      </c>
      <c r="K2174" s="93"/>
      <c r="L2174" s="93">
        <f t="shared" si="284"/>
        <v>-612502.18999999994</v>
      </c>
      <c r="M2174" s="95" t="e">
        <f t="shared" ca="1" si="285"/>
        <v>#DIV/0!</v>
      </c>
      <c r="N2174" s="95">
        <f>IF(P2174="Hedge Fund",IF(A2174=Summary!$AD$3,M2174-E2174,M2174),IF(A2174=Summary!$AD$3,L2174-D2174,L2174))</f>
        <v>-612502.18999999994</v>
      </c>
      <c r="O2174" s="95">
        <f t="shared" si="290"/>
        <v>-612502.18999999994</v>
      </c>
      <c r="P2174" s="89" t="s">
        <v>155</v>
      </c>
      <c r="Q2174" s="95">
        <v>0</v>
      </c>
      <c r="R2174" s="95">
        <v>0</v>
      </c>
      <c r="S2174" s="95"/>
      <c r="T2174" s="95"/>
      <c r="U2174" s="95"/>
      <c r="V2174" s="95"/>
      <c r="W2174" s="95"/>
      <c r="X2174" s="95"/>
      <c r="Y2174" s="95"/>
      <c r="Z2174" s="95"/>
      <c r="AA2174" s="95"/>
      <c r="AB2174" s="95"/>
      <c r="AC2174" s="355"/>
      <c r="AD2174" s="355"/>
      <c r="AE2174" s="355"/>
      <c r="AF2174" s="94">
        <f t="shared" si="286"/>
        <v>43087</v>
      </c>
      <c r="AG2174" s="185">
        <f t="shared" si="289"/>
        <v>-0.87801445639234854</v>
      </c>
      <c r="AH2174" s="339" t="str">
        <f>VLOOKUP(B2174,'MF PF'!A:B,2)</f>
        <v>FdMgt1</v>
      </c>
      <c r="AI2174" s="358">
        <f t="shared" si="287"/>
        <v>0</v>
      </c>
      <c r="AJ2174" s="94">
        <f t="shared" si="288"/>
        <v>43100</v>
      </c>
    </row>
    <row r="2175" spans="1:36" ht="12.75" customHeight="1">
      <c r="A2175" s="94">
        <v>43087</v>
      </c>
      <c r="B2175" s="358" t="s">
        <v>175</v>
      </c>
      <c r="C2175" s="358" t="s">
        <v>325</v>
      </c>
      <c r="D2175" s="93"/>
      <c r="E2175" s="95"/>
      <c r="F2175" s="93"/>
      <c r="G2175" s="95">
        <v>612502.18999999994</v>
      </c>
      <c r="H2175" s="93"/>
      <c r="I2175" s="93"/>
      <c r="K2175" s="93"/>
      <c r="L2175" s="93">
        <f t="shared" si="284"/>
        <v>612502.18999999994</v>
      </c>
      <c r="M2175" s="95">
        <f t="shared" ca="1" si="285"/>
        <v>0</v>
      </c>
      <c r="N2175" s="95">
        <f>IF(P2175="Hedge Fund",IF(A2175=Summary!$AD$3,M2175-E2175,M2175),IF(A2175=Summary!$AD$3,L2175-D2175,L2175))</f>
        <v>612502.18999999994</v>
      </c>
      <c r="O2175" s="95">
        <f t="shared" si="290"/>
        <v>612502.18999999994</v>
      </c>
      <c r="P2175" s="89" t="s">
        <v>155</v>
      </c>
      <c r="Q2175" s="95">
        <v>0</v>
      </c>
      <c r="R2175" s="95">
        <v>0</v>
      </c>
      <c r="S2175" s="95"/>
      <c r="T2175" s="95"/>
      <c r="U2175" s="95"/>
      <c r="V2175" s="95"/>
      <c r="W2175" s="95"/>
      <c r="X2175" s="95"/>
      <c r="Y2175" s="95"/>
      <c r="Z2175" s="95"/>
      <c r="AA2175" s="95"/>
      <c r="AB2175" s="95"/>
      <c r="AC2175" s="355"/>
      <c r="AD2175" s="355"/>
      <c r="AE2175" s="355"/>
      <c r="AF2175" s="94">
        <f t="shared" si="286"/>
        <v>43087</v>
      </c>
      <c r="AG2175" s="185" t="e">
        <f t="shared" si="289"/>
        <v>#DIV/0!</v>
      </c>
      <c r="AH2175" s="339" t="str">
        <f>VLOOKUP(B2175,'MF PF'!A:B,2)</f>
        <v>FdMgt1</v>
      </c>
      <c r="AI2175" s="358">
        <f t="shared" si="287"/>
        <v>0</v>
      </c>
      <c r="AJ2175" s="94">
        <f t="shared" si="288"/>
        <v>43100</v>
      </c>
    </row>
    <row r="2176" spans="1:36" ht="12.75" customHeight="1">
      <c r="A2176" s="8">
        <v>43100</v>
      </c>
      <c r="B2176" s="358" t="s">
        <v>175</v>
      </c>
      <c r="C2176" s="358" t="s">
        <v>325</v>
      </c>
      <c r="D2176" s="93">
        <v>5785865.9000000004</v>
      </c>
      <c r="E2176" s="95"/>
      <c r="F2176" s="93"/>
      <c r="G2176" s="95"/>
      <c r="H2176" s="93"/>
      <c r="I2176" s="93"/>
      <c r="K2176" s="93"/>
      <c r="L2176" s="93">
        <f t="shared" si="284"/>
        <v>0</v>
      </c>
      <c r="M2176" s="95" t="e">
        <f t="shared" ca="1" si="285"/>
        <v>#DIV/0!</v>
      </c>
      <c r="N2176" s="95">
        <f>IF(P2176="Hedge Fund",IF(A2176=Summary!$AD$3,M2176-E2176,M2176),IF(A2176=Summary!$AD$3,L2176-D2176,L2176))</f>
        <v>0</v>
      </c>
      <c r="O2176" s="95">
        <f t="shared" si="290"/>
        <v>0</v>
      </c>
      <c r="P2176" s="107" t="s">
        <v>155</v>
      </c>
      <c r="Q2176" s="95">
        <v>5.8419650000000004E-2</v>
      </c>
      <c r="R2176" s="95">
        <v>6.8336160000000007E-2</v>
      </c>
      <c r="S2176" s="95"/>
      <c r="T2176" s="95"/>
      <c r="U2176" s="95"/>
      <c r="V2176" s="95"/>
      <c r="W2176" s="95"/>
      <c r="X2176" s="95"/>
      <c r="Y2176" s="95"/>
      <c r="Z2176" s="95"/>
      <c r="AA2176" s="95"/>
      <c r="AB2176" s="95"/>
      <c r="AC2176" s="355"/>
      <c r="AD2176" s="355"/>
      <c r="AE2176" s="355"/>
      <c r="AF2176" s="94">
        <f t="shared" si="286"/>
        <v>43100</v>
      </c>
      <c r="AG2176" s="185" t="e">
        <f t="shared" si="289"/>
        <v>#DIV/0!</v>
      </c>
      <c r="AH2176" s="339" t="str">
        <f>VLOOKUP(B2176,'MF PF'!A:B,2)</f>
        <v>FdMgt1</v>
      </c>
      <c r="AI2176" s="358">
        <f t="shared" si="287"/>
        <v>0</v>
      </c>
      <c r="AJ2176" s="94">
        <f t="shared" si="288"/>
        <v>43100</v>
      </c>
    </row>
    <row r="2177" spans="1:36" ht="12.75" customHeight="1">
      <c r="A2177" s="8">
        <v>43131</v>
      </c>
      <c r="B2177" s="358" t="s">
        <v>175</v>
      </c>
      <c r="C2177" s="358" t="s">
        <v>325</v>
      </c>
      <c r="D2177" s="93">
        <v>6096843.3799999999</v>
      </c>
      <c r="E2177" s="95"/>
      <c r="F2177" s="93"/>
      <c r="G2177" s="95"/>
      <c r="H2177" s="93"/>
      <c r="I2177" s="93"/>
      <c r="K2177" s="93"/>
      <c r="L2177" s="93">
        <f t="shared" si="284"/>
        <v>0</v>
      </c>
      <c r="M2177" s="95" t="e">
        <f t="shared" ca="1" si="285"/>
        <v>#DIV/0!</v>
      </c>
      <c r="N2177" s="95">
        <f>IF(P2177="Hedge Fund",IF(A2177=Summary!$AD$3,M2177-E2177,M2177),IF(A2177=Summary!$AD$3,L2177-D2177,L2177))</f>
        <v>0</v>
      </c>
      <c r="O2177" s="95">
        <f t="shared" si="290"/>
        <v>0</v>
      </c>
      <c r="P2177" s="107" t="s">
        <v>155</v>
      </c>
      <c r="Q2177" s="95"/>
      <c r="R2177" s="95">
        <v>9.5377690000000001E-2</v>
      </c>
      <c r="S2177" s="95"/>
      <c r="T2177" s="95"/>
      <c r="U2177" s="95"/>
      <c r="V2177" s="95"/>
      <c r="W2177" s="95"/>
      <c r="X2177" s="95"/>
      <c r="Y2177" s="95"/>
      <c r="Z2177" s="95"/>
      <c r="AA2177" s="95"/>
      <c r="AB2177" s="95"/>
      <c r="AC2177" s="355"/>
      <c r="AD2177" s="355"/>
      <c r="AE2177" s="355"/>
      <c r="AF2177" s="94">
        <f t="shared" si="286"/>
        <v>43131</v>
      </c>
      <c r="AG2177" s="185">
        <f t="shared" si="289"/>
        <v>5.3747785616669708E-2</v>
      </c>
      <c r="AH2177" s="339" t="str">
        <f>VLOOKUP(B2177,'MF PF'!A:B,2)</f>
        <v>FdMgt1</v>
      </c>
      <c r="AI2177" s="358">
        <f t="shared" si="287"/>
        <v>0</v>
      </c>
      <c r="AJ2177" s="94">
        <f t="shared" si="288"/>
        <v>43131</v>
      </c>
    </row>
    <row r="2178" spans="1:36" ht="12.75" customHeight="1">
      <c r="A2178" s="8">
        <v>43159</v>
      </c>
      <c r="B2178" s="358" t="s">
        <v>175</v>
      </c>
      <c r="C2178" s="358" t="s">
        <v>325</v>
      </c>
      <c r="D2178" s="93">
        <v>6117675.3200000003</v>
      </c>
      <c r="E2178" s="95"/>
      <c r="F2178" s="93"/>
      <c r="G2178" s="95"/>
      <c r="H2178" s="93"/>
      <c r="I2178" s="93"/>
      <c r="K2178" s="93"/>
      <c r="L2178" s="93">
        <f t="shared" si="284"/>
        <v>0</v>
      </c>
      <c r="M2178" s="95" t="e">
        <f t="shared" ca="1" si="285"/>
        <v>#DIV/0!</v>
      </c>
      <c r="N2178" s="95">
        <f>IF(P2178="Hedge Fund",IF(A2178=Summary!$AD$3,M2178-E2178,M2178),IF(A2178=Summary!$AD$3,L2178-D2178,L2178))</f>
        <v>0</v>
      </c>
      <c r="O2178" s="95">
        <f t="shared" si="290"/>
        <v>0</v>
      </c>
      <c r="P2178" s="107" t="s">
        <v>155</v>
      </c>
      <c r="Q2178" s="95"/>
      <c r="R2178" s="95">
        <v>9.7189159999999997E-2</v>
      </c>
      <c r="S2178" s="95"/>
      <c r="T2178" s="95"/>
      <c r="U2178" s="95"/>
      <c r="V2178" s="95"/>
      <c r="W2178" s="95"/>
      <c r="X2178" s="95"/>
      <c r="Y2178" s="95"/>
      <c r="Z2178" s="95"/>
      <c r="AA2178" s="95"/>
      <c r="AB2178" s="95"/>
      <c r="AC2178" s="355"/>
      <c r="AD2178" s="355"/>
      <c r="AE2178" s="355"/>
      <c r="AF2178" s="94">
        <f t="shared" si="286"/>
        <v>43159</v>
      </c>
      <c r="AG2178" s="185">
        <f t="shared" si="289"/>
        <v>3.4168402731711289E-3</v>
      </c>
      <c r="AH2178" s="339" t="str">
        <f>VLOOKUP(B2178,'MF PF'!A:B,2)</f>
        <v>FdMgt1</v>
      </c>
      <c r="AI2178" s="358">
        <f t="shared" si="287"/>
        <v>0</v>
      </c>
      <c r="AJ2178" s="94">
        <f t="shared" si="288"/>
        <v>43159</v>
      </c>
    </row>
    <row r="2179" spans="1:36" ht="12.75" customHeight="1">
      <c r="A2179" s="8">
        <v>43190</v>
      </c>
      <c r="B2179" s="358" t="s">
        <v>175</v>
      </c>
      <c r="C2179" s="92" t="s">
        <v>325</v>
      </c>
      <c r="D2179" s="93">
        <v>6174774.6799999997</v>
      </c>
      <c r="F2179" s="93"/>
      <c r="G2179" s="95"/>
      <c r="H2179" s="93"/>
      <c r="I2179" s="93"/>
      <c r="K2179" s="93"/>
      <c r="L2179" s="93">
        <f t="shared" ref="L2179:L2242" si="291">G2179+H2179+I2179</f>
        <v>0</v>
      </c>
      <c r="M2179" s="95" t="e">
        <f t="shared" ref="M2179:M2242" ca="1" si="292">IF(A2179&gt;INDIRECT("A"&amp;ROW()-1),I2179/K2179,E2179)</f>
        <v>#DIV/0!</v>
      </c>
      <c r="N2179" s="95">
        <f>IF(P2179="Hedge Fund",IF(A2179=Summary!$AD$3,M2179-E2179,M2179),IF(A2179=Summary!$AD$3,L2179-D2179,L2179))</f>
        <v>0</v>
      </c>
      <c r="O2179" s="95">
        <f t="shared" si="290"/>
        <v>0</v>
      </c>
      <c r="P2179" s="89" t="s">
        <v>155</v>
      </c>
      <c r="Q2179" s="95">
        <v>1.552394E-2</v>
      </c>
      <c r="R2179" s="95">
        <v>0.10215432000000001</v>
      </c>
      <c r="S2179" s="95"/>
      <c r="T2179" s="95"/>
      <c r="U2179" s="95"/>
      <c r="V2179" s="95"/>
      <c r="W2179" s="95"/>
      <c r="X2179" s="95"/>
      <c r="Y2179" s="95"/>
      <c r="Z2179" s="95"/>
      <c r="AA2179" s="95"/>
      <c r="AB2179" s="95"/>
      <c r="AC2179" s="355"/>
      <c r="AD2179" s="355"/>
      <c r="AE2179" s="355"/>
      <c r="AF2179" s="94">
        <f t="shared" ref="AF2179:AF2242" si="293">A2179</f>
        <v>43190</v>
      </c>
      <c r="AG2179" s="185">
        <f t="shared" si="289"/>
        <v>9.3335061135606523E-3</v>
      </c>
      <c r="AH2179" s="339" t="str">
        <f>VLOOKUP(B2179,'MF PF'!A:B,2)</f>
        <v>FdMgt1</v>
      </c>
      <c r="AI2179" s="358">
        <f t="shared" ref="AI2179:AI2242" si="294">AF2179-A2179</f>
        <v>0</v>
      </c>
      <c r="AJ2179" s="94">
        <f t="shared" ref="AJ2179:AJ2242" si="295">EOMONTH(A2179,0)</f>
        <v>43190</v>
      </c>
    </row>
    <row r="2180" spans="1:36" ht="12.75" customHeight="1">
      <c r="A2180" s="94">
        <v>43220</v>
      </c>
      <c r="B2180" s="358" t="s">
        <v>175</v>
      </c>
      <c r="C2180" s="92" t="s">
        <v>325</v>
      </c>
      <c r="D2180" s="93">
        <v>6126735.2800000003</v>
      </c>
      <c r="E2180" s="95"/>
      <c r="F2180" s="93"/>
      <c r="G2180" s="95"/>
      <c r="H2180" s="93"/>
      <c r="I2180" s="93"/>
      <c r="K2180" s="93"/>
      <c r="L2180" s="93">
        <f t="shared" si="291"/>
        <v>0</v>
      </c>
      <c r="M2180" s="95" t="e">
        <f t="shared" ca="1" si="292"/>
        <v>#DIV/0!</v>
      </c>
      <c r="N2180" s="95">
        <f>IF(P2180="Hedge Fund",IF(A2180=Summary!$AD$3,M2180-E2180,M2180),IF(A2180=Summary!$AD$3,L2180-D2180,L2180))</f>
        <v>0</v>
      </c>
      <c r="O2180" s="95">
        <f t="shared" si="290"/>
        <v>0</v>
      </c>
      <c r="P2180" s="107" t="s">
        <v>155</v>
      </c>
      <c r="Q2180" s="95"/>
      <c r="R2180" s="95">
        <v>9.7976979999999991E-2</v>
      </c>
      <c r="S2180" s="95"/>
      <c r="T2180" s="95"/>
      <c r="U2180" s="95"/>
      <c r="V2180" s="95"/>
      <c r="W2180" s="95"/>
      <c r="X2180" s="95"/>
      <c r="Y2180" s="95"/>
      <c r="Z2180" s="95"/>
      <c r="AA2180" s="95"/>
      <c r="AB2180" s="95"/>
      <c r="AC2180" s="355"/>
      <c r="AD2180" s="355"/>
      <c r="AE2180" s="355"/>
      <c r="AF2180" s="94">
        <f t="shared" si="293"/>
        <v>43220</v>
      </c>
      <c r="AG2180" s="185">
        <f t="shared" si="289"/>
        <v>-7.7799438019331424E-3</v>
      </c>
      <c r="AH2180" s="339" t="str">
        <f>VLOOKUP(B2180,'MF PF'!A:B,2)</f>
        <v>FdMgt1</v>
      </c>
      <c r="AI2180" s="358">
        <f t="shared" si="294"/>
        <v>0</v>
      </c>
      <c r="AJ2180" s="94">
        <f t="shared" si="295"/>
        <v>43220</v>
      </c>
    </row>
    <row r="2181" spans="1:36" ht="12.75" customHeight="1">
      <c r="A2181" s="8">
        <v>43251</v>
      </c>
      <c r="B2181" s="358" t="s">
        <v>175</v>
      </c>
      <c r="C2181" s="92" t="s">
        <v>325</v>
      </c>
      <c r="D2181" s="93">
        <v>6197267.9199999999</v>
      </c>
      <c r="E2181" s="95"/>
      <c r="F2181" s="93"/>
      <c r="G2181" s="95"/>
      <c r="H2181" s="93"/>
      <c r="I2181" s="93"/>
      <c r="K2181" s="93"/>
      <c r="L2181" s="93">
        <f t="shared" si="291"/>
        <v>0</v>
      </c>
      <c r="M2181" s="95" t="e">
        <f t="shared" ca="1" si="292"/>
        <v>#DIV/0!</v>
      </c>
      <c r="N2181" s="95">
        <f>IF(P2181="Hedge Fund",IF(A2181=Summary!$AD$3,M2181-E2181,M2181),IF(A2181=Summary!$AD$3,L2181-D2181,L2181))</f>
        <v>0</v>
      </c>
      <c r="O2181" s="95">
        <f t="shared" si="290"/>
        <v>0</v>
      </c>
      <c r="P2181" s="107" t="s">
        <v>155</v>
      </c>
      <c r="Q2181" s="95"/>
      <c r="R2181" s="95">
        <v>0.10411025</v>
      </c>
      <c r="S2181" s="95"/>
      <c r="T2181" s="95"/>
      <c r="U2181" s="95"/>
      <c r="V2181" s="95"/>
      <c r="W2181" s="95"/>
      <c r="X2181" s="95"/>
      <c r="Y2181" s="95"/>
      <c r="Z2181" s="95"/>
      <c r="AA2181" s="95"/>
      <c r="AB2181" s="95"/>
      <c r="AC2181" s="355"/>
      <c r="AD2181" s="355"/>
      <c r="AE2181" s="355"/>
      <c r="AF2181" s="94">
        <f t="shared" si="293"/>
        <v>43251</v>
      </c>
      <c r="AG2181" s="185">
        <f t="shared" si="289"/>
        <v>1.1512271507836402E-2</v>
      </c>
      <c r="AH2181" s="339" t="str">
        <f>VLOOKUP(B2181,'MF PF'!A:B,2)</f>
        <v>FdMgt1</v>
      </c>
      <c r="AI2181" s="358">
        <f t="shared" si="294"/>
        <v>0</v>
      </c>
      <c r="AJ2181" s="94">
        <f t="shared" si="295"/>
        <v>43251</v>
      </c>
    </row>
    <row r="2182" spans="1:36" ht="12.75" customHeight="1">
      <c r="A2182" s="94">
        <v>43281</v>
      </c>
      <c r="B2182" s="358" t="s">
        <v>175</v>
      </c>
      <c r="C2182" s="92" t="s">
        <v>325</v>
      </c>
      <c r="D2182" s="93">
        <v>6163410.1699999999</v>
      </c>
      <c r="F2182" s="93"/>
      <c r="G2182" s="95"/>
      <c r="H2182" s="93"/>
      <c r="I2182" s="93"/>
      <c r="K2182" s="93"/>
      <c r="L2182" s="93">
        <f t="shared" si="291"/>
        <v>0</v>
      </c>
      <c r="M2182" s="95" t="e">
        <f t="shared" ca="1" si="292"/>
        <v>#DIV/0!</v>
      </c>
      <c r="N2182" s="95">
        <f>IF(P2182="Hedge Fund",IF(A2182=Summary!$AD$3,M2182-E2182,M2182),IF(A2182=Summary!$AD$3,L2182-D2182,L2182))</f>
        <v>0</v>
      </c>
      <c r="O2182" s="95">
        <f t="shared" si="290"/>
        <v>0</v>
      </c>
      <c r="P2182" s="107" t="s">
        <v>155</v>
      </c>
      <c r="Q2182" s="95">
        <v>1.583857E-2</v>
      </c>
      <c r="R2182" s="95">
        <v>0.10116610000000001</v>
      </c>
      <c r="S2182" s="95"/>
      <c r="T2182" s="95"/>
      <c r="U2182" s="95"/>
      <c r="V2182" s="95"/>
      <c r="W2182" s="95"/>
      <c r="X2182" s="95"/>
      <c r="Y2182" s="95"/>
      <c r="Z2182" s="95"/>
      <c r="AA2182" s="95"/>
      <c r="AB2182" s="95"/>
      <c r="AC2182" s="355"/>
      <c r="AD2182" s="355"/>
      <c r="AE2182" s="355"/>
      <c r="AF2182" s="94">
        <f t="shared" si="293"/>
        <v>43281</v>
      </c>
      <c r="AG2182" s="185">
        <f t="shared" ref="AG2182:AG2245" si="296">IF(C2182&lt;&gt;C2181,D2182/G2182-1,(D2182-G2182-I2182-H2182)/(D2181)-1)</f>
        <v>-5.4633348819297378E-3</v>
      </c>
      <c r="AH2182" s="339" t="str">
        <f>VLOOKUP(B2182,'MF PF'!A:B,2)</f>
        <v>FdMgt1</v>
      </c>
      <c r="AI2182" s="358">
        <f t="shared" si="294"/>
        <v>0</v>
      </c>
      <c r="AJ2182" s="94">
        <f t="shared" si="295"/>
        <v>43281</v>
      </c>
    </row>
    <row r="2183" spans="1:36" ht="12.75" customHeight="1">
      <c r="A2183" s="8">
        <v>43312</v>
      </c>
      <c r="B2183" s="358" t="s">
        <v>175</v>
      </c>
      <c r="C2183" s="92" t="s">
        <v>325</v>
      </c>
      <c r="D2183" s="93">
        <v>6099283.4000000004</v>
      </c>
      <c r="F2183" s="93"/>
      <c r="G2183" s="95"/>
      <c r="H2183" s="93"/>
      <c r="I2183" s="93"/>
      <c r="K2183" s="93"/>
      <c r="L2183" s="93">
        <f t="shared" si="291"/>
        <v>0</v>
      </c>
      <c r="M2183" s="95" t="e">
        <f t="shared" ca="1" si="292"/>
        <v>#DIV/0!</v>
      </c>
      <c r="N2183" s="95">
        <f>IF(P2183="Hedge Fund",IF(A2183=Summary!$AD$3,M2183-E2183,M2183),IF(A2183=Summary!$AD$3,L2183-D2183,L2183))</f>
        <v>0</v>
      </c>
      <c r="O2183" s="95">
        <f t="shared" si="290"/>
        <v>0</v>
      </c>
      <c r="P2183" s="107" t="s">
        <v>155</v>
      </c>
      <c r="Q2183" s="95">
        <v>0</v>
      </c>
      <c r="R2183" s="95">
        <v>9.5589859999999999E-2</v>
      </c>
      <c r="S2183" s="95"/>
      <c r="T2183" s="95"/>
      <c r="U2183" s="95"/>
      <c r="V2183" s="95"/>
      <c r="W2183" s="95"/>
      <c r="X2183" s="95"/>
      <c r="Y2183" s="95"/>
      <c r="Z2183" s="95"/>
      <c r="AA2183" s="95"/>
      <c r="AB2183" s="95"/>
      <c r="AC2183" s="355"/>
      <c r="AD2183" s="355"/>
      <c r="AE2183" s="355"/>
      <c r="AF2183" s="94">
        <f t="shared" si="293"/>
        <v>43312</v>
      </c>
      <c r="AG2183" s="185">
        <f t="shared" si="296"/>
        <v>-1.0404430052721847E-2</v>
      </c>
      <c r="AH2183" s="339" t="str">
        <f>VLOOKUP(B2183,'MF PF'!A:B,2)</f>
        <v>FdMgt1</v>
      </c>
      <c r="AI2183" s="358">
        <f t="shared" si="294"/>
        <v>0</v>
      </c>
      <c r="AJ2183" s="94">
        <f t="shared" si="295"/>
        <v>43312</v>
      </c>
    </row>
    <row r="2184" spans="1:36" ht="12.75" customHeight="1">
      <c r="A2184" s="8">
        <v>43343</v>
      </c>
      <c r="B2184" s="358" t="s">
        <v>175</v>
      </c>
      <c r="C2184" s="92" t="s">
        <v>325</v>
      </c>
      <c r="D2184" s="93">
        <v>6044214.1799999997</v>
      </c>
      <c r="F2184" s="93"/>
      <c r="G2184" s="95"/>
      <c r="H2184" s="93"/>
      <c r="I2184" s="93"/>
      <c r="K2184" s="93"/>
      <c r="L2184" s="93">
        <f t="shared" si="291"/>
        <v>0</v>
      </c>
      <c r="M2184" s="95" t="e">
        <f t="shared" ca="1" si="292"/>
        <v>#DIV/0!</v>
      </c>
      <c r="N2184" s="95">
        <f>IF(P2184="Hedge Fund",IF(A2184=Summary!$AD$3,M2184-E2184,M2184),IF(A2184=Summary!$AD$3,L2184-D2184,L2184))</f>
        <v>0</v>
      </c>
      <c r="O2184" s="95">
        <f t="shared" si="290"/>
        <v>0</v>
      </c>
      <c r="P2184" s="89" t="s">
        <v>155</v>
      </c>
      <c r="Q2184" s="95">
        <v>0</v>
      </c>
      <c r="R2184" s="95">
        <v>9.0801229999999997E-2</v>
      </c>
      <c r="S2184" s="95"/>
      <c r="T2184" s="95"/>
      <c r="U2184" s="95"/>
      <c r="V2184" s="95"/>
      <c r="W2184" s="95"/>
      <c r="X2184" s="95"/>
      <c r="Y2184" s="95"/>
      <c r="Z2184" s="95"/>
      <c r="AA2184" s="95"/>
      <c r="AB2184" s="95"/>
      <c r="AC2184" s="355"/>
      <c r="AD2184" s="355"/>
      <c r="AE2184" s="355"/>
      <c r="AF2184" s="94">
        <f t="shared" si="293"/>
        <v>43343</v>
      </c>
      <c r="AG2184" s="185">
        <f t="shared" si="296"/>
        <v>-9.0288016457803488E-3</v>
      </c>
      <c r="AH2184" s="339" t="str">
        <f>VLOOKUP(B2184,'MF PF'!A:B,2)</f>
        <v>FdMgt1</v>
      </c>
      <c r="AI2184" s="358">
        <f t="shared" si="294"/>
        <v>0</v>
      </c>
      <c r="AJ2184" s="94">
        <f t="shared" si="295"/>
        <v>43343</v>
      </c>
    </row>
    <row r="2185" spans="1:36" ht="12.75" customHeight="1">
      <c r="A2185" s="94">
        <v>43373</v>
      </c>
      <c r="B2185" s="358" t="s">
        <v>175</v>
      </c>
      <c r="C2185" s="92" t="s">
        <v>325</v>
      </c>
      <c r="D2185" s="93">
        <v>5810104.7400000002</v>
      </c>
      <c r="F2185" s="93"/>
      <c r="G2185" s="95"/>
      <c r="H2185" s="93"/>
      <c r="I2185" s="93"/>
      <c r="K2185" s="93"/>
      <c r="L2185" s="93">
        <f t="shared" si="291"/>
        <v>0</v>
      </c>
      <c r="M2185" s="95" t="e">
        <f t="shared" ca="1" si="292"/>
        <v>#DIV/0!</v>
      </c>
      <c r="N2185" s="95">
        <f>IF(P2185="Hedge Fund",IF(A2185=Summary!$AD$3,M2185-E2185,M2185),IF(A2185=Summary!$AD$3,L2185-D2185,L2185))</f>
        <v>0</v>
      </c>
      <c r="O2185" s="95">
        <f t="shared" si="290"/>
        <v>0</v>
      </c>
      <c r="P2185" s="107" t="s">
        <v>155</v>
      </c>
      <c r="Q2185" s="95">
        <v>1.4706149999999999E-2</v>
      </c>
      <c r="R2185" s="95">
        <v>7.0443889999999995E-2</v>
      </c>
      <c r="S2185" s="95"/>
      <c r="T2185" s="95"/>
      <c r="U2185" s="95"/>
      <c r="V2185" s="95"/>
      <c r="W2185" s="95"/>
      <c r="X2185" s="95"/>
      <c r="Y2185" s="95"/>
      <c r="Z2185" s="95"/>
      <c r="AA2185" s="95"/>
      <c r="AB2185" s="95"/>
      <c r="AC2185" s="355"/>
      <c r="AD2185" s="355"/>
      <c r="AE2185" s="355"/>
      <c r="AF2185" s="94">
        <f t="shared" si="293"/>
        <v>43373</v>
      </c>
      <c r="AG2185" s="185">
        <f t="shared" si="296"/>
        <v>-3.8732816711667173E-2</v>
      </c>
      <c r="AH2185" s="339" t="str">
        <f>VLOOKUP(B2185,'MF PF'!A:B,2)</f>
        <v>FdMgt1</v>
      </c>
      <c r="AI2185" s="358">
        <f t="shared" si="294"/>
        <v>0</v>
      </c>
      <c r="AJ2185" s="94">
        <f t="shared" si="295"/>
        <v>43373</v>
      </c>
    </row>
    <row r="2186" spans="1:36" ht="12.75" customHeight="1">
      <c r="A2186" s="8">
        <v>43404</v>
      </c>
      <c r="B2186" s="358" t="s">
        <v>175</v>
      </c>
      <c r="C2186" s="92" t="s">
        <v>325</v>
      </c>
      <c r="D2186" s="93">
        <v>5744821.9167999998</v>
      </c>
      <c r="F2186" s="93">
        <v>5</v>
      </c>
      <c r="G2186" s="93"/>
      <c r="H2186" s="93">
        <v>0</v>
      </c>
      <c r="I2186" s="93">
        <v>0</v>
      </c>
      <c r="J2186" s="93">
        <v>0</v>
      </c>
      <c r="K2186" s="93"/>
      <c r="L2186" s="93">
        <f t="shared" si="291"/>
        <v>0</v>
      </c>
      <c r="M2186" s="95" t="e">
        <f t="shared" ca="1" si="292"/>
        <v>#DIV/0!</v>
      </c>
      <c r="N2186" s="95">
        <f>IF(P2186="Hedge Fund",IF(A2186=Summary!$AD$3,M2186-E2186,M2186),IF(A2186=Summary!$AD$3,L2186-D2186,L2186))</f>
        <v>0</v>
      </c>
      <c r="O2186" s="95">
        <f t="shared" si="290"/>
        <v>0</v>
      </c>
      <c r="P2186" s="95" t="s">
        <v>155</v>
      </c>
      <c r="Q2186" s="95">
        <v>1.9960001762763684E-2</v>
      </c>
      <c r="R2186" s="95">
        <v>6.4767123199999999E-2</v>
      </c>
      <c r="S2186" s="95"/>
      <c r="T2186" s="95"/>
      <c r="U2186" s="95"/>
      <c r="V2186" s="95"/>
      <c r="W2186" s="95"/>
      <c r="X2186" s="95"/>
      <c r="Y2186" s="95"/>
      <c r="Z2186" s="95"/>
      <c r="AA2186" s="95"/>
      <c r="AB2186" s="95"/>
      <c r="AC2186" s="355"/>
      <c r="AD2186" s="355"/>
      <c r="AE2186" s="355"/>
      <c r="AF2186" s="94">
        <f t="shared" si="293"/>
        <v>43404</v>
      </c>
      <c r="AG2186" s="185">
        <f t="shared" si="296"/>
        <v>-1.1236083706126165E-2</v>
      </c>
      <c r="AH2186" s="339" t="str">
        <f>VLOOKUP(B2186,'MF PF'!A:B,2)</f>
        <v>FdMgt1</v>
      </c>
      <c r="AI2186" s="358">
        <f t="shared" si="294"/>
        <v>0</v>
      </c>
      <c r="AJ2186" s="94">
        <f t="shared" si="295"/>
        <v>43404</v>
      </c>
    </row>
    <row r="2187" spans="1:36" ht="12.75" customHeight="1">
      <c r="A2187" s="94">
        <v>43434</v>
      </c>
      <c r="B2187" s="358" t="s">
        <v>175</v>
      </c>
      <c r="C2187" s="92" t="s">
        <v>325</v>
      </c>
      <c r="D2187" s="93">
        <v>5741926.9435999999</v>
      </c>
      <c r="F2187" s="93">
        <v>5</v>
      </c>
      <c r="G2187" s="93"/>
      <c r="H2187" s="93">
        <v>0</v>
      </c>
      <c r="I2187" s="93">
        <v>0</v>
      </c>
      <c r="K2187" s="93">
        <v>0</v>
      </c>
      <c r="L2187" s="93">
        <f t="shared" si="291"/>
        <v>0</v>
      </c>
      <c r="M2187" s="95" t="e">
        <f t="shared" ca="1" si="292"/>
        <v>#DIV/0!</v>
      </c>
      <c r="N2187" s="95">
        <f>IF(P2187="Hedge Fund",IF(A2187=Summary!$AD$3,M2187-E2187,M2187),IF(A2187=Summary!$AD$3,L2187-D2187,L2187))</f>
        <v>0</v>
      </c>
      <c r="O2187" s="95">
        <f t="shared" si="290"/>
        <v>0</v>
      </c>
      <c r="P2187" s="95" t="s">
        <v>155</v>
      </c>
      <c r="Q2187" s="95">
        <v>1.0069622477085184E-2</v>
      </c>
      <c r="R2187" s="95">
        <v>6.4515386400000013E-2</v>
      </c>
      <c r="S2187" s="95"/>
      <c r="T2187" s="95"/>
      <c r="U2187" s="95"/>
      <c r="V2187" s="95"/>
      <c r="W2187" s="95"/>
      <c r="X2187" s="95"/>
      <c r="Y2187" s="95"/>
      <c r="Z2187" s="95"/>
      <c r="AA2187" s="95"/>
      <c r="AB2187" s="95"/>
      <c r="AC2187" s="355"/>
      <c r="AD2187" s="355"/>
      <c r="AE2187" s="355"/>
      <c r="AF2187" s="94">
        <f t="shared" si="293"/>
        <v>43434</v>
      </c>
      <c r="AG2187" s="185">
        <f t="shared" si="296"/>
        <v>-5.0392740487459342E-4</v>
      </c>
      <c r="AH2187" s="339" t="str">
        <f>VLOOKUP(B2187,'MF PF'!A:B,2)</f>
        <v>FdMgt1</v>
      </c>
      <c r="AI2187" s="358">
        <f t="shared" si="294"/>
        <v>0</v>
      </c>
      <c r="AJ2187" s="94">
        <f t="shared" si="295"/>
        <v>43434</v>
      </c>
    </row>
    <row r="2188" spans="1:36" ht="12.75" customHeight="1">
      <c r="A2188" s="8">
        <v>43465</v>
      </c>
      <c r="B2188" s="358" t="s">
        <v>175</v>
      </c>
      <c r="C2188" s="92" t="s">
        <v>325</v>
      </c>
      <c r="D2188" s="93">
        <v>5836841.7335999999</v>
      </c>
      <c r="F2188" s="93">
        <v>5</v>
      </c>
      <c r="G2188" s="93"/>
      <c r="H2188" s="93">
        <v>0</v>
      </c>
      <c r="I2188" s="93">
        <v>0</v>
      </c>
      <c r="K2188" s="93">
        <v>0</v>
      </c>
      <c r="L2188" s="93">
        <f t="shared" si="291"/>
        <v>0</v>
      </c>
      <c r="M2188" s="95" t="e">
        <f t="shared" ca="1" si="292"/>
        <v>#DIV/0!</v>
      </c>
      <c r="N2188" s="95">
        <f>IF(P2188="Hedge Fund",IF(A2188=Summary!$AD$3,M2188-E2188,M2188),IF(A2188=Summary!$AD$3,L2188-D2188,L2188))</f>
        <v>0</v>
      </c>
      <c r="O2188" s="95">
        <f t="shared" si="290"/>
        <v>0</v>
      </c>
      <c r="P2188" s="95" t="s">
        <v>155</v>
      </c>
      <c r="Q2188" s="95">
        <v>1.5267257964398376E-2</v>
      </c>
      <c r="R2188" s="95">
        <v>7.2768846400000003E-2</v>
      </c>
      <c r="S2188" s="95"/>
      <c r="T2188" s="95"/>
      <c r="U2188" s="95"/>
      <c r="V2188" s="95"/>
      <c r="W2188" s="95"/>
      <c r="X2188" s="95"/>
      <c r="Y2188" s="95"/>
      <c r="Z2188" s="95"/>
      <c r="AA2188" s="95"/>
      <c r="AB2188" s="95"/>
      <c r="AC2188" s="355"/>
      <c r="AD2188" s="355"/>
      <c r="AE2188" s="355"/>
      <c r="AF2188" s="94">
        <f t="shared" si="293"/>
        <v>43465</v>
      </c>
      <c r="AG2188" s="185">
        <f t="shared" si="296"/>
        <v>1.6530128462500349E-2</v>
      </c>
      <c r="AH2188" s="339" t="str">
        <f>VLOOKUP(B2188,'MF PF'!A:B,2)</f>
        <v>FdMgt1</v>
      </c>
      <c r="AI2188" s="358">
        <f t="shared" si="294"/>
        <v>0</v>
      </c>
      <c r="AJ2188" s="94">
        <f t="shared" si="295"/>
        <v>43465</v>
      </c>
    </row>
    <row r="2189" spans="1:36" ht="12.75" customHeight="1">
      <c r="A2189" s="94">
        <v>43496</v>
      </c>
      <c r="B2189" s="358" t="s">
        <v>175</v>
      </c>
      <c r="C2189" s="92" t="s">
        <v>325</v>
      </c>
      <c r="D2189" s="93">
        <v>5993969.4720000001</v>
      </c>
      <c r="F2189" s="93">
        <v>5</v>
      </c>
      <c r="G2189" s="93"/>
      <c r="H2189" s="93">
        <v>0</v>
      </c>
      <c r="I2189" s="93">
        <v>0</v>
      </c>
      <c r="K2189" s="93">
        <v>0</v>
      </c>
      <c r="L2189" s="93">
        <f t="shared" si="291"/>
        <v>0</v>
      </c>
      <c r="M2189" s="95" t="e">
        <f t="shared" ca="1" si="292"/>
        <v>#DIV/0!</v>
      </c>
      <c r="N2189" s="95">
        <f>IF(P2189="Hedge Fund",IF(A2189=Summary!$AD$3,M2189-E2189,M2189),IF(A2189=Summary!$AD$3,L2189-D2189,L2189))</f>
        <v>-5993969.4720000001</v>
      </c>
      <c r="O2189" s="95">
        <f t="shared" si="290"/>
        <v>-5993969.4720000001</v>
      </c>
      <c r="P2189" s="95" t="s">
        <v>155</v>
      </c>
      <c r="Q2189" s="95">
        <v>5.1719434553649827E-3</v>
      </c>
      <c r="R2189" s="95">
        <v>8.6432127999999969E-2</v>
      </c>
      <c r="S2189" s="95"/>
      <c r="T2189" s="95"/>
      <c r="U2189" s="95"/>
      <c r="V2189" s="95"/>
      <c r="W2189" s="95"/>
      <c r="X2189" s="95"/>
      <c r="Y2189" s="95"/>
      <c r="Z2189" s="95"/>
      <c r="AA2189" s="95"/>
      <c r="AB2189" s="95"/>
      <c r="AC2189" s="355"/>
      <c r="AD2189" s="355"/>
      <c r="AE2189" s="355"/>
      <c r="AF2189" s="94">
        <f t="shared" si="293"/>
        <v>43496</v>
      </c>
      <c r="AG2189" s="185">
        <f t="shared" si="296"/>
        <v>2.6919992963915451E-2</v>
      </c>
      <c r="AH2189" s="339" t="str">
        <f>VLOOKUP(B2189,'MF PF'!A:B,2)</f>
        <v>FdMgt1</v>
      </c>
      <c r="AI2189" s="358">
        <f t="shared" si="294"/>
        <v>0</v>
      </c>
      <c r="AJ2189" s="94">
        <f t="shared" si="295"/>
        <v>43496</v>
      </c>
    </row>
    <row r="2190" spans="1:36" ht="12.75" customHeight="1">
      <c r="A2190" s="94">
        <v>42695</v>
      </c>
      <c r="B2190" s="358" t="s">
        <v>175</v>
      </c>
      <c r="C2190" s="92" t="s">
        <v>326</v>
      </c>
      <c r="D2190" s="93"/>
      <c r="F2190" s="93"/>
      <c r="G2190" s="95">
        <v>68000</v>
      </c>
      <c r="H2190" s="93"/>
      <c r="I2190" s="93"/>
      <c r="K2190" s="93"/>
      <c r="L2190" s="93">
        <f t="shared" si="291"/>
        <v>68000</v>
      </c>
      <c r="M2190" s="95">
        <f t="shared" ca="1" si="292"/>
        <v>0</v>
      </c>
      <c r="N2190" s="95">
        <f>IF(P2190="Hedge Fund",IF(A2190=Summary!$AD$3,M2190-E2190,M2190),IF(A2190=Summary!$AD$3,L2190-D2190,L2190))</f>
        <v>68000</v>
      </c>
      <c r="O2190" s="95">
        <f t="shared" si="290"/>
        <v>68000</v>
      </c>
      <c r="P2190" s="107" t="s">
        <v>155</v>
      </c>
      <c r="Q2190" s="95">
        <v>0</v>
      </c>
      <c r="R2190" s="95">
        <v>0</v>
      </c>
      <c r="S2190" s="95"/>
      <c r="T2190" s="95"/>
      <c r="U2190" s="95"/>
      <c r="V2190" s="95"/>
      <c r="W2190" s="95"/>
      <c r="X2190" s="95"/>
      <c r="Y2190" s="95"/>
      <c r="Z2190" s="95"/>
      <c r="AA2190" s="95"/>
      <c r="AB2190" s="95"/>
      <c r="AC2190" s="355"/>
      <c r="AD2190" s="355"/>
      <c r="AE2190" s="355"/>
      <c r="AF2190" s="94">
        <f t="shared" si="293"/>
        <v>42695</v>
      </c>
      <c r="AG2190" s="185">
        <f t="shared" si="296"/>
        <v>-1</v>
      </c>
      <c r="AH2190" s="339" t="str">
        <f>VLOOKUP(B2190,'MF PF'!A:B,2)</f>
        <v>FdMgt1</v>
      </c>
      <c r="AI2190" s="358">
        <f t="shared" si="294"/>
        <v>0</v>
      </c>
      <c r="AJ2190" s="94">
        <f t="shared" si="295"/>
        <v>42704</v>
      </c>
    </row>
    <row r="2191" spans="1:36" ht="12.75" customHeight="1">
      <c r="A2191" s="8">
        <v>42695</v>
      </c>
      <c r="B2191" s="358" t="s">
        <v>175</v>
      </c>
      <c r="C2191" s="92" t="s">
        <v>326</v>
      </c>
      <c r="D2191" s="93"/>
      <c r="F2191" s="93"/>
      <c r="G2191" s="95">
        <v>388481</v>
      </c>
      <c r="H2191" s="93"/>
      <c r="I2191" s="93"/>
      <c r="K2191" s="93"/>
      <c r="L2191" s="93">
        <f t="shared" si="291"/>
        <v>388481</v>
      </c>
      <c r="M2191" s="95">
        <f t="shared" ca="1" si="292"/>
        <v>0</v>
      </c>
      <c r="N2191" s="95">
        <f>IF(P2191="Hedge Fund",IF(A2191=Summary!$AD$3,M2191-E2191,M2191),IF(A2191=Summary!$AD$3,L2191-D2191,L2191))</f>
        <v>388481</v>
      </c>
      <c r="O2191" s="95">
        <f t="shared" si="290"/>
        <v>388481</v>
      </c>
      <c r="P2191" s="107" t="s">
        <v>155</v>
      </c>
      <c r="Q2191" s="95">
        <v>0</v>
      </c>
      <c r="R2191" s="95">
        <v>0</v>
      </c>
      <c r="S2191" s="95"/>
      <c r="T2191" s="95"/>
      <c r="U2191" s="95"/>
      <c r="V2191" s="95"/>
      <c r="W2191" s="95"/>
      <c r="X2191" s="95"/>
      <c r="Y2191" s="95"/>
      <c r="Z2191" s="95"/>
      <c r="AA2191" s="95"/>
      <c r="AB2191" s="95"/>
      <c r="AC2191" s="355"/>
      <c r="AD2191" s="355"/>
      <c r="AE2191" s="355"/>
      <c r="AF2191" s="94">
        <f t="shared" si="293"/>
        <v>42695</v>
      </c>
      <c r="AG2191" s="185" t="e">
        <f t="shared" si="296"/>
        <v>#DIV/0!</v>
      </c>
      <c r="AH2191" s="339" t="str">
        <f>VLOOKUP(B2191,'MF PF'!A:B,2)</f>
        <v>FdMgt1</v>
      </c>
      <c r="AI2191" s="358">
        <f t="shared" si="294"/>
        <v>0</v>
      </c>
      <c r="AJ2191" s="94">
        <f t="shared" si="295"/>
        <v>42704</v>
      </c>
    </row>
    <row r="2192" spans="1:36" ht="12.75" customHeight="1">
      <c r="A2192" s="8">
        <v>42703</v>
      </c>
      <c r="B2192" s="358" t="s">
        <v>175</v>
      </c>
      <c r="C2192" s="92" t="s">
        <v>326</v>
      </c>
      <c r="D2192" s="93"/>
      <c r="F2192" s="93"/>
      <c r="G2192" s="95">
        <v>161000</v>
      </c>
      <c r="H2192" s="93"/>
      <c r="I2192" s="93"/>
      <c r="K2192" s="93"/>
      <c r="L2192" s="93">
        <f t="shared" si="291"/>
        <v>161000</v>
      </c>
      <c r="M2192" s="95" t="e">
        <f t="shared" ca="1" si="292"/>
        <v>#DIV/0!</v>
      </c>
      <c r="N2192" s="95">
        <f>IF(P2192="Hedge Fund",IF(A2192=Summary!$AD$3,M2192-E2192,M2192),IF(A2192=Summary!$AD$3,L2192-D2192,L2192))</f>
        <v>161000</v>
      </c>
      <c r="O2192" s="95">
        <f t="shared" si="290"/>
        <v>161000</v>
      </c>
      <c r="P2192" s="107" t="s">
        <v>155</v>
      </c>
      <c r="Q2192" s="95">
        <v>0</v>
      </c>
      <c r="R2192" s="95">
        <v>0</v>
      </c>
      <c r="S2192" s="95"/>
      <c r="T2192" s="95"/>
      <c r="U2192" s="95"/>
      <c r="V2192" s="95"/>
      <c r="W2192" s="95"/>
      <c r="X2192" s="95"/>
      <c r="Y2192" s="95"/>
      <c r="Z2192" s="95"/>
      <c r="AA2192" s="95"/>
      <c r="AB2192" s="95"/>
      <c r="AC2192" s="355"/>
      <c r="AD2192" s="355"/>
      <c r="AE2192" s="355"/>
      <c r="AF2192" s="94">
        <f t="shared" si="293"/>
        <v>42703</v>
      </c>
      <c r="AG2192" s="185" t="e">
        <f t="shared" si="296"/>
        <v>#DIV/0!</v>
      </c>
      <c r="AH2192" s="339" t="str">
        <f>VLOOKUP(B2192,'MF PF'!A:B,2)</f>
        <v>FdMgt1</v>
      </c>
      <c r="AI2192" s="358">
        <f t="shared" si="294"/>
        <v>0</v>
      </c>
      <c r="AJ2192" s="94">
        <f t="shared" si="295"/>
        <v>42704</v>
      </c>
    </row>
    <row r="2193" spans="1:36" ht="12.75" customHeight="1">
      <c r="A2193" s="94">
        <v>42704</v>
      </c>
      <c r="B2193" s="358" t="s">
        <v>175</v>
      </c>
      <c r="C2193" s="92" t="s">
        <v>326</v>
      </c>
      <c r="D2193" s="93">
        <v>617374.14</v>
      </c>
      <c r="F2193" s="93"/>
      <c r="G2193" s="95"/>
      <c r="H2193" s="93"/>
      <c r="I2193" s="93"/>
      <c r="K2193" s="93"/>
      <c r="L2193" s="93">
        <f t="shared" si="291"/>
        <v>0</v>
      </c>
      <c r="M2193" s="95" t="e">
        <f t="shared" ca="1" si="292"/>
        <v>#DIV/0!</v>
      </c>
      <c r="N2193" s="95">
        <f>IF(P2193="Hedge Fund",IF(A2193=Summary!$AD$3,M2193-E2193,M2193),IF(A2193=Summary!$AD$3,L2193-D2193,L2193))</f>
        <v>0</v>
      </c>
      <c r="O2193" s="95">
        <f t="shared" si="290"/>
        <v>0</v>
      </c>
      <c r="P2193" s="89" t="s">
        <v>155</v>
      </c>
      <c r="Q2193" s="95"/>
      <c r="R2193" s="95"/>
      <c r="S2193" s="95"/>
      <c r="T2193" s="95"/>
      <c r="U2193" s="95"/>
      <c r="V2193" s="95"/>
      <c r="W2193" s="95"/>
      <c r="X2193" s="95"/>
      <c r="Y2193" s="95"/>
      <c r="Z2193" s="95"/>
      <c r="AA2193" s="95"/>
      <c r="AB2193" s="95"/>
      <c r="AC2193" s="355"/>
      <c r="AD2193" s="355"/>
      <c r="AE2193" s="355"/>
      <c r="AF2193" s="94">
        <f t="shared" si="293"/>
        <v>42704</v>
      </c>
      <c r="AG2193" s="185" t="e">
        <f t="shared" si="296"/>
        <v>#DIV/0!</v>
      </c>
      <c r="AH2193" s="339" t="str">
        <f>VLOOKUP(B2193,'MF PF'!A:B,2)</f>
        <v>FdMgt1</v>
      </c>
      <c r="AI2193" s="358">
        <f t="shared" si="294"/>
        <v>0</v>
      </c>
      <c r="AJ2193" s="94">
        <f t="shared" si="295"/>
        <v>42704</v>
      </c>
    </row>
    <row r="2194" spans="1:36" ht="12.75" customHeight="1">
      <c r="A2194" s="94">
        <v>42735</v>
      </c>
      <c r="B2194" s="358" t="s">
        <v>175</v>
      </c>
      <c r="C2194" s="358" t="s">
        <v>326</v>
      </c>
      <c r="D2194" s="93">
        <v>611974.28</v>
      </c>
      <c r="F2194" s="93"/>
      <c r="G2194" s="95"/>
      <c r="H2194" s="93"/>
      <c r="I2194" s="93"/>
      <c r="K2194" s="93"/>
      <c r="L2194" s="93">
        <f t="shared" si="291"/>
        <v>0</v>
      </c>
      <c r="M2194" s="95" t="e">
        <f t="shared" ca="1" si="292"/>
        <v>#DIV/0!</v>
      </c>
      <c r="N2194" s="95">
        <f>IF(P2194="Hedge Fund",IF(A2194=Summary!$AD$3,M2194-E2194,M2194),IF(A2194=Summary!$AD$3,L2194-D2194,L2194))</f>
        <v>0</v>
      </c>
      <c r="O2194" s="95">
        <f t="shared" si="290"/>
        <v>0</v>
      </c>
      <c r="P2194" s="89" t="s">
        <v>155</v>
      </c>
      <c r="Q2194" s="95"/>
      <c r="R2194" s="95"/>
      <c r="S2194" s="95"/>
      <c r="T2194" s="95"/>
      <c r="U2194" s="95"/>
      <c r="V2194" s="95"/>
      <c r="W2194" s="95"/>
      <c r="X2194" s="95"/>
      <c r="Y2194" s="95"/>
      <c r="Z2194" s="95"/>
      <c r="AA2194" s="95"/>
      <c r="AB2194" s="95"/>
      <c r="AC2194" s="355"/>
      <c r="AD2194" s="355"/>
      <c r="AE2194" s="355"/>
      <c r="AF2194" s="94">
        <f t="shared" si="293"/>
        <v>42735</v>
      </c>
      <c r="AG2194" s="185">
        <f t="shared" si="296"/>
        <v>-8.7464952775637705E-3</v>
      </c>
      <c r="AH2194" s="339" t="str">
        <f>VLOOKUP(B2194,'MF PF'!A:B,2)</f>
        <v>FdMgt1</v>
      </c>
      <c r="AI2194" s="358">
        <f t="shared" si="294"/>
        <v>0</v>
      </c>
      <c r="AJ2194" s="94">
        <f t="shared" si="295"/>
        <v>42735</v>
      </c>
    </row>
    <row r="2195" spans="1:36" ht="12.75" customHeight="1">
      <c r="A2195" s="94">
        <v>42766</v>
      </c>
      <c r="B2195" s="358" t="s">
        <v>175</v>
      </c>
      <c r="C2195" s="92" t="s">
        <v>326</v>
      </c>
      <c r="D2195" s="93">
        <v>625966.62</v>
      </c>
      <c r="F2195" s="93"/>
      <c r="G2195" s="95"/>
      <c r="H2195" s="93"/>
      <c r="I2195" s="93"/>
      <c r="K2195" s="93"/>
      <c r="L2195" s="93">
        <f t="shared" si="291"/>
        <v>0</v>
      </c>
      <c r="M2195" s="95" t="e">
        <f t="shared" ca="1" si="292"/>
        <v>#DIV/0!</v>
      </c>
      <c r="N2195" s="95">
        <f>IF(P2195="Hedge Fund",IF(A2195=Summary!$AD$3,M2195-E2195,M2195),IF(A2195=Summary!$AD$3,L2195-D2195,L2195))</f>
        <v>0</v>
      </c>
      <c r="O2195" s="95">
        <f t="shared" si="290"/>
        <v>0</v>
      </c>
      <c r="P2195" s="89" t="s">
        <v>155</v>
      </c>
      <c r="Q2195" s="95"/>
      <c r="R2195" s="95"/>
      <c r="S2195" s="95"/>
      <c r="T2195" s="95"/>
      <c r="U2195" s="95"/>
      <c r="V2195" s="95"/>
      <c r="W2195" s="95"/>
      <c r="X2195" s="95"/>
      <c r="Y2195" s="95"/>
      <c r="Z2195" s="95"/>
      <c r="AA2195" s="95"/>
      <c r="AB2195" s="95"/>
      <c r="AC2195" s="355"/>
      <c r="AD2195" s="355"/>
      <c r="AE2195" s="355"/>
      <c r="AF2195" s="94">
        <f t="shared" si="293"/>
        <v>42766</v>
      </c>
      <c r="AG2195" s="185">
        <f t="shared" si="296"/>
        <v>2.2864261550338272E-2</v>
      </c>
      <c r="AH2195" s="339" t="str">
        <f>VLOOKUP(B2195,'MF PF'!A:B,2)</f>
        <v>FdMgt1</v>
      </c>
      <c r="AI2195" s="358">
        <f t="shared" si="294"/>
        <v>0</v>
      </c>
      <c r="AJ2195" s="94">
        <f t="shared" si="295"/>
        <v>42766</v>
      </c>
    </row>
    <row r="2196" spans="1:36" ht="12.75" customHeight="1">
      <c r="A2196" s="8">
        <v>42793</v>
      </c>
      <c r="B2196" s="358" t="s">
        <v>175</v>
      </c>
      <c r="C2196" s="92" t="s">
        <v>326</v>
      </c>
      <c r="D2196" s="93"/>
      <c r="F2196" s="93"/>
      <c r="G2196" s="95">
        <v>94000</v>
      </c>
      <c r="H2196" s="93"/>
      <c r="I2196" s="93"/>
      <c r="K2196" s="93"/>
      <c r="L2196" s="93">
        <f t="shared" si="291"/>
        <v>94000</v>
      </c>
      <c r="M2196" s="95" t="e">
        <f t="shared" ca="1" si="292"/>
        <v>#DIV/0!</v>
      </c>
      <c r="N2196" s="95">
        <f>IF(P2196="Hedge Fund",IF(A2196=Summary!$AD$3,M2196-E2196,M2196),IF(A2196=Summary!$AD$3,L2196-D2196,L2196))</f>
        <v>94000</v>
      </c>
      <c r="O2196" s="95">
        <f t="shared" si="290"/>
        <v>94000</v>
      </c>
      <c r="P2196" s="89" t="s">
        <v>155</v>
      </c>
      <c r="Q2196" s="95">
        <v>0</v>
      </c>
      <c r="R2196" s="95">
        <v>0</v>
      </c>
      <c r="S2196" s="95"/>
      <c r="T2196" s="95"/>
      <c r="U2196" s="95"/>
      <c r="V2196" s="95"/>
      <c r="W2196" s="95"/>
      <c r="X2196" s="95"/>
      <c r="Y2196" s="95"/>
      <c r="Z2196" s="95"/>
      <c r="AA2196" s="95"/>
      <c r="AB2196" s="95"/>
      <c r="AC2196" s="355"/>
      <c r="AD2196" s="355"/>
      <c r="AE2196" s="355"/>
      <c r="AF2196" s="94">
        <f t="shared" si="293"/>
        <v>42793</v>
      </c>
      <c r="AG2196" s="185">
        <f t="shared" si="296"/>
        <v>-1.1501677517564755</v>
      </c>
      <c r="AH2196" s="339" t="str">
        <f>VLOOKUP(B2196,'MF PF'!A:B,2)</f>
        <v>FdMgt1</v>
      </c>
      <c r="AI2196" s="358">
        <f t="shared" si="294"/>
        <v>0</v>
      </c>
      <c r="AJ2196" s="94">
        <f t="shared" si="295"/>
        <v>42794</v>
      </c>
    </row>
    <row r="2197" spans="1:36" ht="12.75" customHeight="1">
      <c r="A2197" s="8">
        <v>42794</v>
      </c>
      <c r="B2197" s="358" t="s">
        <v>175</v>
      </c>
      <c r="C2197" s="92" t="s">
        <v>326</v>
      </c>
      <c r="D2197" s="93">
        <v>755531.46</v>
      </c>
      <c r="E2197" s="95"/>
      <c r="F2197" s="93"/>
      <c r="G2197" s="95"/>
      <c r="H2197" s="93"/>
      <c r="I2197" s="93"/>
      <c r="K2197" s="93"/>
      <c r="L2197" s="93">
        <f t="shared" si="291"/>
        <v>0</v>
      </c>
      <c r="M2197" s="95" t="e">
        <f t="shared" ca="1" si="292"/>
        <v>#DIV/0!</v>
      </c>
      <c r="N2197" s="95">
        <f>IF(P2197="Hedge Fund",IF(A2197=Summary!$AD$3,M2197-E2197,M2197),IF(A2197=Summary!$AD$3,L2197-D2197,L2197))</f>
        <v>0</v>
      </c>
      <c r="O2197" s="95">
        <f t="shared" si="290"/>
        <v>0</v>
      </c>
      <c r="P2197" s="107" t="s">
        <v>155</v>
      </c>
      <c r="Q2197" s="95"/>
      <c r="R2197" s="95"/>
      <c r="S2197" s="95"/>
      <c r="T2197" s="95"/>
      <c r="U2197" s="95"/>
      <c r="V2197" s="95"/>
      <c r="W2197" s="95"/>
      <c r="X2197" s="95"/>
      <c r="Y2197" s="95"/>
      <c r="Z2197" s="95"/>
      <c r="AA2197" s="95"/>
      <c r="AB2197" s="95"/>
      <c r="AC2197" s="355"/>
      <c r="AD2197" s="355"/>
      <c r="AE2197" s="355"/>
      <c r="AF2197" s="94">
        <f t="shared" si="293"/>
        <v>42794</v>
      </c>
      <c r="AG2197" s="185" t="e">
        <f t="shared" si="296"/>
        <v>#DIV/0!</v>
      </c>
      <c r="AH2197" s="339" t="str">
        <f>VLOOKUP(B2197,'MF PF'!A:B,2)</f>
        <v>FdMgt1</v>
      </c>
      <c r="AI2197" s="358">
        <f t="shared" si="294"/>
        <v>0</v>
      </c>
      <c r="AJ2197" s="94">
        <f t="shared" si="295"/>
        <v>42794</v>
      </c>
    </row>
    <row r="2198" spans="1:36" ht="12.75" customHeight="1">
      <c r="A2198" s="94">
        <v>42825</v>
      </c>
      <c r="B2198" s="358" t="s">
        <v>175</v>
      </c>
      <c r="C2198" s="92" t="s">
        <v>326</v>
      </c>
      <c r="D2198" s="93">
        <v>727752.02</v>
      </c>
      <c r="E2198" s="95"/>
      <c r="F2198" s="93"/>
      <c r="G2198" s="95"/>
      <c r="H2198" s="93"/>
      <c r="I2198" s="93"/>
      <c r="K2198" s="93"/>
      <c r="L2198" s="93">
        <f t="shared" si="291"/>
        <v>0</v>
      </c>
      <c r="M2198" s="95" t="e">
        <f t="shared" ca="1" si="292"/>
        <v>#DIV/0!</v>
      </c>
      <c r="N2198" s="95">
        <f>IF(P2198="Hedge Fund",IF(A2198=Summary!$AD$3,M2198-E2198,M2198),IF(A2198=Summary!$AD$3,L2198-D2198,L2198))</f>
        <v>0</v>
      </c>
      <c r="O2198" s="95">
        <f t="shared" si="290"/>
        <v>0</v>
      </c>
      <c r="P2198" s="89" t="s">
        <v>155</v>
      </c>
      <c r="Q2198" s="95"/>
      <c r="R2198" s="95"/>
      <c r="S2198" s="95"/>
      <c r="T2198" s="95"/>
      <c r="U2198" s="95"/>
      <c r="V2198" s="95"/>
      <c r="W2198" s="95"/>
      <c r="X2198" s="95"/>
      <c r="Y2198" s="95"/>
      <c r="Z2198" s="95"/>
      <c r="AA2198" s="95"/>
      <c r="AB2198" s="95"/>
      <c r="AC2198" s="355"/>
      <c r="AD2198" s="355"/>
      <c r="AE2198" s="355"/>
      <c r="AF2198" s="94">
        <f t="shared" si="293"/>
        <v>42825</v>
      </c>
      <c r="AG2198" s="185">
        <f t="shared" si="296"/>
        <v>-3.6768078459631481E-2</v>
      </c>
      <c r="AH2198" s="339" t="str">
        <f>VLOOKUP(B2198,'MF PF'!A:B,2)</f>
        <v>FdMgt1</v>
      </c>
      <c r="AI2198" s="358">
        <f t="shared" si="294"/>
        <v>0</v>
      </c>
      <c r="AJ2198" s="94">
        <f t="shared" si="295"/>
        <v>42825</v>
      </c>
    </row>
    <row r="2199" spans="1:36" ht="12.75" customHeight="1">
      <c r="A2199" s="94">
        <v>42835</v>
      </c>
      <c r="B2199" s="358" t="s">
        <v>175</v>
      </c>
      <c r="C2199" s="358" t="s">
        <v>326</v>
      </c>
      <c r="D2199" s="93"/>
      <c r="E2199" s="95"/>
      <c r="F2199" s="93"/>
      <c r="G2199" s="95">
        <v>108000</v>
      </c>
      <c r="H2199" s="93"/>
      <c r="I2199" s="93"/>
      <c r="K2199" s="93"/>
      <c r="L2199" s="93">
        <f t="shared" si="291"/>
        <v>108000</v>
      </c>
      <c r="M2199" s="95" t="e">
        <f t="shared" ca="1" si="292"/>
        <v>#DIV/0!</v>
      </c>
      <c r="N2199" s="95">
        <f>IF(P2199="Hedge Fund",IF(A2199=Summary!$AD$3,M2199-E2199,M2199),IF(A2199=Summary!$AD$3,L2199-D2199,L2199))</f>
        <v>108000</v>
      </c>
      <c r="O2199" s="95">
        <f t="shared" si="290"/>
        <v>108000</v>
      </c>
      <c r="P2199" s="89" t="s">
        <v>155</v>
      </c>
      <c r="Q2199" s="95">
        <v>0</v>
      </c>
      <c r="R2199" s="95">
        <v>0</v>
      </c>
      <c r="S2199" s="95"/>
      <c r="T2199" s="95"/>
      <c r="U2199" s="95"/>
      <c r="V2199" s="95"/>
      <c r="W2199" s="95"/>
      <c r="X2199" s="95"/>
      <c r="Y2199" s="95"/>
      <c r="Z2199" s="95"/>
      <c r="AA2199" s="95"/>
      <c r="AB2199" s="95"/>
      <c r="AC2199" s="355"/>
      <c r="AD2199" s="355"/>
      <c r="AE2199" s="355"/>
      <c r="AF2199" s="94">
        <f t="shared" si="293"/>
        <v>42835</v>
      </c>
      <c r="AG2199" s="185">
        <f t="shared" si="296"/>
        <v>-1.1484021988698843</v>
      </c>
      <c r="AH2199" s="339" t="str">
        <f>VLOOKUP(B2199,'MF PF'!A:B,2)</f>
        <v>FdMgt1</v>
      </c>
      <c r="AI2199" s="358">
        <f t="shared" si="294"/>
        <v>0</v>
      </c>
      <c r="AJ2199" s="94">
        <f t="shared" si="295"/>
        <v>42855</v>
      </c>
    </row>
    <row r="2200" spans="1:36" ht="12.75" customHeight="1">
      <c r="A2200" s="94">
        <v>42855</v>
      </c>
      <c r="B2200" s="358" t="s">
        <v>175</v>
      </c>
      <c r="C2200" s="92" t="s">
        <v>326</v>
      </c>
      <c r="D2200" s="93">
        <v>839751.71</v>
      </c>
      <c r="E2200" s="95"/>
      <c r="F2200" s="93"/>
      <c r="G2200" s="95"/>
      <c r="H2200" s="93"/>
      <c r="I2200" s="93"/>
      <c r="K2200" s="93"/>
      <c r="L2200" s="93">
        <f t="shared" si="291"/>
        <v>0</v>
      </c>
      <c r="M2200" s="95" t="e">
        <f t="shared" ca="1" si="292"/>
        <v>#DIV/0!</v>
      </c>
      <c r="N2200" s="95">
        <f>IF(P2200="Hedge Fund",IF(A2200=Summary!$AD$3,M2200-E2200,M2200),IF(A2200=Summary!$AD$3,L2200-D2200,L2200))</f>
        <v>0</v>
      </c>
      <c r="O2200" s="95">
        <f t="shared" si="290"/>
        <v>0</v>
      </c>
      <c r="P2200" s="107" t="s">
        <v>155</v>
      </c>
      <c r="Q2200" s="95"/>
      <c r="R2200" s="95"/>
      <c r="S2200" s="95"/>
      <c r="T2200" s="95"/>
      <c r="U2200" s="95"/>
      <c r="V2200" s="95"/>
      <c r="W2200" s="95"/>
      <c r="X2200" s="95"/>
      <c r="Y2200" s="95"/>
      <c r="Z2200" s="95"/>
      <c r="AA2200" s="95"/>
      <c r="AB2200" s="95"/>
      <c r="AC2200" s="355"/>
      <c r="AD2200" s="355"/>
      <c r="AE2200" s="355"/>
      <c r="AF2200" s="94">
        <f t="shared" si="293"/>
        <v>42855</v>
      </c>
      <c r="AG2200" s="185" t="e">
        <f t="shared" si="296"/>
        <v>#DIV/0!</v>
      </c>
      <c r="AH2200" s="339" t="str">
        <f>VLOOKUP(B2200,'MF PF'!A:B,2)</f>
        <v>FdMgt1</v>
      </c>
      <c r="AI2200" s="358">
        <f t="shared" si="294"/>
        <v>0</v>
      </c>
      <c r="AJ2200" s="94">
        <f t="shared" si="295"/>
        <v>42855</v>
      </c>
    </row>
    <row r="2201" spans="1:36" ht="12.75" customHeight="1">
      <c r="A2201" s="8">
        <v>42881</v>
      </c>
      <c r="B2201" s="358" t="s">
        <v>175</v>
      </c>
      <c r="C2201" s="92" t="s">
        <v>326</v>
      </c>
      <c r="D2201" s="93"/>
      <c r="E2201" s="95"/>
      <c r="F2201" s="93"/>
      <c r="G2201" s="95">
        <v>484868</v>
      </c>
      <c r="H2201" s="93"/>
      <c r="I2201" s="93"/>
      <c r="K2201" s="93"/>
      <c r="L2201" s="93">
        <f t="shared" si="291"/>
        <v>484868</v>
      </c>
      <c r="M2201" s="95" t="e">
        <f t="shared" ca="1" si="292"/>
        <v>#DIV/0!</v>
      </c>
      <c r="N2201" s="95">
        <f>IF(P2201="Hedge Fund",IF(A2201=Summary!$AD$3,M2201-E2201,M2201),IF(A2201=Summary!$AD$3,L2201-D2201,L2201))</f>
        <v>484868</v>
      </c>
      <c r="O2201" s="95">
        <f t="shared" si="290"/>
        <v>484868</v>
      </c>
      <c r="P2201" s="89" t="s">
        <v>155</v>
      </c>
      <c r="Q2201" s="95">
        <v>0</v>
      </c>
      <c r="R2201" s="95">
        <v>0</v>
      </c>
      <c r="S2201" s="95"/>
      <c r="T2201" s="95"/>
      <c r="U2201" s="95"/>
      <c r="V2201" s="95"/>
      <c r="W2201" s="95"/>
      <c r="X2201" s="95"/>
      <c r="Y2201" s="95"/>
      <c r="Z2201" s="95"/>
      <c r="AA2201" s="95"/>
      <c r="AB2201" s="95"/>
      <c r="AC2201" s="355"/>
      <c r="AD2201" s="355"/>
      <c r="AE2201" s="355"/>
      <c r="AF2201" s="94">
        <f t="shared" si="293"/>
        <v>42881</v>
      </c>
      <c r="AG2201" s="185">
        <f t="shared" si="296"/>
        <v>-1.5773944777081788</v>
      </c>
      <c r="AH2201" s="339" t="str">
        <f>VLOOKUP(B2201,'MF PF'!A:B,2)</f>
        <v>FdMgt1</v>
      </c>
      <c r="AI2201" s="358">
        <f t="shared" si="294"/>
        <v>0</v>
      </c>
      <c r="AJ2201" s="94">
        <f t="shared" si="295"/>
        <v>42886</v>
      </c>
    </row>
    <row r="2202" spans="1:36" ht="12.75" customHeight="1">
      <c r="A2202" s="8">
        <v>42881</v>
      </c>
      <c r="B2202" s="358" t="s">
        <v>175</v>
      </c>
      <c r="C2202" s="92" t="s">
        <v>326</v>
      </c>
      <c r="D2202" s="93"/>
      <c r="E2202" s="95"/>
      <c r="F2202" s="93"/>
      <c r="G2202" s="95">
        <f>1195651+57977.3263245351</f>
        <v>1253628.3263245351</v>
      </c>
      <c r="H2202" s="93"/>
      <c r="I2202" s="93"/>
      <c r="K2202" s="93"/>
      <c r="L2202" s="93">
        <f t="shared" si="291"/>
        <v>1253628.3263245351</v>
      </c>
      <c r="M2202" s="95">
        <f t="shared" ca="1" si="292"/>
        <v>0</v>
      </c>
      <c r="N2202" s="95">
        <f>IF(P2202="Hedge Fund",IF(A2202=Summary!$AD$3,M2202-E2202,M2202),IF(A2202=Summary!$AD$3,L2202-D2202,L2202))</f>
        <v>1253628.3263245351</v>
      </c>
      <c r="O2202" s="95">
        <f t="shared" si="290"/>
        <v>1253628.3263245351</v>
      </c>
      <c r="P2202" s="107" t="s">
        <v>155</v>
      </c>
      <c r="Q2202" s="95">
        <v>0</v>
      </c>
      <c r="R2202" s="95">
        <v>0</v>
      </c>
      <c r="S2202" s="95"/>
      <c r="T2202" s="95"/>
      <c r="U2202" s="95"/>
      <c r="V2202" s="95"/>
      <c r="W2202" s="95"/>
      <c r="X2202" s="95"/>
      <c r="Y2202" s="95"/>
      <c r="Z2202" s="95"/>
      <c r="AA2202" s="95"/>
      <c r="AB2202" s="95"/>
      <c r="AC2202" s="355"/>
      <c r="AD2202" s="355"/>
      <c r="AE2202" s="355"/>
      <c r="AF2202" s="94">
        <f t="shared" si="293"/>
        <v>42881</v>
      </c>
      <c r="AG2202" s="185" t="e">
        <f t="shared" si="296"/>
        <v>#DIV/0!</v>
      </c>
      <c r="AH2202" s="339" t="str">
        <f>VLOOKUP(B2202,'MF PF'!A:B,2)</f>
        <v>FdMgt1</v>
      </c>
      <c r="AI2202" s="358">
        <f t="shared" si="294"/>
        <v>0</v>
      </c>
      <c r="AJ2202" s="94">
        <f t="shared" si="295"/>
        <v>42886</v>
      </c>
    </row>
    <row r="2203" spans="1:36" ht="12.75" customHeight="1">
      <c r="A2203" s="8">
        <v>42886</v>
      </c>
      <c r="B2203" s="358" t="s">
        <v>175</v>
      </c>
      <c r="C2203" s="92" t="s">
        <v>326</v>
      </c>
      <c r="D2203" s="93">
        <v>2569309.4</v>
      </c>
      <c r="E2203" s="95"/>
      <c r="F2203" s="93"/>
      <c r="G2203" s="95"/>
      <c r="H2203" s="93"/>
      <c r="I2203" s="93"/>
      <c r="K2203" s="93"/>
      <c r="L2203" s="93">
        <f t="shared" si="291"/>
        <v>0</v>
      </c>
      <c r="M2203" s="95" t="e">
        <f t="shared" ca="1" si="292"/>
        <v>#DIV/0!</v>
      </c>
      <c r="N2203" s="95">
        <f>IF(P2203="Hedge Fund",IF(A2203=Summary!$AD$3,M2203-E2203,M2203),IF(A2203=Summary!$AD$3,L2203-D2203,L2203))</f>
        <v>0</v>
      </c>
      <c r="O2203" s="95">
        <f t="shared" si="290"/>
        <v>0</v>
      </c>
      <c r="P2203" s="107" t="s">
        <v>155</v>
      </c>
      <c r="Q2203" s="95">
        <v>0</v>
      </c>
      <c r="R2203" s="95">
        <v>0</v>
      </c>
      <c r="S2203" s="95"/>
      <c r="T2203" s="95"/>
      <c r="U2203" s="95"/>
      <c r="V2203" s="95"/>
      <c r="W2203" s="95"/>
      <c r="X2203" s="95"/>
      <c r="Y2203" s="95"/>
      <c r="Z2203" s="95"/>
      <c r="AA2203" s="95"/>
      <c r="AB2203" s="95"/>
      <c r="AC2203" s="355"/>
      <c r="AD2203" s="355"/>
      <c r="AE2203" s="355"/>
      <c r="AF2203" s="94">
        <f t="shared" si="293"/>
        <v>42886</v>
      </c>
      <c r="AG2203" s="185" t="e">
        <f t="shared" si="296"/>
        <v>#DIV/0!</v>
      </c>
      <c r="AH2203" s="339" t="str">
        <f>VLOOKUP(B2203,'MF PF'!A:B,2)</f>
        <v>FdMgt1</v>
      </c>
      <c r="AI2203" s="358">
        <f t="shared" si="294"/>
        <v>0</v>
      </c>
      <c r="AJ2203" s="94">
        <f t="shared" si="295"/>
        <v>42886</v>
      </c>
    </row>
    <row r="2204" spans="1:36" ht="12.75" customHeight="1">
      <c r="A2204" s="8">
        <v>42916</v>
      </c>
      <c r="B2204" s="358" t="s">
        <v>175</v>
      </c>
      <c r="C2204" s="92" t="s">
        <v>326</v>
      </c>
      <c r="D2204" s="93">
        <v>2580845.2400000002</v>
      </c>
      <c r="E2204" s="95"/>
      <c r="F2204" s="93"/>
      <c r="G2204" s="95"/>
      <c r="H2204" s="93"/>
      <c r="I2204" s="93"/>
      <c r="K2204" s="93"/>
      <c r="L2204" s="93">
        <f t="shared" si="291"/>
        <v>0</v>
      </c>
      <c r="M2204" s="95" t="e">
        <f t="shared" ca="1" si="292"/>
        <v>#DIV/0!</v>
      </c>
      <c r="N2204" s="95">
        <f>IF(P2204="Hedge Fund",IF(A2204=Summary!$AD$3,M2204-E2204,M2204),IF(A2204=Summary!$AD$3,L2204-D2204,L2204))</f>
        <v>0</v>
      </c>
      <c r="O2204" s="95">
        <f t="shared" si="290"/>
        <v>0</v>
      </c>
      <c r="P2204" s="107" t="s">
        <v>155</v>
      </c>
      <c r="Q2204" s="95">
        <v>0</v>
      </c>
      <c r="R2204" s="95">
        <v>0</v>
      </c>
      <c r="S2204" s="95"/>
      <c r="T2204" s="95"/>
      <c r="U2204" s="95"/>
      <c r="V2204" s="95"/>
      <c r="W2204" s="95"/>
      <c r="X2204" s="95"/>
      <c r="Y2204" s="95"/>
      <c r="Z2204" s="95"/>
      <c r="AA2204" s="95"/>
      <c r="AB2204" s="95"/>
      <c r="AC2204" s="355"/>
      <c r="AD2204" s="355"/>
      <c r="AE2204" s="355"/>
      <c r="AF2204" s="94">
        <f t="shared" si="293"/>
        <v>42916</v>
      </c>
      <c r="AG2204" s="185">
        <f t="shared" si="296"/>
        <v>4.4898601935603466E-3</v>
      </c>
      <c r="AH2204" s="339" t="str">
        <f>VLOOKUP(B2204,'MF PF'!A:B,2)</f>
        <v>FdMgt1</v>
      </c>
      <c r="AI2204" s="358">
        <f t="shared" si="294"/>
        <v>0</v>
      </c>
      <c r="AJ2204" s="94">
        <f t="shared" si="295"/>
        <v>42916</v>
      </c>
    </row>
    <row r="2205" spans="1:36" ht="12.75" customHeight="1">
      <c r="A2205" s="94">
        <v>42947</v>
      </c>
      <c r="B2205" s="358" t="s">
        <v>175</v>
      </c>
      <c r="C2205" s="358" t="s">
        <v>326</v>
      </c>
      <c r="D2205" s="93">
        <v>2320764.4</v>
      </c>
      <c r="E2205" s="95"/>
      <c r="F2205" s="93"/>
      <c r="G2205" s="95"/>
      <c r="H2205" s="93"/>
      <c r="I2205" s="93"/>
      <c r="K2205" s="93"/>
      <c r="L2205" s="93">
        <f t="shared" si="291"/>
        <v>0</v>
      </c>
      <c r="M2205" s="95" t="e">
        <f t="shared" ca="1" si="292"/>
        <v>#DIV/0!</v>
      </c>
      <c r="N2205" s="95">
        <f>IF(P2205="Hedge Fund",IF(A2205=Summary!$AD$3,M2205-E2205,M2205),IF(A2205=Summary!$AD$3,L2205-D2205,L2205))</f>
        <v>0</v>
      </c>
      <c r="O2205" s="95">
        <f t="shared" si="290"/>
        <v>0</v>
      </c>
      <c r="P2205" s="107" t="s">
        <v>155</v>
      </c>
      <c r="Q2205" s="95">
        <v>0</v>
      </c>
      <c r="R2205" s="95">
        <v>0</v>
      </c>
      <c r="S2205" s="95"/>
      <c r="T2205" s="95"/>
      <c r="U2205" s="95"/>
      <c r="V2205" s="95"/>
      <c r="W2205" s="95"/>
      <c r="X2205" s="95"/>
      <c r="Y2205" s="95"/>
      <c r="Z2205" s="95"/>
      <c r="AA2205" s="95"/>
      <c r="AB2205" s="95"/>
      <c r="AC2205" s="355"/>
      <c r="AD2205" s="355"/>
      <c r="AE2205" s="355"/>
      <c r="AF2205" s="94">
        <f t="shared" si="293"/>
        <v>42947</v>
      </c>
      <c r="AG2205" s="185">
        <f t="shared" si="296"/>
        <v>-0.10077351247919086</v>
      </c>
      <c r="AH2205" s="339" t="str">
        <f>VLOOKUP(B2205,'MF PF'!A:B,2)</f>
        <v>FdMgt1</v>
      </c>
      <c r="AI2205" s="358">
        <f t="shared" si="294"/>
        <v>0</v>
      </c>
      <c r="AJ2205" s="94">
        <f t="shared" si="295"/>
        <v>42947</v>
      </c>
    </row>
    <row r="2206" spans="1:36" ht="12.75" customHeight="1">
      <c r="A2206" s="94">
        <v>42958</v>
      </c>
      <c r="B2206" s="358" t="s">
        <v>175</v>
      </c>
      <c r="C2206" s="358" t="s">
        <v>326</v>
      </c>
      <c r="D2206" s="93"/>
      <c r="E2206" s="95"/>
      <c r="F2206" s="93"/>
      <c r="G2206" s="358"/>
      <c r="H2206" s="93"/>
      <c r="I2206" s="95">
        <v>-236688</v>
      </c>
      <c r="K2206" s="93"/>
      <c r="L2206" s="93">
        <f t="shared" si="291"/>
        <v>-236688</v>
      </c>
      <c r="M2206" s="95" t="e">
        <f t="shared" ca="1" si="292"/>
        <v>#DIV/0!</v>
      </c>
      <c r="N2206" s="95">
        <f>IF(P2206="Hedge Fund",IF(A2206=Summary!$AD$3,M2206-E2206,M2206),IF(A2206=Summary!$AD$3,L2206-D2206,L2206))</f>
        <v>-236688</v>
      </c>
      <c r="O2206" s="95">
        <f t="shared" si="290"/>
        <v>-236688</v>
      </c>
      <c r="P2206" s="89" t="s">
        <v>155</v>
      </c>
      <c r="Q2206" s="95">
        <v>0</v>
      </c>
      <c r="R2206" s="95">
        <v>0</v>
      </c>
      <c r="S2206" s="95"/>
      <c r="T2206" s="95"/>
      <c r="U2206" s="95"/>
      <c r="V2206" s="95"/>
      <c r="W2206" s="95"/>
      <c r="X2206" s="95"/>
      <c r="Y2206" s="95"/>
      <c r="Z2206" s="95"/>
      <c r="AA2206" s="95"/>
      <c r="AB2206" s="95"/>
      <c r="AC2206" s="355"/>
      <c r="AD2206" s="355"/>
      <c r="AE2206" s="355"/>
      <c r="AF2206" s="94">
        <f t="shared" si="293"/>
        <v>42958</v>
      </c>
      <c r="AG2206" s="185">
        <f t="shared" si="296"/>
        <v>-0.89801291333148681</v>
      </c>
      <c r="AH2206" s="339" t="str">
        <f>VLOOKUP(B2206,'MF PF'!A:B,2)</f>
        <v>FdMgt1</v>
      </c>
      <c r="AI2206" s="358">
        <f t="shared" si="294"/>
        <v>0</v>
      </c>
      <c r="AJ2206" s="94">
        <f t="shared" si="295"/>
        <v>42978</v>
      </c>
    </row>
    <row r="2207" spans="1:36" ht="12.75" customHeight="1">
      <c r="A2207" s="94">
        <v>42958</v>
      </c>
      <c r="B2207" s="358" t="s">
        <v>175</v>
      </c>
      <c r="C2207" s="358" t="s">
        <v>326</v>
      </c>
      <c r="D2207" s="93"/>
      <c r="E2207" s="95"/>
      <c r="F2207" s="93"/>
      <c r="G2207" s="95">
        <v>236688</v>
      </c>
      <c r="H2207" s="93"/>
      <c r="I2207" s="93"/>
      <c r="K2207" s="93"/>
      <c r="L2207" s="93">
        <f t="shared" si="291"/>
        <v>236688</v>
      </c>
      <c r="M2207" s="95">
        <f t="shared" ca="1" si="292"/>
        <v>0</v>
      </c>
      <c r="N2207" s="95">
        <f>IF(P2207="Hedge Fund",IF(A2207=Summary!$AD$3,M2207-E2207,M2207),IF(A2207=Summary!$AD$3,L2207-D2207,L2207))</f>
        <v>236688</v>
      </c>
      <c r="O2207" s="95">
        <f t="shared" ref="O2207:O2270" si="297">N2207</f>
        <v>236688</v>
      </c>
      <c r="P2207" s="89" t="s">
        <v>155</v>
      </c>
      <c r="Q2207" s="95">
        <v>0</v>
      </c>
      <c r="R2207" s="95">
        <v>0</v>
      </c>
      <c r="S2207" s="95"/>
      <c r="T2207" s="95"/>
      <c r="U2207" s="95"/>
      <c r="V2207" s="95"/>
      <c r="W2207" s="95"/>
      <c r="X2207" s="95"/>
      <c r="Y2207" s="95"/>
      <c r="Z2207" s="95"/>
      <c r="AA2207" s="95"/>
      <c r="AB2207" s="95"/>
      <c r="AC2207" s="355"/>
      <c r="AD2207" s="355"/>
      <c r="AE2207" s="355"/>
      <c r="AF2207" s="94">
        <f t="shared" si="293"/>
        <v>42958</v>
      </c>
      <c r="AG2207" s="185" t="e">
        <f t="shared" si="296"/>
        <v>#DIV/0!</v>
      </c>
      <c r="AH2207" s="339" t="str">
        <f>VLOOKUP(B2207,'MF PF'!A:B,2)</f>
        <v>FdMgt1</v>
      </c>
      <c r="AI2207" s="358">
        <f t="shared" si="294"/>
        <v>0</v>
      </c>
      <c r="AJ2207" s="94">
        <f t="shared" si="295"/>
        <v>42978</v>
      </c>
    </row>
    <row r="2208" spans="1:36" ht="12.75" customHeight="1">
      <c r="A2208" s="8">
        <v>42978</v>
      </c>
      <c r="B2208" s="358" t="s">
        <v>175</v>
      </c>
      <c r="C2208" s="92" t="s">
        <v>326</v>
      </c>
      <c r="D2208" s="93">
        <v>2564526.8199999998</v>
      </c>
      <c r="E2208" s="95"/>
      <c r="F2208" s="93"/>
      <c r="G2208" s="95"/>
      <c r="H2208" s="93"/>
      <c r="I2208" s="93"/>
      <c r="K2208" s="93"/>
      <c r="L2208" s="93">
        <f t="shared" si="291"/>
        <v>0</v>
      </c>
      <c r="M2208" s="95" t="e">
        <f t="shared" ca="1" si="292"/>
        <v>#DIV/0!</v>
      </c>
      <c r="N2208" s="95">
        <f>IF(P2208="Hedge Fund",IF(A2208=Summary!$AD$3,M2208-E2208,M2208),IF(A2208=Summary!$AD$3,L2208-D2208,L2208))</f>
        <v>0</v>
      </c>
      <c r="O2208" s="95">
        <f t="shared" si="297"/>
        <v>0</v>
      </c>
      <c r="P2208" s="89" t="s">
        <v>155</v>
      </c>
      <c r="Q2208" s="95">
        <v>0</v>
      </c>
      <c r="R2208" s="95">
        <v>0</v>
      </c>
      <c r="S2208" s="95"/>
      <c r="T2208" s="95"/>
      <c r="U2208" s="95"/>
      <c r="V2208" s="95"/>
      <c r="W2208" s="95"/>
      <c r="X2208" s="95"/>
      <c r="Y2208" s="95"/>
      <c r="Z2208" s="95"/>
      <c r="AA2208" s="95"/>
      <c r="AB2208" s="95"/>
      <c r="AC2208" s="355"/>
      <c r="AD2208" s="355"/>
      <c r="AE2208" s="355"/>
      <c r="AF2208" s="94">
        <f t="shared" si="293"/>
        <v>42978</v>
      </c>
      <c r="AG2208" s="185" t="e">
        <f t="shared" si="296"/>
        <v>#DIV/0!</v>
      </c>
      <c r="AH2208" s="339" t="str">
        <f>VLOOKUP(B2208,'MF PF'!A:B,2)</f>
        <v>FdMgt1</v>
      </c>
      <c r="AI2208" s="358">
        <f t="shared" si="294"/>
        <v>0</v>
      </c>
      <c r="AJ2208" s="94">
        <f t="shared" si="295"/>
        <v>42978</v>
      </c>
    </row>
    <row r="2209" spans="1:36" ht="12.75" customHeight="1">
      <c r="A2209" s="8">
        <v>43008</v>
      </c>
      <c r="B2209" s="358" t="s">
        <v>175</v>
      </c>
      <c r="C2209" s="92" t="s">
        <v>326</v>
      </c>
      <c r="D2209" s="93">
        <v>2578293.9</v>
      </c>
      <c r="E2209" s="95"/>
      <c r="F2209" s="93"/>
      <c r="G2209" s="95"/>
      <c r="H2209" s="93"/>
      <c r="I2209" s="93"/>
      <c r="K2209" s="93"/>
      <c r="L2209" s="93">
        <f t="shared" si="291"/>
        <v>0</v>
      </c>
      <c r="M2209" s="95" t="e">
        <f t="shared" ca="1" si="292"/>
        <v>#DIV/0!</v>
      </c>
      <c r="N2209" s="95">
        <f>IF(P2209="Hedge Fund",IF(A2209=Summary!$AD$3,M2209-E2209,M2209),IF(A2209=Summary!$AD$3,L2209-D2209,L2209))</f>
        <v>0</v>
      </c>
      <c r="O2209" s="95">
        <f t="shared" si="297"/>
        <v>0</v>
      </c>
      <c r="P2209" s="89" t="s">
        <v>155</v>
      </c>
      <c r="Q2209" s="95">
        <v>0</v>
      </c>
      <c r="R2209" s="95">
        <v>0</v>
      </c>
      <c r="S2209" s="95"/>
      <c r="T2209" s="95"/>
      <c r="U2209" s="95"/>
      <c r="V2209" s="95"/>
      <c r="W2209" s="95"/>
      <c r="X2209" s="95"/>
      <c r="Y2209" s="95"/>
      <c r="Z2209" s="95"/>
      <c r="AA2209" s="95"/>
      <c r="AB2209" s="95"/>
      <c r="AC2209" s="355"/>
      <c r="AD2209" s="355"/>
      <c r="AE2209" s="355"/>
      <c r="AF2209" s="94">
        <f t="shared" si="293"/>
        <v>43008</v>
      </c>
      <c r="AG2209" s="185">
        <f t="shared" si="296"/>
        <v>5.3682729666286733E-3</v>
      </c>
      <c r="AH2209" s="339" t="str">
        <f>VLOOKUP(B2209,'MF PF'!A:B,2)</f>
        <v>FdMgt1</v>
      </c>
      <c r="AI2209" s="358">
        <f t="shared" si="294"/>
        <v>0</v>
      </c>
      <c r="AJ2209" s="94">
        <f t="shared" si="295"/>
        <v>43008</v>
      </c>
    </row>
    <row r="2210" spans="1:36" ht="12.75" customHeight="1">
      <c r="A2210" s="94">
        <v>43039</v>
      </c>
      <c r="B2210" s="358" t="s">
        <v>175</v>
      </c>
      <c r="C2210" s="358" t="s">
        <v>326</v>
      </c>
      <c r="D2210" s="93">
        <v>2576649.1800000002</v>
      </c>
      <c r="E2210" s="95"/>
      <c r="F2210" s="93"/>
      <c r="G2210" s="95"/>
      <c r="H2210" s="93"/>
      <c r="I2210" s="93"/>
      <c r="K2210" s="93"/>
      <c r="L2210" s="93">
        <f t="shared" si="291"/>
        <v>0</v>
      </c>
      <c r="M2210" s="95" t="e">
        <f t="shared" ca="1" si="292"/>
        <v>#DIV/0!</v>
      </c>
      <c r="N2210" s="95">
        <f>IF(P2210="Hedge Fund",IF(A2210=Summary!$AD$3,M2210-E2210,M2210),IF(A2210=Summary!$AD$3,L2210-D2210,L2210))</f>
        <v>0</v>
      </c>
      <c r="O2210" s="95">
        <f t="shared" si="297"/>
        <v>0</v>
      </c>
      <c r="P2210" s="89" t="s">
        <v>155</v>
      </c>
      <c r="Q2210" s="95">
        <v>0</v>
      </c>
      <c r="R2210" s="95">
        <v>0</v>
      </c>
      <c r="S2210" s="95"/>
      <c r="T2210" s="95"/>
      <c r="U2210" s="95"/>
      <c r="V2210" s="95"/>
      <c r="W2210" s="95"/>
      <c r="X2210" s="95"/>
      <c r="Y2210" s="95"/>
      <c r="Z2210" s="95"/>
      <c r="AA2210" s="95"/>
      <c r="AB2210" s="95"/>
      <c r="AC2210" s="355"/>
      <c r="AD2210" s="355"/>
      <c r="AE2210" s="355"/>
      <c r="AF2210" s="94">
        <f t="shared" si="293"/>
        <v>43039</v>
      </c>
      <c r="AG2210" s="185">
        <f t="shared" si="296"/>
        <v>-6.3791020876236004E-4</v>
      </c>
      <c r="AH2210" s="339" t="str">
        <f>VLOOKUP(B2210,'MF PF'!A:B,2)</f>
        <v>FdMgt1</v>
      </c>
      <c r="AI2210" s="358">
        <f t="shared" si="294"/>
        <v>0</v>
      </c>
      <c r="AJ2210" s="94">
        <f t="shared" si="295"/>
        <v>43039</v>
      </c>
    </row>
    <row r="2211" spans="1:36" ht="12.75" customHeight="1">
      <c r="A2211" s="94">
        <v>43069</v>
      </c>
      <c r="B2211" s="358" t="s">
        <v>175</v>
      </c>
      <c r="C2211" s="358" t="s">
        <v>326</v>
      </c>
      <c r="D2211" s="93">
        <v>2569222.08</v>
      </c>
      <c r="E2211" s="95"/>
      <c r="F2211" s="93"/>
      <c r="G2211" s="95"/>
      <c r="H2211" s="93"/>
      <c r="I2211" s="93"/>
      <c r="K2211" s="93"/>
      <c r="L2211" s="93">
        <f t="shared" si="291"/>
        <v>0</v>
      </c>
      <c r="M2211" s="95" t="e">
        <f t="shared" ca="1" si="292"/>
        <v>#DIV/0!</v>
      </c>
      <c r="N2211" s="95">
        <f>IF(P2211="Hedge Fund",IF(A2211=Summary!$AD$3,M2211-E2211,M2211),IF(A2211=Summary!$AD$3,L2211-D2211,L2211))</f>
        <v>0</v>
      </c>
      <c r="O2211" s="95">
        <f t="shared" si="297"/>
        <v>0</v>
      </c>
      <c r="P2211" s="107" t="s">
        <v>155</v>
      </c>
      <c r="Q2211" s="95">
        <v>0</v>
      </c>
      <c r="R2211" s="95">
        <v>0</v>
      </c>
      <c r="S2211" s="95"/>
      <c r="T2211" s="95"/>
      <c r="U2211" s="95"/>
      <c r="V2211" s="95"/>
      <c r="W2211" s="95"/>
      <c r="X2211" s="95"/>
      <c r="Y2211" s="95"/>
      <c r="Z2211" s="95"/>
      <c r="AA2211" s="95"/>
      <c r="AB2211" s="95"/>
      <c r="AC2211" s="355"/>
      <c r="AD2211" s="355"/>
      <c r="AE2211" s="355"/>
      <c r="AF2211" s="94">
        <f t="shared" si="293"/>
        <v>43069</v>
      </c>
      <c r="AG2211" s="185">
        <f t="shared" si="296"/>
        <v>-2.8824645813831928E-3</v>
      </c>
      <c r="AH2211" s="339" t="str">
        <f>VLOOKUP(B2211,'MF PF'!A:B,2)</f>
        <v>FdMgt1</v>
      </c>
      <c r="AI2211" s="358">
        <f t="shared" si="294"/>
        <v>0</v>
      </c>
      <c r="AJ2211" s="94">
        <f t="shared" si="295"/>
        <v>43069</v>
      </c>
    </row>
    <row r="2212" spans="1:36" ht="12.75" customHeight="1">
      <c r="A2212" s="94">
        <v>43087</v>
      </c>
      <c r="B2212" s="358" t="s">
        <v>175</v>
      </c>
      <c r="C2212" s="358" t="s">
        <v>326</v>
      </c>
      <c r="D2212" s="93"/>
      <c r="E2212" s="95"/>
      <c r="F2212" s="93"/>
      <c r="G2212" s="358"/>
      <c r="H2212" s="93"/>
      <c r="I2212" s="95">
        <v>-306251.09999999998</v>
      </c>
      <c r="K2212" s="93"/>
      <c r="L2212" s="93">
        <f t="shared" si="291"/>
        <v>-306251.09999999998</v>
      </c>
      <c r="M2212" s="95" t="e">
        <f t="shared" ca="1" si="292"/>
        <v>#DIV/0!</v>
      </c>
      <c r="N2212" s="95">
        <f>IF(P2212="Hedge Fund",IF(A2212=Summary!$AD$3,M2212-E2212,M2212),IF(A2212=Summary!$AD$3,L2212-D2212,L2212))</f>
        <v>-306251.09999999998</v>
      </c>
      <c r="O2212" s="95">
        <f t="shared" si="297"/>
        <v>-306251.09999999998</v>
      </c>
      <c r="P2212" s="107" t="s">
        <v>155</v>
      </c>
      <c r="Q2212" s="95">
        <v>0</v>
      </c>
      <c r="R2212" s="95">
        <v>0</v>
      </c>
      <c r="S2212" s="95"/>
      <c r="T2212" s="95"/>
      <c r="U2212" s="95"/>
      <c r="V2212" s="95"/>
      <c r="W2212" s="95"/>
      <c r="X2212" s="95"/>
      <c r="Y2212" s="95"/>
      <c r="Z2212" s="95"/>
      <c r="AA2212" s="95"/>
      <c r="AB2212" s="95"/>
      <c r="AC2212" s="355"/>
      <c r="AD2212" s="355"/>
      <c r="AE2212" s="355"/>
      <c r="AF2212" s="94">
        <f t="shared" si="293"/>
        <v>43087</v>
      </c>
      <c r="AG2212" s="185">
        <f t="shared" si="296"/>
        <v>-0.88080006692142399</v>
      </c>
      <c r="AH2212" s="339" t="str">
        <f>VLOOKUP(B2212,'MF PF'!A:B,2)</f>
        <v>FdMgt1</v>
      </c>
      <c r="AI2212" s="358">
        <f t="shared" si="294"/>
        <v>0</v>
      </c>
      <c r="AJ2212" s="94">
        <f t="shared" si="295"/>
        <v>43100</v>
      </c>
    </row>
    <row r="2213" spans="1:36" ht="12.75" customHeight="1">
      <c r="A2213" s="8">
        <v>43087</v>
      </c>
      <c r="B2213" s="358" t="s">
        <v>175</v>
      </c>
      <c r="C2213" s="92" t="s">
        <v>326</v>
      </c>
      <c r="D2213" s="93"/>
      <c r="E2213" s="95"/>
      <c r="F2213" s="93"/>
      <c r="G2213" s="95">
        <v>306251.09999999998</v>
      </c>
      <c r="H2213" s="93"/>
      <c r="I2213" s="93"/>
      <c r="K2213" s="93"/>
      <c r="L2213" s="93">
        <f t="shared" si="291"/>
        <v>306251.09999999998</v>
      </c>
      <c r="M2213" s="95">
        <f t="shared" ca="1" si="292"/>
        <v>0</v>
      </c>
      <c r="N2213" s="95">
        <f>IF(P2213="Hedge Fund",IF(A2213=Summary!$AD$3,M2213-E2213,M2213),IF(A2213=Summary!$AD$3,L2213-D2213,L2213))</f>
        <v>306251.09999999998</v>
      </c>
      <c r="O2213" s="95">
        <f t="shared" si="297"/>
        <v>306251.09999999998</v>
      </c>
      <c r="P2213" s="107" t="s">
        <v>155</v>
      </c>
      <c r="Q2213" s="95">
        <v>0</v>
      </c>
      <c r="R2213" s="95">
        <v>0</v>
      </c>
      <c r="S2213" s="95"/>
      <c r="T2213" s="95"/>
      <c r="U2213" s="95"/>
      <c r="V2213" s="95"/>
      <c r="W2213" s="95"/>
      <c r="X2213" s="95"/>
      <c r="Y2213" s="95"/>
      <c r="Z2213" s="95"/>
      <c r="AA2213" s="95"/>
      <c r="AB2213" s="95"/>
      <c r="AC2213" s="355"/>
      <c r="AD2213" s="355"/>
      <c r="AE2213" s="355"/>
      <c r="AF2213" s="94">
        <f t="shared" si="293"/>
        <v>43087</v>
      </c>
      <c r="AG2213" s="185" t="e">
        <f t="shared" si="296"/>
        <v>#DIV/0!</v>
      </c>
      <c r="AH2213" s="339" t="str">
        <f>VLOOKUP(B2213,'MF PF'!A:B,2)</f>
        <v>FdMgt1</v>
      </c>
      <c r="AI2213" s="358">
        <f t="shared" si="294"/>
        <v>0</v>
      </c>
      <c r="AJ2213" s="94">
        <f t="shared" si="295"/>
        <v>43100</v>
      </c>
    </row>
    <row r="2214" spans="1:36" ht="12.75" customHeight="1">
      <c r="A2214" s="8">
        <v>43100</v>
      </c>
      <c r="B2214" s="358" t="s">
        <v>175</v>
      </c>
      <c r="C2214" s="92" t="s">
        <v>326</v>
      </c>
      <c r="D2214" s="93">
        <v>2991564.6</v>
      </c>
      <c r="E2214" s="95"/>
      <c r="F2214" s="93"/>
      <c r="G2214" s="95"/>
      <c r="H2214" s="93"/>
      <c r="I2214" s="93"/>
      <c r="K2214" s="93"/>
      <c r="L2214" s="93">
        <f t="shared" si="291"/>
        <v>0</v>
      </c>
      <c r="M2214" s="95" t="e">
        <f t="shared" ca="1" si="292"/>
        <v>#DIV/0!</v>
      </c>
      <c r="N2214" s="95">
        <f>IF(P2214="Hedge Fund",IF(A2214=Summary!$AD$3,M2214-E2214,M2214),IF(A2214=Summary!$AD$3,L2214-D2214,L2214))</f>
        <v>0</v>
      </c>
      <c r="O2214" s="95">
        <f t="shared" si="297"/>
        <v>0</v>
      </c>
      <c r="P2214" s="107" t="s">
        <v>155</v>
      </c>
      <c r="Q2214" s="95">
        <v>0</v>
      </c>
      <c r="R2214" s="95">
        <v>0</v>
      </c>
      <c r="S2214" s="95"/>
      <c r="T2214" s="95"/>
      <c r="U2214" s="95"/>
      <c r="V2214" s="95"/>
      <c r="W2214" s="95"/>
      <c r="X2214" s="95"/>
      <c r="Y2214" s="95"/>
      <c r="Z2214" s="95"/>
      <c r="AA2214" s="95"/>
      <c r="AB2214" s="95"/>
      <c r="AC2214" s="355"/>
      <c r="AD2214" s="355"/>
      <c r="AE2214" s="355"/>
      <c r="AF2214" s="94">
        <f t="shared" si="293"/>
        <v>43100</v>
      </c>
      <c r="AG2214" s="185" t="e">
        <f t="shared" si="296"/>
        <v>#DIV/0!</v>
      </c>
      <c r="AH2214" s="339" t="str">
        <f>VLOOKUP(B2214,'MF PF'!A:B,2)</f>
        <v>FdMgt1</v>
      </c>
      <c r="AI2214" s="358">
        <f t="shared" si="294"/>
        <v>0</v>
      </c>
      <c r="AJ2214" s="94">
        <f t="shared" si="295"/>
        <v>43100</v>
      </c>
    </row>
    <row r="2215" spans="1:36" ht="12.75" customHeight="1">
      <c r="A2215" s="94">
        <v>43131</v>
      </c>
      <c r="B2215" s="358" t="s">
        <v>175</v>
      </c>
      <c r="C2215" s="92" t="s">
        <v>326</v>
      </c>
      <c r="D2215" s="93">
        <v>3160851.65</v>
      </c>
      <c r="E2215" s="95"/>
      <c r="F2215" s="93"/>
      <c r="G2215" s="95"/>
      <c r="H2215" s="93"/>
      <c r="I2215" s="93"/>
      <c r="K2215" s="93"/>
      <c r="L2215" s="93">
        <f t="shared" si="291"/>
        <v>0</v>
      </c>
      <c r="M2215" s="95" t="e">
        <f t="shared" ca="1" si="292"/>
        <v>#DIV/0!</v>
      </c>
      <c r="N2215" s="95">
        <f>IF(P2215="Hedge Fund",IF(A2215=Summary!$AD$3,M2215-E2215,M2215),IF(A2215=Summary!$AD$3,L2215-D2215,L2215))</f>
        <v>0</v>
      </c>
      <c r="O2215" s="95">
        <f t="shared" si="297"/>
        <v>0</v>
      </c>
      <c r="P2215" s="107" t="s">
        <v>155</v>
      </c>
      <c r="Q2215" s="95"/>
      <c r="R2215" s="95">
        <v>0</v>
      </c>
      <c r="S2215" s="95"/>
      <c r="T2215" s="95"/>
      <c r="U2215" s="95"/>
      <c r="V2215" s="95"/>
      <c r="W2215" s="95"/>
      <c r="X2215" s="95"/>
      <c r="Y2215" s="95"/>
      <c r="Z2215" s="95"/>
      <c r="AA2215" s="95"/>
      <c r="AB2215" s="95"/>
      <c r="AC2215" s="355"/>
      <c r="AD2215" s="355"/>
      <c r="AE2215" s="355"/>
      <c r="AF2215" s="94">
        <f t="shared" si="293"/>
        <v>43131</v>
      </c>
      <c r="AG2215" s="185">
        <f t="shared" si="296"/>
        <v>5.6588131173901379E-2</v>
      </c>
      <c r="AH2215" s="339" t="str">
        <f>VLOOKUP(B2215,'MF PF'!A:B,2)</f>
        <v>FdMgt1</v>
      </c>
      <c r="AI2215" s="358">
        <f t="shared" si="294"/>
        <v>0</v>
      </c>
      <c r="AJ2215" s="94">
        <f t="shared" si="295"/>
        <v>43131</v>
      </c>
    </row>
    <row r="2216" spans="1:36" ht="12.75" customHeight="1">
      <c r="A2216" s="8">
        <v>43159</v>
      </c>
      <c r="B2216" s="358" t="s">
        <v>175</v>
      </c>
      <c r="C2216" s="92" t="s">
        <v>326</v>
      </c>
      <c r="D2216" s="93">
        <v>3174516.09</v>
      </c>
      <c r="E2216" s="95"/>
      <c r="F2216" s="93"/>
      <c r="G2216" s="95"/>
      <c r="H2216" s="93"/>
      <c r="I2216" s="93"/>
      <c r="K2216" s="93"/>
      <c r="L2216" s="93">
        <f t="shared" si="291"/>
        <v>0</v>
      </c>
      <c r="M2216" s="95" t="e">
        <f t="shared" ca="1" si="292"/>
        <v>#DIV/0!</v>
      </c>
      <c r="N2216" s="95">
        <f>IF(P2216="Hedge Fund",IF(A2216=Summary!$AD$3,M2216-E2216,M2216),IF(A2216=Summary!$AD$3,L2216-D2216,L2216))</f>
        <v>0</v>
      </c>
      <c r="O2216" s="95">
        <f t="shared" si="297"/>
        <v>0</v>
      </c>
      <c r="P2216" s="107" t="s">
        <v>155</v>
      </c>
      <c r="Q2216" s="95"/>
      <c r="R2216" s="95">
        <v>0</v>
      </c>
      <c r="S2216" s="95"/>
      <c r="T2216" s="95"/>
      <c r="U2216" s="95"/>
      <c r="V2216" s="95"/>
      <c r="W2216" s="95"/>
      <c r="X2216" s="95"/>
      <c r="Y2216" s="95"/>
      <c r="Z2216" s="95"/>
      <c r="AA2216" s="95"/>
      <c r="AB2216" s="95"/>
      <c r="AC2216" s="355"/>
      <c r="AD2216" s="355"/>
      <c r="AE2216" s="355"/>
      <c r="AF2216" s="94">
        <f t="shared" si="293"/>
        <v>43159</v>
      </c>
      <c r="AG2216" s="185">
        <f t="shared" si="296"/>
        <v>4.323024777198814E-3</v>
      </c>
      <c r="AH2216" s="339" t="str">
        <f>VLOOKUP(B2216,'MF PF'!A:B,2)</f>
        <v>FdMgt1</v>
      </c>
      <c r="AI2216" s="358">
        <f t="shared" si="294"/>
        <v>0</v>
      </c>
      <c r="AJ2216" s="94">
        <f t="shared" si="295"/>
        <v>43159</v>
      </c>
    </row>
    <row r="2217" spans="1:36" ht="12.75" customHeight="1">
      <c r="A2217" s="94">
        <v>43190</v>
      </c>
      <c r="B2217" s="358" t="s">
        <v>175</v>
      </c>
      <c r="C2217" s="92" t="s">
        <v>326</v>
      </c>
      <c r="D2217" s="93">
        <v>3210859.72</v>
      </c>
      <c r="E2217" s="95"/>
      <c r="F2217" s="93"/>
      <c r="G2217" s="95"/>
      <c r="H2217" s="93"/>
      <c r="I2217" s="93"/>
      <c r="K2217" s="93"/>
      <c r="L2217" s="93">
        <f t="shared" si="291"/>
        <v>0</v>
      </c>
      <c r="M2217" s="95" t="e">
        <f t="shared" ca="1" si="292"/>
        <v>#DIV/0!</v>
      </c>
      <c r="N2217" s="95">
        <f>IF(P2217="Hedge Fund",IF(A2217=Summary!$AD$3,M2217-E2217,M2217),IF(A2217=Summary!$AD$3,L2217-D2217,L2217))</f>
        <v>0</v>
      </c>
      <c r="O2217" s="95">
        <f t="shared" si="297"/>
        <v>0</v>
      </c>
      <c r="P2217" s="107" t="s">
        <v>155</v>
      </c>
      <c r="Q2217" s="95">
        <v>0</v>
      </c>
      <c r="R2217" s="95">
        <v>0</v>
      </c>
      <c r="S2217" s="95"/>
      <c r="T2217" s="95"/>
      <c r="U2217" s="95"/>
      <c r="V2217" s="95"/>
      <c r="W2217" s="95"/>
      <c r="X2217" s="95"/>
      <c r="Y2217" s="95"/>
      <c r="Z2217" s="95"/>
      <c r="AA2217" s="95"/>
      <c r="AB2217" s="95"/>
      <c r="AC2217" s="355"/>
      <c r="AD2217" s="355"/>
      <c r="AE2217" s="355"/>
      <c r="AF2217" s="94">
        <f t="shared" si="293"/>
        <v>43190</v>
      </c>
      <c r="AG2217" s="185">
        <f t="shared" si="296"/>
        <v>1.1448557502822476E-2</v>
      </c>
      <c r="AH2217" s="339" t="str">
        <f>VLOOKUP(B2217,'MF PF'!A:B,2)</f>
        <v>FdMgt1</v>
      </c>
      <c r="AI2217" s="358">
        <f t="shared" si="294"/>
        <v>0</v>
      </c>
      <c r="AJ2217" s="94">
        <f t="shared" si="295"/>
        <v>43190</v>
      </c>
    </row>
    <row r="2218" spans="1:36" ht="12.75" customHeight="1">
      <c r="A2218" s="8">
        <v>43220</v>
      </c>
      <c r="B2218" s="358" t="s">
        <v>175</v>
      </c>
      <c r="C2218" s="92" t="s">
        <v>326</v>
      </c>
      <c r="D2218" s="93">
        <v>3185409.77</v>
      </c>
      <c r="E2218" s="95"/>
      <c r="F2218" s="93"/>
      <c r="G2218" s="95"/>
      <c r="H2218" s="93"/>
      <c r="I2218" s="93"/>
      <c r="K2218" s="93"/>
      <c r="L2218" s="93">
        <f t="shared" si="291"/>
        <v>0</v>
      </c>
      <c r="M2218" s="95" t="e">
        <f t="shared" ca="1" si="292"/>
        <v>#DIV/0!</v>
      </c>
      <c r="N2218" s="95">
        <f>IF(P2218="Hedge Fund",IF(A2218=Summary!$AD$3,M2218-E2218,M2218),IF(A2218=Summary!$AD$3,L2218-D2218,L2218))</f>
        <v>0</v>
      </c>
      <c r="O2218" s="95">
        <f t="shared" si="297"/>
        <v>0</v>
      </c>
      <c r="P2218" s="107" t="s">
        <v>155</v>
      </c>
      <c r="Q2218" s="95"/>
      <c r="R2218" s="95">
        <v>0</v>
      </c>
      <c r="S2218" s="95"/>
      <c r="T2218" s="95"/>
      <c r="U2218" s="95"/>
      <c r="V2218" s="95"/>
      <c r="W2218" s="95"/>
      <c r="X2218" s="95"/>
      <c r="Y2218" s="95"/>
      <c r="Z2218" s="95"/>
      <c r="AA2218" s="95"/>
      <c r="AB2218" s="95"/>
      <c r="AC2218" s="355"/>
      <c r="AD2218" s="355"/>
      <c r="AE2218" s="355"/>
      <c r="AF2218" s="94">
        <f t="shared" si="293"/>
        <v>43220</v>
      </c>
      <c r="AG2218" s="185">
        <f t="shared" si="296"/>
        <v>-7.9262104916872911E-3</v>
      </c>
      <c r="AH2218" s="339" t="str">
        <f>VLOOKUP(B2218,'MF PF'!A:B,2)</f>
        <v>FdMgt1</v>
      </c>
      <c r="AI2218" s="358">
        <f t="shared" si="294"/>
        <v>0</v>
      </c>
      <c r="AJ2218" s="94">
        <f t="shared" si="295"/>
        <v>43220</v>
      </c>
    </row>
    <row r="2219" spans="1:36" ht="12.75" customHeight="1">
      <c r="A2219" s="8">
        <v>43251</v>
      </c>
      <c r="B2219" s="358" t="s">
        <v>175</v>
      </c>
      <c r="C2219" s="92" t="s">
        <v>326</v>
      </c>
      <c r="D2219" s="93">
        <v>3228860.44</v>
      </c>
      <c r="E2219" s="95"/>
      <c r="F2219" s="93"/>
      <c r="G2219" s="95"/>
      <c r="H2219" s="93"/>
      <c r="I2219" s="93"/>
      <c r="K2219" s="93"/>
      <c r="L2219" s="93">
        <f t="shared" si="291"/>
        <v>0</v>
      </c>
      <c r="M2219" s="95" t="e">
        <f t="shared" ca="1" si="292"/>
        <v>#DIV/0!</v>
      </c>
      <c r="N2219" s="95">
        <f>IF(P2219="Hedge Fund",IF(A2219=Summary!$AD$3,M2219-E2219,M2219),IF(A2219=Summary!$AD$3,L2219-D2219,L2219))</f>
        <v>0</v>
      </c>
      <c r="O2219" s="95">
        <f t="shared" si="297"/>
        <v>0</v>
      </c>
      <c r="P2219" s="89" t="s">
        <v>155</v>
      </c>
      <c r="Q2219" s="95"/>
      <c r="R2219" s="95">
        <v>0</v>
      </c>
      <c r="S2219" s="95"/>
      <c r="T2219" s="95"/>
      <c r="U2219" s="95"/>
      <c r="V2219" s="95"/>
      <c r="W2219" s="95"/>
      <c r="X2219" s="95"/>
      <c r="Y2219" s="95"/>
      <c r="Z2219" s="95"/>
      <c r="AA2219" s="95"/>
      <c r="AB2219" s="95"/>
      <c r="AC2219" s="355"/>
      <c r="AD2219" s="355"/>
      <c r="AE2219" s="355"/>
      <c r="AF2219" s="94">
        <f t="shared" si="293"/>
        <v>43251</v>
      </c>
      <c r="AG2219" s="185">
        <f t="shared" si="296"/>
        <v>1.3640527636103794E-2</v>
      </c>
      <c r="AH2219" s="339" t="str">
        <f>VLOOKUP(B2219,'MF PF'!A:B,2)</f>
        <v>FdMgt1</v>
      </c>
      <c r="AI2219" s="358">
        <f t="shared" si="294"/>
        <v>0</v>
      </c>
      <c r="AJ2219" s="94">
        <f t="shared" si="295"/>
        <v>43251</v>
      </c>
    </row>
    <row r="2220" spans="1:36" ht="12.75" customHeight="1">
      <c r="A2220" s="94">
        <v>43281</v>
      </c>
      <c r="B2220" s="358" t="s">
        <v>175</v>
      </c>
      <c r="C2220" s="92" t="s">
        <v>326</v>
      </c>
      <c r="D2220" s="93">
        <v>3213747.2</v>
      </c>
      <c r="E2220" s="95"/>
      <c r="F2220" s="93"/>
      <c r="G2220" s="95"/>
      <c r="H2220" s="93"/>
      <c r="I2220" s="93"/>
      <c r="K2220" s="93"/>
      <c r="L2220" s="93">
        <f t="shared" si="291"/>
        <v>0</v>
      </c>
      <c r="M2220" s="95" t="e">
        <f t="shared" ca="1" si="292"/>
        <v>#DIV/0!</v>
      </c>
      <c r="N2220" s="95">
        <f>IF(P2220="Hedge Fund",IF(A2220=Summary!$AD$3,M2220-E2220,M2220),IF(A2220=Summary!$AD$3,L2220-D2220,L2220))</f>
        <v>0</v>
      </c>
      <c r="O2220" s="95">
        <f t="shared" si="297"/>
        <v>0</v>
      </c>
      <c r="P2220" s="107" t="s">
        <v>155</v>
      </c>
      <c r="Q2220" s="95">
        <v>0</v>
      </c>
      <c r="R2220" s="95">
        <v>0</v>
      </c>
      <c r="S2220" s="95"/>
      <c r="T2220" s="95"/>
      <c r="U2220" s="95"/>
      <c r="V2220" s="95"/>
      <c r="W2220" s="95"/>
      <c r="X2220" s="95"/>
      <c r="Y2220" s="95"/>
      <c r="Z2220" s="95"/>
      <c r="AA2220" s="95"/>
      <c r="AB2220" s="95"/>
      <c r="AC2220" s="355"/>
      <c r="AD2220" s="355"/>
      <c r="AE2220" s="355"/>
      <c r="AF2220" s="94">
        <f t="shared" si="293"/>
        <v>43281</v>
      </c>
      <c r="AG2220" s="185">
        <f t="shared" si="296"/>
        <v>-4.6806730364598037E-3</v>
      </c>
      <c r="AH2220" s="339" t="str">
        <f>VLOOKUP(B2220,'MF PF'!A:B,2)</f>
        <v>FdMgt1</v>
      </c>
      <c r="AI2220" s="358">
        <f t="shared" si="294"/>
        <v>0</v>
      </c>
      <c r="AJ2220" s="94">
        <f t="shared" si="295"/>
        <v>43281</v>
      </c>
    </row>
    <row r="2221" spans="1:36" ht="12.75" customHeight="1">
      <c r="A2221" s="8">
        <v>43312</v>
      </c>
      <c r="B2221" s="358" t="s">
        <v>175</v>
      </c>
      <c r="C2221" s="92" t="s">
        <v>326</v>
      </c>
      <c r="D2221" s="93">
        <v>3181380.83</v>
      </c>
      <c r="E2221" s="95"/>
      <c r="F2221" s="93"/>
      <c r="G2221" s="95"/>
      <c r="H2221" s="93"/>
      <c r="I2221" s="93"/>
      <c r="K2221" s="93"/>
      <c r="L2221" s="93">
        <f t="shared" si="291"/>
        <v>0</v>
      </c>
      <c r="M2221" s="95" t="e">
        <f t="shared" ca="1" si="292"/>
        <v>#DIV/0!</v>
      </c>
      <c r="N2221" s="95">
        <f>IF(P2221="Hedge Fund",IF(A2221=Summary!$AD$3,M2221-E2221,M2221),IF(A2221=Summary!$AD$3,L2221-D2221,L2221))</f>
        <v>0</v>
      </c>
      <c r="O2221" s="95">
        <f t="shared" si="297"/>
        <v>0</v>
      </c>
      <c r="P2221" s="89" t="s">
        <v>155</v>
      </c>
      <c r="Q2221" s="95">
        <v>0</v>
      </c>
      <c r="R2221" s="95">
        <v>0</v>
      </c>
      <c r="S2221" s="95"/>
      <c r="T2221" s="95"/>
      <c r="U2221" s="95"/>
      <c r="V2221" s="95"/>
      <c r="W2221" s="95"/>
      <c r="X2221" s="95"/>
      <c r="Y2221" s="95"/>
      <c r="Z2221" s="95"/>
      <c r="AA2221" s="95"/>
      <c r="AB2221" s="95"/>
      <c r="AC2221" s="355"/>
      <c r="AD2221" s="355"/>
      <c r="AE2221" s="355"/>
      <c r="AF2221" s="94">
        <f t="shared" si="293"/>
        <v>43312</v>
      </c>
      <c r="AG2221" s="185">
        <f t="shared" si="296"/>
        <v>-1.0071224643929733E-2</v>
      </c>
      <c r="AH2221" s="339" t="str">
        <f>VLOOKUP(B2221,'MF PF'!A:B,2)</f>
        <v>FdMgt1</v>
      </c>
      <c r="AI2221" s="358">
        <f t="shared" si="294"/>
        <v>0</v>
      </c>
      <c r="AJ2221" s="94">
        <f t="shared" si="295"/>
        <v>43312</v>
      </c>
    </row>
    <row r="2222" spans="1:36" ht="12.75" customHeight="1">
      <c r="A2222" s="8">
        <v>43343</v>
      </c>
      <c r="B2222" s="358" t="s">
        <v>175</v>
      </c>
      <c r="C2222" s="92" t="s">
        <v>326</v>
      </c>
      <c r="D2222" s="93">
        <v>3146453.94</v>
      </c>
      <c r="E2222" s="95"/>
      <c r="F2222" s="93"/>
      <c r="G2222" s="95"/>
      <c r="H2222" s="93"/>
      <c r="I2222" s="93"/>
      <c r="K2222" s="93"/>
      <c r="L2222" s="93">
        <f t="shared" si="291"/>
        <v>0</v>
      </c>
      <c r="M2222" s="95" t="e">
        <f t="shared" ca="1" si="292"/>
        <v>#DIV/0!</v>
      </c>
      <c r="N2222" s="95">
        <f>IF(P2222="Hedge Fund",IF(A2222=Summary!$AD$3,M2222-E2222,M2222),IF(A2222=Summary!$AD$3,L2222-D2222,L2222))</f>
        <v>0</v>
      </c>
      <c r="O2222" s="95">
        <f t="shared" si="297"/>
        <v>0</v>
      </c>
      <c r="P2222" s="89" t="s">
        <v>155</v>
      </c>
      <c r="Q2222" s="95">
        <v>0</v>
      </c>
      <c r="R2222" s="95">
        <v>0</v>
      </c>
      <c r="S2222" s="95"/>
      <c r="T2222" s="95"/>
      <c r="U2222" s="95"/>
      <c r="V2222" s="95"/>
      <c r="W2222" s="95"/>
      <c r="X2222" s="95"/>
      <c r="Y2222" s="95"/>
      <c r="Z2222" s="95"/>
      <c r="AA2222" s="95"/>
      <c r="AB2222" s="95"/>
      <c r="AC2222" s="355"/>
      <c r="AD2222" s="355"/>
      <c r="AE2222" s="355"/>
      <c r="AF2222" s="94">
        <f t="shared" si="293"/>
        <v>43343</v>
      </c>
      <c r="AG2222" s="185">
        <f t="shared" si="296"/>
        <v>-1.0978531608238806E-2</v>
      </c>
      <c r="AH2222" s="339" t="str">
        <f>VLOOKUP(B2222,'MF PF'!A:B,2)</f>
        <v>FdMgt1</v>
      </c>
      <c r="AI2222" s="358">
        <f t="shared" si="294"/>
        <v>0</v>
      </c>
      <c r="AJ2222" s="94">
        <f t="shared" si="295"/>
        <v>43343</v>
      </c>
    </row>
    <row r="2223" spans="1:36" ht="12.75" customHeight="1">
      <c r="A2223" s="94">
        <v>43373</v>
      </c>
      <c r="B2223" s="358" t="s">
        <v>175</v>
      </c>
      <c r="C2223" s="358" t="s">
        <v>326</v>
      </c>
      <c r="D2223" s="93">
        <v>3029983.99</v>
      </c>
      <c r="E2223" s="95"/>
      <c r="F2223" s="93"/>
      <c r="G2223" s="95"/>
      <c r="H2223" s="93"/>
      <c r="I2223" s="93"/>
      <c r="K2223" s="93"/>
      <c r="L2223" s="93">
        <f t="shared" si="291"/>
        <v>0</v>
      </c>
      <c r="M2223" s="95" t="e">
        <f t="shared" ca="1" si="292"/>
        <v>#DIV/0!</v>
      </c>
      <c r="N2223" s="95">
        <f>IF(P2223="Hedge Fund",IF(A2223=Summary!$AD$3,M2223-E2223,M2223),IF(A2223=Summary!$AD$3,L2223-D2223,L2223))</f>
        <v>0</v>
      </c>
      <c r="O2223" s="95">
        <f t="shared" si="297"/>
        <v>0</v>
      </c>
      <c r="P2223" s="107" t="s">
        <v>155</v>
      </c>
      <c r="Q2223" s="95">
        <v>0</v>
      </c>
      <c r="R2223" s="95">
        <v>0</v>
      </c>
      <c r="S2223" s="95"/>
      <c r="T2223" s="95"/>
      <c r="U2223" s="95"/>
      <c r="V2223" s="95"/>
      <c r="W2223" s="95"/>
      <c r="X2223" s="95"/>
      <c r="Y2223" s="95"/>
      <c r="Z2223" s="95"/>
      <c r="AA2223" s="95"/>
      <c r="AB2223" s="95"/>
      <c r="AC2223" s="355"/>
      <c r="AD2223" s="355"/>
      <c r="AE2223" s="355"/>
      <c r="AF2223" s="94">
        <f t="shared" si="293"/>
        <v>43373</v>
      </c>
      <c r="AG2223" s="185">
        <f t="shared" si="296"/>
        <v>-3.7016257736796732E-2</v>
      </c>
      <c r="AH2223" s="339" t="str">
        <f>VLOOKUP(B2223,'MF PF'!A:B,2)</f>
        <v>FdMgt1</v>
      </c>
      <c r="AI2223" s="358">
        <f t="shared" si="294"/>
        <v>0</v>
      </c>
      <c r="AJ2223" s="94">
        <f t="shared" si="295"/>
        <v>43373</v>
      </c>
    </row>
    <row r="2224" spans="1:36" ht="12.75" customHeight="1">
      <c r="A2224" s="8">
        <v>43404</v>
      </c>
      <c r="B2224" s="358" t="s">
        <v>175</v>
      </c>
      <c r="C2224" s="358" t="s">
        <v>326</v>
      </c>
      <c r="D2224" s="93">
        <v>2989158.37</v>
      </c>
      <c r="E2224" s="95"/>
      <c r="F2224" s="93">
        <v>2.5</v>
      </c>
      <c r="G2224" s="93"/>
      <c r="H2224" s="93">
        <v>0</v>
      </c>
      <c r="I2224" s="93">
        <v>0</v>
      </c>
      <c r="J2224" s="93">
        <v>0</v>
      </c>
      <c r="K2224" s="93"/>
      <c r="L2224" s="93">
        <f t="shared" si="291"/>
        <v>0</v>
      </c>
      <c r="M2224" s="95" t="e">
        <f t="shared" ca="1" si="292"/>
        <v>#DIV/0!</v>
      </c>
      <c r="N2224" s="95">
        <f>IF(P2224="Hedge Fund",IF(A2224=Summary!$AD$3,M2224-E2224,M2224),IF(A2224=Summary!$AD$3,L2224-D2224,L2224))</f>
        <v>0</v>
      </c>
      <c r="O2224" s="95">
        <f t="shared" si="297"/>
        <v>0</v>
      </c>
      <c r="P2224" s="95" t="s">
        <v>155</v>
      </c>
      <c r="Q2224" s="95">
        <v>0</v>
      </c>
      <c r="R2224" s="95">
        <v>0</v>
      </c>
      <c r="S2224" s="95"/>
      <c r="T2224" s="95"/>
      <c r="U2224" s="95"/>
      <c r="V2224" s="95"/>
      <c r="W2224" s="95"/>
      <c r="X2224" s="95"/>
      <c r="Y2224" s="95"/>
      <c r="Z2224" s="95"/>
      <c r="AA2224" s="95"/>
      <c r="AB2224" s="95"/>
      <c r="AC2224" s="355"/>
      <c r="AD2224" s="355"/>
      <c r="AE2224" s="355"/>
      <c r="AF2224" s="94">
        <f t="shared" si="293"/>
        <v>43404</v>
      </c>
      <c r="AG2224" s="185">
        <f t="shared" si="296"/>
        <v>-1.347387317383153E-2</v>
      </c>
      <c r="AH2224" s="339" t="str">
        <f>VLOOKUP(B2224,'MF PF'!A:B,2)</f>
        <v>FdMgt1</v>
      </c>
      <c r="AI2224" s="358">
        <f t="shared" si="294"/>
        <v>0</v>
      </c>
      <c r="AJ2224" s="94">
        <f t="shared" si="295"/>
        <v>43404</v>
      </c>
    </row>
    <row r="2225" spans="1:36" ht="12.75" customHeight="1">
      <c r="A2225" s="8">
        <v>43434</v>
      </c>
      <c r="B2225" s="358" t="s">
        <v>175</v>
      </c>
      <c r="C2225" s="358" t="s">
        <v>326</v>
      </c>
      <c r="D2225" s="93">
        <v>2983774.76</v>
      </c>
      <c r="E2225" s="95"/>
      <c r="F2225" s="93">
        <v>2.5</v>
      </c>
      <c r="G2225" s="93"/>
      <c r="H2225" s="93">
        <v>0</v>
      </c>
      <c r="I2225" s="93">
        <v>0</v>
      </c>
      <c r="K2225" s="93">
        <v>0</v>
      </c>
      <c r="L2225" s="93">
        <f t="shared" si="291"/>
        <v>0</v>
      </c>
      <c r="M2225" s="95" t="e">
        <f t="shared" ca="1" si="292"/>
        <v>#DIV/0!</v>
      </c>
      <c r="N2225" s="95">
        <f>IF(P2225="Hedge Fund",IF(A2225=Summary!$AD$3,M2225-E2225,M2225),IF(A2225=Summary!$AD$3,L2225-D2225,L2225))</f>
        <v>0</v>
      </c>
      <c r="O2225" s="95">
        <f t="shared" si="297"/>
        <v>0</v>
      </c>
      <c r="P2225" s="95" t="s">
        <v>155</v>
      </c>
      <c r="Q2225" s="95">
        <v>0</v>
      </c>
      <c r="R2225" s="95">
        <v>0</v>
      </c>
      <c r="S2225" s="95"/>
      <c r="T2225" s="95"/>
      <c r="U2225" s="95"/>
      <c r="V2225" s="95"/>
      <c r="W2225" s="95"/>
      <c r="X2225" s="95"/>
      <c r="Y2225" s="95"/>
      <c r="Z2225" s="95"/>
      <c r="AA2225" s="95"/>
      <c r="AB2225" s="95"/>
      <c r="AC2225" s="355"/>
      <c r="AD2225" s="355"/>
      <c r="AE2225" s="355"/>
      <c r="AF2225" s="94">
        <f t="shared" si="293"/>
        <v>43434</v>
      </c>
      <c r="AG2225" s="185">
        <f t="shared" si="296"/>
        <v>-1.8010454226954353E-3</v>
      </c>
      <c r="AH2225" s="339" t="str">
        <f>VLOOKUP(B2225,'MF PF'!A:B,2)</f>
        <v>FdMgt1</v>
      </c>
      <c r="AI2225" s="358">
        <f t="shared" si="294"/>
        <v>0</v>
      </c>
      <c r="AJ2225" s="94">
        <f t="shared" si="295"/>
        <v>43434</v>
      </c>
    </row>
    <row r="2226" spans="1:36" ht="12.75" customHeight="1">
      <c r="A2226" s="8">
        <v>43465</v>
      </c>
      <c r="B2226" s="358" t="s">
        <v>175</v>
      </c>
      <c r="C2226" s="358" t="s">
        <v>326</v>
      </c>
      <c r="D2226" s="93">
        <v>3054161</v>
      </c>
      <c r="E2226" s="95"/>
      <c r="F2226" s="93">
        <v>2.5</v>
      </c>
      <c r="G2226" s="93"/>
      <c r="H2226" s="93">
        <v>0</v>
      </c>
      <c r="I2226" s="93">
        <v>0</v>
      </c>
      <c r="K2226" s="93">
        <v>0</v>
      </c>
      <c r="L2226" s="93">
        <f t="shared" si="291"/>
        <v>0</v>
      </c>
      <c r="M2226" s="95" t="e">
        <f t="shared" ca="1" si="292"/>
        <v>#DIV/0!</v>
      </c>
      <c r="N2226" s="95">
        <f>IF(P2226="Hedge Fund",IF(A2226=Summary!$AD$3,M2226-E2226,M2226),IF(A2226=Summary!$AD$3,L2226-D2226,L2226))</f>
        <v>0</v>
      </c>
      <c r="O2226" s="95">
        <f t="shared" si="297"/>
        <v>0</v>
      </c>
      <c r="P2226" s="95" t="s">
        <v>155</v>
      </c>
      <c r="Q2226" s="95">
        <v>0</v>
      </c>
      <c r="R2226" s="95">
        <v>0</v>
      </c>
      <c r="S2226" s="95"/>
      <c r="T2226" s="95"/>
      <c r="U2226" s="95"/>
      <c r="V2226" s="95"/>
      <c r="W2226" s="95"/>
      <c r="X2226" s="95"/>
      <c r="Y2226" s="95"/>
      <c r="Z2226" s="95"/>
      <c r="AA2226" s="95"/>
      <c r="AB2226" s="95"/>
      <c r="AC2226" s="355"/>
      <c r="AD2226" s="355"/>
      <c r="AE2226" s="355"/>
      <c r="AF2226" s="94">
        <f t="shared" si="293"/>
        <v>43465</v>
      </c>
      <c r="AG2226" s="185">
        <f t="shared" si="296"/>
        <v>2.35896626459835E-2</v>
      </c>
      <c r="AH2226" s="339" t="str">
        <f>VLOOKUP(B2226,'MF PF'!A:B,2)</f>
        <v>FdMgt1</v>
      </c>
      <c r="AI2226" s="358">
        <f t="shared" si="294"/>
        <v>0</v>
      </c>
      <c r="AJ2226" s="94">
        <f t="shared" si="295"/>
        <v>43465</v>
      </c>
    </row>
    <row r="2227" spans="1:36" ht="12.75" customHeight="1">
      <c r="A2227" s="8">
        <v>43496</v>
      </c>
      <c r="B2227" s="358" t="s">
        <v>175</v>
      </c>
      <c r="C2227" s="92" t="s">
        <v>326</v>
      </c>
      <c r="D2227" s="93">
        <v>3127047.37</v>
      </c>
      <c r="E2227" s="95"/>
      <c r="F2227" s="93">
        <v>2.5</v>
      </c>
      <c r="G2227" s="93"/>
      <c r="H2227" s="93">
        <v>0</v>
      </c>
      <c r="I2227" s="93">
        <v>0</v>
      </c>
      <c r="K2227" s="93">
        <v>0</v>
      </c>
      <c r="L2227" s="93">
        <f t="shared" si="291"/>
        <v>0</v>
      </c>
      <c r="M2227" s="95" t="e">
        <f t="shared" ca="1" si="292"/>
        <v>#DIV/0!</v>
      </c>
      <c r="N2227" s="95">
        <f>IF(P2227="Hedge Fund",IF(A2227=Summary!$AD$3,M2227-E2227,M2227),IF(A2227=Summary!$AD$3,L2227-D2227,L2227))</f>
        <v>-3127047.37</v>
      </c>
      <c r="O2227" s="95">
        <f t="shared" si="297"/>
        <v>-3127047.37</v>
      </c>
      <c r="P2227" s="95" t="s">
        <v>155</v>
      </c>
      <c r="Q2227" s="95">
        <v>0</v>
      </c>
      <c r="R2227" s="95">
        <v>0</v>
      </c>
      <c r="S2227" s="95"/>
      <c r="T2227" s="95"/>
      <c r="U2227" s="95"/>
      <c r="V2227" s="95"/>
      <c r="W2227" s="95"/>
      <c r="X2227" s="95"/>
      <c r="Y2227" s="95"/>
      <c r="Z2227" s="95"/>
      <c r="AA2227" s="95"/>
      <c r="AB2227" s="95"/>
      <c r="AC2227" s="355"/>
      <c r="AD2227" s="355"/>
      <c r="AE2227" s="355"/>
      <c r="AF2227" s="94">
        <f t="shared" si="293"/>
        <v>43496</v>
      </c>
      <c r="AG2227" s="185">
        <f t="shared" si="296"/>
        <v>2.3864612900236892E-2</v>
      </c>
      <c r="AH2227" s="339" t="str">
        <f>VLOOKUP(B2227,'MF PF'!A:B,2)</f>
        <v>FdMgt1</v>
      </c>
      <c r="AI2227" s="358">
        <f t="shared" si="294"/>
        <v>0</v>
      </c>
      <c r="AJ2227" s="94">
        <f t="shared" si="295"/>
        <v>43496</v>
      </c>
    </row>
    <row r="2228" spans="1:36" ht="12.75" customHeight="1">
      <c r="A2228" s="8">
        <v>42881</v>
      </c>
      <c r="B2228" s="358" t="s">
        <v>175</v>
      </c>
      <c r="C2228" s="92" t="s">
        <v>327</v>
      </c>
      <c r="D2228" s="93"/>
      <c r="E2228" s="95"/>
      <c r="F2228" s="93"/>
      <c r="G2228" s="95">
        <v>304349</v>
      </c>
      <c r="H2228" s="93"/>
      <c r="I2228" s="93"/>
      <c r="K2228" s="93"/>
      <c r="L2228" s="93">
        <f t="shared" si="291"/>
        <v>304349</v>
      </c>
      <c r="M2228" s="95">
        <f t="shared" ca="1" si="292"/>
        <v>0</v>
      </c>
      <c r="N2228" s="95">
        <f>IF(P2228="Hedge Fund",IF(A2228=Summary!$AD$3,M2228-E2228,M2228),IF(A2228=Summary!$AD$3,L2228-D2228,L2228))</f>
        <v>304349</v>
      </c>
      <c r="O2228" s="95">
        <f t="shared" si="297"/>
        <v>304349</v>
      </c>
      <c r="P2228" s="89" t="s">
        <v>155</v>
      </c>
      <c r="Q2228" s="95">
        <v>0</v>
      </c>
      <c r="R2228" s="95">
        <v>0</v>
      </c>
      <c r="S2228" s="95"/>
      <c r="T2228" s="95"/>
      <c r="U2228" s="95"/>
      <c r="V2228" s="95"/>
      <c r="W2228" s="95"/>
      <c r="X2228" s="95"/>
      <c r="Y2228" s="95"/>
      <c r="Z2228" s="95"/>
      <c r="AA2228" s="95"/>
      <c r="AB2228" s="95"/>
      <c r="AC2228" s="355"/>
      <c r="AD2228" s="355"/>
      <c r="AE2228" s="355"/>
      <c r="AF2228" s="94">
        <f t="shared" si="293"/>
        <v>42881</v>
      </c>
      <c r="AG2228" s="185">
        <f t="shared" si="296"/>
        <v>-1</v>
      </c>
      <c r="AH2228" s="339" t="str">
        <f>VLOOKUP(B2228,'MF PF'!A:B,2)</f>
        <v>FdMgt1</v>
      </c>
      <c r="AI2228" s="358">
        <f t="shared" si="294"/>
        <v>0</v>
      </c>
      <c r="AJ2228" s="94">
        <f t="shared" si="295"/>
        <v>42886</v>
      </c>
    </row>
    <row r="2229" spans="1:36" ht="12.75" customHeight="1">
      <c r="A2229" s="8">
        <v>42881</v>
      </c>
      <c r="B2229" s="358" t="s">
        <v>175</v>
      </c>
      <c r="C2229" s="92" t="s">
        <v>327</v>
      </c>
      <c r="D2229" s="93"/>
      <c r="E2229" s="95"/>
      <c r="F2229" s="93"/>
      <c r="G2229" s="95">
        <f>1195651+57977.3263245351</f>
        <v>1253628.3263245351</v>
      </c>
      <c r="H2229" s="93"/>
      <c r="I2229" s="93"/>
      <c r="K2229" s="93"/>
      <c r="L2229" s="93">
        <f t="shared" si="291"/>
        <v>1253628.3263245351</v>
      </c>
      <c r="M2229" s="95">
        <f t="shared" ca="1" si="292"/>
        <v>0</v>
      </c>
      <c r="N2229" s="95">
        <f>IF(P2229="Hedge Fund",IF(A2229=Summary!$AD$3,M2229-E2229,M2229),IF(A2229=Summary!$AD$3,L2229-D2229,L2229))</f>
        <v>1253628.3263245351</v>
      </c>
      <c r="O2229" s="95">
        <f t="shared" si="297"/>
        <v>1253628.3263245351</v>
      </c>
      <c r="P2229" s="89" t="s">
        <v>155</v>
      </c>
      <c r="Q2229" s="95">
        <v>0</v>
      </c>
      <c r="R2229" s="95">
        <v>0</v>
      </c>
      <c r="S2229" s="95"/>
      <c r="T2229" s="95"/>
      <c r="U2229" s="95"/>
      <c r="V2229" s="95"/>
      <c r="W2229" s="95"/>
      <c r="X2229" s="95"/>
      <c r="Y2229" s="95"/>
      <c r="Z2229" s="95"/>
      <c r="AA2229" s="95"/>
      <c r="AB2229" s="95"/>
      <c r="AC2229" s="355"/>
      <c r="AD2229" s="355"/>
      <c r="AE2229" s="355"/>
      <c r="AF2229" s="94">
        <f t="shared" si="293"/>
        <v>42881</v>
      </c>
      <c r="AG2229" s="185" t="e">
        <f t="shared" si="296"/>
        <v>#DIV/0!</v>
      </c>
      <c r="AH2229" s="339" t="str">
        <f>VLOOKUP(B2229,'MF PF'!A:B,2)</f>
        <v>FdMgt1</v>
      </c>
      <c r="AI2229" s="358">
        <f t="shared" si="294"/>
        <v>0</v>
      </c>
      <c r="AJ2229" s="94">
        <f t="shared" si="295"/>
        <v>42886</v>
      </c>
    </row>
    <row r="2230" spans="1:36" ht="12.75" customHeight="1">
      <c r="A2230" s="8">
        <v>42886</v>
      </c>
      <c r="B2230" s="358" t="s">
        <v>175</v>
      </c>
      <c r="C2230" s="92" t="s">
        <v>327</v>
      </c>
      <c r="D2230" s="93">
        <v>1543079.22</v>
      </c>
      <c r="E2230" s="95"/>
      <c r="F2230" s="93"/>
      <c r="G2230" s="95"/>
      <c r="H2230" s="93"/>
      <c r="I2230" s="93"/>
      <c r="K2230" s="93"/>
      <c r="L2230" s="93">
        <f t="shared" si="291"/>
        <v>0</v>
      </c>
      <c r="M2230" s="95" t="e">
        <f t="shared" ca="1" si="292"/>
        <v>#DIV/0!</v>
      </c>
      <c r="N2230" s="95">
        <f>IF(P2230="Hedge Fund",IF(A2230=Summary!$AD$3,M2230-E2230,M2230),IF(A2230=Summary!$AD$3,L2230-D2230,L2230))</f>
        <v>0</v>
      </c>
      <c r="O2230" s="95">
        <f t="shared" si="297"/>
        <v>0</v>
      </c>
      <c r="P2230" s="89" t="s">
        <v>155</v>
      </c>
      <c r="Q2230" s="95">
        <v>0</v>
      </c>
      <c r="R2230" s="95">
        <v>0</v>
      </c>
      <c r="S2230" s="95"/>
      <c r="T2230" s="95"/>
      <c r="U2230" s="95"/>
      <c r="V2230" s="95"/>
      <c r="W2230" s="95"/>
      <c r="X2230" s="95"/>
      <c r="Y2230" s="95"/>
      <c r="Z2230" s="95"/>
      <c r="AA2230" s="95"/>
      <c r="AB2230" s="95"/>
      <c r="AC2230" s="355"/>
      <c r="AD2230" s="355"/>
      <c r="AE2230" s="355"/>
      <c r="AF2230" s="94">
        <f t="shared" si="293"/>
        <v>42886</v>
      </c>
      <c r="AG2230" s="185" t="e">
        <f t="shared" si="296"/>
        <v>#DIV/0!</v>
      </c>
      <c r="AH2230" s="339" t="str">
        <f>VLOOKUP(B2230,'MF PF'!A:B,2)</f>
        <v>FdMgt1</v>
      </c>
      <c r="AI2230" s="358">
        <f t="shared" si="294"/>
        <v>0</v>
      </c>
      <c r="AJ2230" s="94">
        <f t="shared" si="295"/>
        <v>42886</v>
      </c>
    </row>
    <row r="2231" spans="1:36" ht="12.75" customHeight="1">
      <c r="A2231" s="8">
        <v>42916</v>
      </c>
      <c r="B2231" s="358" t="s">
        <v>175</v>
      </c>
      <c r="C2231" s="92" t="s">
        <v>327</v>
      </c>
      <c r="D2231" s="93">
        <v>1561935.45</v>
      </c>
      <c r="E2231" s="95"/>
      <c r="F2231" s="93"/>
      <c r="G2231" s="95"/>
      <c r="H2231" s="93"/>
      <c r="I2231" s="93"/>
      <c r="K2231" s="93"/>
      <c r="L2231" s="93">
        <f t="shared" si="291"/>
        <v>0</v>
      </c>
      <c r="M2231" s="95" t="e">
        <f t="shared" ca="1" si="292"/>
        <v>#DIV/0!</v>
      </c>
      <c r="N2231" s="95">
        <f>IF(P2231="Hedge Fund",IF(A2231=Summary!$AD$3,M2231-E2231,M2231),IF(A2231=Summary!$AD$3,L2231-D2231,L2231))</f>
        <v>0</v>
      </c>
      <c r="O2231" s="95">
        <f t="shared" si="297"/>
        <v>0</v>
      </c>
      <c r="P2231" s="107" t="s">
        <v>155</v>
      </c>
      <c r="Q2231" s="95">
        <v>0</v>
      </c>
      <c r="R2231" s="95">
        <v>0</v>
      </c>
      <c r="S2231" s="95"/>
      <c r="T2231" s="95"/>
      <c r="U2231" s="95"/>
      <c r="V2231" s="95"/>
      <c r="W2231" s="95"/>
      <c r="X2231" s="95"/>
      <c r="Y2231" s="95"/>
      <c r="Z2231" s="95"/>
      <c r="AA2231" s="95"/>
      <c r="AB2231" s="95"/>
      <c r="AC2231" s="355"/>
      <c r="AD2231" s="355"/>
      <c r="AE2231" s="355"/>
      <c r="AF2231" s="94">
        <f t="shared" si="293"/>
        <v>42916</v>
      </c>
      <c r="AG2231" s="185">
        <f t="shared" si="296"/>
        <v>1.2219871640809288E-2</v>
      </c>
      <c r="AH2231" s="339" t="str">
        <f>VLOOKUP(B2231,'MF PF'!A:B,2)</f>
        <v>FdMgt1</v>
      </c>
      <c r="AI2231" s="358">
        <f t="shared" si="294"/>
        <v>0</v>
      </c>
      <c r="AJ2231" s="94">
        <f t="shared" si="295"/>
        <v>42916</v>
      </c>
    </row>
    <row r="2232" spans="1:36" ht="12.75" customHeight="1">
      <c r="A2232" s="8">
        <v>42947</v>
      </c>
      <c r="B2232" s="358" t="s">
        <v>175</v>
      </c>
      <c r="C2232" s="92" t="s">
        <v>327</v>
      </c>
      <c r="D2232" s="93">
        <v>1404873.93</v>
      </c>
      <c r="E2232" s="95"/>
      <c r="F2232" s="93"/>
      <c r="G2232" s="95"/>
      <c r="H2232" s="93"/>
      <c r="I2232" s="93"/>
      <c r="K2232" s="93"/>
      <c r="L2232" s="93">
        <f t="shared" si="291"/>
        <v>0</v>
      </c>
      <c r="M2232" s="95" t="e">
        <f t="shared" ca="1" si="292"/>
        <v>#DIV/0!</v>
      </c>
      <c r="N2232" s="95">
        <f>IF(P2232="Hedge Fund",IF(A2232=Summary!$AD$3,M2232-E2232,M2232),IF(A2232=Summary!$AD$3,L2232-D2232,L2232))</f>
        <v>0</v>
      </c>
      <c r="O2232" s="95">
        <f t="shared" si="297"/>
        <v>0</v>
      </c>
      <c r="P2232" s="107" t="s">
        <v>155</v>
      </c>
      <c r="Q2232" s="95">
        <v>0</v>
      </c>
      <c r="R2232" s="95">
        <v>0</v>
      </c>
      <c r="S2232" s="95"/>
      <c r="T2232" s="95"/>
      <c r="U2232" s="95"/>
      <c r="V2232" s="95"/>
      <c r="W2232" s="95"/>
      <c r="X2232" s="95"/>
      <c r="Y2232" s="95"/>
      <c r="Z2232" s="95"/>
      <c r="AA2232" s="95"/>
      <c r="AB2232" s="95"/>
      <c r="AC2232" s="355"/>
      <c r="AD2232" s="355"/>
      <c r="AE2232" s="355"/>
      <c r="AF2232" s="94">
        <f t="shared" si="293"/>
        <v>42947</v>
      </c>
      <c r="AG2232" s="185">
        <f t="shared" si="296"/>
        <v>-0.10055570478280651</v>
      </c>
      <c r="AH2232" s="339" t="str">
        <f>VLOOKUP(B2232,'MF PF'!A:B,2)</f>
        <v>FdMgt1</v>
      </c>
      <c r="AI2232" s="358">
        <f t="shared" si="294"/>
        <v>0</v>
      </c>
      <c r="AJ2232" s="94">
        <f t="shared" si="295"/>
        <v>42947</v>
      </c>
    </row>
    <row r="2233" spans="1:36" ht="12.75" customHeight="1">
      <c r="A2233" s="8">
        <v>42958</v>
      </c>
      <c r="B2233" s="358" t="s">
        <v>175</v>
      </c>
      <c r="C2233" s="92" t="s">
        <v>327</v>
      </c>
      <c r="D2233" s="93"/>
      <c r="E2233" s="95"/>
      <c r="F2233" s="93"/>
      <c r="G2233" s="358"/>
      <c r="H2233" s="93"/>
      <c r="I2233" s="95">
        <v>-142013</v>
      </c>
      <c r="K2233" s="93"/>
      <c r="L2233" s="93">
        <f t="shared" si="291"/>
        <v>-142013</v>
      </c>
      <c r="M2233" s="95" t="e">
        <f t="shared" ca="1" si="292"/>
        <v>#DIV/0!</v>
      </c>
      <c r="N2233" s="95">
        <f>IF(P2233="Hedge Fund",IF(A2233=Summary!$AD$3,M2233-E2233,M2233),IF(A2233=Summary!$AD$3,L2233-D2233,L2233))</f>
        <v>-142013</v>
      </c>
      <c r="O2233" s="95">
        <f t="shared" si="297"/>
        <v>-142013</v>
      </c>
      <c r="P2233" s="107" t="s">
        <v>155</v>
      </c>
      <c r="Q2233" s="95">
        <v>0</v>
      </c>
      <c r="R2233" s="95">
        <v>0</v>
      </c>
      <c r="S2233" s="95"/>
      <c r="T2233" s="95"/>
      <c r="U2233" s="95"/>
      <c r="V2233" s="95"/>
      <c r="W2233" s="95"/>
      <c r="X2233" s="95"/>
      <c r="Y2233" s="95"/>
      <c r="Z2233" s="95"/>
      <c r="AA2233" s="95"/>
      <c r="AB2233" s="95"/>
      <c r="AC2233" s="355"/>
      <c r="AD2233" s="355"/>
      <c r="AE2233" s="355"/>
      <c r="AF2233" s="94">
        <f t="shared" si="293"/>
        <v>42958</v>
      </c>
      <c r="AG2233" s="185">
        <f t="shared" si="296"/>
        <v>-0.89891406127808204</v>
      </c>
      <c r="AH2233" s="339" t="str">
        <f>VLOOKUP(B2233,'MF PF'!A:B,2)</f>
        <v>FdMgt1</v>
      </c>
      <c r="AI2233" s="358">
        <f t="shared" si="294"/>
        <v>0</v>
      </c>
      <c r="AJ2233" s="94">
        <f t="shared" si="295"/>
        <v>42978</v>
      </c>
    </row>
    <row r="2234" spans="1:36" ht="12.75" customHeight="1">
      <c r="A2234" s="8">
        <v>42958</v>
      </c>
      <c r="B2234" s="358" t="s">
        <v>175</v>
      </c>
      <c r="C2234" s="92" t="s">
        <v>327</v>
      </c>
      <c r="D2234" s="93"/>
      <c r="F2234" s="93"/>
      <c r="G2234" s="95">
        <v>142013</v>
      </c>
      <c r="H2234" s="93"/>
      <c r="I2234" s="93"/>
      <c r="K2234" s="93"/>
      <c r="L2234" s="93">
        <f t="shared" si="291"/>
        <v>142013</v>
      </c>
      <c r="M2234" s="95">
        <f t="shared" ca="1" si="292"/>
        <v>0</v>
      </c>
      <c r="N2234" s="95">
        <f>IF(P2234="Hedge Fund",IF(A2234=Summary!$AD$3,M2234-E2234,M2234),IF(A2234=Summary!$AD$3,L2234-D2234,L2234))</f>
        <v>142013</v>
      </c>
      <c r="O2234" s="95">
        <f t="shared" si="297"/>
        <v>142013</v>
      </c>
      <c r="P2234" s="89" t="s">
        <v>155</v>
      </c>
      <c r="Q2234" s="95">
        <v>0</v>
      </c>
      <c r="R2234" s="95">
        <v>0</v>
      </c>
      <c r="S2234" s="95"/>
      <c r="T2234" s="95"/>
      <c r="U2234" s="95"/>
      <c r="V2234" s="95"/>
      <c r="W2234" s="95"/>
      <c r="X2234" s="95"/>
      <c r="Y2234" s="95"/>
      <c r="Z2234" s="95"/>
      <c r="AA2234" s="95"/>
      <c r="AB2234" s="95"/>
      <c r="AC2234" s="355"/>
      <c r="AD2234" s="355"/>
      <c r="AE2234" s="355"/>
      <c r="AF2234" s="94">
        <f t="shared" si="293"/>
        <v>42958</v>
      </c>
      <c r="AG2234" s="185" t="e">
        <f t="shared" si="296"/>
        <v>#DIV/0!</v>
      </c>
      <c r="AH2234" s="339" t="str">
        <f>VLOOKUP(B2234,'MF PF'!A:B,2)</f>
        <v>FdMgt1</v>
      </c>
      <c r="AI2234" s="358">
        <f t="shared" si="294"/>
        <v>0</v>
      </c>
      <c r="AJ2234" s="94">
        <f t="shared" si="295"/>
        <v>42978</v>
      </c>
    </row>
    <row r="2235" spans="1:36" ht="12.75" customHeight="1">
      <c r="A2235" s="8">
        <v>42978</v>
      </c>
      <c r="B2235" s="358" t="s">
        <v>175</v>
      </c>
      <c r="C2235" s="92" t="s">
        <v>327</v>
      </c>
      <c r="D2235" s="93">
        <v>1552144.4</v>
      </c>
      <c r="F2235" s="93"/>
      <c r="G2235" s="95"/>
      <c r="H2235" s="93"/>
      <c r="I2235" s="93"/>
      <c r="K2235" s="93"/>
      <c r="L2235" s="93">
        <f t="shared" si="291"/>
        <v>0</v>
      </c>
      <c r="M2235" s="95" t="e">
        <f t="shared" ca="1" si="292"/>
        <v>#DIV/0!</v>
      </c>
      <c r="N2235" s="95">
        <f>IF(P2235="Hedge Fund",IF(A2235=Summary!$AD$3,M2235-E2235,M2235),IF(A2235=Summary!$AD$3,L2235-D2235,L2235))</f>
        <v>0</v>
      </c>
      <c r="O2235" s="95">
        <f t="shared" si="297"/>
        <v>0</v>
      </c>
      <c r="P2235" s="107" t="s">
        <v>155</v>
      </c>
      <c r="Q2235" s="95">
        <v>0</v>
      </c>
      <c r="R2235" s="95">
        <v>0</v>
      </c>
      <c r="S2235" s="95"/>
      <c r="T2235" s="95"/>
      <c r="U2235" s="95"/>
      <c r="V2235" s="95"/>
      <c r="W2235" s="95"/>
      <c r="X2235" s="95"/>
      <c r="Y2235" s="95"/>
      <c r="Z2235" s="95"/>
      <c r="AA2235" s="95"/>
      <c r="AB2235" s="95"/>
      <c r="AC2235" s="355"/>
      <c r="AD2235" s="355"/>
      <c r="AE2235" s="355"/>
      <c r="AF2235" s="94">
        <f t="shared" si="293"/>
        <v>42978</v>
      </c>
      <c r="AG2235" s="185" t="e">
        <f t="shared" si="296"/>
        <v>#DIV/0!</v>
      </c>
      <c r="AH2235" s="339" t="str">
        <f>VLOOKUP(B2235,'MF PF'!A:B,2)</f>
        <v>FdMgt1</v>
      </c>
      <c r="AI2235" s="358">
        <f t="shared" si="294"/>
        <v>0</v>
      </c>
      <c r="AJ2235" s="94">
        <f t="shared" si="295"/>
        <v>42978</v>
      </c>
    </row>
    <row r="2236" spans="1:36" ht="12.75" customHeight="1">
      <c r="A2236" s="8">
        <v>43008</v>
      </c>
      <c r="B2236" s="358" t="s">
        <v>175</v>
      </c>
      <c r="C2236" s="92" t="s">
        <v>327</v>
      </c>
      <c r="D2236" s="93">
        <v>1560404.65</v>
      </c>
      <c r="E2236" s="95"/>
      <c r="F2236" s="93"/>
      <c r="G2236" s="95"/>
      <c r="H2236" s="93"/>
      <c r="I2236" s="93"/>
      <c r="K2236" s="93"/>
      <c r="L2236" s="93">
        <f t="shared" si="291"/>
        <v>0</v>
      </c>
      <c r="M2236" s="95" t="e">
        <f t="shared" ca="1" si="292"/>
        <v>#DIV/0!</v>
      </c>
      <c r="N2236" s="95">
        <f>IF(P2236="Hedge Fund",IF(A2236=Summary!$AD$3,M2236-E2236,M2236),IF(A2236=Summary!$AD$3,L2236-D2236,L2236))</f>
        <v>0</v>
      </c>
      <c r="O2236" s="95">
        <f t="shared" si="297"/>
        <v>0</v>
      </c>
      <c r="P2236" s="107" t="s">
        <v>155</v>
      </c>
      <c r="Q2236" s="95">
        <v>0</v>
      </c>
      <c r="R2236" s="95">
        <v>0</v>
      </c>
      <c r="S2236" s="95"/>
      <c r="T2236" s="95"/>
      <c r="U2236" s="95"/>
      <c r="V2236" s="95"/>
      <c r="W2236" s="95"/>
      <c r="X2236" s="95"/>
      <c r="Y2236" s="95"/>
      <c r="Z2236" s="95"/>
      <c r="AA2236" s="95"/>
      <c r="AB2236" s="95"/>
      <c r="AC2236" s="355"/>
      <c r="AD2236" s="355"/>
      <c r="AE2236" s="355"/>
      <c r="AF2236" s="94">
        <f t="shared" si="293"/>
        <v>43008</v>
      </c>
      <c r="AG2236" s="185">
        <f t="shared" si="296"/>
        <v>5.3218308811988635E-3</v>
      </c>
      <c r="AH2236" s="339" t="str">
        <f>VLOOKUP(B2236,'MF PF'!A:B,2)</f>
        <v>FdMgt1</v>
      </c>
      <c r="AI2236" s="358">
        <f t="shared" si="294"/>
        <v>0</v>
      </c>
      <c r="AJ2236" s="94">
        <f t="shared" si="295"/>
        <v>43008</v>
      </c>
    </row>
    <row r="2237" spans="1:36" ht="12.75" customHeight="1">
      <c r="A2237" s="8">
        <v>43039</v>
      </c>
      <c r="B2237" s="358" t="s">
        <v>175</v>
      </c>
      <c r="C2237" s="92" t="s">
        <v>327</v>
      </c>
      <c r="D2237" s="93">
        <v>1558404.79</v>
      </c>
      <c r="E2237" s="95"/>
      <c r="F2237" s="93"/>
      <c r="G2237" s="95"/>
      <c r="H2237" s="93"/>
      <c r="I2237" s="93"/>
      <c r="K2237" s="93"/>
      <c r="L2237" s="93">
        <f t="shared" si="291"/>
        <v>0</v>
      </c>
      <c r="M2237" s="95" t="e">
        <f t="shared" ca="1" si="292"/>
        <v>#DIV/0!</v>
      </c>
      <c r="N2237" s="95">
        <f>IF(P2237="Hedge Fund",IF(A2237=Summary!$AD$3,M2237-E2237,M2237),IF(A2237=Summary!$AD$3,L2237-D2237,L2237))</f>
        <v>0</v>
      </c>
      <c r="O2237" s="95">
        <f t="shared" si="297"/>
        <v>0</v>
      </c>
      <c r="P2237" s="107" t="s">
        <v>155</v>
      </c>
      <c r="Q2237" s="95">
        <v>0</v>
      </c>
      <c r="R2237" s="95">
        <v>0</v>
      </c>
      <c r="S2237" s="95"/>
      <c r="T2237" s="95"/>
      <c r="U2237" s="95"/>
      <c r="V2237" s="95"/>
      <c r="W2237" s="95"/>
      <c r="X2237" s="95"/>
      <c r="Y2237" s="95"/>
      <c r="Z2237" s="95"/>
      <c r="AA2237" s="95"/>
      <c r="AB2237" s="95"/>
      <c r="AC2237" s="355"/>
      <c r="AD2237" s="355"/>
      <c r="AE2237" s="355"/>
      <c r="AF2237" s="94">
        <f t="shared" si="293"/>
        <v>43039</v>
      </c>
      <c r="AG2237" s="185">
        <f t="shared" si="296"/>
        <v>-1.2816290953758802E-3</v>
      </c>
      <c r="AH2237" s="339" t="str">
        <f>VLOOKUP(B2237,'MF PF'!A:B,2)</f>
        <v>FdMgt1</v>
      </c>
      <c r="AI2237" s="358">
        <f t="shared" si="294"/>
        <v>0</v>
      </c>
      <c r="AJ2237" s="94">
        <f t="shared" si="295"/>
        <v>43039</v>
      </c>
    </row>
    <row r="2238" spans="1:36" ht="12.75" customHeight="1">
      <c r="A2238" s="8">
        <v>43069</v>
      </c>
      <c r="B2238" s="358" t="s">
        <v>175</v>
      </c>
      <c r="C2238" s="92" t="s">
        <v>327</v>
      </c>
      <c r="D2238" s="93">
        <v>1553948.53</v>
      </c>
      <c r="F2238" s="93"/>
      <c r="G2238" s="95"/>
      <c r="H2238" s="93"/>
      <c r="I2238" s="93"/>
      <c r="K2238" s="93"/>
      <c r="L2238" s="93">
        <f t="shared" si="291"/>
        <v>0</v>
      </c>
      <c r="M2238" s="95" t="e">
        <f t="shared" ca="1" si="292"/>
        <v>#DIV/0!</v>
      </c>
      <c r="N2238" s="95">
        <f>IF(P2238="Hedge Fund",IF(A2238=Summary!$AD$3,M2238-E2238,M2238),IF(A2238=Summary!$AD$3,L2238-D2238,L2238))</f>
        <v>0</v>
      </c>
      <c r="O2238" s="95">
        <f t="shared" si="297"/>
        <v>0</v>
      </c>
      <c r="P2238" s="89" t="s">
        <v>155</v>
      </c>
      <c r="Q2238" s="95">
        <v>0</v>
      </c>
      <c r="R2238" s="95">
        <v>0</v>
      </c>
      <c r="S2238" s="95"/>
      <c r="T2238" s="95"/>
      <c r="U2238" s="95"/>
      <c r="V2238" s="95"/>
      <c r="W2238" s="95"/>
      <c r="X2238" s="95"/>
      <c r="Y2238" s="95"/>
      <c r="Z2238" s="95"/>
      <c r="AA2238" s="95"/>
      <c r="AB2238" s="95"/>
      <c r="AC2238" s="355"/>
      <c r="AD2238" s="355"/>
      <c r="AE2238" s="355"/>
      <c r="AF2238" s="94">
        <f t="shared" si="293"/>
        <v>43069</v>
      </c>
      <c r="AG2238" s="185">
        <f t="shared" si="296"/>
        <v>-2.8595009644445391E-3</v>
      </c>
      <c r="AH2238" s="339" t="str">
        <f>VLOOKUP(B2238,'MF PF'!A:B,2)</f>
        <v>FdMgt1</v>
      </c>
      <c r="AI2238" s="358">
        <f t="shared" si="294"/>
        <v>0</v>
      </c>
      <c r="AJ2238" s="94">
        <f t="shared" si="295"/>
        <v>43069</v>
      </c>
    </row>
    <row r="2239" spans="1:36" ht="12.75" customHeight="1">
      <c r="A2239" s="8">
        <v>43087</v>
      </c>
      <c r="B2239" s="358" t="s">
        <v>175</v>
      </c>
      <c r="C2239" s="92" t="s">
        <v>327</v>
      </c>
      <c r="D2239" s="93"/>
      <c r="F2239" s="93"/>
      <c r="G2239" s="358"/>
      <c r="H2239" s="93"/>
      <c r="I2239" s="95">
        <v>-122500.44</v>
      </c>
      <c r="K2239" s="93"/>
      <c r="L2239" s="93">
        <f t="shared" si="291"/>
        <v>-122500.44</v>
      </c>
      <c r="M2239" s="95" t="e">
        <f t="shared" ca="1" si="292"/>
        <v>#DIV/0!</v>
      </c>
      <c r="N2239" s="95">
        <f>IF(P2239="Hedge Fund",IF(A2239=Summary!$AD$3,M2239-E2239,M2239),IF(A2239=Summary!$AD$3,L2239-D2239,L2239))</f>
        <v>-122500.44</v>
      </c>
      <c r="O2239" s="95">
        <f t="shared" si="297"/>
        <v>-122500.44</v>
      </c>
      <c r="P2239" s="89" t="s">
        <v>155</v>
      </c>
      <c r="Q2239" s="95">
        <v>0</v>
      </c>
      <c r="R2239" s="95">
        <v>0</v>
      </c>
      <c r="S2239" s="95"/>
      <c r="T2239" s="95"/>
      <c r="U2239" s="95"/>
      <c r="V2239" s="95"/>
      <c r="W2239" s="95"/>
      <c r="X2239" s="95"/>
      <c r="Y2239" s="95"/>
      <c r="Z2239" s="95"/>
      <c r="AA2239" s="95"/>
      <c r="AB2239" s="95"/>
      <c r="AC2239" s="355"/>
      <c r="AD2239" s="355"/>
      <c r="AE2239" s="355"/>
      <c r="AF2239" s="94">
        <f t="shared" si="293"/>
        <v>43087</v>
      </c>
      <c r="AG2239" s="185">
        <f t="shared" si="296"/>
        <v>-0.9211682770471169</v>
      </c>
      <c r="AH2239" s="339" t="str">
        <f>VLOOKUP(B2239,'MF PF'!A:B,2)</f>
        <v>FdMgt1</v>
      </c>
      <c r="AI2239" s="358">
        <f t="shared" si="294"/>
        <v>0</v>
      </c>
      <c r="AJ2239" s="94">
        <f t="shared" si="295"/>
        <v>43100</v>
      </c>
    </row>
    <row r="2240" spans="1:36" ht="12.75" customHeight="1">
      <c r="A2240" s="8">
        <v>43087</v>
      </c>
      <c r="B2240" s="358" t="s">
        <v>175</v>
      </c>
      <c r="C2240" s="92" t="s">
        <v>327</v>
      </c>
      <c r="D2240" s="93"/>
      <c r="F2240" s="93"/>
      <c r="G2240" s="95">
        <v>122500.44</v>
      </c>
      <c r="H2240" s="93"/>
      <c r="I2240" s="93"/>
      <c r="K2240" s="93"/>
      <c r="L2240" s="93">
        <f t="shared" si="291"/>
        <v>122500.44</v>
      </c>
      <c r="M2240" s="95">
        <f t="shared" ca="1" si="292"/>
        <v>0</v>
      </c>
      <c r="N2240" s="95">
        <f>IF(P2240="Hedge Fund",IF(A2240=Summary!$AD$3,M2240-E2240,M2240),IF(A2240=Summary!$AD$3,L2240-D2240,L2240))</f>
        <v>122500.44</v>
      </c>
      <c r="O2240" s="95">
        <f t="shared" si="297"/>
        <v>122500.44</v>
      </c>
      <c r="P2240" s="107" t="s">
        <v>155</v>
      </c>
      <c r="Q2240" s="95">
        <v>0</v>
      </c>
      <c r="R2240" s="95">
        <v>0</v>
      </c>
      <c r="S2240" s="95"/>
      <c r="T2240" s="95"/>
      <c r="U2240" s="95"/>
      <c r="V2240" s="95"/>
      <c r="W2240" s="95"/>
      <c r="X2240" s="95"/>
      <c r="Y2240" s="95"/>
      <c r="Z2240" s="95"/>
      <c r="AA2240" s="95"/>
      <c r="AB2240" s="95"/>
      <c r="AC2240" s="355"/>
      <c r="AD2240" s="355"/>
      <c r="AE2240" s="355"/>
      <c r="AF2240" s="94">
        <f t="shared" si="293"/>
        <v>43087</v>
      </c>
      <c r="AG2240" s="185" t="e">
        <f t="shared" si="296"/>
        <v>#DIV/0!</v>
      </c>
      <c r="AH2240" s="339" t="str">
        <f>VLOOKUP(B2240,'MF PF'!A:B,2)</f>
        <v>FdMgt1</v>
      </c>
      <c r="AI2240" s="358">
        <f t="shared" si="294"/>
        <v>0</v>
      </c>
      <c r="AJ2240" s="94">
        <f t="shared" si="295"/>
        <v>43100</v>
      </c>
    </row>
    <row r="2241" spans="1:36" ht="12.75" customHeight="1">
      <c r="A2241" s="8">
        <v>43100</v>
      </c>
      <c r="B2241" s="358" t="s">
        <v>175</v>
      </c>
      <c r="C2241" s="358" t="s">
        <v>327</v>
      </c>
      <c r="D2241" s="93">
        <v>1808367.07</v>
      </c>
      <c r="F2241" s="93"/>
      <c r="G2241" s="95"/>
      <c r="H2241" s="93"/>
      <c r="I2241" s="93"/>
      <c r="K2241" s="93"/>
      <c r="L2241" s="93">
        <f t="shared" si="291"/>
        <v>0</v>
      </c>
      <c r="M2241" s="95" t="e">
        <f t="shared" ca="1" si="292"/>
        <v>#DIV/0!</v>
      </c>
      <c r="N2241" s="95">
        <f>IF(P2241="Hedge Fund",IF(A2241=Summary!$AD$3,M2241-E2241,M2241),IF(A2241=Summary!$AD$3,L2241-D2241,L2241))</f>
        <v>0</v>
      </c>
      <c r="O2241" s="95">
        <f t="shared" si="297"/>
        <v>0</v>
      </c>
      <c r="P2241" s="107" t="s">
        <v>155</v>
      </c>
      <c r="Q2241" s="95">
        <v>0</v>
      </c>
      <c r="R2241" s="95">
        <v>0</v>
      </c>
      <c r="S2241" s="95"/>
      <c r="T2241" s="95"/>
      <c r="U2241" s="95"/>
      <c r="V2241" s="95"/>
      <c r="W2241" s="95"/>
      <c r="X2241" s="95"/>
      <c r="Y2241" s="95"/>
      <c r="Z2241" s="95"/>
      <c r="AA2241" s="95"/>
      <c r="AB2241" s="95"/>
      <c r="AC2241" s="355"/>
      <c r="AD2241" s="355"/>
      <c r="AE2241" s="355"/>
      <c r="AF2241" s="94">
        <f t="shared" si="293"/>
        <v>43100</v>
      </c>
      <c r="AG2241" s="185" t="e">
        <f t="shared" si="296"/>
        <v>#DIV/0!</v>
      </c>
      <c r="AH2241" s="339" t="str">
        <f>VLOOKUP(B2241,'MF PF'!A:B,2)</f>
        <v>FdMgt1</v>
      </c>
      <c r="AI2241" s="358">
        <f t="shared" si="294"/>
        <v>0</v>
      </c>
      <c r="AJ2241" s="94">
        <f t="shared" si="295"/>
        <v>43100</v>
      </c>
    </row>
    <row r="2242" spans="1:36" ht="12.75" customHeight="1">
      <c r="A2242" s="94">
        <v>43131</v>
      </c>
      <c r="B2242" s="358" t="s">
        <v>175</v>
      </c>
      <c r="C2242" s="358" t="s">
        <v>327</v>
      </c>
      <c r="D2242" s="93">
        <v>1905142.7</v>
      </c>
      <c r="E2242" s="95"/>
      <c r="F2242" s="93"/>
      <c r="G2242" s="95"/>
      <c r="H2242" s="93"/>
      <c r="I2242" s="93"/>
      <c r="K2242" s="93"/>
      <c r="L2242" s="93">
        <f t="shared" si="291"/>
        <v>0</v>
      </c>
      <c r="M2242" s="95" t="e">
        <f t="shared" ca="1" si="292"/>
        <v>#DIV/0!</v>
      </c>
      <c r="N2242" s="95">
        <f>IF(P2242="Hedge Fund",IF(A2242=Summary!$AD$3,M2242-E2242,M2242),IF(A2242=Summary!$AD$3,L2242-D2242,L2242))</f>
        <v>0</v>
      </c>
      <c r="O2242" s="95">
        <f t="shared" si="297"/>
        <v>0</v>
      </c>
      <c r="P2242" s="107" t="s">
        <v>155</v>
      </c>
      <c r="Q2242" s="95"/>
      <c r="R2242" s="95">
        <v>0</v>
      </c>
      <c r="S2242" s="95"/>
      <c r="T2242" s="95"/>
      <c r="U2242" s="95"/>
      <c r="V2242" s="95"/>
      <c r="W2242" s="95"/>
      <c r="X2242" s="95"/>
      <c r="Y2242" s="95"/>
      <c r="Z2242" s="95"/>
      <c r="AA2242" s="95"/>
      <c r="AB2242" s="95"/>
      <c r="AC2242" s="355"/>
      <c r="AD2242" s="355"/>
      <c r="AE2242" s="355"/>
      <c r="AF2242" s="94">
        <f t="shared" si="293"/>
        <v>43131</v>
      </c>
      <c r="AG2242" s="185">
        <f t="shared" si="296"/>
        <v>5.3515479022740564E-2</v>
      </c>
      <c r="AH2242" s="339" t="str">
        <f>VLOOKUP(B2242,'MF PF'!A:B,2)</f>
        <v>FdMgt1</v>
      </c>
      <c r="AI2242" s="358">
        <f t="shared" si="294"/>
        <v>0</v>
      </c>
      <c r="AJ2242" s="94">
        <f t="shared" si="295"/>
        <v>43131</v>
      </c>
    </row>
    <row r="2243" spans="1:36" ht="12.75" customHeight="1">
      <c r="A2243" s="94">
        <v>43159</v>
      </c>
      <c r="B2243" s="358" t="s">
        <v>175</v>
      </c>
      <c r="C2243" s="358" t="s">
        <v>327</v>
      </c>
      <c r="D2243" s="93">
        <v>1891129.69</v>
      </c>
      <c r="E2243" s="95"/>
      <c r="F2243" s="93"/>
      <c r="G2243" s="95"/>
      <c r="H2243" s="93"/>
      <c r="I2243" s="93"/>
      <c r="K2243" s="93"/>
      <c r="L2243" s="93">
        <f t="shared" ref="L2243:L2306" si="298">G2243+H2243+I2243</f>
        <v>0</v>
      </c>
      <c r="M2243" s="95" t="e">
        <f t="shared" ref="M2243:M2306" ca="1" si="299">IF(A2243&gt;INDIRECT("A"&amp;ROW()-1),I2243/K2243,E2243)</f>
        <v>#DIV/0!</v>
      </c>
      <c r="N2243" s="95">
        <f>IF(P2243="Hedge Fund",IF(A2243=Summary!$AD$3,M2243-E2243,M2243),IF(A2243=Summary!$AD$3,L2243-D2243,L2243))</f>
        <v>0</v>
      </c>
      <c r="O2243" s="95">
        <f t="shared" si="297"/>
        <v>0</v>
      </c>
      <c r="P2243" s="107" t="s">
        <v>155</v>
      </c>
      <c r="Q2243" s="95"/>
      <c r="R2243" s="95">
        <v>0</v>
      </c>
      <c r="S2243" s="95"/>
      <c r="T2243" s="95"/>
      <c r="U2243" s="95"/>
      <c r="V2243" s="95"/>
      <c r="W2243" s="95"/>
      <c r="X2243" s="95"/>
      <c r="Y2243" s="95"/>
      <c r="Z2243" s="95"/>
      <c r="AA2243" s="95"/>
      <c r="AB2243" s="95"/>
      <c r="AC2243" s="355"/>
      <c r="AD2243" s="355"/>
      <c r="AE2243" s="355"/>
      <c r="AF2243" s="94">
        <f t="shared" ref="AF2243:AF2306" si="300">A2243</f>
        <v>43159</v>
      </c>
      <c r="AG2243" s="185">
        <f t="shared" si="296"/>
        <v>-7.3553597848602381E-3</v>
      </c>
      <c r="AH2243" s="339" t="str">
        <f>VLOOKUP(B2243,'MF PF'!A:B,2)</f>
        <v>FdMgt1</v>
      </c>
      <c r="AI2243" s="358">
        <f t="shared" ref="AI2243:AI2306" si="301">AF2243-A2243</f>
        <v>0</v>
      </c>
      <c r="AJ2243" s="94">
        <f t="shared" ref="AJ2243:AJ2306" si="302">EOMONTH(A2243,0)</f>
        <v>43159</v>
      </c>
    </row>
    <row r="2244" spans="1:36" ht="12.75" customHeight="1">
      <c r="A2244" s="8">
        <v>43190</v>
      </c>
      <c r="B2244" s="358" t="s">
        <v>175</v>
      </c>
      <c r="C2244" s="358" t="s">
        <v>327</v>
      </c>
      <c r="D2244" s="93">
        <v>1940012.02</v>
      </c>
      <c r="E2244" s="95"/>
      <c r="F2244" s="93"/>
      <c r="G2244" s="95"/>
      <c r="H2244" s="93"/>
      <c r="I2244" s="93"/>
      <c r="K2244" s="93"/>
      <c r="L2244" s="93">
        <f t="shared" si="298"/>
        <v>0</v>
      </c>
      <c r="M2244" s="95" t="e">
        <f t="shared" ca="1" si="299"/>
        <v>#DIV/0!</v>
      </c>
      <c r="N2244" s="95">
        <f>IF(P2244="Hedge Fund",IF(A2244=Summary!$AD$3,M2244-E2244,M2244),IF(A2244=Summary!$AD$3,L2244-D2244,L2244))</f>
        <v>0</v>
      </c>
      <c r="O2244" s="95">
        <f t="shared" si="297"/>
        <v>0</v>
      </c>
      <c r="P2244" s="107" t="s">
        <v>155</v>
      </c>
      <c r="Q2244" s="95">
        <v>0</v>
      </c>
      <c r="R2244" s="95">
        <v>0</v>
      </c>
      <c r="S2244" s="95"/>
      <c r="T2244" s="95"/>
      <c r="U2244" s="95"/>
      <c r="V2244" s="95"/>
      <c r="W2244" s="95"/>
      <c r="X2244" s="95"/>
      <c r="Y2244" s="95"/>
      <c r="Z2244" s="95"/>
      <c r="AA2244" s="95"/>
      <c r="AB2244" s="95"/>
      <c r="AC2244" s="355"/>
      <c r="AD2244" s="355"/>
      <c r="AE2244" s="355"/>
      <c r="AF2244" s="94">
        <f t="shared" si="300"/>
        <v>43190</v>
      </c>
      <c r="AG2244" s="185">
        <f t="shared" si="296"/>
        <v>2.584821668153281E-2</v>
      </c>
      <c r="AH2244" s="339" t="str">
        <f>VLOOKUP(B2244,'MF PF'!A:B,2)</f>
        <v>FdMgt1</v>
      </c>
      <c r="AI2244" s="358">
        <f t="shared" si="301"/>
        <v>0</v>
      </c>
      <c r="AJ2244" s="94">
        <f t="shared" si="302"/>
        <v>43190</v>
      </c>
    </row>
    <row r="2245" spans="1:36" ht="12.75" customHeight="1">
      <c r="A2245" s="94">
        <v>43220</v>
      </c>
      <c r="B2245" s="358" t="s">
        <v>175</v>
      </c>
      <c r="C2245" s="92" t="s">
        <v>327</v>
      </c>
      <c r="D2245" s="93">
        <v>1880164.78</v>
      </c>
      <c r="F2245" s="93"/>
      <c r="G2245" s="95"/>
      <c r="H2245" s="93"/>
      <c r="I2245" s="93"/>
      <c r="K2245" s="93"/>
      <c r="L2245" s="93">
        <f t="shared" si="298"/>
        <v>0</v>
      </c>
      <c r="M2245" s="95" t="e">
        <f t="shared" ca="1" si="299"/>
        <v>#DIV/0!</v>
      </c>
      <c r="N2245" s="95">
        <f>IF(P2245="Hedge Fund",IF(A2245=Summary!$AD$3,M2245-E2245,M2245),IF(A2245=Summary!$AD$3,L2245-D2245,L2245))</f>
        <v>0</v>
      </c>
      <c r="O2245" s="95">
        <f t="shared" si="297"/>
        <v>0</v>
      </c>
      <c r="P2245" s="107" t="s">
        <v>155</v>
      </c>
      <c r="Q2245" s="95"/>
      <c r="R2245" s="95">
        <v>0</v>
      </c>
      <c r="S2245" s="95"/>
      <c r="T2245" s="95"/>
      <c r="U2245" s="95"/>
      <c r="V2245" s="95"/>
      <c r="W2245" s="95"/>
      <c r="X2245" s="95"/>
      <c r="Y2245" s="95"/>
      <c r="Z2245" s="95"/>
      <c r="AA2245" s="95"/>
      <c r="AB2245" s="95"/>
      <c r="AC2245" s="355"/>
      <c r="AD2245" s="355"/>
      <c r="AE2245" s="355"/>
      <c r="AF2245" s="94">
        <f t="shared" si="300"/>
        <v>43220</v>
      </c>
      <c r="AG2245" s="185">
        <f t="shared" si="296"/>
        <v>-3.084890164752685E-2</v>
      </c>
      <c r="AH2245" s="339" t="str">
        <f>VLOOKUP(B2245,'MF PF'!A:B,2)</f>
        <v>FdMgt1</v>
      </c>
      <c r="AI2245" s="358">
        <f t="shared" si="301"/>
        <v>0</v>
      </c>
      <c r="AJ2245" s="94">
        <f t="shared" si="302"/>
        <v>43220</v>
      </c>
    </row>
    <row r="2246" spans="1:36" ht="12.75" customHeight="1">
      <c r="A2246" s="94">
        <v>43251</v>
      </c>
      <c r="B2246" s="358" t="s">
        <v>175</v>
      </c>
      <c r="C2246" s="92" t="s">
        <v>327</v>
      </c>
      <c r="D2246" s="93">
        <v>1901711.31</v>
      </c>
      <c r="F2246" s="93"/>
      <c r="G2246" s="95"/>
      <c r="H2246" s="93"/>
      <c r="I2246" s="93"/>
      <c r="K2246" s="93"/>
      <c r="L2246" s="93">
        <f t="shared" si="298"/>
        <v>0</v>
      </c>
      <c r="M2246" s="95" t="e">
        <f t="shared" ca="1" si="299"/>
        <v>#DIV/0!</v>
      </c>
      <c r="N2246" s="95">
        <f>IF(P2246="Hedge Fund",IF(A2246=Summary!$AD$3,M2246-E2246,M2246),IF(A2246=Summary!$AD$3,L2246-D2246,L2246))</f>
        <v>0</v>
      </c>
      <c r="O2246" s="9">
        <f t="shared" si="297"/>
        <v>0</v>
      </c>
      <c r="P2246" s="107" t="s">
        <v>155</v>
      </c>
      <c r="Q2246" s="95"/>
      <c r="R2246" s="95">
        <v>0</v>
      </c>
      <c r="S2246" s="95"/>
      <c r="T2246" s="95"/>
      <c r="U2246" s="95"/>
      <c r="V2246" s="95"/>
      <c r="W2246" s="95"/>
      <c r="X2246" s="95"/>
      <c r="Y2246" s="95"/>
      <c r="Z2246" s="95"/>
      <c r="AA2246" s="95"/>
      <c r="AB2246" s="95"/>
      <c r="AC2246" s="355"/>
      <c r="AD2246" s="355"/>
      <c r="AE2246" s="355"/>
      <c r="AF2246" s="94">
        <f t="shared" si="300"/>
        <v>43251</v>
      </c>
      <c r="AG2246" s="185">
        <f t="shared" ref="AG2246:AG2309" si="303">IF(C2246&lt;&gt;C2245,D2246/G2246-1,(D2246-G2246-I2246-H2246)/(D2245)-1)</f>
        <v>1.1459915763340822E-2</v>
      </c>
      <c r="AH2246" s="339" t="str">
        <f>VLOOKUP(B2246,'MF PF'!A:B,2)</f>
        <v>FdMgt1</v>
      </c>
      <c r="AI2246" s="358">
        <f t="shared" si="301"/>
        <v>0</v>
      </c>
      <c r="AJ2246" s="94">
        <f t="shared" si="302"/>
        <v>43251</v>
      </c>
    </row>
    <row r="2247" spans="1:36" ht="12.75" customHeight="1">
      <c r="A2247" s="94">
        <v>43281</v>
      </c>
      <c r="B2247" s="358" t="s">
        <v>175</v>
      </c>
      <c r="C2247" s="358" t="s">
        <v>327</v>
      </c>
      <c r="D2247" s="93">
        <v>1942202.33</v>
      </c>
      <c r="F2247" s="93"/>
      <c r="G2247" s="95"/>
      <c r="H2247" s="93"/>
      <c r="I2247" s="93"/>
      <c r="K2247" s="93"/>
      <c r="L2247" s="93">
        <f t="shared" si="298"/>
        <v>0</v>
      </c>
      <c r="M2247" s="95" t="e">
        <f t="shared" ca="1" si="299"/>
        <v>#DIV/0!</v>
      </c>
      <c r="N2247" s="95">
        <f>IF(P2247="Hedge Fund",IF(A2247=Summary!$AD$3,M2247-E2247,M2247),IF(A2247=Summary!$AD$3,L2247-D2247,L2247))</f>
        <v>0</v>
      </c>
      <c r="O2247" s="9">
        <f t="shared" si="297"/>
        <v>0</v>
      </c>
      <c r="P2247" s="107" t="s">
        <v>155</v>
      </c>
      <c r="Q2247" s="95">
        <v>0</v>
      </c>
      <c r="R2247" s="95">
        <v>0</v>
      </c>
      <c r="S2247" s="95"/>
      <c r="T2247" s="95"/>
      <c r="U2247" s="95"/>
      <c r="V2247" s="95"/>
      <c r="W2247" s="95"/>
      <c r="X2247" s="95"/>
      <c r="Y2247" s="95"/>
      <c r="Z2247" s="95"/>
      <c r="AA2247" s="95"/>
      <c r="AB2247" s="95"/>
      <c r="AC2247" s="355"/>
      <c r="AD2247" s="355"/>
      <c r="AE2247" s="355"/>
      <c r="AF2247" s="94">
        <f t="shared" si="300"/>
        <v>43281</v>
      </c>
      <c r="AG2247" s="185">
        <f t="shared" si="303"/>
        <v>2.1291885780497344E-2</v>
      </c>
      <c r="AH2247" s="339" t="str">
        <f>VLOOKUP(B2247,'MF PF'!A:B,2)</f>
        <v>FdMgt1</v>
      </c>
      <c r="AI2247" s="358">
        <f t="shared" si="301"/>
        <v>0</v>
      </c>
      <c r="AJ2247" s="94">
        <f t="shared" si="302"/>
        <v>43281</v>
      </c>
    </row>
    <row r="2248" spans="1:36" ht="12.75" customHeight="1">
      <c r="A2248" s="94">
        <v>43312</v>
      </c>
      <c r="B2248" s="358" t="s">
        <v>175</v>
      </c>
      <c r="C2248" s="358" t="s">
        <v>327</v>
      </c>
      <c r="D2248" s="93">
        <v>1873765.44</v>
      </c>
      <c r="E2248" s="95"/>
      <c r="F2248" s="93"/>
      <c r="G2248" s="95"/>
      <c r="H2248" s="93"/>
      <c r="I2248" s="93"/>
      <c r="K2248" s="93"/>
      <c r="L2248" s="93">
        <f t="shared" si="298"/>
        <v>0</v>
      </c>
      <c r="M2248" s="95" t="e">
        <f t="shared" ca="1" si="299"/>
        <v>#DIV/0!</v>
      </c>
      <c r="N2248" s="95">
        <f>IF(P2248="Hedge Fund",IF(A2248=Summary!$AD$3,M2248-E2248,M2248),IF(A2248=Summary!$AD$3,L2248-D2248,L2248))</f>
        <v>0</v>
      </c>
      <c r="O2248" s="9">
        <f t="shared" si="297"/>
        <v>0</v>
      </c>
      <c r="P2248" s="107" t="s">
        <v>155</v>
      </c>
      <c r="Q2248" s="95">
        <v>0</v>
      </c>
      <c r="R2248" s="95">
        <v>0</v>
      </c>
      <c r="S2248" s="95"/>
      <c r="T2248" s="95"/>
      <c r="U2248" s="95"/>
      <c r="V2248" s="95"/>
      <c r="W2248" s="95"/>
      <c r="X2248" s="95"/>
      <c r="Y2248" s="95"/>
      <c r="Z2248" s="95"/>
      <c r="AA2248" s="95"/>
      <c r="AB2248" s="95"/>
      <c r="AC2248" s="355"/>
      <c r="AD2248" s="355"/>
      <c r="AE2248" s="355"/>
      <c r="AF2248" s="94">
        <f t="shared" si="300"/>
        <v>43312</v>
      </c>
      <c r="AG2248" s="185">
        <f t="shared" si="303"/>
        <v>-3.5236745905870781E-2</v>
      </c>
      <c r="AH2248" s="339" t="str">
        <f>VLOOKUP(B2248,'MF PF'!A:B,2)</f>
        <v>FdMgt1</v>
      </c>
      <c r="AI2248" s="358">
        <f t="shared" si="301"/>
        <v>0</v>
      </c>
      <c r="AJ2248" s="94">
        <f t="shared" si="302"/>
        <v>43312</v>
      </c>
    </row>
    <row r="2249" spans="1:36" ht="12.75" customHeight="1">
      <c r="A2249" s="94">
        <v>43343</v>
      </c>
      <c r="B2249" s="358" t="s">
        <v>175</v>
      </c>
      <c r="C2249" s="358" t="s">
        <v>327</v>
      </c>
      <c r="D2249" s="93">
        <v>1852716.33</v>
      </c>
      <c r="E2249" s="95"/>
      <c r="F2249" s="93"/>
      <c r="G2249" s="95"/>
      <c r="H2249" s="93"/>
      <c r="I2249" s="93"/>
      <c r="K2249" s="93"/>
      <c r="L2249" s="93">
        <f t="shared" si="298"/>
        <v>0</v>
      </c>
      <c r="M2249" s="95" t="e">
        <f t="shared" ca="1" si="299"/>
        <v>#DIV/0!</v>
      </c>
      <c r="N2249" s="95">
        <f>IF(P2249="Hedge Fund",IF(A2249=Summary!$AD$3,M2249-E2249,M2249),IF(A2249=Summary!$AD$3,L2249-D2249,L2249))</f>
        <v>0</v>
      </c>
      <c r="O2249" s="9">
        <f t="shared" si="297"/>
        <v>0</v>
      </c>
      <c r="P2249" s="107" t="s">
        <v>155</v>
      </c>
      <c r="Q2249" s="95">
        <v>0</v>
      </c>
      <c r="R2249" s="95">
        <v>0</v>
      </c>
      <c r="S2249" s="95"/>
      <c r="T2249" s="95"/>
      <c r="U2249" s="95"/>
      <c r="V2249" s="95"/>
      <c r="W2249" s="95"/>
      <c r="X2249" s="95"/>
      <c r="Y2249" s="95"/>
      <c r="Z2249" s="95"/>
      <c r="AA2249" s="95"/>
      <c r="AB2249" s="95"/>
      <c r="AC2249" s="355"/>
      <c r="AD2249" s="355"/>
      <c r="AE2249" s="355"/>
      <c r="AF2249" s="94">
        <f t="shared" si="300"/>
        <v>43343</v>
      </c>
      <c r="AG2249" s="185">
        <f t="shared" si="303"/>
        <v>-1.1233588554178886E-2</v>
      </c>
      <c r="AH2249" s="339" t="str">
        <f>VLOOKUP(B2249,'MF PF'!A:B,2)</f>
        <v>FdMgt1</v>
      </c>
      <c r="AI2249" s="358">
        <f t="shared" si="301"/>
        <v>0</v>
      </c>
      <c r="AJ2249" s="94">
        <f t="shared" si="302"/>
        <v>43343</v>
      </c>
    </row>
    <row r="2250" spans="1:36" ht="12.75" customHeight="1">
      <c r="A2250" s="94">
        <v>43373</v>
      </c>
      <c r="B2250" s="358" t="s">
        <v>175</v>
      </c>
      <c r="C2250" s="358" t="s">
        <v>327</v>
      </c>
      <c r="D2250" s="93">
        <v>1832303.42</v>
      </c>
      <c r="E2250" s="95"/>
      <c r="F2250" s="93"/>
      <c r="G2250" s="95"/>
      <c r="H2250" s="93"/>
      <c r="I2250" s="93"/>
      <c r="K2250" s="93"/>
      <c r="L2250" s="93">
        <f t="shared" si="298"/>
        <v>0</v>
      </c>
      <c r="M2250" s="95" t="e">
        <f t="shared" ca="1" si="299"/>
        <v>#DIV/0!</v>
      </c>
      <c r="N2250" s="95">
        <f>IF(P2250="Hedge Fund",IF(A2250=Summary!$AD$3,M2250-E2250,M2250),IF(A2250=Summary!$AD$3,L2250-D2250,L2250))</f>
        <v>0</v>
      </c>
      <c r="O2250" s="9">
        <f t="shared" si="297"/>
        <v>0</v>
      </c>
      <c r="P2250" s="89" t="s">
        <v>155</v>
      </c>
      <c r="Q2250" s="95">
        <v>0</v>
      </c>
      <c r="R2250" s="95">
        <v>0</v>
      </c>
      <c r="S2250" s="95"/>
      <c r="T2250" s="95"/>
      <c r="U2250" s="95"/>
      <c r="V2250" s="95"/>
      <c r="W2250" s="95"/>
      <c r="X2250" s="95"/>
      <c r="Y2250" s="95"/>
      <c r="Z2250" s="95"/>
      <c r="AA2250" s="95"/>
      <c r="AB2250" s="95"/>
      <c r="AC2250" s="355"/>
      <c r="AD2250" s="355"/>
      <c r="AE2250" s="355"/>
      <c r="AF2250" s="94">
        <f t="shared" si="300"/>
        <v>43373</v>
      </c>
      <c r="AG2250" s="185">
        <f t="shared" si="303"/>
        <v>-1.1017828077329095E-2</v>
      </c>
      <c r="AH2250" s="339" t="str">
        <f>VLOOKUP(B2250,'MF PF'!A:B,2)</f>
        <v>FdMgt1</v>
      </c>
      <c r="AI2250" s="358">
        <f t="shared" si="301"/>
        <v>0</v>
      </c>
      <c r="AJ2250" s="94">
        <f t="shared" si="302"/>
        <v>43373</v>
      </c>
    </row>
    <row r="2251" spans="1:36" ht="12.75" customHeight="1">
      <c r="A2251" s="94">
        <v>43404</v>
      </c>
      <c r="B2251" s="358" t="s">
        <v>175</v>
      </c>
      <c r="C2251" s="358" t="s">
        <v>327</v>
      </c>
      <c r="D2251" s="93">
        <v>1758103.59</v>
      </c>
      <c r="E2251" s="95"/>
      <c r="F2251" s="93">
        <v>1.5</v>
      </c>
      <c r="G2251" s="93"/>
      <c r="H2251" s="93">
        <v>0</v>
      </c>
      <c r="I2251" s="93">
        <v>0</v>
      </c>
      <c r="J2251" s="93">
        <v>0</v>
      </c>
      <c r="K2251" s="93"/>
      <c r="L2251" s="93">
        <f t="shared" si="298"/>
        <v>0</v>
      </c>
      <c r="M2251" s="95" t="e">
        <f t="shared" ca="1" si="299"/>
        <v>#DIV/0!</v>
      </c>
      <c r="N2251" s="95">
        <f>IF(P2251="Hedge Fund",IF(A2251=Summary!$AD$3,M2251-E2251,M2251),IF(A2251=Summary!$AD$3,L2251-D2251,L2251))</f>
        <v>0</v>
      </c>
      <c r="O2251" s="9">
        <f t="shared" si="297"/>
        <v>0</v>
      </c>
      <c r="P2251" s="95" t="s">
        <v>155</v>
      </c>
      <c r="Q2251" s="95">
        <v>0</v>
      </c>
      <c r="R2251" s="95">
        <v>0</v>
      </c>
      <c r="S2251" s="95"/>
      <c r="T2251" s="95"/>
      <c r="U2251" s="95"/>
      <c r="V2251" s="95"/>
      <c r="W2251" s="95"/>
      <c r="X2251" s="95"/>
      <c r="Y2251" s="95"/>
      <c r="Z2251" s="95"/>
      <c r="AA2251" s="95"/>
      <c r="AB2251" s="95"/>
      <c r="AC2251" s="355"/>
      <c r="AD2251" s="355"/>
      <c r="AE2251" s="355"/>
      <c r="AF2251" s="94">
        <f t="shared" si="300"/>
        <v>43404</v>
      </c>
      <c r="AG2251" s="185">
        <f t="shared" si="303"/>
        <v>-4.0495383673954999E-2</v>
      </c>
      <c r="AH2251" s="339" t="str">
        <f>VLOOKUP(B2251,'MF PF'!A:B,2)</f>
        <v>FdMgt1</v>
      </c>
      <c r="AI2251" s="358">
        <f t="shared" si="301"/>
        <v>0</v>
      </c>
      <c r="AJ2251" s="94">
        <f t="shared" si="302"/>
        <v>43404</v>
      </c>
    </row>
    <row r="2252" spans="1:36" ht="12.75" customHeight="1">
      <c r="A2252" s="94">
        <v>43434</v>
      </c>
      <c r="B2252" s="358" t="s">
        <v>175</v>
      </c>
      <c r="C2252" s="358" t="s">
        <v>327</v>
      </c>
      <c r="D2252" s="93">
        <v>1753662.37</v>
      </c>
      <c r="E2252" s="95"/>
      <c r="F2252" s="93">
        <v>1.5</v>
      </c>
      <c r="G2252" s="93"/>
      <c r="H2252" s="93">
        <v>0</v>
      </c>
      <c r="I2252" s="93">
        <v>0</v>
      </c>
      <c r="K2252" s="93">
        <v>0</v>
      </c>
      <c r="L2252" s="93">
        <f t="shared" si="298"/>
        <v>0</v>
      </c>
      <c r="M2252" s="95" t="e">
        <f t="shared" ca="1" si="299"/>
        <v>#DIV/0!</v>
      </c>
      <c r="N2252" s="95">
        <f>IF(P2252="Hedge Fund",IF(A2252=Summary!$AD$3,M2252-E2252,M2252),IF(A2252=Summary!$AD$3,L2252-D2252,L2252))</f>
        <v>0</v>
      </c>
      <c r="O2252" s="95">
        <f t="shared" si="297"/>
        <v>0</v>
      </c>
      <c r="P2252" s="95" t="s">
        <v>155</v>
      </c>
      <c r="Q2252" s="95">
        <v>0</v>
      </c>
      <c r="R2252" s="95">
        <v>0</v>
      </c>
      <c r="S2252" s="95"/>
      <c r="T2252" s="95"/>
      <c r="U2252" s="95"/>
      <c r="V2252" s="95"/>
      <c r="W2252" s="95"/>
      <c r="X2252" s="95"/>
      <c r="Y2252" s="95"/>
      <c r="Z2252" s="95"/>
      <c r="AA2252" s="95"/>
      <c r="AB2252" s="95"/>
      <c r="AC2252" s="355"/>
      <c r="AD2252" s="355"/>
      <c r="AE2252" s="355"/>
      <c r="AF2252" s="94">
        <f t="shared" si="300"/>
        <v>43434</v>
      </c>
      <c r="AG2252" s="185">
        <f t="shared" si="303"/>
        <v>-2.5261423873208511E-3</v>
      </c>
      <c r="AH2252" s="339" t="str">
        <f>VLOOKUP(B2252,'MF PF'!A:B,2)</f>
        <v>FdMgt1</v>
      </c>
      <c r="AI2252" s="358">
        <f t="shared" si="301"/>
        <v>0</v>
      </c>
      <c r="AJ2252" s="94">
        <f t="shared" si="302"/>
        <v>43434</v>
      </c>
    </row>
    <row r="2253" spans="1:36" ht="12.75" customHeight="1">
      <c r="A2253" s="94">
        <v>43465</v>
      </c>
      <c r="B2253" s="358" t="s">
        <v>175</v>
      </c>
      <c r="C2253" s="358" t="s">
        <v>327</v>
      </c>
      <c r="D2253" s="93">
        <v>1847614.58</v>
      </c>
      <c r="E2253" s="95"/>
      <c r="F2253" s="93">
        <v>1.5</v>
      </c>
      <c r="G2253" s="93"/>
      <c r="H2253" s="93">
        <v>0</v>
      </c>
      <c r="I2253" s="93">
        <v>0</v>
      </c>
      <c r="K2253" s="93">
        <v>0</v>
      </c>
      <c r="L2253" s="93">
        <f t="shared" si="298"/>
        <v>0</v>
      </c>
      <c r="M2253" s="95" t="e">
        <f t="shared" ca="1" si="299"/>
        <v>#DIV/0!</v>
      </c>
      <c r="N2253" s="95">
        <f>IF(P2253="Hedge Fund",IF(A2253=Summary!$AD$3,M2253-E2253,M2253),IF(A2253=Summary!$AD$3,L2253-D2253,L2253))</f>
        <v>0</v>
      </c>
      <c r="O2253" s="9">
        <f t="shared" si="297"/>
        <v>0</v>
      </c>
      <c r="P2253" s="95" t="s">
        <v>155</v>
      </c>
      <c r="Q2253" s="95">
        <v>0</v>
      </c>
      <c r="R2253" s="95">
        <v>0</v>
      </c>
      <c r="S2253" s="95"/>
      <c r="T2253" s="95"/>
      <c r="U2253" s="95"/>
      <c r="V2253" s="95"/>
      <c r="W2253" s="95"/>
      <c r="X2253" s="95"/>
      <c r="Y2253" s="95"/>
      <c r="Z2253" s="95"/>
      <c r="AA2253" s="95"/>
      <c r="AB2253" s="95"/>
      <c r="AC2253" s="355"/>
      <c r="AD2253" s="355"/>
      <c r="AE2253" s="355"/>
      <c r="AF2253" s="94">
        <f t="shared" si="300"/>
        <v>43465</v>
      </c>
      <c r="AG2253" s="185">
        <f t="shared" si="303"/>
        <v>5.3574856601387832E-2</v>
      </c>
      <c r="AH2253" s="339" t="str">
        <f>VLOOKUP(B2253,'MF PF'!A:B,2)</f>
        <v>FdMgt1</v>
      </c>
      <c r="AI2253" s="358">
        <f t="shared" si="301"/>
        <v>0</v>
      </c>
      <c r="AJ2253" s="94">
        <f t="shared" si="302"/>
        <v>43465</v>
      </c>
    </row>
    <row r="2254" spans="1:36" ht="12.75" customHeight="1">
      <c r="A2254" s="94">
        <v>43496</v>
      </c>
      <c r="B2254" s="358" t="s">
        <v>175</v>
      </c>
      <c r="C2254" s="358" t="s">
        <v>327</v>
      </c>
      <c r="D2254" s="93">
        <v>1839531.81</v>
      </c>
      <c r="E2254" s="95"/>
      <c r="F2254" s="93">
        <v>1.5</v>
      </c>
      <c r="G2254" s="93"/>
      <c r="H2254" s="93">
        <v>0</v>
      </c>
      <c r="I2254" s="93">
        <v>0</v>
      </c>
      <c r="K2254" s="93">
        <v>0</v>
      </c>
      <c r="L2254" s="93">
        <f t="shared" si="298"/>
        <v>0</v>
      </c>
      <c r="M2254" s="95" t="e">
        <f t="shared" ca="1" si="299"/>
        <v>#DIV/0!</v>
      </c>
      <c r="N2254" s="95">
        <f>IF(P2254="Hedge Fund",IF(A2254=Summary!$AD$3,M2254-E2254,M2254),IF(A2254=Summary!$AD$3,L2254-D2254,L2254))</f>
        <v>-1839531.81</v>
      </c>
      <c r="O2254" s="9">
        <f t="shared" si="297"/>
        <v>-1839531.81</v>
      </c>
      <c r="P2254" s="95" t="s">
        <v>155</v>
      </c>
      <c r="Q2254" s="95">
        <v>1.6382834504349159E-3</v>
      </c>
      <c r="R2254" s="95">
        <v>0</v>
      </c>
      <c r="S2254" s="95"/>
      <c r="T2254" s="95"/>
      <c r="U2254" s="95"/>
      <c r="V2254" s="95"/>
      <c r="W2254" s="95"/>
      <c r="X2254" s="95"/>
      <c r="Y2254" s="95"/>
      <c r="Z2254" s="95"/>
      <c r="AA2254" s="95"/>
      <c r="AB2254" s="95"/>
      <c r="AC2254" s="355"/>
      <c r="AD2254" s="355"/>
      <c r="AE2254" s="355"/>
      <c r="AF2254" s="94">
        <f t="shared" si="300"/>
        <v>43496</v>
      </c>
      <c r="AG2254" s="185">
        <f t="shared" si="303"/>
        <v>-4.374705681311486E-3</v>
      </c>
      <c r="AH2254" s="339" t="str">
        <f>VLOOKUP(B2254,'MF PF'!A:B,2)</f>
        <v>FdMgt1</v>
      </c>
      <c r="AI2254" s="358">
        <f t="shared" si="301"/>
        <v>0</v>
      </c>
      <c r="AJ2254" s="94">
        <f t="shared" si="302"/>
        <v>43496</v>
      </c>
    </row>
    <row r="2255" spans="1:36" ht="12.75" customHeight="1">
      <c r="A2255" s="94">
        <v>42881</v>
      </c>
      <c r="B2255" s="358" t="s">
        <v>175</v>
      </c>
      <c r="C2255" s="358" t="s">
        <v>328</v>
      </c>
      <c r="D2255" s="93"/>
      <c r="E2255" s="95"/>
      <c r="F2255" s="93"/>
      <c r="G2255" s="95">
        <v>202900</v>
      </c>
      <c r="H2255" s="93"/>
      <c r="I2255" s="93"/>
      <c r="K2255" s="93"/>
      <c r="L2255" s="93">
        <f t="shared" si="298"/>
        <v>202900</v>
      </c>
      <c r="M2255" s="95">
        <f t="shared" ca="1" si="299"/>
        <v>0</v>
      </c>
      <c r="N2255" s="95">
        <f>IF(P2255="Hedge Fund",IF(A2255=Summary!$AD$3,M2255-E2255,M2255),IF(A2255=Summary!$AD$3,L2255-D2255,L2255))</f>
        <v>202900</v>
      </c>
      <c r="O2255" s="9">
        <f t="shared" si="297"/>
        <v>202900</v>
      </c>
      <c r="P2255" s="107" t="s">
        <v>155</v>
      </c>
      <c r="Q2255" s="95">
        <v>0</v>
      </c>
      <c r="R2255" s="95">
        <v>0</v>
      </c>
      <c r="S2255" s="95"/>
      <c r="T2255" s="95"/>
      <c r="U2255" s="95"/>
      <c r="V2255" s="95"/>
      <c r="W2255" s="95"/>
      <c r="X2255" s="95"/>
      <c r="Y2255" s="95"/>
      <c r="Z2255" s="95"/>
      <c r="AA2255" s="95"/>
      <c r="AB2255" s="95"/>
      <c r="AC2255" s="355"/>
      <c r="AD2255" s="355"/>
      <c r="AE2255" s="355"/>
      <c r="AF2255" s="94">
        <f t="shared" si="300"/>
        <v>42881</v>
      </c>
      <c r="AG2255" s="185">
        <f t="shared" si="303"/>
        <v>-1</v>
      </c>
      <c r="AH2255" s="339" t="str">
        <f>VLOOKUP(B2255,'MF PF'!A:B,2)</f>
        <v>FdMgt1</v>
      </c>
      <c r="AI2255" s="358">
        <f t="shared" si="301"/>
        <v>0</v>
      </c>
      <c r="AJ2255" s="94">
        <f t="shared" si="302"/>
        <v>42886</v>
      </c>
    </row>
    <row r="2256" spans="1:36" ht="12.75" customHeight="1">
      <c r="A2256" s="94">
        <v>42881</v>
      </c>
      <c r="B2256" s="358" t="s">
        <v>175</v>
      </c>
      <c r="C2256" s="358" t="s">
        <v>328</v>
      </c>
      <c r="D2256" s="93"/>
      <c r="E2256" s="95"/>
      <c r="F2256" s="93"/>
      <c r="G2256" s="95">
        <f>797100+38651.51855624</f>
        <v>835751.51855624001</v>
      </c>
      <c r="H2256" s="93"/>
      <c r="I2256" s="93"/>
      <c r="K2256" s="93"/>
      <c r="L2256" s="93">
        <f t="shared" si="298"/>
        <v>835751.51855624001</v>
      </c>
      <c r="M2256" s="95">
        <f t="shared" ca="1" si="299"/>
        <v>0</v>
      </c>
      <c r="N2256" s="95">
        <f>IF(P2256="Hedge Fund",IF(A2256=Summary!$AD$3,M2256-E2256,M2256),IF(A2256=Summary!$AD$3,L2256-D2256,L2256))</f>
        <v>835751.51855624001</v>
      </c>
      <c r="O2256" s="9">
        <f t="shared" si="297"/>
        <v>835751.51855624001</v>
      </c>
      <c r="P2256" s="107" t="s">
        <v>155</v>
      </c>
      <c r="Q2256" s="95">
        <v>0</v>
      </c>
      <c r="R2256" s="95">
        <v>0</v>
      </c>
      <c r="S2256" s="95"/>
      <c r="T2256" s="95"/>
      <c r="U2256" s="95"/>
      <c r="V2256" s="95"/>
      <c r="W2256" s="95"/>
      <c r="X2256" s="95"/>
      <c r="Y2256" s="95"/>
      <c r="Z2256" s="95"/>
      <c r="AA2256" s="95"/>
      <c r="AB2256" s="95"/>
      <c r="AC2256" s="355"/>
      <c r="AD2256" s="355"/>
      <c r="AE2256" s="355"/>
      <c r="AF2256" s="94">
        <f t="shared" si="300"/>
        <v>42881</v>
      </c>
      <c r="AG2256" s="185" t="e">
        <f t="shared" si="303"/>
        <v>#DIV/0!</v>
      </c>
      <c r="AH2256" s="339" t="str">
        <f>VLOOKUP(B2256,'MF PF'!A:B,2)</f>
        <v>FdMgt1</v>
      </c>
      <c r="AI2256" s="358">
        <f t="shared" si="301"/>
        <v>0</v>
      </c>
      <c r="AJ2256" s="94">
        <f t="shared" si="302"/>
        <v>42886</v>
      </c>
    </row>
    <row r="2257" spans="1:36" ht="12.75" customHeight="1">
      <c r="A2257" s="94">
        <v>42886</v>
      </c>
      <c r="B2257" s="358" t="s">
        <v>175</v>
      </c>
      <c r="C2257" s="358" t="s">
        <v>328</v>
      </c>
      <c r="D2257" s="93">
        <v>1028719.48</v>
      </c>
      <c r="E2257" s="95"/>
      <c r="F2257" s="93"/>
      <c r="G2257" s="95"/>
      <c r="H2257" s="93"/>
      <c r="I2257" s="93"/>
      <c r="K2257" s="93"/>
      <c r="L2257" s="93">
        <f t="shared" si="298"/>
        <v>0</v>
      </c>
      <c r="M2257" s="95" t="e">
        <f t="shared" ca="1" si="299"/>
        <v>#DIV/0!</v>
      </c>
      <c r="N2257" s="95">
        <f>IF(P2257="Hedge Fund",IF(A2257=Summary!$AD$3,M2257-E2257,M2257),IF(A2257=Summary!$AD$3,L2257-D2257,L2257))</f>
        <v>0</v>
      </c>
      <c r="O2257" s="9">
        <f t="shared" si="297"/>
        <v>0</v>
      </c>
      <c r="P2257" s="107" t="s">
        <v>155</v>
      </c>
      <c r="Q2257" s="95">
        <v>0</v>
      </c>
      <c r="R2257" s="95">
        <v>0</v>
      </c>
      <c r="S2257" s="95"/>
      <c r="T2257" s="95"/>
      <c r="U2257" s="95"/>
      <c r="V2257" s="95"/>
      <c r="W2257" s="95"/>
      <c r="X2257" s="95"/>
      <c r="Y2257" s="95"/>
      <c r="Z2257" s="95"/>
      <c r="AA2257" s="95"/>
      <c r="AB2257" s="95"/>
      <c r="AC2257" s="355"/>
      <c r="AD2257" s="355"/>
      <c r="AE2257" s="355"/>
      <c r="AF2257" s="94">
        <f t="shared" si="300"/>
        <v>42886</v>
      </c>
      <c r="AG2257" s="185" t="e">
        <f t="shared" si="303"/>
        <v>#DIV/0!</v>
      </c>
      <c r="AH2257" s="339" t="str">
        <f>VLOOKUP(B2257,'MF PF'!A:B,2)</f>
        <v>FdMgt1</v>
      </c>
      <c r="AI2257" s="358">
        <f t="shared" si="301"/>
        <v>0</v>
      </c>
      <c r="AJ2257" s="94">
        <f t="shared" si="302"/>
        <v>42886</v>
      </c>
    </row>
    <row r="2258" spans="1:36" ht="12.75" customHeight="1">
      <c r="A2258" s="94">
        <v>42916</v>
      </c>
      <c r="B2258" s="358" t="s">
        <v>175</v>
      </c>
      <c r="C2258" s="358" t="s">
        <v>328</v>
      </c>
      <c r="D2258" s="93">
        <v>1027135.15</v>
      </c>
      <c r="E2258" s="95"/>
      <c r="F2258" s="93"/>
      <c r="G2258" s="95"/>
      <c r="H2258" s="93"/>
      <c r="I2258" s="93"/>
      <c r="K2258" s="93"/>
      <c r="L2258" s="93">
        <f t="shared" si="298"/>
        <v>0</v>
      </c>
      <c r="M2258" s="95" t="e">
        <f t="shared" ca="1" si="299"/>
        <v>#DIV/0!</v>
      </c>
      <c r="N2258" s="95">
        <f>IF(P2258="Hedge Fund",IF(A2258=Summary!$AD$3,M2258-E2258,M2258),IF(A2258=Summary!$AD$3,L2258-D2258,L2258))</f>
        <v>0</v>
      </c>
      <c r="O2258" s="9">
        <f t="shared" si="297"/>
        <v>0</v>
      </c>
      <c r="P2258" s="107" t="s">
        <v>155</v>
      </c>
      <c r="Q2258" s="95">
        <v>9.366600000000001E-3</v>
      </c>
      <c r="R2258" s="95">
        <v>4.7885499999999999E-3</v>
      </c>
      <c r="S2258" s="95"/>
      <c r="T2258" s="95"/>
      <c r="U2258" s="95"/>
      <c r="V2258" s="95"/>
      <c r="W2258" s="95"/>
      <c r="X2258" s="95"/>
      <c r="Y2258" s="95"/>
      <c r="Z2258" s="95"/>
      <c r="AA2258" s="95"/>
      <c r="AB2258" s="95"/>
      <c r="AC2258" s="355"/>
      <c r="AD2258" s="355"/>
      <c r="AE2258" s="355"/>
      <c r="AF2258" s="94">
        <f t="shared" si="300"/>
        <v>42916</v>
      </c>
      <c r="AG2258" s="185">
        <f t="shared" si="303"/>
        <v>-1.5400991531724362E-3</v>
      </c>
      <c r="AH2258" s="339" t="str">
        <f>VLOOKUP(B2258,'MF PF'!A:B,2)</f>
        <v>FdMgt1</v>
      </c>
      <c r="AI2258" s="358">
        <f t="shared" si="301"/>
        <v>0</v>
      </c>
      <c r="AJ2258" s="94">
        <f t="shared" si="302"/>
        <v>42916</v>
      </c>
    </row>
    <row r="2259" spans="1:36" ht="12.75" customHeight="1">
      <c r="A2259" s="94">
        <v>42947</v>
      </c>
      <c r="B2259" s="358" t="s">
        <v>175</v>
      </c>
      <c r="C2259" s="358" t="s">
        <v>328</v>
      </c>
      <c r="D2259" s="93">
        <v>923663.5</v>
      </c>
      <c r="E2259" s="95"/>
      <c r="F2259" s="93"/>
      <c r="G2259" s="95"/>
      <c r="H2259" s="93"/>
      <c r="I2259" s="93"/>
      <c r="K2259" s="93"/>
      <c r="L2259" s="93">
        <f t="shared" si="298"/>
        <v>0</v>
      </c>
      <c r="M2259" s="95" t="e">
        <f t="shared" ca="1" si="299"/>
        <v>#DIV/0!</v>
      </c>
      <c r="N2259" s="95">
        <f>IF(P2259="Hedge Fund",IF(A2259=Summary!$AD$3,M2259-E2259,M2259),IF(A2259=Summary!$AD$3,L2259-D2259,L2259))</f>
        <v>0</v>
      </c>
      <c r="O2259" s="9">
        <f t="shared" si="297"/>
        <v>0</v>
      </c>
      <c r="P2259" s="107" t="s">
        <v>155</v>
      </c>
      <c r="Q2259" s="95"/>
      <c r="R2259" s="95"/>
      <c r="S2259" s="95"/>
      <c r="T2259" s="95"/>
      <c r="U2259" s="95"/>
      <c r="V2259" s="95"/>
      <c r="W2259" s="95"/>
      <c r="X2259" s="95"/>
      <c r="Y2259" s="95"/>
      <c r="Z2259" s="95"/>
      <c r="AA2259" s="95"/>
      <c r="AB2259" s="95"/>
      <c r="AC2259" s="355"/>
      <c r="AD2259" s="355"/>
      <c r="AE2259" s="355"/>
      <c r="AF2259" s="94">
        <f t="shared" si="300"/>
        <v>42947</v>
      </c>
      <c r="AG2259" s="185">
        <f t="shared" si="303"/>
        <v>-0.10073810637285663</v>
      </c>
      <c r="AH2259" s="339" t="str">
        <f>VLOOKUP(B2259,'MF PF'!A:B,2)</f>
        <v>FdMgt1</v>
      </c>
      <c r="AI2259" s="358">
        <f t="shared" si="301"/>
        <v>0</v>
      </c>
      <c r="AJ2259" s="94">
        <f t="shared" si="302"/>
        <v>42947</v>
      </c>
    </row>
    <row r="2260" spans="1:36" ht="12.75" customHeight="1">
      <c r="A2260" s="94">
        <v>42958</v>
      </c>
      <c r="B2260" s="358" t="s">
        <v>175</v>
      </c>
      <c r="C2260" s="358" t="s">
        <v>328</v>
      </c>
      <c r="D2260" s="93"/>
      <c r="E2260" s="95"/>
      <c r="F2260" s="93"/>
      <c r="G2260" s="358"/>
      <c r="H2260" s="93"/>
      <c r="I2260" s="95">
        <v>-94675</v>
      </c>
      <c r="K2260" s="93"/>
      <c r="L2260" s="93">
        <f t="shared" si="298"/>
        <v>-94675</v>
      </c>
      <c r="M2260" s="95" t="e">
        <f t="shared" ca="1" si="299"/>
        <v>#DIV/0!</v>
      </c>
      <c r="N2260" s="95">
        <f>IF(P2260="Hedge Fund",IF(A2260=Summary!$AD$3,M2260-E2260,M2260),IF(A2260=Summary!$AD$3,L2260-D2260,L2260))</f>
        <v>-94675</v>
      </c>
      <c r="O2260" s="9">
        <f t="shared" si="297"/>
        <v>-94675</v>
      </c>
      <c r="P2260" s="89" t="s">
        <v>155</v>
      </c>
      <c r="Q2260" s="95">
        <v>0</v>
      </c>
      <c r="R2260" s="95">
        <v>0</v>
      </c>
      <c r="S2260" s="95"/>
      <c r="T2260" s="95"/>
      <c r="U2260" s="95"/>
      <c r="V2260" s="95"/>
      <c r="W2260" s="95"/>
      <c r="X2260" s="95"/>
      <c r="Y2260" s="95"/>
      <c r="Z2260" s="95"/>
      <c r="AA2260" s="95"/>
      <c r="AB2260" s="95"/>
      <c r="AC2260" s="355"/>
      <c r="AD2260" s="355"/>
      <c r="AE2260" s="355"/>
      <c r="AF2260" s="94">
        <f t="shared" si="300"/>
        <v>42958</v>
      </c>
      <c r="AG2260" s="185">
        <f t="shared" si="303"/>
        <v>-0.89750055079582558</v>
      </c>
      <c r="AH2260" s="339" t="str">
        <f>VLOOKUP(B2260,'MF PF'!A:B,2)</f>
        <v>FdMgt1</v>
      </c>
      <c r="AI2260" s="358">
        <f t="shared" si="301"/>
        <v>0</v>
      </c>
      <c r="AJ2260" s="94">
        <f t="shared" si="302"/>
        <v>42978</v>
      </c>
    </row>
    <row r="2261" spans="1:36" ht="12.75" customHeight="1">
      <c r="A2261" s="94">
        <v>42958</v>
      </c>
      <c r="B2261" s="358" t="s">
        <v>175</v>
      </c>
      <c r="C2261" s="358" t="s">
        <v>328</v>
      </c>
      <c r="D2261" s="93"/>
      <c r="E2261" s="95"/>
      <c r="F2261" s="93"/>
      <c r="G2261" s="95">
        <v>94675</v>
      </c>
      <c r="H2261" s="93"/>
      <c r="I2261" s="93"/>
      <c r="K2261" s="93"/>
      <c r="L2261" s="93">
        <f t="shared" si="298"/>
        <v>94675</v>
      </c>
      <c r="M2261" s="95">
        <f t="shared" ca="1" si="299"/>
        <v>0</v>
      </c>
      <c r="N2261" s="95">
        <f>IF(P2261="Hedge Fund",IF(A2261=Summary!$AD$3,M2261-E2261,M2261),IF(A2261=Summary!$AD$3,L2261-D2261,L2261))</f>
        <v>94675</v>
      </c>
      <c r="O2261" s="9">
        <f t="shared" si="297"/>
        <v>94675</v>
      </c>
      <c r="P2261" s="89" t="s">
        <v>155</v>
      </c>
      <c r="Q2261" s="95">
        <v>0</v>
      </c>
      <c r="R2261" s="95">
        <v>0</v>
      </c>
      <c r="S2261" s="95"/>
      <c r="T2261" s="95"/>
      <c r="U2261" s="95"/>
      <c r="V2261" s="95"/>
      <c r="W2261" s="95"/>
      <c r="X2261" s="95"/>
      <c r="Y2261" s="95"/>
      <c r="Z2261" s="95"/>
      <c r="AA2261" s="95"/>
      <c r="AB2261" s="95"/>
      <c r="AC2261" s="355"/>
      <c r="AD2261" s="355"/>
      <c r="AE2261" s="355"/>
      <c r="AF2261" s="94">
        <f t="shared" si="300"/>
        <v>42958</v>
      </c>
      <c r="AG2261" s="185" t="e">
        <f t="shared" si="303"/>
        <v>#DIV/0!</v>
      </c>
      <c r="AH2261" s="339" t="str">
        <f>VLOOKUP(B2261,'MF PF'!A:B,2)</f>
        <v>FdMgt1</v>
      </c>
      <c r="AI2261" s="358">
        <f t="shared" si="301"/>
        <v>0</v>
      </c>
      <c r="AJ2261" s="94">
        <f t="shared" si="302"/>
        <v>42978</v>
      </c>
    </row>
    <row r="2262" spans="1:36" ht="12.75" customHeight="1">
      <c r="A2262" s="94">
        <v>42978</v>
      </c>
      <c r="B2262" s="358" t="s">
        <v>175</v>
      </c>
      <c r="C2262" s="358" t="s">
        <v>328</v>
      </c>
      <c r="D2262" s="93">
        <v>1020081.34</v>
      </c>
      <c r="E2262" s="95"/>
      <c r="F2262" s="93"/>
      <c r="G2262" s="95"/>
      <c r="H2262" s="93"/>
      <c r="I2262" s="93"/>
      <c r="K2262" s="93"/>
      <c r="L2262" s="93">
        <f t="shared" si="298"/>
        <v>0</v>
      </c>
      <c r="M2262" s="95" t="e">
        <f t="shared" ca="1" si="299"/>
        <v>#DIV/0!</v>
      </c>
      <c r="N2262" s="95">
        <f>IF(P2262="Hedge Fund",IF(A2262=Summary!$AD$3,M2262-E2262,M2262),IF(A2262=Summary!$AD$3,L2262-D2262,L2262))</f>
        <v>0</v>
      </c>
      <c r="O2262" s="9">
        <f t="shared" si="297"/>
        <v>0</v>
      </c>
      <c r="P2262" s="89" t="s">
        <v>155</v>
      </c>
      <c r="Q2262" s="95">
        <v>1.113782E-2</v>
      </c>
      <c r="R2262" s="95">
        <v>3.5437699999999999E-3</v>
      </c>
      <c r="S2262" s="95"/>
      <c r="T2262" s="95"/>
      <c r="U2262" s="95"/>
      <c r="V2262" s="95"/>
      <c r="W2262" s="95"/>
      <c r="X2262" s="95"/>
      <c r="Y2262" s="95"/>
      <c r="Z2262" s="95"/>
      <c r="AA2262" s="95"/>
      <c r="AB2262" s="95"/>
      <c r="AC2262" s="355"/>
      <c r="AD2262" s="355"/>
      <c r="AE2262" s="355"/>
      <c r="AF2262" s="94">
        <f t="shared" si="300"/>
        <v>42978</v>
      </c>
      <c r="AG2262" s="185" t="e">
        <f t="shared" si="303"/>
        <v>#DIV/0!</v>
      </c>
      <c r="AH2262" s="339" t="str">
        <f>VLOOKUP(B2262,'MF PF'!A:B,2)</f>
        <v>FdMgt1</v>
      </c>
      <c r="AI2262" s="358">
        <f t="shared" si="301"/>
        <v>0</v>
      </c>
      <c r="AJ2262" s="94">
        <f t="shared" si="302"/>
        <v>42978</v>
      </c>
    </row>
    <row r="2263" spans="1:36" ht="12.75" customHeight="1">
      <c r="A2263" s="94">
        <v>43008</v>
      </c>
      <c r="B2263" s="358" t="s">
        <v>175</v>
      </c>
      <c r="C2263" s="358" t="s">
        <v>328</v>
      </c>
      <c r="D2263" s="93">
        <v>1023707.8</v>
      </c>
      <c r="E2263" s="95"/>
      <c r="F2263" s="93"/>
      <c r="G2263" s="95"/>
      <c r="H2263" s="93"/>
      <c r="I2263" s="93"/>
      <c r="K2263" s="93"/>
      <c r="L2263" s="93">
        <f t="shared" si="298"/>
        <v>0</v>
      </c>
      <c r="M2263" s="95" t="e">
        <f t="shared" ca="1" si="299"/>
        <v>#DIV/0!</v>
      </c>
      <c r="N2263" s="95">
        <f>IF(P2263="Hedge Fund",IF(A2263=Summary!$AD$3,M2263-E2263,M2263),IF(A2263=Summary!$AD$3,L2263-D2263,L2263))</f>
        <v>0</v>
      </c>
      <c r="O2263" s="9">
        <f t="shared" si="297"/>
        <v>0</v>
      </c>
      <c r="P2263" s="89" t="s">
        <v>155</v>
      </c>
      <c r="Q2263" s="95">
        <v>1.237824E-2</v>
      </c>
      <c r="R2263" s="95">
        <v>4.1837299999999992E-3</v>
      </c>
      <c r="S2263" s="95"/>
      <c r="T2263" s="95"/>
      <c r="U2263" s="95"/>
      <c r="V2263" s="95"/>
      <c r="W2263" s="95"/>
      <c r="X2263" s="95"/>
      <c r="Y2263" s="95"/>
      <c r="Z2263" s="95"/>
      <c r="AA2263" s="95"/>
      <c r="AB2263" s="95"/>
      <c r="AC2263" s="355"/>
      <c r="AD2263" s="355"/>
      <c r="AE2263" s="355"/>
      <c r="AF2263" s="94">
        <f t="shared" si="300"/>
        <v>43008</v>
      </c>
      <c r="AG2263" s="185">
        <f t="shared" si="303"/>
        <v>3.5550694418153839E-3</v>
      </c>
      <c r="AH2263" s="339" t="str">
        <f>VLOOKUP(B2263,'MF PF'!A:B,2)</f>
        <v>FdMgt1</v>
      </c>
      <c r="AI2263" s="358">
        <f t="shared" si="301"/>
        <v>0</v>
      </c>
      <c r="AJ2263" s="94">
        <f t="shared" si="302"/>
        <v>43008</v>
      </c>
    </row>
    <row r="2264" spans="1:36" ht="12.75" customHeight="1">
      <c r="A2264" s="94">
        <v>43039</v>
      </c>
      <c r="B2264" s="358" t="s">
        <v>175</v>
      </c>
      <c r="C2264" s="358" t="s">
        <v>328</v>
      </c>
      <c r="D2264" s="93">
        <v>1022575.12</v>
      </c>
      <c r="E2264" s="95"/>
      <c r="F2264" s="93"/>
      <c r="G2264" s="95"/>
      <c r="H2264" s="93"/>
      <c r="I2264" s="93"/>
      <c r="K2264" s="93"/>
      <c r="L2264" s="93">
        <f t="shared" si="298"/>
        <v>0</v>
      </c>
      <c r="M2264" s="95" t="e">
        <f t="shared" ca="1" si="299"/>
        <v>#DIV/0!</v>
      </c>
      <c r="N2264" s="95">
        <f>IF(P2264="Hedge Fund",IF(A2264=Summary!$AD$3,M2264-E2264,M2264),IF(A2264=Summary!$AD$3,L2264-D2264,L2264))</f>
        <v>0</v>
      </c>
      <c r="O2264" s="9">
        <f t="shared" si="297"/>
        <v>0</v>
      </c>
      <c r="P2264" s="107" t="s">
        <v>155</v>
      </c>
      <c r="Q2264" s="95">
        <v>1.237824E-2</v>
      </c>
      <c r="R2264" s="95">
        <v>3.9838399999999998E-3</v>
      </c>
      <c r="S2264" s="95"/>
      <c r="T2264" s="95"/>
      <c r="U2264" s="95"/>
      <c r="V2264" s="95"/>
      <c r="W2264" s="95"/>
      <c r="X2264" s="95"/>
      <c r="Y2264" s="95"/>
      <c r="Z2264" s="95"/>
      <c r="AA2264" s="95"/>
      <c r="AB2264" s="95"/>
      <c r="AC2264" s="355"/>
      <c r="AD2264" s="355"/>
      <c r="AE2264" s="355"/>
      <c r="AF2264" s="94">
        <f t="shared" si="300"/>
        <v>43039</v>
      </c>
      <c r="AG2264" s="185">
        <f t="shared" si="303"/>
        <v>-1.1064485393195156E-3</v>
      </c>
      <c r="AH2264" s="339" t="str">
        <f>VLOOKUP(B2264,'MF PF'!A:B,2)</f>
        <v>FdMgt1</v>
      </c>
      <c r="AI2264" s="358">
        <f t="shared" si="301"/>
        <v>0</v>
      </c>
      <c r="AJ2264" s="94">
        <f t="shared" si="302"/>
        <v>43039</v>
      </c>
    </row>
    <row r="2265" spans="1:36" ht="12.75" customHeight="1">
      <c r="A2265" s="94">
        <v>43069</v>
      </c>
      <c r="B2265" s="358" t="s">
        <v>175</v>
      </c>
      <c r="C2265" s="358" t="s">
        <v>328</v>
      </c>
      <c r="D2265" s="93">
        <v>1017804.86</v>
      </c>
      <c r="E2265" s="95"/>
      <c r="F2265" s="93"/>
      <c r="G2265" s="95"/>
      <c r="H2265" s="93"/>
      <c r="I2265" s="93"/>
      <c r="K2265" s="93"/>
      <c r="L2265" s="93">
        <f t="shared" si="298"/>
        <v>0</v>
      </c>
      <c r="M2265" s="95" t="e">
        <f t="shared" ca="1" si="299"/>
        <v>#DIV/0!</v>
      </c>
      <c r="N2265" s="95">
        <f>IF(P2265="Hedge Fund",IF(A2265=Summary!$AD$3,M2265-E2265,M2265),IF(A2265=Summary!$AD$3,L2265-D2265,L2265))</f>
        <v>0</v>
      </c>
      <c r="O2265" s="95">
        <f t="shared" si="297"/>
        <v>0</v>
      </c>
      <c r="P2265" s="107" t="s">
        <v>155</v>
      </c>
      <c r="Q2265" s="95">
        <v>1.5019459999999998E-2</v>
      </c>
      <c r="R2265" s="95">
        <v>3.1420300000000001E-3</v>
      </c>
      <c r="S2265" s="95"/>
      <c r="T2265" s="95"/>
      <c r="U2265" s="95"/>
      <c r="V2265" s="95"/>
      <c r="W2265" s="95"/>
      <c r="X2265" s="95"/>
      <c r="Y2265" s="95"/>
      <c r="Z2265" s="95"/>
      <c r="AA2265" s="95"/>
      <c r="AB2265" s="95"/>
      <c r="AC2265" s="355"/>
      <c r="AD2265" s="355"/>
      <c r="AE2265" s="355"/>
      <c r="AF2265" s="94">
        <f t="shared" si="300"/>
        <v>43069</v>
      </c>
      <c r="AG2265" s="185">
        <f t="shared" si="303"/>
        <v>-4.6649482338275705E-3</v>
      </c>
      <c r="AH2265" s="339" t="str">
        <f>VLOOKUP(B2265,'MF PF'!A:B,2)</f>
        <v>FdMgt1</v>
      </c>
      <c r="AI2265" s="358">
        <f t="shared" si="301"/>
        <v>0</v>
      </c>
      <c r="AJ2265" s="94">
        <f t="shared" si="302"/>
        <v>43069</v>
      </c>
    </row>
    <row r="2266" spans="1:36" ht="12.75" customHeight="1">
      <c r="A2266" s="94">
        <v>43087</v>
      </c>
      <c r="B2266" s="358" t="s">
        <v>175</v>
      </c>
      <c r="C2266" s="358" t="s">
        <v>328</v>
      </c>
      <c r="D2266" s="93"/>
      <c r="E2266" s="95"/>
      <c r="F2266" s="93"/>
      <c r="G2266" s="358"/>
      <c r="H2266" s="93"/>
      <c r="I2266" s="95">
        <v>-183750.66</v>
      </c>
      <c r="K2266" s="93"/>
      <c r="L2266" s="93">
        <f t="shared" si="298"/>
        <v>-183750.66</v>
      </c>
      <c r="M2266" s="95" t="e">
        <f t="shared" ca="1" si="299"/>
        <v>#DIV/0!</v>
      </c>
      <c r="N2266" s="95">
        <f>IF(P2266="Hedge Fund",IF(A2266=Summary!$AD$3,M2266-E2266,M2266),IF(A2266=Summary!$AD$3,L2266-D2266,L2266))</f>
        <v>-183750.66</v>
      </c>
      <c r="O2266" s="9">
        <f t="shared" si="297"/>
        <v>-183750.66</v>
      </c>
      <c r="P2266" s="107" t="s">
        <v>155</v>
      </c>
      <c r="Q2266" s="95">
        <v>0</v>
      </c>
      <c r="R2266" s="95">
        <v>0</v>
      </c>
      <c r="S2266" s="95"/>
      <c r="T2266" s="95"/>
      <c r="U2266" s="95"/>
      <c r="V2266" s="95"/>
      <c r="W2266" s="95"/>
      <c r="X2266" s="95"/>
      <c r="Y2266" s="95"/>
      <c r="Z2266" s="95"/>
      <c r="AA2266" s="95"/>
      <c r="AB2266" s="95"/>
      <c r="AC2266" s="355"/>
      <c r="AD2266" s="355"/>
      <c r="AE2266" s="355"/>
      <c r="AF2266" s="94">
        <f t="shared" si="300"/>
        <v>43087</v>
      </c>
      <c r="AG2266" s="185">
        <f t="shared" si="303"/>
        <v>-0.81946376243477559</v>
      </c>
      <c r="AH2266" s="339" t="str">
        <f>VLOOKUP(B2266,'MF PF'!A:B,2)</f>
        <v>FdMgt1</v>
      </c>
      <c r="AI2266" s="358">
        <f t="shared" si="301"/>
        <v>0</v>
      </c>
      <c r="AJ2266" s="94">
        <f t="shared" si="302"/>
        <v>43100</v>
      </c>
    </row>
    <row r="2267" spans="1:36" ht="12.75" customHeight="1">
      <c r="A2267" s="94">
        <v>43087</v>
      </c>
      <c r="B2267" s="358" t="s">
        <v>175</v>
      </c>
      <c r="C2267" s="358" t="s">
        <v>328</v>
      </c>
      <c r="D2267" s="93"/>
      <c r="E2267" s="95"/>
      <c r="F2267" s="93"/>
      <c r="G2267" s="95">
        <v>183750.66</v>
      </c>
      <c r="H2267" s="93"/>
      <c r="I2267" s="93"/>
      <c r="K2267" s="93"/>
      <c r="L2267" s="93">
        <f t="shared" si="298"/>
        <v>183750.66</v>
      </c>
      <c r="M2267" s="95">
        <f t="shared" ca="1" si="299"/>
        <v>0</v>
      </c>
      <c r="N2267" s="95">
        <f>IF(P2267="Hedge Fund",IF(A2267=Summary!$AD$3,M2267-E2267,M2267),IF(A2267=Summary!$AD$3,L2267-D2267,L2267))</f>
        <v>183750.66</v>
      </c>
      <c r="O2267" s="95">
        <f t="shared" si="297"/>
        <v>183750.66</v>
      </c>
      <c r="P2267" s="107" t="s">
        <v>155</v>
      </c>
      <c r="Q2267" s="95">
        <v>0</v>
      </c>
      <c r="R2267" s="95">
        <v>0</v>
      </c>
      <c r="S2267" s="95"/>
      <c r="T2267" s="95"/>
      <c r="U2267" s="95"/>
      <c r="V2267" s="95"/>
      <c r="W2267" s="95"/>
      <c r="X2267" s="95"/>
      <c r="Y2267" s="95"/>
      <c r="Z2267" s="95"/>
      <c r="AA2267" s="95"/>
      <c r="AB2267" s="95"/>
      <c r="AC2267" s="355"/>
      <c r="AD2267" s="355"/>
      <c r="AE2267" s="355"/>
      <c r="AF2267" s="94">
        <f t="shared" si="300"/>
        <v>43087</v>
      </c>
      <c r="AG2267" s="185" t="e">
        <f t="shared" si="303"/>
        <v>#DIV/0!</v>
      </c>
      <c r="AH2267" s="339" t="str">
        <f>VLOOKUP(B2267,'MF PF'!A:B,2)</f>
        <v>FdMgt1</v>
      </c>
      <c r="AI2267" s="358">
        <f t="shared" si="301"/>
        <v>0</v>
      </c>
      <c r="AJ2267" s="94">
        <f t="shared" si="302"/>
        <v>43100</v>
      </c>
    </row>
    <row r="2268" spans="1:36" ht="12.75" customHeight="1">
      <c r="A2268" s="94">
        <v>43100</v>
      </c>
      <c r="B2268" s="358" t="s">
        <v>175</v>
      </c>
      <c r="C2268" s="358" t="s">
        <v>328</v>
      </c>
      <c r="D2268" s="93">
        <v>1159727.03</v>
      </c>
      <c r="E2268" s="95"/>
      <c r="F2268" s="93"/>
      <c r="G2268" s="95"/>
      <c r="H2268" s="93"/>
      <c r="I2268" s="93"/>
      <c r="K2268" s="93"/>
      <c r="L2268" s="93">
        <f t="shared" si="298"/>
        <v>0</v>
      </c>
      <c r="M2268" s="95" t="e">
        <f t="shared" ca="1" si="299"/>
        <v>#DIV/0!</v>
      </c>
      <c r="N2268" s="95">
        <f>IF(P2268="Hedge Fund",IF(A2268=Summary!$AD$3,M2268-E2268,M2268),IF(A2268=Summary!$AD$3,L2268-D2268,L2268))</f>
        <v>0</v>
      </c>
      <c r="O2268" s="95">
        <f t="shared" si="297"/>
        <v>0</v>
      </c>
      <c r="P2268" s="107" t="s">
        <v>155</v>
      </c>
      <c r="Q2268" s="95">
        <v>1.76639E-2</v>
      </c>
      <c r="R2268" s="95">
        <v>2.818712E-2</v>
      </c>
      <c r="S2268" s="95"/>
      <c r="T2268" s="95"/>
      <c r="U2268" s="95"/>
      <c r="V2268" s="95"/>
      <c r="W2268" s="95"/>
      <c r="X2268" s="95"/>
      <c r="Y2268" s="95"/>
      <c r="Z2268" s="95"/>
      <c r="AA2268" s="95"/>
      <c r="AB2268" s="95"/>
      <c r="AC2268" s="355"/>
      <c r="AD2268" s="355"/>
      <c r="AE2268" s="355"/>
      <c r="AF2268" s="94">
        <f t="shared" si="300"/>
        <v>43100</v>
      </c>
      <c r="AG2268" s="185" t="e">
        <f t="shared" si="303"/>
        <v>#DIV/0!</v>
      </c>
      <c r="AH2268" s="339" t="str">
        <f>VLOOKUP(B2268,'MF PF'!A:B,2)</f>
        <v>FdMgt1</v>
      </c>
      <c r="AI2268" s="358">
        <f t="shared" si="301"/>
        <v>0</v>
      </c>
      <c r="AJ2268" s="94">
        <f t="shared" si="302"/>
        <v>43100</v>
      </c>
    </row>
    <row r="2269" spans="1:36" ht="12.75" customHeight="1">
      <c r="A2269" s="94">
        <v>43131</v>
      </c>
      <c r="B2269" s="358" t="s">
        <v>175</v>
      </c>
      <c r="C2269" s="358" t="s">
        <v>328</v>
      </c>
      <c r="D2269" s="93">
        <v>1218471.94</v>
      </c>
      <c r="E2269" s="95"/>
      <c r="F2269" s="93"/>
      <c r="G2269" s="95"/>
      <c r="H2269" s="93"/>
      <c r="I2269" s="93"/>
      <c r="K2269" s="93"/>
      <c r="L2269" s="93">
        <f t="shared" si="298"/>
        <v>0</v>
      </c>
      <c r="M2269" s="95" t="e">
        <f t="shared" ca="1" si="299"/>
        <v>#DIV/0!</v>
      </c>
      <c r="N2269" s="95">
        <f>IF(P2269="Hedge Fund",IF(A2269=Summary!$AD$3,M2269-E2269,M2269),IF(A2269=Summary!$AD$3,L2269-D2269,L2269))</f>
        <v>0</v>
      </c>
      <c r="O2269" s="95">
        <f t="shared" si="297"/>
        <v>0</v>
      </c>
      <c r="P2269" s="107" t="s">
        <v>155</v>
      </c>
      <c r="Q2269" s="95"/>
      <c r="R2269" s="95">
        <v>3.8553870000000004E-2</v>
      </c>
      <c r="S2269" s="95"/>
      <c r="T2269" s="95"/>
      <c r="U2269" s="95"/>
      <c r="V2269" s="95"/>
      <c r="W2269" s="95"/>
      <c r="X2269" s="95"/>
      <c r="Y2269" s="95"/>
      <c r="Z2269" s="95"/>
      <c r="AA2269" s="95"/>
      <c r="AB2269" s="95"/>
      <c r="AC2269" s="355"/>
      <c r="AD2269" s="355"/>
      <c r="AE2269" s="355"/>
      <c r="AF2269" s="94">
        <f t="shared" si="300"/>
        <v>43131</v>
      </c>
      <c r="AG2269" s="185">
        <f t="shared" si="303"/>
        <v>5.0654083659669391E-2</v>
      </c>
      <c r="AH2269" s="339" t="str">
        <f>VLOOKUP(B2269,'MF PF'!A:B,2)</f>
        <v>FdMgt1</v>
      </c>
      <c r="AI2269" s="358">
        <f t="shared" si="301"/>
        <v>0</v>
      </c>
      <c r="AJ2269" s="94">
        <f t="shared" si="302"/>
        <v>43131</v>
      </c>
    </row>
    <row r="2270" spans="1:36" ht="12.75" customHeight="1">
      <c r="A2270" s="94">
        <v>43159</v>
      </c>
      <c r="B2270" s="358" t="s">
        <v>175</v>
      </c>
      <c r="C2270" s="358" t="s">
        <v>328</v>
      </c>
      <c r="D2270" s="93">
        <v>1239449.96</v>
      </c>
      <c r="E2270" s="95"/>
      <c r="F2270" s="93"/>
      <c r="G2270" s="95"/>
      <c r="H2270" s="93"/>
      <c r="I2270" s="93"/>
      <c r="K2270" s="93"/>
      <c r="L2270" s="93">
        <f t="shared" si="298"/>
        <v>0</v>
      </c>
      <c r="M2270" s="95" t="e">
        <f t="shared" ca="1" si="299"/>
        <v>#DIV/0!</v>
      </c>
      <c r="N2270" s="95">
        <f>IF(P2270="Hedge Fund",IF(A2270=Summary!$AD$3,M2270-E2270,M2270),IF(A2270=Summary!$AD$3,L2270-D2270,L2270))</f>
        <v>0</v>
      </c>
      <c r="O2270" s="95">
        <f t="shared" si="297"/>
        <v>0</v>
      </c>
      <c r="P2270" s="107" t="s">
        <v>155</v>
      </c>
      <c r="Q2270" s="95"/>
      <c r="R2270" s="95">
        <v>4.2255870000000001E-2</v>
      </c>
      <c r="S2270" s="95"/>
      <c r="T2270" s="95"/>
      <c r="U2270" s="95"/>
      <c r="V2270" s="95"/>
      <c r="W2270" s="95"/>
      <c r="X2270" s="95"/>
      <c r="Y2270" s="95"/>
      <c r="Z2270" s="95"/>
      <c r="AA2270" s="95"/>
      <c r="AB2270" s="95"/>
      <c r="AC2270" s="355"/>
      <c r="AD2270" s="355"/>
      <c r="AE2270" s="355"/>
      <c r="AF2270" s="94">
        <f t="shared" si="300"/>
        <v>43159</v>
      </c>
      <c r="AG2270" s="185">
        <f t="shared" si="303"/>
        <v>1.7216662371396074E-2</v>
      </c>
      <c r="AH2270" s="339" t="str">
        <f>VLOOKUP(B2270,'MF PF'!A:B,2)</f>
        <v>FdMgt1</v>
      </c>
      <c r="AI2270" s="358">
        <f t="shared" si="301"/>
        <v>0</v>
      </c>
      <c r="AJ2270" s="94">
        <f t="shared" si="302"/>
        <v>43159</v>
      </c>
    </row>
    <row r="2271" spans="1:36" s="92" customFormat="1" ht="12.75" customHeight="1">
      <c r="A2271" s="94">
        <v>43190</v>
      </c>
      <c r="B2271" s="358" t="s">
        <v>175</v>
      </c>
      <c r="C2271" s="358" t="s">
        <v>328</v>
      </c>
      <c r="D2271" s="93">
        <v>1230315.31</v>
      </c>
      <c r="E2271" s="95"/>
      <c r="F2271" s="93"/>
      <c r="G2271" s="95"/>
      <c r="H2271" s="93"/>
      <c r="I2271" s="93"/>
      <c r="J2271" s="93"/>
      <c r="K2271" s="93"/>
      <c r="L2271" s="93">
        <f t="shared" si="298"/>
        <v>0</v>
      </c>
      <c r="M2271" s="95" t="e">
        <f t="shared" ca="1" si="299"/>
        <v>#DIV/0!</v>
      </c>
      <c r="N2271" s="95">
        <f>IF(P2271="Hedge Fund",IF(A2271=Summary!$AD$3,M2271-E2271,M2271),IF(A2271=Summary!$AD$3,L2271-D2271,L2271))</f>
        <v>0</v>
      </c>
      <c r="O2271" s="95">
        <f t="shared" ref="O2271:O2281" si="304">N2271</f>
        <v>0</v>
      </c>
      <c r="P2271" s="107" t="s">
        <v>155</v>
      </c>
      <c r="Q2271" s="95">
        <v>4.7182600000000002E-3</v>
      </c>
      <c r="R2271" s="95">
        <v>4.064388E-2</v>
      </c>
      <c r="S2271" s="95"/>
      <c r="T2271" s="95"/>
      <c r="U2271" s="95"/>
      <c r="V2271" s="95"/>
      <c r="W2271" s="95"/>
      <c r="X2271" s="95"/>
      <c r="Y2271" s="95"/>
      <c r="Z2271" s="95"/>
      <c r="AA2271" s="95"/>
      <c r="AB2271" s="95"/>
      <c r="AC2271" s="355"/>
      <c r="AD2271" s="355"/>
      <c r="AE2271" s="355"/>
      <c r="AF2271" s="94">
        <f t="shared" si="300"/>
        <v>43190</v>
      </c>
      <c r="AG2271" s="185">
        <f t="shared" si="303"/>
        <v>-7.3699223807308645E-3</v>
      </c>
      <c r="AH2271" s="339" t="str">
        <f>VLOOKUP(B2271,'MF PF'!A:B,2)</f>
        <v>FdMgt1</v>
      </c>
      <c r="AI2271" s="358">
        <f t="shared" si="301"/>
        <v>0</v>
      </c>
      <c r="AJ2271" s="94">
        <f t="shared" si="302"/>
        <v>43190</v>
      </c>
    </row>
    <row r="2272" spans="1:36" s="92" customFormat="1" ht="12.75" customHeight="1">
      <c r="A2272" s="94">
        <v>43220</v>
      </c>
      <c r="B2272" s="358" t="s">
        <v>175</v>
      </c>
      <c r="C2272" s="358" t="s">
        <v>328</v>
      </c>
      <c r="D2272" s="93">
        <v>1256911.81</v>
      </c>
      <c r="E2272" s="95"/>
      <c r="F2272" s="93"/>
      <c r="G2272" s="95"/>
      <c r="H2272" s="93"/>
      <c r="I2272" s="93"/>
      <c r="J2272" s="93"/>
      <c r="K2272" s="93"/>
      <c r="L2272" s="93">
        <f t="shared" si="298"/>
        <v>0</v>
      </c>
      <c r="M2272" s="95" t="e">
        <f t="shared" ca="1" si="299"/>
        <v>#DIV/0!</v>
      </c>
      <c r="N2272" s="95">
        <f>IF(P2272="Hedge Fund",IF(A2272=Summary!$AD$3,M2272-E2272,M2272),IF(A2272=Summary!$AD$3,L2272-D2272,L2272))</f>
        <v>0</v>
      </c>
      <c r="O2272" s="95">
        <f t="shared" si="304"/>
        <v>0</v>
      </c>
      <c r="P2272" s="107" t="s">
        <v>155</v>
      </c>
      <c r="Q2272" s="95"/>
      <c r="R2272" s="95">
        <v>4.5337379999999997E-2</v>
      </c>
      <c r="S2272" s="95"/>
      <c r="T2272" s="95"/>
      <c r="U2272" s="95"/>
      <c r="V2272" s="95"/>
      <c r="W2272" s="95"/>
      <c r="X2272" s="95"/>
      <c r="Y2272" s="95"/>
      <c r="Z2272" s="95"/>
      <c r="AA2272" s="95"/>
      <c r="AB2272" s="95"/>
      <c r="AC2272" s="355"/>
      <c r="AD2272" s="355"/>
      <c r="AE2272" s="355"/>
      <c r="AF2272" s="94">
        <f t="shared" si="300"/>
        <v>43220</v>
      </c>
      <c r="AG2272" s="185">
        <f t="shared" si="303"/>
        <v>2.161762906128506E-2</v>
      </c>
      <c r="AH2272" s="339" t="str">
        <f>VLOOKUP(B2272,'MF PF'!A:B,2)</f>
        <v>FdMgt1</v>
      </c>
      <c r="AI2272" s="358">
        <f t="shared" si="301"/>
        <v>0</v>
      </c>
      <c r="AJ2272" s="94">
        <f t="shared" si="302"/>
        <v>43220</v>
      </c>
    </row>
    <row r="2273" spans="1:36" s="92" customFormat="1" ht="12.75" customHeight="1">
      <c r="A2273" s="94">
        <v>43251</v>
      </c>
      <c r="B2273" s="358" t="s">
        <v>175</v>
      </c>
      <c r="C2273" s="358" t="s">
        <v>328</v>
      </c>
      <c r="D2273" s="93">
        <v>1275452.8799999999</v>
      </c>
      <c r="E2273" s="95"/>
      <c r="F2273" s="93"/>
      <c r="G2273" s="95"/>
      <c r="H2273" s="93"/>
      <c r="I2273" s="93"/>
      <c r="J2273" s="93"/>
      <c r="K2273" s="93"/>
      <c r="L2273" s="93">
        <f t="shared" si="298"/>
        <v>0</v>
      </c>
      <c r="M2273" s="95" t="e">
        <f t="shared" ca="1" si="299"/>
        <v>#DIV/0!</v>
      </c>
      <c r="N2273" s="95">
        <f>IF(P2273="Hedge Fund",IF(A2273=Summary!$AD$3,M2273-E2273,M2273),IF(A2273=Summary!$AD$3,L2273-D2273,L2273))</f>
        <v>0</v>
      </c>
      <c r="O2273" s="95">
        <f t="shared" si="304"/>
        <v>0</v>
      </c>
      <c r="P2273" s="107" t="s">
        <v>155</v>
      </c>
      <c r="Q2273" s="95"/>
      <c r="R2273" s="95">
        <v>4.8609329999999999E-2</v>
      </c>
      <c r="S2273" s="95"/>
      <c r="T2273" s="95"/>
      <c r="U2273" s="95"/>
      <c r="V2273" s="95"/>
      <c r="W2273" s="95"/>
      <c r="X2273" s="95"/>
      <c r="Y2273" s="95"/>
      <c r="Z2273" s="95"/>
      <c r="AA2273" s="95"/>
      <c r="AB2273" s="95"/>
      <c r="AC2273" s="355"/>
      <c r="AD2273" s="355"/>
      <c r="AE2273" s="355"/>
      <c r="AF2273" s="94">
        <f t="shared" si="300"/>
        <v>43251</v>
      </c>
      <c r="AG2273" s="185">
        <f t="shared" si="303"/>
        <v>1.4751289511711896E-2</v>
      </c>
      <c r="AH2273" s="339" t="str">
        <f>VLOOKUP(B2273,'MF PF'!A:B,2)</f>
        <v>FdMgt1</v>
      </c>
      <c r="AI2273" s="358">
        <f t="shared" si="301"/>
        <v>0</v>
      </c>
      <c r="AJ2273" s="94">
        <f t="shared" si="302"/>
        <v>43251</v>
      </c>
    </row>
    <row r="2274" spans="1:36" s="92" customFormat="1" ht="12.75" customHeight="1">
      <c r="A2274" s="94">
        <v>43281</v>
      </c>
      <c r="B2274" s="358" t="s">
        <v>175</v>
      </c>
      <c r="C2274" s="358" t="s">
        <v>328</v>
      </c>
      <c r="D2274" s="93">
        <v>1227467.3400000001</v>
      </c>
      <c r="E2274" s="95"/>
      <c r="F2274" s="93"/>
      <c r="G2274" s="95"/>
      <c r="H2274" s="93"/>
      <c r="I2274" s="93"/>
      <c r="J2274" s="93"/>
      <c r="K2274" s="93"/>
      <c r="L2274" s="93">
        <f t="shared" si="298"/>
        <v>0</v>
      </c>
      <c r="M2274" s="95" t="e">
        <f t="shared" ca="1" si="299"/>
        <v>#DIV/0!</v>
      </c>
      <c r="N2274" s="95">
        <f>IF(P2274="Hedge Fund",IF(A2274=Summary!$AD$3,M2274-E2274,M2274),IF(A2274=Summary!$AD$3,L2274-D2274,L2274))</f>
        <v>0</v>
      </c>
      <c r="O2274" s="95">
        <f t="shared" si="304"/>
        <v>0</v>
      </c>
      <c r="P2274" s="107" t="s">
        <v>155</v>
      </c>
      <c r="Q2274" s="95">
        <v>4.8107899999999997E-3</v>
      </c>
      <c r="R2274" s="95">
        <v>4.0141290000000003E-2</v>
      </c>
      <c r="S2274" s="95"/>
      <c r="T2274" s="95"/>
      <c r="U2274" s="95"/>
      <c r="V2274" s="95"/>
      <c r="W2274" s="95"/>
      <c r="X2274" s="95"/>
      <c r="Y2274" s="95"/>
      <c r="Z2274" s="95"/>
      <c r="AA2274" s="95"/>
      <c r="AB2274" s="95"/>
      <c r="AC2274" s="355"/>
      <c r="AD2274" s="355"/>
      <c r="AE2274" s="355"/>
      <c r="AF2274" s="94">
        <f t="shared" si="300"/>
        <v>43281</v>
      </c>
      <c r="AG2274" s="185">
        <f t="shared" si="303"/>
        <v>-3.7622354186851559E-2</v>
      </c>
      <c r="AH2274" s="339" t="str">
        <f>VLOOKUP(B2274,'MF PF'!A:B,2)</f>
        <v>FdMgt1</v>
      </c>
      <c r="AI2274" s="358">
        <f t="shared" si="301"/>
        <v>0</v>
      </c>
      <c r="AJ2274" s="94">
        <f t="shared" si="302"/>
        <v>43281</v>
      </c>
    </row>
    <row r="2275" spans="1:36" s="92" customFormat="1" ht="12.75" customHeight="1">
      <c r="A2275" s="94">
        <v>43312</v>
      </c>
      <c r="B2275" s="358" t="s">
        <v>175</v>
      </c>
      <c r="C2275" s="358" t="s">
        <v>328</v>
      </c>
      <c r="D2275" s="93">
        <v>1256528.31</v>
      </c>
      <c r="E2275" s="95"/>
      <c r="F2275" s="93"/>
      <c r="G2275" s="95"/>
      <c r="H2275" s="93"/>
      <c r="I2275" s="93"/>
      <c r="J2275" s="93"/>
      <c r="K2275" s="93"/>
      <c r="L2275" s="93">
        <f t="shared" si="298"/>
        <v>0</v>
      </c>
      <c r="M2275" s="95" t="e">
        <f t="shared" ca="1" si="299"/>
        <v>#DIV/0!</v>
      </c>
      <c r="N2275" s="95">
        <f>IF(P2275="Hedge Fund",IF(A2275=Summary!$AD$3,M2275-E2275,M2275),IF(A2275=Summary!$AD$3,L2275-D2275,L2275))</f>
        <v>0</v>
      </c>
      <c r="O2275" s="95">
        <f t="shared" si="304"/>
        <v>0</v>
      </c>
      <c r="P2275" s="107" t="s">
        <v>155</v>
      </c>
      <c r="Q2275" s="95">
        <v>0</v>
      </c>
      <c r="R2275" s="95">
        <v>4.5269699999999996E-2</v>
      </c>
      <c r="S2275" s="95"/>
      <c r="T2275" s="95"/>
      <c r="U2275" s="95"/>
      <c r="V2275" s="95"/>
      <c r="W2275" s="95"/>
      <c r="X2275" s="95"/>
      <c r="Y2275" s="95"/>
      <c r="Z2275" s="95"/>
      <c r="AA2275" s="95"/>
      <c r="AB2275" s="95"/>
      <c r="AC2275" s="355"/>
      <c r="AD2275" s="355"/>
      <c r="AE2275" s="355"/>
      <c r="AF2275" s="94">
        <f t="shared" si="300"/>
        <v>43312</v>
      </c>
      <c r="AG2275" s="185">
        <f t="shared" si="303"/>
        <v>2.3675554577281099E-2</v>
      </c>
      <c r="AH2275" s="339" t="str">
        <f>VLOOKUP(B2275,'MF PF'!A:B,2)</f>
        <v>FdMgt1</v>
      </c>
      <c r="AI2275" s="358">
        <f t="shared" si="301"/>
        <v>0</v>
      </c>
      <c r="AJ2275" s="94">
        <f t="shared" si="302"/>
        <v>43312</v>
      </c>
    </row>
    <row r="2276" spans="1:36" s="92" customFormat="1" ht="12.75" customHeight="1">
      <c r="A2276" s="94">
        <v>43343</v>
      </c>
      <c r="B2276" s="358" t="s">
        <v>175</v>
      </c>
      <c r="C2276" s="358" t="s">
        <v>328</v>
      </c>
      <c r="D2276" s="93">
        <v>1247720.1200000001</v>
      </c>
      <c r="E2276" s="95"/>
      <c r="F2276" s="93"/>
      <c r="G2276" s="95"/>
      <c r="H2276" s="93"/>
      <c r="I2276" s="93"/>
      <c r="J2276" s="93"/>
      <c r="K2276" s="93"/>
      <c r="L2276" s="93">
        <f t="shared" si="298"/>
        <v>0</v>
      </c>
      <c r="M2276" s="95" t="e">
        <f t="shared" ca="1" si="299"/>
        <v>#DIV/0!</v>
      </c>
      <c r="N2276" s="95">
        <f>IF(P2276="Hedge Fund",IF(A2276=Summary!$AD$3,M2276-E2276,M2276),IF(A2276=Summary!$AD$3,L2276-D2276,L2276))</f>
        <v>0</v>
      </c>
      <c r="O2276" s="95">
        <f t="shared" si="304"/>
        <v>0</v>
      </c>
      <c r="P2276" s="107" t="s">
        <v>155</v>
      </c>
      <c r="Q2276" s="95">
        <v>0</v>
      </c>
      <c r="R2276" s="95">
        <v>4.3715320000000002E-2</v>
      </c>
      <c r="S2276" s="95"/>
      <c r="T2276" s="95"/>
      <c r="U2276" s="95"/>
      <c r="V2276" s="95"/>
      <c r="W2276" s="95"/>
      <c r="X2276" s="95"/>
      <c r="Y2276" s="95"/>
      <c r="Z2276" s="95"/>
      <c r="AA2276" s="95"/>
      <c r="AB2276" s="95"/>
      <c r="AC2276" s="355"/>
      <c r="AD2276" s="355"/>
      <c r="AE2276" s="355"/>
      <c r="AF2276" s="94">
        <f t="shared" si="300"/>
        <v>43343</v>
      </c>
      <c r="AG2276" s="185">
        <f t="shared" si="303"/>
        <v>-7.0099415428211964E-3</v>
      </c>
      <c r="AH2276" s="339" t="str">
        <f>VLOOKUP(B2276,'MF PF'!A:B,2)</f>
        <v>FdMgt1</v>
      </c>
      <c r="AI2276" s="358">
        <f t="shared" si="301"/>
        <v>0</v>
      </c>
      <c r="AJ2276" s="94">
        <f t="shared" si="302"/>
        <v>43343</v>
      </c>
    </row>
    <row r="2277" spans="1:36" s="92" customFormat="1" ht="12.75" customHeight="1">
      <c r="A2277" s="94">
        <v>43373</v>
      </c>
      <c r="B2277" s="358" t="s">
        <v>175</v>
      </c>
      <c r="C2277" s="358" t="s">
        <v>328</v>
      </c>
      <c r="D2277" s="93">
        <v>1161394.76</v>
      </c>
      <c r="E2277" s="95"/>
      <c r="F2277" s="93"/>
      <c r="G2277" s="95"/>
      <c r="H2277" s="93"/>
      <c r="I2277" s="93"/>
      <c r="J2277" s="93"/>
      <c r="K2277" s="93"/>
      <c r="L2277" s="93">
        <f t="shared" si="298"/>
        <v>0</v>
      </c>
      <c r="M2277" s="95" t="e">
        <f t="shared" ca="1" si="299"/>
        <v>#DIV/0!</v>
      </c>
      <c r="N2277" s="95">
        <f>IF(P2277="Hedge Fund",IF(A2277=Summary!$AD$3,M2277-E2277,M2277),IF(A2277=Summary!$AD$3,L2277-D2277,L2277))</f>
        <v>0</v>
      </c>
      <c r="O2277" s="95">
        <f t="shared" si="304"/>
        <v>0</v>
      </c>
      <c r="P2277" s="107" t="s">
        <v>155</v>
      </c>
      <c r="Q2277" s="95">
        <v>4.4665099999999999E-3</v>
      </c>
      <c r="R2277" s="95">
        <v>2.8481430000000002E-2</v>
      </c>
      <c r="S2277" s="95"/>
      <c r="T2277" s="95"/>
      <c r="U2277" s="95"/>
      <c r="V2277" s="95"/>
      <c r="W2277" s="95"/>
      <c r="X2277" s="95"/>
      <c r="Y2277" s="95"/>
      <c r="Z2277" s="95"/>
      <c r="AA2277" s="95"/>
      <c r="AB2277" s="95"/>
      <c r="AC2277" s="355"/>
      <c r="AD2277" s="355"/>
      <c r="AE2277" s="355"/>
      <c r="AF2277" s="94">
        <f t="shared" si="300"/>
        <v>43373</v>
      </c>
      <c r="AG2277" s="185">
        <f t="shared" si="303"/>
        <v>-6.9186477493045517E-2</v>
      </c>
      <c r="AH2277" s="339" t="str">
        <f>VLOOKUP(B2277,'MF PF'!A:B,2)</f>
        <v>FdMgt1</v>
      </c>
      <c r="AI2277" s="358">
        <f t="shared" si="301"/>
        <v>0</v>
      </c>
      <c r="AJ2277" s="94">
        <f t="shared" si="302"/>
        <v>43373</v>
      </c>
    </row>
    <row r="2278" spans="1:36" s="92" customFormat="1" ht="12.75" customHeight="1">
      <c r="A2278" s="94">
        <v>43404</v>
      </c>
      <c r="B2278" s="358" t="s">
        <v>175</v>
      </c>
      <c r="C2278" s="358" t="s">
        <v>328</v>
      </c>
      <c r="D2278" s="93">
        <v>1192406.1614999999</v>
      </c>
      <c r="E2278" s="95"/>
      <c r="F2278" s="93">
        <v>1</v>
      </c>
      <c r="G2278" s="93"/>
      <c r="H2278" s="93">
        <v>0</v>
      </c>
      <c r="I2278" s="93">
        <v>0</v>
      </c>
      <c r="J2278" s="93">
        <v>0</v>
      </c>
      <c r="K2278" s="93"/>
      <c r="L2278" s="93">
        <f t="shared" si="298"/>
        <v>0</v>
      </c>
      <c r="M2278" s="95" t="e">
        <f t="shared" ca="1" si="299"/>
        <v>#DIV/0!</v>
      </c>
      <c r="N2278" s="95">
        <f>IF(P2278="Hedge Fund",IF(A2278=Summary!$AD$3,M2278-E2278,M2278),IF(A2278=Summary!$AD$3,L2278-D2278,L2278))</f>
        <v>0</v>
      </c>
      <c r="O2278" s="95">
        <f t="shared" si="304"/>
        <v>0</v>
      </c>
      <c r="P2278" s="95" t="s">
        <v>155</v>
      </c>
      <c r="Q2278" s="95">
        <v>6.1320537129210973E-3</v>
      </c>
      <c r="R2278" s="95">
        <v>3.395402849999999E-2</v>
      </c>
      <c r="S2278" s="95"/>
      <c r="T2278" s="95"/>
      <c r="U2278" s="95"/>
      <c r="V2278" s="95"/>
      <c r="W2278" s="95"/>
      <c r="X2278" s="95"/>
      <c r="Y2278" s="95"/>
      <c r="Z2278" s="95"/>
      <c r="AA2278" s="95"/>
      <c r="AB2278" s="95"/>
      <c r="AC2278" s="355"/>
      <c r="AD2278" s="355"/>
      <c r="AE2278" s="355"/>
      <c r="AF2278" s="94">
        <f t="shared" si="300"/>
        <v>43404</v>
      </c>
      <c r="AG2278" s="185">
        <f t="shared" si="303"/>
        <v>2.6701861045076436E-2</v>
      </c>
      <c r="AH2278" s="339" t="str">
        <f>VLOOKUP(B2278,'MF PF'!A:B,2)</f>
        <v>FdMgt1</v>
      </c>
      <c r="AI2278" s="358">
        <f t="shared" si="301"/>
        <v>0</v>
      </c>
      <c r="AJ2278" s="94">
        <f t="shared" si="302"/>
        <v>43404</v>
      </c>
    </row>
    <row r="2279" spans="1:36" s="92" customFormat="1" ht="12.75" customHeight="1">
      <c r="A2279" s="94">
        <v>43434</v>
      </c>
      <c r="B2279" s="358" t="s">
        <v>175</v>
      </c>
      <c r="C2279" s="358" t="s">
        <v>328</v>
      </c>
      <c r="D2279" s="93">
        <v>1194738.9950000001</v>
      </c>
      <c r="E2279" s="95"/>
      <c r="F2279" s="93">
        <v>1</v>
      </c>
      <c r="G2279" s="93"/>
      <c r="H2279" s="93">
        <v>0</v>
      </c>
      <c r="I2279" s="93">
        <v>0</v>
      </c>
      <c r="J2279" s="93"/>
      <c r="K2279" s="93">
        <v>0</v>
      </c>
      <c r="L2279" s="93">
        <f t="shared" si="298"/>
        <v>0</v>
      </c>
      <c r="M2279" s="95" t="e">
        <f t="shared" ca="1" si="299"/>
        <v>#DIV/0!</v>
      </c>
      <c r="N2279" s="95">
        <f>IF(P2279="Hedge Fund",IF(A2279=Summary!$AD$3,M2279-E2279,M2279),IF(A2279=Summary!$AD$3,L2279-D2279,L2279))</f>
        <v>0</v>
      </c>
      <c r="O2279" s="95">
        <f t="shared" si="304"/>
        <v>0</v>
      </c>
      <c r="P2279" s="95" t="s">
        <v>155</v>
      </c>
      <c r="Q2279" s="95">
        <v>3.2017471951046356E-3</v>
      </c>
      <c r="R2279" s="95">
        <v>3.4365704999999996E-2</v>
      </c>
      <c r="S2279" s="95"/>
      <c r="T2279" s="95"/>
      <c r="U2279" s="95"/>
      <c r="V2279" s="95"/>
      <c r="W2279" s="95"/>
      <c r="X2279" s="95"/>
      <c r="Y2279" s="95"/>
      <c r="Z2279" s="95"/>
      <c r="AA2279" s="95"/>
      <c r="AB2279" s="95"/>
      <c r="AC2279" s="355"/>
      <c r="AD2279" s="355"/>
      <c r="AE2279" s="355"/>
      <c r="AF2279" s="94">
        <f t="shared" si="300"/>
        <v>43434</v>
      </c>
      <c r="AG2279" s="185">
        <f t="shared" si="303"/>
        <v>1.9564084582266439E-3</v>
      </c>
      <c r="AH2279" s="339" t="str">
        <f>VLOOKUP(B2279,'MF PF'!A:B,2)</f>
        <v>FdMgt1</v>
      </c>
      <c r="AI2279" s="358">
        <f t="shared" si="301"/>
        <v>0</v>
      </c>
      <c r="AJ2279" s="94">
        <f t="shared" si="302"/>
        <v>43434</v>
      </c>
    </row>
    <row r="2280" spans="1:36" s="92" customFormat="1" ht="12.75" customHeight="1">
      <c r="A2280" s="94">
        <v>43465</v>
      </c>
      <c r="B2280" s="358" t="s">
        <v>175</v>
      </c>
      <c r="C2280" s="358" t="s">
        <v>328</v>
      </c>
      <c r="D2280" s="93">
        <v>1166130.5789999999</v>
      </c>
      <c r="E2280" s="95"/>
      <c r="F2280" s="93">
        <v>1</v>
      </c>
      <c r="G2280" s="93"/>
      <c r="H2280" s="93">
        <v>0</v>
      </c>
      <c r="I2280" s="93">
        <v>0</v>
      </c>
      <c r="J2280" s="93"/>
      <c r="K2280" s="93">
        <v>0</v>
      </c>
      <c r="L2280" s="93">
        <f t="shared" si="298"/>
        <v>0</v>
      </c>
      <c r="M2280" s="95" t="e">
        <f t="shared" ca="1" si="299"/>
        <v>#DIV/0!</v>
      </c>
      <c r="N2280" s="95">
        <f>IF(P2280="Hedge Fund",IF(A2280=Summary!$AD$3,M2280-E2280,M2280),IF(A2280=Summary!$AD$3,L2280-D2280,L2280))</f>
        <v>0</v>
      </c>
      <c r="O2280" s="95">
        <f t="shared" si="304"/>
        <v>0</v>
      </c>
      <c r="P2280" s="95" t="s">
        <v>155</v>
      </c>
      <c r="Q2280" s="95">
        <v>4.6359396802687809E-3</v>
      </c>
      <c r="R2280" s="95">
        <v>2.9317160999999998E-2</v>
      </c>
      <c r="S2280" s="95"/>
      <c r="T2280" s="95"/>
      <c r="U2280" s="95"/>
      <c r="V2280" s="95"/>
      <c r="W2280" s="95"/>
      <c r="X2280" s="95"/>
      <c r="Y2280" s="95"/>
      <c r="Z2280" s="95"/>
      <c r="AA2280" s="95"/>
      <c r="AB2280" s="95"/>
      <c r="AC2280" s="355"/>
      <c r="AD2280" s="355"/>
      <c r="AE2280" s="355"/>
      <c r="AF2280" s="94">
        <f t="shared" si="300"/>
        <v>43465</v>
      </c>
      <c r="AG2280" s="185">
        <f t="shared" si="303"/>
        <v>-2.3945327071207001E-2</v>
      </c>
      <c r="AH2280" s="339" t="str">
        <f>VLOOKUP(B2280,'MF PF'!A:B,2)</f>
        <v>FdMgt1</v>
      </c>
      <c r="AI2280" s="358">
        <f t="shared" si="301"/>
        <v>0</v>
      </c>
      <c r="AJ2280" s="94">
        <f t="shared" si="302"/>
        <v>43465</v>
      </c>
    </row>
    <row r="2281" spans="1:36" s="92" customFormat="1" ht="12.75" customHeight="1">
      <c r="A2281" s="94">
        <v>43496</v>
      </c>
      <c r="B2281" s="358" t="s">
        <v>175</v>
      </c>
      <c r="C2281" s="358" t="s">
        <v>328</v>
      </c>
      <c r="D2281" s="93">
        <v>1241574.335</v>
      </c>
      <c r="E2281" s="95"/>
      <c r="F2281" s="93">
        <v>1</v>
      </c>
      <c r="G2281" s="93"/>
      <c r="H2281" s="93">
        <v>0</v>
      </c>
      <c r="I2281" s="93">
        <v>0</v>
      </c>
      <c r="J2281" s="93"/>
      <c r="K2281" s="93">
        <v>0</v>
      </c>
      <c r="L2281" s="93">
        <f t="shared" si="298"/>
        <v>0</v>
      </c>
      <c r="M2281" s="95" t="e">
        <f t="shared" ca="1" si="299"/>
        <v>#DIV/0!</v>
      </c>
      <c r="N2281" s="95">
        <f>IF(P2281="Hedge Fund",IF(A2281=Summary!$AD$3,M2281-E2281,M2281),IF(A2281=Summary!$AD$3,L2281-D2281,L2281))</f>
        <v>-1241574.335</v>
      </c>
      <c r="O2281" s="95">
        <f t="shared" si="304"/>
        <v>-1241574.335</v>
      </c>
      <c r="P2281" s="95" t="s">
        <v>155</v>
      </c>
      <c r="Q2281" s="95">
        <v>0</v>
      </c>
      <c r="R2281" s="95">
        <v>4.2630765000000015E-2</v>
      </c>
      <c r="S2281" s="95"/>
      <c r="T2281" s="95"/>
      <c r="U2281" s="95"/>
      <c r="V2281" s="95"/>
      <c r="W2281" s="95"/>
      <c r="X2281" s="95"/>
      <c r="Y2281" s="95"/>
      <c r="Z2281" s="95"/>
      <c r="AA2281" s="95"/>
      <c r="AB2281" s="95"/>
      <c r="AC2281" s="355"/>
      <c r="AD2281" s="355"/>
      <c r="AE2281" s="355"/>
      <c r="AF2281" s="94">
        <f t="shared" si="300"/>
        <v>43496</v>
      </c>
      <c r="AG2281" s="185">
        <f t="shared" si="303"/>
        <v>6.469580453391055E-2</v>
      </c>
      <c r="AH2281" s="339" t="str">
        <f>VLOOKUP(B2281,'MF PF'!A:B,2)</f>
        <v>FdMgt1</v>
      </c>
      <c r="AI2281" s="358">
        <f t="shared" si="301"/>
        <v>0</v>
      </c>
      <c r="AJ2281" s="94">
        <f t="shared" si="302"/>
        <v>43496</v>
      </c>
    </row>
    <row r="2282" spans="1:36" s="92" customFormat="1" ht="12.75" customHeight="1">
      <c r="A2282" s="94">
        <v>42695</v>
      </c>
      <c r="B2282" s="358" t="s">
        <v>175</v>
      </c>
      <c r="C2282" s="358" t="s">
        <v>347</v>
      </c>
      <c r="D2282" s="93"/>
      <c r="E2282" s="95"/>
      <c r="F2282" s="93"/>
      <c r="G2282" s="95">
        <v>2125000</v>
      </c>
      <c r="H2282" s="93"/>
      <c r="I2282" s="93"/>
      <c r="J2282" s="93"/>
      <c r="K2282" s="93"/>
      <c r="L2282" s="93">
        <f t="shared" si="298"/>
        <v>2125000</v>
      </c>
      <c r="M2282" s="95">
        <f t="shared" ca="1" si="299"/>
        <v>0</v>
      </c>
      <c r="N2282" s="95">
        <f>IF(P2282="Hedge Fund",IF(A2282=Summary!$AD$3,M2282-E2282,M2282),IF(A2282=Summary!$AD$3,L2282-D2282,L2282))</f>
        <v>2125000</v>
      </c>
      <c r="O2282" s="95"/>
      <c r="P2282" s="107" t="s">
        <v>155</v>
      </c>
      <c r="Q2282" s="95">
        <v>0</v>
      </c>
      <c r="R2282" s="95">
        <v>0</v>
      </c>
      <c r="S2282" s="95"/>
      <c r="T2282" s="95"/>
      <c r="U2282" s="95"/>
      <c r="V2282" s="95"/>
      <c r="W2282" s="95"/>
      <c r="X2282" s="95"/>
      <c r="Y2282" s="95"/>
      <c r="Z2282" s="95"/>
      <c r="AA2282" s="95"/>
      <c r="AB2282" s="95"/>
      <c r="AC2282" s="355"/>
      <c r="AD2282" s="355"/>
      <c r="AE2282" s="355"/>
      <c r="AF2282" s="94">
        <f t="shared" si="300"/>
        <v>42695</v>
      </c>
      <c r="AG2282" s="185">
        <f t="shared" si="303"/>
        <v>-1</v>
      </c>
      <c r="AH2282" s="339" t="str">
        <f>VLOOKUP(B2282,'MF PF'!A:B,2)</f>
        <v>FdMgt1</v>
      </c>
      <c r="AI2282" s="358">
        <f t="shared" si="301"/>
        <v>0</v>
      </c>
      <c r="AJ2282" s="94">
        <f t="shared" si="302"/>
        <v>42704</v>
      </c>
    </row>
    <row r="2283" spans="1:36" s="92" customFormat="1" ht="12.75" customHeight="1">
      <c r="A2283" s="94">
        <v>42695</v>
      </c>
      <c r="B2283" s="358" t="s">
        <v>175</v>
      </c>
      <c r="C2283" s="358" t="s">
        <v>347</v>
      </c>
      <c r="D2283" s="93"/>
      <c r="E2283" s="95"/>
      <c r="F2283" s="93"/>
      <c r="G2283" s="95">
        <v>12140033</v>
      </c>
      <c r="H2283" s="93"/>
      <c r="I2283" s="93"/>
      <c r="J2283" s="93"/>
      <c r="K2283" s="93"/>
      <c r="L2283" s="93">
        <f t="shared" si="298"/>
        <v>12140033</v>
      </c>
      <c r="M2283" s="95">
        <f t="shared" ca="1" si="299"/>
        <v>0</v>
      </c>
      <c r="N2283" s="95">
        <f>IF(P2283="Hedge Fund",IF(A2283=Summary!$AD$3,M2283-E2283,M2283),IF(A2283=Summary!$AD$3,L2283-D2283,L2283))</f>
        <v>12140033</v>
      </c>
      <c r="O2283" s="95"/>
      <c r="P2283" s="107" t="s">
        <v>155</v>
      </c>
      <c r="Q2283" s="95">
        <v>0</v>
      </c>
      <c r="R2283" s="95">
        <v>0</v>
      </c>
      <c r="S2283" s="95"/>
      <c r="T2283" s="95"/>
      <c r="U2283" s="95"/>
      <c r="V2283" s="95"/>
      <c r="W2283" s="95"/>
      <c r="X2283" s="95"/>
      <c r="Y2283" s="95"/>
      <c r="Z2283" s="95"/>
      <c r="AA2283" s="95"/>
      <c r="AB2283" s="95"/>
      <c r="AC2283" s="355"/>
      <c r="AD2283" s="355"/>
      <c r="AE2283" s="355"/>
      <c r="AF2283" s="94">
        <f t="shared" si="300"/>
        <v>42695</v>
      </c>
      <c r="AG2283" s="185" t="e">
        <f t="shared" si="303"/>
        <v>#DIV/0!</v>
      </c>
      <c r="AH2283" s="339" t="str">
        <f>VLOOKUP(B2283,'MF PF'!A:B,2)</f>
        <v>FdMgt1</v>
      </c>
      <c r="AI2283" s="358">
        <f t="shared" si="301"/>
        <v>0</v>
      </c>
      <c r="AJ2283" s="94">
        <f t="shared" si="302"/>
        <v>42704</v>
      </c>
    </row>
    <row r="2284" spans="1:36" s="92" customFormat="1" ht="12.75" customHeight="1">
      <c r="A2284" s="94">
        <v>42703</v>
      </c>
      <c r="B2284" s="358" t="s">
        <v>175</v>
      </c>
      <c r="C2284" s="358" t="s">
        <v>347</v>
      </c>
      <c r="D2284" s="93"/>
      <c r="E2284" s="95"/>
      <c r="F2284" s="93"/>
      <c r="G2284" s="95">
        <v>5031250</v>
      </c>
      <c r="H2284" s="93"/>
      <c r="I2284" s="93"/>
      <c r="J2284" s="93"/>
      <c r="K2284" s="93"/>
      <c r="L2284" s="93">
        <f t="shared" si="298"/>
        <v>5031250</v>
      </c>
      <c r="M2284" s="95" t="e">
        <f t="shared" ca="1" si="299"/>
        <v>#DIV/0!</v>
      </c>
      <c r="N2284" s="95">
        <f>IF(P2284="Hedge Fund",IF(A2284=Summary!$AD$3,M2284-E2284,M2284),IF(A2284=Summary!$AD$3,L2284-D2284,L2284))</f>
        <v>5031250</v>
      </c>
      <c r="O2284" s="95"/>
      <c r="P2284" s="107" t="s">
        <v>155</v>
      </c>
      <c r="Q2284" s="95">
        <v>0</v>
      </c>
      <c r="R2284" s="95">
        <v>0</v>
      </c>
      <c r="S2284" s="95"/>
      <c r="T2284" s="95"/>
      <c r="U2284" s="95"/>
      <c r="V2284" s="95"/>
      <c r="W2284" s="95"/>
      <c r="X2284" s="95"/>
      <c r="Y2284" s="95"/>
      <c r="Z2284" s="95"/>
      <c r="AA2284" s="95"/>
      <c r="AB2284" s="95"/>
      <c r="AC2284" s="355"/>
      <c r="AD2284" s="355"/>
      <c r="AE2284" s="355"/>
      <c r="AF2284" s="94">
        <f t="shared" si="300"/>
        <v>42703</v>
      </c>
      <c r="AG2284" s="185" t="e">
        <f t="shared" si="303"/>
        <v>#DIV/0!</v>
      </c>
      <c r="AH2284" s="339" t="str">
        <f>VLOOKUP(B2284,'MF PF'!A:B,2)</f>
        <v>FdMgt1</v>
      </c>
      <c r="AI2284" s="358">
        <f t="shared" si="301"/>
        <v>0</v>
      </c>
      <c r="AJ2284" s="94">
        <f t="shared" si="302"/>
        <v>42704</v>
      </c>
    </row>
    <row r="2285" spans="1:36" s="92" customFormat="1" ht="12.75" customHeight="1">
      <c r="A2285" s="94">
        <v>42704</v>
      </c>
      <c r="B2285" s="358" t="s">
        <v>175</v>
      </c>
      <c r="C2285" s="358" t="s">
        <v>347</v>
      </c>
      <c r="D2285" s="93">
        <v>19292941.77</v>
      </c>
      <c r="E2285" s="95"/>
      <c r="F2285" s="93"/>
      <c r="G2285" s="95"/>
      <c r="H2285" s="93"/>
      <c r="I2285" s="93"/>
      <c r="J2285" s="93"/>
      <c r="K2285" s="93"/>
      <c r="L2285" s="93">
        <f t="shared" si="298"/>
        <v>0</v>
      </c>
      <c r="M2285" s="95" t="e">
        <f t="shared" ca="1" si="299"/>
        <v>#DIV/0!</v>
      </c>
      <c r="N2285" s="95">
        <f>IF(P2285="Hedge Fund",IF(A2285=Summary!$AD$3,M2285-E2285,M2285),IF(A2285=Summary!$AD$3,L2285-D2285,L2285))</f>
        <v>0</v>
      </c>
      <c r="O2285" s="95"/>
      <c r="P2285" s="107" t="s">
        <v>155</v>
      </c>
      <c r="Q2285" s="95">
        <v>0</v>
      </c>
      <c r="R2285" s="95">
        <v>0</v>
      </c>
      <c r="S2285" s="95"/>
      <c r="T2285" s="95"/>
      <c r="U2285" s="95"/>
      <c r="V2285" s="95"/>
      <c r="W2285" s="95"/>
      <c r="X2285" s="95"/>
      <c r="Y2285" s="95"/>
      <c r="Z2285" s="95"/>
      <c r="AA2285" s="95"/>
      <c r="AB2285" s="95"/>
      <c r="AC2285" s="355"/>
      <c r="AD2285" s="355"/>
      <c r="AE2285" s="355"/>
      <c r="AF2285" s="94">
        <f t="shared" si="300"/>
        <v>42704</v>
      </c>
      <c r="AG2285" s="185" t="e">
        <f t="shared" si="303"/>
        <v>#DIV/0!</v>
      </c>
      <c r="AH2285" s="339" t="str">
        <f>VLOOKUP(B2285,'MF PF'!A:B,2)</f>
        <v>FdMgt1</v>
      </c>
      <c r="AI2285" s="358">
        <f t="shared" si="301"/>
        <v>0</v>
      </c>
      <c r="AJ2285" s="94">
        <f t="shared" si="302"/>
        <v>42704</v>
      </c>
    </row>
    <row r="2286" spans="1:36" s="92" customFormat="1" ht="12.75" customHeight="1">
      <c r="A2286" s="94">
        <v>42735</v>
      </c>
      <c r="B2286" s="358" t="s">
        <v>175</v>
      </c>
      <c r="C2286" s="358" t="s">
        <v>347</v>
      </c>
      <c r="D2286" s="93">
        <v>19124196.309999999</v>
      </c>
      <c r="E2286" s="95"/>
      <c r="F2286" s="93"/>
      <c r="G2286" s="95"/>
      <c r="H2286" s="93"/>
      <c r="I2286" s="93"/>
      <c r="J2286" s="93"/>
      <c r="K2286" s="93"/>
      <c r="L2286" s="93">
        <f t="shared" si="298"/>
        <v>0</v>
      </c>
      <c r="M2286" s="95" t="e">
        <f t="shared" ca="1" si="299"/>
        <v>#DIV/0!</v>
      </c>
      <c r="N2286" s="95">
        <f>IF(P2286="Hedge Fund",IF(A2286=Summary!$AD$3,M2286-E2286,M2286),IF(A2286=Summary!$AD$3,L2286-D2286,L2286))</f>
        <v>0</v>
      </c>
      <c r="O2286" s="95"/>
      <c r="P2286" s="107" t="s">
        <v>155</v>
      </c>
      <c r="Q2286" s="95">
        <v>0</v>
      </c>
      <c r="R2286" s="95">
        <v>0</v>
      </c>
      <c r="S2286" s="95"/>
      <c r="T2286" s="95"/>
      <c r="U2286" s="95"/>
      <c r="V2286" s="95"/>
      <c r="W2286" s="95"/>
      <c r="X2286" s="95"/>
      <c r="Y2286" s="95"/>
      <c r="Z2286" s="95"/>
      <c r="AA2286" s="95"/>
      <c r="AB2286" s="95"/>
      <c r="AC2286" s="355"/>
      <c r="AD2286" s="355"/>
      <c r="AE2286" s="355"/>
      <c r="AF2286" s="94">
        <f t="shared" si="300"/>
        <v>42735</v>
      </c>
      <c r="AG2286" s="185">
        <f t="shared" si="303"/>
        <v>-8.7464867728153095E-3</v>
      </c>
      <c r="AH2286" s="339" t="str">
        <f>VLOOKUP(B2286,'MF PF'!A:B,2)</f>
        <v>FdMgt1</v>
      </c>
      <c r="AI2286" s="358">
        <f t="shared" si="301"/>
        <v>0</v>
      </c>
      <c r="AJ2286" s="94">
        <f t="shared" si="302"/>
        <v>42735</v>
      </c>
    </row>
    <row r="2287" spans="1:36" s="92" customFormat="1" ht="12.75" customHeight="1">
      <c r="A2287" s="94">
        <v>42766</v>
      </c>
      <c r="B2287" s="358" t="s">
        <v>175</v>
      </c>
      <c r="C2287" s="358" t="s">
        <v>347</v>
      </c>
      <c r="D2287" s="93">
        <v>19561469.890000001</v>
      </c>
      <c r="E2287" s="95"/>
      <c r="F2287" s="93"/>
      <c r="G2287" s="95"/>
      <c r="H2287" s="93"/>
      <c r="I2287" s="93"/>
      <c r="J2287" s="93"/>
      <c r="K2287" s="93"/>
      <c r="L2287" s="93">
        <f t="shared" si="298"/>
        <v>0</v>
      </c>
      <c r="M2287" s="95" t="e">
        <f t="shared" ca="1" si="299"/>
        <v>#DIV/0!</v>
      </c>
      <c r="N2287" s="95">
        <f>IF(P2287="Hedge Fund",IF(A2287=Summary!$AD$3,M2287-E2287,M2287),IF(A2287=Summary!$AD$3,L2287-D2287,L2287))</f>
        <v>0</v>
      </c>
      <c r="O2287" s="95"/>
      <c r="P2287" s="107" t="s">
        <v>155</v>
      </c>
      <c r="Q2287" s="95">
        <v>0</v>
      </c>
      <c r="R2287" s="95">
        <v>0</v>
      </c>
      <c r="S2287" s="95"/>
      <c r="T2287" s="95"/>
      <c r="U2287" s="95"/>
      <c r="V2287" s="95"/>
      <c r="W2287" s="95"/>
      <c r="X2287" s="95"/>
      <c r="Y2287" s="95"/>
      <c r="Z2287" s="95"/>
      <c r="AA2287" s="95"/>
      <c r="AB2287" s="95"/>
      <c r="AC2287" s="355"/>
      <c r="AD2287" s="355"/>
      <c r="AE2287" s="355"/>
      <c r="AF2287" s="94">
        <f t="shared" si="300"/>
        <v>42766</v>
      </c>
      <c r="AG2287" s="185">
        <f t="shared" si="303"/>
        <v>2.2864938892692255E-2</v>
      </c>
      <c r="AH2287" s="339" t="str">
        <f>VLOOKUP(B2287,'MF PF'!A:B,2)</f>
        <v>FdMgt1</v>
      </c>
      <c r="AI2287" s="358">
        <f t="shared" si="301"/>
        <v>0</v>
      </c>
      <c r="AJ2287" s="94">
        <f t="shared" si="302"/>
        <v>42766</v>
      </c>
    </row>
    <row r="2288" spans="1:36" s="92" customFormat="1" ht="12.75" customHeight="1">
      <c r="A2288" s="94">
        <v>42793</v>
      </c>
      <c r="B2288" s="358" t="s">
        <v>175</v>
      </c>
      <c r="C2288" s="358" t="s">
        <v>347</v>
      </c>
      <c r="D2288" s="93"/>
      <c r="E2288" s="95"/>
      <c r="F2288" s="93"/>
      <c r="G2288" s="95">
        <v>2937500</v>
      </c>
      <c r="H2288" s="93"/>
      <c r="I2288" s="93"/>
      <c r="J2288" s="93"/>
      <c r="K2288" s="93"/>
      <c r="L2288" s="93">
        <f t="shared" si="298"/>
        <v>2937500</v>
      </c>
      <c r="M2288" s="95" t="e">
        <f t="shared" ca="1" si="299"/>
        <v>#DIV/0!</v>
      </c>
      <c r="N2288" s="95">
        <f>IF(P2288="Hedge Fund",IF(A2288=Summary!$AD$3,M2288-E2288,M2288),IF(A2288=Summary!$AD$3,L2288-D2288,L2288))</f>
        <v>2937500</v>
      </c>
      <c r="O2288" s="95"/>
      <c r="P2288" s="107" t="s">
        <v>155</v>
      </c>
      <c r="Q2288" s="95">
        <v>0</v>
      </c>
      <c r="R2288" s="95">
        <v>0</v>
      </c>
      <c r="S2288" s="95"/>
      <c r="T2288" s="95"/>
      <c r="U2288" s="95"/>
      <c r="V2288" s="95"/>
      <c r="W2288" s="95"/>
      <c r="X2288" s="95"/>
      <c r="Y2288" s="95"/>
      <c r="Z2288" s="95"/>
      <c r="AA2288" s="95"/>
      <c r="AB2288" s="95"/>
      <c r="AC2288" s="355"/>
      <c r="AD2288" s="355"/>
      <c r="AE2288" s="355"/>
      <c r="AF2288" s="94">
        <f t="shared" si="300"/>
        <v>42793</v>
      </c>
      <c r="AG2288" s="185">
        <f t="shared" si="303"/>
        <v>-1.1501676518440813</v>
      </c>
      <c r="AH2288" s="339" t="str">
        <f>VLOOKUP(B2288,'MF PF'!A:B,2)</f>
        <v>FdMgt1</v>
      </c>
      <c r="AI2288" s="358">
        <f t="shared" si="301"/>
        <v>0</v>
      </c>
      <c r="AJ2288" s="94">
        <f t="shared" si="302"/>
        <v>42794</v>
      </c>
    </row>
    <row r="2289" spans="1:36" s="92" customFormat="1" ht="12.75" customHeight="1">
      <c r="A2289" s="94">
        <v>42794</v>
      </c>
      <c r="B2289" s="358" t="s">
        <v>175</v>
      </c>
      <c r="C2289" s="358" t="s">
        <v>347</v>
      </c>
      <c r="D2289" s="93">
        <v>23610370.989999998</v>
      </c>
      <c r="E2289" s="95"/>
      <c r="F2289" s="93"/>
      <c r="G2289" s="95"/>
      <c r="H2289" s="93"/>
      <c r="I2289" s="93"/>
      <c r="J2289" s="93"/>
      <c r="K2289" s="93"/>
      <c r="L2289" s="93">
        <f t="shared" si="298"/>
        <v>0</v>
      </c>
      <c r="M2289" s="95" t="e">
        <f t="shared" ca="1" si="299"/>
        <v>#DIV/0!</v>
      </c>
      <c r="N2289" s="95">
        <f>IF(P2289="Hedge Fund",IF(A2289=Summary!$AD$3,M2289-E2289,M2289),IF(A2289=Summary!$AD$3,L2289-D2289,L2289))</f>
        <v>0</v>
      </c>
      <c r="O2289" s="95"/>
      <c r="P2289" s="107" t="s">
        <v>155</v>
      </c>
      <c r="Q2289" s="95">
        <v>0</v>
      </c>
      <c r="R2289" s="95">
        <v>0</v>
      </c>
      <c r="S2289" s="95"/>
      <c r="T2289" s="95"/>
      <c r="U2289" s="95"/>
      <c r="V2289" s="95"/>
      <c r="W2289" s="95"/>
      <c r="X2289" s="95"/>
      <c r="Y2289" s="95"/>
      <c r="Z2289" s="95"/>
      <c r="AA2289" s="95"/>
      <c r="AB2289" s="95"/>
      <c r="AC2289" s="355"/>
      <c r="AD2289" s="355"/>
      <c r="AE2289" s="355"/>
      <c r="AF2289" s="94">
        <f t="shared" si="300"/>
        <v>42794</v>
      </c>
      <c r="AG2289" s="185" t="e">
        <f t="shared" si="303"/>
        <v>#DIV/0!</v>
      </c>
      <c r="AH2289" s="339" t="str">
        <f>VLOOKUP(B2289,'MF PF'!A:B,2)</f>
        <v>FdMgt1</v>
      </c>
      <c r="AI2289" s="358">
        <f t="shared" si="301"/>
        <v>0</v>
      </c>
      <c r="AJ2289" s="94">
        <f t="shared" si="302"/>
        <v>42794</v>
      </c>
    </row>
    <row r="2290" spans="1:36" s="92" customFormat="1" ht="12.75" customHeight="1">
      <c r="A2290" s="94">
        <v>42825</v>
      </c>
      <c r="B2290" s="358" t="s">
        <v>175</v>
      </c>
      <c r="C2290" s="358" t="s">
        <v>347</v>
      </c>
      <c r="D2290" s="93">
        <v>22742250.699999999</v>
      </c>
      <c r="E2290" s="95"/>
      <c r="F2290" s="93"/>
      <c r="G2290" s="95"/>
      <c r="H2290" s="93"/>
      <c r="I2290" s="93"/>
      <c r="J2290" s="93"/>
      <c r="K2290" s="93"/>
      <c r="L2290" s="93">
        <f t="shared" si="298"/>
        <v>0</v>
      </c>
      <c r="M2290" s="95" t="e">
        <f t="shared" ca="1" si="299"/>
        <v>#DIV/0!</v>
      </c>
      <c r="N2290" s="95">
        <f>IF(P2290="Hedge Fund",IF(A2290=Summary!$AD$3,M2290-E2290,M2290),IF(A2290=Summary!$AD$3,L2290-D2290,L2290))</f>
        <v>0</v>
      </c>
      <c r="O2290" s="95"/>
      <c r="P2290" s="107" t="s">
        <v>155</v>
      </c>
      <c r="Q2290" s="95">
        <v>0</v>
      </c>
      <c r="R2290" s="95">
        <v>0</v>
      </c>
      <c r="S2290" s="95"/>
      <c r="T2290" s="95"/>
      <c r="U2290" s="95"/>
      <c r="V2290" s="95"/>
      <c r="W2290" s="95"/>
      <c r="X2290" s="95"/>
      <c r="Y2290" s="95"/>
      <c r="Z2290" s="95"/>
      <c r="AA2290" s="95"/>
      <c r="AB2290" s="95"/>
      <c r="AC2290" s="355"/>
      <c r="AD2290" s="355"/>
      <c r="AE2290" s="355"/>
      <c r="AF2290" s="94">
        <f t="shared" si="300"/>
        <v>42825</v>
      </c>
      <c r="AG2290" s="185">
        <f t="shared" si="303"/>
        <v>-3.6768600136257268E-2</v>
      </c>
      <c r="AH2290" s="339" t="str">
        <f>VLOOKUP(B2290,'MF PF'!A:B,2)</f>
        <v>FdMgt1</v>
      </c>
      <c r="AI2290" s="358">
        <f t="shared" si="301"/>
        <v>0</v>
      </c>
      <c r="AJ2290" s="94">
        <f t="shared" si="302"/>
        <v>42825</v>
      </c>
    </row>
    <row r="2291" spans="1:36" s="92" customFormat="1" ht="12.75" customHeight="1">
      <c r="A2291" s="94">
        <v>42835</v>
      </c>
      <c r="B2291" s="358" t="s">
        <v>175</v>
      </c>
      <c r="C2291" s="358" t="s">
        <v>347</v>
      </c>
      <c r="D2291" s="93"/>
      <c r="E2291" s="95"/>
      <c r="F2291" s="93"/>
      <c r="G2291" s="95">
        <v>3375000</v>
      </c>
      <c r="H2291" s="93"/>
      <c r="I2291" s="93"/>
      <c r="J2291" s="93"/>
      <c r="K2291" s="93"/>
      <c r="L2291" s="93">
        <f t="shared" si="298"/>
        <v>3375000</v>
      </c>
      <c r="M2291" s="95" t="e">
        <f t="shared" ca="1" si="299"/>
        <v>#DIV/0!</v>
      </c>
      <c r="N2291" s="95">
        <f>IF(P2291="Hedge Fund",IF(A2291=Summary!$AD$3,M2291-E2291,M2291),IF(A2291=Summary!$AD$3,L2291-D2291,L2291))</f>
        <v>3375000</v>
      </c>
      <c r="O2291" s="95"/>
      <c r="P2291" s="107" t="s">
        <v>155</v>
      </c>
      <c r="Q2291" s="95">
        <v>0</v>
      </c>
      <c r="R2291" s="95">
        <v>0</v>
      </c>
      <c r="S2291" s="95"/>
      <c r="T2291" s="95"/>
      <c r="U2291" s="95"/>
      <c r="V2291" s="95"/>
      <c r="W2291" s="95"/>
      <c r="X2291" s="95"/>
      <c r="Y2291" s="95"/>
      <c r="Z2291" s="95"/>
      <c r="AA2291" s="95"/>
      <c r="AB2291" s="95"/>
      <c r="AC2291" s="355"/>
      <c r="AD2291" s="355"/>
      <c r="AE2291" s="355"/>
      <c r="AF2291" s="94">
        <f t="shared" si="300"/>
        <v>42835</v>
      </c>
      <c r="AG2291" s="185">
        <f t="shared" si="303"/>
        <v>-1.1484021983804795</v>
      </c>
      <c r="AH2291" s="339" t="str">
        <f>VLOOKUP(B2291,'MF PF'!A:B,2)</f>
        <v>FdMgt1</v>
      </c>
      <c r="AI2291" s="358">
        <f t="shared" si="301"/>
        <v>0</v>
      </c>
      <c r="AJ2291" s="94">
        <f t="shared" si="302"/>
        <v>42855</v>
      </c>
    </row>
    <row r="2292" spans="1:36" s="92" customFormat="1" ht="12.75" customHeight="1">
      <c r="A2292" s="94">
        <v>42855</v>
      </c>
      <c r="B2292" s="358" t="s">
        <v>175</v>
      </c>
      <c r="C2292" s="358" t="s">
        <v>347</v>
      </c>
      <c r="D2292" s="93">
        <v>26242258.850000001</v>
      </c>
      <c r="E2292" s="95"/>
      <c r="F2292" s="93"/>
      <c r="G2292" s="95"/>
      <c r="H2292" s="93"/>
      <c r="I2292" s="93"/>
      <c r="J2292" s="93"/>
      <c r="K2292" s="93"/>
      <c r="L2292" s="93">
        <f t="shared" si="298"/>
        <v>0</v>
      </c>
      <c r="M2292" s="95" t="e">
        <f t="shared" ca="1" si="299"/>
        <v>#DIV/0!</v>
      </c>
      <c r="N2292" s="95">
        <f>IF(P2292="Hedge Fund",IF(A2292=Summary!$AD$3,M2292-E2292,M2292),IF(A2292=Summary!$AD$3,L2292-D2292,L2292))</f>
        <v>0</v>
      </c>
      <c r="O2292" s="95"/>
      <c r="P2292" s="107" t="s">
        <v>155</v>
      </c>
      <c r="Q2292" s="95">
        <v>0</v>
      </c>
      <c r="R2292" s="95">
        <v>0</v>
      </c>
      <c r="S2292" s="95"/>
      <c r="T2292" s="95"/>
      <c r="U2292" s="95"/>
      <c r="V2292" s="95"/>
      <c r="W2292" s="95"/>
      <c r="X2292" s="95"/>
      <c r="Y2292" s="95"/>
      <c r="Z2292" s="95"/>
      <c r="AA2292" s="95"/>
      <c r="AB2292" s="95"/>
      <c r="AC2292" s="355"/>
      <c r="AD2292" s="355"/>
      <c r="AE2292" s="355"/>
      <c r="AF2292" s="94">
        <f t="shared" si="300"/>
        <v>42855</v>
      </c>
      <c r="AG2292" s="185" t="e">
        <f t="shared" si="303"/>
        <v>#DIV/0!</v>
      </c>
      <c r="AH2292" s="339" t="str">
        <f>VLOOKUP(B2292,'MF PF'!A:B,2)</f>
        <v>FdMgt1</v>
      </c>
      <c r="AI2292" s="358">
        <f t="shared" si="301"/>
        <v>0</v>
      </c>
      <c r="AJ2292" s="94">
        <f t="shared" si="302"/>
        <v>42855</v>
      </c>
    </row>
    <row r="2293" spans="1:36" s="92" customFormat="1" ht="12.75" customHeight="1">
      <c r="A2293" s="94">
        <v>42881</v>
      </c>
      <c r="B2293" s="358" t="s">
        <v>175</v>
      </c>
      <c r="C2293" s="358" t="s">
        <v>347</v>
      </c>
      <c r="D2293" s="93"/>
      <c r="E2293" s="95"/>
      <c r="F2293" s="93"/>
      <c r="G2293" s="358"/>
      <c r="H2293" s="93"/>
      <c r="I2293" s="95">
        <f>-1998733-96918.9131081034</f>
        <v>-2095651.9131081034</v>
      </c>
      <c r="J2293" s="93"/>
      <c r="K2293" s="93"/>
      <c r="L2293" s="93">
        <f t="shared" si="298"/>
        <v>-2095651.9131081034</v>
      </c>
      <c r="M2293" s="95" t="e">
        <f t="shared" ca="1" si="299"/>
        <v>#DIV/0!</v>
      </c>
      <c r="N2293" s="95">
        <f>IF(P2293="Hedge Fund",IF(A2293=Summary!$AD$3,M2293-E2293,M2293),IF(A2293=Summary!$AD$3,L2293-D2293,L2293))</f>
        <v>-2095651.9131081034</v>
      </c>
      <c r="O2293" s="95"/>
      <c r="P2293" s="107" t="s">
        <v>155</v>
      </c>
      <c r="Q2293" s="95">
        <v>0</v>
      </c>
      <c r="R2293" s="95">
        <v>0</v>
      </c>
      <c r="S2293" s="95"/>
      <c r="T2293" s="95"/>
      <c r="U2293" s="95"/>
      <c r="V2293" s="95"/>
      <c r="W2293" s="95"/>
      <c r="X2293" s="95"/>
      <c r="Y2293" s="95"/>
      <c r="Z2293" s="95"/>
      <c r="AA2293" s="95"/>
      <c r="AB2293" s="95"/>
      <c r="AC2293" s="355"/>
      <c r="AD2293" s="355"/>
      <c r="AE2293" s="355"/>
      <c r="AF2293" s="94">
        <f t="shared" si="300"/>
        <v>42881</v>
      </c>
      <c r="AG2293" s="185">
        <f t="shared" si="303"/>
        <v>-0.92014209123205482</v>
      </c>
      <c r="AH2293" s="339" t="str">
        <f>VLOOKUP(B2293,'MF PF'!A:B,2)</f>
        <v>FdMgt1</v>
      </c>
      <c r="AI2293" s="358">
        <f t="shared" si="301"/>
        <v>0</v>
      </c>
      <c r="AJ2293" s="94">
        <f t="shared" si="302"/>
        <v>42886</v>
      </c>
    </row>
    <row r="2294" spans="1:36" s="92" customFormat="1" ht="12.75" customHeight="1">
      <c r="A2294" s="94">
        <v>42881</v>
      </c>
      <c r="B2294" s="358" t="s">
        <v>175</v>
      </c>
      <c r="C2294" s="358" t="s">
        <v>347</v>
      </c>
      <c r="D2294" s="93"/>
      <c r="E2294" s="95"/>
      <c r="F2294" s="93"/>
      <c r="G2294" s="95">
        <v>5200926</v>
      </c>
      <c r="H2294" s="93"/>
      <c r="I2294" s="93"/>
      <c r="J2294" s="93"/>
      <c r="K2294" s="93"/>
      <c r="L2294" s="93">
        <f t="shared" si="298"/>
        <v>5200926</v>
      </c>
      <c r="M2294" s="95">
        <f t="shared" ca="1" si="299"/>
        <v>0</v>
      </c>
      <c r="N2294" s="95">
        <f>IF(P2294="Hedge Fund",IF(A2294=Summary!$AD$3,M2294-E2294,M2294),IF(A2294=Summary!$AD$3,L2294-D2294,L2294))</f>
        <v>5200926</v>
      </c>
      <c r="O2294" s="95"/>
      <c r="P2294" s="107" t="s">
        <v>155</v>
      </c>
      <c r="Q2294" s="95">
        <v>0</v>
      </c>
      <c r="R2294" s="95">
        <v>0</v>
      </c>
      <c r="S2294" s="95"/>
      <c r="T2294" s="95"/>
      <c r="U2294" s="95"/>
      <c r="V2294" s="95"/>
      <c r="W2294" s="95"/>
      <c r="X2294" s="95"/>
      <c r="Y2294" s="95"/>
      <c r="Z2294" s="95"/>
      <c r="AA2294" s="95"/>
      <c r="AB2294" s="95"/>
      <c r="AC2294" s="355"/>
      <c r="AD2294" s="355"/>
      <c r="AE2294" s="355"/>
      <c r="AF2294" s="94">
        <f t="shared" si="300"/>
        <v>42881</v>
      </c>
      <c r="AG2294" s="185" t="e">
        <f t="shared" si="303"/>
        <v>#DIV/0!</v>
      </c>
      <c r="AH2294" s="339" t="str">
        <f>VLOOKUP(B2294,'MF PF'!A:B,2)</f>
        <v>FdMgt1</v>
      </c>
      <c r="AI2294" s="358">
        <f t="shared" si="301"/>
        <v>0</v>
      </c>
      <c r="AJ2294" s="94">
        <f t="shared" si="302"/>
        <v>42886</v>
      </c>
    </row>
    <row r="2295" spans="1:36" s="92" customFormat="1" ht="12.75" customHeight="1">
      <c r="A2295" s="94">
        <v>42886</v>
      </c>
      <c r="B2295" s="358" t="s">
        <v>175</v>
      </c>
      <c r="C2295" s="358" t="s">
        <v>347</v>
      </c>
      <c r="D2295" s="93">
        <v>29560639.59</v>
      </c>
      <c r="E2295" s="95"/>
      <c r="F2295" s="93"/>
      <c r="G2295" s="95"/>
      <c r="H2295" s="93"/>
      <c r="I2295" s="93"/>
      <c r="J2295" s="93"/>
      <c r="K2295" s="93"/>
      <c r="L2295" s="93">
        <f t="shared" si="298"/>
        <v>0</v>
      </c>
      <c r="M2295" s="95" t="e">
        <f t="shared" ca="1" si="299"/>
        <v>#DIV/0!</v>
      </c>
      <c r="N2295" s="95">
        <f>IF(P2295="Hedge Fund",IF(A2295=Summary!$AD$3,M2295-E2295,M2295),IF(A2295=Summary!$AD$3,L2295-D2295,L2295))</f>
        <v>0</v>
      </c>
      <c r="O2295" s="95"/>
      <c r="P2295" s="107" t="s">
        <v>155</v>
      </c>
      <c r="Q2295" s="95">
        <v>0</v>
      </c>
      <c r="R2295" s="95">
        <v>0</v>
      </c>
      <c r="S2295" s="95"/>
      <c r="T2295" s="95"/>
      <c r="U2295" s="95"/>
      <c r="V2295" s="95"/>
      <c r="W2295" s="95"/>
      <c r="X2295" s="95"/>
      <c r="Y2295" s="95"/>
      <c r="Z2295" s="95"/>
      <c r="AA2295" s="95"/>
      <c r="AB2295" s="95"/>
      <c r="AC2295" s="355"/>
      <c r="AD2295" s="355"/>
      <c r="AE2295" s="355"/>
      <c r="AF2295" s="94">
        <f t="shared" si="300"/>
        <v>42886</v>
      </c>
      <c r="AG2295" s="185" t="e">
        <f t="shared" si="303"/>
        <v>#DIV/0!</v>
      </c>
      <c r="AH2295" s="339" t="str">
        <f>VLOOKUP(B2295,'MF PF'!A:B,2)</f>
        <v>FdMgt1</v>
      </c>
      <c r="AI2295" s="358">
        <f t="shared" si="301"/>
        <v>0</v>
      </c>
      <c r="AJ2295" s="94">
        <f t="shared" si="302"/>
        <v>42886</v>
      </c>
    </row>
    <row r="2296" spans="1:36" s="92" customFormat="1" ht="12.75" customHeight="1">
      <c r="A2296" s="94">
        <v>42916</v>
      </c>
      <c r="B2296" s="358" t="s">
        <v>175</v>
      </c>
      <c r="C2296" s="358" t="s">
        <v>347</v>
      </c>
      <c r="D2296" s="93">
        <v>29355785.370000001</v>
      </c>
      <c r="E2296" s="95"/>
      <c r="F2296" s="93"/>
      <c r="G2296" s="95"/>
      <c r="H2296" s="93"/>
      <c r="I2296" s="93"/>
      <c r="J2296" s="93"/>
      <c r="K2296" s="93"/>
      <c r="L2296" s="93">
        <f t="shared" si="298"/>
        <v>0</v>
      </c>
      <c r="M2296" s="95" t="e">
        <f t="shared" ca="1" si="299"/>
        <v>#DIV/0!</v>
      </c>
      <c r="N2296" s="95">
        <f>IF(P2296="Hedge Fund",IF(A2296=Summary!$AD$3,M2296-E2296,M2296),IF(A2296=Summary!$AD$3,L2296-D2296,L2296))</f>
        <v>0</v>
      </c>
      <c r="O2296" s="95"/>
      <c r="P2296" s="107" t="s">
        <v>155</v>
      </c>
      <c r="Q2296" s="95">
        <v>0</v>
      </c>
      <c r="R2296" s="95">
        <v>0</v>
      </c>
      <c r="S2296" s="95"/>
      <c r="T2296" s="95"/>
      <c r="U2296" s="95"/>
      <c r="V2296" s="95"/>
      <c r="W2296" s="95"/>
      <c r="X2296" s="95"/>
      <c r="Y2296" s="95"/>
      <c r="Z2296" s="95"/>
      <c r="AA2296" s="95"/>
      <c r="AB2296" s="95"/>
      <c r="AC2296" s="355"/>
      <c r="AD2296" s="355"/>
      <c r="AE2296" s="355"/>
      <c r="AF2296" s="94">
        <f t="shared" si="300"/>
        <v>42916</v>
      </c>
      <c r="AG2296" s="185">
        <f t="shared" si="303"/>
        <v>-6.9299657531529668E-3</v>
      </c>
      <c r="AH2296" s="339" t="str">
        <f>VLOOKUP(B2296,'MF PF'!A:B,2)</f>
        <v>FdMgt1</v>
      </c>
      <c r="AI2296" s="358">
        <f t="shared" si="301"/>
        <v>0</v>
      </c>
      <c r="AJ2296" s="94">
        <f t="shared" si="302"/>
        <v>42916</v>
      </c>
    </row>
    <row r="2297" spans="1:36" s="92" customFormat="1" ht="12.75" customHeight="1">
      <c r="A2297" s="94">
        <v>42947</v>
      </c>
      <c r="B2297" s="358" t="s">
        <v>175</v>
      </c>
      <c r="C2297" s="358" t="s">
        <v>347</v>
      </c>
      <c r="D2297" s="93">
        <v>26391831.539999999</v>
      </c>
      <c r="E2297" s="95"/>
      <c r="F2297" s="93"/>
      <c r="G2297" s="95"/>
      <c r="H2297" s="93"/>
      <c r="I2297" s="93"/>
      <c r="J2297" s="93"/>
      <c r="K2297" s="93"/>
      <c r="L2297" s="93">
        <f t="shared" si="298"/>
        <v>0</v>
      </c>
      <c r="M2297" s="95" t="e">
        <f t="shared" ca="1" si="299"/>
        <v>#DIV/0!</v>
      </c>
      <c r="N2297" s="95">
        <f>IF(P2297="Hedge Fund",IF(A2297=Summary!$AD$3,M2297-E2297,M2297),IF(A2297=Summary!$AD$3,L2297-D2297,L2297))</f>
        <v>0</v>
      </c>
      <c r="O2297" s="95"/>
      <c r="P2297" s="107" t="s">
        <v>155</v>
      </c>
      <c r="Q2297" s="95">
        <v>0</v>
      </c>
      <c r="R2297" s="95">
        <v>0</v>
      </c>
      <c r="S2297" s="95"/>
      <c r="T2297" s="95"/>
      <c r="U2297" s="95"/>
      <c r="V2297" s="95"/>
      <c r="W2297" s="95"/>
      <c r="X2297" s="95"/>
      <c r="Y2297" s="95"/>
      <c r="Z2297" s="95"/>
      <c r="AA2297" s="95"/>
      <c r="AB2297" s="95"/>
      <c r="AC2297" s="355"/>
      <c r="AD2297" s="355"/>
      <c r="AE2297" s="355"/>
      <c r="AF2297" s="94">
        <f t="shared" si="300"/>
        <v>42947</v>
      </c>
      <c r="AG2297" s="185">
        <f t="shared" si="303"/>
        <v>-0.1009665996886937</v>
      </c>
      <c r="AH2297" s="339" t="str">
        <f>VLOOKUP(B2297,'MF PF'!A:B,2)</f>
        <v>FdMgt1</v>
      </c>
      <c r="AI2297" s="358">
        <f t="shared" si="301"/>
        <v>0</v>
      </c>
      <c r="AJ2297" s="94">
        <f t="shared" si="302"/>
        <v>42947</v>
      </c>
    </row>
    <row r="2298" spans="1:36" s="92" customFormat="1" ht="12.75" customHeight="1">
      <c r="A2298" s="94">
        <v>42958</v>
      </c>
      <c r="B2298" s="358" t="s">
        <v>175</v>
      </c>
      <c r="C2298" s="358" t="s">
        <v>347</v>
      </c>
      <c r="D2298" s="93"/>
      <c r="E2298" s="95"/>
      <c r="F2298" s="93"/>
      <c r="G2298" s="358"/>
      <c r="H2298" s="93"/>
      <c r="I2298" s="95">
        <v>-2727680</v>
      </c>
      <c r="J2298" s="93"/>
      <c r="K2298" s="93"/>
      <c r="L2298" s="93">
        <f t="shared" si="298"/>
        <v>-2727680</v>
      </c>
      <c r="M2298" s="95" t="e">
        <f t="shared" ca="1" si="299"/>
        <v>#DIV/0!</v>
      </c>
      <c r="N2298" s="95">
        <f>IF(P2298="Hedge Fund",IF(A2298=Summary!$AD$3,M2298-E2298,M2298),IF(A2298=Summary!$AD$3,L2298-D2298,L2298))</f>
        <v>-2727680</v>
      </c>
      <c r="O2298" s="95"/>
      <c r="P2298" s="107" t="s">
        <v>155</v>
      </c>
      <c r="Q2298" s="95">
        <v>0</v>
      </c>
      <c r="R2298" s="95">
        <v>0</v>
      </c>
      <c r="S2298" s="95"/>
      <c r="T2298" s="95"/>
      <c r="U2298" s="95"/>
      <c r="V2298" s="95"/>
      <c r="W2298" s="95"/>
      <c r="X2298" s="95"/>
      <c r="Y2298" s="95"/>
      <c r="Z2298" s="95"/>
      <c r="AA2298" s="95"/>
      <c r="AB2298" s="95"/>
      <c r="AC2298" s="355"/>
      <c r="AD2298" s="355"/>
      <c r="AE2298" s="355"/>
      <c r="AF2298" s="94">
        <f t="shared" si="300"/>
        <v>42958</v>
      </c>
      <c r="AG2298" s="185">
        <f t="shared" si="303"/>
        <v>-0.89664680922709472</v>
      </c>
      <c r="AH2298" s="339" t="str">
        <f>VLOOKUP(B2298,'MF PF'!A:B,2)</f>
        <v>FdMgt1</v>
      </c>
      <c r="AI2298" s="358">
        <f t="shared" si="301"/>
        <v>0</v>
      </c>
      <c r="AJ2298" s="94">
        <f t="shared" si="302"/>
        <v>42978</v>
      </c>
    </row>
    <row r="2299" spans="1:36" s="92" customFormat="1" ht="12.75" customHeight="1">
      <c r="A2299" s="94">
        <v>42958</v>
      </c>
      <c r="B2299" s="358" t="s">
        <v>175</v>
      </c>
      <c r="C2299" s="358" t="s">
        <v>347</v>
      </c>
      <c r="D2299" s="93"/>
      <c r="E2299" s="95"/>
      <c r="F2299" s="93"/>
      <c r="G2299" s="95">
        <v>2727680</v>
      </c>
      <c r="H2299" s="93"/>
      <c r="I2299" s="93"/>
      <c r="J2299" s="93"/>
      <c r="K2299" s="93"/>
      <c r="L2299" s="93">
        <f t="shared" si="298"/>
        <v>2727680</v>
      </c>
      <c r="M2299" s="95">
        <f t="shared" ca="1" si="299"/>
        <v>0</v>
      </c>
      <c r="N2299" s="95">
        <f>IF(P2299="Hedge Fund",IF(A2299=Summary!$AD$3,M2299-E2299,M2299),IF(A2299=Summary!$AD$3,L2299-D2299,L2299))</f>
        <v>2727680</v>
      </c>
      <c r="O2299" s="95"/>
      <c r="P2299" s="107" t="s">
        <v>155</v>
      </c>
      <c r="Q2299" s="95">
        <v>0</v>
      </c>
      <c r="R2299" s="95">
        <v>0</v>
      </c>
      <c r="S2299" s="95"/>
      <c r="T2299" s="95"/>
      <c r="U2299" s="95"/>
      <c r="V2299" s="95"/>
      <c r="W2299" s="95"/>
      <c r="X2299" s="95"/>
      <c r="Y2299" s="95"/>
      <c r="Z2299" s="95"/>
      <c r="AA2299" s="95"/>
      <c r="AB2299" s="95"/>
      <c r="AC2299" s="355"/>
      <c r="AD2299" s="355"/>
      <c r="AE2299" s="355"/>
      <c r="AF2299" s="94">
        <f t="shared" si="300"/>
        <v>42958</v>
      </c>
      <c r="AG2299" s="185" t="e">
        <f t="shared" si="303"/>
        <v>#DIV/0!</v>
      </c>
      <c r="AH2299" s="339" t="str">
        <f>VLOOKUP(B2299,'MF PF'!A:B,2)</f>
        <v>FdMgt1</v>
      </c>
      <c r="AI2299" s="358">
        <f t="shared" si="301"/>
        <v>0</v>
      </c>
      <c r="AJ2299" s="94">
        <f t="shared" si="302"/>
        <v>42978</v>
      </c>
    </row>
    <row r="2300" spans="1:36" s="92" customFormat="1" ht="12.75" customHeight="1">
      <c r="A2300" s="94">
        <v>42978</v>
      </c>
      <c r="B2300" s="358" t="s">
        <v>175</v>
      </c>
      <c r="C2300" s="358" t="s">
        <v>347</v>
      </c>
      <c r="D2300" s="93">
        <v>29167725.57</v>
      </c>
      <c r="E2300" s="95"/>
      <c r="F2300" s="93"/>
      <c r="G2300" s="95"/>
      <c r="H2300" s="93"/>
      <c r="I2300" s="93"/>
      <c r="J2300" s="93"/>
      <c r="K2300" s="93"/>
      <c r="L2300" s="93">
        <f t="shared" si="298"/>
        <v>0</v>
      </c>
      <c r="M2300" s="95" t="e">
        <f t="shared" ca="1" si="299"/>
        <v>#DIV/0!</v>
      </c>
      <c r="N2300" s="95">
        <f>IF(P2300="Hedge Fund",IF(A2300=Summary!$AD$3,M2300-E2300,M2300),IF(A2300=Summary!$AD$3,L2300-D2300,L2300))</f>
        <v>0</v>
      </c>
      <c r="O2300" s="95"/>
      <c r="P2300" s="107" t="s">
        <v>155</v>
      </c>
      <c r="Q2300" s="95">
        <v>0</v>
      </c>
      <c r="R2300" s="95">
        <v>0</v>
      </c>
      <c r="S2300" s="95"/>
      <c r="T2300" s="95"/>
      <c r="U2300" s="95"/>
      <c r="V2300" s="95"/>
      <c r="W2300" s="95"/>
      <c r="X2300" s="95"/>
      <c r="Y2300" s="95"/>
      <c r="Z2300" s="95"/>
      <c r="AA2300" s="95"/>
      <c r="AB2300" s="95"/>
      <c r="AC2300" s="355"/>
      <c r="AD2300" s="355"/>
      <c r="AE2300" s="355"/>
      <c r="AF2300" s="94">
        <f t="shared" si="300"/>
        <v>42978</v>
      </c>
      <c r="AG2300" s="185" t="e">
        <f t="shared" si="303"/>
        <v>#DIV/0!</v>
      </c>
      <c r="AH2300" s="339" t="str">
        <f>VLOOKUP(B2300,'MF PF'!A:B,2)</f>
        <v>FdMgt1</v>
      </c>
      <c r="AI2300" s="358">
        <f t="shared" si="301"/>
        <v>0</v>
      </c>
      <c r="AJ2300" s="94">
        <f t="shared" si="302"/>
        <v>42978</v>
      </c>
    </row>
    <row r="2301" spans="1:36" s="92" customFormat="1" ht="12.75" customHeight="1">
      <c r="A2301" s="94">
        <v>43008</v>
      </c>
      <c r="B2301" s="358" t="s">
        <v>175</v>
      </c>
      <c r="C2301" s="358" t="s">
        <v>347</v>
      </c>
      <c r="D2301" s="93">
        <v>29326382.800000001</v>
      </c>
      <c r="E2301" s="95"/>
      <c r="F2301" s="93"/>
      <c r="G2301" s="95"/>
      <c r="H2301" s="93"/>
      <c r="I2301" s="93"/>
      <c r="J2301" s="93"/>
      <c r="K2301" s="93"/>
      <c r="L2301" s="93">
        <f t="shared" si="298"/>
        <v>0</v>
      </c>
      <c r="M2301" s="95" t="e">
        <f t="shared" ca="1" si="299"/>
        <v>#DIV/0!</v>
      </c>
      <c r="N2301" s="95">
        <f>IF(P2301="Hedge Fund",IF(A2301=Summary!$AD$3,M2301-E2301,M2301),IF(A2301=Summary!$AD$3,L2301-D2301,L2301))</f>
        <v>0</v>
      </c>
      <c r="O2301" s="95"/>
      <c r="P2301" s="107" t="s">
        <v>155</v>
      </c>
      <c r="Q2301" s="95">
        <v>0</v>
      </c>
      <c r="R2301" s="95">
        <v>0</v>
      </c>
      <c r="S2301" s="95"/>
      <c r="T2301" s="95"/>
      <c r="U2301" s="95"/>
      <c r="V2301" s="95"/>
      <c r="W2301" s="95"/>
      <c r="X2301" s="95"/>
      <c r="Y2301" s="95"/>
      <c r="Z2301" s="95"/>
      <c r="AA2301" s="95"/>
      <c r="AB2301" s="95"/>
      <c r="AC2301" s="355"/>
      <c r="AD2301" s="355"/>
      <c r="AE2301" s="355"/>
      <c r="AF2301" s="94">
        <f t="shared" si="300"/>
        <v>43008</v>
      </c>
      <c r="AG2301" s="185">
        <f t="shared" si="303"/>
        <v>5.4394789754599326E-3</v>
      </c>
      <c r="AH2301" s="339" t="str">
        <f>VLOOKUP(B2301,'MF PF'!A:B,2)</f>
        <v>FdMgt1</v>
      </c>
      <c r="AI2301" s="358">
        <f t="shared" si="301"/>
        <v>0</v>
      </c>
      <c r="AJ2301" s="94">
        <f t="shared" si="302"/>
        <v>43008</v>
      </c>
    </row>
    <row r="2302" spans="1:36" s="92" customFormat="1" ht="12.75" customHeight="1">
      <c r="A2302" s="94">
        <v>43039</v>
      </c>
      <c r="B2302" s="358" t="s">
        <v>175</v>
      </c>
      <c r="C2302" s="358" t="s">
        <v>347</v>
      </c>
      <c r="D2302" s="93">
        <v>29340747.600000001</v>
      </c>
      <c r="E2302" s="95"/>
      <c r="F2302" s="93"/>
      <c r="G2302" s="95"/>
      <c r="H2302" s="93"/>
      <c r="I2302" s="93"/>
      <c r="J2302" s="93"/>
      <c r="K2302" s="93"/>
      <c r="L2302" s="93">
        <f t="shared" si="298"/>
        <v>0</v>
      </c>
      <c r="M2302" s="95" t="e">
        <f t="shared" ca="1" si="299"/>
        <v>#DIV/0!</v>
      </c>
      <c r="N2302" s="95">
        <f>IF(P2302="Hedge Fund",IF(A2302=Summary!$AD$3,M2302-E2302,M2302),IF(A2302=Summary!$AD$3,L2302-D2302,L2302))</f>
        <v>0</v>
      </c>
      <c r="O2302" s="95"/>
      <c r="P2302" s="107" t="s">
        <v>155</v>
      </c>
      <c r="Q2302" s="95">
        <v>0</v>
      </c>
      <c r="R2302" s="95">
        <v>0</v>
      </c>
      <c r="S2302" s="95"/>
      <c r="T2302" s="95"/>
      <c r="U2302" s="95"/>
      <c r="V2302" s="95"/>
      <c r="W2302" s="95"/>
      <c r="X2302" s="95"/>
      <c r="Y2302" s="95"/>
      <c r="Z2302" s="95"/>
      <c r="AA2302" s="95"/>
      <c r="AB2302" s="95"/>
      <c r="AC2302" s="355"/>
      <c r="AD2302" s="355"/>
      <c r="AE2302" s="355"/>
      <c r="AF2302" s="94">
        <f t="shared" si="300"/>
        <v>43039</v>
      </c>
      <c r="AG2302" s="185">
        <f t="shared" si="303"/>
        <v>4.8982515497963952E-4</v>
      </c>
      <c r="AH2302" s="339" t="str">
        <f>VLOOKUP(B2302,'MF PF'!A:B,2)</f>
        <v>FdMgt1</v>
      </c>
      <c r="AI2302" s="358">
        <f t="shared" si="301"/>
        <v>0</v>
      </c>
      <c r="AJ2302" s="94">
        <f t="shared" si="302"/>
        <v>43039</v>
      </c>
    </row>
    <row r="2303" spans="1:36" s="92" customFormat="1" ht="12.75" customHeight="1">
      <c r="A2303" s="94">
        <v>43069</v>
      </c>
      <c r="B2303" s="358" t="s">
        <v>175</v>
      </c>
      <c r="C2303" s="358" t="s">
        <v>347</v>
      </c>
      <c r="D2303" s="93">
        <v>29255154.809999999</v>
      </c>
      <c r="E2303" s="95"/>
      <c r="F2303" s="93"/>
      <c r="G2303" s="95"/>
      <c r="H2303" s="93"/>
      <c r="I2303" s="93"/>
      <c r="J2303" s="93"/>
      <c r="K2303" s="93"/>
      <c r="L2303" s="93">
        <f t="shared" si="298"/>
        <v>0</v>
      </c>
      <c r="M2303" s="95" t="e">
        <f t="shared" ca="1" si="299"/>
        <v>#DIV/0!</v>
      </c>
      <c r="N2303" s="95">
        <f>IF(P2303="Hedge Fund",IF(A2303=Summary!$AD$3,M2303-E2303,M2303),IF(A2303=Summary!$AD$3,L2303-D2303,L2303))</f>
        <v>0</v>
      </c>
      <c r="O2303" s="95"/>
      <c r="P2303" s="107" t="s">
        <v>155</v>
      </c>
      <c r="Q2303" s="95">
        <v>0</v>
      </c>
      <c r="R2303" s="95">
        <v>0</v>
      </c>
      <c r="S2303" s="95"/>
      <c r="T2303" s="95"/>
      <c r="U2303" s="95"/>
      <c r="V2303" s="95"/>
      <c r="W2303" s="95"/>
      <c r="X2303" s="95"/>
      <c r="Y2303" s="95"/>
      <c r="Z2303" s="95"/>
      <c r="AA2303" s="95"/>
      <c r="AB2303" s="95"/>
      <c r="AC2303" s="355"/>
      <c r="AD2303" s="355"/>
      <c r="AE2303" s="355"/>
      <c r="AF2303" s="94">
        <f t="shared" si="300"/>
        <v>43069</v>
      </c>
      <c r="AG2303" s="185">
        <f t="shared" si="303"/>
        <v>-2.9171986742424494E-3</v>
      </c>
      <c r="AH2303" s="339" t="str">
        <f>VLOOKUP(B2303,'MF PF'!A:B,2)</f>
        <v>FdMgt1</v>
      </c>
      <c r="AI2303" s="358">
        <f t="shared" si="301"/>
        <v>0</v>
      </c>
      <c r="AJ2303" s="94">
        <f t="shared" si="302"/>
        <v>43069</v>
      </c>
    </row>
    <row r="2304" spans="1:36" s="92" customFormat="1" ht="12.75" customHeight="1">
      <c r="A2304" s="94">
        <v>43087</v>
      </c>
      <c r="B2304" s="358" t="s">
        <v>175</v>
      </c>
      <c r="C2304" s="358" t="s">
        <v>347</v>
      </c>
      <c r="D2304" s="93"/>
      <c r="E2304" s="95"/>
      <c r="F2304" s="93"/>
      <c r="G2304" s="358"/>
      <c r="H2304" s="93"/>
      <c r="I2304" s="95">
        <v>-3529357.19</v>
      </c>
      <c r="J2304" s="93"/>
      <c r="K2304" s="93"/>
      <c r="L2304" s="93">
        <f t="shared" si="298"/>
        <v>-3529357.19</v>
      </c>
      <c r="M2304" s="95" t="e">
        <f t="shared" ca="1" si="299"/>
        <v>#DIV/0!</v>
      </c>
      <c r="N2304" s="95">
        <f>IF(P2304="Hedge Fund",IF(A2304=Summary!$AD$3,M2304-E2304,M2304),IF(A2304=Summary!$AD$3,L2304-D2304,L2304))</f>
        <v>-3529357.19</v>
      </c>
      <c r="O2304" s="95"/>
      <c r="P2304" s="107" t="s">
        <v>155</v>
      </c>
      <c r="Q2304" s="95">
        <v>0</v>
      </c>
      <c r="R2304" s="95">
        <v>0</v>
      </c>
      <c r="S2304" s="95"/>
      <c r="T2304" s="95"/>
      <c r="U2304" s="95"/>
      <c r="V2304" s="95"/>
      <c r="W2304" s="95"/>
      <c r="X2304" s="95"/>
      <c r="Y2304" s="95"/>
      <c r="Z2304" s="95"/>
      <c r="AA2304" s="95"/>
      <c r="AB2304" s="95"/>
      <c r="AC2304" s="355"/>
      <c r="AD2304" s="355"/>
      <c r="AE2304" s="355"/>
      <c r="AF2304" s="94">
        <f t="shared" si="300"/>
        <v>43087</v>
      </c>
      <c r="AG2304" s="185">
        <f t="shared" si="303"/>
        <v>-0.87935947654621216</v>
      </c>
      <c r="AH2304" s="339" t="str">
        <f>VLOOKUP(B2304,'MF PF'!A:B,2)</f>
        <v>FdMgt1</v>
      </c>
      <c r="AI2304" s="358">
        <f t="shared" si="301"/>
        <v>0</v>
      </c>
      <c r="AJ2304" s="94">
        <f t="shared" si="302"/>
        <v>43100</v>
      </c>
    </row>
    <row r="2305" spans="1:53" s="92" customFormat="1" ht="12.75" customHeight="1">
      <c r="A2305" s="94">
        <v>43087</v>
      </c>
      <c r="B2305" s="358" t="s">
        <v>175</v>
      </c>
      <c r="C2305" s="358" t="s">
        <v>347</v>
      </c>
      <c r="D2305" s="93"/>
      <c r="E2305" s="95"/>
      <c r="F2305" s="93"/>
      <c r="G2305" s="95">
        <v>3529357.19</v>
      </c>
      <c r="H2305" s="93"/>
      <c r="I2305" s="93"/>
      <c r="J2305" s="93"/>
      <c r="K2305" s="93"/>
      <c r="L2305" s="93">
        <f t="shared" si="298"/>
        <v>3529357.19</v>
      </c>
      <c r="M2305" s="95">
        <f t="shared" ca="1" si="299"/>
        <v>0</v>
      </c>
      <c r="N2305" s="95">
        <f>IF(P2305="Hedge Fund",IF(A2305=Summary!$AD$3,M2305-E2305,M2305),IF(A2305=Summary!$AD$3,L2305-D2305,L2305))</f>
        <v>3529357.19</v>
      </c>
      <c r="O2305" s="95"/>
      <c r="P2305" s="107" t="s">
        <v>155</v>
      </c>
      <c r="Q2305" s="95">
        <v>0</v>
      </c>
      <c r="R2305" s="95">
        <v>0</v>
      </c>
      <c r="S2305" s="95"/>
      <c r="T2305" s="95"/>
      <c r="U2305" s="95"/>
      <c r="V2305" s="95"/>
      <c r="W2305" s="95"/>
      <c r="X2305" s="95"/>
      <c r="Y2305" s="95"/>
      <c r="Z2305" s="95"/>
      <c r="AA2305" s="95"/>
      <c r="AB2305" s="95"/>
      <c r="AC2305" s="355"/>
      <c r="AD2305" s="355"/>
      <c r="AE2305" s="355"/>
      <c r="AF2305" s="94">
        <f t="shared" si="300"/>
        <v>43087</v>
      </c>
      <c r="AG2305" s="185" t="e">
        <f t="shared" si="303"/>
        <v>#DIV/0!</v>
      </c>
      <c r="AH2305" s="339" t="str">
        <f>VLOOKUP(B2305,'MF PF'!A:B,2)</f>
        <v>FdMgt1</v>
      </c>
      <c r="AI2305" s="358">
        <f t="shared" si="301"/>
        <v>0</v>
      </c>
      <c r="AJ2305" s="94">
        <f t="shared" si="302"/>
        <v>43100</v>
      </c>
    </row>
    <row r="2306" spans="1:53" s="92" customFormat="1" ht="12.75" customHeight="1">
      <c r="A2306" s="94">
        <v>43100</v>
      </c>
      <c r="B2306" s="358" t="s">
        <v>175</v>
      </c>
      <c r="C2306" s="358" t="s">
        <v>347</v>
      </c>
      <c r="D2306" s="93">
        <v>34089075.68</v>
      </c>
      <c r="E2306" s="95"/>
      <c r="F2306" s="93"/>
      <c r="G2306" s="95"/>
      <c r="H2306" s="93"/>
      <c r="I2306" s="93"/>
      <c r="J2306" s="93"/>
      <c r="K2306" s="93"/>
      <c r="L2306" s="93">
        <f t="shared" si="298"/>
        <v>0</v>
      </c>
      <c r="M2306" s="95" t="e">
        <f t="shared" ca="1" si="299"/>
        <v>#DIV/0!</v>
      </c>
      <c r="N2306" s="95">
        <f>IF(P2306="Hedge Fund",IF(A2306=Summary!$AD$3,M2306-E2306,M2306),IF(A2306=Summary!$AD$3,L2306-D2306,L2306))</f>
        <v>0</v>
      </c>
      <c r="O2306" s="95"/>
      <c r="P2306" s="107" t="s">
        <v>155</v>
      </c>
      <c r="Q2306" s="95">
        <v>0</v>
      </c>
      <c r="R2306" s="95">
        <v>0</v>
      </c>
      <c r="S2306" s="95"/>
      <c r="T2306" s="95"/>
      <c r="U2306" s="95"/>
      <c r="V2306" s="95"/>
      <c r="W2306" s="95"/>
      <c r="X2306" s="95"/>
      <c r="Y2306" s="95"/>
      <c r="Z2306" s="95"/>
      <c r="AA2306" s="95"/>
      <c r="AB2306" s="95"/>
      <c r="AC2306" s="355"/>
      <c r="AD2306" s="355"/>
      <c r="AE2306" s="355"/>
      <c r="AF2306" s="94">
        <f t="shared" si="300"/>
        <v>43100</v>
      </c>
      <c r="AG2306" s="185" t="e">
        <f t="shared" si="303"/>
        <v>#DIV/0!</v>
      </c>
      <c r="AH2306" s="339" t="str">
        <f>VLOOKUP(B2306,'MF PF'!A:B,2)</f>
        <v>FdMgt1</v>
      </c>
      <c r="AI2306" s="358">
        <f t="shared" si="301"/>
        <v>0</v>
      </c>
      <c r="AJ2306" s="94">
        <f t="shared" si="302"/>
        <v>43100</v>
      </c>
    </row>
    <row r="2307" spans="1:53" s="92" customFormat="1" ht="12.75" customHeight="1">
      <c r="A2307" s="94">
        <v>43131</v>
      </c>
      <c r="B2307" s="358" t="s">
        <v>175</v>
      </c>
      <c r="C2307" s="358" t="s">
        <v>347</v>
      </c>
      <c r="D2307" s="93">
        <v>36073324.969999999</v>
      </c>
      <c r="E2307" s="95"/>
      <c r="F2307" s="93"/>
      <c r="G2307" s="95"/>
      <c r="H2307" s="93"/>
      <c r="I2307" s="93"/>
      <c r="J2307" s="93"/>
      <c r="K2307" s="93"/>
      <c r="L2307" s="93">
        <f t="shared" ref="L2307:L2370" si="305">G2307+H2307+I2307</f>
        <v>0</v>
      </c>
      <c r="M2307" s="95" t="e">
        <f t="shared" ref="M2307:M2370" ca="1" si="306">IF(A2307&gt;INDIRECT("A"&amp;ROW()-1),I2307/K2307,E2307)</f>
        <v>#DIV/0!</v>
      </c>
      <c r="N2307" s="95">
        <f>IF(P2307="Hedge Fund",IF(A2307=Summary!$AD$3,M2307-E2307,M2307),IF(A2307=Summary!$AD$3,L2307-D2307,L2307))</f>
        <v>0</v>
      </c>
      <c r="O2307" s="95"/>
      <c r="P2307" s="107" t="s">
        <v>155</v>
      </c>
      <c r="Q2307" s="95"/>
      <c r="R2307" s="95">
        <v>0</v>
      </c>
      <c r="S2307" s="95"/>
      <c r="T2307" s="95"/>
      <c r="U2307" s="95"/>
      <c r="V2307" s="95"/>
      <c r="W2307" s="95"/>
      <c r="X2307" s="95"/>
      <c r="Y2307" s="95"/>
      <c r="Z2307" s="95"/>
      <c r="AA2307" s="95"/>
      <c r="AB2307" s="95"/>
      <c r="AC2307" s="355"/>
      <c r="AD2307" s="355"/>
      <c r="AE2307" s="355"/>
      <c r="AF2307" s="94">
        <f t="shared" ref="AF2307:AF2370" si="307">A2307</f>
        <v>43131</v>
      </c>
      <c r="AG2307" s="185">
        <f t="shared" si="303"/>
        <v>5.8207776257311439E-2</v>
      </c>
      <c r="AH2307" s="339" t="str">
        <f>VLOOKUP(B2307,'MF PF'!A:B,2)</f>
        <v>FdMgt1</v>
      </c>
      <c r="AI2307" s="358">
        <f t="shared" ref="AI2307:AI2370" si="308">AF2307-A2307</f>
        <v>0</v>
      </c>
      <c r="AJ2307" s="94">
        <f t="shared" ref="AJ2307:AJ2370" si="309">EOMONTH(A2307,0)</f>
        <v>43131</v>
      </c>
    </row>
    <row r="2308" spans="1:53" s="92" customFormat="1" ht="12.75" customHeight="1">
      <c r="A2308" s="94">
        <v>43159</v>
      </c>
      <c r="B2308" s="358" t="s">
        <v>175</v>
      </c>
      <c r="C2308" s="358" t="s">
        <v>347</v>
      </c>
      <c r="D2308" s="93">
        <v>36230799.289999999</v>
      </c>
      <c r="E2308" s="95"/>
      <c r="F2308" s="93"/>
      <c r="G2308" s="95"/>
      <c r="H2308" s="93"/>
      <c r="I2308" s="93"/>
      <c r="J2308" s="93"/>
      <c r="K2308" s="93"/>
      <c r="L2308" s="93">
        <f t="shared" si="305"/>
        <v>0</v>
      </c>
      <c r="M2308" s="95" t="e">
        <f t="shared" ca="1" si="306"/>
        <v>#DIV/0!</v>
      </c>
      <c r="N2308" s="95">
        <f>IF(P2308="Hedge Fund",IF(A2308=Summary!$AD$3,M2308-E2308,M2308),IF(A2308=Summary!$AD$3,L2308-D2308,L2308))</f>
        <v>0</v>
      </c>
      <c r="O2308" s="95"/>
      <c r="P2308" s="107" t="s">
        <v>155</v>
      </c>
      <c r="Q2308" s="95"/>
      <c r="R2308" s="95">
        <v>0</v>
      </c>
      <c r="S2308" s="95"/>
      <c r="T2308" s="95"/>
      <c r="U2308" s="95"/>
      <c r="V2308" s="95"/>
      <c r="W2308" s="95"/>
      <c r="X2308" s="95"/>
      <c r="Y2308" s="95"/>
      <c r="Z2308" s="95"/>
      <c r="AA2308" s="95"/>
      <c r="AB2308" s="95"/>
      <c r="AC2308" s="355"/>
      <c r="AD2308" s="355"/>
      <c r="AE2308" s="355"/>
      <c r="AF2308" s="94">
        <f t="shared" si="307"/>
        <v>43159</v>
      </c>
      <c r="AG2308" s="185">
        <f t="shared" si="303"/>
        <v>4.3653952090905168E-3</v>
      </c>
      <c r="AH2308" s="339" t="str">
        <f>VLOOKUP(B2308,'MF PF'!A:B,2)</f>
        <v>FdMgt1</v>
      </c>
      <c r="AI2308" s="358">
        <f t="shared" si="308"/>
        <v>0</v>
      </c>
      <c r="AJ2308" s="94">
        <f t="shared" si="309"/>
        <v>43159</v>
      </c>
    </row>
    <row r="2309" spans="1:53" s="92" customFormat="1" ht="12.75" customHeight="1">
      <c r="A2309" s="94">
        <v>43190</v>
      </c>
      <c r="B2309" s="358" t="s">
        <v>175</v>
      </c>
      <c r="C2309" s="358" t="s">
        <v>347</v>
      </c>
      <c r="D2309" s="93">
        <v>36614362.719999999</v>
      </c>
      <c r="E2309" s="95"/>
      <c r="F2309" s="93"/>
      <c r="G2309" s="95"/>
      <c r="H2309" s="93"/>
      <c r="I2309" s="93"/>
      <c r="J2309" s="93"/>
      <c r="K2309" s="93"/>
      <c r="L2309" s="93">
        <f t="shared" si="305"/>
        <v>0</v>
      </c>
      <c r="M2309" s="95" t="e">
        <f t="shared" ca="1" si="306"/>
        <v>#DIV/0!</v>
      </c>
      <c r="N2309" s="95">
        <f>IF(P2309="Hedge Fund",IF(A2309=Summary!$AD$3,M2309-E2309,M2309),IF(A2309=Summary!$AD$3,L2309-D2309,L2309))</f>
        <v>0</v>
      </c>
      <c r="O2309" s="95"/>
      <c r="P2309" s="107" t="s">
        <v>155</v>
      </c>
      <c r="Q2309" s="95">
        <v>0</v>
      </c>
      <c r="R2309" s="95">
        <v>0</v>
      </c>
      <c r="S2309" s="95"/>
      <c r="T2309" s="95"/>
      <c r="U2309" s="95"/>
      <c r="V2309" s="95"/>
      <c r="W2309" s="95"/>
      <c r="X2309" s="95"/>
      <c r="Y2309" s="95"/>
      <c r="Z2309" s="95"/>
      <c r="AA2309" s="95"/>
      <c r="AB2309" s="95"/>
      <c r="AC2309" s="355"/>
      <c r="AD2309" s="355"/>
      <c r="AE2309" s="355"/>
      <c r="AF2309" s="94">
        <f t="shared" si="307"/>
        <v>43190</v>
      </c>
      <c r="AG2309" s="185">
        <f t="shared" si="303"/>
        <v>1.058666762855176E-2</v>
      </c>
      <c r="AH2309" s="339" t="str">
        <f>VLOOKUP(B2309,'MF PF'!A:B,2)</f>
        <v>FdMgt1</v>
      </c>
      <c r="AI2309" s="358">
        <f t="shared" si="308"/>
        <v>0</v>
      </c>
      <c r="AJ2309" s="94">
        <f t="shared" si="309"/>
        <v>43190</v>
      </c>
    </row>
    <row r="2310" spans="1:53" s="96" customFormat="1" ht="12.75" customHeight="1">
      <c r="A2310" s="94">
        <v>43220</v>
      </c>
      <c r="B2310" s="358" t="s">
        <v>175</v>
      </c>
      <c r="C2310" s="358" t="s">
        <v>347</v>
      </c>
      <c r="D2310" s="93">
        <v>36349157.57</v>
      </c>
      <c r="E2310" s="95"/>
      <c r="F2310" s="93"/>
      <c r="G2310" s="95"/>
      <c r="H2310" s="93"/>
      <c r="I2310" s="93"/>
      <c r="J2310" s="93"/>
      <c r="K2310" s="93"/>
      <c r="L2310" s="93">
        <f t="shared" si="305"/>
        <v>0</v>
      </c>
      <c r="M2310" s="95" t="e">
        <f t="shared" ca="1" si="306"/>
        <v>#DIV/0!</v>
      </c>
      <c r="N2310" s="95">
        <f>IF(P2310="Hedge Fund",IF(A2310=Summary!$AD$3,M2310-E2310,M2310),IF(A2310=Summary!$AD$3,L2310-D2310,L2310))</f>
        <v>0</v>
      </c>
      <c r="O2310" s="95"/>
      <c r="P2310" s="107" t="s">
        <v>155</v>
      </c>
      <c r="Q2310" s="95"/>
      <c r="R2310" s="95">
        <v>0</v>
      </c>
      <c r="S2310" s="95"/>
      <c r="T2310" s="95"/>
      <c r="U2310" s="95"/>
      <c r="V2310" s="95"/>
      <c r="W2310" s="95"/>
      <c r="X2310" s="95"/>
      <c r="Y2310" s="95"/>
      <c r="Z2310" s="95"/>
      <c r="AA2310" s="95"/>
      <c r="AB2310" s="95"/>
      <c r="AC2310" s="355"/>
      <c r="AD2310" s="355"/>
      <c r="AE2310" s="355"/>
      <c r="AF2310" s="94">
        <f t="shared" si="307"/>
        <v>43220</v>
      </c>
      <c r="AG2310" s="185">
        <f t="shared" ref="AG2310:AG2373" si="310">IF(C2310&lt;&gt;C2309,D2310/G2310-1,(D2310-G2310-I2310-H2310)/(D2309)-1)</f>
        <v>-7.2431999439153127E-3</v>
      </c>
      <c r="AH2310" s="339" t="str">
        <f>VLOOKUP(B2310,'MF PF'!A:B,2)</f>
        <v>FdMgt1</v>
      </c>
      <c r="AI2310" s="358">
        <f t="shared" si="308"/>
        <v>0</v>
      </c>
      <c r="AJ2310" s="94">
        <f t="shared" si="309"/>
        <v>43220</v>
      </c>
      <c r="AK2310" s="358"/>
      <c r="AL2310" s="358"/>
      <c r="AM2310" s="358"/>
      <c r="AN2310" s="358"/>
      <c r="AO2310" s="358"/>
      <c r="AP2310" s="358"/>
      <c r="AQ2310" s="358"/>
      <c r="AR2310" s="358"/>
      <c r="AS2310" s="358"/>
      <c r="AT2310" s="358"/>
      <c r="AU2310" s="358"/>
      <c r="AV2310" s="358"/>
      <c r="AW2310" s="358"/>
      <c r="AX2310" s="358"/>
      <c r="AY2310" s="358"/>
      <c r="AZ2310" s="358"/>
      <c r="BA2310" s="358"/>
    </row>
    <row r="2311" spans="1:53" s="96" customFormat="1" ht="12.75" customHeight="1">
      <c r="A2311" s="94">
        <v>43251</v>
      </c>
      <c r="B2311" s="358" t="s">
        <v>175</v>
      </c>
      <c r="C2311" s="358" t="s">
        <v>347</v>
      </c>
      <c r="D2311" s="93">
        <v>36822017.270000003</v>
      </c>
      <c r="E2311" s="95"/>
      <c r="F2311" s="93"/>
      <c r="G2311" s="95"/>
      <c r="H2311" s="93"/>
      <c r="I2311" s="93"/>
      <c r="J2311" s="93"/>
      <c r="K2311" s="93"/>
      <c r="L2311" s="93">
        <f t="shared" si="305"/>
        <v>0</v>
      </c>
      <c r="M2311" s="95" t="e">
        <f t="shared" ca="1" si="306"/>
        <v>#DIV/0!</v>
      </c>
      <c r="N2311" s="95">
        <f>IF(P2311="Hedge Fund",IF(A2311=Summary!$AD$3,M2311-E2311,M2311),IF(A2311=Summary!$AD$3,L2311-D2311,L2311))</f>
        <v>0</v>
      </c>
      <c r="O2311" s="95"/>
      <c r="P2311" s="107" t="s">
        <v>155</v>
      </c>
      <c r="Q2311" s="95"/>
      <c r="R2311" s="95">
        <v>0</v>
      </c>
      <c r="S2311" s="95"/>
      <c r="T2311" s="95"/>
      <c r="U2311" s="95"/>
      <c r="V2311" s="95"/>
      <c r="W2311" s="95"/>
      <c r="X2311" s="95"/>
      <c r="Y2311" s="95"/>
      <c r="Z2311" s="95"/>
      <c r="AA2311" s="95"/>
      <c r="AB2311" s="95"/>
      <c r="AC2311" s="355"/>
      <c r="AD2311" s="355"/>
      <c r="AE2311" s="355"/>
      <c r="AF2311" s="94">
        <f t="shared" si="307"/>
        <v>43251</v>
      </c>
      <c r="AG2311" s="185">
        <f t="shared" si="310"/>
        <v>1.3008821431126361E-2</v>
      </c>
      <c r="AH2311" s="339" t="str">
        <f>VLOOKUP(B2311,'MF PF'!A:B,2)</f>
        <v>FdMgt1</v>
      </c>
      <c r="AI2311" s="358">
        <f t="shared" si="308"/>
        <v>0</v>
      </c>
      <c r="AJ2311" s="94">
        <f t="shared" si="309"/>
        <v>43251</v>
      </c>
      <c r="AK2311" s="358"/>
      <c r="AL2311" s="358"/>
      <c r="AM2311" s="358"/>
      <c r="AN2311" s="358"/>
      <c r="AO2311" s="358"/>
      <c r="AP2311" s="358"/>
      <c r="AQ2311" s="358"/>
      <c r="AR2311" s="358"/>
      <c r="AS2311" s="358"/>
      <c r="AT2311" s="358"/>
      <c r="AU2311" s="358"/>
      <c r="AV2311" s="358"/>
      <c r="AW2311" s="358"/>
      <c r="AX2311" s="358"/>
      <c r="AY2311" s="358"/>
      <c r="AZ2311" s="358"/>
      <c r="BA2311" s="358"/>
    </row>
    <row r="2312" spans="1:53" s="92" customFormat="1" ht="12.75" customHeight="1">
      <c r="A2312" s="94">
        <v>43281</v>
      </c>
      <c r="B2312" s="358" t="s">
        <v>175</v>
      </c>
      <c r="C2312" s="358" t="s">
        <v>347</v>
      </c>
      <c r="D2312" s="93">
        <v>36634448.640000001</v>
      </c>
      <c r="E2312" s="95"/>
      <c r="F2312" s="93"/>
      <c r="G2312" s="95"/>
      <c r="H2312" s="93"/>
      <c r="I2312" s="93"/>
      <c r="J2312" s="93"/>
      <c r="K2312" s="93"/>
      <c r="L2312" s="93">
        <f t="shared" si="305"/>
        <v>0</v>
      </c>
      <c r="M2312" s="95" t="e">
        <f t="shared" ca="1" si="306"/>
        <v>#DIV/0!</v>
      </c>
      <c r="N2312" s="95">
        <f>IF(P2312="Hedge Fund",IF(A2312=Summary!$AD$3,M2312-E2312,M2312),IF(A2312=Summary!$AD$3,L2312-D2312,L2312))</f>
        <v>0</v>
      </c>
      <c r="O2312" s="95"/>
      <c r="P2312" s="107" t="s">
        <v>155</v>
      </c>
      <c r="Q2312" s="95">
        <v>0</v>
      </c>
      <c r="R2312" s="95">
        <v>0</v>
      </c>
      <c r="S2312" s="95"/>
      <c r="T2312" s="95"/>
      <c r="U2312" s="95"/>
      <c r="V2312" s="95"/>
      <c r="W2312" s="95"/>
      <c r="X2312" s="95"/>
      <c r="Y2312" s="95"/>
      <c r="Z2312" s="95"/>
      <c r="AA2312" s="95"/>
      <c r="AB2312" s="95"/>
      <c r="AC2312" s="355"/>
      <c r="AD2312" s="355"/>
      <c r="AE2312" s="355"/>
      <c r="AF2312" s="94">
        <f t="shared" si="307"/>
        <v>43281</v>
      </c>
      <c r="AG2312" s="185">
        <f t="shared" si="310"/>
        <v>-5.0939259689288807E-3</v>
      </c>
      <c r="AH2312" s="339" t="str">
        <f>VLOOKUP(B2312,'MF PF'!A:B,2)</f>
        <v>FdMgt1</v>
      </c>
      <c r="AI2312" s="358">
        <f t="shared" si="308"/>
        <v>0</v>
      </c>
      <c r="AJ2312" s="94">
        <f t="shared" si="309"/>
        <v>43281</v>
      </c>
    </row>
    <row r="2313" spans="1:53" s="92" customFormat="1" ht="12.75" customHeight="1">
      <c r="A2313" s="94">
        <v>43312</v>
      </c>
      <c r="B2313" s="358" t="s">
        <v>175</v>
      </c>
      <c r="C2313" s="358" t="s">
        <v>347</v>
      </c>
      <c r="D2313" s="93">
        <v>36268340.859999999</v>
      </c>
      <c r="E2313" s="95"/>
      <c r="F2313" s="93"/>
      <c r="G2313" s="95"/>
      <c r="H2313" s="93"/>
      <c r="I2313" s="93"/>
      <c r="J2313" s="93"/>
      <c r="K2313" s="93"/>
      <c r="L2313" s="93">
        <f t="shared" si="305"/>
        <v>0</v>
      </c>
      <c r="M2313" s="95" t="e">
        <f t="shared" ca="1" si="306"/>
        <v>#DIV/0!</v>
      </c>
      <c r="N2313" s="95">
        <f>IF(P2313="Hedge Fund",IF(A2313=Summary!$AD$3,M2313-E2313,M2313),IF(A2313=Summary!$AD$3,L2313-D2313,L2313))</f>
        <v>0</v>
      </c>
      <c r="O2313" s="95"/>
      <c r="P2313" s="107" t="s">
        <v>155</v>
      </c>
      <c r="Q2313" s="95">
        <v>0</v>
      </c>
      <c r="R2313" s="95">
        <v>0</v>
      </c>
      <c r="S2313" s="95"/>
      <c r="T2313" s="95"/>
      <c r="U2313" s="95"/>
      <c r="V2313" s="95"/>
      <c r="W2313" s="95"/>
      <c r="X2313" s="95"/>
      <c r="Y2313" s="95"/>
      <c r="Z2313" s="95"/>
      <c r="AA2313" s="95"/>
      <c r="AB2313" s="95"/>
      <c r="AC2313" s="355"/>
      <c r="AD2313" s="355"/>
      <c r="AE2313" s="355"/>
      <c r="AF2313" s="94">
        <f t="shared" si="307"/>
        <v>43312</v>
      </c>
      <c r="AG2313" s="185">
        <f t="shared" si="310"/>
        <v>-9.9935386935307013E-3</v>
      </c>
      <c r="AH2313" s="339" t="str">
        <f>VLOOKUP(B2313,'MF PF'!A:B,2)</f>
        <v>FdMgt1</v>
      </c>
      <c r="AI2313" s="358">
        <f t="shared" si="308"/>
        <v>0</v>
      </c>
      <c r="AJ2313" s="94">
        <f t="shared" si="309"/>
        <v>43312</v>
      </c>
    </row>
    <row r="2314" spans="1:53" s="92" customFormat="1" ht="12.75" customHeight="1">
      <c r="A2314" s="94">
        <v>43343</v>
      </c>
      <c r="B2314" s="358" t="s">
        <v>175</v>
      </c>
      <c r="C2314" s="358" t="s">
        <v>347</v>
      </c>
      <c r="D2314" s="93">
        <v>35862022.659999996</v>
      </c>
      <c r="E2314" s="95"/>
      <c r="F2314" s="93"/>
      <c r="G2314" s="95"/>
      <c r="H2314" s="93"/>
      <c r="I2314" s="93"/>
      <c r="J2314" s="93"/>
      <c r="K2314" s="93"/>
      <c r="L2314" s="93">
        <f t="shared" si="305"/>
        <v>0</v>
      </c>
      <c r="M2314" s="95" t="e">
        <f t="shared" ca="1" si="306"/>
        <v>#DIV/0!</v>
      </c>
      <c r="N2314" s="95">
        <f>IF(P2314="Hedge Fund",IF(A2314=Summary!$AD$3,M2314-E2314,M2314),IF(A2314=Summary!$AD$3,L2314-D2314,L2314))</f>
        <v>0</v>
      </c>
      <c r="O2314" s="95"/>
      <c r="P2314" s="107" t="s">
        <v>155</v>
      </c>
      <c r="Q2314" s="95">
        <v>0</v>
      </c>
      <c r="R2314" s="95">
        <v>0</v>
      </c>
      <c r="S2314" s="95"/>
      <c r="T2314" s="95"/>
      <c r="U2314" s="95"/>
      <c r="V2314" s="95"/>
      <c r="W2314" s="95"/>
      <c r="X2314" s="95"/>
      <c r="Y2314" s="95"/>
      <c r="Z2314" s="95"/>
      <c r="AA2314" s="95"/>
      <c r="AB2314" s="95"/>
      <c r="AC2314" s="355"/>
      <c r="AD2314" s="355"/>
      <c r="AE2314" s="355"/>
      <c r="AF2314" s="94">
        <f t="shared" si="307"/>
        <v>43343</v>
      </c>
      <c r="AG2314" s="185">
        <f t="shared" si="310"/>
        <v>-1.1203109664388533E-2</v>
      </c>
      <c r="AH2314" s="339" t="str">
        <f>VLOOKUP(B2314,'MF PF'!A:B,2)</f>
        <v>FdMgt1</v>
      </c>
      <c r="AI2314" s="358">
        <f t="shared" si="308"/>
        <v>0</v>
      </c>
      <c r="AJ2314" s="94">
        <f t="shared" si="309"/>
        <v>43343</v>
      </c>
    </row>
    <row r="2315" spans="1:53" s="92" customFormat="1" ht="12.75" customHeight="1">
      <c r="A2315" s="94">
        <v>43373</v>
      </c>
      <c r="B2315" s="358" t="s">
        <v>175</v>
      </c>
      <c r="C2315" s="358" t="s">
        <v>347</v>
      </c>
      <c r="D2315" s="93">
        <v>34506346.009999998</v>
      </c>
      <c r="E2315" s="95"/>
      <c r="F2315" s="93"/>
      <c r="G2315" s="95"/>
      <c r="H2315" s="93"/>
      <c r="I2315" s="93"/>
      <c r="J2315" s="93"/>
      <c r="K2315" s="93"/>
      <c r="L2315" s="93">
        <f t="shared" si="305"/>
        <v>0</v>
      </c>
      <c r="M2315" s="95" t="e">
        <f t="shared" ca="1" si="306"/>
        <v>#DIV/0!</v>
      </c>
      <c r="N2315" s="95">
        <f>IF(P2315="Hedge Fund",IF(A2315=Summary!$AD$3,M2315-E2315,M2315),IF(A2315=Summary!$AD$3,L2315-D2315,L2315))</f>
        <v>0</v>
      </c>
      <c r="O2315" s="95"/>
      <c r="P2315" s="107" t="s">
        <v>155</v>
      </c>
      <c r="Q2315" s="95">
        <v>0</v>
      </c>
      <c r="R2315" s="95">
        <v>0</v>
      </c>
      <c r="S2315" s="95"/>
      <c r="T2315" s="95"/>
      <c r="U2315" s="95"/>
      <c r="V2315" s="95"/>
      <c r="W2315" s="95"/>
      <c r="X2315" s="95"/>
      <c r="Y2315" s="95"/>
      <c r="Z2315" s="95"/>
      <c r="AA2315" s="95"/>
      <c r="AB2315" s="95"/>
      <c r="AC2315" s="355"/>
      <c r="AD2315" s="355"/>
      <c r="AE2315" s="355"/>
      <c r="AF2315" s="94">
        <f t="shared" si="307"/>
        <v>43373</v>
      </c>
      <c r="AG2315" s="185">
        <f t="shared" si="310"/>
        <v>-3.780257078226934E-2</v>
      </c>
      <c r="AH2315" s="339" t="str">
        <f>VLOOKUP(B2315,'MF PF'!A:B,2)</f>
        <v>FdMgt1</v>
      </c>
      <c r="AI2315" s="358">
        <f t="shared" si="308"/>
        <v>0</v>
      </c>
      <c r="AJ2315" s="94">
        <f t="shared" si="309"/>
        <v>43373</v>
      </c>
    </row>
    <row r="2316" spans="1:53" s="92" customFormat="1" ht="12.75" customHeight="1">
      <c r="A2316" s="94">
        <v>43404</v>
      </c>
      <c r="B2316" s="358" t="s">
        <v>175</v>
      </c>
      <c r="C2316" s="358" t="s">
        <v>347</v>
      </c>
      <c r="D2316" s="93">
        <v>34040586.549999997</v>
      </c>
      <c r="E2316" s="95"/>
      <c r="F2316" s="93">
        <v>28.810976</v>
      </c>
      <c r="G2316" s="93"/>
      <c r="H2316" s="93">
        <v>0</v>
      </c>
      <c r="I2316" s="93">
        <v>0</v>
      </c>
      <c r="J2316" s="93">
        <v>0</v>
      </c>
      <c r="K2316" s="93"/>
      <c r="L2316" s="93">
        <f t="shared" si="305"/>
        <v>0</v>
      </c>
      <c r="M2316" s="95" t="e">
        <f t="shared" ca="1" si="306"/>
        <v>#DIV/0!</v>
      </c>
      <c r="N2316" s="95">
        <f>IF(P2316="Hedge Fund",IF(A2316=Summary!$AD$3,M2316-E2316,M2316),IF(A2316=Summary!$AD$3,L2316-D2316,L2316))</f>
        <v>0</v>
      </c>
      <c r="O2316" s="95"/>
      <c r="P2316" s="95" t="s">
        <v>155</v>
      </c>
      <c r="Q2316" s="95">
        <v>0</v>
      </c>
      <c r="R2316" s="95">
        <v>0</v>
      </c>
      <c r="S2316" s="95"/>
      <c r="T2316" s="95"/>
      <c r="U2316" s="95"/>
      <c r="V2316" s="95"/>
      <c r="W2316" s="95"/>
      <c r="X2316" s="95"/>
      <c r="Y2316" s="95"/>
      <c r="Z2316" s="95"/>
      <c r="AA2316" s="95"/>
      <c r="AB2316" s="95"/>
      <c r="AC2316" s="355"/>
      <c r="AD2316" s="355"/>
      <c r="AE2316" s="355"/>
      <c r="AF2316" s="94">
        <f t="shared" si="307"/>
        <v>43404</v>
      </c>
      <c r="AG2316" s="185">
        <f t="shared" si="310"/>
        <v>-1.3497791387851454E-2</v>
      </c>
      <c r="AH2316" s="339" t="str">
        <f>VLOOKUP(B2316,'MF PF'!A:B,2)</f>
        <v>FdMgt1</v>
      </c>
      <c r="AI2316" s="358">
        <f t="shared" si="308"/>
        <v>0</v>
      </c>
      <c r="AJ2316" s="94">
        <f t="shared" si="309"/>
        <v>43404</v>
      </c>
    </row>
    <row r="2317" spans="1:53" s="96" customFormat="1" ht="12.75" customHeight="1">
      <c r="A2317" s="94">
        <v>43434</v>
      </c>
      <c r="B2317" s="358" t="s">
        <v>175</v>
      </c>
      <c r="C2317" s="358" t="s">
        <v>347</v>
      </c>
      <c r="D2317" s="93">
        <v>33965464.119999997</v>
      </c>
      <c r="E2317" s="95"/>
      <c r="F2317" s="93">
        <v>28.810976</v>
      </c>
      <c r="G2317" s="93"/>
      <c r="H2317" s="93">
        <v>0</v>
      </c>
      <c r="I2317" s="93">
        <v>0</v>
      </c>
      <c r="J2317" s="93"/>
      <c r="K2317" s="93">
        <v>0</v>
      </c>
      <c r="L2317" s="93">
        <f t="shared" si="305"/>
        <v>0</v>
      </c>
      <c r="M2317" s="95" t="e">
        <f t="shared" ca="1" si="306"/>
        <v>#DIV/0!</v>
      </c>
      <c r="N2317" s="95">
        <f>IF(P2317="Hedge Fund",IF(A2317=Summary!$AD$3,M2317-E2317,M2317),IF(A2317=Summary!$AD$3,L2317-D2317,L2317))</f>
        <v>0</v>
      </c>
      <c r="O2317" s="95"/>
      <c r="P2317" s="95" t="s">
        <v>155</v>
      </c>
      <c r="Q2317" s="95">
        <v>0</v>
      </c>
      <c r="R2317" s="95">
        <v>0</v>
      </c>
      <c r="S2317" s="95"/>
      <c r="T2317" s="95"/>
      <c r="U2317" s="95"/>
      <c r="V2317" s="95"/>
      <c r="W2317" s="95"/>
      <c r="X2317" s="95"/>
      <c r="Y2317" s="95"/>
      <c r="Z2317" s="95"/>
      <c r="AA2317" s="95"/>
      <c r="AB2317" s="95"/>
      <c r="AC2317" s="355"/>
      <c r="AD2317" s="355"/>
      <c r="AE2317" s="355"/>
      <c r="AF2317" s="94">
        <f t="shared" si="307"/>
        <v>43434</v>
      </c>
      <c r="AG2317" s="185">
        <f t="shared" si="310"/>
        <v>-2.2068488711162182E-3</v>
      </c>
      <c r="AH2317" s="339" t="str">
        <f>VLOOKUP(B2317,'MF PF'!A:B,2)</f>
        <v>FdMgt1</v>
      </c>
      <c r="AI2317" s="358">
        <f t="shared" si="308"/>
        <v>0</v>
      </c>
      <c r="AJ2317" s="94">
        <f t="shared" si="309"/>
        <v>43434</v>
      </c>
      <c r="AK2317" s="358"/>
      <c r="AL2317" s="358"/>
      <c r="AM2317" s="358"/>
      <c r="AN2317" s="358"/>
      <c r="AO2317" s="358"/>
      <c r="AP2317" s="358"/>
      <c r="AQ2317" s="358"/>
      <c r="AR2317" s="358"/>
      <c r="AS2317" s="358"/>
      <c r="AT2317" s="358"/>
      <c r="AU2317" s="358"/>
      <c r="AV2317" s="358"/>
      <c r="AW2317" s="358"/>
      <c r="AX2317" s="358"/>
      <c r="AY2317" s="358"/>
      <c r="AZ2317" s="358"/>
      <c r="BA2317" s="358"/>
    </row>
    <row r="2318" spans="1:53" s="96" customFormat="1" ht="12.75" customHeight="1">
      <c r="A2318" s="94">
        <v>43465</v>
      </c>
      <c r="B2318" s="358" t="s">
        <v>175</v>
      </c>
      <c r="C2318" s="358" t="s">
        <v>347</v>
      </c>
      <c r="D2318" s="93">
        <v>34761779.229999997</v>
      </c>
      <c r="E2318" s="95"/>
      <c r="F2318" s="93">
        <v>28.810976</v>
      </c>
      <c r="G2318" s="93"/>
      <c r="H2318" s="93">
        <v>0</v>
      </c>
      <c r="I2318" s="93">
        <v>0</v>
      </c>
      <c r="J2318" s="93"/>
      <c r="K2318" s="93">
        <v>0</v>
      </c>
      <c r="L2318" s="93">
        <f t="shared" si="305"/>
        <v>0</v>
      </c>
      <c r="M2318" s="95" t="e">
        <f t="shared" ca="1" si="306"/>
        <v>#DIV/0!</v>
      </c>
      <c r="N2318" s="95">
        <f>IF(P2318="Hedge Fund",IF(A2318=Summary!$AD$3,M2318-E2318,M2318),IF(A2318=Summary!$AD$3,L2318-D2318,L2318))</f>
        <v>0</v>
      </c>
      <c r="O2318" s="95"/>
      <c r="P2318" s="95" t="s">
        <v>155</v>
      </c>
      <c r="Q2318" s="95">
        <v>0</v>
      </c>
      <c r="R2318" s="95">
        <v>0</v>
      </c>
      <c r="S2318" s="95"/>
      <c r="T2318" s="95"/>
      <c r="U2318" s="95"/>
      <c r="V2318" s="95"/>
      <c r="W2318" s="95"/>
      <c r="X2318" s="95"/>
      <c r="Y2318" s="95"/>
      <c r="Z2318" s="95"/>
      <c r="AA2318" s="95"/>
      <c r="AB2318" s="95"/>
      <c r="AC2318" s="355"/>
      <c r="AD2318" s="355"/>
      <c r="AE2318" s="355"/>
      <c r="AF2318" s="94">
        <f t="shared" si="307"/>
        <v>43465</v>
      </c>
      <c r="AG2318" s="185">
        <f t="shared" si="310"/>
        <v>2.3444847012442427E-2</v>
      </c>
      <c r="AH2318" s="339" t="str">
        <f>VLOOKUP(B2318,'MF PF'!A:B,2)</f>
        <v>FdMgt1</v>
      </c>
      <c r="AI2318" s="358">
        <f t="shared" si="308"/>
        <v>0</v>
      </c>
      <c r="AJ2318" s="94">
        <f t="shared" si="309"/>
        <v>43465</v>
      </c>
      <c r="AK2318" s="358"/>
      <c r="AL2318" s="358"/>
      <c r="AM2318" s="358"/>
      <c r="AN2318" s="358"/>
      <c r="AO2318" s="358"/>
      <c r="AP2318" s="358"/>
      <c r="AQ2318" s="358"/>
      <c r="AR2318" s="358"/>
      <c r="AS2318" s="358"/>
      <c r="AT2318" s="358"/>
      <c r="AU2318" s="358"/>
      <c r="AV2318" s="358"/>
      <c r="AW2318" s="358"/>
      <c r="AX2318" s="358"/>
      <c r="AY2318" s="358"/>
      <c r="AZ2318" s="358"/>
      <c r="BA2318" s="358"/>
    </row>
    <row r="2319" spans="1:53" s="92" customFormat="1" ht="12.75" customHeight="1">
      <c r="A2319" s="94">
        <v>43496</v>
      </c>
      <c r="B2319" s="358" t="s">
        <v>175</v>
      </c>
      <c r="C2319" s="358" t="s">
        <v>347</v>
      </c>
      <c r="D2319" s="93">
        <v>35603596.240000002</v>
      </c>
      <c r="E2319" s="95"/>
      <c r="F2319" s="93">
        <v>28.810976</v>
      </c>
      <c r="G2319" s="93"/>
      <c r="H2319" s="93">
        <v>0</v>
      </c>
      <c r="I2319" s="93">
        <v>0</v>
      </c>
      <c r="J2319" s="93"/>
      <c r="K2319" s="93">
        <v>0</v>
      </c>
      <c r="L2319" s="93">
        <f t="shared" si="305"/>
        <v>0</v>
      </c>
      <c r="M2319" s="95" t="e">
        <f t="shared" ca="1" si="306"/>
        <v>#DIV/0!</v>
      </c>
      <c r="N2319" s="95">
        <f>IF(P2319="Hedge Fund",IF(A2319=Summary!$AD$3,M2319-E2319,M2319),IF(A2319=Summary!$AD$3,L2319-D2319,L2319))</f>
        <v>-35603596.240000002</v>
      </c>
      <c r="O2319" s="95"/>
      <c r="P2319" s="95" t="s">
        <v>155</v>
      </c>
      <c r="Q2319" s="95">
        <v>0</v>
      </c>
      <c r="R2319" s="95">
        <v>0</v>
      </c>
      <c r="S2319" s="95"/>
      <c r="T2319" s="95"/>
      <c r="U2319" s="95"/>
      <c r="V2319" s="95"/>
      <c r="W2319" s="95"/>
      <c r="X2319" s="95"/>
      <c r="Y2319" s="95"/>
      <c r="Z2319" s="95"/>
      <c r="AA2319" s="95"/>
      <c r="AB2319" s="95"/>
      <c r="AC2319" s="355"/>
      <c r="AD2319" s="355"/>
      <c r="AE2319" s="355"/>
      <c r="AF2319" s="94">
        <f t="shared" si="307"/>
        <v>43496</v>
      </c>
      <c r="AG2319" s="185">
        <f t="shared" si="310"/>
        <v>2.4216741163625599E-2</v>
      </c>
      <c r="AH2319" s="339" t="str">
        <f>VLOOKUP(B2319,'MF PF'!A:B,2)</f>
        <v>FdMgt1</v>
      </c>
      <c r="AI2319" s="358">
        <f t="shared" si="308"/>
        <v>0</v>
      </c>
      <c r="AJ2319" s="94">
        <f t="shared" si="309"/>
        <v>43496</v>
      </c>
    </row>
    <row r="2320" spans="1:53" s="92" customFormat="1" ht="12.75" customHeight="1">
      <c r="A2320" s="94">
        <v>42947</v>
      </c>
      <c r="B2320" s="358" t="s">
        <v>175</v>
      </c>
      <c r="C2320" s="358" t="s">
        <v>329</v>
      </c>
      <c r="D2320" s="93">
        <v>454047.14</v>
      </c>
      <c r="E2320" s="95"/>
      <c r="F2320" s="93"/>
      <c r="G2320" s="95"/>
      <c r="H2320" s="93"/>
      <c r="I2320" s="93"/>
      <c r="J2320" s="93"/>
      <c r="K2320" s="93"/>
      <c r="L2320" s="93">
        <f t="shared" si="305"/>
        <v>0</v>
      </c>
      <c r="M2320" s="95">
        <f t="shared" ca="1" si="306"/>
        <v>0</v>
      </c>
      <c r="N2320" s="95">
        <f>IF(P2320="Hedge Fund",IF(A2320=Summary!$AD$3,M2320-E2320,M2320),IF(A2320=Summary!$AD$3,L2320-D2320,L2320))</f>
        <v>0</v>
      </c>
      <c r="O2320" s="95">
        <f t="shared" ref="O2320:O2351" si="311">N2320</f>
        <v>0</v>
      </c>
      <c r="P2320" s="107" t="s">
        <v>155</v>
      </c>
      <c r="Q2320" s="95">
        <v>5.7762000000000004E-4</v>
      </c>
      <c r="R2320" s="95">
        <v>0</v>
      </c>
      <c r="S2320" s="95"/>
      <c r="T2320" s="95"/>
      <c r="U2320" s="95"/>
      <c r="V2320" s="95"/>
      <c r="W2320" s="95"/>
      <c r="X2320" s="95"/>
      <c r="Y2320" s="95"/>
      <c r="Z2320" s="95"/>
      <c r="AA2320" s="95"/>
      <c r="AB2320" s="95"/>
      <c r="AC2320" s="355"/>
      <c r="AD2320" s="355"/>
      <c r="AE2320" s="355"/>
      <c r="AF2320" s="94">
        <f t="shared" si="307"/>
        <v>42947</v>
      </c>
      <c r="AG2320" s="185" t="e">
        <f t="shared" si="310"/>
        <v>#DIV/0!</v>
      </c>
      <c r="AH2320" s="339" t="str">
        <f>VLOOKUP(B2320,'MF PF'!A:B,2)</f>
        <v>FdMgt1</v>
      </c>
      <c r="AI2320" s="358">
        <f t="shared" si="308"/>
        <v>0</v>
      </c>
      <c r="AJ2320" s="94">
        <f t="shared" si="309"/>
        <v>42947</v>
      </c>
    </row>
    <row r="2321" spans="1:36" s="92" customFormat="1" ht="12.75" customHeight="1">
      <c r="A2321" s="94">
        <v>42958</v>
      </c>
      <c r="B2321" s="358" t="s">
        <v>175</v>
      </c>
      <c r="C2321" s="358" t="s">
        <v>329</v>
      </c>
      <c r="D2321" s="93"/>
      <c r="E2321" s="95"/>
      <c r="F2321" s="93"/>
      <c r="G2321" s="95">
        <v>35731</v>
      </c>
      <c r="H2321" s="93"/>
      <c r="I2321" s="93"/>
      <c r="J2321" s="93"/>
      <c r="K2321" s="93"/>
      <c r="L2321" s="93">
        <f t="shared" si="305"/>
        <v>35731</v>
      </c>
      <c r="M2321" s="95" t="e">
        <f t="shared" ca="1" si="306"/>
        <v>#DIV/0!</v>
      </c>
      <c r="N2321" s="95">
        <f>IF(P2321="Hedge Fund",IF(A2321=Summary!$AD$3,M2321-E2321,M2321),IF(A2321=Summary!$AD$3,L2321-D2321,L2321))</f>
        <v>35731</v>
      </c>
      <c r="O2321" s="95">
        <f t="shared" si="311"/>
        <v>35731</v>
      </c>
      <c r="P2321" s="107" t="s">
        <v>155</v>
      </c>
      <c r="Q2321" s="95">
        <v>0</v>
      </c>
      <c r="R2321" s="95">
        <v>0</v>
      </c>
      <c r="S2321" s="95"/>
      <c r="T2321" s="95"/>
      <c r="U2321" s="95"/>
      <c r="V2321" s="95"/>
      <c r="W2321" s="95"/>
      <c r="X2321" s="95"/>
      <c r="Y2321" s="95"/>
      <c r="Z2321" s="95"/>
      <c r="AA2321" s="95"/>
      <c r="AB2321" s="95"/>
      <c r="AC2321" s="355"/>
      <c r="AD2321" s="355"/>
      <c r="AE2321" s="355"/>
      <c r="AF2321" s="94">
        <f t="shared" si="307"/>
        <v>42958</v>
      </c>
      <c r="AG2321" s="185">
        <f t="shared" si="310"/>
        <v>-1.0786944721202296</v>
      </c>
      <c r="AH2321" s="339" t="str">
        <f>VLOOKUP(B2321,'MF PF'!A:B,2)</f>
        <v>FdMgt1</v>
      </c>
      <c r="AI2321" s="358">
        <f t="shared" si="308"/>
        <v>0</v>
      </c>
      <c r="AJ2321" s="94">
        <f t="shared" si="309"/>
        <v>42978</v>
      </c>
    </row>
    <row r="2322" spans="1:36" s="92" customFormat="1" ht="12.75" customHeight="1">
      <c r="A2322" s="94">
        <v>42958</v>
      </c>
      <c r="B2322" s="358" t="s">
        <v>175</v>
      </c>
      <c r="C2322" s="92" t="s">
        <v>329</v>
      </c>
      <c r="D2322" s="93"/>
      <c r="E2322" s="95"/>
      <c r="F2322" s="93"/>
      <c r="G2322" s="95">
        <v>464269</v>
      </c>
      <c r="H2322" s="93"/>
      <c r="I2322" s="93"/>
      <c r="J2322" s="93"/>
      <c r="K2322" s="93"/>
      <c r="L2322" s="93">
        <f t="shared" si="305"/>
        <v>464269</v>
      </c>
      <c r="M2322" s="95">
        <f t="shared" ca="1" si="306"/>
        <v>0</v>
      </c>
      <c r="N2322" s="95">
        <f>IF(P2322="Hedge Fund",IF(A2322=Summary!$AD$3,M2322-E2322,M2322),IF(A2322=Summary!$AD$3,L2322-D2322,L2322))</f>
        <v>464269</v>
      </c>
      <c r="O2322" s="95">
        <f t="shared" si="311"/>
        <v>464269</v>
      </c>
      <c r="P2322" s="107" t="s">
        <v>155</v>
      </c>
      <c r="Q2322" s="95">
        <v>0</v>
      </c>
      <c r="R2322" s="95">
        <v>0</v>
      </c>
      <c r="S2322" s="95"/>
      <c r="T2322" s="95"/>
      <c r="U2322" s="95"/>
      <c r="V2322" s="95"/>
      <c r="W2322" s="95"/>
      <c r="X2322" s="95"/>
      <c r="Y2322" s="95"/>
      <c r="Z2322" s="95"/>
      <c r="AA2322" s="95"/>
      <c r="AB2322" s="95"/>
      <c r="AC2322" s="355"/>
      <c r="AD2322" s="355"/>
      <c r="AE2322" s="355"/>
      <c r="AF2322" s="94">
        <f t="shared" si="307"/>
        <v>42958</v>
      </c>
      <c r="AG2322" s="185" t="e">
        <f t="shared" si="310"/>
        <v>#DIV/0!</v>
      </c>
      <c r="AH2322" s="339" t="str">
        <f>VLOOKUP(B2322,'MF PF'!A:B,2)</f>
        <v>FdMgt1</v>
      </c>
      <c r="AI2322" s="358">
        <f t="shared" si="308"/>
        <v>0</v>
      </c>
      <c r="AJ2322" s="94">
        <f t="shared" si="309"/>
        <v>42978</v>
      </c>
    </row>
    <row r="2323" spans="1:36" s="92" customFormat="1" ht="12.75" customHeight="1">
      <c r="A2323" s="94">
        <v>42978</v>
      </c>
      <c r="B2323" s="358" t="s">
        <v>175</v>
      </c>
      <c r="C2323" s="92" t="s">
        <v>329</v>
      </c>
      <c r="D2323" s="93">
        <v>488643.56</v>
      </c>
      <c r="E2323" s="95"/>
      <c r="F2323" s="93"/>
      <c r="G2323" s="95"/>
      <c r="H2323" s="93"/>
      <c r="I2323" s="93"/>
      <c r="J2323" s="93"/>
      <c r="K2323" s="93"/>
      <c r="L2323" s="93">
        <f t="shared" si="305"/>
        <v>0</v>
      </c>
      <c r="M2323" s="95" t="e">
        <f t="shared" ca="1" si="306"/>
        <v>#DIV/0!</v>
      </c>
      <c r="N2323" s="95">
        <f>IF(P2323="Hedge Fund",IF(A2323=Summary!$AD$3,M2323-E2323,M2323),IF(A2323=Summary!$AD$3,L2323-D2323,L2323))</f>
        <v>0</v>
      </c>
      <c r="O2323" s="95">
        <f t="shared" si="311"/>
        <v>0</v>
      </c>
      <c r="P2323" s="107" t="s">
        <v>155</v>
      </c>
      <c r="Q2323" s="95">
        <v>5.5689099999999998E-3</v>
      </c>
      <c r="R2323" s="95">
        <v>0</v>
      </c>
      <c r="S2323" s="95"/>
      <c r="T2323" s="95"/>
      <c r="U2323" s="95"/>
      <c r="V2323" s="95"/>
      <c r="W2323" s="95"/>
      <c r="X2323" s="95"/>
      <c r="Y2323" s="95"/>
      <c r="Z2323" s="95"/>
      <c r="AA2323" s="95"/>
      <c r="AB2323" s="95"/>
      <c r="AC2323" s="355"/>
      <c r="AD2323" s="355"/>
      <c r="AE2323" s="355"/>
      <c r="AF2323" s="94">
        <f t="shared" si="307"/>
        <v>42978</v>
      </c>
      <c r="AG2323" s="185" t="e">
        <f t="shared" si="310"/>
        <v>#DIV/0!</v>
      </c>
      <c r="AH2323" s="339" t="str">
        <f>VLOOKUP(B2323,'MF PF'!A:B,2)</f>
        <v>FdMgt1</v>
      </c>
      <c r="AI2323" s="358">
        <f t="shared" si="308"/>
        <v>0</v>
      </c>
      <c r="AJ2323" s="94">
        <f t="shared" si="309"/>
        <v>42978</v>
      </c>
    </row>
    <row r="2324" spans="1:36" s="92" customFormat="1" ht="12.75" customHeight="1">
      <c r="A2324" s="94">
        <v>43008</v>
      </c>
      <c r="B2324" s="358" t="s">
        <v>175</v>
      </c>
      <c r="C2324" s="92" t="s">
        <v>329</v>
      </c>
      <c r="D2324" s="93">
        <v>490776.77</v>
      </c>
      <c r="E2324" s="95"/>
      <c r="F2324" s="93"/>
      <c r="G2324" s="95"/>
      <c r="H2324" s="93"/>
      <c r="I2324" s="93"/>
      <c r="J2324" s="93"/>
      <c r="K2324" s="93"/>
      <c r="L2324" s="93">
        <f t="shared" si="305"/>
        <v>0</v>
      </c>
      <c r="M2324" s="95" t="e">
        <f t="shared" ca="1" si="306"/>
        <v>#DIV/0!</v>
      </c>
      <c r="N2324" s="95">
        <f>IF(P2324="Hedge Fund",IF(A2324=Summary!$AD$3,M2324-E2324,M2324),IF(A2324=Summary!$AD$3,L2324-D2324,L2324))</f>
        <v>0</v>
      </c>
      <c r="O2324" s="95">
        <f t="shared" si="311"/>
        <v>0</v>
      </c>
      <c r="P2324" s="107" t="s">
        <v>155</v>
      </c>
      <c r="Q2324" s="95">
        <v>6.1891200000000002E-3</v>
      </c>
      <c r="R2324" s="95">
        <v>0</v>
      </c>
      <c r="S2324" s="95"/>
      <c r="T2324" s="95"/>
      <c r="U2324" s="95"/>
      <c r="V2324" s="95"/>
      <c r="W2324" s="95"/>
      <c r="X2324" s="95"/>
      <c r="Y2324" s="95"/>
      <c r="Z2324" s="95"/>
      <c r="AA2324" s="95"/>
      <c r="AB2324" s="95"/>
      <c r="AC2324" s="355"/>
      <c r="AD2324" s="355"/>
      <c r="AE2324" s="355"/>
      <c r="AF2324" s="94">
        <f t="shared" si="307"/>
        <v>43008</v>
      </c>
      <c r="AG2324" s="185">
        <f t="shared" si="310"/>
        <v>4.3655747760187325E-3</v>
      </c>
      <c r="AH2324" s="339" t="str">
        <f>VLOOKUP(B2324,'MF PF'!A:B,2)</f>
        <v>FdMgt1</v>
      </c>
      <c r="AI2324" s="358">
        <f t="shared" si="308"/>
        <v>0</v>
      </c>
      <c r="AJ2324" s="94">
        <f t="shared" si="309"/>
        <v>43008</v>
      </c>
    </row>
    <row r="2325" spans="1:36" s="92" customFormat="1" ht="12.75" customHeight="1">
      <c r="A2325" s="94">
        <v>43039</v>
      </c>
      <c r="B2325" s="358" t="s">
        <v>175</v>
      </c>
      <c r="C2325" s="92" t="s">
        <v>329</v>
      </c>
      <c r="D2325" s="93">
        <v>499627.77</v>
      </c>
      <c r="E2325" s="95"/>
      <c r="F2325" s="93"/>
      <c r="G2325" s="95"/>
      <c r="H2325" s="93"/>
      <c r="I2325" s="93"/>
      <c r="J2325" s="93"/>
      <c r="K2325" s="93"/>
      <c r="L2325" s="93">
        <f t="shared" si="305"/>
        <v>0</v>
      </c>
      <c r="M2325" s="95" t="e">
        <f t="shared" ca="1" si="306"/>
        <v>#DIV/0!</v>
      </c>
      <c r="N2325" s="95">
        <f>IF(P2325="Hedge Fund",IF(A2325=Summary!$AD$3,M2325-E2325,M2325),IF(A2325=Summary!$AD$3,L2325-D2325,L2325))</f>
        <v>0</v>
      </c>
      <c r="O2325" s="95">
        <f t="shared" si="311"/>
        <v>0</v>
      </c>
      <c r="P2325" s="107" t="s">
        <v>155</v>
      </c>
      <c r="Q2325" s="95">
        <v>6.1891200000000002E-3</v>
      </c>
      <c r="R2325" s="95">
        <v>0</v>
      </c>
      <c r="S2325" s="95"/>
      <c r="T2325" s="95"/>
      <c r="U2325" s="95"/>
      <c r="V2325" s="95"/>
      <c r="W2325" s="95"/>
      <c r="X2325" s="95"/>
      <c r="Y2325" s="95"/>
      <c r="Z2325" s="95"/>
      <c r="AA2325" s="95"/>
      <c r="AB2325" s="95"/>
      <c r="AC2325" s="355"/>
      <c r="AD2325" s="355"/>
      <c r="AE2325" s="355"/>
      <c r="AF2325" s="94">
        <f t="shared" si="307"/>
        <v>43039</v>
      </c>
      <c r="AG2325" s="185">
        <f t="shared" si="310"/>
        <v>1.8034675928121136E-2</v>
      </c>
      <c r="AH2325" s="339" t="str">
        <f>VLOOKUP(B2325,'MF PF'!A:B,2)</f>
        <v>FdMgt1</v>
      </c>
      <c r="AI2325" s="358">
        <f t="shared" si="308"/>
        <v>0</v>
      </c>
      <c r="AJ2325" s="94">
        <f t="shared" si="309"/>
        <v>43039</v>
      </c>
    </row>
    <row r="2326" spans="1:36" s="92" customFormat="1" ht="12.75" customHeight="1">
      <c r="A2326" s="94">
        <v>43069</v>
      </c>
      <c r="B2326" s="358" t="s">
        <v>175</v>
      </c>
      <c r="C2326" s="92" t="s">
        <v>329</v>
      </c>
      <c r="D2326" s="93">
        <v>496821.74</v>
      </c>
      <c r="E2326" s="95"/>
      <c r="F2326" s="93"/>
      <c r="G2326" s="95"/>
      <c r="H2326" s="93"/>
      <c r="I2326" s="93"/>
      <c r="J2326" s="93"/>
      <c r="K2326" s="93"/>
      <c r="L2326" s="93">
        <f t="shared" si="305"/>
        <v>0</v>
      </c>
      <c r="M2326" s="95" t="e">
        <f t="shared" ca="1" si="306"/>
        <v>#DIV/0!</v>
      </c>
      <c r="N2326" s="95">
        <f>IF(P2326="Hedge Fund",IF(A2326=Summary!$AD$3,M2326-E2326,M2326),IF(A2326=Summary!$AD$3,L2326-D2326,L2326))</f>
        <v>0</v>
      </c>
      <c r="O2326" s="95">
        <f t="shared" si="311"/>
        <v>0</v>
      </c>
      <c r="P2326" s="107" t="s">
        <v>155</v>
      </c>
      <c r="Q2326" s="95">
        <v>7.5097299999999992E-3</v>
      </c>
      <c r="R2326" s="95">
        <v>0</v>
      </c>
      <c r="S2326" s="95"/>
      <c r="T2326" s="95"/>
      <c r="U2326" s="95"/>
      <c r="V2326" s="95"/>
      <c r="W2326" s="95"/>
      <c r="X2326" s="95"/>
      <c r="Y2326" s="95"/>
      <c r="Z2326" s="95"/>
      <c r="AA2326" s="95"/>
      <c r="AB2326" s="95"/>
      <c r="AC2326" s="355"/>
      <c r="AD2326" s="355"/>
      <c r="AE2326" s="355"/>
      <c r="AF2326" s="94">
        <f t="shared" si="307"/>
        <v>43069</v>
      </c>
      <c r="AG2326" s="185">
        <f t="shared" si="310"/>
        <v>-5.6162410668246787E-3</v>
      </c>
      <c r="AH2326" s="339" t="str">
        <f>VLOOKUP(B2326,'MF PF'!A:B,2)</f>
        <v>FdMgt1</v>
      </c>
      <c r="AI2326" s="358">
        <f t="shared" si="308"/>
        <v>0</v>
      </c>
      <c r="AJ2326" s="94">
        <f t="shared" si="309"/>
        <v>43069</v>
      </c>
    </row>
    <row r="2327" spans="1:36" s="92" customFormat="1" ht="12.75" customHeight="1">
      <c r="A2327" s="94">
        <v>43087</v>
      </c>
      <c r="B2327" s="358" t="s">
        <v>175</v>
      </c>
      <c r="C2327" s="92" t="s">
        <v>329</v>
      </c>
      <c r="D2327" s="93"/>
      <c r="E2327" s="95"/>
      <c r="F2327" s="93"/>
      <c r="G2327" s="358"/>
      <c r="H2327" s="93"/>
      <c r="I2327" s="95">
        <v>-61250.22</v>
      </c>
      <c r="J2327" s="93"/>
      <c r="K2327" s="93"/>
      <c r="L2327" s="93">
        <f t="shared" si="305"/>
        <v>-61250.22</v>
      </c>
      <c r="M2327" s="95" t="e">
        <f t="shared" ca="1" si="306"/>
        <v>#DIV/0!</v>
      </c>
      <c r="N2327" s="95">
        <f>IF(P2327="Hedge Fund",IF(A2327=Summary!$AD$3,M2327-E2327,M2327),IF(A2327=Summary!$AD$3,L2327-D2327,L2327))</f>
        <v>-61250.22</v>
      </c>
      <c r="O2327" s="95">
        <f t="shared" si="311"/>
        <v>-61250.22</v>
      </c>
      <c r="P2327" s="107" t="s">
        <v>155</v>
      </c>
      <c r="Q2327" s="95">
        <v>0</v>
      </c>
      <c r="R2327" s="95">
        <v>0</v>
      </c>
      <c r="S2327" s="95"/>
      <c r="T2327" s="95"/>
      <c r="U2327" s="95"/>
      <c r="V2327" s="95"/>
      <c r="W2327" s="95"/>
      <c r="X2327" s="95"/>
      <c r="Y2327" s="95"/>
      <c r="Z2327" s="95"/>
      <c r="AA2327" s="95"/>
      <c r="AB2327" s="95"/>
      <c r="AC2327" s="355"/>
      <c r="AD2327" s="355"/>
      <c r="AE2327" s="355"/>
      <c r="AF2327" s="94">
        <f t="shared" si="307"/>
        <v>43087</v>
      </c>
      <c r="AG2327" s="185">
        <f t="shared" si="310"/>
        <v>-0.87671590216643902</v>
      </c>
      <c r="AH2327" s="339" t="str">
        <f>VLOOKUP(B2327,'MF PF'!A:B,2)</f>
        <v>FdMgt1</v>
      </c>
      <c r="AI2327" s="358">
        <f t="shared" si="308"/>
        <v>0</v>
      </c>
      <c r="AJ2327" s="94">
        <f t="shared" si="309"/>
        <v>43100</v>
      </c>
    </row>
    <row r="2328" spans="1:36" s="92" customFormat="1" ht="12.75" customHeight="1">
      <c r="A2328" s="94">
        <v>43087</v>
      </c>
      <c r="B2328" s="358" t="s">
        <v>175</v>
      </c>
      <c r="C2328" s="92" t="s">
        <v>329</v>
      </c>
      <c r="D2328" s="93"/>
      <c r="E2328" s="95"/>
      <c r="F2328" s="93"/>
      <c r="G2328" s="95">
        <v>61250.22</v>
      </c>
      <c r="H2328" s="93"/>
      <c r="I2328" s="93"/>
      <c r="J2328" s="93"/>
      <c r="K2328" s="93"/>
      <c r="L2328" s="93">
        <f t="shared" si="305"/>
        <v>61250.22</v>
      </c>
      <c r="M2328" s="95">
        <f t="shared" ca="1" si="306"/>
        <v>0</v>
      </c>
      <c r="N2328" s="95">
        <f>IF(P2328="Hedge Fund",IF(A2328=Summary!$AD$3,M2328-E2328,M2328),IF(A2328=Summary!$AD$3,L2328-D2328,L2328))</f>
        <v>61250.22</v>
      </c>
      <c r="O2328" s="95">
        <f t="shared" si="311"/>
        <v>61250.22</v>
      </c>
      <c r="P2328" s="107" t="s">
        <v>155</v>
      </c>
      <c r="Q2328" s="95">
        <v>0</v>
      </c>
      <c r="R2328" s="95">
        <v>0</v>
      </c>
      <c r="S2328" s="95"/>
      <c r="T2328" s="95"/>
      <c r="U2328" s="95"/>
      <c r="V2328" s="95"/>
      <c r="W2328" s="95"/>
      <c r="X2328" s="95"/>
      <c r="Y2328" s="95"/>
      <c r="Z2328" s="95"/>
      <c r="AA2328" s="95"/>
      <c r="AB2328" s="95"/>
      <c r="AC2328" s="355"/>
      <c r="AD2328" s="355"/>
      <c r="AE2328" s="355"/>
      <c r="AF2328" s="94">
        <f t="shared" si="307"/>
        <v>43087</v>
      </c>
      <c r="AG2328" s="185" t="e">
        <f t="shared" si="310"/>
        <v>#DIV/0!</v>
      </c>
      <c r="AH2328" s="339" t="str">
        <f>VLOOKUP(B2328,'MF PF'!A:B,2)</f>
        <v>FdMgt1</v>
      </c>
      <c r="AI2328" s="358">
        <f t="shared" si="308"/>
        <v>0</v>
      </c>
      <c r="AJ2328" s="94">
        <f t="shared" si="309"/>
        <v>43100</v>
      </c>
    </row>
    <row r="2329" spans="1:36" s="92" customFormat="1" ht="12.75" customHeight="1">
      <c r="A2329" s="94">
        <v>43100</v>
      </c>
      <c r="B2329" s="358" t="s">
        <v>175</v>
      </c>
      <c r="C2329" s="92" t="s">
        <v>329</v>
      </c>
      <c r="D2329" s="93">
        <v>564267.93000000005</v>
      </c>
      <c r="E2329" s="95"/>
      <c r="F2329" s="93"/>
      <c r="G2329" s="95"/>
      <c r="H2329" s="93"/>
      <c r="I2329" s="93"/>
      <c r="J2329" s="93"/>
      <c r="K2329" s="93"/>
      <c r="L2329" s="93">
        <f t="shared" si="305"/>
        <v>0</v>
      </c>
      <c r="M2329" s="95" t="e">
        <f t="shared" ca="1" si="306"/>
        <v>#DIV/0!</v>
      </c>
      <c r="N2329" s="95">
        <f>IF(P2329="Hedge Fund",IF(A2329=Summary!$AD$3,M2329-E2329,M2329),IF(A2329=Summary!$AD$3,L2329-D2329,L2329))</f>
        <v>0</v>
      </c>
      <c r="O2329" s="95">
        <f t="shared" si="311"/>
        <v>0</v>
      </c>
      <c r="P2329" s="107" t="s">
        <v>155</v>
      </c>
      <c r="Q2329" s="95">
        <v>4.0106999999999999E-3</v>
      </c>
      <c r="R2329" s="95">
        <v>1.13414E-2</v>
      </c>
      <c r="S2329" s="95"/>
      <c r="T2329" s="95"/>
      <c r="U2329" s="95"/>
      <c r="V2329" s="95"/>
      <c r="W2329" s="95"/>
      <c r="X2329" s="95"/>
      <c r="Y2329" s="95"/>
      <c r="Z2329" s="95"/>
      <c r="AA2329" s="95"/>
      <c r="AB2329" s="95"/>
      <c r="AC2329" s="355"/>
      <c r="AD2329" s="355"/>
      <c r="AE2329" s="355"/>
      <c r="AF2329" s="94">
        <f t="shared" si="307"/>
        <v>43100</v>
      </c>
      <c r="AG2329" s="185" t="e">
        <f t="shared" si="310"/>
        <v>#DIV/0!</v>
      </c>
      <c r="AH2329" s="339" t="str">
        <f>VLOOKUP(B2329,'MF PF'!A:B,2)</f>
        <v>FdMgt1</v>
      </c>
      <c r="AI2329" s="358">
        <f t="shared" si="308"/>
        <v>0</v>
      </c>
      <c r="AJ2329" s="94">
        <f t="shared" si="309"/>
        <v>43100</v>
      </c>
    </row>
    <row r="2330" spans="1:36" s="92" customFormat="1" ht="12.75" customHeight="1">
      <c r="A2330" s="94">
        <v>43131</v>
      </c>
      <c r="B2330" s="358" t="s">
        <v>175</v>
      </c>
      <c r="C2330" s="92" t="s">
        <v>329</v>
      </c>
      <c r="D2330" s="93">
        <v>601907.43999999994</v>
      </c>
      <c r="E2330" s="95"/>
      <c r="F2330" s="93"/>
      <c r="G2330" s="95"/>
      <c r="H2330" s="93"/>
      <c r="I2330" s="93"/>
      <c r="J2330" s="93"/>
      <c r="K2330" s="93"/>
      <c r="L2330" s="93">
        <f t="shared" si="305"/>
        <v>0</v>
      </c>
      <c r="M2330" s="95" t="e">
        <f t="shared" ca="1" si="306"/>
        <v>#DIV/0!</v>
      </c>
      <c r="N2330" s="95">
        <f>IF(P2330="Hedge Fund",IF(A2330=Summary!$AD$3,M2330-E2330,M2330),IF(A2330=Summary!$AD$3,L2330-D2330,L2330))</f>
        <v>0</v>
      </c>
      <c r="O2330" s="95">
        <f t="shared" si="311"/>
        <v>0</v>
      </c>
      <c r="P2330" s="107" t="s">
        <v>155</v>
      </c>
      <c r="Q2330" s="95"/>
      <c r="R2330" s="95">
        <v>1.7983669999999997E-2</v>
      </c>
      <c r="S2330" s="95"/>
      <c r="T2330" s="95"/>
      <c r="U2330" s="95"/>
      <c r="V2330" s="95"/>
      <c r="W2330" s="95"/>
      <c r="X2330" s="95"/>
      <c r="Y2330" s="95"/>
      <c r="Z2330" s="95"/>
      <c r="AA2330" s="95"/>
      <c r="AB2330" s="95"/>
      <c r="AC2330" s="355"/>
      <c r="AD2330" s="355"/>
      <c r="AE2330" s="355"/>
      <c r="AF2330" s="94">
        <f t="shared" si="307"/>
        <v>43131</v>
      </c>
      <c r="AG2330" s="185">
        <f t="shared" si="310"/>
        <v>6.670503142009121E-2</v>
      </c>
      <c r="AH2330" s="339" t="str">
        <f>VLOOKUP(B2330,'MF PF'!A:B,2)</f>
        <v>FdMgt1</v>
      </c>
      <c r="AI2330" s="358">
        <f t="shared" si="308"/>
        <v>0</v>
      </c>
      <c r="AJ2330" s="94">
        <f t="shared" si="309"/>
        <v>43131</v>
      </c>
    </row>
    <row r="2331" spans="1:36" ht="12.75" customHeight="1">
      <c r="A2331" s="94">
        <v>43159</v>
      </c>
      <c r="B2331" s="358" t="s">
        <v>175</v>
      </c>
      <c r="C2331" s="92" t="s">
        <v>329</v>
      </c>
      <c r="D2331" s="93">
        <v>603627.78</v>
      </c>
      <c r="E2331" s="95"/>
      <c r="F2331" s="93"/>
      <c r="G2331" s="95"/>
      <c r="H2331" s="93"/>
      <c r="I2331" s="93"/>
      <c r="K2331" s="93"/>
      <c r="L2331" s="93">
        <f t="shared" si="305"/>
        <v>0</v>
      </c>
      <c r="M2331" s="95" t="e">
        <f t="shared" ca="1" si="306"/>
        <v>#DIV/0!</v>
      </c>
      <c r="N2331" s="95">
        <f>IF(P2331="Hedge Fund",IF(A2331=Summary!$AD$3,M2331-E2331,M2331),IF(A2331=Summary!$AD$3,L2331-D2331,L2331))</f>
        <v>0</v>
      </c>
      <c r="O2331" s="95">
        <f t="shared" si="311"/>
        <v>0</v>
      </c>
      <c r="P2331" s="107" t="s">
        <v>155</v>
      </c>
      <c r="Q2331" s="95"/>
      <c r="R2331" s="95">
        <v>1.828726E-2</v>
      </c>
      <c r="S2331" s="95"/>
      <c r="T2331" s="95"/>
      <c r="U2331" s="95"/>
      <c r="V2331" s="95"/>
      <c r="W2331" s="95"/>
      <c r="X2331" s="95"/>
      <c r="Y2331" s="95"/>
      <c r="Z2331" s="95"/>
      <c r="AA2331" s="95"/>
      <c r="AB2331" s="95"/>
      <c r="AC2331" s="355"/>
      <c r="AD2331" s="355"/>
      <c r="AE2331" s="355"/>
      <c r="AF2331" s="94">
        <f t="shared" si="307"/>
        <v>43159</v>
      </c>
      <c r="AG2331" s="185">
        <f t="shared" si="310"/>
        <v>2.8581470931812181E-3</v>
      </c>
      <c r="AH2331" s="339" t="str">
        <f>VLOOKUP(B2331,'MF PF'!A:B,2)</f>
        <v>FdMgt1</v>
      </c>
      <c r="AI2331" s="358">
        <f t="shared" si="308"/>
        <v>0</v>
      </c>
      <c r="AJ2331" s="94">
        <f t="shared" si="309"/>
        <v>43159</v>
      </c>
    </row>
    <row r="2332" spans="1:36" ht="12.75" customHeight="1">
      <c r="A2332" s="94">
        <v>43190</v>
      </c>
      <c r="B2332" s="358" t="s">
        <v>175</v>
      </c>
      <c r="C2332" s="92" t="s">
        <v>329</v>
      </c>
      <c r="D2332" s="93">
        <v>599520.57999999996</v>
      </c>
      <c r="E2332" s="95"/>
      <c r="F2332" s="93"/>
      <c r="G2332" s="95"/>
      <c r="H2332" s="93"/>
      <c r="I2332" s="93"/>
      <c r="K2332" s="93"/>
      <c r="L2332" s="93">
        <f t="shared" si="305"/>
        <v>0</v>
      </c>
      <c r="M2332" s="95" t="e">
        <f t="shared" ca="1" si="306"/>
        <v>#DIV/0!</v>
      </c>
      <c r="N2332" s="95">
        <f>IF(P2332="Hedge Fund",IF(A2332=Summary!$AD$3,M2332-E2332,M2332),IF(A2332=Summary!$AD$3,L2332-D2332,L2332))</f>
        <v>0</v>
      </c>
      <c r="O2332" s="95">
        <f t="shared" si="311"/>
        <v>0</v>
      </c>
      <c r="P2332" s="107" t="s">
        <v>155</v>
      </c>
      <c r="Q2332" s="95">
        <v>2.2908299999999998E-3</v>
      </c>
      <c r="R2332" s="95">
        <v>1.756245E-2</v>
      </c>
      <c r="S2332" s="95"/>
      <c r="T2332" s="95"/>
      <c r="U2332" s="95"/>
      <c r="V2332" s="95"/>
      <c r="W2332" s="95"/>
      <c r="X2332" s="95"/>
      <c r="Y2332" s="95"/>
      <c r="Z2332" s="95"/>
      <c r="AA2332" s="95"/>
      <c r="AB2332" s="95"/>
      <c r="AC2332" s="355"/>
      <c r="AD2332" s="355"/>
      <c r="AE2332" s="355"/>
      <c r="AF2332" s="94">
        <f t="shared" si="307"/>
        <v>43190</v>
      </c>
      <c r="AG2332" s="185">
        <f t="shared" si="310"/>
        <v>-6.8041931403489686E-3</v>
      </c>
      <c r="AH2332" s="339" t="str">
        <f>VLOOKUP(B2332,'MF PF'!A:B,2)</f>
        <v>FdMgt1</v>
      </c>
      <c r="AI2332" s="358">
        <f t="shared" si="308"/>
        <v>0</v>
      </c>
      <c r="AJ2332" s="94">
        <f t="shared" si="309"/>
        <v>43190</v>
      </c>
    </row>
    <row r="2333" spans="1:36" ht="12.75" customHeight="1">
      <c r="A2333" s="94">
        <v>43220</v>
      </c>
      <c r="B2333" s="358" t="s">
        <v>175</v>
      </c>
      <c r="C2333" s="92" t="s">
        <v>329</v>
      </c>
      <c r="D2333" s="93">
        <v>594006.32999999996</v>
      </c>
      <c r="E2333" s="95"/>
      <c r="F2333" s="93"/>
      <c r="G2333" s="95"/>
      <c r="H2333" s="93"/>
      <c r="I2333" s="93"/>
      <c r="K2333" s="93"/>
      <c r="L2333" s="93">
        <f t="shared" si="305"/>
        <v>0</v>
      </c>
      <c r="M2333" s="95" t="e">
        <f t="shared" ca="1" si="306"/>
        <v>#DIV/0!</v>
      </c>
      <c r="N2333" s="95">
        <f>IF(P2333="Hedge Fund",IF(A2333=Summary!$AD$3,M2333-E2333,M2333),IF(A2333=Summary!$AD$3,L2333-D2333,L2333))</f>
        <v>0</v>
      </c>
      <c r="O2333" s="95">
        <f t="shared" si="311"/>
        <v>0</v>
      </c>
      <c r="P2333" s="107" t="s">
        <v>155</v>
      </c>
      <c r="Q2333" s="95"/>
      <c r="R2333" s="95">
        <v>1.6589349999999999E-2</v>
      </c>
      <c r="S2333" s="95"/>
      <c r="T2333" s="95"/>
      <c r="U2333" s="95"/>
      <c r="V2333" s="95"/>
      <c r="W2333" s="95"/>
      <c r="X2333" s="95"/>
      <c r="Y2333" s="95"/>
      <c r="Z2333" s="95"/>
      <c r="AA2333" s="95"/>
      <c r="AB2333" s="95"/>
      <c r="AC2333" s="355"/>
      <c r="AD2333" s="355"/>
      <c r="AE2333" s="355"/>
      <c r="AF2333" s="94">
        <f t="shared" si="307"/>
        <v>43220</v>
      </c>
      <c r="AG2333" s="185">
        <f t="shared" si="310"/>
        <v>-9.1977659882834795E-3</v>
      </c>
      <c r="AH2333" s="339" t="str">
        <f>VLOOKUP(B2333,'MF PF'!A:B,2)</f>
        <v>FdMgt1</v>
      </c>
      <c r="AI2333" s="358">
        <f t="shared" si="308"/>
        <v>0</v>
      </c>
      <c r="AJ2333" s="94">
        <f t="shared" si="309"/>
        <v>43220</v>
      </c>
    </row>
    <row r="2334" spans="1:36" ht="12.75" customHeight="1">
      <c r="A2334" s="94">
        <v>43251</v>
      </c>
      <c r="B2334" s="358" t="s">
        <v>175</v>
      </c>
      <c r="C2334" s="358" t="s">
        <v>329</v>
      </c>
      <c r="D2334" s="93">
        <v>599577.04</v>
      </c>
      <c r="E2334" s="95"/>
      <c r="F2334" s="93"/>
      <c r="G2334" s="95"/>
      <c r="H2334" s="93"/>
      <c r="I2334" s="93"/>
      <c r="K2334" s="93"/>
      <c r="L2334" s="93">
        <f t="shared" si="305"/>
        <v>0</v>
      </c>
      <c r="M2334" s="95" t="e">
        <f t="shared" ca="1" si="306"/>
        <v>#DIV/0!</v>
      </c>
      <c r="N2334" s="95">
        <f>IF(P2334="Hedge Fund",IF(A2334=Summary!$AD$3,M2334-E2334,M2334),IF(A2334=Summary!$AD$3,L2334-D2334,L2334))</f>
        <v>0</v>
      </c>
      <c r="O2334" s="95">
        <f t="shared" si="311"/>
        <v>0</v>
      </c>
      <c r="P2334" s="107" t="s">
        <v>155</v>
      </c>
      <c r="Q2334" s="95"/>
      <c r="R2334" s="95">
        <v>1.7572419999999998E-2</v>
      </c>
      <c r="S2334" s="95"/>
      <c r="T2334" s="95"/>
      <c r="U2334" s="95"/>
      <c r="V2334" s="95"/>
      <c r="W2334" s="95"/>
      <c r="X2334" s="95"/>
      <c r="Y2334" s="95"/>
      <c r="Z2334" s="95"/>
      <c r="AA2334" s="95"/>
      <c r="AB2334" s="95"/>
      <c r="AC2334" s="355"/>
      <c r="AD2334" s="355"/>
      <c r="AE2334" s="355"/>
      <c r="AF2334" s="94">
        <f t="shared" si="307"/>
        <v>43251</v>
      </c>
      <c r="AG2334" s="185">
        <f t="shared" si="310"/>
        <v>9.3781997238986392E-3</v>
      </c>
      <c r="AH2334" s="339" t="str">
        <f>VLOOKUP(B2334,'MF PF'!A:B,2)</f>
        <v>FdMgt1</v>
      </c>
      <c r="AI2334" s="358">
        <f t="shared" si="308"/>
        <v>0</v>
      </c>
      <c r="AJ2334" s="94">
        <f t="shared" si="309"/>
        <v>43251</v>
      </c>
    </row>
    <row r="2335" spans="1:36" ht="12.75" customHeight="1">
      <c r="A2335" s="8">
        <v>43281</v>
      </c>
      <c r="B2335" s="358" t="s">
        <v>175</v>
      </c>
      <c r="C2335" s="92" t="s">
        <v>329</v>
      </c>
      <c r="D2335" s="93">
        <v>597486.80000000005</v>
      </c>
      <c r="E2335" s="95"/>
      <c r="F2335" s="93"/>
      <c r="G2335" s="95"/>
      <c r="H2335" s="93"/>
      <c r="I2335" s="93"/>
      <c r="K2335" s="93"/>
      <c r="L2335" s="93">
        <f t="shared" si="305"/>
        <v>0</v>
      </c>
      <c r="M2335" s="95" t="e">
        <f t="shared" ca="1" si="306"/>
        <v>#DIV/0!</v>
      </c>
      <c r="N2335" s="95">
        <f>IF(P2335="Hedge Fund",IF(A2335=Summary!$AD$3,M2335-E2335,M2335),IF(A2335=Summary!$AD$3,L2335-D2335,L2335))</f>
        <v>0</v>
      </c>
      <c r="O2335" s="95">
        <f t="shared" si="311"/>
        <v>0</v>
      </c>
      <c r="P2335" s="107" t="s">
        <v>155</v>
      </c>
      <c r="Q2335" s="95">
        <v>2.33285E-3</v>
      </c>
      <c r="R2335" s="95">
        <v>1.7203549999999998E-2</v>
      </c>
      <c r="S2335" s="95"/>
      <c r="T2335" s="95"/>
      <c r="U2335" s="95"/>
      <c r="V2335" s="95"/>
      <c r="W2335" s="95"/>
      <c r="X2335" s="95"/>
      <c r="Y2335" s="95"/>
      <c r="Z2335" s="95"/>
      <c r="AA2335" s="95"/>
      <c r="AB2335" s="95"/>
      <c r="AC2335" s="355"/>
      <c r="AD2335" s="355"/>
      <c r="AE2335" s="355"/>
      <c r="AF2335" s="94">
        <f t="shared" si="307"/>
        <v>43281</v>
      </c>
      <c r="AG2335" s="185">
        <f t="shared" si="310"/>
        <v>-3.4861908654807428E-3</v>
      </c>
      <c r="AH2335" s="339" t="str">
        <f>VLOOKUP(B2335,'MF PF'!A:B,2)</f>
        <v>FdMgt1</v>
      </c>
      <c r="AI2335" s="358">
        <f t="shared" si="308"/>
        <v>0</v>
      </c>
      <c r="AJ2335" s="94">
        <f t="shared" si="309"/>
        <v>43281</v>
      </c>
    </row>
    <row r="2336" spans="1:36" ht="12.75" customHeight="1">
      <c r="A2336" s="8">
        <v>43312</v>
      </c>
      <c r="B2336" s="358" t="s">
        <v>175</v>
      </c>
      <c r="C2336" s="92" t="s">
        <v>329</v>
      </c>
      <c r="D2336" s="93">
        <v>589931.46</v>
      </c>
      <c r="E2336" s="95"/>
      <c r="F2336" s="93"/>
      <c r="G2336" s="95"/>
      <c r="H2336" s="93"/>
      <c r="I2336" s="93"/>
      <c r="K2336" s="93"/>
      <c r="L2336" s="93">
        <f t="shared" si="305"/>
        <v>0</v>
      </c>
      <c r="M2336" s="95" t="e">
        <f t="shared" ca="1" si="306"/>
        <v>#DIV/0!</v>
      </c>
      <c r="N2336" s="95">
        <f>IF(P2336="Hedge Fund",IF(A2336=Summary!$AD$3,M2336-E2336,M2336),IF(A2336=Summary!$AD$3,L2336-D2336,L2336))</f>
        <v>0</v>
      </c>
      <c r="O2336" s="95">
        <f t="shared" si="311"/>
        <v>0</v>
      </c>
      <c r="P2336" s="107" t="s">
        <v>155</v>
      </c>
      <c r="Q2336" s="95">
        <v>0</v>
      </c>
      <c r="R2336" s="95">
        <v>1.5870260000000001E-2</v>
      </c>
      <c r="S2336" s="95"/>
      <c r="T2336" s="95"/>
      <c r="U2336" s="95"/>
      <c r="V2336" s="95"/>
      <c r="W2336" s="95"/>
      <c r="X2336" s="95"/>
      <c r="Y2336" s="95"/>
      <c r="Z2336" s="95"/>
      <c r="AA2336" s="95"/>
      <c r="AB2336" s="95"/>
      <c r="AC2336" s="355"/>
      <c r="AD2336" s="355"/>
      <c r="AE2336" s="355"/>
      <c r="AF2336" s="94">
        <f t="shared" si="307"/>
        <v>43312</v>
      </c>
      <c r="AG2336" s="185">
        <f t="shared" si="310"/>
        <v>-1.2645199860482403E-2</v>
      </c>
      <c r="AH2336" s="339" t="str">
        <f>VLOOKUP(B2336,'MF PF'!A:B,2)</f>
        <v>FdMgt1</v>
      </c>
      <c r="AI2336" s="358">
        <f t="shared" si="308"/>
        <v>0</v>
      </c>
      <c r="AJ2336" s="94">
        <f t="shared" si="309"/>
        <v>43312</v>
      </c>
    </row>
    <row r="2337" spans="1:36" ht="12.75" customHeight="1">
      <c r="A2337" s="8">
        <v>43343</v>
      </c>
      <c r="B2337" s="358" t="s">
        <v>175</v>
      </c>
      <c r="C2337" s="92" t="s">
        <v>329</v>
      </c>
      <c r="D2337" s="93">
        <v>585172.68000000005</v>
      </c>
      <c r="E2337" s="95"/>
      <c r="F2337" s="93"/>
      <c r="G2337" s="95"/>
      <c r="H2337" s="93"/>
      <c r="I2337" s="93"/>
      <c r="K2337" s="93"/>
      <c r="L2337" s="93">
        <f t="shared" si="305"/>
        <v>0</v>
      </c>
      <c r="M2337" s="95" t="e">
        <f t="shared" ca="1" si="306"/>
        <v>#DIV/0!</v>
      </c>
      <c r="N2337" s="95">
        <f>IF(P2337="Hedge Fund",IF(A2337=Summary!$AD$3,M2337-E2337,M2337),IF(A2337=Summary!$AD$3,L2337-D2337,L2337))</f>
        <v>0</v>
      </c>
      <c r="O2337" s="95">
        <f t="shared" si="311"/>
        <v>0</v>
      </c>
      <c r="P2337" s="107" t="s">
        <v>155</v>
      </c>
      <c r="Q2337" s="95">
        <v>0</v>
      </c>
      <c r="R2337" s="95">
        <v>1.5030469999999999E-2</v>
      </c>
      <c r="S2337" s="95"/>
      <c r="T2337" s="95"/>
      <c r="U2337" s="95"/>
      <c r="V2337" s="95"/>
      <c r="W2337" s="95"/>
      <c r="X2337" s="95"/>
      <c r="Y2337" s="95"/>
      <c r="Z2337" s="95"/>
      <c r="AA2337" s="95"/>
      <c r="AB2337" s="95"/>
      <c r="AC2337" s="355"/>
      <c r="AD2337" s="355"/>
      <c r="AE2337" s="355"/>
      <c r="AF2337" s="94">
        <f t="shared" si="307"/>
        <v>43343</v>
      </c>
      <c r="AG2337" s="185">
        <f t="shared" si="310"/>
        <v>-8.0666659140367081E-3</v>
      </c>
      <c r="AH2337" s="339" t="str">
        <f>VLOOKUP(B2337,'MF PF'!A:B,2)</f>
        <v>FdMgt1</v>
      </c>
      <c r="AI2337" s="358">
        <f t="shared" si="308"/>
        <v>0</v>
      </c>
      <c r="AJ2337" s="94">
        <f t="shared" si="309"/>
        <v>43343</v>
      </c>
    </row>
    <row r="2338" spans="1:36" ht="12.75" customHeight="1">
      <c r="A2338" s="94">
        <v>43373</v>
      </c>
      <c r="B2338" s="358" t="s">
        <v>175</v>
      </c>
      <c r="C2338" s="92" t="s">
        <v>329</v>
      </c>
      <c r="D2338" s="93">
        <v>563986.69999999995</v>
      </c>
      <c r="E2338" s="95"/>
      <c r="F2338" s="93"/>
      <c r="G2338" s="95"/>
      <c r="H2338" s="93"/>
      <c r="I2338" s="93"/>
      <c r="K2338" s="93"/>
      <c r="L2338" s="93">
        <f t="shared" si="305"/>
        <v>0</v>
      </c>
      <c r="M2338" s="95" t="e">
        <f t="shared" ca="1" si="306"/>
        <v>#DIV/0!</v>
      </c>
      <c r="N2338" s="95">
        <f>IF(P2338="Hedge Fund",IF(A2338=Summary!$AD$3,M2338-E2338,M2338),IF(A2338=Summary!$AD$3,L2338-D2338,L2338))</f>
        <v>0</v>
      </c>
      <c r="O2338" s="95">
        <f t="shared" si="311"/>
        <v>0</v>
      </c>
      <c r="P2338" s="107" t="s">
        <v>155</v>
      </c>
      <c r="Q2338" s="95">
        <v>2.1594600000000002E-3</v>
      </c>
      <c r="R2338" s="95">
        <v>1.129177E-2</v>
      </c>
      <c r="S2338" s="95"/>
      <c r="T2338" s="95"/>
      <c r="U2338" s="95"/>
      <c r="V2338" s="95"/>
      <c r="W2338" s="95"/>
      <c r="X2338" s="95"/>
      <c r="Y2338" s="95"/>
      <c r="Z2338" s="95"/>
      <c r="AA2338" s="95"/>
      <c r="AB2338" s="95"/>
      <c r="AC2338" s="355"/>
      <c r="AD2338" s="355"/>
      <c r="AE2338" s="355"/>
      <c r="AF2338" s="94">
        <f t="shared" si="307"/>
        <v>43373</v>
      </c>
      <c r="AG2338" s="185">
        <f t="shared" si="310"/>
        <v>-3.6204663553329408E-2</v>
      </c>
      <c r="AH2338" s="339" t="str">
        <f>VLOOKUP(B2338,'MF PF'!A:B,2)</f>
        <v>FdMgt1</v>
      </c>
      <c r="AI2338" s="358">
        <f t="shared" si="308"/>
        <v>0</v>
      </c>
      <c r="AJ2338" s="94">
        <f t="shared" si="309"/>
        <v>43373</v>
      </c>
    </row>
    <row r="2339" spans="1:36" ht="12.75" customHeight="1">
      <c r="A2339" s="94">
        <v>43404</v>
      </c>
      <c r="B2339" s="358" t="s">
        <v>175</v>
      </c>
      <c r="C2339" s="358" t="s">
        <v>329</v>
      </c>
      <c r="D2339" s="93">
        <v>556913.6115</v>
      </c>
      <c r="E2339" s="95"/>
      <c r="F2339" s="93">
        <v>0.5</v>
      </c>
      <c r="G2339" s="93"/>
      <c r="H2339" s="93">
        <v>0</v>
      </c>
      <c r="I2339" s="93">
        <v>0</v>
      </c>
      <c r="J2339" s="93">
        <v>0</v>
      </c>
      <c r="K2339" s="93"/>
      <c r="L2339" s="93">
        <f t="shared" si="305"/>
        <v>0</v>
      </c>
      <c r="M2339" s="95" t="e">
        <f t="shared" ca="1" si="306"/>
        <v>#DIV/0!</v>
      </c>
      <c r="N2339" s="95">
        <f>IF(P2339="Hedge Fund",IF(A2339=Summary!$AD$3,M2339-E2339,M2339),IF(A2339=Summary!$AD$3,L2339-D2339,L2339))</f>
        <v>0</v>
      </c>
      <c r="O2339" s="95">
        <f t="shared" si="311"/>
        <v>0</v>
      </c>
      <c r="P2339" s="95" t="s">
        <v>155</v>
      </c>
      <c r="Q2339" s="95">
        <v>2.9293580503472966E-3</v>
      </c>
      <c r="R2339" s="95">
        <v>1.004357849999999E-2</v>
      </c>
      <c r="S2339" s="95"/>
      <c r="T2339" s="95"/>
      <c r="U2339" s="95"/>
      <c r="V2339" s="95"/>
      <c r="W2339" s="95"/>
      <c r="X2339" s="95"/>
      <c r="Y2339" s="95"/>
      <c r="Z2339" s="95"/>
      <c r="AA2339" s="95"/>
      <c r="AB2339" s="95"/>
      <c r="AC2339" s="355"/>
      <c r="AD2339" s="355"/>
      <c r="AE2339" s="355"/>
      <c r="AF2339" s="94">
        <f t="shared" si="307"/>
        <v>43404</v>
      </c>
      <c r="AG2339" s="185">
        <f t="shared" si="310"/>
        <v>-1.2541232798574775E-2</v>
      </c>
      <c r="AH2339" s="339" t="str">
        <f>VLOOKUP(B2339,'MF PF'!A:B,2)</f>
        <v>FdMgt1</v>
      </c>
      <c r="AI2339" s="358">
        <f t="shared" si="308"/>
        <v>0</v>
      </c>
      <c r="AJ2339" s="94">
        <f t="shared" si="309"/>
        <v>43404</v>
      </c>
    </row>
    <row r="2340" spans="1:36" ht="12.75" customHeight="1">
      <c r="A2340" s="8">
        <v>43434</v>
      </c>
      <c r="B2340" s="358" t="s">
        <v>175</v>
      </c>
      <c r="C2340" s="92" t="s">
        <v>329</v>
      </c>
      <c r="D2340" s="93">
        <v>556696.17299999995</v>
      </c>
      <c r="E2340" s="95"/>
      <c r="F2340" s="93">
        <v>0.5</v>
      </c>
      <c r="G2340" s="93"/>
      <c r="H2340" s="93">
        <v>0</v>
      </c>
      <c r="I2340" s="93">
        <v>0</v>
      </c>
      <c r="K2340" s="93">
        <v>0</v>
      </c>
      <c r="L2340" s="93">
        <f t="shared" si="305"/>
        <v>0</v>
      </c>
      <c r="M2340" s="95" t="e">
        <f t="shared" ca="1" si="306"/>
        <v>#DIV/0!</v>
      </c>
      <c r="N2340" s="95">
        <f>IF(P2340="Hedge Fund",IF(A2340=Summary!$AD$3,M2340-E2340,M2340),IF(A2340=Summary!$AD$3,L2340-D2340,L2340))</f>
        <v>0</v>
      </c>
      <c r="O2340" s="95">
        <f t="shared" si="311"/>
        <v>0</v>
      </c>
      <c r="P2340" s="95" t="s">
        <v>155</v>
      </c>
      <c r="Q2340" s="95">
        <v>1.4764723281145942E-3</v>
      </c>
      <c r="R2340" s="95">
        <v>1.0005207E-2</v>
      </c>
      <c r="S2340" s="95"/>
      <c r="T2340" s="95"/>
      <c r="U2340" s="95"/>
      <c r="V2340" s="95"/>
      <c r="W2340" s="95"/>
      <c r="X2340" s="95"/>
      <c r="Y2340" s="95"/>
      <c r="Z2340" s="95"/>
      <c r="AA2340" s="95"/>
      <c r="AB2340" s="95"/>
      <c r="AC2340" s="355"/>
      <c r="AD2340" s="355"/>
      <c r="AE2340" s="355"/>
      <c r="AF2340" s="94">
        <f t="shared" si="307"/>
        <v>43434</v>
      </c>
      <c r="AG2340" s="185">
        <f t="shared" si="310"/>
        <v>-3.9043488165857454E-4</v>
      </c>
      <c r="AH2340" s="339" t="str">
        <f>VLOOKUP(B2340,'MF PF'!A:B,2)</f>
        <v>FdMgt1</v>
      </c>
      <c r="AI2340" s="358">
        <f t="shared" si="308"/>
        <v>0</v>
      </c>
      <c r="AJ2340" s="94">
        <f t="shared" si="309"/>
        <v>43434</v>
      </c>
    </row>
    <row r="2341" spans="1:36" ht="12.75" customHeight="1">
      <c r="A2341" s="8">
        <v>43465</v>
      </c>
      <c r="B2341" s="358" t="s">
        <v>175</v>
      </c>
      <c r="C2341" s="92" t="s">
        <v>329</v>
      </c>
      <c r="D2341" s="93">
        <v>565243.14399999997</v>
      </c>
      <c r="E2341" s="95"/>
      <c r="F2341" s="93">
        <v>0.5</v>
      </c>
      <c r="G2341" s="93"/>
      <c r="H2341" s="93">
        <v>0</v>
      </c>
      <c r="I2341" s="93">
        <v>0</v>
      </c>
      <c r="K2341" s="93">
        <v>0</v>
      </c>
      <c r="L2341" s="93">
        <f t="shared" si="305"/>
        <v>0</v>
      </c>
      <c r="M2341" s="95" t="e">
        <f t="shared" ca="1" si="306"/>
        <v>#DIV/0!</v>
      </c>
      <c r="N2341" s="95">
        <f>IF(P2341="Hedge Fund",IF(A2341=Summary!$AD$3,M2341-E2341,M2341),IF(A2341=Summary!$AD$3,L2341-D2341,L2341))</f>
        <v>0</v>
      </c>
      <c r="O2341" s="95">
        <f t="shared" si="311"/>
        <v>0</v>
      </c>
      <c r="P2341" s="95" t="s">
        <v>155</v>
      </c>
      <c r="Q2341" s="95">
        <v>2.2366590538072995E-3</v>
      </c>
      <c r="R2341" s="95">
        <v>1.1513496000000002E-2</v>
      </c>
      <c r="S2341" s="95"/>
      <c r="T2341" s="95"/>
      <c r="U2341" s="95"/>
      <c r="V2341" s="95"/>
      <c r="W2341" s="95"/>
      <c r="X2341" s="95"/>
      <c r="Y2341" s="95"/>
      <c r="Z2341" s="95"/>
      <c r="AA2341" s="95"/>
      <c r="AB2341" s="95"/>
      <c r="AC2341" s="355"/>
      <c r="AD2341" s="355"/>
      <c r="AE2341" s="355"/>
      <c r="AF2341" s="94">
        <f t="shared" si="307"/>
        <v>43465</v>
      </c>
      <c r="AG2341" s="185">
        <f t="shared" si="310"/>
        <v>1.5353026326624386E-2</v>
      </c>
      <c r="AH2341" s="339" t="str">
        <f>VLOOKUP(B2341,'MF PF'!A:B,2)</f>
        <v>FdMgt1</v>
      </c>
      <c r="AI2341" s="358">
        <f t="shared" si="308"/>
        <v>0</v>
      </c>
      <c r="AJ2341" s="94">
        <f t="shared" si="309"/>
        <v>43465</v>
      </c>
    </row>
    <row r="2342" spans="1:36" ht="12.75" customHeight="1">
      <c r="A2342" s="8">
        <v>43496</v>
      </c>
      <c r="B2342" s="358" t="s">
        <v>175</v>
      </c>
      <c r="C2342" s="92" t="s">
        <v>329</v>
      </c>
      <c r="D2342" s="93">
        <v>579236.60900000005</v>
      </c>
      <c r="E2342" s="95"/>
      <c r="F2342" s="93">
        <v>0.5</v>
      </c>
      <c r="G2342" s="93"/>
      <c r="H2342" s="93">
        <v>0</v>
      </c>
      <c r="I2342" s="93">
        <v>0</v>
      </c>
      <c r="K2342" s="93">
        <v>0</v>
      </c>
      <c r="L2342" s="93">
        <f t="shared" si="305"/>
        <v>0</v>
      </c>
      <c r="M2342" s="95" t="e">
        <f t="shared" ca="1" si="306"/>
        <v>#DIV/0!</v>
      </c>
      <c r="N2342" s="95">
        <f>IF(P2342="Hedge Fund",IF(A2342=Summary!$AD$3,M2342-E2342,M2342),IF(A2342=Summary!$AD$3,L2342-D2342,L2342))</f>
        <v>-579236.60900000005</v>
      </c>
      <c r="O2342" s="95">
        <f t="shared" si="311"/>
        <v>-579236.60900000005</v>
      </c>
      <c r="P2342" s="95" t="s">
        <v>155</v>
      </c>
      <c r="Q2342" s="95">
        <v>7.5678671282675971E-4</v>
      </c>
      <c r="R2342" s="95">
        <v>1.3982931000000006E-2</v>
      </c>
      <c r="S2342" s="95"/>
      <c r="T2342" s="95"/>
      <c r="U2342" s="95"/>
      <c r="V2342" s="95"/>
      <c r="W2342" s="95"/>
      <c r="X2342" s="95"/>
      <c r="Y2342" s="95"/>
      <c r="Z2342" s="95"/>
      <c r="AA2342" s="95"/>
      <c r="AB2342" s="95"/>
      <c r="AC2342" s="355"/>
      <c r="AD2342" s="355"/>
      <c r="AE2342" s="355"/>
      <c r="AF2342" s="94">
        <f t="shared" si="307"/>
        <v>43496</v>
      </c>
      <c r="AG2342" s="185">
        <f t="shared" si="310"/>
        <v>2.4756540877212352E-2</v>
      </c>
      <c r="AH2342" s="339" t="str">
        <f>VLOOKUP(B2342,'MF PF'!A:B,2)</f>
        <v>FdMgt1</v>
      </c>
      <c r="AI2342" s="358">
        <f t="shared" si="308"/>
        <v>0</v>
      </c>
      <c r="AJ2342" s="94">
        <f t="shared" si="309"/>
        <v>43496</v>
      </c>
    </row>
    <row r="2343" spans="1:36" ht="12.75" customHeight="1">
      <c r="A2343" s="94">
        <v>42947</v>
      </c>
      <c r="B2343" s="358" t="s">
        <v>175</v>
      </c>
      <c r="C2343" s="92" t="s">
        <v>330</v>
      </c>
      <c r="D2343" s="93">
        <v>90809.43</v>
      </c>
      <c r="E2343" s="95"/>
      <c r="F2343" s="93"/>
      <c r="G2343" s="95"/>
      <c r="H2343" s="93"/>
      <c r="I2343" s="93"/>
      <c r="K2343" s="93"/>
      <c r="L2343" s="93">
        <f t="shared" si="305"/>
        <v>0</v>
      </c>
      <c r="M2343" s="95">
        <f t="shared" ca="1" si="306"/>
        <v>0</v>
      </c>
      <c r="N2343" s="95">
        <f>IF(P2343="Hedge Fund",IF(A2343=Summary!$AD$3,M2343-E2343,M2343),IF(A2343=Summary!$AD$3,L2343-D2343,L2343))</f>
        <v>0</v>
      </c>
      <c r="O2343" s="95">
        <f t="shared" si="311"/>
        <v>0</v>
      </c>
      <c r="P2343" s="107" t="s">
        <v>155</v>
      </c>
      <c r="Q2343" s="95">
        <v>1.1551999999999999E-4</v>
      </c>
      <c r="R2343" s="95">
        <v>0</v>
      </c>
      <c r="S2343" s="95"/>
      <c r="T2343" s="95"/>
      <c r="U2343" s="95"/>
      <c r="V2343" s="95"/>
      <c r="W2343" s="95"/>
      <c r="X2343" s="95"/>
      <c r="Y2343" s="95"/>
      <c r="Z2343" s="95"/>
      <c r="AA2343" s="95"/>
      <c r="AB2343" s="95"/>
      <c r="AC2343" s="355"/>
      <c r="AD2343" s="355"/>
      <c r="AE2343" s="355"/>
      <c r="AF2343" s="94">
        <f t="shared" si="307"/>
        <v>42947</v>
      </c>
      <c r="AG2343" s="185" t="e">
        <f t="shared" si="310"/>
        <v>#DIV/0!</v>
      </c>
      <c r="AH2343" s="339" t="str">
        <f>VLOOKUP(B2343,'MF PF'!A:B,2)</f>
        <v>FdMgt1</v>
      </c>
      <c r="AI2343" s="358">
        <f t="shared" si="308"/>
        <v>0</v>
      </c>
      <c r="AJ2343" s="94">
        <f t="shared" si="309"/>
        <v>42947</v>
      </c>
    </row>
    <row r="2344" spans="1:36" ht="12.75" customHeight="1">
      <c r="A2344" s="8">
        <v>42958</v>
      </c>
      <c r="B2344" s="358" t="s">
        <v>175</v>
      </c>
      <c r="C2344" s="92" t="s">
        <v>330</v>
      </c>
      <c r="D2344" s="93"/>
      <c r="E2344" s="95"/>
      <c r="F2344" s="93"/>
      <c r="G2344" s="95">
        <v>7146</v>
      </c>
      <c r="H2344" s="93"/>
      <c r="I2344" s="93"/>
      <c r="K2344" s="93"/>
      <c r="L2344" s="93">
        <f t="shared" si="305"/>
        <v>7146</v>
      </c>
      <c r="M2344" s="95" t="e">
        <f t="shared" ca="1" si="306"/>
        <v>#DIV/0!</v>
      </c>
      <c r="N2344" s="95">
        <f>IF(P2344="Hedge Fund",IF(A2344=Summary!$AD$3,M2344-E2344,M2344),IF(A2344=Summary!$AD$3,L2344-D2344,L2344))</f>
        <v>7146</v>
      </c>
      <c r="O2344" s="95">
        <f t="shared" si="311"/>
        <v>7146</v>
      </c>
      <c r="P2344" s="107" t="s">
        <v>155</v>
      </c>
      <c r="Q2344" s="95">
        <v>0</v>
      </c>
      <c r="R2344" s="95">
        <v>0</v>
      </c>
      <c r="S2344" s="95"/>
      <c r="T2344" s="95"/>
      <c r="U2344" s="95"/>
      <c r="V2344" s="95"/>
      <c r="W2344" s="95"/>
      <c r="X2344" s="95"/>
      <c r="Y2344" s="95"/>
      <c r="Z2344" s="95"/>
      <c r="AA2344" s="95"/>
      <c r="AB2344" s="95"/>
      <c r="AC2344" s="355"/>
      <c r="AD2344" s="355"/>
      <c r="AE2344" s="355"/>
      <c r="AF2344" s="94">
        <f t="shared" si="307"/>
        <v>42958</v>
      </c>
      <c r="AG2344" s="185">
        <f t="shared" si="310"/>
        <v>-1.0786922679726103</v>
      </c>
      <c r="AH2344" s="339" t="str">
        <f>VLOOKUP(B2344,'MF PF'!A:B,2)</f>
        <v>FdMgt1</v>
      </c>
      <c r="AI2344" s="358">
        <f t="shared" si="308"/>
        <v>0</v>
      </c>
      <c r="AJ2344" s="94">
        <f t="shared" si="309"/>
        <v>42978</v>
      </c>
    </row>
    <row r="2345" spans="1:36" ht="12.75" customHeight="1">
      <c r="A2345" s="94">
        <v>42958</v>
      </c>
      <c r="B2345" s="358" t="s">
        <v>175</v>
      </c>
      <c r="C2345" s="358" t="s">
        <v>330</v>
      </c>
      <c r="D2345" s="93"/>
      <c r="E2345" s="95"/>
      <c r="F2345" s="93"/>
      <c r="G2345" s="95">
        <v>92854</v>
      </c>
      <c r="H2345" s="93"/>
      <c r="I2345" s="93"/>
      <c r="K2345" s="93"/>
      <c r="L2345" s="93">
        <f t="shared" si="305"/>
        <v>92854</v>
      </c>
      <c r="M2345" s="95">
        <f t="shared" ca="1" si="306"/>
        <v>0</v>
      </c>
      <c r="N2345" s="95">
        <f>IF(P2345="Hedge Fund",IF(A2345=Summary!$AD$3,M2345-E2345,M2345),IF(A2345=Summary!$AD$3,L2345-D2345,L2345))</f>
        <v>92854</v>
      </c>
      <c r="O2345" s="95">
        <f t="shared" si="311"/>
        <v>92854</v>
      </c>
      <c r="P2345" s="107" t="s">
        <v>155</v>
      </c>
      <c r="Q2345" s="95">
        <v>0</v>
      </c>
      <c r="R2345" s="95">
        <v>0</v>
      </c>
      <c r="S2345" s="95"/>
      <c r="T2345" s="95"/>
      <c r="U2345" s="95"/>
      <c r="V2345" s="95"/>
      <c r="W2345" s="95"/>
      <c r="X2345" s="95"/>
      <c r="Y2345" s="95"/>
      <c r="Z2345" s="95"/>
      <c r="AA2345" s="95"/>
      <c r="AB2345" s="95"/>
      <c r="AC2345" s="355"/>
      <c r="AD2345" s="355"/>
      <c r="AE2345" s="355"/>
      <c r="AF2345" s="94">
        <f t="shared" si="307"/>
        <v>42958</v>
      </c>
      <c r="AG2345" s="185" t="e">
        <f t="shared" si="310"/>
        <v>#DIV/0!</v>
      </c>
      <c r="AH2345" s="339" t="str">
        <f>VLOOKUP(B2345,'MF PF'!A:B,2)</f>
        <v>FdMgt1</v>
      </c>
      <c r="AI2345" s="358">
        <f t="shared" si="308"/>
        <v>0</v>
      </c>
      <c r="AJ2345" s="94">
        <f t="shared" si="309"/>
        <v>42978</v>
      </c>
    </row>
    <row r="2346" spans="1:36" ht="12.75" customHeight="1">
      <c r="A2346" s="94">
        <v>42978</v>
      </c>
      <c r="B2346" s="358" t="s">
        <v>175</v>
      </c>
      <c r="C2346" s="358" t="s">
        <v>330</v>
      </c>
      <c r="D2346" s="93">
        <v>97728.71</v>
      </c>
      <c r="E2346" s="95"/>
      <c r="F2346" s="93"/>
      <c r="G2346" s="95"/>
      <c r="H2346" s="93"/>
      <c r="I2346" s="93"/>
      <c r="K2346" s="93"/>
      <c r="L2346" s="93">
        <f t="shared" si="305"/>
        <v>0</v>
      </c>
      <c r="M2346" s="95" t="e">
        <f t="shared" ca="1" si="306"/>
        <v>#DIV/0!</v>
      </c>
      <c r="N2346" s="95">
        <f>IF(P2346="Hedge Fund",IF(A2346=Summary!$AD$3,M2346-E2346,M2346),IF(A2346=Summary!$AD$3,L2346-D2346,L2346))</f>
        <v>0</v>
      </c>
      <c r="O2346" s="95">
        <f t="shared" si="311"/>
        <v>0</v>
      </c>
      <c r="P2346" s="107" t="s">
        <v>155</v>
      </c>
      <c r="Q2346" s="95">
        <v>1.11378E-3</v>
      </c>
      <c r="R2346" s="95">
        <v>0</v>
      </c>
      <c r="S2346" s="95"/>
      <c r="T2346" s="95"/>
      <c r="U2346" s="95"/>
      <c r="V2346" s="95"/>
      <c r="W2346" s="95"/>
      <c r="X2346" s="95"/>
      <c r="Y2346" s="95"/>
      <c r="Z2346" s="95"/>
      <c r="AA2346" s="95"/>
      <c r="AB2346" s="95"/>
      <c r="AC2346" s="355"/>
      <c r="AD2346" s="355"/>
      <c r="AE2346" s="355"/>
      <c r="AF2346" s="94">
        <f t="shared" si="307"/>
        <v>42978</v>
      </c>
      <c r="AG2346" s="185" t="e">
        <f t="shared" si="310"/>
        <v>#DIV/0!</v>
      </c>
      <c r="AH2346" s="339" t="str">
        <f>VLOOKUP(B2346,'MF PF'!A:B,2)</f>
        <v>FdMgt1</v>
      </c>
      <c r="AI2346" s="358">
        <f t="shared" si="308"/>
        <v>0</v>
      </c>
      <c r="AJ2346" s="94">
        <f t="shared" si="309"/>
        <v>42978</v>
      </c>
    </row>
    <row r="2347" spans="1:36" s="92" customFormat="1" ht="12.75" customHeight="1">
      <c r="A2347" s="94">
        <v>43008</v>
      </c>
      <c r="B2347" s="358" t="s">
        <v>175</v>
      </c>
      <c r="C2347" s="358" t="s">
        <v>330</v>
      </c>
      <c r="D2347" s="93">
        <v>98155.35</v>
      </c>
      <c r="E2347" s="95"/>
      <c r="F2347" s="93"/>
      <c r="G2347" s="95"/>
      <c r="H2347" s="93"/>
      <c r="I2347" s="93"/>
      <c r="J2347" s="93"/>
      <c r="K2347" s="93"/>
      <c r="L2347" s="93">
        <f t="shared" si="305"/>
        <v>0</v>
      </c>
      <c r="M2347" s="95" t="e">
        <f t="shared" ca="1" si="306"/>
        <v>#DIV/0!</v>
      </c>
      <c r="N2347" s="95">
        <f>IF(P2347="Hedge Fund",IF(A2347=Summary!$AD$3,M2347-E2347,M2347),IF(A2347=Summary!$AD$3,L2347-D2347,L2347))</f>
        <v>0</v>
      </c>
      <c r="O2347" s="95">
        <f t="shared" si="311"/>
        <v>0</v>
      </c>
      <c r="P2347" s="107" t="s">
        <v>155</v>
      </c>
      <c r="Q2347" s="95">
        <v>1.2378199999999999E-3</v>
      </c>
      <c r="R2347" s="95">
        <v>0</v>
      </c>
      <c r="S2347" s="95"/>
      <c r="T2347" s="95"/>
      <c r="U2347" s="95"/>
      <c r="V2347" s="95"/>
      <c r="W2347" s="95"/>
      <c r="X2347" s="95"/>
      <c r="Y2347" s="95"/>
      <c r="Z2347" s="95"/>
      <c r="AA2347" s="95"/>
      <c r="AB2347" s="95"/>
      <c r="AC2347" s="355"/>
      <c r="AD2347" s="355"/>
      <c r="AE2347" s="355"/>
      <c r="AF2347" s="94">
        <f t="shared" si="307"/>
        <v>43008</v>
      </c>
      <c r="AG2347" s="185">
        <f t="shared" si="310"/>
        <v>4.3655544005440916E-3</v>
      </c>
      <c r="AH2347" s="339" t="str">
        <f>VLOOKUP(B2347,'MF PF'!A:B,2)</f>
        <v>FdMgt1</v>
      </c>
      <c r="AI2347" s="358">
        <f t="shared" si="308"/>
        <v>0</v>
      </c>
      <c r="AJ2347" s="94">
        <f t="shared" si="309"/>
        <v>43008</v>
      </c>
    </row>
    <row r="2348" spans="1:36" ht="12.75" customHeight="1">
      <c r="A2348" s="8">
        <v>43039</v>
      </c>
      <c r="B2348" s="358" t="s">
        <v>175</v>
      </c>
      <c r="C2348" s="92" t="s">
        <v>330</v>
      </c>
      <c r="D2348" s="93">
        <v>99925.55</v>
      </c>
      <c r="E2348" s="95"/>
      <c r="F2348" s="93"/>
      <c r="G2348" s="95"/>
      <c r="H2348" s="93"/>
      <c r="I2348" s="93"/>
      <c r="K2348" s="93"/>
      <c r="L2348" s="93">
        <f t="shared" si="305"/>
        <v>0</v>
      </c>
      <c r="M2348" s="95" t="e">
        <f t="shared" ca="1" si="306"/>
        <v>#DIV/0!</v>
      </c>
      <c r="N2348" s="95">
        <f>IF(P2348="Hedge Fund",IF(A2348=Summary!$AD$3,M2348-E2348,M2348),IF(A2348=Summary!$AD$3,L2348-D2348,L2348))</f>
        <v>0</v>
      </c>
      <c r="O2348" s="95">
        <f t="shared" si="311"/>
        <v>0</v>
      </c>
      <c r="P2348" s="107" t="s">
        <v>155</v>
      </c>
      <c r="Q2348" s="95">
        <v>1.2378199999999999E-3</v>
      </c>
      <c r="R2348" s="95">
        <v>0</v>
      </c>
      <c r="S2348" s="95"/>
      <c r="T2348" s="95"/>
      <c r="U2348" s="95"/>
      <c r="V2348" s="95"/>
      <c r="W2348" s="95"/>
      <c r="X2348" s="95"/>
      <c r="Y2348" s="95"/>
      <c r="Z2348" s="95"/>
      <c r="AA2348" s="95"/>
      <c r="AB2348" s="95"/>
      <c r="AC2348" s="355"/>
      <c r="AD2348" s="355"/>
      <c r="AE2348" s="355"/>
      <c r="AF2348" s="94">
        <f t="shared" si="307"/>
        <v>43039</v>
      </c>
      <c r="AG2348" s="185">
        <f t="shared" si="310"/>
        <v>1.8034676663065241E-2</v>
      </c>
      <c r="AH2348" s="339" t="str">
        <f>VLOOKUP(B2348,'MF PF'!A:B,2)</f>
        <v>FdMgt1</v>
      </c>
      <c r="AI2348" s="358">
        <f t="shared" si="308"/>
        <v>0</v>
      </c>
      <c r="AJ2348" s="94">
        <f t="shared" si="309"/>
        <v>43039</v>
      </c>
    </row>
    <row r="2349" spans="1:36" ht="12.75" customHeight="1">
      <c r="A2349" s="8">
        <v>43069</v>
      </c>
      <c r="B2349" s="358" t="s">
        <v>175</v>
      </c>
      <c r="C2349" s="92" t="s">
        <v>330</v>
      </c>
      <c r="D2349" s="93">
        <v>99364.35</v>
      </c>
      <c r="E2349" s="95"/>
      <c r="F2349" s="93"/>
      <c r="G2349" s="95"/>
      <c r="H2349" s="93"/>
      <c r="I2349" s="93"/>
      <c r="K2349" s="93"/>
      <c r="L2349" s="93">
        <f t="shared" si="305"/>
        <v>0</v>
      </c>
      <c r="M2349" s="95" t="e">
        <f t="shared" ca="1" si="306"/>
        <v>#DIV/0!</v>
      </c>
      <c r="N2349" s="95">
        <f>IF(P2349="Hedge Fund",IF(A2349=Summary!$AD$3,M2349-E2349,M2349),IF(A2349=Summary!$AD$3,L2349-D2349,L2349))</f>
        <v>0</v>
      </c>
      <c r="O2349" s="95">
        <f t="shared" si="311"/>
        <v>0</v>
      </c>
      <c r="P2349" s="107" t="s">
        <v>155</v>
      </c>
      <c r="Q2349" s="95">
        <v>1.5019499999999999E-3</v>
      </c>
      <c r="R2349" s="95">
        <v>0</v>
      </c>
      <c r="S2349" s="95"/>
      <c r="T2349" s="95"/>
      <c r="U2349" s="95"/>
      <c r="V2349" s="95"/>
      <c r="W2349" s="95"/>
      <c r="X2349" s="95"/>
      <c r="Y2349" s="95"/>
      <c r="Z2349" s="95"/>
      <c r="AA2349" s="95"/>
      <c r="AB2349" s="95"/>
      <c r="AC2349" s="355"/>
      <c r="AD2349" s="355"/>
      <c r="AE2349" s="355"/>
      <c r="AF2349" s="94">
        <f t="shared" si="307"/>
        <v>43069</v>
      </c>
      <c r="AG2349" s="185">
        <f t="shared" si="310"/>
        <v>-5.616181246938301E-3</v>
      </c>
      <c r="AH2349" s="339" t="str">
        <f>VLOOKUP(B2349,'MF PF'!A:B,2)</f>
        <v>FdMgt1</v>
      </c>
      <c r="AI2349" s="358">
        <f t="shared" si="308"/>
        <v>0</v>
      </c>
      <c r="AJ2349" s="94">
        <f t="shared" si="309"/>
        <v>43069</v>
      </c>
    </row>
    <row r="2350" spans="1:36" ht="12.75" customHeight="1">
      <c r="A2350" s="94">
        <v>43087</v>
      </c>
      <c r="B2350" s="358" t="s">
        <v>175</v>
      </c>
      <c r="C2350" s="358" t="s">
        <v>330</v>
      </c>
      <c r="D2350" s="93"/>
      <c r="E2350" s="95"/>
      <c r="F2350" s="93"/>
      <c r="G2350" s="358"/>
      <c r="H2350" s="93"/>
      <c r="I2350" s="95">
        <v>-12250.04</v>
      </c>
      <c r="K2350" s="93"/>
      <c r="L2350" s="93">
        <f t="shared" si="305"/>
        <v>-12250.04</v>
      </c>
      <c r="M2350" s="95" t="e">
        <f t="shared" ca="1" si="306"/>
        <v>#DIV/0!</v>
      </c>
      <c r="N2350" s="95">
        <f>IF(P2350="Hedge Fund",IF(A2350=Summary!$AD$3,M2350-E2350,M2350),IF(A2350=Summary!$AD$3,L2350-D2350,L2350))</f>
        <v>-12250.04</v>
      </c>
      <c r="O2350" s="95">
        <f t="shared" si="311"/>
        <v>-12250.04</v>
      </c>
      <c r="P2350" s="107" t="s">
        <v>155</v>
      </c>
      <c r="Q2350" s="95">
        <v>0</v>
      </c>
      <c r="R2350" s="95">
        <v>0</v>
      </c>
      <c r="S2350" s="95"/>
      <c r="T2350" s="95"/>
      <c r="U2350" s="95"/>
      <c r="V2350" s="95"/>
      <c r="W2350" s="95"/>
      <c r="X2350" s="95"/>
      <c r="Y2350" s="95"/>
      <c r="Z2350" s="95"/>
      <c r="AA2350" s="95"/>
      <c r="AB2350" s="95"/>
      <c r="AC2350" s="355"/>
      <c r="AD2350" s="355"/>
      <c r="AE2350" s="355"/>
      <c r="AF2350" s="94">
        <f t="shared" si="307"/>
        <v>43087</v>
      </c>
      <c r="AG2350" s="185">
        <f t="shared" si="310"/>
        <v>-0.87671594490378091</v>
      </c>
      <c r="AH2350" s="339" t="str">
        <f>VLOOKUP(B2350,'MF PF'!A:B,2)</f>
        <v>FdMgt1</v>
      </c>
      <c r="AI2350" s="358">
        <f t="shared" si="308"/>
        <v>0</v>
      </c>
      <c r="AJ2350" s="94">
        <f t="shared" si="309"/>
        <v>43100</v>
      </c>
    </row>
    <row r="2351" spans="1:36" ht="12.75" customHeight="1">
      <c r="A2351" s="94">
        <v>43087</v>
      </c>
      <c r="B2351" s="358" t="s">
        <v>175</v>
      </c>
      <c r="C2351" s="358" t="s">
        <v>330</v>
      </c>
      <c r="D2351" s="93"/>
      <c r="E2351" s="95"/>
      <c r="F2351" s="93"/>
      <c r="G2351" s="95">
        <v>12250.04</v>
      </c>
      <c r="H2351" s="93"/>
      <c r="I2351" s="93"/>
      <c r="K2351" s="93"/>
      <c r="L2351" s="93">
        <f t="shared" si="305"/>
        <v>12250.04</v>
      </c>
      <c r="M2351" s="95">
        <f t="shared" ca="1" si="306"/>
        <v>0</v>
      </c>
      <c r="N2351" s="95">
        <f>IF(P2351="Hedge Fund",IF(A2351=Summary!$AD$3,M2351-E2351,M2351),IF(A2351=Summary!$AD$3,L2351-D2351,L2351))</f>
        <v>12250.04</v>
      </c>
      <c r="O2351" s="95">
        <f t="shared" si="311"/>
        <v>12250.04</v>
      </c>
      <c r="P2351" s="107" t="s">
        <v>155</v>
      </c>
      <c r="Q2351" s="95">
        <v>0</v>
      </c>
      <c r="R2351" s="95">
        <v>0</v>
      </c>
      <c r="S2351" s="95"/>
      <c r="T2351" s="95"/>
      <c r="U2351" s="95"/>
      <c r="V2351" s="95"/>
      <c r="W2351" s="95"/>
      <c r="X2351" s="95"/>
      <c r="Y2351" s="95"/>
      <c r="Z2351" s="95"/>
      <c r="AA2351" s="95"/>
      <c r="AB2351" s="95"/>
      <c r="AC2351" s="355"/>
      <c r="AD2351" s="355"/>
      <c r="AE2351" s="355"/>
      <c r="AF2351" s="94">
        <f t="shared" si="307"/>
        <v>43087</v>
      </c>
      <c r="AG2351" s="185" t="e">
        <f t="shared" si="310"/>
        <v>#DIV/0!</v>
      </c>
      <c r="AH2351" s="339" t="str">
        <f>VLOOKUP(B2351,'MF PF'!A:B,2)</f>
        <v>FdMgt1</v>
      </c>
      <c r="AI2351" s="358">
        <f t="shared" si="308"/>
        <v>0</v>
      </c>
      <c r="AJ2351" s="94">
        <f t="shared" si="309"/>
        <v>43100</v>
      </c>
    </row>
    <row r="2352" spans="1:36" ht="12.75" customHeight="1">
      <c r="A2352" s="94">
        <v>43100</v>
      </c>
      <c r="B2352" s="358" t="s">
        <v>175</v>
      </c>
      <c r="C2352" s="358" t="s">
        <v>330</v>
      </c>
      <c r="D2352" s="93">
        <v>112853.59</v>
      </c>
      <c r="E2352" s="95"/>
      <c r="F2352" s="93"/>
      <c r="G2352" s="95"/>
      <c r="H2352" s="93"/>
      <c r="I2352" s="93"/>
      <c r="K2352" s="93"/>
      <c r="L2352" s="93">
        <f t="shared" si="305"/>
        <v>0</v>
      </c>
      <c r="M2352" s="95" t="e">
        <f t="shared" ca="1" si="306"/>
        <v>#DIV/0!</v>
      </c>
      <c r="N2352" s="95">
        <f>IF(P2352="Hedge Fund",IF(A2352=Summary!$AD$3,M2352-E2352,M2352),IF(A2352=Summary!$AD$3,L2352-D2352,L2352))</f>
        <v>0</v>
      </c>
      <c r="O2352" s="95">
        <f t="shared" ref="O2352:O2383" si="312">N2352</f>
        <v>0</v>
      </c>
      <c r="P2352" s="107" t="s">
        <v>155</v>
      </c>
      <c r="Q2352" s="95">
        <v>8.0214000000000001E-4</v>
      </c>
      <c r="R2352" s="95">
        <v>2.2682800000000001E-3</v>
      </c>
      <c r="S2352" s="95"/>
      <c r="T2352" s="95"/>
      <c r="U2352" s="95"/>
      <c r="V2352" s="95"/>
      <c r="W2352" s="95"/>
      <c r="X2352" s="95"/>
      <c r="Y2352" s="95"/>
      <c r="Z2352" s="95"/>
      <c r="AA2352" s="95"/>
      <c r="AB2352" s="95"/>
      <c r="AC2352" s="355"/>
      <c r="AD2352" s="355"/>
      <c r="AE2352" s="355"/>
      <c r="AF2352" s="94">
        <f t="shared" si="307"/>
        <v>43100</v>
      </c>
      <c r="AG2352" s="185" t="e">
        <f t="shared" si="310"/>
        <v>#DIV/0!</v>
      </c>
      <c r="AH2352" s="339" t="str">
        <f>VLOOKUP(B2352,'MF PF'!A:B,2)</f>
        <v>FdMgt1</v>
      </c>
      <c r="AI2352" s="358">
        <f t="shared" si="308"/>
        <v>0</v>
      </c>
      <c r="AJ2352" s="94">
        <f t="shared" si="309"/>
        <v>43100</v>
      </c>
    </row>
    <row r="2353" spans="1:53" ht="12.75" customHeight="1">
      <c r="A2353" s="8">
        <v>43131</v>
      </c>
      <c r="B2353" s="358" t="s">
        <v>175</v>
      </c>
      <c r="C2353" s="92" t="s">
        <v>330</v>
      </c>
      <c r="D2353" s="93">
        <v>120381.49</v>
      </c>
      <c r="E2353" s="95"/>
      <c r="F2353" s="93"/>
      <c r="G2353" s="95"/>
      <c r="H2353" s="93"/>
      <c r="I2353" s="93"/>
      <c r="K2353" s="93"/>
      <c r="L2353" s="93">
        <f t="shared" si="305"/>
        <v>0</v>
      </c>
      <c r="M2353" s="95" t="e">
        <f t="shared" ca="1" si="306"/>
        <v>#DIV/0!</v>
      </c>
      <c r="N2353" s="95">
        <f>IF(P2353="Hedge Fund",IF(A2353=Summary!$AD$3,M2353-E2353,M2353),IF(A2353=Summary!$AD$3,L2353-D2353,L2353))</f>
        <v>0</v>
      </c>
      <c r="O2353" s="95">
        <f t="shared" si="312"/>
        <v>0</v>
      </c>
      <c r="P2353" s="107" t="s">
        <v>155</v>
      </c>
      <c r="Q2353" s="95"/>
      <c r="R2353" s="95">
        <v>3.5967299999999998E-3</v>
      </c>
      <c r="S2353" s="95"/>
      <c r="T2353" s="95"/>
      <c r="U2353" s="95"/>
      <c r="V2353" s="95"/>
      <c r="W2353" s="95"/>
      <c r="X2353" s="95"/>
      <c r="Y2353" s="95"/>
      <c r="Z2353" s="95"/>
      <c r="AA2353" s="95"/>
      <c r="AB2353" s="95"/>
      <c r="AC2353" s="355"/>
      <c r="AD2353" s="355"/>
      <c r="AE2353" s="355"/>
      <c r="AF2353" s="94">
        <f t="shared" si="307"/>
        <v>43131</v>
      </c>
      <c r="AG2353" s="185">
        <f t="shared" si="310"/>
        <v>6.6705011333711317E-2</v>
      </c>
      <c r="AH2353" s="339" t="str">
        <f>VLOOKUP(B2353,'MF PF'!A:B,2)</f>
        <v>FdMgt1</v>
      </c>
      <c r="AI2353" s="358">
        <f t="shared" si="308"/>
        <v>0</v>
      </c>
      <c r="AJ2353" s="94">
        <f t="shared" si="309"/>
        <v>43131</v>
      </c>
    </row>
    <row r="2354" spans="1:53" ht="12.75" customHeight="1">
      <c r="A2354" s="8">
        <v>43159</v>
      </c>
      <c r="B2354" s="358" t="s">
        <v>175</v>
      </c>
      <c r="C2354" s="92" t="s">
        <v>330</v>
      </c>
      <c r="D2354" s="93">
        <v>120725.56</v>
      </c>
      <c r="E2354" s="95"/>
      <c r="F2354" s="93"/>
      <c r="G2354" s="95"/>
      <c r="H2354" s="93"/>
      <c r="I2354" s="93"/>
      <c r="K2354" s="93"/>
      <c r="L2354" s="93">
        <f t="shared" si="305"/>
        <v>0</v>
      </c>
      <c r="M2354" s="95" t="e">
        <f t="shared" ca="1" si="306"/>
        <v>#DIV/0!</v>
      </c>
      <c r="N2354" s="95">
        <f>IF(P2354="Hedge Fund",IF(A2354=Summary!$AD$3,M2354-E2354,M2354),IF(A2354=Summary!$AD$3,L2354-D2354,L2354))</f>
        <v>0</v>
      </c>
      <c r="O2354" s="95">
        <f t="shared" si="312"/>
        <v>0</v>
      </c>
      <c r="P2354" s="107" t="s">
        <v>155</v>
      </c>
      <c r="Q2354" s="95"/>
      <c r="R2354" s="95">
        <v>3.65745E-3</v>
      </c>
      <c r="S2354" s="95"/>
      <c r="T2354" s="95"/>
      <c r="U2354" s="95"/>
      <c r="V2354" s="95"/>
      <c r="W2354" s="95"/>
      <c r="X2354" s="95"/>
      <c r="Y2354" s="95"/>
      <c r="Z2354" s="95"/>
      <c r="AA2354" s="95"/>
      <c r="AB2354" s="95"/>
      <c r="AC2354" s="355"/>
      <c r="AD2354" s="355"/>
      <c r="AE2354" s="355"/>
      <c r="AF2354" s="94">
        <f t="shared" si="307"/>
        <v>43159</v>
      </c>
      <c r="AG2354" s="185">
        <f t="shared" si="310"/>
        <v>2.8581636595459425E-3</v>
      </c>
      <c r="AH2354" s="339" t="str">
        <f>VLOOKUP(B2354,'MF PF'!A:B,2)</f>
        <v>FdMgt1</v>
      </c>
      <c r="AI2354" s="358">
        <f t="shared" si="308"/>
        <v>0</v>
      </c>
      <c r="AJ2354" s="94">
        <f t="shared" si="309"/>
        <v>43159</v>
      </c>
      <c r="AK2354" s="358"/>
      <c r="AL2354" s="358"/>
      <c r="AM2354" s="358"/>
      <c r="AN2354" s="358"/>
      <c r="AO2354" s="358"/>
      <c r="AP2354" s="358"/>
      <c r="AQ2354" s="358"/>
      <c r="AR2354" s="358"/>
      <c r="AS2354" s="358"/>
      <c r="AT2354" s="358"/>
      <c r="AU2354" s="358"/>
      <c r="AV2354" s="358"/>
      <c r="AW2354" s="358"/>
      <c r="AX2354" s="358"/>
      <c r="AY2354" s="358"/>
      <c r="AZ2354" s="358"/>
      <c r="BA2354" s="358"/>
    </row>
    <row r="2355" spans="1:53" ht="12.75" customHeight="1">
      <c r="A2355" s="8">
        <v>43190</v>
      </c>
      <c r="B2355" s="358" t="s">
        <v>175</v>
      </c>
      <c r="C2355" s="92" t="s">
        <v>330</v>
      </c>
      <c r="D2355" s="93">
        <v>119904.12</v>
      </c>
      <c r="E2355" s="95"/>
      <c r="F2355" s="93"/>
      <c r="G2355" s="95"/>
      <c r="H2355" s="93"/>
      <c r="I2355" s="93"/>
      <c r="K2355" s="93"/>
      <c r="L2355" s="93">
        <f t="shared" si="305"/>
        <v>0</v>
      </c>
      <c r="M2355" s="95" t="e">
        <f t="shared" ca="1" si="306"/>
        <v>#DIV/0!</v>
      </c>
      <c r="N2355" s="95">
        <f>IF(P2355="Hedge Fund",IF(A2355=Summary!$AD$3,M2355-E2355,M2355),IF(A2355=Summary!$AD$3,L2355-D2355,L2355))</f>
        <v>0</v>
      </c>
      <c r="O2355" s="95">
        <f t="shared" si="312"/>
        <v>0</v>
      </c>
      <c r="P2355" s="107" t="s">
        <v>155</v>
      </c>
      <c r="Q2355" s="95">
        <v>4.5817000000000004E-4</v>
      </c>
      <c r="R2355" s="95">
        <v>3.5124899999999996E-3</v>
      </c>
      <c r="S2355" s="95"/>
      <c r="T2355" s="95"/>
      <c r="U2355" s="95"/>
      <c r="V2355" s="95"/>
      <c r="W2355" s="95"/>
      <c r="X2355" s="95"/>
      <c r="Y2355" s="95"/>
      <c r="Z2355" s="95"/>
      <c r="AA2355" s="95"/>
      <c r="AB2355" s="95"/>
      <c r="AC2355" s="355"/>
      <c r="AD2355" s="355"/>
      <c r="AE2355" s="355"/>
      <c r="AF2355" s="94">
        <f t="shared" si="307"/>
        <v>43190</v>
      </c>
      <c r="AG2355" s="185">
        <f t="shared" si="310"/>
        <v>-6.8041929149055269E-3</v>
      </c>
      <c r="AH2355" s="339" t="str">
        <f>VLOOKUP(B2355,'MF PF'!A:B,2)</f>
        <v>FdMgt1</v>
      </c>
      <c r="AI2355" s="358">
        <f t="shared" si="308"/>
        <v>0</v>
      </c>
      <c r="AJ2355" s="94">
        <f t="shared" si="309"/>
        <v>43190</v>
      </c>
      <c r="AK2355" s="358"/>
      <c r="AL2355" s="358"/>
      <c r="AM2355" s="358"/>
      <c r="AN2355" s="358"/>
      <c r="AO2355" s="358"/>
      <c r="AP2355" s="358"/>
      <c r="AQ2355" s="358"/>
      <c r="AR2355" s="358"/>
      <c r="AS2355" s="358"/>
      <c r="AT2355" s="358"/>
      <c r="AU2355" s="358"/>
      <c r="AV2355" s="358"/>
      <c r="AW2355" s="358"/>
      <c r="AX2355" s="358"/>
      <c r="AY2355" s="358"/>
      <c r="AZ2355" s="358"/>
      <c r="BA2355" s="358"/>
    </row>
    <row r="2356" spans="1:53" ht="12.75" customHeight="1">
      <c r="A2356" s="8">
        <v>43220</v>
      </c>
      <c r="B2356" s="358" t="s">
        <v>175</v>
      </c>
      <c r="C2356" s="92" t="s">
        <v>330</v>
      </c>
      <c r="D2356" s="93">
        <v>118801.43</v>
      </c>
      <c r="E2356" s="95"/>
      <c r="F2356" s="93"/>
      <c r="G2356" s="95"/>
      <c r="H2356" s="93"/>
      <c r="I2356" s="93"/>
      <c r="K2356" s="93"/>
      <c r="L2356" s="93">
        <f t="shared" si="305"/>
        <v>0</v>
      </c>
      <c r="M2356" s="95" t="e">
        <f t="shared" ca="1" si="306"/>
        <v>#DIV/0!</v>
      </c>
      <c r="N2356" s="95">
        <f>IF(P2356="Hedge Fund",IF(A2356=Summary!$AD$3,M2356-E2356,M2356),IF(A2356=Summary!$AD$3,L2356-D2356,L2356))</f>
        <v>0</v>
      </c>
      <c r="O2356" s="95">
        <f t="shared" si="312"/>
        <v>0</v>
      </c>
      <c r="P2356" s="107" t="s">
        <v>155</v>
      </c>
      <c r="Q2356" s="95"/>
      <c r="R2356" s="95">
        <v>3.3178999999999999E-3</v>
      </c>
      <c r="S2356" s="95"/>
      <c r="T2356" s="95"/>
      <c r="U2356" s="95"/>
      <c r="V2356" s="95"/>
      <c r="W2356" s="95"/>
      <c r="X2356" s="95"/>
      <c r="Y2356" s="95"/>
      <c r="Z2356" s="95"/>
      <c r="AA2356" s="95"/>
      <c r="AB2356" s="95"/>
      <c r="AC2356" s="355"/>
      <c r="AD2356" s="355"/>
      <c r="AE2356" s="355"/>
      <c r="AF2356" s="94">
        <f t="shared" si="307"/>
        <v>43220</v>
      </c>
      <c r="AG2356" s="185">
        <f t="shared" si="310"/>
        <v>-9.1964312819275973E-3</v>
      </c>
      <c r="AH2356" s="339" t="str">
        <f>VLOOKUP(B2356,'MF PF'!A:B,2)</f>
        <v>FdMgt1</v>
      </c>
      <c r="AI2356" s="358">
        <f t="shared" si="308"/>
        <v>0</v>
      </c>
      <c r="AJ2356" s="94">
        <f t="shared" si="309"/>
        <v>43220</v>
      </c>
    </row>
    <row r="2357" spans="1:53" ht="12.75" customHeight="1">
      <c r="A2357" s="94">
        <v>43251</v>
      </c>
      <c r="B2357" s="358" t="s">
        <v>175</v>
      </c>
      <c r="C2357" s="92" t="s">
        <v>330</v>
      </c>
      <c r="D2357" s="93">
        <v>119915.59</v>
      </c>
      <c r="E2357" s="95"/>
      <c r="F2357" s="93"/>
      <c r="G2357" s="95"/>
      <c r="H2357" s="93"/>
      <c r="I2357" s="93"/>
      <c r="K2357" s="93"/>
      <c r="L2357" s="93">
        <f t="shared" si="305"/>
        <v>0</v>
      </c>
      <c r="M2357" s="95" t="e">
        <f t="shared" ca="1" si="306"/>
        <v>#DIV/0!</v>
      </c>
      <c r="N2357" s="95">
        <f>IF(P2357="Hedge Fund",IF(A2357=Summary!$AD$3,M2357-E2357,M2357),IF(A2357=Summary!$AD$3,L2357-D2357,L2357))</f>
        <v>0</v>
      </c>
      <c r="O2357" s="95">
        <f t="shared" si="312"/>
        <v>0</v>
      </c>
      <c r="P2357" s="107" t="s">
        <v>155</v>
      </c>
      <c r="Q2357" s="95"/>
      <c r="R2357" s="95">
        <v>3.5145200000000001E-3</v>
      </c>
      <c r="S2357" s="95"/>
      <c r="T2357" s="95"/>
      <c r="U2357" s="95"/>
      <c r="V2357" s="95"/>
      <c r="W2357" s="95"/>
      <c r="X2357" s="95"/>
      <c r="Y2357" s="95"/>
      <c r="Z2357" s="95"/>
      <c r="AA2357" s="95"/>
      <c r="AB2357" s="95"/>
      <c r="AC2357" s="355"/>
      <c r="AD2357" s="355"/>
      <c r="AE2357" s="355"/>
      <c r="AF2357" s="94">
        <f t="shared" si="307"/>
        <v>43251</v>
      </c>
      <c r="AG2357" s="185">
        <f t="shared" si="310"/>
        <v>9.3783382910459512E-3</v>
      </c>
      <c r="AH2357" s="339" t="str">
        <f>VLOOKUP(B2357,'MF PF'!A:B,2)</f>
        <v>FdMgt1</v>
      </c>
      <c r="AI2357" s="358">
        <f t="shared" si="308"/>
        <v>0</v>
      </c>
      <c r="AJ2357" s="94">
        <f t="shared" si="309"/>
        <v>43251</v>
      </c>
    </row>
    <row r="2358" spans="1:53" ht="12.75" customHeight="1">
      <c r="A2358" s="94">
        <v>43281</v>
      </c>
      <c r="B2358" s="358" t="s">
        <v>175</v>
      </c>
      <c r="C2358" s="92" t="s">
        <v>330</v>
      </c>
      <c r="D2358" s="93">
        <v>119497.35</v>
      </c>
      <c r="E2358" s="95"/>
      <c r="F2358" s="93"/>
      <c r="G2358" s="95"/>
      <c r="H2358" s="93"/>
      <c r="I2358" s="93"/>
      <c r="K2358" s="93"/>
      <c r="L2358" s="93">
        <f t="shared" si="305"/>
        <v>0</v>
      </c>
      <c r="M2358" s="95" t="e">
        <f t="shared" ca="1" si="306"/>
        <v>#DIV/0!</v>
      </c>
      <c r="N2358" s="95">
        <f>IF(P2358="Hedge Fund",IF(A2358=Summary!$AD$3,M2358-E2358,M2358),IF(A2358=Summary!$AD$3,L2358-D2358,L2358))</f>
        <v>0</v>
      </c>
      <c r="O2358" s="95">
        <f t="shared" si="312"/>
        <v>0</v>
      </c>
      <c r="P2358" s="107" t="s">
        <v>155</v>
      </c>
      <c r="Q2358" s="95">
        <v>4.6656999999999997E-4</v>
      </c>
      <c r="R2358" s="95">
        <v>3.44071E-3</v>
      </c>
      <c r="S2358" s="95"/>
      <c r="T2358" s="95"/>
      <c r="U2358" s="95"/>
      <c r="V2358" s="95"/>
      <c r="W2358" s="95"/>
      <c r="X2358" s="95"/>
      <c r="Y2358" s="95"/>
      <c r="Z2358" s="95"/>
      <c r="AA2358" s="95"/>
      <c r="AB2358" s="95"/>
      <c r="AC2358" s="355"/>
      <c r="AD2358" s="355"/>
      <c r="AE2358" s="355"/>
      <c r="AF2358" s="94">
        <f t="shared" si="307"/>
        <v>43281</v>
      </c>
      <c r="AG2358" s="185">
        <f t="shared" si="310"/>
        <v>-3.4877867006282148E-3</v>
      </c>
      <c r="AH2358" s="339" t="str">
        <f>VLOOKUP(B2358,'MF PF'!A:B,2)</f>
        <v>FdMgt1</v>
      </c>
      <c r="AI2358" s="358">
        <f t="shared" si="308"/>
        <v>0</v>
      </c>
      <c r="AJ2358" s="94">
        <f t="shared" si="309"/>
        <v>43281</v>
      </c>
    </row>
    <row r="2359" spans="1:53" ht="12.75" customHeight="1">
      <c r="A2359" s="8">
        <v>43312</v>
      </c>
      <c r="B2359" s="358" t="s">
        <v>175</v>
      </c>
      <c r="C2359" s="92" t="s">
        <v>330</v>
      </c>
      <c r="D2359" s="93">
        <v>117986.48</v>
      </c>
      <c r="E2359" s="95"/>
      <c r="F2359" s="93"/>
      <c r="G2359" s="95"/>
      <c r="H2359" s="93"/>
      <c r="I2359" s="93"/>
      <c r="K2359" s="93"/>
      <c r="L2359" s="93">
        <f t="shared" si="305"/>
        <v>0</v>
      </c>
      <c r="M2359" s="95" t="e">
        <f t="shared" ca="1" si="306"/>
        <v>#DIV/0!</v>
      </c>
      <c r="N2359" s="95">
        <f>IF(P2359="Hedge Fund",IF(A2359=Summary!$AD$3,M2359-E2359,M2359),IF(A2359=Summary!$AD$3,L2359-D2359,L2359))</f>
        <v>0</v>
      </c>
      <c r="O2359" s="95">
        <f t="shared" si="312"/>
        <v>0</v>
      </c>
      <c r="P2359" s="107" t="s">
        <v>155</v>
      </c>
      <c r="Q2359" s="95">
        <v>0</v>
      </c>
      <c r="R2359" s="95">
        <v>3.1740800000000001E-3</v>
      </c>
      <c r="S2359" s="95"/>
      <c r="T2359" s="95"/>
      <c r="U2359" s="95"/>
      <c r="V2359" s="95"/>
      <c r="W2359" s="95"/>
      <c r="X2359" s="95"/>
      <c r="Y2359" s="95"/>
      <c r="Z2359" s="95"/>
      <c r="AA2359" s="95"/>
      <c r="AB2359" s="95"/>
      <c r="AC2359" s="355"/>
      <c r="AD2359" s="355"/>
      <c r="AE2359" s="355"/>
      <c r="AF2359" s="94">
        <f t="shared" si="307"/>
        <v>43312</v>
      </c>
      <c r="AG2359" s="185">
        <f t="shared" si="310"/>
        <v>-1.2643543978172023E-2</v>
      </c>
      <c r="AH2359" s="339" t="str">
        <f>VLOOKUP(B2359,'MF PF'!A:B,2)</f>
        <v>FdMgt1</v>
      </c>
      <c r="AI2359" s="358">
        <f t="shared" si="308"/>
        <v>0</v>
      </c>
      <c r="AJ2359" s="94">
        <f t="shared" si="309"/>
        <v>43312</v>
      </c>
    </row>
    <row r="2360" spans="1:53" ht="12.75" customHeight="1">
      <c r="A2360" s="8">
        <v>43343</v>
      </c>
      <c r="B2360" s="358" t="s">
        <v>175</v>
      </c>
      <c r="C2360" s="92" t="s">
        <v>330</v>
      </c>
      <c r="D2360" s="93">
        <v>117034.71</v>
      </c>
      <c r="E2360" s="95"/>
      <c r="F2360" s="93"/>
      <c r="G2360" s="95"/>
      <c r="H2360" s="93"/>
      <c r="I2360" s="93"/>
      <c r="K2360" s="93"/>
      <c r="L2360" s="93">
        <f t="shared" si="305"/>
        <v>0</v>
      </c>
      <c r="M2360" s="95" t="e">
        <f t="shared" ca="1" si="306"/>
        <v>#DIV/0!</v>
      </c>
      <c r="N2360" s="95">
        <f>IF(P2360="Hedge Fund",IF(A2360=Summary!$AD$3,M2360-E2360,M2360),IF(A2360=Summary!$AD$3,L2360-D2360,L2360))</f>
        <v>0</v>
      </c>
      <c r="O2360" s="95">
        <f t="shared" si="312"/>
        <v>0</v>
      </c>
      <c r="P2360" s="107" t="s">
        <v>155</v>
      </c>
      <c r="Q2360" s="95">
        <v>0</v>
      </c>
      <c r="R2360" s="95">
        <v>3.0061300000000001E-3</v>
      </c>
      <c r="S2360" s="95"/>
      <c r="T2360" s="95"/>
      <c r="U2360" s="95"/>
      <c r="V2360" s="95"/>
      <c r="W2360" s="95"/>
      <c r="X2360" s="95"/>
      <c r="Y2360" s="95"/>
      <c r="Z2360" s="95"/>
      <c r="AA2360" s="95"/>
      <c r="AB2360" s="95"/>
      <c r="AC2360" s="355"/>
      <c r="AD2360" s="355"/>
      <c r="AE2360" s="355"/>
      <c r="AF2360" s="94">
        <f t="shared" si="307"/>
        <v>43343</v>
      </c>
      <c r="AG2360" s="185">
        <f t="shared" si="310"/>
        <v>-8.0667717182509868E-3</v>
      </c>
      <c r="AH2360" s="339" t="str">
        <f>VLOOKUP(B2360,'MF PF'!A:B,2)</f>
        <v>FdMgt1</v>
      </c>
      <c r="AI2360" s="358">
        <f t="shared" si="308"/>
        <v>0</v>
      </c>
      <c r="AJ2360" s="94">
        <f t="shared" si="309"/>
        <v>43343</v>
      </c>
    </row>
    <row r="2361" spans="1:53" ht="12.75" customHeight="1">
      <c r="A2361" s="8">
        <v>43373</v>
      </c>
      <c r="B2361" s="358" t="s">
        <v>175</v>
      </c>
      <c r="C2361" s="92" t="s">
        <v>330</v>
      </c>
      <c r="D2361" s="93">
        <v>112797.33</v>
      </c>
      <c r="E2361" s="95"/>
      <c r="F2361" s="93"/>
      <c r="G2361" s="95"/>
      <c r="H2361" s="93"/>
      <c r="I2361" s="93"/>
      <c r="K2361" s="93"/>
      <c r="L2361" s="93">
        <f t="shared" si="305"/>
        <v>0</v>
      </c>
      <c r="M2361" s="95" t="e">
        <f t="shared" ca="1" si="306"/>
        <v>#DIV/0!</v>
      </c>
      <c r="N2361" s="95">
        <f>IF(P2361="Hedge Fund",IF(A2361=Summary!$AD$3,M2361-E2361,M2361),IF(A2361=Summary!$AD$3,L2361-D2361,L2361))</f>
        <v>0</v>
      </c>
      <c r="O2361" s="95">
        <f t="shared" si="312"/>
        <v>0</v>
      </c>
      <c r="P2361" s="107" t="s">
        <v>155</v>
      </c>
      <c r="Q2361" s="95">
        <v>4.3188999999999999E-4</v>
      </c>
      <c r="R2361" s="95">
        <v>2.2583500000000001E-3</v>
      </c>
      <c r="S2361" s="95"/>
      <c r="T2361" s="95"/>
      <c r="U2361" s="95"/>
      <c r="V2361" s="95"/>
      <c r="W2361" s="95"/>
      <c r="X2361" s="95"/>
      <c r="Y2361" s="95"/>
      <c r="Z2361" s="95"/>
      <c r="AA2361" s="95"/>
      <c r="AB2361" s="95"/>
      <c r="AC2361" s="355"/>
      <c r="AD2361" s="355"/>
      <c r="AE2361" s="355"/>
      <c r="AF2361" s="94">
        <f t="shared" si="307"/>
        <v>43373</v>
      </c>
      <c r="AG2361" s="185">
        <f t="shared" si="310"/>
        <v>-3.6206181909623214E-2</v>
      </c>
      <c r="AH2361" s="339" t="str">
        <f>VLOOKUP(B2361,'MF PF'!A:B,2)</f>
        <v>FdMgt1</v>
      </c>
      <c r="AI2361" s="358">
        <f t="shared" si="308"/>
        <v>0</v>
      </c>
      <c r="AJ2361" s="94">
        <f t="shared" si="309"/>
        <v>43373</v>
      </c>
      <c r="AK2361" s="358"/>
      <c r="AL2361" s="358"/>
      <c r="AM2361" s="358"/>
      <c r="AN2361" s="358"/>
      <c r="AO2361" s="358"/>
      <c r="AP2361" s="358"/>
      <c r="AQ2361" s="358"/>
      <c r="AR2361" s="358"/>
      <c r="AS2361" s="358"/>
      <c r="AT2361" s="358"/>
      <c r="AU2361" s="358"/>
      <c r="AV2361" s="358"/>
      <c r="AW2361" s="358"/>
      <c r="AX2361" s="358"/>
      <c r="AY2361" s="358"/>
      <c r="AZ2361" s="358"/>
      <c r="BA2361" s="358"/>
    </row>
    <row r="2362" spans="1:53" ht="12.75" customHeight="1">
      <c r="A2362" s="8">
        <v>43404</v>
      </c>
      <c r="B2362" s="358" t="s">
        <v>175</v>
      </c>
      <c r="C2362" s="92" t="s">
        <v>330</v>
      </c>
      <c r="D2362" s="93">
        <v>111382.91099999999</v>
      </c>
      <c r="E2362" s="95"/>
      <c r="F2362" s="93">
        <v>0.1</v>
      </c>
      <c r="G2362" s="93"/>
      <c r="H2362" s="93">
        <v>0</v>
      </c>
      <c r="I2362" s="93">
        <v>0</v>
      </c>
      <c r="J2362" s="93">
        <v>0</v>
      </c>
      <c r="K2362" s="93"/>
      <c r="L2362" s="93">
        <f t="shared" si="305"/>
        <v>0</v>
      </c>
      <c r="M2362" s="95" t="e">
        <f t="shared" ca="1" si="306"/>
        <v>#DIV/0!</v>
      </c>
      <c r="N2362" s="95">
        <f>IF(P2362="Hedge Fund",IF(A2362=Summary!$AD$3,M2362-E2362,M2362),IF(A2362=Summary!$AD$3,L2362-D2362,L2362))</f>
        <v>0</v>
      </c>
      <c r="O2362" s="95">
        <f t="shared" si="312"/>
        <v>0</v>
      </c>
      <c r="P2362" s="95" t="s">
        <v>155</v>
      </c>
      <c r="Q2362" s="95">
        <v>5.8587185678645078E-4</v>
      </c>
      <c r="R2362" s="95">
        <v>2.0087490000000006E-3</v>
      </c>
      <c r="S2362" s="95"/>
      <c r="T2362" s="95"/>
      <c r="U2362" s="95"/>
      <c r="V2362" s="95"/>
      <c r="W2362" s="95"/>
      <c r="X2362" s="95"/>
      <c r="Y2362" s="95"/>
      <c r="Z2362" s="95"/>
      <c r="AA2362" s="95"/>
      <c r="AB2362" s="95"/>
      <c r="AC2362" s="355"/>
      <c r="AD2362" s="355"/>
      <c r="AE2362" s="355"/>
      <c r="AF2362" s="94">
        <f t="shared" si="307"/>
        <v>43404</v>
      </c>
      <c r="AG2362" s="185">
        <f t="shared" si="310"/>
        <v>-1.2539472343893299E-2</v>
      </c>
      <c r="AH2362" s="339" t="str">
        <f>VLOOKUP(B2362,'MF PF'!A:B,2)</f>
        <v>FdMgt1</v>
      </c>
      <c r="AI2362" s="358">
        <f t="shared" si="308"/>
        <v>0</v>
      </c>
      <c r="AJ2362" s="94">
        <f t="shared" si="309"/>
        <v>43404</v>
      </c>
      <c r="AK2362" s="358"/>
      <c r="AL2362" s="358"/>
      <c r="AM2362" s="358"/>
      <c r="AN2362" s="358"/>
      <c r="AO2362" s="358"/>
      <c r="AP2362" s="358"/>
      <c r="AQ2362" s="358"/>
      <c r="AR2362" s="358"/>
      <c r="AS2362" s="358"/>
      <c r="AT2362" s="358"/>
      <c r="AU2362" s="358"/>
      <c r="AV2362" s="358"/>
      <c r="AW2362" s="358"/>
      <c r="AX2362" s="358"/>
      <c r="AY2362" s="358"/>
      <c r="AZ2362" s="358"/>
      <c r="BA2362" s="358"/>
    </row>
    <row r="2363" spans="1:53" ht="12.75" customHeight="1">
      <c r="A2363" s="94">
        <v>43434</v>
      </c>
      <c r="B2363" s="358" t="s">
        <v>175</v>
      </c>
      <c r="C2363" s="92" t="s">
        <v>330</v>
      </c>
      <c r="D2363" s="93">
        <v>111339.425</v>
      </c>
      <c r="E2363" s="95"/>
      <c r="F2363" s="93">
        <v>0.1</v>
      </c>
      <c r="G2363" s="93"/>
      <c r="H2363" s="93">
        <v>0</v>
      </c>
      <c r="I2363" s="93">
        <v>0</v>
      </c>
      <c r="K2363" s="93">
        <v>0</v>
      </c>
      <c r="L2363" s="93">
        <f t="shared" si="305"/>
        <v>0</v>
      </c>
      <c r="M2363" s="95" t="e">
        <f t="shared" ca="1" si="306"/>
        <v>#DIV/0!</v>
      </c>
      <c r="N2363" s="95">
        <f>IF(P2363="Hedge Fund",IF(A2363=Summary!$AD$3,M2363-E2363,M2363),IF(A2363=Summary!$AD$3,L2363-D2363,L2363))</f>
        <v>0</v>
      </c>
      <c r="O2363" s="95">
        <f t="shared" si="312"/>
        <v>0</v>
      </c>
      <c r="P2363" s="95" t="s">
        <v>155</v>
      </c>
      <c r="Q2363" s="95">
        <v>2.9529504735069487E-4</v>
      </c>
      <c r="R2363" s="95">
        <v>2.0010749999999997E-3</v>
      </c>
      <c r="S2363" s="95"/>
      <c r="T2363" s="95"/>
      <c r="U2363" s="95"/>
      <c r="V2363" s="95"/>
      <c r="W2363" s="95"/>
      <c r="X2363" s="95"/>
      <c r="Y2363" s="95"/>
      <c r="Z2363" s="95"/>
      <c r="AA2363" s="95"/>
      <c r="AB2363" s="95"/>
      <c r="AC2363" s="355"/>
      <c r="AD2363" s="355"/>
      <c r="AE2363" s="355"/>
      <c r="AF2363" s="94">
        <f t="shared" si="307"/>
        <v>43434</v>
      </c>
      <c r="AG2363" s="185">
        <f t="shared" si="310"/>
        <v>-3.9041895753644251E-4</v>
      </c>
      <c r="AH2363" s="339" t="str">
        <f>VLOOKUP(B2363,'MF PF'!A:B,2)</f>
        <v>FdMgt1</v>
      </c>
      <c r="AI2363" s="358">
        <f t="shared" si="308"/>
        <v>0</v>
      </c>
      <c r="AJ2363" s="94">
        <f t="shared" si="309"/>
        <v>43434</v>
      </c>
    </row>
    <row r="2364" spans="1:53" ht="12.75" customHeight="1">
      <c r="A2364" s="8">
        <v>43465</v>
      </c>
      <c r="B2364" s="358" t="s">
        <v>175</v>
      </c>
      <c r="C2364" s="92" t="s">
        <v>330</v>
      </c>
      <c r="D2364" s="93">
        <v>113048.605</v>
      </c>
      <c r="E2364" s="95"/>
      <c r="F2364" s="93">
        <v>0.1</v>
      </c>
      <c r="G2364" s="93"/>
      <c r="H2364" s="93">
        <v>0</v>
      </c>
      <c r="I2364" s="93">
        <v>0</v>
      </c>
      <c r="K2364" s="93">
        <v>0</v>
      </c>
      <c r="L2364" s="93">
        <f t="shared" si="305"/>
        <v>0</v>
      </c>
      <c r="M2364" s="95" t="e">
        <f t="shared" ca="1" si="306"/>
        <v>#DIV/0!</v>
      </c>
      <c r="N2364" s="95">
        <f>IF(P2364="Hedge Fund",IF(A2364=Summary!$AD$3,M2364-E2364,M2364),IF(A2364=Summary!$AD$3,L2364-D2364,L2364))</f>
        <v>0</v>
      </c>
      <c r="O2364" s="95">
        <f t="shared" si="312"/>
        <v>0</v>
      </c>
      <c r="P2364" s="95" t="s">
        <v>155</v>
      </c>
      <c r="Q2364" s="95">
        <v>4.4733171386335241E-4</v>
      </c>
      <c r="R2364" s="95">
        <v>2.302695E-3</v>
      </c>
      <c r="S2364" s="95"/>
      <c r="T2364" s="95"/>
      <c r="U2364" s="95"/>
      <c r="V2364" s="95"/>
      <c r="W2364" s="95"/>
      <c r="X2364" s="95"/>
      <c r="Y2364" s="95"/>
      <c r="Z2364" s="95"/>
      <c r="AA2364" s="95"/>
      <c r="AB2364" s="95"/>
      <c r="AC2364" s="355"/>
      <c r="AD2364" s="355"/>
      <c r="AE2364" s="355"/>
      <c r="AF2364" s="94">
        <f t="shared" si="307"/>
        <v>43465</v>
      </c>
      <c r="AG2364" s="185">
        <f t="shared" si="310"/>
        <v>1.5351076224796367E-2</v>
      </c>
      <c r="AH2364" s="339" t="str">
        <f>VLOOKUP(B2364,'MF PF'!A:B,2)</f>
        <v>FdMgt1</v>
      </c>
      <c r="AI2364" s="358">
        <f t="shared" si="308"/>
        <v>0</v>
      </c>
      <c r="AJ2364" s="94">
        <f t="shared" si="309"/>
        <v>43465</v>
      </c>
    </row>
    <row r="2365" spans="1:53" ht="12.75" customHeight="1">
      <c r="A2365" s="8">
        <v>43496</v>
      </c>
      <c r="B2365" s="358" t="s">
        <v>175</v>
      </c>
      <c r="C2365" s="92" t="s">
        <v>330</v>
      </c>
      <c r="D2365" s="93">
        <v>115847.519</v>
      </c>
      <c r="E2365" s="95"/>
      <c r="F2365" s="93">
        <v>0.1</v>
      </c>
      <c r="G2365" s="93"/>
      <c r="H2365" s="93">
        <v>0</v>
      </c>
      <c r="I2365" s="93">
        <v>0</v>
      </c>
      <c r="K2365" s="93">
        <v>0</v>
      </c>
      <c r="L2365" s="93">
        <f t="shared" si="305"/>
        <v>0</v>
      </c>
      <c r="M2365" s="95" t="e">
        <f t="shared" ca="1" si="306"/>
        <v>#DIV/0!</v>
      </c>
      <c r="N2365" s="95">
        <f>IF(P2365="Hedge Fund",IF(A2365=Summary!$AD$3,M2365-E2365,M2365),IF(A2365=Summary!$AD$3,L2365-D2365,L2365))</f>
        <v>-115847.519</v>
      </c>
      <c r="O2365" s="95">
        <f t="shared" si="312"/>
        <v>-115847.519</v>
      </c>
      <c r="P2365" s="95" t="s">
        <v>155</v>
      </c>
      <c r="Q2365" s="95">
        <v>1.513576373163784E-4</v>
      </c>
      <c r="R2365" s="95">
        <v>2.7966209999999996E-3</v>
      </c>
      <c r="S2365" s="95"/>
      <c r="T2365" s="95"/>
      <c r="U2365" s="95"/>
      <c r="V2365" s="95"/>
      <c r="W2365" s="95"/>
      <c r="X2365" s="95"/>
      <c r="Y2365" s="95"/>
      <c r="Z2365" s="95"/>
      <c r="AA2365" s="95"/>
      <c r="AB2365" s="95"/>
      <c r="AC2365" s="355"/>
      <c r="AD2365" s="355"/>
      <c r="AE2365" s="355"/>
      <c r="AF2365" s="94">
        <f t="shared" si="307"/>
        <v>43496</v>
      </c>
      <c r="AG2365" s="185">
        <f t="shared" si="310"/>
        <v>2.4758501000520905E-2</v>
      </c>
      <c r="AH2365" s="339" t="str">
        <f>VLOOKUP(B2365,'MF PF'!A:B,2)</f>
        <v>FdMgt1</v>
      </c>
      <c r="AI2365" s="358">
        <f t="shared" si="308"/>
        <v>0</v>
      </c>
      <c r="AJ2365" s="94">
        <f t="shared" si="309"/>
        <v>43496</v>
      </c>
    </row>
    <row r="2366" spans="1:53" ht="12.75" customHeight="1">
      <c r="A2366" s="8">
        <v>42947</v>
      </c>
      <c r="B2366" s="358" t="s">
        <v>175</v>
      </c>
      <c r="C2366" s="92" t="s">
        <v>331</v>
      </c>
      <c r="D2366" s="93">
        <v>4540471.43</v>
      </c>
      <c r="E2366" s="95"/>
      <c r="F2366" s="93"/>
      <c r="G2366" s="95"/>
      <c r="H2366" s="93"/>
      <c r="I2366" s="93"/>
      <c r="K2366" s="93"/>
      <c r="L2366" s="93">
        <f t="shared" si="305"/>
        <v>0</v>
      </c>
      <c r="M2366" s="95">
        <f t="shared" ca="1" si="306"/>
        <v>0</v>
      </c>
      <c r="N2366" s="95">
        <f>IF(P2366="Hedge Fund",IF(A2366=Summary!$AD$3,M2366-E2366,M2366),IF(A2366=Summary!$AD$3,L2366-D2366,L2366))</f>
        <v>0</v>
      </c>
      <c r="O2366" s="95">
        <f t="shared" si="312"/>
        <v>0</v>
      </c>
      <c r="P2366" s="107" t="s">
        <v>155</v>
      </c>
      <c r="Q2366" s="95">
        <v>5.7761599999999998E-3</v>
      </c>
      <c r="R2366" s="95">
        <v>0</v>
      </c>
      <c r="S2366" s="95"/>
      <c r="T2366" s="95"/>
      <c r="U2366" s="95"/>
      <c r="V2366" s="95"/>
      <c r="W2366" s="95"/>
      <c r="X2366" s="95"/>
      <c r="Y2366" s="95"/>
      <c r="Z2366" s="95"/>
      <c r="AA2366" s="95"/>
      <c r="AB2366" s="95"/>
      <c r="AC2366" s="355"/>
      <c r="AD2366" s="355"/>
      <c r="AE2366" s="355"/>
      <c r="AF2366" s="94">
        <f t="shared" si="307"/>
        <v>42947</v>
      </c>
      <c r="AG2366" s="185" t="e">
        <f t="shared" si="310"/>
        <v>#DIV/0!</v>
      </c>
      <c r="AH2366" s="339" t="str">
        <f>VLOOKUP(B2366,'MF PF'!A:B,2)</f>
        <v>FdMgt1</v>
      </c>
      <c r="AI2366" s="358">
        <f t="shared" si="308"/>
        <v>0</v>
      </c>
      <c r="AJ2366" s="94">
        <f t="shared" si="309"/>
        <v>42947</v>
      </c>
    </row>
    <row r="2367" spans="1:53" ht="12.75" customHeight="1">
      <c r="A2367" s="94">
        <v>42958</v>
      </c>
      <c r="B2367" s="358" t="s">
        <v>175</v>
      </c>
      <c r="C2367" s="358" t="s">
        <v>331</v>
      </c>
      <c r="D2367" s="93"/>
      <c r="E2367" s="95"/>
      <c r="F2367" s="93"/>
      <c r="G2367" s="95">
        <v>357312</v>
      </c>
      <c r="H2367" s="93"/>
      <c r="I2367" s="93"/>
      <c r="K2367" s="93"/>
      <c r="L2367" s="93">
        <f t="shared" si="305"/>
        <v>357312</v>
      </c>
      <c r="M2367" s="95" t="e">
        <f t="shared" ca="1" si="306"/>
        <v>#DIV/0!</v>
      </c>
      <c r="N2367" s="95">
        <f>IF(P2367="Hedge Fund",IF(A2367=Summary!$AD$3,M2367-E2367,M2367),IF(A2367=Summary!$AD$3,L2367-D2367,L2367))</f>
        <v>357312</v>
      </c>
      <c r="O2367" s="95">
        <f t="shared" si="312"/>
        <v>357312</v>
      </c>
      <c r="P2367" s="107" t="s">
        <v>155</v>
      </c>
      <c r="Q2367" s="95">
        <v>0</v>
      </c>
      <c r="R2367" s="95">
        <v>0</v>
      </c>
      <c r="S2367" s="95"/>
      <c r="T2367" s="95"/>
      <c r="U2367" s="95"/>
      <c r="V2367" s="95"/>
      <c r="W2367" s="95"/>
      <c r="X2367" s="95"/>
      <c r="Y2367" s="95"/>
      <c r="Z2367" s="95"/>
      <c r="AA2367" s="95"/>
      <c r="AB2367" s="95"/>
      <c r="AC2367" s="355"/>
      <c r="AD2367" s="355"/>
      <c r="AE2367" s="355"/>
      <c r="AF2367" s="94">
        <f t="shared" si="307"/>
        <v>42958</v>
      </c>
      <c r="AG2367" s="185">
        <f t="shared" si="310"/>
        <v>-1.078694912083171</v>
      </c>
      <c r="AH2367" s="339" t="str">
        <f>VLOOKUP(B2367,'MF PF'!A:B,2)</f>
        <v>FdMgt1</v>
      </c>
      <c r="AI2367" s="358">
        <f t="shared" si="308"/>
        <v>0</v>
      </c>
      <c r="AJ2367" s="94">
        <f t="shared" si="309"/>
        <v>42978</v>
      </c>
    </row>
    <row r="2368" spans="1:53" ht="12.75" customHeight="1">
      <c r="A2368" s="94">
        <v>42958</v>
      </c>
      <c r="B2368" s="358" t="s">
        <v>175</v>
      </c>
      <c r="C2368" s="92" t="s">
        <v>331</v>
      </c>
      <c r="D2368" s="93"/>
      <c r="E2368" s="95"/>
      <c r="F2368" s="93"/>
      <c r="G2368" s="95">
        <v>4642688</v>
      </c>
      <c r="H2368" s="93"/>
      <c r="I2368" s="93"/>
      <c r="K2368" s="93"/>
      <c r="L2368" s="93">
        <f t="shared" si="305"/>
        <v>4642688</v>
      </c>
      <c r="M2368" s="95">
        <f t="shared" ca="1" si="306"/>
        <v>0</v>
      </c>
      <c r="N2368" s="95">
        <f>IF(P2368="Hedge Fund",IF(A2368=Summary!$AD$3,M2368-E2368,M2368),IF(A2368=Summary!$AD$3,L2368-D2368,L2368))</f>
        <v>4642688</v>
      </c>
      <c r="O2368" s="95">
        <f t="shared" si="312"/>
        <v>4642688</v>
      </c>
      <c r="P2368" s="107" t="s">
        <v>155</v>
      </c>
      <c r="Q2368" s="95">
        <v>0</v>
      </c>
      <c r="R2368" s="95">
        <v>0</v>
      </c>
      <c r="S2368" s="95"/>
      <c r="T2368" s="95"/>
      <c r="U2368" s="95"/>
      <c r="V2368" s="95"/>
      <c r="W2368" s="95"/>
      <c r="X2368" s="95"/>
      <c r="Y2368" s="95"/>
      <c r="Z2368" s="95"/>
      <c r="AA2368" s="95"/>
      <c r="AB2368" s="95"/>
      <c r="AC2368" s="355"/>
      <c r="AD2368" s="355"/>
      <c r="AE2368" s="355"/>
      <c r="AF2368" s="94">
        <f t="shared" si="307"/>
        <v>42958</v>
      </c>
      <c r="AG2368" s="185" t="e">
        <f t="shared" si="310"/>
        <v>#DIV/0!</v>
      </c>
      <c r="AH2368" s="339" t="str">
        <f>VLOOKUP(B2368,'MF PF'!A:B,2)</f>
        <v>FdMgt1</v>
      </c>
      <c r="AI2368" s="358">
        <f t="shared" si="308"/>
        <v>0</v>
      </c>
      <c r="AJ2368" s="94">
        <f t="shared" si="309"/>
        <v>42978</v>
      </c>
    </row>
    <row r="2369" spans="1:53" ht="12.75" customHeight="1">
      <c r="A2369" s="8">
        <v>42978</v>
      </c>
      <c r="B2369" s="358" t="s">
        <v>175</v>
      </c>
      <c r="C2369" s="92" t="s">
        <v>331</v>
      </c>
      <c r="D2369" s="93">
        <v>4886435.62</v>
      </c>
      <c r="E2369" s="95"/>
      <c r="F2369" s="93"/>
      <c r="G2369" s="95"/>
      <c r="H2369" s="93"/>
      <c r="I2369" s="93"/>
      <c r="K2369" s="93"/>
      <c r="L2369" s="93">
        <f t="shared" si="305"/>
        <v>0</v>
      </c>
      <c r="M2369" s="95" t="e">
        <f t="shared" ca="1" si="306"/>
        <v>#DIV/0!</v>
      </c>
      <c r="N2369" s="95">
        <f>IF(P2369="Hedge Fund",IF(A2369=Summary!$AD$3,M2369-E2369,M2369),IF(A2369=Summary!$AD$3,L2369-D2369,L2369))</f>
        <v>0</v>
      </c>
      <c r="O2369" s="95">
        <f t="shared" si="312"/>
        <v>0</v>
      </c>
      <c r="P2369" s="107" t="s">
        <v>155</v>
      </c>
      <c r="Q2369" s="95">
        <v>5.5689120000000002E-2</v>
      </c>
      <c r="R2369" s="95">
        <v>0</v>
      </c>
      <c r="S2369" s="95"/>
      <c r="T2369" s="95"/>
      <c r="U2369" s="95"/>
      <c r="V2369" s="95"/>
      <c r="W2369" s="95"/>
      <c r="X2369" s="95"/>
      <c r="Y2369" s="95"/>
      <c r="Z2369" s="95"/>
      <c r="AA2369" s="95"/>
      <c r="AB2369" s="95"/>
      <c r="AC2369" s="355"/>
      <c r="AD2369" s="355"/>
      <c r="AE2369" s="355"/>
      <c r="AF2369" s="94">
        <f t="shared" si="307"/>
        <v>42978</v>
      </c>
      <c r="AG2369" s="185" t="e">
        <f t="shared" si="310"/>
        <v>#DIV/0!</v>
      </c>
      <c r="AH2369" s="339" t="str">
        <f>VLOOKUP(B2369,'MF PF'!A:B,2)</f>
        <v>FdMgt1</v>
      </c>
      <c r="AI2369" s="358">
        <f t="shared" si="308"/>
        <v>0</v>
      </c>
      <c r="AJ2369" s="94">
        <f t="shared" si="309"/>
        <v>42978</v>
      </c>
    </row>
    <row r="2370" spans="1:53" ht="12.75" customHeight="1">
      <c r="A2370" s="8">
        <v>43008</v>
      </c>
      <c r="B2370" s="358" t="s">
        <v>175</v>
      </c>
      <c r="C2370" s="92" t="s">
        <v>331</v>
      </c>
      <c r="D2370" s="93">
        <v>4907767.71</v>
      </c>
      <c r="E2370" s="95"/>
      <c r="F2370" s="93"/>
      <c r="G2370" s="95"/>
      <c r="H2370" s="93"/>
      <c r="I2370" s="93"/>
      <c r="K2370" s="93"/>
      <c r="L2370" s="93">
        <f t="shared" si="305"/>
        <v>0</v>
      </c>
      <c r="M2370" s="95" t="e">
        <f t="shared" ca="1" si="306"/>
        <v>#DIV/0!</v>
      </c>
      <c r="N2370" s="95">
        <f>IF(P2370="Hedge Fund",IF(A2370=Summary!$AD$3,M2370-E2370,M2370),IF(A2370=Summary!$AD$3,L2370-D2370,L2370))</f>
        <v>0</v>
      </c>
      <c r="O2370" s="95">
        <f t="shared" si="312"/>
        <v>0</v>
      </c>
      <c r="P2370" s="107" t="s">
        <v>155</v>
      </c>
      <c r="Q2370" s="95">
        <v>6.1891190000000006E-2</v>
      </c>
      <c r="R2370" s="95">
        <v>0</v>
      </c>
      <c r="S2370" s="95"/>
      <c r="T2370" s="95"/>
      <c r="U2370" s="95"/>
      <c r="V2370" s="95"/>
      <c r="W2370" s="95"/>
      <c r="X2370" s="95"/>
      <c r="Y2370" s="95"/>
      <c r="Z2370" s="95"/>
      <c r="AA2370" s="95"/>
      <c r="AB2370" s="95"/>
      <c r="AC2370" s="355"/>
      <c r="AD2370" s="355"/>
      <c r="AE2370" s="355"/>
      <c r="AF2370" s="94">
        <f t="shared" si="307"/>
        <v>43008</v>
      </c>
      <c r="AG2370" s="185">
        <f t="shared" si="310"/>
        <v>4.3655727116691523E-3</v>
      </c>
      <c r="AH2370" s="339" t="str">
        <f>VLOOKUP(B2370,'MF PF'!A:B,2)</f>
        <v>FdMgt1</v>
      </c>
      <c r="AI2370" s="358">
        <f t="shared" si="308"/>
        <v>0</v>
      </c>
      <c r="AJ2370" s="94">
        <f t="shared" si="309"/>
        <v>43008</v>
      </c>
    </row>
    <row r="2371" spans="1:53" ht="12.75" customHeight="1">
      <c r="A2371" s="8">
        <v>43039</v>
      </c>
      <c r="B2371" s="358" t="s">
        <v>175</v>
      </c>
      <c r="C2371" s="358" t="s">
        <v>331</v>
      </c>
      <c r="D2371" s="93">
        <v>4996277.68</v>
      </c>
      <c r="E2371" s="95"/>
      <c r="F2371" s="93"/>
      <c r="G2371" s="95"/>
      <c r="H2371" s="93"/>
      <c r="I2371" s="93"/>
      <c r="K2371" s="93"/>
      <c r="L2371" s="93">
        <f t="shared" ref="L2371:L2434" si="313">G2371+H2371+I2371</f>
        <v>0</v>
      </c>
      <c r="M2371" s="95" t="e">
        <f t="shared" ref="M2371:M2434" ca="1" si="314">IF(A2371&gt;INDIRECT("A"&amp;ROW()-1),I2371/K2371,E2371)</f>
        <v>#DIV/0!</v>
      </c>
      <c r="N2371" s="95">
        <f>IF(P2371="Hedge Fund",IF(A2371=Summary!$AD$3,M2371-E2371,M2371),IF(A2371=Summary!$AD$3,L2371-D2371,L2371))</f>
        <v>0</v>
      </c>
      <c r="O2371" s="95">
        <f t="shared" si="312"/>
        <v>0</v>
      </c>
      <c r="P2371" s="107" t="s">
        <v>155</v>
      </c>
      <c r="Q2371" s="95">
        <v>6.1891190000000006E-2</v>
      </c>
      <c r="R2371" s="95">
        <v>0</v>
      </c>
      <c r="S2371" s="95"/>
      <c r="T2371" s="95"/>
      <c r="U2371" s="95"/>
      <c r="V2371" s="95"/>
      <c r="W2371" s="95"/>
      <c r="X2371" s="95"/>
      <c r="Y2371" s="95"/>
      <c r="Z2371" s="95"/>
      <c r="AA2371" s="95"/>
      <c r="AB2371" s="95"/>
      <c r="AC2371" s="355"/>
      <c r="AD2371" s="355"/>
      <c r="AE2371" s="355"/>
      <c r="AF2371" s="94">
        <f t="shared" ref="AF2371:AF2434" si="315">A2371</f>
        <v>43039</v>
      </c>
      <c r="AG2371" s="185">
        <f t="shared" si="310"/>
        <v>1.803466977861512E-2</v>
      </c>
      <c r="AH2371" s="339" t="str">
        <f>VLOOKUP(B2371,'MF PF'!A:B,2)</f>
        <v>FdMgt1</v>
      </c>
      <c r="AI2371" s="358">
        <f t="shared" ref="AI2371:AI2434" si="316">AF2371-A2371</f>
        <v>0</v>
      </c>
      <c r="AJ2371" s="94">
        <f t="shared" ref="AJ2371:AJ2434" si="317">EOMONTH(A2371,0)</f>
        <v>43039</v>
      </c>
    </row>
    <row r="2372" spans="1:53" ht="12.75" customHeight="1">
      <c r="A2372" s="8">
        <v>43069</v>
      </c>
      <c r="B2372" s="358" t="s">
        <v>175</v>
      </c>
      <c r="C2372" s="92" t="s">
        <v>331</v>
      </c>
      <c r="D2372" s="93">
        <v>4968217.3600000003</v>
      </c>
      <c r="E2372" s="95"/>
      <c r="F2372" s="93"/>
      <c r="G2372" s="95"/>
      <c r="H2372" s="93"/>
      <c r="I2372" s="93"/>
      <c r="K2372" s="93"/>
      <c r="L2372" s="93">
        <f t="shared" si="313"/>
        <v>0</v>
      </c>
      <c r="M2372" s="95" t="e">
        <f t="shared" ca="1" si="314"/>
        <v>#DIV/0!</v>
      </c>
      <c r="N2372" s="95">
        <f>IF(P2372="Hedge Fund",IF(A2372=Summary!$AD$3,M2372-E2372,M2372),IF(A2372=Summary!$AD$3,L2372-D2372,L2372))</f>
        <v>0</v>
      </c>
      <c r="O2372" s="95">
        <f t="shared" si="312"/>
        <v>0</v>
      </c>
      <c r="P2372" s="107" t="s">
        <v>155</v>
      </c>
      <c r="Q2372" s="95">
        <v>7.5097320000000009E-2</v>
      </c>
      <c r="R2372" s="95">
        <v>0</v>
      </c>
      <c r="S2372" s="95"/>
      <c r="T2372" s="95"/>
      <c r="U2372" s="95"/>
      <c r="V2372" s="95"/>
      <c r="W2372" s="95"/>
      <c r="X2372" s="95"/>
      <c r="Y2372" s="95"/>
      <c r="Z2372" s="95"/>
      <c r="AA2372" s="95"/>
      <c r="AB2372" s="95"/>
      <c r="AC2372" s="355"/>
      <c r="AD2372" s="355"/>
      <c r="AE2372" s="355"/>
      <c r="AF2372" s="94">
        <f t="shared" si="315"/>
        <v>43069</v>
      </c>
      <c r="AG2372" s="185">
        <f t="shared" si="310"/>
        <v>-5.6162450922863094E-3</v>
      </c>
      <c r="AH2372" s="339" t="str">
        <f>VLOOKUP(B2372,'MF PF'!A:B,2)</f>
        <v>FdMgt1</v>
      </c>
      <c r="AI2372" s="358">
        <f t="shared" si="316"/>
        <v>0</v>
      </c>
      <c r="AJ2372" s="94">
        <f t="shared" si="317"/>
        <v>43069</v>
      </c>
      <c r="AK2372" s="358"/>
      <c r="AL2372" s="358"/>
      <c r="AM2372" s="358"/>
      <c r="AN2372" s="358"/>
      <c r="AO2372" s="358"/>
      <c r="AP2372" s="358"/>
      <c r="AQ2372" s="358"/>
      <c r="AR2372" s="358"/>
      <c r="AS2372" s="358"/>
      <c r="AT2372" s="358"/>
      <c r="AU2372" s="358"/>
      <c r="AV2372" s="358"/>
      <c r="AW2372" s="358"/>
      <c r="AX2372" s="358"/>
      <c r="AY2372" s="358"/>
      <c r="AZ2372" s="358"/>
      <c r="BA2372" s="358"/>
    </row>
    <row r="2373" spans="1:53" ht="12.75" customHeight="1">
      <c r="A2373" s="94">
        <v>43087</v>
      </c>
      <c r="B2373" s="358" t="s">
        <v>175</v>
      </c>
      <c r="C2373" s="92" t="s">
        <v>331</v>
      </c>
      <c r="D2373" s="93"/>
      <c r="E2373" s="95"/>
      <c r="F2373" s="93"/>
      <c r="G2373" s="358"/>
      <c r="H2373" s="93"/>
      <c r="I2373" s="95">
        <v>-612502.18999999994</v>
      </c>
      <c r="K2373" s="93"/>
      <c r="L2373" s="93">
        <f t="shared" si="313"/>
        <v>-612502.18999999994</v>
      </c>
      <c r="M2373" s="95" t="e">
        <f t="shared" ca="1" si="314"/>
        <v>#DIV/0!</v>
      </c>
      <c r="N2373" s="95">
        <f>IF(P2373="Hedge Fund",IF(A2373=Summary!$AD$3,M2373-E2373,M2373),IF(A2373=Summary!$AD$3,L2373-D2373,L2373))</f>
        <v>-612502.18999999994</v>
      </c>
      <c r="O2373" s="95">
        <f t="shared" si="312"/>
        <v>-612502.18999999994</v>
      </c>
      <c r="P2373" s="107" t="s">
        <v>155</v>
      </c>
      <c r="Q2373" s="95">
        <v>0</v>
      </c>
      <c r="R2373" s="95">
        <v>0</v>
      </c>
      <c r="S2373" s="95"/>
      <c r="T2373" s="95"/>
      <c r="U2373" s="95"/>
      <c r="V2373" s="95"/>
      <c r="W2373" s="95"/>
      <c r="X2373" s="95"/>
      <c r="Y2373" s="95"/>
      <c r="Z2373" s="95"/>
      <c r="AA2373" s="95"/>
      <c r="AB2373" s="95"/>
      <c r="AC2373" s="355"/>
      <c r="AD2373" s="355"/>
      <c r="AE2373" s="355"/>
      <c r="AF2373" s="94">
        <f t="shared" si="315"/>
        <v>43087</v>
      </c>
      <c r="AG2373" s="185">
        <f t="shared" si="310"/>
        <v>-0.87671590318665127</v>
      </c>
      <c r="AH2373" s="339" t="str">
        <f>VLOOKUP(B2373,'MF PF'!A:B,2)</f>
        <v>FdMgt1</v>
      </c>
      <c r="AI2373" s="358">
        <f t="shared" si="316"/>
        <v>0</v>
      </c>
      <c r="AJ2373" s="94">
        <f t="shared" si="317"/>
        <v>43100</v>
      </c>
      <c r="AK2373" s="358"/>
      <c r="AL2373" s="358"/>
      <c r="AM2373" s="358"/>
      <c r="AN2373" s="358"/>
      <c r="AO2373" s="358"/>
      <c r="AP2373" s="358"/>
      <c r="AQ2373" s="358"/>
      <c r="AR2373" s="358"/>
      <c r="AS2373" s="358"/>
      <c r="AT2373" s="358"/>
      <c r="AU2373" s="358"/>
      <c r="AV2373" s="358"/>
      <c r="AW2373" s="358"/>
      <c r="AX2373" s="358"/>
      <c r="AY2373" s="358"/>
      <c r="AZ2373" s="358"/>
      <c r="BA2373" s="358"/>
    </row>
    <row r="2374" spans="1:53" ht="12.75" customHeight="1">
      <c r="A2374" s="8">
        <v>43087</v>
      </c>
      <c r="B2374" s="358" t="s">
        <v>175</v>
      </c>
      <c r="C2374" s="92" t="s">
        <v>331</v>
      </c>
      <c r="D2374" s="93"/>
      <c r="E2374" s="95"/>
      <c r="F2374" s="93"/>
      <c r="G2374" s="95">
        <v>612502.18999999994</v>
      </c>
      <c r="H2374" s="93"/>
      <c r="I2374" s="93"/>
      <c r="K2374" s="93"/>
      <c r="L2374" s="93">
        <f t="shared" si="313"/>
        <v>612502.18999999994</v>
      </c>
      <c r="M2374" s="95">
        <f t="shared" ca="1" si="314"/>
        <v>0</v>
      </c>
      <c r="N2374" s="95">
        <f>IF(P2374="Hedge Fund",IF(A2374=Summary!$AD$3,M2374-E2374,M2374),IF(A2374=Summary!$AD$3,L2374-D2374,L2374))</f>
        <v>612502.18999999994</v>
      </c>
      <c r="O2374" s="95">
        <f t="shared" si="312"/>
        <v>612502.18999999994</v>
      </c>
      <c r="P2374" s="107" t="s">
        <v>155</v>
      </c>
      <c r="Q2374" s="95">
        <v>0</v>
      </c>
      <c r="R2374" s="95">
        <v>0</v>
      </c>
      <c r="S2374" s="95"/>
      <c r="T2374" s="95"/>
      <c r="U2374" s="95"/>
      <c r="V2374" s="95"/>
      <c r="W2374" s="95"/>
      <c r="X2374" s="95"/>
      <c r="Y2374" s="95"/>
      <c r="Z2374" s="95"/>
      <c r="AA2374" s="95"/>
      <c r="AB2374" s="95"/>
      <c r="AC2374" s="355"/>
      <c r="AD2374" s="355"/>
      <c r="AE2374" s="355"/>
      <c r="AF2374" s="94">
        <f t="shared" si="315"/>
        <v>43087</v>
      </c>
      <c r="AG2374" s="185" t="e">
        <f t="shared" ref="AG2374:AG2437" si="318">IF(C2374&lt;&gt;C2373,D2374/G2374-1,(D2374-G2374-I2374-H2374)/(D2373)-1)</f>
        <v>#DIV/0!</v>
      </c>
      <c r="AH2374" s="339" t="str">
        <f>VLOOKUP(B2374,'MF PF'!A:B,2)</f>
        <v>FdMgt1</v>
      </c>
      <c r="AI2374" s="358">
        <f t="shared" si="316"/>
        <v>0</v>
      </c>
      <c r="AJ2374" s="94">
        <f t="shared" si="317"/>
        <v>43100</v>
      </c>
    </row>
    <row r="2375" spans="1:53" ht="12.75" customHeight="1">
      <c r="A2375" s="8">
        <v>43100</v>
      </c>
      <c r="B2375" s="358" t="s">
        <v>175</v>
      </c>
      <c r="C2375" s="92" t="s">
        <v>331</v>
      </c>
      <c r="D2375" s="93">
        <v>5642679.2999999998</v>
      </c>
      <c r="E2375" s="95"/>
      <c r="F2375" s="93"/>
      <c r="G2375" s="95"/>
      <c r="H2375" s="93"/>
      <c r="I2375" s="93"/>
      <c r="K2375" s="93"/>
      <c r="L2375" s="93">
        <f t="shared" si="313"/>
        <v>0</v>
      </c>
      <c r="M2375" s="95" t="e">
        <f t="shared" ca="1" si="314"/>
        <v>#DIV/0!</v>
      </c>
      <c r="N2375" s="95">
        <f>IF(P2375="Hedge Fund",IF(A2375=Summary!$AD$3,M2375-E2375,M2375),IF(A2375=Summary!$AD$3,L2375-D2375,L2375))</f>
        <v>0</v>
      </c>
      <c r="O2375" s="95">
        <f t="shared" si="312"/>
        <v>0</v>
      </c>
      <c r="P2375" s="107" t="s">
        <v>155</v>
      </c>
      <c r="Q2375" s="95">
        <v>4.010702E-2</v>
      </c>
      <c r="R2375" s="95">
        <v>0.11341399000000001</v>
      </c>
      <c r="S2375" s="95"/>
      <c r="T2375" s="95"/>
      <c r="U2375" s="95"/>
      <c r="V2375" s="95"/>
      <c r="W2375" s="95"/>
      <c r="X2375" s="95"/>
      <c r="Y2375" s="95"/>
      <c r="Z2375" s="95"/>
      <c r="AA2375" s="95"/>
      <c r="AB2375" s="95"/>
      <c r="AC2375" s="355"/>
      <c r="AD2375" s="355"/>
      <c r="AE2375" s="355"/>
      <c r="AF2375" s="94">
        <f t="shared" si="315"/>
        <v>43100</v>
      </c>
      <c r="AG2375" s="185" t="e">
        <f t="shared" si="318"/>
        <v>#DIV/0!</v>
      </c>
      <c r="AH2375" s="339" t="str">
        <f>VLOOKUP(B2375,'MF PF'!A:B,2)</f>
        <v>FdMgt1</v>
      </c>
      <c r="AI2375" s="358">
        <f t="shared" si="316"/>
        <v>0</v>
      </c>
      <c r="AJ2375" s="94">
        <f t="shared" si="317"/>
        <v>43100</v>
      </c>
    </row>
    <row r="2376" spans="1:53" ht="12.75" customHeight="1">
      <c r="A2376" s="8">
        <v>43131</v>
      </c>
      <c r="B2376" s="358" t="s">
        <v>175</v>
      </c>
      <c r="C2376" s="92" t="s">
        <v>331</v>
      </c>
      <c r="D2376" s="93">
        <v>6019074.4400000004</v>
      </c>
      <c r="E2376" s="95"/>
      <c r="F2376" s="93"/>
      <c r="G2376" s="95"/>
      <c r="H2376" s="93"/>
      <c r="I2376" s="93"/>
      <c r="K2376" s="93"/>
      <c r="L2376" s="93">
        <f t="shared" si="313"/>
        <v>0</v>
      </c>
      <c r="M2376" s="95" t="e">
        <f t="shared" ca="1" si="314"/>
        <v>#DIV/0!</v>
      </c>
      <c r="N2376" s="95">
        <f>IF(P2376="Hedge Fund",IF(A2376=Summary!$AD$3,M2376-E2376,M2376),IF(A2376=Summary!$AD$3,L2376-D2376,L2376))</f>
        <v>0</v>
      </c>
      <c r="O2376" s="95">
        <f t="shared" si="312"/>
        <v>0</v>
      </c>
      <c r="P2376" s="107" t="s">
        <v>155</v>
      </c>
      <c r="Q2376" s="95"/>
      <c r="R2376" s="95">
        <v>0.17983667</v>
      </c>
      <c r="S2376" s="95"/>
      <c r="T2376" s="95"/>
      <c r="U2376" s="95"/>
      <c r="V2376" s="95"/>
      <c r="W2376" s="95"/>
      <c r="X2376" s="95"/>
      <c r="Y2376" s="95"/>
      <c r="Z2376" s="95"/>
      <c r="AA2376" s="95"/>
      <c r="AB2376" s="95"/>
      <c r="AC2376" s="355"/>
      <c r="AD2376" s="355"/>
      <c r="AE2376" s="355"/>
      <c r="AF2376" s="94">
        <f t="shared" si="315"/>
        <v>43131</v>
      </c>
      <c r="AG2376" s="185">
        <f t="shared" si="318"/>
        <v>6.6705038508922732E-2</v>
      </c>
      <c r="AH2376" s="339" t="str">
        <f>VLOOKUP(B2376,'MF PF'!A:B,2)</f>
        <v>FdMgt1</v>
      </c>
      <c r="AI2376" s="358">
        <f t="shared" si="316"/>
        <v>0</v>
      </c>
      <c r="AJ2376" s="94">
        <f t="shared" si="317"/>
        <v>43131</v>
      </c>
    </row>
    <row r="2377" spans="1:53" ht="12.75" customHeight="1">
      <c r="A2377" s="8">
        <v>43159</v>
      </c>
      <c r="B2377" s="358" t="s">
        <v>175</v>
      </c>
      <c r="C2377" s="92" t="s">
        <v>331</v>
      </c>
      <c r="D2377" s="93">
        <v>6036277.8099999996</v>
      </c>
      <c r="E2377" s="95"/>
      <c r="F2377" s="93"/>
      <c r="G2377" s="95"/>
      <c r="H2377" s="93"/>
      <c r="I2377" s="93"/>
      <c r="K2377" s="93"/>
      <c r="L2377" s="93">
        <f t="shared" si="313"/>
        <v>0</v>
      </c>
      <c r="M2377" s="95" t="e">
        <f t="shared" ca="1" si="314"/>
        <v>#DIV/0!</v>
      </c>
      <c r="N2377" s="95">
        <f>IF(P2377="Hedge Fund",IF(A2377=Summary!$AD$3,M2377-E2377,M2377),IF(A2377=Summary!$AD$3,L2377-D2377,L2377))</f>
        <v>0</v>
      </c>
      <c r="O2377" s="95">
        <f t="shared" si="312"/>
        <v>0</v>
      </c>
      <c r="P2377" s="107" t="s">
        <v>155</v>
      </c>
      <c r="Q2377" s="95"/>
      <c r="R2377" s="95">
        <v>0.18287255999999999</v>
      </c>
      <c r="S2377" s="95"/>
      <c r="T2377" s="95"/>
      <c r="U2377" s="95"/>
      <c r="V2377" s="95"/>
      <c r="W2377" s="95"/>
      <c r="X2377" s="95"/>
      <c r="Y2377" s="95"/>
      <c r="Z2377" s="95"/>
      <c r="AA2377" s="95"/>
      <c r="AB2377" s="95"/>
      <c r="AC2377" s="355"/>
      <c r="AD2377" s="355"/>
      <c r="AE2377" s="355"/>
      <c r="AF2377" s="94">
        <f t="shared" si="315"/>
        <v>43159</v>
      </c>
      <c r="AG2377" s="185">
        <f t="shared" si="318"/>
        <v>2.8581420900319898E-3</v>
      </c>
      <c r="AH2377" s="339" t="str">
        <f>VLOOKUP(B2377,'MF PF'!A:B,2)</f>
        <v>FdMgt1</v>
      </c>
      <c r="AI2377" s="358">
        <f t="shared" si="316"/>
        <v>0</v>
      </c>
      <c r="AJ2377" s="94">
        <f t="shared" si="317"/>
        <v>43159</v>
      </c>
    </row>
    <row r="2378" spans="1:53" ht="12.75" customHeight="1">
      <c r="A2378" s="94">
        <v>43190</v>
      </c>
      <c r="B2378" s="358" t="s">
        <v>175</v>
      </c>
      <c r="C2378" s="358" t="s">
        <v>331</v>
      </c>
      <c r="D2378" s="93">
        <v>5995205.7699999996</v>
      </c>
      <c r="E2378" s="95"/>
      <c r="F2378" s="93"/>
      <c r="G2378" s="95"/>
      <c r="H2378" s="93"/>
      <c r="I2378" s="93"/>
      <c r="K2378" s="93"/>
      <c r="L2378" s="93">
        <f t="shared" si="313"/>
        <v>0</v>
      </c>
      <c r="M2378" s="95" t="e">
        <f t="shared" ca="1" si="314"/>
        <v>#DIV/0!</v>
      </c>
      <c r="N2378" s="95">
        <f>IF(P2378="Hedge Fund",IF(A2378=Summary!$AD$3,M2378-E2378,M2378),IF(A2378=Summary!$AD$3,L2378-D2378,L2378))</f>
        <v>0</v>
      </c>
      <c r="O2378" s="95">
        <f t="shared" si="312"/>
        <v>0</v>
      </c>
      <c r="P2378" s="107" t="s">
        <v>155</v>
      </c>
      <c r="Q2378" s="95">
        <v>2.2908349999999997E-2</v>
      </c>
      <c r="R2378" s="95">
        <v>0.17562454999999999</v>
      </c>
      <c r="S2378" s="95"/>
      <c r="T2378" s="95"/>
      <c r="U2378" s="95"/>
      <c r="V2378" s="95"/>
      <c r="W2378" s="95"/>
      <c r="X2378" s="95"/>
      <c r="Y2378" s="95"/>
      <c r="Z2378" s="95"/>
      <c r="AA2378" s="95"/>
      <c r="AB2378" s="95"/>
      <c r="AC2378" s="355"/>
      <c r="AD2378" s="355"/>
      <c r="AE2378" s="355"/>
      <c r="AF2378" s="94">
        <f t="shared" si="315"/>
        <v>43190</v>
      </c>
      <c r="AG2378" s="185">
        <f t="shared" si="318"/>
        <v>-6.8041997556769207E-3</v>
      </c>
      <c r="AH2378" s="339" t="str">
        <f>VLOOKUP(B2378,'MF PF'!A:B,2)</f>
        <v>FdMgt1</v>
      </c>
      <c r="AI2378" s="358">
        <f t="shared" si="316"/>
        <v>0</v>
      </c>
      <c r="AJ2378" s="94">
        <f t="shared" si="317"/>
        <v>43190</v>
      </c>
    </row>
    <row r="2379" spans="1:53" ht="12.75" customHeight="1">
      <c r="A2379" s="94">
        <v>43220</v>
      </c>
      <c r="B2379" s="358" t="s">
        <v>175</v>
      </c>
      <c r="C2379" s="358" t="s">
        <v>331</v>
      </c>
      <c r="D2379" s="93">
        <v>5940066.8099999996</v>
      </c>
      <c r="E2379" s="95"/>
      <c r="F2379" s="93"/>
      <c r="G2379" s="95"/>
      <c r="H2379" s="93"/>
      <c r="I2379" s="93"/>
      <c r="K2379" s="93"/>
      <c r="L2379" s="93">
        <f t="shared" si="313"/>
        <v>0</v>
      </c>
      <c r="M2379" s="95" t="e">
        <f t="shared" ca="1" si="314"/>
        <v>#DIV/0!</v>
      </c>
      <c r="N2379" s="95">
        <f>IF(P2379="Hedge Fund",IF(A2379=Summary!$AD$3,M2379-E2379,M2379),IF(A2379=Summary!$AD$3,L2379-D2379,L2379))</f>
        <v>0</v>
      </c>
      <c r="O2379" s="95">
        <f t="shared" si="312"/>
        <v>0</v>
      </c>
      <c r="P2379" s="107" t="s">
        <v>155</v>
      </c>
      <c r="Q2379" s="95"/>
      <c r="R2379" s="95">
        <v>0.16589414000000002</v>
      </c>
      <c r="S2379" s="95"/>
      <c r="T2379" s="95"/>
      <c r="U2379" s="95"/>
      <c r="V2379" s="95"/>
      <c r="W2379" s="95"/>
      <c r="X2379" s="95"/>
      <c r="Y2379" s="95"/>
      <c r="Z2379" s="95"/>
      <c r="AA2379" s="95"/>
      <c r="AB2379" s="95"/>
      <c r="AC2379" s="355"/>
      <c r="AD2379" s="355"/>
      <c r="AE2379" s="355"/>
      <c r="AF2379" s="94">
        <f t="shared" si="315"/>
        <v>43220</v>
      </c>
      <c r="AG2379" s="185">
        <f t="shared" si="318"/>
        <v>-9.1971755624995488E-3</v>
      </c>
      <c r="AH2379" s="339" t="str">
        <f>VLOOKUP(B2379,'MF PF'!A:B,2)</f>
        <v>FdMgt1</v>
      </c>
      <c r="AI2379" s="358">
        <f t="shared" si="316"/>
        <v>0</v>
      </c>
      <c r="AJ2379" s="94">
        <f t="shared" si="317"/>
        <v>43220</v>
      </c>
      <c r="AK2379" s="358"/>
      <c r="AL2379" s="358"/>
      <c r="AM2379" s="358"/>
      <c r="AN2379" s="358"/>
      <c r="AO2379" s="358"/>
      <c r="AP2379" s="358"/>
      <c r="AQ2379" s="358"/>
      <c r="AR2379" s="358"/>
      <c r="AS2379" s="358"/>
      <c r="AT2379" s="358"/>
      <c r="AU2379" s="358"/>
      <c r="AV2379" s="358"/>
      <c r="AW2379" s="358"/>
      <c r="AX2379" s="358"/>
      <c r="AY2379" s="358"/>
      <c r="AZ2379" s="358"/>
      <c r="BA2379" s="358"/>
    </row>
    <row r="2380" spans="1:53" ht="12.75" customHeight="1">
      <c r="A2380" s="94">
        <v>43251</v>
      </c>
      <c r="B2380" s="358" t="s">
        <v>175</v>
      </c>
      <c r="C2380" s="358" t="s">
        <v>331</v>
      </c>
      <c r="D2380" s="93">
        <v>5995774.1900000004</v>
      </c>
      <c r="E2380" s="95"/>
      <c r="F2380" s="93"/>
      <c r="G2380" s="95"/>
      <c r="H2380" s="93"/>
      <c r="I2380" s="93"/>
      <c r="K2380" s="93"/>
      <c r="L2380" s="93">
        <f t="shared" si="313"/>
        <v>0</v>
      </c>
      <c r="M2380" s="95" t="e">
        <f t="shared" ca="1" si="314"/>
        <v>#DIV/0!</v>
      </c>
      <c r="N2380" s="95">
        <f>IF(P2380="Hedge Fund",IF(A2380=Summary!$AD$3,M2380-E2380,M2380),IF(A2380=Summary!$AD$3,L2380-D2380,L2380))</f>
        <v>0</v>
      </c>
      <c r="O2380" s="95">
        <f t="shared" si="312"/>
        <v>0</v>
      </c>
      <c r="P2380" s="107" t="s">
        <v>155</v>
      </c>
      <c r="Q2380" s="95"/>
      <c r="R2380" s="95">
        <v>0.17572485999999998</v>
      </c>
      <c r="S2380" s="95"/>
      <c r="T2380" s="95"/>
      <c r="U2380" s="95"/>
      <c r="V2380" s="95"/>
      <c r="W2380" s="95"/>
      <c r="X2380" s="95"/>
      <c r="Y2380" s="95"/>
      <c r="Z2380" s="95"/>
      <c r="AA2380" s="95"/>
      <c r="AB2380" s="95"/>
      <c r="AC2380" s="355"/>
      <c r="AD2380" s="355"/>
      <c r="AE2380" s="355"/>
      <c r="AF2380" s="94">
        <f t="shared" si="315"/>
        <v>43251</v>
      </c>
      <c r="AG2380" s="185">
        <f t="shared" si="318"/>
        <v>9.3782413198144621E-3</v>
      </c>
      <c r="AH2380" s="339" t="str">
        <f>VLOOKUP(B2380,'MF PF'!A:B,2)</f>
        <v>FdMgt1</v>
      </c>
      <c r="AI2380" s="358">
        <f t="shared" si="316"/>
        <v>0</v>
      </c>
      <c r="AJ2380" s="94">
        <f t="shared" si="317"/>
        <v>43251</v>
      </c>
      <c r="AK2380" s="358"/>
      <c r="AL2380" s="358"/>
      <c r="AM2380" s="358"/>
      <c r="AN2380" s="358"/>
      <c r="AO2380" s="358"/>
      <c r="AP2380" s="358"/>
      <c r="AQ2380" s="358"/>
      <c r="AR2380" s="358"/>
      <c r="AS2380" s="358"/>
      <c r="AT2380" s="358"/>
      <c r="AU2380" s="358"/>
      <c r="AV2380" s="358"/>
      <c r="AW2380" s="358"/>
      <c r="AX2380" s="358"/>
      <c r="AY2380" s="358"/>
      <c r="AZ2380" s="358"/>
      <c r="BA2380" s="358"/>
    </row>
    <row r="2381" spans="1:53" ht="12.75" customHeight="1">
      <c r="A2381" s="8">
        <v>43281</v>
      </c>
      <c r="B2381" s="358" t="s">
        <v>175</v>
      </c>
      <c r="C2381" s="92" t="s">
        <v>331</v>
      </c>
      <c r="D2381" s="93">
        <v>5974868.0199999996</v>
      </c>
      <c r="E2381" s="95"/>
      <c r="F2381" s="93"/>
      <c r="G2381" s="95"/>
      <c r="H2381" s="93"/>
      <c r="I2381" s="93"/>
      <c r="K2381" s="93"/>
      <c r="L2381" s="93">
        <f t="shared" si="313"/>
        <v>0</v>
      </c>
      <c r="M2381" s="95" t="e">
        <f t="shared" ca="1" si="314"/>
        <v>#DIV/0!</v>
      </c>
      <c r="N2381" s="95">
        <f>IF(P2381="Hedge Fund",IF(A2381=Summary!$AD$3,M2381-E2381,M2381),IF(A2381=Summary!$AD$3,L2381-D2381,L2381))</f>
        <v>0</v>
      </c>
      <c r="O2381" s="95">
        <f t="shared" si="312"/>
        <v>0</v>
      </c>
      <c r="P2381" s="107" t="s">
        <v>155</v>
      </c>
      <c r="Q2381" s="95">
        <v>2.332855E-2</v>
      </c>
      <c r="R2381" s="95">
        <v>0.17203552999999999</v>
      </c>
      <c r="S2381" s="95"/>
      <c r="T2381" s="95"/>
      <c r="U2381" s="95"/>
      <c r="V2381" s="95"/>
      <c r="W2381" s="95"/>
      <c r="X2381" s="95"/>
      <c r="Y2381" s="95"/>
      <c r="Z2381" s="95"/>
      <c r="AA2381" s="95"/>
      <c r="AB2381" s="95"/>
      <c r="AC2381" s="355"/>
      <c r="AD2381" s="355"/>
      <c r="AE2381" s="355"/>
      <c r="AF2381" s="94">
        <f t="shared" si="315"/>
        <v>43281</v>
      </c>
      <c r="AG2381" s="185">
        <f t="shared" si="318"/>
        <v>-3.486817437999723E-3</v>
      </c>
      <c r="AH2381" s="339" t="str">
        <f>VLOOKUP(B2381,'MF PF'!A:B,2)</f>
        <v>FdMgt1</v>
      </c>
      <c r="AI2381" s="358">
        <f t="shared" si="316"/>
        <v>0</v>
      </c>
      <c r="AJ2381" s="94">
        <f t="shared" si="317"/>
        <v>43281</v>
      </c>
    </row>
    <row r="2382" spans="1:53" ht="12.75" customHeight="1">
      <c r="A2382" s="8">
        <v>43312</v>
      </c>
      <c r="B2382" s="358" t="s">
        <v>175</v>
      </c>
      <c r="C2382" s="92" t="s">
        <v>331</v>
      </c>
      <c r="D2382" s="93">
        <v>5899318.4500000002</v>
      </c>
      <c r="E2382" s="95"/>
      <c r="F2382" s="93"/>
      <c r="G2382" s="95"/>
      <c r="H2382" s="93"/>
      <c r="I2382" s="93"/>
      <c r="K2382" s="93"/>
      <c r="L2382" s="93">
        <f t="shared" si="313"/>
        <v>0</v>
      </c>
      <c r="M2382" s="95" t="e">
        <f t="shared" ca="1" si="314"/>
        <v>#DIV/0!</v>
      </c>
      <c r="N2382" s="95">
        <f>IF(P2382="Hedge Fund",IF(A2382=Summary!$AD$3,M2382-E2382,M2382),IF(A2382=Summary!$AD$3,L2382-D2382,L2382))</f>
        <v>0</v>
      </c>
      <c r="O2382" s="95">
        <f t="shared" si="312"/>
        <v>0</v>
      </c>
      <c r="P2382" s="107" t="s">
        <v>155</v>
      </c>
      <c r="Q2382" s="95">
        <v>0</v>
      </c>
      <c r="R2382" s="95">
        <v>0.15870326000000001</v>
      </c>
      <c r="S2382" s="95"/>
      <c r="T2382" s="95"/>
      <c r="U2382" s="95"/>
      <c r="V2382" s="95"/>
      <c r="W2382" s="95"/>
      <c r="X2382" s="95"/>
      <c r="Y2382" s="95"/>
      <c r="Z2382" s="95"/>
      <c r="AA2382" s="95"/>
      <c r="AB2382" s="95"/>
      <c r="AC2382" s="355"/>
      <c r="AD2382" s="355"/>
      <c r="AE2382" s="355"/>
      <c r="AF2382" s="94">
        <f t="shared" si="315"/>
        <v>43312</v>
      </c>
      <c r="AG2382" s="185">
        <f t="shared" si="318"/>
        <v>-1.2644558799810857E-2</v>
      </c>
      <c r="AH2382" s="339" t="str">
        <f>VLOOKUP(B2382,'MF PF'!A:B,2)</f>
        <v>FdMgt1</v>
      </c>
      <c r="AI2382" s="358">
        <f t="shared" si="316"/>
        <v>0</v>
      </c>
      <c r="AJ2382" s="94">
        <f t="shared" si="317"/>
        <v>43312</v>
      </c>
    </row>
    <row r="2383" spans="1:53" ht="12.75" customHeight="1">
      <c r="A2383" s="8">
        <v>43343</v>
      </c>
      <c r="B2383" s="358" t="s">
        <v>175</v>
      </c>
      <c r="C2383" s="92" t="s">
        <v>331</v>
      </c>
      <c r="D2383" s="93">
        <v>5851730.6200000001</v>
      </c>
      <c r="E2383" s="95"/>
      <c r="F2383" s="93"/>
      <c r="G2383" s="95"/>
      <c r="H2383" s="93"/>
      <c r="I2383" s="93"/>
      <c r="K2383" s="93"/>
      <c r="L2383" s="93">
        <f t="shared" si="313"/>
        <v>0</v>
      </c>
      <c r="M2383" s="95" t="e">
        <f t="shared" ca="1" si="314"/>
        <v>#DIV/0!</v>
      </c>
      <c r="N2383" s="95">
        <f>IF(P2383="Hedge Fund",IF(A2383=Summary!$AD$3,M2383-E2383,M2383),IF(A2383=Summary!$AD$3,L2383-D2383,L2383))</f>
        <v>0</v>
      </c>
      <c r="O2383" s="95">
        <f t="shared" si="312"/>
        <v>0</v>
      </c>
      <c r="P2383" s="107" t="s">
        <v>155</v>
      </c>
      <c r="Q2383" s="95">
        <v>0</v>
      </c>
      <c r="R2383" s="95">
        <v>0.15030540000000001</v>
      </c>
      <c r="S2383" s="95"/>
      <c r="T2383" s="95"/>
      <c r="U2383" s="95"/>
      <c r="V2383" s="95"/>
      <c r="W2383" s="95"/>
      <c r="X2383" s="95"/>
      <c r="Y2383" s="95"/>
      <c r="Z2383" s="95"/>
      <c r="AA2383" s="95"/>
      <c r="AB2383" s="95"/>
      <c r="AC2383" s="355"/>
      <c r="AD2383" s="355"/>
      <c r="AE2383" s="355"/>
      <c r="AF2383" s="94">
        <f t="shared" si="315"/>
        <v>43343</v>
      </c>
      <c r="AG2383" s="185">
        <f t="shared" si="318"/>
        <v>-8.0666657349206528E-3</v>
      </c>
      <c r="AH2383" s="339" t="str">
        <f>VLOOKUP(B2383,'MF PF'!A:B,2)</f>
        <v>FdMgt1</v>
      </c>
      <c r="AI2383" s="358">
        <f t="shared" si="316"/>
        <v>0</v>
      </c>
      <c r="AJ2383" s="94">
        <f t="shared" si="317"/>
        <v>43343</v>
      </c>
    </row>
    <row r="2384" spans="1:53" ht="12.75" customHeight="1">
      <c r="A2384" s="94">
        <v>43373</v>
      </c>
      <c r="B2384" s="358" t="s">
        <v>175</v>
      </c>
      <c r="C2384" s="92" t="s">
        <v>331</v>
      </c>
      <c r="D2384" s="93">
        <v>5639867.1100000003</v>
      </c>
      <c r="E2384" s="95"/>
      <c r="F2384" s="93"/>
      <c r="G2384" s="95"/>
      <c r="H2384" s="93"/>
      <c r="I2384" s="93"/>
      <c r="K2384" s="93"/>
      <c r="L2384" s="93">
        <f t="shared" si="313"/>
        <v>0</v>
      </c>
      <c r="M2384" s="95" t="e">
        <f t="shared" ca="1" si="314"/>
        <v>#DIV/0!</v>
      </c>
      <c r="N2384" s="95">
        <f>IF(P2384="Hedge Fund",IF(A2384=Summary!$AD$3,M2384-E2384,M2384),IF(A2384=Summary!$AD$3,L2384-D2384,L2384))</f>
        <v>0</v>
      </c>
      <c r="O2384" s="95">
        <f t="shared" ref="O2384:O2411" si="319">N2384</f>
        <v>0</v>
      </c>
      <c r="P2384" s="107" t="s">
        <v>155</v>
      </c>
      <c r="Q2384" s="95">
        <v>2.1594599999999999E-2</v>
      </c>
      <c r="R2384" s="95">
        <v>0.11291772</v>
      </c>
      <c r="S2384" s="95"/>
      <c r="T2384" s="95"/>
      <c r="U2384" s="95"/>
      <c r="V2384" s="95"/>
      <c r="W2384" s="95"/>
      <c r="X2384" s="95"/>
      <c r="Y2384" s="95"/>
      <c r="Z2384" s="95"/>
      <c r="AA2384" s="95"/>
      <c r="AB2384" s="95"/>
      <c r="AC2384" s="355"/>
      <c r="AD2384" s="355"/>
      <c r="AE2384" s="355"/>
      <c r="AF2384" s="94">
        <f t="shared" si="315"/>
        <v>43373</v>
      </c>
      <c r="AG2384" s="185">
        <f t="shared" si="318"/>
        <v>-3.6205273919461378E-2</v>
      </c>
      <c r="AH2384" s="339" t="str">
        <f>VLOOKUP(B2384,'MF PF'!A:B,2)</f>
        <v>FdMgt1</v>
      </c>
      <c r="AI2384" s="358">
        <f t="shared" si="316"/>
        <v>0</v>
      </c>
      <c r="AJ2384" s="94">
        <f t="shared" si="317"/>
        <v>43373</v>
      </c>
    </row>
    <row r="2385" spans="1:53" ht="12.75" customHeight="1">
      <c r="A2385" s="8">
        <v>43404</v>
      </c>
      <c r="B2385" s="358" t="s">
        <v>175</v>
      </c>
      <c r="C2385" s="92" t="s">
        <v>331</v>
      </c>
      <c r="D2385" s="93">
        <v>5569140.0164999999</v>
      </c>
      <c r="E2385" s="95"/>
      <c r="F2385" s="93">
        <v>5</v>
      </c>
      <c r="G2385" s="93"/>
      <c r="H2385" s="93">
        <v>0</v>
      </c>
      <c r="I2385" s="93">
        <v>0</v>
      </c>
      <c r="J2385" s="93">
        <v>0</v>
      </c>
      <c r="K2385" s="93"/>
      <c r="L2385" s="93">
        <f t="shared" si="313"/>
        <v>0</v>
      </c>
      <c r="M2385" s="95" t="e">
        <f t="shared" ca="1" si="314"/>
        <v>#DIV/0!</v>
      </c>
      <c r="N2385" s="95">
        <f>IF(P2385="Hedge Fund",IF(A2385=Summary!$AD$3,M2385-E2385,M2385),IF(A2385=Summary!$AD$3,L2385-D2385,L2385))</f>
        <v>0</v>
      </c>
      <c r="O2385" s="95">
        <f t="shared" si="319"/>
        <v>0</v>
      </c>
      <c r="P2385" s="95" t="s">
        <v>155</v>
      </c>
      <c r="Q2385" s="95">
        <v>2.9293587287426214E-2</v>
      </c>
      <c r="R2385" s="95">
        <v>0.10043647350000004</v>
      </c>
      <c r="S2385" s="95"/>
      <c r="T2385" s="95"/>
      <c r="U2385" s="95"/>
      <c r="V2385" s="95"/>
      <c r="W2385" s="95"/>
      <c r="X2385" s="95"/>
      <c r="Y2385" s="95"/>
      <c r="Z2385" s="95"/>
      <c r="AA2385" s="95"/>
      <c r="AB2385" s="95"/>
      <c r="AC2385" s="355"/>
      <c r="AD2385" s="355"/>
      <c r="AE2385" s="355"/>
      <c r="AF2385" s="94">
        <f t="shared" si="315"/>
        <v>43404</v>
      </c>
      <c r="AG2385" s="185">
        <f t="shared" si="318"/>
        <v>-1.2540560286357638E-2</v>
      </c>
      <c r="AH2385" s="339" t="str">
        <f>VLOOKUP(B2385,'MF PF'!A:B,2)</f>
        <v>FdMgt1</v>
      </c>
      <c r="AI2385" s="358">
        <f t="shared" si="316"/>
        <v>0</v>
      </c>
      <c r="AJ2385" s="94">
        <f t="shared" si="317"/>
        <v>43404</v>
      </c>
    </row>
    <row r="2386" spans="1:53" ht="12.75" customHeight="1">
      <c r="A2386" s="8">
        <v>43434</v>
      </c>
      <c r="B2386" s="358" t="s">
        <v>175</v>
      </c>
      <c r="C2386" s="92" t="s">
        <v>331</v>
      </c>
      <c r="D2386" s="93">
        <v>5566965.8015000001</v>
      </c>
      <c r="E2386" s="95"/>
      <c r="F2386" s="93">
        <v>5</v>
      </c>
      <c r="G2386" s="93"/>
      <c r="H2386" s="93">
        <v>0</v>
      </c>
      <c r="I2386" s="93">
        <v>0</v>
      </c>
      <c r="K2386" s="93">
        <v>0</v>
      </c>
      <c r="L2386" s="93">
        <f t="shared" si="313"/>
        <v>0</v>
      </c>
      <c r="M2386" s="95" t="e">
        <f t="shared" ca="1" si="314"/>
        <v>#DIV/0!</v>
      </c>
      <c r="N2386" s="95">
        <f>IF(P2386="Hedge Fund",IF(A2386=Summary!$AD$3,M2386-E2386,M2386),IF(A2386=Summary!$AD$3,L2386-D2386,L2386))</f>
        <v>0</v>
      </c>
      <c r="O2386" s="95">
        <f t="shared" si="319"/>
        <v>0</v>
      </c>
      <c r="P2386" s="95" t="s">
        <v>155</v>
      </c>
      <c r="Q2386" s="95">
        <v>1.4764735649627372E-2</v>
      </c>
      <c r="R2386" s="95">
        <v>0.10005278849999998</v>
      </c>
      <c r="S2386" s="95"/>
      <c r="T2386" s="95"/>
      <c r="U2386" s="95"/>
      <c r="V2386" s="95"/>
      <c r="W2386" s="95"/>
      <c r="X2386" s="95"/>
      <c r="Y2386" s="95"/>
      <c r="Z2386" s="95"/>
      <c r="AA2386" s="95"/>
      <c r="AB2386" s="95"/>
      <c r="AC2386" s="355"/>
      <c r="AD2386" s="355"/>
      <c r="AE2386" s="355"/>
      <c r="AF2386" s="94">
        <f t="shared" si="315"/>
        <v>43434</v>
      </c>
      <c r="AG2386" s="185">
        <f t="shared" si="318"/>
        <v>-3.9040408277724037E-4</v>
      </c>
      <c r="AH2386" s="339" t="str">
        <f>VLOOKUP(B2386,'MF PF'!A:B,2)</f>
        <v>FdMgt1</v>
      </c>
      <c r="AI2386" s="358">
        <f t="shared" si="316"/>
        <v>0</v>
      </c>
      <c r="AJ2386" s="94">
        <f t="shared" si="317"/>
        <v>43434</v>
      </c>
    </row>
    <row r="2387" spans="1:53" ht="12.75" customHeight="1">
      <c r="A2387" s="8">
        <v>43465</v>
      </c>
      <c r="B2387" s="358" t="s">
        <v>175</v>
      </c>
      <c r="C2387" s="92" t="s">
        <v>331</v>
      </c>
      <c r="D2387" s="93">
        <v>5652431.6694999998</v>
      </c>
      <c r="E2387" s="95"/>
      <c r="F2387" s="93">
        <v>5</v>
      </c>
      <c r="G2387" s="93"/>
      <c r="H2387" s="93">
        <v>0</v>
      </c>
      <c r="I2387" s="93">
        <v>0</v>
      </c>
      <c r="K2387" s="93">
        <v>0</v>
      </c>
      <c r="L2387" s="93">
        <f t="shared" si="313"/>
        <v>0</v>
      </c>
      <c r="M2387" s="95" t="e">
        <f t="shared" ca="1" si="314"/>
        <v>#DIV/0!</v>
      </c>
      <c r="N2387" s="95">
        <f>IF(P2387="Hedge Fund",IF(A2387=Summary!$AD$3,M2387-E2387,M2387),IF(A2387=Summary!$AD$3,L2387-D2387,L2387))</f>
        <v>0</v>
      </c>
      <c r="O2387" s="95">
        <f t="shared" si="319"/>
        <v>0</v>
      </c>
      <c r="P2387" s="95" t="s">
        <v>155</v>
      </c>
      <c r="Q2387" s="95">
        <v>2.2366591507054081E-2</v>
      </c>
      <c r="R2387" s="95">
        <v>0.11513500049999997</v>
      </c>
      <c r="S2387" s="95"/>
      <c r="T2387" s="95"/>
      <c r="U2387" s="95"/>
      <c r="V2387" s="95"/>
      <c r="W2387" s="95"/>
      <c r="X2387" s="95"/>
      <c r="Y2387" s="95"/>
      <c r="Z2387" s="95"/>
      <c r="AA2387" s="95"/>
      <c r="AB2387" s="95"/>
      <c r="AC2387" s="355"/>
      <c r="AD2387" s="355"/>
      <c r="AE2387" s="355"/>
      <c r="AF2387" s="94">
        <f t="shared" si="315"/>
        <v>43465</v>
      </c>
      <c r="AG2387" s="185">
        <f t="shared" si="318"/>
        <v>1.535232495535932E-2</v>
      </c>
      <c r="AH2387" s="339" t="str">
        <f>VLOOKUP(B2387,'MF PF'!A:B,2)</f>
        <v>FdMgt1</v>
      </c>
      <c r="AI2387" s="358">
        <f t="shared" si="316"/>
        <v>0</v>
      </c>
      <c r="AJ2387" s="94">
        <f t="shared" si="317"/>
        <v>43465</v>
      </c>
    </row>
    <row r="2388" spans="1:53" s="92" customFormat="1" ht="12.75" customHeight="1">
      <c r="A2388" s="94">
        <v>43496</v>
      </c>
      <c r="B2388" s="358" t="s">
        <v>175</v>
      </c>
      <c r="C2388" s="92" t="s">
        <v>331</v>
      </c>
      <c r="D2388" s="93">
        <v>5792370.2889999999</v>
      </c>
      <c r="E2388" s="95"/>
      <c r="F2388" s="93">
        <v>5</v>
      </c>
      <c r="G2388" s="93"/>
      <c r="H2388" s="93">
        <v>0</v>
      </c>
      <c r="I2388" s="93">
        <v>0</v>
      </c>
      <c r="J2388" s="93"/>
      <c r="K2388" s="93">
        <v>0</v>
      </c>
      <c r="L2388" s="93">
        <f t="shared" si="313"/>
        <v>0</v>
      </c>
      <c r="M2388" s="95" t="e">
        <f t="shared" ca="1" si="314"/>
        <v>#DIV/0!</v>
      </c>
      <c r="N2388" s="95">
        <f>IF(P2388="Hedge Fund",IF(A2388=Summary!$AD$3,M2388-E2388,M2388),IF(A2388=Summary!$AD$3,L2388-D2388,L2388))</f>
        <v>-5792370.2889999999</v>
      </c>
      <c r="O2388" s="95">
        <f t="shared" si="319"/>
        <v>-5792370.2889999999</v>
      </c>
      <c r="P2388" s="95" t="s">
        <v>155</v>
      </c>
      <c r="Q2388" s="95">
        <v>7.5678733857833984E-3</v>
      </c>
      <c r="R2388" s="95">
        <v>0.13983005099999998</v>
      </c>
      <c r="S2388" s="95"/>
      <c r="T2388" s="95"/>
      <c r="U2388" s="95"/>
      <c r="V2388" s="95"/>
      <c r="W2388" s="95"/>
      <c r="X2388" s="95"/>
      <c r="Y2388" s="95"/>
      <c r="Z2388" s="95"/>
      <c r="AA2388" s="95"/>
      <c r="AB2388" s="95"/>
      <c r="AC2388" s="355"/>
      <c r="AD2388" s="355"/>
      <c r="AE2388" s="355"/>
      <c r="AF2388" s="94">
        <f t="shared" si="315"/>
        <v>43496</v>
      </c>
      <c r="AG2388" s="185">
        <f t="shared" si="318"/>
        <v>2.4757242136175917E-2</v>
      </c>
      <c r="AH2388" s="339" t="str">
        <f>VLOOKUP(B2388,'MF PF'!A:B,2)</f>
        <v>FdMgt1</v>
      </c>
      <c r="AI2388" s="358">
        <f t="shared" si="316"/>
        <v>0</v>
      </c>
      <c r="AJ2388" s="94">
        <f t="shared" si="317"/>
        <v>43496</v>
      </c>
    </row>
    <row r="2389" spans="1:53" s="92" customFormat="1" ht="12.75" customHeight="1">
      <c r="A2389" s="94">
        <v>42947</v>
      </c>
      <c r="B2389" s="358" t="s">
        <v>175</v>
      </c>
      <c r="C2389" s="92" t="s">
        <v>332</v>
      </c>
      <c r="D2389" s="93">
        <v>908094.29</v>
      </c>
      <c r="E2389" s="95"/>
      <c r="F2389" s="93"/>
      <c r="G2389" s="95"/>
      <c r="H2389" s="93"/>
      <c r="I2389" s="93"/>
      <c r="J2389" s="93"/>
      <c r="K2389" s="93"/>
      <c r="L2389" s="93">
        <f t="shared" si="313"/>
        <v>0</v>
      </c>
      <c r="M2389" s="95">
        <f t="shared" ca="1" si="314"/>
        <v>0</v>
      </c>
      <c r="N2389" s="95">
        <f>IF(P2389="Hedge Fund",IF(A2389=Summary!$AD$3,M2389-E2389,M2389),IF(A2389=Summary!$AD$3,L2389-D2389,L2389))</f>
        <v>0</v>
      </c>
      <c r="O2389" s="95">
        <f t="shared" si="319"/>
        <v>0</v>
      </c>
      <c r="P2389" s="107" t="s">
        <v>155</v>
      </c>
      <c r="Q2389" s="95">
        <v>1.1552299999999999E-3</v>
      </c>
      <c r="R2389" s="95">
        <v>0</v>
      </c>
      <c r="S2389" s="95"/>
      <c r="T2389" s="95"/>
      <c r="U2389" s="95"/>
      <c r="V2389" s="95"/>
      <c r="W2389" s="95"/>
      <c r="X2389" s="95"/>
      <c r="Y2389" s="95"/>
      <c r="Z2389" s="95"/>
      <c r="AA2389" s="95"/>
      <c r="AB2389" s="95"/>
      <c r="AC2389" s="355"/>
      <c r="AD2389" s="355"/>
      <c r="AE2389" s="355"/>
      <c r="AF2389" s="94">
        <f t="shared" si="315"/>
        <v>42947</v>
      </c>
      <c r="AG2389" s="185" t="e">
        <f t="shared" si="318"/>
        <v>#DIV/0!</v>
      </c>
      <c r="AH2389" s="339" t="str">
        <f>VLOOKUP(B2389,'MF PF'!A:B,2)</f>
        <v>FdMgt1</v>
      </c>
      <c r="AI2389" s="358">
        <f t="shared" si="316"/>
        <v>0</v>
      </c>
      <c r="AJ2389" s="94">
        <f t="shared" si="317"/>
        <v>42947</v>
      </c>
    </row>
    <row r="2390" spans="1:53" s="92" customFormat="1" ht="12.75" customHeight="1">
      <c r="A2390" s="94">
        <v>42958</v>
      </c>
      <c r="B2390" s="358" t="s">
        <v>175</v>
      </c>
      <c r="C2390" s="358" t="s">
        <v>332</v>
      </c>
      <c r="D2390" s="93"/>
      <c r="E2390" s="95"/>
      <c r="F2390" s="93"/>
      <c r="G2390" s="95">
        <v>71462</v>
      </c>
      <c r="H2390" s="93"/>
      <c r="I2390" s="93"/>
      <c r="J2390" s="93"/>
      <c r="K2390" s="93"/>
      <c r="L2390" s="93">
        <f t="shared" si="313"/>
        <v>71462</v>
      </c>
      <c r="M2390" s="95" t="e">
        <f t="shared" ca="1" si="314"/>
        <v>#DIV/0!</v>
      </c>
      <c r="N2390" s="95">
        <f>IF(P2390="Hedge Fund",IF(A2390=Summary!$AD$3,M2390-E2390,M2390),IF(A2390=Summary!$AD$3,L2390-D2390,L2390))</f>
        <v>71462</v>
      </c>
      <c r="O2390" s="95">
        <f t="shared" si="319"/>
        <v>71462</v>
      </c>
      <c r="P2390" s="107" t="s">
        <v>155</v>
      </c>
      <c r="Q2390" s="95">
        <v>0</v>
      </c>
      <c r="R2390" s="95">
        <v>0</v>
      </c>
      <c r="S2390" s="95"/>
      <c r="T2390" s="95"/>
      <c r="U2390" s="95"/>
      <c r="V2390" s="95"/>
      <c r="W2390" s="95"/>
      <c r="X2390" s="95"/>
      <c r="Y2390" s="95"/>
      <c r="Z2390" s="95"/>
      <c r="AA2390" s="95"/>
      <c r="AB2390" s="95"/>
      <c r="AC2390" s="355"/>
      <c r="AD2390" s="355"/>
      <c r="AE2390" s="355"/>
      <c r="AF2390" s="94">
        <f t="shared" si="315"/>
        <v>42958</v>
      </c>
      <c r="AG2390" s="185">
        <f t="shared" si="318"/>
        <v>-1.0786944712536404</v>
      </c>
      <c r="AH2390" s="339" t="str">
        <f>VLOOKUP(B2390,'MF PF'!A:B,2)</f>
        <v>FdMgt1</v>
      </c>
      <c r="AI2390" s="358">
        <f t="shared" si="316"/>
        <v>0</v>
      </c>
      <c r="AJ2390" s="94">
        <f t="shared" si="317"/>
        <v>42978</v>
      </c>
    </row>
    <row r="2391" spans="1:53" s="92" customFormat="1" ht="12.75" customHeight="1">
      <c r="A2391" s="94">
        <v>42958</v>
      </c>
      <c r="B2391" s="358" t="s">
        <v>175</v>
      </c>
      <c r="C2391" s="358" t="s">
        <v>332</v>
      </c>
      <c r="D2391" s="93"/>
      <c r="E2391" s="95"/>
      <c r="F2391" s="93"/>
      <c r="G2391" s="95">
        <v>928538</v>
      </c>
      <c r="H2391" s="93"/>
      <c r="I2391" s="93"/>
      <c r="J2391" s="93"/>
      <c r="K2391" s="93"/>
      <c r="L2391" s="93">
        <f t="shared" si="313"/>
        <v>928538</v>
      </c>
      <c r="M2391" s="95">
        <f t="shared" ca="1" si="314"/>
        <v>0</v>
      </c>
      <c r="N2391" s="95">
        <f>IF(P2391="Hedge Fund",IF(A2391=Summary!$AD$3,M2391-E2391,M2391),IF(A2391=Summary!$AD$3,L2391-D2391,L2391))</f>
        <v>928538</v>
      </c>
      <c r="O2391" s="95">
        <f t="shared" si="319"/>
        <v>928538</v>
      </c>
      <c r="P2391" s="107" t="s">
        <v>155</v>
      </c>
      <c r="Q2391" s="95">
        <v>0</v>
      </c>
      <c r="R2391" s="95">
        <v>0</v>
      </c>
      <c r="S2391" s="95"/>
      <c r="T2391" s="95"/>
      <c r="U2391" s="95"/>
      <c r="V2391" s="95"/>
      <c r="W2391" s="95"/>
      <c r="X2391" s="95"/>
      <c r="Y2391" s="95"/>
      <c r="Z2391" s="95"/>
      <c r="AA2391" s="95"/>
      <c r="AB2391" s="95"/>
      <c r="AC2391" s="355"/>
      <c r="AD2391" s="355"/>
      <c r="AE2391" s="355"/>
      <c r="AF2391" s="94">
        <f t="shared" si="315"/>
        <v>42958</v>
      </c>
      <c r="AG2391" s="185" t="e">
        <f t="shared" si="318"/>
        <v>#DIV/0!</v>
      </c>
      <c r="AH2391" s="339" t="str">
        <f>VLOOKUP(B2391,'MF PF'!A:B,2)</f>
        <v>FdMgt1</v>
      </c>
      <c r="AI2391" s="358">
        <f t="shared" si="316"/>
        <v>0</v>
      </c>
      <c r="AJ2391" s="94">
        <f t="shared" si="317"/>
        <v>42978</v>
      </c>
      <c r="AK2391" s="358"/>
      <c r="AL2391" s="358"/>
      <c r="AM2391" s="358"/>
      <c r="AN2391" s="358"/>
      <c r="AO2391" s="358"/>
      <c r="AP2391" s="358"/>
      <c r="AQ2391" s="358"/>
      <c r="AR2391" s="358"/>
      <c r="AS2391" s="358"/>
      <c r="AT2391" s="358"/>
      <c r="AU2391" s="358"/>
      <c r="AV2391" s="358"/>
      <c r="AW2391" s="358"/>
      <c r="AX2391" s="358"/>
      <c r="AY2391" s="358"/>
      <c r="AZ2391" s="358"/>
      <c r="BA2391" s="358"/>
    </row>
    <row r="2392" spans="1:53" s="92" customFormat="1" ht="12.75" customHeight="1">
      <c r="A2392" s="94">
        <v>42978</v>
      </c>
      <c r="B2392" s="358" t="s">
        <v>175</v>
      </c>
      <c r="C2392" s="358" t="s">
        <v>332</v>
      </c>
      <c r="D2392" s="93">
        <v>977287.12</v>
      </c>
      <c r="E2392" s="95"/>
      <c r="F2392" s="93"/>
      <c r="G2392" s="95"/>
      <c r="H2392" s="93"/>
      <c r="I2392" s="93"/>
      <c r="J2392" s="93"/>
      <c r="K2392" s="93"/>
      <c r="L2392" s="93">
        <f t="shared" si="313"/>
        <v>0</v>
      </c>
      <c r="M2392" s="95" t="e">
        <f t="shared" ca="1" si="314"/>
        <v>#DIV/0!</v>
      </c>
      <c r="N2392" s="95">
        <f>IF(P2392="Hedge Fund",IF(A2392=Summary!$AD$3,M2392-E2392,M2392),IF(A2392=Summary!$AD$3,L2392-D2392,L2392))</f>
        <v>0</v>
      </c>
      <c r="O2392" s="95">
        <f t="shared" si="319"/>
        <v>0</v>
      </c>
      <c r="P2392" s="107" t="s">
        <v>155</v>
      </c>
      <c r="Q2392" s="95">
        <v>1.113782E-2</v>
      </c>
      <c r="R2392" s="95">
        <v>0</v>
      </c>
      <c r="S2392" s="95"/>
      <c r="T2392" s="95"/>
      <c r="U2392" s="95"/>
      <c r="V2392" s="95"/>
      <c r="W2392" s="95"/>
      <c r="X2392" s="95"/>
      <c r="Y2392" s="95"/>
      <c r="Z2392" s="95"/>
      <c r="AA2392" s="95"/>
      <c r="AB2392" s="95"/>
      <c r="AC2392" s="355"/>
      <c r="AD2392" s="355"/>
      <c r="AE2392" s="355"/>
      <c r="AF2392" s="94">
        <f t="shared" si="315"/>
        <v>42978</v>
      </c>
      <c r="AG2392" s="185" t="e">
        <f t="shared" si="318"/>
        <v>#DIV/0!</v>
      </c>
      <c r="AH2392" s="339" t="str">
        <f>VLOOKUP(B2392,'MF PF'!A:B,2)</f>
        <v>FdMgt1</v>
      </c>
      <c r="AI2392" s="358">
        <f t="shared" si="316"/>
        <v>0</v>
      </c>
      <c r="AJ2392" s="94">
        <f t="shared" si="317"/>
        <v>42978</v>
      </c>
      <c r="AK2392" s="358"/>
      <c r="AL2392" s="358"/>
      <c r="AM2392" s="358"/>
      <c r="AN2392" s="358"/>
      <c r="AO2392" s="358"/>
      <c r="AP2392" s="358"/>
      <c r="AQ2392" s="358"/>
      <c r="AR2392" s="358"/>
      <c r="AS2392" s="358"/>
      <c r="AT2392" s="358"/>
      <c r="AU2392" s="358"/>
      <c r="AV2392" s="358"/>
      <c r="AW2392" s="358"/>
      <c r="AX2392" s="358"/>
      <c r="AY2392" s="358"/>
      <c r="AZ2392" s="358"/>
      <c r="BA2392" s="358"/>
    </row>
    <row r="2393" spans="1:53" s="92" customFormat="1" ht="12.75" customHeight="1">
      <c r="A2393" s="94">
        <v>43008</v>
      </c>
      <c r="B2393" s="358" t="s">
        <v>175</v>
      </c>
      <c r="C2393" s="358" t="s">
        <v>332</v>
      </c>
      <c r="D2393" s="93">
        <v>981553.54</v>
      </c>
      <c r="E2393" s="95"/>
      <c r="F2393" s="93"/>
      <c r="G2393" s="95"/>
      <c r="H2393" s="93"/>
      <c r="I2393" s="93"/>
      <c r="J2393" s="93"/>
      <c r="K2393" s="93"/>
      <c r="L2393" s="93">
        <f t="shared" si="313"/>
        <v>0</v>
      </c>
      <c r="M2393" s="95" t="e">
        <f t="shared" ca="1" si="314"/>
        <v>#DIV/0!</v>
      </c>
      <c r="N2393" s="95">
        <f>IF(P2393="Hedge Fund",IF(A2393=Summary!$AD$3,M2393-E2393,M2393),IF(A2393=Summary!$AD$3,L2393-D2393,L2393))</f>
        <v>0</v>
      </c>
      <c r="O2393" s="95">
        <f t="shared" si="319"/>
        <v>0</v>
      </c>
      <c r="P2393" s="107" t="s">
        <v>155</v>
      </c>
      <c r="Q2393" s="95">
        <v>1.237824E-2</v>
      </c>
      <c r="R2393" s="95">
        <v>0</v>
      </c>
      <c r="S2393" s="95"/>
      <c r="T2393" s="95"/>
      <c r="U2393" s="95"/>
      <c r="V2393" s="95"/>
      <c r="W2393" s="95"/>
      <c r="X2393" s="95"/>
      <c r="Y2393" s="95"/>
      <c r="Z2393" s="95"/>
      <c r="AA2393" s="95"/>
      <c r="AB2393" s="95"/>
      <c r="AC2393" s="355"/>
      <c r="AD2393" s="355"/>
      <c r="AE2393" s="355"/>
      <c r="AF2393" s="94">
        <f t="shared" si="315"/>
        <v>43008</v>
      </c>
      <c r="AG2393" s="185">
        <f t="shared" si="318"/>
        <v>4.3655747760187325E-3</v>
      </c>
      <c r="AH2393" s="339" t="str">
        <f>VLOOKUP(B2393,'MF PF'!A:B,2)</f>
        <v>FdMgt1</v>
      </c>
      <c r="AI2393" s="358">
        <f t="shared" si="316"/>
        <v>0</v>
      </c>
      <c r="AJ2393" s="94">
        <f t="shared" si="317"/>
        <v>43008</v>
      </c>
    </row>
    <row r="2394" spans="1:53" s="92" customFormat="1" ht="12.75" customHeight="1">
      <c r="A2394" s="94">
        <v>43039</v>
      </c>
      <c r="B2394" s="358" t="s">
        <v>175</v>
      </c>
      <c r="C2394" s="92" t="s">
        <v>332</v>
      </c>
      <c r="D2394" s="93">
        <v>999255.54</v>
      </c>
      <c r="E2394" s="95"/>
      <c r="F2394" s="93"/>
      <c r="G2394" s="95"/>
      <c r="H2394" s="93"/>
      <c r="I2394" s="93"/>
      <c r="J2394" s="93"/>
      <c r="K2394" s="93"/>
      <c r="L2394" s="93">
        <f t="shared" si="313"/>
        <v>0</v>
      </c>
      <c r="M2394" s="95" t="e">
        <f t="shared" ca="1" si="314"/>
        <v>#DIV/0!</v>
      </c>
      <c r="N2394" s="95">
        <f>IF(P2394="Hedge Fund",IF(A2394=Summary!$AD$3,M2394-E2394,M2394),IF(A2394=Summary!$AD$3,L2394-D2394,L2394))</f>
        <v>0</v>
      </c>
      <c r="O2394" s="95">
        <f t="shared" si="319"/>
        <v>0</v>
      </c>
      <c r="P2394" s="107" t="s">
        <v>155</v>
      </c>
      <c r="Q2394" s="95">
        <v>1.237824E-2</v>
      </c>
      <c r="R2394" s="95">
        <v>0</v>
      </c>
      <c r="S2394" s="95"/>
      <c r="T2394" s="95"/>
      <c r="U2394" s="95"/>
      <c r="V2394" s="95"/>
      <c r="W2394" s="95"/>
      <c r="X2394" s="95"/>
      <c r="Y2394" s="95"/>
      <c r="Z2394" s="95"/>
      <c r="AA2394" s="95"/>
      <c r="AB2394" s="95"/>
      <c r="AC2394" s="355"/>
      <c r="AD2394" s="355"/>
      <c r="AE2394" s="355"/>
      <c r="AF2394" s="94">
        <f t="shared" si="315"/>
        <v>43039</v>
      </c>
      <c r="AG2394" s="185">
        <f t="shared" si="318"/>
        <v>1.8034675928121136E-2</v>
      </c>
      <c r="AH2394" s="339" t="str">
        <f>VLOOKUP(B2394,'MF PF'!A:B,2)</f>
        <v>FdMgt1</v>
      </c>
      <c r="AI2394" s="358">
        <f t="shared" si="316"/>
        <v>0</v>
      </c>
      <c r="AJ2394" s="94">
        <f t="shared" si="317"/>
        <v>43039</v>
      </c>
    </row>
    <row r="2395" spans="1:53" s="92" customFormat="1" ht="12.75" customHeight="1">
      <c r="A2395" s="94">
        <v>43069</v>
      </c>
      <c r="B2395" s="358" t="s">
        <v>175</v>
      </c>
      <c r="C2395" s="92" t="s">
        <v>332</v>
      </c>
      <c r="D2395" s="93">
        <v>993643.47</v>
      </c>
      <c r="E2395" s="95"/>
      <c r="F2395" s="93"/>
      <c r="G2395" s="95"/>
      <c r="H2395" s="93"/>
      <c r="I2395" s="93"/>
      <c r="J2395" s="93"/>
      <c r="K2395" s="93"/>
      <c r="L2395" s="93">
        <f t="shared" si="313"/>
        <v>0</v>
      </c>
      <c r="M2395" s="95" t="e">
        <f t="shared" ca="1" si="314"/>
        <v>#DIV/0!</v>
      </c>
      <c r="N2395" s="95">
        <f>IF(P2395="Hedge Fund",IF(A2395=Summary!$AD$3,M2395-E2395,M2395),IF(A2395=Summary!$AD$3,L2395-D2395,L2395))</f>
        <v>0</v>
      </c>
      <c r="O2395" s="95">
        <f t="shared" si="319"/>
        <v>0</v>
      </c>
      <c r="P2395" s="107" t="s">
        <v>155</v>
      </c>
      <c r="Q2395" s="95">
        <v>1.5019459999999998E-2</v>
      </c>
      <c r="R2395" s="95">
        <v>0</v>
      </c>
      <c r="S2395" s="95"/>
      <c r="T2395" s="95"/>
      <c r="U2395" s="95"/>
      <c r="V2395" s="95"/>
      <c r="W2395" s="95"/>
      <c r="X2395" s="95"/>
      <c r="Y2395" s="95"/>
      <c r="Z2395" s="95"/>
      <c r="AA2395" s="95"/>
      <c r="AB2395" s="95"/>
      <c r="AC2395" s="355"/>
      <c r="AD2395" s="355"/>
      <c r="AE2395" s="355"/>
      <c r="AF2395" s="94">
        <f t="shared" si="315"/>
        <v>43069</v>
      </c>
      <c r="AG2395" s="185">
        <f t="shared" si="318"/>
        <v>-5.6162510742747696E-3</v>
      </c>
      <c r="AH2395" s="339" t="str">
        <f>VLOOKUP(B2395,'MF PF'!A:B,2)</f>
        <v>FdMgt1</v>
      </c>
      <c r="AI2395" s="358">
        <f t="shared" si="316"/>
        <v>0</v>
      </c>
      <c r="AJ2395" s="94">
        <f t="shared" si="317"/>
        <v>43069</v>
      </c>
    </row>
    <row r="2396" spans="1:53" s="92" customFormat="1" ht="12.75" customHeight="1">
      <c r="A2396" s="94">
        <v>43087</v>
      </c>
      <c r="B2396" s="358" t="s">
        <v>175</v>
      </c>
      <c r="C2396" s="358" t="s">
        <v>332</v>
      </c>
      <c r="D2396" s="93"/>
      <c r="E2396" s="95"/>
      <c r="F2396" s="93"/>
      <c r="G2396" s="358"/>
      <c r="H2396" s="93"/>
      <c r="I2396" s="95">
        <v>-122500.44</v>
      </c>
      <c r="J2396" s="93"/>
      <c r="K2396" s="93"/>
      <c r="L2396" s="93">
        <f t="shared" si="313"/>
        <v>-122500.44</v>
      </c>
      <c r="M2396" s="95" t="e">
        <f t="shared" ca="1" si="314"/>
        <v>#DIV/0!</v>
      </c>
      <c r="N2396" s="95">
        <f>IF(P2396="Hedge Fund",IF(A2396=Summary!$AD$3,M2396-E2396,M2396),IF(A2396=Summary!$AD$3,L2396-D2396,L2396))</f>
        <v>-122500.44</v>
      </c>
      <c r="O2396" s="95">
        <f t="shared" si="319"/>
        <v>-122500.44</v>
      </c>
      <c r="P2396" s="107" t="s">
        <v>155</v>
      </c>
      <c r="Q2396" s="95">
        <v>0</v>
      </c>
      <c r="R2396" s="95">
        <v>0</v>
      </c>
      <c r="S2396" s="95"/>
      <c r="T2396" s="95"/>
      <c r="U2396" s="95"/>
      <c r="V2396" s="95"/>
      <c r="W2396" s="95"/>
      <c r="X2396" s="95"/>
      <c r="Y2396" s="95"/>
      <c r="Z2396" s="95"/>
      <c r="AA2396" s="95"/>
      <c r="AB2396" s="95"/>
      <c r="AC2396" s="355"/>
      <c r="AD2396" s="355"/>
      <c r="AE2396" s="355"/>
      <c r="AF2396" s="94">
        <f t="shared" si="315"/>
        <v>43087</v>
      </c>
      <c r="AG2396" s="185">
        <f t="shared" si="318"/>
        <v>-0.87671590092571128</v>
      </c>
      <c r="AH2396" s="339" t="str">
        <f>VLOOKUP(B2396,'MF PF'!A:B,2)</f>
        <v>FdMgt1</v>
      </c>
      <c r="AI2396" s="358">
        <f t="shared" si="316"/>
        <v>0</v>
      </c>
      <c r="AJ2396" s="94">
        <f t="shared" si="317"/>
        <v>43100</v>
      </c>
    </row>
    <row r="2397" spans="1:53" s="92" customFormat="1" ht="12.75" customHeight="1">
      <c r="A2397" s="94">
        <v>43087</v>
      </c>
      <c r="B2397" s="358" t="s">
        <v>175</v>
      </c>
      <c r="C2397" s="92" t="s">
        <v>332</v>
      </c>
      <c r="D2397" s="93"/>
      <c r="E2397" s="95"/>
      <c r="F2397" s="93"/>
      <c r="G2397" s="95">
        <v>122500.44</v>
      </c>
      <c r="H2397" s="93"/>
      <c r="I2397" s="93"/>
      <c r="J2397" s="93"/>
      <c r="K2397" s="93"/>
      <c r="L2397" s="93">
        <f t="shared" si="313"/>
        <v>122500.44</v>
      </c>
      <c r="M2397" s="95">
        <f t="shared" ca="1" si="314"/>
        <v>0</v>
      </c>
      <c r="N2397" s="95">
        <f>IF(P2397="Hedge Fund",IF(A2397=Summary!$AD$3,M2397-E2397,M2397),IF(A2397=Summary!$AD$3,L2397-D2397,L2397))</f>
        <v>122500.44</v>
      </c>
      <c r="O2397" s="95">
        <f t="shared" si="319"/>
        <v>122500.44</v>
      </c>
      <c r="P2397" s="107" t="s">
        <v>155</v>
      </c>
      <c r="Q2397" s="95">
        <v>0</v>
      </c>
      <c r="R2397" s="95">
        <v>0</v>
      </c>
      <c r="S2397" s="95"/>
      <c r="T2397" s="95"/>
      <c r="U2397" s="95"/>
      <c r="V2397" s="95"/>
      <c r="W2397" s="95"/>
      <c r="X2397" s="95"/>
      <c r="Y2397" s="95"/>
      <c r="Z2397" s="95"/>
      <c r="AA2397" s="95"/>
      <c r="AB2397" s="95"/>
      <c r="AC2397" s="355"/>
      <c r="AD2397" s="355"/>
      <c r="AE2397" s="355"/>
      <c r="AF2397" s="94">
        <f t="shared" si="315"/>
        <v>43087</v>
      </c>
      <c r="AG2397" s="185" t="e">
        <f t="shared" si="318"/>
        <v>#DIV/0!</v>
      </c>
      <c r="AH2397" s="339" t="str">
        <f>VLOOKUP(B2397,'MF PF'!A:B,2)</f>
        <v>FdMgt1</v>
      </c>
      <c r="AI2397" s="358">
        <f t="shared" si="316"/>
        <v>0</v>
      </c>
      <c r="AJ2397" s="94">
        <f t="shared" si="317"/>
        <v>43100</v>
      </c>
    </row>
    <row r="2398" spans="1:53" s="92" customFormat="1" ht="12.75" customHeight="1">
      <c r="A2398" s="94">
        <v>43100</v>
      </c>
      <c r="B2398" s="358" t="s">
        <v>175</v>
      </c>
      <c r="C2398" s="92" t="s">
        <v>332</v>
      </c>
      <c r="D2398" s="93">
        <v>1128535.8600000001</v>
      </c>
      <c r="E2398" s="95"/>
      <c r="F2398" s="93"/>
      <c r="G2398" s="95"/>
      <c r="H2398" s="93"/>
      <c r="I2398" s="93"/>
      <c r="J2398" s="93"/>
      <c r="K2398" s="93"/>
      <c r="L2398" s="93">
        <f t="shared" si="313"/>
        <v>0</v>
      </c>
      <c r="M2398" s="95" t="e">
        <f t="shared" ca="1" si="314"/>
        <v>#DIV/0!</v>
      </c>
      <c r="N2398" s="95">
        <f>IF(P2398="Hedge Fund",IF(A2398=Summary!$AD$3,M2398-E2398,M2398),IF(A2398=Summary!$AD$3,L2398-D2398,L2398))</f>
        <v>0</v>
      </c>
      <c r="O2398" s="95">
        <f t="shared" si="319"/>
        <v>0</v>
      </c>
      <c r="P2398" s="107" t="s">
        <v>155</v>
      </c>
      <c r="Q2398" s="95">
        <v>8.0213999999999997E-3</v>
      </c>
      <c r="R2398" s="95">
        <v>2.2682799999999999E-2</v>
      </c>
      <c r="S2398" s="95"/>
      <c r="T2398" s="95"/>
      <c r="U2398" s="95"/>
      <c r="V2398" s="95"/>
      <c r="W2398" s="95"/>
      <c r="X2398" s="95"/>
      <c r="Y2398" s="95"/>
      <c r="Z2398" s="95"/>
      <c r="AA2398" s="95"/>
      <c r="AB2398" s="95"/>
      <c r="AC2398" s="355"/>
      <c r="AD2398" s="355"/>
      <c r="AE2398" s="355"/>
      <c r="AF2398" s="94">
        <f t="shared" si="315"/>
        <v>43100</v>
      </c>
      <c r="AG2398" s="185" t="e">
        <f t="shared" si="318"/>
        <v>#DIV/0!</v>
      </c>
      <c r="AH2398" s="339" t="str">
        <f>VLOOKUP(B2398,'MF PF'!A:B,2)</f>
        <v>FdMgt1</v>
      </c>
      <c r="AI2398" s="358">
        <f t="shared" si="316"/>
        <v>0</v>
      </c>
      <c r="AJ2398" s="94">
        <f t="shared" si="317"/>
        <v>43100</v>
      </c>
      <c r="AK2398" s="358"/>
      <c r="AL2398" s="358"/>
      <c r="AM2398" s="358"/>
      <c r="AN2398" s="358"/>
      <c r="AO2398" s="358"/>
      <c r="AP2398" s="358"/>
      <c r="AQ2398" s="358"/>
      <c r="AR2398" s="358"/>
      <c r="AS2398" s="358"/>
      <c r="AT2398" s="358"/>
      <c r="AU2398" s="358"/>
      <c r="AV2398" s="358"/>
      <c r="AW2398" s="358"/>
      <c r="AX2398" s="358"/>
      <c r="AY2398" s="358"/>
      <c r="AZ2398" s="358"/>
      <c r="BA2398" s="358"/>
    </row>
    <row r="2399" spans="1:53" s="92" customFormat="1" ht="12.75" customHeight="1">
      <c r="A2399" s="94">
        <v>43131</v>
      </c>
      <c r="B2399" s="358" t="s">
        <v>175</v>
      </c>
      <c r="C2399" s="92" t="s">
        <v>332</v>
      </c>
      <c r="D2399" s="93">
        <v>1203814.8899999999</v>
      </c>
      <c r="E2399" s="95"/>
      <c r="F2399" s="93"/>
      <c r="G2399" s="95"/>
      <c r="H2399" s="93"/>
      <c r="I2399" s="93"/>
      <c r="J2399" s="93"/>
      <c r="K2399" s="93"/>
      <c r="L2399" s="93">
        <f t="shared" si="313"/>
        <v>0</v>
      </c>
      <c r="M2399" s="95" t="e">
        <f t="shared" ca="1" si="314"/>
        <v>#DIV/0!</v>
      </c>
      <c r="N2399" s="95">
        <f>IF(P2399="Hedge Fund",IF(A2399=Summary!$AD$3,M2399-E2399,M2399),IF(A2399=Summary!$AD$3,L2399-D2399,L2399))</f>
        <v>0</v>
      </c>
      <c r="O2399" s="95">
        <f t="shared" si="319"/>
        <v>0</v>
      </c>
      <c r="P2399" s="107" t="s">
        <v>155</v>
      </c>
      <c r="Q2399" s="95"/>
      <c r="R2399" s="95">
        <v>3.5967329999999999E-2</v>
      </c>
      <c r="S2399" s="95"/>
      <c r="T2399" s="95"/>
      <c r="U2399" s="95"/>
      <c r="V2399" s="95"/>
      <c r="W2399" s="95"/>
      <c r="X2399" s="95"/>
      <c r="Y2399" s="95"/>
      <c r="Z2399" s="95"/>
      <c r="AA2399" s="95"/>
      <c r="AB2399" s="95"/>
      <c r="AC2399" s="355"/>
      <c r="AD2399" s="355"/>
      <c r="AE2399" s="355"/>
      <c r="AF2399" s="94">
        <f t="shared" si="315"/>
        <v>43131</v>
      </c>
      <c r="AG2399" s="185">
        <f t="shared" si="318"/>
        <v>6.6705040281130001E-2</v>
      </c>
      <c r="AH2399" s="339" t="str">
        <f>VLOOKUP(B2399,'MF PF'!A:B,2)</f>
        <v>FdMgt1</v>
      </c>
      <c r="AI2399" s="358">
        <f t="shared" si="316"/>
        <v>0</v>
      </c>
      <c r="AJ2399" s="94">
        <f t="shared" si="317"/>
        <v>43131</v>
      </c>
      <c r="AK2399" s="358"/>
      <c r="AL2399" s="358"/>
      <c r="AM2399" s="358"/>
      <c r="AN2399" s="358"/>
      <c r="AO2399" s="358"/>
      <c r="AP2399" s="358"/>
      <c r="AQ2399" s="358"/>
      <c r="AR2399" s="358"/>
      <c r="AS2399" s="358"/>
      <c r="AT2399" s="358"/>
      <c r="AU2399" s="358"/>
      <c r="AV2399" s="358"/>
      <c r="AW2399" s="358"/>
      <c r="AX2399" s="358"/>
      <c r="AY2399" s="358"/>
      <c r="AZ2399" s="358"/>
      <c r="BA2399" s="358"/>
    </row>
    <row r="2400" spans="1:53" s="92" customFormat="1" ht="12.75" customHeight="1">
      <c r="A2400" s="94">
        <v>43159</v>
      </c>
      <c r="B2400" s="358" t="s">
        <v>175</v>
      </c>
      <c r="C2400" s="92" t="s">
        <v>332</v>
      </c>
      <c r="D2400" s="93">
        <v>1207255.56</v>
      </c>
      <c r="E2400" s="95"/>
      <c r="F2400" s="93"/>
      <c r="G2400" s="95"/>
      <c r="H2400" s="93"/>
      <c r="I2400" s="93"/>
      <c r="J2400" s="93"/>
      <c r="K2400" s="93"/>
      <c r="L2400" s="93">
        <f t="shared" si="313"/>
        <v>0</v>
      </c>
      <c r="M2400" s="95" t="e">
        <f t="shared" ca="1" si="314"/>
        <v>#DIV/0!</v>
      </c>
      <c r="N2400" s="95">
        <f>IF(P2400="Hedge Fund",IF(A2400=Summary!$AD$3,M2400-E2400,M2400),IF(A2400=Summary!$AD$3,L2400-D2400,L2400))</f>
        <v>0</v>
      </c>
      <c r="O2400" s="95">
        <f t="shared" si="319"/>
        <v>0</v>
      </c>
      <c r="P2400" s="107" t="s">
        <v>155</v>
      </c>
      <c r="Q2400" s="95"/>
      <c r="R2400" s="95">
        <v>3.6574510000000005E-2</v>
      </c>
      <c r="S2400" s="95"/>
      <c r="T2400" s="95"/>
      <c r="U2400" s="95"/>
      <c r="V2400" s="95"/>
      <c r="W2400" s="95"/>
      <c r="X2400" s="95"/>
      <c r="Y2400" s="95"/>
      <c r="Z2400" s="95"/>
      <c r="AA2400" s="95"/>
      <c r="AB2400" s="95"/>
      <c r="AC2400" s="355"/>
      <c r="AD2400" s="355"/>
      <c r="AE2400" s="355"/>
      <c r="AF2400" s="94">
        <f t="shared" si="315"/>
        <v>43159</v>
      </c>
      <c r="AG2400" s="185">
        <f t="shared" si="318"/>
        <v>2.8581387625137289E-3</v>
      </c>
      <c r="AH2400" s="339" t="str">
        <f>VLOOKUP(B2400,'MF PF'!A:B,2)</f>
        <v>FdMgt1</v>
      </c>
      <c r="AI2400" s="358">
        <f t="shared" si="316"/>
        <v>0</v>
      </c>
      <c r="AJ2400" s="94">
        <f t="shared" si="317"/>
        <v>43159</v>
      </c>
    </row>
    <row r="2401" spans="1:36" s="92" customFormat="1" ht="12.75" customHeight="1">
      <c r="A2401" s="94">
        <v>43190</v>
      </c>
      <c r="B2401" s="358" t="s">
        <v>175</v>
      </c>
      <c r="C2401" s="358" t="s">
        <v>332</v>
      </c>
      <c r="D2401" s="93">
        <v>1199041.1499999999</v>
      </c>
      <c r="E2401" s="95"/>
      <c r="F2401" s="93"/>
      <c r="G2401" s="95"/>
      <c r="H2401" s="93"/>
      <c r="I2401" s="93"/>
      <c r="J2401" s="93"/>
      <c r="K2401" s="93"/>
      <c r="L2401" s="93">
        <f t="shared" si="313"/>
        <v>0</v>
      </c>
      <c r="M2401" s="95" t="e">
        <f t="shared" ca="1" si="314"/>
        <v>#DIV/0!</v>
      </c>
      <c r="N2401" s="95">
        <f>IF(P2401="Hedge Fund",IF(A2401=Summary!$AD$3,M2401-E2401,M2401),IF(A2401=Summary!$AD$3,L2401-D2401,L2401))</f>
        <v>0</v>
      </c>
      <c r="O2401" s="95">
        <f t="shared" si="319"/>
        <v>0</v>
      </c>
      <c r="P2401" s="107" t="s">
        <v>155</v>
      </c>
      <c r="Q2401" s="95">
        <v>4.5816700000000004E-3</v>
      </c>
      <c r="R2401" s="95">
        <v>3.5124910000000002E-2</v>
      </c>
      <c r="S2401" s="95"/>
      <c r="T2401" s="95"/>
      <c r="U2401" s="95"/>
      <c r="V2401" s="95"/>
      <c r="W2401" s="95"/>
      <c r="X2401" s="95"/>
      <c r="Y2401" s="95"/>
      <c r="Z2401" s="95"/>
      <c r="AA2401" s="95"/>
      <c r="AB2401" s="95"/>
      <c r="AC2401" s="355"/>
      <c r="AD2401" s="355"/>
      <c r="AE2401" s="355"/>
      <c r="AF2401" s="94">
        <f t="shared" si="315"/>
        <v>43190</v>
      </c>
      <c r="AG2401" s="185">
        <f t="shared" si="318"/>
        <v>-6.8042014235992765E-3</v>
      </c>
      <c r="AH2401" s="339" t="str">
        <f>VLOOKUP(B2401,'MF PF'!A:B,2)</f>
        <v>FdMgt1</v>
      </c>
      <c r="AI2401" s="358">
        <f t="shared" si="316"/>
        <v>0</v>
      </c>
      <c r="AJ2401" s="94">
        <f t="shared" si="317"/>
        <v>43190</v>
      </c>
    </row>
    <row r="2402" spans="1:36" s="92" customFormat="1" ht="12.75" customHeight="1">
      <c r="A2402" s="94">
        <v>43220</v>
      </c>
      <c r="B2402" s="358" t="s">
        <v>175</v>
      </c>
      <c r="C2402" s="92" t="s">
        <v>332</v>
      </c>
      <c r="D2402" s="93">
        <v>1188012.6599999999</v>
      </c>
      <c r="E2402" s="95"/>
      <c r="F2402" s="93"/>
      <c r="G2402" s="95"/>
      <c r="H2402" s="93"/>
      <c r="I2402" s="93"/>
      <c r="J2402" s="93"/>
      <c r="K2402" s="93"/>
      <c r="L2402" s="93">
        <f t="shared" si="313"/>
        <v>0</v>
      </c>
      <c r="M2402" s="95" t="e">
        <f t="shared" ca="1" si="314"/>
        <v>#DIV/0!</v>
      </c>
      <c r="N2402" s="95">
        <f>IF(P2402="Hedge Fund",IF(A2402=Summary!$AD$3,M2402-E2402,M2402),IF(A2402=Summary!$AD$3,L2402-D2402,L2402))</f>
        <v>0</v>
      </c>
      <c r="O2402" s="95">
        <f t="shared" si="319"/>
        <v>0</v>
      </c>
      <c r="P2402" s="107" t="s">
        <v>155</v>
      </c>
      <c r="Q2402" s="95"/>
      <c r="R2402" s="95">
        <v>3.317871E-2</v>
      </c>
      <c r="S2402" s="95"/>
      <c r="T2402" s="95"/>
      <c r="U2402" s="95"/>
      <c r="V2402" s="95"/>
      <c r="W2402" s="95"/>
      <c r="X2402" s="95"/>
      <c r="Y2402" s="95"/>
      <c r="Z2402" s="95"/>
      <c r="AA2402" s="95"/>
      <c r="AB2402" s="95"/>
      <c r="AC2402" s="355"/>
      <c r="AD2402" s="355"/>
      <c r="AE2402" s="355"/>
      <c r="AF2402" s="94">
        <f t="shared" si="315"/>
        <v>43220</v>
      </c>
      <c r="AG2402" s="185">
        <f t="shared" si="318"/>
        <v>-9.1977577249955367E-3</v>
      </c>
      <c r="AH2402" s="339" t="str">
        <f>VLOOKUP(B2402,'MF PF'!A:B,2)</f>
        <v>FdMgt1</v>
      </c>
      <c r="AI2402" s="358">
        <f t="shared" si="316"/>
        <v>0</v>
      </c>
      <c r="AJ2402" s="94">
        <f t="shared" si="317"/>
        <v>43220</v>
      </c>
    </row>
    <row r="2403" spans="1:36" s="92" customFormat="1" ht="12.75" customHeight="1">
      <c r="A2403" s="94">
        <v>43251</v>
      </c>
      <c r="B2403" s="358" t="s">
        <v>175</v>
      </c>
      <c r="C2403" s="92" t="s">
        <v>332</v>
      </c>
      <c r="D2403" s="93">
        <v>1199154.0900000001</v>
      </c>
      <c r="E2403" s="95"/>
      <c r="F2403" s="93"/>
      <c r="G2403" s="95"/>
      <c r="H2403" s="93"/>
      <c r="I2403" s="93"/>
      <c r="J2403" s="93"/>
      <c r="K2403" s="93"/>
      <c r="L2403" s="93">
        <f t="shared" si="313"/>
        <v>0</v>
      </c>
      <c r="M2403" s="95" t="e">
        <f t="shared" ca="1" si="314"/>
        <v>#DIV/0!</v>
      </c>
      <c r="N2403" s="95">
        <f>IF(P2403="Hedge Fund",IF(A2403=Summary!$AD$3,M2403-E2403,M2403),IF(A2403=Summary!$AD$3,L2403-D2403,L2403))</f>
        <v>0</v>
      </c>
      <c r="O2403" s="95">
        <f t="shared" si="319"/>
        <v>0</v>
      </c>
      <c r="P2403" s="107" t="s">
        <v>155</v>
      </c>
      <c r="Q2403" s="95"/>
      <c r="R2403" s="95">
        <v>3.5144839999999997E-2</v>
      </c>
      <c r="S2403" s="95"/>
      <c r="T2403" s="95"/>
      <c r="U2403" s="95"/>
      <c r="V2403" s="95"/>
      <c r="W2403" s="95"/>
      <c r="X2403" s="95"/>
      <c r="Y2403" s="95"/>
      <c r="Z2403" s="95"/>
      <c r="AA2403" s="95"/>
      <c r="AB2403" s="95"/>
      <c r="AC2403" s="355"/>
      <c r="AD2403" s="355"/>
      <c r="AE2403" s="355"/>
      <c r="AF2403" s="94">
        <f t="shared" si="315"/>
        <v>43251</v>
      </c>
      <c r="AG2403" s="185">
        <f t="shared" si="318"/>
        <v>9.3782081413174012E-3</v>
      </c>
      <c r="AH2403" s="339" t="str">
        <f>VLOOKUP(B2403,'MF PF'!A:B,2)</f>
        <v>FdMgt1</v>
      </c>
      <c r="AI2403" s="358">
        <f t="shared" si="316"/>
        <v>0</v>
      </c>
      <c r="AJ2403" s="94">
        <f t="shared" si="317"/>
        <v>43251</v>
      </c>
    </row>
    <row r="2404" spans="1:36" s="92" customFormat="1" ht="12.75" customHeight="1">
      <c r="A2404" s="94">
        <v>43281</v>
      </c>
      <c r="B2404" s="358" t="s">
        <v>175</v>
      </c>
      <c r="C2404" s="92" t="s">
        <v>332</v>
      </c>
      <c r="D2404" s="93">
        <v>1194973.5900000001</v>
      </c>
      <c r="E2404" s="95"/>
      <c r="F2404" s="93"/>
      <c r="G2404" s="95"/>
      <c r="H2404" s="93"/>
      <c r="I2404" s="93"/>
      <c r="J2404" s="93"/>
      <c r="K2404" s="93"/>
      <c r="L2404" s="93">
        <f t="shared" si="313"/>
        <v>0</v>
      </c>
      <c r="M2404" s="95" t="e">
        <f t="shared" ca="1" si="314"/>
        <v>#DIV/0!</v>
      </c>
      <c r="N2404" s="95">
        <f>IF(P2404="Hedge Fund",IF(A2404=Summary!$AD$3,M2404-E2404,M2404),IF(A2404=Summary!$AD$3,L2404-D2404,L2404))</f>
        <v>0</v>
      </c>
      <c r="O2404" s="95">
        <f t="shared" si="319"/>
        <v>0</v>
      </c>
      <c r="P2404" s="107" t="s">
        <v>155</v>
      </c>
      <c r="Q2404" s="95">
        <v>4.66571E-3</v>
      </c>
      <c r="R2404" s="95">
        <v>3.4407099999999996E-2</v>
      </c>
      <c r="S2404" s="95"/>
      <c r="T2404" s="95"/>
      <c r="U2404" s="95"/>
      <c r="V2404" s="95"/>
      <c r="W2404" s="95"/>
      <c r="X2404" s="95"/>
      <c r="Y2404" s="95"/>
      <c r="Z2404" s="95"/>
      <c r="AA2404" s="95"/>
      <c r="AB2404" s="95"/>
      <c r="AC2404" s="355"/>
      <c r="AD2404" s="355"/>
      <c r="AE2404" s="355"/>
      <c r="AF2404" s="94">
        <f t="shared" si="315"/>
        <v>43281</v>
      </c>
      <c r="AG2404" s="185">
        <f t="shared" si="318"/>
        <v>-3.4862075148324179E-3</v>
      </c>
      <c r="AH2404" s="339" t="str">
        <f>VLOOKUP(B2404,'MF PF'!A:B,2)</f>
        <v>FdMgt1</v>
      </c>
      <c r="AI2404" s="358">
        <f t="shared" si="316"/>
        <v>0</v>
      </c>
      <c r="AJ2404" s="94">
        <f t="shared" si="317"/>
        <v>43281</v>
      </c>
    </row>
    <row r="2405" spans="1:36" s="92" customFormat="1" ht="12.75" customHeight="1">
      <c r="A2405" s="94">
        <v>43312</v>
      </c>
      <c r="B2405" s="358" t="s">
        <v>175</v>
      </c>
      <c r="C2405" s="92" t="s">
        <v>332</v>
      </c>
      <c r="D2405" s="93">
        <v>1179862.93</v>
      </c>
      <c r="E2405" s="95"/>
      <c r="F2405" s="93"/>
      <c r="G2405" s="95"/>
      <c r="H2405" s="93"/>
      <c r="I2405" s="93"/>
      <c r="J2405" s="93"/>
      <c r="K2405" s="93"/>
      <c r="L2405" s="93">
        <f t="shared" si="313"/>
        <v>0</v>
      </c>
      <c r="M2405" s="95" t="e">
        <f t="shared" ca="1" si="314"/>
        <v>#DIV/0!</v>
      </c>
      <c r="N2405" s="95">
        <f>IF(P2405="Hedge Fund",IF(A2405=Summary!$AD$3,M2405-E2405,M2405),IF(A2405=Summary!$AD$3,L2405-D2405,L2405))</f>
        <v>0</v>
      </c>
      <c r="O2405" s="95">
        <f t="shared" si="319"/>
        <v>0</v>
      </c>
      <c r="P2405" s="107" t="s">
        <v>155</v>
      </c>
      <c r="Q2405" s="95">
        <v>0</v>
      </c>
      <c r="R2405" s="95">
        <v>3.1740520000000001E-2</v>
      </c>
      <c r="S2405" s="95"/>
      <c r="T2405" s="95"/>
      <c r="U2405" s="95"/>
      <c r="V2405" s="95"/>
      <c r="W2405" s="95"/>
      <c r="X2405" s="95"/>
      <c r="Y2405" s="95"/>
      <c r="Z2405" s="95"/>
      <c r="AA2405" s="95"/>
      <c r="AB2405" s="95"/>
      <c r="AC2405" s="355"/>
      <c r="AD2405" s="355"/>
      <c r="AE2405" s="355"/>
      <c r="AF2405" s="94">
        <f t="shared" si="315"/>
        <v>43312</v>
      </c>
      <c r="AG2405" s="185">
        <f t="shared" si="318"/>
        <v>-1.2645183229530788E-2</v>
      </c>
      <c r="AH2405" s="339" t="str">
        <f>VLOOKUP(B2405,'MF PF'!A:B,2)</f>
        <v>FdMgt1</v>
      </c>
      <c r="AI2405" s="358">
        <f t="shared" si="316"/>
        <v>0</v>
      </c>
      <c r="AJ2405" s="94">
        <f t="shared" si="317"/>
        <v>43312</v>
      </c>
    </row>
    <row r="2406" spans="1:36" s="92" customFormat="1" ht="12.75" customHeight="1">
      <c r="A2406" s="94">
        <v>43343</v>
      </c>
      <c r="B2406" s="358" t="s">
        <v>175</v>
      </c>
      <c r="C2406" s="92" t="s">
        <v>332</v>
      </c>
      <c r="D2406" s="93">
        <v>1170345.3600000001</v>
      </c>
      <c r="E2406" s="95"/>
      <c r="F2406" s="93"/>
      <c r="G2406" s="95"/>
      <c r="H2406" s="93"/>
      <c r="I2406" s="93"/>
      <c r="J2406" s="93"/>
      <c r="K2406" s="93"/>
      <c r="L2406" s="93">
        <f t="shared" si="313"/>
        <v>0</v>
      </c>
      <c r="M2406" s="95" t="e">
        <f t="shared" ca="1" si="314"/>
        <v>#DIV/0!</v>
      </c>
      <c r="N2406" s="95">
        <f>IF(P2406="Hedge Fund",IF(A2406=Summary!$AD$3,M2406-E2406,M2406),IF(A2406=Summary!$AD$3,L2406-D2406,L2406))</f>
        <v>0</v>
      </c>
      <c r="O2406" s="95">
        <f t="shared" si="319"/>
        <v>0</v>
      </c>
      <c r="P2406" s="107" t="s">
        <v>155</v>
      </c>
      <c r="Q2406" s="95">
        <v>0</v>
      </c>
      <c r="R2406" s="95">
        <v>3.0060949999999999E-2</v>
      </c>
      <c r="S2406" s="95"/>
      <c r="T2406" s="95"/>
      <c r="U2406" s="95"/>
      <c r="V2406" s="95"/>
      <c r="W2406" s="95"/>
      <c r="X2406" s="95"/>
      <c r="Y2406" s="95"/>
      <c r="Z2406" s="95"/>
      <c r="AA2406" s="95"/>
      <c r="AB2406" s="95"/>
      <c r="AC2406" s="355"/>
      <c r="AD2406" s="355"/>
      <c r="AE2406" s="355"/>
      <c r="AF2406" s="94">
        <f t="shared" si="315"/>
        <v>43343</v>
      </c>
      <c r="AG2406" s="185">
        <f t="shared" si="318"/>
        <v>-8.0666743212279846E-3</v>
      </c>
      <c r="AH2406" s="339" t="str">
        <f>VLOOKUP(B2406,'MF PF'!A:B,2)</f>
        <v>FdMgt1</v>
      </c>
      <c r="AI2406" s="358">
        <f t="shared" si="316"/>
        <v>0</v>
      </c>
      <c r="AJ2406" s="94">
        <f t="shared" si="317"/>
        <v>43343</v>
      </c>
    </row>
    <row r="2407" spans="1:36" s="92" customFormat="1" ht="12.75" customHeight="1">
      <c r="A2407" s="94">
        <v>43373</v>
      </c>
      <c r="B2407" s="358" t="s">
        <v>175</v>
      </c>
      <c r="C2407" s="358" t="s">
        <v>332</v>
      </c>
      <c r="D2407" s="93">
        <v>1127973.3999999999</v>
      </c>
      <c r="E2407" s="95"/>
      <c r="F2407" s="93"/>
      <c r="G2407" s="95"/>
      <c r="H2407" s="93"/>
      <c r="I2407" s="93"/>
      <c r="J2407" s="93"/>
      <c r="K2407" s="93"/>
      <c r="L2407" s="93">
        <f t="shared" si="313"/>
        <v>0</v>
      </c>
      <c r="M2407" s="95" t="e">
        <f t="shared" ca="1" si="314"/>
        <v>#DIV/0!</v>
      </c>
      <c r="N2407" s="95">
        <f>IF(P2407="Hedge Fund",IF(A2407=Summary!$AD$3,M2407-E2407,M2407),IF(A2407=Summary!$AD$3,L2407-D2407,L2407))</f>
        <v>0</v>
      </c>
      <c r="O2407" s="95">
        <f t="shared" si="319"/>
        <v>0</v>
      </c>
      <c r="P2407" s="107" t="s">
        <v>155</v>
      </c>
      <c r="Q2407" s="95">
        <v>4.3189200000000004E-3</v>
      </c>
      <c r="R2407" s="95">
        <v>2.2583539999999999E-2</v>
      </c>
      <c r="S2407" s="95"/>
      <c r="T2407" s="95"/>
      <c r="U2407" s="95"/>
      <c r="V2407" s="95"/>
      <c r="W2407" s="95"/>
      <c r="X2407" s="95"/>
      <c r="Y2407" s="95"/>
      <c r="Z2407" s="95"/>
      <c r="AA2407" s="95"/>
      <c r="AB2407" s="95"/>
      <c r="AC2407" s="355"/>
      <c r="AD2407" s="355"/>
      <c r="AE2407" s="355"/>
      <c r="AF2407" s="94">
        <f t="shared" si="315"/>
        <v>43373</v>
      </c>
      <c r="AG2407" s="185">
        <f t="shared" si="318"/>
        <v>-3.6204663553329408E-2</v>
      </c>
      <c r="AH2407" s="339" t="str">
        <f>VLOOKUP(B2407,'MF PF'!A:B,2)</f>
        <v>FdMgt1</v>
      </c>
      <c r="AI2407" s="358">
        <f t="shared" si="316"/>
        <v>0</v>
      </c>
      <c r="AJ2407" s="94">
        <f t="shared" si="317"/>
        <v>43373</v>
      </c>
    </row>
    <row r="2408" spans="1:36" s="92" customFormat="1" ht="12.75" customHeight="1">
      <c r="A2408" s="94">
        <v>43404</v>
      </c>
      <c r="B2408" s="358" t="s">
        <v>175</v>
      </c>
      <c r="C2408" s="358" t="s">
        <v>332</v>
      </c>
      <c r="D2408" s="93">
        <v>1113827.223</v>
      </c>
      <c r="E2408" s="95"/>
      <c r="F2408" s="93">
        <v>1</v>
      </c>
      <c r="G2408" s="93"/>
      <c r="H2408" s="93">
        <v>0</v>
      </c>
      <c r="I2408" s="93">
        <v>0</v>
      </c>
      <c r="J2408" s="93">
        <v>0</v>
      </c>
      <c r="K2408" s="93"/>
      <c r="L2408" s="93">
        <f t="shared" si="313"/>
        <v>0</v>
      </c>
      <c r="M2408" s="95" t="e">
        <f t="shared" ca="1" si="314"/>
        <v>#DIV/0!</v>
      </c>
      <c r="N2408" s="95">
        <f>IF(P2408="Hedge Fund",IF(A2408=Summary!$AD$3,M2408-E2408,M2408),IF(A2408=Summary!$AD$3,L2408-D2408,L2408))</f>
        <v>0</v>
      </c>
      <c r="O2408" s="95">
        <f t="shared" si="319"/>
        <v>0</v>
      </c>
      <c r="P2408" s="95" t="s">
        <v>155</v>
      </c>
      <c r="Q2408" s="95">
        <v>5.8587161156123981E-3</v>
      </c>
      <c r="R2408" s="95">
        <v>2.0087156999999981E-2</v>
      </c>
      <c r="S2408" s="95"/>
      <c r="T2408" s="95"/>
      <c r="U2408" s="95"/>
      <c r="V2408" s="95"/>
      <c r="W2408" s="95"/>
      <c r="X2408" s="95"/>
      <c r="Y2408" s="95"/>
      <c r="Z2408" s="95"/>
      <c r="AA2408" s="95"/>
      <c r="AB2408" s="95"/>
      <c r="AC2408" s="355"/>
      <c r="AD2408" s="355"/>
      <c r="AE2408" s="355"/>
      <c r="AF2408" s="94">
        <f t="shared" si="315"/>
        <v>43404</v>
      </c>
      <c r="AG2408" s="185">
        <f t="shared" si="318"/>
        <v>-1.2541232798574775E-2</v>
      </c>
      <c r="AH2408" s="339" t="str">
        <f>VLOOKUP(B2408,'MF PF'!A:B,2)</f>
        <v>FdMgt1</v>
      </c>
      <c r="AI2408" s="358">
        <f t="shared" si="316"/>
        <v>0</v>
      </c>
      <c r="AJ2408" s="94">
        <f t="shared" si="317"/>
        <v>43404</v>
      </c>
    </row>
    <row r="2409" spans="1:36" s="92" customFormat="1" ht="12.75" customHeight="1">
      <c r="A2409" s="94">
        <v>43434</v>
      </c>
      <c r="B2409" s="358" t="s">
        <v>175</v>
      </c>
      <c r="C2409" s="358" t="s">
        <v>332</v>
      </c>
      <c r="D2409" s="93">
        <v>1113392.3629999999</v>
      </c>
      <c r="E2409" s="95"/>
      <c r="F2409" s="93">
        <v>1</v>
      </c>
      <c r="G2409" s="93"/>
      <c r="H2409" s="93">
        <v>0</v>
      </c>
      <c r="I2409" s="93">
        <v>0</v>
      </c>
      <c r="J2409" s="93"/>
      <c r="K2409" s="93">
        <v>0</v>
      </c>
      <c r="L2409" s="93">
        <f t="shared" si="313"/>
        <v>0</v>
      </c>
      <c r="M2409" s="95" t="e">
        <f t="shared" ca="1" si="314"/>
        <v>#DIV/0!</v>
      </c>
      <c r="N2409" s="95">
        <f>IF(P2409="Hedge Fund",IF(A2409=Summary!$AD$3,M2409-E2409,M2409),IF(A2409=Summary!$AD$3,L2409-D2409,L2409))</f>
        <v>0</v>
      </c>
      <c r="O2409" s="95">
        <f t="shared" si="319"/>
        <v>0</v>
      </c>
      <c r="P2409" s="95" t="s">
        <v>155</v>
      </c>
      <c r="Q2409" s="95">
        <v>2.9529446847086399E-3</v>
      </c>
      <c r="R2409" s="95">
        <v>2.0010417000000006E-2</v>
      </c>
      <c r="S2409" s="95"/>
      <c r="T2409" s="95"/>
      <c r="U2409" s="95"/>
      <c r="V2409" s="95"/>
      <c r="W2409" s="95"/>
      <c r="X2409" s="95"/>
      <c r="Y2409" s="95"/>
      <c r="Z2409" s="95"/>
      <c r="AA2409" s="95"/>
      <c r="AB2409" s="95"/>
      <c r="AC2409" s="355"/>
      <c r="AD2409" s="355"/>
      <c r="AE2409" s="355"/>
      <c r="AF2409" s="94">
        <f t="shared" si="315"/>
        <v>43434</v>
      </c>
      <c r="AG2409" s="185">
        <f t="shared" si="318"/>
        <v>-3.9041961896824073E-4</v>
      </c>
      <c r="AH2409" s="339" t="str">
        <f>VLOOKUP(B2409,'MF PF'!A:B,2)</f>
        <v>FdMgt1</v>
      </c>
      <c r="AI2409" s="358">
        <f t="shared" si="316"/>
        <v>0</v>
      </c>
      <c r="AJ2409" s="94">
        <f t="shared" si="317"/>
        <v>43434</v>
      </c>
    </row>
    <row r="2410" spans="1:36" s="92" customFormat="1" ht="12.75" customHeight="1">
      <c r="A2410" s="94">
        <v>43465</v>
      </c>
      <c r="B2410" s="358" t="s">
        <v>175</v>
      </c>
      <c r="C2410" s="92" t="s">
        <v>332</v>
      </c>
      <c r="D2410" s="93">
        <v>1130486.2879999999</v>
      </c>
      <c r="E2410" s="95"/>
      <c r="F2410" s="93">
        <v>1</v>
      </c>
      <c r="G2410" s="93"/>
      <c r="H2410" s="93">
        <v>0</v>
      </c>
      <c r="I2410" s="93">
        <v>0</v>
      </c>
      <c r="J2410" s="93"/>
      <c r="K2410" s="93">
        <v>0</v>
      </c>
      <c r="L2410" s="93">
        <f t="shared" si="313"/>
        <v>0</v>
      </c>
      <c r="M2410" s="95" t="e">
        <f t="shared" ca="1" si="314"/>
        <v>#DIV/0!</v>
      </c>
      <c r="N2410" s="95">
        <f>IF(P2410="Hedge Fund",IF(A2410=Summary!$AD$3,M2410-E2410,M2410),IF(A2410=Summary!$AD$3,L2410-D2410,L2410))</f>
        <v>0</v>
      </c>
      <c r="O2410" s="95">
        <f t="shared" si="319"/>
        <v>0</v>
      </c>
      <c r="P2410" s="95" t="s">
        <v>155</v>
      </c>
      <c r="Q2410" s="95">
        <v>4.4733181076145991E-3</v>
      </c>
      <c r="R2410" s="95">
        <v>2.3026992000000003E-2</v>
      </c>
      <c r="S2410" s="95"/>
      <c r="T2410" s="95"/>
      <c r="U2410" s="95"/>
      <c r="V2410" s="95"/>
      <c r="W2410" s="95"/>
      <c r="X2410" s="95"/>
      <c r="Y2410" s="95"/>
      <c r="Z2410" s="95"/>
      <c r="AA2410" s="95"/>
      <c r="AB2410" s="95"/>
      <c r="AC2410" s="355"/>
      <c r="AD2410" s="355"/>
      <c r="AE2410" s="355"/>
      <c r="AF2410" s="94">
        <f t="shared" si="315"/>
        <v>43465</v>
      </c>
      <c r="AG2410" s="185">
        <f t="shared" si="318"/>
        <v>1.5353010823552893E-2</v>
      </c>
      <c r="AH2410" s="339" t="str">
        <f>VLOOKUP(B2410,'MF PF'!A:B,2)</f>
        <v>FdMgt1</v>
      </c>
      <c r="AI2410" s="358">
        <f t="shared" si="316"/>
        <v>0</v>
      </c>
      <c r="AJ2410" s="94">
        <f t="shared" si="317"/>
        <v>43465</v>
      </c>
    </row>
    <row r="2411" spans="1:36" s="92" customFormat="1" ht="12.75" customHeight="1">
      <c r="A2411" s="94">
        <v>43496</v>
      </c>
      <c r="B2411" s="358" t="s">
        <v>175</v>
      </c>
      <c r="C2411" s="92" t="s">
        <v>332</v>
      </c>
      <c r="D2411" s="93">
        <v>1158473.2350000001</v>
      </c>
      <c r="E2411" s="95"/>
      <c r="F2411" s="93">
        <v>1</v>
      </c>
      <c r="G2411" s="93"/>
      <c r="H2411" s="93">
        <v>0</v>
      </c>
      <c r="I2411" s="93">
        <v>0</v>
      </c>
      <c r="J2411" s="93"/>
      <c r="K2411" s="93">
        <v>0</v>
      </c>
      <c r="L2411" s="93">
        <f t="shared" si="313"/>
        <v>0</v>
      </c>
      <c r="M2411" s="95" t="e">
        <f t="shared" ca="1" si="314"/>
        <v>#DIV/0!</v>
      </c>
      <c r="N2411" s="95">
        <f>IF(P2411="Hedge Fund",IF(A2411=Summary!$AD$3,M2411-E2411,M2411),IF(A2411=Summary!$AD$3,L2411-D2411,L2411))</f>
        <v>-1158473.2350000001</v>
      </c>
      <c r="O2411" s="95">
        <f t="shared" si="319"/>
        <v>-1158473.2350000001</v>
      </c>
      <c r="P2411" s="95" t="s">
        <v>155</v>
      </c>
      <c r="Q2411" s="95">
        <v>1.513573439667218E-3</v>
      </c>
      <c r="R2411" s="95">
        <v>2.7965865000000013E-2</v>
      </c>
      <c r="S2411" s="95"/>
      <c r="T2411" s="95"/>
      <c r="U2411" s="95"/>
      <c r="V2411" s="95"/>
      <c r="W2411" s="95"/>
      <c r="X2411" s="95"/>
      <c r="Y2411" s="95"/>
      <c r="Z2411" s="95"/>
      <c r="AA2411" s="95"/>
      <c r="AB2411" s="95"/>
      <c r="AC2411" s="355"/>
      <c r="AD2411" s="355"/>
      <c r="AE2411" s="355"/>
      <c r="AF2411" s="94">
        <f t="shared" si="315"/>
        <v>43496</v>
      </c>
      <c r="AG2411" s="185">
        <f t="shared" si="318"/>
        <v>2.4756555914988931E-2</v>
      </c>
      <c r="AH2411" s="339" t="str">
        <f>VLOOKUP(B2411,'MF PF'!A:B,2)</f>
        <v>FdMgt1</v>
      </c>
      <c r="AI2411" s="358">
        <f t="shared" si="316"/>
        <v>0</v>
      </c>
      <c r="AJ2411" s="94">
        <f t="shared" si="317"/>
        <v>43496</v>
      </c>
    </row>
    <row r="2412" spans="1:36" s="92" customFormat="1" ht="12.75" customHeight="1">
      <c r="A2412" s="94">
        <v>42947</v>
      </c>
      <c r="B2412" s="358" t="s">
        <v>175</v>
      </c>
      <c r="C2412" s="358" t="s">
        <v>348</v>
      </c>
      <c r="D2412" s="93">
        <v>909279.87</v>
      </c>
      <c r="E2412" s="95"/>
      <c r="F2412" s="93"/>
      <c r="G2412" s="95"/>
      <c r="H2412" s="93"/>
      <c r="I2412" s="93"/>
      <c r="J2412" s="93"/>
      <c r="K2412" s="93"/>
      <c r="L2412" s="93">
        <f t="shared" si="313"/>
        <v>0</v>
      </c>
      <c r="M2412" s="95">
        <f t="shared" ca="1" si="314"/>
        <v>0</v>
      </c>
      <c r="N2412" s="95">
        <f>IF(P2412="Hedge Fund",IF(A2412=Summary!$AD$3,M2412-E2412,M2412),IF(A2412=Summary!$AD$3,L2412-D2412,L2412))</f>
        <v>0</v>
      </c>
      <c r="O2412" s="95"/>
      <c r="P2412" s="107" t="s">
        <v>155</v>
      </c>
      <c r="Q2412" s="95">
        <v>0</v>
      </c>
      <c r="R2412" s="95">
        <v>0</v>
      </c>
      <c r="S2412" s="95"/>
      <c r="T2412" s="95"/>
      <c r="U2412" s="95"/>
      <c r="V2412" s="95"/>
      <c r="W2412" s="95"/>
      <c r="X2412" s="95"/>
      <c r="Y2412" s="95"/>
      <c r="Z2412" s="95"/>
      <c r="AA2412" s="95"/>
      <c r="AB2412" s="95"/>
      <c r="AC2412" s="355"/>
      <c r="AD2412" s="355"/>
      <c r="AE2412" s="355"/>
      <c r="AF2412" s="94">
        <f t="shared" si="315"/>
        <v>42947</v>
      </c>
      <c r="AG2412" s="185" t="e">
        <f t="shared" si="318"/>
        <v>#DIV/0!</v>
      </c>
      <c r="AH2412" s="339" t="str">
        <f>VLOOKUP(B2412,'MF PF'!A:B,2)</f>
        <v>FdMgt1</v>
      </c>
      <c r="AI2412" s="358">
        <f t="shared" si="316"/>
        <v>0</v>
      </c>
      <c r="AJ2412" s="94">
        <f t="shared" si="317"/>
        <v>42947</v>
      </c>
    </row>
    <row r="2413" spans="1:36" s="92" customFormat="1" ht="12.75" customHeight="1">
      <c r="A2413" s="94">
        <v>42958</v>
      </c>
      <c r="B2413" s="358" t="s">
        <v>175</v>
      </c>
      <c r="C2413" s="358" t="s">
        <v>348</v>
      </c>
      <c r="D2413" s="93"/>
      <c r="E2413" s="95"/>
      <c r="F2413" s="93"/>
      <c r="G2413" s="95">
        <v>71462</v>
      </c>
      <c r="H2413" s="93"/>
      <c r="I2413" s="93"/>
      <c r="J2413" s="93"/>
      <c r="K2413" s="93"/>
      <c r="L2413" s="93">
        <f t="shared" si="313"/>
        <v>71462</v>
      </c>
      <c r="M2413" s="95" t="e">
        <f t="shared" ca="1" si="314"/>
        <v>#DIV/0!</v>
      </c>
      <c r="N2413" s="95">
        <f>IF(P2413="Hedge Fund",IF(A2413=Summary!$AD$3,M2413-E2413,M2413),IF(A2413=Summary!$AD$3,L2413-D2413,L2413))</f>
        <v>71462</v>
      </c>
      <c r="O2413" s="95"/>
      <c r="P2413" s="107" t="s">
        <v>155</v>
      </c>
      <c r="Q2413" s="95">
        <v>0</v>
      </c>
      <c r="R2413" s="95">
        <v>0</v>
      </c>
      <c r="S2413" s="95"/>
      <c r="T2413" s="95"/>
      <c r="U2413" s="95"/>
      <c r="V2413" s="95"/>
      <c r="W2413" s="95"/>
      <c r="X2413" s="95"/>
      <c r="Y2413" s="95"/>
      <c r="Z2413" s="95"/>
      <c r="AA2413" s="95"/>
      <c r="AB2413" s="95"/>
      <c r="AC2413" s="355"/>
      <c r="AD2413" s="355"/>
      <c r="AE2413" s="355"/>
      <c r="AF2413" s="94">
        <f t="shared" si="315"/>
        <v>42958</v>
      </c>
      <c r="AG2413" s="185">
        <f t="shared" si="318"/>
        <v>-1.0785918641308974</v>
      </c>
      <c r="AH2413" s="339" t="str">
        <f>VLOOKUP(B2413,'MF PF'!A:B,2)</f>
        <v>FdMgt1</v>
      </c>
      <c r="AI2413" s="358">
        <f t="shared" si="316"/>
        <v>0</v>
      </c>
      <c r="AJ2413" s="94">
        <f t="shared" si="317"/>
        <v>42978</v>
      </c>
    </row>
    <row r="2414" spans="1:36" s="92" customFormat="1" ht="12.75" customHeight="1">
      <c r="A2414" s="94">
        <v>42958</v>
      </c>
      <c r="B2414" s="358" t="s">
        <v>175</v>
      </c>
      <c r="C2414" s="358" t="s">
        <v>348</v>
      </c>
      <c r="D2414" s="93"/>
      <c r="E2414" s="95"/>
      <c r="F2414" s="93"/>
      <c r="G2414" s="95">
        <v>928538</v>
      </c>
      <c r="H2414" s="93"/>
      <c r="I2414" s="93"/>
      <c r="J2414" s="93"/>
      <c r="K2414" s="93"/>
      <c r="L2414" s="93">
        <f t="shared" si="313"/>
        <v>928538</v>
      </c>
      <c r="M2414" s="95">
        <f t="shared" ca="1" si="314"/>
        <v>0</v>
      </c>
      <c r="N2414" s="95">
        <f>IF(P2414="Hedge Fund",IF(A2414=Summary!$AD$3,M2414-E2414,M2414),IF(A2414=Summary!$AD$3,L2414-D2414,L2414))</f>
        <v>928538</v>
      </c>
      <c r="O2414" s="95"/>
      <c r="P2414" s="107" t="s">
        <v>155</v>
      </c>
      <c r="Q2414" s="95">
        <v>0</v>
      </c>
      <c r="R2414" s="95">
        <v>0</v>
      </c>
      <c r="S2414" s="95"/>
      <c r="T2414" s="95"/>
      <c r="U2414" s="95"/>
      <c r="V2414" s="95"/>
      <c r="W2414" s="95"/>
      <c r="X2414" s="95"/>
      <c r="Y2414" s="95"/>
      <c r="Z2414" s="95"/>
      <c r="AA2414" s="95"/>
      <c r="AB2414" s="95"/>
      <c r="AC2414" s="355"/>
      <c r="AD2414" s="355"/>
      <c r="AE2414" s="355"/>
      <c r="AF2414" s="94">
        <f t="shared" si="315"/>
        <v>42958</v>
      </c>
      <c r="AG2414" s="185" t="e">
        <f t="shared" si="318"/>
        <v>#DIV/0!</v>
      </c>
      <c r="AH2414" s="339" t="str">
        <f>VLOOKUP(B2414,'MF PF'!A:B,2)</f>
        <v>FdMgt1</v>
      </c>
      <c r="AI2414" s="358">
        <f t="shared" si="316"/>
        <v>0</v>
      </c>
      <c r="AJ2414" s="94">
        <f t="shared" si="317"/>
        <v>42978</v>
      </c>
    </row>
    <row r="2415" spans="1:36" s="92" customFormat="1" ht="12.75" customHeight="1">
      <c r="A2415" s="94">
        <v>42978</v>
      </c>
      <c r="B2415" s="358" t="s">
        <v>175</v>
      </c>
      <c r="C2415" s="92" t="s">
        <v>348</v>
      </c>
      <c r="D2415" s="93">
        <v>988424.95</v>
      </c>
      <c r="E2415" s="95"/>
      <c r="F2415" s="93"/>
      <c r="G2415" s="95"/>
      <c r="H2415" s="93"/>
      <c r="I2415" s="93"/>
      <c r="J2415" s="93"/>
      <c r="K2415" s="93"/>
      <c r="L2415" s="93">
        <f t="shared" si="313"/>
        <v>0</v>
      </c>
      <c r="M2415" s="95" t="e">
        <f t="shared" ca="1" si="314"/>
        <v>#DIV/0!</v>
      </c>
      <c r="N2415" s="95">
        <f>IF(P2415="Hedge Fund",IF(A2415=Summary!$AD$3,M2415-E2415,M2415),IF(A2415=Summary!$AD$3,L2415-D2415,L2415))</f>
        <v>0</v>
      </c>
      <c r="O2415" s="95"/>
      <c r="P2415" s="107" t="s">
        <v>155</v>
      </c>
      <c r="Q2415" s="95">
        <v>0</v>
      </c>
      <c r="R2415" s="95">
        <v>0</v>
      </c>
      <c r="S2415" s="95"/>
      <c r="T2415" s="95"/>
      <c r="U2415" s="95"/>
      <c r="V2415" s="95"/>
      <c r="W2415" s="95"/>
      <c r="X2415" s="95"/>
      <c r="Y2415" s="95"/>
      <c r="Z2415" s="95"/>
      <c r="AA2415" s="95"/>
      <c r="AB2415" s="95"/>
      <c r="AC2415" s="355"/>
      <c r="AD2415" s="355"/>
      <c r="AE2415" s="355"/>
      <c r="AF2415" s="94">
        <f t="shared" si="315"/>
        <v>42978</v>
      </c>
      <c r="AG2415" s="185" t="e">
        <f t="shared" si="318"/>
        <v>#DIV/0!</v>
      </c>
      <c r="AH2415" s="339" t="str">
        <f>VLOOKUP(B2415,'MF PF'!A:B,2)</f>
        <v>FdMgt1</v>
      </c>
      <c r="AI2415" s="358">
        <f t="shared" si="316"/>
        <v>0</v>
      </c>
      <c r="AJ2415" s="94">
        <f t="shared" si="317"/>
        <v>42978</v>
      </c>
    </row>
    <row r="2416" spans="1:36" s="92" customFormat="1" ht="12.75" customHeight="1">
      <c r="A2416" s="94">
        <v>43008</v>
      </c>
      <c r="B2416" s="358" t="s">
        <v>175</v>
      </c>
      <c r="C2416" s="92" t="s">
        <v>348</v>
      </c>
      <c r="D2416" s="93">
        <v>993931.78</v>
      </c>
      <c r="E2416" s="95"/>
      <c r="F2416" s="93"/>
      <c r="G2416" s="95"/>
      <c r="H2416" s="93"/>
      <c r="I2416" s="93"/>
      <c r="J2416" s="93"/>
      <c r="K2416" s="93"/>
      <c r="L2416" s="93">
        <f t="shared" si="313"/>
        <v>0</v>
      </c>
      <c r="M2416" s="95" t="e">
        <f t="shared" ca="1" si="314"/>
        <v>#DIV/0!</v>
      </c>
      <c r="N2416" s="95">
        <f>IF(P2416="Hedge Fund",IF(A2416=Summary!$AD$3,M2416-E2416,M2416),IF(A2416=Summary!$AD$3,L2416-D2416,L2416))</f>
        <v>0</v>
      </c>
      <c r="O2416" s="95"/>
      <c r="P2416" s="107" t="s">
        <v>155</v>
      </c>
      <c r="Q2416" s="95">
        <v>0</v>
      </c>
      <c r="R2416" s="95">
        <v>0</v>
      </c>
      <c r="S2416" s="95"/>
      <c r="T2416" s="95"/>
      <c r="U2416" s="95"/>
      <c r="V2416" s="95"/>
      <c r="W2416" s="95"/>
      <c r="X2416" s="95"/>
      <c r="Y2416" s="95"/>
      <c r="Z2416" s="95"/>
      <c r="AA2416" s="95"/>
      <c r="AB2416" s="95"/>
      <c r="AC2416" s="355"/>
      <c r="AD2416" s="355"/>
      <c r="AE2416" s="355"/>
      <c r="AF2416" s="94">
        <f t="shared" si="315"/>
        <v>43008</v>
      </c>
      <c r="AG2416" s="185">
        <f t="shared" si="318"/>
        <v>5.5713182877465961E-3</v>
      </c>
      <c r="AH2416" s="339" t="str">
        <f>VLOOKUP(B2416,'MF PF'!A:B,2)</f>
        <v>FdMgt1</v>
      </c>
      <c r="AI2416" s="358">
        <f t="shared" si="316"/>
        <v>0</v>
      </c>
      <c r="AJ2416" s="94">
        <f t="shared" si="317"/>
        <v>43008</v>
      </c>
    </row>
    <row r="2417" spans="1:53" s="92" customFormat="1" ht="12.75" customHeight="1">
      <c r="A2417" s="94">
        <v>43039</v>
      </c>
      <c r="B2417" s="358" t="s">
        <v>175</v>
      </c>
      <c r="C2417" s="92" t="s">
        <v>348</v>
      </c>
      <c r="D2417" s="93">
        <v>1011633.78</v>
      </c>
      <c r="E2417" s="95"/>
      <c r="F2417" s="93"/>
      <c r="G2417" s="95"/>
      <c r="H2417" s="93"/>
      <c r="I2417" s="93"/>
      <c r="J2417" s="93"/>
      <c r="K2417" s="93"/>
      <c r="L2417" s="93">
        <f t="shared" si="313"/>
        <v>0</v>
      </c>
      <c r="M2417" s="95" t="e">
        <f t="shared" ca="1" si="314"/>
        <v>#DIV/0!</v>
      </c>
      <c r="N2417" s="95">
        <f>IF(P2417="Hedge Fund",IF(A2417=Summary!$AD$3,M2417-E2417,M2417),IF(A2417=Summary!$AD$3,L2417-D2417,L2417))</f>
        <v>0</v>
      </c>
      <c r="O2417" s="95"/>
      <c r="P2417" s="107" t="s">
        <v>155</v>
      </c>
      <c r="Q2417" s="95">
        <v>0</v>
      </c>
      <c r="R2417" s="95">
        <v>0</v>
      </c>
      <c r="S2417" s="95"/>
      <c r="T2417" s="95"/>
      <c r="U2417" s="95"/>
      <c r="V2417" s="95"/>
      <c r="W2417" s="95"/>
      <c r="X2417" s="95"/>
      <c r="Y2417" s="95"/>
      <c r="Z2417" s="95"/>
      <c r="AA2417" s="95"/>
      <c r="AB2417" s="95"/>
      <c r="AC2417" s="355"/>
      <c r="AD2417" s="355"/>
      <c r="AE2417" s="355"/>
      <c r="AF2417" s="94">
        <f t="shared" si="315"/>
        <v>43039</v>
      </c>
      <c r="AG2417" s="185">
        <f t="shared" si="318"/>
        <v>1.7810075456084151E-2</v>
      </c>
      <c r="AH2417" s="339" t="str">
        <f>VLOOKUP(B2417,'MF PF'!A:B,2)</f>
        <v>FdMgt1</v>
      </c>
      <c r="AI2417" s="358">
        <f t="shared" si="316"/>
        <v>0</v>
      </c>
      <c r="AJ2417" s="94">
        <f t="shared" si="317"/>
        <v>43039</v>
      </c>
    </row>
    <row r="2418" spans="1:53" s="92" customFormat="1" ht="12.75" customHeight="1">
      <c r="A2418" s="94">
        <v>43069</v>
      </c>
      <c r="B2418" s="358" t="s">
        <v>175</v>
      </c>
      <c r="C2418" s="92" t="s">
        <v>348</v>
      </c>
      <c r="D2418" s="93">
        <v>1008662.94</v>
      </c>
      <c r="E2418" s="95"/>
      <c r="F2418" s="93"/>
      <c r="G2418" s="95"/>
      <c r="H2418" s="93"/>
      <c r="I2418" s="93"/>
      <c r="J2418" s="93"/>
      <c r="K2418" s="93"/>
      <c r="L2418" s="93">
        <f t="shared" si="313"/>
        <v>0</v>
      </c>
      <c r="M2418" s="95" t="e">
        <f t="shared" ca="1" si="314"/>
        <v>#DIV/0!</v>
      </c>
      <c r="N2418" s="95">
        <f>IF(P2418="Hedge Fund",IF(A2418=Summary!$AD$3,M2418-E2418,M2418),IF(A2418=Summary!$AD$3,L2418-D2418,L2418))</f>
        <v>0</v>
      </c>
      <c r="O2418" s="95"/>
      <c r="P2418" s="107" t="s">
        <v>155</v>
      </c>
      <c r="Q2418" s="95">
        <v>0</v>
      </c>
      <c r="R2418" s="95">
        <v>0</v>
      </c>
      <c r="S2418" s="95"/>
      <c r="T2418" s="95"/>
      <c r="U2418" s="95"/>
      <c r="V2418" s="95"/>
      <c r="W2418" s="95"/>
      <c r="X2418" s="95"/>
      <c r="Y2418" s="95"/>
      <c r="Z2418" s="95"/>
      <c r="AA2418" s="95"/>
      <c r="AB2418" s="95"/>
      <c r="AC2418" s="355"/>
      <c r="AD2418" s="355"/>
      <c r="AE2418" s="355"/>
      <c r="AF2418" s="94">
        <f t="shared" si="315"/>
        <v>43069</v>
      </c>
      <c r="AG2418" s="185">
        <f t="shared" si="318"/>
        <v>-2.936675364873742E-3</v>
      </c>
      <c r="AH2418" s="339" t="str">
        <f>VLOOKUP(B2418,'MF PF'!A:B,2)</f>
        <v>FdMgt1</v>
      </c>
      <c r="AI2418" s="358">
        <f t="shared" si="316"/>
        <v>0</v>
      </c>
      <c r="AJ2418" s="94">
        <f t="shared" si="317"/>
        <v>43069</v>
      </c>
    </row>
    <row r="2419" spans="1:53" s="92" customFormat="1" ht="12.75" customHeight="1">
      <c r="A2419" s="94">
        <v>43087</v>
      </c>
      <c r="B2419" s="358" t="s">
        <v>175</v>
      </c>
      <c r="C2419" s="92" t="s">
        <v>348</v>
      </c>
      <c r="D2419" s="93"/>
      <c r="E2419" s="95"/>
      <c r="F2419" s="93"/>
      <c r="G2419" s="358"/>
      <c r="H2419" s="93"/>
      <c r="I2419" s="95">
        <v>-122500.44</v>
      </c>
      <c r="J2419" s="93"/>
      <c r="K2419" s="93"/>
      <c r="L2419" s="93">
        <f t="shared" si="313"/>
        <v>-122500.44</v>
      </c>
      <c r="M2419" s="95" t="e">
        <f t="shared" ca="1" si="314"/>
        <v>#DIV/0!</v>
      </c>
      <c r="N2419" s="95">
        <f>IF(P2419="Hedge Fund",IF(A2419=Summary!$AD$3,M2419-E2419,M2419),IF(A2419=Summary!$AD$3,L2419-D2419,L2419))</f>
        <v>-122500.44</v>
      </c>
      <c r="O2419" s="95"/>
      <c r="P2419" s="107" t="s">
        <v>155</v>
      </c>
      <c r="Q2419" s="95">
        <v>0</v>
      </c>
      <c r="R2419" s="95">
        <v>0</v>
      </c>
      <c r="S2419" s="95"/>
      <c r="T2419" s="95"/>
      <c r="U2419" s="95"/>
      <c r="V2419" s="95"/>
      <c r="W2419" s="95"/>
      <c r="X2419" s="95"/>
      <c r="Y2419" s="95"/>
      <c r="Z2419" s="95"/>
      <c r="AA2419" s="95"/>
      <c r="AB2419" s="95"/>
      <c r="AC2419" s="355"/>
      <c r="AD2419" s="355"/>
      <c r="AE2419" s="355"/>
      <c r="AF2419" s="94">
        <f t="shared" si="315"/>
        <v>43087</v>
      </c>
      <c r="AG2419" s="185">
        <f t="shared" si="318"/>
        <v>-0.87855165968524629</v>
      </c>
      <c r="AH2419" s="339" t="str">
        <f>VLOOKUP(B2419,'MF PF'!A:B,2)</f>
        <v>FdMgt1</v>
      </c>
      <c r="AI2419" s="358">
        <f t="shared" si="316"/>
        <v>0</v>
      </c>
      <c r="AJ2419" s="94">
        <f t="shared" si="317"/>
        <v>43100</v>
      </c>
    </row>
    <row r="2420" spans="1:53" s="92" customFormat="1" ht="12.75" customHeight="1">
      <c r="A2420" s="94">
        <v>43087</v>
      </c>
      <c r="B2420" s="358" t="s">
        <v>175</v>
      </c>
      <c r="C2420" s="92" t="s">
        <v>348</v>
      </c>
      <c r="D2420" s="93"/>
      <c r="E2420" s="95"/>
      <c r="F2420" s="93"/>
      <c r="G2420" s="95">
        <v>122500.44</v>
      </c>
      <c r="H2420" s="93"/>
      <c r="I2420" s="93"/>
      <c r="J2420" s="93"/>
      <c r="K2420" s="93"/>
      <c r="L2420" s="93">
        <f t="shared" si="313"/>
        <v>122500.44</v>
      </c>
      <c r="M2420" s="95">
        <f t="shared" ca="1" si="314"/>
        <v>0</v>
      </c>
      <c r="N2420" s="95">
        <f>IF(P2420="Hedge Fund",IF(A2420=Summary!$AD$3,M2420-E2420,M2420),IF(A2420=Summary!$AD$3,L2420-D2420,L2420))</f>
        <v>122500.44</v>
      </c>
      <c r="O2420" s="95"/>
      <c r="P2420" s="107" t="s">
        <v>155</v>
      </c>
      <c r="Q2420" s="95">
        <v>0</v>
      </c>
      <c r="R2420" s="95">
        <v>0</v>
      </c>
      <c r="S2420" s="95"/>
      <c r="T2420" s="95"/>
      <c r="U2420" s="95"/>
      <c r="V2420" s="95"/>
      <c r="W2420" s="95"/>
      <c r="X2420" s="95"/>
      <c r="Y2420" s="95"/>
      <c r="Z2420" s="95"/>
      <c r="AA2420" s="95"/>
      <c r="AB2420" s="95"/>
      <c r="AC2420" s="355"/>
      <c r="AD2420" s="355"/>
      <c r="AE2420" s="355"/>
      <c r="AF2420" s="94">
        <f t="shared" si="315"/>
        <v>43087</v>
      </c>
      <c r="AG2420" s="185" t="e">
        <f t="shared" si="318"/>
        <v>#DIV/0!</v>
      </c>
      <c r="AH2420" s="339" t="str">
        <f>VLOOKUP(B2420,'MF PF'!A:B,2)</f>
        <v>FdMgt1</v>
      </c>
      <c r="AI2420" s="358">
        <f t="shared" si="316"/>
        <v>0</v>
      </c>
      <c r="AJ2420" s="94">
        <f t="shared" si="317"/>
        <v>43100</v>
      </c>
      <c r="AK2420" s="358"/>
      <c r="AL2420" s="358"/>
      <c r="AM2420" s="358"/>
      <c r="AN2420" s="358"/>
      <c r="AO2420" s="358"/>
      <c r="AP2420" s="358"/>
      <c r="AQ2420" s="358"/>
      <c r="AR2420" s="358"/>
      <c r="AS2420" s="358"/>
      <c r="AT2420" s="358"/>
      <c r="AU2420" s="358"/>
      <c r="AV2420" s="358"/>
      <c r="AW2420" s="358"/>
      <c r="AX2420" s="358"/>
      <c r="AY2420" s="358"/>
      <c r="AZ2420" s="358"/>
      <c r="BA2420" s="358"/>
    </row>
    <row r="2421" spans="1:53" s="92" customFormat="1" ht="12.75" customHeight="1">
      <c r="A2421" s="94">
        <v>43100</v>
      </c>
      <c r="B2421" s="358" t="s">
        <v>175</v>
      </c>
      <c r="C2421" s="92" t="s">
        <v>348</v>
      </c>
      <c r="D2421" s="93">
        <v>1159240.06</v>
      </c>
      <c r="E2421" s="95"/>
      <c r="F2421" s="93"/>
      <c r="G2421" s="95"/>
      <c r="H2421" s="93"/>
      <c r="I2421" s="93"/>
      <c r="J2421" s="93"/>
      <c r="K2421" s="93"/>
      <c r="L2421" s="93">
        <f t="shared" si="313"/>
        <v>0</v>
      </c>
      <c r="M2421" s="95" t="e">
        <f t="shared" ca="1" si="314"/>
        <v>#DIV/0!</v>
      </c>
      <c r="N2421" s="95">
        <f>IF(P2421="Hedge Fund",IF(A2421=Summary!$AD$3,M2421-E2421,M2421),IF(A2421=Summary!$AD$3,L2421-D2421,L2421))</f>
        <v>0</v>
      </c>
      <c r="O2421" s="95"/>
      <c r="P2421" s="107" t="s">
        <v>155</v>
      </c>
      <c r="Q2421" s="95">
        <v>0</v>
      </c>
      <c r="R2421" s="95">
        <v>0</v>
      </c>
      <c r="S2421" s="95"/>
      <c r="T2421" s="95"/>
      <c r="U2421" s="95"/>
      <c r="V2421" s="95"/>
      <c r="W2421" s="95"/>
      <c r="X2421" s="95"/>
      <c r="Y2421" s="95"/>
      <c r="Z2421" s="95"/>
      <c r="AA2421" s="95"/>
      <c r="AB2421" s="95"/>
      <c r="AC2421" s="355"/>
      <c r="AD2421" s="355"/>
      <c r="AE2421" s="355"/>
      <c r="AF2421" s="94">
        <f t="shared" si="315"/>
        <v>43100</v>
      </c>
      <c r="AG2421" s="185" t="e">
        <f t="shared" si="318"/>
        <v>#DIV/0!</v>
      </c>
      <c r="AH2421" s="339" t="str">
        <f>VLOOKUP(B2421,'MF PF'!A:B,2)</f>
        <v>FdMgt1</v>
      </c>
      <c r="AI2421" s="358">
        <f t="shared" si="316"/>
        <v>0</v>
      </c>
      <c r="AJ2421" s="94">
        <f t="shared" si="317"/>
        <v>43100</v>
      </c>
      <c r="AK2421" s="358"/>
      <c r="AL2421" s="358"/>
      <c r="AM2421" s="358"/>
      <c r="AN2421" s="358"/>
      <c r="AO2421" s="358"/>
      <c r="AP2421" s="358"/>
      <c r="AQ2421" s="358"/>
      <c r="AR2421" s="358"/>
      <c r="AS2421" s="358"/>
      <c r="AT2421" s="358"/>
      <c r="AU2421" s="358"/>
      <c r="AV2421" s="358"/>
      <c r="AW2421" s="358"/>
      <c r="AX2421" s="358"/>
      <c r="AY2421" s="358"/>
      <c r="AZ2421" s="358"/>
      <c r="BA2421" s="358"/>
    </row>
    <row r="2422" spans="1:53" ht="12.75" customHeight="1">
      <c r="A2422" s="8">
        <v>43131</v>
      </c>
      <c r="B2422" s="358" t="s">
        <v>175</v>
      </c>
      <c r="C2422" s="92" t="s">
        <v>348</v>
      </c>
      <c r="D2422" s="93">
        <v>1249492.26</v>
      </c>
      <c r="E2422" s="95"/>
      <c r="F2422" s="93"/>
      <c r="G2422" s="95"/>
      <c r="H2422" s="93"/>
      <c r="I2422" s="93"/>
      <c r="K2422" s="93"/>
      <c r="L2422" s="93">
        <f t="shared" si="313"/>
        <v>0</v>
      </c>
      <c r="M2422" s="95" t="e">
        <f t="shared" ca="1" si="314"/>
        <v>#DIV/0!</v>
      </c>
      <c r="N2422" s="95">
        <f>IF(P2422="Hedge Fund",IF(A2422=Summary!$AD$3,M2422-E2422,M2422),IF(A2422=Summary!$AD$3,L2422-D2422,L2422))</f>
        <v>0</v>
      </c>
      <c r="O2422" s="95"/>
      <c r="P2422" s="107" t="s">
        <v>155</v>
      </c>
      <c r="Q2422" s="95"/>
      <c r="R2422" s="95">
        <v>0</v>
      </c>
      <c r="S2422" s="95"/>
      <c r="T2422" s="95"/>
      <c r="U2422" s="95"/>
      <c r="V2422" s="95"/>
      <c r="W2422" s="95"/>
      <c r="X2422" s="95"/>
      <c r="Y2422" s="95"/>
      <c r="Z2422" s="95"/>
      <c r="AA2422" s="95"/>
      <c r="AB2422" s="95"/>
      <c r="AC2422" s="355"/>
      <c r="AD2422" s="355"/>
      <c r="AE2422" s="355"/>
      <c r="AF2422" s="94">
        <f t="shared" si="315"/>
        <v>43131</v>
      </c>
      <c r="AG2422" s="185">
        <f t="shared" si="318"/>
        <v>7.7854624865189681E-2</v>
      </c>
      <c r="AH2422" s="339" t="str">
        <f>VLOOKUP(B2422,'MF PF'!A:B,2)</f>
        <v>FdMgt1</v>
      </c>
      <c r="AI2422" s="358">
        <f t="shared" si="316"/>
        <v>0</v>
      </c>
      <c r="AJ2422" s="94">
        <f t="shared" si="317"/>
        <v>43131</v>
      </c>
      <c r="AK2422" s="358"/>
      <c r="AL2422" s="358"/>
      <c r="AM2422" s="358"/>
      <c r="AN2422" s="358"/>
      <c r="AO2422" s="358"/>
      <c r="AP2422" s="358"/>
      <c r="AQ2422" s="358"/>
      <c r="AR2422" s="358"/>
      <c r="AS2422" s="358"/>
      <c r="AT2422" s="358"/>
      <c r="AU2422" s="358"/>
      <c r="AV2422" s="358"/>
      <c r="AW2422" s="358"/>
      <c r="AX2422" s="358"/>
      <c r="AY2422" s="358"/>
      <c r="AZ2422" s="358"/>
      <c r="BA2422" s="358"/>
    </row>
    <row r="2423" spans="1:53" ht="12.75" customHeight="1">
      <c r="A2423" s="94">
        <v>43159</v>
      </c>
      <c r="B2423" s="358" t="s">
        <v>175</v>
      </c>
      <c r="C2423" s="92" t="s">
        <v>348</v>
      </c>
      <c r="D2423" s="93">
        <v>1254958.03</v>
      </c>
      <c r="E2423" s="95"/>
      <c r="F2423" s="93"/>
      <c r="G2423" s="95"/>
      <c r="H2423" s="93"/>
      <c r="I2423" s="93"/>
      <c r="K2423" s="93"/>
      <c r="L2423" s="93">
        <f t="shared" si="313"/>
        <v>0</v>
      </c>
      <c r="M2423" s="95" t="e">
        <f t="shared" ca="1" si="314"/>
        <v>#DIV/0!</v>
      </c>
      <c r="N2423" s="95">
        <f>IF(P2423="Hedge Fund",IF(A2423=Summary!$AD$3,M2423-E2423,M2423),IF(A2423=Summary!$AD$3,L2423-D2423,L2423))</f>
        <v>0</v>
      </c>
      <c r="O2423" s="95"/>
      <c r="P2423" s="107" t="s">
        <v>155</v>
      </c>
      <c r="Q2423" s="95"/>
      <c r="R2423" s="95">
        <v>0</v>
      </c>
      <c r="S2423" s="95"/>
      <c r="T2423" s="95"/>
      <c r="U2423" s="95"/>
      <c r="V2423" s="95"/>
      <c r="W2423" s="95"/>
      <c r="X2423" s="95"/>
      <c r="Y2423" s="95"/>
      <c r="Z2423" s="95"/>
      <c r="AA2423" s="95"/>
      <c r="AB2423" s="95"/>
      <c r="AC2423" s="355"/>
      <c r="AD2423" s="355"/>
      <c r="AE2423" s="355"/>
      <c r="AF2423" s="94">
        <f t="shared" si="315"/>
        <v>43159</v>
      </c>
      <c r="AG2423" s="185">
        <f t="shared" si="318"/>
        <v>4.3743928433779278E-3</v>
      </c>
      <c r="AH2423" s="339" t="str">
        <f>VLOOKUP(B2423,'MF PF'!A:B,2)</f>
        <v>FdMgt1</v>
      </c>
      <c r="AI2423" s="358">
        <f t="shared" si="316"/>
        <v>0</v>
      </c>
      <c r="AJ2423" s="94">
        <f t="shared" si="317"/>
        <v>43159</v>
      </c>
    </row>
    <row r="2424" spans="1:53" ht="12.75" customHeight="1">
      <c r="A2424" s="8">
        <v>43190</v>
      </c>
      <c r="B2424" s="358" t="s">
        <v>175</v>
      </c>
      <c r="C2424" s="92" t="s">
        <v>348</v>
      </c>
      <c r="D2424" s="93">
        <v>1246769.1399999999</v>
      </c>
      <c r="E2424" s="95"/>
      <c r="F2424" s="93"/>
      <c r="G2424" s="95"/>
      <c r="H2424" s="93"/>
      <c r="I2424" s="93"/>
      <c r="K2424" s="93"/>
      <c r="L2424" s="93">
        <f t="shared" si="313"/>
        <v>0</v>
      </c>
      <c r="M2424" s="95" t="e">
        <f t="shared" ca="1" si="314"/>
        <v>#DIV/0!</v>
      </c>
      <c r="N2424" s="95">
        <f>IF(P2424="Hedge Fund",IF(A2424=Summary!$AD$3,M2424-E2424,M2424),IF(A2424=Summary!$AD$3,L2424-D2424,L2424))</f>
        <v>0</v>
      </c>
      <c r="O2424" s="95"/>
      <c r="P2424" s="107" t="s">
        <v>155</v>
      </c>
      <c r="Q2424" s="95">
        <v>0</v>
      </c>
      <c r="R2424" s="95">
        <v>0</v>
      </c>
      <c r="S2424" s="95"/>
      <c r="T2424" s="95"/>
      <c r="U2424" s="95"/>
      <c r="V2424" s="95"/>
      <c r="W2424" s="95"/>
      <c r="X2424" s="95"/>
      <c r="Y2424" s="95"/>
      <c r="Z2424" s="95"/>
      <c r="AA2424" s="95"/>
      <c r="AB2424" s="95"/>
      <c r="AC2424" s="355"/>
      <c r="AD2424" s="355"/>
      <c r="AE2424" s="355"/>
      <c r="AF2424" s="94">
        <f t="shared" si="315"/>
        <v>43190</v>
      </c>
      <c r="AG2424" s="185">
        <f t="shared" si="318"/>
        <v>-6.5252301704464832E-3</v>
      </c>
      <c r="AH2424" s="339" t="str">
        <f>VLOOKUP(B2424,'MF PF'!A:B,2)</f>
        <v>FdMgt1</v>
      </c>
      <c r="AI2424" s="358">
        <f t="shared" si="316"/>
        <v>0</v>
      </c>
      <c r="AJ2424" s="94">
        <f t="shared" si="317"/>
        <v>43190</v>
      </c>
    </row>
    <row r="2425" spans="1:53" ht="12.75" customHeight="1">
      <c r="A2425" s="8">
        <v>43220</v>
      </c>
      <c r="B2425" s="358" t="s">
        <v>175</v>
      </c>
      <c r="C2425" s="92" t="s">
        <v>348</v>
      </c>
      <c r="D2425" s="93">
        <v>1235408.22</v>
      </c>
      <c r="E2425" s="95"/>
      <c r="F2425" s="93"/>
      <c r="G2425" s="95"/>
      <c r="H2425" s="93"/>
      <c r="I2425" s="93"/>
      <c r="K2425" s="93"/>
      <c r="L2425" s="93">
        <f t="shared" si="313"/>
        <v>0</v>
      </c>
      <c r="M2425" s="95" t="e">
        <f t="shared" ca="1" si="314"/>
        <v>#DIV/0!</v>
      </c>
      <c r="N2425" s="95">
        <f>IF(P2425="Hedge Fund",IF(A2425=Summary!$AD$3,M2425-E2425,M2425),IF(A2425=Summary!$AD$3,L2425-D2425,L2425))</f>
        <v>0</v>
      </c>
      <c r="O2425" s="95"/>
      <c r="P2425" s="107" t="s">
        <v>155</v>
      </c>
      <c r="Q2425" s="95"/>
      <c r="R2425" s="95">
        <v>0</v>
      </c>
      <c r="S2425" s="95"/>
      <c r="T2425" s="95"/>
      <c r="U2425" s="95"/>
      <c r="V2425" s="95"/>
      <c r="W2425" s="95"/>
      <c r="X2425" s="95"/>
      <c r="Y2425" s="95"/>
      <c r="Z2425" s="95"/>
      <c r="AA2425" s="95"/>
      <c r="AB2425" s="95"/>
      <c r="AC2425" s="355"/>
      <c r="AD2425" s="355"/>
      <c r="AE2425" s="355"/>
      <c r="AF2425" s="94">
        <f t="shared" si="315"/>
        <v>43220</v>
      </c>
      <c r="AG2425" s="185">
        <f t="shared" si="318"/>
        <v>-9.112288422538195E-3</v>
      </c>
      <c r="AH2425" s="339" t="str">
        <f>VLOOKUP(B2425,'MF PF'!A:B,2)</f>
        <v>FdMgt1</v>
      </c>
      <c r="AI2425" s="358">
        <f t="shared" si="316"/>
        <v>0</v>
      </c>
      <c r="AJ2425" s="94">
        <f t="shared" si="317"/>
        <v>43220</v>
      </c>
    </row>
    <row r="2426" spans="1:53" ht="12.75" customHeight="1">
      <c r="A2426" s="8">
        <v>43251</v>
      </c>
      <c r="B2426" s="358" t="s">
        <v>175</v>
      </c>
      <c r="C2426" s="92" t="s">
        <v>348</v>
      </c>
      <c r="D2426" s="93">
        <v>1250094.06</v>
      </c>
      <c r="E2426" s="95"/>
      <c r="F2426" s="93"/>
      <c r="G2426" s="95"/>
      <c r="H2426" s="93"/>
      <c r="I2426" s="93"/>
      <c r="K2426" s="93"/>
      <c r="L2426" s="93">
        <f t="shared" si="313"/>
        <v>0</v>
      </c>
      <c r="M2426" s="95" t="e">
        <f t="shared" ca="1" si="314"/>
        <v>#DIV/0!</v>
      </c>
      <c r="N2426" s="95">
        <f>IF(P2426="Hedge Fund",IF(A2426=Summary!$AD$3,M2426-E2426,M2426),IF(A2426=Summary!$AD$3,L2426-D2426,L2426))</f>
        <v>0</v>
      </c>
      <c r="O2426" s="95"/>
      <c r="P2426" s="107" t="s">
        <v>155</v>
      </c>
      <c r="Q2426" s="95"/>
      <c r="R2426" s="95">
        <v>0</v>
      </c>
      <c r="S2426" s="95"/>
      <c r="T2426" s="95"/>
      <c r="U2426" s="95"/>
      <c r="V2426" s="95"/>
      <c r="W2426" s="95"/>
      <c r="X2426" s="95"/>
      <c r="Y2426" s="95"/>
      <c r="Z2426" s="95"/>
      <c r="AA2426" s="95"/>
      <c r="AB2426" s="95"/>
      <c r="AC2426" s="355"/>
      <c r="AD2426" s="355"/>
      <c r="AE2426" s="355"/>
      <c r="AF2426" s="94">
        <f t="shared" si="315"/>
        <v>43251</v>
      </c>
      <c r="AG2426" s="185">
        <f t="shared" si="318"/>
        <v>1.1887439117088006E-2</v>
      </c>
      <c r="AH2426" s="339" t="str">
        <f>VLOOKUP(B2426,'MF PF'!A:B,2)</f>
        <v>FdMgt1</v>
      </c>
      <c r="AI2426" s="358">
        <f t="shared" si="316"/>
        <v>0</v>
      </c>
      <c r="AJ2426" s="94">
        <f t="shared" si="317"/>
        <v>43251</v>
      </c>
    </row>
    <row r="2427" spans="1:53" ht="12.75" customHeight="1">
      <c r="A2427" s="8">
        <v>43281</v>
      </c>
      <c r="B2427" s="358" t="s">
        <v>175</v>
      </c>
      <c r="C2427" s="92" t="s">
        <v>348</v>
      </c>
      <c r="D2427" s="93">
        <v>1246649.48</v>
      </c>
      <c r="E2427" s="95"/>
      <c r="F2427" s="93"/>
      <c r="G2427" s="95"/>
      <c r="H2427" s="93"/>
      <c r="I2427" s="93"/>
      <c r="K2427" s="93"/>
      <c r="L2427" s="93">
        <f t="shared" si="313"/>
        <v>0</v>
      </c>
      <c r="M2427" s="95" t="e">
        <f t="shared" ca="1" si="314"/>
        <v>#DIV/0!</v>
      </c>
      <c r="N2427" s="95">
        <f>IF(P2427="Hedge Fund",IF(A2427=Summary!$AD$3,M2427-E2427,M2427),IF(A2427=Summary!$AD$3,L2427-D2427,L2427))</f>
        <v>0</v>
      </c>
      <c r="O2427" s="95"/>
      <c r="P2427" s="107" t="s">
        <v>155</v>
      </c>
      <c r="Q2427" s="95">
        <v>0</v>
      </c>
      <c r="R2427" s="95">
        <v>0</v>
      </c>
      <c r="S2427" s="95"/>
      <c r="T2427" s="95"/>
      <c r="U2427" s="95"/>
      <c r="V2427" s="95"/>
      <c r="W2427" s="95"/>
      <c r="X2427" s="95"/>
      <c r="Y2427" s="95"/>
      <c r="Z2427" s="95"/>
      <c r="AA2427" s="95"/>
      <c r="AB2427" s="95"/>
      <c r="AC2427" s="355"/>
      <c r="AD2427" s="355"/>
      <c r="AE2427" s="355"/>
      <c r="AF2427" s="94">
        <f t="shared" si="315"/>
        <v>43281</v>
      </c>
      <c r="AG2427" s="185">
        <f t="shared" si="318"/>
        <v>-2.7554566573975148E-3</v>
      </c>
      <c r="AH2427" s="339" t="str">
        <f>VLOOKUP(B2427,'MF PF'!A:B,2)</f>
        <v>FdMgt1</v>
      </c>
      <c r="AI2427" s="358">
        <f t="shared" si="316"/>
        <v>0</v>
      </c>
      <c r="AJ2427" s="94">
        <f t="shared" si="317"/>
        <v>43281</v>
      </c>
      <c r="AK2427" s="358"/>
      <c r="AL2427" s="358"/>
      <c r="AM2427" s="358"/>
      <c r="AN2427" s="358"/>
      <c r="AO2427" s="358"/>
      <c r="AP2427" s="358"/>
      <c r="AQ2427" s="358"/>
      <c r="AR2427" s="358"/>
      <c r="AS2427" s="358"/>
      <c r="AT2427" s="358"/>
      <c r="AU2427" s="358"/>
      <c r="AV2427" s="358"/>
      <c r="AW2427" s="358"/>
      <c r="AX2427" s="358"/>
      <c r="AY2427" s="358"/>
      <c r="AZ2427" s="358"/>
      <c r="BA2427" s="358"/>
    </row>
    <row r="2428" spans="1:53" ht="12.75" customHeight="1">
      <c r="A2428" s="94">
        <v>43312</v>
      </c>
      <c r="B2428" s="358" t="s">
        <v>175</v>
      </c>
      <c r="C2428" s="92" t="s">
        <v>348</v>
      </c>
      <c r="D2428" s="93">
        <v>1230473.82</v>
      </c>
      <c r="E2428" s="95"/>
      <c r="F2428" s="93"/>
      <c r="G2428" s="95"/>
      <c r="H2428" s="93"/>
      <c r="I2428" s="93"/>
      <c r="K2428" s="93"/>
      <c r="L2428" s="93">
        <f t="shared" si="313"/>
        <v>0</v>
      </c>
      <c r="M2428" s="95" t="e">
        <f t="shared" ca="1" si="314"/>
        <v>#DIV/0!</v>
      </c>
      <c r="N2428" s="95">
        <f>IF(P2428="Hedge Fund",IF(A2428=Summary!$AD$3,M2428-E2428,M2428),IF(A2428=Summary!$AD$3,L2428-D2428,L2428))</f>
        <v>0</v>
      </c>
      <c r="O2428" s="95"/>
      <c r="P2428" s="107" t="s">
        <v>155</v>
      </c>
      <c r="Q2428" s="95">
        <v>0</v>
      </c>
      <c r="R2428" s="95">
        <v>0</v>
      </c>
      <c r="S2428" s="95"/>
      <c r="T2428" s="95"/>
      <c r="U2428" s="95"/>
      <c r="V2428" s="95"/>
      <c r="W2428" s="95"/>
      <c r="X2428" s="95"/>
      <c r="Y2428" s="95"/>
      <c r="Z2428" s="95"/>
      <c r="AA2428" s="95"/>
      <c r="AB2428" s="95"/>
      <c r="AC2428" s="355"/>
      <c r="AD2428" s="355"/>
      <c r="AE2428" s="355"/>
      <c r="AF2428" s="94">
        <f t="shared" si="315"/>
        <v>43312</v>
      </c>
      <c r="AG2428" s="185">
        <f t="shared" si="318"/>
        <v>-1.2975307221080201E-2</v>
      </c>
      <c r="AH2428" s="339" t="str">
        <f>VLOOKUP(B2428,'MF PF'!A:B,2)</f>
        <v>FdMgt1</v>
      </c>
      <c r="AI2428" s="358">
        <f t="shared" si="316"/>
        <v>0</v>
      </c>
      <c r="AJ2428" s="94">
        <f t="shared" si="317"/>
        <v>43312</v>
      </c>
      <c r="AK2428" s="358"/>
      <c r="AL2428" s="358"/>
      <c r="AM2428" s="358"/>
      <c r="AN2428" s="358"/>
      <c r="AO2428" s="358"/>
      <c r="AP2428" s="358"/>
      <c r="AQ2428" s="358"/>
      <c r="AR2428" s="358"/>
      <c r="AS2428" s="358"/>
      <c r="AT2428" s="358"/>
      <c r="AU2428" s="358"/>
      <c r="AV2428" s="358"/>
      <c r="AW2428" s="358"/>
      <c r="AX2428" s="358"/>
      <c r="AY2428" s="358"/>
      <c r="AZ2428" s="358"/>
      <c r="BA2428" s="358"/>
    </row>
    <row r="2429" spans="1:53" ht="12.75" customHeight="1">
      <c r="A2429" s="8">
        <v>43343</v>
      </c>
      <c r="B2429" s="358" t="s">
        <v>175</v>
      </c>
      <c r="C2429" s="92" t="s">
        <v>348</v>
      </c>
      <c r="D2429" s="93">
        <v>1216135.17</v>
      </c>
      <c r="E2429" s="95"/>
      <c r="F2429" s="93"/>
      <c r="G2429" s="95"/>
      <c r="H2429" s="93"/>
      <c r="I2429" s="93"/>
      <c r="K2429" s="93"/>
      <c r="L2429" s="93">
        <f t="shared" si="313"/>
        <v>0</v>
      </c>
      <c r="M2429" s="95" t="e">
        <f t="shared" ca="1" si="314"/>
        <v>#DIV/0!</v>
      </c>
      <c r="N2429" s="95">
        <f>IF(P2429="Hedge Fund",IF(A2429=Summary!$AD$3,M2429-E2429,M2429),IF(A2429=Summary!$AD$3,L2429-D2429,L2429))</f>
        <v>0</v>
      </c>
      <c r="O2429" s="95"/>
      <c r="P2429" s="107" t="s">
        <v>155</v>
      </c>
      <c r="Q2429" s="95">
        <v>0</v>
      </c>
      <c r="R2429" s="95">
        <v>0</v>
      </c>
      <c r="S2429" s="95"/>
      <c r="T2429" s="95"/>
      <c r="U2429" s="95"/>
      <c r="V2429" s="95"/>
      <c r="W2429" s="95"/>
      <c r="X2429" s="95"/>
      <c r="Y2429" s="95"/>
      <c r="Z2429" s="95"/>
      <c r="AA2429" s="95"/>
      <c r="AB2429" s="95"/>
      <c r="AC2429" s="355"/>
      <c r="AD2429" s="355"/>
      <c r="AE2429" s="355"/>
      <c r="AF2429" s="94">
        <f t="shared" si="315"/>
        <v>43343</v>
      </c>
      <c r="AG2429" s="185">
        <f t="shared" si="318"/>
        <v>-1.1652950080644708E-2</v>
      </c>
      <c r="AH2429" s="339" t="str">
        <f>VLOOKUP(B2429,'MF PF'!A:B,2)</f>
        <v>FdMgt1</v>
      </c>
      <c r="AI2429" s="358">
        <f t="shared" si="316"/>
        <v>0</v>
      </c>
      <c r="AJ2429" s="94">
        <f t="shared" si="317"/>
        <v>43343</v>
      </c>
      <c r="AK2429" s="358"/>
      <c r="AL2429" s="358"/>
      <c r="AM2429" s="358"/>
      <c r="AN2429" s="358"/>
      <c r="AO2429" s="358"/>
      <c r="AP2429" s="358"/>
      <c r="AQ2429" s="358"/>
      <c r="AR2429" s="358"/>
      <c r="AS2429" s="358"/>
      <c r="AT2429" s="358"/>
      <c r="AU2429" s="358"/>
      <c r="AV2429" s="358"/>
      <c r="AW2429" s="358"/>
      <c r="AX2429" s="358"/>
      <c r="AY2429" s="358"/>
      <c r="AZ2429" s="358"/>
      <c r="BA2429" s="358"/>
    </row>
    <row r="2430" spans="1:53" ht="12.75" customHeight="1">
      <c r="A2430" s="8">
        <v>43373</v>
      </c>
      <c r="B2430" s="358" t="s">
        <v>175</v>
      </c>
      <c r="C2430" s="92" t="s">
        <v>348</v>
      </c>
      <c r="D2430" s="93">
        <v>1172144.6399999999</v>
      </c>
      <c r="E2430" s="95"/>
      <c r="F2430" s="93"/>
      <c r="G2430" s="95"/>
      <c r="H2430" s="93"/>
      <c r="I2430" s="93"/>
      <c r="K2430" s="93"/>
      <c r="L2430" s="93">
        <f t="shared" si="313"/>
        <v>0</v>
      </c>
      <c r="M2430" s="95" t="e">
        <f t="shared" ca="1" si="314"/>
        <v>#DIV/0!</v>
      </c>
      <c r="N2430" s="95">
        <f>IF(P2430="Hedge Fund",IF(A2430=Summary!$AD$3,M2430-E2430,M2430),IF(A2430=Summary!$AD$3,L2430-D2430,L2430))</f>
        <v>0</v>
      </c>
      <c r="O2430" s="95"/>
      <c r="P2430" s="107" t="s">
        <v>155</v>
      </c>
      <c r="Q2430" s="95">
        <v>0</v>
      </c>
      <c r="R2430" s="95">
        <v>0</v>
      </c>
      <c r="S2430" s="95"/>
      <c r="T2430" s="95"/>
      <c r="U2430" s="95"/>
      <c r="V2430" s="95"/>
      <c r="W2430" s="95"/>
      <c r="X2430" s="95"/>
      <c r="Y2430" s="95"/>
      <c r="Z2430" s="95"/>
      <c r="AA2430" s="95"/>
      <c r="AB2430" s="95"/>
      <c r="AC2430" s="355"/>
      <c r="AD2430" s="355"/>
      <c r="AE2430" s="355"/>
      <c r="AF2430" s="94">
        <f t="shared" si="315"/>
        <v>43373</v>
      </c>
      <c r="AG2430" s="185">
        <f t="shared" si="318"/>
        <v>-3.6172401789843822E-2</v>
      </c>
      <c r="AH2430" s="339" t="str">
        <f>VLOOKUP(B2430,'MF PF'!A:B,2)</f>
        <v>FdMgt1</v>
      </c>
      <c r="AI2430" s="358">
        <f t="shared" si="316"/>
        <v>0</v>
      </c>
      <c r="AJ2430" s="94">
        <f t="shared" si="317"/>
        <v>43373</v>
      </c>
    </row>
    <row r="2431" spans="1:53" ht="12.75" customHeight="1">
      <c r="A2431" s="8">
        <v>43404</v>
      </c>
      <c r="B2431" s="358" t="s">
        <v>175</v>
      </c>
      <c r="C2431" s="92" t="s">
        <v>348</v>
      </c>
      <c r="D2431" s="93">
        <v>1152376.17</v>
      </c>
      <c r="E2431" s="95"/>
      <c r="F2431" s="93">
        <v>1</v>
      </c>
      <c r="G2431" s="93"/>
      <c r="H2431" s="93">
        <v>0</v>
      </c>
      <c r="I2431" s="93">
        <v>0</v>
      </c>
      <c r="J2431" s="93">
        <v>0</v>
      </c>
      <c r="K2431" s="93"/>
      <c r="L2431" s="93">
        <f t="shared" si="313"/>
        <v>0</v>
      </c>
      <c r="M2431" s="95" t="e">
        <f t="shared" ca="1" si="314"/>
        <v>#DIV/0!</v>
      </c>
      <c r="N2431" s="95">
        <f>IF(P2431="Hedge Fund",IF(A2431=Summary!$AD$3,M2431-E2431,M2431),IF(A2431=Summary!$AD$3,L2431-D2431,L2431))</f>
        <v>0</v>
      </c>
      <c r="O2431" s="95"/>
      <c r="P2431" s="95" t="s">
        <v>155</v>
      </c>
      <c r="Q2431" s="95">
        <v>0</v>
      </c>
      <c r="R2431" s="95">
        <v>0</v>
      </c>
      <c r="S2431" s="95"/>
      <c r="T2431" s="95"/>
      <c r="U2431" s="95"/>
      <c r="V2431" s="95"/>
      <c r="W2431" s="95"/>
      <c r="X2431" s="95"/>
      <c r="Y2431" s="95"/>
      <c r="Z2431" s="95"/>
      <c r="AA2431" s="95"/>
      <c r="AB2431" s="95"/>
      <c r="AC2431" s="355"/>
      <c r="AD2431" s="355"/>
      <c r="AE2431" s="355"/>
      <c r="AF2431" s="94">
        <f t="shared" si="315"/>
        <v>43404</v>
      </c>
      <c r="AG2431" s="185">
        <f t="shared" si="318"/>
        <v>-1.6865213835725923E-2</v>
      </c>
      <c r="AH2431" s="339" t="str">
        <f>VLOOKUP(B2431,'MF PF'!A:B,2)</f>
        <v>FdMgt1</v>
      </c>
      <c r="AI2431" s="358">
        <f t="shared" si="316"/>
        <v>0</v>
      </c>
      <c r="AJ2431" s="94">
        <f t="shared" si="317"/>
        <v>43404</v>
      </c>
    </row>
    <row r="2432" spans="1:53" ht="12.75" customHeight="1">
      <c r="A2432" s="8">
        <v>43434</v>
      </c>
      <c r="B2432" s="358" t="s">
        <v>175</v>
      </c>
      <c r="C2432" s="92" t="s">
        <v>348</v>
      </c>
      <c r="D2432" s="93">
        <v>1148958.79</v>
      </c>
      <c r="E2432" s="95"/>
      <c r="F2432" s="93">
        <v>1</v>
      </c>
      <c r="G2432" s="93"/>
      <c r="H2432" s="93">
        <v>0</v>
      </c>
      <c r="I2432" s="93">
        <v>0</v>
      </c>
      <c r="K2432" s="93">
        <v>0</v>
      </c>
      <c r="L2432" s="93">
        <f t="shared" si="313"/>
        <v>0</v>
      </c>
      <c r="M2432" s="95" t="e">
        <f t="shared" ca="1" si="314"/>
        <v>#DIV/0!</v>
      </c>
      <c r="N2432" s="95">
        <f>IF(P2432="Hedge Fund",IF(A2432=Summary!$AD$3,M2432-E2432,M2432),IF(A2432=Summary!$AD$3,L2432-D2432,L2432))</f>
        <v>0</v>
      </c>
      <c r="O2432" s="95"/>
      <c r="P2432" s="95" t="s">
        <v>155</v>
      </c>
      <c r="Q2432" s="95">
        <v>0</v>
      </c>
      <c r="R2432" s="95">
        <v>0</v>
      </c>
      <c r="S2432" s="95"/>
      <c r="T2432" s="95"/>
      <c r="U2432" s="95"/>
      <c r="V2432" s="95"/>
      <c r="W2432" s="95"/>
      <c r="X2432" s="95"/>
      <c r="Y2432" s="95"/>
      <c r="Z2432" s="95"/>
      <c r="AA2432" s="95"/>
      <c r="AB2432" s="95"/>
      <c r="AC2432" s="355"/>
      <c r="AD2432" s="355"/>
      <c r="AE2432" s="355"/>
      <c r="AF2432" s="94">
        <f t="shared" si="315"/>
        <v>43434</v>
      </c>
      <c r="AG2432" s="185">
        <f t="shared" si="318"/>
        <v>-2.9655073481776872E-3</v>
      </c>
      <c r="AH2432" s="339" t="str">
        <f>VLOOKUP(B2432,'MF PF'!A:B,2)</f>
        <v>FdMgt1</v>
      </c>
      <c r="AI2432" s="358">
        <f t="shared" si="316"/>
        <v>0</v>
      </c>
      <c r="AJ2432" s="94">
        <f t="shared" si="317"/>
        <v>43434</v>
      </c>
    </row>
    <row r="2433" spans="1:36" ht="12.75" customHeight="1">
      <c r="A2433" s="8">
        <v>43465</v>
      </c>
      <c r="B2433" s="358" t="s">
        <v>175</v>
      </c>
      <c r="C2433" s="92" t="s">
        <v>348</v>
      </c>
      <c r="D2433" s="93">
        <v>1179574.3</v>
      </c>
      <c r="E2433" s="95"/>
      <c r="F2433" s="93">
        <v>1</v>
      </c>
      <c r="G2433" s="93"/>
      <c r="H2433" s="93">
        <v>0</v>
      </c>
      <c r="I2433" s="93">
        <v>0</v>
      </c>
      <c r="K2433" s="93">
        <v>0</v>
      </c>
      <c r="L2433" s="93">
        <f t="shared" si="313"/>
        <v>0</v>
      </c>
      <c r="M2433" s="95" t="e">
        <f t="shared" ca="1" si="314"/>
        <v>#DIV/0!</v>
      </c>
      <c r="N2433" s="95">
        <f>IF(P2433="Hedge Fund",IF(A2433=Summary!$AD$3,M2433-E2433,M2433),IF(A2433=Summary!$AD$3,L2433-D2433,L2433))</f>
        <v>0</v>
      </c>
      <c r="O2433" s="95"/>
      <c r="P2433" s="95" t="s">
        <v>155</v>
      </c>
      <c r="Q2433" s="95">
        <v>0</v>
      </c>
      <c r="R2433" s="95">
        <v>0</v>
      </c>
      <c r="S2433" s="95"/>
      <c r="T2433" s="95"/>
      <c r="U2433" s="95"/>
      <c r="V2433" s="95"/>
      <c r="W2433" s="95"/>
      <c r="X2433" s="95"/>
      <c r="Y2433" s="95"/>
      <c r="Z2433" s="95"/>
      <c r="AA2433" s="95"/>
      <c r="AB2433" s="95"/>
      <c r="AC2433" s="355"/>
      <c r="AD2433" s="355"/>
      <c r="AE2433" s="355"/>
      <c r="AF2433" s="94">
        <f t="shared" si="315"/>
        <v>43465</v>
      </c>
      <c r="AG2433" s="185">
        <f t="shared" si="318"/>
        <v>2.664630817611835E-2</v>
      </c>
      <c r="AH2433" s="339" t="str">
        <f>VLOOKUP(B2433,'MF PF'!A:B,2)</f>
        <v>FdMgt1</v>
      </c>
      <c r="AI2433" s="358">
        <f t="shared" si="316"/>
        <v>0</v>
      </c>
      <c r="AJ2433" s="94">
        <f t="shared" si="317"/>
        <v>43465</v>
      </c>
    </row>
    <row r="2434" spans="1:36" ht="12.75" customHeight="1">
      <c r="A2434" s="94">
        <v>43496</v>
      </c>
      <c r="B2434" s="358" t="s">
        <v>175</v>
      </c>
      <c r="C2434" s="92" t="s">
        <v>348</v>
      </c>
      <c r="D2434" s="93">
        <v>1205011.8500000001</v>
      </c>
      <c r="E2434" s="95"/>
      <c r="F2434" s="93">
        <v>1</v>
      </c>
      <c r="G2434" s="93"/>
      <c r="H2434" s="93">
        <v>0</v>
      </c>
      <c r="I2434" s="93">
        <v>0</v>
      </c>
      <c r="K2434" s="93">
        <v>0</v>
      </c>
      <c r="L2434" s="93">
        <f t="shared" si="313"/>
        <v>0</v>
      </c>
      <c r="M2434" s="95" t="e">
        <f t="shared" ca="1" si="314"/>
        <v>#DIV/0!</v>
      </c>
      <c r="N2434" s="95">
        <f>IF(P2434="Hedge Fund",IF(A2434=Summary!$AD$3,M2434-E2434,M2434),IF(A2434=Summary!$AD$3,L2434-D2434,L2434))</f>
        <v>-1205011.8500000001</v>
      </c>
      <c r="O2434" s="95"/>
      <c r="P2434" s="95" t="s">
        <v>155</v>
      </c>
      <c r="Q2434" s="95">
        <v>0</v>
      </c>
      <c r="R2434" s="95">
        <v>0</v>
      </c>
      <c r="S2434" s="95"/>
      <c r="T2434" s="95"/>
      <c r="U2434" s="95"/>
      <c r="V2434" s="95"/>
      <c r="W2434" s="95"/>
      <c r="X2434" s="95"/>
      <c r="Y2434" s="95"/>
      <c r="Z2434" s="95"/>
      <c r="AA2434" s="95"/>
      <c r="AB2434" s="95"/>
      <c r="AC2434" s="355"/>
      <c r="AD2434" s="355"/>
      <c r="AE2434" s="355"/>
      <c r="AF2434" s="94">
        <f t="shared" si="315"/>
        <v>43496</v>
      </c>
      <c r="AG2434" s="185">
        <f t="shared" si="318"/>
        <v>2.1565025619835865E-2</v>
      </c>
      <c r="AH2434" s="339" t="str">
        <f>VLOOKUP(B2434,'MF PF'!A:B,2)</f>
        <v>FdMgt1</v>
      </c>
      <c r="AI2434" s="358">
        <f t="shared" si="316"/>
        <v>0</v>
      </c>
      <c r="AJ2434" s="94">
        <f t="shared" si="317"/>
        <v>43496</v>
      </c>
    </row>
    <row r="2435" spans="1:36" ht="12.75" customHeight="1">
      <c r="A2435" s="94">
        <v>43087</v>
      </c>
      <c r="B2435" s="358" t="s">
        <v>175</v>
      </c>
      <c r="C2435" s="92" t="s">
        <v>333</v>
      </c>
      <c r="D2435" s="93"/>
      <c r="E2435" s="95"/>
      <c r="F2435" s="93"/>
      <c r="G2435" s="95">
        <v>16316</v>
      </c>
      <c r="H2435" s="93"/>
      <c r="I2435" s="93"/>
      <c r="K2435" s="93"/>
      <c r="L2435" s="93">
        <f t="shared" ref="L2435:L2498" si="320">G2435+H2435+I2435</f>
        <v>16316</v>
      </c>
      <c r="M2435" s="95">
        <f t="shared" ref="M2435:M2498" ca="1" si="321">IF(A2435&gt;INDIRECT("A"&amp;ROW()-1),I2435/K2435,E2435)</f>
        <v>0</v>
      </c>
      <c r="N2435" s="95">
        <f>IF(P2435="Hedge Fund",IF(A2435=Summary!$AD$3,M2435-E2435,M2435),IF(A2435=Summary!$AD$3,L2435-D2435,L2435))</f>
        <v>16316</v>
      </c>
      <c r="O2435" s="95">
        <f t="shared" ref="O2435:O2466" si="322">N2435</f>
        <v>16316</v>
      </c>
      <c r="P2435" s="107" t="s">
        <v>155</v>
      </c>
      <c r="Q2435" s="95">
        <v>0</v>
      </c>
      <c r="R2435" s="95">
        <v>0</v>
      </c>
      <c r="S2435" s="95"/>
      <c r="T2435" s="95"/>
      <c r="U2435" s="95"/>
      <c r="V2435" s="95"/>
      <c r="W2435" s="95"/>
      <c r="X2435" s="95"/>
      <c r="Y2435" s="95"/>
      <c r="Z2435" s="95"/>
      <c r="AA2435" s="95"/>
      <c r="AB2435" s="95"/>
      <c r="AC2435" s="355"/>
      <c r="AD2435" s="355"/>
      <c r="AE2435" s="355"/>
      <c r="AF2435" s="94">
        <f t="shared" ref="AF2435:AF2498" si="323">A2435</f>
        <v>43087</v>
      </c>
      <c r="AG2435" s="185">
        <f t="shared" si="318"/>
        <v>-1</v>
      </c>
      <c r="AH2435" s="339" t="str">
        <f>VLOOKUP(B2435,'MF PF'!A:B,2)</f>
        <v>FdMgt1</v>
      </c>
      <c r="AI2435" s="358">
        <f t="shared" ref="AI2435:AI2498" si="324">AF2435-A2435</f>
        <v>0</v>
      </c>
      <c r="AJ2435" s="94">
        <f t="shared" ref="AJ2435:AJ2498" si="325">EOMONTH(A2435,0)</f>
        <v>43100</v>
      </c>
    </row>
    <row r="2436" spans="1:36" ht="12.75" customHeight="1">
      <c r="A2436" s="8">
        <v>43087</v>
      </c>
      <c r="B2436" s="358" t="s">
        <v>175</v>
      </c>
      <c r="C2436" s="92" t="s">
        <v>333</v>
      </c>
      <c r="D2436" s="93"/>
      <c r="E2436" s="95"/>
      <c r="F2436" s="93"/>
      <c r="G2436" s="95">
        <v>133684</v>
      </c>
      <c r="H2436" s="93"/>
      <c r="I2436" s="93"/>
      <c r="K2436" s="93"/>
      <c r="L2436" s="93">
        <f t="shared" si="320"/>
        <v>133684</v>
      </c>
      <c r="M2436" s="95">
        <f t="shared" ca="1" si="321"/>
        <v>0</v>
      </c>
      <c r="N2436" s="95">
        <f>IF(P2436="Hedge Fund",IF(A2436=Summary!$AD$3,M2436-E2436,M2436),IF(A2436=Summary!$AD$3,L2436-D2436,L2436))</f>
        <v>133684</v>
      </c>
      <c r="O2436" s="95">
        <f t="shared" si="322"/>
        <v>133684</v>
      </c>
      <c r="P2436" s="107" t="s">
        <v>155</v>
      </c>
      <c r="Q2436" s="95">
        <v>0</v>
      </c>
      <c r="R2436" s="95">
        <v>0</v>
      </c>
      <c r="S2436" s="95"/>
      <c r="T2436" s="95"/>
      <c r="U2436" s="95"/>
      <c r="V2436" s="95"/>
      <c r="W2436" s="95"/>
      <c r="X2436" s="95"/>
      <c r="Y2436" s="95"/>
      <c r="Z2436" s="95"/>
      <c r="AA2436" s="95"/>
      <c r="AB2436" s="95"/>
      <c r="AC2436" s="355"/>
      <c r="AD2436" s="355"/>
      <c r="AE2436" s="355"/>
      <c r="AF2436" s="94">
        <f t="shared" si="323"/>
        <v>43087</v>
      </c>
      <c r="AG2436" s="185" t="e">
        <f t="shared" si="318"/>
        <v>#DIV/0!</v>
      </c>
      <c r="AH2436" s="339" t="str">
        <f>VLOOKUP(B2436,'MF PF'!A:B,2)</f>
        <v>FdMgt1</v>
      </c>
      <c r="AI2436" s="358">
        <f t="shared" si="324"/>
        <v>0</v>
      </c>
      <c r="AJ2436" s="94">
        <f t="shared" si="325"/>
        <v>43100</v>
      </c>
    </row>
    <row r="2437" spans="1:36" ht="12.75" customHeight="1">
      <c r="A2437" s="94">
        <v>43100</v>
      </c>
      <c r="B2437" s="358" t="s">
        <v>175</v>
      </c>
      <c r="C2437" s="358" t="s">
        <v>333</v>
      </c>
      <c r="D2437" s="93">
        <v>169842.62</v>
      </c>
      <c r="E2437" s="95"/>
      <c r="F2437" s="93"/>
      <c r="G2437" s="95"/>
      <c r="H2437" s="93"/>
      <c r="I2437" s="93"/>
      <c r="K2437" s="93"/>
      <c r="L2437" s="93">
        <f t="shared" si="320"/>
        <v>0</v>
      </c>
      <c r="M2437" s="95" t="e">
        <f t="shared" ca="1" si="321"/>
        <v>#DIV/0!</v>
      </c>
      <c r="N2437" s="95">
        <f>IF(P2437="Hedge Fund",IF(A2437=Summary!$AD$3,M2437-E2437,M2437),IF(A2437=Summary!$AD$3,L2437-D2437,L2437))</f>
        <v>0</v>
      </c>
      <c r="O2437" s="95">
        <f t="shared" si="322"/>
        <v>0</v>
      </c>
      <c r="P2437" s="107" t="s">
        <v>155</v>
      </c>
      <c r="Q2437" s="95">
        <v>6.506900000000001E-4</v>
      </c>
      <c r="R2437" s="95">
        <v>3.5016399999999999E-3</v>
      </c>
      <c r="S2437" s="95"/>
      <c r="T2437" s="95"/>
      <c r="U2437" s="95"/>
      <c r="V2437" s="95"/>
      <c r="W2437" s="95"/>
      <c r="X2437" s="95"/>
      <c r="Y2437" s="95"/>
      <c r="Z2437" s="95"/>
      <c r="AA2437" s="95"/>
      <c r="AB2437" s="95"/>
      <c r="AC2437" s="355"/>
      <c r="AD2437" s="355"/>
      <c r="AE2437" s="355"/>
      <c r="AF2437" s="94">
        <f t="shared" si="323"/>
        <v>43100</v>
      </c>
      <c r="AG2437" s="185" t="e">
        <f t="shared" si="318"/>
        <v>#DIV/0!</v>
      </c>
      <c r="AH2437" s="339" t="str">
        <f>VLOOKUP(B2437,'MF PF'!A:B,2)</f>
        <v>FdMgt1</v>
      </c>
      <c r="AI2437" s="358">
        <f t="shared" si="324"/>
        <v>0</v>
      </c>
      <c r="AJ2437" s="94">
        <f t="shared" si="325"/>
        <v>43100</v>
      </c>
    </row>
    <row r="2438" spans="1:36" ht="12.75" customHeight="1">
      <c r="A2438" s="8">
        <v>43131</v>
      </c>
      <c r="B2438" s="358" t="s">
        <v>175</v>
      </c>
      <c r="C2438" s="92" t="s">
        <v>333</v>
      </c>
      <c r="D2438" s="93">
        <v>178172.91</v>
      </c>
      <c r="E2438" s="95"/>
      <c r="F2438" s="93"/>
      <c r="G2438" s="95"/>
      <c r="H2438" s="93"/>
      <c r="I2438" s="93"/>
      <c r="K2438" s="93"/>
      <c r="L2438" s="93">
        <f t="shared" si="320"/>
        <v>0</v>
      </c>
      <c r="M2438" s="95" t="e">
        <f t="shared" ca="1" si="321"/>
        <v>#DIV/0!</v>
      </c>
      <c r="N2438" s="95">
        <f>IF(P2438="Hedge Fund",IF(A2438=Summary!$AD$3,M2438-E2438,M2438),IF(A2438=Summary!$AD$3,L2438-D2438,L2438))</f>
        <v>0</v>
      </c>
      <c r="O2438" s="95">
        <f t="shared" si="322"/>
        <v>0</v>
      </c>
      <c r="P2438" s="107" t="s">
        <v>155</v>
      </c>
      <c r="Q2438" s="95"/>
      <c r="R2438" s="95">
        <v>4.97169E-3</v>
      </c>
      <c r="S2438" s="95"/>
      <c r="T2438" s="95"/>
      <c r="U2438" s="95"/>
      <c r="V2438" s="95"/>
      <c r="W2438" s="95"/>
      <c r="X2438" s="95"/>
      <c r="Y2438" s="95"/>
      <c r="Z2438" s="95"/>
      <c r="AA2438" s="95"/>
      <c r="AB2438" s="95"/>
      <c r="AC2438" s="355"/>
      <c r="AD2438" s="355"/>
      <c r="AE2438" s="355"/>
      <c r="AF2438" s="94">
        <f t="shared" si="323"/>
        <v>43131</v>
      </c>
      <c r="AG2438" s="185">
        <f t="shared" ref="AG2438:AG2501" si="326">IF(C2438&lt;&gt;C2437,D2438/G2438-1,(D2438-G2438-I2438-H2438)/(D2437)-1)</f>
        <v>4.9047111967537971E-2</v>
      </c>
      <c r="AH2438" s="339" t="str">
        <f>VLOOKUP(B2438,'MF PF'!A:B,2)</f>
        <v>FdMgt1</v>
      </c>
      <c r="AI2438" s="358">
        <f t="shared" si="324"/>
        <v>0</v>
      </c>
      <c r="AJ2438" s="94">
        <f t="shared" si="325"/>
        <v>43131</v>
      </c>
    </row>
    <row r="2439" spans="1:36" ht="12.75" customHeight="1">
      <c r="A2439" s="94">
        <v>43159</v>
      </c>
      <c r="B2439" s="358" t="s">
        <v>175</v>
      </c>
      <c r="C2439" s="92" t="s">
        <v>333</v>
      </c>
      <c r="D2439" s="93">
        <v>178690.6</v>
      </c>
      <c r="E2439" s="95"/>
      <c r="F2439" s="93"/>
      <c r="G2439" s="95"/>
      <c r="H2439" s="93"/>
      <c r="I2439" s="93"/>
      <c r="K2439" s="93"/>
      <c r="L2439" s="93">
        <f t="shared" si="320"/>
        <v>0</v>
      </c>
      <c r="M2439" s="95" t="e">
        <f t="shared" ca="1" si="321"/>
        <v>#DIV/0!</v>
      </c>
      <c r="N2439" s="95">
        <f>IF(P2439="Hedge Fund",IF(A2439=Summary!$AD$3,M2439-E2439,M2439),IF(A2439=Summary!$AD$3,L2439-D2439,L2439))</f>
        <v>0</v>
      </c>
      <c r="O2439" s="95">
        <f t="shared" si="322"/>
        <v>0</v>
      </c>
      <c r="P2439" s="107" t="s">
        <v>155</v>
      </c>
      <c r="Q2439" s="95"/>
      <c r="R2439" s="95">
        <v>5.0630500000000004E-3</v>
      </c>
      <c r="S2439" s="95"/>
      <c r="T2439" s="95"/>
      <c r="U2439" s="95"/>
      <c r="V2439" s="95"/>
      <c r="W2439" s="95"/>
      <c r="X2439" s="95"/>
      <c r="Y2439" s="95"/>
      <c r="Z2439" s="95"/>
      <c r="AA2439" s="95"/>
      <c r="AB2439" s="95"/>
      <c r="AC2439" s="355"/>
      <c r="AD2439" s="355"/>
      <c r="AE2439" s="355"/>
      <c r="AF2439" s="94">
        <f t="shared" si="323"/>
        <v>43159</v>
      </c>
      <c r="AG2439" s="185">
        <f t="shared" si="326"/>
        <v>2.9055483238165092E-3</v>
      </c>
      <c r="AH2439" s="339" t="str">
        <f>VLOOKUP(B2439,'MF PF'!A:B,2)</f>
        <v>FdMgt1</v>
      </c>
      <c r="AI2439" s="358">
        <f t="shared" si="324"/>
        <v>0</v>
      </c>
      <c r="AJ2439" s="94">
        <f t="shared" si="325"/>
        <v>43159</v>
      </c>
    </row>
    <row r="2440" spans="1:36" ht="12.75" customHeight="1">
      <c r="A2440" s="8">
        <v>43190</v>
      </c>
      <c r="B2440" s="358" t="s">
        <v>175</v>
      </c>
      <c r="C2440" s="92" t="s">
        <v>333</v>
      </c>
      <c r="D2440" s="93">
        <v>180416.8</v>
      </c>
      <c r="E2440" s="95"/>
      <c r="F2440" s="93"/>
      <c r="G2440" s="95"/>
      <c r="H2440" s="93"/>
      <c r="I2440" s="93"/>
      <c r="K2440" s="93"/>
      <c r="L2440" s="93">
        <f t="shared" si="320"/>
        <v>0</v>
      </c>
      <c r="M2440" s="95" t="e">
        <f t="shared" ca="1" si="321"/>
        <v>#DIV/0!</v>
      </c>
      <c r="N2440" s="95">
        <f>IF(P2440="Hedge Fund",IF(A2440=Summary!$AD$3,M2440-E2440,M2440),IF(A2440=Summary!$AD$3,L2440-D2440,L2440))</f>
        <v>0</v>
      </c>
      <c r="O2440" s="95">
        <f t="shared" si="322"/>
        <v>0</v>
      </c>
      <c r="P2440" s="107" t="s">
        <v>155</v>
      </c>
      <c r="Q2440" s="95">
        <v>6.8970000000000001E-4</v>
      </c>
      <c r="R2440" s="95">
        <v>5.3676699999999997E-3</v>
      </c>
      <c r="S2440" s="95"/>
      <c r="T2440" s="95"/>
      <c r="U2440" s="95"/>
      <c r="V2440" s="95"/>
      <c r="W2440" s="95"/>
      <c r="X2440" s="95"/>
      <c r="Y2440" s="95"/>
      <c r="Z2440" s="95"/>
      <c r="AA2440" s="95"/>
      <c r="AB2440" s="95"/>
      <c r="AC2440" s="355"/>
      <c r="AD2440" s="355"/>
      <c r="AE2440" s="355"/>
      <c r="AF2440" s="94">
        <f t="shared" si="323"/>
        <v>43190</v>
      </c>
      <c r="AG2440" s="185">
        <f t="shared" si="326"/>
        <v>9.6602731201305136E-3</v>
      </c>
      <c r="AH2440" s="339" t="str">
        <f>VLOOKUP(B2440,'MF PF'!A:B,2)</f>
        <v>FdMgt1</v>
      </c>
      <c r="AI2440" s="358">
        <f t="shared" si="324"/>
        <v>0</v>
      </c>
      <c r="AJ2440" s="94">
        <f t="shared" si="325"/>
        <v>43190</v>
      </c>
    </row>
    <row r="2441" spans="1:36" ht="12.75" customHeight="1">
      <c r="A2441" s="8">
        <v>43220</v>
      </c>
      <c r="B2441" s="358" t="s">
        <v>175</v>
      </c>
      <c r="C2441" s="92" t="s">
        <v>333</v>
      </c>
      <c r="D2441" s="93">
        <v>178764.21</v>
      </c>
      <c r="E2441" s="95"/>
      <c r="F2441" s="93"/>
      <c r="G2441" s="95"/>
      <c r="H2441" s="93"/>
      <c r="I2441" s="93"/>
      <c r="K2441" s="93"/>
      <c r="L2441" s="93">
        <f t="shared" si="320"/>
        <v>0</v>
      </c>
      <c r="M2441" s="95" t="e">
        <f t="shared" ca="1" si="321"/>
        <v>#DIV/0!</v>
      </c>
      <c r="N2441" s="95">
        <f>IF(P2441="Hedge Fund",IF(A2441=Summary!$AD$3,M2441-E2441,M2441),IF(A2441=Summary!$AD$3,L2441-D2441,L2441))</f>
        <v>0</v>
      </c>
      <c r="O2441" s="95">
        <f t="shared" si="322"/>
        <v>0</v>
      </c>
      <c r="P2441" s="107" t="s">
        <v>155</v>
      </c>
      <c r="Q2441" s="95"/>
      <c r="R2441" s="95">
        <v>5.0760399999999995E-3</v>
      </c>
      <c r="S2441" s="95"/>
      <c r="T2441" s="95"/>
      <c r="U2441" s="95"/>
      <c r="V2441" s="95"/>
      <c r="W2441" s="95"/>
      <c r="X2441" s="95"/>
      <c r="Y2441" s="95"/>
      <c r="Z2441" s="95"/>
      <c r="AA2441" s="95"/>
      <c r="AB2441" s="95"/>
      <c r="AC2441" s="355"/>
      <c r="AD2441" s="355"/>
      <c r="AE2441" s="355"/>
      <c r="AF2441" s="94">
        <f t="shared" si="323"/>
        <v>43220</v>
      </c>
      <c r="AG2441" s="185">
        <f t="shared" si="326"/>
        <v>-9.1598454245945815E-3</v>
      </c>
      <c r="AH2441" s="339" t="str">
        <f>VLOOKUP(B2441,'MF PF'!A:B,2)</f>
        <v>FdMgt1</v>
      </c>
      <c r="AI2441" s="358">
        <f t="shared" si="324"/>
        <v>0</v>
      </c>
      <c r="AJ2441" s="94">
        <f t="shared" si="325"/>
        <v>43220</v>
      </c>
    </row>
    <row r="2442" spans="1:36" ht="12.75" customHeight="1">
      <c r="A2442" s="8">
        <v>43251</v>
      </c>
      <c r="B2442" s="358" t="s">
        <v>175</v>
      </c>
      <c r="C2442" s="92" t="s">
        <v>333</v>
      </c>
      <c r="D2442" s="93">
        <v>180496.42</v>
      </c>
      <c r="E2442" s="95"/>
      <c r="F2442" s="93"/>
      <c r="G2442" s="95"/>
      <c r="H2442" s="93"/>
      <c r="I2442" s="93"/>
      <c r="K2442" s="93"/>
      <c r="L2442" s="93">
        <f t="shared" si="320"/>
        <v>0</v>
      </c>
      <c r="M2442" s="95" t="e">
        <f t="shared" ca="1" si="321"/>
        <v>#DIV/0!</v>
      </c>
      <c r="N2442" s="95">
        <f>IF(P2442="Hedge Fund",IF(A2442=Summary!$AD$3,M2442-E2442,M2442),IF(A2442=Summary!$AD$3,L2442-D2442,L2442))</f>
        <v>0</v>
      </c>
      <c r="O2442" s="95">
        <f t="shared" si="322"/>
        <v>0</v>
      </c>
      <c r="P2442" s="107" t="s">
        <v>155</v>
      </c>
      <c r="Q2442" s="95"/>
      <c r="R2442" s="95">
        <v>5.3817200000000004E-3</v>
      </c>
      <c r="S2442" s="95"/>
      <c r="T2442" s="95"/>
      <c r="U2442" s="95"/>
      <c r="V2442" s="95"/>
      <c r="W2442" s="95"/>
      <c r="X2442" s="95"/>
      <c r="Y2442" s="95"/>
      <c r="Z2442" s="95"/>
      <c r="AA2442" s="95"/>
      <c r="AB2442" s="95"/>
      <c r="AC2442" s="355"/>
      <c r="AD2442" s="355"/>
      <c r="AE2442" s="355"/>
      <c r="AF2442" s="94">
        <f t="shared" si="323"/>
        <v>43251</v>
      </c>
      <c r="AG2442" s="185">
        <f t="shared" si="326"/>
        <v>9.6899150003237899E-3</v>
      </c>
      <c r="AH2442" s="339" t="str">
        <f>VLOOKUP(B2442,'MF PF'!A:B,2)</f>
        <v>FdMgt1</v>
      </c>
      <c r="AI2442" s="358">
        <f t="shared" si="324"/>
        <v>0</v>
      </c>
      <c r="AJ2442" s="94">
        <f t="shared" si="325"/>
        <v>43251</v>
      </c>
    </row>
    <row r="2443" spans="1:36" ht="12.75" customHeight="1">
      <c r="A2443" s="8">
        <v>43281</v>
      </c>
      <c r="B2443" s="358" t="s">
        <v>175</v>
      </c>
      <c r="C2443" s="92" t="s">
        <v>333</v>
      </c>
      <c r="D2443" s="93">
        <v>179807.7</v>
      </c>
      <c r="E2443" s="95"/>
      <c r="F2443" s="93"/>
      <c r="G2443" s="95"/>
      <c r="H2443" s="93"/>
      <c r="I2443" s="93"/>
      <c r="K2443" s="93"/>
      <c r="L2443" s="93">
        <f t="shared" si="320"/>
        <v>0</v>
      </c>
      <c r="M2443" s="95" t="e">
        <f t="shared" ca="1" si="321"/>
        <v>#DIV/0!</v>
      </c>
      <c r="N2443" s="95">
        <f>IF(P2443="Hedge Fund",IF(A2443=Summary!$AD$3,M2443-E2443,M2443),IF(A2443=Summary!$AD$3,L2443-D2443,L2443))</f>
        <v>0</v>
      </c>
      <c r="O2443" s="95">
        <f t="shared" si="322"/>
        <v>0</v>
      </c>
      <c r="P2443" s="107" t="s">
        <v>155</v>
      </c>
      <c r="Q2443" s="95">
        <v>7.0235999999999996E-4</v>
      </c>
      <c r="R2443" s="95">
        <v>5.2601800000000006E-3</v>
      </c>
      <c r="S2443" s="95"/>
      <c r="T2443" s="95"/>
      <c r="U2443" s="95"/>
      <c r="V2443" s="95"/>
      <c r="W2443" s="95"/>
      <c r="X2443" s="95"/>
      <c r="Y2443" s="95"/>
      <c r="Z2443" s="95"/>
      <c r="AA2443" s="95"/>
      <c r="AB2443" s="95"/>
      <c r="AC2443" s="355"/>
      <c r="AD2443" s="355"/>
      <c r="AE2443" s="355"/>
      <c r="AF2443" s="94">
        <f t="shared" si="323"/>
        <v>43281</v>
      </c>
      <c r="AG2443" s="185">
        <f t="shared" si="326"/>
        <v>-3.815698948488877E-3</v>
      </c>
      <c r="AH2443" s="339" t="str">
        <f>VLOOKUP(B2443,'MF PF'!A:B,2)</f>
        <v>FdMgt1</v>
      </c>
      <c r="AI2443" s="358">
        <f t="shared" si="324"/>
        <v>0</v>
      </c>
      <c r="AJ2443" s="94">
        <f t="shared" si="325"/>
        <v>43281</v>
      </c>
    </row>
    <row r="2444" spans="1:36" ht="12.75" customHeight="1">
      <c r="A2444" s="94">
        <v>43312</v>
      </c>
      <c r="B2444" s="358" t="s">
        <v>175</v>
      </c>
      <c r="C2444" s="92" t="s">
        <v>333</v>
      </c>
      <c r="D2444" s="93">
        <v>177602.97</v>
      </c>
      <c r="E2444" s="95"/>
      <c r="F2444" s="93"/>
      <c r="G2444" s="95"/>
      <c r="H2444" s="93"/>
      <c r="I2444" s="93"/>
      <c r="K2444" s="93"/>
      <c r="L2444" s="93">
        <f t="shared" si="320"/>
        <v>0</v>
      </c>
      <c r="M2444" s="95" t="e">
        <f t="shared" ca="1" si="321"/>
        <v>#DIV/0!</v>
      </c>
      <c r="N2444" s="95">
        <f>IF(P2444="Hedge Fund",IF(A2444=Summary!$AD$3,M2444-E2444,M2444),IF(A2444=Summary!$AD$3,L2444-D2444,L2444))</f>
        <v>0</v>
      </c>
      <c r="O2444" s="95">
        <f t="shared" si="322"/>
        <v>0</v>
      </c>
      <c r="P2444" s="107" t="s">
        <v>155</v>
      </c>
      <c r="Q2444" s="95">
        <v>0</v>
      </c>
      <c r="R2444" s="95">
        <v>4.8711099999999997E-3</v>
      </c>
      <c r="S2444" s="95"/>
      <c r="T2444" s="95"/>
      <c r="U2444" s="95"/>
      <c r="V2444" s="95"/>
      <c r="W2444" s="95"/>
      <c r="X2444" s="95"/>
      <c r="Y2444" s="95"/>
      <c r="Z2444" s="95"/>
      <c r="AA2444" s="95"/>
      <c r="AB2444" s="95"/>
      <c r="AC2444" s="355"/>
      <c r="AD2444" s="355"/>
      <c r="AE2444" s="355"/>
      <c r="AF2444" s="94">
        <f t="shared" si="323"/>
        <v>43312</v>
      </c>
      <c r="AG2444" s="185">
        <f t="shared" si="326"/>
        <v>-1.22615994754397E-2</v>
      </c>
      <c r="AH2444" s="339" t="str">
        <f>VLOOKUP(B2444,'MF PF'!A:B,2)</f>
        <v>FdMgt1</v>
      </c>
      <c r="AI2444" s="358">
        <f t="shared" si="324"/>
        <v>0</v>
      </c>
      <c r="AJ2444" s="94">
        <f t="shared" si="325"/>
        <v>43312</v>
      </c>
    </row>
    <row r="2445" spans="1:36" ht="12.75" customHeight="1">
      <c r="A2445" s="8">
        <v>43343</v>
      </c>
      <c r="B2445" s="358" t="s">
        <v>175</v>
      </c>
      <c r="C2445" s="92" t="s">
        <v>333</v>
      </c>
      <c r="D2445" s="93">
        <v>176177.76</v>
      </c>
      <c r="E2445" s="95"/>
      <c r="F2445" s="93"/>
      <c r="G2445" s="95"/>
      <c r="H2445" s="93"/>
      <c r="I2445" s="93"/>
      <c r="K2445" s="93"/>
      <c r="L2445" s="93">
        <f t="shared" si="320"/>
        <v>0</v>
      </c>
      <c r="M2445" s="95" t="e">
        <f t="shared" ca="1" si="321"/>
        <v>#DIV/0!</v>
      </c>
      <c r="N2445" s="95">
        <f>IF(P2445="Hedge Fund",IF(A2445=Summary!$AD$3,M2445-E2445,M2445),IF(A2445=Summary!$AD$3,L2445-D2445,L2445))</f>
        <v>0</v>
      </c>
      <c r="O2445" s="95">
        <f t="shared" si="322"/>
        <v>0</v>
      </c>
      <c r="P2445" s="107" t="s">
        <v>155</v>
      </c>
      <c r="Q2445" s="95">
        <v>0</v>
      </c>
      <c r="R2445" s="95">
        <v>4.6196099999999997E-3</v>
      </c>
      <c r="S2445" s="95"/>
      <c r="T2445" s="95"/>
      <c r="U2445" s="95"/>
      <c r="V2445" s="95"/>
      <c r="W2445" s="95"/>
      <c r="X2445" s="95"/>
      <c r="Y2445" s="95"/>
      <c r="Z2445" s="95"/>
      <c r="AA2445" s="95"/>
      <c r="AB2445" s="95"/>
      <c r="AC2445" s="355"/>
      <c r="AD2445" s="355"/>
      <c r="AE2445" s="355"/>
      <c r="AF2445" s="94">
        <f t="shared" si="323"/>
        <v>43343</v>
      </c>
      <c r="AG2445" s="185">
        <f t="shared" si="326"/>
        <v>-8.0246968842919708E-3</v>
      </c>
      <c r="AH2445" s="339" t="str">
        <f>VLOOKUP(B2445,'MF PF'!A:B,2)</f>
        <v>FdMgt1</v>
      </c>
      <c r="AI2445" s="358">
        <f t="shared" si="324"/>
        <v>0</v>
      </c>
      <c r="AJ2445" s="94">
        <f t="shared" si="325"/>
        <v>43343</v>
      </c>
    </row>
    <row r="2446" spans="1:36" ht="12.75" customHeight="1">
      <c r="A2446" s="8">
        <v>43373</v>
      </c>
      <c r="B2446" s="358" t="s">
        <v>175</v>
      </c>
      <c r="C2446" s="92" t="s">
        <v>333</v>
      </c>
      <c r="D2446" s="93">
        <v>169758.04</v>
      </c>
      <c r="E2446" s="95"/>
      <c r="F2446" s="93"/>
      <c r="G2446" s="95"/>
      <c r="H2446" s="93"/>
      <c r="I2446" s="93"/>
      <c r="K2446" s="93"/>
      <c r="L2446" s="93">
        <f t="shared" si="320"/>
        <v>0</v>
      </c>
      <c r="M2446" s="95" t="e">
        <f t="shared" ca="1" si="321"/>
        <v>#DIV/0!</v>
      </c>
      <c r="N2446" s="95">
        <f>IF(P2446="Hedge Fund",IF(A2446=Summary!$AD$3,M2446-E2446,M2446),IF(A2446=Summary!$AD$3,L2446-D2446,L2446))</f>
        <v>0</v>
      </c>
      <c r="O2446" s="95">
        <f t="shared" si="322"/>
        <v>0</v>
      </c>
      <c r="P2446" s="107" t="s">
        <v>155</v>
      </c>
      <c r="Q2446" s="95">
        <v>6.5032000000000002E-4</v>
      </c>
      <c r="R2446" s="95">
        <v>3.4867100000000001E-3</v>
      </c>
      <c r="S2446" s="95"/>
      <c r="T2446" s="95"/>
      <c r="U2446" s="95"/>
      <c r="V2446" s="95"/>
      <c r="W2446" s="95"/>
      <c r="X2446" s="95"/>
      <c r="Y2446" s="95"/>
      <c r="Z2446" s="95"/>
      <c r="AA2446" s="95"/>
      <c r="AB2446" s="95"/>
      <c r="AC2446" s="355"/>
      <c r="AD2446" s="355"/>
      <c r="AE2446" s="355"/>
      <c r="AF2446" s="94">
        <f t="shared" si="323"/>
        <v>43373</v>
      </c>
      <c r="AG2446" s="185">
        <f t="shared" si="326"/>
        <v>-3.6438878550845488E-2</v>
      </c>
      <c r="AH2446" s="339" t="str">
        <f>VLOOKUP(B2446,'MF PF'!A:B,2)</f>
        <v>FdMgt1</v>
      </c>
      <c r="AI2446" s="358">
        <f t="shared" si="324"/>
        <v>0</v>
      </c>
      <c r="AJ2446" s="94">
        <f t="shared" si="325"/>
        <v>43373</v>
      </c>
    </row>
    <row r="2447" spans="1:36" ht="12.75" customHeight="1">
      <c r="A2447" s="8">
        <v>43404</v>
      </c>
      <c r="B2447" s="358" t="s">
        <v>175</v>
      </c>
      <c r="C2447" s="92" t="s">
        <v>333</v>
      </c>
      <c r="D2447" s="93">
        <v>167700.63800000001</v>
      </c>
      <c r="E2447" s="95"/>
      <c r="F2447" s="93">
        <v>0.15</v>
      </c>
      <c r="G2447" s="93"/>
      <c r="H2447" s="93">
        <v>0</v>
      </c>
      <c r="I2447" s="93">
        <v>0</v>
      </c>
      <c r="J2447" s="93">
        <v>0</v>
      </c>
      <c r="K2447" s="93"/>
      <c r="L2447" s="93">
        <f t="shared" si="320"/>
        <v>0</v>
      </c>
      <c r="M2447" s="95" t="e">
        <f t="shared" ca="1" si="321"/>
        <v>#DIV/0!</v>
      </c>
      <c r="N2447" s="95">
        <f>IF(P2447="Hedge Fund",IF(A2447=Summary!$AD$3,M2447-E2447,M2447),IF(A2447=Summary!$AD$3,L2447-D2447,L2447))</f>
        <v>0</v>
      </c>
      <c r="O2447" s="95">
        <f t="shared" si="322"/>
        <v>0</v>
      </c>
      <c r="P2447" s="95" t="s">
        <v>155</v>
      </c>
      <c r="Q2447" s="95">
        <v>8.8229382378804139E-4</v>
      </c>
      <c r="R2447" s="95">
        <v>3.1236419999999998E-3</v>
      </c>
      <c r="S2447" s="95"/>
      <c r="T2447" s="95"/>
      <c r="U2447" s="95"/>
      <c r="V2447" s="95"/>
      <c r="W2447" s="95"/>
      <c r="X2447" s="95"/>
      <c r="Y2447" s="95"/>
      <c r="Z2447" s="95"/>
      <c r="AA2447" s="95"/>
      <c r="AB2447" s="95"/>
      <c r="AC2447" s="355"/>
      <c r="AD2447" s="355"/>
      <c r="AE2447" s="355"/>
      <c r="AF2447" s="94">
        <f t="shared" si="323"/>
        <v>43404</v>
      </c>
      <c r="AG2447" s="185">
        <f t="shared" si="326"/>
        <v>-1.211961448188259E-2</v>
      </c>
      <c r="AH2447" s="339" t="str">
        <f>VLOOKUP(B2447,'MF PF'!A:B,2)</f>
        <v>FdMgt1</v>
      </c>
      <c r="AI2447" s="358">
        <f t="shared" si="324"/>
        <v>0</v>
      </c>
      <c r="AJ2447" s="94">
        <f t="shared" si="325"/>
        <v>43404</v>
      </c>
    </row>
    <row r="2448" spans="1:36" ht="12.75" customHeight="1">
      <c r="A2448" s="94">
        <v>43434</v>
      </c>
      <c r="B2448" s="358" t="s">
        <v>175</v>
      </c>
      <c r="C2448" s="358" t="s">
        <v>333</v>
      </c>
      <c r="D2448" s="93">
        <v>167639.897</v>
      </c>
      <c r="E2448" s="95"/>
      <c r="F2448" s="93">
        <v>0.15</v>
      </c>
      <c r="G2448" s="93"/>
      <c r="H2448" s="93">
        <v>0</v>
      </c>
      <c r="I2448" s="93">
        <v>0</v>
      </c>
      <c r="K2448" s="93">
        <v>0</v>
      </c>
      <c r="L2448" s="93">
        <f t="shared" si="320"/>
        <v>0</v>
      </c>
      <c r="M2448" s="95" t="e">
        <f t="shared" ca="1" si="321"/>
        <v>#DIV/0!</v>
      </c>
      <c r="N2448" s="95">
        <f>IF(P2448="Hedge Fund",IF(A2448=Summary!$AD$3,M2448-E2448,M2448),IF(A2448=Summary!$AD$3,L2448-D2448,L2448))</f>
        <v>0</v>
      </c>
      <c r="O2448" s="95">
        <f t="shared" si="322"/>
        <v>0</v>
      </c>
      <c r="P2448" s="95" t="s">
        <v>155</v>
      </c>
      <c r="Q2448" s="95">
        <v>4.4487524655794324E-4</v>
      </c>
      <c r="R2448" s="95">
        <v>3.1129230000000009E-3</v>
      </c>
      <c r="S2448" s="95"/>
      <c r="T2448" s="95"/>
      <c r="U2448" s="95"/>
      <c r="V2448" s="95"/>
      <c r="W2448" s="95"/>
      <c r="X2448" s="95"/>
      <c r="Y2448" s="95"/>
      <c r="Z2448" s="95"/>
      <c r="AA2448" s="95"/>
      <c r="AB2448" s="95"/>
      <c r="AC2448" s="355"/>
      <c r="AD2448" s="355"/>
      <c r="AE2448" s="355"/>
      <c r="AF2448" s="94">
        <f t="shared" si="323"/>
        <v>43434</v>
      </c>
      <c r="AG2448" s="185">
        <f t="shared" si="326"/>
        <v>-3.6219897982747717E-4</v>
      </c>
      <c r="AH2448" s="339" t="str">
        <f>VLOOKUP(B2448,'MF PF'!A:B,2)</f>
        <v>FdMgt1</v>
      </c>
      <c r="AI2448" s="358">
        <f t="shared" si="324"/>
        <v>0</v>
      </c>
      <c r="AJ2448" s="94">
        <f t="shared" si="325"/>
        <v>43434</v>
      </c>
    </row>
    <row r="2449" spans="1:36" ht="12.75" customHeight="1">
      <c r="A2449" s="94">
        <v>43465</v>
      </c>
      <c r="B2449" s="358" t="s">
        <v>175</v>
      </c>
      <c r="C2449" s="358" t="s">
        <v>333</v>
      </c>
      <c r="D2449" s="93">
        <v>170138.33600000001</v>
      </c>
      <c r="E2449" s="95"/>
      <c r="F2449" s="93">
        <v>0.15</v>
      </c>
      <c r="G2449" s="93"/>
      <c r="H2449" s="93">
        <v>0</v>
      </c>
      <c r="I2449" s="93">
        <v>0</v>
      </c>
      <c r="K2449" s="93">
        <v>0</v>
      </c>
      <c r="L2449" s="93">
        <f t="shared" si="320"/>
        <v>0</v>
      </c>
      <c r="M2449" s="95" t="e">
        <f t="shared" ca="1" si="321"/>
        <v>#DIV/0!</v>
      </c>
      <c r="N2449" s="95">
        <f>IF(P2449="Hedge Fund",IF(A2449=Summary!$AD$3,M2449-E2449,M2449),IF(A2449=Summary!$AD$3,L2449-D2449,L2449))</f>
        <v>0</v>
      </c>
      <c r="O2449" s="95">
        <f t="shared" si="322"/>
        <v>0</v>
      </c>
      <c r="P2449" s="95" t="s">
        <v>155</v>
      </c>
      <c r="Q2449" s="95">
        <v>6.735772413282784E-4</v>
      </c>
      <c r="R2449" s="95">
        <v>3.5538240000000006E-3</v>
      </c>
      <c r="S2449" s="95"/>
      <c r="T2449" s="95"/>
      <c r="U2449" s="95"/>
      <c r="V2449" s="95"/>
      <c r="W2449" s="95"/>
      <c r="X2449" s="95"/>
      <c r="Y2449" s="95"/>
      <c r="Z2449" s="95"/>
      <c r="AA2449" s="95"/>
      <c r="AB2449" s="95"/>
      <c r="AC2449" s="355"/>
      <c r="AD2449" s="355"/>
      <c r="AE2449" s="355"/>
      <c r="AF2449" s="94">
        <f t="shared" si="323"/>
        <v>43465</v>
      </c>
      <c r="AG2449" s="185">
        <f t="shared" si="326"/>
        <v>1.4903606150509674E-2</v>
      </c>
      <c r="AH2449" s="339" t="str">
        <f>VLOOKUP(B2449,'MF PF'!A:B,2)</f>
        <v>FdMgt1</v>
      </c>
      <c r="AI2449" s="358">
        <f t="shared" si="324"/>
        <v>0</v>
      </c>
      <c r="AJ2449" s="94">
        <f t="shared" si="325"/>
        <v>43465</v>
      </c>
    </row>
    <row r="2450" spans="1:36" ht="12.75" customHeight="1">
      <c r="A2450" s="94">
        <v>43496</v>
      </c>
      <c r="B2450" s="358" t="s">
        <v>175</v>
      </c>
      <c r="C2450" s="358" t="s">
        <v>333</v>
      </c>
      <c r="D2450" s="93">
        <v>174403.8315</v>
      </c>
      <c r="E2450" s="95"/>
      <c r="F2450" s="93">
        <v>0.15</v>
      </c>
      <c r="G2450" s="93"/>
      <c r="H2450" s="93">
        <v>0</v>
      </c>
      <c r="I2450" s="93">
        <v>0</v>
      </c>
      <c r="K2450" s="93">
        <v>0</v>
      </c>
      <c r="L2450" s="93">
        <f t="shared" si="320"/>
        <v>0</v>
      </c>
      <c r="M2450" s="95" t="e">
        <f t="shared" ca="1" si="321"/>
        <v>#DIV/0!</v>
      </c>
      <c r="N2450" s="95">
        <f>IF(P2450="Hedge Fund",IF(A2450=Summary!$AD$3,M2450-E2450,M2450),IF(A2450=Summary!$AD$3,L2450-D2450,L2450))</f>
        <v>-174403.8315</v>
      </c>
      <c r="O2450" s="95">
        <f t="shared" si="322"/>
        <v>-174403.8315</v>
      </c>
      <c r="P2450" s="95" t="s">
        <v>155</v>
      </c>
      <c r="Q2450" s="95">
        <v>2.2798572715954768E-4</v>
      </c>
      <c r="R2450" s="95">
        <v>4.3065585000000017E-3</v>
      </c>
      <c r="S2450" s="95"/>
      <c r="T2450" s="95"/>
      <c r="U2450" s="95"/>
      <c r="V2450" s="95"/>
      <c r="W2450" s="95"/>
      <c r="X2450" s="95"/>
      <c r="Y2450" s="95"/>
      <c r="Z2450" s="95"/>
      <c r="AA2450" s="95"/>
      <c r="AB2450" s="95"/>
      <c r="AC2450" s="355"/>
      <c r="AD2450" s="355"/>
      <c r="AE2450" s="355"/>
      <c r="AF2450" s="94">
        <f t="shared" si="323"/>
        <v>43496</v>
      </c>
      <c r="AG2450" s="185">
        <f t="shared" si="326"/>
        <v>2.5070748899295614E-2</v>
      </c>
      <c r="AH2450" s="339" t="str">
        <f>VLOOKUP(B2450,'MF PF'!A:B,2)</f>
        <v>FdMgt1</v>
      </c>
      <c r="AI2450" s="358">
        <f t="shared" si="324"/>
        <v>0</v>
      </c>
      <c r="AJ2450" s="94">
        <f t="shared" si="325"/>
        <v>43496</v>
      </c>
    </row>
    <row r="2451" spans="1:36" ht="12.75" customHeight="1">
      <c r="A2451" s="8">
        <v>43087</v>
      </c>
      <c r="B2451" s="358" t="s">
        <v>175</v>
      </c>
      <c r="C2451" s="92" t="s">
        <v>334</v>
      </c>
      <c r="D2451" s="93"/>
      <c r="E2451" s="95"/>
      <c r="F2451" s="93"/>
      <c r="G2451" s="95">
        <v>10877</v>
      </c>
      <c r="H2451" s="93"/>
      <c r="I2451" s="93"/>
      <c r="K2451" s="93"/>
      <c r="L2451" s="93">
        <f t="shared" si="320"/>
        <v>10877</v>
      </c>
      <c r="M2451" s="95">
        <f t="shared" ca="1" si="321"/>
        <v>0</v>
      </c>
      <c r="N2451" s="95">
        <f>IF(P2451="Hedge Fund",IF(A2451=Summary!$AD$3,M2451-E2451,M2451),IF(A2451=Summary!$AD$3,L2451-D2451,L2451))</f>
        <v>10877</v>
      </c>
      <c r="O2451" s="95">
        <f t="shared" si="322"/>
        <v>10877</v>
      </c>
      <c r="P2451" s="107" t="s">
        <v>155</v>
      </c>
      <c r="Q2451" s="95">
        <v>0</v>
      </c>
      <c r="R2451" s="95">
        <v>0</v>
      </c>
      <c r="S2451" s="95"/>
      <c r="T2451" s="95"/>
      <c r="U2451" s="95"/>
      <c r="V2451" s="95"/>
      <c r="W2451" s="95"/>
      <c r="X2451" s="95"/>
      <c r="Y2451" s="95"/>
      <c r="Z2451" s="95"/>
      <c r="AA2451" s="95"/>
      <c r="AB2451" s="95"/>
      <c r="AC2451" s="355"/>
      <c r="AD2451" s="355"/>
      <c r="AE2451" s="355"/>
      <c r="AF2451" s="94">
        <f t="shared" si="323"/>
        <v>43087</v>
      </c>
      <c r="AG2451" s="185">
        <f t="shared" si="326"/>
        <v>-1</v>
      </c>
      <c r="AH2451" s="339" t="str">
        <f>VLOOKUP(B2451,'MF PF'!A:B,2)</f>
        <v>FdMgt1</v>
      </c>
      <c r="AI2451" s="358">
        <f t="shared" si="324"/>
        <v>0</v>
      </c>
      <c r="AJ2451" s="94">
        <f t="shared" si="325"/>
        <v>43100</v>
      </c>
    </row>
    <row r="2452" spans="1:36" ht="12.75" customHeight="1">
      <c r="A2452" s="8">
        <v>43087</v>
      </c>
      <c r="B2452" s="358" t="s">
        <v>175</v>
      </c>
      <c r="C2452" s="92" t="s">
        <v>334</v>
      </c>
      <c r="D2452" s="93"/>
      <c r="E2452" s="95"/>
      <c r="F2452" s="93"/>
      <c r="G2452" s="95">
        <v>89123</v>
      </c>
      <c r="H2452" s="93"/>
      <c r="I2452" s="93"/>
      <c r="K2452" s="93"/>
      <c r="L2452" s="93">
        <f t="shared" si="320"/>
        <v>89123</v>
      </c>
      <c r="M2452" s="95">
        <f t="shared" ca="1" si="321"/>
        <v>0</v>
      </c>
      <c r="N2452" s="95">
        <f>IF(P2452="Hedge Fund",IF(A2452=Summary!$AD$3,M2452-E2452,M2452),IF(A2452=Summary!$AD$3,L2452-D2452,L2452))</f>
        <v>89123</v>
      </c>
      <c r="O2452" s="95">
        <f t="shared" si="322"/>
        <v>89123</v>
      </c>
      <c r="P2452" s="107" t="s">
        <v>155</v>
      </c>
      <c r="Q2452" s="95">
        <v>0</v>
      </c>
      <c r="R2452" s="95">
        <v>0</v>
      </c>
      <c r="S2452" s="95"/>
      <c r="T2452" s="95"/>
      <c r="U2452" s="95"/>
      <c r="V2452" s="95"/>
      <c r="W2452" s="95"/>
      <c r="X2452" s="95"/>
      <c r="Y2452" s="95"/>
      <c r="Z2452" s="95"/>
      <c r="AA2452" s="95"/>
      <c r="AB2452" s="95"/>
      <c r="AC2452" s="355"/>
      <c r="AD2452" s="355"/>
      <c r="AE2452" s="355"/>
      <c r="AF2452" s="94">
        <f t="shared" si="323"/>
        <v>43087</v>
      </c>
      <c r="AG2452" s="185" t="e">
        <f t="shared" si="326"/>
        <v>#DIV/0!</v>
      </c>
      <c r="AH2452" s="339" t="str">
        <f>VLOOKUP(B2452,'MF PF'!A:B,2)</f>
        <v>FdMgt1</v>
      </c>
      <c r="AI2452" s="358">
        <f t="shared" si="324"/>
        <v>0</v>
      </c>
      <c r="AJ2452" s="94">
        <f t="shared" si="325"/>
        <v>43100</v>
      </c>
    </row>
    <row r="2453" spans="1:36" ht="12.75" customHeight="1">
      <c r="A2453" s="8">
        <v>43100</v>
      </c>
      <c r="B2453" s="358" t="s">
        <v>175</v>
      </c>
      <c r="C2453" s="92" t="s">
        <v>334</v>
      </c>
      <c r="D2453" s="93">
        <v>113228.41</v>
      </c>
      <c r="E2453" s="95"/>
      <c r="F2453" s="93"/>
      <c r="G2453" s="95"/>
      <c r="H2453" s="93"/>
      <c r="I2453" s="93"/>
      <c r="K2453" s="93"/>
      <c r="L2453" s="93">
        <f t="shared" si="320"/>
        <v>0</v>
      </c>
      <c r="M2453" s="95" t="e">
        <f t="shared" ca="1" si="321"/>
        <v>#DIV/0!</v>
      </c>
      <c r="N2453" s="95">
        <f>IF(P2453="Hedge Fund",IF(A2453=Summary!$AD$3,M2453-E2453,M2453),IF(A2453=Summary!$AD$3,L2453-D2453,L2453))</f>
        <v>0</v>
      </c>
      <c r="O2453" s="95">
        <f t="shared" si="322"/>
        <v>0</v>
      </c>
      <c r="P2453" s="107" t="s">
        <v>155</v>
      </c>
      <c r="Q2453" s="95">
        <v>4.3380000000000003E-4</v>
      </c>
      <c r="R2453" s="95">
        <v>2.3344299999999998E-3</v>
      </c>
      <c r="S2453" s="95"/>
      <c r="T2453" s="95"/>
      <c r="U2453" s="95"/>
      <c r="V2453" s="95"/>
      <c r="W2453" s="95"/>
      <c r="X2453" s="95"/>
      <c r="Y2453" s="95"/>
      <c r="Z2453" s="95"/>
      <c r="AA2453" s="95"/>
      <c r="AB2453" s="95"/>
      <c r="AC2453" s="355"/>
      <c r="AD2453" s="355"/>
      <c r="AE2453" s="355"/>
      <c r="AF2453" s="94">
        <f t="shared" si="323"/>
        <v>43100</v>
      </c>
      <c r="AG2453" s="185" t="e">
        <f t="shared" si="326"/>
        <v>#DIV/0!</v>
      </c>
      <c r="AH2453" s="339" t="str">
        <f>VLOOKUP(B2453,'MF PF'!A:B,2)</f>
        <v>FdMgt1</v>
      </c>
      <c r="AI2453" s="358">
        <f t="shared" si="324"/>
        <v>0</v>
      </c>
      <c r="AJ2453" s="94">
        <f t="shared" si="325"/>
        <v>43100</v>
      </c>
    </row>
    <row r="2454" spans="1:36" ht="12.75" customHeight="1">
      <c r="A2454" s="8">
        <v>43131</v>
      </c>
      <c r="B2454" s="358" t="s">
        <v>175</v>
      </c>
      <c r="C2454" s="92" t="s">
        <v>334</v>
      </c>
      <c r="D2454" s="93">
        <v>118781.94</v>
      </c>
      <c r="E2454" s="95"/>
      <c r="F2454" s="93"/>
      <c r="G2454" s="95"/>
      <c r="H2454" s="93"/>
      <c r="I2454" s="93"/>
      <c r="K2454" s="93"/>
      <c r="L2454" s="93">
        <f t="shared" si="320"/>
        <v>0</v>
      </c>
      <c r="M2454" s="95" t="e">
        <f t="shared" ca="1" si="321"/>
        <v>#DIV/0!</v>
      </c>
      <c r="N2454" s="95">
        <f>IF(P2454="Hedge Fund",IF(A2454=Summary!$AD$3,M2454-E2454,M2454),IF(A2454=Summary!$AD$3,L2454-D2454,L2454))</f>
        <v>0</v>
      </c>
      <c r="O2454" s="95">
        <f t="shared" si="322"/>
        <v>0</v>
      </c>
      <c r="P2454" s="107" t="s">
        <v>155</v>
      </c>
      <c r="Q2454" s="95"/>
      <c r="R2454" s="95">
        <v>3.31446E-3</v>
      </c>
      <c r="S2454" s="95"/>
      <c r="T2454" s="95"/>
      <c r="U2454" s="95"/>
      <c r="V2454" s="95"/>
      <c r="W2454" s="95"/>
      <c r="X2454" s="95"/>
      <c r="Y2454" s="95"/>
      <c r="Z2454" s="95"/>
      <c r="AA2454" s="95"/>
      <c r="AB2454" s="95"/>
      <c r="AC2454" s="355"/>
      <c r="AD2454" s="355"/>
      <c r="AE2454" s="355"/>
      <c r="AF2454" s="94">
        <f t="shared" si="323"/>
        <v>43131</v>
      </c>
      <c r="AG2454" s="185">
        <f t="shared" si="326"/>
        <v>4.9047142850455971E-2</v>
      </c>
      <c r="AH2454" s="339" t="str">
        <f>VLOOKUP(B2454,'MF PF'!A:B,2)</f>
        <v>FdMgt1</v>
      </c>
      <c r="AI2454" s="358">
        <f t="shared" si="324"/>
        <v>0</v>
      </c>
      <c r="AJ2454" s="94">
        <f t="shared" si="325"/>
        <v>43131</v>
      </c>
    </row>
    <row r="2455" spans="1:36" s="92" customFormat="1" ht="12.75" customHeight="1">
      <c r="A2455" s="94">
        <v>43159</v>
      </c>
      <c r="B2455" s="358" t="s">
        <v>175</v>
      </c>
      <c r="C2455" s="92" t="s">
        <v>334</v>
      </c>
      <c r="D2455" s="93">
        <v>119127.07</v>
      </c>
      <c r="E2455" s="95"/>
      <c r="F2455" s="93"/>
      <c r="G2455" s="95"/>
      <c r="H2455" s="93"/>
      <c r="I2455" s="93"/>
      <c r="J2455" s="93"/>
      <c r="K2455" s="93"/>
      <c r="L2455" s="93">
        <f t="shared" si="320"/>
        <v>0</v>
      </c>
      <c r="M2455" s="95" t="e">
        <f t="shared" ca="1" si="321"/>
        <v>#DIV/0!</v>
      </c>
      <c r="N2455" s="95">
        <f>IF(P2455="Hedge Fund",IF(A2455=Summary!$AD$3,M2455-E2455,M2455),IF(A2455=Summary!$AD$3,L2455-D2455,L2455))</f>
        <v>0</v>
      </c>
      <c r="O2455" s="95">
        <f t="shared" si="322"/>
        <v>0</v>
      </c>
      <c r="P2455" s="107" t="s">
        <v>155</v>
      </c>
      <c r="Q2455" s="95"/>
      <c r="R2455" s="95">
        <v>3.37536E-3</v>
      </c>
      <c r="S2455" s="95"/>
      <c r="T2455" s="95"/>
      <c r="U2455" s="95"/>
      <c r="V2455" s="95"/>
      <c r="W2455" s="95"/>
      <c r="X2455" s="95"/>
      <c r="Y2455" s="95"/>
      <c r="Z2455" s="95"/>
      <c r="AA2455" s="95"/>
      <c r="AB2455" s="95"/>
      <c r="AC2455" s="355"/>
      <c r="AD2455" s="355"/>
      <c r="AE2455" s="355"/>
      <c r="AF2455" s="94">
        <f t="shared" si="323"/>
        <v>43159</v>
      </c>
      <c r="AG2455" s="185">
        <f t="shared" si="326"/>
        <v>2.9055763864440642E-3</v>
      </c>
      <c r="AH2455" s="339" t="str">
        <f>VLOOKUP(B2455,'MF PF'!A:B,2)</f>
        <v>FdMgt1</v>
      </c>
      <c r="AI2455" s="358">
        <f t="shared" si="324"/>
        <v>0</v>
      </c>
      <c r="AJ2455" s="94">
        <f t="shared" si="325"/>
        <v>43159</v>
      </c>
    </row>
    <row r="2456" spans="1:36" s="92" customFormat="1" ht="12.75" customHeight="1">
      <c r="A2456" s="94">
        <v>43190</v>
      </c>
      <c r="B2456" s="358" t="s">
        <v>175</v>
      </c>
      <c r="C2456" s="92" t="s">
        <v>334</v>
      </c>
      <c r="D2456" s="93">
        <v>120277.87</v>
      </c>
      <c r="E2456" s="95"/>
      <c r="F2456" s="93"/>
      <c r="G2456" s="95"/>
      <c r="H2456" s="93"/>
      <c r="I2456" s="93"/>
      <c r="J2456" s="93"/>
      <c r="K2456" s="93"/>
      <c r="L2456" s="93">
        <f t="shared" si="320"/>
        <v>0</v>
      </c>
      <c r="M2456" s="95" t="e">
        <f t="shared" ca="1" si="321"/>
        <v>#DIV/0!</v>
      </c>
      <c r="N2456" s="95">
        <f>IF(P2456="Hedge Fund",IF(A2456=Summary!$AD$3,M2456-E2456,M2456),IF(A2456=Summary!$AD$3,L2456-D2456,L2456))</f>
        <v>0</v>
      </c>
      <c r="O2456" s="95">
        <f t="shared" si="322"/>
        <v>0</v>
      </c>
      <c r="P2456" s="107" t="s">
        <v>155</v>
      </c>
      <c r="Q2456" s="95">
        <v>4.5980000000000001E-4</v>
      </c>
      <c r="R2456" s="95">
        <v>3.5784499999999999E-3</v>
      </c>
      <c r="S2456" s="95"/>
      <c r="T2456" s="95"/>
      <c r="U2456" s="95"/>
      <c r="V2456" s="95"/>
      <c r="W2456" s="95"/>
      <c r="X2456" s="95"/>
      <c r="Y2456" s="95"/>
      <c r="Z2456" s="95"/>
      <c r="AA2456" s="95"/>
      <c r="AB2456" s="95"/>
      <c r="AC2456" s="355"/>
      <c r="AD2456" s="355"/>
      <c r="AE2456" s="355"/>
      <c r="AF2456" s="94">
        <f t="shared" si="323"/>
        <v>43190</v>
      </c>
      <c r="AG2456" s="185">
        <f t="shared" si="326"/>
        <v>9.6602728498231816E-3</v>
      </c>
      <c r="AH2456" s="339" t="str">
        <f>VLOOKUP(B2456,'MF PF'!A:B,2)</f>
        <v>FdMgt1</v>
      </c>
      <c r="AI2456" s="358">
        <f t="shared" si="324"/>
        <v>0</v>
      </c>
      <c r="AJ2456" s="94">
        <f t="shared" si="325"/>
        <v>43190</v>
      </c>
    </row>
    <row r="2457" spans="1:36" s="92" customFormat="1" ht="12.75" customHeight="1">
      <c r="A2457" s="94">
        <v>43220</v>
      </c>
      <c r="B2457" s="358" t="s">
        <v>175</v>
      </c>
      <c r="C2457" s="92" t="s">
        <v>334</v>
      </c>
      <c r="D2457" s="93">
        <v>119175.85</v>
      </c>
      <c r="E2457" s="95"/>
      <c r="F2457" s="93"/>
      <c r="G2457" s="95"/>
      <c r="H2457" s="93"/>
      <c r="I2457" s="93"/>
      <c r="J2457" s="93"/>
      <c r="K2457" s="93"/>
      <c r="L2457" s="93">
        <f t="shared" si="320"/>
        <v>0</v>
      </c>
      <c r="M2457" s="95" t="e">
        <f t="shared" ca="1" si="321"/>
        <v>#DIV/0!</v>
      </c>
      <c r="N2457" s="95">
        <f>IF(P2457="Hedge Fund",IF(A2457=Summary!$AD$3,M2457-E2457,M2457),IF(A2457=Summary!$AD$3,L2457-D2457,L2457))</f>
        <v>0</v>
      </c>
      <c r="O2457" s="95">
        <f t="shared" si="322"/>
        <v>0</v>
      </c>
      <c r="P2457" s="107" t="s">
        <v>155</v>
      </c>
      <c r="Q2457" s="95"/>
      <c r="R2457" s="95">
        <v>3.3839699999999996E-3</v>
      </c>
      <c r="S2457" s="95"/>
      <c r="T2457" s="95"/>
      <c r="U2457" s="95"/>
      <c r="V2457" s="95"/>
      <c r="W2457" s="95"/>
      <c r="X2457" s="95"/>
      <c r="Y2457" s="95"/>
      <c r="Z2457" s="95"/>
      <c r="AA2457" s="95"/>
      <c r="AB2457" s="95"/>
      <c r="AC2457" s="355"/>
      <c r="AD2457" s="355"/>
      <c r="AE2457" s="355"/>
      <c r="AF2457" s="94">
        <f t="shared" si="323"/>
        <v>43220</v>
      </c>
      <c r="AG2457" s="185">
        <f t="shared" si="326"/>
        <v>-9.1622839679484924E-3</v>
      </c>
      <c r="AH2457" s="339" t="str">
        <f>VLOOKUP(B2457,'MF PF'!A:B,2)</f>
        <v>FdMgt1</v>
      </c>
      <c r="AI2457" s="358">
        <f t="shared" si="324"/>
        <v>0</v>
      </c>
      <c r="AJ2457" s="94">
        <f t="shared" si="325"/>
        <v>43220</v>
      </c>
    </row>
    <row r="2458" spans="1:36" s="92" customFormat="1" ht="12.75" customHeight="1">
      <c r="A2458" s="94">
        <v>43251</v>
      </c>
      <c r="B2458" s="358" t="s">
        <v>175</v>
      </c>
      <c r="C2458" s="92" t="s">
        <v>334</v>
      </c>
      <c r="D2458" s="93">
        <v>120330.63</v>
      </c>
      <c r="E2458" s="95"/>
      <c r="F2458" s="93"/>
      <c r="G2458" s="95"/>
      <c r="H2458" s="93"/>
      <c r="I2458" s="93"/>
      <c r="J2458" s="93"/>
      <c r="K2458" s="93"/>
      <c r="L2458" s="93">
        <f t="shared" si="320"/>
        <v>0</v>
      </c>
      <c r="M2458" s="95" t="e">
        <f t="shared" ca="1" si="321"/>
        <v>#DIV/0!</v>
      </c>
      <c r="N2458" s="95">
        <f>IF(P2458="Hedge Fund",IF(A2458=Summary!$AD$3,M2458-E2458,M2458),IF(A2458=Summary!$AD$3,L2458-D2458,L2458))</f>
        <v>0</v>
      </c>
      <c r="O2458" s="95">
        <f t="shared" si="322"/>
        <v>0</v>
      </c>
      <c r="P2458" s="107" t="s">
        <v>155</v>
      </c>
      <c r="Q2458" s="95"/>
      <c r="R2458" s="95">
        <v>3.5877600000000002E-3</v>
      </c>
      <c r="S2458" s="95"/>
      <c r="T2458" s="95"/>
      <c r="U2458" s="95"/>
      <c r="V2458" s="95"/>
      <c r="W2458" s="95"/>
      <c r="X2458" s="95"/>
      <c r="Y2458" s="95"/>
      <c r="Z2458" s="95"/>
      <c r="AA2458" s="95"/>
      <c r="AB2458" s="95"/>
      <c r="AC2458" s="355"/>
      <c r="AD2458" s="355"/>
      <c r="AE2458" s="355"/>
      <c r="AF2458" s="94">
        <f t="shared" si="323"/>
        <v>43251</v>
      </c>
      <c r="AG2458" s="185">
        <f t="shared" si="326"/>
        <v>9.6897148205781214E-3</v>
      </c>
      <c r="AH2458" s="339" t="str">
        <f>VLOOKUP(B2458,'MF PF'!A:B,2)</f>
        <v>FdMgt1</v>
      </c>
      <c r="AI2458" s="358">
        <f t="shared" si="324"/>
        <v>0</v>
      </c>
      <c r="AJ2458" s="94">
        <f t="shared" si="325"/>
        <v>43251</v>
      </c>
    </row>
    <row r="2459" spans="1:36" s="92" customFormat="1" ht="12.75" customHeight="1">
      <c r="A2459" s="94">
        <v>43281</v>
      </c>
      <c r="B2459" s="358" t="s">
        <v>175</v>
      </c>
      <c r="C2459" s="92" t="s">
        <v>334</v>
      </c>
      <c r="D2459" s="93">
        <v>119871.81</v>
      </c>
      <c r="E2459" s="95"/>
      <c r="F2459" s="93"/>
      <c r="G2459" s="95"/>
      <c r="H2459" s="93"/>
      <c r="I2459" s="93"/>
      <c r="J2459" s="93"/>
      <c r="K2459" s="93"/>
      <c r="L2459" s="93">
        <f t="shared" si="320"/>
        <v>0</v>
      </c>
      <c r="M2459" s="95" t="e">
        <f t="shared" ca="1" si="321"/>
        <v>#DIV/0!</v>
      </c>
      <c r="N2459" s="95">
        <f>IF(P2459="Hedge Fund",IF(A2459=Summary!$AD$3,M2459-E2459,M2459),IF(A2459=Summary!$AD$3,L2459-D2459,L2459))</f>
        <v>0</v>
      </c>
      <c r="O2459" s="95">
        <f t="shared" si="322"/>
        <v>0</v>
      </c>
      <c r="P2459" s="107" t="s">
        <v>155</v>
      </c>
      <c r="Q2459" s="95">
        <v>4.6824000000000003E-4</v>
      </c>
      <c r="R2459" s="95">
        <v>3.5067900000000001E-3</v>
      </c>
      <c r="S2459" s="95"/>
      <c r="T2459" s="95"/>
      <c r="U2459" s="95"/>
      <c r="V2459" s="95"/>
      <c r="W2459" s="95"/>
      <c r="X2459" s="95"/>
      <c r="Y2459" s="95"/>
      <c r="Z2459" s="95"/>
      <c r="AA2459" s="95"/>
      <c r="AB2459" s="95"/>
      <c r="AC2459" s="355"/>
      <c r="AD2459" s="355"/>
      <c r="AE2459" s="355"/>
      <c r="AF2459" s="94">
        <f t="shared" si="323"/>
        <v>43281</v>
      </c>
      <c r="AG2459" s="185">
        <f t="shared" si="326"/>
        <v>-3.8129942475993994E-3</v>
      </c>
      <c r="AH2459" s="339" t="str">
        <f>VLOOKUP(B2459,'MF PF'!A:B,2)</f>
        <v>FdMgt1</v>
      </c>
      <c r="AI2459" s="358">
        <f t="shared" si="324"/>
        <v>0</v>
      </c>
      <c r="AJ2459" s="94">
        <f t="shared" si="325"/>
        <v>43281</v>
      </c>
    </row>
    <row r="2460" spans="1:36" s="92" customFormat="1" ht="12.75" customHeight="1">
      <c r="A2460" s="94">
        <v>43312</v>
      </c>
      <c r="B2460" s="358" t="s">
        <v>175</v>
      </c>
      <c r="C2460" s="92" t="s">
        <v>334</v>
      </c>
      <c r="D2460" s="93">
        <v>118401.67</v>
      </c>
      <c r="E2460" s="95"/>
      <c r="F2460" s="93"/>
      <c r="G2460" s="95"/>
      <c r="H2460" s="93"/>
      <c r="I2460" s="93"/>
      <c r="J2460" s="93"/>
      <c r="K2460" s="93"/>
      <c r="L2460" s="93">
        <f t="shared" si="320"/>
        <v>0</v>
      </c>
      <c r="M2460" s="95" t="e">
        <f t="shared" ca="1" si="321"/>
        <v>#DIV/0!</v>
      </c>
      <c r="N2460" s="95">
        <f>IF(P2460="Hedge Fund",IF(A2460=Summary!$AD$3,M2460-E2460,M2460),IF(A2460=Summary!$AD$3,L2460-D2460,L2460))</f>
        <v>0</v>
      </c>
      <c r="O2460" s="95">
        <f t="shared" si="322"/>
        <v>0</v>
      </c>
      <c r="P2460" s="107" t="s">
        <v>155</v>
      </c>
      <c r="Q2460" s="95">
        <v>0</v>
      </c>
      <c r="R2460" s="95">
        <v>3.24735E-3</v>
      </c>
      <c r="S2460" s="95"/>
      <c r="T2460" s="95"/>
      <c r="U2460" s="95"/>
      <c r="V2460" s="95"/>
      <c r="W2460" s="95"/>
      <c r="X2460" s="95"/>
      <c r="Y2460" s="95"/>
      <c r="Z2460" s="95"/>
      <c r="AA2460" s="95"/>
      <c r="AB2460" s="95"/>
      <c r="AC2460" s="355"/>
      <c r="AD2460" s="355"/>
      <c r="AE2460" s="355"/>
      <c r="AF2460" s="94">
        <f t="shared" si="323"/>
        <v>43312</v>
      </c>
      <c r="AG2460" s="185">
        <f t="shared" si="326"/>
        <v>-1.2264267970926612E-2</v>
      </c>
      <c r="AH2460" s="339" t="str">
        <f>VLOOKUP(B2460,'MF PF'!A:B,2)</f>
        <v>FdMgt1</v>
      </c>
      <c r="AI2460" s="358">
        <f t="shared" si="324"/>
        <v>0</v>
      </c>
      <c r="AJ2460" s="94">
        <f t="shared" si="325"/>
        <v>43312</v>
      </c>
    </row>
    <row r="2461" spans="1:36" s="92" customFormat="1" ht="12.75" customHeight="1">
      <c r="A2461" s="94">
        <v>43343</v>
      </c>
      <c r="B2461" s="358" t="s">
        <v>175</v>
      </c>
      <c r="C2461" s="92" t="s">
        <v>334</v>
      </c>
      <c r="D2461" s="93">
        <v>117451.52</v>
      </c>
      <c r="E2461" s="95"/>
      <c r="F2461" s="93"/>
      <c r="G2461" s="95"/>
      <c r="H2461" s="93"/>
      <c r="I2461" s="93"/>
      <c r="J2461" s="93"/>
      <c r="K2461" s="93"/>
      <c r="L2461" s="93">
        <f t="shared" si="320"/>
        <v>0</v>
      </c>
      <c r="M2461" s="95" t="e">
        <f t="shared" ca="1" si="321"/>
        <v>#DIV/0!</v>
      </c>
      <c r="N2461" s="95">
        <f>IF(P2461="Hedge Fund",IF(A2461=Summary!$AD$3,M2461-E2461,M2461),IF(A2461=Summary!$AD$3,L2461-D2461,L2461))</f>
        <v>0</v>
      </c>
      <c r="O2461" s="95">
        <f t="shared" si="322"/>
        <v>0</v>
      </c>
      <c r="P2461" s="107" t="s">
        <v>155</v>
      </c>
      <c r="Q2461" s="95">
        <v>0</v>
      </c>
      <c r="R2461" s="95">
        <v>3.07968E-3</v>
      </c>
      <c r="S2461" s="95"/>
      <c r="T2461" s="95"/>
      <c r="U2461" s="95"/>
      <c r="V2461" s="95"/>
      <c r="W2461" s="95"/>
      <c r="X2461" s="95"/>
      <c r="Y2461" s="95"/>
      <c r="Z2461" s="95"/>
      <c r="AA2461" s="95"/>
      <c r="AB2461" s="95"/>
      <c r="AC2461" s="355"/>
      <c r="AD2461" s="355"/>
      <c r="AE2461" s="355"/>
      <c r="AF2461" s="94">
        <f t="shared" si="323"/>
        <v>43343</v>
      </c>
      <c r="AG2461" s="185">
        <f t="shared" si="326"/>
        <v>-8.0248023528721735E-3</v>
      </c>
      <c r="AH2461" s="339" t="str">
        <f>VLOOKUP(B2461,'MF PF'!A:B,2)</f>
        <v>FdMgt1</v>
      </c>
      <c r="AI2461" s="358">
        <f t="shared" si="324"/>
        <v>0</v>
      </c>
      <c r="AJ2461" s="94">
        <f t="shared" si="325"/>
        <v>43343</v>
      </c>
    </row>
    <row r="2462" spans="1:36" s="92" customFormat="1" ht="12.75" customHeight="1">
      <c r="A2462" s="94">
        <v>43373</v>
      </c>
      <c r="B2462" s="358" t="s">
        <v>175</v>
      </c>
      <c r="C2462" s="92" t="s">
        <v>334</v>
      </c>
      <c r="D2462" s="93">
        <v>113172.04</v>
      </c>
      <c r="E2462" s="95"/>
      <c r="F2462" s="93"/>
      <c r="G2462" s="95"/>
      <c r="H2462" s="93"/>
      <c r="I2462" s="93"/>
      <c r="J2462" s="93"/>
      <c r="K2462" s="93"/>
      <c r="L2462" s="93">
        <f t="shared" si="320"/>
        <v>0</v>
      </c>
      <c r="M2462" s="95" t="e">
        <f t="shared" ca="1" si="321"/>
        <v>#DIV/0!</v>
      </c>
      <c r="N2462" s="95">
        <f>IF(P2462="Hedge Fund",IF(A2462=Summary!$AD$3,M2462-E2462,M2462),IF(A2462=Summary!$AD$3,L2462-D2462,L2462))</f>
        <v>0</v>
      </c>
      <c r="O2462" s="95">
        <f t="shared" si="322"/>
        <v>0</v>
      </c>
      <c r="P2462" s="107" t="s">
        <v>155</v>
      </c>
      <c r="Q2462" s="95">
        <v>4.3354999999999999E-4</v>
      </c>
      <c r="R2462" s="95">
        <v>2.3244799999999999E-3</v>
      </c>
      <c r="S2462" s="95"/>
      <c r="T2462" s="95"/>
      <c r="U2462" s="95"/>
      <c r="V2462" s="95"/>
      <c r="W2462" s="95"/>
      <c r="X2462" s="95"/>
      <c r="Y2462" s="95"/>
      <c r="Z2462" s="95"/>
      <c r="AA2462" s="95"/>
      <c r="AB2462" s="95"/>
      <c r="AC2462" s="355"/>
      <c r="AD2462" s="355"/>
      <c r="AE2462" s="355"/>
      <c r="AF2462" s="94">
        <f t="shared" si="323"/>
        <v>43373</v>
      </c>
      <c r="AG2462" s="185">
        <f t="shared" si="326"/>
        <v>-3.6436139779204346E-2</v>
      </c>
      <c r="AH2462" s="339" t="str">
        <f>VLOOKUP(B2462,'MF PF'!A:B,2)</f>
        <v>FdMgt1</v>
      </c>
      <c r="AI2462" s="358">
        <f t="shared" si="324"/>
        <v>0</v>
      </c>
      <c r="AJ2462" s="94">
        <f t="shared" si="325"/>
        <v>43373</v>
      </c>
    </row>
    <row r="2463" spans="1:36" s="92" customFormat="1" ht="12.75" customHeight="1">
      <c r="A2463" s="94">
        <v>43404</v>
      </c>
      <c r="B2463" s="358" t="s">
        <v>175</v>
      </c>
      <c r="C2463" s="92" t="s">
        <v>334</v>
      </c>
      <c r="D2463" s="93">
        <v>111800.0995</v>
      </c>
      <c r="E2463" s="95"/>
      <c r="F2463" s="93">
        <v>0.1</v>
      </c>
      <c r="G2463" s="93"/>
      <c r="H2463" s="93">
        <v>0</v>
      </c>
      <c r="I2463" s="93">
        <v>0</v>
      </c>
      <c r="J2463" s="93">
        <v>0</v>
      </c>
      <c r="K2463" s="93"/>
      <c r="L2463" s="93">
        <f t="shared" si="320"/>
        <v>0</v>
      </c>
      <c r="M2463" s="95" t="e">
        <f t="shared" ca="1" si="321"/>
        <v>#DIV/0!</v>
      </c>
      <c r="N2463" s="95">
        <f>IF(P2463="Hedge Fund",IF(A2463=Summary!$AD$3,M2463-E2463,M2463),IF(A2463=Summary!$AD$3,L2463-D2463,L2463))</f>
        <v>0</v>
      </c>
      <c r="O2463" s="95">
        <f t="shared" si="322"/>
        <v>0</v>
      </c>
      <c r="P2463" s="95" t="s">
        <v>155</v>
      </c>
      <c r="Q2463" s="95">
        <v>5.8819544390917322E-4</v>
      </c>
      <c r="R2463" s="95">
        <v>2.0823704999999998E-3</v>
      </c>
      <c r="S2463" s="95"/>
      <c r="T2463" s="95"/>
      <c r="U2463" s="95"/>
      <c r="V2463" s="95"/>
      <c r="W2463" s="95"/>
      <c r="X2463" s="95"/>
      <c r="Y2463" s="95"/>
      <c r="Z2463" s="95"/>
      <c r="AA2463" s="95"/>
      <c r="AB2463" s="95"/>
      <c r="AC2463" s="355"/>
      <c r="AD2463" s="355"/>
      <c r="AE2463" s="355"/>
      <c r="AF2463" s="94">
        <f t="shared" si="323"/>
        <v>43404</v>
      </c>
      <c r="AG2463" s="185">
        <f t="shared" si="326"/>
        <v>-1.2122609966207176E-2</v>
      </c>
      <c r="AH2463" s="339" t="str">
        <f>VLOOKUP(B2463,'MF PF'!A:B,2)</f>
        <v>FdMgt1</v>
      </c>
      <c r="AI2463" s="358">
        <f t="shared" si="324"/>
        <v>0</v>
      </c>
      <c r="AJ2463" s="94">
        <f t="shared" si="325"/>
        <v>43404</v>
      </c>
    </row>
    <row r="2464" spans="1:36" s="92" customFormat="1" ht="12.75" customHeight="1">
      <c r="A2464" s="94">
        <v>43434</v>
      </c>
      <c r="B2464" s="358" t="s">
        <v>175</v>
      </c>
      <c r="C2464" s="92" t="s">
        <v>334</v>
      </c>
      <c r="D2464" s="93">
        <v>111759.59699999999</v>
      </c>
      <c r="E2464" s="95"/>
      <c r="F2464" s="93">
        <v>0.1</v>
      </c>
      <c r="G2464" s="93"/>
      <c r="H2464" s="93">
        <v>0</v>
      </c>
      <c r="I2464" s="93">
        <v>0</v>
      </c>
      <c r="J2464" s="93"/>
      <c r="K2464" s="93">
        <v>0</v>
      </c>
      <c r="L2464" s="93">
        <f t="shared" si="320"/>
        <v>0</v>
      </c>
      <c r="M2464" s="95" t="e">
        <f t="shared" ca="1" si="321"/>
        <v>#DIV/0!</v>
      </c>
      <c r="N2464" s="95">
        <f>IF(P2464="Hedge Fund",IF(A2464=Summary!$AD$3,M2464-E2464,M2464),IF(A2464=Summary!$AD$3,L2464-D2464,L2464))</f>
        <v>0</v>
      </c>
      <c r="O2464" s="95">
        <f t="shared" si="322"/>
        <v>0</v>
      </c>
      <c r="P2464" s="95" t="s">
        <v>155</v>
      </c>
      <c r="Q2464" s="95">
        <v>2.9658247462807435E-4</v>
      </c>
      <c r="R2464" s="95">
        <v>2.075223000000001E-3</v>
      </c>
      <c r="S2464" s="95"/>
      <c r="T2464" s="95"/>
      <c r="U2464" s="95"/>
      <c r="V2464" s="95"/>
      <c r="W2464" s="95"/>
      <c r="X2464" s="95"/>
      <c r="Y2464" s="95"/>
      <c r="Z2464" s="95"/>
      <c r="AA2464" s="95"/>
      <c r="AB2464" s="95"/>
      <c r="AC2464" s="355"/>
      <c r="AD2464" s="355"/>
      <c r="AE2464" s="355"/>
      <c r="AF2464" s="94">
        <f t="shared" si="323"/>
        <v>43434</v>
      </c>
      <c r="AG2464" s="185">
        <f t="shared" si="326"/>
        <v>-3.6227606398508971E-4</v>
      </c>
      <c r="AH2464" s="339" t="str">
        <f>VLOOKUP(B2464,'MF PF'!A:B,2)</f>
        <v>FdMgt1</v>
      </c>
      <c r="AI2464" s="358">
        <f t="shared" si="324"/>
        <v>0</v>
      </c>
      <c r="AJ2464" s="94">
        <f t="shared" si="325"/>
        <v>43434</v>
      </c>
    </row>
    <row r="2465" spans="1:36" s="92" customFormat="1" ht="12.75" customHeight="1">
      <c r="A2465" s="94">
        <v>43465</v>
      </c>
      <c r="B2465" s="358" t="s">
        <v>175</v>
      </c>
      <c r="C2465" s="92" t="s">
        <v>334</v>
      </c>
      <c r="D2465" s="93">
        <v>113425.59699999999</v>
      </c>
      <c r="E2465" s="95"/>
      <c r="F2465" s="93">
        <v>0.1</v>
      </c>
      <c r="G2465" s="93"/>
      <c r="H2465" s="93">
        <v>0</v>
      </c>
      <c r="I2465" s="93">
        <v>0</v>
      </c>
      <c r="J2465" s="93"/>
      <c r="K2465" s="93">
        <v>0</v>
      </c>
      <c r="L2465" s="93">
        <f t="shared" si="320"/>
        <v>0</v>
      </c>
      <c r="M2465" s="95" t="e">
        <f t="shared" ca="1" si="321"/>
        <v>#DIV/0!</v>
      </c>
      <c r="N2465" s="95">
        <f>IF(P2465="Hedge Fund",IF(A2465=Summary!$AD$3,M2465-E2465,M2465),IF(A2465=Summary!$AD$3,L2465-D2465,L2465))</f>
        <v>0</v>
      </c>
      <c r="O2465" s="95">
        <f t="shared" si="322"/>
        <v>0</v>
      </c>
      <c r="P2465" s="95" t="s">
        <v>155</v>
      </c>
      <c r="Q2465" s="95">
        <v>4.4905165571569816E-4</v>
      </c>
      <c r="R2465" s="95">
        <v>2.369223000000001E-3</v>
      </c>
      <c r="S2465" s="95"/>
      <c r="T2465" s="95"/>
      <c r="U2465" s="95"/>
      <c r="V2465" s="95"/>
      <c r="W2465" s="95"/>
      <c r="X2465" s="95"/>
      <c r="Y2465" s="95"/>
      <c r="Z2465" s="95"/>
      <c r="AA2465" s="95"/>
      <c r="AB2465" s="95"/>
      <c r="AC2465" s="355"/>
      <c r="AD2465" s="355"/>
      <c r="AE2465" s="355"/>
      <c r="AF2465" s="94">
        <f t="shared" si="323"/>
        <v>43465</v>
      </c>
      <c r="AG2465" s="185">
        <f t="shared" si="326"/>
        <v>1.4906997204007455E-2</v>
      </c>
      <c r="AH2465" s="339" t="str">
        <f>VLOOKUP(B2465,'MF PF'!A:B,2)</f>
        <v>FdMgt1</v>
      </c>
      <c r="AI2465" s="358">
        <f t="shared" si="324"/>
        <v>0</v>
      </c>
      <c r="AJ2465" s="94">
        <f t="shared" si="325"/>
        <v>43465</v>
      </c>
    </row>
    <row r="2466" spans="1:36" s="92" customFormat="1" ht="12.75" customHeight="1">
      <c r="A2466" s="94">
        <v>43496</v>
      </c>
      <c r="B2466" s="358" t="s">
        <v>175</v>
      </c>
      <c r="C2466" s="92" t="s">
        <v>334</v>
      </c>
      <c r="D2466" s="93">
        <v>116268.8725</v>
      </c>
      <c r="E2466" s="95"/>
      <c r="F2466" s="93">
        <v>0.1</v>
      </c>
      <c r="G2466" s="93"/>
      <c r="H2466" s="93">
        <v>0</v>
      </c>
      <c r="I2466" s="93">
        <v>0</v>
      </c>
      <c r="J2466" s="93"/>
      <c r="K2466" s="93">
        <v>0</v>
      </c>
      <c r="L2466" s="93">
        <f t="shared" si="320"/>
        <v>0</v>
      </c>
      <c r="M2466" s="95" t="e">
        <f t="shared" ca="1" si="321"/>
        <v>#DIV/0!</v>
      </c>
      <c r="N2466" s="95">
        <f>IF(P2466="Hedge Fund",IF(A2466=Summary!$AD$3,M2466-E2466,M2466),IF(A2466=Summary!$AD$3,L2466-D2466,L2466))</f>
        <v>-116268.8725</v>
      </c>
      <c r="O2466" s="95">
        <f t="shared" si="322"/>
        <v>-116268.8725</v>
      </c>
      <c r="P2466" s="95" t="s">
        <v>155</v>
      </c>
      <c r="Q2466" s="95">
        <v>1.5198996660305316E-4</v>
      </c>
      <c r="R2466" s="95">
        <v>2.8709775000000009E-3</v>
      </c>
      <c r="S2466" s="95"/>
      <c r="T2466" s="95"/>
      <c r="U2466" s="95"/>
      <c r="V2466" s="95"/>
      <c r="W2466" s="95"/>
      <c r="X2466" s="95"/>
      <c r="Y2466" s="95"/>
      <c r="Z2466" s="95"/>
      <c r="AA2466" s="95"/>
      <c r="AB2466" s="95"/>
      <c r="AC2466" s="355"/>
      <c r="AD2466" s="355"/>
      <c r="AE2466" s="355"/>
      <c r="AF2466" s="94">
        <f t="shared" si="323"/>
        <v>43496</v>
      </c>
      <c r="AG2466" s="185">
        <f t="shared" si="326"/>
        <v>2.5067317917665477E-2</v>
      </c>
      <c r="AH2466" s="339" t="str">
        <f>VLOOKUP(B2466,'MF PF'!A:B,2)</f>
        <v>FdMgt1</v>
      </c>
      <c r="AI2466" s="358">
        <f t="shared" si="324"/>
        <v>0</v>
      </c>
      <c r="AJ2466" s="94">
        <f t="shared" si="325"/>
        <v>43496</v>
      </c>
    </row>
    <row r="2467" spans="1:36" s="92" customFormat="1" ht="12.75" customHeight="1">
      <c r="A2467" s="94">
        <v>43087</v>
      </c>
      <c r="B2467" s="358" t="s">
        <v>175</v>
      </c>
      <c r="C2467" s="358" t="s">
        <v>335</v>
      </c>
      <c r="D2467" s="93"/>
      <c r="E2467" s="95"/>
      <c r="F2467" s="93"/>
      <c r="G2467" s="95">
        <v>27194</v>
      </c>
      <c r="H2467" s="93"/>
      <c r="I2467" s="93"/>
      <c r="J2467" s="93"/>
      <c r="K2467" s="93"/>
      <c r="L2467" s="93">
        <f t="shared" si="320"/>
        <v>27194</v>
      </c>
      <c r="M2467" s="95">
        <f t="shared" ca="1" si="321"/>
        <v>0</v>
      </c>
      <c r="N2467" s="95">
        <f>IF(P2467="Hedge Fund",IF(A2467=Summary!$AD$3,M2467-E2467,M2467),IF(A2467=Summary!$AD$3,L2467-D2467,L2467))</f>
        <v>27194</v>
      </c>
      <c r="O2467" s="95">
        <f t="shared" ref="O2467:O2498" si="327">N2467</f>
        <v>27194</v>
      </c>
      <c r="P2467" s="107" t="s">
        <v>155</v>
      </c>
      <c r="Q2467" s="95">
        <v>0</v>
      </c>
      <c r="R2467" s="95">
        <v>0</v>
      </c>
      <c r="S2467" s="95"/>
      <c r="T2467" s="95"/>
      <c r="U2467" s="95"/>
      <c r="V2467" s="95"/>
      <c r="W2467" s="95"/>
      <c r="X2467" s="95"/>
      <c r="Y2467" s="95"/>
      <c r="Z2467" s="95"/>
      <c r="AA2467" s="95"/>
      <c r="AB2467" s="95"/>
      <c r="AC2467" s="355"/>
      <c r="AD2467" s="355"/>
      <c r="AE2467" s="355"/>
      <c r="AF2467" s="94">
        <f t="shared" si="323"/>
        <v>43087</v>
      </c>
      <c r="AG2467" s="185">
        <f t="shared" si="326"/>
        <v>-1</v>
      </c>
      <c r="AH2467" s="339" t="str">
        <f>VLOOKUP(B2467,'MF PF'!A:B,2)</f>
        <v>FdMgt1</v>
      </c>
      <c r="AI2467" s="358">
        <f t="shared" si="324"/>
        <v>0</v>
      </c>
      <c r="AJ2467" s="94">
        <f t="shared" si="325"/>
        <v>43100</v>
      </c>
    </row>
    <row r="2468" spans="1:36" s="92" customFormat="1" ht="12.75" customHeight="1">
      <c r="A2468" s="94">
        <v>43087</v>
      </c>
      <c r="B2468" s="358" t="s">
        <v>175</v>
      </c>
      <c r="C2468" s="92" t="s">
        <v>335</v>
      </c>
      <c r="D2468" s="93"/>
      <c r="E2468" s="95"/>
      <c r="F2468" s="93"/>
      <c r="G2468" s="95">
        <v>222806</v>
      </c>
      <c r="H2468" s="93"/>
      <c r="I2468" s="93"/>
      <c r="J2468" s="93"/>
      <c r="K2468" s="93"/>
      <c r="L2468" s="93">
        <f t="shared" si="320"/>
        <v>222806</v>
      </c>
      <c r="M2468" s="95">
        <f t="shared" ca="1" si="321"/>
        <v>0</v>
      </c>
      <c r="N2468" s="95">
        <f>IF(P2468="Hedge Fund",IF(A2468=Summary!$AD$3,M2468-E2468,M2468),IF(A2468=Summary!$AD$3,L2468-D2468,L2468))</f>
        <v>222806</v>
      </c>
      <c r="O2468" s="95">
        <f t="shared" si="327"/>
        <v>222806</v>
      </c>
      <c r="P2468" s="107" t="s">
        <v>155</v>
      </c>
      <c r="Q2468" s="95">
        <v>0</v>
      </c>
      <c r="R2468" s="95">
        <v>0</v>
      </c>
      <c r="S2468" s="95"/>
      <c r="T2468" s="95"/>
      <c r="U2468" s="95"/>
      <c r="V2468" s="95"/>
      <c r="W2468" s="95"/>
      <c r="X2468" s="95"/>
      <c r="Y2468" s="95"/>
      <c r="Z2468" s="95"/>
      <c r="AA2468" s="95"/>
      <c r="AB2468" s="95"/>
      <c r="AC2468" s="355"/>
      <c r="AD2468" s="355"/>
      <c r="AE2468" s="355"/>
      <c r="AF2468" s="94">
        <f t="shared" si="323"/>
        <v>43087</v>
      </c>
      <c r="AG2468" s="185" t="e">
        <f t="shared" si="326"/>
        <v>#DIV/0!</v>
      </c>
      <c r="AH2468" s="339" t="str">
        <f>VLOOKUP(B2468,'MF PF'!A:B,2)</f>
        <v>FdMgt1</v>
      </c>
      <c r="AI2468" s="358">
        <f t="shared" si="324"/>
        <v>0</v>
      </c>
      <c r="AJ2468" s="94">
        <f t="shared" si="325"/>
        <v>43100</v>
      </c>
    </row>
    <row r="2469" spans="1:36" s="92" customFormat="1" ht="12.75" customHeight="1">
      <c r="A2469" s="94">
        <v>43100</v>
      </c>
      <c r="B2469" s="358" t="s">
        <v>175</v>
      </c>
      <c r="C2469" s="92" t="s">
        <v>335</v>
      </c>
      <c r="D2469" s="93">
        <v>283071.03000000003</v>
      </c>
      <c r="E2469" s="95"/>
      <c r="F2469" s="93"/>
      <c r="G2469" s="95"/>
      <c r="H2469" s="93"/>
      <c r="I2469" s="93"/>
      <c r="J2469" s="93"/>
      <c r="K2469" s="93"/>
      <c r="L2469" s="93">
        <f t="shared" si="320"/>
        <v>0</v>
      </c>
      <c r="M2469" s="95" t="e">
        <f t="shared" ca="1" si="321"/>
        <v>#DIV/0!</v>
      </c>
      <c r="N2469" s="95">
        <f>IF(P2469="Hedge Fund",IF(A2469=Summary!$AD$3,M2469-E2469,M2469),IF(A2469=Summary!$AD$3,L2469-D2469,L2469))</f>
        <v>0</v>
      </c>
      <c r="O2469" s="95">
        <f t="shared" si="327"/>
        <v>0</v>
      </c>
      <c r="P2469" s="107" t="s">
        <v>155</v>
      </c>
      <c r="Q2469" s="95">
        <v>1.08449E-3</v>
      </c>
      <c r="R2469" s="95">
        <v>5.8360600000000006E-3</v>
      </c>
      <c r="S2469" s="95"/>
      <c r="T2469" s="95"/>
      <c r="U2469" s="95"/>
      <c r="V2469" s="95"/>
      <c r="W2469" s="95"/>
      <c r="X2469" s="95"/>
      <c r="Y2469" s="95"/>
      <c r="Z2469" s="95"/>
      <c r="AA2469" s="95"/>
      <c r="AB2469" s="95"/>
      <c r="AC2469" s="355"/>
      <c r="AD2469" s="355"/>
      <c r="AE2469" s="355"/>
      <c r="AF2469" s="94">
        <f t="shared" si="323"/>
        <v>43100</v>
      </c>
      <c r="AG2469" s="185" t="e">
        <f t="shared" si="326"/>
        <v>#DIV/0!</v>
      </c>
      <c r="AH2469" s="339" t="str">
        <f>VLOOKUP(B2469,'MF PF'!A:B,2)</f>
        <v>FdMgt1</v>
      </c>
      <c r="AI2469" s="358">
        <f t="shared" si="324"/>
        <v>0</v>
      </c>
      <c r="AJ2469" s="94">
        <f t="shared" si="325"/>
        <v>43100</v>
      </c>
    </row>
    <row r="2470" spans="1:36" s="92" customFormat="1" ht="12.75" customHeight="1">
      <c r="A2470" s="94">
        <v>43131</v>
      </c>
      <c r="B2470" s="358" t="s">
        <v>175</v>
      </c>
      <c r="C2470" s="92" t="s">
        <v>335</v>
      </c>
      <c r="D2470" s="93">
        <v>296954.84999999998</v>
      </c>
      <c r="E2470" s="95"/>
      <c r="F2470" s="93"/>
      <c r="G2470" s="95"/>
      <c r="H2470" s="93"/>
      <c r="I2470" s="93"/>
      <c r="J2470" s="93"/>
      <c r="K2470" s="93"/>
      <c r="L2470" s="93">
        <f t="shared" si="320"/>
        <v>0</v>
      </c>
      <c r="M2470" s="95" t="e">
        <f t="shared" ca="1" si="321"/>
        <v>#DIV/0!</v>
      </c>
      <c r="N2470" s="95">
        <f>IF(P2470="Hedge Fund",IF(A2470=Summary!$AD$3,M2470-E2470,M2470),IF(A2470=Summary!$AD$3,L2470-D2470,L2470))</f>
        <v>0</v>
      </c>
      <c r="O2470" s="95">
        <f t="shared" si="327"/>
        <v>0</v>
      </c>
      <c r="P2470" s="107" t="s">
        <v>155</v>
      </c>
      <c r="Q2470" s="95"/>
      <c r="R2470" s="95">
        <v>8.2861499999999991E-3</v>
      </c>
      <c r="S2470" s="95"/>
      <c r="T2470" s="95"/>
      <c r="U2470" s="95"/>
      <c r="V2470" s="95"/>
      <c r="W2470" s="95"/>
      <c r="X2470" s="95"/>
      <c r="Y2470" s="95"/>
      <c r="Z2470" s="95"/>
      <c r="AA2470" s="95"/>
      <c r="AB2470" s="95"/>
      <c r="AC2470" s="355"/>
      <c r="AD2470" s="355"/>
      <c r="AE2470" s="355"/>
      <c r="AF2470" s="94">
        <f t="shared" si="323"/>
        <v>43131</v>
      </c>
      <c r="AG2470" s="185">
        <f t="shared" si="326"/>
        <v>4.9047124320704683E-2</v>
      </c>
      <c r="AH2470" s="339" t="str">
        <f>VLOOKUP(B2470,'MF PF'!A:B,2)</f>
        <v>FdMgt1</v>
      </c>
      <c r="AI2470" s="358">
        <f t="shared" si="324"/>
        <v>0</v>
      </c>
      <c r="AJ2470" s="94">
        <f t="shared" si="325"/>
        <v>43131</v>
      </c>
    </row>
    <row r="2471" spans="1:36" s="92" customFormat="1" ht="12.75" customHeight="1">
      <c r="A2471" s="94">
        <v>43159</v>
      </c>
      <c r="B2471" s="358" t="s">
        <v>175</v>
      </c>
      <c r="C2471" s="92" t="s">
        <v>335</v>
      </c>
      <c r="D2471" s="93">
        <v>297817.67</v>
      </c>
      <c r="E2471" s="95"/>
      <c r="F2471" s="93"/>
      <c r="G2471" s="95"/>
      <c r="H2471" s="93"/>
      <c r="I2471" s="93"/>
      <c r="J2471" s="93"/>
      <c r="K2471" s="93"/>
      <c r="L2471" s="93">
        <f t="shared" si="320"/>
        <v>0</v>
      </c>
      <c r="M2471" s="95" t="e">
        <f t="shared" ca="1" si="321"/>
        <v>#DIV/0!</v>
      </c>
      <c r="N2471" s="95">
        <f>IF(P2471="Hedge Fund",IF(A2471=Summary!$AD$3,M2471-E2471,M2471),IF(A2471=Summary!$AD$3,L2471-D2471,L2471))</f>
        <v>0</v>
      </c>
      <c r="O2471" s="95">
        <f t="shared" si="327"/>
        <v>0</v>
      </c>
      <c r="P2471" s="107" t="s">
        <v>155</v>
      </c>
      <c r="Q2471" s="95"/>
      <c r="R2471" s="95">
        <v>8.4384100000000004E-3</v>
      </c>
      <c r="S2471" s="95"/>
      <c r="T2471" s="95"/>
      <c r="U2471" s="95"/>
      <c r="V2471" s="95"/>
      <c r="W2471" s="95"/>
      <c r="X2471" s="95"/>
      <c r="Y2471" s="95"/>
      <c r="Z2471" s="95"/>
      <c r="AA2471" s="95"/>
      <c r="AB2471" s="95"/>
      <c r="AC2471" s="355"/>
      <c r="AD2471" s="355"/>
      <c r="AE2471" s="355"/>
      <c r="AF2471" s="94">
        <f t="shared" si="323"/>
        <v>43159</v>
      </c>
      <c r="AG2471" s="185">
        <f t="shared" si="326"/>
        <v>2.905559548867398E-3</v>
      </c>
      <c r="AH2471" s="339" t="str">
        <f>VLOOKUP(B2471,'MF PF'!A:B,2)</f>
        <v>FdMgt1</v>
      </c>
      <c r="AI2471" s="358">
        <f t="shared" si="324"/>
        <v>0</v>
      </c>
      <c r="AJ2471" s="94">
        <f t="shared" si="325"/>
        <v>43159</v>
      </c>
    </row>
    <row r="2472" spans="1:36" s="92" customFormat="1" ht="12.75" customHeight="1">
      <c r="A2472" s="94">
        <v>43190</v>
      </c>
      <c r="B2472" s="358" t="s">
        <v>175</v>
      </c>
      <c r="C2472" s="92" t="s">
        <v>335</v>
      </c>
      <c r="D2472" s="93">
        <v>300694.65999999997</v>
      </c>
      <c r="E2472" s="95"/>
      <c r="F2472" s="93"/>
      <c r="G2472" s="95"/>
      <c r="H2472" s="93"/>
      <c r="I2472" s="93"/>
      <c r="J2472" s="93"/>
      <c r="K2472" s="93"/>
      <c r="L2472" s="93">
        <f t="shared" si="320"/>
        <v>0</v>
      </c>
      <c r="M2472" s="95" t="e">
        <f t="shared" ca="1" si="321"/>
        <v>#DIV/0!</v>
      </c>
      <c r="N2472" s="95">
        <f>IF(P2472="Hedge Fund",IF(A2472=Summary!$AD$3,M2472-E2472,M2472),IF(A2472=Summary!$AD$3,L2472-D2472,L2472))</f>
        <v>0</v>
      </c>
      <c r="O2472" s="95">
        <f t="shared" si="327"/>
        <v>0</v>
      </c>
      <c r="P2472" s="107" t="s">
        <v>155</v>
      </c>
      <c r="Q2472" s="95">
        <v>1.1494999999999999E-3</v>
      </c>
      <c r="R2472" s="95">
        <v>8.9461200000000001E-3</v>
      </c>
      <c r="S2472" s="95"/>
      <c r="T2472" s="95"/>
      <c r="U2472" s="95"/>
      <c r="V2472" s="95"/>
      <c r="W2472" s="95"/>
      <c r="X2472" s="95"/>
      <c r="Y2472" s="95"/>
      <c r="Z2472" s="95"/>
      <c r="AA2472" s="95"/>
      <c r="AB2472" s="95"/>
      <c r="AC2472" s="355"/>
      <c r="AD2472" s="355"/>
      <c r="AE2472" s="355"/>
      <c r="AF2472" s="94">
        <f t="shared" si="323"/>
        <v>43190</v>
      </c>
      <c r="AG2472" s="185">
        <f t="shared" si="326"/>
        <v>9.6602394344162956E-3</v>
      </c>
      <c r="AH2472" s="339" t="str">
        <f>VLOOKUP(B2472,'MF PF'!A:B,2)</f>
        <v>FdMgt1</v>
      </c>
      <c r="AI2472" s="358">
        <f t="shared" si="324"/>
        <v>0</v>
      </c>
      <c r="AJ2472" s="94">
        <f t="shared" si="325"/>
        <v>43190</v>
      </c>
    </row>
    <row r="2473" spans="1:36" s="92" customFormat="1" ht="12.75" customHeight="1">
      <c r="A2473" s="94">
        <v>43220</v>
      </c>
      <c r="B2473" s="358" t="s">
        <v>175</v>
      </c>
      <c r="C2473" s="92" t="s">
        <v>335</v>
      </c>
      <c r="D2473" s="93">
        <v>297940.06</v>
      </c>
      <c r="E2473" s="95"/>
      <c r="F2473" s="93"/>
      <c r="G2473" s="95"/>
      <c r="H2473" s="93"/>
      <c r="I2473" s="93"/>
      <c r="J2473" s="93"/>
      <c r="K2473" s="93"/>
      <c r="L2473" s="93">
        <f t="shared" si="320"/>
        <v>0</v>
      </c>
      <c r="M2473" s="95" t="e">
        <f t="shared" ca="1" si="321"/>
        <v>#DIV/0!</v>
      </c>
      <c r="N2473" s="95">
        <f>IF(P2473="Hedge Fund",IF(A2473=Summary!$AD$3,M2473-E2473,M2473),IF(A2473=Summary!$AD$3,L2473-D2473,L2473))</f>
        <v>0</v>
      </c>
      <c r="O2473" s="95">
        <f t="shared" si="327"/>
        <v>0</v>
      </c>
      <c r="P2473" s="107" t="s">
        <v>155</v>
      </c>
      <c r="Q2473" s="95"/>
      <c r="R2473" s="95">
        <v>8.4600100000000004E-3</v>
      </c>
      <c r="S2473" s="95"/>
      <c r="T2473" s="95"/>
      <c r="U2473" s="95"/>
      <c r="V2473" s="95"/>
      <c r="W2473" s="95"/>
      <c r="X2473" s="95"/>
      <c r="Y2473" s="95"/>
      <c r="Z2473" s="95"/>
      <c r="AA2473" s="95"/>
      <c r="AB2473" s="95"/>
      <c r="AC2473" s="355"/>
      <c r="AD2473" s="355"/>
      <c r="AE2473" s="355"/>
      <c r="AF2473" s="94">
        <f t="shared" si="323"/>
        <v>43220</v>
      </c>
      <c r="AG2473" s="185">
        <f t="shared" si="326"/>
        <v>-9.1607878902804085E-3</v>
      </c>
      <c r="AH2473" s="339" t="str">
        <f>VLOOKUP(B2473,'MF PF'!A:B,2)</f>
        <v>FdMgt1</v>
      </c>
      <c r="AI2473" s="358">
        <f t="shared" si="324"/>
        <v>0</v>
      </c>
      <c r="AJ2473" s="94">
        <f t="shared" si="325"/>
        <v>43220</v>
      </c>
    </row>
    <row r="2474" spans="1:36" s="92" customFormat="1" ht="12.75" customHeight="1">
      <c r="A2474" s="94">
        <v>43251</v>
      </c>
      <c r="B2474" s="358" t="s">
        <v>175</v>
      </c>
      <c r="C2474" s="358" t="s">
        <v>335</v>
      </c>
      <c r="D2474" s="93">
        <v>300827.05</v>
      </c>
      <c r="E2474" s="95"/>
      <c r="F2474" s="93"/>
      <c r="G2474" s="95"/>
      <c r="H2474" s="93"/>
      <c r="I2474" s="93"/>
      <c r="J2474" s="93"/>
      <c r="K2474" s="93"/>
      <c r="L2474" s="93">
        <f t="shared" si="320"/>
        <v>0</v>
      </c>
      <c r="M2474" s="95" t="e">
        <f t="shared" ca="1" si="321"/>
        <v>#DIV/0!</v>
      </c>
      <c r="N2474" s="95">
        <f>IF(P2474="Hedge Fund",IF(A2474=Summary!$AD$3,M2474-E2474,M2474),IF(A2474=Summary!$AD$3,L2474-D2474,L2474))</f>
        <v>0</v>
      </c>
      <c r="O2474" s="95">
        <f t="shared" si="327"/>
        <v>0</v>
      </c>
      <c r="P2474" s="107" t="s">
        <v>155</v>
      </c>
      <c r="Q2474" s="95"/>
      <c r="R2474" s="95">
        <v>8.9694800000000002E-3</v>
      </c>
      <c r="S2474" s="95"/>
      <c r="T2474" s="95"/>
      <c r="U2474" s="95"/>
      <c r="V2474" s="95"/>
      <c r="W2474" s="95"/>
      <c r="X2474" s="95"/>
      <c r="Y2474" s="95"/>
      <c r="Z2474" s="95"/>
      <c r="AA2474" s="95"/>
      <c r="AB2474" s="95"/>
      <c r="AC2474" s="355"/>
      <c r="AD2474" s="355"/>
      <c r="AE2474" s="355"/>
      <c r="AF2474" s="94">
        <f t="shared" si="323"/>
        <v>43251</v>
      </c>
      <c r="AG2474" s="185">
        <f t="shared" si="326"/>
        <v>9.6898349285423624E-3</v>
      </c>
      <c r="AH2474" s="339" t="str">
        <f>VLOOKUP(B2474,'MF PF'!A:B,2)</f>
        <v>FdMgt1</v>
      </c>
      <c r="AI2474" s="358">
        <f t="shared" si="324"/>
        <v>0</v>
      </c>
      <c r="AJ2474" s="94">
        <f t="shared" si="325"/>
        <v>43251</v>
      </c>
    </row>
    <row r="2475" spans="1:36" s="92" customFormat="1" ht="12.75" customHeight="1">
      <c r="A2475" s="94">
        <v>43281</v>
      </c>
      <c r="B2475" s="358" t="s">
        <v>175</v>
      </c>
      <c r="C2475" s="92" t="s">
        <v>335</v>
      </c>
      <c r="D2475" s="93">
        <v>299679.46999999997</v>
      </c>
      <c r="E2475" s="95"/>
      <c r="F2475" s="93"/>
      <c r="G2475" s="95"/>
      <c r="H2475" s="93"/>
      <c r="I2475" s="93"/>
      <c r="J2475" s="93"/>
      <c r="K2475" s="93"/>
      <c r="L2475" s="93">
        <f t="shared" si="320"/>
        <v>0</v>
      </c>
      <c r="M2475" s="95" t="e">
        <f t="shared" ca="1" si="321"/>
        <v>#DIV/0!</v>
      </c>
      <c r="N2475" s="95">
        <f>IF(P2475="Hedge Fund",IF(A2475=Summary!$AD$3,M2475-E2475,M2475),IF(A2475=Summary!$AD$3,L2475-D2475,L2475))</f>
        <v>0</v>
      </c>
      <c r="O2475" s="95">
        <f t="shared" si="327"/>
        <v>0</v>
      </c>
      <c r="P2475" s="107" t="s">
        <v>155</v>
      </c>
      <c r="Q2475" s="95">
        <v>1.1706099999999999E-3</v>
      </c>
      <c r="R2475" s="95">
        <v>8.7669699999999989E-3</v>
      </c>
      <c r="S2475" s="95"/>
      <c r="T2475" s="95"/>
      <c r="U2475" s="95"/>
      <c r="V2475" s="95"/>
      <c r="W2475" s="95"/>
      <c r="X2475" s="95"/>
      <c r="Y2475" s="95"/>
      <c r="Z2475" s="95"/>
      <c r="AA2475" s="95"/>
      <c r="AB2475" s="95"/>
      <c r="AC2475" s="355"/>
      <c r="AD2475" s="355"/>
      <c r="AE2475" s="355"/>
      <c r="AF2475" s="94">
        <f t="shared" si="323"/>
        <v>43281</v>
      </c>
      <c r="AG2475" s="185">
        <f t="shared" si="326"/>
        <v>-3.8147500366074727E-3</v>
      </c>
      <c r="AH2475" s="339" t="str">
        <f>VLOOKUP(B2475,'MF PF'!A:B,2)</f>
        <v>FdMgt1</v>
      </c>
      <c r="AI2475" s="358">
        <f t="shared" si="324"/>
        <v>0</v>
      </c>
      <c r="AJ2475" s="94">
        <f t="shared" si="325"/>
        <v>43281</v>
      </c>
    </row>
    <row r="2476" spans="1:36" s="92" customFormat="1" ht="12.75" customHeight="1">
      <c r="A2476" s="94">
        <v>43312</v>
      </c>
      <c r="B2476" s="358" t="s">
        <v>175</v>
      </c>
      <c r="C2476" s="92" t="s">
        <v>335</v>
      </c>
      <c r="D2476" s="93">
        <v>296004.64</v>
      </c>
      <c r="E2476" s="95"/>
      <c r="F2476" s="93"/>
      <c r="G2476" s="95"/>
      <c r="H2476" s="93"/>
      <c r="I2476" s="93"/>
      <c r="J2476" s="93"/>
      <c r="K2476" s="93"/>
      <c r="L2476" s="93">
        <f t="shared" si="320"/>
        <v>0</v>
      </c>
      <c r="M2476" s="95" t="e">
        <f t="shared" ca="1" si="321"/>
        <v>#DIV/0!</v>
      </c>
      <c r="N2476" s="95">
        <f>IF(P2476="Hedge Fund",IF(A2476=Summary!$AD$3,M2476-E2476,M2476),IF(A2476=Summary!$AD$3,L2476-D2476,L2476))</f>
        <v>0</v>
      </c>
      <c r="O2476" s="95">
        <f t="shared" si="327"/>
        <v>0</v>
      </c>
      <c r="P2476" s="107" t="s">
        <v>155</v>
      </c>
      <c r="Q2476" s="95">
        <v>0</v>
      </c>
      <c r="R2476" s="95">
        <v>8.1184700000000009E-3</v>
      </c>
      <c r="S2476" s="95"/>
      <c r="T2476" s="95"/>
      <c r="U2476" s="95"/>
      <c r="V2476" s="95"/>
      <c r="W2476" s="95"/>
      <c r="X2476" s="95"/>
      <c r="Y2476" s="95"/>
      <c r="Z2476" s="95"/>
      <c r="AA2476" s="95"/>
      <c r="AB2476" s="95"/>
      <c r="AC2476" s="355"/>
      <c r="AD2476" s="355"/>
      <c r="AE2476" s="355"/>
      <c r="AF2476" s="94">
        <f t="shared" si="323"/>
        <v>43312</v>
      </c>
      <c r="AG2476" s="185">
        <f t="shared" si="326"/>
        <v>-1.2262535034515243E-2</v>
      </c>
      <c r="AH2476" s="339" t="str">
        <f>VLOOKUP(B2476,'MF PF'!A:B,2)</f>
        <v>FdMgt1</v>
      </c>
      <c r="AI2476" s="358">
        <f t="shared" si="324"/>
        <v>0</v>
      </c>
      <c r="AJ2476" s="94">
        <f t="shared" si="325"/>
        <v>43312</v>
      </c>
    </row>
    <row r="2477" spans="1:36" s="92" customFormat="1" ht="12.75" customHeight="1">
      <c r="A2477" s="94">
        <v>43343</v>
      </c>
      <c r="B2477" s="358" t="s">
        <v>175</v>
      </c>
      <c r="C2477" s="92" t="s">
        <v>335</v>
      </c>
      <c r="D2477" s="93">
        <v>293629.28000000003</v>
      </c>
      <c r="E2477" s="95"/>
      <c r="F2477" s="93"/>
      <c r="G2477" s="95"/>
      <c r="H2477" s="93"/>
      <c r="I2477" s="93"/>
      <c r="J2477" s="93"/>
      <c r="K2477" s="93"/>
      <c r="L2477" s="93">
        <f t="shared" si="320"/>
        <v>0</v>
      </c>
      <c r="M2477" s="95" t="e">
        <f t="shared" ca="1" si="321"/>
        <v>#DIV/0!</v>
      </c>
      <c r="N2477" s="95">
        <f>IF(P2477="Hedge Fund",IF(A2477=Summary!$AD$3,M2477-E2477,M2477),IF(A2477=Summary!$AD$3,L2477-D2477,L2477))</f>
        <v>0</v>
      </c>
      <c r="O2477" s="95">
        <f t="shared" si="327"/>
        <v>0</v>
      </c>
      <c r="P2477" s="107" t="s">
        <v>155</v>
      </c>
      <c r="Q2477" s="95">
        <v>0</v>
      </c>
      <c r="R2477" s="95">
        <v>7.6992900000000001E-3</v>
      </c>
      <c r="S2477" s="95"/>
      <c r="T2477" s="95"/>
      <c r="U2477" s="95"/>
      <c r="V2477" s="95"/>
      <c r="W2477" s="95"/>
      <c r="X2477" s="95"/>
      <c r="Y2477" s="95"/>
      <c r="Z2477" s="95"/>
      <c r="AA2477" s="95"/>
      <c r="AB2477" s="95"/>
      <c r="AC2477" s="355"/>
      <c r="AD2477" s="355"/>
      <c r="AE2477" s="355"/>
      <c r="AF2477" s="94">
        <f t="shared" si="323"/>
        <v>43343</v>
      </c>
      <c r="AG2477" s="185">
        <f t="shared" si="326"/>
        <v>-8.0247390716577938E-3</v>
      </c>
      <c r="AH2477" s="339" t="str">
        <f>VLOOKUP(B2477,'MF PF'!A:B,2)</f>
        <v>FdMgt1</v>
      </c>
      <c r="AI2477" s="358">
        <f t="shared" si="324"/>
        <v>0</v>
      </c>
      <c r="AJ2477" s="94">
        <f t="shared" si="325"/>
        <v>43343</v>
      </c>
    </row>
    <row r="2478" spans="1:36" s="92" customFormat="1" ht="12.75" customHeight="1">
      <c r="A2478" s="94">
        <v>43373</v>
      </c>
      <c r="B2478" s="358" t="s">
        <v>175</v>
      </c>
      <c r="C2478" s="92" t="s">
        <v>335</v>
      </c>
      <c r="D2478" s="93">
        <v>282930.03000000003</v>
      </c>
      <c r="E2478" s="95"/>
      <c r="F2478" s="93"/>
      <c r="G2478" s="95"/>
      <c r="H2478" s="93"/>
      <c r="I2478" s="93"/>
      <c r="J2478" s="93"/>
      <c r="K2478" s="93"/>
      <c r="L2478" s="93">
        <f t="shared" si="320"/>
        <v>0</v>
      </c>
      <c r="M2478" s="95" t="e">
        <f t="shared" ca="1" si="321"/>
        <v>#DIV/0!</v>
      </c>
      <c r="N2478" s="95">
        <f>IF(P2478="Hedge Fund",IF(A2478=Summary!$AD$3,M2478-E2478,M2478),IF(A2478=Summary!$AD$3,L2478-D2478,L2478))</f>
        <v>0</v>
      </c>
      <c r="O2478" s="95">
        <f t="shared" si="327"/>
        <v>0</v>
      </c>
      <c r="P2478" s="107" t="s">
        <v>155</v>
      </c>
      <c r="Q2478" s="95">
        <v>1.0838699999999998E-3</v>
      </c>
      <c r="R2478" s="95">
        <v>5.81118E-3</v>
      </c>
      <c r="S2478" s="95"/>
      <c r="T2478" s="95"/>
      <c r="U2478" s="95"/>
      <c r="V2478" s="95"/>
      <c r="W2478" s="95"/>
      <c r="X2478" s="95"/>
      <c r="Y2478" s="95"/>
      <c r="Z2478" s="95"/>
      <c r="AA2478" s="95"/>
      <c r="AB2478" s="95"/>
      <c r="AC2478" s="355"/>
      <c r="AD2478" s="355"/>
      <c r="AE2478" s="355"/>
      <c r="AF2478" s="94">
        <f t="shared" si="323"/>
        <v>43373</v>
      </c>
      <c r="AG2478" s="185">
        <f t="shared" si="326"/>
        <v>-3.6437953326725503E-2</v>
      </c>
      <c r="AH2478" s="339" t="str">
        <f>VLOOKUP(B2478,'MF PF'!A:B,2)</f>
        <v>FdMgt1</v>
      </c>
      <c r="AI2478" s="358">
        <f t="shared" si="324"/>
        <v>0</v>
      </c>
      <c r="AJ2478" s="94">
        <f t="shared" si="325"/>
        <v>43373</v>
      </c>
    </row>
    <row r="2479" spans="1:36" s="92" customFormat="1" ht="12.75" customHeight="1">
      <c r="A2479" s="94">
        <v>43404</v>
      </c>
      <c r="B2479" s="358" t="s">
        <v>175</v>
      </c>
      <c r="C2479" s="358" t="s">
        <v>335</v>
      </c>
      <c r="D2479" s="93">
        <v>279500.73749999999</v>
      </c>
      <c r="E2479" s="95"/>
      <c r="F2479" s="93">
        <v>0.25</v>
      </c>
      <c r="G2479" s="93"/>
      <c r="H2479" s="93">
        <v>0</v>
      </c>
      <c r="I2479" s="93">
        <v>0</v>
      </c>
      <c r="J2479" s="93">
        <v>0</v>
      </c>
      <c r="K2479" s="93"/>
      <c r="L2479" s="93">
        <f t="shared" si="320"/>
        <v>0</v>
      </c>
      <c r="M2479" s="95" t="e">
        <f t="shared" ca="1" si="321"/>
        <v>#DIV/0!</v>
      </c>
      <c r="N2479" s="95">
        <f>IF(P2479="Hedge Fund",IF(A2479=Summary!$AD$3,M2479-E2479,M2479),IF(A2479=Summary!$AD$3,L2479-D2479,L2479))</f>
        <v>0</v>
      </c>
      <c r="O2479" s="95">
        <f t="shared" si="327"/>
        <v>0</v>
      </c>
      <c r="P2479" s="95" t="s">
        <v>155</v>
      </c>
      <c r="Q2479" s="95">
        <v>1.4704890219556445E-3</v>
      </c>
      <c r="R2479" s="95">
        <v>5.2060125E-3</v>
      </c>
      <c r="S2479" s="95"/>
      <c r="T2479" s="95"/>
      <c r="U2479" s="95"/>
      <c r="V2479" s="95"/>
      <c r="W2479" s="95"/>
      <c r="X2479" s="95"/>
      <c r="Y2479" s="95"/>
      <c r="Z2479" s="95"/>
      <c r="AA2479" s="95"/>
      <c r="AB2479" s="95"/>
      <c r="AC2479" s="355"/>
      <c r="AD2479" s="355"/>
      <c r="AE2479" s="355"/>
      <c r="AF2479" s="94">
        <f t="shared" si="323"/>
        <v>43404</v>
      </c>
      <c r="AG2479" s="185">
        <f t="shared" si="326"/>
        <v>-1.212063809557451E-2</v>
      </c>
      <c r="AH2479" s="339" t="str">
        <f>VLOOKUP(B2479,'MF PF'!A:B,2)</f>
        <v>FdMgt1</v>
      </c>
      <c r="AI2479" s="358">
        <f t="shared" si="324"/>
        <v>0</v>
      </c>
      <c r="AJ2479" s="94">
        <f t="shared" si="325"/>
        <v>43404</v>
      </c>
    </row>
    <row r="2480" spans="1:36" s="92" customFormat="1" ht="12.75" customHeight="1">
      <c r="A2480" s="94">
        <v>43434</v>
      </c>
      <c r="B2480" s="358" t="s">
        <v>175</v>
      </c>
      <c r="C2480" s="92" t="s">
        <v>335</v>
      </c>
      <c r="D2480" s="93">
        <v>279399.49400000001</v>
      </c>
      <c r="E2480" s="95"/>
      <c r="F2480" s="93">
        <v>0.25</v>
      </c>
      <c r="G2480" s="93"/>
      <c r="H2480" s="93">
        <v>0</v>
      </c>
      <c r="I2480" s="93">
        <v>0</v>
      </c>
      <c r="J2480" s="93"/>
      <c r="K2480" s="93">
        <v>0</v>
      </c>
      <c r="L2480" s="93">
        <f t="shared" si="320"/>
        <v>0</v>
      </c>
      <c r="M2480" s="95" t="e">
        <f t="shared" ca="1" si="321"/>
        <v>#DIV/0!</v>
      </c>
      <c r="N2480" s="95">
        <f>IF(P2480="Hedge Fund",IF(A2480=Summary!$AD$3,M2480-E2480,M2480),IF(A2480=Summary!$AD$3,L2480-D2480,L2480))</f>
        <v>0</v>
      </c>
      <c r="O2480" s="95">
        <f t="shared" si="327"/>
        <v>0</v>
      </c>
      <c r="P2480" s="95" t="s">
        <v>155</v>
      </c>
      <c r="Q2480" s="95">
        <v>7.4145772059811953E-4</v>
      </c>
      <c r="R2480" s="95">
        <v>5.1881460000000011E-3</v>
      </c>
      <c r="S2480" s="95"/>
      <c r="T2480" s="95"/>
      <c r="U2480" s="95"/>
      <c r="V2480" s="95"/>
      <c r="W2480" s="95"/>
      <c r="X2480" s="95"/>
      <c r="Y2480" s="95"/>
      <c r="Z2480" s="95"/>
      <c r="AA2480" s="95"/>
      <c r="AB2480" s="95"/>
      <c r="AC2480" s="355"/>
      <c r="AD2480" s="355"/>
      <c r="AE2480" s="355"/>
      <c r="AF2480" s="94">
        <f t="shared" si="323"/>
        <v>43434</v>
      </c>
      <c r="AG2480" s="185">
        <f t="shared" si="326"/>
        <v>-3.6222981343647653E-4</v>
      </c>
      <c r="AH2480" s="339" t="str">
        <f>VLOOKUP(B2480,'MF PF'!A:B,2)</f>
        <v>FdMgt1</v>
      </c>
      <c r="AI2480" s="358">
        <f t="shared" si="324"/>
        <v>0</v>
      </c>
      <c r="AJ2480" s="94">
        <f t="shared" si="325"/>
        <v>43434</v>
      </c>
    </row>
    <row r="2481" spans="1:53" s="92" customFormat="1" ht="12.75" customHeight="1">
      <c r="A2481" s="94">
        <v>43465</v>
      </c>
      <c r="B2481" s="358" t="s">
        <v>175</v>
      </c>
      <c r="C2481" s="92" t="s">
        <v>335</v>
      </c>
      <c r="D2481" s="93">
        <v>283563.82250000001</v>
      </c>
      <c r="E2481" s="95"/>
      <c r="F2481" s="93">
        <v>0.25</v>
      </c>
      <c r="G2481" s="93"/>
      <c r="H2481" s="93">
        <v>0</v>
      </c>
      <c r="I2481" s="93">
        <v>0</v>
      </c>
      <c r="J2481" s="93"/>
      <c r="K2481" s="93">
        <v>0</v>
      </c>
      <c r="L2481" s="93">
        <f t="shared" si="320"/>
        <v>0</v>
      </c>
      <c r="M2481" s="95" t="e">
        <f t="shared" ca="1" si="321"/>
        <v>#DIV/0!</v>
      </c>
      <c r="N2481" s="95">
        <f>IF(P2481="Hedge Fund",IF(A2481=Summary!$AD$3,M2481-E2481,M2481),IF(A2481=Summary!$AD$3,L2481-D2481,L2481))</f>
        <v>0</v>
      </c>
      <c r="O2481" s="95">
        <f t="shared" si="327"/>
        <v>0</v>
      </c>
      <c r="P2481" s="95" t="s">
        <v>155</v>
      </c>
      <c r="Q2481" s="95">
        <v>1.1226284125534385E-3</v>
      </c>
      <c r="R2481" s="95">
        <v>5.9230274999999962E-3</v>
      </c>
      <c r="S2481" s="95"/>
      <c r="T2481" s="95"/>
      <c r="U2481" s="95"/>
      <c r="V2481" s="95"/>
      <c r="W2481" s="95"/>
      <c r="X2481" s="95"/>
      <c r="Y2481" s="95"/>
      <c r="Z2481" s="95"/>
      <c r="AA2481" s="95"/>
      <c r="AB2481" s="95"/>
      <c r="AC2481" s="355"/>
      <c r="AD2481" s="355"/>
      <c r="AE2481" s="355"/>
      <c r="AF2481" s="94">
        <f t="shared" si="323"/>
        <v>43465</v>
      </c>
      <c r="AG2481" s="185">
        <f t="shared" si="326"/>
        <v>1.490456707842136E-2</v>
      </c>
      <c r="AH2481" s="339" t="str">
        <f>VLOOKUP(B2481,'MF PF'!A:B,2)</f>
        <v>FdMgt1</v>
      </c>
      <c r="AI2481" s="358">
        <f t="shared" si="324"/>
        <v>0</v>
      </c>
      <c r="AJ2481" s="94">
        <f t="shared" si="325"/>
        <v>43465</v>
      </c>
    </row>
    <row r="2482" spans="1:53" s="92" customFormat="1" ht="12.75" customHeight="1">
      <c r="A2482" s="94">
        <v>43496</v>
      </c>
      <c r="B2482" s="358" t="s">
        <v>175</v>
      </c>
      <c r="C2482" s="92" t="s">
        <v>335</v>
      </c>
      <c r="D2482" s="93">
        <v>290672.70400000003</v>
      </c>
      <c r="E2482" s="95"/>
      <c r="F2482" s="93">
        <v>0.25</v>
      </c>
      <c r="G2482" s="93"/>
      <c r="H2482" s="93">
        <v>0</v>
      </c>
      <c r="I2482" s="93">
        <v>0</v>
      </c>
      <c r="J2482" s="93"/>
      <c r="K2482" s="93">
        <v>0</v>
      </c>
      <c r="L2482" s="93">
        <f t="shared" si="320"/>
        <v>0</v>
      </c>
      <c r="M2482" s="95" t="e">
        <f t="shared" ca="1" si="321"/>
        <v>#DIV/0!</v>
      </c>
      <c r="N2482" s="95">
        <f>IF(P2482="Hedge Fund",IF(A2482=Summary!$AD$3,M2482-E2482,M2482),IF(A2482=Summary!$AD$3,L2482-D2482,L2482))</f>
        <v>-290672.70400000003</v>
      </c>
      <c r="O2482" s="95">
        <f t="shared" si="327"/>
        <v>-290672.70400000003</v>
      </c>
      <c r="P2482" s="95" t="s">
        <v>155</v>
      </c>
      <c r="Q2482" s="95">
        <v>3.7997569440243622E-4</v>
      </c>
      <c r="R2482" s="95">
        <v>7.1775359999999983E-3</v>
      </c>
      <c r="S2482" s="95"/>
      <c r="T2482" s="95"/>
      <c r="U2482" s="95"/>
      <c r="V2482" s="95"/>
      <c r="W2482" s="95"/>
      <c r="X2482" s="95"/>
      <c r="Y2482" s="95"/>
      <c r="Z2482" s="95"/>
      <c r="AA2482" s="95"/>
      <c r="AB2482" s="95"/>
      <c r="AC2482" s="355"/>
      <c r="AD2482" s="355"/>
      <c r="AE2482" s="355"/>
      <c r="AF2482" s="94">
        <f t="shared" si="323"/>
        <v>43496</v>
      </c>
      <c r="AG2482" s="185">
        <f t="shared" si="326"/>
        <v>2.5069775958461715E-2</v>
      </c>
      <c r="AH2482" s="339" t="str">
        <f>VLOOKUP(B2482,'MF PF'!A:B,2)</f>
        <v>FdMgt1</v>
      </c>
      <c r="AI2482" s="358">
        <f t="shared" si="324"/>
        <v>0</v>
      </c>
      <c r="AJ2482" s="94">
        <f t="shared" si="325"/>
        <v>43496</v>
      </c>
    </row>
    <row r="2483" spans="1:53" s="92" customFormat="1" ht="12.75" customHeight="1">
      <c r="A2483" s="94">
        <v>43087</v>
      </c>
      <c r="B2483" s="358" t="s">
        <v>175</v>
      </c>
      <c r="C2483" s="358" t="s">
        <v>336</v>
      </c>
      <c r="D2483" s="93"/>
      <c r="E2483" s="95"/>
      <c r="F2483" s="93"/>
      <c r="G2483" s="95">
        <v>21755</v>
      </c>
      <c r="H2483" s="93"/>
      <c r="I2483" s="93"/>
      <c r="J2483" s="93"/>
      <c r="K2483" s="93"/>
      <c r="L2483" s="93">
        <f t="shared" si="320"/>
        <v>21755</v>
      </c>
      <c r="M2483" s="95">
        <f t="shared" ca="1" si="321"/>
        <v>0</v>
      </c>
      <c r="N2483" s="95">
        <f>IF(P2483="Hedge Fund",IF(A2483=Summary!$AD$3,M2483-E2483,M2483),IF(A2483=Summary!$AD$3,L2483-D2483,L2483))</f>
        <v>21755</v>
      </c>
      <c r="O2483" s="95">
        <f t="shared" si="327"/>
        <v>21755</v>
      </c>
      <c r="P2483" s="107" t="s">
        <v>155</v>
      </c>
      <c r="Q2483" s="95">
        <v>0</v>
      </c>
      <c r="R2483" s="95">
        <v>0</v>
      </c>
      <c r="S2483" s="95"/>
      <c r="T2483" s="95"/>
      <c r="U2483" s="95"/>
      <c r="V2483" s="95"/>
      <c r="W2483" s="95"/>
      <c r="X2483" s="95"/>
      <c r="Y2483" s="95"/>
      <c r="Z2483" s="95"/>
      <c r="AA2483" s="95"/>
      <c r="AB2483" s="95"/>
      <c r="AC2483" s="355"/>
      <c r="AD2483" s="355"/>
      <c r="AE2483" s="355"/>
      <c r="AF2483" s="94">
        <f t="shared" si="323"/>
        <v>43087</v>
      </c>
      <c r="AG2483" s="185">
        <f t="shared" si="326"/>
        <v>-1</v>
      </c>
      <c r="AH2483" s="339" t="str">
        <f>VLOOKUP(B2483,'MF PF'!A:B,2)</f>
        <v>FdMgt1</v>
      </c>
      <c r="AI2483" s="358">
        <f t="shared" si="324"/>
        <v>0</v>
      </c>
      <c r="AJ2483" s="94">
        <f t="shared" si="325"/>
        <v>43100</v>
      </c>
    </row>
    <row r="2484" spans="1:53" s="92" customFormat="1" ht="12.75" customHeight="1">
      <c r="A2484" s="94">
        <v>43087</v>
      </c>
      <c r="B2484" s="358" t="s">
        <v>175</v>
      </c>
      <c r="C2484" s="358" t="s">
        <v>336</v>
      </c>
      <c r="D2484" s="93"/>
      <c r="E2484" s="95"/>
      <c r="F2484" s="93"/>
      <c r="G2484" s="95">
        <v>178245</v>
      </c>
      <c r="H2484" s="93"/>
      <c r="I2484" s="93"/>
      <c r="J2484" s="93"/>
      <c r="K2484" s="93"/>
      <c r="L2484" s="93">
        <f t="shared" si="320"/>
        <v>178245</v>
      </c>
      <c r="M2484" s="95">
        <f t="shared" ca="1" si="321"/>
        <v>0</v>
      </c>
      <c r="N2484" s="95">
        <f>IF(P2484="Hedge Fund",IF(A2484=Summary!$AD$3,M2484-E2484,M2484),IF(A2484=Summary!$AD$3,L2484-D2484,L2484))</f>
        <v>178245</v>
      </c>
      <c r="O2484" s="95">
        <f t="shared" si="327"/>
        <v>178245</v>
      </c>
      <c r="P2484" s="107" t="s">
        <v>155</v>
      </c>
      <c r="Q2484" s="95">
        <v>0</v>
      </c>
      <c r="R2484" s="95">
        <v>0</v>
      </c>
      <c r="S2484" s="95"/>
      <c r="T2484" s="95"/>
      <c r="U2484" s="95"/>
      <c r="V2484" s="95"/>
      <c r="W2484" s="95"/>
      <c r="X2484" s="95"/>
      <c r="Y2484" s="95"/>
      <c r="Z2484" s="95"/>
      <c r="AA2484" s="95"/>
      <c r="AB2484" s="95"/>
      <c r="AC2484" s="355"/>
      <c r="AD2484" s="355"/>
      <c r="AE2484" s="355"/>
      <c r="AF2484" s="94">
        <f t="shared" si="323"/>
        <v>43087</v>
      </c>
      <c r="AG2484" s="185" t="e">
        <f t="shared" si="326"/>
        <v>#DIV/0!</v>
      </c>
      <c r="AH2484" s="339" t="str">
        <f>VLOOKUP(B2484,'MF PF'!A:B,2)</f>
        <v>FdMgt1</v>
      </c>
      <c r="AI2484" s="358">
        <f t="shared" si="324"/>
        <v>0</v>
      </c>
      <c r="AJ2484" s="94">
        <f t="shared" si="325"/>
        <v>43100</v>
      </c>
      <c r="AK2484" s="96"/>
      <c r="AL2484" s="96"/>
      <c r="AM2484" s="96"/>
      <c r="AN2484" s="96"/>
      <c r="AO2484" s="96"/>
      <c r="AP2484" s="96"/>
      <c r="AQ2484" s="96"/>
      <c r="AR2484" s="96"/>
      <c r="AS2484" s="96"/>
      <c r="AT2484" s="96"/>
      <c r="AU2484" s="96"/>
      <c r="AV2484" s="96"/>
      <c r="AW2484" s="96"/>
      <c r="AX2484" s="96"/>
      <c r="AY2484" s="96"/>
      <c r="AZ2484" s="96"/>
      <c r="BA2484" s="96"/>
    </row>
    <row r="2485" spans="1:53" s="92" customFormat="1" ht="12.75" customHeight="1">
      <c r="A2485" s="94">
        <v>43100</v>
      </c>
      <c r="B2485" s="358" t="s">
        <v>175</v>
      </c>
      <c r="C2485" s="358" t="s">
        <v>336</v>
      </c>
      <c r="D2485" s="93">
        <v>231993.27</v>
      </c>
      <c r="E2485" s="95"/>
      <c r="F2485" s="93"/>
      <c r="G2485" s="95"/>
      <c r="H2485" s="93"/>
      <c r="I2485" s="93"/>
      <c r="J2485" s="93"/>
      <c r="K2485" s="93"/>
      <c r="L2485" s="93">
        <f t="shared" si="320"/>
        <v>0</v>
      </c>
      <c r="M2485" s="95" t="e">
        <f t="shared" ca="1" si="321"/>
        <v>#DIV/0!</v>
      </c>
      <c r="N2485" s="95">
        <f>IF(P2485="Hedge Fund",IF(A2485=Summary!$AD$3,M2485-E2485,M2485),IF(A2485=Summary!$AD$3,L2485-D2485,L2485))</f>
        <v>0</v>
      </c>
      <c r="O2485" s="95">
        <f t="shared" si="327"/>
        <v>0</v>
      </c>
      <c r="P2485" s="107" t="s">
        <v>155</v>
      </c>
      <c r="Q2485" s="95">
        <v>0</v>
      </c>
      <c r="R2485" s="95">
        <v>0</v>
      </c>
      <c r="S2485" s="95"/>
      <c r="T2485" s="95"/>
      <c r="U2485" s="95"/>
      <c r="V2485" s="95"/>
      <c r="W2485" s="95"/>
      <c r="X2485" s="95"/>
      <c r="Y2485" s="95"/>
      <c r="Z2485" s="95"/>
      <c r="AA2485" s="95"/>
      <c r="AB2485" s="95"/>
      <c r="AC2485" s="355"/>
      <c r="AD2485" s="355"/>
      <c r="AE2485" s="355"/>
      <c r="AF2485" s="94">
        <f t="shared" si="323"/>
        <v>43100</v>
      </c>
      <c r="AG2485" s="185" t="e">
        <f t="shared" si="326"/>
        <v>#DIV/0!</v>
      </c>
      <c r="AH2485" s="339" t="str">
        <f>VLOOKUP(B2485,'MF PF'!A:B,2)</f>
        <v>FdMgt1</v>
      </c>
      <c r="AI2485" s="358">
        <f t="shared" si="324"/>
        <v>0</v>
      </c>
      <c r="AJ2485" s="94">
        <f t="shared" si="325"/>
        <v>43100</v>
      </c>
      <c r="AK2485" s="96"/>
      <c r="AL2485" s="96"/>
      <c r="AM2485" s="96"/>
      <c r="AN2485" s="96"/>
      <c r="AO2485" s="96"/>
      <c r="AP2485" s="96"/>
      <c r="AQ2485" s="96"/>
      <c r="AR2485" s="96"/>
      <c r="AS2485" s="96"/>
      <c r="AT2485" s="96"/>
      <c r="AU2485" s="96"/>
      <c r="AV2485" s="96"/>
      <c r="AW2485" s="96"/>
      <c r="AX2485" s="96"/>
      <c r="AY2485" s="96"/>
      <c r="AZ2485" s="96"/>
      <c r="BA2485" s="96"/>
    </row>
    <row r="2486" spans="1:53" s="92" customFormat="1" ht="12.75" customHeight="1">
      <c r="A2486" s="94">
        <v>43131</v>
      </c>
      <c r="B2486" s="358" t="s">
        <v>175</v>
      </c>
      <c r="C2486" s="358" t="s">
        <v>336</v>
      </c>
      <c r="D2486" s="93">
        <v>245393.01</v>
      </c>
      <c r="E2486" s="95"/>
      <c r="F2486" s="93"/>
      <c r="G2486" s="95"/>
      <c r="H2486" s="93"/>
      <c r="I2486" s="93"/>
      <c r="J2486" s="93"/>
      <c r="K2486" s="93"/>
      <c r="L2486" s="93">
        <f t="shared" si="320"/>
        <v>0</v>
      </c>
      <c r="M2486" s="95" t="e">
        <f t="shared" ca="1" si="321"/>
        <v>#DIV/0!</v>
      </c>
      <c r="N2486" s="95">
        <f>IF(P2486="Hedge Fund",IF(A2486=Summary!$AD$3,M2486-E2486,M2486),IF(A2486=Summary!$AD$3,L2486-D2486,L2486))</f>
        <v>0</v>
      </c>
      <c r="O2486" s="95">
        <f t="shared" si="327"/>
        <v>0</v>
      </c>
      <c r="P2486" s="107" t="s">
        <v>155</v>
      </c>
      <c r="Q2486" s="95"/>
      <c r="R2486" s="95">
        <v>0</v>
      </c>
      <c r="S2486" s="95"/>
      <c r="T2486" s="95"/>
      <c r="U2486" s="95"/>
      <c r="V2486" s="95"/>
      <c r="W2486" s="95"/>
      <c r="X2486" s="95"/>
      <c r="Y2486" s="95"/>
      <c r="Z2486" s="95"/>
      <c r="AA2486" s="95"/>
      <c r="AB2486" s="95"/>
      <c r="AC2486" s="355"/>
      <c r="AD2486" s="355"/>
      <c r="AE2486" s="355"/>
      <c r="AF2486" s="94">
        <f t="shared" si="323"/>
        <v>43131</v>
      </c>
      <c r="AG2486" s="185">
        <f t="shared" si="326"/>
        <v>5.7759175514013883E-2</v>
      </c>
      <c r="AH2486" s="339" t="str">
        <f>VLOOKUP(B2486,'MF PF'!A:B,2)</f>
        <v>FdMgt1</v>
      </c>
      <c r="AI2486" s="358">
        <f t="shared" si="324"/>
        <v>0</v>
      </c>
      <c r="AJ2486" s="94">
        <f t="shared" si="325"/>
        <v>43131</v>
      </c>
    </row>
    <row r="2487" spans="1:53" s="96" customFormat="1" ht="12.75" customHeight="1">
      <c r="A2487" s="94">
        <v>43159</v>
      </c>
      <c r="B2487" s="358" t="s">
        <v>175</v>
      </c>
      <c r="C2487" s="358" t="s">
        <v>336</v>
      </c>
      <c r="D2487" s="93">
        <v>246486.16</v>
      </c>
      <c r="E2487" s="95"/>
      <c r="F2487" s="93"/>
      <c r="G2487" s="95"/>
      <c r="H2487" s="93"/>
      <c r="I2487" s="93"/>
      <c r="J2487" s="93"/>
      <c r="K2487" s="93"/>
      <c r="L2487" s="93">
        <f t="shared" si="320"/>
        <v>0</v>
      </c>
      <c r="M2487" s="95" t="e">
        <f t="shared" ca="1" si="321"/>
        <v>#DIV/0!</v>
      </c>
      <c r="N2487" s="95">
        <f>IF(P2487="Hedge Fund",IF(A2487=Summary!$AD$3,M2487-E2487,M2487),IF(A2487=Summary!$AD$3,L2487-D2487,L2487))</f>
        <v>0</v>
      </c>
      <c r="O2487" s="95">
        <f t="shared" si="327"/>
        <v>0</v>
      </c>
      <c r="P2487" s="107" t="s">
        <v>155</v>
      </c>
      <c r="Q2487" s="95"/>
      <c r="R2487" s="95">
        <v>0</v>
      </c>
      <c r="S2487" s="95"/>
      <c r="T2487" s="95"/>
      <c r="U2487" s="95"/>
      <c r="V2487" s="95"/>
      <c r="W2487" s="95"/>
      <c r="X2487" s="95"/>
      <c r="Y2487" s="95"/>
      <c r="Z2487" s="95"/>
      <c r="AA2487" s="95"/>
      <c r="AB2487" s="95"/>
      <c r="AC2487" s="355"/>
      <c r="AD2487" s="355"/>
      <c r="AE2487" s="355"/>
      <c r="AF2487" s="94">
        <f t="shared" si="323"/>
        <v>43159</v>
      </c>
      <c r="AG2487" s="185">
        <f t="shared" si="326"/>
        <v>4.4546908650739958E-3</v>
      </c>
      <c r="AH2487" s="339" t="str">
        <f>VLOOKUP(B2487,'MF PF'!A:B,2)</f>
        <v>FdMgt1</v>
      </c>
      <c r="AI2487" s="358">
        <f t="shared" si="324"/>
        <v>0</v>
      </c>
      <c r="AJ2487" s="94">
        <f t="shared" si="325"/>
        <v>43159</v>
      </c>
      <c r="AK2487" s="358"/>
      <c r="AL2487" s="358"/>
      <c r="AM2487" s="358"/>
      <c r="AN2487" s="358"/>
      <c r="AO2487" s="358"/>
      <c r="AP2487" s="358"/>
      <c r="AQ2487" s="358"/>
      <c r="AR2487" s="358"/>
      <c r="AS2487" s="358"/>
      <c r="AT2487" s="358"/>
      <c r="AU2487" s="358"/>
      <c r="AV2487" s="358"/>
      <c r="AW2487" s="358"/>
      <c r="AX2487" s="358"/>
      <c r="AY2487" s="358"/>
      <c r="AZ2487" s="358"/>
      <c r="BA2487" s="358"/>
    </row>
    <row r="2488" spans="1:53" s="92" customFormat="1" ht="12.75" customHeight="1">
      <c r="A2488" s="94">
        <v>43190</v>
      </c>
      <c r="B2488" s="358" t="s">
        <v>175</v>
      </c>
      <c r="C2488" s="92" t="s">
        <v>336</v>
      </c>
      <c r="D2488" s="93">
        <v>249499.82</v>
      </c>
      <c r="E2488" s="95"/>
      <c r="F2488" s="93"/>
      <c r="G2488" s="95"/>
      <c r="H2488" s="93"/>
      <c r="I2488" s="93"/>
      <c r="J2488" s="93"/>
      <c r="K2488" s="93"/>
      <c r="L2488" s="93">
        <f t="shared" si="320"/>
        <v>0</v>
      </c>
      <c r="M2488" s="95" t="e">
        <f t="shared" ca="1" si="321"/>
        <v>#DIV/0!</v>
      </c>
      <c r="N2488" s="95">
        <f>IF(P2488="Hedge Fund",IF(A2488=Summary!$AD$3,M2488-E2488,M2488),IF(A2488=Summary!$AD$3,L2488-D2488,L2488))</f>
        <v>0</v>
      </c>
      <c r="O2488" s="95">
        <f t="shared" si="327"/>
        <v>0</v>
      </c>
      <c r="P2488" s="107" t="s">
        <v>155</v>
      </c>
      <c r="Q2488" s="95">
        <v>0</v>
      </c>
      <c r="R2488" s="95">
        <v>0</v>
      </c>
      <c r="S2488" s="95"/>
      <c r="T2488" s="95"/>
      <c r="U2488" s="95"/>
      <c r="V2488" s="95"/>
      <c r="W2488" s="95"/>
      <c r="X2488" s="95"/>
      <c r="Y2488" s="95"/>
      <c r="Z2488" s="95"/>
      <c r="AA2488" s="95"/>
      <c r="AB2488" s="95"/>
      <c r="AC2488" s="355"/>
      <c r="AD2488" s="355"/>
      <c r="AE2488" s="355"/>
      <c r="AF2488" s="94">
        <f t="shared" si="323"/>
        <v>43190</v>
      </c>
      <c r="AG2488" s="185">
        <f t="shared" si="326"/>
        <v>1.2226487685961684E-2</v>
      </c>
      <c r="AH2488" s="339" t="str">
        <f>VLOOKUP(B2488,'MF PF'!A:B,2)</f>
        <v>FdMgt1</v>
      </c>
      <c r="AI2488" s="358">
        <f t="shared" si="324"/>
        <v>0</v>
      </c>
      <c r="AJ2488" s="94">
        <f t="shared" si="325"/>
        <v>43190</v>
      </c>
    </row>
    <row r="2489" spans="1:53" s="92" customFormat="1" ht="12.75" customHeight="1">
      <c r="A2489" s="94">
        <v>43220</v>
      </c>
      <c r="B2489" s="358" t="s">
        <v>175</v>
      </c>
      <c r="C2489" s="92" t="s">
        <v>336</v>
      </c>
      <c r="D2489" s="93">
        <v>247231.78</v>
      </c>
      <c r="E2489" s="95"/>
      <c r="F2489" s="93"/>
      <c r="G2489" s="95"/>
      <c r="H2489" s="93"/>
      <c r="I2489" s="93"/>
      <c r="J2489" s="93"/>
      <c r="K2489" s="93"/>
      <c r="L2489" s="93">
        <f t="shared" si="320"/>
        <v>0</v>
      </c>
      <c r="M2489" s="95" t="e">
        <f t="shared" ca="1" si="321"/>
        <v>#DIV/0!</v>
      </c>
      <c r="N2489" s="95">
        <f>IF(P2489="Hedge Fund",IF(A2489=Summary!$AD$3,M2489-E2489,M2489),IF(A2489=Summary!$AD$3,L2489-D2489,L2489))</f>
        <v>0</v>
      </c>
      <c r="O2489" s="95">
        <f t="shared" si="327"/>
        <v>0</v>
      </c>
      <c r="P2489" s="107" t="s">
        <v>155</v>
      </c>
      <c r="Q2489" s="95"/>
      <c r="R2489" s="95">
        <v>0</v>
      </c>
      <c r="S2489" s="95"/>
      <c r="T2489" s="95"/>
      <c r="U2489" s="95"/>
      <c r="V2489" s="95"/>
      <c r="W2489" s="95"/>
      <c r="X2489" s="95"/>
      <c r="Y2489" s="95"/>
      <c r="Z2489" s="95"/>
      <c r="AA2489" s="95"/>
      <c r="AB2489" s="95"/>
      <c r="AC2489" s="355"/>
      <c r="AD2489" s="355"/>
      <c r="AE2489" s="355"/>
      <c r="AF2489" s="94">
        <f t="shared" si="323"/>
        <v>43220</v>
      </c>
      <c r="AG2489" s="185">
        <f t="shared" si="326"/>
        <v>-9.0903472395290619E-3</v>
      </c>
      <c r="AH2489" s="339" t="str">
        <f>VLOOKUP(B2489,'MF PF'!A:B,2)</f>
        <v>FdMgt1</v>
      </c>
      <c r="AI2489" s="358">
        <f t="shared" si="324"/>
        <v>0</v>
      </c>
      <c r="AJ2489" s="94">
        <f t="shared" si="325"/>
        <v>43220</v>
      </c>
    </row>
    <row r="2490" spans="1:53" s="92" customFormat="1" ht="12.75" customHeight="1">
      <c r="A2490" s="94">
        <v>43251</v>
      </c>
      <c r="B2490" s="358" t="s">
        <v>175</v>
      </c>
      <c r="C2490" s="358" t="s">
        <v>336</v>
      </c>
      <c r="D2490" s="93">
        <v>250266.01</v>
      </c>
      <c r="E2490" s="95"/>
      <c r="F2490" s="93"/>
      <c r="G2490" s="95"/>
      <c r="H2490" s="93"/>
      <c r="I2490" s="93"/>
      <c r="J2490" s="93"/>
      <c r="K2490" s="93"/>
      <c r="L2490" s="93">
        <f t="shared" si="320"/>
        <v>0</v>
      </c>
      <c r="M2490" s="95" t="e">
        <f t="shared" ca="1" si="321"/>
        <v>#DIV/0!</v>
      </c>
      <c r="N2490" s="95">
        <f>IF(P2490="Hedge Fund",IF(A2490=Summary!$AD$3,M2490-E2490,M2490),IF(A2490=Summary!$AD$3,L2490-D2490,L2490))</f>
        <v>0</v>
      </c>
      <c r="O2490" s="95">
        <f t="shared" si="327"/>
        <v>0</v>
      </c>
      <c r="P2490" s="107" t="s">
        <v>155</v>
      </c>
      <c r="Q2490" s="95"/>
      <c r="R2490" s="95">
        <v>0</v>
      </c>
      <c r="S2490" s="95"/>
      <c r="T2490" s="95"/>
      <c r="U2490" s="95"/>
      <c r="V2490" s="95"/>
      <c r="W2490" s="95"/>
      <c r="X2490" s="95"/>
      <c r="Y2490" s="95"/>
      <c r="Z2490" s="95"/>
      <c r="AA2490" s="95"/>
      <c r="AB2490" s="95"/>
      <c r="AC2490" s="355"/>
      <c r="AD2490" s="355"/>
      <c r="AE2490" s="355"/>
      <c r="AF2490" s="94">
        <f t="shared" si="323"/>
        <v>43251</v>
      </c>
      <c r="AG2490" s="185">
        <f t="shared" si="326"/>
        <v>1.2272815412322835E-2</v>
      </c>
      <c r="AH2490" s="339" t="str">
        <f>VLOOKUP(B2490,'MF PF'!A:B,2)</f>
        <v>FdMgt1</v>
      </c>
      <c r="AI2490" s="358">
        <f t="shared" si="324"/>
        <v>0</v>
      </c>
      <c r="AJ2490" s="94">
        <f t="shared" si="325"/>
        <v>43251</v>
      </c>
    </row>
    <row r="2491" spans="1:53" s="92" customFormat="1" ht="12.75" customHeight="1">
      <c r="A2491" s="94">
        <v>43281</v>
      </c>
      <c r="B2491" s="358" t="s">
        <v>175</v>
      </c>
      <c r="C2491" s="358" t="s">
        <v>336</v>
      </c>
      <c r="D2491" s="93">
        <v>249480.83</v>
      </c>
      <c r="E2491" s="95"/>
      <c r="F2491" s="93"/>
      <c r="G2491" s="95"/>
      <c r="H2491" s="93"/>
      <c r="I2491" s="93"/>
      <c r="J2491" s="93"/>
      <c r="K2491" s="93"/>
      <c r="L2491" s="93">
        <f t="shared" si="320"/>
        <v>0</v>
      </c>
      <c r="M2491" s="95" t="e">
        <f t="shared" ca="1" si="321"/>
        <v>#DIV/0!</v>
      </c>
      <c r="N2491" s="95">
        <f>IF(P2491="Hedge Fund",IF(A2491=Summary!$AD$3,M2491-E2491,M2491),IF(A2491=Summary!$AD$3,L2491-D2491,L2491))</f>
        <v>0</v>
      </c>
      <c r="O2491" s="95">
        <f t="shared" si="327"/>
        <v>0</v>
      </c>
      <c r="P2491" s="107" t="s">
        <v>155</v>
      </c>
      <c r="Q2491" s="95">
        <v>0</v>
      </c>
      <c r="R2491" s="95">
        <v>0</v>
      </c>
      <c r="S2491" s="95"/>
      <c r="T2491" s="95"/>
      <c r="U2491" s="95"/>
      <c r="V2491" s="95"/>
      <c r="W2491" s="95"/>
      <c r="X2491" s="95"/>
      <c r="Y2491" s="95"/>
      <c r="Z2491" s="95"/>
      <c r="AA2491" s="95"/>
      <c r="AB2491" s="95"/>
      <c r="AC2491" s="355"/>
      <c r="AD2491" s="355"/>
      <c r="AE2491" s="355"/>
      <c r="AF2491" s="94">
        <f t="shared" si="323"/>
        <v>43281</v>
      </c>
      <c r="AG2491" s="185">
        <f t="shared" si="326"/>
        <v>-3.1373817003755855E-3</v>
      </c>
      <c r="AH2491" s="339" t="str">
        <f>VLOOKUP(B2491,'MF PF'!A:B,2)</f>
        <v>FdMgt1</v>
      </c>
      <c r="AI2491" s="358">
        <f t="shared" si="324"/>
        <v>0</v>
      </c>
      <c r="AJ2491" s="94">
        <f t="shared" si="325"/>
        <v>43281</v>
      </c>
      <c r="AK2491" s="96"/>
      <c r="AL2491" s="96"/>
      <c r="AM2491" s="96"/>
      <c r="AN2491" s="96"/>
      <c r="AO2491" s="96"/>
      <c r="AP2491" s="96"/>
      <c r="AQ2491" s="96"/>
      <c r="AR2491" s="96"/>
      <c r="AS2491" s="96"/>
      <c r="AT2491" s="96"/>
      <c r="AU2491" s="96"/>
      <c r="AV2491" s="96"/>
      <c r="AW2491" s="96"/>
      <c r="AX2491" s="96"/>
      <c r="AY2491" s="96"/>
      <c r="AZ2491" s="96"/>
      <c r="BA2491" s="96"/>
    </row>
    <row r="2492" spans="1:53" s="92" customFormat="1" ht="12.75" customHeight="1">
      <c r="A2492" s="94">
        <v>43312</v>
      </c>
      <c r="B2492" s="358" t="s">
        <v>175</v>
      </c>
      <c r="C2492" s="358" t="s">
        <v>336</v>
      </c>
      <c r="D2492" s="93">
        <v>246344.43</v>
      </c>
      <c r="E2492" s="95"/>
      <c r="F2492" s="93"/>
      <c r="G2492" s="95"/>
      <c r="H2492" s="93"/>
      <c r="I2492" s="93"/>
      <c r="J2492" s="93"/>
      <c r="K2492" s="93"/>
      <c r="L2492" s="93">
        <f t="shared" si="320"/>
        <v>0</v>
      </c>
      <c r="M2492" s="95" t="e">
        <f t="shared" ca="1" si="321"/>
        <v>#DIV/0!</v>
      </c>
      <c r="N2492" s="95">
        <f>IF(P2492="Hedge Fund",IF(A2492=Summary!$AD$3,M2492-E2492,M2492),IF(A2492=Summary!$AD$3,L2492-D2492,L2492))</f>
        <v>0</v>
      </c>
      <c r="O2492" s="95">
        <f t="shared" si="327"/>
        <v>0</v>
      </c>
      <c r="P2492" s="107" t="s">
        <v>155</v>
      </c>
      <c r="Q2492" s="95">
        <v>0</v>
      </c>
      <c r="R2492" s="95">
        <v>0</v>
      </c>
      <c r="S2492" s="95"/>
      <c r="T2492" s="95"/>
      <c r="U2492" s="95"/>
      <c r="V2492" s="95"/>
      <c r="W2492" s="95"/>
      <c r="X2492" s="95"/>
      <c r="Y2492" s="95"/>
      <c r="Z2492" s="95"/>
      <c r="AA2492" s="95"/>
      <c r="AB2492" s="95"/>
      <c r="AC2492" s="355"/>
      <c r="AD2492" s="355"/>
      <c r="AE2492" s="355"/>
      <c r="AF2492" s="94">
        <f t="shared" si="323"/>
        <v>43312</v>
      </c>
      <c r="AG2492" s="185">
        <f t="shared" si="326"/>
        <v>-1.2571707413351119E-2</v>
      </c>
      <c r="AH2492" s="339" t="str">
        <f>VLOOKUP(B2492,'MF PF'!A:B,2)</f>
        <v>FdMgt1</v>
      </c>
      <c r="AI2492" s="358">
        <f t="shared" si="324"/>
        <v>0</v>
      </c>
      <c r="AJ2492" s="94">
        <f t="shared" si="325"/>
        <v>43312</v>
      </c>
      <c r="AK2492" s="96"/>
      <c r="AL2492" s="96"/>
      <c r="AM2492" s="96"/>
      <c r="AN2492" s="96"/>
      <c r="AO2492" s="96"/>
      <c r="AP2492" s="96"/>
      <c r="AQ2492" s="96"/>
      <c r="AR2492" s="96"/>
      <c r="AS2492" s="96"/>
      <c r="AT2492" s="96"/>
      <c r="AU2492" s="96"/>
      <c r="AV2492" s="96"/>
      <c r="AW2492" s="96"/>
      <c r="AX2492" s="96"/>
      <c r="AY2492" s="96"/>
      <c r="AZ2492" s="96"/>
      <c r="BA2492" s="96"/>
    </row>
    <row r="2493" spans="1:53" s="92" customFormat="1" ht="12.75" customHeight="1">
      <c r="A2493" s="94">
        <v>43343</v>
      </c>
      <c r="B2493" s="358" t="s">
        <v>175</v>
      </c>
      <c r="C2493" s="92" t="s">
        <v>336</v>
      </c>
      <c r="D2493" s="93">
        <v>243478.15</v>
      </c>
      <c r="E2493" s="95"/>
      <c r="F2493" s="93"/>
      <c r="G2493" s="95"/>
      <c r="H2493" s="93"/>
      <c r="I2493" s="93"/>
      <c r="J2493" s="93"/>
      <c r="K2493" s="93"/>
      <c r="L2493" s="93">
        <f t="shared" si="320"/>
        <v>0</v>
      </c>
      <c r="M2493" s="95" t="e">
        <f t="shared" ca="1" si="321"/>
        <v>#DIV/0!</v>
      </c>
      <c r="N2493" s="95">
        <f>IF(P2493="Hedge Fund",IF(A2493=Summary!$AD$3,M2493-E2493,M2493),IF(A2493=Summary!$AD$3,L2493-D2493,L2493))</f>
        <v>0</v>
      </c>
      <c r="O2493" s="95">
        <f t="shared" si="327"/>
        <v>0</v>
      </c>
      <c r="P2493" s="107" t="s">
        <v>155</v>
      </c>
      <c r="Q2493" s="95">
        <v>0</v>
      </c>
      <c r="R2493" s="95">
        <v>0</v>
      </c>
      <c r="S2493" s="95"/>
      <c r="T2493" s="95"/>
      <c r="U2493" s="95"/>
      <c r="V2493" s="95"/>
      <c r="W2493" s="95"/>
      <c r="X2493" s="95"/>
      <c r="Y2493" s="95"/>
      <c r="Z2493" s="95"/>
      <c r="AA2493" s="95"/>
      <c r="AB2493" s="95"/>
      <c r="AC2493" s="355"/>
      <c r="AD2493" s="355"/>
      <c r="AE2493" s="355"/>
      <c r="AF2493" s="94">
        <f t="shared" si="323"/>
        <v>43343</v>
      </c>
      <c r="AG2493" s="185">
        <f t="shared" si="326"/>
        <v>-1.1635253940996293E-2</v>
      </c>
      <c r="AH2493" s="339" t="str">
        <f>VLOOKUP(B2493,'MF PF'!A:B,2)</f>
        <v>FdMgt1</v>
      </c>
      <c r="AI2493" s="358">
        <f t="shared" si="324"/>
        <v>0</v>
      </c>
      <c r="AJ2493" s="94">
        <f t="shared" si="325"/>
        <v>43343</v>
      </c>
    </row>
    <row r="2494" spans="1:53" s="96" customFormat="1" ht="12.75" customHeight="1">
      <c r="A2494" s="94">
        <v>43373</v>
      </c>
      <c r="B2494" s="358" t="s">
        <v>175</v>
      </c>
      <c r="C2494" s="92" t="s">
        <v>336</v>
      </c>
      <c r="D2494" s="93">
        <v>234583.75</v>
      </c>
      <c r="E2494" s="95"/>
      <c r="F2494" s="93"/>
      <c r="G2494" s="95"/>
      <c r="H2494" s="93"/>
      <c r="I2494" s="93"/>
      <c r="J2494" s="93"/>
      <c r="K2494" s="93"/>
      <c r="L2494" s="93">
        <f t="shared" si="320"/>
        <v>0</v>
      </c>
      <c r="M2494" s="95" t="e">
        <f t="shared" ca="1" si="321"/>
        <v>#DIV/0!</v>
      </c>
      <c r="N2494" s="95">
        <f>IF(P2494="Hedge Fund",IF(A2494=Summary!$AD$3,M2494-E2494,M2494),IF(A2494=Summary!$AD$3,L2494-D2494,L2494))</f>
        <v>0</v>
      </c>
      <c r="O2494" s="95">
        <f t="shared" si="327"/>
        <v>0</v>
      </c>
      <c r="P2494" s="107" t="s">
        <v>155</v>
      </c>
      <c r="Q2494" s="95">
        <v>0</v>
      </c>
      <c r="R2494" s="95">
        <v>0</v>
      </c>
      <c r="S2494" s="95"/>
      <c r="T2494" s="95"/>
      <c r="U2494" s="95"/>
      <c r="V2494" s="95"/>
      <c r="W2494" s="95"/>
      <c r="X2494" s="95"/>
      <c r="Y2494" s="95"/>
      <c r="Z2494" s="95"/>
      <c r="AA2494" s="95"/>
      <c r="AB2494" s="95"/>
      <c r="AC2494" s="355"/>
      <c r="AD2494" s="355"/>
      <c r="AE2494" s="355"/>
      <c r="AF2494" s="94">
        <f t="shared" si="323"/>
        <v>43373</v>
      </c>
      <c r="AG2494" s="185">
        <f t="shared" si="326"/>
        <v>-3.6530588063035663E-2</v>
      </c>
      <c r="AH2494" s="339" t="str">
        <f>VLOOKUP(B2494,'MF PF'!A:B,2)</f>
        <v>FdMgt1</v>
      </c>
      <c r="AI2494" s="358">
        <f t="shared" si="324"/>
        <v>0</v>
      </c>
      <c r="AJ2494" s="94">
        <f t="shared" si="325"/>
        <v>43373</v>
      </c>
      <c r="AK2494" s="358"/>
      <c r="AL2494" s="358"/>
      <c r="AM2494" s="358"/>
      <c r="AN2494" s="358"/>
      <c r="AO2494" s="358"/>
      <c r="AP2494" s="358"/>
      <c r="AQ2494" s="358"/>
      <c r="AR2494" s="358"/>
      <c r="AS2494" s="358"/>
      <c r="AT2494" s="358"/>
      <c r="AU2494" s="358"/>
      <c r="AV2494" s="358"/>
      <c r="AW2494" s="358"/>
      <c r="AX2494" s="358"/>
      <c r="AY2494" s="358"/>
      <c r="AZ2494" s="358"/>
      <c r="BA2494" s="358"/>
    </row>
    <row r="2495" spans="1:53" s="92" customFormat="1" ht="12.75" customHeight="1">
      <c r="A2495" s="94">
        <v>43404</v>
      </c>
      <c r="B2495" s="358" t="s">
        <v>175</v>
      </c>
      <c r="C2495" s="92" t="s">
        <v>336</v>
      </c>
      <c r="D2495" s="93">
        <v>230729.67</v>
      </c>
      <c r="E2495" s="95"/>
      <c r="F2495" s="93">
        <v>0.2</v>
      </c>
      <c r="G2495" s="93"/>
      <c r="H2495" s="93">
        <v>0</v>
      </c>
      <c r="I2495" s="93">
        <v>0</v>
      </c>
      <c r="J2495" s="93">
        <v>0</v>
      </c>
      <c r="K2495" s="93"/>
      <c r="L2495" s="93">
        <f t="shared" si="320"/>
        <v>0</v>
      </c>
      <c r="M2495" s="95" t="e">
        <f t="shared" ca="1" si="321"/>
        <v>#DIV/0!</v>
      </c>
      <c r="N2495" s="95">
        <f>IF(P2495="Hedge Fund",IF(A2495=Summary!$AD$3,M2495-E2495,M2495),IF(A2495=Summary!$AD$3,L2495-D2495,L2495))</f>
        <v>0</v>
      </c>
      <c r="O2495" s="95">
        <f t="shared" si="327"/>
        <v>0</v>
      </c>
      <c r="P2495" s="95" t="s">
        <v>155</v>
      </c>
      <c r="Q2495" s="95">
        <v>0</v>
      </c>
      <c r="R2495" s="95">
        <v>0</v>
      </c>
      <c r="S2495" s="95"/>
      <c r="T2495" s="95"/>
      <c r="U2495" s="95"/>
      <c r="V2495" s="95"/>
      <c r="W2495" s="95"/>
      <c r="X2495" s="95"/>
      <c r="Y2495" s="95"/>
      <c r="Z2495" s="95"/>
      <c r="AA2495" s="95"/>
      <c r="AB2495" s="95"/>
      <c r="AC2495" s="355"/>
      <c r="AD2495" s="355"/>
      <c r="AE2495" s="355"/>
      <c r="AF2495" s="94">
        <f t="shared" si="323"/>
        <v>43404</v>
      </c>
      <c r="AG2495" s="185">
        <f t="shared" si="326"/>
        <v>-1.6429441510760978E-2</v>
      </c>
      <c r="AH2495" s="339" t="str">
        <f>VLOOKUP(B2495,'MF PF'!A:B,2)</f>
        <v>FdMgt1</v>
      </c>
      <c r="AI2495" s="358">
        <f t="shared" si="324"/>
        <v>0</v>
      </c>
      <c r="AJ2495" s="94">
        <f t="shared" si="325"/>
        <v>43404</v>
      </c>
    </row>
    <row r="2496" spans="1:53" s="92" customFormat="1" ht="12.75" customHeight="1">
      <c r="A2496" s="94">
        <v>43434</v>
      </c>
      <c r="B2496" s="358" t="s">
        <v>175</v>
      </c>
      <c r="C2496" s="92" t="s">
        <v>336</v>
      </c>
      <c r="D2496" s="93">
        <v>230051.18</v>
      </c>
      <c r="E2496" s="95"/>
      <c r="F2496" s="93">
        <v>0.2</v>
      </c>
      <c r="G2496" s="93"/>
      <c r="H2496" s="93">
        <v>0</v>
      </c>
      <c r="I2496" s="93">
        <v>0</v>
      </c>
      <c r="J2496" s="93"/>
      <c r="K2496" s="93">
        <v>0</v>
      </c>
      <c r="L2496" s="93">
        <f t="shared" si="320"/>
        <v>0</v>
      </c>
      <c r="M2496" s="95" t="e">
        <f t="shared" ca="1" si="321"/>
        <v>#DIV/0!</v>
      </c>
      <c r="N2496" s="95">
        <f>IF(P2496="Hedge Fund",IF(A2496=Summary!$AD$3,M2496-E2496,M2496),IF(A2496=Summary!$AD$3,L2496-D2496,L2496))</f>
        <v>0</v>
      </c>
      <c r="O2496" s="95">
        <f t="shared" si="327"/>
        <v>0</v>
      </c>
      <c r="P2496" s="95" t="s">
        <v>155</v>
      </c>
      <c r="Q2496" s="95">
        <v>0</v>
      </c>
      <c r="R2496" s="95">
        <v>0</v>
      </c>
      <c r="S2496" s="95"/>
      <c r="T2496" s="95"/>
      <c r="U2496" s="95"/>
      <c r="V2496" s="95"/>
      <c r="W2496" s="95"/>
      <c r="X2496" s="95"/>
      <c r="Y2496" s="95"/>
      <c r="Z2496" s="95"/>
      <c r="AA2496" s="95"/>
      <c r="AB2496" s="95"/>
      <c r="AC2496" s="355"/>
      <c r="AD2496" s="355"/>
      <c r="AE2496" s="355"/>
      <c r="AF2496" s="94">
        <f t="shared" si="323"/>
        <v>43434</v>
      </c>
      <c r="AG2496" s="185">
        <f t="shared" si="326"/>
        <v>-2.9406274450963776E-3</v>
      </c>
      <c r="AH2496" s="339" t="str">
        <f>VLOOKUP(B2496,'MF PF'!A:B,2)</f>
        <v>FdMgt1</v>
      </c>
      <c r="AI2496" s="358">
        <f t="shared" si="324"/>
        <v>0</v>
      </c>
      <c r="AJ2496" s="94">
        <f t="shared" si="325"/>
        <v>43434</v>
      </c>
    </row>
    <row r="2497" spans="1:53" s="92" customFormat="1" ht="12.75" customHeight="1">
      <c r="A2497" s="94">
        <v>43465</v>
      </c>
      <c r="B2497" s="358" t="s">
        <v>175</v>
      </c>
      <c r="C2497" s="92" t="s">
        <v>336</v>
      </c>
      <c r="D2497" s="93">
        <v>236078.38</v>
      </c>
      <c r="E2497" s="95"/>
      <c r="F2497" s="93">
        <v>0.2</v>
      </c>
      <c r="G2497" s="93"/>
      <c r="H2497" s="93">
        <v>0</v>
      </c>
      <c r="I2497" s="93">
        <v>0</v>
      </c>
      <c r="J2497" s="93"/>
      <c r="K2497" s="93">
        <v>0</v>
      </c>
      <c r="L2497" s="93">
        <f t="shared" si="320"/>
        <v>0</v>
      </c>
      <c r="M2497" s="95" t="e">
        <f t="shared" ca="1" si="321"/>
        <v>#DIV/0!</v>
      </c>
      <c r="N2497" s="95">
        <f>IF(P2497="Hedge Fund",IF(A2497=Summary!$AD$3,M2497-E2497,M2497),IF(A2497=Summary!$AD$3,L2497-D2497,L2497))</f>
        <v>0</v>
      </c>
      <c r="O2497" s="95">
        <f t="shared" si="327"/>
        <v>0</v>
      </c>
      <c r="P2497" s="95" t="s">
        <v>155</v>
      </c>
      <c r="Q2497" s="95">
        <v>0</v>
      </c>
      <c r="R2497" s="95">
        <v>0</v>
      </c>
      <c r="S2497" s="95"/>
      <c r="T2497" s="95"/>
      <c r="U2497" s="95"/>
      <c r="V2497" s="95"/>
      <c r="W2497" s="95"/>
      <c r="X2497" s="95"/>
      <c r="Y2497" s="95"/>
      <c r="Z2497" s="95"/>
      <c r="AA2497" s="95"/>
      <c r="AB2497" s="95"/>
      <c r="AC2497" s="355"/>
      <c r="AD2497" s="355"/>
      <c r="AE2497" s="355"/>
      <c r="AF2497" s="94">
        <f t="shared" si="323"/>
        <v>43465</v>
      </c>
      <c r="AG2497" s="185">
        <f t="shared" si="326"/>
        <v>2.6199387458043066E-2</v>
      </c>
      <c r="AH2497" s="339" t="str">
        <f>VLOOKUP(B2497,'MF PF'!A:B,2)</f>
        <v>FdMgt1</v>
      </c>
      <c r="AI2497" s="358">
        <f t="shared" si="324"/>
        <v>0</v>
      </c>
      <c r="AJ2497" s="94">
        <f t="shared" si="325"/>
        <v>43465</v>
      </c>
    </row>
    <row r="2498" spans="1:53" s="92" customFormat="1" ht="12.75" customHeight="1">
      <c r="A2498" s="94">
        <v>43496</v>
      </c>
      <c r="B2498" s="358" t="s">
        <v>175</v>
      </c>
      <c r="C2498" s="92" t="s">
        <v>336</v>
      </c>
      <c r="D2498" s="93">
        <v>241266.74</v>
      </c>
      <c r="E2498" s="95"/>
      <c r="F2498" s="93">
        <v>0.2</v>
      </c>
      <c r="G2498" s="93"/>
      <c r="H2498" s="93">
        <v>0</v>
      </c>
      <c r="I2498" s="93">
        <v>0</v>
      </c>
      <c r="J2498" s="93"/>
      <c r="K2498" s="93">
        <v>0</v>
      </c>
      <c r="L2498" s="93">
        <f t="shared" si="320"/>
        <v>0</v>
      </c>
      <c r="M2498" s="95" t="e">
        <f t="shared" ca="1" si="321"/>
        <v>#DIV/0!</v>
      </c>
      <c r="N2498" s="95">
        <f>IF(P2498="Hedge Fund",IF(A2498=Summary!$AD$3,M2498-E2498,M2498),IF(A2498=Summary!$AD$3,L2498-D2498,L2498))</f>
        <v>-241266.74</v>
      </c>
      <c r="O2498" s="95">
        <f t="shared" si="327"/>
        <v>-241266.74</v>
      </c>
      <c r="P2498" s="95" t="s">
        <v>155</v>
      </c>
      <c r="Q2498" s="95">
        <v>0</v>
      </c>
      <c r="R2498" s="95">
        <v>0</v>
      </c>
      <c r="S2498" s="95"/>
      <c r="T2498" s="95"/>
      <c r="U2498" s="95"/>
      <c r="V2498" s="95"/>
      <c r="W2498" s="95"/>
      <c r="X2498" s="95"/>
      <c r="Y2498" s="95"/>
      <c r="Z2498" s="95"/>
      <c r="AA2498" s="95"/>
      <c r="AB2498" s="95"/>
      <c r="AC2498" s="355"/>
      <c r="AD2498" s="355"/>
      <c r="AE2498" s="355"/>
      <c r="AF2498" s="94">
        <f t="shared" si="323"/>
        <v>43496</v>
      </c>
      <c r="AG2498" s="185">
        <f t="shared" si="326"/>
        <v>2.1977277207679835E-2</v>
      </c>
      <c r="AH2498" s="339" t="str">
        <f>VLOOKUP(B2498,'MF PF'!A:B,2)</f>
        <v>FdMgt1</v>
      </c>
      <c r="AI2498" s="358">
        <f t="shared" si="324"/>
        <v>0</v>
      </c>
      <c r="AJ2498" s="94">
        <f t="shared" si="325"/>
        <v>43496</v>
      </c>
    </row>
    <row r="2499" spans="1:53" s="92" customFormat="1" ht="12.75" customHeight="1">
      <c r="A2499" s="94">
        <v>43087</v>
      </c>
      <c r="B2499" s="358" t="s">
        <v>175</v>
      </c>
      <c r="C2499" s="358" t="s">
        <v>337</v>
      </c>
      <c r="D2499" s="93"/>
      <c r="E2499" s="95"/>
      <c r="F2499" s="93"/>
      <c r="G2499" s="95">
        <v>36983</v>
      </c>
      <c r="H2499" s="93"/>
      <c r="I2499" s="93"/>
      <c r="J2499" s="93"/>
      <c r="K2499" s="93"/>
      <c r="L2499" s="93">
        <f t="shared" ref="L2499:L2562" si="328">G2499+H2499+I2499</f>
        <v>36983</v>
      </c>
      <c r="M2499" s="95">
        <f t="shared" ref="M2499:M2562" ca="1" si="329">IF(A2499&gt;INDIRECT("A"&amp;ROW()-1),I2499/K2499,E2499)</f>
        <v>0</v>
      </c>
      <c r="N2499" s="95">
        <f>IF(P2499="Hedge Fund",IF(A2499=Summary!$AD$3,M2499-E2499,M2499),IF(A2499=Summary!$AD$3,L2499-D2499,L2499))</f>
        <v>36983</v>
      </c>
      <c r="O2499" s="95">
        <f t="shared" ref="O2499:O2530" si="330">N2499</f>
        <v>36983</v>
      </c>
      <c r="P2499" s="107" t="s">
        <v>155</v>
      </c>
      <c r="Q2499" s="95">
        <v>0</v>
      </c>
      <c r="R2499" s="95">
        <v>0</v>
      </c>
      <c r="S2499" s="95"/>
      <c r="T2499" s="95"/>
      <c r="U2499" s="95"/>
      <c r="V2499" s="95"/>
      <c r="W2499" s="95"/>
      <c r="X2499" s="95"/>
      <c r="Y2499" s="95"/>
      <c r="Z2499" s="95"/>
      <c r="AA2499" s="95"/>
      <c r="AB2499" s="95"/>
      <c r="AC2499" s="355"/>
      <c r="AD2499" s="355"/>
      <c r="AE2499" s="355"/>
      <c r="AF2499" s="94">
        <f t="shared" ref="AF2499:AF2562" si="331">A2499</f>
        <v>43087</v>
      </c>
      <c r="AG2499" s="185">
        <f t="shared" si="326"/>
        <v>-1</v>
      </c>
      <c r="AH2499" s="339" t="str">
        <f>VLOOKUP(B2499,'MF PF'!A:B,2)</f>
        <v>FdMgt1</v>
      </c>
      <c r="AI2499" s="358">
        <f t="shared" ref="AI2499:AI2562" si="332">AF2499-A2499</f>
        <v>0</v>
      </c>
      <c r="AJ2499" s="94">
        <f t="shared" ref="AJ2499:AJ2562" si="333">EOMONTH(A2499,0)</f>
        <v>43100</v>
      </c>
    </row>
    <row r="2500" spans="1:53" s="92" customFormat="1" ht="12.75" customHeight="1">
      <c r="A2500" s="94">
        <v>43087</v>
      </c>
      <c r="B2500" s="358" t="s">
        <v>175</v>
      </c>
      <c r="C2500" s="92" t="s">
        <v>337</v>
      </c>
      <c r="D2500" s="93"/>
      <c r="E2500" s="95"/>
      <c r="F2500" s="93"/>
      <c r="G2500" s="95">
        <v>303017</v>
      </c>
      <c r="H2500" s="93"/>
      <c r="I2500" s="93"/>
      <c r="J2500" s="93"/>
      <c r="K2500" s="93"/>
      <c r="L2500" s="93">
        <f t="shared" si="328"/>
        <v>303017</v>
      </c>
      <c r="M2500" s="95">
        <f t="shared" ca="1" si="329"/>
        <v>0</v>
      </c>
      <c r="N2500" s="95">
        <f>IF(P2500="Hedge Fund",IF(A2500=Summary!$AD$3,M2500-E2500,M2500),IF(A2500=Summary!$AD$3,L2500-D2500,L2500))</f>
        <v>303017</v>
      </c>
      <c r="O2500" s="95">
        <f t="shared" si="330"/>
        <v>303017</v>
      </c>
      <c r="P2500" s="107" t="s">
        <v>155</v>
      </c>
      <c r="Q2500" s="95">
        <v>0</v>
      </c>
      <c r="R2500" s="95">
        <v>0</v>
      </c>
      <c r="S2500" s="95"/>
      <c r="T2500" s="95"/>
      <c r="U2500" s="95"/>
      <c r="V2500" s="95"/>
      <c r="W2500" s="95"/>
      <c r="X2500" s="95"/>
      <c r="Y2500" s="95"/>
      <c r="Z2500" s="95"/>
      <c r="AA2500" s="95"/>
      <c r="AB2500" s="95"/>
      <c r="AC2500" s="355"/>
      <c r="AD2500" s="355"/>
      <c r="AE2500" s="355"/>
      <c r="AF2500" s="94">
        <f t="shared" si="331"/>
        <v>43087</v>
      </c>
      <c r="AG2500" s="185" t="e">
        <f t="shared" si="326"/>
        <v>#DIV/0!</v>
      </c>
      <c r="AH2500" s="339" t="str">
        <f>VLOOKUP(B2500,'MF PF'!A:B,2)</f>
        <v>FdMgt1</v>
      </c>
      <c r="AI2500" s="358">
        <f t="shared" si="332"/>
        <v>0</v>
      </c>
      <c r="AJ2500" s="94">
        <f t="shared" si="333"/>
        <v>43100</v>
      </c>
    </row>
    <row r="2501" spans="1:53" s="92" customFormat="1" ht="12.75" customHeight="1">
      <c r="A2501" s="94">
        <v>43100</v>
      </c>
      <c r="B2501" s="358" t="s">
        <v>175</v>
      </c>
      <c r="C2501" s="92" t="s">
        <v>337</v>
      </c>
      <c r="D2501" s="93">
        <v>394388.55</v>
      </c>
      <c r="E2501" s="95"/>
      <c r="F2501" s="93"/>
      <c r="G2501" s="95"/>
      <c r="H2501" s="93"/>
      <c r="I2501" s="93"/>
      <c r="J2501" s="93"/>
      <c r="K2501" s="93"/>
      <c r="L2501" s="93">
        <f t="shared" si="328"/>
        <v>0</v>
      </c>
      <c r="M2501" s="95" t="e">
        <f t="shared" ca="1" si="329"/>
        <v>#DIV/0!</v>
      </c>
      <c r="N2501" s="95">
        <f>IF(P2501="Hedge Fund",IF(A2501=Summary!$AD$3,M2501-E2501,M2501),IF(A2501=Summary!$AD$3,L2501-D2501,L2501))</f>
        <v>0</v>
      </c>
      <c r="O2501" s="95">
        <f t="shared" si="330"/>
        <v>0</v>
      </c>
      <c r="P2501" s="107" t="s">
        <v>155</v>
      </c>
      <c r="Q2501" s="95">
        <v>0</v>
      </c>
      <c r="R2501" s="95">
        <v>0</v>
      </c>
      <c r="S2501" s="95"/>
      <c r="T2501" s="95"/>
      <c r="U2501" s="95"/>
      <c r="V2501" s="95"/>
      <c r="W2501" s="95"/>
      <c r="X2501" s="95"/>
      <c r="Y2501" s="95"/>
      <c r="Z2501" s="95"/>
      <c r="AA2501" s="95"/>
      <c r="AB2501" s="95"/>
      <c r="AC2501" s="355"/>
      <c r="AD2501" s="355"/>
      <c r="AE2501" s="355"/>
      <c r="AF2501" s="94">
        <f t="shared" si="331"/>
        <v>43100</v>
      </c>
      <c r="AG2501" s="185" t="e">
        <f t="shared" si="326"/>
        <v>#DIV/0!</v>
      </c>
      <c r="AH2501" s="339" t="str">
        <f>VLOOKUP(B2501,'MF PF'!A:B,2)</f>
        <v>FdMgt1</v>
      </c>
      <c r="AI2501" s="358">
        <f t="shared" si="332"/>
        <v>0</v>
      </c>
      <c r="AJ2501" s="94">
        <f t="shared" si="333"/>
        <v>43100</v>
      </c>
    </row>
    <row r="2502" spans="1:53" s="92" customFormat="1" ht="12.75" customHeight="1">
      <c r="A2502" s="94">
        <v>43131</v>
      </c>
      <c r="B2502" s="358" t="s">
        <v>175</v>
      </c>
      <c r="C2502" s="92" t="s">
        <v>337</v>
      </c>
      <c r="D2502" s="93">
        <v>417168.12</v>
      </c>
      <c r="E2502" s="95"/>
      <c r="F2502" s="93"/>
      <c r="G2502" s="95"/>
      <c r="H2502" s="93"/>
      <c r="I2502" s="93"/>
      <c r="J2502" s="93"/>
      <c r="K2502" s="93"/>
      <c r="L2502" s="93">
        <f t="shared" si="328"/>
        <v>0</v>
      </c>
      <c r="M2502" s="95" t="e">
        <f t="shared" ca="1" si="329"/>
        <v>#DIV/0!</v>
      </c>
      <c r="N2502" s="95">
        <f>IF(P2502="Hedge Fund",IF(A2502=Summary!$AD$3,M2502-E2502,M2502),IF(A2502=Summary!$AD$3,L2502-D2502,L2502))</f>
        <v>0</v>
      </c>
      <c r="O2502" s="95">
        <f t="shared" si="330"/>
        <v>0</v>
      </c>
      <c r="P2502" s="107" t="s">
        <v>155</v>
      </c>
      <c r="Q2502" s="95"/>
      <c r="R2502" s="95">
        <v>0</v>
      </c>
      <c r="S2502" s="95"/>
      <c r="T2502" s="95"/>
      <c r="U2502" s="95"/>
      <c r="V2502" s="95"/>
      <c r="W2502" s="95"/>
      <c r="X2502" s="95"/>
      <c r="Y2502" s="95"/>
      <c r="Z2502" s="95"/>
      <c r="AA2502" s="95"/>
      <c r="AB2502" s="95"/>
      <c r="AC2502" s="355"/>
      <c r="AD2502" s="355"/>
      <c r="AE2502" s="355"/>
      <c r="AF2502" s="94">
        <f t="shared" si="331"/>
        <v>43131</v>
      </c>
      <c r="AG2502" s="185">
        <f t="shared" ref="AG2502:AG2565" si="334">IF(C2502&lt;&gt;C2501,D2502/G2502-1,(D2502-G2502-I2502-H2502)/(D2501)-1)</f>
        <v>5.7759207258932799E-2</v>
      </c>
      <c r="AH2502" s="339" t="str">
        <f>VLOOKUP(B2502,'MF PF'!A:B,2)</f>
        <v>FdMgt1</v>
      </c>
      <c r="AI2502" s="358">
        <f t="shared" si="332"/>
        <v>0</v>
      </c>
      <c r="AJ2502" s="94">
        <f t="shared" si="333"/>
        <v>43131</v>
      </c>
    </row>
    <row r="2503" spans="1:53" s="92" customFormat="1" ht="12.75" customHeight="1">
      <c r="A2503" s="94">
        <v>43159</v>
      </c>
      <c r="B2503" s="358" t="s">
        <v>175</v>
      </c>
      <c r="C2503" s="92" t="s">
        <v>337</v>
      </c>
      <c r="D2503" s="93">
        <v>419026.48</v>
      </c>
      <c r="E2503" s="95"/>
      <c r="F2503" s="93"/>
      <c r="G2503" s="95"/>
      <c r="H2503" s="93"/>
      <c r="I2503" s="93"/>
      <c r="J2503" s="93"/>
      <c r="K2503" s="93"/>
      <c r="L2503" s="93">
        <f t="shared" si="328"/>
        <v>0</v>
      </c>
      <c r="M2503" s="95" t="e">
        <f t="shared" ca="1" si="329"/>
        <v>#DIV/0!</v>
      </c>
      <c r="N2503" s="95">
        <f>IF(P2503="Hedge Fund",IF(A2503=Summary!$AD$3,M2503-E2503,M2503),IF(A2503=Summary!$AD$3,L2503-D2503,L2503))</f>
        <v>0</v>
      </c>
      <c r="O2503" s="95">
        <f t="shared" si="330"/>
        <v>0</v>
      </c>
      <c r="P2503" s="107" t="s">
        <v>155</v>
      </c>
      <c r="Q2503" s="95"/>
      <c r="R2503" s="95">
        <v>0</v>
      </c>
      <c r="S2503" s="95"/>
      <c r="T2503" s="95"/>
      <c r="U2503" s="95"/>
      <c r="V2503" s="95"/>
      <c r="W2503" s="95"/>
      <c r="X2503" s="95"/>
      <c r="Y2503" s="95"/>
      <c r="Z2503" s="95"/>
      <c r="AA2503" s="95"/>
      <c r="AB2503" s="95"/>
      <c r="AC2503" s="355"/>
      <c r="AD2503" s="355"/>
      <c r="AE2503" s="355"/>
      <c r="AF2503" s="94">
        <f t="shared" si="331"/>
        <v>43159</v>
      </c>
      <c r="AG2503" s="185">
        <f t="shared" si="334"/>
        <v>4.4547028186141535E-3</v>
      </c>
      <c r="AH2503" s="339" t="str">
        <f>VLOOKUP(B2503,'MF PF'!A:B,2)</f>
        <v>FdMgt1</v>
      </c>
      <c r="AI2503" s="358">
        <f t="shared" si="332"/>
        <v>0</v>
      </c>
      <c r="AJ2503" s="94">
        <f t="shared" si="333"/>
        <v>43159</v>
      </c>
    </row>
    <row r="2504" spans="1:53" s="92" customFormat="1" ht="12.75" customHeight="1">
      <c r="A2504" s="94">
        <v>43190</v>
      </c>
      <c r="B2504" s="358" t="s">
        <v>175</v>
      </c>
      <c r="C2504" s="92" t="s">
        <v>337</v>
      </c>
      <c r="D2504" s="93">
        <v>424149.69</v>
      </c>
      <c r="E2504" s="95"/>
      <c r="F2504" s="93"/>
      <c r="G2504" s="95"/>
      <c r="H2504" s="93"/>
      <c r="I2504" s="93"/>
      <c r="J2504" s="93"/>
      <c r="K2504" s="93"/>
      <c r="L2504" s="93">
        <f t="shared" si="328"/>
        <v>0</v>
      </c>
      <c r="M2504" s="95" t="e">
        <f t="shared" ca="1" si="329"/>
        <v>#DIV/0!</v>
      </c>
      <c r="N2504" s="95">
        <f>IF(P2504="Hedge Fund",IF(A2504=Summary!$AD$3,M2504-E2504,M2504),IF(A2504=Summary!$AD$3,L2504-D2504,L2504))</f>
        <v>0</v>
      </c>
      <c r="O2504" s="95">
        <f t="shared" si="330"/>
        <v>0</v>
      </c>
      <c r="P2504" s="107" t="s">
        <v>155</v>
      </c>
      <c r="Q2504" s="95">
        <v>0</v>
      </c>
      <c r="R2504" s="95">
        <v>0</v>
      </c>
      <c r="S2504" s="95"/>
      <c r="T2504" s="95"/>
      <c r="U2504" s="95"/>
      <c r="V2504" s="95"/>
      <c r="W2504" s="95"/>
      <c r="X2504" s="95"/>
      <c r="Y2504" s="95"/>
      <c r="Z2504" s="95"/>
      <c r="AA2504" s="95"/>
      <c r="AB2504" s="95"/>
      <c r="AC2504" s="355"/>
      <c r="AD2504" s="355"/>
      <c r="AE2504" s="355"/>
      <c r="AF2504" s="94">
        <f t="shared" si="331"/>
        <v>43190</v>
      </c>
      <c r="AG2504" s="185">
        <f t="shared" si="334"/>
        <v>1.2226458814726948E-2</v>
      </c>
      <c r="AH2504" s="339" t="str">
        <f>VLOOKUP(B2504,'MF PF'!A:B,2)</f>
        <v>FdMgt1</v>
      </c>
      <c r="AI2504" s="358">
        <f t="shared" si="332"/>
        <v>0</v>
      </c>
      <c r="AJ2504" s="94">
        <f t="shared" si="333"/>
        <v>43190</v>
      </c>
    </row>
    <row r="2505" spans="1:53" s="92" customFormat="1" ht="12.75" customHeight="1">
      <c r="A2505" s="94">
        <v>43220</v>
      </c>
      <c r="B2505" s="358" t="s">
        <v>175</v>
      </c>
      <c r="C2505" s="92" t="s">
        <v>337</v>
      </c>
      <c r="D2505" s="93">
        <v>420293.51</v>
      </c>
      <c r="E2505" s="95"/>
      <c r="F2505" s="93"/>
      <c r="G2505" s="95"/>
      <c r="H2505" s="93"/>
      <c r="I2505" s="93"/>
      <c r="J2505" s="93"/>
      <c r="K2505" s="93"/>
      <c r="L2505" s="93">
        <f t="shared" si="328"/>
        <v>0</v>
      </c>
      <c r="M2505" s="95" t="e">
        <f t="shared" ca="1" si="329"/>
        <v>#DIV/0!</v>
      </c>
      <c r="N2505" s="95">
        <f>IF(P2505="Hedge Fund",IF(A2505=Summary!$AD$3,M2505-E2505,M2505),IF(A2505=Summary!$AD$3,L2505-D2505,L2505))</f>
        <v>0</v>
      </c>
      <c r="O2505" s="95">
        <f t="shared" si="330"/>
        <v>0</v>
      </c>
      <c r="P2505" s="107" t="s">
        <v>155</v>
      </c>
      <c r="Q2505" s="95"/>
      <c r="R2505" s="95">
        <v>0</v>
      </c>
      <c r="S2505" s="95"/>
      <c r="T2505" s="95"/>
      <c r="U2505" s="95"/>
      <c r="V2505" s="95"/>
      <c r="W2505" s="95"/>
      <c r="X2505" s="95"/>
      <c r="Y2505" s="95"/>
      <c r="Z2505" s="95"/>
      <c r="AA2505" s="95"/>
      <c r="AB2505" s="95"/>
      <c r="AC2505" s="355"/>
      <c r="AD2505" s="355"/>
      <c r="AE2505" s="355"/>
      <c r="AF2505" s="94">
        <f t="shared" si="331"/>
        <v>43220</v>
      </c>
      <c r="AG2505" s="185">
        <f t="shared" si="334"/>
        <v>-9.0915544462616404E-3</v>
      </c>
      <c r="AH2505" s="339" t="str">
        <f>VLOOKUP(B2505,'MF PF'!A:B,2)</f>
        <v>FdMgt1</v>
      </c>
      <c r="AI2505" s="358">
        <f t="shared" si="332"/>
        <v>0</v>
      </c>
      <c r="AJ2505" s="94">
        <f t="shared" si="333"/>
        <v>43220</v>
      </c>
    </row>
    <row r="2506" spans="1:53" s="92" customFormat="1" ht="12.75" customHeight="1">
      <c r="A2506" s="94">
        <v>43251</v>
      </c>
      <c r="B2506" s="358" t="s">
        <v>175</v>
      </c>
      <c r="C2506" s="92" t="s">
        <v>337</v>
      </c>
      <c r="D2506" s="93">
        <v>425451.65</v>
      </c>
      <c r="E2506" s="95"/>
      <c r="F2506" s="93"/>
      <c r="G2506" s="95"/>
      <c r="H2506" s="93"/>
      <c r="I2506" s="93"/>
      <c r="J2506" s="93"/>
      <c r="K2506" s="93"/>
      <c r="L2506" s="93">
        <f t="shared" si="328"/>
        <v>0</v>
      </c>
      <c r="M2506" s="95" t="e">
        <f t="shared" ca="1" si="329"/>
        <v>#DIV/0!</v>
      </c>
      <c r="N2506" s="95">
        <f>IF(P2506="Hedge Fund",IF(A2506=Summary!$AD$3,M2506-E2506,M2506),IF(A2506=Summary!$AD$3,L2506-D2506,L2506))</f>
        <v>0</v>
      </c>
      <c r="O2506" s="95">
        <f t="shared" si="330"/>
        <v>0</v>
      </c>
      <c r="P2506" s="107" t="s">
        <v>155</v>
      </c>
      <c r="Q2506" s="95"/>
      <c r="R2506" s="95">
        <v>0</v>
      </c>
      <c r="S2506" s="95"/>
      <c r="T2506" s="95"/>
      <c r="U2506" s="95"/>
      <c r="V2506" s="95"/>
      <c r="W2506" s="95"/>
      <c r="X2506" s="95"/>
      <c r="Y2506" s="95"/>
      <c r="Z2506" s="95"/>
      <c r="AA2506" s="95"/>
      <c r="AB2506" s="95"/>
      <c r="AC2506" s="355"/>
      <c r="AD2506" s="355"/>
      <c r="AE2506" s="355"/>
      <c r="AF2506" s="94">
        <f t="shared" si="331"/>
        <v>43251</v>
      </c>
      <c r="AG2506" s="185">
        <f t="shared" si="334"/>
        <v>1.2272709136051274E-2</v>
      </c>
      <c r="AH2506" s="339" t="str">
        <f>VLOOKUP(B2506,'MF PF'!A:B,2)</f>
        <v>FdMgt1</v>
      </c>
      <c r="AI2506" s="358">
        <f t="shared" si="332"/>
        <v>0</v>
      </c>
      <c r="AJ2506" s="94">
        <f t="shared" si="333"/>
        <v>43251</v>
      </c>
    </row>
    <row r="2507" spans="1:53" s="92" customFormat="1" ht="12.75" customHeight="1">
      <c r="A2507" s="94">
        <v>43281</v>
      </c>
      <c r="B2507" s="358" t="s">
        <v>175</v>
      </c>
      <c r="C2507" s="92" t="s">
        <v>337</v>
      </c>
      <c r="D2507" s="93">
        <v>424117.41</v>
      </c>
      <c r="E2507" s="95"/>
      <c r="F2507" s="93"/>
      <c r="G2507" s="95"/>
      <c r="H2507" s="93"/>
      <c r="I2507" s="93"/>
      <c r="J2507" s="93"/>
      <c r="K2507" s="93"/>
      <c r="L2507" s="93">
        <f t="shared" si="328"/>
        <v>0</v>
      </c>
      <c r="M2507" s="95" t="e">
        <f t="shared" ca="1" si="329"/>
        <v>#DIV/0!</v>
      </c>
      <c r="N2507" s="95">
        <f>IF(P2507="Hedge Fund",IF(A2507=Summary!$AD$3,M2507-E2507,M2507),IF(A2507=Summary!$AD$3,L2507-D2507,L2507))</f>
        <v>0</v>
      </c>
      <c r="O2507" s="95">
        <f t="shared" si="330"/>
        <v>0</v>
      </c>
      <c r="P2507" s="107" t="s">
        <v>155</v>
      </c>
      <c r="Q2507" s="95">
        <v>0</v>
      </c>
      <c r="R2507" s="95">
        <v>0</v>
      </c>
      <c r="S2507" s="95"/>
      <c r="T2507" s="95"/>
      <c r="U2507" s="95"/>
      <c r="V2507" s="95"/>
      <c r="W2507" s="95"/>
      <c r="X2507" s="95"/>
      <c r="Y2507" s="95"/>
      <c r="Z2507" s="95"/>
      <c r="AA2507" s="95"/>
      <c r="AB2507" s="95"/>
      <c r="AC2507" s="355"/>
      <c r="AD2507" s="355"/>
      <c r="AE2507" s="355"/>
      <c r="AF2507" s="94">
        <f t="shared" si="331"/>
        <v>43281</v>
      </c>
      <c r="AG2507" s="185">
        <f t="shared" si="334"/>
        <v>-3.1360555306344517E-3</v>
      </c>
      <c r="AH2507" s="339" t="str">
        <f>VLOOKUP(B2507,'MF PF'!A:B,2)</f>
        <v>FdMgt1</v>
      </c>
      <c r="AI2507" s="358">
        <f t="shared" si="332"/>
        <v>0</v>
      </c>
      <c r="AJ2507" s="94">
        <f t="shared" si="333"/>
        <v>43281</v>
      </c>
    </row>
    <row r="2508" spans="1:53" s="96" customFormat="1" ht="12.75" customHeight="1">
      <c r="A2508" s="94">
        <v>43312</v>
      </c>
      <c r="B2508" s="358" t="s">
        <v>175</v>
      </c>
      <c r="C2508" s="92" t="s">
        <v>337</v>
      </c>
      <c r="D2508" s="93">
        <v>418784.96</v>
      </c>
      <c r="E2508" s="95"/>
      <c r="F2508" s="93"/>
      <c r="G2508" s="95"/>
      <c r="H2508" s="93"/>
      <c r="I2508" s="93"/>
      <c r="J2508" s="93"/>
      <c r="K2508" s="93"/>
      <c r="L2508" s="93">
        <f t="shared" si="328"/>
        <v>0</v>
      </c>
      <c r="M2508" s="95" t="e">
        <f t="shared" ca="1" si="329"/>
        <v>#DIV/0!</v>
      </c>
      <c r="N2508" s="95">
        <f>IF(P2508="Hedge Fund",IF(A2508=Summary!$AD$3,M2508-E2508,M2508),IF(A2508=Summary!$AD$3,L2508-D2508,L2508))</f>
        <v>0</v>
      </c>
      <c r="O2508" s="95">
        <f t="shared" si="330"/>
        <v>0</v>
      </c>
      <c r="P2508" s="107" t="s">
        <v>155</v>
      </c>
      <c r="Q2508" s="95">
        <v>0</v>
      </c>
      <c r="R2508" s="95">
        <v>0</v>
      </c>
      <c r="S2508" s="95"/>
      <c r="T2508" s="95"/>
      <c r="U2508" s="95"/>
      <c r="V2508" s="95"/>
      <c r="W2508" s="95"/>
      <c r="X2508" s="95"/>
      <c r="Y2508" s="95"/>
      <c r="Z2508" s="95"/>
      <c r="AA2508" s="95"/>
      <c r="AB2508" s="95"/>
      <c r="AC2508" s="355"/>
      <c r="AD2508" s="355"/>
      <c r="AE2508" s="355"/>
      <c r="AF2508" s="94">
        <f t="shared" si="331"/>
        <v>43312</v>
      </c>
      <c r="AG2508" s="185">
        <f t="shared" si="334"/>
        <v>-1.257305141045717E-2</v>
      </c>
      <c r="AH2508" s="339" t="str">
        <f>VLOOKUP(B2508,'MF PF'!A:B,2)</f>
        <v>FdMgt1</v>
      </c>
      <c r="AI2508" s="358">
        <f t="shared" si="332"/>
        <v>0</v>
      </c>
      <c r="AJ2508" s="94">
        <f t="shared" si="333"/>
        <v>43312</v>
      </c>
      <c r="AK2508" s="358"/>
      <c r="AL2508" s="358"/>
      <c r="AM2508" s="358"/>
      <c r="AN2508" s="358"/>
      <c r="AO2508" s="358"/>
      <c r="AP2508" s="358"/>
      <c r="AQ2508" s="358"/>
      <c r="AR2508" s="358"/>
      <c r="AS2508" s="358"/>
      <c r="AT2508" s="358"/>
      <c r="AU2508" s="358"/>
      <c r="AV2508" s="358"/>
      <c r="AW2508" s="358"/>
      <c r="AX2508" s="358"/>
      <c r="AY2508" s="358"/>
      <c r="AZ2508" s="358"/>
      <c r="BA2508" s="358"/>
    </row>
    <row r="2509" spans="1:53" ht="12.75" customHeight="1">
      <c r="A2509" s="94">
        <v>43343</v>
      </c>
      <c r="B2509" s="358" t="s">
        <v>175</v>
      </c>
      <c r="C2509" s="358" t="s">
        <v>337</v>
      </c>
      <c r="D2509" s="93">
        <v>413912.28</v>
      </c>
      <c r="E2509" s="95"/>
      <c r="F2509" s="93"/>
      <c r="G2509" s="95"/>
      <c r="H2509" s="93"/>
      <c r="I2509" s="93"/>
      <c r="K2509" s="93"/>
      <c r="L2509" s="93">
        <f t="shared" si="328"/>
        <v>0</v>
      </c>
      <c r="M2509" s="95" t="e">
        <f t="shared" ca="1" si="329"/>
        <v>#DIV/0!</v>
      </c>
      <c r="N2509" s="95">
        <f>IF(P2509="Hedge Fund",IF(A2509=Summary!$AD$3,M2509-E2509,M2509),IF(A2509=Summary!$AD$3,L2509-D2509,L2509))</f>
        <v>0</v>
      </c>
      <c r="O2509" s="95">
        <f t="shared" si="330"/>
        <v>0</v>
      </c>
      <c r="P2509" s="107" t="s">
        <v>155</v>
      </c>
      <c r="Q2509" s="95">
        <v>0</v>
      </c>
      <c r="R2509" s="95">
        <v>0</v>
      </c>
      <c r="S2509" s="95"/>
      <c r="T2509" s="95"/>
      <c r="U2509" s="95"/>
      <c r="V2509" s="95"/>
      <c r="W2509" s="95"/>
      <c r="X2509" s="95"/>
      <c r="Y2509" s="95"/>
      <c r="Z2509" s="95"/>
      <c r="AA2509" s="95"/>
      <c r="AB2509" s="95"/>
      <c r="AC2509" s="355"/>
      <c r="AD2509" s="355"/>
      <c r="AE2509" s="355"/>
      <c r="AF2509" s="94">
        <f t="shared" si="331"/>
        <v>43343</v>
      </c>
      <c r="AG2509" s="185">
        <f t="shared" si="334"/>
        <v>-1.1635279356737138E-2</v>
      </c>
      <c r="AH2509" s="339" t="str">
        <f>VLOOKUP(B2509,'MF PF'!A:B,2)</f>
        <v>FdMgt1</v>
      </c>
      <c r="AI2509" s="358">
        <f t="shared" si="332"/>
        <v>0</v>
      </c>
      <c r="AJ2509" s="94">
        <f t="shared" si="333"/>
        <v>43343</v>
      </c>
    </row>
    <row r="2510" spans="1:53" ht="12.75" customHeight="1">
      <c r="A2510" s="94">
        <v>43373</v>
      </c>
      <c r="B2510" s="358" t="s">
        <v>175</v>
      </c>
      <c r="C2510" s="358" t="s">
        <v>337</v>
      </c>
      <c r="D2510" s="93">
        <v>398792.36</v>
      </c>
      <c r="E2510" s="95"/>
      <c r="F2510" s="93"/>
      <c r="G2510" s="95"/>
      <c r="H2510" s="93"/>
      <c r="I2510" s="93"/>
      <c r="K2510" s="93"/>
      <c r="L2510" s="93">
        <f t="shared" si="328"/>
        <v>0</v>
      </c>
      <c r="M2510" s="95" t="e">
        <f t="shared" ca="1" si="329"/>
        <v>#DIV/0!</v>
      </c>
      <c r="N2510" s="95">
        <f>IF(P2510="Hedge Fund",IF(A2510=Summary!$AD$3,M2510-E2510,M2510),IF(A2510=Summary!$AD$3,L2510-D2510,L2510))</f>
        <v>0</v>
      </c>
      <c r="O2510" s="95">
        <f t="shared" si="330"/>
        <v>0</v>
      </c>
      <c r="P2510" s="107" t="s">
        <v>155</v>
      </c>
      <c r="Q2510" s="95">
        <v>0</v>
      </c>
      <c r="R2510" s="95">
        <v>0</v>
      </c>
      <c r="S2510" s="95"/>
      <c r="T2510" s="95"/>
      <c r="U2510" s="95"/>
      <c r="V2510" s="95"/>
      <c r="W2510" s="95"/>
      <c r="X2510" s="95"/>
      <c r="Y2510" s="95"/>
      <c r="Z2510" s="95"/>
      <c r="AA2510" s="95"/>
      <c r="AB2510" s="95"/>
      <c r="AC2510" s="355"/>
      <c r="AD2510" s="355"/>
      <c r="AE2510" s="355"/>
      <c r="AF2510" s="94">
        <f t="shared" si="331"/>
        <v>43373</v>
      </c>
      <c r="AG2510" s="185">
        <f t="shared" si="334"/>
        <v>-3.6529285867044181E-2</v>
      </c>
      <c r="AH2510" s="339" t="str">
        <f>VLOOKUP(B2510,'MF PF'!A:B,2)</f>
        <v>FdMgt1</v>
      </c>
      <c r="AI2510" s="358">
        <f t="shared" si="332"/>
        <v>0</v>
      </c>
      <c r="AJ2510" s="94">
        <f t="shared" si="333"/>
        <v>43373</v>
      </c>
    </row>
    <row r="2511" spans="1:53" ht="12.75" customHeight="1">
      <c r="A2511" s="94">
        <v>43404</v>
      </c>
      <c r="B2511" s="358" t="s">
        <v>175</v>
      </c>
      <c r="C2511" s="358" t="s">
        <v>337</v>
      </c>
      <c r="D2511" s="93">
        <v>392239.85</v>
      </c>
      <c r="E2511" s="95"/>
      <c r="F2511" s="93">
        <v>0.34</v>
      </c>
      <c r="G2511" s="93"/>
      <c r="H2511" s="93">
        <v>0</v>
      </c>
      <c r="I2511" s="93">
        <v>0</v>
      </c>
      <c r="J2511" s="93">
        <v>0</v>
      </c>
      <c r="K2511" s="93"/>
      <c r="L2511" s="93">
        <f t="shared" si="328"/>
        <v>0</v>
      </c>
      <c r="M2511" s="95" t="e">
        <f t="shared" ca="1" si="329"/>
        <v>#DIV/0!</v>
      </c>
      <c r="N2511" s="95">
        <f>IF(P2511="Hedge Fund",IF(A2511=Summary!$AD$3,M2511-E2511,M2511),IF(A2511=Summary!$AD$3,L2511-D2511,L2511))</f>
        <v>0</v>
      </c>
      <c r="O2511" s="95">
        <f t="shared" si="330"/>
        <v>0</v>
      </c>
      <c r="P2511" s="95" t="s">
        <v>155</v>
      </c>
      <c r="Q2511" s="95">
        <v>0</v>
      </c>
      <c r="R2511" s="95">
        <v>0</v>
      </c>
      <c r="S2511" s="95"/>
      <c r="T2511" s="95"/>
      <c r="U2511" s="95"/>
      <c r="V2511" s="95"/>
      <c r="W2511" s="95"/>
      <c r="X2511" s="95"/>
      <c r="Y2511" s="95"/>
      <c r="Z2511" s="95"/>
      <c r="AA2511" s="95"/>
      <c r="AB2511" s="95"/>
      <c r="AC2511" s="355"/>
      <c r="AD2511" s="355"/>
      <c r="AE2511" s="355"/>
      <c r="AF2511" s="94">
        <f t="shared" si="331"/>
        <v>43404</v>
      </c>
      <c r="AG2511" s="185">
        <f t="shared" si="334"/>
        <v>-1.6430881474258974E-2</v>
      </c>
      <c r="AH2511" s="339" t="str">
        <f>VLOOKUP(B2511,'MF PF'!A:B,2)</f>
        <v>FdMgt1</v>
      </c>
      <c r="AI2511" s="358">
        <f t="shared" si="332"/>
        <v>0</v>
      </c>
      <c r="AJ2511" s="94">
        <f t="shared" si="333"/>
        <v>43404</v>
      </c>
    </row>
    <row r="2512" spans="1:53" ht="12.75" customHeight="1">
      <c r="A2512" s="94">
        <v>43434</v>
      </c>
      <c r="B2512" s="358" t="s">
        <v>175</v>
      </c>
      <c r="C2512" s="358" t="s">
        <v>337</v>
      </c>
      <c r="D2512" s="93">
        <v>391086.39</v>
      </c>
      <c r="E2512" s="95"/>
      <c r="F2512" s="93">
        <v>0.34</v>
      </c>
      <c r="G2512" s="93"/>
      <c r="H2512" s="93">
        <v>0</v>
      </c>
      <c r="I2512" s="93">
        <v>0</v>
      </c>
      <c r="K2512" s="93">
        <v>0</v>
      </c>
      <c r="L2512" s="93">
        <f t="shared" si="328"/>
        <v>0</v>
      </c>
      <c r="M2512" s="95" t="e">
        <f t="shared" ca="1" si="329"/>
        <v>#DIV/0!</v>
      </c>
      <c r="N2512" s="95">
        <f>IF(P2512="Hedge Fund",IF(A2512=Summary!$AD$3,M2512-E2512,M2512),IF(A2512=Summary!$AD$3,L2512-D2512,L2512))</f>
        <v>0</v>
      </c>
      <c r="O2512" s="95">
        <f t="shared" si="330"/>
        <v>0</v>
      </c>
      <c r="P2512" s="95" t="s">
        <v>155</v>
      </c>
      <c r="Q2512" s="95">
        <v>0</v>
      </c>
      <c r="R2512" s="95">
        <v>0</v>
      </c>
      <c r="S2512" s="95"/>
      <c r="T2512" s="95"/>
      <c r="U2512" s="95"/>
      <c r="V2512" s="95"/>
      <c r="W2512" s="95"/>
      <c r="X2512" s="95"/>
      <c r="Y2512" s="95"/>
      <c r="Z2512" s="95"/>
      <c r="AA2512" s="95"/>
      <c r="AB2512" s="95"/>
      <c r="AC2512" s="355"/>
      <c r="AD2512" s="355"/>
      <c r="AE2512" s="355"/>
      <c r="AF2512" s="94">
        <f t="shared" si="331"/>
        <v>43434</v>
      </c>
      <c r="AG2512" s="185">
        <f t="shared" si="334"/>
        <v>-2.940700696270282E-3</v>
      </c>
      <c r="AH2512" s="339" t="str">
        <f>VLOOKUP(B2512,'MF PF'!A:B,2)</f>
        <v>FdMgt1</v>
      </c>
      <c r="AI2512" s="358">
        <f t="shared" si="332"/>
        <v>0</v>
      </c>
      <c r="AJ2512" s="94">
        <f t="shared" si="333"/>
        <v>43434</v>
      </c>
    </row>
    <row r="2513" spans="1:36" ht="12.75" customHeight="1">
      <c r="A2513" s="8">
        <v>43465</v>
      </c>
      <c r="B2513" s="358" t="s">
        <v>175</v>
      </c>
      <c r="C2513" s="92" t="s">
        <v>337</v>
      </c>
      <c r="D2513" s="93">
        <v>401333.23</v>
      </c>
      <c r="E2513" s="95"/>
      <c r="F2513" s="93">
        <v>0.34</v>
      </c>
      <c r="G2513" s="93"/>
      <c r="H2513" s="93">
        <v>0</v>
      </c>
      <c r="I2513" s="93">
        <v>0</v>
      </c>
      <c r="K2513" s="93">
        <v>0</v>
      </c>
      <c r="L2513" s="93">
        <f t="shared" si="328"/>
        <v>0</v>
      </c>
      <c r="M2513" s="95" t="e">
        <f t="shared" ca="1" si="329"/>
        <v>#DIV/0!</v>
      </c>
      <c r="N2513" s="95">
        <f>IF(P2513="Hedge Fund",IF(A2513=Summary!$AD$3,M2513-E2513,M2513),IF(A2513=Summary!$AD$3,L2513-D2513,L2513))</f>
        <v>0</v>
      </c>
      <c r="O2513" s="95">
        <f t="shared" si="330"/>
        <v>0</v>
      </c>
      <c r="P2513" s="95" t="s">
        <v>155</v>
      </c>
      <c r="Q2513" s="95">
        <v>0</v>
      </c>
      <c r="R2513" s="95">
        <v>0</v>
      </c>
      <c r="S2513" s="95"/>
      <c r="T2513" s="95"/>
      <c r="U2513" s="95"/>
      <c r="V2513" s="95"/>
      <c r="W2513" s="95"/>
      <c r="X2513" s="95"/>
      <c r="Y2513" s="95"/>
      <c r="Z2513" s="95"/>
      <c r="AA2513" s="95"/>
      <c r="AB2513" s="95"/>
      <c r="AC2513" s="355"/>
      <c r="AD2513" s="355"/>
      <c r="AE2513" s="355"/>
      <c r="AF2513" s="94">
        <f t="shared" si="331"/>
        <v>43465</v>
      </c>
      <c r="AG2513" s="185">
        <f t="shared" si="334"/>
        <v>2.6200962912567682E-2</v>
      </c>
      <c r="AH2513" s="339" t="str">
        <f>VLOOKUP(B2513,'MF PF'!A:B,2)</f>
        <v>FdMgt1</v>
      </c>
      <c r="AI2513" s="358">
        <f t="shared" si="332"/>
        <v>0</v>
      </c>
      <c r="AJ2513" s="94">
        <f t="shared" si="333"/>
        <v>43465</v>
      </c>
    </row>
    <row r="2514" spans="1:36" ht="12.75" customHeight="1">
      <c r="A2514" s="94">
        <v>43496</v>
      </c>
      <c r="B2514" s="358" t="s">
        <v>175</v>
      </c>
      <c r="C2514" s="358" t="s">
        <v>337</v>
      </c>
      <c r="D2514" s="93">
        <v>410152.83</v>
      </c>
      <c r="E2514" s="95"/>
      <c r="F2514" s="93">
        <v>0.34</v>
      </c>
      <c r="G2514" s="93"/>
      <c r="H2514" s="93">
        <v>0</v>
      </c>
      <c r="I2514" s="93">
        <v>0</v>
      </c>
      <c r="K2514" s="93">
        <v>0</v>
      </c>
      <c r="L2514" s="93">
        <f t="shared" si="328"/>
        <v>0</v>
      </c>
      <c r="M2514" s="95" t="e">
        <f t="shared" ca="1" si="329"/>
        <v>#DIV/0!</v>
      </c>
      <c r="N2514" s="95">
        <f>IF(P2514="Hedge Fund",IF(A2514=Summary!$AD$3,M2514-E2514,M2514),IF(A2514=Summary!$AD$3,L2514-D2514,L2514))</f>
        <v>-410152.83</v>
      </c>
      <c r="O2514" s="95">
        <f t="shared" si="330"/>
        <v>-410152.83</v>
      </c>
      <c r="P2514" s="95" t="s">
        <v>155</v>
      </c>
      <c r="Q2514" s="95">
        <v>0</v>
      </c>
      <c r="R2514" s="95">
        <v>0</v>
      </c>
      <c r="S2514" s="95"/>
      <c r="T2514" s="95"/>
      <c r="U2514" s="95"/>
      <c r="V2514" s="95"/>
      <c r="W2514" s="95"/>
      <c r="X2514" s="95"/>
      <c r="Y2514" s="95"/>
      <c r="Z2514" s="95"/>
      <c r="AA2514" s="95"/>
      <c r="AB2514" s="95"/>
      <c r="AC2514" s="355"/>
      <c r="AD2514" s="355"/>
      <c r="AE2514" s="355"/>
      <c r="AF2514" s="94">
        <f t="shared" si="331"/>
        <v>43496</v>
      </c>
      <c r="AG2514" s="185">
        <f t="shared" si="334"/>
        <v>2.1975753166514567E-2</v>
      </c>
      <c r="AH2514" s="339" t="str">
        <f>VLOOKUP(B2514,'MF PF'!A:B,2)</f>
        <v>FdMgt1</v>
      </c>
      <c r="AI2514" s="358">
        <f t="shared" si="332"/>
        <v>0</v>
      </c>
      <c r="AJ2514" s="94">
        <f t="shared" si="333"/>
        <v>43496</v>
      </c>
    </row>
    <row r="2515" spans="1:36" ht="12.75" customHeight="1">
      <c r="A2515" s="8">
        <v>43087</v>
      </c>
      <c r="B2515" s="358" t="s">
        <v>175</v>
      </c>
      <c r="C2515" s="92" t="s">
        <v>338</v>
      </c>
      <c r="D2515" s="93"/>
      <c r="E2515" s="95"/>
      <c r="F2515" s="93"/>
      <c r="G2515" s="95">
        <v>54387</v>
      </c>
      <c r="H2515" s="93"/>
      <c r="I2515" s="93"/>
      <c r="K2515" s="93"/>
      <c r="L2515" s="93">
        <f t="shared" si="328"/>
        <v>54387</v>
      </c>
      <c r="M2515" s="95">
        <f t="shared" ca="1" si="329"/>
        <v>0</v>
      </c>
      <c r="N2515" s="95">
        <f>IF(P2515="Hedge Fund",IF(A2515=Summary!$AD$3,M2515-E2515,M2515),IF(A2515=Summary!$AD$3,L2515-D2515,L2515))</f>
        <v>54387</v>
      </c>
      <c r="O2515" s="95">
        <f t="shared" si="330"/>
        <v>54387</v>
      </c>
      <c r="P2515" s="107" t="s">
        <v>155</v>
      </c>
      <c r="Q2515" s="95">
        <v>0</v>
      </c>
      <c r="R2515" s="95">
        <v>0</v>
      </c>
      <c r="S2515" s="95"/>
      <c r="T2515" s="95"/>
      <c r="U2515" s="95"/>
      <c r="V2515" s="95"/>
      <c r="W2515" s="95"/>
      <c r="X2515" s="95"/>
      <c r="Y2515" s="95"/>
      <c r="Z2515" s="95"/>
      <c r="AA2515" s="95"/>
      <c r="AB2515" s="95"/>
      <c r="AC2515" s="355"/>
      <c r="AD2515" s="355"/>
      <c r="AE2515" s="355"/>
      <c r="AF2515" s="94">
        <f t="shared" si="331"/>
        <v>43087</v>
      </c>
      <c r="AG2515" s="185">
        <f t="shared" si="334"/>
        <v>-1</v>
      </c>
      <c r="AH2515" s="339" t="str">
        <f>VLOOKUP(B2515,'MF PF'!A:B,2)</f>
        <v>FdMgt1</v>
      </c>
      <c r="AI2515" s="358">
        <f t="shared" si="332"/>
        <v>0</v>
      </c>
      <c r="AJ2515" s="94">
        <f t="shared" si="333"/>
        <v>43100</v>
      </c>
    </row>
    <row r="2516" spans="1:36" ht="12.75" customHeight="1">
      <c r="A2516" s="94">
        <v>43087</v>
      </c>
      <c r="B2516" s="358" t="s">
        <v>175</v>
      </c>
      <c r="C2516" s="92" t="s">
        <v>338</v>
      </c>
      <c r="D2516" s="93"/>
      <c r="E2516" s="95"/>
      <c r="F2516" s="93"/>
      <c r="G2516" s="95">
        <v>445613</v>
      </c>
      <c r="H2516" s="93"/>
      <c r="I2516" s="93"/>
      <c r="K2516" s="93"/>
      <c r="L2516" s="93">
        <f t="shared" si="328"/>
        <v>445613</v>
      </c>
      <c r="M2516" s="95">
        <f t="shared" ca="1" si="329"/>
        <v>0</v>
      </c>
      <c r="N2516" s="95">
        <f>IF(P2516="Hedge Fund",IF(A2516=Summary!$AD$3,M2516-E2516,M2516),IF(A2516=Summary!$AD$3,L2516-D2516,L2516))</f>
        <v>445613</v>
      </c>
      <c r="O2516" s="95">
        <f t="shared" si="330"/>
        <v>445613</v>
      </c>
      <c r="P2516" s="107" t="s">
        <v>155</v>
      </c>
      <c r="Q2516" s="95">
        <v>0</v>
      </c>
      <c r="R2516" s="95">
        <v>0</v>
      </c>
      <c r="S2516" s="95"/>
      <c r="T2516" s="95"/>
      <c r="U2516" s="95"/>
      <c r="V2516" s="95"/>
      <c r="W2516" s="95"/>
      <c r="X2516" s="95"/>
      <c r="Y2516" s="95"/>
      <c r="Z2516" s="95"/>
      <c r="AA2516" s="95"/>
      <c r="AB2516" s="95"/>
      <c r="AC2516" s="355"/>
      <c r="AD2516" s="355"/>
      <c r="AE2516" s="355"/>
      <c r="AF2516" s="94">
        <f t="shared" si="331"/>
        <v>43087</v>
      </c>
      <c r="AG2516" s="185" t="e">
        <f t="shared" si="334"/>
        <v>#DIV/0!</v>
      </c>
      <c r="AH2516" s="339" t="str">
        <f>VLOOKUP(B2516,'MF PF'!A:B,2)</f>
        <v>FdMgt1</v>
      </c>
      <c r="AI2516" s="358">
        <f t="shared" si="332"/>
        <v>0</v>
      </c>
      <c r="AJ2516" s="94">
        <f t="shared" si="333"/>
        <v>43100</v>
      </c>
    </row>
    <row r="2517" spans="1:36" ht="12.75" customHeight="1">
      <c r="A2517" s="94">
        <v>43100</v>
      </c>
      <c r="B2517" s="358" t="s">
        <v>175</v>
      </c>
      <c r="C2517" s="358" t="s">
        <v>338</v>
      </c>
      <c r="D2517" s="93">
        <v>566142.06000000006</v>
      </c>
      <c r="E2517" s="95"/>
      <c r="F2517" s="93"/>
      <c r="G2517" s="95"/>
      <c r="H2517" s="93"/>
      <c r="I2517" s="93"/>
      <c r="L2517" s="93">
        <f t="shared" si="328"/>
        <v>0</v>
      </c>
      <c r="M2517" s="95" t="e">
        <f t="shared" ca="1" si="329"/>
        <v>#DIV/0!</v>
      </c>
      <c r="N2517" s="95">
        <f>IF(P2517="Hedge Fund",IF(A2517=Summary!$AD$3,M2517-E2517,M2517),IF(A2517=Summary!$AD$3,L2517-D2517,L2517))</f>
        <v>0</v>
      </c>
      <c r="O2517" s="95">
        <f t="shared" si="330"/>
        <v>0</v>
      </c>
      <c r="P2517" s="107" t="s">
        <v>155</v>
      </c>
      <c r="Q2517" s="95">
        <v>2.16898E-3</v>
      </c>
      <c r="R2517" s="95">
        <v>1.1672129999999999E-2</v>
      </c>
      <c r="S2517" s="95"/>
      <c r="T2517" s="95"/>
      <c r="U2517" s="95"/>
      <c r="V2517" s="95"/>
      <c r="W2517" s="95"/>
      <c r="X2517" s="95"/>
      <c r="Y2517" s="95"/>
      <c r="Z2517" s="95"/>
      <c r="AA2517" s="95"/>
      <c r="AB2517" s="95"/>
      <c r="AC2517" s="355"/>
      <c r="AD2517" s="355"/>
      <c r="AE2517" s="355"/>
      <c r="AF2517" s="94">
        <f t="shared" si="331"/>
        <v>43100</v>
      </c>
      <c r="AG2517" s="185" t="e">
        <f t="shared" si="334"/>
        <v>#DIV/0!</v>
      </c>
      <c r="AH2517" s="339" t="str">
        <f>VLOOKUP(B2517,'MF PF'!A:B,2)</f>
        <v>FdMgt1</v>
      </c>
      <c r="AI2517" s="358">
        <f t="shared" si="332"/>
        <v>0</v>
      </c>
      <c r="AJ2517" s="94">
        <f t="shared" si="333"/>
        <v>43100</v>
      </c>
    </row>
    <row r="2518" spans="1:36" ht="12.75" customHeight="1">
      <c r="A2518" s="94">
        <v>43131</v>
      </c>
      <c r="B2518" s="358" t="s">
        <v>175</v>
      </c>
      <c r="C2518" s="358" t="s">
        <v>338</v>
      </c>
      <c r="D2518" s="93">
        <v>593909.71</v>
      </c>
      <c r="E2518" s="95"/>
      <c r="F2518" s="93"/>
      <c r="G2518" s="95"/>
      <c r="H2518" s="93"/>
      <c r="I2518" s="93"/>
      <c r="L2518" s="93">
        <f t="shared" si="328"/>
        <v>0</v>
      </c>
      <c r="M2518" s="95" t="e">
        <f t="shared" ca="1" si="329"/>
        <v>#DIV/0!</v>
      </c>
      <c r="N2518" s="95">
        <f>IF(P2518="Hedge Fund",IF(A2518=Summary!$AD$3,M2518-E2518,M2518),IF(A2518=Summary!$AD$3,L2518-D2518,L2518))</f>
        <v>0</v>
      </c>
      <c r="O2518" s="95">
        <f t="shared" si="330"/>
        <v>0</v>
      </c>
      <c r="P2518" s="107" t="s">
        <v>155</v>
      </c>
      <c r="Q2518" s="95"/>
      <c r="R2518" s="95">
        <v>1.6572299999999998E-2</v>
      </c>
      <c r="S2518" s="95"/>
      <c r="T2518" s="95"/>
      <c r="U2518" s="95"/>
      <c r="V2518" s="95"/>
      <c r="W2518" s="95"/>
      <c r="X2518" s="95"/>
      <c r="Y2518" s="95"/>
      <c r="Z2518" s="95"/>
      <c r="AA2518" s="95"/>
      <c r="AB2518" s="95"/>
      <c r="AC2518" s="355"/>
      <c r="AD2518" s="355"/>
      <c r="AE2518" s="355"/>
      <c r="AF2518" s="94">
        <f t="shared" si="331"/>
        <v>43131</v>
      </c>
      <c r="AG2518" s="185">
        <f t="shared" si="334"/>
        <v>4.9047141984116083E-2</v>
      </c>
      <c r="AH2518" s="339" t="str">
        <f>VLOOKUP(B2518,'MF PF'!A:B,2)</f>
        <v>FdMgt1</v>
      </c>
      <c r="AI2518" s="358">
        <f t="shared" si="332"/>
        <v>0</v>
      </c>
      <c r="AJ2518" s="94">
        <f t="shared" si="333"/>
        <v>43131</v>
      </c>
    </row>
    <row r="2519" spans="1:36" ht="12.75" customHeight="1">
      <c r="A2519" s="8">
        <v>43159</v>
      </c>
      <c r="B2519" s="358" t="s">
        <v>175</v>
      </c>
      <c r="C2519" s="92" t="s">
        <v>338</v>
      </c>
      <c r="D2519" s="93">
        <v>595635.34</v>
      </c>
      <c r="E2519" s="95"/>
      <c r="F2519" s="93"/>
      <c r="G2519" s="95"/>
      <c r="H2519" s="93"/>
      <c r="I2519" s="93"/>
      <c r="L2519" s="93">
        <f t="shared" si="328"/>
        <v>0</v>
      </c>
      <c r="M2519" s="95" t="e">
        <f t="shared" ca="1" si="329"/>
        <v>#DIV/0!</v>
      </c>
      <c r="N2519" s="95">
        <f>IF(P2519="Hedge Fund",IF(A2519=Summary!$AD$3,M2519-E2519,M2519),IF(A2519=Summary!$AD$3,L2519-D2519,L2519))</f>
        <v>0</v>
      </c>
      <c r="O2519" s="95">
        <f t="shared" si="330"/>
        <v>0</v>
      </c>
      <c r="P2519" s="107" t="s">
        <v>155</v>
      </c>
      <c r="Q2519" s="95"/>
      <c r="R2519" s="95">
        <v>1.6876820000000001E-2</v>
      </c>
      <c r="S2519" s="95"/>
      <c r="T2519" s="95"/>
      <c r="U2519" s="95"/>
      <c r="V2519" s="95"/>
      <c r="W2519" s="95"/>
      <c r="X2519" s="95"/>
      <c r="Y2519" s="95"/>
      <c r="Z2519" s="95"/>
      <c r="AA2519" s="95"/>
      <c r="AB2519" s="95"/>
      <c r="AC2519" s="355"/>
      <c r="AD2519" s="355"/>
      <c r="AE2519" s="355"/>
      <c r="AF2519" s="94">
        <f t="shared" si="331"/>
        <v>43159</v>
      </c>
      <c r="AG2519" s="185">
        <f t="shared" si="334"/>
        <v>2.9055426623687541E-3</v>
      </c>
      <c r="AH2519" s="339" t="str">
        <f>VLOOKUP(B2519,'MF PF'!A:B,2)</f>
        <v>FdMgt1</v>
      </c>
      <c r="AI2519" s="358">
        <f t="shared" si="332"/>
        <v>0</v>
      </c>
      <c r="AJ2519" s="94">
        <f t="shared" si="333"/>
        <v>43159</v>
      </c>
    </row>
    <row r="2520" spans="1:36" ht="12.75" customHeight="1">
      <c r="A2520" s="8">
        <v>43190</v>
      </c>
      <c r="B2520" s="358" t="s">
        <v>175</v>
      </c>
      <c r="C2520" s="92" t="s">
        <v>338</v>
      </c>
      <c r="D2520" s="93">
        <v>601389.32999999996</v>
      </c>
      <c r="F2520" s="93"/>
      <c r="G2520" s="95"/>
      <c r="H2520" s="93"/>
      <c r="I2520" s="93"/>
      <c r="L2520" s="93">
        <f t="shared" si="328"/>
        <v>0</v>
      </c>
      <c r="M2520" s="95" t="e">
        <f t="shared" ca="1" si="329"/>
        <v>#DIV/0!</v>
      </c>
      <c r="N2520" s="95">
        <f>IF(P2520="Hedge Fund",IF(A2520=Summary!$AD$3,M2520-E2520,M2520),IF(A2520=Summary!$AD$3,L2520-D2520,L2520))</f>
        <v>0</v>
      </c>
      <c r="O2520" s="95">
        <f t="shared" si="330"/>
        <v>0</v>
      </c>
      <c r="P2520" s="107" t="s">
        <v>155</v>
      </c>
      <c r="Q2520" s="95">
        <v>2.2989999999999998E-3</v>
      </c>
      <c r="R2520" s="95">
        <v>1.789224E-2</v>
      </c>
      <c r="S2520" s="95"/>
      <c r="T2520" s="95"/>
      <c r="U2520" s="95"/>
      <c r="V2520" s="95"/>
      <c r="W2520" s="95"/>
      <c r="X2520" s="95"/>
      <c r="Y2520" s="95"/>
      <c r="Z2520" s="95"/>
      <c r="AA2520" s="95"/>
      <c r="AB2520" s="95"/>
      <c r="AC2520" s="355"/>
      <c r="AD2520" s="355"/>
      <c r="AE2520" s="355"/>
      <c r="AF2520" s="94">
        <f t="shared" si="331"/>
        <v>43190</v>
      </c>
      <c r="AG2520" s="185">
        <f t="shared" si="334"/>
        <v>9.6602562232119826E-3</v>
      </c>
      <c r="AH2520" s="339" t="str">
        <f>VLOOKUP(B2520,'MF PF'!A:B,2)</f>
        <v>FdMgt1</v>
      </c>
      <c r="AI2520" s="358">
        <f t="shared" si="332"/>
        <v>0</v>
      </c>
      <c r="AJ2520" s="94">
        <f t="shared" si="333"/>
        <v>43190</v>
      </c>
    </row>
    <row r="2521" spans="1:36" ht="12.75" customHeight="1">
      <c r="A2521" s="94">
        <v>43220</v>
      </c>
      <c r="B2521" s="358" t="s">
        <v>175</v>
      </c>
      <c r="C2521" s="92" t="s">
        <v>338</v>
      </c>
      <c r="D2521" s="93">
        <v>595880.13</v>
      </c>
      <c r="F2521" s="93"/>
      <c r="G2521" s="95"/>
      <c r="H2521" s="93"/>
      <c r="I2521" s="93"/>
      <c r="L2521" s="93">
        <f t="shared" si="328"/>
        <v>0</v>
      </c>
      <c r="M2521" s="95" t="e">
        <f t="shared" ca="1" si="329"/>
        <v>#DIV/0!</v>
      </c>
      <c r="N2521" s="95">
        <f>IF(P2521="Hedge Fund",IF(A2521=Summary!$AD$3,M2521-E2521,M2521),IF(A2521=Summary!$AD$3,L2521-D2521,L2521))</f>
        <v>0</v>
      </c>
      <c r="O2521" s="95">
        <f t="shared" si="330"/>
        <v>0</v>
      </c>
      <c r="P2521" s="107" t="s">
        <v>155</v>
      </c>
      <c r="Q2521" s="95"/>
      <c r="R2521" s="95">
        <v>1.6920020000000001E-2</v>
      </c>
      <c r="S2521" s="95"/>
      <c r="T2521" s="95"/>
      <c r="U2521" s="95"/>
      <c r="V2521" s="95"/>
      <c r="W2521" s="95"/>
      <c r="X2521" s="95"/>
      <c r="Y2521" s="95"/>
      <c r="Z2521" s="95"/>
      <c r="AA2521" s="95"/>
      <c r="AB2521" s="95"/>
      <c r="AC2521" s="355"/>
      <c r="AD2521" s="355"/>
      <c r="AE2521" s="355"/>
      <c r="AF2521" s="94">
        <f t="shared" si="331"/>
        <v>43220</v>
      </c>
      <c r="AG2521" s="185">
        <f t="shared" si="334"/>
        <v>-9.1607877379532576E-3</v>
      </c>
      <c r="AH2521" s="339" t="str">
        <f>VLOOKUP(B2521,'MF PF'!A:B,2)</f>
        <v>FdMgt1</v>
      </c>
      <c r="AI2521" s="358">
        <f t="shared" si="332"/>
        <v>0</v>
      </c>
      <c r="AJ2521" s="94">
        <f t="shared" si="333"/>
        <v>43220</v>
      </c>
    </row>
    <row r="2522" spans="1:36" ht="12.75" customHeight="1">
      <c r="A2522" s="8">
        <v>43251</v>
      </c>
      <c r="B2522" s="358" t="s">
        <v>175</v>
      </c>
      <c r="C2522" s="92" t="s">
        <v>338</v>
      </c>
      <c r="D2522" s="93">
        <v>601654.1</v>
      </c>
      <c r="F2522" s="93"/>
      <c r="G2522" s="95"/>
      <c r="H2522" s="93"/>
      <c r="I2522" s="93"/>
      <c r="L2522" s="93">
        <f t="shared" si="328"/>
        <v>0</v>
      </c>
      <c r="M2522" s="95" t="e">
        <f t="shared" ca="1" si="329"/>
        <v>#DIV/0!</v>
      </c>
      <c r="N2522" s="95">
        <f>IF(P2522="Hedge Fund",IF(A2522=Summary!$AD$3,M2522-E2522,M2522),IF(A2522=Summary!$AD$3,L2522-D2522,L2522))</f>
        <v>0</v>
      </c>
      <c r="O2522" s="95">
        <f t="shared" si="330"/>
        <v>0</v>
      </c>
      <c r="P2522" s="107" t="s">
        <v>155</v>
      </c>
      <c r="Q2522" s="95"/>
      <c r="R2522" s="95">
        <v>1.793896E-2</v>
      </c>
      <c r="S2522" s="95"/>
      <c r="T2522" s="95"/>
      <c r="U2522" s="95"/>
      <c r="V2522" s="95"/>
      <c r="W2522" s="95"/>
      <c r="X2522" s="95"/>
      <c r="Y2522" s="95"/>
      <c r="Z2522" s="95"/>
      <c r="AA2522" s="95"/>
      <c r="AB2522" s="95"/>
      <c r="AC2522" s="355"/>
      <c r="AD2522" s="355"/>
      <c r="AE2522" s="355"/>
      <c r="AF2522" s="94">
        <f t="shared" si="331"/>
        <v>43251</v>
      </c>
      <c r="AG2522" s="185">
        <f t="shared" si="334"/>
        <v>9.6898179840296805E-3</v>
      </c>
      <c r="AH2522" s="339" t="str">
        <f>VLOOKUP(B2522,'MF PF'!A:B,2)</f>
        <v>FdMgt1</v>
      </c>
      <c r="AI2522" s="358">
        <f t="shared" si="332"/>
        <v>0</v>
      </c>
      <c r="AJ2522" s="94">
        <f t="shared" si="333"/>
        <v>43251</v>
      </c>
    </row>
    <row r="2523" spans="1:36" ht="12.75" customHeight="1">
      <c r="A2523" s="8">
        <v>43281</v>
      </c>
      <c r="B2523" s="358" t="s">
        <v>175</v>
      </c>
      <c r="C2523" s="92" t="s">
        <v>338</v>
      </c>
      <c r="D2523" s="93">
        <v>599358.97</v>
      </c>
      <c r="F2523" s="93"/>
      <c r="G2523" s="95"/>
      <c r="H2523" s="93"/>
      <c r="I2523" s="93"/>
      <c r="L2523" s="93">
        <f t="shared" si="328"/>
        <v>0</v>
      </c>
      <c r="M2523" s="95" t="e">
        <f t="shared" ca="1" si="329"/>
        <v>#DIV/0!</v>
      </c>
      <c r="N2523" s="95">
        <f>IF(P2523="Hedge Fund",IF(A2523=Summary!$AD$3,M2523-E2523,M2523),IF(A2523=Summary!$AD$3,L2523-D2523,L2523))</f>
        <v>0</v>
      </c>
      <c r="O2523" s="95">
        <f t="shared" si="330"/>
        <v>0</v>
      </c>
      <c r="P2523" s="107" t="s">
        <v>155</v>
      </c>
      <c r="Q2523" s="95">
        <v>2.3412100000000003E-3</v>
      </c>
      <c r="R2523" s="95">
        <v>1.7533939999999998E-2</v>
      </c>
      <c r="S2523" s="95"/>
      <c r="T2523" s="95"/>
      <c r="U2523" s="95"/>
      <c r="V2523" s="95"/>
      <c r="W2523" s="95"/>
      <c r="X2523" s="95"/>
      <c r="Y2523" s="95"/>
      <c r="Z2523" s="95"/>
      <c r="AA2523" s="95"/>
      <c r="AB2523" s="95"/>
      <c r="AC2523" s="355"/>
      <c r="AD2523" s="355"/>
      <c r="AE2523" s="355"/>
      <c r="AF2523" s="94">
        <f t="shared" si="331"/>
        <v>43281</v>
      </c>
      <c r="AG2523" s="185">
        <f t="shared" si="334"/>
        <v>-3.8147001740701514E-3</v>
      </c>
      <c r="AH2523" s="339" t="str">
        <f>VLOOKUP(B2523,'MF PF'!A:B,2)</f>
        <v>FdMgt1</v>
      </c>
      <c r="AI2523" s="358">
        <f t="shared" si="332"/>
        <v>0</v>
      </c>
      <c r="AJ2523" s="94">
        <f t="shared" si="333"/>
        <v>43281</v>
      </c>
    </row>
    <row r="2524" spans="1:36" ht="12.75" customHeight="1">
      <c r="A2524" s="8">
        <v>43312</v>
      </c>
      <c r="B2524" s="358" t="s">
        <v>175</v>
      </c>
      <c r="C2524" s="92" t="s">
        <v>338</v>
      </c>
      <c r="D2524" s="93">
        <v>592009.28</v>
      </c>
      <c r="F2524" s="93"/>
      <c r="G2524" s="95"/>
      <c r="H2524" s="93"/>
      <c r="I2524" s="93"/>
      <c r="L2524" s="93">
        <f t="shared" si="328"/>
        <v>0</v>
      </c>
      <c r="M2524" s="95" t="e">
        <f t="shared" ca="1" si="329"/>
        <v>#DIV/0!</v>
      </c>
      <c r="N2524" s="95">
        <f>IF(P2524="Hedge Fund",IF(A2524=Summary!$AD$3,M2524-E2524,M2524),IF(A2524=Summary!$AD$3,L2524-D2524,L2524))</f>
        <v>0</v>
      </c>
      <c r="O2524" s="95">
        <f t="shared" si="330"/>
        <v>0</v>
      </c>
      <c r="P2524" s="107" t="s">
        <v>155</v>
      </c>
      <c r="Q2524" s="95">
        <v>0</v>
      </c>
      <c r="R2524" s="95">
        <v>1.623693E-2</v>
      </c>
      <c r="S2524" s="95"/>
      <c r="T2524" s="95"/>
      <c r="U2524" s="95"/>
      <c r="V2524" s="95"/>
      <c r="W2524" s="95"/>
      <c r="X2524" s="95"/>
      <c r="Y2524" s="95"/>
      <c r="Z2524" s="95"/>
      <c r="AA2524" s="95"/>
      <c r="AB2524" s="95"/>
      <c r="AC2524" s="355"/>
      <c r="AD2524" s="355"/>
      <c r="AE2524" s="355"/>
      <c r="AF2524" s="94">
        <f t="shared" si="331"/>
        <v>43312</v>
      </c>
      <c r="AG2524" s="185">
        <f t="shared" si="334"/>
        <v>-1.2262584474209026E-2</v>
      </c>
      <c r="AH2524" s="339" t="str">
        <f>VLOOKUP(B2524,'MF PF'!A:B,2)</f>
        <v>FdMgt1</v>
      </c>
      <c r="AI2524" s="358">
        <f t="shared" si="332"/>
        <v>0</v>
      </c>
      <c r="AJ2524" s="94">
        <f t="shared" si="333"/>
        <v>43312</v>
      </c>
    </row>
    <row r="2525" spans="1:36" ht="12.75" customHeight="1">
      <c r="A2525" s="8">
        <v>43343</v>
      </c>
      <c r="B2525" s="358" t="s">
        <v>175</v>
      </c>
      <c r="C2525" s="92" t="s">
        <v>338</v>
      </c>
      <c r="D2525" s="93">
        <v>587258.59</v>
      </c>
      <c r="F2525" s="93"/>
      <c r="G2525" s="95"/>
      <c r="H2525" s="93"/>
      <c r="I2525" s="93"/>
      <c r="L2525" s="93">
        <f t="shared" si="328"/>
        <v>0</v>
      </c>
      <c r="M2525" s="95" t="e">
        <f t="shared" ca="1" si="329"/>
        <v>#DIV/0!</v>
      </c>
      <c r="N2525" s="95">
        <f>IF(P2525="Hedge Fund",IF(A2525=Summary!$AD$3,M2525-E2525,M2525),IF(A2525=Summary!$AD$3,L2525-D2525,L2525))</f>
        <v>0</v>
      </c>
      <c r="O2525" s="95">
        <f t="shared" si="330"/>
        <v>0</v>
      </c>
      <c r="P2525" s="107" t="s">
        <v>155</v>
      </c>
      <c r="Q2525" s="95">
        <v>0</v>
      </c>
      <c r="R2525" s="95">
        <v>1.539857E-2</v>
      </c>
      <c r="S2525" s="95"/>
      <c r="T2525" s="95"/>
      <c r="U2525" s="95"/>
      <c r="V2525" s="95"/>
      <c r="W2525" s="95"/>
      <c r="X2525" s="95"/>
      <c r="Y2525" s="95"/>
      <c r="Z2525" s="95"/>
      <c r="AA2525" s="95"/>
      <c r="AB2525" s="95"/>
      <c r="AC2525" s="355"/>
      <c r="AD2525" s="355"/>
      <c r="AE2525" s="355"/>
      <c r="AF2525" s="94">
        <f t="shared" si="331"/>
        <v>43343</v>
      </c>
      <c r="AG2525" s="185">
        <f t="shared" si="334"/>
        <v>-8.0246883967766136E-3</v>
      </c>
      <c r="AH2525" s="339" t="str">
        <f>VLOOKUP(B2525,'MF PF'!A:B,2)</f>
        <v>FdMgt1</v>
      </c>
      <c r="AI2525" s="358">
        <f t="shared" si="332"/>
        <v>0</v>
      </c>
      <c r="AJ2525" s="94">
        <f t="shared" si="333"/>
        <v>43343</v>
      </c>
    </row>
    <row r="2526" spans="1:36" ht="12.75" customHeight="1">
      <c r="A2526" s="94">
        <v>43373</v>
      </c>
      <c r="B2526" s="358" t="s">
        <v>175</v>
      </c>
      <c r="C2526" s="92" t="s">
        <v>338</v>
      </c>
      <c r="D2526" s="93">
        <v>565860.11</v>
      </c>
      <c r="F2526" s="93"/>
      <c r="G2526" s="95"/>
      <c r="H2526" s="93"/>
      <c r="I2526" s="93"/>
      <c r="L2526" s="93">
        <f t="shared" si="328"/>
        <v>0</v>
      </c>
      <c r="M2526" s="95" t="e">
        <f t="shared" ca="1" si="329"/>
        <v>#DIV/0!</v>
      </c>
      <c r="N2526" s="95">
        <f>IF(P2526="Hedge Fund",IF(A2526=Summary!$AD$3,M2526-E2526,M2526),IF(A2526=Summary!$AD$3,L2526-D2526,L2526))</f>
        <v>0</v>
      </c>
      <c r="O2526" s="95">
        <f t="shared" si="330"/>
        <v>0</v>
      </c>
      <c r="P2526" s="107" t="s">
        <v>155</v>
      </c>
      <c r="Q2526" s="95">
        <v>2.1677300000000001E-3</v>
      </c>
      <c r="R2526" s="95">
        <v>1.1622370000000002E-2</v>
      </c>
      <c r="S2526" s="95"/>
      <c r="T2526" s="95"/>
      <c r="U2526" s="95"/>
      <c r="V2526" s="95"/>
      <c r="W2526" s="95"/>
      <c r="X2526" s="95"/>
      <c r="Y2526" s="95"/>
      <c r="Z2526" s="95"/>
      <c r="AA2526" s="95"/>
      <c r="AB2526" s="95"/>
      <c r="AC2526" s="355"/>
      <c r="AD2526" s="355"/>
      <c r="AE2526" s="355"/>
      <c r="AF2526" s="94">
        <f t="shared" si="331"/>
        <v>43373</v>
      </c>
      <c r="AG2526" s="185">
        <f t="shared" si="334"/>
        <v>-3.6437917408751685E-2</v>
      </c>
      <c r="AH2526" s="339" t="str">
        <f>VLOOKUP(B2526,'MF PF'!A:B,2)</f>
        <v>FdMgt1</v>
      </c>
      <c r="AI2526" s="358">
        <f t="shared" si="332"/>
        <v>0</v>
      </c>
      <c r="AJ2526" s="94">
        <f t="shared" si="333"/>
        <v>43373</v>
      </c>
    </row>
    <row r="2527" spans="1:36" ht="12.75" customHeight="1">
      <c r="A2527" s="8">
        <v>43404</v>
      </c>
      <c r="B2527" s="358" t="s">
        <v>175</v>
      </c>
      <c r="C2527" s="92" t="s">
        <v>338</v>
      </c>
      <c r="D2527" s="93">
        <v>559001.47499999998</v>
      </c>
      <c r="F2527" s="93">
        <v>0.5</v>
      </c>
      <c r="G2527" s="93"/>
      <c r="H2527" s="93">
        <v>0</v>
      </c>
      <c r="I2527" s="93">
        <v>0</v>
      </c>
      <c r="J2527" s="93">
        <v>0</v>
      </c>
      <c r="L2527" s="93">
        <f t="shared" si="328"/>
        <v>0</v>
      </c>
      <c r="M2527" s="95" t="e">
        <f t="shared" ca="1" si="329"/>
        <v>#DIV/0!</v>
      </c>
      <c r="N2527" s="95">
        <f>IF(P2527="Hedge Fund",IF(A2527=Summary!$AD$3,M2527-E2527,M2527),IF(A2527=Summary!$AD$3,L2527-D2527,L2527))</f>
        <v>0</v>
      </c>
      <c r="O2527" s="95">
        <f t="shared" si="330"/>
        <v>0</v>
      </c>
      <c r="P2527" s="95" t="s">
        <v>155</v>
      </c>
      <c r="Q2527" s="95">
        <v>2.9409783032145025E-3</v>
      </c>
      <c r="R2527" s="95">
        <v>1.0412025E-2</v>
      </c>
      <c r="S2527" s="95"/>
      <c r="T2527" s="95"/>
      <c r="U2527" s="95"/>
      <c r="V2527" s="95"/>
      <c r="W2527" s="95"/>
      <c r="X2527" s="95"/>
      <c r="Y2527" s="95"/>
      <c r="Z2527" s="95"/>
      <c r="AA2527" s="95"/>
      <c r="AB2527" s="95"/>
      <c r="AC2527" s="355"/>
      <c r="AD2527" s="355"/>
      <c r="AE2527" s="355"/>
      <c r="AF2527" s="94">
        <f t="shared" si="331"/>
        <v>43404</v>
      </c>
      <c r="AG2527" s="185">
        <f t="shared" si="334"/>
        <v>-1.212072538564346E-2</v>
      </c>
      <c r="AH2527" s="339" t="str">
        <f>VLOOKUP(B2527,'MF PF'!A:B,2)</f>
        <v>FdMgt1</v>
      </c>
      <c r="AI2527" s="358">
        <f t="shared" si="332"/>
        <v>0</v>
      </c>
      <c r="AJ2527" s="94">
        <f t="shared" si="333"/>
        <v>43404</v>
      </c>
    </row>
    <row r="2528" spans="1:36" ht="12.75" customHeight="1">
      <c r="A2528" s="8">
        <v>43434</v>
      </c>
      <c r="B2528" s="358" t="s">
        <v>175</v>
      </c>
      <c r="C2528" s="92" t="s">
        <v>338</v>
      </c>
      <c r="D2528" s="93">
        <v>558798.99650000001</v>
      </c>
      <c r="F2528" s="93">
        <v>0.5</v>
      </c>
      <c r="G2528" s="93"/>
      <c r="H2528" s="93">
        <v>0</v>
      </c>
      <c r="I2528" s="93">
        <v>0</v>
      </c>
      <c r="K2528" s="7">
        <v>0</v>
      </c>
      <c r="L2528" s="93">
        <f t="shared" si="328"/>
        <v>0</v>
      </c>
      <c r="M2528" s="95" t="e">
        <f t="shared" ca="1" si="329"/>
        <v>#DIV/0!</v>
      </c>
      <c r="N2528" s="95">
        <f>IF(P2528="Hedge Fund",IF(A2528=Summary!$AD$3,M2528-E2528,M2528),IF(A2528=Summary!$AD$3,L2528-D2528,L2528))</f>
        <v>0</v>
      </c>
      <c r="O2528" s="95">
        <f t="shared" si="330"/>
        <v>0</v>
      </c>
      <c r="P2528" s="95" t="s">
        <v>155</v>
      </c>
      <c r="Q2528" s="95">
        <v>1.4829154676745493E-3</v>
      </c>
      <c r="R2528" s="95">
        <v>1.0376293500000005E-2</v>
      </c>
      <c r="S2528" s="95"/>
      <c r="T2528" s="95"/>
      <c r="U2528" s="95"/>
      <c r="V2528" s="95"/>
      <c r="W2528" s="95"/>
      <c r="X2528" s="95"/>
      <c r="Y2528" s="95"/>
      <c r="Z2528" s="95"/>
      <c r="AA2528" s="95"/>
      <c r="AB2528" s="95"/>
      <c r="AC2528" s="355"/>
      <c r="AD2528" s="355"/>
      <c r="AE2528" s="355"/>
      <c r="AF2528" s="94">
        <f t="shared" si="331"/>
        <v>43434</v>
      </c>
      <c r="AG2528" s="185">
        <f t="shared" si="334"/>
        <v>-3.6221460775209824E-4</v>
      </c>
      <c r="AH2528" s="339" t="str">
        <f>VLOOKUP(B2528,'MF PF'!A:B,2)</f>
        <v>FdMgt1</v>
      </c>
      <c r="AI2528" s="358">
        <f t="shared" si="332"/>
        <v>0</v>
      </c>
      <c r="AJ2528" s="94">
        <f t="shared" si="333"/>
        <v>43434</v>
      </c>
    </row>
    <row r="2529" spans="1:53" ht="12.75" customHeight="1">
      <c r="A2529" s="8">
        <v>43465</v>
      </c>
      <c r="B2529" s="358" t="s">
        <v>175</v>
      </c>
      <c r="C2529" s="92" t="s">
        <v>338</v>
      </c>
      <c r="D2529" s="93">
        <v>567127.75549999997</v>
      </c>
      <c r="F2529" s="93">
        <v>0.5</v>
      </c>
      <c r="G2529" s="93"/>
      <c r="H2529" s="93">
        <v>0</v>
      </c>
      <c r="I2529" s="93">
        <v>0</v>
      </c>
      <c r="K2529" s="7">
        <v>0</v>
      </c>
      <c r="L2529" s="93">
        <f t="shared" si="328"/>
        <v>0</v>
      </c>
      <c r="M2529" s="95" t="e">
        <f t="shared" ca="1" si="329"/>
        <v>#DIV/0!</v>
      </c>
      <c r="N2529" s="95">
        <f>IF(P2529="Hedge Fund",IF(A2529=Summary!$AD$3,M2529-E2529,M2529),IF(A2529=Summary!$AD$3,L2529-D2529,L2529))</f>
        <v>0</v>
      </c>
      <c r="O2529" s="95">
        <f t="shared" si="330"/>
        <v>0</v>
      </c>
      <c r="P2529" s="95" t="s">
        <v>155</v>
      </c>
      <c r="Q2529" s="95">
        <v>2.245257309597415E-3</v>
      </c>
      <c r="R2529" s="95">
        <v>1.1846074499999993E-2</v>
      </c>
      <c r="S2529" s="95"/>
      <c r="T2529" s="95"/>
      <c r="U2529" s="95"/>
      <c r="V2529" s="95"/>
      <c r="W2529" s="95"/>
      <c r="X2529" s="95"/>
      <c r="Y2529" s="95"/>
      <c r="Z2529" s="95"/>
      <c r="AA2529" s="95"/>
      <c r="AB2529" s="95"/>
      <c r="AC2529" s="355"/>
      <c r="AD2529" s="355"/>
      <c r="AE2529" s="355"/>
      <c r="AF2529" s="94">
        <f t="shared" si="331"/>
        <v>43465</v>
      </c>
      <c r="AG2529" s="185">
        <f t="shared" si="334"/>
        <v>1.4904749386034366E-2</v>
      </c>
      <c r="AH2529" s="339" t="str">
        <f>VLOOKUP(B2529,'MF PF'!A:B,2)</f>
        <v>FdMgt1</v>
      </c>
      <c r="AI2529" s="358">
        <f t="shared" si="332"/>
        <v>0</v>
      </c>
      <c r="AJ2529" s="94">
        <f t="shared" si="333"/>
        <v>43465</v>
      </c>
    </row>
    <row r="2530" spans="1:53" ht="12.75" customHeight="1">
      <c r="A2530" s="8">
        <v>43496</v>
      </c>
      <c r="B2530" s="358" t="s">
        <v>175</v>
      </c>
      <c r="C2530" s="92" t="s">
        <v>338</v>
      </c>
      <c r="D2530" s="93">
        <v>581345.41650000005</v>
      </c>
      <c r="F2530" s="93">
        <v>0.5</v>
      </c>
      <c r="G2530" s="93"/>
      <c r="H2530" s="93">
        <v>0</v>
      </c>
      <c r="I2530" s="93">
        <v>0</v>
      </c>
      <c r="K2530" s="7">
        <v>0</v>
      </c>
      <c r="L2530" s="93">
        <f t="shared" si="328"/>
        <v>0</v>
      </c>
      <c r="M2530" s="95" t="e">
        <f t="shared" ca="1" si="329"/>
        <v>#DIV/0!</v>
      </c>
      <c r="N2530" s="95">
        <f>IF(P2530="Hedge Fund",IF(A2530=Summary!$AD$3,M2530-E2530,M2530),IF(A2530=Summary!$AD$3,L2530-D2530,L2530))</f>
        <v>-581345.41650000005</v>
      </c>
      <c r="O2530" s="95">
        <f t="shared" si="330"/>
        <v>-581345.41650000005</v>
      </c>
      <c r="P2530" s="95" t="s">
        <v>155</v>
      </c>
      <c r="Q2530" s="95">
        <v>7.5995140090476308E-4</v>
      </c>
      <c r="R2530" s="95">
        <v>1.4355073499999999E-2</v>
      </c>
      <c r="S2530" s="95"/>
      <c r="T2530" s="95"/>
      <c r="U2530" s="95"/>
      <c r="V2530" s="95"/>
      <c r="W2530" s="95"/>
      <c r="X2530" s="95"/>
      <c r="Y2530" s="95"/>
      <c r="Z2530" s="95"/>
      <c r="AA2530" s="95"/>
      <c r="AB2530" s="95"/>
      <c r="AC2530" s="355"/>
      <c r="AD2530" s="355"/>
      <c r="AE2530" s="355"/>
      <c r="AF2530" s="94">
        <f t="shared" si="331"/>
        <v>43496</v>
      </c>
      <c r="AG2530" s="185">
        <f t="shared" si="334"/>
        <v>2.5069591220174603E-2</v>
      </c>
      <c r="AH2530" s="339" t="str">
        <f>VLOOKUP(B2530,'MF PF'!A:B,2)</f>
        <v>FdMgt1</v>
      </c>
      <c r="AI2530" s="358">
        <f t="shared" si="332"/>
        <v>0</v>
      </c>
      <c r="AJ2530" s="94">
        <f t="shared" si="333"/>
        <v>43496</v>
      </c>
    </row>
    <row r="2531" spans="1:53" ht="12.75" customHeight="1">
      <c r="A2531" s="94">
        <v>43087</v>
      </c>
      <c r="B2531" s="358" t="s">
        <v>175</v>
      </c>
      <c r="C2531" s="92" t="s">
        <v>339</v>
      </c>
      <c r="D2531" s="93"/>
      <c r="F2531" s="93"/>
      <c r="G2531" s="95">
        <v>543870</v>
      </c>
      <c r="H2531" s="93"/>
      <c r="I2531" s="93"/>
      <c r="L2531" s="93">
        <f t="shared" si="328"/>
        <v>543870</v>
      </c>
      <c r="M2531" s="95">
        <f t="shared" ca="1" si="329"/>
        <v>0</v>
      </c>
      <c r="N2531" s="95">
        <f>IF(P2531="Hedge Fund",IF(A2531=Summary!$AD$3,M2531-E2531,M2531),IF(A2531=Summary!$AD$3,L2531-D2531,L2531))</f>
        <v>543870</v>
      </c>
      <c r="O2531" s="95">
        <f t="shared" ref="O2531:O2546" si="335">N2531</f>
        <v>543870</v>
      </c>
      <c r="P2531" s="107" t="s">
        <v>155</v>
      </c>
      <c r="Q2531" s="95">
        <v>0</v>
      </c>
      <c r="R2531" s="95">
        <v>0</v>
      </c>
      <c r="S2531" s="95"/>
      <c r="T2531" s="95"/>
      <c r="U2531" s="95"/>
      <c r="V2531" s="95"/>
      <c r="W2531" s="95"/>
      <c r="X2531" s="95"/>
      <c r="Y2531" s="95"/>
      <c r="Z2531" s="95"/>
      <c r="AA2531" s="95"/>
      <c r="AB2531" s="95"/>
      <c r="AC2531" s="355"/>
      <c r="AD2531" s="355"/>
      <c r="AE2531" s="355"/>
      <c r="AF2531" s="94">
        <f t="shared" si="331"/>
        <v>43087</v>
      </c>
      <c r="AG2531" s="185">
        <f t="shared" si="334"/>
        <v>-1</v>
      </c>
      <c r="AH2531" s="339" t="str">
        <f>VLOOKUP(B2531,'MF PF'!A:B,2)</f>
        <v>FdMgt1</v>
      </c>
      <c r="AI2531" s="358">
        <f t="shared" si="332"/>
        <v>0</v>
      </c>
      <c r="AJ2531" s="94">
        <f t="shared" si="333"/>
        <v>43100</v>
      </c>
      <c r="AK2531" s="358"/>
      <c r="AL2531" s="358"/>
      <c r="AM2531" s="358"/>
      <c r="AN2531" s="358"/>
      <c r="AO2531" s="358"/>
      <c r="AP2531" s="358"/>
      <c r="AQ2531" s="358"/>
      <c r="AR2531" s="358"/>
      <c r="AS2531" s="358"/>
      <c r="AT2531" s="358"/>
      <c r="AU2531" s="358"/>
      <c r="AV2531" s="358"/>
      <c r="AW2531" s="358"/>
      <c r="AX2531" s="358"/>
      <c r="AY2531" s="358"/>
      <c r="AZ2531" s="358"/>
      <c r="BA2531" s="358"/>
    </row>
    <row r="2532" spans="1:53" ht="12.75" customHeight="1">
      <c r="A2532" s="8">
        <v>43087</v>
      </c>
      <c r="B2532" s="358" t="s">
        <v>175</v>
      </c>
      <c r="C2532" s="92" t="s">
        <v>339</v>
      </c>
      <c r="D2532" s="93"/>
      <c r="F2532" s="93"/>
      <c r="G2532" s="95">
        <v>4456130</v>
      </c>
      <c r="H2532" s="93"/>
      <c r="I2532" s="93"/>
      <c r="L2532" s="93">
        <f t="shared" si="328"/>
        <v>4456130</v>
      </c>
      <c r="M2532" s="95">
        <f t="shared" ca="1" si="329"/>
        <v>0</v>
      </c>
      <c r="N2532" s="95">
        <f>IF(P2532="Hedge Fund",IF(A2532=Summary!$AD$3,M2532-E2532,M2532),IF(A2532=Summary!$AD$3,L2532-D2532,L2532))</f>
        <v>4456130</v>
      </c>
      <c r="O2532" s="95">
        <f t="shared" si="335"/>
        <v>4456130</v>
      </c>
      <c r="P2532" s="107" t="s">
        <v>155</v>
      </c>
      <c r="Q2532" s="95">
        <v>0</v>
      </c>
      <c r="R2532" s="95">
        <v>0</v>
      </c>
      <c r="S2532" s="95"/>
      <c r="T2532" s="95"/>
      <c r="U2532" s="95"/>
      <c r="V2532" s="95"/>
      <c r="W2532" s="95"/>
      <c r="X2532" s="95"/>
      <c r="Y2532" s="95"/>
      <c r="Z2532" s="95"/>
      <c r="AA2532" s="95"/>
      <c r="AB2532" s="95"/>
      <c r="AC2532" s="355"/>
      <c r="AD2532" s="355"/>
      <c r="AE2532" s="355"/>
      <c r="AF2532" s="94">
        <f t="shared" si="331"/>
        <v>43087</v>
      </c>
      <c r="AG2532" s="185" t="e">
        <f t="shared" si="334"/>
        <v>#DIV/0!</v>
      </c>
      <c r="AH2532" s="339" t="str">
        <f>VLOOKUP(B2532,'MF PF'!A:B,2)</f>
        <v>FdMgt1</v>
      </c>
      <c r="AI2532" s="358">
        <f t="shared" si="332"/>
        <v>0</v>
      </c>
      <c r="AJ2532" s="94">
        <f t="shared" si="333"/>
        <v>43100</v>
      </c>
    </row>
    <row r="2533" spans="1:53" ht="12.75" customHeight="1">
      <c r="A2533" s="8">
        <v>43100</v>
      </c>
      <c r="B2533" s="358" t="s">
        <v>175</v>
      </c>
      <c r="C2533" s="92" t="s">
        <v>339</v>
      </c>
      <c r="D2533" s="93">
        <v>5661420.6100000003</v>
      </c>
      <c r="F2533" s="93"/>
      <c r="G2533" s="95"/>
      <c r="H2533" s="93"/>
      <c r="I2533" s="93"/>
      <c r="L2533" s="93">
        <f t="shared" si="328"/>
        <v>0</v>
      </c>
      <c r="M2533" s="95" t="e">
        <f t="shared" ca="1" si="329"/>
        <v>#DIV/0!</v>
      </c>
      <c r="N2533" s="95">
        <f>IF(P2533="Hedge Fund",IF(A2533=Summary!$AD$3,M2533-E2533,M2533),IF(A2533=Summary!$AD$3,L2533-D2533,L2533))</f>
        <v>0</v>
      </c>
      <c r="O2533" s="95">
        <f t="shared" si="335"/>
        <v>0</v>
      </c>
      <c r="P2533" s="107" t="s">
        <v>155</v>
      </c>
      <c r="Q2533" s="95">
        <v>2.1689779999999999E-2</v>
      </c>
      <c r="R2533" s="95">
        <v>0.11672128</v>
      </c>
      <c r="S2533" s="95"/>
      <c r="T2533" s="95"/>
      <c r="U2533" s="95"/>
      <c r="V2533" s="95"/>
      <c r="W2533" s="95"/>
      <c r="X2533" s="95"/>
      <c r="Y2533" s="95"/>
      <c r="Z2533" s="95"/>
      <c r="AA2533" s="95"/>
      <c r="AB2533" s="95"/>
      <c r="AC2533" s="355"/>
      <c r="AD2533" s="355"/>
      <c r="AE2533" s="355"/>
      <c r="AF2533" s="94">
        <f t="shared" si="331"/>
        <v>43100</v>
      </c>
      <c r="AG2533" s="185" t="e">
        <f t="shared" si="334"/>
        <v>#DIV/0!</v>
      </c>
      <c r="AH2533" s="339" t="str">
        <f>VLOOKUP(B2533,'MF PF'!A:B,2)</f>
        <v>FdMgt1</v>
      </c>
      <c r="AI2533" s="358">
        <f t="shared" si="332"/>
        <v>0</v>
      </c>
      <c r="AJ2533" s="94">
        <f t="shared" si="333"/>
        <v>43100</v>
      </c>
    </row>
    <row r="2534" spans="1:53" ht="12.75" customHeight="1">
      <c r="A2534" s="94">
        <v>43131</v>
      </c>
      <c r="B2534" s="358" t="s">
        <v>175</v>
      </c>
      <c r="C2534" s="358" t="s">
        <v>339</v>
      </c>
      <c r="D2534" s="93">
        <v>5939097.0599999996</v>
      </c>
      <c r="F2534" s="93"/>
      <c r="G2534" s="95"/>
      <c r="H2534" s="93"/>
      <c r="I2534" s="93"/>
      <c r="L2534" s="93">
        <f t="shared" si="328"/>
        <v>0</v>
      </c>
      <c r="M2534" s="95" t="e">
        <f t="shared" ca="1" si="329"/>
        <v>#DIV/0!</v>
      </c>
      <c r="N2534" s="95">
        <f>IF(P2534="Hedge Fund",IF(A2534=Summary!$AD$3,M2534-E2534,M2534),IF(A2534=Summary!$AD$3,L2534-D2534,L2534))</f>
        <v>0</v>
      </c>
      <c r="O2534" s="95">
        <f t="shared" si="335"/>
        <v>0</v>
      </c>
      <c r="P2534" s="107" t="s">
        <v>155</v>
      </c>
      <c r="Q2534" s="95"/>
      <c r="R2534" s="95">
        <v>0.16572301</v>
      </c>
      <c r="S2534" s="95"/>
      <c r="T2534" s="95"/>
      <c r="U2534" s="95"/>
      <c r="V2534" s="95"/>
      <c r="W2534" s="95"/>
      <c r="X2534" s="95"/>
      <c r="Y2534" s="95"/>
      <c r="Z2534" s="95"/>
      <c r="AA2534" s="95"/>
      <c r="AB2534" s="95"/>
      <c r="AC2534" s="355"/>
      <c r="AD2534" s="355"/>
      <c r="AE2534" s="355"/>
      <c r="AF2534" s="94">
        <f t="shared" si="331"/>
        <v>43131</v>
      </c>
      <c r="AG2534" s="185">
        <f t="shared" si="334"/>
        <v>4.904713306577646E-2</v>
      </c>
      <c r="AH2534" s="339" t="str">
        <f>VLOOKUP(B2534,'MF PF'!A:B,2)</f>
        <v>FdMgt1</v>
      </c>
      <c r="AI2534" s="358">
        <f t="shared" si="332"/>
        <v>0</v>
      </c>
      <c r="AJ2534" s="94">
        <f t="shared" si="333"/>
        <v>43131</v>
      </c>
    </row>
    <row r="2535" spans="1:53" ht="12.75" customHeight="1">
      <c r="A2535" s="8">
        <v>43159</v>
      </c>
      <c r="B2535" s="358" t="s">
        <v>175</v>
      </c>
      <c r="C2535" s="92" t="s">
        <v>339</v>
      </c>
      <c r="D2535" s="93">
        <v>5956353.3399999999</v>
      </c>
      <c r="F2535" s="93"/>
      <c r="G2535" s="95"/>
      <c r="H2535" s="93"/>
      <c r="I2535" s="93"/>
      <c r="L2535" s="93">
        <f t="shared" si="328"/>
        <v>0</v>
      </c>
      <c r="M2535" s="95" t="e">
        <f t="shared" ca="1" si="329"/>
        <v>#DIV/0!</v>
      </c>
      <c r="N2535" s="95">
        <f>IF(P2535="Hedge Fund",IF(A2535=Summary!$AD$3,M2535-E2535,M2535),IF(A2535=Summary!$AD$3,L2535-D2535,L2535))</f>
        <v>0</v>
      </c>
      <c r="O2535" s="95">
        <f t="shared" si="335"/>
        <v>0</v>
      </c>
      <c r="P2535" s="107" t="s">
        <v>155</v>
      </c>
      <c r="Q2535" s="95"/>
      <c r="R2535" s="95">
        <v>0.16876823999999999</v>
      </c>
      <c r="S2535" s="95"/>
      <c r="T2535" s="95"/>
      <c r="U2535" s="95"/>
      <c r="V2535" s="95"/>
      <c r="W2535" s="95"/>
      <c r="X2535" s="95"/>
      <c r="Y2535" s="95"/>
      <c r="Z2535" s="95"/>
      <c r="AA2535" s="95"/>
      <c r="AB2535" s="95"/>
      <c r="AC2535" s="355"/>
      <c r="AD2535" s="355"/>
      <c r="AE2535" s="355"/>
      <c r="AF2535" s="94">
        <f t="shared" si="331"/>
        <v>43159</v>
      </c>
      <c r="AG2535" s="185">
        <f t="shared" si="334"/>
        <v>2.9055393144223896E-3</v>
      </c>
      <c r="AH2535" s="339" t="str">
        <f>VLOOKUP(B2535,'MF PF'!A:B,2)</f>
        <v>FdMgt1</v>
      </c>
      <c r="AI2535" s="358">
        <f t="shared" si="332"/>
        <v>0</v>
      </c>
      <c r="AJ2535" s="94">
        <f t="shared" si="333"/>
        <v>43159</v>
      </c>
    </row>
    <row r="2536" spans="1:53" ht="12.75" customHeight="1">
      <c r="A2536" s="94">
        <v>43190</v>
      </c>
      <c r="B2536" s="358" t="s">
        <v>175</v>
      </c>
      <c r="C2536" s="358" t="s">
        <v>339</v>
      </c>
      <c r="D2536" s="93">
        <v>6013893.3099999996</v>
      </c>
      <c r="F2536" s="93"/>
      <c r="G2536" s="95"/>
      <c r="H2536" s="93"/>
      <c r="I2536" s="93"/>
      <c r="L2536" s="93">
        <f t="shared" si="328"/>
        <v>0</v>
      </c>
      <c r="M2536" s="95" t="e">
        <f t="shared" ca="1" si="329"/>
        <v>#DIV/0!</v>
      </c>
      <c r="N2536" s="95">
        <f>IF(P2536="Hedge Fund",IF(A2536=Summary!$AD$3,M2536-E2536,M2536),IF(A2536=Summary!$AD$3,L2536-D2536,L2536))</f>
        <v>0</v>
      </c>
      <c r="O2536" s="95">
        <f t="shared" si="335"/>
        <v>0</v>
      </c>
      <c r="P2536" s="107" t="s">
        <v>155</v>
      </c>
      <c r="Q2536" s="95">
        <v>2.2989970000000002E-2</v>
      </c>
      <c r="R2536" s="95">
        <v>0.17892235000000001</v>
      </c>
      <c r="S2536" s="95"/>
      <c r="T2536" s="95"/>
      <c r="U2536" s="95"/>
      <c r="V2536" s="95"/>
      <c r="W2536" s="95"/>
      <c r="X2536" s="95"/>
      <c r="Y2536" s="95"/>
      <c r="Z2536" s="95"/>
      <c r="AA2536" s="95"/>
      <c r="AB2536" s="95"/>
      <c r="AC2536" s="355"/>
      <c r="AD2536" s="355"/>
      <c r="AE2536" s="355"/>
      <c r="AF2536" s="94">
        <f t="shared" si="331"/>
        <v>43190</v>
      </c>
      <c r="AG2536" s="185">
        <f t="shared" si="334"/>
        <v>9.6602680726793899E-3</v>
      </c>
      <c r="AH2536" s="339" t="str">
        <f>VLOOKUP(B2536,'MF PF'!A:B,2)</f>
        <v>FdMgt1</v>
      </c>
      <c r="AI2536" s="358">
        <f t="shared" si="332"/>
        <v>0</v>
      </c>
      <c r="AJ2536" s="94">
        <f t="shared" si="333"/>
        <v>43190</v>
      </c>
    </row>
    <row r="2537" spans="1:53" ht="12.75" customHeight="1">
      <c r="A2537" s="94">
        <v>43220</v>
      </c>
      <c r="B2537" s="358" t="s">
        <v>175</v>
      </c>
      <c r="C2537" s="358" t="s">
        <v>339</v>
      </c>
      <c r="D2537" s="93">
        <v>5958803.8099999996</v>
      </c>
      <c r="F2537" s="93"/>
      <c r="G2537" s="95"/>
      <c r="H2537" s="93"/>
      <c r="I2537" s="93"/>
      <c r="L2537" s="93">
        <f t="shared" si="328"/>
        <v>0</v>
      </c>
      <c r="M2537" s="95" t="e">
        <f t="shared" ca="1" si="329"/>
        <v>#DIV/0!</v>
      </c>
      <c r="N2537" s="95">
        <f>IF(P2537="Hedge Fund",IF(A2537=Summary!$AD$3,M2537-E2537,M2537),IF(A2537=Summary!$AD$3,L2537-D2537,L2537))</f>
        <v>0</v>
      </c>
      <c r="O2537" s="95">
        <f t="shared" si="335"/>
        <v>0</v>
      </c>
      <c r="P2537" s="107" t="s">
        <v>155</v>
      </c>
      <c r="Q2537" s="95"/>
      <c r="R2537" s="95">
        <v>0.16920067000000003</v>
      </c>
      <c r="S2537" s="95"/>
      <c r="T2537" s="95"/>
      <c r="U2537" s="95"/>
      <c r="V2537" s="95"/>
      <c r="W2537" s="95"/>
      <c r="X2537" s="95"/>
      <c r="Y2537" s="95"/>
      <c r="Z2537" s="95"/>
      <c r="AA2537" s="95"/>
      <c r="AB2537" s="95"/>
      <c r="AC2537" s="355"/>
      <c r="AD2537" s="355"/>
      <c r="AE2537" s="355"/>
      <c r="AF2537" s="94">
        <f t="shared" si="331"/>
        <v>43220</v>
      </c>
      <c r="AG2537" s="185">
        <f t="shared" si="334"/>
        <v>-9.1603720186382853E-3</v>
      </c>
      <c r="AH2537" s="339" t="str">
        <f>VLOOKUP(B2537,'MF PF'!A:B,2)</f>
        <v>FdMgt1</v>
      </c>
      <c r="AI2537" s="358">
        <f t="shared" si="332"/>
        <v>0</v>
      </c>
      <c r="AJ2537" s="94">
        <f t="shared" si="333"/>
        <v>43220</v>
      </c>
    </row>
    <row r="2538" spans="1:53" ht="12.75" customHeight="1">
      <c r="A2538" s="8">
        <v>43251</v>
      </c>
      <c r="B2538" s="358" t="s">
        <v>175</v>
      </c>
      <c r="C2538" s="92" t="s">
        <v>339</v>
      </c>
      <c r="D2538" s="93">
        <v>6016543.7000000002</v>
      </c>
      <c r="F2538" s="93"/>
      <c r="G2538" s="95"/>
      <c r="H2538" s="93"/>
      <c r="I2538" s="93"/>
      <c r="L2538" s="93">
        <f t="shared" si="328"/>
        <v>0</v>
      </c>
      <c r="M2538" s="95" t="e">
        <f t="shared" ca="1" si="329"/>
        <v>#DIV/0!</v>
      </c>
      <c r="N2538" s="95">
        <f>IF(P2538="Hedge Fund",IF(A2538=Summary!$AD$3,M2538-E2538,M2538),IF(A2538=Summary!$AD$3,L2538-D2538,L2538))</f>
        <v>0</v>
      </c>
      <c r="O2538" s="95">
        <f t="shared" si="335"/>
        <v>0</v>
      </c>
      <c r="P2538" s="107" t="s">
        <v>155</v>
      </c>
      <c r="Q2538" s="95"/>
      <c r="R2538" s="95">
        <v>0.17939005999999999</v>
      </c>
      <c r="S2538" s="95"/>
      <c r="T2538" s="95"/>
      <c r="U2538" s="95"/>
      <c r="V2538" s="95"/>
      <c r="W2538" s="95"/>
      <c r="X2538" s="95"/>
      <c r="Y2538" s="95"/>
      <c r="Z2538" s="95"/>
      <c r="AA2538" s="95"/>
      <c r="AB2538" s="95"/>
      <c r="AC2538" s="355"/>
      <c r="AD2538" s="355"/>
      <c r="AE2538" s="355"/>
      <c r="AF2538" s="94">
        <f t="shared" si="331"/>
        <v>43251</v>
      </c>
      <c r="AG2538" s="185">
        <f t="shared" si="334"/>
        <v>9.689845788025897E-3</v>
      </c>
      <c r="AH2538" s="339" t="str">
        <f>VLOOKUP(B2538,'MF PF'!A:B,2)</f>
        <v>FdMgt1</v>
      </c>
      <c r="AI2538" s="358">
        <f t="shared" si="332"/>
        <v>0</v>
      </c>
      <c r="AJ2538" s="94">
        <f t="shared" si="333"/>
        <v>43251</v>
      </c>
      <c r="AK2538" s="358"/>
      <c r="AL2538" s="358"/>
      <c r="AM2538" s="358"/>
      <c r="AN2538" s="358"/>
      <c r="AO2538" s="358"/>
      <c r="AP2538" s="358"/>
      <c r="AQ2538" s="358"/>
      <c r="AR2538" s="358"/>
      <c r="AS2538" s="358"/>
      <c r="AT2538" s="358"/>
      <c r="AU2538" s="358"/>
      <c r="AV2538" s="358"/>
      <c r="AW2538" s="358"/>
      <c r="AX2538" s="358"/>
      <c r="AY2538" s="358"/>
      <c r="AZ2538" s="358"/>
      <c r="BA2538" s="358"/>
    </row>
    <row r="2539" spans="1:53" ht="12.75" customHeight="1">
      <c r="A2539" s="8">
        <v>43281</v>
      </c>
      <c r="B2539" s="358" t="s">
        <v>175</v>
      </c>
      <c r="C2539" s="92" t="s">
        <v>339</v>
      </c>
      <c r="D2539" s="93">
        <v>5993589.7199999997</v>
      </c>
      <c r="F2539" s="93"/>
      <c r="G2539" s="95"/>
      <c r="H2539" s="93"/>
      <c r="I2539" s="93"/>
      <c r="L2539" s="93">
        <f t="shared" si="328"/>
        <v>0</v>
      </c>
      <c r="M2539" s="95" t="e">
        <f t="shared" ca="1" si="329"/>
        <v>#DIV/0!</v>
      </c>
      <c r="N2539" s="95">
        <f>IF(P2539="Hedge Fund",IF(A2539=Summary!$AD$3,M2539-E2539,M2539),IF(A2539=Summary!$AD$3,L2539-D2539,L2539))</f>
        <v>0</v>
      </c>
      <c r="O2539" s="95">
        <f t="shared" si="335"/>
        <v>0</v>
      </c>
      <c r="P2539" s="107" t="s">
        <v>155</v>
      </c>
      <c r="Q2539" s="95">
        <v>2.3412139999999998E-2</v>
      </c>
      <c r="R2539" s="95">
        <v>0.17533936</v>
      </c>
      <c r="S2539" s="95"/>
      <c r="T2539" s="95"/>
      <c r="U2539" s="95"/>
      <c r="V2539" s="95"/>
      <c r="W2539" s="95"/>
      <c r="X2539" s="95"/>
      <c r="Y2539" s="95"/>
      <c r="Z2539" s="95"/>
      <c r="AA2539" s="95"/>
      <c r="AB2539" s="95"/>
      <c r="AC2539" s="355"/>
      <c r="AD2539" s="355"/>
      <c r="AE2539" s="355"/>
      <c r="AF2539" s="94">
        <f t="shared" si="331"/>
        <v>43281</v>
      </c>
      <c r="AG2539" s="185">
        <f t="shared" si="334"/>
        <v>-3.8151439006418597E-3</v>
      </c>
      <c r="AH2539" s="339" t="str">
        <f>VLOOKUP(B2539,'MF PF'!A:B,2)</f>
        <v>FdMgt1</v>
      </c>
      <c r="AI2539" s="358">
        <f t="shared" si="332"/>
        <v>0</v>
      </c>
      <c r="AJ2539" s="94">
        <f t="shared" si="333"/>
        <v>43281</v>
      </c>
    </row>
    <row r="2540" spans="1:53" ht="12.75" customHeight="1">
      <c r="A2540" s="8">
        <v>43312</v>
      </c>
      <c r="B2540" s="358" t="s">
        <v>175</v>
      </c>
      <c r="C2540" s="92" t="s">
        <v>339</v>
      </c>
      <c r="D2540" s="93">
        <v>5920095.4699999997</v>
      </c>
      <c r="F2540" s="93"/>
      <c r="G2540" s="95"/>
      <c r="H2540" s="93"/>
      <c r="I2540" s="93"/>
      <c r="L2540" s="93">
        <f t="shared" si="328"/>
        <v>0</v>
      </c>
      <c r="M2540" s="95" t="e">
        <f t="shared" ca="1" si="329"/>
        <v>#DIV/0!</v>
      </c>
      <c r="N2540" s="95">
        <f>IF(P2540="Hedge Fund",IF(A2540=Summary!$AD$3,M2540-E2540,M2540),IF(A2540=Summary!$AD$3,L2540-D2540,L2540))</f>
        <v>0</v>
      </c>
      <c r="O2540" s="95">
        <f t="shared" si="335"/>
        <v>0</v>
      </c>
      <c r="P2540" s="107" t="s">
        <v>155</v>
      </c>
      <c r="Q2540" s="95">
        <v>0</v>
      </c>
      <c r="R2540" s="95">
        <v>0.16236979000000001</v>
      </c>
      <c r="S2540" s="95"/>
      <c r="T2540" s="95"/>
      <c r="U2540" s="95"/>
      <c r="V2540" s="95"/>
      <c r="W2540" s="95"/>
      <c r="X2540" s="95"/>
      <c r="Y2540" s="95"/>
      <c r="Z2540" s="95"/>
      <c r="AA2540" s="95"/>
      <c r="AB2540" s="95"/>
      <c r="AC2540" s="355"/>
      <c r="AD2540" s="355"/>
      <c r="AE2540" s="355"/>
      <c r="AF2540" s="94">
        <f t="shared" si="331"/>
        <v>43312</v>
      </c>
      <c r="AG2540" s="185">
        <f t="shared" si="334"/>
        <v>-1.2262142294251044E-2</v>
      </c>
      <c r="AH2540" s="339" t="str">
        <f>VLOOKUP(B2540,'MF PF'!A:B,2)</f>
        <v>FdMgt1</v>
      </c>
      <c r="AI2540" s="358">
        <f t="shared" si="332"/>
        <v>0</v>
      </c>
      <c r="AJ2540" s="94">
        <f t="shared" si="333"/>
        <v>43312</v>
      </c>
    </row>
    <row r="2541" spans="1:53" ht="12.75" customHeight="1">
      <c r="A2541" s="94">
        <v>43343</v>
      </c>
      <c r="B2541" s="358" t="s">
        <v>175</v>
      </c>
      <c r="C2541" s="358" t="s">
        <v>339</v>
      </c>
      <c r="D2541" s="93">
        <v>5872588.5899999999</v>
      </c>
      <c r="F2541" s="93"/>
      <c r="G2541" s="95"/>
      <c r="H2541" s="93"/>
      <c r="I2541" s="93"/>
      <c r="L2541" s="93">
        <f t="shared" si="328"/>
        <v>0</v>
      </c>
      <c r="M2541" s="95" t="e">
        <f t="shared" ca="1" si="329"/>
        <v>#DIV/0!</v>
      </c>
      <c r="N2541" s="95">
        <f>IF(P2541="Hedge Fund",IF(A2541=Summary!$AD$3,M2541-E2541,M2541),IF(A2541=Summary!$AD$3,L2541-D2541,L2541))</f>
        <v>0</v>
      </c>
      <c r="O2541" s="95">
        <f t="shared" si="335"/>
        <v>0</v>
      </c>
      <c r="P2541" s="107" t="s">
        <v>155</v>
      </c>
      <c r="Q2541" s="95">
        <v>0</v>
      </c>
      <c r="R2541" s="95">
        <v>0.15398622000000001</v>
      </c>
      <c r="S2541" s="95"/>
      <c r="T2541" s="95"/>
      <c r="U2541" s="95"/>
      <c r="V2541" s="95"/>
      <c r="W2541" s="95"/>
      <c r="X2541" s="95"/>
      <c r="Y2541" s="95"/>
      <c r="Z2541" s="95"/>
      <c r="AA2541" s="95"/>
      <c r="AB2541" s="95"/>
      <c r="AC2541" s="355"/>
      <c r="AD2541" s="355"/>
      <c r="AE2541" s="355"/>
      <c r="AF2541" s="94">
        <f t="shared" si="331"/>
        <v>43343</v>
      </c>
      <c r="AG2541" s="185">
        <f t="shared" si="334"/>
        <v>-8.024681399268041E-3</v>
      </c>
      <c r="AH2541" s="339" t="str">
        <f>VLOOKUP(B2541,'MF PF'!A:B,2)</f>
        <v>FdMgt1</v>
      </c>
      <c r="AI2541" s="358">
        <f t="shared" si="332"/>
        <v>0</v>
      </c>
      <c r="AJ2541" s="94">
        <f t="shared" si="333"/>
        <v>43343</v>
      </c>
    </row>
    <row r="2542" spans="1:53" ht="12.75" customHeight="1">
      <c r="A2542" s="8">
        <v>43373</v>
      </c>
      <c r="B2542" s="358" t="s">
        <v>175</v>
      </c>
      <c r="C2542" s="92" t="s">
        <v>339</v>
      </c>
      <c r="D2542" s="93">
        <v>5658601</v>
      </c>
      <c r="F2542" s="93"/>
      <c r="G2542" s="95"/>
      <c r="H2542" s="93"/>
      <c r="I2542" s="93"/>
      <c r="L2542" s="93">
        <f t="shared" si="328"/>
        <v>0</v>
      </c>
      <c r="M2542" s="95" t="e">
        <f t="shared" ca="1" si="329"/>
        <v>#DIV/0!</v>
      </c>
      <c r="N2542" s="95">
        <f>IF(P2542="Hedge Fund",IF(A2542=Summary!$AD$3,M2542-E2542,M2542),IF(A2542=Summary!$AD$3,L2542-D2542,L2542))</f>
        <v>0</v>
      </c>
      <c r="O2542" s="95">
        <f t="shared" si="335"/>
        <v>0</v>
      </c>
      <c r="P2542" s="107" t="s">
        <v>155</v>
      </c>
      <c r="Q2542" s="95">
        <v>2.1677330000000002E-2</v>
      </c>
      <c r="R2542" s="95">
        <v>0.11622371000000001</v>
      </c>
      <c r="S2542" s="95"/>
      <c r="T2542" s="95"/>
      <c r="U2542" s="95"/>
      <c r="V2542" s="95"/>
      <c r="W2542" s="95"/>
      <c r="X2542" s="95"/>
      <c r="Y2542" s="95"/>
      <c r="Z2542" s="95"/>
      <c r="AA2542" s="95"/>
      <c r="AB2542" s="95"/>
      <c r="AC2542" s="355"/>
      <c r="AD2542" s="355"/>
      <c r="AE2542" s="355"/>
      <c r="AF2542" s="94">
        <f t="shared" si="331"/>
        <v>43373</v>
      </c>
      <c r="AG2542" s="185">
        <f t="shared" si="334"/>
        <v>-3.6438375806604917E-2</v>
      </c>
      <c r="AH2542" s="339" t="str">
        <f>VLOOKUP(B2542,'MF PF'!A:B,2)</f>
        <v>FdMgt1</v>
      </c>
      <c r="AI2542" s="358">
        <f t="shared" si="332"/>
        <v>0</v>
      </c>
      <c r="AJ2542" s="94">
        <f t="shared" si="333"/>
        <v>43373</v>
      </c>
    </row>
    <row r="2543" spans="1:53" ht="12.75" customHeight="1">
      <c r="A2543" s="8">
        <v>43404</v>
      </c>
      <c r="B2543" s="358" t="s">
        <v>175</v>
      </c>
      <c r="C2543" s="92" t="s">
        <v>339</v>
      </c>
      <c r="D2543" s="93">
        <v>5590017.5975000001</v>
      </c>
      <c r="F2543" s="93">
        <v>5</v>
      </c>
      <c r="G2543" s="93"/>
      <c r="H2543" s="93">
        <v>0</v>
      </c>
      <c r="I2543" s="93">
        <v>0</v>
      </c>
      <c r="J2543" s="93">
        <v>0</v>
      </c>
      <c r="L2543" s="93">
        <f t="shared" si="328"/>
        <v>0</v>
      </c>
      <c r="M2543" s="95" t="e">
        <f t="shared" ca="1" si="329"/>
        <v>#DIV/0!</v>
      </c>
      <c r="N2543" s="95">
        <f>IF(P2543="Hedge Fund",IF(A2543=Summary!$AD$3,M2543-E2543,M2543),IF(A2543=Summary!$AD$3,L2543-D2543,L2543))</f>
        <v>0</v>
      </c>
      <c r="O2543" s="95">
        <f t="shared" si="335"/>
        <v>0</v>
      </c>
      <c r="P2543" s="95" t="s">
        <v>155</v>
      </c>
      <c r="Q2543" s="95">
        <v>2.9409787266424143E-2</v>
      </c>
      <c r="R2543" s="95">
        <v>0.10412075249999994</v>
      </c>
      <c r="S2543" s="95"/>
      <c r="T2543" s="95"/>
      <c r="U2543" s="95"/>
      <c r="V2543" s="95"/>
      <c r="W2543" s="95"/>
      <c r="X2543" s="95"/>
      <c r="Y2543" s="95"/>
      <c r="Z2543" s="95"/>
      <c r="AA2543" s="95"/>
      <c r="AB2543" s="95"/>
      <c r="AC2543" s="355"/>
      <c r="AD2543" s="355"/>
      <c r="AE2543" s="355"/>
      <c r="AF2543" s="94">
        <f t="shared" si="331"/>
        <v>43404</v>
      </c>
      <c r="AG2543" s="185">
        <f t="shared" si="334"/>
        <v>-1.2120204711376537E-2</v>
      </c>
      <c r="AH2543" s="339" t="str">
        <f>VLOOKUP(B2543,'MF PF'!A:B,2)</f>
        <v>FdMgt1</v>
      </c>
      <c r="AI2543" s="358">
        <f t="shared" si="332"/>
        <v>0</v>
      </c>
      <c r="AJ2543" s="94">
        <f t="shared" si="333"/>
        <v>43404</v>
      </c>
    </row>
    <row r="2544" spans="1:53" ht="12.75" customHeight="1">
      <c r="A2544" s="8">
        <v>43434</v>
      </c>
      <c r="B2544" s="358" t="s">
        <v>175</v>
      </c>
      <c r="C2544" s="92" t="s">
        <v>339</v>
      </c>
      <c r="D2544" s="93">
        <v>5587992.8210000005</v>
      </c>
      <c r="F2544" s="93">
        <v>5</v>
      </c>
      <c r="G2544" s="93"/>
      <c r="H2544" s="93">
        <v>0</v>
      </c>
      <c r="I2544" s="93">
        <v>0</v>
      </c>
      <c r="K2544" s="7">
        <v>0</v>
      </c>
      <c r="L2544" s="93">
        <f t="shared" si="328"/>
        <v>0</v>
      </c>
      <c r="M2544" s="95" t="e">
        <f t="shared" ca="1" si="329"/>
        <v>#DIV/0!</v>
      </c>
      <c r="N2544" s="95">
        <f>IF(P2544="Hedge Fund",IF(A2544=Summary!$AD$3,M2544-E2544,M2544),IF(A2544=Summary!$AD$3,L2544-D2544,L2544))</f>
        <v>0</v>
      </c>
      <c r="O2544" s="95">
        <f t="shared" si="335"/>
        <v>0</v>
      </c>
      <c r="P2544" s="95" t="s">
        <v>155</v>
      </c>
      <c r="Q2544" s="95">
        <v>1.48291634840982E-2</v>
      </c>
      <c r="R2544" s="95">
        <v>0.10376343899999997</v>
      </c>
      <c r="S2544" s="95"/>
      <c r="T2544" s="95"/>
      <c r="U2544" s="95"/>
      <c r="V2544" s="95"/>
      <c r="W2544" s="95"/>
      <c r="X2544" s="95"/>
      <c r="Y2544" s="95"/>
      <c r="Z2544" s="95"/>
      <c r="AA2544" s="95"/>
      <c r="AB2544" s="95"/>
      <c r="AC2544" s="355"/>
      <c r="AD2544" s="355"/>
      <c r="AE2544" s="355"/>
      <c r="AF2544" s="94">
        <f t="shared" si="331"/>
        <v>43434</v>
      </c>
      <c r="AG2544" s="185">
        <f t="shared" si="334"/>
        <v>-3.6221290267590689E-4</v>
      </c>
      <c r="AH2544" s="339" t="str">
        <f>VLOOKUP(B2544,'MF PF'!A:B,2)</f>
        <v>FdMgt1</v>
      </c>
      <c r="AI2544" s="358">
        <f t="shared" si="332"/>
        <v>0</v>
      </c>
      <c r="AJ2544" s="94">
        <f t="shared" si="333"/>
        <v>43434</v>
      </c>
    </row>
    <row r="2545" spans="1:53" ht="12.75" customHeight="1">
      <c r="A2545" s="8">
        <v>43465</v>
      </c>
      <c r="B2545" s="358" t="s">
        <v>175</v>
      </c>
      <c r="C2545" s="358" t="s">
        <v>339</v>
      </c>
      <c r="D2545" s="93">
        <v>5671277.4785000002</v>
      </c>
      <c r="F2545" s="93">
        <v>5</v>
      </c>
      <c r="G2545" s="93"/>
      <c r="H2545" s="93">
        <v>0</v>
      </c>
      <c r="I2545" s="93">
        <v>0</v>
      </c>
      <c r="K2545" s="7">
        <v>0</v>
      </c>
      <c r="L2545" s="93">
        <f t="shared" si="328"/>
        <v>0</v>
      </c>
      <c r="M2545" s="95" t="e">
        <f t="shared" ca="1" si="329"/>
        <v>#DIV/0!</v>
      </c>
      <c r="N2545" s="95">
        <f>IF(P2545="Hedge Fund",IF(A2545=Summary!$AD$3,M2545-E2545,M2545),IF(A2545=Summary!$AD$3,L2545-D2545,L2545))</f>
        <v>0</v>
      </c>
      <c r="O2545" s="95">
        <f t="shared" si="335"/>
        <v>0</v>
      </c>
      <c r="P2545" s="95" t="s">
        <v>155</v>
      </c>
      <c r="Q2545" s="95">
        <v>2.24525726114836E-2</v>
      </c>
      <c r="R2545" s="95">
        <v>0.1184607315</v>
      </c>
      <c r="S2545" s="95"/>
      <c r="T2545" s="95"/>
      <c r="U2545" s="95"/>
      <c r="V2545" s="95"/>
      <c r="W2545" s="95"/>
      <c r="X2545" s="95"/>
      <c r="Y2545" s="95"/>
      <c r="Z2545" s="95"/>
      <c r="AA2545" s="95"/>
      <c r="AB2545" s="95"/>
      <c r="AC2545" s="355"/>
      <c r="AD2545" s="355"/>
      <c r="AE2545" s="355"/>
      <c r="AF2545" s="94">
        <f t="shared" si="331"/>
        <v>43465</v>
      </c>
      <c r="AG2545" s="185">
        <f t="shared" si="334"/>
        <v>1.4904216982350338E-2</v>
      </c>
      <c r="AH2545" s="339" t="str">
        <f>VLOOKUP(B2545,'MF PF'!A:B,2)</f>
        <v>FdMgt1</v>
      </c>
      <c r="AI2545" s="358">
        <f t="shared" si="332"/>
        <v>0</v>
      </c>
      <c r="AJ2545" s="94">
        <f t="shared" si="333"/>
        <v>43465</v>
      </c>
    </row>
    <row r="2546" spans="1:53" ht="12.75" customHeight="1">
      <c r="A2546" s="94">
        <v>43496</v>
      </c>
      <c r="B2546" s="358" t="s">
        <v>175</v>
      </c>
      <c r="C2546" s="358" t="s">
        <v>339</v>
      </c>
      <c r="D2546" s="93">
        <v>5813457.1315000001</v>
      </c>
      <c r="F2546" s="93">
        <v>5</v>
      </c>
      <c r="G2546" s="93"/>
      <c r="H2546" s="93">
        <v>0</v>
      </c>
      <c r="I2546" s="93">
        <v>0</v>
      </c>
      <c r="K2546" s="7">
        <v>0</v>
      </c>
      <c r="L2546" s="93">
        <f t="shared" si="328"/>
        <v>0</v>
      </c>
      <c r="M2546" s="95" t="e">
        <f t="shared" ca="1" si="329"/>
        <v>#DIV/0!</v>
      </c>
      <c r="N2546" s="95">
        <f>IF(P2546="Hedge Fund",IF(A2546=Summary!$AD$3,M2546-E2546,M2546),IF(A2546=Summary!$AD$3,L2546-D2546,L2546))</f>
        <v>-5813457.1315000001</v>
      </c>
      <c r="O2546" s="95">
        <f t="shared" si="335"/>
        <v>-5813457.1315000001</v>
      </c>
      <c r="P2546" s="95" t="s">
        <v>155</v>
      </c>
      <c r="Q2546" s="95">
        <v>7.5995184685265097E-3</v>
      </c>
      <c r="R2546" s="95">
        <v>0.14355125849999995</v>
      </c>
      <c r="S2546" s="95"/>
      <c r="T2546" s="95"/>
      <c r="U2546" s="95"/>
      <c r="V2546" s="95"/>
      <c r="W2546" s="95"/>
      <c r="X2546" s="95"/>
      <c r="Y2546" s="95"/>
      <c r="Z2546" s="95"/>
      <c r="AA2546" s="95"/>
      <c r="AB2546" s="95"/>
      <c r="AC2546" s="355"/>
      <c r="AD2546" s="355"/>
      <c r="AE2546" s="355"/>
      <c r="AF2546" s="94">
        <f t="shared" si="331"/>
        <v>43496</v>
      </c>
      <c r="AG2546" s="185">
        <f t="shared" si="334"/>
        <v>2.50701281217518E-2</v>
      </c>
      <c r="AH2546" s="339" t="str">
        <f>VLOOKUP(B2546,'MF PF'!A:B,2)</f>
        <v>FdMgt1</v>
      </c>
      <c r="AI2546" s="358">
        <f t="shared" si="332"/>
        <v>0</v>
      </c>
      <c r="AJ2546" s="94">
        <f t="shared" si="333"/>
        <v>43496</v>
      </c>
    </row>
    <row r="2547" spans="1:53" ht="12.75" customHeight="1">
      <c r="A2547" s="94">
        <v>43087</v>
      </c>
      <c r="B2547" s="358" t="s">
        <v>175</v>
      </c>
      <c r="C2547" s="358" t="s">
        <v>349</v>
      </c>
      <c r="D2547" s="93"/>
      <c r="F2547" s="93"/>
      <c r="G2547" s="95">
        <v>516677</v>
      </c>
      <c r="H2547" s="93"/>
      <c r="I2547" s="93"/>
      <c r="K2547" s="93"/>
      <c r="L2547" s="93">
        <f t="shared" si="328"/>
        <v>516677</v>
      </c>
      <c r="M2547" s="95">
        <f t="shared" ca="1" si="329"/>
        <v>0</v>
      </c>
      <c r="N2547" s="95">
        <f>IF(P2547="Hedge Fund",IF(A2547=Summary!$AD$3,M2547-E2547,M2547),IF(A2547=Summary!$AD$3,L2547-D2547,L2547))</f>
        <v>516677</v>
      </c>
      <c r="O2547" s="95"/>
      <c r="P2547" s="107" t="s">
        <v>155</v>
      </c>
      <c r="Q2547" s="95">
        <v>0</v>
      </c>
      <c r="R2547" s="95">
        <v>0</v>
      </c>
      <c r="S2547" s="95"/>
      <c r="T2547" s="95"/>
      <c r="U2547" s="95"/>
      <c r="V2547" s="95"/>
      <c r="W2547" s="95"/>
      <c r="X2547" s="95"/>
      <c r="Y2547" s="95"/>
      <c r="Z2547" s="95"/>
      <c r="AA2547" s="95"/>
      <c r="AB2547" s="95"/>
      <c r="AC2547" s="355"/>
      <c r="AD2547" s="355"/>
      <c r="AE2547" s="355"/>
      <c r="AF2547" s="94">
        <f t="shared" si="331"/>
        <v>43087</v>
      </c>
      <c r="AG2547" s="185">
        <f t="shared" si="334"/>
        <v>-1</v>
      </c>
      <c r="AH2547" s="339" t="str">
        <f>VLOOKUP(B2547,'MF PF'!A:B,2)</f>
        <v>FdMgt1</v>
      </c>
      <c r="AI2547" s="358">
        <f t="shared" si="332"/>
        <v>0</v>
      </c>
      <c r="AJ2547" s="94">
        <f t="shared" si="333"/>
        <v>43100</v>
      </c>
    </row>
    <row r="2548" spans="1:53" ht="12.75" customHeight="1">
      <c r="A2548" s="94">
        <v>43087</v>
      </c>
      <c r="B2548" s="358" t="s">
        <v>175</v>
      </c>
      <c r="C2548" s="358" t="s">
        <v>349</v>
      </c>
      <c r="D2548" s="93"/>
      <c r="F2548" s="93"/>
      <c r="G2548" s="95">
        <v>4233323</v>
      </c>
      <c r="H2548" s="93"/>
      <c r="I2548" s="93"/>
      <c r="K2548" s="93"/>
      <c r="L2548" s="93">
        <f t="shared" si="328"/>
        <v>4233323</v>
      </c>
      <c r="M2548" s="95">
        <f t="shared" ca="1" si="329"/>
        <v>0</v>
      </c>
      <c r="N2548" s="95">
        <f>IF(P2548="Hedge Fund",IF(A2548=Summary!$AD$3,M2548-E2548,M2548),IF(A2548=Summary!$AD$3,L2548-D2548,L2548))</f>
        <v>4233323</v>
      </c>
      <c r="O2548" s="95"/>
      <c r="P2548" s="107" t="s">
        <v>155</v>
      </c>
      <c r="Q2548" s="95">
        <v>0</v>
      </c>
      <c r="R2548" s="95">
        <v>0</v>
      </c>
      <c r="S2548" s="95"/>
      <c r="T2548" s="95"/>
      <c r="U2548" s="95"/>
      <c r="V2548" s="95"/>
      <c r="W2548" s="95"/>
      <c r="X2548" s="95"/>
      <c r="Y2548" s="95"/>
      <c r="Z2548" s="95"/>
      <c r="AA2548" s="95"/>
      <c r="AB2548" s="95"/>
      <c r="AC2548" s="355"/>
      <c r="AD2548" s="355"/>
      <c r="AE2548" s="355"/>
      <c r="AF2548" s="94">
        <f t="shared" si="331"/>
        <v>43087</v>
      </c>
      <c r="AG2548" s="185" t="e">
        <f t="shared" si="334"/>
        <v>#DIV/0!</v>
      </c>
      <c r="AH2548" s="339" t="str">
        <f>VLOOKUP(B2548,'MF PF'!A:B,2)</f>
        <v>FdMgt1</v>
      </c>
      <c r="AI2548" s="358">
        <f t="shared" si="332"/>
        <v>0</v>
      </c>
      <c r="AJ2548" s="94">
        <f t="shared" si="333"/>
        <v>43100</v>
      </c>
    </row>
    <row r="2549" spans="1:53" ht="12.75" customHeight="1">
      <c r="A2549" s="94">
        <v>43100</v>
      </c>
      <c r="B2549" s="358" t="s">
        <v>175</v>
      </c>
      <c r="C2549" s="358" t="s">
        <v>349</v>
      </c>
      <c r="D2549" s="93">
        <v>5509840.0800000001</v>
      </c>
      <c r="F2549" s="93"/>
      <c r="G2549" s="93"/>
      <c r="H2549" s="93"/>
      <c r="I2549" s="93"/>
      <c r="K2549" s="93"/>
      <c r="L2549" s="93">
        <f t="shared" si="328"/>
        <v>0</v>
      </c>
      <c r="M2549" s="95" t="e">
        <f t="shared" ca="1" si="329"/>
        <v>#DIV/0!</v>
      </c>
      <c r="N2549" s="95">
        <f>IF(P2549="Hedge Fund",IF(A2549=Summary!$AD$3,M2549-E2549,M2549),IF(A2549=Summary!$AD$3,L2549-D2549,L2549))</f>
        <v>0</v>
      </c>
      <c r="O2549" s="95"/>
      <c r="P2549" s="107" t="s">
        <v>155</v>
      </c>
      <c r="Q2549" s="95">
        <v>0</v>
      </c>
      <c r="R2549" s="95">
        <v>0</v>
      </c>
      <c r="S2549" s="95"/>
      <c r="T2549" s="95"/>
      <c r="U2549" s="95"/>
      <c r="V2549" s="95"/>
      <c r="W2549" s="95"/>
      <c r="X2549" s="95"/>
      <c r="Y2549" s="95"/>
      <c r="Z2549" s="95"/>
      <c r="AA2549" s="95"/>
      <c r="AB2549" s="95"/>
      <c r="AC2549" s="355"/>
      <c r="AD2549" s="355"/>
      <c r="AE2549" s="355"/>
      <c r="AF2549" s="94">
        <f t="shared" si="331"/>
        <v>43100</v>
      </c>
      <c r="AG2549" s="185" t="e">
        <f t="shared" si="334"/>
        <v>#DIV/0!</v>
      </c>
      <c r="AH2549" s="339" t="str">
        <f>VLOOKUP(B2549,'MF PF'!A:B,2)</f>
        <v>FdMgt1</v>
      </c>
      <c r="AI2549" s="358">
        <f t="shared" si="332"/>
        <v>0</v>
      </c>
      <c r="AJ2549" s="94">
        <f t="shared" si="333"/>
        <v>43100</v>
      </c>
    </row>
    <row r="2550" spans="1:53" ht="12.75" customHeight="1">
      <c r="A2550" s="94">
        <v>43131</v>
      </c>
      <c r="B2550" s="358" t="s">
        <v>175</v>
      </c>
      <c r="C2550" s="358" t="s">
        <v>349</v>
      </c>
      <c r="D2550" s="93">
        <v>5828083.9800000004</v>
      </c>
      <c r="F2550" s="93"/>
      <c r="G2550" s="93"/>
      <c r="H2550" s="93"/>
      <c r="I2550" s="93"/>
      <c r="L2550" s="93">
        <f t="shared" si="328"/>
        <v>0</v>
      </c>
      <c r="M2550" s="95" t="e">
        <f t="shared" ca="1" si="329"/>
        <v>#DIV/0!</v>
      </c>
      <c r="N2550" s="95">
        <f>IF(P2550="Hedge Fund",IF(A2550=Summary!$AD$3,M2550-E2550,M2550),IF(A2550=Summary!$AD$3,L2550-D2550,L2550))</f>
        <v>0</v>
      </c>
      <c r="O2550" s="95"/>
      <c r="P2550" s="107" t="s">
        <v>155</v>
      </c>
      <c r="Q2550" s="95"/>
      <c r="R2550" s="95">
        <v>0</v>
      </c>
      <c r="S2550" s="95"/>
      <c r="T2550" s="95"/>
      <c r="U2550" s="95"/>
      <c r="V2550" s="95"/>
      <c r="W2550" s="95"/>
      <c r="X2550" s="95"/>
      <c r="Y2550" s="95"/>
      <c r="Z2550" s="95"/>
      <c r="AA2550" s="95"/>
      <c r="AB2550" s="95"/>
      <c r="AC2550" s="355"/>
      <c r="AD2550" s="355"/>
      <c r="AE2550" s="355"/>
      <c r="AF2550" s="94">
        <f t="shared" si="331"/>
        <v>43131</v>
      </c>
      <c r="AG2550" s="185">
        <f t="shared" si="334"/>
        <v>5.775918999086449E-2</v>
      </c>
      <c r="AH2550" s="339" t="str">
        <f>VLOOKUP(B2550,'MF PF'!A:B,2)</f>
        <v>FdMgt1</v>
      </c>
      <c r="AI2550" s="358">
        <f t="shared" si="332"/>
        <v>0</v>
      </c>
      <c r="AJ2550" s="94">
        <f t="shared" si="333"/>
        <v>43131</v>
      </c>
    </row>
    <row r="2551" spans="1:53" ht="12.75" customHeight="1">
      <c r="A2551" s="94">
        <v>43159</v>
      </c>
      <c r="B2551" s="358" t="s">
        <v>175</v>
      </c>
      <c r="C2551" s="358" t="s">
        <v>349</v>
      </c>
      <c r="D2551" s="93">
        <v>5854046.4100000001</v>
      </c>
      <c r="F2551" s="93"/>
      <c r="G2551" s="93"/>
      <c r="H2551" s="93"/>
      <c r="I2551" s="93"/>
      <c r="L2551" s="93">
        <f t="shared" si="328"/>
        <v>0</v>
      </c>
      <c r="M2551" s="95" t="e">
        <f t="shared" ca="1" si="329"/>
        <v>#DIV/0!</v>
      </c>
      <c r="N2551" s="95">
        <f>IF(P2551="Hedge Fund",IF(A2551=Summary!$AD$3,M2551-E2551,M2551),IF(A2551=Summary!$AD$3,L2551-D2551,L2551))</f>
        <v>0</v>
      </c>
      <c r="O2551" s="95"/>
      <c r="P2551" s="107" t="s">
        <v>155</v>
      </c>
      <c r="Q2551" s="95"/>
      <c r="R2551" s="95">
        <v>0</v>
      </c>
      <c r="S2551" s="95"/>
      <c r="T2551" s="95"/>
      <c r="U2551" s="95"/>
      <c r="V2551" s="95"/>
      <c r="W2551" s="95"/>
      <c r="X2551" s="95"/>
      <c r="Y2551" s="95"/>
      <c r="Z2551" s="95"/>
      <c r="AA2551" s="95"/>
      <c r="AB2551" s="95"/>
      <c r="AC2551" s="355"/>
      <c r="AD2551" s="355"/>
      <c r="AE2551" s="355"/>
      <c r="AF2551" s="94">
        <f t="shared" si="331"/>
        <v>43159</v>
      </c>
      <c r="AG2551" s="185">
        <f t="shared" si="334"/>
        <v>4.4547110318062799E-3</v>
      </c>
      <c r="AH2551" s="339" t="str">
        <f>VLOOKUP(B2551,'MF PF'!A:B,2)</f>
        <v>FdMgt1</v>
      </c>
      <c r="AI2551" s="358">
        <f t="shared" si="332"/>
        <v>0</v>
      </c>
      <c r="AJ2551" s="94">
        <f t="shared" si="333"/>
        <v>43159</v>
      </c>
    </row>
    <row r="2552" spans="1:53" ht="12.75" customHeight="1">
      <c r="A2552" s="94">
        <v>43190</v>
      </c>
      <c r="B2552" s="358" t="s">
        <v>175</v>
      </c>
      <c r="C2552" s="358" t="s">
        <v>349</v>
      </c>
      <c r="D2552" s="93">
        <v>5925620.6399999997</v>
      </c>
      <c r="F2552" s="93"/>
      <c r="G2552" s="93"/>
      <c r="H2552" s="93"/>
      <c r="I2552" s="93"/>
      <c r="L2552" s="93">
        <f t="shared" si="328"/>
        <v>0</v>
      </c>
      <c r="M2552" s="95" t="e">
        <f t="shared" ca="1" si="329"/>
        <v>#DIV/0!</v>
      </c>
      <c r="N2552" s="95">
        <f>IF(P2552="Hedge Fund",IF(A2552=Summary!$AD$3,M2552-E2552,M2552),IF(A2552=Summary!$AD$3,L2552-D2552,L2552))</f>
        <v>0</v>
      </c>
      <c r="O2552" s="95"/>
      <c r="P2552" s="107" t="s">
        <v>155</v>
      </c>
      <c r="Q2552" s="95">
        <v>0</v>
      </c>
      <c r="R2552" s="95">
        <v>0</v>
      </c>
      <c r="S2552" s="95"/>
      <c r="T2552" s="95"/>
      <c r="U2552" s="95"/>
      <c r="V2552" s="95"/>
      <c r="W2552" s="95"/>
      <c r="X2552" s="95"/>
      <c r="Y2552" s="95"/>
      <c r="Z2552" s="95"/>
      <c r="AA2552" s="95"/>
      <c r="AB2552" s="95"/>
      <c r="AC2552" s="355"/>
      <c r="AD2552" s="355"/>
      <c r="AE2552" s="355"/>
      <c r="AF2552" s="94">
        <f t="shared" si="331"/>
        <v>43190</v>
      </c>
      <c r="AG2552" s="185">
        <f t="shared" si="334"/>
        <v>1.2226454145928045E-2</v>
      </c>
      <c r="AH2552" s="339" t="str">
        <f>VLOOKUP(B2552,'MF PF'!A:B,2)</f>
        <v>FdMgt1</v>
      </c>
      <c r="AI2552" s="358">
        <f t="shared" si="332"/>
        <v>0</v>
      </c>
      <c r="AJ2552" s="94">
        <f t="shared" si="333"/>
        <v>43190</v>
      </c>
      <c r="AK2552" s="358"/>
      <c r="AL2552" s="358"/>
      <c r="AM2552" s="358"/>
      <c r="AN2552" s="358"/>
      <c r="AO2552" s="358"/>
      <c r="AP2552" s="358"/>
      <c r="AQ2552" s="358"/>
      <c r="AR2552" s="358"/>
      <c r="AS2552" s="358"/>
      <c r="AT2552" s="358"/>
      <c r="AU2552" s="358"/>
      <c r="AV2552" s="358"/>
      <c r="AW2552" s="358"/>
      <c r="AX2552" s="358"/>
      <c r="AY2552" s="358"/>
      <c r="AZ2552" s="358"/>
      <c r="BA2552" s="358"/>
    </row>
    <row r="2553" spans="1:53" ht="12.75" customHeight="1">
      <c r="A2553" s="94">
        <v>43220</v>
      </c>
      <c r="B2553" s="358" t="s">
        <v>175</v>
      </c>
      <c r="C2553" s="358" t="s">
        <v>349</v>
      </c>
      <c r="D2553" s="93">
        <v>5871742.2699999996</v>
      </c>
      <c r="F2553" s="93"/>
      <c r="G2553" s="93"/>
      <c r="H2553" s="93"/>
      <c r="I2553" s="93"/>
      <c r="L2553" s="93">
        <f t="shared" si="328"/>
        <v>0</v>
      </c>
      <c r="M2553" s="95" t="e">
        <f t="shared" ca="1" si="329"/>
        <v>#DIV/0!</v>
      </c>
      <c r="N2553" s="95">
        <f>IF(P2553="Hedge Fund",IF(A2553=Summary!$AD$3,M2553-E2553,M2553),IF(A2553=Summary!$AD$3,L2553-D2553,L2553))</f>
        <v>0</v>
      </c>
      <c r="O2553" s="95"/>
      <c r="P2553" s="107" t="s">
        <v>155</v>
      </c>
      <c r="Q2553" s="95"/>
      <c r="R2553" s="95">
        <v>0</v>
      </c>
      <c r="S2553" s="95"/>
      <c r="T2553" s="95"/>
      <c r="U2553" s="95"/>
      <c r="V2553" s="95"/>
      <c r="W2553" s="95"/>
      <c r="X2553" s="95"/>
      <c r="Y2553" s="95"/>
      <c r="Z2553" s="95"/>
      <c r="AA2553" s="95"/>
      <c r="AB2553" s="95"/>
      <c r="AC2553" s="355"/>
      <c r="AD2553" s="355"/>
      <c r="AE2553" s="355"/>
      <c r="AF2553" s="94">
        <f t="shared" si="331"/>
        <v>43220</v>
      </c>
      <c r="AG2553" s="185">
        <f t="shared" si="334"/>
        <v>-9.092443352904267E-3</v>
      </c>
      <c r="AH2553" s="339" t="str">
        <f>VLOOKUP(B2553,'MF PF'!A:B,2)</f>
        <v>FdMgt1</v>
      </c>
      <c r="AI2553" s="358">
        <f t="shared" si="332"/>
        <v>0</v>
      </c>
      <c r="AJ2553" s="94">
        <f t="shared" si="333"/>
        <v>43220</v>
      </c>
    </row>
    <row r="2554" spans="1:53" ht="12.75" customHeight="1">
      <c r="A2554" s="94">
        <v>43251</v>
      </c>
      <c r="B2554" s="358" t="s">
        <v>175</v>
      </c>
      <c r="C2554" s="358" t="s">
        <v>349</v>
      </c>
      <c r="D2554" s="93">
        <v>5943804.2400000002</v>
      </c>
      <c r="F2554" s="93"/>
      <c r="G2554" s="93"/>
      <c r="H2554" s="93"/>
      <c r="I2554" s="93"/>
      <c r="L2554" s="93">
        <f t="shared" si="328"/>
        <v>0</v>
      </c>
      <c r="M2554" s="95" t="e">
        <f t="shared" ca="1" si="329"/>
        <v>#DIV/0!</v>
      </c>
      <c r="N2554" s="95">
        <f>IF(P2554="Hedge Fund",IF(A2554=Summary!$AD$3,M2554-E2554,M2554),IF(A2554=Summary!$AD$3,L2554-D2554,L2554))</f>
        <v>0</v>
      </c>
      <c r="O2554" s="95"/>
      <c r="P2554" s="107" t="s">
        <v>155</v>
      </c>
      <c r="Q2554" s="95"/>
      <c r="R2554" s="95">
        <v>0</v>
      </c>
      <c r="S2554" s="95"/>
      <c r="T2554" s="95"/>
      <c r="U2554" s="95"/>
      <c r="V2554" s="95"/>
      <c r="W2554" s="95"/>
      <c r="X2554" s="95"/>
      <c r="Y2554" s="95"/>
      <c r="Z2554" s="95"/>
      <c r="AA2554" s="95"/>
      <c r="AB2554" s="95"/>
      <c r="AC2554" s="355"/>
      <c r="AD2554" s="355"/>
      <c r="AE2554" s="355"/>
      <c r="AF2554" s="94">
        <f t="shared" si="331"/>
        <v>43251</v>
      </c>
      <c r="AG2554" s="185">
        <f t="shared" si="334"/>
        <v>1.2272672519735961E-2</v>
      </c>
      <c r="AH2554" s="339" t="str">
        <f>VLOOKUP(B2554,'MF PF'!A:B,2)</f>
        <v>FdMgt1</v>
      </c>
      <c r="AI2554" s="358">
        <f t="shared" si="332"/>
        <v>0</v>
      </c>
      <c r="AJ2554" s="94">
        <f t="shared" si="333"/>
        <v>43251</v>
      </c>
    </row>
    <row r="2555" spans="1:53" ht="12.75" customHeight="1">
      <c r="A2555" s="8">
        <v>43281</v>
      </c>
      <c r="B2555" s="358" t="s">
        <v>175</v>
      </c>
      <c r="C2555" s="92" t="s">
        <v>349</v>
      </c>
      <c r="D2555" s="93">
        <v>5925169.9400000004</v>
      </c>
      <c r="E2555" s="95"/>
      <c r="F2555" s="93"/>
      <c r="G2555" s="93"/>
      <c r="H2555" s="93"/>
      <c r="I2555" s="93"/>
      <c r="K2555" s="93"/>
      <c r="L2555" s="93">
        <f t="shared" si="328"/>
        <v>0</v>
      </c>
      <c r="M2555" s="95" t="e">
        <f t="shared" ca="1" si="329"/>
        <v>#DIV/0!</v>
      </c>
      <c r="N2555" s="95">
        <f>IF(P2555="Hedge Fund",IF(A2555=Summary!$AD$3,M2555-E2555,M2555),IF(A2555=Summary!$AD$3,L2555-D2555,L2555))</f>
        <v>0</v>
      </c>
      <c r="O2555" s="95"/>
      <c r="P2555" s="107" t="s">
        <v>155</v>
      </c>
      <c r="Q2555" s="95">
        <v>0</v>
      </c>
      <c r="R2555" s="95">
        <v>0</v>
      </c>
      <c r="S2555" s="95"/>
      <c r="T2555" s="95"/>
      <c r="U2555" s="95"/>
      <c r="V2555" s="95"/>
      <c r="W2555" s="95"/>
      <c r="X2555" s="95"/>
      <c r="Y2555" s="95"/>
      <c r="Z2555" s="95"/>
      <c r="AA2555" s="95"/>
      <c r="AB2555" s="95"/>
      <c r="AC2555" s="355"/>
      <c r="AD2555" s="355"/>
      <c r="AE2555" s="355"/>
      <c r="AF2555" s="94">
        <f t="shared" si="331"/>
        <v>43281</v>
      </c>
      <c r="AG2555" s="185">
        <f t="shared" si="334"/>
        <v>-3.1350796977122064E-3</v>
      </c>
      <c r="AH2555" s="339" t="str">
        <f>VLOOKUP(B2555,'MF PF'!A:B,2)</f>
        <v>FdMgt1</v>
      </c>
      <c r="AI2555" s="358">
        <f t="shared" si="332"/>
        <v>0</v>
      </c>
      <c r="AJ2555" s="94">
        <f t="shared" si="333"/>
        <v>43281</v>
      </c>
    </row>
    <row r="2556" spans="1:53" ht="12.75" customHeight="1">
      <c r="A2556" s="94">
        <v>43312</v>
      </c>
      <c r="B2556" s="358" t="s">
        <v>175</v>
      </c>
      <c r="C2556" s="92" t="s">
        <v>349</v>
      </c>
      <c r="D2556" s="93">
        <v>5850666.5700000003</v>
      </c>
      <c r="F2556" s="93"/>
      <c r="G2556" s="93"/>
      <c r="H2556" s="93"/>
      <c r="I2556" s="93"/>
      <c r="K2556" s="93"/>
      <c r="L2556" s="93">
        <f t="shared" si="328"/>
        <v>0</v>
      </c>
      <c r="M2556" s="95" t="e">
        <f t="shared" ca="1" si="329"/>
        <v>#DIV/0!</v>
      </c>
      <c r="N2556" s="95">
        <f>IF(P2556="Hedge Fund",IF(A2556=Summary!$AD$3,M2556-E2556,M2556),IF(A2556=Summary!$AD$3,L2556-D2556,L2556))</f>
        <v>0</v>
      </c>
      <c r="O2556" s="95"/>
      <c r="P2556" s="107" t="s">
        <v>155</v>
      </c>
      <c r="Q2556" s="95">
        <v>0</v>
      </c>
      <c r="R2556" s="95">
        <v>0</v>
      </c>
      <c r="S2556" s="95"/>
      <c r="T2556" s="95"/>
      <c r="U2556" s="95"/>
      <c r="V2556" s="95"/>
      <c r="W2556" s="95"/>
      <c r="X2556" s="95"/>
      <c r="Y2556" s="95"/>
      <c r="Z2556" s="95"/>
      <c r="AA2556" s="95"/>
      <c r="AB2556" s="95"/>
      <c r="AC2556" s="355"/>
      <c r="AD2556" s="355"/>
      <c r="AE2556" s="355"/>
      <c r="AF2556" s="94">
        <f t="shared" si="331"/>
        <v>43312</v>
      </c>
      <c r="AG2556" s="185">
        <f t="shared" si="334"/>
        <v>-1.2574047791783727E-2</v>
      </c>
      <c r="AH2556" s="339" t="str">
        <f>VLOOKUP(B2556,'MF PF'!A:B,2)</f>
        <v>FdMgt1</v>
      </c>
      <c r="AI2556" s="358">
        <f t="shared" si="332"/>
        <v>0</v>
      </c>
      <c r="AJ2556" s="94">
        <f t="shared" si="333"/>
        <v>43312</v>
      </c>
    </row>
    <row r="2557" spans="1:53" ht="12.75" customHeight="1">
      <c r="A2557" s="8">
        <v>43343</v>
      </c>
      <c r="B2557" s="358" t="s">
        <v>175</v>
      </c>
      <c r="C2557" s="92" t="s">
        <v>349</v>
      </c>
      <c r="D2557" s="93">
        <v>5782592.3099999996</v>
      </c>
      <c r="F2557" s="93"/>
      <c r="G2557" s="93"/>
      <c r="H2557" s="93"/>
      <c r="I2557" s="93"/>
      <c r="L2557" s="93">
        <f t="shared" si="328"/>
        <v>0</v>
      </c>
      <c r="M2557" s="95" t="e">
        <f t="shared" ca="1" si="329"/>
        <v>#DIV/0!</v>
      </c>
      <c r="N2557" s="95">
        <f>IF(P2557="Hedge Fund",IF(A2557=Summary!$AD$3,M2557-E2557,M2557),IF(A2557=Summary!$AD$3,L2557-D2557,L2557))</f>
        <v>0</v>
      </c>
      <c r="O2557" s="95"/>
      <c r="P2557" s="107" t="s">
        <v>155</v>
      </c>
      <c r="Q2557" s="95">
        <v>0</v>
      </c>
      <c r="R2557" s="95">
        <v>0</v>
      </c>
      <c r="S2557" s="95"/>
      <c r="T2557" s="95"/>
      <c r="U2557" s="95"/>
      <c r="V2557" s="95"/>
      <c r="W2557" s="95"/>
      <c r="X2557" s="95"/>
      <c r="Y2557" s="95"/>
      <c r="Z2557" s="95"/>
      <c r="AA2557" s="95"/>
      <c r="AB2557" s="95"/>
      <c r="AC2557" s="355"/>
      <c r="AD2557" s="355"/>
      <c r="AE2557" s="355"/>
      <c r="AF2557" s="94">
        <f t="shared" si="331"/>
        <v>43343</v>
      </c>
      <c r="AG2557" s="185">
        <f t="shared" si="334"/>
        <v>-1.1635299873190452E-2</v>
      </c>
      <c r="AH2557" s="339" t="str">
        <f>VLOOKUP(B2557,'MF PF'!A:B,2)</f>
        <v>FdMgt1</v>
      </c>
      <c r="AI2557" s="358">
        <f t="shared" si="332"/>
        <v>0</v>
      </c>
      <c r="AJ2557" s="94">
        <f t="shared" si="333"/>
        <v>43343</v>
      </c>
    </row>
    <row r="2558" spans="1:53" ht="12.75" customHeight="1">
      <c r="A2558" s="8">
        <v>43373</v>
      </c>
      <c r="B2558" s="358" t="s">
        <v>175</v>
      </c>
      <c r="C2558" s="92" t="s">
        <v>349</v>
      </c>
      <c r="D2558" s="93">
        <v>5571364.2599999998</v>
      </c>
      <c r="F2558" s="93"/>
      <c r="G2558" s="93"/>
      <c r="H2558" s="93"/>
      <c r="I2558" s="93"/>
      <c r="K2558" s="93"/>
      <c r="L2558" s="93">
        <f t="shared" si="328"/>
        <v>0</v>
      </c>
      <c r="M2558" s="95" t="e">
        <f t="shared" ca="1" si="329"/>
        <v>#DIV/0!</v>
      </c>
      <c r="N2558" s="95">
        <f>IF(P2558="Hedge Fund",IF(A2558=Summary!$AD$3,M2558-E2558,M2558),IF(A2558=Summary!$AD$3,L2558-D2558,L2558))</f>
        <v>0</v>
      </c>
      <c r="O2558" s="95"/>
      <c r="P2558" s="107" t="s">
        <v>155</v>
      </c>
      <c r="Q2558" s="95">
        <v>0</v>
      </c>
      <c r="R2558" s="95">
        <v>0</v>
      </c>
      <c r="S2558" s="95"/>
      <c r="T2558" s="95"/>
      <c r="U2558" s="95"/>
      <c r="V2558" s="95"/>
      <c r="W2558" s="95"/>
      <c r="X2558" s="95"/>
      <c r="Y2558" s="95"/>
      <c r="Z2558" s="95"/>
      <c r="AA2558" s="95"/>
      <c r="AB2558" s="95"/>
      <c r="AC2558" s="355"/>
      <c r="AD2558" s="355"/>
      <c r="AE2558" s="355"/>
      <c r="AF2558" s="94">
        <f t="shared" si="331"/>
        <v>43373</v>
      </c>
      <c r="AG2558" s="185">
        <f t="shared" si="334"/>
        <v>-3.6528262529370692E-2</v>
      </c>
      <c r="AH2558" s="339" t="str">
        <f>VLOOKUP(B2558,'MF PF'!A:B,2)</f>
        <v>FdMgt1</v>
      </c>
      <c r="AI2558" s="358">
        <f t="shared" si="332"/>
        <v>0</v>
      </c>
      <c r="AJ2558" s="94">
        <f t="shared" si="333"/>
        <v>43373</v>
      </c>
    </row>
    <row r="2559" spans="1:53" ht="12.75" customHeight="1">
      <c r="A2559" s="8">
        <v>43404</v>
      </c>
      <c r="B2559" s="358" t="s">
        <v>175</v>
      </c>
      <c r="C2559" s="92" t="s">
        <v>349</v>
      </c>
      <c r="D2559" s="93">
        <v>5479815.54</v>
      </c>
      <c r="F2559" s="93">
        <v>4.75</v>
      </c>
      <c r="G2559" s="93"/>
      <c r="H2559" s="93">
        <v>0</v>
      </c>
      <c r="I2559" s="93">
        <v>0</v>
      </c>
      <c r="J2559" s="93">
        <v>0</v>
      </c>
      <c r="K2559" s="93"/>
      <c r="L2559" s="93">
        <f t="shared" si="328"/>
        <v>0</v>
      </c>
      <c r="M2559" s="95" t="e">
        <f t="shared" ca="1" si="329"/>
        <v>#DIV/0!</v>
      </c>
      <c r="N2559" s="95">
        <f>IF(P2559="Hedge Fund",IF(A2559=Summary!$AD$3,M2559-E2559,M2559),IF(A2559=Summary!$AD$3,L2559-D2559,L2559))</f>
        <v>0</v>
      </c>
      <c r="O2559" s="95"/>
      <c r="P2559" s="95" t="s">
        <v>155</v>
      </c>
      <c r="Q2559" s="95">
        <v>0</v>
      </c>
      <c r="R2559" s="95">
        <v>0</v>
      </c>
      <c r="S2559" s="95"/>
      <c r="T2559" s="95"/>
      <c r="U2559" s="95"/>
      <c r="V2559" s="95"/>
      <c r="W2559" s="95"/>
      <c r="X2559" s="95"/>
      <c r="Y2559" s="95"/>
      <c r="Z2559" s="95"/>
      <c r="AA2559" s="95"/>
      <c r="AB2559" s="95"/>
      <c r="AC2559" s="355"/>
      <c r="AD2559" s="355"/>
      <c r="AE2559" s="355"/>
      <c r="AF2559" s="94">
        <f t="shared" si="331"/>
        <v>43404</v>
      </c>
      <c r="AG2559" s="185">
        <f t="shared" si="334"/>
        <v>-1.6432011214430942E-2</v>
      </c>
      <c r="AH2559" s="339" t="str">
        <f>VLOOKUP(B2559,'MF PF'!A:B,2)</f>
        <v>FdMgt1</v>
      </c>
      <c r="AI2559" s="358">
        <f t="shared" si="332"/>
        <v>0</v>
      </c>
      <c r="AJ2559" s="94">
        <f t="shared" si="333"/>
        <v>43404</v>
      </c>
    </row>
    <row r="2560" spans="1:53" ht="12.75" customHeight="1">
      <c r="A2560" s="8">
        <v>43434</v>
      </c>
      <c r="B2560" s="358" t="s">
        <v>175</v>
      </c>
      <c r="C2560" s="92" t="s">
        <v>349</v>
      </c>
      <c r="D2560" s="93">
        <v>5463700.9299999997</v>
      </c>
      <c r="F2560" s="93">
        <v>4.75</v>
      </c>
      <c r="G2560" s="93"/>
      <c r="H2560" s="93">
        <v>0</v>
      </c>
      <c r="I2560" s="93">
        <v>0</v>
      </c>
      <c r="K2560" s="93">
        <v>0</v>
      </c>
      <c r="L2560" s="93">
        <f t="shared" si="328"/>
        <v>0</v>
      </c>
      <c r="M2560" s="95" t="e">
        <f t="shared" ca="1" si="329"/>
        <v>#DIV/0!</v>
      </c>
      <c r="N2560" s="95">
        <f>IF(P2560="Hedge Fund",IF(A2560=Summary!$AD$3,M2560-E2560,M2560),IF(A2560=Summary!$AD$3,L2560-D2560,L2560))</f>
        <v>0</v>
      </c>
      <c r="O2560" s="95"/>
      <c r="P2560" s="95" t="s">
        <v>155</v>
      </c>
      <c r="Q2560" s="95">
        <v>0</v>
      </c>
      <c r="R2560" s="95">
        <v>0</v>
      </c>
      <c r="S2560" s="95"/>
      <c r="T2560" s="95"/>
      <c r="U2560" s="95"/>
      <c r="V2560" s="95"/>
      <c r="W2560" s="95"/>
      <c r="X2560" s="95"/>
      <c r="Y2560" s="95"/>
      <c r="Z2560" s="95"/>
      <c r="AA2560" s="95"/>
      <c r="AB2560" s="95"/>
      <c r="AC2560" s="355"/>
      <c r="AD2560" s="355"/>
      <c r="AE2560" s="355"/>
      <c r="AF2560" s="94">
        <f t="shared" si="331"/>
        <v>43434</v>
      </c>
      <c r="AG2560" s="185">
        <f t="shared" si="334"/>
        <v>-2.9407212491682211E-3</v>
      </c>
      <c r="AH2560" s="339" t="str">
        <f>VLOOKUP(B2560,'MF PF'!A:B,2)</f>
        <v>FdMgt1</v>
      </c>
      <c r="AI2560" s="358">
        <f t="shared" si="332"/>
        <v>0</v>
      </c>
      <c r="AJ2560" s="94">
        <f t="shared" si="333"/>
        <v>43434</v>
      </c>
    </row>
    <row r="2561" spans="1:53" ht="12.75" customHeight="1">
      <c r="A2561" s="94">
        <v>43465</v>
      </c>
      <c r="B2561" s="358" t="s">
        <v>175</v>
      </c>
      <c r="C2561" s="92" t="s">
        <v>349</v>
      </c>
      <c r="D2561" s="93">
        <v>5606862.0599999996</v>
      </c>
      <c r="E2561" s="95"/>
      <c r="F2561" s="93">
        <v>4.75</v>
      </c>
      <c r="G2561" s="93"/>
      <c r="H2561" s="93">
        <v>0</v>
      </c>
      <c r="I2561" s="93">
        <v>0</v>
      </c>
      <c r="K2561" s="93">
        <v>0</v>
      </c>
      <c r="L2561" s="93">
        <f t="shared" si="328"/>
        <v>0</v>
      </c>
      <c r="M2561" s="95" t="e">
        <f t="shared" ca="1" si="329"/>
        <v>#DIV/0!</v>
      </c>
      <c r="N2561" s="95">
        <f>IF(P2561="Hedge Fund",IF(A2561=Summary!$AD$3,M2561-E2561,M2561),IF(A2561=Summary!$AD$3,L2561-D2561,L2561))</f>
        <v>0</v>
      </c>
      <c r="O2561" s="95"/>
      <c r="P2561" s="95" t="s">
        <v>155</v>
      </c>
      <c r="Q2561" s="95">
        <v>0</v>
      </c>
      <c r="R2561" s="95">
        <v>0</v>
      </c>
      <c r="S2561" s="95"/>
      <c r="T2561" s="95"/>
      <c r="U2561" s="95"/>
      <c r="V2561" s="95"/>
      <c r="W2561" s="95"/>
      <c r="X2561" s="95"/>
      <c r="Y2561" s="95"/>
      <c r="Z2561" s="95"/>
      <c r="AA2561" s="95"/>
      <c r="AB2561" s="95"/>
      <c r="AC2561" s="355"/>
      <c r="AD2561" s="355"/>
      <c r="AE2561" s="355"/>
      <c r="AF2561" s="94">
        <f t="shared" si="331"/>
        <v>43465</v>
      </c>
      <c r="AG2561" s="185">
        <f t="shared" si="334"/>
        <v>2.6202226628828207E-2</v>
      </c>
      <c r="AH2561" s="339" t="str">
        <f>VLOOKUP(B2561,'MF PF'!A:B,2)</f>
        <v>FdMgt1</v>
      </c>
      <c r="AI2561" s="358">
        <f t="shared" si="332"/>
        <v>0</v>
      </c>
      <c r="AJ2561" s="94">
        <f t="shared" si="333"/>
        <v>43465</v>
      </c>
    </row>
    <row r="2562" spans="1:53" ht="12.75" customHeight="1">
      <c r="A2562" s="8">
        <v>43496</v>
      </c>
      <c r="B2562" s="358" t="s">
        <v>175</v>
      </c>
      <c r="C2562" s="92" t="s">
        <v>349</v>
      </c>
      <c r="D2562" s="93">
        <v>5730070.1299999999</v>
      </c>
      <c r="F2562" s="93">
        <v>4.75</v>
      </c>
      <c r="G2562" s="93"/>
      <c r="H2562" s="93">
        <v>0</v>
      </c>
      <c r="I2562" s="93">
        <v>0</v>
      </c>
      <c r="K2562" s="93">
        <v>0</v>
      </c>
      <c r="L2562" s="93">
        <f t="shared" si="328"/>
        <v>0</v>
      </c>
      <c r="M2562" s="95" t="e">
        <f t="shared" ca="1" si="329"/>
        <v>#DIV/0!</v>
      </c>
      <c r="N2562" s="95">
        <f>IF(P2562="Hedge Fund",IF(A2562=Summary!$AD$3,M2562-E2562,M2562),IF(A2562=Summary!$AD$3,L2562-D2562,L2562))</f>
        <v>-5730070.1299999999</v>
      </c>
      <c r="O2562" s="95"/>
      <c r="P2562" s="95" t="s">
        <v>155</v>
      </c>
      <c r="Q2562" s="95">
        <v>0</v>
      </c>
      <c r="R2562" s="95">
        <v>0</v>
      </c>
      <c r="S2562" s="95"/>
      <c r="T2562" s="95"/>
      <c r="U2562" s="95"/>
      <c r="V2562" s="95"/>
      <c r="W2562" s="95"/>
      <c r="X2562" s="95"/>
      <c r="Y2562" s="95"/>
      <c r="Z2562" s="95"/>
      <c r="AA2562" s="95"/>
      <c r="AB2562" s="95"/>
      <c r="AC2562" s="355"/>
      <c r="AD2562" s="355"/>
      <c r="AE2562" s="355"/>
      <c r="AF2562" s="94">
        <f t="shared" si="331"/>
        <v>43496</v>
      </c>
      <c r="AG2562" s="185">
        <f t="shared" si="334"/>
        <v>2.1974514208041862E-2</v>
      </c>
      <c r="AH2562" s="339" t="str">
        <f>VLOOKUP(B2562,'MF PF'!A:B,2)</f>
        <v>FdMgt1</v>
      </c>
      <c r="AI2562" s="358">
        <f t="shared" si="332"/>
        <v>0</v>
      </c>
      <c r="AJ2562" s="94">
        <f t="shared" si="333"/>
        <v>43496</v>
      </c>
    </row>
    <row r="2563" spans="1:53" ht="12.75" customHeight="1">
      <c r="A2563" s="8">
        <v>43252</v>
      </c>
      <c r="B2563" s="358" t="s">
        <v>273</v>
      </c>
      <c r="C2563" s="92" t="s">
        <v>299</v>
      </c>
      <c r="D2563" s="93"/>
      <c r="F2563" s="93"/>
      <c r="G2563" s="93">
        <v>3079187.66</v>
      </c>
      <c r="H2563" s="93"/>
      <c r="I2563" s="93"/>
      <c r="L2563" s="93">
        <f t="shared" ref="L2563:L2626" si="336">G2563+H2563+I2563</f>
        <v>3079187.66</v>
      </c>
      <c r="M2563" s="95">
        <f t="shared" ref="M2563:M2626" ca="1" si="337">IF(A2563&gt;INDIRECT("A"&amp;ROW()-1),I2563/K2563,E2563)</f>
        <v>0</v>
      </c>
      <c r="N2563" s="95">
        <f>IF(P2563="Hedge Fund",IF(A2563=Summary!$AD$3,M2563-E2563,M2563),IF(A2563=Summary!$AD$3,L2563-D2563,L2563))</f>
        <v>3079187.66</v>
      </c>
      <c r="O2563" s="95">
        <f t="shared" ref="O2563:O2594" si="338">N2563</f>
        <v>3079187.66</v>
      </c>
      <c r="P2563" s="107" t="s">
        <v>155</v>
      </c>
      <c r="Q2563" s="95">
        <v>0</v>
      </c>
      <c r="R2563" s="95">
        <v>0</v>
      </c>
      <c r="S2563" s="95"/>
      <c r="T2563" s="95"/>
      <c r="U2563" s="95"/>
      <c r="V2563" s="95"/>
      <c r="W2563" s="95"/>
      <c r="X2563" s="95"/>
      <c r="Y2563" s="95"/>
      <c r="Z2563" s="95"/>
      <c r="AA2563" s="95"/>
      <c r="AB2563" s="95"/>
      <c r="AC2563" s="355"/>
      <c r="AD2563" s="355"/>
      <c r="AE2563" s="355"/>
      <c r="AF2563" s="94">
        <f t="shared" ref="AF2563:AF2626" si="339">A2563</f>
        <v>43252</v>
      </c>
      <c r="AG2563" s="185">
        <f t="shared" si="334"/>
        <v>-1</v>
      </c>
      <c r="AH2563" s="339" t="str">
        <f>VLOOKUP(B2563,'MF PF'!A:B,2)</f>
        <v>FdMgt1</v>
      </c>
      <c r="AI2563" s="358">
        <f t="shared" ref="AI2563:AI2626" si="340">AF2563-A2563</f>
        <v>0</v>
      </c>
      <c r="AJ2563" s="94">
        <f t="shared" ref="AJ2563:AJ2626" si="341">EOMONTH(A2563,0)</f>
        <v>43281</v>
      </c>
    </row>
    <row r="2564" spans="1:53" ht="12.75" customHeight="1">
      <c r="A2564" s="8">
        <v>43281</v>
      </c>
      <c r="B2564" s="358" t="s">
        <v>273</v>
      </c>
      <c r="C2564" s="92" t="s">
        <v>299</v>
      </c>
      <c r="D2564" s="93">
        <v>3087670.97</v>
      </c>
      <c r="F2564" s="93"/>
      <c r="G2564" s="93"/>
      <c r="H2564" s="93"/>
      <c r="I2564" s="93"/>
      <c r="L2564" s="93">
        <f t="shared" si="336"/>
        <v>0</v>
      </c>
      <c r="M2564" s="95" t="e">
        <f t="shared" ca="1" si="337"/>
        <v>#DIV/0!</v>
      </c>
      <c r="N2564" s="95">
        <f>IF(P2564="Hedge Fund",IF(A2564=Summary!$AD$3,M2564-E2564,M2564),IF(A2564=Summary!$AD$3,L2564-D2564,L2564))</f>
        <v>0</v>
      </c>
      <c r="O2564" s="95">
        <f t="shared" si="338"/>
        <v>0</v>
      </c>
      <c r="P2564" s="107" t="s">
        <v>155</v>
      </c>
      <c r="Q2564" s="95">
        <v>0</v>
      </c>
      <c r="R2564" s="95">
        <v>0</v>
      </c>
      <c r="S2564" s="95"/>
      <c r="T2564" s="95"/>
      <c r="U2564" s="95"/>
      <c r="V2564" s="95"/>
      <c r="W2564" s="95"/>
      <c r="X2564" s="95"/>
      <c r="Y2564" s="95"/>
      <c r="Z2564" s="95"/>
      <c r="AA2564" s="95"/>
      <c r="AB2564" s="95"/>
      <c r="AC2564" s="355"/>
      <c r="AD2564" s="355"/>
      <c r="AE2564" s="355"/>
      <c r="AF2564" s="94">
        <f t="shared" si="339"/>
        <v>43281</v>
      </c>
      <c r="AG2564" s="185" t="e">
        <f t="shared" si="334"/>
        <v>#DIV/0!</v>
      </c>
      <c r="AH2564" s="339" t="str">
        <f>VLOOKUP(B2564,'MF PF'!A:B,2)</f>
        <v>FdMgt1</v>
      </c>
      <c r="AI2564" s="358">
        <f t="shared" si="340"/>
        <v>0</v>
      </c>
      <c r="AJ2564" s="94">
        <f t="shared" si="341"/>
        <v>43281</v>
      </c>
      <c r="AK2564" s="358"/>
      <c r="AL2564" s="358"/>
      <c r="AM2564" s="358"/>
      <c r="AN2564" s="358"/>
      <c r="AO2564" s="358"/>
      <c r="AP2564" s="358"/>
      <c r="AQ2564" s="358"/>
      <c r="AR2564" s="358"/>
      <c r="AS2564" s="358"/>
      <c r="AT2564" s="358"/>
      <c r="AU2564" s="358"/>
      <c r="AV2564" s="358"/>
      <c r="AW2564" s="358"/>
      <c r="AX2564" s="358"/>
      <c r="AY2564" s="358"/>
      <c r="AZ2564" s="358"/>
      <c r="BA2564" s="358"/>
    </row>
    <row r="2565" spans="1:53" ht="12.75" customHeight="1">
      <c r="A2565" s="8">
        <v>43312</v>
      </c>
      <c r="B2565" s="358" t="s">
        <v>273</v>
      </c>
      <c r="C2565" s="92" t="s">
        <v>299</v>
      </c>
      <c r="D2565" s="93">
        <v>3097256.12</v>
      </c>
      <c r="E2565" s="95"/>
      <c r="F2565" s="93"/>
      <c r="G2565" s="93"/>
      <c r="H2565" s="93"/>
      <c r="I2565" s="93"/>
      <c r="K2565" s="93"/>
      <c r="L2565" s="93">
        <f t="shared" si="336"/>
        <v>0</v>
      </c>
      <c r="M2565" s="95" t="e">
        <f t="shared" ca="1" si="337"/>
        <v>#DIV/0!</v>
      </c>
      <c r="N2565" s="95">
        <f>IF(P2565="Hedge Fund",IF(A2565=Summary!$AD$3,M2565-E2565,M2565),IF(A2565=Summary!$AD$3,L2565-D2565,L2565))</f>
        <v>0</v>
      </c>
      <c r="O2565" s="95">
        <f t="shared" si="338"/>
        <v>0</v>
      </c>
      <c r="P2565" s="107" t="s">
        <v>155</v>
      </c>
      <c r="Q2565" s="95">
        <v>0</v>
      </c>
      <c r="R2565" s="95">
        <v>0</v>
      </c>
      <c r="S2565" s="95"/>
      <c r="T2565" s="95"/>
      <c r="U2565" s="95"/>
      <c r="V2565" s="95"/>
      <c r="W2565" s="95"/>
      <c r="X2565" s="95"/>
      <c r="Y2565" s="95"/>
      <c r="Z2565" s="95"/>
      <c r="AA2565" s="95"/>
      <c r="AB2565" s="95"/>
      <c r="AC2565" s="355"/>
      <c r="AD2565" s="355"/>
      <c r="AE2565" s="355"/>
      <c r="AF2565" s="94">
        <f t="shared" si="339"/>
        <v>43312</v>
      </c>
      <c r="AG2565" s="185">
        <f t="shared" si="334"/>
        <v>3.1043301223252495E-3</v>
      </c>
      <c r="AH2565" s="339" t="str">
        <f>VLOOKUP(B2565,'MF PF'!A:B,2)</f>
        <v>FdMgt1</v>
      </c>
      <c r="AI2565" s="358">
        <f t="shared" si="340"/>
        <v>0</v>
      </c>
      <c r="AJ2565" s="94">
        <f t="shared" si="341"/>
        <v>43312</v>
      </c>
    </row>
    <row r="2566" spans="1:53" ht="12.75" customHeight="1">
      <c r="A2566" s="94">
        <v>43329</v>
      </c>
      <c r="B2566" s="358" t="s">
        <v>273</v>
      </c>
      <c r="C2566" s="92" t="s">
        <v>299</v>
      </c>
      <c r="D2566" s="93"/>
      <c r="E2566" s="95"/>
      <c r="F2566" s="93"/>
      <c r="G2566" s="93">
        <v>-981027.57366353029</v>
      </c>
      <c r="H2566" s="93"/>
      <c r="I2566" s="93"/>
      <c r="K2566" s="93"/>
      <c r="L2566" s="93">
        <f t="shared" si="336"/>
        <v>-981027.57366353029</v>
      </c>
      <c r="M2566" s="95" t="e">
        <f t="shared" ca="1" si="337"/>
        <v>#DIV/0!</v>
      </c>
      <c r="N2566" s="95">
        <f>IF(P2566="Hedge Fund",IF(A2566=Summary!$AD$3,M2566-E2566,M2566),IF(A2566=Summary!$AD$3,L2566-D2566,L2566))</f>
        <v>-981027.57366353029</v>
      </c>
      <c r="O2566" s="95">
        <f t="shared" si="338"/>
        <v>-981027.57366353029</v>
      </c>
      <c r="P2566" s="107" t="s">
        <v>155</v>
      </c>
      <c r="Q2566" s="95">
        <v>0</v>
      </c>
      <c r="R2566" s="95">
        <v>0</v>
      </c>
      <c r="S2566" s="95"/>
      <c r="T2566" s="95"/>
      <c r="U2566" s="95"/>
      <c r="V2566" s="95"/>
      <c r="W2566" s="95"/>
      <c r="X2566" s="95"/>
      <c r="Y2566" s="95"/>
      <c r="Z2566" s="95"/>
      <c r="AA2566" s="95"/>
      <c r="AB2566" s="95"/>
      <c r="AC2566" s="355"/>
      <c r="AD2566" s="355"/>
      <c r="AE2566" s="355"/>
      <c r="AF2566" s="94">
        <f t="shared" si="339"/>
        <v>43329</v>
      </c>
      <c r="AG2566" s="185">
        <f t="shared" ref="AG2566:AG2572" si="342">IF(C2566&lt;&gt;C2565,D2566/G2566-1,(D2566-G2566-I2566-H2566)/(D2565)-1)</f>
        <v>-0.6832591378773254</v>
      </c>
      <c r="AH2566" s="339" t="str">
        <f>VLOOKUP(B2566,'MF PF'!A:B,2)</f>
        <v>FdMgt1</v>
      </c>
      <c r="AI2566" s="358">
        <f t="shared" si="340"/>
        <v>0</v>
      </c>
      <c r="AJ2566" s="94">
        <f t="shared" si="341"/>
        <v>43343</v>
      </c>
    </row>
    <row r="2567" spans="1:53" ht="12.75" customHeight="1">
      <c r="A2567" s="8">
        <v>43343</v>
      </c>
      <c r="B2567" s="358" t="s">
        <v>273</v>
      </c>
      <c r="C2567" s="92" t="s">
        <v>299</v>
      </c>
      <c r="D2567" s="93">
        <v>2112090.23</v>
      </c>
      <c r="E2567" s="95"/>
      <c r="F2567" s="93"/>
      <c r="G2567" s="93"/>
      <c r="H2567" s="93"/>
      <c r="I2567" s="93"/>
      <c r="K2567" s="93"/>
      <c r="L2567" s="93">
        <f t="shared" si="336"/>
        <v>0</v>
      </c>
      <c r="M2567" s="95" t="e">
        <f t="shared" ca="1" si="337"/>
        <v>#DIV/0!</v>
      </c>
      <c r="N2567" s="95">
        <f>IF(P2567="Hedge Fund",IF(A2567=Summary!$AD$3,M2567-E2567,M2567),IF(A2567=Summary!$AD$3,L2567-D2567,L2567))</f>
        <v>0</v>
      </c>
      <c r="O2567" s="95">
        <f t="shared" si="338"/>
        <v>0</v>
      </c>
      <c r="P2567" s="107" t="s">
        <v>155</v>
      </c>
      <c r="Q2567" s="95">
        <v>0</v>
      </c>
      <c r="R2567" s="95">
        <v>0</v>
      </c>
      <c r="S2567" s="95"/>
      <c r="T2567" s="95"/>
      <c r="U2567" s="95"/>
      <c r="V2567" s="95"/>
      <c r="W2567" s="95"/>
      <c r="X2567" s="95"/>
      <c r="Y2567" s="95"/>
      <c r="Z2567" s="95"/>
      <c r="AA2567" s="95"/>
      <c r="AB2567" s="95"/>
      <c r="AC2567" s="355"/>
      <c r="AD2567" s="355"/>
      <c r="AE2567" s="355"/>
      <c r="AF2567" s="94">
        <f t="shared" si="339"/>
        <v>43343</v>
      </c>
      <c r="AG2567" s="185" t="e">
        <f t="shared" si="342"/>
        <v>#DIV/0!</v>
      </c>
      <c r="AH2567" s="339" t="str">
        <f>VLOOKUP(B2567,'MF PF'!A:B,2)</f>
        <v>FdMgt1</v>
      </c>
      <c r="AI2567" s="358">
        <f t="shared" si="340"/>
        <v>0</v>
      </c>
      <c r="AJ2567" s="94">
        <f t="shared" si="341"/>
        <v>43343</v>
      </c>
    </row>
    <row r="2568" spans="1:53" ht="12.75" customHeight="1">
      <c r="A2568" s="8">
        <v>43369</v>
      </c>
      <c r="B2568" s="358" t="s">
        <v>273</v>
      </c>
      <c r="C2568" s="92" t="s">
        <v>299</v>
      </c>
      <c r="D2568" s="93"/>
      <c r="E2568" s="95"/>
      <c r="F2568" s="93"/>
      <c r="G2568" s="93">
        <v>424497.08</v>
      </c>
      <c r="H2568" s="93"/>
      <c r="I2568" s="93"/>
      <c r="K2568" s="93"/>
      <c r="L2568" s="93">
        <f t="shared" si="336"/>
        <v>424497.08</v>
      </c>
      <c r="M2568" s="95" t="e">
        <f t="shared" ca="1" si="337"/>
        <v>#DIV/0!</v>
      </c>
      <c r="N2568" s="95">
        <f>IF(P2568="Hedge Fund",IF(A2568=Summary!$AD$3,M2568-E2568,M2568),IF(A2568=Summary!$AD$3,L2568-D2568,L2568))</f>
        <v>424497.08</v>
      </c>
      <c r="O2568" s="95">
        <f t="shared" si="338"/>
        <v>424497.08</v>
      </c>
      <c r="P2568" s="107" t="s">
        <v>155</v>
      </c>
      <c r="Q2568" s="95">
        <v>0</v>
      </c>
      <c r="R2568" s="95">
        <v>0</v>
      </c>
      <c r="S2568" s="95"/>
      <c r="T2568" s="95"/>
      <c r="U2568" s="95"/>
      <c r="V2568" s="95"/>
      <c r="W2568" s="95"/>
      <c r="X2568" s="95"/>
      <c r="Y2568" s="95"/>
      <c r="Z2568" s="95"/>
      <c r="AA2568" s="95"/>
      <c r="AB2568" s="95"/>
      <c r="AC2568" s="355"/>
      <c r="AD2568" s="355"/>
      <c r="AE2568" s="355"/>
      <c r="AF2568" s="94">
        <f t="shared" si="339"/>
        <v>43369</v>
      </c>
      <c r="AG2568" s="185">
        <f t="shared" si="342"/>
        <v>-1.2009843490445955</v>
      </c>
      <c r="AH2568" s="339" t="str">
        <f>VLOOKUP(B2568,'MF PF'!A:B,2)</f>
        <v>FdMgt1</v>
      </c>
      <c r="AI2568" s="358">
        <f t="shared" si="340"/>
        <v>0</v>
      </c>
      <c r="AJ2568" s="94">
        <f t="shared" si="341"/>
        <v>43373</v>
      </c>
    </row>
    <row r="2569" spans="1:53" ht="12.75" customHeight="1">
      <c r="A2569" s="8">
        <v>43371</v>
      </c>
      <c r="B2569" s="358" t="s">
        <v>273</v>
      </c>
      <c r="C2569" s="92" t="s">
        <v>299</v>
      </c>
      <c r="D2569" s="93">
        <v>2558906.71</v>
      </c>
      <c r="F2569" s="93"/>
      <c r="G2569" s="93"/>
      <c r="H2569" s="93"/>
      <c r="I2569" s="93"/>
      <c r="K2569" s="93"/>
      <c r="L2569" s="93">
        <f t="shared" si="336"/>
        <v>0</v>
      </c>
      <c r="M2569" s="95" t="e">
        <f t="shared" ca="1" si="337"/>
        <v>#DIV/0!</v>
      </c>
      <c r="N2569" s="95">
        <f>IF(P2569="Hedge Fund",IF(A2569=Summary!$AD$3,M2569-E2569,M2569),IF(A2569=Summary!$AD$3,L2569-D2569,L2569))</f>
        <v>0</v>
      </c>
      <c r="O2569" s="95">
        <f t="shared" si="338"/>
        <v>0</v>
      </c>
      <c r="P2569" s="107" t="s">
        <v>155</v>
      </c>
      <c r="Q2569" s="95">
        <v>0</v>
      </c>
      <c r="R2569" s="95">
        <v>0</v>
      </c>
      <c r="S2569" s="95"/>
      <c r="T2569" s="95"/>
      <c r="U2569" s="95"/>
      <c r="V2569" s="95"/>
      <c r="W2569" s="95"/>
      <c r="X2569" s="95"/>
      <c r="Y2569" s="95"/>
      <c r="Z2569" s="95"/>
      <c r="AA2569" s="95"/>
      <c r="AB2569" s="95"/>
      <c r="AC2569" s="355"/>
      <c r="AD2569" s="355"/>
      <c r="AE2569" s="355"/>
      <c r="AF2569" s="94">
        <f t="shared" si="339"/>
        <v>43371</v>
      </c>
      <c r="AG2569" s="185" t="e">
        <f t="shared" si="342"/>
        <v>#DIV/0!</v>
      </c>
      <c r="AH2569" s="339" t="str">
        <f>VLOOKUP(B2569,'MF PF'!A:B,2)</f>
        <v>FdMgt1</v>
      </c>
      <c r="AI2569" s="358">
        <f t="shared" si="340"/>
        <v>0</v>
      </c>
      <c r="AJ2569" s="94">
        <f t="shared" si="341"/>
        <v>43373</v>
      </c>
    </row>
    <row r="2570" spans="1:53" ht="12.75" customHeight="1">
      <c r="A2570" s="94">
        <v>43404</v>
      </c>
      <c r="B2570" s="358" t="s">
        <v>273</v>
      </c>
      <c r="C2570" s="358" t="s">
        <v>299</v>
      </c>
      <c r="D2570" s="93">
        <v>2943699.86</v>
      </c>
      <c r="F2570" s="93">
        <v>3.0791876600000001</v>
      </c>
      <c r="G2570" s="93">
        <v>249150.52999999991</v>
      </c>
      <c r="H2570" s="93">
        <v>0</v>
      </c>
      <c r="I2570" s="93">
        <v>0</v>
      </c>
      <c r="J2570" s="93">
        <v>0</v>
      </c>
      <c r="L2570" s="93">
        <f t="shared" si="336"/>
        <v>249150.52999999991</v>
      </c>
      <c r="M2570" s="95" t="e">
        <f t="shared" ca="1" si="337"/>
        <v>#DIV/0!</v>
      </c>
      <c r="N2570" s="95">
        <f>IF(P2570="Hedge Fund",IF(A2570=Summary!$AD$3,M2570-E2570,M2570),IF(A2570=Summary!$AD$3,L2570-D2570,L2570))</f>
        <v>249150.52999999991</v>
      </c>
      <c r="O2570" s="95">
        <f t="shared" si="338"/>
        <v>249150.52999999991</v>
      </c>
      <c r="P2570" s="95" t="s">
        <v>155</v>
      </c>
      <c r="Q2570" s="95">
        <v>0</v>
      </c>
      <c r="R2570" s="95">
        <v>0</v>
      </c>
      <c r="S2570" s="95"/>
      <c r="T2570" s="95"/>
      <c r="U2570" s="95"/>
      <c r="V2570" s="95"/>
      <c r="W2570" s="95"/>
      <c r="X2570" s="95"/>
      <c r="Y2570" s="95"/>
      <c r="Z2570" s="95"/>
      <c r="AA2570" s="95"/>
      <c r="AB2570" s="95"/>
      <c r="AC2570" s="355"/>
      <c r="AD2570" s="355"/>
      <c r="AE2570" s="355"/>
      <c r="AF2570" s="94">
        <f t="shared" si="339"/>
        <v>43404</v>
      </c>
      <c r="AG2570" s="185">
        <f t="shared" si="342"/>
        <v>5.3008036389103008E-2</v>
      </c>
      <c r="AH2570" s="339" t="str">
        <f>VLOOKUP(B2570,'MF PF'!A:B,2)</f>
        <v>FdMgt1</v>
      </c>
      <c r="AI2570" s="358">
        <f t="shared" si="340"/>
        <v>0</v>
      </c>
      <c r="AJ2570" s="94">
        <f t="shared" si="341"/>
        <v>43404</v>
      </c>
    </row>
    <row r="2571" spans="1:53" ht="12.75" customHeight="1">
      <c r="A2571" s="94">
        <v>43432</v>
      </c>
      <c r="B2571" s="358" t="s">
        <v>273</v>
      </c>
      <c r="C2571" s="92" t="s">
        <v>299</v>
      </c>
      <c r="D2571" s="93"/>
      <c r="E2571" s="95"/>
      <c r="F2571" s="93"/>
      <c r="G2571" s="93">
        <v>267898.75</v>
      </c>
      <c r="H2571" s="93">
        <v>0</v>
      </c>
      <c r="I2571" s="93">
        <v>0</v>
      </c>
      <c r="K2571" s="93">
        <v>0</v>
      </c>
      <c r="L2571" s="93">
        <f t="shared" si="336"/>
        <v>267898.75</v>
      </c>
      <c r="M2571" s="95" t="e">
        <f t="shared" ca="1" si="337"/>
        <v>#DIV/0!</v>
      </c>
      <c r="N2571" s="95">
        <f>IF(P2571="Hedge Fund",IF(A2571=Summary!$AD$3,M2571-E2571,M2571),IF(A2571=Summary!$AD$3,L2571-D2571,L2571))</f>
        <v>267898.75</v>
      </c>
      <c r="O2571" s="95">
        <f t="shared" si="338"/>
        <v>267898.75</v>
      </c>
      <c r="P2571" s="95" t="s">
        <v>155</v>
      </c>
      <c r="Q2571" s="95"/>
      <c r="R2571" s="95"/>
      <c r="S2571" s="95"/>
      <c r="T2571" s="95"/>
      <c r="U2571" s="95"/>
      <c r="V2571" s="95"/>
      <c r="W2571" s="95"/>
      <c r="X2571" s="95"/>
      <c r="Y2571" s="95"/>
      <c r="Z2571" s="95"/>
      <c r="AA2571" s="95"/>
      <c r="AB2571" s="95"/>
      <c r="AC2571" s="355"/>
      <c r="AD2571" s="355"/>
      <c r="AE2571" s="355"/>
      <c r="AF2571" s="94">
        <f t="shared" si="339"/>
        <v>43432</v>
      </c>
      <c r="AG2571" s="185">
        <f t="shared" si="342"/>
        <v>-1.0910074949013313</v>
      </c>
      <c r="AH2571" s="339" t="str">
        <f>VLOOKUP(B2571,'MF PF'!A:B,2)</f>
        <v>FdMgt1</v>
      </c>
      <c r="AI2571" s="358">
        <f t="shared" si="340"/>
        <v>0</v>
      </c>
      <c r="AJ2571" s="94">
        <f t="shared" si="341"/>
        <v>43434</v>
      </c>
    </row>
    <row r="2572" spans="1:53" ht="12.75" customHeight="1">
      <c r="A2572" s="8">
        <v>43434</v>
      </c>
      <c r="B2572" s="358" t="s">
        <v>273</v>
      </c>
      <c r="C2572" s="92" t="s">
        <v>299</v>
      </c>
      <c r="D2572" s="93">
        <v>3083571.9</v>
      </c>
      <c r="F2572" s="93">
        <v>3.0791876600000001</v>
      </c>
      <c r="G2572" s="93"/>
      <c r="H2572" s="93">
        <v>0</v>
      </c>
      <c r="I2572" s="93">
        <v>0</v>
      </c>
      <c r="K2572" s="7">
        <v>0</v>
      </c>
      <c r="L2572" s="93">
        <f t="shared" si="336"/>
        <v>0</v>
      </c>
      <c r="M2572" s="95" t="e">
        <f t="shared" ca="1" si="337"/>
        <v>#DIV/0!</v>
      </c>
      <c r="N2572" s="95">
        <f>IF(P2572="Hedge Fund",IF(A2572=Summary!$AD$3,M2572-E2572,M2572),IF(A2572=Summary!$AD$3,L2572-D2572,L2572))</f>
        <v>0</v>
      </c>
      <c r="O2572" s="95">
        <f t="shared" si="338"/>
        <v>0</v>
      </c>
      <c r="P2572" s="95" t="s">
        <v>155</v>
      </c>
      <c r="Q2572" s="95">
        <v>0</v>
      </c>
      <c r="R2572" s="95">
        <v>0</v>
      </c>
      <c r="S2572" s="95"/>
      <c r="T2572" s="95"/>
      <c r="U2572" s="95"/>
      <c r="V2572" s="95"/>
      <c r="W2572" s="95"/>
      <c r="X2572" s="95"/>
      <c r="Y2572" s="95"/>
      <c r="Z2572" s="95"/>
      <c r="AA2572" s="95"/>
      <c r="AB2572" s="95"/>
      <c r="AC2572" s="355"/>
      <c r="AD2572" s="355"/>
      <c r="AE2572" s="355"/>
      <c r="AF2572" s="94">
        <f t="shared" si="339"/>
        <v>43434</v>
      </c>
      <c r="AG2572" s="185" t="e">
        <f t="shared" si="342"/>
        <v>#DIV/0!</v>
      </c>
      <c r="AH2572" s="339" t="str">
        <f>VLOOKUP(B2572,'MF PF'!A:B,2)</f>
        <v>FdMgt1</v>
      </c>
      <c r="AI2572" s="358">
        <f t="shared" si="340"/>
        <v>0</v>
      </c>
      <c r="AJ2572" s="94">
        <f t="shared" si="341"/>
        <v>43434</v>
      </c>
      <c r="AK2572" s="358"/>
      <c r="AL2572" s="358"/>
      <c r="AM2572" s="358"/>
      <c r="AN2572" s="358"/>
      <c r="AO2572" s="358"/>
      <c r="AP2572" s="358"/>
      <c r="AQ2572" s="358"/>
      <c r="AR2572" s="358"/>
      <c r="AS2572" s="358"/>
      <c r="AT2572" s="358"/>
      <c r="AU2572" s="358"/>
      <c r="AV2572" s="358"/>
      <c r="AW2572" s="358"/>
      <c r="AX2572" s="358"/>
      <c r="AY2572" s="358"/>
      <c r="AZ2572" s="358"/>
      <c r="BA2572" s="358"/>
    </row>
    <row r="2573" spans="1:53" ht="12.75" customHeight="1">
      <c r="A2573" s="94">
        <v>43465</v>
      </c>
      <c r="B2573" s="358" t="s">
        <v>273</v>
      </c>
      <c r="C2573" s="92" t="s">
        <v>299</v>
      </c>
      <c r="D2573" s="93">
        <v>3114123.62</v>
      </c>
      <c r="F2573" s="93">
        <v>3.0791876600000001</v>
      </c>
      <c r="G2573" s="93"/>
      <c r="H2573" s="93">
        <v>0</v>
      </c>
      <c r="I2573" s="93">
        <v>0</v>
      </c>
      <c r="K2573" s="7">
        <v>0</v>
      </c>
      <c r="L2573" s="93">
        <f t="shared" si="336"/>
        <v>0</v>
      </c>
      <c r="M2573" s="95" t="e">
        <f t="shared" ca="1" si="337"/>
        <v>#DIV/0!</v>
      </c>
      <c r="N2573" s="95">
        <f>IF(P2573="Hedge Fund",IF(A2573=Summary!$AD$3,M2573-E2573,M2573),IF(A2573=Summary!$AD$3,L2573-D2573,L2573))</f>
        <v>0</v>
      </c>
      <c r="O2573" s="95">
        <f t="shared" si="338"/>
        <v>0</v>
      </c>
      <c r="P2573" s="95" t="s">
        <v>155</v>
      </c>
      <c r="Q2573" s="95">
        <v>-3.1141236241952273</v>
      </c>
      <c r="R2573" s="95">
        <v>0</v>
      </c>
      <c r="S2573" s="95"/>
      <c r="T2573" s="95"/>
      <c r="U2573" s="95"/>
      <c r="V2573" s="95"/>
      <c r="W2573" s="95"/>
      <c r="X2573" s="95"/>
      <c r="Y2573" s="95"/>
      <c r="Z2573" s="95"/>
      <c r="AA2573" s="95"/>
      <c r="AB2573" s="95"/>
      <c r="AC2573" s="355"/>
      <c r="AD2573" s="355"/>
      <c r="AE2573" s="355"/>
      <c r="AF2573" s="94">
        <f t="shared" si="339"/>
        <v>43465</v>
      </c>
      <c r="AG2573" s="185" t="e">
        <f>IF(C2573&lt;&gt;#REF!,D2573/G2573-1,(D2573-G2573-I2573-H2573)/(#REF!)-1)</f>
        <v>#REF!</v>
      </c>
      <c r="AH2573" s="339" t="str">
        <f>VLOOKUP(B2573,'MF PF'!A:B,2)</f>
        <v>FdMgt1</v>
      </c>
      <c r="AI2573" s="358">
        <f t="shared" si="340"/>
        <v>0</v>
      </c>
      <c r="AJ2573" s="94">
        <f t="shared" si="341"/>
        <v>43465</v>
      </c>
    </row>
    <row r="2574" spans="1:53" ht="12.75" customHeight="1">
      <c r="A2574" s="94">
        <v>43496</v>
      </c>
      <c r="B2574" s="358" t="s">
        <v>273</v>
      </c>
      <c r="C2574" s="92" t="s">
        <v>299</v>
      </c>
      <c r="D2574" s="93">
        <v>3156316.27</v>
      </c>
      <c r="F2574" s="93">
        <v>3.0397064463364698</v>
      </c>
      <c r="G2574" s="93"/>
      <c r="H2574" s="93">
        <v>0</v>
      </c>
      <c r="I2574" s="93">
        <v>0</v>
      </c>
      <c r="K2574" s="7">
        <v>0</v>
      </c>
      <c r="L2574" s="93">
        <f t="shared" si="336"/>
        <v>0</v>
      </c>
      <c r="M2574" s="95" t="e">
        <f t="shared" ca="1" si="337"/>
        <v>#DIV/0!</v>
      </c>
      <c r="N2574" s="95">
        <f>IF(P2574="Hedge Fund",IF(A2574=Summary!$AD$3,M2574-E2574,M2574),IF(A2574=Summary!$AD$3,L2574-D2574,L2574))</f>
        <v>-3156316.27</v>
      </c>
      <c r="O2574" s="95">
        <f t="shared" si="338"/>
        <v>-3156316.27</v>
      </c>
      <c r="P2574" s="95" t="s">
        <v>155</v>
      </c>
      <c r="Q2574" s="95">
        <v>0</v>
      </c>
      <c r="R2574" s="95">
        <v>0</v>
      </c>
      <c r="S2574" s="95"/>
      <c r="T2574" s="95"/>
      <c r="U2574" s="95"/>
      <c r="V2574" s="95"/>
      <c r="W2574" s="95"/>
      <c r="X2574" s="95"/>
      <c r="Y2574" s="95"/>
      <c r="Z2574" s="95"/>
      <c r="AA2574" s="95"/>
      <c r="AB2574" s="95"/>
      <c r="AC2574" s="355"/>
      <c r="AD2574" s="355"/>
      <c r="AE2574" s="355"/>
      <c r="AF2574" s="94">
        <f t="shared" si="339"/>
        <v>43496</v>
      </c>
      <c r="AG2574" s="185">
        <f t="shared" ref="AG2574:AG2637" si="343">IF(C2574&lt;&gt;C2573,D2574/G2574-1,(D2574-G2574-I2574-H2574)/(D2573)-1)</f>
        <v>1.3548803820446986E-2</v>
      </c>
      <c r="AH2574" s="339" t="str">
        <f>VLOOKUP(B2574,'MF PF'!A:B,2)</f>
        <v>FdMgt1</v>
      </c>
      <c r="AI2574" s="358">
        <f t="shared" si="340"/>
        <v>0</v>
      </c>
      <c r="AJ2574" s="94">
        <f t="shared" si="341"/>
        <v>43496</v>
      </c>
    </row>
    <row r="2575" spans="1:53" ht="12.75" customHeight="1">
      <c r="A2575" s="94">
        <v>43252</v>
      </c>
      <c r="B2575" s="358" t="s">
        <v>273</v>
      </c>
      <c r="C2575" s="358" t="s">
        <v>300</v>
      </c>
      <c r="D2575" s="93"/>
      <c r="F2575" s="93"/>
      <c r="G2575" s="93">
        <v>371469.01</v>
      </c>
      <c r="H2575" s="93"/>
      <c r="I2575" s="93"/>
      <c r="L2575" s="93">
        <f t="shared" si="336"/>
        <v>371469.01</v>
      </c>
      <c r="M2575" s="95">
        <f t="shared" ca="1" si="337"/>
        <v>0</v>
      </c>
      <c r="N2575" s="95">
        <f>IF(P2575="Hedge Fund",IF(A2575=Summary!$AD$3,M2575-E2575,M2575),IF(A2575=Summary!$AD$3,L2575-D2575,L2575))</f>
        <v>371469.01</v>
      </c>
      <c r="O2575" s="95">
        <f t="shared" si="338"/>
        <v>371469.01</v>
      </c>
      <c r="P2575" s="107" t="s">
        <v>155</v>
      </c>
      <c r="Q2575" s="95">
        <v>0</v>
      </c>
      <c r="R2575" s="95">
        <v>0</v>
      </c>
      <c r="S2575" s="95"/>
      <c r="T2575" s="95"/>
      <c r="U2575" s="95"/>
      <c r="V2575" s="95"/>
      <c r="W2575" s="95"/>
      <c r="X2575" s="95"/>
      <c r="Y2575" s="95"/>
      <c r="Z2575" s="95"/>
      <c r="AA2575" s="95"/>
      <c r="AB2575" s="95"/>
      <c r="AC2575" s="355"/>
      <c r="AD2575" s="355"/>
      <c r="AE2575" s="355"/>
      <c r="AF2575" s="94">
        <f t="shared" si="339"/>
        <v>43252</v>
      </c>
      <c r="AG2575" s="185">
        <f t="shared" si="343"/>
        <v>-1</v>
      </c>
      <c r="AH2575" s="339" t="str">
        <f>VLOOKUP(B2575,'MF PF'!A:B,2)</f>
        <v>FdMgt1</v>
      </c>
      <c r="AI2575" s="358">
        <f t="shared" si="340"/>
        <v>0</v>
      </c>
      <c r="AJ2575" s="94">
        <f t="shared" si="341"/>
        <v>43281</v>
      </c>
    </row>
    <row r="2576" spans="1:53" ht="12.75" customHeight="1">
      <c r="A2576" s="94">
        <v>43281</v>
      </c>
      <c r="B2576" s="358" t="s">
        <v>273</v>
      </c>
      <c r="C2576" s="92" t="s">
        <v>300</v>
      </c>
      <c r="D2576" s="93">
        <v>372492.43</v>
      </c>
      <c r="F2576" s="93"/>
      <c r="G2576" s="93"/>
      <c r="H2576" s="93"/>
      <c r="I2576" s="93"/>
      <c r="L2576" s="93">
        <f t="shared" si="336"/>
        <v>0</v>
      </c>
      <c r="M2576" s="95" t="e">
        <f t="shared" ca="1" si="337"/>
        <v>#DIV/0!</v>
      </c>
      <c r="N2576" s="95">
        <f>IF(P2576="Hedge Fund",IF(A2576=Summary!$AD$3,M2576-E2576,M2576),IF(A2576=Summary!$AD$3,L2576-D2576,L2576))</f>
        <v>0</v>
      </c>
      <c r="O2576" s="95">
        <f t="shared" si="338"/>
        <v>0</v>
      </c>
      <c r="P2576" s="107" t="s">
        <v>155</v>
      </c>
      <c r="Q2576" s="95">
        <v>0</v>
      </c>
      <c r="R2576" s="95">
        <v>0</v>
      </c>
      <c r="S2576" s="95"/>
      <c r="T2576" s="95"/>
      <c r="U2576" s="95"/>
      <c r="V2576" s="95"/>
      <c r="W2576" s="95"/>
      <c r="X2576" s="95"/>
      <c r="Y2576" s="95"/>
      <c r="Z2576" s="95"/>
      <c r="AA2576" s="95"/>
      <c r="AB2576" s="95"/>
      <c r="AC2576" s="355"/>
      <c r="AD2576" s="355"/>
      <c r="AE2576" s="355"/>
      <c r="AF2576" s="94">
        <f t="shared" si="339"/>
        <v>43281</v>
      </c>
      <c r="AG2576" s="185" t="e">
        <f t="shared" si="343"/>
        <v>#DIV/0!</v>
      </c>
      <c r="AH2576" s="339" t="str">
        <f>VLOOKUP(B2576,'MF PF'!A:B,2)</f>
        <v>FdMgt1</v>
      </c>
      <c r="AI2576" s="358">
        <f t="shared" si="340"/>
        <v>0</v>
      </c>
      <c r="AJ2576" s="94">
        <f t="shared" si="341"/>
        <v>43281</v>
      </c>
    </row>
    <row r="2577" spans="1:53" ht="12.75" customHeight="1">
      <c r="A2577" s="8">
        <v>43312</v>
      </c>
      <c r="B2577" s="358" t="s">
        <v>273</v>
      </c>
      <c r="C2577" s="92" t="s">
        <v>300</v>
      </c>
      <c r="D2577" s="93">
        <v>373648.76</v>
      </c>
      <c r="F2577" s="93"/>
      <c r="G2577" s="93"/>
      <c r="H2577" s="93"/>
      <c r="I2577" s="93"/>
      <c r="L2577" s="93">
        <f t="shared" si="336"/>
        <v>0</v>
      </c>
      <c r="M2577" s="95" t="e">
        <f t="shared" ca="1" si="337"/>
        <v>#DIV/0!</v>
      </c>
      <c r="N2577" s="95">
        <f>IF(P2577="Hedge Fund",IF(A2577=Summary!$AD$3,M2577-E2577,M2577),IF(A2577=Summary!$AD$3,L2577-D2577,L2577))</f>
        <v>0</v>
      </c>
      <c r="O2577" s="95">
        <f t="shared" si="338"/>
        <v>0</v>
      </c>
      <c r="P2577" s="107" t="s">
        <v>155</v>
      </c>
      <c r="Q2577" s="95">
        <v>0</v>
      </c>
      <c r="R2577" s="95">
        <v>0</v>
      </c>
      <c r="S2577" s="95"/>
      <c r="T2577" s="95"/>
      <c r="U2577" s="95"/>
      <c r="V2577" s="95"/>
      <c r="W2577" s="95"/>
      <c r="X2577" s="95"/>
      <c r="Y2577" s="95"/>
      <c r="Z2577" s="95"/>
      <c r="AA2577" s="95"/>
      <c r="AB2577" s="95"/>
      <c r="AC2577" s="355"/>
      <c r="AD2577" s="355"/>
      <c r="AE2577" s="355"/>
      <c r="AF2577" s="94">
        <f t="shared" si="339"/>
        <v>43312</v>
      </c>
      <c r="AG2577" s="185">
        <f t="shared" si="343"/>
        <v>3.1043046968766141E-3</v>
      </c>
      <c r="AH2577" s="339" t="str">
        <f>VLOOKUP(B2577,'MF PF'!A:B,2)</f>
        <v>FdMgt1</v>
      </c>
      <c r="AI2577" s="358">
        <f t="shared" si="340"/>
        <v>0</v>
      </c>
      <c r="AJ2577" s="94">
        <f t="shared" si="341"/>
        <v>43312</v>
      </c>
    </row>
    <row r="2578" spans="1:53" ht="12.75" customHeight="1">
      <c r="A2578" s="8">
        <v>43329</v>
      </c>
      <c r="B2578" s="358" t="s">
        <v>273</v>
      </c>
      <c r="C2578" s="92" t="s">
        <v>300</v>
      </c>
      <c r="D2578" s="93"/>
      <c r="F2578" s="93"/>
      <c r="G2578" s="93">
        <v>-118349.83236256352</v>
      </c>
      <c r="H2578" s="93"/>
      <c r="I2578" s="93"/>
      <c r="L2578" s="93">
        <f t="shared" si="336"/>
        <v>-118349.83236256352</v>
      </c>
      <c r="M2578" s="95" t="e">
        <f t="shared" ca="1" si="337"/>
        <v>#DIV/0!</v>
      </c>
      <c r="N2578" s="95">
        <f>IF(P2578="Hedge Fund",IF(A2578=Summary!$AD$3,M2578-E2578,M2578),IF(A2578=Summary!$AD$3,L2578-D2578,L2578))</f>
        <v>-118349.83236256352</v>
      </c>
      <c r="O2578" s="95">
        <f t="shared" si="338"/>
        <v>-118349.83236256352</v>
      </c>
      <c r="P2578" s="107" t="s">
        <v>155</v>
      </c>
      <c r="Q2578" s="95">
        <v>0</v>
      </c>
      <c r="R2578" s="95">
        <v>0</v>
      </c>
      <c r="S2578" s="95"/>
      <c r="T2578" s="95"/>
      <c r="U2578" s="95"/>
      <c r="V2578" s="95"/>
      <c r="W2578" s="95"/>
      <c r="X2578" s="95"/>
      <c r="Y2578" s="95"/>
      <c r="Z2578" s="95"/>
      <c r="AA2578" s="95"/>
      <c r="AB2578" s="95"/>
      <c r="AC2578" s="355"/>
      <c r="AD2578" s="355"/>
      <c r="AE2578" s="355"/>
      <c r="AF2578" s="94">
        <f t="shared" si="339"/>
        <v>43329</v>
      </c>
      <c r="AG2578" s="185">
        <f t="shared" si="343"/>
        <v>-0.68325913255388959</v>
      </c>
      <c r="AH2578" s="339" t="str">
        <f>VLOOKUP(B2578,'MF PF'!A:B,2)</f>
        <v>FdMgt1</v>
      </c>
      <c r="AI2578" s="358">
        <f t="shared" si="340"/>
        <v>0</v>
      </c>
      <c r="AJ2578" s="94">
        <f t="shared" si="341"/>
        <v>43343</v>
      </c>
    </row>
    <row r="2579" spans="1:53" ht="12.75" customHeight="1">
      <c r="A2579" s="8">
        <v>43343</v>
      </c>
      <c r="B2579" s="358" t="s">
        <v>273</v>
      </c>
      <c r="C2579" s="92" t="s">
        <v>300</v>
      </c>
      <c r="D2579" s="93">
        <v>254799.69</v>
      </c>
      <c r="F2579" s="93"/>
      <c r="G2579" s="93"/>
      <c r="H2579" s="93"/>
      <c r="I2579" s="93"/>
      <c r="K2579" s="93"/>
      <c r="L2579" s="93">
        <f t="shared" si="336"/>
        <v>0</v>
      </c>
      <c r="M2579" s="95" t="e">
        <f t="shared" ca="1" si="337"/>
        <v>#DIV/0!</v>
      </c>
      <c r="N2579" s="95">
        <f>IF(P2579="Hedge Fund",IF(A2579=Summary!$AD$3,M2579-E2579,M2579),IF(A2579=Summary!$AD$3,L2579-D2579,L2579))</f>
        <v>0</v>
      </c>
      <c r="O2579" s="95">
        <f t="shared" si="338"/>
        <v>0</v>
      </c>
      <c r="P2579" s="107" t="s">
        <v>155</v>
      </c>
      <c r="Q2579" s="95">
        <v>0</v>
      </c>
      <c r="R2579" s="95">
        <v>0</v>
      </c>
      <c r="S2579" s="95"/>
      <c r="T2579" s="95"/>
      <c r="U2579" s="95"/>
      <c r="V2579" s="95"/>
      <c r="W2579" s="95"/>
      <c r="X2579" s="95"/>
      <c r="Y2579" s="95"/>
      <c r="Z2579" s="95"/>
      <c r="AA2579" s="95"/>
      <c r="AB2579" s="95"/>
      <c r="AC2579" s="355"/>
      <c r="AD2579" s="355"/>
      <c r="AE2579" s="355"/>
      <c r="AF2579" s="94">
        <f t="shared" si="339"/>
        <v>43343</v>
      </c>
      <c r="AG2579" s="185" t="e">
        <f t="shared" si="343"/>
        <v>#DIV/0!</v>
      </c>
      <c r="AH2579" s="339" t="str">
        <f>VLOOKUP(B2579,'MF PF'!A:B,2)</f>
        <v>FdMgt1</v>
      </c>
      <c r="AI2579" s="358">
        <f t="shared" si="340"/>
        <v>0</v>
      </c>
      <c r="AJ2579" s="94">
        <f t="shared" si="341"/>
        <v>43343</v>
      </c>
    </row>
    <row r="2580" spans="1:53" ht="12.75" customHeight="1">
      <c r="A2580" s="8">
        <v>43369</v>
      </c>
      <c r="B2580" s="358" t="s">
        <v>273</v>
      </c>
      <c r="C2580" s="92" t="s">
        <v>300</v>
      </c>
      <c r="D2580" s="93"/>
      <c r="F2580" s="93"/>
      <c r="G2580" s="93">
        <v>51210.75</v>
      </c>
      <c r="H2580" s="93"/>
      <c r="I2580" s="93"/>
      <c r="K2580" s="93"/>
      <c r="L2580" s="93">
        <f t="shared" si="336"/>
        <v>51210.75</v>
      </c>
      <c r="M2580" s="95" t="e">
        <f t="shared" ca="1" si="337"/>
        <v>#DIV/0!</v>
      </c>
      <c r="N2580" s="95">
        <f>IF(P2580="Hedge Fund",IF(A2580=Summary!$AD$3,M2580-E2580,M2580),IF(A2580=Summary!$AD$3,L2580-D2580,L2580))</f>
        <v>51210.75</v>
      </c>
      <c r="O2580" s="95">
        <f t="shared" si="338"/>
        <v>51210.75</v>
      </c>
      <c r="P2580" s="107" t="s">
        <v>155</v>
      </c>
      <c r="Q2580" s="95">
        <v>0</v>
      </c>
      <c r="R2580" s="95">
        <v>0</v>
      </c>
      <c r="S2580" s="95"/>
      <c r="T2580" s="95"/>
      <c r="U2580" s="95"/>
      <c r="V2580" s="95"/>
      <c r="W2580" s="95"/>
      <c r="X2580" s="95"/>
      <c r="Y2580" s="95"/>
      <c r="Z2580" s="95"/>
      <c r="AA2580" s="95"/>
      <c r="AB2580" s="95"/>
      <c r="AC2580" s="355"/>
      <c r="AD2580" s="355"/>
      <c r="AE2580" s="355"/>
      <c r="AF2580" s="94">
        <f t="shared" si="339"/>
        <v>43369</v>
      </c>
      <c r="AG2580" s="185">
        <f t="shared" si="343"/>
        <v>-1.200984349706234</v>
      </c>
      <c r="AH2580" s="339" t="str">
        <f>VLOOKUP(B2580,'MF PF'!A:B,2)</f>
        <v>FdMgt1</v>
      </c>
      <c r="AI2580" s="358">
        <f t="shared" si="340"/>
        <v>0</v>
      </c>
      <c r="AJ2580" s="94">
        <f t="shared" si="341"/>
        <v>43373</v>
      </c>
    </row>
    <row r="2581" spans="1:53" ht="12.75" customHeight="1">
      <c r="A2581" s="94">
        <v>43371</v>
      </c>
      <c r="B2581" s="358" t="s">
        <v>273</v>
      </c>
      <c r="C2581" s="358" t="s">
        <v>300</v>
      </c>
      <c r="D2581" s="93">
        <v>308703.02</v>
      </c>
      <c r="F2581" s="93"/>
      <c r="G2581" s="93"/>
      <c r="H2581" s="93"/>
      <c r="I2581" s="93"/>
      <c r="K2581" s="93"/>
      <c r="L2581" s="93">
        <f t="shared" si="336"/>
        <v>0</v>
      </c>
      <c r="M2581" s="95" t="e">
        <f t="shared" ca="1" si="337"/>
        <v>#DIV/0!</v>
      </c>
      <c r="N2581" s="95">
        <f>IF(P2581="Hedge Fund",IF(A2581=Summary!$AD$3,M2581-E2581,M2581),IF(A2581=Summary!$AD$3,L2581-D2581,L2581))</f>
        <v>0</v>
      </c>
      <c r="O2581" s="95">
        <f t="shared" si="338"/>
        <v>0</v>
      </c>
      <c r="P2581" s="107" t="s">
        <v>155</v>
      </c>
      <c r="Q2581" s="95">
        <v>0</v>
      </c>
      <c r="R2581" s="95">
        <v>0</v>
      </c>
      <c r="S2581" s="95"/>
      <c r="T2581" s="95"/>
      <c r="U2581" s="95"/>
      <c r="V2581" s="95"/>
      <c r="W2581" s="95"/>
      <c r="X2581" s="95"/>
      <c r="Y2581" s="95"/>
      <c r="Z2581" s="95"/>
      <c r="AA2581" s="95"/>
      <c r="AB2581" s="95"/>
      <c r="AC2581" s="355"/>
      <c r="AD2581" s="355"/>
      <c r="AE2581" s="355"/>
      <c r="AF2581" s="94">
        <f t="shared" si="339"/>
        <v>43371</v>
      </c>
      <c r="AG2581" s="185" t="e">
        <f t="shared" si="343"/>
        <v>#DIV/0!</v>
      </c>
      <c r="AH2581" s="339" t="str">
        <f>VLOOKUP(B2581,'MF PF'!A:B,2)</f>
        <v>FdMgt1</v>
      </c>
      <c r="AI2581" s="358">
        <f t="shared" si="340"/>
        <v>0</v>
      </c>
      <c r="AJ2581" s="94">
        <f t="shared" si="341"/>
        <v>43373</v>
      </c>
    </row>
    <row r="2582" spans="1:53" ht="12.75" customHeight="1">
      <c r="A2582" s="94">
        <v>43404</v>
      </c>
      <c r="B2582" s="358" t="s">
        <v>273</v>
      </c>
      <c r="C2582" s="358" t="s">
        <v>300</v>
      </c>
      <c r="D2582" s="93">
        <v>355123.96</v>
      </c>
      <c r="F2582" s="93">
        <v>0.37146900999999999</v>
      </c>
      <c r="G2582" s="93">
        <v>30057.189999999988</v>
      </c>
      <c r="H2582" s="93">
        <v>0</v>
      </c>
      <c r="I2582" s="93">
        <v>0</v>
      </c>
      <c r="J2582" s="93">
        <v>0</v>
      </c>
      <c r="L2582" s="93">
        <f t="shared" si="336"/>
        <v>30057.189999999988</v>
      </c>
      <c r="M2582" s="95" t="e">
        <f t="shared" ca="1" si="337"/>
        <v>#DIV/0!</v>
      </c>
      <c r="N2582" s="95">
        <f>IF(P2582="Hedge Fund",IF(A2582=Summary!$AD$3,M2582-E2582,M2582),IF(A2582=Summary!$AD$3,L2582-D2582,L2582))</f>
        <v>30057.189999999988</v>
      </c>
      <c r="O2582" s="95">
        <f t="shared" si="338"/>
        <v>30057.189999999988</v>
      </c>
      <c r="P2582" s="95" t="s">
        <v>155</v>
      </c>
      <c r="Q2582" s="95">
        <v>0</v>
      </c>
      <c r="R2582" s="95">
        <v>0</v>
      </c>
      <c r="S2582" s="95"/>
      <c r="T2582" s="95"/>
      <c r="U2582" s="95"/>
      <c r="V2582" s="95"/>
      <c r="W2582" s="95"/>
      <c r="X2582" s="95"/>
      <c r="Y2582" s="95"/>
      <c r="Z2582" s="95"/>
      <c r="AA2582" s="95"/>
      <c r="AB2582" s="95"/>
      <c r="AC2582" s="355"/>
      <c r="AD2582" s="355"/>
      <c r="AE2582" s="355"/>
      <c r="AF2582" s="94">
        <f t="shared" si="339"/>
        <v>43404</v>
      </c>
      <c r="AG2582" s="185">
        <f t="shared" si="343"/>
        <v>5.3008065810305371E-2</v>
      </c>
      <c r="AH2582" s="339" t="str">
        <f>VLOOKUP(B2582,'MF PF'!A:B,2)</f>
        <v>FdMgt1</v>
      </c>
      <c r="AI2582" s="358">
        <f t="shared" si="340"/>
        <v>0</v>
      </c>
      <c r="AJ2582" s="94">
        <f t="shared" si="341"/>
        <v>43404</v>
      </c>
    </row>
    <row r="2583" spans="1:53" ht="12.75" customHeight="1">
      <c r="A2583" s="94">
        <v>43432</v>
      </c>
      <c r="B2583" s="358" t="s">
        <v>273</v>
      </c>
      <c r="C2583" s="358" t="s">
        <v>300</v>
      </c>
      <c r="D2583" s="93"/>
      <c r="F2583" s="93"/>
      <c r="G2583" s="93">
        <v>32318.93</v>
      </c>
      <c r="H2583" s="93">
        <v>0</v>
      </c>
      <c r="I2583" s="93">
        <v>0</v>
      </c>
      <c r="K2583" s="7">
        <v>0</v>
      </c>
      <c r="L2583" s="93">
        <f t="shared" si="336"/>
        <v>32318.93</v>
      </c>
      <c r="M2583" s="95" t="e">
        <f t="shared" ca="1" si="337"/>
        <v>#DIV/0!</v>
      </c>
      <c r="N2583" s="95">
        <f>IF(P2583="Hedge Fund",IF(A2583=Summary!$AD$3,M2583-E2583,M2583),IF(A2583=Summary!$AD$3,L2583-D2583,L2583))</f>
        <v>32318.93</v>
      </c>
      <c r="O2583" s="95">
        <f t="shared" si="338"/>
        <v>32318.93</v>
      </c>
      <c r="P2583" s="95" t="s">
        <v>155</v>
      </c>
      <c r="Q2583" s="95"/>
      <c r="R2583" s="95"/>
      <c r="S2583" s="95"/>
      <c r="T2583" s="95"/>
      <c r="U2583" s="95"/>
      <c r="V2583" s="95"/>
      <c r="W2583" s="95"/>
      <c r="X2583" s="95"/>
      <c r="Y2583" s="95"/>
      <c r="Z2583" s="95"/>
      <c r="AA2583" s="95"/>
      <c r="AB2583" s="95"/>
      <c r="AC2583" s="355"/>
      <c r="AD2583" s="355"/>
      <c r="AE2583" s="355"/>
      <c r="AF2583" s="94">
        <f t="shared" si="339"/>
        <v>43432</v>
      </c>
      <c r="AG2583" s="185">
        <f t="shared" si="343"/>
        <v>-1.0910074611693337</v>
      </c>
      <c r="AH2583" s="339" t="str">
        <f>VLOOKUP(B2583,'MF PF'!A:B,2)</f>
        <v>FdMgt1</v>
      </c>
      <c r="AI2583" s="358">
        <f t="shared" si="340"/>
        <v>0</v>
      </c>
      <c r="AJ2583" s="94">
        <f t="shared" si="341"/>
        <v>43434</v>
      </c>
    </row>
    <row r="2584" spans="1:53" ht="12.75" customHeight="1">
      <c r="A2584" s="8">
        <v>43434</v>
      </c>
      <c r="B2584" s="358" t="s">
        <v>273</v>
      </c>
      <c r="C2584" s="92" t="s">
        <v>300</v>
      </c>
      <c r="D2584" s="93">
        <v>371997.92</v>
      </c>
      <c r="F2584" s="93">
        <v>0.37146900999999999</v>
      </c>
      <c r="G2584" s="93"/>
      <c r="H2584" s="93">
        <v>0</v>
      </c>
      <c r="I2584" s="93">
        <v>0</v>
      </c>
      <c r="K2584" s="7">
        <v>0</v>
      </c>
      <c r="L2584" s="93">
        <f t="shared" si="336"/>
        <v>0</v>
      </c>
      <c r="M2584" s="95" t="e">
        <f t="shared" ca="1" si="337"/>
        <v>#DIV/0!</v>
      </c>
      <c r="N2584" s="95">
        <f>IF(P2584="Hedge Fund",IF(A2584=Summary!$AD$3,M2584-E2584,M2584),IF(A2584=Summary!$AD$3,L2584-D2584,L2584))</f>
        <v>0</v>
      </c>
      <c r="O2584" s="95">
        <f t="shared" si="338"/>
        <v>0</v>
      </c>
      <c r="P2584" s="95" t="s">
        <v>155</v>
      </c>
      <c r="Q2584" s="95">
        <v>0</v>
      </c>
      <c r="R2584" s="95">
        <v>0</v>
      </c>
      <c r="S2584" s="95"/>
      <c r="T2584" s="95"/>
      <c r="U2584" s="95"/>
      <c r="V2584" s="95"/>
      <c r="W2584" s="95"/>
      <c r="X2584" s="95"/>
      <c r="Y2584" s="95"/>
      <c r="Z2584" s="95"/>
      <c r="AA2584" s="95"/>
      <c r="AB2584" s="95"/>
      <c r="AC2584" s="355"/>
      <c r="AD2584" s="355"/>
      <c r="AE2584" s="355"/>
      <c r="AF2584" s="94">
        <f t="shared" si="339"/>
        <v>43434</v>
      </c>
      <c r="AG2584" s="185" t="e">
        <f t="shared" si="343"/>
        <v>#DIV/0!</v>
      </c>
      <c r="AH2584" s="339" t="str">
        <f>VLOOKUP(B2584,'MF PF'!A:B,2)</f>
        <v>FdMgt1</v>
      </c>
      <c r="AI2584" s="358">
        <f t="shared" si="340"/>
        <v>0</v>
      </c>
      <c r="AJ2584" s="94">
        <f t="shared" si="341"/>
        <v>43434</v>
      </c>
    </row>
    <row r="2585" spans="1:53" ht="12.75" customHeight="1">
      <c r="A2585" s="8">
        <v>43465</v>
      </c>
      <c r="B2585" s="358" t="s">
        <v>273</v>
      </c>
      <c r="C2585" s="92" t="s">
        <v>300</v>
      </c>
      <c r="D2585" s="366">
        <v>375683.63</v>
      </c>
      <c r="F2585" s="93">
        <v>0.37146900999999999</v>
      </c>
      <c r="G2585" s="93"/>
      <c r="H2585" s="93">
        <v>0</v>
      </c>
      <c r="I2585" s="93">
        <v>0</v>
      </c>
      <c r="K2585" s="7">
        <v>0</v>
      </c>
      <c r="L2585" s="93">
        <f t="shared" si="336"/>
        <v>0</v>
      </c>
      <c r="M2585" s="95" t="e">
        <f t="shared" ca="1" si="337"/>
        <v>#DIV/0!</v>
      </c>
      <c r="N2585" s="95">
        <f>IF(P2585="Hedge Fund",IF(A2585=Summary!$AD$3,M2585-E2585,M2585),IF(A2585=Summary!$AD$3,L2585-D2585,L2585))</f>
        <v>0</v>
      </c>
      <c r="O2585" s="95">
        <f t="shared" si="338"/>
        <v>0</v>
      </c>
      <c r="P2585" s="95" t="s">
        <v>155</v>
      </c>
      <c r="Q2585" s="95">
        <v>-0.37568363472811306</v>
      </c>
      <c r="R2585" s="95">
        <v>0</v>
      </c>
      <c r="S2585" s="95"/>
      <c r="T2585" s="95"/>
      <c r="U2585" s="95"/>
      <c r="V2585" s="95"/>
      <c r="W2585" s="95"/>
      <c r="X2585" s="95"/>
      <c r="Y2585" s="95"/>
      <c r="Z2585" s="95"/>
      <c r="AA2585" s="95"/>
      <c r="AB2585" s="95"/>
      <c r="AC2585" s="355"/>
      <c r="AD2585" s="355"/>
      <c r="AE2585" s="355"/>
      <c r="AF2585" s="94">
        <f t="shared" si="339"/>
        <v>43465</v>
      </c>
      <c r="AG2585" s="185">
        <f t="shared" si="343"/>
        <v>9.9078779795327421E-3</v>
      </c>
      <c r="AH2585" s="339" t="str">
        <f>VLOOKUP(B2585,'MF PF'!A:B,2)</f>
        <v>FdMgt1</v>
      </c>
      <c r="AI2585" s="358">
        <f t="shared" si="340"/>
        <v>0</v>
      </c>
      <c r="AJ2585" s="94">
        <f t="shared" si="341"/>
        <v>43465</v>
      </c>
    </row>
    <row r="2586" spans="1:53" ht="12.75" customHeight="1">
      <c r="A2586" s="94">
        <v>43496</v>
      </c>
      <c r="B2586" s="358" t="s">
        <v>273</v>
      </c>
      <c r="C2586" s="358" t="s">
        <v>300</v>
      </c>
      <c r="D2586" s="93">
        <v>380773.7</v>
      </c>
      <c r="F2586" s="93">
        <v>0.36670604763743647</v>
      </c>
      <c r="G2586" s="93"/>
      <c r="H2586" s="93">
        <v>0</v>
      </c>
      <c r="I2586" s="93">
        <v>0</v>
      </c>
      <c r="K2586" s="7">
        <v>0</v>
      </c>
      <c r="L2586" s="93">
        <f t="shared" si="336"/>
        <v>0</v>
      </c>
      <c r="M2586" s="95" t="e">
        <f t="shared" ca="1" si="337"/>
        <v>#DIV/0!</v>
      </c>
      <c r="N2586" s="95">
        <f>IF(P2586="Hedge Fund",IF(A2586=Summary!$AD$3,M2586-E2586,M2586),IF(A2586=Summary!$AD$3,L2586-D2586,L2586))</f>
        <v>-380773.7</v>
      </c>
      <c r="O2586" s="95">
        <f t="shared" si="338"/>
        <v>-380773.7</v>
      </c>
      <c r="P2586" s="95" t="s">
        <v>155</v>
      </c>
      <c r="Q2586" s="95">
        <v>0</v>
      </c>
      <c r="R2586" s="95">
        <v>0</v>
      </c>
      <c r="S2586" s="95"/>
      <c r="T2586" s="95"/>
      <c r="U2586" s="95"/>
      <c r="V2586" s="95"/>
      <c r="W2586" s="95"/>
      <c r="X2586" s="95"/>
      <c r="Y2586" s="95"/>
      <c r="Z2586" s="95"/>
      <c r="AA2586" s="95"/>
      <c r="AB2586" s="95"/>
      <c r="AC2586" s="355"/>
      <c r="AD2586" s="355"/>
      <c r="AE2586" s="355"/>
      <c r="AF2586" s="94">
        <f t="shared" si="339"/>
        <v>43496</v>
      </c>
      <c r="AG2586" s="185">
        <f t="shared" si="343"/>
        <v>1.3548820319905897E-2</v>
      </c>
      <c r="AH2586" s="339" t="str">
        <f>VLOOKUP(B2586,'MF PF'!A:B,2)</f>
        <v>FdMgt1</v>
      </c>
      <c r="AI2586" s="358">
        <f t="shared" si="340"/>
        <v>0</v>
      </c>
      <c r="AJ2586" s="94">
        <f t="shared" si="341"/>
        <v>43496</v>
      </c>
    </row>
    <row r="2587" spans="1:53" ht="12.75" customHeight="1">
      <c r="A2587" s="8">
        <v>43252</v>
      </c>
      <c r="B2587" s="358" t="s">
        <v>273</v>
      </c>
      <c r="C2587" s="92" t="s">
        <v>358</v>
      </c>
      <c r="D2587" s="93"/>
      <c r="F2587" s="93"/>
      <c r="G2587" s="93">
        <v>762359.54</v>
      </c>
      <c r="H2587" s="93"/>
      <c r="I2587" s="93"/>
      <c r="L2587" s="93">
        <f t="shared" si="336"/>
        <v>762359.54</v>
      </c>
      <c r="M2587" s="95">
        <f t="shared" ca="1" si="337"/>
        <v>0</v>
      </c>
      <c r="N2587" s="95">
        <f>IF(P2587="Hedge Fund",IF(A2587=Summary!$AD$3,M2587-E2587,M2587),IF(A2587=Summary!$AD$3,L2587-D2587,L2587))</f>
        <v>762359.54</v>
      </c>
      <c r="O2587" s="95">
        <f t="shared" si="338"/>
        <v>762359.54</v>
      </c>
      <c r="P2587" s="107" t="s">
        <v>155</v>
      </c>
      <c r="Q2587" s="95">
        <v>0</v>
      </c>
      <c r="R2587" s="95">
        <v>0</v>
      </c>
      <c r="S2587" s="95"/>
      <c r="T2587" s="95"/>
      <c r="U2587" s="95"/>
      <c r="V2587" s="95"/>
      <c r="W2587" s="95"/>
      <c r="X2587" s="95"/>
      <c r="Y2587" s="95"/>
      <c r="Z2587" s="95"/>
      <c r="AA2587" s="95"/>
      <c r="AB2587" s="95"/>
      <c r="AC2587" s="355"/>
      <c r="AD2587" s="355"/>
      <c r="AE2587" s="355"/>
      <c r="AF2587" s="94">
        <f t="shared" si="339"/>
        <v>43252</v>
      </c>
      <c r="AG2587" s="185">
        <f t="shared" si="343"/>
        <v>-1</v>
      </c>
      <c r="AH2587" s="339" t="str">
        <f>VLOOKUP(B2587,'MF PF'!A:B,2)</f>
        <v>FdMgt1</v>
      </c>
      <c r="AI2587" s="358">
        <f t="shared" si="340"/>
        <v>0</v>
      </c>
      <c r="AJ2587" s="94">
        <f t="shared" si="341"/>
        <v>43281</v>
      </c>
      <c r="AK2587" s="358"/>
      <c r="AL2587" s="358"/>
      <c r="AM2587" s="358"/>
      <c r="AN2587" s="358"/>
      <c r="AO2587" s="358"/>
      <c r="AP2587" s="358"/>
      <c r="AQ2587" s="358"/>
      <c r="AR2587" s="358"/>
      <c r="AS2587" s="358"/>
      <c r="AT2587" s="358"/>
      <c r="AU2587" s="358"/>
      <c r="AV2587" s="358"/>
      <c r="AW2587" s="358"/>
      <c r="AX2587" s="358"/>
      <c r="AY2587" s="358"/>
      <c r="AZ2587" s="358"/>
      <c r="BA2587" s="358"/>
    </row>
    <row r="2588" spans="1:53" ht="12.75" customHeight="1">
      <c r="A2588" s="8">
        <v>43281</v>
      </c>
      <c r="B2588" s="358" t="s">
        <v>273</v>
      </c>
      <c r="C2588" s="92" t="s">
        <v>358</v>
      </c>
      <c r="D2588" s="93">
        <v>764459.88</v>
      </c>
      <c r="F2588" s="93"/>
      <c r="G2588" s="93"/>
      <c r="H2588" s="93"/>
      <c r="I2588" s="93"/>
      <c r="L2588" s="93">
        <f t="shared" si="336"/>
        <v>0</v>
      </c>
      <c r="M2588" s="95" t="e">
        <f t="shared" ca="1" si="337"/>
        <v>#DIV/0!</v>
      </c>
      <c r="N2588" s="95">
        <f>IF(P2588="Hedge Fund",IF(A2588=Summary!$AD$3,M2588-E2588,M2588),IF(A2588=Summary!$AD$3,L2588-D2588,L2588))</f>
        <v>0</v>
      </c>
      <c r="O2588" s="95">
        <f t="shared" si="338"/>
        <v>0</v>
      </c>
      <c r="P2588" s="107" t="s">
        <v>155</v>
      </c>
      <c r="Q2588" s="95">
        <v>0</v>
      </c>
      <c r="R2588" s="95">
        <v>0</v>
      </c>
      <c r="S2588" s="95"/>
      <c r="T2588" s="95"/>
      <c r="U2588" s="95"/>
      <c r="V2588" s="95"/>
      <c r="W2588" s="95"/>
      <c r="X2588" s="95"/>
      <c r="Y2588" s="95"/>
      <c r="Z2588" s="95"/>
      <c r="AA2588" s="95"/>
      <c r="AB2588" s="95"/>
      <c r="AC2588" s="355"/>
      <c r="AD2588" s="355"/>
      <c r="AE2588" s="355"/>
      <c r="AF2588" s="94">
        <f t="shared" si="339"/>
        <v>43281</v>
      </c>
      <c r="AG2588" s="185" t="e">
        <f t="shared" si="343"/>
        <v>#DIV/0!</v>
      </c>
      <c r="AH2588" s="339" t="str">
        <f>VLOOKUP(B2588,'MF PF'!A:B,2)</f>
        <v>FdMgt1</v>
      </c>
      <c r="AI2588" s="358">
        <f t="shared" si="340"/>
        <v>0</v>
      </c>
      <c r="AJ2588" s="94">
        <f t="shared" si="341"/>
        <v>43281</v>
      </c>
    </row>
    <row r="2589" spans="1:53" ht="12.75" customHeight="1">
      <c r="A2589" s="8">
        <v>43312</v>
      </c>
      <c r="B2589" s="358" t="s">
        <v>273</v>
      </c>
      <c r="C2589" s="92" t="s">
        <v>358</v>
      </c>
      <c r="D2589" s="93">
        <v>766833.01</v>
      </c>
      <c r="F2589" s="93"/>
      <c r="G2589" s="93"/>
      <c r="H2589" s="93"/>
      <c r="I2589" s="93"/>
      <c r="L2589" s="93">
        <f t="shared" si="336"/>
        <v>0</v>
      </c>
      <c r="M2589" s="95" t="e">
        <f t="shared" ca="1" si="337"/>
        <v>#DIV/0!</v>
      </c>
      <c r="N2589" s="95">
        <f>IF(P2589="Hedge Fund",IF(A2589=Summary!$AD$3,M2589-E2589,M2589),IF(A2589=Summary!$AD$3,L2589-D2589,L2589))</f>
        <v>0</v>
      </c>
      <c r="O2589" s="95">
        <f t="shared" si="338"/>
        <v>0</v>
      </c>
      <c r="P2589" s="107" t="s">
        <v>155</v>
      </c>
      <c r="Q2589" s="95">
        <v>0</v>
      </c>
      <c r="R2589" s="95">
        <v>0</v>
      </c>
      <c r="S2589" s="95"/>
      <c r="T2589" s="95"/>
      <c r="U2589" s="95"/>
      <c r="V2589" s="95"/>
      <c r="W2589" s="95"/>
      <c r="X2589" s="95"/>
      <c r="Y2589" s="95"/>
      <c r="Z2589" s="95"/>
      <c r="AA2589" s="95"/>
      <c r="AB2589" s="95"/>
      <c r="AC2589" s="355"/>
      <c r="AD2589" s="355"/>
      <c r="AE2589" s="355"/>
      <c r="AF2589" s="94">
        <f t="shared" si="339"/>
        <v>43312</v>
      </c>
      <c r="AG2589" s="185">
        <f t="shared" si="343"/>
        <v>3.1043224923719137E-3</v>
      </c>
      <c r="AH2589" s="339" t="str">
        <f>VLOOKUP(B2589,'MF PF'!A:B,2)</f>
        <v>FdMgt1</v>
      </c>
      <c r="AI2589" s="358">
        <f t="shared" si="340"/>
        <v>0</v>
      </c>
      <c r="AJ2589" s="94">
        <f t="shared" si="341"/>
        <v>43312</v>
      </c>
    </row>
    <row r="2590" spans="1:53" ht="12.75" customHeight="1">
      <c r="A2590" s="8">
        <v>43329</v>
      </c>
      <c r="B2590" s="358" t="s">
        <v>273</v>
      </c>
      <c r="C2590" s="92" t="s">
        <v>358</v>
      </c>
      <c r="D2590" s="93"/>
      <c r="F2590" s="93"/>
      <c r="G2590" s="93">
        <v>-242887.34982324383</v>
      </c>
      <c r="H2590" s="93"/>
      <c r="I2590" s="93"/>
      <c r="L2590" s="93">
        <f t="shared" si="336"/>
        <v>-242887.34982324383</v>
      </c>
      <c r="M2590" s="95" t="e">
        <f t="shared" ca="1" si="337"/>
        <v>#DIV/0!</v>
      </c>
      <c r="N2590" s="95">
        <f>IF(P2590="Hedge Fund",IF(A2590=Summary!$AD$3,M2590-E2590,M2590),IF(A2590=Summary!$AD$3,L2590-D2590,L2590))</f>
        <v>-242887.34982324383</v>
      </c>
      <c r="O2590" s="95">
        <f t="shared" si="338"/>
        <v>-242887.34982324383</v>
      </c>
      <c r="P2590" s="107" t="s">
        <v>155</v>
      </c>
      <c r="Q2590" s="95">
        <v>0</v>
      </c>
      <c r="R2590" s="95">
        <v>0</v>
      </c>
      <c r="S2590" s="95"/>
      <c r="T2590" s="95"/>
      <c r="U2590" s="95"/>
      <c r="V2590" s="95"/>
      <c r="W2590" s="95"/>
      <c r="X2590" s="95"/>
      <c r="Y2590" s="95"/>
      <c r="Z2590" s="95"/>
      <c r="AA2590" s="95"/>
      <c r="AB2590" s="95"/>
      <c r="AC2590" s="355"/>
      <c r="AD2590" s="355"/>
      <c r="AE2590" s="355"/>
      <c r="AF2590" s="94">
        <f t="shared" si="339"/>
        <v>43329</v>
      </c>
      <c r="AG2590" s="185">
        <f t="shared" si="343"/>
        <v>-0.68325913640149127</v>
      </c>
      <c r="AH2590" s="339" t="str">
        <f>VLOOKUP(B2590,'MF PF'!A:B,2)</f>
        <v>FdMgt1</v>
      </c>
      <c r="AI2590" s="358">
        <f t="shared" si="340"/>
        <v>0</v>
      </c>
      <c r="AJ2590" s="94">
        <f t="shared" si="341"/>
        <v>43343</v>
      </c>
    </row>
    <row r="2591" spans="1:53" ht="12.75" customHeight="1">
      <c r="A2591" s="8">
        <v>43343</v>
      </c>
      <c r="B2591" s="358" t="s">
        <v>273</v>
      </c>
      <c r="C2591" s="92" t="s">
        <v>358</v>
      </c>
      <c r="D2591" s="93">
        <v>522921.08</v>
      </c>
      <c r="F2591" s="93"/>
      <c r="G2591" s="93"/>
      <c r="H2591" s="93"/>
      <c r="I2591" s="93"/>
      <c r="L2591" s="93">
        <f t="shared" si="336"/>
        <v>0</v>
      </c>
      <c r="M2591" s="95" t="e">
        <f t="shared" ca="1" si="337"/>
        <v>#DIV/0!</v>
      </c>
      <c r="N2591" s="95">
        <f>IF(P2591="Hedge Fund",IF(A2591=Summary!$AD$3,M2591-E2591,M2591),IF(A2591=Summary!$AD$3,L2591-D2591,L2591))</f>
        <v>0</v>
      </c>
      <c r="O2591" s="95">
        <f t="shared" si="338"/>
        <v>0</v>
      </c>
      <c r="P2591" s="107" t="s">
        <v>155</v>
      </c>
      <c r="Q2591" s="95">
        <v>0</v>
      </c>
      <c r="R2591" s="95">
        <v>0</v>
      </c>
      <c r="S2591" s="95"/>
      <c r="T2591" s="95"/>
      <c r="U2591" s="95"/>
      <c r="V2591" s="95"/>
      <c r="W2591" s="95"/>
      <c r="X2591" s="95"/>
      <c r="Y2591" s="95"/>
      <c r="Z2591" s="95"/>
      <c r="AA2591" s="95"/>
      <c r="AB2591" s="95"/>
      <c r="AC2591" s="355"/>
      <c r="AD2591" s="355"/>
      <c r="AE2591" s="355"/>
      <c r="AF2591" s="94">
        <f t="shared" si="339"/>
        <v>43343</v>
      </c>
      <c r="AG2591" s="185" t="e">
        <f t="shared" si="343"/>
        <v>#DIV/0!</v>
      </c>
      <c r="AH2591" s="339" t="str">
        <f>VLOOKUP(B2591,'MF PF'!A:B,2)</f>
        <v>FdMgt1</v>
      </c>
      <c r="AI2591" s="358">
        <f t="shared" si="340"/>
        <v>0</v>
      </c>
      <c r="AJ2591" s="94">
        <f t="shared" si="341"/>
        <v>43343</v>
      </c>
    </row>
    <row r="2592" spans="1:53" ht="12.75" customHeight="1">
      <c r="A2592" s="8">
        <v>43369</v>
      </c>
      <c r="B2592" s="358" t="s">
        <v>273</v>
      </c>
      <c r="C2592" s="92" t="s">
        <v>358</v>
      </c>
      <c r="D2592" s="93"/>
      <c r="F2592" s="93"/>
      <c r="G2592" s="93">
        <v>105098.95</v>
      </c>
      <c r="H2592" s="93"/>
      <c r="I2592" s="93"/>
      <c r="K2592" s="93"/>
      <c r="L2592" s="93">
        <f t="shared" si="336"/>
        <v>105098.95</v>
      </c>
      <c r="M2592" s="95" t="e">
        <f t="shared" ca="1" si="337"/>
        <v>#DIV/0!</v>
      </c>
      <c r="N2592" s="95">
        <f>IF(P2592="Hedge Fund",IF(A2592=Summary!$AD$3,M2592-E2592,M2592),IF(A2592=Summary!$AD$3,L2592-D2592,L2592))</f>
        <v>105098.95</v>
      </c>
      <c r="O2592" s="95">
        <f t="shared" si="338"/>
        <v>105098.95</v>
      </c>
      <c r="P2592" s="107" t="s">
        <v>155</v>
      </c>
      <c r="Q2592" s="95">
        <v>0</v>
      </c>
      <c r="R2592" s="95">
        <v>0</v>
      </c>
      <c r="S2592" s="95"/>
      <c r="T2592" s="95"/>
      <c r="U2592" s="95"/>
      <c r="V2592" s="95"/>
      <c r="W2592" s="95"/>
      <c r="X2592" s="95"/>
      <c r="Y2592" s="95"/>
      <c r="Z2592" s="95"/>
      <c r="AA2592" s="95"/>
      <c r="AB2592" s="95"/>
      <c r="AC2592" s="355"/>
      <c r="AD2592" s="355"/>
      <c r="AE2592" s="355"/>
      <c r="AF2592" s="94">
        <f t="shared" si="339"/>
        <v>43369</v>
      </c>
      <c r="AG2592" s="185">
        <f t="shared" si="343"/>
        <v>-1.2009843435648071</v>
      </c>
      <c r="AH2592" s="339" t="str">
        <f>VLOOKUP(B2592,'MF PF'!A:B,2)</f>
        <v>FdMgt1</v>
      </c>
      <c r="AI2592" s="358">
        <f t="shared" si="340"/>
        <v>0</v>
      </c>
      <c r="AJ2592" s="94">
        <f t="shared" si="341"/>
        <v>43373</v>
      </c>
    </row>
    <row r="2593" spans="1:53" ht="12.75" customHeight="1">
      <c r="A2593" s="8">
        <v>43371</v>
      </c>
      <c r="B2593" s="358" t="s">
        <v>273</v>
      </c>
      <c r="C2593" s="92" t="s">
        <v>358</v>
      </c>
      <c r="D2593" s="93">
        <v>633545.97</v>
      </c>
      <c r="F2593" s="93"/>
      <c r="G2593" s="93"/>
      <c r="H2593" s="93"/>
      <c r="I2593" s="93"/>
      <c r="L2593" s="93">
        <f t="shared" si="336"/>
        <v>0</v>
      </c>
      <c r="M2593" s="95" t="e">
        <f t="shared" ca="1" si="337"/>
        <v>#DIV/0!</v>
      </c>
      <c r="N2593" s="95">
        <f>IF(P2593="Hedge Fund",IF(A2593=Summary!$AD$3,M2593-E2593,M2593),IF(A2593=Summary!$AD$3,L2593-D2593,L2593))</f>
        <v>0</v>
      </c>
      <c r="O2593" s="95">
        <f t="shared" si="338"/>
        <v>0</v>
      </c>
      <c r="P2593" s="107" t="s">
        <v>155</v>
      </c>
      <c r="Q2593" s="95">
        <v>0</v>
      </c>
      <c r="R2593" s="95">
        <v>0</v>
      </c>
      <c r="S2593" s="95"/>
      <c r="T2593" s="95"/>
      <c r="U2593" s="95"/>
      <c r="V2593" s="95"/>
      <c r="W2593" s="95"/>
      <c r="X2593" s="95"/>
      <c r="Y2593" s="95"/>
      <c r="Z2593" s="95"/>
      <c r="AA2593" s="95"/>
      <c r="AB2593" s="95"/>
      <c r="AC2593" s="355"/>
      <c r="AD2593" s="355"/>
      <c r="AE2593" s="355"/>
      <c r="AF2593" s="94">
        <f t="shared" si="339"/>
        <v>43371</v>
      </c>
      <c r="AG2593" s="185" t="e">
        <f t="shared" si="343"/>
        <v>#DIV/0!</v>
      </c>
      <c r="AH2593" s="339" t="str">
        <f>VLOOKUP(B2593,'MF PF'!A:B,2)</f>
        <v>FdMgt1</v>
      </c>
      <c r="AI2593" s="358">
        <f t="shared" si="340"/>
        <v>0</v>
      </c>
      <c r="AJ2593" s="94">
        <f t="shared" si="341"/>
        <v>43373</v>
      </c>
    </row>
    <row r="2594" spans="1:53" ht="12.75" customHeight="1">
      <c r="A2594" s="8">
        <v>43404</v>
      </c>
      <c r="B2594" s="358" t="s">
        <v>273</v>
      </c>
      <c r="C2594" s="92" t="s">
        <v>358</v>
      </c>
      <c r="D2594" s="93">
        <v>728814.84</v>
      </c>
      <c r="F2594" s="93">
        <v>0.76235954000000006</v>
      </c>
      <c r="G2594" s="93">
        <v>61685.840000000026</v>
      </c>
      <c r="H2594" s="93">
        <v>0</v>
      </c>
      <c r="I2594" s="93">
        <v>0</v>
      </c>
      <c r="J2594" s="93">
        <v>0</v>
      </c>
      <c r="L2594" s="93">
        <f t="shared" si="336"/>
        <v>61685.840000000026</v>
      </c>
      <c r="M2594" s="95" t="e">
        <f t="shared" ca="1" si="337"/>
        <v>#DIV/0!</v>
      </c>
      <c r="N2594" s="95">
        <f>IF(P2594="Hedge Fund",IF(A2594=Summary!$AD$3,M2594-E2594,M2594),IF(A2594=Summary!$AD$3,L2594-D2594,L2594))</f>
        <v>61685.840000000026</v>
      </c>
      <c r="O2594" s="95">
        <f t="shared" si="338"/>
        <v>61685.840000000026</v>
      </c>
      <c r="P2594" s="95" t="s">
        <v>155</v>
      </c>
      <c r="Q2594" s="95">
        <v>0</v>
      </c>
      <c r="R2594" s="95">
        <v>0</v>
      </c>
      <c r="S2594" s="95"/>
      <c r="T2594" s="95"/>
      <c r="U2594" s="95"/>
      <c r="V2594" s="95"/>
      <c r="W2594" s="95"/>
      <c r="X2594" s="95"/>
      <c r="Y2594" s="95"/>
      <c r="Z2594" s="95"/>
      <c r="AA2594" s="95"/>
      <c r="AB2594" s="95"/>
      <c r="AC2594" s="355"/>
      <c r="AD2594" s="355"/>
      <c r="AE2594" s="355"/>
      <c r="AF2594" s="94">
        <f t="shared" si="339"/>
        <v>43404</v>
      </c>
      <c r="AG2594" s="185">
        <f t="shared" si="343"/>
        <v>5.3008039811223151E-2</v>
      </c>
      <c r="AH2594" s="339" t="str">
        <f>VLOOKUP(B2594,'MF PF'!A:B,2)</f>
        <v>FdMgt1</v>
      </c>
      <c r="AI2594" s="358">
        <f t="shared" si="340"/>
        <v>0</v>
      </c>
      <c r="AJ2594" s="94">
        <f t="shared" si="341"/>
        <v>43404</v>
      </c>
    </row>
    <row r="2595" spans="1:53" ht="12.75" customHeight="1">
      <c r="A2595" s="8">
        <v>43432</v>
      </c>
      <c r="B2595" s="358" t="s">
        <v>273</v>
      </c>
      <c r="C2595" s="92" t="s">
        <v>358</v>
      </c>
      <c r="D2595" s="93"/>
      <c r="F2595" s="93"/>
      <c r="G2595" s="93">
        <v>66327.62</v>
      </c>
      <c r="H2595" s="93">
        <v>0</v>
      </c>
      <c r="I2595" s="93">
        <v>0</v>
      </c>
      <c r="K2595" s="7">
        <v>0</v>
      </c>
      <c r="L2595" s="93">
        <f t="shared" si="336"/>
        <v>66327.62</v>
      </c>
      <c r="M2595" s="95" t="e">
        <f t="shared" ca="1" si="337"/>
        <v>#DIV/0!</v>
      </c>
      <c r="N2595" s="95">
        <f>IF(P2595="Hedge Fund",IF(A2595=Summary!$AD$3,M2595-E2595,M2595),IF(A2595=Summary!$AD$3,L2595-D2595,L2595))</f>
        <v>66327.62</v>
      </c>
      <c r="O2595" s="95">
        <f t="shared" ref="O2595:O2626" si="344">N2595</f>
        <v>66327.62</v>
      </c>
      <c r="P2595" s="95" t="s">
        <v>155</v>
      </c>
      <c r="Q2595" s="95"/>
      <c r="R2595" s="95"/>
      <c r="S2595" s="95"/>
      <c r="T2595" s="95"/>
      <c r="U2595" s="95"/>
      <c r="V2595" s="95"/>
      <c r="W2595" s="95"/>
      <c r="X2595" s="95"/>
      <c r="Y2595" s="95"/>
      <c r="Z2595" s="95"/>
      <c r="AA2595" s="95"/>
      <c r="AB2595" s="95"/>
      <c r="AC2595" s="355"/>
      <c r="AD2595" s="355"/>
      <c r="AE2595" s="355"/>
      <c r="AF2595" s="94">
        <f t="shared" si="339"/>
        <v>43432</v>
      </c>
      <c r="AG2595" s="185">
        <f t="shared" si="343"/>
        <v>-1.091007504731929</v>
      </c>
      <c r="AH2595" s="339" t="str">
        <f>VLOOKUP(B2595,'MF PF'!A:B,2)</f>
        <v>FdMgt1</v>
      </c>
      <c r="AI2595" s="358">
        <f t="shared" si="340"/>
        <v>0</v>
      </c>
      <c r="AJ2595" s="94">
        <f t="shared" si="341"/>
        <v>43434</v>
      </c>
    </row>
    <row r="2596" spans="1:53" ht="12.75" customHeight="1">
      <c r="A2596" s="8">
        <v>43434</v>
      </c>
      <c r="B2596" s="358" t="s">
        <v>273</v>
      </c>
      <c r="C2596" s="92" t="s">
        <v>358</v>
      </c>
      <c r="D2596" s="93">
        <v>763445.01</v>
      </c>
      <c r="F2596" s="93">
        <v>0.76235954000000006</v>
      </c>
      <c r="G2596" s="93"/>
      <c r="H2596" s="93">
        <v>0</v>
      </c>
      <c r="I2596" s="93">
        <v>0</v>
      </c>
      <c r="K2596" s="7">
        <v>0</v>
      </c>
      <c r="L2596" s="93">
        <f t="shared" si="336"/>
        <v>0</v>
      </c>
      <c r="M2596" s="95" t="e">
        <f t="shared" ca="1" si="337"/>
        <v>#DIV/0!</v>
      </c>
      <c r="N2596" s="95">
        <f>IF(P2596="Hedge Fund",IF(A2596=Summary!$AD$3,M2596-E2596,M2596),IF(A2596=Summary!$AD$3,L2596-D2596,L2596))</f>
        <v>0</v>
      </c>
      <c r="O2596" s="95">
        <f t="shared" si="344"/>
        <v>0</v>
      </c>
      <c r="P2596" s="95" t="s">
        <v>155</v>
      </c>
      <c r="Q2596" s="95">
        <v>0</v>
      </c>
      <c r="R2596" s="95">
        <v>0</v>
      </c>
      <c r="S2596" s="95"/>
      <c r="T2596" s="95"/>
      <c r="U2596" s="95"/>
      <c r="V2596" s="95"/>
      <c r="W2596" s="95"/>
      <c r="X2596" s="95"/>
      <c r="Y2596" s="95"/>
      <c r="Z2596" s="95"/>
      <c r="AA2596" s="95"/>
      <c r="AB2596" s="95"/>
      <c r="AC2596" s="355"/>
      <c r="AD2596" s="355"/>
      <c r="AE2596" s="355"/>
      <c r="AF2596" s="94">
        <f t="shared" si="339"/>
        <v>43434</v>
      </c>
      <c r="AG2596" s="185" t="e">
        <f t="shared" si="343"/>
        <v>#DIV/0!</v>
      </c>
      <c r="AH2596" s="339" t="str">
        <f>VLOOKUP(B2596,'MF PF'!A:B,2)</f>
        <v>FdMgt1</v>
      </c>
      <c r="AI2596" s="358">
        <f t="shared" si="340"/>
        <v>0</v>
      </c>
      <c r="AJ2596" s="94">
        <f t="shared" si="341"/>
        <v>43434</v>
      </c>
    </row>
    <row r="2597" spans="1:53" ht="12.75" customHeight="1">
      <c r="A2597" s="94">
        <v>43465</v>
      </c>
      <c r="B2597" s="358" t="s">
        <v>273</v>
      </c>
      <c r="C2597" s="358" t="s">
        <v>358</v>
      </c>
      <c r="D2597" s="367">
        <v>771009.15</v>
      </c>
      <c r="F2597" s="93">
        <v>0.76235954000000006</v>
      </c>
      <c r="G2597" s="93"/>
      <c r="H2597" s="93">
        <v>0</v>
      </c>
      <c r="I2597" s="93">
        <v>0</v>
      </c>
      <c r="K2597" s="7">
        <v>0</v>
      </c>
      <c r="L2597" s="93">
        <f t="shared" si="336"/>
        <v>0</v>
      </c>
      <c r="M2597" s="95" t="e">
        <f t="shared" ca="1" si="337"/>
        <v>#DIV/0!</v>
      </c>
      <c r="N2597" s="95">
        <f>IF(P2597="Hedge Fund",IF(A2597=Summary!$AD$3,M2597-E2597,M2597),IF(A2597=Summary!$AD$3,L2597-D2597,L2597))</f>
        <v>0</v>
      </c>
      <c r="O2597" s="95">
        <f t="shared" si="344"/>
        <v>0</v>
      </c>
      <c r="P2597" s="95" t="s">
        <v>155</v>
      </c>
      <c r="Q2597" s="95">
        <v>-0.77100914968294021</v>
      </c>
      <c r="R2597" s="95">
        <v>0</v>
      </c>
      <c r="S2597" s="95"/>
      <c r="T2597" s="95"/>
      <c r="U2597" s="95"/>
      <c r="V2597" s="95"/>
      <c r="W2597" s="95"/>
      <c r="X2597" s="95"/>
      <c r="Y2597" s="95"/>
      <c r="Z2597" s="95"/>
      <c r="AA2597" s="95"/>
      <c r="AB2597" s="95"/>
      <c r="AC2597" s="355"/>
      <c r="AD2597" s="355"/>
      <c r="AE2597" s="355"/>
      <c r="AF2597" s="94">
        <f t="shared" si="339"/>
        <v>43465</v>
      </c>
      <c r="AG2597" s="185">
        <f t="shared" si="343"/>
        <v>9.9079041724301486E-3</v>
      </c>
      <c r="AH2597" s="339" t="str">
        <f>VLOOKUP(B2597,'MF PF'!A:B,2)</f>
        <v>FdMgt1</v>
      </c>
      <c r="AI2597" s="358">
        <f t="shared" si="340"/>
        <v>0</v>
      </c>
      <c r="AJ2597" s="94">
        <f t="shared" si="341"/>
        <v>43465</v>
      </c>
    </row>
    <row r="2598" spans="1:53" ht="12.75" customHeight="1">
      <c r="A2598" s="94">
        <v>43496</v>
      </c>
      <c r="B2598" s="358" t="s">
        <v>273</v>
      </c>
      <c r="C2598" s="358" t="s">
        <v>358</v>
      </c>
      <c r="D2598" s="93">
        <v>781455.4</v>
      </c>
      <c r="F2598" s="93">
        <v>0.7525846001767561</v>
      </c>
      <c r="G2598" s="93"/>
      <c r="H2598" s="93">
        <v>0</v>
      </c>
      <c r="I2598" s="93">
        <v>0</v>
      </c>
      <c r="K2598" s="7">
        <v>0</v>
      </c>
      <c r="L2598" s="93">
        <f t="shared" si="336"/>
        <v>0</v>
      </c>
      <c r="M2598" s="95" t="e">
        <f t="shared" ca="1" si="337"/>
        <v>#DIV/0!</v>
      </c>
      <c r="N2598" s="95">
        <f>IF(P2598="Hedge Fund",IF(A2598=Summary!$AD$3,M2598-E2598,M2598),IF(A2598=Summary!$AD$3,L2598-D2598,L2598))</f>
        <v>-781455.4</v>
      </c>
      <c r="O2598" s="95">
        <f t="shared" si="344"/>
        <v>-781455.4</v>
      </c>
      <c r="P2598" s="95" t="s">
        <v>155</v>
      </c>
      <c r="Q2598" s="95">
        <v>0</v>
      </c>
      <c r="R2598" s="95">
        <v>0</v>
      </c>
      <c r="S2598" s="95"/>
      <c r="T2598" s="95"/>
      <c r="U2598" s="95"/>
      <c r="V2598" s="95"/>
      <c r="W2598" s="95"/>
      <c r="X2598" s="95"/>
      <c r="Y2598" s="95"/>
      <c r="Z2598" s="95"/>
      <c r="AA2598" s="95"/>
      <c r="AB2598" s="95"/>
      <c r="AC2598" s="355"/>
      <c r="AD2598" s="355"/>
      <c r="AE2598" s="355"/>
      <c r="AF2598" s="94">
        <f t="shared" si="339"/>
        <v>43496</v>
      </c>
      <c r="AG2598" s="185">
        <f t="shared" si="343"/>
        <v>1.3548801593340265E-2</v>
      </c>
      <c r="AH2598" s="339" t="str">
        <f>VLOOKUP(B2598,'MF PF'!A:B,2)</f>
        <v>FdMgt1</v>
      </c>
      <c r="AI2598" s="358">
        <f t="shared" si="340"/>
        <v>0</v>
      </c>
      <c r="AJ2598" s="94">
        <f t="shared" si="341"/>
        <v>43496</v>
      </c>
      <c r="AK2598" s="358"/>
      <c r="AL2598" s="358"/>
      <c r="AM2598" s="358"/>
      <c r="AN2598" s="358"/>
      <c r="AO2598" s="358"/>
      <c r="AP2598" s="358"/>
      <c r="AQ2598" s="358"/>
      <c r="AR2598" s="358"/>
      <c r="AS2598" s="358"/>
      <c r="AT2598" s="358"/>
      <c r="AU2598" s="358"/>
      <c r="AV2598" s="358"/>
      <c r="AW2598" s="358"/>
      <c r="AX2598" s="358"/>
      <c r="AY2598" s="358"/>
      <c r="AZ2598" s="358"/>
      <c r="BA2598" s="358"/>
    </row>
    <row r="2599" spans="1:53" ht="12.75" customHeight="1">
      <c r="A2599" s="94">
        <v>43252</v>
      </c>
      <c r="B2599" s="358" t="s">
        <v>273</v>
      </c>
      <c r="C2599" s="358" t="s">
        <v>359</v>
      </c>
      <c r="D2599" s="93"/>
      <c r="F2599" s="93"/>
      <c r="G2599" s="93">
        <v>699505.07</v>
      </c>
      <c r="H2599" s="93"/>
      <c r="I2599" s="93"/>
      <c r="L2599" s="93">
        <f t="shared" si="336"/>
        <v>699505.07</v>
      </c>
      <c r="M2599" s="95">
        <f t="shared" ca="1" si="337"/>
        <v>0</v>
      </c>
      <c r="N2599" s="95">
        <f>IF(P2599="Hedge Fund",IF(A2599=Summary!$AD$3,M2599-E2599,M2599),IF(A2599=Summary!$AD$3,L2599-D2599,L2599))</f>
        <v>699505.07</v>
      </c>
      <c r="O2599" s="95">
        <f t="shared" si="344"/>
        <v>699505.07</v>
      </c>
      <c r="P2599" s="107" t="s">
        <v>155</v>
      </c>
      <c r="Q2599" s="95">
        <v>0</v>
      </c>
      <c r="R2599" s="95">
        <v>0</v>
      </c>
      <c r="S2599" s="95"/>
      <c r="T2599" s="95"/>
      <c r="U2599" s="95"/>
      <c r="V2599" s="95"/>
      <c r="W2599" s="95"/>
      <c r="X2599" s="95"/>
      <c r="Y2599" s="95"/>
      <c r="Z2599" s="95"/>
      <c r="AA2599" s="95"/>
      <c r="AB2599" s="95"/>
      <c r="AC2599" s="355"/>
      <c r="AD2599" s="355"/>
      <c r="AE2599" s="355"/>
      <c r="AF2599" s="94">
        <f t="shared" si="339"/>
        <v>43252</v>
      </c>
      <c r="AG2599" s="185">
        <f t="shared" si="343"/>
        <v>-1</v>
      </c>
      <c r="AH2599" s="339" t="str">
        <f>VLOOKUP(B2599,'MF PF'!A:B,2)</f>
        <v>FdMgt1</v>
      </c>
      <c r="AI2599" s="358">
        <f t="shared" si="340"/>
        <v>0</v>
      </c>
      <c r="AJ2599" s="94">
        <f t="shared" si="341"/>
        <v>43281</v>
      </c>
    </row>
    <row r="2600" spans="1:53" ht="12.75" customHeight="1">
      <c r="A2600" s="94">
        <v>43281</v>
      </c>
      <c r="B2600" s="358" t="s">
        <v>273</v>
      </c>
      <c r="C2600" s="358" t="s">
        <v>359</v>
      </c>
      <c r="D2600" s="93">
        <v>701432.24</v>
      </c>
      <c r="F2600" s="93"/>
      <c r="G2600" s="93"/>
      <c r="H2600" s="93"/>
      <c r="I2600" s="93"/>
      <c r="L2600" s="93">
        <f t="shared" si="336"/>
        <v>0</v>
      </c>
      <c r="M2600" s="95" t="e">
        <f t="shared" ca="1" si="337"/>
        <v>#DIV/0!</v>
      </c>
      <c r="N2600" s="95">
        <f>IF(P2600="Hedge Fund",IF(A2600=Summary!$AD$3,M2600-E2600,M2600),IF(A2600=Summary!$AD$3,L2600-D2600,L2600))</f>
        <v>0</v>
      </c>
      <c r="O2600" s="95">
        <f t="shared" si="344"/>
        <v>0</v>
      </c>
      <c r="P2600" s="107" t="s">
        <v>155</v>
      </c>
      <c r="Q2600" s="95">
        <v>0</v>
      </c>
      <c r="R2600" s="95">
        <v>0</v>
      </c>
      <c r="S2600" s="95"/>
      <c r="T2600" s="95"/>
      <c r="U2600" s="95"/>
      <c r="V2600" s="95"/>
      <c r="W2600" s="95"/>
      <c r="X2600" s="95"/>
      <c r="Y2600" s="95"/>
      <c r="Z2600" s="95"/>
      <c r="AA2600" s="95"/>
      <c r="AB2600" s="95"/>
      <c r="AC2600" s="355"/>
      <c r="AD2600" s="355"/>
      <c r="AE2600" s="355"/>
      <c r="AF2600" s="94">
        <f t="shared" si="339"/>
        <v>43281</v>
      </c>
      <c r="AG2600" s="185" t="e">
        <f t="shared" si="343"/>
        <v>#DIV/0!</v>
      </c>
      <c r="AH2600" s="339" t="str">
        <f>VLOOKUP(B2600,'MF PF'!A:B,2)</f>
        <v>FdMgt1</v>
      </c>
      <c r="AI2600" s="358">
        <f t="shared" si="340"/>
        <v>0</v>
      </c>
      <c r="AJ2600" s="94">
        <f t="shared" si="341"/>
        <v>43281</v>
      </c>
    </row>
    <row r="2601" spans="1:53" s="92" customFormat="1" ht="12.75" customHeight="1">
      <c r="A2601" s="94">
        <v>43312</v>
      </c>
      <c r="B2601" s="358" t="s">
        <v>273</v>
      </c>
      <c r="C2601" s="358" t="s">
        <v>359</v>
      </c>
      <c r="D2601" s="93">
        <v>703609.72</v>
      </c>
      <c r="E2601" s="95"/>
      <c r="F2601" s="93"/>
      <c r="G2601" s="93"/>
      <c r="H2601" s="93"/>
      <c r="I2601" s="93"/>
      <c r="J2601" s="93"/>
      <c r="K2601" s="93"/>
      <c r="L2601" s="93">
        <f t="shared" si="336"/>
        <v>0</v>
      </c>
      <c r="M2601" s="95" t="e">
        <f t="shared" ca="1" si="337"/>
        <v>#DIV/0!</v>
      </c>
      <c r="N2601" s="95">
        <f>IF(P2601="Hedge Fund",IF(A2601=Summary!$AD$3,M2601-E2601,M2601),IF(A2601=Summary!$AD$3,L2601-D2601,L2601))</f>
        <v>0</v>
      </c>
      <c r="O2601" s="95">
        <f t="shared" si="344"/>
        <v>0</v>
      </c>
      <c r="P2601" s="107" t="s">
        <v>155</v>
      </c>
      <c r="Q2601" s="95">
        <v>0</v>
      </c>
      <c r="R2601" s="95">
        <v>0</v>
      </c>
      <c r="S2601" s="95"/>
      <c r="T2601" s="95"/>
      <c r="U2601" s="95"/>
      <c r="V2601" s="95"/>
      <c r="W2601" s="95"/>
      <c r="X2601" s="95"/>
      <c r="Y2601" s="95"/>
      <c r="Z2601" s="95"/>
      <c r="AA2601" s="95"/>
      <c r="AB2601" s="95"/>
      <c r="AC2601" s="355"/>
      <c r="AD2601" s="355"/>
      <c r="AE2601" s="355"/>
      <c r="AF2601" s="94">
        <f t="shared" si="339"/>
        <v>43312</v>
      </c>
      <c r="AG2601" s="185">
        <f t="shared" si="343"/>
        <v>3.1043340693892585E-3</v>
      </c>
      <c r="AH2601" s="339" t="str">
        <f>VLOOKUP(B2601,'MF PF'!A:B,2)</f>
        <v>FdMgt1</v>
      </c>
      <c r="AI2601" s="358">
        <f t="shared" si="340"/>
        <v>0</v>
      </c>
      <c r="AJ2601" s="94">
        <f t="shared" si="341"/>
        <v>43312</v>
      </c>
    </row>
    <row r="2602" spans="1:53" s="92" customFormat="1" ht="12.75" customHeight="1">
      <c r="A2602" s="94">
        <v>43329</v>
      </c>
      <c r="B2602" s="358" t="s">
        <v>273</v>
      </c>
      <c r="C2602" s="358" t="s">
        <v>359</v>
      </c>
      <c r="D2602" s="93"/>
      <c r="E2602" s="95"/>
      <c r="F2602" s="93"/>
      <c r="G2602" s="93">
        <v>-222861.94689173144</v>
      </c>
      <c r="H2602" s="93"/>
      <c r="I2602" s="93"/>
      <c r="J2602" s="93"/>
      <c r="K2602" s="93"/>
      <c r="L2602" s="93">
        <f t="shared" si="336"/>
        <v>-222861.94689173144</v>
      </c>
      <c r="M2602" s="95" t="e">
        <f t="shared" ca="1" si="337"/>
        <v>#DIV/0!</v>
      </c>
      <c r="N2602" s="95">
        <f>IF(P2602="Hedge Fund",IF(A2602=Summary!$AD$3,M2602-E2602,M2602),IF(A2602=Summary!$AD$3,L2602-D2602,L2602))</f>
        <v>-222861.94689173144</v>
      </c>
      <c r="O2602" s="95">
        <f t="shared" si="344"/>
        <v>-222861.94689173144</v>
      </c>
      <c r="P2602" s="107" t="s">
        <v>155</v>
      </c>
      <c r="Q2602" s="95">
        <v>0</v>
      </c>
      <c r="R2602" s="95">
        <v>0</v>
      </c>
      <c r="S2602" s="95"/>
      <c r="T2602" s="95"/>
      <c r="U2602" s="95"/>
      <c r="V2602" s="95"/>
      <c r="W2602" s="95"/>
      <c r="X2602" s="95"/>
      <c r="Y2602" s="95"/>
      <c r="Z2602" s="95"/>
      <c r="AA2602" s="95"/>
      <c r="AB2602" s="95"/>
      <c r="AC2602" s="355"/>
      <c r="AD2602" s="355"/>
      <c r="AE2602" s="355"/>
      <c r="AF2602" s="94">
        <f t="shared" si="339"/>
        <v>43329</v>
      </c>
      <c r="AG2602" s="185">
        <f t="shared" si="343"/>
        <v>-0.68325914131525722</v>
      </c>
      <c r="AH2602" s="339" t="str">
        <f>VLOOKUP(B2602,'MF PF'!A:B,2)</f>
        <v>FdMgt1</v>
      </c>
      <c r="AI2602" s="358">
        <f t="shared" si="340"/>
        <v>0</v>
      </c>
      <c r="AJ2602" s="94">
        <f t="shared" si="341"/>
        <v>43343</v>
      </c>
    </row>
    <row r="2603" spans="1:53" s="92" customFormat="1" ht="12.75" customHeight="1">
      <c r="A2603" s="94">
        <v>43343</v>
      </c>
      <c r="B2603" s="358" t="s">
        <v>273</v>
      </c>
      <c r="C2603" s="358" t="s">
        <v>359</v>
      </c>
      <c r="D2603" s="93">
        <v>479807.66</v>
      </c>
      <c r="E2603" s="95"/>
      <c r="F2603" s="93"/>
      <c r="G2603" s="93"/>
      <c r="H2603" s="93"/>
      <c r="I2603" s="93"/>
      <c r="J2603" s="93"/>
      <c r="K2603" s="93"/>
      <c r="L2603" s="93">
        <f t="shared" si="336"/>
        <v>0</v>
      </c>
      <c r="M2603" s="95" t="e">
        <f t="shared" ca="1" si="337"/>
        <v>#DIV/0!</v>
      </c>
      <c r="N2603" s="95">
        <f>IF(P2603="Hedge Fund",IF(A2603=Summary!$AD$3,M2603-E2603,M2603),IF(A2603=Summary!$AD$3,L2603-D2603,L2603))</f>
        <v>0</v>
      </c>
      <c r="O2603" s="95">
        <f t="shared" si="344"/>
        <v>0</v>
      </c>
      <c r="P2603" s="107" t="s">
        <v>155</v>
      </c>
      <c r="Q2603" s="95">
        <v>0</v>
      </c>
      <c r="R2603" s="95">
        <v>0</v>
      </c>
      <c r="S2603" s="95"/>
      <c r="T2603" s="95"/>
      <c r="U2603" s="95"/>
      <c r="V2603" s="95"/>
      <c r="W2603" s="95"/>
      <c r="X2603" s="95"/>
      <c r="Y2603" s="95"/>
      <c r="Z2603" s="95"/>
      <c r="AA2603" s="95"/>
      <c r="AB2603" s="95"/>
      <c r="AC2603" s="355"/>
      <c r="AD2603" s="355"/>
      <c r="AE2603" s="355"/>
      <c r="AF2603" s="94">
        <f t="shared" si="339"/>
        <v>43343</v>
      </c>
      <c r="AG2603" s="185" t="e">
        <f t="shared" si="343"/>
        <v>#DIV/0!</v>
      </c>
      <c r="AH2603" s="339" t="str">
        <f>VLOOKUP(B2603,'MF PF'!A:B,2)</f>
        <v>FdMgt1</v>
      </c>
      <c r="AI2603" s="358">
        <f t="shared" si="340"/>
        <v>0</v>
      </c>
      <c r="AJ2603" s="94">
        <f t="shared" si="341"/>
        <v>43343</v>
      </c>
    </row>
    <row r="2604" spans="1:53" s="92" customFormat="1" ht="12.75" customHeight="1">
      <c r="A2604" s="94">
        <v>43369</v>
      </c>
      <c r="B2604" s="358" t="s">
        <v>273</v>
      </c>
      <c r="C2604" s="358" t="s">
        <v>359</v>
      </c>
      <c r="D2604" s="93"/>
      <c r="E2604" s="95"/>
      <c r="F2604" s="93"/>
      <c r="G2604" s="93">
        <v>96433.83</v>
      </c>
      <c r="H2604" s="93"/>
      <c r="I2604" s="93"/>
      <c r="J2604" s="93"/>
      <c r="K2604" s="93"/>
      <c r="L2604" s="93">
        <f t="shared" si="336"/>
        <v>96433.83</v>
      </c>
      <c r="M2604" s="95" t="e">
        <f t="shared" ca="1" si="337"/>
        <v>#DIV/0!</v>
      </c>
      <c r="N2604" s="95">
        <f>IF(P2604="Hedge Fund",IF(A2604=Summary!$AD$3,M2604-E2604,M2604),IF(A2604=Summary!$AD$3,L2604-D2604,L2604))</f>
        <v>96433.83</v>
      </c>
      <c r="O2604" s="95">
        <f t="shared" si="344"/>
        <v>96433.83</v>
      </c>
      <c r="P2604" s="107" t="s">
        <v>155</v>
      </c>
      <c r="Q2604" s="95">
        <v>0</v>
      </c>
      <c r="R2604" s="95">
        <v>0</v>
      </c>
      <c r="S2604" s="95"/>
      <c r="T2604" s="95"/>
      <c r="U2604" s="95"/>
      <c r="V2604" s="95"/>
      <c r="W2604" s="95"/>
      <c r="X2604" s="95"/>
      <c r="Y2604" s="95"/>
      <c r="Z2604" s="95"/>
      <c r="AA2604" s="95"/>
      <c r="AB2604" s="95"/>
      <c r="AC2604" s="355"/>
      <c r="AD2604" s="355"/>
      <c r="AE2604" s="355"/>
      <c r="AF2604" s="94">
        <f t="shared" si="339"/>
        <v>43369</v>
      </c>
      <c r="AG2604" s="185">
        <f t="shared" si="343"/>
        <v>-1.2009843486033549</v>
      </c>
      <c r="AH2604" s="339" t="str">
        <f>VLOOKUP(B2604,'MF PF'!A:B,2)</f>
        <v>FdMgt1</v>
      </c>
      <c r="AI2604" s="358">
        <f t="shared" si="340"/>
        <v>0</v>
      </c>
      <c r="AJ2604" s="94">
        <f t="shared" si="341"/>
        <v>43373</v>
      </c>
    </row>
    <row r="2605" spans="1:53" s="92" customFormat="1" ht="12.75" customHeight="1">
      <c r="A2605" s="94">
        <v>43371</v>
      </c>
      <c r="B2605" s="358" t="s">
        <v>273</v>
      </c>
      <c r="C2605" s="358" t="s">
        <v>359</v>
      </c>
      <c r="D2605" s="93">
        <v>581311.82999999996</v>
      </c>
      <c r="E2605" s="95"/>
      <c r="F2605" s="93"/>
      <c r="G2605" s="93"/>
      <c r="H2605" s="93"/>
      <c r="I2605" s="93"/>
      <c r="J2605" s="93"/>
      <c r="K2605" s="93"/>
      <c r="L2605" s="93">
        <f t="shared" si="336"/>
        <v>0</v>
      </c>
      <c r="M2605" s="95" t="e">
        <f t="shared" ca="1" si="337"/>
        <v>#DIV/0!</v>
      </c>
      <c r="N2605" s="95">
        <f>IF(P2605="Hedge Fund",IF(A2605=Summary!$AD$3,M2605-E2605,M2605),IF(A2605=Summary!$AD$3,L2605-D2605,L2605))</f>
        <v>0</v>
      </c>
      <c r="O2605" s="95">
        <f t="shared" si="344"/>
        <v>0</v>
      </c>
      <c r="P2605" s="107" t="s">
        <v>155</v>
      </c>
      <c r="Q2605" s="95">
        <v>0</v>
      </c>
      <c r="R2605" s="95">
        <v>0</v>
      </c>
      <c r="S2605" s="95"/>
      <c r="T2605" s="95"/>
      <c r="U2605" s="95"/>
      <c r="V2605" s="95"/>
      <c r="W2605" s="95"/>
      <c r="X2605" s="95"/>
      <c r="Y2605" s="95"/>
      <c r="Z2605" s="95"/>
      <c r="AA2605" s="95"/>
      <c r="AB2605" s="95"/>
      <c r="AC2605" s="355"/>
      <c r="AD2605" s="355"/>
      <c r="AE2605" s="355"/>
      <c r="AF2605" s="94">
        <f t="shared" si="339"/>
        <v>43371</v>
      </c>
      <c r="AG2605" s="185" t="e">
        <f t="shared" si="343"/>
        <v>#DIV/0!</v>
      </c>
      <c r="AH2605" s="339" t="str">
        <f>VLOOKUP(B2605,'MF PF'!A:B,2)</f>
        <v>FdMgt1</v>
      </c>
      <c r="AI2605" s="358">
        <f t="shared" si="340"/>
        <v>0</v>
      </c>
      <c r="AJ2605" s="94">
        <f t="shared" si="341"/>
        <v>43373</v>
      </c>
    </row>
    <row r="2606" spans="1:53" s="92" customFormat="1" ht="12.75" customHeight="1">
      <c r="A2606" s="94">
        <v>43404</v>
      </c>
      <c r="B2606" s="358" t="s">
        <v>273</v>
      </c>
      <c r="C2606" s="358" t="s">
        <v>359</v>
      </c>
      <c r="D2606" s="93">
        <v>668726.04</v>
      </c>
      <c r="E2606" s="95"/>
      <c r="F2606" s="93">
        <v>0.69950506999999995</v>
      </c>
      <c r="G2606" s="93">
        <v>56600.010000000009</v>
      </c>
      <c r="H2606" s="93">
        <v>0</v>
      </c>
      <c r="I2606" s="93">
        <v>0</v>
      </c>
      <c r="J2606" s="93">
        <v>0</v>
      </c>
      <c r="K2606" s="93"/>
      <c r="L2606" s="93">
        <f t="shared" si="336"/>
        <v>56600.010000000009</v>
      </c>
      <c r="M2606" s="95" t="e">
        <f t="shared" ca="1" si="337"/>
        <v>#DIV/0!</v>
      </c>
      <c r="N2606" s="95">
        <f>IF(P2606="Hedge Fund",IF(A2606=Summary!$AD$3,M2606-E2606,M2606),IF(A2606=Summary!$AD$3,L2606-D2606,L2606))</f>
        <v>56600.010000000009</v>
      </c>
      <c r="O2606" s="95">
        <f t="shared" si="344"/>
        <v>56600.010000000009</v>
      </c>
      <c r="P2606" s="95" t="s">
        <v>155</v>
      </c>
      <c r="Q2606" s="95">
        <v>0</v>
      </c>
      <c r="R2606" s="95">
        <v>0</v>
      </c>
      <c r="S2606" s="95"/>
      <c r="T2606" s="95"/>
      <c r="U2606" s="95"/>
      <c r="V2606" s="95"/>
      <c r="W2606" s="95"/>
      <c r="X2606" s="95"/>
      <c r="Y2606" s="95"/>
      <c r="Z2606" s="95"/>
      <c r="AA2606" s="95"/>
      <c r="AB2606" s="95"/>
      <c r="AC2606" s="355"/>
      <c r="AD2606" s="355"/>
      <c r="AE2606" s="355"/>
      <c r="AF2606" s="94">
        <f t="shared" si="339"/>
        <v>43404</v>
      </c>
      <c r="AG2606" s="185">
        <f t="shared" si="343"/>
        <v>5.3008038731983342E-2</v>
      </c>
      <c r="AH2606" s="339" t="str">
        <f>VLOOKUP(B2606,'MF PF'!A:B,2)</f>
        <v>FdMgt1</v>
      </c>
      <c r="AI2606" s="358">
        <f t="shared" si="340"/>
        <v>0</v>
      </c>
      <c r="AJ2606" s="94">
        <f t="shared" si="341"/>
        <v>43404</v>
      </c>
    </row>
    <row r="2607" spans="1:53" s="92" customFormat="1" ht="12.75" customHeight="1">
      <c r="A2607" s="94">
        <v>43432</v>
      </c>
      <c r="B2607" s="358" t="s">
        <v>273</v>
      </c>
      <c r="C2607" s="358" t="s">
        <v>359</v>
      </c>
      <c r="D2607" s="93"/>
      <c r="E2607" s="95"/>
      <c r="F2607" s="93"/>
      <c r="G2607" s="93">
        <v>60859.08</v>
      </c>
      <c r="H2607" s="93">
        <v>0</v>
      </c>
      <c r="I2607" s="93">
        <v>0</v>
      </c>
      <c r="J2607" s="93"/>
      <c r="K2607" s="93">
        <v>0</v>
      </c>
      <c r="L2607" s="93">
        <f t="shared" si="336"/>
        <v>60859.08</v>
      </c>
      <c r="M2607" s="95" t="e">
        <f t="shared" ca="1" si="337"/>
        <v>#DIV/0!</v>
      </c>
      <c r="N2607" s="95">
        <f>IF(P2607="Hedge Fund",IF(A2607=Summary!$AD$3,M2607-E2607,M2607),IF(A2607=Summary!$AD$3,L2607-D2607,L2607))</f>
        <v>60859.08</v>
      </c>
      <c r="O2607" s="95">
        <f t="shared" si="344"/>
        <v>60859.08</v>
      </c>
      <c r="P2607" s="95" t="s">
        <v>155</v>
      </c>
      <c r="Q2607" s="95"/>
      <c r="R2607" s="95"/>
      <c r="S2607" s="95"/>
      <c r="T2607" s="95"/>
      <c r="U2607" s="95"/>
      <c r="V2607" s="95"/>
      <c r="W2607" s="95"/>
      <c r="X2607" s="95"/>
      <c r="Y2607" s="95"/>
      <c r="Z2607" s="95"/>
      <c r="AA2607" s="95"/>
      <c r="AB2607" s="95"/>
      <c r="AC2607" s="355"/>
      <c r="AD2607" s="355"/>
      <c r="AE2607" s="355"/>
      <c r="AF2607" s="94">
        <f t="shared" si="339"/>
        <v>43432</v>
      </c>
      <c r="AG2607" s="185">
        <f t="shared" si="343"/>
        <v>-1.0910074923955406</v>
      </c>
      <c r="AH2607" s="339" t="str">
        <f>VLOOKUP(B2607,'MF PF'!A:B,2)</f>
        <v>FdMgt1</v>
      </c>
      <c r="AI2607" s="358">
        <f t="shared" si="340"/>
        <v>0</v>
      </c>
      <c r="AJ2607" s="94">
        <f t="shared" si="341"/>
        <v>43434</v>
      </c>
      <c r="AK2607" s="358"/>
      <c r="AL2607" s="358"/>
      <c r="AM2607" s="358"/>
      <c r="AN2607" s="358"/>
      <c r="AO2607" s="358"/>
      <c r="AP2607" s="358"/>
      <c r="AQ2607" s="358"/>
      <c r="AR2607" s="358"/>
      <c r="AS2607" s="358"/>
      <c r="AT2607" s="358"/>
      <c r="AU2607" s="358"/>
      <c r="AV2607" s="358"/>
      <c r="AW2607" s="358"/>
      <c r="AX2607" s="358"/>
      <c r="AY2607" s="358"/>
      <c r="AZ2607" s="358"/>
      <c r="BA2607" s="358"/>
    </row>
    <row r="2608" spans="1:53" s="92" customFormat="1" ht="12.75" customHeight="1">
      <c r="A2608" s="94">
        <v>43434</v>
      </c>
      <c r="B2608" s="358" t="s">
        <v>273</v>
      </c>
      <c r="C2608" s="358" t="s">
        <v>359</v>
      </c>
      <c r="D2608" s="93">
        <v>700501.04</v>
      </c>
      <c r="E2608" s="95"/>
      <c r="F2608" s="93">
        <v>0.69950506999999995</v>
      </c>
      <c r="G2608" s="93"/>
      <c r="H2608" s="93">
        <v>0</v>
      </c>
      <c r="I2608" s="93">
        <v>0</v>
      </c>
      <c r="J2608" s="93"/>
      <c r="K2608" s="93">
        <v>0</v>
      </c>
      <c r="L2608" s="93">
        <f t="shared" si="336"/>
        <v>0</v>
      </c>
      <c r="M2608" s="95" t="e">
        <f t="shared" ca="1" si="337"/>
        <v>#DIV/0!</v>
      </c>
      <c r="N2608" s="95">
        <f>IF(P2608="Hedge Fund",IF(A2608=Summary!$AD$3,M2608-E2608,M2608),IF(A2608=Summary!$AD$3,L2608-D2608,L2608))</f>
        <v>0</v>
      </c>
      <c r="O2608" s="95">
        <f t="shared" si="344"/>
        <v>0</v>
      </c>
      <c r="P2608" s="95" t="s">
        <v>155</v>
      </c>
      <c r="Q2608" s="95">
        <v>0</v>
      </c>
      <c r="R2608" s="95">
        <v>0</v>
      </c>
      <c r="S2608" s="95"/>
      <c r="T2608" s="95"/>
      <c r="U2608" s="95"/>
      <c r="V2608" s="95"/>
      <c r="W2608" s="95"/>
      <c r="X2608" s="95"/>
      <c r="Y2608" s="95"/>
      <c r="Z2608" s="95"/>
      <c r="AA2608" s="95"/>
      <c r="AB2608" s="95"/>
      <c r="AC2608" s="355"/>
      <c r="AD2608" s="355"/>
      <c r="AE2608" s="355"/>
      <c r="AF2608" s="94">
        <f t="shared" si="339"/>
        <v>43434</v>
      </c>
      <c r="AG2608" s="185" t="e">
        <f t="shared" si="343"/>
        <v>#DIV/0!</v>
      </c>
      <c r="AH2608" s="339" t="str">
        <f>VLOOKUP(B2608,'MF PF'!A:B,2)</f>
        <v>FdMgt1</v>
      </c>
      <c r="AI2608" s="358">
        <f t="shared" si="340"/>
        <v>0</v>
      </c>
      <c r="AJ2608" s="94">
        <f t="shared" si="341"/>
        <v>43434</v>
      </c>
    </row>
    <row r="2609" spans="1:53" ht="12.75" customHeight="1">
      <c r="A2609" s="94">
        <v>43465</v>
      </c>
      <c r="B2609" s="358" t="s">
        <v>273</v>
      </c>
      <c r="C2609" s="358" t="s">
        <v>359</v>
      </c>
      <c r="D2609" s="93">
        <v>707441.54</v>
      </c>
      <c r="F2609" s="93">
        <v>0.69950506999999995</v>
      </c>
      <c r="G2609" s="93"/>
      <c r="H2609" s="93">
        <v>0</v>
      </c>
      <c r="I2609" s="93">
        <v>0</v>
      </c>
      <c r="K2609" s="7">
        <v>0</v>
      </c>
      <c r="L2609" s="93">
        <f t="shared" si="336"/>
        <v>0</v>
      </c>
      <c r="M2609" s="95" t="e">
        <f t="shared" ca="1" si="337"/>
        <v>#DIV/0!</v>
      </c>
      <c r="N2609" s="95">
        <f>IF(P2609="Hedge Fund",IF(A2609=Summary!$AD$3,M2609-E2609,M2609),IF(A2609=Summary!$AD$3,L2609-D2609,L2609))</f>
        <v>0</v>
      </c>
      <c r="O2609" s="95">
        <f t="shared" si="344"/>
        <v>0</v>
      </c>
      <c r="P2609" s="95" t="s">
        <v>155</v>
      </c>
      <c r="Q2609" s="95">
        <v>-0.70744153863344006</v>
      </c>
      <c r="R2609" s="95">
        <v>0</v>
      </c>
      <c r="S2609" s="95"/>
      <c r="T2609" s="95"/>
      <c r="U2609" s="95"/>
      <c r="V2609" s="95"/>
      <c r="W2609" s="95"/>
      <c r="X2609" s="95"/>
      <c r="Y2609" s="95"/>
      <c r="Z2609" s="95"/>
      <c r="AA2609" s="95"/>
      <c r="AB2609" s="95"/>
      <c r="AC2609" s="355"/>
      <c r="AD2609" s="355"/>
      <c r="AE2609" s="355"/>
      <c r="AF2609" s="94">
        <f t="shared" si="339"/>
        <v>43465</v>
      </c>
      <c r="AG2609" s="185">
        <f t="shared" si="343"/>
        <v>9.9079082023918463E-3</v>
      </c>
      <c r="AH2609" s="339" t="str">
        <f>VLOOKUP(B2609,'MF PF'!A:B,2)</f>
        <v>FdMgt1</v>
      </c>
      <c r="AI2609" s="358">
        <f t="shared" si="340"/>
        <v>0</v>
      </c>
      <c r="AJ2609" s="94">
        <f t="shared" si="341"/>
        <v>43465</v>
      </c>
    </row>
    <row r="2610" spans="1:53" ht="12.75" customHeight="1">
      <c r="A2610" s="94">
        <v>43496</v>
      </c>
      <c r="B2610" s="358" t="s">
        <v>273</v>
      </c>
      <c r="C2610" s="358" t="s">
        <v>359</v>
      </c>
      <c r="D2610" s="93">
        <v>717026.52</v>
      </c>
      <c r="E2610" s="95"/>
      <c r="F2610" s="93">
        <v>0.69053604310826844</v>
      </c>
      <c r="G2610" s="93"/>
      <c r="H2610" s="93">
        <v>0</v>
      </c>
      <c r="I2610" s="93">
        <v>0</v>
      </c>
      <c r="K2610" s="93">
        <v>0</v>
      </c>
      <c r="L2610" s="93">
        <f t="shared" si="336"/>
        <v>0</v>
      </c>
      <c r="M2610" s="95" t="e">
        <f t="shared" ca="1" si="337"/>
        <v>#DIV/0!</v>
      </c>
      <c r="N2610" s="95">
        <f>IF(P2610="Hedge Fund",IF(A2610=Summary!$AD$3,M2610-E2610,M2610),IF(A2610=Summary!$AD$3,L2610-D2610,L2610))</f>
        <v>-717026.52</v>
      </c>
      <c r="O2610" s="95">
        <f t="shared" si="344"/>
        <v>-717026.52</v>
      </c>
      <c r="P2610" s="95" t="s">
        <v>155</v>
      </c>
      <c r="Q2610" s="95">
        <v>0</v>
      </c>
      <c r="R2610" s="95">
        <v>0</v>
      </c>
      <c r="S2610" s="95"/>
      <c r="T2610" s="95"/>
      <c r="U2610" s="95"/>
      <c r="V2610" s="95"/>
      <c r="W2610" s="95"/>
      <c r="X2610" s="95"/>
      <c r="Y2610" s="95"/>
      <c r="Z2610" s="95"/>
      <c r="AA2610" s="95"/>
      <c r="AB2610" s="95"/>
      <c r="AC2610" s="355"/>
      <c r="AD2610" s="355"/>
      <c r="AE2610" s="355"/>
      <c r="AF2610" s="94">
        <f t="shared" si="339"/>
        <v>43496</v>
      </c>
      <c r="AG2610" s="185">
        <f t="shared" si="343"/>
        <v>1.354879443466106E-2</v>
      </c>
      <c r="AH2610" s="339" t="str">
        <f>VLOOKUP(B2610,'MF PF'!A:B,2)</f>
        <v>FdMgt1</v>
      </c>
      <c r="AI2610" s="358">
        <f t="shared" si="340"/>
        <v>0</v>
      </c>
      <c r="AJ2610" s="94">
        <f t="shared" si="341"/>
        <v>43496</v>
      </c>
    </row>
    <row r="2611" spans="1:53" ht="12.75" customHeight="1">
      <c r="A2611" s="94">
        <v>43252</v>
      </c>
      <c r="B2611" s="358" t="s">
        <v>273</v>
      </c>
      <c r="C2611" s="358" t="s">
        <v>360</v>
      </c>
      <c r="D2611" s="93"/>
      <c r="F2611" s="93"/>
      <c r="G2611" s="93">
        <v>200000</v>
      </c>
      <c r="H2611" s="93"/>
      <c r="I2611" s="93"/>
      <c r="K2611" s="93"/>
      <c r="L2611" s="93">
        <f t="shared" si="336"/>
        <v>200000</v>
      </c>
      <c r="M2611" s="95">
        <f t="shared" ca="1" si="337"/>
        <v>0</v>
      </c>
      <c r="N2611" s="95">
        <f>IF(P2611="Hedge Fund",IF(A2611=Summary!$AD$3,M2611-E2611,M2611),IF(A2611=Summary!$AD$3,L2611-D2611,L2611))</f>
        <v>200000</v>
      </c>
      <c r="O2611" s="95">
        <f t="shared" si="344"/>
        <v>200000</v>
      </c>
      <c r="P2611" s="107" t="s">
        <v>155</v>
      </c>
      <c r="Q2611" s="95">
        <v>0</v>
      </c>
      <c r="R2611" s="95">
        <v>0</v>
      </c>
      <c r="S2611" s="95"/>
      <c r="T2611" s="95"/>
      <c r="U2611" s="95"/>
      <c r="V2611" s="95"/>
      <c r="W2611" s="95"/>
      <c r="X2611" s="95"/>
      <c r="Y2611" s="95"/>
      <c r="Z2611" s="95"/>
      <c r="AA2611" s="95"/>
      <c r="AB2611" s="95"/>
      <c r="AC2611" s="355"/>
      <c r="AD2611" s="355"/>
      <c r="AE2611" s="355"/>
      <c r="AF2611" s="94">
        <f t="shared" si="339"/>
        <v>43252</v>
      </c>
      <c r="AG2611" s="185">
        <f t="shared" si="343"/>
        <v>-1</v>
      </c>
      <c r="AH2611" s="339" t="str">
        <f>VLOOKUP(B2611,'MF PF'!A:B,2)</f>
        <v>FdMgt1</v>
      </c>
      <c r="AI2611" s="358">
        <f t="shared" si="340"/>
        <v>0</v>
      </c>
      <c r="AJ2611" s="94">
        <f t="shared" si="341"/>
        <v>43281</v>
      </c>
    </row>
    <row r="2612" spans="1:53" ht="12.75" customHeight="1">
      <c r="A2612" s="94">
        <v>43281</v>
      </c>
      <c r="B2612" s="358" t="s">
        <v>273</v>
      </c>
      <c r="C2612" s="358" t="s">
        <v>360</v>
      </c>
      <c r="D2612" s="93">
        <v>200551.01</v>
      </c>
      <c r="F2612" s="93"/>
      <c r="G2612" s="93"/>
      <c r="H2612" s="93"/>
      <c r="I2612" s="93"/>
      <c r="K2612" s="93"/>
      <c r="L2612" s="93">
        <f t="shared" si="336"/>
        <v>0</v>
      </c>
      <c r="M2612" s="95" t="e">
        <f t="shared" ca="1" si="337"/>
        <v>#DIV/0!</v>
      </c>
      <c r="N2612" s="95">
        <f>IF(P2612="Hedge Fund",IF(A2612=Summary!$AD$3,M2612-E2612,M2612),IF(A2612=Summary!$AD$3,L2612-D2612,L2612))</f>
        <v>0</v>
      </c>
      <c r="O2612" s="95">
        <f t="shared" si="344"/>
        <v>0</v>
      </c>
      <c r="P2612" s="107" t="s">
        <v>155</v>
      </c>
      <c r="Q2612" s="95">
        <v>0</v>
      </c>
      <c r="R2612" s="95">
        <v>0</v>
      </c>
      <c r="S2612" s="95"/>
      <c r="T2612" s="95"/>
      <c r="U2612" s="95"/>
      <c r="V2612" s="95"/>
      <c r="W2612" s="95"/>
      <c r="X2612" s="95"/>
      <c r="Y2612" s="95"/>
      <c r="Z2612" s="95"/>
      <c r="AA2612" s="95"/>
      <c r="AB2612" s="95"/>
      <c r="AC2612" s="355"/>
      <c r="AD2612" s="355"/>
      <c r="AE2612" s="355"/>
      <c r="AF2612" s="94">
        <f t="shared" si="339"/>
        <v>43281</v>
      </c>
      <c r="AG2612" s="185" t="e">
        <f t="shared" si="343"/>
        <v>#DIV/0!</v>
      </c>
      <c r="AH2612" s="339" t="str">
        <f>VLOOKUP(B2612,'MF PF'!A:B,2)</f>
        <v>FdMgt1</v>
      </c>
      <c r="AI2612" s="358">
        <f t="shared" si="340"/>
        <v>0</v>
      </c>
      <c r="AJ2612" s="94">
        <f t="shared" si="341"/>
        <v>43281</v>
      </c>
    </row>
    <row r="2613" spans="1:53" ht="12.75" customHeight="1">
      <c r="A2613" s="94">
        <v>43312</v>
      </c>
      <c r="B2613" s="358" t="s">
        <v>273</v>
      </c>
      <c r="C2613" s="358" t="s">
        <v>360</v>
      </c>
      <c r="D2613" s="93">
        <v>201173.59</v>
      </c>
      <c r="F2613" s="93"/>
      <c r="G2613" s="93"/>
      <c r="H2613" s="93"/>
      <c r="I2613" s="93"/>
      <c r="L2613" s="93">
        <f t="shared" si="336"/>
        <v>0</v>
      </c>
      <c r="M2613" s="95" t="e">
        <f t="shared" ca="1" si="337"/>
        <v>#DIV/0!</v>
      </c>
      <c r="N2613" s="95">
        <f>IF(P2613="Hedge Fund",IF(A2613=Summary!$AD$3,M2613-E2613,M2613),IF(A2613=Summary!$AD$3,L2613-D2613,L2613))</f>
        <v>0</v>
      </c>
      <c r="O2613" s="95">
        <f t="shared" si="344"/>
        <v>0</v>
      </c>
      <c r="P2613" s="107" t="s">
        <v>155</v>
      </c>
      <c r="Q2613" s="95">
        <v>0</v>
      </c>
      <c r="R2613" s="95">
        <v>0</v>
      </c>
      <c r="S2613" s="95"/>
      <c r="T2613" s="95"/>
      <c r="U2613" s="95"/>
      <c r="V2613" s="95"/>
      <c r="W2613" s="95"/>
      <c r="X2613" s="95"/>
      <c r="Y2613" s="95"/>
      <c r="Z2613" s="95"/>
      <c r="AA2613" s="95"/>
      <c r="AB2613" s="95"/>
      <c r="AC2613" s="355"/>
      <c r="AD2613" s="355"/>
      <c r="AE2613" s="355"/>
      <c r="AF2613" s="94">
        <f t="shared" si="339"/>
        <v>43312</v>
      </c>
      <c r="AG2613" s="185">
        <f t="shared" si="343"/>
        <v>3.1043473677843103E-3</v>
      </c>
      <c r="AH2613" s="339" t="str">
        <f>VLOOKUP(B2613,'MF PF'!A:B,2)</f>
        <v>FdMgt1</v>
      </c>
      <c r="AI2613" s="358">
        <f t="shared" si="340"/>
        <v>0</v>
      </c>
      <c r="AJ2613" s="94">
        <f t="shared" si="341"/>
        <v>43312</v>
      </c>
    </row>
    <row r="2614" spans="1:53" ht="12.75" customHeight="1">
      <c r="A2614" s="94">
        <v>43329</v>
      </c>
      <c r="B2614" s="358" t="s">
        <v>273</v>
      </c>
      <c r="C2614" s="358" t="s">
        <v>360</v>
      </c>
      <c r="D2614" s="93"/>
      <c r="E2614" s="95"/>
      <c r="F2614" s="93"/>
      <c r="G2614" s="93">
        <v>-63719.89255890096</v>
      </c>
      <c r="H2614" s="93"/>
      <c r="I2614" s="93"/>
      <c r="K2614" s="93"/>
      <c r="L2614" s="93">
        <f t="shared" si="336"/>
        <v>-63719.89255890096</v>
      </c>
      <c r="M2614" s="95" t="e">
        <f t="shared" ca="1" si="337"/>
        <v>#DIV/0!</v>
      </c>
      <c r="N2614" s="95">
        <f>IF(P2614="Hedge Fund",IF(A2614=Summary!$AD$3,M2614-E2614,M2614),IF(A2614=Summary!$AD$3,L2614-D2614,L2614))</f>
        <v>-63719.89255890096</v>
      </c>
      <c r="O2614" s="95">
        <f t="shared" si="344"/>
        <v>-63719.89255890096</v>
      </c>
      <c r="P2614" s="107" t="s">
        <v>155</v>
      </c>
      <c r="Q2614" s="95">
        <v>0</v>
      </c>
      <c r="R2614" s="95">
        <v>0</v>
      </c>
      <c r="S2614" s="95"/>
      <c r="T2614" s="95"/>
      <c r="U2614" s="95"/>
      <c r="V2614" s="95"/>
      <c r="W2614" s="95"/>
      <c r="X2614" s="95"/>
      <c r="Y2614" s="95"/>
      <c r="Z2614" s="95"/>
      <c r="AA2614" s="95"/>
      <c r="AB2614" s="95"/>
      <c r="AC2614" s="355"/>
      <c r="AD2614" s="355"/>
      <c r="AE2614" s="355"/>
      <c r="AF2614" s="94">
        <f t="shared" si="339"/>
        <v>43329</v>
      </c>
      <c r="AG2614" s="185">
        <f t="shared" si="343"/>
        <v>-0.6832591566373053</v>
      </c>
      <c r="AH2614" s="339" t="str">
        <f>VLOOKUP(B2614,'MF PF'!A:B,2)</f>
        <v>FdMgt1</v>
      </c>
      <c r="AI2614" s="358">
        <f t="shared" si="340"/>
        <v>0</v>
      </c>
      <c r="AJ2614" s="94">
        <f t="shared" si="341"/>
        <v>43343</v>
      </c>
    </row>
    <row r="2615" spans="1:53" ht="12.75" customHeight="1">
      <c r="A2615" s="94">
        <v>43343</v>
      </c>
      <c r="B2615" s="358" t="s">
        <v>273</v>
      </c>
      <c r="C2615" s="358" t="s">
        <v>360</v>
      </c>
      <c r="D2615" s="93">
        <v>137184.9</v>
      </c>
      <c r="F2615" s="93"/>
      <c r="G2615" s="93"/>
      <c r="H2615" s="93"/>
      <c r="I2615" s="93"/>
      <c r="L2615" s="93">
        <f t="shared" si="336"/>
        <v>0</v>
      </c>
      <c r="M2615" s="95" t="e">
        <f t="shared" ca="1" si="337"/>
        <v>#DIV/0!</v>
      </c>
      <c r="N2615" s="95">
        <f>IF(P2615="Hedge Fund",IF(A2615=Summary!$AD$3,M2615-E2615,M2615),IF(A2615=Summary!$AD$3,L2615-D2615,L2615))</f>
        <v>0</v>
      </c>
      <c r="O2615" s="95">
        <f t="shared" si="344"/>
        <v>0</v>
      </c>
      <c r="P2615" s="107" t="s">
        <v>155</v>
      </c>
      <c r="Q2615" s="95">
        <v>0</v>
      </c>
      <c r="R2615" s="95">
        <v>0</v>
      </c>
      <c r="S2615" s="95"/>
      <c r="T2615" s="95"/>
      <c r="U2615" s="95"/>
      <c r="V2615" s="95"/>
      <c r="W2615" s="95"/>
      <c r="X2615" s="95"/>
      <c r="Y2615" s="95"/>
      <c r="Z2615" s="95"/>
      <c r="AA2615" s="95"/>
      <c r="AB2615" s="95"/>
      <c r="AC2615" s="355"/>
      <c r="AD2615" s="355"/>
      <c r="AE2615" s="355"/>
      <c r="AF2615" s="94">
        <f t="shared" si="339"/>
        <v>43343</v>
      </c>
      <c r="AG2615" s="185" t="e">
        <f t="shared" si="343"/>
        <v>#DIV/0!</v>
      </c>
      <c r="AH2615" s="339" t="str">
        <f>VLOOKUP(B2615,'MF PF'!A:B,2)</f>
        <v>FdMgt1</v>
      </c>
      <c r="AI2615" s="358">
        <f t="shared" si="340"/>
        <v>0</v>
      </c>
      <c r="AJ2615" s="94">
        <f t="shared" si="341"/>
        <v>43343</v>
      </c>
    </row>
    <row r="2616" spans="1:53" ht="12.75" customHeight="1">
      <c r="A2616" s="94">
        <v>43369</v>
      </c>
      <c r="B2616" s="358" t="s">
        <v>273</v>
      </c>
      <c r="C2616" s="358" t="s">
        <v>360</v>
      </c>
      <c r="D2616" s="93"/>
      <c r="F2616" s="93"/>
      <c r="G2616" s="93">
        <v>27572.02</v>
      </c>
      <c r="H2616" s="93"/>
      <c r="I2616" s="93"/>
      <c r="L2616" s="93">
        <f t="shared" si="336"/>
        <v>27572.02</v>
      </c>
      <c r="M2616" s="95" t="e">
        <f t="shared" ca="1" si="337"/>
        <v>#DIV/0!</v>
      </c>
      <c r="N2616" s="95">
        <f>IF(P2616="Hedge Fund",IF(A2616=Summary!$AD$3,M2616-E2616,M2616),IF(A2616=Summary!$AD$3,L2616-D2616,L2616))</f>
        <v>27572.02</v>
      </c>
      <c r="O2616" s="95">
        <f t="shared" si="344"/>
        <v>27572.02</v>
      </c>
      <c r="P2616" s="107" t="s">
        <v>155</v>
      </c>
      <c r="Q2616" s="95">
        <v>0</v>
      </c>
      <c r="R2616" s="95">
        <v>0</v>
      </c>
      <c r="S2616" s="95"/>
      <c r="T2616" s="95"/>
      <c r="U2616" s="95"/>
      <c r="V2616" s="95"/>
      <c r="W2616" s="95"/>
      <c r="X2616" s="95"/>
      <c r="Y2616" s="95"/>
      <c r="Z2616" s="95"/>
      <c r="AA2616" s="95"/>
      <c r="AB2616" s="95"/>
      <c r="AC2616" s="355"/>
      <c r="AD2616" s="355"/>
      <c r="AE2616" s="355"/>
      <c r="AF2616" s="94">
        <f t="shared" si="339"/>
        <v>43369</v>
      </c>
      <c r="AG2616" s="185">
        <f t="shared" si="343"/>
        <v>-1.2009843648973029</v>
      </c>
      <c r="AH2616" s="339" t="str">
        <f>VLOOKUP(B2616,'MF PF'!A:B,2)</f>
        <v>FdMgt1</v>
      </c>
      <c r="AI2616" s="358">
        <f t="shared" si="340"/>
        <v>0</v>
      </c>
      <c r="AJ2616" s="94">
        <f t="shared" si="341"/>
        <v>43373</v>
      </c>
    </row>
    <row r="2617" spans="1:53" ht="12.75" customHeight="1">
      <c r="A2617" s="94">
        <v>43371</v>
      </c>
      <c r="B2617" s="358" t="s">
        <v>273</v>
      </c>
      <c r="C2617" s="358" t="s">
        <v>360</v>
      </c>
      <c r="D2617" s="93">
        <v>166206.60999999999</v>
      </c>
      <c r="F2617" s="93"/>
      <c r="G2617" s="93"/>
      <c r="H2617" s="93"/>
      <c r="I2617" s="93"/>
      <c r="K2617" s="93"/>
      <c r="L2617" s="93">
        <f t="shared" si="336"/>
        <v>0</v>
      </c>
      <c r="M2617" s="95" t="e">
        <f t="shared" ca="1" si="337"/>
        <v>#DIV/0!</v>
      </c>
      <c r="N2617" s="95">
        <f>IF(P2617="Hedge Fund",IF(A2617=Summary!$AD$3,M2617-E2617,M2617),IF(A2617=Summary!$AD$3,L2617-D2617,L2617))</f>
        <v>0</v>
      </c>
      <c r="O2617" s="95">
        <f t="shared" si="344"/>
        <v>0</v>
      </c>
      <c r="P2617" s="107" t="s">
        <v>155</v>
      </c>
      <c r="Q2617" s="95">
        <v>0</v>
      </c>
      <c r="R2617" s="95">
        <v>0</v>
      </c>
      <c r="S2617" s="95"/>
      <c r="T2617" s="95"/>
      <c r="U2617" s="95"/>
      <c r="V2617" s="95"/>
      <c r="W2617" s="95"/>
      <c r="X2617" s="95"/>
      <c r="Y2617" s="95"/>
      <c r="Z2617" s="95"/>
      <c r="AA2617" s="95"/>
      <c r="AB2617" s="95"/>
      <c r="AC2617" s="355"/>
      <c r="AD2617" s="355"/>
      <c r="AE2617" s="355"/>
      <c r="AF2617" s="94">
        <f t="shared" si="339"/>
        <v>43371</v>
      </c>
      <c r="AG2617" s="185" t="e">
        <f t="shared" si="343"/>
        <v>#DIV/0!</v>
      </c>
      <c r="AH2617" s="339" t="str">
        <f>VLOOKUP(B2617,'MF PF'!A:B,2)</f>
        <v>FdMgt1</v>
      </c>
      <c r="AI2617" s="358">
        <f t="shared" si="340"/>
        <v>0</v>
      </c>
      <c r="AJ2617" s="94">
        <f t="shared" si="341"/>
        <v>43373</v>
      </c>
    </row>
    <row r="2618" spans="1:53" ht="12.75" customHeight="1">
      <c r="A2618" s="94">
        <v>43404</v>
      </c>
      <c r="B2618" s="358" t="s">
        <v>273</v>
      </c>
      <c r="C2618" s="358" t="s">
        <v>360</v>
      </c>
      <c r="D2618" s="93">
        <v>208600.38</v>
      </c>
      <c r="E2618" s="95"/>
      <c r="F2618" s="93">
        <v>0.2</v>
      </c>
      <c r="G2618" s="93">
        <v>16182.87999999999</v>
      </c>
      <c r="H2618" s="93">
        <v>0</v>
      </c>
      <c r="I2618" s="93">
        <v>0</v>
      </c>
      <c r="J2618" s="93">
        <v>0</v>
      </c>
      <c r="K2618" s="93"/>
      <c r="L2618" s="93">
        <f t="shared" si="336"/>
        <v>16182.87999999999</v>
      </c>
      <c r="M2618" s="95" t="e">
        <f t="shared" ca="1" si="337"/>
        <v>#DIV/0!</v>
      </c>
      <c r="N2618" s="95">
        <f>IF(P2618="Hedge Fund",IF(A2618=Summary!$AD$3,M2618-E2618,M2618),IF(A2618=Summary!$AD$3,L2618-D2618,L2618))</f>
        <v>16182.87999999999</v>
      </c>
      <c r="O2618" s="95">
        <f t="shared" si="344"/>
        <v>16182.87999999999</v>
      </c>
      <c r="P2618" s="95" t="s">
        <v>155</v>
      </c>
      <c r="Q2618" s="95">
        <v>0</v>
      </c>
      <c r="R2618" s="95">
        <v>0</v>
      </c>
      <c r="S2618" s="95"/>
      <c r="T2618" s="95"/>
      <c r="U2618" s="95"/>
      <c r="V2618" s="95"/>
      <c r="W2618" s="95"/>
      <c r="X2618" s="95"/>
      <c r="Y2618" s="95"/>
      <c r="Z2618" s="95"/>
      <c r="AA2618" s="95"/>
      <c r="AB2618" s="95"/>
      <c r="AC2618" s="355"/>
      <c r="AD2618" s="355"/>
      <c r="AE2618" s="355"/>
      <c r="AF2618" s="94">
        <f t="shared" si="339"/>
        <v>43404</v>
      </c>
      <c r="AG2618" s="185">
        <f t="shared" si="343"/>
        <v>0.15770064740505818</v>
      </c>
      <c r="AH2618" s="339" t="str">
        <f>VLOOKUP(B2618,'MF PF'!A:B,2)</f>
        <v>FdMgt1</v>
      </c>
      <c r="AI2618" s="358">
        <f t="shared" si="340"/>
        <v>0</v>
      </c>
      <c r="AJ2618" s="94">
        <f t="shared" si="341"/>
        <v>43404</v>
      </c>
    </row>
    <row r="2619" spans="1:53" ht="12.75" customHeight="1">
      <c r="A2619" s="94">
        <v>43432</v>
      </c>
      <c r="B2619" s="358" t="s">
        <v>273</v>
      </c>
      <c r="C2619" s="358" t="s">
        <v>360</v>
      </c>
      <c r="D2619" s="93"/>
      <c r="E2619" s="95"/>
      <c r="F2619" s="93"/>
      <c r="G2619" s="93">
        <v>17400.599999999999</v>
      </c>
      <c r="H2619" s="93">
        <v>0</v>
      </c>
      <c r="I2619" s="93">
        <v>0</v>
      </c>
      <c r="K2619" s="93">
        <v>0</v>
      </c>
      <c r="L2619" s="93">
        <f t="shared" si="336"/>
        <v>17400.599999999999</v>
      </c>
      <c r="M2619" s="95" t="e">
        <f t="shared" ca="1" si="337"/>
        <v>#DIV/0!</v>
      </c>
      <c r="N2619" s="95">
        <f>IF(P2619="Hedge Fund",IF(A2619=Summary!$AD$3,M2619-E2619,M2619),IF(A2619=Summary!$AD$3,L2619-D2619,L2619))</f>
        <v>17400.599999999999</v>
      </c>
      <c r="O2619" s="95">
        <f t="shared" si="344"/>
        <v>17400.599999999999</v>
      </c>
      <c r="P2619" s="95" t="s">
        <v>155</v>
      </c>
      <c r="Q2619" s="95"/>
      <c r="R2619" s="95"/>
      <c r="S2619" s="95"/>
      <c r="T2619" s="95"/>
      <c r="U2619" s="95"/>
      <c r="V2619" s="95"/>
      <c r="W2619" s="95"/>
      <c r="X2619" s="95"/>
      <c r="Y2619" s="95"/>
      <c r="Z2619" s="95"/>
      <c r="AA2619" s="95"/>
      <c r="AB2619" s="95"/>
      <c r="AC2619" s="355"/>
      <c r="AD2619" s="355"/>
      <c r="AE2619" s="355"/>
      <c r="AF2619" s="94">
        <f t="shared" si="339"/>
        <v>43432</v>
      </c>
      <c r="AG2619" s="185">
        <f t="shared" si="343"/>
        <v>-1.0834159554263516</v>
      </c>
      <c r="AH2619" s="339" t="str">
        <f>VLOOKUP(B2619,'MF PF'!A:B,2)</f>
        <v>FdMgt1</v>
      </c>
      <c r="AI2619" s="358">
        <f t="shared" si="340"/>
        <v>0</v>
      </c>
      <c r="AJ2619" s="94">
        <f t="shared" si="341"/>
        <v>43434</v>
      </c>
    </row>
    <row r="2620" spans="1:53" ht="12.75" customHeight="1">
      <c r="A2620" s="94">
        <v>43434</v>
      </c>
      <c r="B2620" s="358" t="s">
        <v>273</v>
      </c>
      <c r="C2620" s="358" t="s">
        <v>360</v>
      </c>
      <c r="D2620" s="93">
        <v>235085.97</v>
      </c>
      <c r="E2620" s="95"/>
      <c r="F2620" s="93">
        <v>0.2</v>
      </c>
      <c r="G2620" s="93"/>
      <c r="H2620" s="93">
        <v>0</v>
      </c>
      <c r="I2620" s="93">
        <v>0</v>
      </c>
      <c r="K2620" s="93">
        <v>0</v>
      </c>
      <c r="L2620" s="93">
        <f t="shared" si="336"/>
        <v>0</v>
      </c>
      <c r="M2620" s="95" t="e">
        <f t="shared" ca="1" si="337"/>
        <v>#DIV/0!</v>
      </c>
      <c r="N2620" s="95">
        <f>IF(P2620="Hedge Fund",IF(A2620=Summary!$AD$3,M2620-E2620,M2620),IF(A2620=Summary!$AD$3,L2620-D2620,L2620))</f>
        <v>0</v>
      </c>
      <c r="O2620" s="95">
        <f t="shared" si="344"/>
        <v>0</v>
      </c>
      <c r="P2620" s="95" t="s">
        <v>155</v>
      </c>
      <c r="Q2620" s="95">
        <v>0</v>
      </c>
      <c r="R2620" s="95">
        <v>0</v>
      </c>
      <c r="S2620" s="95"/>
      <c r="T2620" s="95"/>
      <c r="U2620" s="95"/>
      <c r="V2620" s="95"/>
      <c r="W2620" s="95"/>
      <c r="X2620" s="95"/>
      <c r="Y2620" s="95"/>
      <c r="Z2620" s="95"/>
      <c r="AA2620" s="95"/>
      <c r="AB2620" s="95"/>
      <c r="AC2620" s="355"/>
      <c r="AD2620" s="355"/>
      <c r="AE2620" s="355"/>
      <c r="AF2620" s="94">
        <f t="shared" si="339"/>
        <v>43434</v>
      </c>
      <c r="AG2620" s="185" t="e">
        <f t="shared" si="343"/>
        <v>#DIV/0!</v>
      </c>
      <c r="AH2620" s="339" t="str">
        <f>VLOOKUP(B2620,'MF PF'!A:B,2)</f>
        <v>FdMgt1</v>
      </c>
      <c r="AI2620" s="358">
        <f t="shared" si="340"/>
        <v>0</v>
      </c>
      <c r="AJ2620" s="94">
        <f t="shared" si="341"/>
        <v>43434</v>
      </c>
    </row>
    <row r="2621" spans="1:53" ht="12.75" customHeight="1">
      <c r="A2621" s="94">
        <v>43465</v>
      </c>
      <c r="B2621" s="358" t="s">
        <v>273</v>
      </c>
      <c r="C2621" s="358" t="s">
        <v>360</v>
      </c>
      <c r="D2621" s="93">
        <v>202269.17</v>
      </c>
      <c r="F2621" s="93">
        <v>0.2</v>
      </c>
      <c r="G2621" s="93"/>
      <c r="H2621" s="93">
        <v>0</v>
      </c>
      <c r="I2621" s="93">
        <v>0</v>
      </c>
      <c r="K2621" s="93">
        <v>0</v>
      </c>
      <c r="L2621" s="93">
        <f t="shared" si="336"/>
        <v>0</v>
      </c>
      <c r="M2621" s="95" t="e">
        <f t="shared" ca="1" si="337"/>
        <v>#DIV/0!</v>
      </c>
      <c r="N2621" s="95">
        <f>IF(P2621="Hedge Fund",IF(A2621=Summary!$AD$3,M2621-E2621,M2621),IF(A2621=Summary!$AD$3,L2621-D2621,L2621))</f>
        <v>0</v>
      </c>
      <c r="O2621" s="95">
        <f t="shared" si="344"/>
        <v>0</v>
      </c>
      <c r="P2621" s="95" t="s">
        <v>155</v>
      </c>
      <c r="Q2621" s="95">
        <v>-0.20226916655316415</v>
      </c>
      <c r="R2621" s="95">
        <v>0</v>
      </c>
      <c r="S2621" s="95"/>
      <c r="T2621" s="95"/>
      <c r="U2621" s="95"/>
      <c r="V2621" s="95"/>
      <c r="W2621" s="95"/>
      <c r="X2621" s="95"/>
      <c r="Y2621" s="95"/>
      <c r="Z2621" s="95"/>
      <c r="AA2621" s="95"/>
      <c r="AB2621" s="95"/>
      <c r="AC2621" s="355"/>
      <c r="AD2621" s="355"/>
      <c r="AE2621" s="355"/>
      <c r="AF2621" s="94">
        <f t="shared" si="339"/>
        <v>43465</v>
      </c>
      <c r="AG2621" s="185">
        <f t="shared" si="343"/>
        <v>-0.13959488947809173</v>
      </c>
      <c r="AH2621" s="339" t="str">
        <f>VLOOKUP(B2621,'MF PF'!A:B,2)</f>
        <v>FdMgt1</v>
      </c>
      <c r="AI2621" s="358">
        <f t="shared" si="340"/>
        <v>0</v>
      </c>
      <c r="AJ2621" s="94">
        <f t="shared" si="341"/>
        <v>43465</v>
      </c>
    </row>
    <row r="2622" spans="1:53" ht="12.75" customHeight="1">
      <c r="A2622" s="94">
        <v>43496</v>
      </c>
      <c r="B2622" s="358" t="s">
        <v>273</v>
      </c>
      <c r="C2622" s="358" t="s">
        <v>360</v>
      </c>
      <c r="D2622" s="93">
        <v>205009.67</v>
      </c>
      <c r="F2622" s="93">
        <v>0.19743560744109903</v>
      </c>
      <c r="G2622" s="93"/>
      <c r="H2622" s="93">
        <v>0</v>
      </c>
      <c r="I2622" s="93">
        <v>0</v>
      </c>
      <c r="K2622" s="93">
        <v>0</v>
      </c>
      <c r="L2622" s="93">
        <f t="shared" si="336"/>
        <v>0</v>
      </c>
      <c r="M2622" s="95" t="e">
        <f t="shared" ca="1" si="337"/>
        <v>#DIV/0!</v>
      </c>
      <c r="N2622" s="95">
        <f>IF(P2622="Hedge Fund",IF(A2622=Summary!$AD$3,M2622-E2622,M2622),IF(A2622=Summary!$AD$3,L2622-D2622,L2622))</f>
        <v>-205009.67</v>
      </c>
      <c r="O2622" s="95">
        <f t="shared" si="344"/>
        <v>-205009.67</v>
      </c>
      <c r="P2622" s="95" t="s">
        <v>155</v>
      </c>
      <c r="Q2622" s="95">
        <v>0</v>
      </c>
      <c r="R2622" s="95">
        <v>0</v>
      </c>
      <c r="S2622" s="95"/>
      <c r="T2622" s="95"/>
      <c r="U2622" s="95"/>
      <c r="V2622" s="95"/>
      <c r="W2622" s="95"/>
      <c r="X2622" s="95"/>
      <c r="Y2622" s="95"/>
      <c r="Z2622" s="95"/>
      <c r="AA2622" s="95"/>
      <c r="AB2622" s="95"/>
      <c r="AC2622" s="355"/>
      <c r="AD2622" s="355"/>
      <c r="AE2622" s="355"/>
      <c r="AF2622" s="94">
        <f t="shared" si="339"/>
        <v>43496</v>
      </c>
      <c r="AG2622" s="185">
        <f t="shared" si="343"/>
        <v>1.3548777601648299E-2</v>
      </c>
      <c r="AH2622" s="339" t="str">
        <f>VLOOKUP(B2622,'MF PF'!A:B,2)</f>
        <v>FdMgt1</v>
      </c>
      <c r="AI2622" s="358">
        <f t="shared" si="340"/>
        <v>0</v>
      </c>
      <c r="AJ2622" s="94">
        <f t="shared" si="341"/>
        <v>43496</v>
      </c>
    </row>
    <row r="2623" spans="1:53" ht="12.75" customHeight="1">
      <c r="A2623" s="94">
        <v>43252</v>
      </c>
      <c r="B2623" s="358" t="s">
        <v>273</v>
      </c>
      <c r="C2623" s="358" t="s">
        <v>361</v>
      </c>
      <c r="D2623" s="93"/>
      <c r="F2623" s="93"/>
      <c r="G2623" s="93">
        <v>250000</v>
      </c>
      <c r="H2623" s="93"/>
      <c r="I2623" s="93"/>
      <c r="K2623" s="93"/>
      <c r="L2623" s="93">
        <f t="shared" si="336"/>
        <v>250000</v>
      </c>
      <c r="M2623" s="95">
        <f t="shared" ca="1" si="337"/>
        <v>0</v>
      </c>
      <c r="N2623" s="95">
        <f>IF(P2623="Hedge Fund",IF(A2623=Summary!$AD$3,M2623-E2623,M2623),IF(A2623=Summary!$AD$3,L2623-D2623,L2623))</f>
        <v>250000</v>
      </c>
      <c r="O2623" s="95">
        <f t="shared" si="344"/>
        <v>250000</v>
      </c>
      <c r="P2623" s="107" t="s">
        <v>155</v>
      </c>
      <c r="Q2623" s="95">
        <v>0</v>
      </c>
      <c r="R2623" s="95">
        <v>0</v>
      </c>
      <c r="S2623" s="95"/>
      <c r="T2623" s="95"/>
      <c r="U2623" s="95"/>
      <c r="V2623" s="95"/>
      <c r="W2623" s="95"/>
      <c r="X2623" s="95"/>
      <c r="Y2623" s="95"/>
      <c r="Z2623" s="95"/>
      <c r="AA2623" s="95"/>
      <c r="AB2623" s="95"/>
      <c r="AC2623" s="355"/>
      <c r="AD2623" s="355"/>
      <c r="AE2623" s="355"/>
      <c r="AF2623" s="94">
        <f t="shared" si="339"/>
        <v>43252</v>
      </c>
      <c r="AG2623" s="185">
        <f t="shared" si="343"/>
        <v>-1</v>
      </c>
      <c r="AH2623" s="339" t="str">
        <f>VLOOKUP(B2623,'MF PF'!A:B,2)</f>
        <v>FdMgt1</v>
      </c>
      <c r="AI2623" s="358">
        <f t="shared" si="340"/>
        <v>0</v>
      </c>
      <c r="AJ2623" s="94">
        <f t="shared" si="341"/>
        <v>43281</v>
      </c>
      <c r="AK2623" s="358"/>
      <c r="AL2623" s="358"/>
      <c r="AM2623" s="358"/>
      <c r="AN2623" s="358"/>
      <c r="AO2623" s="358"/>
      <c r="AP2623" s="358"/>
      <c r="AQ2623" s="358"/>
      <c r="AR2623" s="358"/>
      <c r="AS2623" s="358"/>
      <c r="AT2623" s="358"/>
      <c r="AU2623" s="358"/>
      <c r="AV2623" s="358"/>
      <c r="AW2623" s="358"/>
      <c r="AX2623" s="358"/>
      <c r="AY2623" s="358"/>
      <c r="AZ2623" s="358"/>
      <c r="BA2623" s="358"/>
    </row>
    <row r="2624" spans="1:53" ht="12.75" customHeight="1">
      <c r="A2624" s="94">
        <v>43281</v>
      </c>
      <c r="B2624" s="358" t="s">
        <v>273</v>
      </c>
      <c r="C2624" s="358" t="s">
        <v>361</v>
      </c>
      <c r="D2624" s="93">
        <v>250688.76</v>
      </c>
      <c r="F2624" s="93"/>
      <c r="G2624" s="93"/>
      <c r="H2624" s="93"/>
      <c r="I2624" s="93"/>
      <c r="K2624" s="93"/>
      <c r="L2624" s="93">
        <f t="shared" si="336"/>
        <v>0</v>
      </c>
      <c r="M2624" s="95" t="e">
        <f t="shared" ca="1" si="337"/>
        <v>#DIV/0!</v>
      </c>
      <c r="N2624" s="95">
        <f>IF(P2624="Hedge Fund",IF(A2624=Summary!$AD$3,M2624-E2624,M2624),IF(A2624=Summary!$AD$3,L2624-D2624,L2624))</f>
        <v>0</v>
      </c>
      <c r="O2624" s="95">
        <f t="shared" si="344"/>
        <v>0</v>
      </c>
      <c r="P2624" s="107" t="s">
        <v>155</v>
      </c>
      <c r="Q2624" s="95">
        <v>0</v>
      </c>
      <c r="R2624" s="95">
        <v>0</v>
      </c>
      <c r="S2624" s="95"/>
      <c r="T2624" s="95"/>
      <c r="U2624" s="95"/>
      <c r="V2624" s="95"/>
      <c r="W2624" s="95"/>
      <c r="X2624" s="95"/>
      <c r="Y2624" s="95"/>
      <c r="Z2624" s="95"/>
      <c r="AA2624" s="95"/>
      <c r="AB2624" s="95"/>
      <c r="AC2624" s="355"/>
      <c r="AD2624" s="355"/>
      <c r="AE2624" s="355"/>
      <c r="AF2624" s="94">
        <f t="shared" si="339"/>
        <v>43281</v>
      </c>
      <c r="AG2624" s="185" t="e">
        <f t="shared" si="343"/>
        <v>#DIV/0!</v>
      </c>
      <c r="AH2624" s="339" t="str">
        <f>VLOOKUP(B2624,'MF PF'!A:B,2)</f>
        <v>FdMgt1</v>
      </c>
      <c r="AI2624" s="358">
        <f t="shared" si="340"/>
        <v>0</v>
      </c>
      <c r="AJ2624" s="94">
        <f t="shared" si="341"/>
        <v>43281</v>
      </c>
    </row>
    <row r="2625" spans="1:53" ht="12.75" customHeight="1">
      <c r="A2625" s="94">
        <v>43312</v>
      </c>
      <c r="B2625" s="358" t="s">
        <v>273</v>
      </c>
      <c r="C2625" s="358" t="s">
        <v>361</v>
      </c>
      <c r="D2625" s="93">
        <v>251466.98</v>
      </c>
      <c r="F2625" s="93"/>
      <c r="G2625" s="93"/>
      <c r="H2625" s="93"/>
      <c r="I2625" s="93"/>
      <c r="K2625" s="93"/>
      <c r="L2625" s="93">
        <f t="shared" si="336"/>
        <v>0</v>
      </c>
      <c r="M2625" s="95" t="e">
        <f t="shared" ca="1" si="337"/>
        <v>#DIV/0!</v>
      </c>
      <c r="N2625" s="95">
        <f>IF(P2625="Hedge Fund",IF(A2625=Summary!$AD$3,M2625-E2625,M2625),IF(A2625=Summary!$AD$3,L2625-D2625,L2625))</f>
        <v>0</v>
      </c>
      <c r="O2625" s="95">
        <f t="shared" si="344"/>
        <v>0</v>
      </c>
      <c r="P2625" s="107" t="s">
        <v>155</v>
      </c>
      <c r="Q2625" s="95">
        <v>0</v>
      </c>
      <c r="R2625" s="95">
        <v>0</v>
      </c>
      <c r="S2625" s="95"/>
      <c r="T2625" s="95"/>
      <c r="U2625" s="95"/>
      <c r="V2625" s="95"/>
      <c r="W2625" s="95"/>
      <c r="X2625" s="95"/>
      <c r="Y2625" s="95"/>
      <c r="Z2625" s="95"/>
      <c r="AA2625" s="95"/>
      <c r="AB2625" s="95"/>
      <c r="AC2625" s="355"/>
      <c r="AD2625" s="355"/>
      <c r="AE2625" s="355"/>
      <c r="AF2625" s="94">
        <f t="shared" si="339"/>
        <v>43312</v>
      </c>
      <c r="AG2625" s="185">
        <f t="shared" si="343"/>
        <v>3.1043274536919352E-3</v>
      </c>
      <c r="AH2625" s="339" t="str">
        <f>VLOOKUP(B2625,'MF PF'!A:B,2)</f>
        <v>FdMgt1</v>
      </c>
      <c r="AI2625" s="358">
        <f t="shared" si="340"/>
        <v>0</v>
      </c>
      <c r="AJ2625" s="94">
        <f t="shared" si="341"/>
        <v>43312</v>
      </c>
    </row>
    <row r="2626" spans="1:53" ht="12.75" customHeight="1">
      <c r="A2626" s="94">
        <v>43329</v>
      </c>
      <c r="B2626" s="358" t="s">
        <v>273</v>
      </c>
      <c r="C2626" s="358" t="s">
        <v>361</v>
      </c>
      <c r="D2626" s="93"/>
      <c r="F2626" s="93"/>
      <c r="G2626" s="93">
        <v>-79649.870698626197</v>
      </c>
      <c r="H2626" s="93"/>
      <c r="I2626" s="93"/>
      <c r="K2626" s="93"/>
      <c r="L2626" s="93">
        <f t="shared" si="336"/>
        <v>-79649.870698626197</v>
      </c>
      <c r="M2626" s="95" t="e">
        <f t="shared" ca="1" si="337"/>
        <v>#DIV/0!</v>
      </c>
      <c r="N2626" s="95">
        <f>IF(P2626="Hedge Fund",IF(A2626=Summary!$AD$3,M2626-E2626,M2626),IF(A2626=Summary!$AD$3,L2626-D2626,L2626))</f>
        <v>-79649.870698626197</v>
      </c>
      <c r="O2626" s="95">
        <f t="shared" si="344"/>
        <v>-79649.870698626197</v>
      </c>
      <c r="P2626" s="107" t="s">
        <v>155</v>
      </c>
      <c r="Q2626" s="95">
        <v>0</v>
      </c>
      <c r="R2626" s="95">
        <v>0</v>
      </c>
      <c r="S2626" s="95"/>
      <c r="T2626" s="95"/>
      <c r="U2626" s="95"/>
      <c r="V2626" s="95"/>
      <c r="W2626" s="95"/>
      <c r="X2626" s="95"/>
      <c r="Y2626" s="95"/>
      <c r="Z2626" s="95"/>
      <c r="AA2626" s="95"/>
      <c r="AB2626" s="95"/>
      <c r="AC2626" s="355"/>
      <c r="AD2626" s="355"/>
      <c r="AE2626" s="355"/>
      <c r="AF2626" s="94">
        <f t="shared" si="339"/>
        <v>43329</v>
      </c>
      <c r="AG2626" s="185">
        <f t="shared" si="343"/>
        <v>-0.68325912730718685</v>
      </c>
      <c r="AH2626" s="339" t="str">
        <f>VLOOKUP(B2626,'MF PF'!A:B,2)</f>
        <v>FdMgt1</v>
      </c>
      <c r="AI2626" s="358">
        <f t="shared" si="340"/>
        <v>0</v>
      </c>
      <c r="AJ2626" s="94">
        <f t="shared" si="341"/>
        <v>43343</v>
      </c>
    </row>
    <row r="2627" spans="1:53" ht="12.75" customHeight="1">
      <c r="A2627" s="94">
        <v>43343</v>
      </c>
      <c r="B2627" s="358" t="s">
        <v>273</v>
      </c>
      <c r="C2627" s="358" t="s">
        <v>361</v>
      </c>
      <c r="D2627" s="93">
        <v>171481.12</v>
      </c>
      <c r="F2627" s="93"/>
      <c r="G2627" s="93"/>
      <c r="H2627" s="93"/>
      <c r="I2627" s="93"/>
      <c r="K2627" s="93"/>
      <c r="L2627" s="93">
        <f t="shared" ref="L2627:L2690" si="345">G2627+H2627+I2627</f>
        <v>0</v>
      </c>
      <c r="M2627" s="95" t="e">
        <f t="shared" ref="M2627:M2690" ca="1" si="346">IF(A2627&gt;INDIRECT("A"&amp;ROW()-1),I2627/K2627,E2627)</f>
        <v>#DIV/0!</v>
      </c>
      <c r="N2627" s="95">
        <f>IF(P2627="Hedge Fund",IF(A2627=Summary!$AD$3,M2627-E2627,M2627),IF(A2627=Summary!$AD$3,L2627-D2627,L2627))</f>
        <v>0</v>
      </c>
      <c r="O2627" s="95">
        <f t="shared" ref="O2627:O2646" si="347">N2627</f>
        <v>0</v>
      </c>
      <c r="P2627" s="107" t="s">
        <v>155</v>
      </c>
      <c r="Q2627" s="95">
        <v>0</v>
      </c>
      <c r="R2627" s="95">
        <v>0</v>
      </c>
      <c r="S2627" s="95"/>
      <c r="T2627" s="95"/>
      <c r="U2627" s="95"/>
      <c r="V2627" s="95"/>
      <c r="W2627" s="95"/>
      <c r="X2627" s="95"/>
      <c r="Y2627" s="95"/>
      <c r="Z2627" s="95"/>
      <c r="AA2627" s="95"/>
      <c r="AB2627" s="95"/>
      <c r="AC2627" s="355"/>
      <c r="AD2627" s="355"/>
      <c r="AE2627" s="355"/>
      <c r="AF2627" s="94">
        <f t="shared" ref="AF2627:AF2690" si="348">A2627</f>
        <v>43343</v>
      </c>
      <c r="AG2627" s="185" t="e">
        <f t="shared" si="343"/>
        <v>#DIV/0!</v>
      </c>
      <c r="AH2627" s="339" t="str">
        <f>VLOOKUP(B2627,'MF PF'!A:B,2)</f>
        <v>FdMgt1</v>
      </c>
      <c r="AI2627" s="358">
        <f t="shared" ref="AI2627:AI2690" si="349">AF2627-A2627</f>
        <v>0</v>
      </c>
      <c r="AJ2627" s="94">
        <f t="shared" ref="AJ2627:AJ2690" si="350">EOMONTH(A2627,0)</f>
        <v>43343</v>
      </c>
      <c r="AK2627" s="358"/>
      <c r="AL2627" s="358"/>
      <c r="AM2627" s="358"/>
      <c r="AN2627" s="358"/>
      <c r="AO2627" s="358"/>
      <c r="AP2627" s="358"/>
      <c r="AQ2627" s="358"/>
      <c r="AR2627" s="358"/>
      <c r="AS2627" s="358"/>
      <c r="AT2627" s="358"/>
      <c r="AU2627" s="358"/>
      <c r="AV2627" s="358"/>
      <c r="AW2627" s="358"/>
      <c r="AX2627" s="358"/>
      <c r="AY2627" s="358"/>
      <c r="AZ2627" s="358"/>
      <c r="BA2627" s="358"/>
    </row>
    <row r="2628" spans="1:53" ht="12.75" customHeight="1">
      <c r="A2628" s="94">
        <v>43369</v>
      </c>
      <c r="B2628" s="358" t="s">
        <v>273</v>
      </c>
      <c r="C2628" s="358" t="s">
        <v>361</v>
      </c>
      <c r="D2628" s="93"/>
      <c r="F2628" s="93"/>
      <c r="G2628" s="93">
        <v>34465.019999999997</v>
      </c>
      <c r="H2628" s="93"/>
      <c r="I2628" s="93"/>
      <c r="K2628" s="93"/>
      <c r="L2628" s="93">
        <f t="shared" si="345"/>
        <v>34465.019999999997</v>
      </c>
      <c r="M2628" s="95" t="e">
        <f t="shared" ca="1" si="346"/>
        <v>#DIV/0!</v>
      </c>
      <c r="N2628" s="95">
        <f>IF(P2628="Hedge Fund",IF(A2628=Summary!$AD$3,M2628-E2628,M2628),IF(A2628=Summary!$AD$3,L2628-D2628,L2628))</f>
        <v>34465.019999999997</v>
      </c>
      <c r="O2628" s="95">
        <f t="shared" si="347"/>
        <v>34465.019999999997</v>
      </c>
      <c r="P2628" s="107" t="s">
        <v>155</v>
      </c>
      <c r="Q2628" s="95">
        <v>0</v>
      </c>
      <c r="R2628" s="95">
        <v>0</v>
      </c>
      <c r="S2628" s="95"/>
      <c r="T2628" s="95"/>
      <c r="U2628" s="95"/>
      <c r="V2628" s="95"/>
      <c r="W2628" s="95"/>
      <c r="X2628" s="95"/>
      <c r="Y2628" s="95"/>
      <c r="Z2628" s="95"/>
      <c r="AA2628" s="95"/>
      <c r="AB2628" s="95"/>
      <c r="AC2628" s="355"/>
      <c r="AD2628" s="355"/>
      <c r="AE2628" s="355"/>
      <c r="AF2628" s="94">
        <f t="shared" si="348"/>
        <v>43369</v>
      </c>
      <c r="AG2628" s="185">
        <f t="shared" si="343"/>
        <v>-1.2009843415998216</v>
      </c>
      <c r="AH2628" s="339" t="str">
        <f>VLOOKUP(B2628,'MF PF'!A:B,2)</f>
        <v>FdMgt1</v>
      </c>
      <c r="AI2628" s="358">
        <f t="shared" si="349"/>
        <v>0</v>
      </c>
      <c r="AJ2628" s="94">
        <f t="shared" si="350"/>
        <v>43373</v>
      </c>
    </row>
    <row r="2629" spans="1:53" ht="12.75" customHeight="1">
      <c r="A2629" s="94">
        <v>43371</v>
      </c>
      <c r="B2629" s="358" t="s">
        <v>273</v>
      </c>
      <c r="C2629" s="358" t="s">
        <v>361</v>
      </c>
      <c r="D2629" s="93">
        <v>207758.26</v>
      </c>
      <c r="E2629" s="95"/>
      <c r="F2629" s="93"/>
      <c r="G2629" s="93"/>
      <c r="H2629" s="93"/>
      <c r="I2629" s="93"/>
      <c r="K2629" s="93"/>
      <c r="L2629" s="93">
        <f t="shared" si="345"/>
        <v>0</v>
      </c>
      <c r="M2629" s="95" t="e">
        <f t="shared" ca="1" si="346"/>
        <v>#DIV/0!</v>
      </c>
      <c r="N2629" s="95">
        <f>IF(P2629="Hedge Fund",IF(A2629=Summary!$AD$3,M2629-E2629,M2629),IF(A2629=Summary!$AD$3,L2629-D2629,L2629))</f>
        <v>0</v>
      </c>
      <c r="O2629" s="95">
        <f t="shared" si="347"/>
        <v>0</v>
      </c>
      <c r="P2629" s="107" t="s">
        <v>155</v>
      </c>
      <c r="Q2629" s="95">
        <v>0</v>
      </c>
      <c r="R2629" s="95">
        <v>0</v>
      </c>
      <c r="S2629" s="95"/>
      <c r="T2629" s="95"/>
      <c r="U2629" s="95"/>
      <c r="V2629" s="95"/>
      <c r="W2629" s="95"/>
      <c r="X2629" s="95"/>
      <c r="Y2629" s="95"/>
      <c r="Z2629" s="95"/>
      <c r="AA2629" s="95"/>
      <c r="AB2629" s="95"/>
      <c r="AC2629" s="355"/>
      <c r="AD2629" s="355"/>
      <c r="AE2629" s="355"/>
      <c r="AF2629" s="94">
        <f t="shared" si="348"/>
        <v>43371</v>
      </c>
      <c r="AG2629" s="185" t="e">
        <f t="shared" si="343"/>
        <v>#DIV/0!</v>
      </c>
      <c r="AH2629" s="339" t="str">
        <f>VLOOKUP(B2629,'MF PF'!A:B,2)</f>
        <v>FdMgt1</v>
      </c>
      <c r="AI2629" s="358">
        <f t="shared" si="349"/>
        <v>0</v>
      </c>
      <c r="AJ2629" s="94">
        <f t="shared" si="350"/>
        <v>43373</v>
      </c>
    </row>
    <row r="2630" spans="1:53" ht="12.75" customHeight="1">
      <c r="A2630" s="94">
        <v>43404</v>
      </c>
      <c r="B2630" s="358" t="s">
        <v>273</v>
      </c>
      <c r="C2630" s="358" t="s">
        <v>361</v>
      </c>
      <c r="D2630" s="93">
        <v>238999.71</v>
      </c>
      <c r="E2630" s="95"/>
      <c r="F2630" s="93">
        <v>0.25</v>
      </c>
      <c r="G2630" s="93">
        <v>20228.589999999997</v>
      </c>
      <c r="H2630" s="93">
        <v>0</v>
      </c>
      <c r="I2630" s="93">
        <v>0</v>
      </c>
      <c r="J2630" s="93">
        <v>0</v>
      </c>
      <c r="K2630" s="93"/>
      <c r="L2630" s="93">
        <f t="shared" si="345"/>
        <v>20228.589999999997</v>
      </c>
      <c r="M2630" s="95" t="e">
        <f t="shared" ca="1" si="346"/>
        <v>#DIV/0!</v>
      </c>
      <c r="N2630" s="95">
        <f>IF(P2630="Hedge Fund",IF(A2630=Summary!$AD$3,M2630-E2630,M2630),IF(A2630=Summary!$AD$3,L2630-D2630,L2630))</f>
        <v>20228.589999999997</v>
      </c>
      <c r="O2630" s="95">
        <f t="shared" si="347"/>
        <v>20228.589999999997</v>
      </c>
      <c r="P2630" s="95" t="s">
        <v>155</v>
      </c>
      <c r="Q2630" s="95">
        <v>0</v>
      </c>
      <c r="R2630" s="95">
        <v>0</v>
      </c>
      <c r="S2630" s="95"/>
      <c r="T2630" s="95"/>
      <c r="U2630" s="95"/>
      <c r="V2630" s="95"/>
      <c r="W2630" s="95"/>
      <c r="X2630" s="95"/>
      <c r="Y2630" s="95"/>
      <c r="Z2630" s="95"/>
      <c r="AA2630" s="95"/>
      <c r="AB2630" s="95"/>
      <c r="AC2630" s="355"/>
      <c r="AD2630" s="355"/>
      <c r="AE2630" s="355"/>
      <c r="AF2630" s="94">
        <f t="shared" si="348"/>
        <v>43404</v>
      </c>
      <c r="AG2630" s="185">
        <f t="shared" si="343"/>
        <v>5.3008048873724567E-2</v>
      </c>
      <c r="AH2630" s="339" t="str">
        <f>VLOOKUP(B2630,'MF PF'!A:B,2)</f>
        <v>FdMgt1</v>
      </c>
      <c r="AI2630" s="358">
        <f t="shared" si="349"/>
        <v>0</v>
      </c>
      <c r="AJ2630" s="94">
        <f t="shared" si="350"/>
        <v>43404</v>
      </c>
    </row>
    <row r="2631" spans="1:53" ht="12.75" customHeight="1">
      <c r="A2631" s="94">
        <v>43432</v>
      </c>
      <c r="B2631" s="358" t="s">
        <v>273</v>
      </c>
      <c r="C2631" s="358" t="s">
        <v>361</v>
      </c>
      <c r="D2631" s="93"/>
      <c r="E2631" s="95"/>
      <c r="F2631" s="93"/>
      <c r="G2631" s="93">
        <v>21750.77</v>
      </c>
      <c r="H2631" s="93">
        <v>0</v>
      </c>
      <c r="I2631" s="93">
        <v>0</v>
      </c>
      <c r="K2631" s="93">
        <v>0</v>
      </c>
      <c r="L2631" s="93">
        <f t="shared" si="345"/>
        <v>21750.77</v>
      </c>
      <c r="M2631" s="95" t="e">
        <f t="shared" ca="1" si="346"/>
        <v>#DIV/0!</v>
      </c>
      <c r="N2631" s="95">
        <f>IF(P2631="Hedge Fund",IF(A2631=Summary!$AD$3,M2631-E2631,M2631),IF(A2631=Summary!$AD$3,L2631-D2631,L2631))</f>
        <v>21750.77</v>
      </c>
      <c r="O2631" s="95">
        <f t="shared" si="347"/>
        <v>21750.77</v>
      </c>
      <c r="P2631" s="95" t="s">
        <v>155</v>
      </c>
      <c r="Q2631" s="95"/>
      <c r="R2631" s="95"/>
      <c r="S2631" s="95"/>
      <c r="T2631" s="95"/>
      <c r="U2631" s="95"/>
      <c r="V2631" s="95"/>
      <c r="W2631" s="95"/>
      <c r="X2631" s="95"/>
      <c r="Y2631" s="95"/>
      <c r="Z2631" s="95"/>
      <c r="AA2631" s="95"/>
      <c r="AB2631" s="95"/>
      <c r="AC2631" s="355"/>
      <c r="AD2631" s="355"/>
      <c r="AE2631" s="355"/>
      <c r="AF2631" s="94">
        <f t="shared" si="348"/>
        <v>43432</v>
      </c>
      <c r="AG2631" s="185">
        <f t="shared" si="343"/>
        <v>-1.0910075162852708</v>
      </c>
      <c r="AH2631" s="339" t="str">
        <f>VLOOKUP(B2631,'MF PF'!A:B,2)</f>
        <v>FdMgt1</v>
      </c>
      <c r="AI2631" s="358">
        <f t="shared" si="349"/>
        <v>0</v>
      </c>
      <c r="AJ2631" s="94">
        <f t="shared" si="350"/>
        <v>43434</v>
      </c>
    </row>
    <row r="2632" spans="1:53" ht="12.75" customHeight="1">
      <c r="A2632" s="94">
        <v>43434</v>
      </c>
      <c r="B2632" s="358" t="s">
        <v>273</v>
      </c>
      <c r="C2632" s="358" t="s">
        <v>361</v>
      </c>
      <c r="D2632" s="93">
        <v>250355.96</v>
      </c>
      <c r="F2632" s="93">
        <v>0.25</v>
      </c>
      <c r="G2632" s="93"/>
      <c r="H2632" s="93">
        <v>0</v>
      </c>
      <c r="I2632" s="93">
        <v>0</v>
      </c>
      <c r="K2632" s="93">
        <v>0</v>
      </c>
      <c r="L2632" s="93">
        <f t="shared" si="345"/>
        <v>0</v>
      </c>
      <c r="M2632" s="95" t="e">
        <f t="shared" ca="1" si="346"/>
        <v>#DIV/0!</v>
      </c>
      <c r="N2632" s="95">
        <f>IF(P2632="Hedge Fund",IF(A2632=Summary!$AD$3,M2632-E2632,M2632),IF(A2632=Summary!$AD$3,L2632-D2632,L2632))</f>
        <v>0</v>
      </c>
      <c r="O2632" s="95">
        <f t="shared" si="347"/>
        <v>0</v>
      </c>
      <c r="P2632" s="95" t="s">
        <v>155</v>
      </c>
      <c r="Q2632" s="95">
        <v>0</v>
      </c>
      <c r="R2632" s="95">
        <v>0</v>
      </c>
      <c r="S2632" s="95"/>
      <c r="T2632" s="95"/>
      <c r="U2632" s="95"/>
      <c r="V2632" s="95"/>
      <c r="W2632" s="95"/>
      <c r="X2632" s="95"/>
      <c r="Y2632" s="95"/>
      <c r="Z2632" s="95"/>
      <c r="AA2632" s="95"/>
      <c r="AB2632" s="95"/>
      <c r="AC2632" s="355"/>
      <c r="AD2632" s="355"/>
      <c r="AE2632" s="355"/>
      <c r="AF2632" s="94">
        <f t="shared" si="348"/>
        <v>43434</v>
      </c>
      <c r="AG2632" s="185" t="e">
        <f t="shared" si="343"/>
        <v>#DIV/0!</v>
      </c>
      <c r="AH2632" s="339" t="str">
        <f>VLOOKUP(B2632,'MF PF'!A:B,2)</f>
        <v>FdMgt1</v>
      </c>
      <c r="AI2632" s="358">
        <f t="shared" si="349"/>
        <v>0</v>
      </c>
      <c r="AJ2632" s="94">
        <f t="shared" si="350"/>
        <v>43434</v>
      </c>
    </row>
    <row r="2633" spans="1:53" ht="12.75" customHeight="1">
      <c r="A2633" s="94">
        <v>43465</v>
      </c>
      <c r="B2633" s="358" t="s">
        <v>273</v>
      </c>
      <c r="C2633" s="358" t="s">
        <v>361</v>
      </c>
      <c r="D2633" s="93">
        <v>252836.46</v>
      </c>
      <c r="F2633" s="93">
        <v>0.25</v>
      </c>
      <c r="G2633" s="93"/>
      <c r="H2633" s="93">
        <v>0</v>
      </c>
      <c r="I2633" s="93">
        <v>0</v>
      </c>
      <c r="K2633" s="93">
        <v>0</v>
      </c>
      <c r="L2633" s="93">
        <f t="shared" si="345"/>
        <v>0</v>
      </c>
      <c r="M2633" s="95" t="e">
        <f t="shared" ca="1" si="346"/>
        <v>#DIV/0!</v>
      </c>
      <c r="N2633" s="95">
        <f>IF(P2633="Hedge Fund",IF(A2633=Summary!$AD$3,M2633-E2633,M2633),IF(A2633=Summary!$AD$3,L2633-D2633,L2633))</f>
        <v>0</v>
      </c>
      <c r="O2633" s="95">
        <f t="shared" si="347"/>
        <v>0</v>
      </c>
      <c r="P2633" s="95" t="s">
        <v>155</v>
      </c>
      <c r="Q2633" s="95">
        <v>-0.25283645819145528</v>
      </c>
      <c r="R2633" s="95">
        <v>0</v>
      </c>
      <c r="S2633" s="95"/>
      <c r="T2633" s="95"/>
      <c r="U2633" s="95"/>
      <c r="V2633" s="95"/>
      <c r="W2633" s="95"/>
      <c r="X2633" s="95"/>
      <c r="Y2633" s="95"/>
      <c r="Z2633" s="95"/>
      <c r="AA2633" s="95"/>
      <c r="AB2633" s="95"/>
      <c r="AC2633" s="355"/>
      <c r="AD2633" s="355"/>
      <c r="AE2633" s="355"/>
      <c r="AF2633" s="94">
        <f t="shared" si="348"/>
        <v>43465</v>
      </c>
      <c r="AG2633" s="185">
        <f t="shared" si="343"/>
        <v>9.9078927459925747E-3</v>
      </c>
      <c r="AH2633" s="339" t="str">
        <f>VLOOKUP(B2633,'MF PF'!A:B,2)</f>
        <v>FdMgt1</v>
      </c>
      <c r="AI2633" s="358">
        <f t="shared" si="349"/>
        <v>0</v>
      </c>
      <c r="AJ2633" s="94">
        <f t="shared" si="350"/>
        <v>43465</v>
      </c>
    </row>
    <row r="2634" spans="1:53" ht="12.75" customHeight="1">
      <c r="A2634" s="94">
        <v>43496</v>
      </c>
      <c r="B2634" s="358" t="s">
        <v>273</v>
      </c>
      <c r="C2634" s="358" t="s">
        <v>361</v>
      </c>
      <c r="D2634" s="93">
        <v>256262.09</v>
      </c>
      <c r="F2634" s="93">
        <v>0.24679450930137375</v>
      </c>
      <c r="G2634" s="93"/>
      <c r="H2634" s="93">
        <v>0</v>
      </c>
      <c r="I2634" s="93">
        <v>0</v>
      </c>
      <c r="K2634" s="93">
        <v>0</v>
      </c>
      <c r="L2634" s="93">
        <f t="shared" si="345"/>
        <v>0</v>
      </c>
      <c r="M2634" s="95" t="e">
        <f t="shared" ca="1" si="346"/>
        <v>#DIV/0!</v>
      </c>
      <c r="N2634" s="95">
        <f>IF(P2634="Hedge Fund",IF(A2634=Summary!$AD$3,M2634-E2634,M2634),IF(A2634=Summary!$AD$3,L2634-D2634,L2634))</f>
        <v>-256262.09</v>
      </c>
      <c r="O2634" s="95">
        <f t="shared" si="347"/>
        <v>-256262.09</v>
      </c>
      <c r="P2634" s="95" t="s">
        <v>155</v>
      </c>
      <c r="Q2634" s="95">
        <v>0</v>
      </c>
      <c r="R2634" s="95">
        <v>0</v>
      </c>
      <c r="S2634" s="95"/>
      <c r="T2634" s="95"/>
      <c r="U2634" s="95"/>
      <c r="V2634" s="95"/>
      <c r="W2634" s="95"/>
      <c r="X2634" s="95"/>
      <c r="Y2634" s="95"/>
      <c r="Z2634" s="95"/>
      <c r="AA2634" s="95"/>
      <c r="AB2634" s="95"/>
      <c r="AC2634" s="355"/>
      <c r="AD2634" s="355"/>
      <c r="AE2634" s="355"/>
      <c r="AF2634" s="94">
        <f t="shared" si="348"/>
        <v>43496</v>
      </c>
      <c r="AG2634" s="185">
        <f t="shared" si="343"/>
        <v>1.3548797511244937E-2</v>
      </c>
      <c r="AH2634" s="339" t="str">
        <f>VLOOKUP(B2634,'MF PF'!A:B,2)</f>
        <v>FdMgt1</v>
      </c>
      <c r="AI2634" s="358">
        <f t="shared" si="349"/>
        <v>0</v>
      </c>
      <c r="AJ2634" s="94">
        <f t="shared" si="350"/>
        <v>43496</v>
      </c>
    </row>
    <row r="2635" spans="1:53" ht="12.75" customHeight="1">
      <c r="A2635" s="94">
        <v>43252</v>
      </c>
      <c r="B2635" s="358" t="s">
        <v>273</v>
      </c>
      <c r="C2635" s="358" t="s">
        <v>362</v>
      </c>
      <c r="D2635" s="93"/>
      <c r="F2635" s="93"/>
      <c r="G2635" s="93">
        <v>200000</v>
      </c>
      <c r="H2635" s="93"/>
      <c r="I2635" s="93"/>
      <c r="K2635" s="93"/>
      <c r="L2635" s="93">
        <f t="shared" si="345"/>
        <v>200000</v>
      </c>
      <c r="M2635" s="95">
        <f t="shared" ca="1" si="346"/>
        <v>0</v>
      </c>
      <c r="N2635" s="95">
        <f>IF(P2635="Hedge Fund",IF(A2635=Summary!$AD$3,M2635-E2635,M2635),IF(A2635=Summary!$AD$3,L2635-D2635,L2635))</f>
        <v>200000</v>
      </c>
      <c r="O2635" s="95">
        <f t="shared" si="347"/>
        <v>200000</v>
      </c>
      <c r="P2635" s="107" t="s">
        <v>155</v>
      </c>
      <c r="Q2635" s="95">
        <v>0</v>
      </c>
      <c r="R2635" s="95">
        <v>0</v>
      </c>
      <c r="S2635" s="95"/>
      <c r="T2635" s="95"/>
      <c r="U2635" s="95"/>
      <c r="V2635" s="95"/>
      <c r="W2635" s="95"/>
      <c r="X2635" s="95"/>
      <c r="Y2635" s="95"/>
      <c r="Z2635" s="95"/>
      <c r="AA2635" s="95"/>
      <c r="AB2635" s="95"/>
      <c r="AC2635" s="355"/>
      <c r="AD2635" s="355"/>
      <c r="AE2635" s="355"/>
      <c r="AF2635" s="94">
        <f t="shared" si="348"/>
        <v>43252</v>
      </c>
      <c r="AG2635" s="185">
        <f t="shared" si="343"/>
        <v>-1</v>
      </c>
      <c r="AH2635" s="339" t="str">
        <f>VLOOKUP(B2635,'MF PF'!A:B,2)</f>
        <v>FdMgt1</v>
      </c>
      <c r="AI2635" s="358">
        <f t="shared" si="349"/>
        <v>0</v>
      </c>
      <c r="AJ2635" s="94">
        <f t="shared" si="350"/>
        <v>43281</v>
      </c>
    </row>
    <row r="2636" spans="1:53" ht="12.75" customHeight="1">
      <c r="A2636" s="94">
        <v>43281</v>
      </c>
      <c r="B2636" s="358" t="s">
        <v>273</v>
      </c>
      <c r="C2636" s="358" t="s">
        <v>362</v>
      </c>
      <c r="D2636" s="93">
        <v>200551.01</v>
      </c>
      <c r="F2636" s="93"/>
      <c r="G2636" s="93"/>
      <c r="H2636" s="93"/>
      <c r="I2636" s="93"/>
      <c r="K2636" s="93"/>
      <c r="L2636" s="93">
        <f t="shared" si="345"/>
        <v>0</v>
      </c>
      <c r="M2636" s="95" t="e">
        <f t="shared" ca="1" si="346"/>
        <v>#DIV/0!</v>
      </c>
      <c r="N2636" s="95">
        <f>IF(P2636="Hedge Fund",IF(A2636=Summary!$AD$3,M2636-E2636,M2636),IF(A2636=Summary!$AD$3,L2636-D2636,L2636))</f>
        <v>0</v>
      </c>
      <c r="O2636" s="95">
        <f t="shared" si="347"/>
        <v>0</v>
      </c>
      <c r="P2636" s="107" t="s">
        <v>155</v>
      </c>
      <c r="Q2636" s="95">
        <v>0</v>
      </c>
      <c r="R2636" s="95">
        <v>0</v>
      </c>
      <c r="S2636" s="95"/>
      <c r="T2636" s="95"/>
      <c r="U2636" s="95"/>
      <c r="V2636" s="95"/>
      <c r="W2636" s="95"/>
      <c r="X2636" s="95"/>
      <c r="Y2636" s="95"/>
      <c r="Z2636" s="95"/>
      <c r="AA2636" s="95"/>
      <c r="AB2636" s="95"/>
      <c r="AC2636" s="355"/>
      <c r="AD2636" s="355"/>
      <c r="AE2636" s="355"/>
      <c r="AF2636" s="94">
        <f t="shared" si="348"/>
        <v>43281</v>
      </c>
      <c r="AG2636" s="185" t="e">
        <f t="shared" si="343"/>
        <v>#DIV/0!</v>
      </c>
      <c r="AH2636" s="339" t="str">
        <f>VLOOKUP(B2636,'MF PF'!A:B,2)</f>
        <v>FdMgt1</v>
      </c>
      <c r="AI2636" s="358">
        <f t="shared" si="349"/>
        <v>0</v>
      </c>
      <c r="AJ2636" s="94">
        <f t="shared" si="350"/>
        <v>43281</v>
      </c>
      <c r="AK2636" s="358"/>
      <c r="AL2636" s="358"/>
      <c r="AM2636" s="358"/>
      <c r="AN2636" s="358"/>
      <c r="AO2636" s="358"/>
      <c r="AP2636" s="358"/>
      <c r="AQ2636" s="358"/>
      <c r="AR2636" s="358"/>
      <c r="AS2636" s="358"/>
      <c r="AT2636" s="358"/>
      <c r="AU2636" s="358"/>
      <c r="AV2636" s="358"/>
      <c r="AW2636" s="358"/>
      <c r="AX2636" s="358"/>
      <c r="AY2636" s="358"/>
      <c r="AZ2636" s="358"/>
      <c r="BA2636" s="358"/>
    </row>
    <row r="2637" spans="1:53" ht="12.75" customHeight="1">
      <c r="A2637" s="94">
        <v>43312</v>
      </c>
      <c r="B2637" s="358" t="s">
        <v>273</v>
      </c>
      <c r="C2637" s="358" t="s">
        <v>362</v>
      </c>
      <c r="D2637" s="93">
        <v>201173.59</v>
      </c>
      <c r="F2637" s="93"/>
      <c r="G2637" s="93"/>
      <c r="H2637" s="93"/>
      <c r="I2637" s="93"/>
      <c r="K2637" s="93"/>
      <c r="L2637" s="93">
        <f t="shared" si="345"/>
        <v>0</v>
      </c>
      <c r="M2637" s="95" t="e">
        <f t="shared" ca="1" si="346"/>
        <v>#DIV/0!</v>
      </c>
      <c r="N2637" s="95">
        <f>IF(P2637="Hedge Fund",IF(A2637=Summary!$AD$3,M2637-E2637,M2637),IF(A2637=Summary!$AD$3,L2637-D2637,L2637))</f>
        <v>0</v>
      </c>
      <c r="O2637" s="95">
        <f t="shared" si="347"/>
        <v>0</v>
      </c>
      <c r="P2637" s="107" t="s">
        <v>155</v>
      </c>
      <c r="Q2637" s="95">
        <v>0</v>
      </c>
      <c r="R2637" s="95">
        <v>0</v>
      </c>
      <c r="S2637" s="95"/>
      <c r="T2637" s="95"/>
      <c r="U2637" s="95"/>
      <c r="V2637" s="95"/>
      <c r="W2637" s="95"/>
      <c r="X2637" s="95"/>
      <c r="Y2637" s="95"/>
      <c r="Z2637" s="95"/>
      <c r="AA2637" s="95"/>
      <c r="AB2637" s="95"/>
      <c r="AC2637" s="355"/>
      <c r="AD2637" s="355"/>
      <c r="AE2637" s="355"/>
      <c r="AF2637" s="94">
        <f t="shared" si="348"/>
        <v>43312</v>
      </c>
      <c r="AG2637" s="185">
        <f t="shared" si="343"/>
        <v>3.1043473677843103E-3</v>
      </c>
      <c r="AH2637" s="339" t="str">
        <f>VLOOKUP(B2637,'MF PF'!A:B,2)</f>
        <v>FdMgt1</v>
      </c>
      <c r="AI2637" s="358">
        <f t="shared" si="349"/>
        <v>0</v>
      </c>
      <c r="AJ2637" s="94">
        <f t="shared" si="350"/>
        <v>43312</v>
      </c>
    </row>
    <row r="2638" spans="1:53" ht="12.75" customHeight="1">
      <c r="A2638" s="94">
        <v>43329</v>
      </c>
      <c r="B2638" s="358" t="s">
        <v>273</v>
      </c>
      <c r="C2638" s="358" t="s">
        <v>362</v>
      </c>
      <c r="D2638" s="93"/>
      <c r="F2638" s="93"/>
      <c r="G2638" s="93">
        <v>-63719.89255890096</v>
      </c>
      <c r="H2638" s="93"/>
      <c r="I2638" s="93"/>
      <c r="K2638" s="93"/>
      <c r="L2638" s="93">
        <f t="shared" si="345"/>
        <v>-63719.89255890096</v>
      </c>
      <c r="M2638" s="95" t="e">
        <f t="shared" ca="1" si="346"/>
        <v>#DIV/0!</v>
      </c>
      <c r="N2638" s="95">
        <f>IF(P2638="Hedge Fund",IF(A2638=Summary!$AD$3,M2638-E2638,M2638),IF(A2638=Summary!$AD$3,L2638-D2638,L2638))</f>
        <v>-63719.89255890096</v>
      </c>
      <c r="O2638" s="95">
        <f t="shared" si="347"/>
        <v>-63719.89255890096</v>
      </c>
      <c r="P2638" s="107" t="s">
        <v>155</v>
      </c>
      <c r="Q2638" s="95">
        <v>0</v>
      </c>
      <c r="R2638" s="95">
        <v>0</v>
      </c>
      <c r="S2638" s="95"/>
      <c r="T2638" s="95"/>
      <c r="U2638" s="95"/>
      <c r="V2638" s="95"/>
      <c r="W2638" s="95"/>
      <c r="X2638" s="95"/>
      <c r="Y2638" s="95"/>
      <c r="Z2638" s="95"/>
      <c r="AA2638" s="95"/>
      <c r="AB2638" s="95"/>
      <c r="AC2638" s="355"/>
      <c r="AD2638" s="355"/>
      <c r="AE2638" s="355"/>
      <c r="AF2638" s="94">
        <f t="shared" si="348"/>
        <v>43329</v>
      </c>
      <c r="AG2638" s="185">
        <f t="shared" ref="AG2638:AG2701" si="351">IF(C2638&lt;&gt;C2637,D2638/G2638-1,(D2638-G2638-I2638-H2638)/(D2637)-1)</f>
        <v>-0.6832591566373053</v>
      </c>
      <c r="AH2638" s="339" t="str">
        <f>VLOOKUP(B2638,'MF PF'!A:B,2)</f>
        <v>FdMgt1</v>
      </c>
      <c r="AI2638" s="358">
        <f t="shared" si="349"/>
        <v>0</v>
      </c>
      <c r="AJ2638" s="94">
        <f t="shared" si="350"/>
        <v>43343</v>
      </c>
    </row>
    <row r="2639" spans="1:53" ht="12.75" customHeight="1">
      <c r="A2639" s="94">
        <v>43343</v>
      </c>
      <c r="B2639" s="358" t="s">
        <v>273</v>
      </c>
      <c r="C2639" s="358" t="s">
        <v>362</v>
      </c>
      <c r="D2639" s="93">
        <v>137184.9</v>
      </c>
      <c r="F2639" s="93"/>
      <c r="G2639" s="93"/>
      <c r="H2639" s="93"/>
      <c r="I2639" s="93"/>
      <c r="K2639" s="93"/>
      <c r="L2639" s="93">
        <f t="shared" si="345"/>
        <v>0</v>
      </c>
      <c r="M2639" s="95" t="e">
        <f t="shared" ca="1" si="346"/>
        <v>#DIV/0!</v>
      </c>
      <c r="N2639" s="95">
        <f>IF(P2639="Hedge Fund",IF(A2639=Summary!$AD$3,M2639-E2639,M2639),IF(A2639=Summary!$AD$3,L2639-D2639,L2639))</f>
        <v>0</v>
      </c>
      <c r="O2639" s="95">
        <f t="shared" si="347"/>
        <v>0</v>
      </c>
      <c r="P2639" s="107" t="s">
        <v>155</v>
      </c>
      <c r="Q2639" s="95">
        <v>0</v>
      </c>
      <c r="R2639" s="95">
        <v>0</v>
      </c>
      <c r="S2639" s="95"/>
      <c r="T2639" s="95"/>
      <c r="U2639" s="95"/>
      <c r="V2639" s="95"/>
      <c r="W2639" s="95"/>
      <c r="X2639" s="95"/>
      <c r="Y2639" s="95"/>
      <c r="Z2639" s="95"/>
      <c r="AA2639" s="95"/>
      <c r="AB2639" s="95"/>
      <c r="AC2639" s="355"/>
      <c r="AD2639" s="355"/>
      <c r="AE2639" s="355"/>
      <c r="AF2639" s="94">
        <f t="shared" si="348"/>
        <v>43343</v>
      </c>
      <c r="AG2639" s="185" t="e">
        <f t="shared" si="351"/>
        <v>#DIV/0!</v>
      </c>
      <c r="AH2639" s="339" t="str">
        <f>VLOOKUP(B2639,'MF PF'!A:B,2)</f>
        <v>FdMgt1</v>
      </c>
      <c r="AI2639" s="358">
        <f t="shared" si="349"/>
        <v>0</v>
      </c>
      <c r="AJ2639" s="94">
        <f t="shared" si="350"/>
        <v>43343</v>
      </c>
    </row>
    <row r="2640" spans="1:53" ht="12.75" customHeight="1">
      <c r="A2640" s="94">
        <v>43369</v>
      </c>
      <c r="B2640" s="358" t="s">
        <v>273</v>
      </c>
      <c r="C2640" s="358" t="s">
        <v>362</v>
      </c>
      <c r="D2640" s="93"/>
      <c r="F2640" s="93"/>
      <c r="G2640" s="93">
        <v>27572.02</v>
      </c>
      <c r="H2640" s="93"/>
      <c r="I2640" s="93"/>
      <c r="K2640" s="93"/>
      <c r="L2640" s="93">
        <f t="shared" si="345"/>
        <v>27572.02</v>
      </c>
      <c r="M2640" s="95" t="e">
        <f t="shared" ca="1" si="346"/>
        <v>#DIV/0!</v>
      </c>
      <c r="N2640" s="95">
        <f>IF(P2640="Hedge Fund",IF(A2640=Summary!$AD$3,M2640-E2640,M2640),IF(A2640=Summary!$AD$3,L2640-D2640,L2640))</f>
        <v>27572.02</v>
      </c>
      <c r="O2640" s="95">
        <f t="shared" si="347"/>
        <v>27572.02</v>
      </c>
      <c r="P2640" s="107" t="s">
        <v>155</v>
      </c>
      <c r="Q2640" s="95">
        <v>0</v>
      </c>
      <c r="R2640" s="95">
        <v>0</v>
      </c>
      <c r="S2640" s="95"/>
      <c r="T2640" s="95"/>
      <c r="U2640" s="95"/>
      <c r="V2640" s="95"/>
      <c r="W2640" s="95"/>
      <c r="X2640" s="95"/>
      <c r="Y2640" s="95"/>
      <c r="Z2640" s="95"/>
      <c r="AA2640" s="95"/>
      <c r="AB2640" s="95"/>
      <c r="AC2640" s="355"/>
      <c r="AD2640" s="355"/>
      <c r="AE2640" s="355"/>
      <c r="AF2640" s="94">
        <f t="shared" si="348"/>
        <v>43369</v>
      </c>
      <c r="AG2640" s="185">
        <f t="shared" si="351"/>
        <v>-1.2009843648973029</v>
      </c>
      <c r="AH2640" s="339" t="str">
        <f>VLOOKUP(B2640,'MF PF'!A:B,2)</f>
        <v>FdMgt1</v>
      </c>
      <c r="AI2640" s="358">
        <f t="shared" si="349"/>
        <v>0</v>
      </c>
      <c r="AJ2640" s="94">
        <f t="shared" si="350"/>
        <v>43373</v>
      </c>
    </row>
    <row r="2641" spans="1:53" ht="12.75" customHeight="1">
      <c r="A2641" s="94">
        <v>43371</v>
      </c>
      <c r="B2641" s="358" t="s">
        <v>273</v>
      </c>
      <c r="C2641" s="358" t="s">
        <v>362</v>
      </c>
      <c r="D2641" s="93">
        <v>166206.60999999999</v>
      </c>
      <c r="F2641" s="93"/>
      <c r="G2641" s="93"/>
      <c r="H2641" s="93"/>
      <c r="I2641" s="93"/>
      <c r="K2641" s="93"/>
      <c r="L2641" s="93">
        <f t="shared" si="345"/>
        <v>0</v>
      </c>
      <c r="M2641" s="95" t="e">
        <f t="shared" ca="1" si="346"/>
        <v>#DIV/0!</v>
      </c>
      <c r="N2641" s="95">
        <f>IF(P2641="Hedge Fund",IF(A2641=Summary!$AD$3,M2641-E2641,M2641),IF(A2641=Summary!$AD$3,L2641-D2641,L2641))</f>
        <v>0</v>
      </c>
      <c r="O2641" s="95">
        <f t="shared" si="347"/>
        <v>0</v>
      </c>
      <c r="P2641" s="107" t="s">
        <v>155</v>
      </c>
      <c r="Q2641" s="95">
        <v>0</v>
      </c>
      <c r="R2641" s="95">
        <v>0</v>
      </c>
      <c r="S2641" s="95"/>
      <c r="T2641" s="95"/>
      <c r="U2641" s="95"/>
      <c r="V2641" s="95"/>
      <c r="W2641" s="95"/>
      <c r="X2641" s="95"/>
      <c r="Y2641" s="95"/>
      <c r="Z2641" s="95"/>
      <c r="AA2641" s="95"/>
      <c r="AB2641" s="95"/>
      <c r="AC2641" s="355"/>
      <c r="AD2641" s="355"/>
      <c r="AE2641" s="355"/>
      <c r="AF2641" s="94">
        <f t="shared" si="348"/>
        <v>43371</v>
      </c>
      <c r="AG2641" s="185" t="e">
        <f t="shared" si="351"/>
        <v>#DIV/0!</v>
      </c>
      <c r="AH2641" s="339" t="str">
        <f>VLOOKUP(B2641,'MF PF'!A:B,2)</f>
        <v>FdMgt1</v>
      </c>
      <c r="AI2641" s="358">
        <f t="shared" si="349"/>
        <v>0</v>
      </c>
      <c r="AJ2641" s="94">
        <f t="shared" si="350"/>
        <v>43373</v>
      </c>
    </row>
    <row r="2642" spans="1:53" ht="12.75" customHeight="1">
      <c r="A2642" s="94">
        <v>43404</v>
      </c>
      <c r="B2642" s="358" t="s">
        <v>273</v>
      </c>
      <c r="C2642" s="358" t="s">
        <v>362</v>
      </c>
      <c r="D2642" s="93">
        <v>191199.78</v>
      </c>
      <c r="F2642" s="93">
        <v>0.2</v>
      </c>
      <c r="G2642" s="93">
        <v>16182.87999999999</v>
      </c>
      <c r="H2642" s="93">
        <v>0</v>
      </c>
      <c r="I2642" s="93">
        <v>0</v>
      </c>
      <c r="J2642" s="93">
        <v>0</v>
      </c>
      <c r="K2642" s="93"/>
      <c r="L2642" s="93">
        <f t="shared" si="345"/>
        <v>16182.87999999999</v>
      </c>
      <c r="M2642" s="95" t="e">
        <f t="shared" ca="1" si="346"/>
        <v>#DIV/0!</v>
      </c>
      <c r="N2642" s="95">
        <f>IF(P2642="Hedge Fund",IF(A2642=Summary!$AD$3,M2642-E2642,M2642),IF(A2642=Summary!$AD$3,L2642-D2642,L2642))</f>
        <v>16182.87999999999</v>
      </c>
      <c r="O2642" s="95">
        <f t="shared" si="347"/>
        <v>16182.87999999999</v>
      </c>
      <c r="P2642" s="95" t="s">
        <v>155</v>
      </c>
      <c r="Q2642" s="95">
        <v>0</v>
      </c>
      <c r="R2642" s="95">
        <v>0</v>
      </c>
      <c r="S2642" s="95"/>
      <c r="T2642" s="95"/>
      <c r="U2642" s="95"/>
      <c r="V2642" s="95"/>
      <c r="W2642" s="95"/>
      <c r="X2642" s="95"/>
      <c r="Y2642" s="95"/>
      <c r="Z2642" s="95"/>
      <c r="AA2642" s="95"/>
      <c r="AB2642" s="95"/>
      <c r="AC2642" s="355"/>
      <c r="AD2642" s="355"/>
      <c r="AE2642" s="355"/>
      <c r="AF2642" s="94">
        <f t="shared" si="348"/>
        <v>43404</v>
      </c>
      <c r="AG2642" s="185">
        <f t="shared" si="351"/>
        <v>5.3008060269083446E-2</v>
      </c>
      <c r="AH2642" s="339" t="str">
        <f>VLOOKUP(B2642,'MF PF'!A:B,2)</f>
        <v>FdMgt1</v>
      </c>
      <c r="AI2642" s="358">
        <f t="shared" si="349"/>
        <v>0</v>
      </c>
      <c r="AJ2642" s="94">
        <f t="shared" si="350"/>
        <v>43404</v>
      </c>
    </row>
    <row r="2643" spans="1:53" ht="12.75" customHeight="1">
      <c r="A2643" s="94">
        <v>43432</v>
      </c>
      <c r="B2643" s="358" t="s">
        <v>273</v>
      </c>
      <c r="C2643" s="358" t="s">
        <v>362</v>
      </c>
      <c r="D2643" s="93"/>
      <c r="F2643" s="93"/>
      <c r="G2643" s="93">
        <v>17400.599999999999</v>
      </c>
      <c r="H2643" s="93">
        <v>0</v>
      </c>
      <c r="I2643" s="93">
        <v>0</v>
      </c>
      <c r="K2643" s="93">
        <v>0</v>
      </c>
      <c r="L2643" s="93">
        <f t="shared" si="345"/>
        <v>17400.599999999999</v>
      </c>
      <c r="M2643" s="95" t="e">
        <f t="shared" ca="1" si="346"/>
        <v>#DIV/0!</v>
      </c>
      <c r="N2643" s="95">
        <f>IF(P2643="Hedge Fund",IF(A2643=Summary!$AD$3,M2643-E2643,M2643),IF(A2643=Summary!$AD$3,L2643-D2643,L2643))</f>
        <v>17400.599999999999</v>
      </c>
      <c r="O2643" s="95">
        <f t="shared" si="347"/>
        <v>17400.599999999999</v>
      </c>
      <c r="P2643" s="95" t="s">
        <v>155</v>
      </c>
      <c r="Q2643" s="95"/>
      <c r="R2643" s="95"/>
      <c r="S2643" s="95"/>
      <c r="T2643" s="95"/>
      <c r="U2643" s="95"/>
      <c r="V2643" s="95"/>
      <c r="W2643" s="95"/>
      <c r="X2643" s="95"/>
      <c r="Y2643" s="95"/>
      <c r="Z2643" s="95"/>
      <c r="AA2643" s="95"/>
      <c r="AB2643" s="95"/>
      <c r="AC2643" s="355"/>
      <c r="AD2643" s="355"/>
      <c r="AE2643" s="355"/>
      <c r="AF2643" s="94">
        <f t="shared" si="348"/>
        <v>43432</v>
      </c>
      <c r="AG2643" s="185">
        <f t="shared" si="351"/>
        <v>-1.0910074268913907</v>
      </c>
      <c r="AH2643" s="339" t="str">
        <f>VLOOKUP(B2643,'MF PF'!A:B,2)</f>
        <v>FdMgt1</v>
      </c>
      <c r="AI2643" s="358">
        <f t="shared" si="349"/>
        <v>0</v>
      </c>
      <c r="AJ2643" s="94">
        <f t="shared" si="350"/>
        <v>43434</v>
      </c>
    </row>
    <row r="2644" spans="1:53" ht="12.75" customHeight="1">
      <c r="A2644" s="94">
        <v>43434</v>
      </c>
      <c r="B2644" s="358" t="s">
        <v>273</v>
      </c>
      <c r="C2644" s="358" t="s">
        <v>362</v>
      </c>
      <c r="D2644" s="93">
        <v>200284.77</v>
      </c>
      <c r="F2644" s="93">
        <v>0.2</v>
      </c>
      <c r="G2644" s="93"/>
      <c r="H2644" s="93">
        <v>0</v>
      </c>
      <c r="I2644" s="93">
        <v>0</v>
      </c>
      <c r="K2644" s="93">
        <v>0</v>
      </c>
      <c r="L2644" s="93">
        <f t="shared" si="345"/>
        <v>0</v>
      </c>
      <c r="M2644" s="95" t="e">
        <f t="shared" ca="1" si="346"/>
        <v>#DIV/0!</v>
      </c>
      <c r="N2644" s="95">
        <f>IF(P2644="Hedge Fund",IF(A2644=Summary!$AD$3,M2644-E2644,M2644),IF(A2644=Summary!$AD$3,L2644-D2644,L2644))</f>
        <v>0</v>
      </c>
      <c r="O2644" s="95">
        <f t="shared" si="347"/>
        <v>0</v>
      </c>
      <c r="P2644" s="95" t="s">
        <v>155</v>
      </c>
      <c r="Q2644" s="95">
        <v>0</v>
      </c>
      <c r="R2644" s="95">
        <v>0</v>
      </c>
      <c r="S2644" s="95"/>
      <c r="T2644" s="95"/>
      <c r="U2644" s="95"/>
      <c r="V2644" s="95"/>
      <c r="W2644" s="95"/>
      <c r="X2644" s="95"/>
      <c r="Y2644" s="95"/>
      <c r="Z2644" s="95"/>
      <c r="AA2644" s="95"/>
      <c r="AB2644" s="95"/>
      <c r="AC2644" s="355"/>
      <c r="AD2644" s="355"/>
      <c r="AE2644" s="355"/>
      <c r="AF2644" s="94">
        <f t="shared" si="348"/>
        <v>43434</v>
      </c>
      <c r="AG2644" s="185" t="e">
        <f t="shared" si="351"/>
        <v>#DIV/0!</v>
      </c>
      <c r="AH2644" s="339" t="str">
        <f>VLOOKUP(B2644,'MF PF'!A:B,2)</f>
        <v>FdMgt1</v>
      </c>
      <c r="AI2644" s="358">
        <f t="shared" si="349"/>
        <v>0</v>
      </c>
      <c r="AJ2644" s="94">
        <f t="shared" si="350"/>
        <v>43434</v>
      </c>
    </row>
    <row r="2645" spans="1:53" ht="12.75" customHeight="1">
      <c r="A2645" s="94">
        <v>43465</v>
      </c>
      <c r="B2645" s="358" t="s">
        <v>273</v>
      </c>
      <c r="C2645" s="358" t="s">
        <v>362</v>
      </c>
      <c r="D2645" s="93">
        <v>202269.17</v>
      </c>
      <c r="F2645" s="93">
        <v>0.2</v>
      </c>
      <c r="G2645" s="93"/>
      <c r="H2645" s="93">
        <v>0</v>
      </c>
      <c r="I2645" s="93">
        <v>0</v>
      </c>
      <c r="K2645" s="93">
        <v>0</v>
      </c>
      <c r="L2645" s="93">
        <f t="shared" si="345"/>
        <v>0</v>
      </c>
      <c r="M2645" s="95" t="e">
        <f t="shared" ca="1" si="346"/>
        <v>#DIV/0!</v>
      </c>
      <c r="N2645" s="95">
        <f>IF(P2645="Hedge Fund",IF(A2645=Summary!$AD$3,M2645-E2645,M2645),IF(A2645=Summary!$AD$3,L2645-D2645,L2645))</f>
        <v>0</v>
      </c>
      <c r="O2645" s="95">
        <f t="shared" si="347"/>
        <v>0</v>
      </c>
      <c r="P2645" s="95" t="s">
        <v>155</v>
      </c>
      <c r="Q2645" s="95">
        <v>-0.20226916655316415</v>
      </c>
      <c r="R2645" s="95">
        <v>0</v>
      </c>
      <c r="S2645" s="95"/>
      <c r="T2645" s="95"/>
      <c r="U2645" s="95"/>
      <c r="V2645" s="95"/>
      <c r="W2645" s="95"/>
      <c r="X2645" s="95"/>
      <c r="Y2645" s="95"/>
      <c r="Z2645" s="95"/>
      <c r="AA2645" s="95"/>
      <c r="AB2645" s="95"/>
      <c r="AC2645" s="355"/>
      <c r="AD2645" s="355"/>
      <c r="AE2645" s="355"/>
      <c r="AF2645" s="94">
        <f t="shared" si="348"/>
        <v>43465</v>
      </c>
      <c r="AG2645" s="185">
        <f t="shared" si="351"/>
        <v>9.9078926470546058E-3</v>
      </c>
      <c r="AH2645" s="339" t="str">
        <f>VLOOKUP(B2645,'MF PF'!A:B,2)</f>
        <v>FdMgt1</v>
      </c>
      <c r="AI2645" s="358">
        <f t="shared" si="349"/>
        <v>0</v>
      </c>
      <c r="AJ2645" s="94">
        <f t="shared" si="350"/>
        <v>43465</v>
      </c>
    </row>
    <row r="2646" spans="1:53" ht="12.75" customHeight="1">
      <c r="A2646" s="94">
        <v>43496</v>
      </c>
      <c r="B2646" s="358" t="s">
        <v>273</v>
      </c>
      <c r="C2646" s="358" t="s">
        <v>362</v>
      </c>
      <c r="D2646" s="93">
        <v>205009.67</v>
      </c>
      <c r="F2646" s="93">
        <v>0.19743560744109903</v>
      </c>
      <c r="G2646" s="93"/>
      <c r="H2646" s="93">
        <v>0</v>
      </c>
      <c r="I2646" s="93">
        <v>0</v>
      </c>
      <c r="K2646" s="93">
        <v>0</v>
      </c>
      <c r="L2646" s="93">
        <f t="shared" si="345"/>
        <v>0</v>
      </c>
      <c r="M2646" s="95" t="e">
        <f t="shared" ca="1" si="346"/>
        <v>#DIV/0!</v>
      </c>
      <c r="N2646" s="95">
        <f>IF(P2646="Hedge Fund",IF(A2646=Summary!$AD$3,M2646-E2646,M2646),IF(A2646=Summary!$AD$3,L2646-D2646,L2646))</f>
        <v>-205009.67</v>
      </c>
      <c r="O2646" s="95">
        <f t="shared" si="347"/>
        <v>-205009.67</v>
      </c>
      <c r="P2646" s="95" t="s">
        <v>155</v>
      </c>
      <c r="Q2646" s="95">
        <v>0</v>
      </c>
      <c r="R2646" s="95">
        <v>0</v>
      </c>
      <c r="S2646" s="95"/>
      <c r="T2646" s="95"/>
      <c r="U2646" s="95"/>
      <c r="V2646" s="95"/>
      <c r="W2646" s="95"/>
      <c r="X2646" s="95"/>
      <c r="Y2646" s="95"/>
      <c r="Z2646" s="95"/>
      <c r="AA2646" s="95"/>
      <c r="AB2646" s="95"/>
      <c r="AC2646" s="355"/>
      <c r="AD2646" s="355"/>
      <c r="AE2646" s="355"/>
      <c r="AF2646" s="94">
        <f t="shared" si="348"/>
        <v>43496</v>
      </c>
      <c r="AG2646" s="185">
        <f t="shared" si="351"/>
        <v>1.3548777601648299E-2</v>
      </c>
      <c r="AH2646" s="339" t="str">
        <f>VLOOKUP(B2646,'MF PF'!A:B,2)</f>
        <v>FdMgt1</v>
      </c>
      <c r="AI2646" s="358">
        <f t="shared" si="349"/>
        <v>0</v>
      </c>
      <c r="AJ2646" s="94">
        <f t="shared" si="350"/>
        <v>43496</v>
      </c>
    </row>
    <row r="2647" spans="1:53" ht="12.75" customHeight="1">
      <c r="A2647" s="94">
        <v>43252</v>
      </c>
      <c r="B2647" s="358" t="s">
        <v>273</v>
      </c>
      <c r="C2647" s="358" t="s">
        <v>343</v>
      </c>
      <c r="D2647" s="93"/>
      <c r="F2647" s="93"/>
      <c r="G2647" s="93">
        <v>1000</v>
      </c>
      <c r="H2647" s="93"/>
      <c r="I2647" s="93"/>
      <c r="K2647" s="93"/>
      <c r="L2647" s="93">
        <f t="shared" si="345"/>
        <v>1000</v>
      </c>
      <c r="M2647" s="95">
        <f t="shared" ca="1" si="346"/>
        <v>0</v>
      </c>
      <c r="N2647" s="95">
        <f>IF(P2647="Hedge Fund",IF(A2647=Summary!$AD$3,M2647-E2647,M2647),IF(A2647=Summary!$AD$3,L2647-D2647,L2647))</f>
        <v>1000</v>
      </c>
      <c r="O2647" s="95"/>
      <c r="P2647" s="107" t="s">
        <v>155</v>
      </c>
      <c r="Q2647" s="95">
        <v>0</v>
      </c>
      <c r="R2647" s="95">
        <v>0</v>
      </c>
      <c r="S2647" s="95"/>
      <c r="T2647" s="95"/>
      <c r="U2647" s="95"/>
      <c r="V2647" s="95"/>
      <c r="W2647" s="95"/>
      <c r="X2647" s="95"/>
      <c r="Y2647" s="95"/>
      <c r="Z2647" s="95"/>
      <c r="AA2647" s="95"/>
      <c r="AB2647" s="95"/>
      <c r="AC2647" s="355"/>
      <c r="AD2647" s="355"/>
      <c r="AE2647" s="355"/>
      <c r="AF2647" s="94">
        <f t="shared" si="348"/>
        <v>43252</v>
      </c>
      <c r="AG2647" s="185">
        <f t="shared" si="351"/>
        <v>-1</v>
      </c>
      <c r="AH2647" s="339" t="str">
        <f>VLOOKUP(B2647,'MF PF'!A:B,2)</f>
        <v>FdMgt1</v>
      </c>
      <c r="AI2647" s="358">
        <f t="shared" si="349"/>
        <v>0</v>
      </c>
      <c r="AJ2647" s="94">
        <f t="shared" si="350"/>
        <v>43281</v>
      </c>
    </row>
    <row r="2648" spans="1:53" ht="12.75" customHeight="1">
      <c r="A2648" s="94">
        <v>43281</v>
      </c>
      <c r="B2648" s="358" t="s">
        <v>273</v>
      </c>
      <c r="C2648" s="358" t="s">
        <v>343</v>
      </c>
      <c r="D2648" s="93">
        <v>4084.34</v>
      </c>
      <c r="F2648" s="93"/>
      <c r="G2648" s="93"/>
      <c r="H2648" s="93"/>
      <c r="I2648" s="93"/>
      <c r="K2648" s="93"/>
      <c r="L2648" s="93">
        <f t="shared" si="345"/>
        <v>0</v>
      </c>
      <c r="M2648" s="95" t="e">
        <f t="shared" ca="1" si="346"/>
        <v>#DIV/0!</v>
      </c>
      <c r="N2648" s="95">
        <f>IF(P2648="Hedge Fund",IF(A2648=Summary!$AD$3,M2648-E2648,M2648),IF(A2648=Summary!$AD$3,L2648-D2648,L2648))</f>
        <v>0</v>
      </c>
      <c r="O2648" s="95"/>
      <c r="P2648" s="107" t="s">
        <v>155</v>
      </c>
      <c r="Q2648" s="95">
        <v>0</v>
      </c>
      <c r="R2648" s="95">
        <v>0</v>
      </c>
      <c r="S2648" s="95"/>
      <c r="T2648" s="95"/>
      <c r="U2648" s="95"/>
      <c r="V2648" s="95"/>
      <c r="W2648" s="95"/>
      <c r="X2648" s="95"/>
      <c r="Y2648" s="95"/>
      <c r="Z2648" s="95"/>
      <c r="AA2648" s="95"/>
      <c r="AB2648" s="95"/>
      <c r="AC2648" s="355"/>
      <c r="AD2648" s="355"/>
      <c r="AE2648" s="355"/>
      <c r="AF2648" s="94">
        <f t="shared" si="348"/>
        <v>43281</v>
      </c>
      <c r="AG2648" s="185" t="e">
        <f t="shared" si="351"/>
        <v>#DIV/0!</v>
      </c>
      <c r="AH2648" s="339" t="str">
        <f>VLOOKUP(B2648,'MF PF'!A:B,2)</f>
        <v>FdMgt1</v>
      </c>
      <c r="AI2648" s="358">
        <f t="shared" si="349"/>
        <v>0</v>
      </c>
      <c r="AJ2648" s="94">
        <f t="shared" si="350"/>
        <v>43281</v>
      </c>
    </row>
    <row r="2649" spans="1:53" ht="12.75" customHeight="1">
      <c r="A2649" s="94">
        <v>43312</v>
      </c>
      <c r="B2649" s="358" t="s">
        <v>273</v>
      </c>
      <c r="C2649" s="358" t="s">
        <v>343</v>
      </c>
      <c r="D2649" s="93">
        <v>7603.91</v>
      </c>
      <c r="E2649" s="95"/>
      <c r="F2649" s="93"/>
      <c r="G2649" s="93"/>
      <c r="H2649" s="93"/>
      <c r="I2649" s="93"/>
      <c r="K2649" s="93"/>
      <c r="L2649" s="93">
        <f t="shared" si="345"/>
        <v>0</v>
      </c>
      <c r="M2649" s="95" t="e">
        <f t="shared" ca="1" si="346"/>
        <v>#DIV/0!</v>
      </c>
      <c r="N2649" s="95">
        <f>IF(P2649="Hedge Fund",IF(A2649=Summary!$AD$3,M2649-E2649,M2649),IF(A2649=Summary!$AD$3,L2649-D2649,L2649))</f>
        <v>0</v>
      </c>
      <c r="O2649" s="95"/>
      <c r="P2649" s="107" t="s">
        <v>155</v>
      </c>
      <c r="Q2649" s="95">
        <v>0</v>
      </c>
      <c r="R2649" s="95">
        <v>-6.5980400000000003E-3</v>
      </c>
      <c r="S2649" s="95"/>
      <c r="T2649" s="95"/>
      <c r="U2649" s="95"/>
      <c r="V2649" s="95"/>
      <c r="W2649" s="95"/>
      <c r="X2649" s="95"/>
      <c r="Y2649" s="95"/>
      <c r="Z2649" s="95"/>
      <c r="AA2649" s="95"/>
      <c r="AB2649" s="95"/>
      <c r="AC2649" s="355"/>
      <c r="AD2649" s="355"/>
      <c r="AE2649" s="355"/>
      <c r="AF2649" s="94">
        <f t="shared" si="348"/>
        <v>43312</v>
      </c>
      <c r="AG2649" s="185">
        <f t="shared" si="351"/>
        <v>0.86172306908827356</v>
      </c>
      <c r="AH2649" s="339" t="str">
        <f>VLOOKUP(B2649,'MF PF'!A:B,2)</f>
        <v>FdMgt1</v>
      </c>
      <c r="AI2649" s="358">
        <f t="shared" si="349"/>
        <v>0</v>
      </c>
      <c r="AJ2649" s="94">
        <f t="shared" si="350"/>
        <v>43312</v>
      </c>
    </row>
    <row r="2650" spans="1:53" ht="12.75" customHeight="1">
      <c r="A2650" s="94">
        <v>43329</v>
      </c>
      <c r="B2650" s="358" t="s">
        <v>273</v>
      </c>
      <c r="C2650" s="358" t="s">
        <v>343</v>
      </c>
      <c r="D2650" s="93"/>
      <c r="F2650" s="93"/>
      <c r="G2650" s="93">
        <v>-318.59516279450474</v>
      </c>
      <c r="H2650" s="93"/>
      <c r="I2650" s="93"/>
      <c r="K2650" s="93"/>
      <c r="L2650" s="93">
        <f t="shared" si="345"/>
        <v>-318.59516279450474</v>
      </c>
      <c r="M2650" s="95" t="e">
        <f t="shared" ca="1" si="346"/>
        <v>#DIV/0!</v>
      </c>
      <c r="N2650" s="95">
        <f>IF(P2650="Hedge Fund",IF(A2650=Summary!$AD$3,M2650-E2650,M2650),IF(A2650=Summary!$AD$3,L2650-D2650,L2650))</f>
        <v>-318.59516279450474</v>
      </c>
      <c r="O2650" s="95"/>
      <c r="P2650" s="107" t="s">
        <v>155</v>
      </c>
      <c r="Q2650" s="95">
        <v>0</v>
      </c>
      <c r="R2650" s="95">
        <v>0</v>
      </c>
      <c r="S2650" s="95"/>
      <c r="T2650" s="95"/>
      <c r="U2650" s="95"/>
      <c r="V2650" s="95"/>
      <c r="W2650" s="95"/>
      <c r="X2650" s="95"/>
      <c r="Y2650" s="95"/>
      <c r="Z2650" s="95"/>
      <c r="AA2650" s="95"/>
      <c r="AB2650" s="95"/>
      <c r="AC2650" s="355"/>
      <c r="AD2650" s="355"/>
      <c r="AE2650" s="355"/>
      <c r="AF2650" s="94">
        <f t="shared" si="348"/>
        <v>43329</v>
      </c>
      <c r="AG2650" s="185">
        <f t="shared" si="351"/>
        <v>-0.95810113970384914</v>
      </c>
      <c r="AH2650" s="339" t="str">
        <f>VLOOKUP(B2650,'MF PF'!A:B,2)</f>
        <v>FdMgt1</v>
      </c>
      <c r="AI2650" s="358">
        <f t="shared" si="349"/>
        <v>0</v>
      </c>
      <c r="AJ2650" s="94">
        <f t="shared" si="350"/>
        <v>43343</v>
      </c>
    </row>
    <row r="2651" spans="1:53" ht="12.75" customHeight="1">
      <c r="A2651" s="94">
        <v>43343</v>
      </c>
      <c r="B2651" s="358" t="s">
        <v>273</v>
      </c>
      <c r="C2651" s="358" t="s">
        <v>343</v>
      </c>
      <c r="D2651" s="93">
        <v>3537.73</v>
      </c>
      <c r="F2651" s="93"/>
      <c r="G2651" s="93"/>
      <c r="H2651" s="93"/>
      <c r="I2651" s="93"/>
      <c r="K2651" s="93"/>
      <c r="L2651" s="93">
        <f t="shared" si="345"/>
        <v>0</v>
      </c>
      <c r="M2651" s="95" t="e">
        <f t="shared" ca="1" si="346"/>
        <v>#DIV/0!</v>
      </c>
      <c r="N2651" s="95">
        <f>IF(P2651="Hedge Fund",IF(A2651=Summary!$AD$3,M2651-E2651,M2651),IF(A2651=Summary!$AD$3,L2651-D2651,L2651))</f>
        <v>0</v>
      </c>
      <c r="O2651" s="95"/>
      <c r="P2651" s="107" t="s">
        <v>155</v>
      </c>
      <c r="Q2651" s="95">
        <v>0</v>
      </c>
      <c r="R2651" s="95">
        <v>-2.8518099999999998E-3</v>
      </c>
      <c r="S2651" s="95"/>
      <c r="T2651" s="95"/>
      <c r="U2651" s="95"/>
      <c r="V2651" s="95"/>
      <c r="W2651" s="95"/>
      <c r="X2651" s="95"/>
      <c r="Y2651" s="95"/>
      <c r="Z2651" s="95"/>
      <c r="AA2651" s="95"/>
      <c r="AB2651" s="95"/>
      <c r="AC2651" s="355"/>
      <c r="AD2651" s="355"/>
      <c r="AE2651" s="355"/>
      <c r="AF2651" s="94">
        <f t="shared" si="348"/>
        <v>43343</v>
      </c>
      <c r="AG2651" s="185" t="e">
        <f t="shared" si="351"/>
        <v>#DIV/0!</v>
      </c>
      <c r="AH2651" s="339" t="str">
        <f>VLOOKUP(B2651,'MF PF'!A:B,2)</f>
        <v>FdMgt1</v>
      </c>
      <c r="AI2651" s="358">
        <f t="shared" si="349"/>
        <v>0</v>
      </c>
      <c r="AJ2651" s="94">
        <f t="shared" si="350"/>
        <v>43343</v>
      </c>
    </row>
    <row r="2652" spans="1:53" ht="12.75" customHeight="1">
      <c r="A2652" s="94">
        <v>43369</v>
      </c>
      <c r="B2652" s="358" t="s">
        <v>273</v>
      </c>
      <c r="C2652" s="358" t="s">
        <v>343</v>
      </c>
      <c r="D2652" s="93"/>
      <c r="F2652" s="93"/>
      <c r="G2652" s="93">
        <v>137.87</v>
      </c>
      <c r="H2652" s="93"/>
      <c r="I2652" s="93"/>
      <c r="K2652" s="93"/>
      <c r="L2652" s="93">
        <f t="shared" si="345"/>
        <v>137.87</v>
      </c>
      <c r="M2652" s="95" t="e">
        <f t="shared" ca="1" si="346"/>
        <v>#DIV/0!</v>
      </c>
      <c r="N2652" s="95">
        <f>IF(P2652="Hedge Fund",IF(A2652=Summary!$AD$3,M2652-E2652,M2652),IF(A2652=Summary!$AD$3,L2652-D2652,L2652))</f>
        <v>137.87</v>
      </c>
      <c r="O2652" s="95"/>
      <c r="P2652" s="107" t="s">
        <v>155</v>
      </c>
      <c r="Q2652" s="95">
        <v>0</v>
      </c>
      <c r="R2652" s="95">
        <v>0</v>
      </c>
      <c r="S2652" s="95"/>
      <c r="T2652" s="95"/>
      <c r="U2652" s="95"/>
      <c r="V2652" s="95"/>
      <c r="W2652" s="95"/>
      <c r="X2652" s="95"/>
      <c r="Y2652" s="95"/>
      <c r="Z2652" s="95"/>
      <c r="AA2652" s="95"/>
      <c r="AB2652" s="95"/>
      <c r="AC2652" s="355"/>
      <c r="AD2652" s="355"/>
      <c r="AE2652" s="355"/>
      <c r="AF2652" s="94">
        <f t="shared" si="348"/>
        <v>43369</v>
      </c>
      <c r="AG2652" s="185">
        <f t="shared" si="351"/>
        <v>-1.0389713177659121</v>
      </c>
      <c r="AH2652" s="339" t="str">
        <f>VLOOKUP(B2652,'MF PF'!A:B,2)</f>
        <v>FdMgt1</v>
      </c>
      <c r="AI2652" s="358">
        <f t="shared" si="349"/>
        <v>0</v>
      </c>
      <c r="AJ2652" s="94">
        <f t="shared" si="350"/>
        <v>43373</v>
      </c>
      <c r="AK2652" s="358"/>
      <c r="AL2652" s="358"/>
      <c r="AM2652" s="358"/>
      <c r="AN2652" s="358"/>
      <c r="AO2652" s="358"/>
      <c r="AP2652" s="358"/>
      <c r="AQ2652" s="358"/>
      <c r="AR2652" s="358"/>
      <c r="AS2652" s="358"/>
      <c r="AT2652" s="358"/>
      <c r="AU2652" s="358"/>
      <c r="AV2652" s="358"/>
      <c r="AW2652" s="358"/>
      <c r="AX2652" s="358"/>
      <c r="AY2652" s="358"/>
      <c r="AZ2652" s="358"/>
      <c r="BA2652" s="358"/>
    </row>
    <row r="2653" spans="1:53" ht="12.75" customHeight="1">
      <c r="A2653" s="94">
        <v>43371</v>
      </c>
      <c r="B2653" s="358" t="s">
        <v>273</v>
      </c>
      <c r="C2653" s="358" t="s">
        <v>343</v>
      </c>
      <c r="D2653" s="93">
        <v>34333.839999999997</v>
      </c>
      <c r="F2653" s="93"/>
      <c r="G2653" s="93"/>
      <c r="H2653" s="93"/>
      <c r="I2653" s="93"/>
      <c r="K2653" s="93"/>
      <c r="L2653" s="93">
        <f t="shared" si="345"/>
        <v>0</v>
      </c>
      <c r="M2653" s="95" t="e">
        <f t="shared" ca="1" si="346"/>
        <v>#DIV/0!</v>
      </c>
      <c r="N2653" s="95">
        <f>IF(P2653="Hedge Fund",IF(A2653=Summary!$AD$3,M2653-E2653,M2653),IF(A2653=Summary!$AD$3,L2653-D2653,L2653))</f>
        <v>0</v>
      </c>
      <c r="O2653" s="95"/>
      <c r="P2653" s="107" t="s">
        <v>155</v>
      </c>
      <c r="Q2653" s="95">
        <v>0</v>
      </c>
      <c r="R2653" s="95"/>
      <c r="S2653" s="95"/>
      <c r="T2653" s="95"/>
      <c r="U2653" s="95"/>
      <c r="V2653" s="95"/>
      <c r="W2653" s="95"/>
      <c r="X2653" s="95"/>
      <c r="Y2653" s="95"/>
      <c r="Z2653" s="95"/>
      <c r="AA2653" s="95"/>
      <c r="AB2653" s="95"/>
      <c r="AC2653" s="355"/>
      <c r="AD2653" s="355"/>
      <c r="AE2653" s="355"/>
      <c r="AF2653" s="94">
        <f t="shared" si="348"/>
        <v>43371</v>
      </c>
      <c r="AG2653" s="185" t="e">
        <f t="shared" si="351"/>
        <v>#DIV/0!</v>
      </c>
      <c r="AH2653" s="339" t="str">
        <f>VLOOKUP(B2653,'MF PF'!A:B,2)</f>
        <v>FdMgt1</v>
      </c>
      <c r="AI2653" s="358">
        <f t="shared" si="349"/>
        <v>0</v>
      </c>
      <c r="AJ2653" s="94">
        <f t="shared" si="350"/>
        <v>43373</v>
      </c>
    </row>
    <row r="2654" spans="1:53" ht="12.75" customHeight="1">
      <c r="A2654" s="94">
        <v>43404</v>
      </c>
      <c r="B2654" s="358" t="s">
        <v>273</v>
      </c>
      <c r="C2654" s="358" t="s">
        <v>343</v>
      </c>
      <c r="D2654" s="93">
        <v>130215.36229999999</v>
      </c>
      <c r="F2654" s="93">
        <v>1E-3</v>
      </c>
      <c r="G2654" s="93">
        <v>80.900000000000034</v>
      </c>
      <c r="H2654" s="93">
        <v>0</v>
      </c>
      <c r="I2654" s="93">
        <v>0</v>
      </c>
      <c r="J2654" s="93">
        <v>0</v>
      </c>
      <c r="K2654" s="93"/>
      <c r="L2654" s="93">
        <f t="shared" si="345"/>
        <v>80.900000000000034</v>
      </c>
      <c r="M2654" s="95" t="e">
        <f t="shared" ca="1" si="346"/>
        <v>#DIV/0!</v>
      </c>
      <c r="N2654" s="95">
        <f>IF(P2654="Hedge Fund",IF(A2654=Summary!$AD$3,M2654-E2654,M2654),IF(A2654=Summary!$AD$3,L2654-D2654,L2654))</f>
        <v>80.900000000000034</v>
      </c>
      <c r="O2654" s="95"/>
      <c r="P2654" s="95" t="s">
        <v>155</v>
      </c>
      <c r="Q2654" s="95">
        <v>0</v>
      </c>
      <c r="R2654" s="95">
        <v>0</v>
      </c>
      <c r="S2654" s="95"/>
      <c r="T2654" s="95"/>
      <c r="U2654" s="95"/>
      <c r="V2654" s="95"/>
      <c r="W2654" s="95"/>
      <c r="X2654" s="95"/>
      <c r="Y2654" s="95"/>
      <c r="Z2654" s="95"/>
      <c r="AA2654" s="95"/>
      <c r="AB2654" s="95"/>
      <c r="AC2654" s="355"/>
      <c r="AD2654" s="355"/>
      <c r="AE2654" s="355"/>
      <c r="AF2654" s="94">
        <f t="shared" si="348"/>
        <v>43404</v>
      </c>
      <c r="AG2654" s="185">
        <f t="shared" si="351"/>
        <v>2.7902682106050478</v>
      </c>
      <c r="AH2654" s="339" t="str">
        <f>VLOOKUP(B2654,'MF PF'!A:B,2)</f>
        <v>FdMgt1</v>
      </c>
      <c r="AI2654" s="358">
        <f t="shared" si="349"/>
        <v>0</v>
      </c>
      <c r="AJ2654" s="94">
        <f t="shared" si="350"/>
        <v>43404</v>
      </c>
    </row>
    <row r="2655" spans="1:53" ht="12.75" customHeight="1">
      <c r="A2655" s="94">
        <v>43432</v>
      </c>
      <c r="B2655" s="358" t="s">
        <v>273</v>
      </c>
      <c r="C2655" s="358" t="s">
        <v>343</v>
      </c>
      <c r="D2655" s="93"/>
      <c r="F2655" s="93"/>
      <c r="G2655" s="93">
        <v>87.01</v>
      </c>
      <c r="H2655" s="93">
        <v>0</v>
      </c>
      <c r="I2655" s="93">
        <v>0</v>
      </c>
      <c r="K2655" s="93">
        <v>0</v>
      </c>
      <c r="L2655" s="93">
        <f t="shared" si="345"/>
        <v>87.01</v>
      </c>
      <c r="M2655" s="95" t="e">
        <f t="shared" ca="1" si="346"/>
        <v>#DIV/0!</v>
      </c>
      <c r="N2655" s="95">
        <f>IF(P2655="Hedge Fund",IF(A2655=Summary!$AD$3,M2655-E2655,M2655),IF(A2655=Summary!$AD$3,L2655-D2655,L2655))</f>
        <v>87.01</v>
      </c>
      <c r="O2655" s="95"/>
      <c r="P2655" s="95" t="s">
        <v>155</v>
      </c>
      <c r="Q2655" s="95"/>
      <c r="R2655" s="95"/>
      <c r="S2655" s="95"/>
      <c r="T2655" s="95"/>
      <c r="U2655" s="95"/>
      <c r="V2655" s="95"/>
      <c r="W2655" s="95"/>
      <c r="X2655" s="95"/>
      <c r="Y2655" s="95"/>
      <c r="Z2655" s="95"/>
      <c r="AA2655" s="95"/>
      <c r="AB2655" s="95"/>
      <c r="AC2655" s="355"/>
      <c r="AD2655" s="355"/>
      <c r="AE2655" s="355"/>
      <c r="AF2655" s="94">
        <f t="shared" si="348"/>
        <v>43432</v>
      </c>
      <c r="AG2655" s="185">
        <f t="shared" si="351"/>
        <v>-1.0006682007288783</v>
      </c>
      <c r="AH2655" s="339" t="str">
        <f>VLOOKUP(B2655,'MF PF'!A:B,2)</f>
        <v>FdMgt1</v>
      </c>
      <c r="AI2655" s="358">
        <f t="shared" si="349"/>
        <v>0</v>
      </c>
      <c r="AJ2655" s="94">
        <f t="shared" si="350"/>
        <v>43434</v>
      </c>
    </row>
    <row r="2656" spans="1:53" ht="12.75" customHeight="1">
      <c r="A2656" s="94">
        <v>43434</v>
      </c>
      <c r="B2656" s="358" t="s">
        <v>273</v>
      </c>
      <c r="C2656" s="358" t="s">
        <v>343</v>
      </c>
      <c r="D2656" s="93">
        <v>52466.81</v>
      </c>
      <c r="F2656" s="93">
        <v>1E-3</v>
      </c>
      <c r="G2656" s="93"/>
      <c r="H2656" s="93">
        <v>0</v>
      </c>
      <c r="I2656" s="93">
        <v>0</v>
      </c>
      <c r="K2656" s="93">
        <v>0</v>
      </c>
      <c r="L2656" s="93">
        <f t="shared" si="345"/>
        <v>0</v>
      </c>
      <c r="M2656" s="95" t="e">
        <f t="shared" ca="1" si="346"/>
        <v>#DIV/0!</v>
      </c>
      <c r="N2656" s="95">
        <f>IF(P2656="Hedge Fund",IF(A2656=Summary!$AD$3,M2656-E2656,M2656),IF(A2656=Summary!$AD$3,L2656-D2656,L2656))</f>
        <v>0</v>
      </c>
      <c r="O2656" s="95"/>
      <c r="P2656" s="95" t="s">
        <v>155</v>
      </c>
      <c r="Q2656" s="95">
        <v>0</v>
      </c>
      <c r="R2656" s="95">
        <v>0</v>
      </c>
      <c r="S2656" s="95"/>
      <c r="T2656" s="95"/>
      <c r="U2656" s="95"/>
      <c r="V2656" s="95"/>
      <c r="W2656" s="95"/>
      <c r="X2656" s="95"/>
      <c r="Y2656" s="95"/>
      <c r="Z2656" s="95"/>
      <c r="AA2656" s="95"/>
      <c r="AB2656" s="95"/>
      <c r="AC2656" s="355"/>
      <c r="AD2656" s="355"/>
      <c r="AE2656" s="355"/>
      <c r="AF2656" s="94">
        <f t="shared" si="348"/>
        <v>43434</v>
      </c>
      <c r="AG2656" s="185" t="e">
        <f t="shared" si="351"/>
        <v>#DIV/0!</v>
      </c>
      <c r="AH2656" s="339" t="str">
        <f>VLOOKUP(B2656,'MF PF'!A:B,2)</f>
        <v>FdMgt1</v>
      </c>
      <c r="AI2656" s="358">
        <f t="shared" si="349"/>
        <v>0</v>
      </c>
      <c r="AJ2656" s="94">
        <f t="shared" si="350"/>
        <v>43434</v>
      </c>
    </row>
    <row r="2657" spans="1:36" ht="12.75" customHeight="1">
      <c r="A2657" s="94">
        <v>43465</v>
      </c>
      <c r="B2657" s="358" t="s">
        <v>273</v>
      </c>
      <c r="C2657" s="358" t="s">
        <v>343</v>
      </c>
      <c r="D2657" s="93">
        <v>115085.07</v>
      </c>
      <c r="F2657" s="93">
        <v>1E-3</v>
      </c>
      <c r="G2657" s="93"/>
      <c r="H2657" s="93">
        <v>0</v>
      </c>
      <c r="I2657" s="93">
        <v>0</v>
      </c>
      <c r="K2657" s="93">
        <v>0</v>
      </c>
      <c r="L2657" s="93">
        <f t="shared" si="345"/>
        <v>0</v>
      </c>
      <c r="M2657" s="95" t="e">
        <f t="shared" ca="1" si="346"/>
        <v>#DIV/0!</v>
      </c>
      <c r="N2657" s="95">
        <f>IF(P2657="Hedge Fund",IF(A2657=Summary!$AD$3,M2657-E2657,M2657),IF(A2657=Summary!$AD$3,L2657-D2657,L2657))</f>
        <v>0</v>
      </c>
      <c r="O2657" s="95">
        <f>N2657</f>
        <v>0</v>
      </c>
      <c r="P2657" s="95" t="s">
        <v>155</v>
      </c>
      <c r="Q2657" s="95">
        <v>-1.0113526327658209E-3</v>
      </c>
      <c r="R2657" s="95">
        <v>0</v>
      </c>
      <c r="S2657" s="95"/>
      <c r="T2657" s="95"/>
      <c r="U2657" s="95"/>
      <c r="V2657" s="95"/>
      <c r="W2657" s="95"/>
      <c r="X2657" s="95"/>
      <c r="Y2657" s="95"/>
      <c r="Z2657" s="95"/>
      <c r="AA2657" s="95"/>
      <c r="AB2657" s="95"/>
      <c r="AC2657" s="355"/>
      <c r="AD2657" s="355"/>
      <c r="AE2657" s="355"/>
      <c r="AF2657" s="94">
        <f t="shared" si="348"/>
        <v>43465</v>
      </c>
      <c r="AG2657" s="185">
        <f t="shared" si="351"/>
        <v>1.1934832706619671</v>
      </c>
      <c r="AH2657" s="339" t="str">
        <f>VLOOKUP(B2657,'MF PF'!A:B,2)</f>
        <v>FdMgt1</v>
      </c>
      <c r="AI2657" s="358">
        <f t="shared" si="349"/>
        <v>0</v>
      </c>
      <c r="AJ2657" s="94">
        <f t="shared" si="350"/>
        <v>43465</v>
      </c>
    </row>
    <row r="2658" spans="1:36" ht="12.75" customHeight="1">
      <c r="A2658" s="94">
        <v>43496</v>
      </c>
      <c r="B2658" s="358" t="s">
        <v>273</v>
      </c>
      <c r="C2658" s="358" t="s">
        <v>343</v>
      </c>
      <c r="D2658" s="93">
        <v>322831.6029</v>
      </c>
      <c r="F2658" s="93">
        <v>9.871748372054952E-4</v>
      </c>
      <c r="G2658" s="93"/>
      <c r="H2658" s="93">
        <v>0</v>
      </c>
      <c r="I2658" s="93">
        <v>0</v>
      </c>
      <c r="K2658" s="93">
        <v>0</v>
      </c>
      <c r="L2658" s="93">
        <f t="shared" si="345"/>
        <v>0</v>
      </c>
      <c r="M2658" s="95" t="e">
        <f t="shared" ca="1" si="346"/>
        <v>#DIV/0!</v>
      </c>
      <c r="N2658" s="95">
        <f>IF(P2658="Hedge Fund",IF(A2658=Summary!$AD$3,M2658-E2658,M2658),IF(A2658=Summary!$AD$3,L2658-D2658,L2658))</f>
        <v>-322831.6029</v>
      </c>
      <c r="O2658" s="95"/>
      <c r="P2658" s="95" t="s">
        <v>155</v>
      </c>
      <c r="Q2658" s="95">
        <v>0</v>
      </c>
      <c r="R2658" s="95">
        <v>0</v>
      </c>
      <c r="S2658" s="95"/>
      <c r="T2658" s="95"/>
      <c r="U2658" s="95"/>
      <c r="V2658" s="95"/>
      <c r="W2658" s="95"/>
      <c r="X2658" s="95"/>
      <c r="Y2658" s="95"/>
      <c r="Z2658" s="95"/>
      <c r="AA2658" s="95"/>
      <c r="AB2658" s="95"/>
      <c r="AC2658" s="355"/>
      <c r="AD2658" s="355"/>
      <c r="AE2658" s="355"/>
      <c r="AF2658" s="94">
        <f t="shared" si="348"/>
        <v>43496</v>
      </c>
      <c r="AG2658" s="185">
        <f t="shared" si="351"/>
        <v>1.8051562457232722</v>
      </c>
      <c r="AH2658" s="339" t="str">
        <f>VLOOKUP(B2658,'MF PF'!A:B,2)</f>
        <v>FdMgt1</v>
      </c>
      <c r="AI2658" s="358">
        <f t="shared" si="349"/>
        <v>0</v>
      </c>
      <c r="AJ2658" s="94">
        <f t="shared" si="350"/>
        <v>43496</v>
      </c>
    </row>
    <row r="2659" spans="1:36" ht="12.75" customHeight="1">
      <c r="A2659" s="94">
        <v>43252</v>
      </c>
      <c r="B2659" s="358" t="s">
        <v>273</v>
      </c>
      <c r="C2659" s="358" t="s">
        <v>363</v>
      </c>
      <c r="D2659" s="93"/>
      <c r="F2659" s="93"/>
      <c r="G2659" s="93">
        <v>3006618.01</v>
      </c>
      <c r="H2659" s="93"/>
      <c r="I2659" s="93"/>
      <c r="K2659" s="93"/>
      <c r="L2659" s="93">
        <f t="shared" si="345"/>
        <v>3006618.01</v>
      </c>
      <c r="M2659" s="95">
        <f t="shared" ca="1" si="346"/>
        <v>0</v>
      </c>
      <c r="N2659" s="95">
        <f>IF(P2659="Hedge Fund",IF(A2659=Summary!$AD$3,M2659-E2659,M2659),IF(A2659=Summary!$AD$3,L2659-D2659,L2659))</f>
        <v>3006618.01</v>
      </c>
      <c r="O2659" s="95">
        <f t="shared" ref="O2659:O2722" si="352">N2659</f>
        <v>3006618.01</v>
      </c>
      <c r="P2659" s="107" t="s">
        <v>155</v>
      </c>
      <c r="Q2659" s="95">
        <v>0</v>
      </c>
      <c r="R2659" s="95">
        <v>0</v>
      </c>
      <c r="S2659" s="95"/>
      <c r="T2659" s="95"/>
      <c r="U2659" s="95"/>
      <c r="V2659" s="95"/>
      <c r="W2659" s="95"/>
      <c r="X2659" s="95"/>
      <c r="Y2659" s="95"/>
      <c r="Z2659" s="95"/>
      <c r="AA2659" s="95"/>
      <c r="AB2659" s="95"/>
      <c r="AC2659" s="355"/>
      <c r="AD2659" s="355"/>
      <c r="AE2659" s="355"/>
      <c r="AF2659" s="94">
        <f t="shared" si="348"/>
        <v>43252</v>
      </c>
      <c r="AG2659" s="185">
        <f t="shared" si="351"/>
        <v>-1</v>
      </c>
      <c r="AH2659" s="339" t="str">
        <f>VLOOKUP(B2659,'MF PF'!A:B,2)</f>
        <v>FdMgt1</v>
      </c>
      <c r="AI2659" s="358">
        <f t="shared" si="349"/>
        <v>0</v>
      </c>
      <c r="AJ2659" s="94">
        <f t="shared" si="350"/>
        <v>43281</v>
      </c>
    </row>
    <row r="2660" spans="1:36" ht="12.75" customHeight="1">
      <c r="A2660" s="94">
        <v>43281</v>
      </c>
      <c r="B2660" s="358" t="s">
        <v>273</v>
      </c>
      <c r="C2660" s="358" t="s">
        <v>363</v>
      </c>
      <c r="D2660" s="93">
        <v>3010606.09</v>
      </c>
      <c r="F2660" s="93"/>
      <c r="G2660" s="93"/>
      <c r="H2660" s="93"/>
      <c r="I2660" s="93"/>
      <c r="K2660" s="93"/>
      <c r="L2660" s="93">
        <f t="shared" si="345"/>
        <v>0</v>
      </c>
      <c r="M2660" s="95" t="e">
        <f t="shared" ca="1" si="346"/>
        <v>#DIV/0!</v>
      </c>
      <c r="N2660" s="95">
        <f>IF(P2660="Hedge Fund",IF(A2660=Summary!$AD$3,M2660-E2660,M2660),IF(A2660=Summary!$AD$3,L2660-D2660,L2660))</f>
        <v>0</v>
      </c>
      <c r="O2660" s="95">
        <f t="shared" si="352"/>
        <v>0</v>
      </c>
      <c r="P2660" s="107" t="s">
        <v>155</v>
      </c>
      <c r="Q2660" s="95">
        <v>3.59152E-3</v>
      </c>
      <c r="R2660" s="95">
        <v>7.0377999999999999E-4</v>
      </c>
      <c r="S2660" s="95"/>
      <c r="T2660" s="95"/>
      <c r="U2660" s="95"/>
      <c r="V2660" s="95"/>
      <c r="W2660" s="95"/>
      <c r="X2660" s="95"/>
      <c r="Y2660" s="95"/>
      <c r="Z2660" s="95"/>
      <c r="AA2660" s="95"/>
      <c r="AB2660" s="95"/>
      <c r="AC2660" s="355"/>
      <c r="AD2660" s="355"/>
      <c r="AE2660" s="355"/>
      <c r="AF2660" s="94">
        <f t="shared" si="348"/>
        <v>43281</v>
      </c>
      <c r="AG2660" s="185" t="e">
        <f t="shared" si="351"/>
        <v>#DIV/0!</v>
      </c>
      <c r="AH2660" s="339" t="str">
        <f>VLOOKUP(B2660,'MF PF'!A:B,2)</f>
        <v>FdMgt1</v>
      </c>
      <c r="AI2660" s="358">
        <f t="shared" si="349"/>
        <v>0</v>
      </c>
      <c r="AJ2660" s="94">
        <f t="shared" si="350"/>
        <v>43281</v>
      </c>
    </row>
    <row r="2661" spans="1:36" ht="12.75" customHeight="1">
      <c r="A2661" s="94">
        <v>43312</v>
      </c>
      <c r="B2661" s="358" t="s">
        <v>273</v>
      </c>
      <c r="C2661" s="358" t="s">
        <v>363</v>
      </c>
      <c r="D2661" s="93">
        <v>3015156.11</v>
      </c>
      <c r="F2661" s="93"/>
      <c r="G2661" s="93"/>
      <c r="H2661" s="93"/>
      <c r="I2661" s="93"/>
      <c r="K2661" s="93"/>
      <c r="L2661" s="93">
        <f t="shared" si="345"/>
        <v>0</v>
      </c>
      <c r="M2661" s="95" t="e">
        <f t="shared" ca="1" si="346"/>
        <v>#DIV/0!</v>
      </c>
      <c r="N2661" s="95">
        <f>IF(P2661="Hedge Fund",IF(A2661=Summary!$AD$3,M2661-E2661,M2661),IF(A2661=Summary!$AD$3,L2661-D2661,L2661))</f>
        <v>0</v>
      </c>
      <c r="O2661" s="95">
        <f t="shared" si="352"/>
        <v>0</v>
      </c>
      <c r="P2661" s="107" t="s">
        <v>155</v>
      </c>
      <c r="Q2661" s="95">
        <v>0</v>
      </c>
      <c r="R2661" s="95">
        <v>1.50672E-3</v>
      </c>
      <c r="S2661" s="95"/>
      <c r="T2661" s="95"/>
      <c r="U2661" s="95"/>
      <c r="V2661" s="95"/>
      <c r="W2661" s="95"/>
      <c r="X2661" s="95"/>
      <c r="Y2661" s="95"/>
      <c r="Z2661" s="95"/>
      <c r="AA2661" s="95"/>
      <c r="AB2661" s="95"/>
      <c r="AC2661" s="355"/>
      <c r="AD2661" s="355"/>
      <c r="AE2661" s="355"/>
      <c r="AF2661" s="94">
        <f t="shared" si="348"/>
        <v>43312</v>
      </c>
      <c r="AG2661" s="185">
        <f t="shared" si="351"/>
        <v>1.511330231847019E-3</v>
      </c>
      <c r="AH2661" s="339" t="str">
        <f>VLOOKUP(B2661,'MF PF'!A:B,2)</f>
        <v>FdMgt1</v>
      </c>
      <c r="AI2661" s="358">
        <f t="shared" si="349"/>
        <v>0</v>
      </c>
      <c r="AJ2661" s="94">
        <f t="shared" si="350"/>
        <v>43312</v>
      </c>
    </row>
    <row r="2662" spans="1:36" ht="12.75" customHeight="1">
      <c r="A2662" s="94">
        <v>43329</v>
      </c>
      <c r="B2662" s="358" t="s">
        <v>273</v>
      </c>
      <c r="C2662" s="358" t="s">
        <v>363</v>
      </c>
      <c r="D2662" s="93"/>
      <c r="F2662" s="93"/>
      <c r="G2662" s="93">
        <v>-957906.9146553399</v>
      </c>
      <c r="H2662" s="93"/>
      <c r="I2662" s="93"/>
      <c r="K2662" s="93"/>
      <c r="L2662" s="93">
        <f t="shared" si="345"/>
        <v>-957906.9146553399</v>
      </c>
      <c r="M2662" s="95" t="e">
        <f t="shared" ca="1" si="346"/>
        <v>#DIV/0!</v>
      </c>
      <c r="N2662" s="95">
        <f>IF(P2662="Hedge Fund",IF(A2662=Summary!$AD$3,M2662-E2662,M2662),IF(A2662=Summary!$AD$3,L2662-D2662,L2662))</f>
        <v>-957906.9146553399</v>
      </c>
      <c r="O2662" s="95">
        <f t="shared" si="352"/>
        <v>-957906.9146553399</v>
      </c>
      <c r="P2662" s="107" t="s">
        <v>155</v>
      </c>
      <c r="Q2662" s="95">
        <v>0</v>
      </c>
      <c r="R2662" s="95">
        <v>0</v>
      </c>
      <c r="S2662" s="95"/>
      <c r="T2662" s="95"/>
      <c r="U2662" s="95"/>
      <c r="V2662" s="95"/>
      <c r="W2662" s="95"/>
      <c r="X2662" s="95"/>
      <c r="Y2662" s="95"/>
      <c r="Z2662" s="95"/>
      <c r="AA2662" s="95"/>
      <c r="AB2662" s="95"/>
      <c r="AC2662" s="355"/>
      <c r="AD2662" s="355"/>
      <c r="AE2662" s="355"/>
      <c r="AF2662" s="94">
        <f t="shared" si="348"/>
        <v>43329</v>
      </c>
      <c r="AG2662" s="185">
        <f t="shared" si="351"/>
        <v>-0.68230271345541049</v>
      </c>
      <c r="AH2662" s="339" t="str">
        <f>VLOOKUP(B2662,'MF PF'!A:B,2)</f>
        <v>FdMgt1</v>
      </c>
      <c r="AI2662" s="358">
        <f t="shared" si="349"/>
        <v>0</v>
      </c>
      <c r="AJ2662" s="94">
        <f t="shared" si="350"/>
        <v>43343</v>
      </c>
    </row>
    <row r="2663" spans="1:36" ht="12.75" customHeight="1">
      <c r="A2663" s="94">
        <v>43343</v>
      </c>
      <c r="B2663" s="358" t="s">
        <v>273</v>
      </c>
      <c r="C2663" s="358" t="s">
        <v>363</v>
      </c>
      <c r="D2663" s="93">
        <v>2052335.59</v>
      </c>
      <c r="F2663" s="93"/>
      <c r="G2663" s="93"/>
      <c r="H2663" s="93"/>
      <c r="I2663" s="93"/>
      <c r="K2663" s="93"/>
      <c r="L2663" s="93">
        <f t="shared" si="345"/>
        <v>0</v>
      </c>
      <c r="M2663" s="95" t="e">
        <f t="shared" ca="1" si="346"/>
        <v>#DIV/0!</v>
      </c>
      <c r="N2663" s="95">
        <f>IF(P2663="Hedge Fund",IF(A2663=Summary!$AD$3,M2663-E2663,M2663),IF(A2663=Summary!$AD$3,L2663-D2663,L2663))</f>
        <v>0</v>
      </c>
      <c r="O2663" s="95">
        <f t="shared" si="352"/>
        <v>0</v>
      </c>
      <c r="P2663" s="107" t="s">
        <v>155</v>
      </c>
      <c r="Q2663" s="95">
        <v>0</v>
      </c>
      <c r="R2663" s="95">
        <v>6.3962000000000003E-4</v>
      </c>
      <c r="S2663" s="95"/>
      <c r="T2663" s="95"/>
      <c r="U2663" s="95"/>
      <c r="V2663" s="95"/>
      <c r="W2663" s="95"/>
      <c r="X2663" s="95"/>
      <c r="Y2663" s="95"/>
      <c r="Z2663" s="95"/>
      <c r="AA2663" s="95"/>
      <c r="AB2663" s="95"/>
      <c r="AC2663" s="355"/>
      <c r="AD2663" s="355"/>
      <c r="AE2663" s="355"/>
      <c r="AF2663" s="94">
        <f t="shared" si="348"/>
        <v>43343</v>
      </c>
      <c r="AG2663" s="185" t="e">
        <f t="shared" si="351"/>
        <v>#DIV/0!</v>
      </c>
      <c r="AH2663" s="339" t="str">
        <f>VLOOKUP(B2663,'MF PF'!A:B,2)</f>
        <v>FdMgt1</v>
      </c>
      <c r="AI2663" s="358">
        <f t="shared" si="349"/>
        <v>0</v>
      </c>
      <c r="AJ2663" s="94">
        <f t="shared" si="350"/>
        <v>43343</v>
      </c>
    </row>
    <row r="2664" spans="1:36" ht="12.75" customHeight="1">
      <c r="A2664" s="94">
        <v>43369</v>
      </c>
      <c r="B2664" s="358" t="s">
        <v>273</v>
      </c>
      <c r="C2664" s="358" t="s">
        <v>363</v>
      </c>
      <c r="D2664" s="93"/>
      <c r="F2664" s="93"/>
      <c r="G2664" s="93">
        <v>414492.62</v>
      </c>
      <c r="H2664" s="93"/>
      <c r="I2664" s="93"/>
      <c r="K2664" s="93"/>
      <c r="L2664" s="93">
        <f t="shared" si="345"/>
        <v>414492.62</v>
      </c>
      <c r="M2664" s="95" t="e">
        <f t="shared" ca="1" si="346"/>
        <v>#DIV/0!</v>
      </c>
      <c r="N2664" s="95">
        <f>IF(P2664="Hedge Fund",IF(A2664=Summary!$AD$3,M2664-E2664,M2664),IF(A2664=Summary!$AD$3,L2664-D2664,L2664))</f>
        <v>414492.62</v>
      </c>
      <c r="O2664" s="95">
        <f t="shared" si="352"/>
        <v>414492.62</v>
      </c>
      <c r="P2664" s="107" t="s">
        <v>155</v>
      </c>
      <c r="Q2664" s="95">
        <v>0</v>
      </c>
      <c r="R2664" s="95">
        <v>0</v>
      </c>
      <c r="S2664" s="95"/>
      <c r="T2664" s="95"/>
      <c r="U2664" s="95"/>
      <c r="V2664" s="95"/>
      <c r="W2664" s="95"/>
      <c r="X2664" s="95"/>
      <c r="Y2664" s="95"/>
      <c r="Z2664" s="95"/>
      <c r="AA2664" s="95"/>
      <c r="AB2664" s="95"/>
      <c r="AC2664" s="355"/>
      <c r="AD2664" s="355"/>
      <c r="AE2664" s="355"/>
      <c r="AF2664" s="94">
        <f t="shared" si="348"/>
        <v>43369</v>
      </c>
      <c r="AG2664" s="185">
        <f t="shared" si="351"/>
        <v>-1.2019614248369586</v>
      </c>
      <c r="AH2664" s="339" t="str">
        <f>VLOOKUP(B2664,'MF PF'!A:B,2)</f>
        <v>FdMgt1</v>
      </c>
      <c r="AI2664" s="358">
        <f t="shared" si="349"/>
        <v>0</v>
      </c>
      <c r="AJ2664" s="94">
        <f t="shared" si="350"/>
        <v>43373</v>
      </c>
    </row>
    <row r="2665" spans="1:36" ht="12.75" customHeight="1">
      <c r="A2665" s="94">
        <v>43371</v>
      </c>
      <c r="B2665" s="358" t="s">
        <v>273</v>
      </c>
      <c r="C2665" s="358" t="s">
        <v>363</v>
      </c>
      <c r="D2665" s="93">
        <v>2481729.34</v>
      </c>
      <c r="F2665" s="93"/>
      <c r="G2665" s="93"/>
      <c r="H2665" s="93"/>
      <c r="I2665" s="93"/>
      <c r="K2665" s="93"/>
      <c r="L2665" s="93">
        <f t="shared" si="345"/>
        <v>0</v>
      </c>
      <c r="M2665" s="95" t="e">
        <f t="shared" ca="1" si="346"/>
        <v>#DIV/0!</v>
      </c>
      <c r="N2665" s="95">
        <f>IF(P2665="Hedge Fund",IF(A2665=Summary!$AD$3,M2665-E2665,M2665),IF(A2665=Summary!$AD$3,L2665-D2665,L2665))</f>
        <v>0</v>
      </c>
      <c r="O2665" s="95">
        <f t="shared" si="352"/>
        <v>0</v>
      </c>
      <c r="P2665" s="107" t="s">
        <v>155</v>
      </c>
      <c r="Q2665" s="95">
        <v>1.3600370000000001E-2</v>
      </c>
      <c r="R2665" s="95">
        <v>3.2692300000000001E-3</v>
      </c>
      <c r="S2665" s="95"/>
      <c r="T2665" s="95"/>
      <c r="U2665" s="95"/>
      <c r="V2665" s="95"/>
      <c r="W2665" s="95"/>
      <c r="X2665" s="95"/>
      <c r="Y2665" s="95"/>
      <c r="Z2665" s="95"/>
      <c r="AA2665" s="95"/>
      <c r="AB2665" s="95"/>
      <c r="AC2665" s="355"/>
      <c r="AD2665" s="355"/>
      <c r="AE2665" s="355"/>
      <c r="AF2665" s="94">
        <f t="shared" si="348"/>
        <v>43371</v>
      </c>
      <c r="AG2665" s="185" t="e">
        <f t="shared" si="351"/>
        <v>#DIV/0!</v>
      </c>
      <c r="AH2665" s="339" t="str">
        <f>VLOOKUP(B2665,'MF PF'!A:B,2)</f>
        <v>FdMgt1</v>
      </c>
      <c r="AI2665" s="358">
        <f t="shared" si="349"/>
        <v>0</v>
      </c>
      <c r="AJ2665" s="94">
        <f t="shared" si="350"/>
        <v>43373</v>
      </c>
    </row>
    <row r="2666" spans="1:36" ht="12.75" customHeight="1">
      <c r="A2666" s="94">
        <v>43404</v>
      </c>
      <c r="B2666" s="358" t="s">
        <v>273</v>
      </c>
      <c r="C2666" s="358" t="s">
        <v>363</v>
      </c>
      <c r="D2666" s="93">
        <v>2841193.8892999999</v>
      </c>
      <c r="F2666" s="93">
        <v>3.00661801</v>
      </c>
      <c r="G2666" s="93">
        <v>243278.6100000001</v>
      </c>
      <c r="H2666" s="93">
        <v>0</v>
      </c>
      <c r="I2666" s="93">
        <v>0</v>
      </c>
      <c r="J2666" s="93">
        <v>0</v>
      </c>
      <c r="K2666" s="93"/>
      <c r="L2666" s="93">
        <f t="shared" si="345"/>
        <v>243278.6100000001</v>
      </c>
      <c r="M2666" s="95" t="e">
        <f t="shared" ca="1" si="346"/>
        <v>#DIV/0!</v>
      </c>
      <c r="N2666" s="95">
        <f>IF(P2666="Hedge Fund",IF(A2666=Summary!$AD$3,M2666-E2666,M2666),IF(A2666=Summary!$AD$3,L2666-D2666,L2666))</f>
        <v>243278.6100000001</v>
      </c>
      <c r="O2666" s="95">
        <f t="shared" si="352"/>
        <v>243278.6100000001</v>
      </c>
      <c r="P2666" s="95" t="s">
        <v>155</v>
      </c>
      <c r="Q2666" s="95">
        <v>1.6159917736953477E-2</v>
      </c>
      <c r="R2666" s="95">
        <v>1.696956069830095E-2</v>
      </c>
      <c r="S2666" s="95"/>
      <c r="T2666" s="95"/>
      <c r="U2666" s="95"/>
      <c r="V2666" s="95"/>
      <c r="W2666" s="95"/>
      <c r="X2666" s="95"/>
      <c r="Y2666" s="95"/>
      <c r="Z2666" s="95"/>
      <c r="AA2666" s="95"/>
      <c r="AB2666" s="95"/>
      <c r="AC2666" s="355"/>
      <c r="AD2666" s="355"/>
      <c r="AE2666" s="355"/>
      <c r="AF2666" s="94">
        <f t="shared" si="348"/>
        <v>43404</v>
      </c>
      <c r="AG2666" s="185">
        <f t="shared" si="351"/>
        <v>4.6816523231336671E-2</v>
      </c>
      <c r="AH2666" s="339" t="str">
        <f>VLOOKUP(B2666,'MF PF'!A:B,2)</f>
        <v>FdMgt1</v>
      </c>
      <c r="AI2666" s="358">
        <f t="shared" si="349"/>
        <v>0</v>
      </c>
      <c r="AJ2666" s="94">
        <f t="shared" si="350"/>
        <v>43404</v>
      </c>
    </row>
    <row r="2667" spans="1:36" ht="12.75" customHeight="1">
      <c r="A2667" s="94">
        <v>43432</v>
      </c>
      <c r="B2667" s="358" t="s">
        <v>273</v>
      </c>
      <c r="C2667" s="358" t="s">
        <v>363</v>
      </c>
      <c r="D2667" s="93"/>
      <c r="F2667" s="93"/>
      <c r="G2667" s="93">
        <v>261584.96</v>
      </c>
      <c r="H2667" s="93">
        <v>0</v>
      </c>
      <c r="I2667" s="93">
        <v>0</v>
      </c>
      <c r="K2667" s="93">
        <v>0</v>
      </c>
      <c r="L2667" s="93">
        <f t="shared" si="345"/>
        <v>261584.96</v>
      </c>
      <c r="M2667" s="95" t="e">
        <f t="shared" ca="1" si="346"/>
        <v>#DIV/0!</v>
      </c>
      <c r="N2667" s="95">
        <f>IF(P2667="Hedge Fund",IF(A2667=Summary!$AD$3,M2667-E2667,M2667),IF(A2667=Summary!$AD$3,L2667-D2667,L2667))</f>
        <v>261584.96</v>
      </c>
      <c r="O2667" s="95">
        <f t="shared" si="352"/>
        <v>261584.96</v>
      </c>
      <c r="P2667" s="95" t="s">
        <v>155</v>
      </c>
      <c r="Q2667" s="95"/>
      <c r="R2667" s="95"/>
      <c r="S2667" s="95"/>
      <c r="T2667" s="95"/>
      <c r="U2667" s="95"/>
      <c r="V2667" s="95"/>
      <c r="W2667" s="95"/>
      <c r="X2667" s="95"/>
      <c r="Y2667" s="95"/>
      <c r="Z2667" s="95"/>
      <c r="AA2667" s="95"/>
      <c r="AB2667" s="95"/>
      <c r="AC2667" s="355"/>
      <c r="AD2667" s="355"/>
      <c r="AE2667" s="355"/>
      <c r="AF2667" s="94">
        <f t="shared" si="348"/>
        <v>43432</v>
      </c>
      <c r="AG2667" s="185">
        <f t="shared" si="351"/>
        <v>-1.0920686761241938</v>
      </c>
      <c r="AH2667" s="339" t="str">
        <f>VLOOKUP(B2667,'MF PF'!A:B,2)</f>
        <v>FdMgt1</v>
      </c>
      <c r="AI2667" s="358">
        <f t="shared" si="349"/>
        <v>0</v>
      </c>
      <c r="AJ2667" s="94">
        <f t="shared" si="350"/>
        <v>43434</v>
      </c>
    </row>
    <row r="2668" spans="1:36" ht="12.75" customHeight="1">
      <c r="A2668" s="94">
        <v>43434</v>
      </c>
      <c r="B2668" s="358" t="s">
        <v>273</v>
      </c>
      <c r="C2668" s="358" t="s">
        <v>363</v>
      </c>
      <c r="D2668" s="93">
        <v>2986261.01</v>
      </c>
      <c r="F2668" s="93">
        <v>3.00661801</v>
      </c>
      <c r="G2668" s="93"/>
      <c r="H2668" s="93">
        <v>0</v>
      </c>
      <c r="I2668" s="93">
        <v>0</v>
      </c>
      <c r="K2668" s="93">
        <v>0</v>
      </c>
      <c r="L2668" s="93">
        <f t="shared" si="345"/>
        <v>0</v>
      </c>
      <c r="M2668" s="95" t="e">
        <f t="shared" ca="1" si="346"/>
        <v>#DIV/0!</v>
      </c>
      <c r="N2668" s="95">
        <f>IF(P2668="Hedge Fund",IF(A2668=Summary!$AD$3,M2668-E2668,M2668),IF(A2668=Summary!$AD$3,L2668-D2668,L2668))</f>
        <v>0</v>
      </c>
      <c r="O2668" s="95">
        <f t="shared" si="352"/>
        <v>0</v>
      </c>
      <c r="P2668" s="95" t="s">
        <v>155</v>
      </c>
      <c r="Q2668" s="95">
        <v>2.142726E-2</v>
      </c>
      <c r="R2668" s="95">
        <v>3.2106576983009462E-3</v>
      </c>
      <c r="S2668" s="95"/>
      <c r="T2668" s="95"/>
      <c r="U2668" s="95"/>
      <c r="V2668" s="95"/>
      <c r="W2668" s="95"/>
      <c r="X2668" s="95"/>
      <c r="Y2668" s="95"/>
      <c r="Z2668" s="95"/>
      <c r="AA2668" s="95"/>
      <c r="AB2668" s="95"/>
      <c r="AC2668" s="355"/>
      <c r="AD2668" s="355"/>
      <c r="AE2668" s="355"/>
      <c r="AF2668" s="94">
        <f t="shared" si="348"/>
        <v>43434</v>
      </c>
      <c r="AG2668" s="185" t="e">
        <f t="shared" si="351"/>
        <v>#DIV/0!</v>
      </c>
      <c r="AH2668" s="339" t="str">
        <f>VLOOKUP(B2668,'MF PF'!A:B,2)</f>
        <v>FdMgt1</v>
      </c>
      <c r="AI2668" s="358">
        <f t="shared" si="349"/>
        <v>0</v>
      </c>
      <c r="AJ2668" s="94">
        <f t="shared" si="350"/>
        <v>43434</v>
      </c>
    </row>
    <row r="2669" spans="1:36" ht="12.75" customHeight="1">
      <c r="A2669" s="94">
        <v>43465</v>
      </c>
      <c r="B2669" s="358" t="s">
        <v>273</v>
      </c>
      <c r="C2669" s="358" t="s">
        <v>363</v>
      </c>
      <c r="D2669" s="93">
        <v>3013474.74</v>
      </c>
      <c r="F2669" s="93">
        <v>3.00661801</v>
      </c>
      <c r="G2669" s="93"/>
      <c r="H2669" s="93">
        <v>0</v>
      </c>
      <c r="I2669" s="93">
        <v>0</v>
      </c>
      <c r="K2669" s="93">
        <v>0</v>
      </c>
      <c r="L2669" s="93">
        <f t="shared" si="345"/>
        <v>0</v>
      </c>
      <c r="M2669" s="95" t="e">
        <f t="shared" ca="1" si="346"/>
        <v>#DIV/0!</v>
      </c>
      <c r="N2669" s="95">
        <f>IF(P2669="Hedge Fund",IF(A2669=Summary!$AD$3,M2669-E2669,M2669),IF(A2669=Summary!$AD$3,L2669-D2669,L2669))</f>
        <v>0</v>
      </c>
      <c r="O2669" s="95">
        <f t="shared" si="352"/>
        <v>0</v>
      </c>
      <c r="P2669" s="95" t="s">
        <v>155</v>
      </c>
      <c r="Q2669" s="95">
        <v>-3.0407306147383331</v>
      </c>
      <c r="R2669" s="95">
        <v>0</v>
      </c>
      <c r="S2669" s="95"/>
      <c r="T2669" s="95"/>
      <c r="U2669" s="95"/>
      <c r="V2669" s="95"/>
      <c r="W2669" s="95"/>
      <c r="X2669" s="95"/>
      <c r="Y2669" s="95"/>
      <c r="Z2669" s="95"/>
      <c r="AA2669" s="95"/>
      <c r="AB2669" s="95"/>
      <c r="AC2669" s="355"/>
      <c r="AD2669" s="355"/>
      <c r="AE2669" s="355"/>
      <c r="AF2669" s="94">
        <f t="shared" si="348"/>
        <v>43465</v>
      </c>
      <c r="AG2669" s="185">
        <f t="shared" si="351"/>
        <v>9.1129777031782044E-3</v>
      </c>
      <c r="AH2669" s="339" t="str">
        <f>VLOOKUP(B2669,'MF PF'!A:B,2)</f>
        <v>FdMgt1</v>
      </c>
      <c r="AI2669" s="358">
        <f t="shared" si="349"/>
        <v>0</v>
      </c>
      <c r="AJ2669" s="94">
        <f t="shared" si="350"/>
        <v>43465</v>
      </c>
    </row>
    <row r="2670" spans="1:36" ht="12.75" customHeight="1">
      <c r="A2670" s="94">
        <v>43496</v>
      </c>
      <c r="B2670" s="358" t="s">
        <v>273</v>
      </c>
      <c r="C2670" s="358" t="s">
        <v>363</v>
      </c>
      <c r="D2670" s="93">
        <v>3045701.4528000001</v>
      </c>
      <c r="F2670" s="93">
        <v>2.9680672853446604</v>
      </c>
      <c r="G2670" s="93"/>
      <c r="H2670" s="93">
        <v>0</v>
      </c>
      <c r="I2670" s="93">
        <v>0</v>
      </c>
      <c r="K2670" s="93">
        <v>0</v>
      </c>
      <c r="L2670" s="93">
        <f t="shared" si="345"/>
        <v>0</v>
      </c>
      <c r="M2670" s="95" t="e">
        <f t="shared" ca="1" si="346"/>
        <v>#DIV/0!</v>
      </c>
      <c r="N2670" s="95">
        <f>IF(P2670="Hedge Fund",IF(A2670=Summary!$AD$3,M2670-E2670,M2670),IF(A2670=Summary!$AD$3,L2670-D2670,L2670))</f>
        <v>-3045701.4528000001</v>
      </c>
      <c r="O2670" s="95">
        <f t="shared" si="352"/>
        <v>-3045701.4528000001</v>
      </c>
      <c r="P2670" s="95" t="s">
        <v>155</v>
      </c>
      <c r="Q2670" s="95">
        <v>2.2527273617453748E-2</v>
      </c>
      <c r="R2670" s="95">
        <v>1.370014719830097E-2</v>
      </c>
      <c r="S2670" s="95"/>
      <c r="T2670" s="95"/>
      <c r="U2670" s="95"/>
      <c r="V2670" s="95"/>
      <c r="W2670" s="95"/>
      <c r="X2670" s="95"/>
      <c r="Y2670" s="95"/>
      <c r="Z2670" s="95"/>
      <c r="AA2670" s="95"/>
      <c r="AB2670" s="95"/>
      <c r="AC2670" s="355"/>
      <c r="AD2670" s="355"/>
      <c r="AE2670" s="355"/>
      <c r="AF2670" s="94">
        <f t="shared" si="348"/>
        <v>43496</v>
      </c>
      <c r="AG2670" s="185">
        <f t="shared" si="351"/>
        <v>1.0694203728417451E-2</v>
      </c>
      <c r="AH2670" s="339" t="str">
        <f>VLOOKUP(B2670,'MF PF'!A:B,2)</f>
        <v>FdMgt1</v>
      </c>
      <c r="AI2670" s="358">
        <f t="shared" si="349"/>
        <v>0</v>
      </c>
      <c r="AJ2670" s="94">
        <f t="shared" si="350"/>
        <v>43496</v>
      </c>
    </row>
    <row r="2671" spans="1:36" ht="12.75" customHeight="1">
      <c r="A2671" s="94">
        <v>43252</v>
      </c>
      <c r="B2671" s="358" t="s">
        <v>273</v>
      </c>
      <c r="C2671" s="358" t="s">
        <v>364</v>
      </c>
      <c r="D2671" s="93"/>
      <c r="F2671" s="93"/>
      <c r="G2671" s="93">
        <v>53146.8</v>
      </c>
      <c r="H2671" s="93"/>
      <c r="I2671" s="93"/>
      <c r="K2671" s="93"/>
      <c r="L2671" s="93">
        <f t="shared" si="345"/>
        <v>53146.8</v>
      </c>
      <c r="M2671" s="95">
        <f t="shared" ca="1" si="346"/>
        <v>0</v>
      </c>
      <c r="N2671" s="95">
        <f>IF(P2671="Hedge Fund",IF(A2671=Summary!$AD$3,M2671-E2671,M2671),IF(A2671=Summary!$AD$3,L2671-D2671,L2671))</f>
        <v>53146.8</v>
      </c>
      <c r="O2671" s="95">
        <f t="shared" si="352"/>
        <v>53146.8</v>
      </c>
      <c r="P2671" s="107" t="s">
        <v>155</v>
      </c>
      <c r="Q2671" s="95">
        <v>0</v>
      </c>
      <c r="R2671" s="95">
        <v>0</v>
      </c>
      <c r="S2671" s="95"/>
      <c r="T2671" s="95"/>
      <c r="U2671" s="95"/>
      <c r="V2671" s="95"/>
      <c r="W2671" s="95"/>
      <c r="X2671" s="95"/>
      <c r="Y2671" s="95"/>
      <c r="Z2671" s="95"/>
      <c r="AA2671" s="95"/>
      <c r="AB2671" s="95"/>
      <c r="AC2671" s="355"/>
      <c r="AD2671" s="355"/>
      <c r="AE2671" s="355"/>
      <c r="AF2671" s="94">
        <f t="shared" si="348"/>
        <v>43252</v>
      </c>
      <c r="AG2671" s="185">
        <f t="shared" si="351"/>
        <v>-1</v>
      </c>
      <c r="AH2671" s="339" t="str">
        <f>VLOOKUP(B2671,'MF PF'!A:B,2)</f>
        <v>FdMgt1</v>
      </c>
      <c r="AI2671" s="358">
        <f t="shared" si="349"/>
        <v>0</v>
      </c>
      <c r="AJ2671" s="94">
        <f t="shared" si="350"/>
        <v>43281</v>
      </c>
    </row>
    <row r="2672" spans="1:36" ht="12.75" customHeight="1">
      <c r="A2672" s="94">
        <v>43281</v>
      </c>
      <c r="B2672" s="358" t="s">
        <v>273</v>
      </c>
      <c r="C2672" s="358" t="s">
        <v>364</v>
      </c>
      <c r="D2672" s="93">
        <v>53215.93</v>
      </c>
      <c r="F2672" s="93"/>
      <c r="G2672" s="93"/>
      <c r="H2672" s="93"/>
      <c r="I2672" s="93"/>
      <c r="K2672" s="93"/>
      <c r="L2672" s="93">
        <f t="shared" si="345"/>
        <v>0</v>
      </c>
      <c r="M2672" s="95" t="e">
        <f t="shared" ca="1" si="346"/>
        <v>#DIV/0!</v>
      </c>
      <c r="N2672" s="95">
        <f>IF(P2672="Hedge Fund",IF(A2672=Summary!$AD$3,M2672-E2672,M2672),IF(A2672=Summary!$AD$3,L2672-D2672,L2672))</f>
        <v>0</v>
      </c>
      <c r="O2672" s="95">
        <f t="shared" si="352"/>
        <v>0</v>
      </c>
      <c r="P2672" s="107" t="s">
        <v>155</v>
      </c>
      <c r="Q2672" s="95">
        <v>6.5090000000000002E-5</v>
      </c>
      <c r="R2672" s="95">
        <v>1.22E-5</v>
      </c>
      <c r="S2672" s="95"/>
      <c r="T2672" s="95"/>
      <c r="U2672" s="95"/>
      <c r="V2672" s="95"/>
      <c r="W2672" s="95"/>
      <c r="X2672" s="95"/>
      <c r="Y2672" s="95"/>
      <c r="Z2672" s="95"/>
      <c r="AA2672" s="95"/>
      <c r="AB2672" s="95"/>
      <c r="AC2672" s="355"/>
      <c r="AD2672" s="355"/>
      <c r="AE2672" s="355"/>
      <c r="AF2672" s="94">
        <f t="shared" si="348"/>
        <v>43281</v>
      </c>
      <c r="AG2672" s="185" t="e">
        <f t="shared" si="351"/>
        <v>#DIV/0!</v>
      </c>
      <c r="AH2672" s="339" t="str">
        <f>VLOOKUP(B2672,'MF PF'!A:B,2)</f>
        <v>FdMgt1</v>
      </c>
      <c r="AI2672" s="358">
        <f t="shared" si="349"/>
        <v>0</v>
      </c>
      <c r="AJ2672" s="94">
        <f t="shared" si="350"/>
        <v>43281</v>
      </c>
    </row>
    <row r="2673" spans="1:36" ht="12.75" customHeight="1">
      <c r="A2673" s="94">
        <v>43312</v>
      </c>
      <c r="B2673" s="358" t="s">
        <v>273</v>
      </c>
      <c r="C2673" s="358" t="s">
        <v>364</v>
      </c>
      <c r="D2673" s="93">
        <v>53296.36</v>
      </c>
      <c r="F2673" s="93"/>
      <c r="G2673" s="93"/>
      <c r="H2673" s="93"/>
      <c r="I2673" s="93"/>
      <c r="K2673" s="93"/>
      <c r="L2673" s="93">
        <f t="shared" si="345"/>
        <v>0</v>
      </c>
      <c r="M2673" s="95" t="e">
        <f t="shared" ca="1" si="346"/>
        <v>#DIV/0!</v>
      </c>
      <c r="N2673" s="95">
        <f>IF(P2673="Hedge Fund",IF(A2673=Summary!$AD$3,M2673-E2673,M2673),IF(A2673=Summary!$AD$3,L2673-D2673,L2673))</f>
        <v>0</v>
      </c>
      <c r="O2673" s="95">
        <f t="shared" si="352"/>
        <v>0</v>
      </c>
      <c r="P2673" s="107" t="s">
        <v>155</v>
      </c>
      <c r="Q2673" s="95">
        <v>0</v>
      </c>
      <c r="R2673" s="95">
        <v>2.639E-5</v>
      </c>
      <c r="S2673" s="95"/>
      <c r="T2673" s="95"/>
      <c r="U2673" s="95"/>
      <c r="V2673" s="95"/>
      <c r="W2673" s="95"/>
      <c r="X2673" s="95"/>
      <c r="Y2673" s="95"/>
      <c r="Z2673" s="95"/>
      <c r="AA2673" s="95"/>
      <c r="AB2673" s="95"/>
      <c r="AC2673" s="355"/>
      <c r="AD2673" s="355"/>
      <c r="AE2673" s="355"/>
      <c r="AF2673" s="94">
        <f t="shared" si="348"/>
        <v>43312</v>
      </c>
      <c r="AG2673" s="185">
        <f t="shared" si="351"/>
        <v>1.5113895406881905E-3</v>
      </c>
      <c r="AH2673" s="339" t="str">
        <f>VLOOKUP(B2673,'MF PF'!A:B,2)</f>
        <v>FdMgt1</v>
      </c>
      <c r="AI2673" s="358">
        <f t="shared" si="349"/>
        <v>0</v>
      </c>
      <c r="AJ2673" s="94">
        <f t="shared" si="350"/>
        <v>43312</v>
      </c>
    </row>
    <row r="2674" spans="1:36" ht="12.75" customHeight="1">
      <c r="A2674" s="94">
        <v>43329</v>
      </c>
      <c r="B2674" s="358" t="s">
        <v>273</v>
      </c>
      <c r="C2674" s="358" t="s">
        <v>364</v>
      </c>
      <c r="D2674" s="93"/>
      <c r="F2674" s="93"/>
      <c r="G2674" s="93">
        <v>-16932.54137800699</v>
      </c>
      <c r="H2674" s="93"/>
      <c r="I2674" s="93"/>
      <c r="K2674" s="93"/>
      <c r="L2674" s="93">
        <f t="shared" si="345"/>
        <v>-16932.54137800699</v>
      </c>
      <c r="M2674" s="95" t="e">
        <f t="shared" ca="1" si="346"/>
        <v>#DIV/0!</v>
      </c>
      <c r="N2674" s="95">
        <f>IF(P2674="Hedge Fund",IF(A2674=Summary!$AD$3,M2674-E2674,M2674),IF(A2674=Summary!$AD$3,L2674-D2674,L2674))</f>
        <v>-16932.54137800699</v>
      </c>
      <c r="O2674" s="95">
        <f t="shared" si="352"/>
        <v>-16932.54137800699</v>
      </c>
      <c r="P2674" s="107" t="s">
        <v>155</v>
      </c>
      <c r="Q2674" s="95">
        <v>0</v>
      </c>
      <c r="R2674" s="95">
        <v>0</v>
      </c>
      <c r="S2674" s="95"/>
      <c r="T2674" s="95"/>
      <c r="U2674" s="95"/>
      <c r="V2674" s="95"/>
      <c r="W2674" s="95"/>
      <c r="X2674" s="95"/>
      <c r="Y2674" s="95"/>
      <c r="Z2674" s="95"/>
      <c r="AA2674" s="95"/>
      <c r="AB2674" s="95"/>
      <c r="AC2674" s="355"/>
      <c r="AD2674" s="355"/>
      <c r="AE2674" s="355"/>
      <c r="AF2674" s="94">
        <f t="shared" si="348"/>
        <v>43329</v>
      </c>
      <c r="AG2674" s="185">
        <f t="shared" si="351"/>
        <v>-0.6822945998937453</v>
      </c>
      <c r="AH2674" s="339" t="str">
        <f>VLOOKUP(B2674,'MF PF'!A:B,2)</f>
        <v>FdMgt1</v>
      </c>
      <c r="AI2674" s="358">
        <f t="shared" si="349"/>
        <v>0</v>
      </c>
      <c r="AJ2674" s="94">
        <f t="shared" si="350"/>
        <v>43343</v>
      </c>
    </row>
    <row r="2675" spans="1:36" ht="12.75" customHeight="1">
      <c r="A2675" s="94">
        <v>43343</v>
      </c>
      <c r="B2675" s="358" t="s">
        <v>273</v>
      </c>
      <c r="C2675" s="358" t="s">
        <v>364</v>
      </c>
      <c r="D2675" s="93">
        <v>36276.959999999999</v>
      </c>
      <c r="F2675" s="93"/>
      <c r="G2675" s="93"/>
      <c r="H2675" s="93"/>
      <c r="I2675" s="93"/>
      <c r="K2675" s="93"/>
      <c r="L2675" s="93">
        <f t="shared" si="345"/>
        <v>0</v>
      </c>
      <c r="M2675" s="95" t="e">
        <f t="shared" ca="1" si="346"/>
        <v>#DIV/0!</v>
      </c>
      <c r="N2675" s="95">
        <f>IF(P2675="Hedge Fund",IF(A2675=Summary!$AD$3,M2675-E2675,M2675),IF(A2675=Summary!$AD$3,L2675-D2675,L2675))</f>
        <v>0</v>
      </c>
      <c r="O2675" s="95">
        <f t="shared" si="352"/>
        <v>0</v>
      </c>
      <c r="P2675" s="107" t="s">
        <v>155</v>
      </c>
      <c r="Q2675" s="95">
        <v>0</v>
      </c>
      <c r="R2675" s="95">
        <v>1.1060000000000001E-5</v>
      </c>
      <c r="S2675" s="95"/>
      <c r="T2675" s="95"/>
      <c r="U2675" s="95"/>
      <c r="V2675" s="95"/>
      <c r="W2675" s="95"/>
      <c r="X2675" s="95"/>
      <c r="Y2675" s="95"/>
      <c r="Z2675" s="95"/>
      <c r="AA2675" s="95"/>
      <c r="AB2675" s="95"/>
      <c r="AC2675" s="355"/>
      <c r="AD2675" s="355"/>
      <c r="AE2675" s="355"/>
      <c r="AF2675" s="94">
        <f t="shared" si="348"/>
        <v>43343</v>
      </c>
      <c r="AG2675" s="185" t="e">
        <f t="shared" si="351"/>
        <v>#DIV/0!</v>
      </c>
      <c r="AH2675" s="339" t="str">
        <f>VLOOKUP(B2675,'MF PF'!A:B,2)</f>
        <v>FdMgt1</v>
      </c>
      <c r="AI2675" s="358">
        <f t="shared" si="349"/>
        <v>0</v>
      </c>
      <c r="AJ2675" s="94">
        <f t="shared" si="350"/>
        <v>43343</v>
      </c>
    </row>
    <row r="2676" spans="1:36" ht="12.75" customHeight="1">
      <c r="A2676" s="94">
        <v>43369</v>
      </c>
      <c r="B2676" s="358" t="s">
        <v>273</v>
      </c>
      <c r="C2676" s="358" t="s">
        <v>364</v>
      </c>
      <c r="D2676" s="93"/>
      <c r="F2676" s="93"/>
      <c r="G2676" s="93">
        <v>7326.82</v>
      </c>
      <c r="H2676" s="93"/>
      <c r="I2676" s="93"/>
      <c r="K2676" s="93"/>
      <c r="L2676" s="93">
        <f t="shared" si="345"/>
        <v>7326.82</v>
      </c>
      <c r="M2676" s="95" t="e">
        <f t="shared" ca="1" si="346"/>
        <v>#DIV/0!</v>
      </c>
      <c r="N2676" s="95">
        <f>IF(P2676="Hedge Fund",IF(A2676=Summary!$AD$3,M2676-E2676,M2676),IF(A2676=Summary!$AD$3,L2676-D2676,L2676))</f>
        <v>7326.82</v>
      </c>
      <c r="O2676" s="95">
        <f t="shared" si="352"/>
        <v>7326.82</v>
      </c>
      <c r="P2676" s="107" t="s">
        <v>155</v>
      </c>
      <c r="Q2676" s="95">
        <v>0</v>
      </c>
      <c r="R2676" s="95">
        <v>0</v>
      </c>
      <c r="S2676" s="95"/>
      <c r="T2676" s="95"/>
      <c r="U2676" s="95"/>
      <c r="V2676" s="95"/>
      <c r="W2676" s="95"/>
      <c r="X2676" s="95"/>
      <c r="Y2676" s="95"/>
      <c r="Z2676" s="95"/>
      <c r="AA2676" s="95"/>
      <c r="AB2676" s="95"/>
      <c r="AC2676" s="355"/>
      <c r="AD2676" s="355"/>
      <c r="AE2676" s="355"/>
      <c r="AF2676" s="94">
        <f t="shared" si="348"/>
        <v>43369</v>
      </c>
      <c r="AG2676" s="185">
        <f t="shared" si="351"/>
        <v>-1.2019689632207329</v>
      </c>
      <c r="AH2676" s="339" t="str">
        <f>VLOOKUP(B2676,'MF PF'!A:B,2)</f>
        <v>FdMgt1</v>
      </c>
      <c r="AI2676" s="358">
        <f t="shared" si="349"/>
        <v>0</v>
      </c>
      <c r="AJ2676" s="94">
        <f t="shared" si="350"/>
        <v>43373</v>
      </c>
    </row>
    <row r="2677" spans="1:36" ht="12.75" customHeight="1">
      <c r="A2677" s="94">
        <v>43371</v>
      </c>
      <c r="B2677" s="358" t="s">
        <v>273</v>
      </c>
      <c r="C2677" s="358" t="s">
        <v>364</v>
      </c>
      <c r="D2677" s="93">
        <v>43867.18</v>
      </c>
      <c r="F2677" s="93"/>
      <c r="G2677" s="93"/>
      <c r="H2677" s="93"/>
      <c r="I2677" s="93"/>
      <c r="K2677" s="93"/>
      <c r="L2677" s="93">
        <f t="shared" si="345"/>
        <v>0</v>
      </c>
      <c r="M2677" s="95" t="e">
        <f t="shared" ca="1" si="346"/>
        <v>#DIV/0!</v>
      </c>
      <c r="N2677" s="95">
        <f>IF(P2677="Hedge Fund",IF(A2677=Summary!$AD$3,M2677-E2677,M2677),IF(A2677=Summary!$AD$3,L2677-D2677,L2677))</f>
        <v>0</v>
      </c>
      <c r="O2677" s="95">
        <f t="shared" si="352"/>
        <v>0</v>
      </c>
      <c r="P2677" s="107" t="s">
        <v>155</v>
      </c>
      <c r="Q2677" s="95">
        <v>2.4202000000000002E-4</v>
      </c>
      <c r="R2677" s="95">
        <v>5.7549999999999996E-5</v>
      </c>
      <c r="S2677" s="95"/>
      <c r="T2677" s="95"/>
      <c r="U2677" s="95"/>
      <c r="V2677" s="95"/>
      <c r="W2677" s="95"/>
      <c r="X2677" s="95"/>
      <c r="Y2677" s="95"/>
      <c r="Z2677" s="95"/>
      <c r="AA2677" s="95"/>
      <c r="AB2677" s="95"/>
      <c r="AC2677" s="355"/>
      <c r="AD2677" s="355"/>
      <c r="AE2677" s="355"/>
      <c r="AF2677" s="94">
        <f t="shared" si="348"/>
        <v>43371</v>
      </c>
      <c r="AG2677" s="185" t="e">
        <f t="shared" si="351"/>
        <v>#DIV/0!</v>
      </c>
      <c r="AH2677" s="339" t="str">
        <f>VLOOKUP(B2677,'MF PF'!A:B,2)</f>
        <v>FdMgt1</v>
      </c>
      <c r="AI2677" s="358">
        <f t="shared" si="349"/>
        <v>0</v>
      </c>
      <c r="AJ2677" s="94">
        <f t="shared" si="350"/>
        <v>43373</v>
      </c>
    </row>
    <row r="2678" spans="1:36" ht="12.75" customHeight="1">
      <c r="A2678" s="94">
        <v>43404</v>
      </c>
      <c r="B2678" s="358" t="s">
        <v>273</v>
      </c>
      <c r="C2678" s="358" t="s">
        <v>364</v>
      </c>
      <c r="D2678" s="93">
        <v>50221.2958</v>
      </c>
      <c r="F2678" s="93">
        <v>5.3146800000000001E-2</v>
      </c>
      <c r="G2678" s="93">
        <v>4300.34</v>
      </c>
      <c r="H2678" s="93">
        <v>0</v>
      </c>
      <c r="I2678" s="93">
        <v>0</v>
      </c>
      <c r="J2678" s="93">
        <v>0</v>
      </c>
      <c r="K2678" s="93"/>
      <c r="L2678" s="93">
        <f t="shared" si="345"/>
        <v>4300.34</v>
      </c>
      <c r="M2678" s="95" t="e">
        <f t="shared" ca="1" si="346"/>
        <v>#DIV/0!</v>
      </c>
      <c r="N2678" s="95">
        <f>IF(P2678="Hedge Fund",IF(A2678=Summary!$AD$3,M2678-E2678,M2678),IF(A2678=Summary!$AD$3,L2678-D2678,L2678))</f>
        <v>4300.34</v>
      </c>
      <c r="O2678" s="95">
        <f t="shared" si="352"/>
        <v>4300.34</v>
      </c>
      <c r="P2678" s="95" t="s">
        <v>155</v>
      </c>
      <c r="Q2678" s="95">
        <v>2.8726154165544633E-4</v>
      </c>
      <c r="R2678" s="95">
        <v>2.997242067010473E-4</v>
      </c>
      <c r="S2678" s="95"/>
      <c r="T2678" s="95"/>
      <c r="U2678" s="95"/>
      <c r="V2678" s="95"/>
      <c r="W2678" s="95"/>
      <c r="X2678" s="95"/>
      <c r="Y2678" s="95"/>
      <c r="Z2678" s="95"/>
      <c r="AA2678" s="95"/>
      <c r="AB2678" s="95"/>
      <c r="AC2678" s="355"/>
      <c r="AD2678" s="355"/>
      <c r="AE2678" s="355"/>
      <c r="AF2678" s="94">
        <f t="shared" si="348"/>
        <v>43404</v>
      </c>
      <c r="AG2678" s="185">
        <f t="shared" si="351"/>
        <v>4.6818049393646755E-2</v>
      </c>
      <c r="AH2678" s="339" t="str">
        <f>VLOOKUP(B2678,'MF PF'!A:B,2)</f>
        <v>FdMgt1</v>
      </c>
      <c r="AI2678" s="358">
        <f t="shared" si="349"/>
        <v>0</v>
      </c>
      <c r="AJ2678" s="94">
        <f t="shared" si="350"/>
        <v>43404</v>
      </c>
    </row>
    <row r="2679" spans="1:36" ht="12.75" customHeight="1">
      <c r="A2679" s="94">
        <v>43432</v>
      </c>
      <c r="B2679" s="358" t="s">
        <v>273</v>
      </c>
      <c r="C2679" s="358" t="s">
        <v>364</v>
      </c>
      <c r="D2679" s="93"/>
      <c r="F2679" s="93"/>
      <c r="G2679" s="93">
        <v>4623.9400000000005</v>
      </c>
      <c r="H2679" s="93">
        <v>0</v>
      </c>
      <c r="I2679" s="93">
        <v>0</v>
      </c>
      <c r="K2679" s="93">
        <v>0</v>
      </c>
      <c r="L2679" s="93">
        <f t="shared" si="345"/>
        <v>4623.9400000000005</v>
      </c>
      <c r="M2679" s="95" t="e">
        <f t="shared" ca="1" si="346"/>
        <v>#DIV/0!</v>
      </c>
      <c r="N2679" s="95">
        <f>IF(P2679="Hedge Fund",IF(A2679=Summary!$AD$3,M2679-E2679,M2679),IF(A2679=Summary!$AD$3,L2679-D2679,L2679))</f>
        <v>4623.9400000000005</v>
      </c>
      <c r="O2679" s="95">
        <f t="shared" si="352"/>
        <v>4623.9400000000005</v>
      </c>
      <c r="P2679" s="95" t="s">
        <v>155</v>
      </c>
      <c r="Q2679" s="95"/>
      <c r="R2679" s="95"/>
      <c r="S2679" s="95"/>
      <c r="T2679" s="95"/>
      <c r="U2679" s="95"/>
      <c r="V2679" s="95"/>
      <c r="W2679" s="95"/>
      <c r="X2679" s="95"/>
      <c r="Y2679" s="95"/>
      <c r="Z2679" s="95"/>
      <c r="AA2679" s="95"/>
      <c r="AB2679" s="95"/>
      <c r="AC2679" s="355"/>
      <c r="AD2679" s="355"/>
      <c r="AE2679" s="355"/>
      <c r="AF2679" s="94">
        <f t="shared" si="348"/>
        <v>43432</v>
      </c>
      <c r="AG2679" s="185">
        <f t="shared" si="351"/>
        <v>-1.0920713001594833</v>
      </c>
      <c r="AH2679" s="339" t="str">
        <f>VLOOKUP(B2679,'MF PF'!A:B,2)</f>
        <v>FdMgt1</v>
      </c>
      <c r="AI2679" s="358">
        <f t="shared" si="349"/>
        <v>0</v>
      </c>
      <c r="AJ2679" s="94">
        <f t="shared" si="350"/>
        <v>43434</v>
      </c>
    </row>
    <row r="2680" spans="1:36" ht="12.75" customHeight="1">
      <c r="A2680" s="94">
        <v>43434</v>
      </c>
      <c r="B2680" s="358" t="s">
        <v>273</v>
      </c>
      <c r="C2680" s="358" t="s">
        <v>364</v>
      </c>
      <c r="D2680" s="93">
        <v>52785.599999999999</v>
      </c>
      <c r="F2680" s="93">
        <v>5.3146800000000001E-2</v>
      </c>
      <c r="G2680" s="93"/>
      <c r="H2680" s="93">
        <v>0</v>
      </c>
      <c r="I2680" s="93">
        <v>0</v>
      </c>
      <c r="K2680" s="93">
        <v>0</v>
      </c>
      <c r="L2680" s="93">
        <f t="shared" si="345"/>
        <v>0</v>
      </c>
      <c r="M2680" s="95" t="e">
        <f t="shared" ca="1" si="346"/>
        <v>#DIV/0!</v>
      </c>
      <c r="N2680" s="95">
        <f>IF(P2680="Hedge Fund",IF(A2680=Summary!$AD$3,M2680-E2680,M2680),IF(A2680=Summary!$AD$3,L2680-D2680,L2680))</f>
        <v>0</v>
      </c>
      <c r="O2680" s="95">
        <f t="shared" si="352"/>
        <v>0</v>
      </c>
      <c r="P2680" s="95" t="s">
        <v>155</v>
      </c>
      <c r="Q2680" s="95">
        <v>3.8036999999999999E-4</v>
      </c>
      <c r="R2680" s="95">
        <v>5.6512706701047864E-5</v>
      </c>
      <c r="S2680" s="95"/>
      <c r="T2680" s="95"/>
      <c r="U2680" s="95"/>
      <c r="V2680" s="95"/>
      <c r="W2680" s="95"/>
      <c r="X2680" s="95"/>
      <c r="Y2680" s="95"/>
      <c r="Z2680" s="95"/>
      <c r="AA2680" s="95"/>
      <c r="AB2680" s="95"/>
      <c r="AC2680" s="355"/>
      <c r="AD2680" s="355"/>
      <c r="AE2680" s="355"/>
      <c r="AF2680" s="94">
        <f t="shared" si="348"/>
        <v>43434</v>
      </c>
      <c r="AG2680" s="185" t="e">
        <f t="shared" si="351"/>
        <v>#DIV/0!</v>
      </c>
      <c r="AH2680" s="339" t="str">
        <f>VLOOKUP(B2680,'MF PF'!A:B,2)</f>
        <v>FdMgt1</v>
      </c>
      <c r="AI2680" s="358">
        <f t="shared" si="349"/>
        <v>0</v>
      </c>
      <c r="AJ2680" s="94">
        <f t="shared" si="350"/>
        <v>43434</v>
      </c>
    </row>
    <row r="2681" spans="1:36" ht="12.75" customHeight="1">
      <c r="A2681" s="94">
        <v>43465</v>
      </c>
      <c r="B2681" s="358" t="s">
        <v>273</v>
      </c>
      <c r="C2681" s="358" t="s">
        <v>364</v>
      </c>
      <c r="D2681" s="93">
        <v>53268.01</v>
      </c>
      <c r="F2681" s="93">
        <v>5.3146800000000001E-2</v>
      </c>
      <c r="G2681" s="93"/>
      <c r="H2681" s="93">
        <v>0</v>
      </c>
      <c r="I2681" s="93">
        <v>0</v>
      </c>
      <c r="K2681" s="93">
        <v>0</v>
      </c>
      <c r="L2681" s="93">
        <f t="shared" si="345"/>
        <v>0</v>
      </c>
      <c r="M2681" s="95" t="e">
        <f t="shared" ca="1" si="346"/>
        <v>#DIV/0!</v>
      </c>
      <c r="N2681" s="95">
        <f>IF(P2681="Hedge Fund",IF(A2681=Summary!$AD$3,M2681-E2681,M2681),IF(A2681=Summary!$AD$3,L2681-D2681,L2681))</f>
        <v>0</v>
      </c>
      <c r="O2681" s="95">
        <f t="shared" si="352"/>
        <v>0</v>
      </c>
      <c r="P2681" s="95" t="s">
        <v>155</v>
      </c>
      <c r="Q2681" s="95">
        <v>-5.3749799619078532E-2</v>
      </c>
      <c r="R2681" s="95">
        <v>0</v>
      </c>
      <c r="S2681" s="95"/>
      <c r="T2681" s="95"/>
      <c r="U2681" s="95"/>
      <c r="V2681" s="95"/>
      <c r="W2681" s="95"/>
      <c r="X2681" s="95"/>
      <c r="Y2681" s="95"/>
      <c r="Z2681" s="95"/>
      <c r="AA2681" s="95"/>
      <c r="AB2681" s="95"/>
      <c r="AC2681" s="355"/>
      <c r="AD2681" s="355"/>
      <c r="AE2681" s="355"/>
      <c r="AF2681" s="94">
        <f t="shared" si="348"/>
        <v>43465</v>
      </c>
      <c r="AG2681" s="185">
        <f t="shared" si="351"/>
        <v>9.1390454972568591E-3</v>
      </c>
      <c r="AH2681" s="339" t="str">
        <f>VLOOKUP(B2681,'MF PF'!A:B,2)</f>
        <v>FdMgt1</v>
      </c>
      <c r="AI2681" s="358">
        <f t="shared" si="349"/>
        <v>0</v>
      </c>
      <c r="AJ2681" s="94">
        <f t="shared" si="350"/>
        <v>43465</v>
      </c>
    </row>
    <row r="2682" spans="1:36" ht="12.75" customHeight="1">
      <c r="A2682" s="94">
        <v>43496</v>
      </c>
      <c r="B2682" s="358" t="s">
        <v>273</v>
      </c>
      <c r="C2682" s="358" t="s">
        <v>364</v>
      </c>
      <c r="D2682" s="93">
        <v>53837.667800000003</v>
      </c>
      <c r="F2682" s="93">
        <v>5.2465358621993016E-2</v>
      </c>
      <c r="G2682" s="93"/>
      <c r="H2682" s="93">
        <v>0</v>
      </c>
      <c r="I2682" s="93">
        <v>0</v>
      </c>
      <c r="K2682" s="93">
        <v>0</v>
      </c>
      <c r="L2682" s="93">
        <f t="shared" si="345"/>
        <v>0</v>
      </c>
      <c r="M2682" s="95" t="e">
        <f t="shared" ca="1" si="346"/>
        <v>#DIV/0!</v>
      </c>
      <c r="N2682" s="95">
        <f>IF(P2682="Hedge Fund",IF(A2682=Summary!$AD$3,M2682-E2682,M2682),IF(A2682=Summary!$AD$3,L2682-D2682,L2682))</f>
        <v>-53837.667800000003</v>
      </c>
      <c r="O2682" s="95">
        <f t="shared" si="352"/>
        <v>-53837.667800000003</v>
      </c>
      <c r="P2682" s="95" t="s">
        <v>155</v>
      </c>
      <c r="Q2682" s="95">
        <v>3.9820572533991129E-4</v>
      </c>
      <c r="R2682" s="95">
        <v>2.4217220670104723E-4</v>
      </c>
      <c r="S2682" s="95"/>
      <c r="T2682" s="95"/>
      <c r="U2682" s="95"/>
      <c r="V2682" s="95"/>
      <c r="W2682" s="95"/>
      <c r="X2682" s="95"/>
      <c r="Y2682" s="95"/>
      <c r="Z2682" s="95"/>
      <c r="AA2682" s="95"/>
      <c r="AB2682" s="95"/>
      <c r="AC2682" s="355"/>
      <c r="AD2682" s="355"/>
      <c r="AE2682" s="355"/>
      <c r="AF2682" s="94">
        <f t="shared" si="348"/>
        <v>43496</v>
      </c>
      <c r="AG2682" s="185">
        <f t="shared" si="351"/>
        <v>1.069418211793538E-2</v>
      </c>
      <c r="AH2682" s="339" t="str">
        <f>VLOOKUP(B2682,'MF PF'!A:B,2)</f>
        <v>FdMgt1</v>
      </c>
      <c r="AI2682" s="358">
        <f t="shared" si="349"/>
        <v>0</v>
      </c>
      <c r="AJ2682" s="94">
        <f t="shared" si="350"/>
        <v>43496</v>
      </c>
    </row>
    <row r="2683" spans="1:36" ht="12.75" customHeight="1">
      <c r="A2683" s="94">
        <v>43252</v>
      </c>
      <c r="B2683" s="358" t="s">
        <v>273</v>
      </c>
      <c r="C2683" s="358" t="s">
        <v>365</v>
      </c>
      <c r="D2683" s="93"/>
      <c r="F2683" s="93"/>
      <c r="G2683" s="93">
        <v>116675.97</v>
      </c>
      <c r="H2683" s="93"/>
      <c r="I2683" s="93"/>
      <c r="K2683" s="93"/>
      <c r="L2683" s="93">
        <f t="shared" si="345"/>
        <v>116675.97</v>
      </c>
      <c r="M2683" s="95">
        <f t="shared" ca="1" si="346"/>
        <v>0</v>
      </c>
      <c r="N2683" s="95">
        <f>IF(P2683="Hedge Fund",IF(A2683=Summary!$AD$3,M2683-E2683,M2683),IF(A2683=Summary!$AD$3,L2683-D2683,L2683))</f>
        <v>116675.97</v>
      </c>
      <c r="O2683" s="95">
        <f t="shared" si="352"/>
        <v>116675.97</v>
      </c>
      <c r="P2683" s="107" t="s">
        <v>155</v>
      </c>
      <c r="Q2683" s="95">
        <v>0</v>
      </c>
      <c r="R2683" s="95">
        <v>0</v>
      </c>
      <c r="S2683" s="95"/>
      <c r="T2683" s="95"/>
      <c r="U2683" s="95"/>
      <c r="V2683" s="95"/>
      <c r="W2683" s="95"/>
      <c r="X2683" s="95"/>
      <c r="Y2683" s="95"/>
      <c r="Z2683" s="95"/>
      <c r="AA2683" s="95"/>
      <c r="AB2683" s="95"/>
      <c r="AC2683" s="355"/>
      <c r="AD2683" s="355"/>
      <c r="AE2683" s="355"/>
      <c r="AF2683" s="94">
        <f t="shared" si="348"/>
        <v>43252</v>
      </c>
      <c r="AG2683" s="185">
        <f t="shared" si="351"/>
        <v>-1</v>
      </c>
      <c r="AH2683" s="339" t="str">
        <f>VLOOKUP(B2683,'MF PF'!A:B,2)</f>
        <v>FdMgt1</v>
      </c>
      <c r="AI2683" s="358">
        <f t="shared" si="349"/>
        <v>0</v>
      </c>
      <c r="AJ2683" s="94">
        <f t="shared" si="350"/>
        <v>43281</v>
      </c>
    </row>
    <row r="2684" spans="1:36" ht="12.75" customHeight="1">
      <c r="A2684" s="94">
        <v>43281</v>
      </c>
      <c r="B2684" s="358" t="s">
        <v>273</v>
      </c>
      <c r="C2684" s="358" t="s">
        <v>365</v>
      </c>
      <c r="D2684" s="93">
        <v>116830.68</v>
      </c>
      <c r="F2684" s="93"/>
      <c r="G2684" s="93"/>
      <c r="H2684" s="93"/>
      <c r="I2684" s="93"/>
      <c r="K2684" s="93"/>
      <c r="L2684" s="93">
        <f t="shared" si="345"/>
        <v>0</v>
      </c>
      <c r="M2684" s="95" t="e">
        <f t="shared" ca="1" si="346"/>
        <v>#DIV/0!</v>
      </c>
      <c r="N2684" s="95">
        <f>IF(P2684="Hedge Fund",IF(A2684=Summary!$AD$3,M2684-E2684,M2684),IF(A2684=Summary!$AD$3,L2684-D2684,L2684))</f>
        <v>0</v>
      </c>
      <c r="O2684" s="95">
        <f t="shared" si="352"/>
        <v>0</v>
      </c>
      <c r="P2684" s="107" t="s">
        <v>155</v>
      </c>
      <c r="Q2684" s="95">
        <v>1.3944000000000001E-4</v>
      </c>
      <c r="R2684" s="95">
        <v>2.73E-5</v>
      </c>
      <c r="S2684" s="95"/>
      <c r="T2684" s="95"/>
      <c r="U2684" s="95"/>
      <c r="V2684" s="95"/>
      <c r="W2684" s="95"/>
      <c r="X2684" s="95"/>
      <c r="Y2684" s="95"/>
      <c r="Z2684" s="95"/>
      <c r="AA2684" s="95"/>
      <c r="AB2684" s="95"/>
      <c r="AC2684" s="355"/>
      <c r="AD2684" s="355"/>
      <c r="AE2684" s="355"/>
      <c r="AF2684" s="94">
        <f t="shared" si="348"/>
        <v>43281</v>
      </c>
      <c r="AG2684" s="185" t="e">
        <f t="shared" si="351"/>
        <v>#DIV/0!</v>
      </c>
      <c r="AH2684" s="339" t="str">
        <f>VLOOKUP(B2684,'MF PF'!A:B,2)</f>
        <v>FdMgt1</v>
      </c>
      <c r="AI2684" s="358">
        <f t="shared" si="349"/>
        <v>0</v>
      </c>
      <c r="AJ2684" s="94">
        <f t="shared" si="350"/>
        <v>43281</v>
      </c>
    </row>
    <row r="2685" spans="1:36" ht="12.75" customHeight="1">
      <c r="A2685" s="94">
        <v>43312</v>
      </c>
      <c r="B2685" s="358" t="s">
        <v>273</v>
      </c>
      <c r="C2685" s="358" t="s">
        <v>365</v>
      </c>
      <c r="D2685" s="93">
        <v>117007.25</v>
      </c>
      <c r="F2685" s="93"/>
      <c r="G2685" s="93"/>
      <c r="H2685" s="93"/>
      <c r="I2685" s="93"/>
      <c r="K2685" s="93"/>
      <c r="L2685" s="93">
        <f t="shared" si="345"/>
        <v>0</v>
      </c>
      <c r="M2685" s="95" t="e">
        <f t="shared" ca="1" si="346"/>
        <v>#DIV/0!</v>
      </c>
      <c r="N2685" s="95">
        <f>IF(P2685="Hedge Fund",IF(A2685=Summary!$AD$3,M2685-E2685,M2685),IF(A2685=Summary!$AD$3,L2685-D2685,L2685))</f>
        <v>0</v>
      </c>
      <c r="O2685" s="95">
        <f t="shared" si="352"/>
        <v>0</v>
      </c>
      <c r="P2685" s="107" t="s">
        <v>155</v>
      </c>
      <c r="Q2685" s="95">
        <v>0</v>
      </c>
      <c r="R2685" s="95">
        <v>5.8459999999999999E-5</v>
      </c>
      <c r="S2685" s="95"/>
      <c r="T2685" s="95"/>
      <c r="U2685" s="95"/>
      <c r="V2685" s="95"/>
      <c r="W2685" s="95"/>
      <c r="X2685" s="95"/>
      <c r="Y2685" s="95"/>
      <c r="Z2685" s="95"/>
      <c r="AA2685" s="95"/>
      <c r="AB2685" s="95"/>
      <c r="AC2685" s="355"/>
      <c r="AD2685" s="355"/>
      <c r="AE2685" s="355"/>
      <c r="AF2685" s="94">
        <f t="shared" si="348"/>
        <v>43312</v>
      </c>
      <c r="AG2685" s="185">
        <f t="shared" si="351"/>
        <v>1.5113324684921103E-3</v>
      </c>
      <c r="AH2685" s="339" t="str">
        <f>VLOOKUP(B2685,'MF PF'!A:B,2)</f>
        <v>FdMgt1</v>
      </c>
      <c r="AI2685" s="358">
        <f t="shared" si="349"/>
        <v>0</v>
      </c>
      <c r="AJ2685" s="94">
        <f t="shared" si="350"/>
        <v>43312</v>
      </c>
    </row>
    <row r="2686" spans="1:36" ht="12.75" customHeight="1">
      <c r="A2686" s="94">
        <v>43329</v>
      </c>
      <c r="B2686" s="358" t="s">
        <v>273</v>
      </c>
      <c r="C2686" s="358" t="s">
        <v>365</v>
      </c>
      <c r="D2686" s="93"/>
      <c r="F2686" s="93"/>
      <c r="G2686" s="93">
        <v>-37172.899260856757</v>
      </c>
      <c r="H2686" s="93"/>
      <c r="I2686" s="93"/>
      <c r="K2686" s="93"/>
      <c r="L2686" s="93">
        <f t="shared" si="345"/>
        <v>-37172.899260856757</v>
      </c>
      <c r="M2686" s="95" t="e">
        <f t="shared" ca="1" si="346"/>
        <v>#DIV/0!</v>
      </c>
      <c r="N2686" s="95">
        <f>IF(P2686="Hedge Fund",IF(A2686=Summary!$AD$3,M2686-E2686,M2686),IF(A2686=Summary!$AD$3,L2686-D2686,L2686))</f>
        <v>-37172.899260856757</v>
      </c>
      <c r="O2686" s="95">
        <f t="shared" si="352"/>
        <v>-37172.899260856757</v>
      </c>
      <c r="P2686" s="107" t="s">
        <v>155</v>
      </c>
      <c r="Q2686" s="95">
        <v>0</v>
      </c>
      <c r="R2686" s="95">
        <v>0</v>
      </c>
      <c r="S2686" s="95"/>
      <c r="T2686" s="95"/>
      <c r="U2686" s="95"/>
      <c r="V2686" s="95"/>
      <c r="W2686" s="95"/>
      <c r="X2686" s="95"/>
      <c r="Y2686" s="95"/>
      <c r="Z2686" s="95"/>
      <c r="AA2686" s="95"/>
      <c r="AB2686" s="95"/>
      <c r="AC2686" s="355"/>
      <c r="AD2686" s="355"/>
      <c r="AE2686" s="355"/>
      <c r="AF2686" s="94">
        <f t="shared" si="348"/>
        <v>43329</v>
      </c>
      <c r="AG2686" s="185">
        <f t="shared" si="351"/>
        <v>-0.68230259867780196</v>
      </c>
      <c r="AH2686" s="339" t="str">
        <f>VLOOKUP(B2686,'MF PF'!A:B,2)</f>
        <v>FdMgt1</v>
      </c>
      <c r="AI2686" s="358">
        <f t="shared" si="349"/>
        <v>0</v>
      </c>
      <c r="AJ2686" s="94">
        <f t="shared" si="350"/>
        <v>43343</v>
      </c>
    </row>
    <row r="2687" spans="1:36" ht="12.75" customHeight="1">
      <c r="A2687" s="94">
        <v>43343</v>
      </c>
      <c r="B2687" s="358" t="s">
        <v>273</v>
      </c>
      <c r="C2687" s="358" t="s">
        <v>365</v>
      </c>
      <c r="D2687" s="93">
        <v>79643.67</v>
      </c>
      <c r="F2687" s="93"/>
      <c r="G2687" s="93"/>
      <c r="H2687" s="93"/>
      <c r="I2687" s="93"/>
      <c r="K2687" s="93"/>
      <c r="L2687" s="93">
        <f t="shared" si="345"/>
        <v>0</v>
      </c>
      <c r="M2687" s="95" t="e">
        <f t="shared" ca="1" si="346"/>
        <v>#DIV/0!</v>
      </c>
      <c r="N2687" s="95">
        <f>IF(P2687="Hedge Fund",IF(A2687=Summary!$AD$3,M2687-E2687,M2687),IF(A2687=Summary!$AD$3,L2687-D2687,L2687))</f>
        <v>0</v>
      </c>
      <c r="O2687" s="95">
        <f t="shared" si="352"/>
        <v>0</v>
      </c>
      <c r="P2687" s="107" t="s">
        <v>155</v>
      </c>
      <c r="Q2687" s="95">
        <v>0</v>
      </c>
      <c r="R2687" s="95">
        <v>2.4809999999999998E-5</v>
      </c>
      <c r="S2687" s="95"/>
      <c r="T2687" s="95"/>
      <c r="U2687" s="95"/>
      <c r="V2687" s="95"/>
      <c r="W2687" s="95"/>
      <c r="X2687" s="95"/>
      <c r="Y2687" s="95"/>
      <c r="Z2687" s="95"/>
      <c r="AA2687" s="95"/>
      <c r="AB2687" s="95"/>
      <c r="AC2687" s="355"/>
      <c r="AD2687" s="355"/>
      <c r="AE2687" s="355"/>
      <c r="AF2687" s="94">
        <f t="shared" si="348"/>
        <v>43343</v>
      </c>
      <c r="AG2687" s="185" t="e">
        <f t="shared" si="351"/>
        <v>#DIV/0!</v>
      </c>
      <c r="AH2687" s="339" t="str">
        <f>VLOOKUP(B2687,'MF PF'!A:B,2)</f>
        <v>FdMgt1</v>
      </c>
      <c r="AI2687" s="358">
        <f t="shared" si="349"/>
        <v>0</v>
      </c>
      <c r="AJ2687" s="94">
        <f t="shared" si="350"/>
        <v>43343</v>
      </c>
    </row>
    <row r="2688" spans="1:36" ht="12.75" customHeight="1">
      <c r="A2688" s="94">
        <v>43369</v>
      </c>
      <c r="B2688" s="358" t="s">
        <v>273</v>
      </c>
      <c r="C2688" s="358" t="s">
        <v>365</v>
      </c>
      <c r="D2688" s="93"/>
      <c r="F2688" s="93"/>
      <c r="G2688" s="93">
        <v>16084.96</v>
      </c>
      <c r="H2688" s="93"/>
      <c r="I2688" s="93"/>
      <c r="K2688" s="93"/>
      <c r="L2688" s="93">
        <f t="shared" si="345"/>
        <v>16084.96</v>
      </c>
      <c r="M2688" s="95" t="e">
        <f t="shared" ca="1" si="346"/>
        <v>#DIV/0!</v>
      </c>
      <c r="N2688" s="95">
        <f>IF(P2688="Hedge Fund",IF(A2688=Summary!$AD$3,M2688-E2688,M2688),IF(A2688=Summary!$AD$3,L2688-D2688,L2688))</f>
        <v>16084.96</v>
      </c>
      <c r="O2688" s="95">
        <f t="shared" si="352"/>
        <v>16084.96</v>
      </c>
      <c r="P2688" s="107" t="s">
        <v>155</v>
      </c>
      <c r="Q2688" s="95">
        <v>0</v>
      </c>
      <c r="R2688" s="95">
        <v>0</v>
      </c>
      <c r="S2688" s="95"/>
      <c r="T2688" s="95"/>
      <c r="U2688" s="95"/>
      <c r="V2688" s="95"/>
      <c r="W2688" s="95"/>
      <c r="X2688" s="95"/>
      <c r="Y2688" s="95"/>
      <c r="Z2688" s="95"/>
      <c r="AA2688" s="95"/>
      <c r="AB2688" s="95"/>
      <c r="AC2688" s="355"/>
      <c r="AD2688" s="355"/>
      <c r="AE2688" s="355"/>
      <c r="AF2688" s="94">
        <f t="shared" si="348"/>
        <v>43369</v>
      </c>
      <c r="AG2688" s="185">
        <f t="shared" si="351"/>
        <v>-1.2019615620425328</v>
      </c>
      <c r="AH2688" s="339" t="str">
        <f>VLOOKUP(B2688,'MF PF'!A:B,2)</f>
        <v>FdMgt1</v>
      </c>
      <c r="AI2688" s="358">
        <f t="shared" si="349"/>
        <v>0</v>
      </c>
      <c r="AJ2688" s="94">
        <f t="shared" si="350"/>
        <v>43373</v>
      </c>
    </row>
    <row r="2689" spans="1:53" ht="12.75" customHeight="1">
      <c r="A2689" s="94">
        <v>43371</v>
      </c>
      <c r="B2689" s="358" t="s">
        <v>273</v>
      </c>
      <c r="C2689" s="358" t="s">
        <v>365</v>
      </c>
      <c r="D2689" s="93">
        <v>96306.89</v>
      </c>
      <c r="F2689" s="93"/>
      <c r="G2689" s="93"/>
      <c r="H2689" s="93"/>
      <c r="I2689" s="93"/>
      <c r="K2689" s="93"/>
      <c r="L2689" s="93">
        <f t="shared" si="345"/>
        <v>0</v>
      </c>
      <c r="M2689" s="95" t="e">
        <f t="shared" ca="1" si="346"/>
        <v>#DIV/0!</v>
      </c>
      <c r="N2689" s="95">
        <f>IF(P2689="Hedge Fund",IF(A2689=Summary!$AD$3,M2689-E2689,M2689),IF(A2689=Summary!$AD$3,L2689-D2689,L2689))</f>
        <v>0</v>
      </c>
      <c r="O2689" s="95">
        <f t="shared" si="352"/>
        <v>0</v>
      </c>
      <c r="P2689" s="107" t="s">
        <v>155</v>
      </c>
      <c r="Q2689" s="95">
        <v>5.2784000000000001E-4</v>
      </c>
      <c r="R2689" s="95">
        <v>1.2685999999999999E-4</v>
      </c>
      <c r="S2689" s="95"/>
      <c r="T2689" s="95"/>
      <c r="U2689" s="95"/>
      <c r="V2689" s="95"/>
      <c r="W2689" s="95"/>
      <c r="X2689" s="95"/>
      <c r="Y2689" s="95"/>
      <c r="Z2689" s="95"/>
      <c r="AA2689" s="95"/>
      <c r="AB2689" s="95"/>
      <c r="AC2689" s="355"/>
      <c r="AD2689" s="355"/>
      <c r="AE2689" s="355"/>
      <c r="AF2689" s="94">
        <f t="shared" si="348"/>
        <v>43371</v>
      </c>
      <c r="AG2689" s="185" t="e">
        <f t="shared" si="351"/>
        <v>#DIV/0!</v>
      </c>
      <c r="AH2689" s="339" t="str">
        <f>VLOOKUP(B2689,'MF PF'!A:B,2)</f>
        <v>FdMgt1</v>
      </c>
      <c r="AI2689" s="358">
        <f t="shared" si="349"/>
        <v>0</v>
      </c>
      <c r="AJ2689" s="94">
        <f t="shared" si="350"/>
        <v>43373</v>
      </c>
    </row>
    <row r="2690" spans="1:53" ht="12.75" customHeight="1">
      <c r="A2690" s="94">
        <v>43404</v>
      </c>
      <c r="B2690" s="358" t="s">
        <v>273</v>
      </c>
      <c r="C2690" s="358" t="s">
        <v>365</v>
      </c>
      <c r="D2690" s="93">
        <v>110256.4136</v>
      </c>
      <c r="F2690" s="93">
        <v>0.11667597</v>
      </c>
      <c r="G2690" s="93">
        <v>9440.7699999999968</v>
      </c>
      <c r="H2690" s="93">
        <v>0</v>
      </c>
      <c r="I2690" s="93">
        <v>0</v>
      </c>
      <c r="J2690" s="93">
        <v>0</v>
      </c>
      <c r="K2690" s="93"/>
      <c r="L2690" s="93">
        <f t="shared" si="345"/>
        <v>9440.7699999999968</v>
      </c>
      <c r="M2690" s="95" t="e">
        <f t="shared" ca="1" si="346"/>
        <v>#DIV/0!</v>
      </c>
      <c r="N2690" s="95">
        <f>IF(P2690="Hedge Fund",IF(A2690=Summary!$AD$3,M2690-E2690,M2690),IF(A2690=Summary!$AD$3,L2690-D2690,L2690))</f>
        <v>9440.7699999999968</v>
      </c>
      <c r="O2690" s="95">
        <f t="shared" si="352"/>
        <v>9440.7699999999968</v>
      </c>
      <c r="P2690" s="95" t="s">
        <v>155</v>
      </c>
      <c r="Q2690" s="95">
        <v>6.2716932950993194E-4</v>
      </c>
      <c r="R2690" s="95">
        <v>6.5851638912851559E-4</v>
      </c>
      <c r="S2690" s="95"/>
      <c r="T2690" s="95"/>
      <c r="U2690" s="95"/>
      <c r="V2690" s="95"/>
      <c r="W2690" s="95"/>
      <c r="X2690" s="95"/>
      <c r="Y2690" s="95"/>
      <c r="Z2690" s="95"/>
      <c r="AA2690" s="95"/>
      <c r="AB2690" s="95"/>
      <c r="AC2690" s="355"/>
      <c r="AD2690" s="355"/>
      <c r="AE2690" s="355"/>
      <c r="AF2690" s="94">
        <f t="shared" si="348"/>
        <v>43404</v>
      </c>
      <c r="AG2690" s="185">
        <f t="shared" si="351"/>
        <v>4.6816521642428777E-2</v>
      </c>
      <c r="AH2690" s="339" t="str">
        <f>VLOOKUP(B2690,'MF PF'!A:B,2)</f>
        <v>FdMgt1</v>
      </c>
      <c r="AI2690" s="358">
        <f t="shared" si="349"/>
        <v>0</v>
      </c>
      <c r="AJ2690" s="94">
        <f t="shared" si="350"/>
        <v>43404</v>
      </c>
    </row>
    <row r="2691" spans="1:53" ht="12.75" customHeight="1">
      <c r="A2691" s="94">
        <v>43432</v>
      </c>
      <c r="B2691" s="358" t="s">
        <v>273</v>
      </c>
      <c r="C2691" s="358" t="s">
        <v>365</v>
      </c>
      <c r="D2691" s="93"/>
      <c r="F2691" s="93"/>
      <c r="G2691" s="93">
        <v>10151.15</v>
      </c>
      <c r="H2691" s="93">
        <v>0</v>
      </c>
      <c r="I2691" s="93">
        <v>0</v>
      </c>
      <c r="K2691" s="93">
        <v>0</v>
      </c>
      <c r="L2691" s="93">
        <f t="shared" ref="L2691:L2754" si="353">G2691+H2691+I2691</f>
        <v>10151.15</v>
      </c>
      <c r="M2691" s="95" t="e">
        <f t="shared" ref="M2691:M2754" ca="1" si="354">IF(A2691&gt;INDIRECT("A"&amp;ROW()-1),I2691/K2691,E2691)</f>
        <v>#DIV/0!</v>
      </c>
      <c r="N2691" s="95">
        <f>IF(P2691="Hedge Fund",IF(A2691=Summary!$AD$3,M2691-E2691,M2691),IF(A2691=Summary!$AD$3,L2691-D2691,L2691))</f>
        <v>10151.15</v>
      </c>
      <c r="O2691" s="95">
        <f t="shared" si="352"/>
        <v>10151.15</v>
      </c>
      <c r="P2691" s="95" t="s">
        <v>155</v>
      </c>
      <c r="Q2691" s="95"/>
      <c r="R2691" s="95"/>
      <c r="S2691" s="95"/>
      <c r="T2691" s="95"/>
      <c r="U2691" s="95"/>
      <c r="V2691" s="95"/>
      <c r="W2691" s="95"/>
      <c r="X2691" s="95"/>
      <c r="Y2691" s="95"/>
      <c r="Z2691" s="95"/>
      <c r="AA2691" s="95"/>
      <c r="AB2691" s="95"/>
      <c r="AC2691" s="355"/>
      <c r="AD2691" s="355"/>
      <c r="AE2691" s="355"/>
      <c r="AF2691" s="94">
        <f t="shared" ref="AF2691:AF2754" si="355">A2691</f>
        <v>43432</v>
      </c>
      <c r="AG2691" s="185">
        <f t="shared" si="351"/>
        <v>-1.0920685669754091</v>
      </c>
      <c r="AH2691" s="339" t="str">
        <f>VLOOKUP(B2691,'MF PF'!A:B,2)</f>
        <v>FdMgt1</v>
      </c>
      <c r="AI2691" s="358">
        <f t="shared" ref="AI2691:AI2754" si="356">AF2691-A2691</f>
        <v>0</v>
      </c>
      <c r="AJ2691" s="94">
        <f t="shared" ref="AJ2691:AJ2754" si="357">EOMONTH(A2691,0)</f>
        <v>43434</v>
      </c>
      <c r="AK2691" s="96"/>
      <c r="AL2691" s="96"/>
      <c r="AM2691" s="96"/>
      <c r="AN2691" s="96"/>
      <c r="AO2691" s="96"/>
      <c r="AP2691" s="96"/>
      <c r="AQ2691" s="96"/>
      <c r="AR2691" s="96"/>
      <c r="AS2691" s="96"/>
      <c r="AT2691" s="96"/>
      <c r="AU2691" s="96"/>
      <c r="AV2691" s="96"/>
      <c r="AW2691" s="96"/>
      <c r="AX2691" s="96"/>
      <c r="AY2691" s="96"/>
      <c r="AZ2691" s="96"/>
      <c r="BA2691" s="96"/>
    </row>
    <row r="2692" spans="1:53" ht="12.75" customHeight="1">
      <c r="A2692" s="94">
        <v>43434</v>
      </c>
      <c r="B2692" s="358" t="s">
        <v>273</v>
      </c>
      <c r="C2692" s="358" t="s">
        <v>365</v>
      </c>
      <c r="D2692" s="93">
        <v>115885.93</v>
      </c>
      <c r="F2692" s="93">
        <v>0.11667597</v>
      </c>
      <c r="G2692" s="93"/>
      <c r="H2692" s="93">
        <v>0</v>
      </c>
      <c r="I2692" s="93">
        <v>0</v>
      </c>
      <c r="K2692" s="93">
        <v>0</v>
      </c>
      <c r="L2692" s="93">
        <f t="shared" si="353"/>
        <v>0</v>
      </c>
      <c r="M2692" s="95" t="e">
        <f t="shared" ca="1" si="354"/>
        <v>#DIV/0!</v>
      </c>
      <c r="N2692" s="95">
        <f>IF(P2692="Hedge Fund",IF(A2692=Summary!$AD$3,M2692-E2692,M2692),IF(A2692=Summary!$AD$3,L2692-D2692,L2692))</f>
        <v>0</v>
      </c>
      <c r="O2692" s="95">
        <f t="shared" si="352"/>
        <v>0</v>
      </c>
      <c r="P2692" s="95" t="s">
        <v>155</v>
      </c>
      <c r="Q2692" s="95">
        <v>8.3158000000000006E-4</v>
      </c>
      <c r="R2692" s="95">
        <v>1.2458538912851871E-4</v>
      </c>
      <c r="S2692" s="95"/>
      <c r="T2692" s="95"/>
      <c r="U2692" s="95"/>
      <c r="V2692" s="95"/>
      <c r="W2692" s="95"/>
      <c r="X2692" s="95"/>
      <c r="Y2692" s="95"/>
      <c r="Z2692" s="95"/>
      <c r="AA2692" s="95"/>
      <c r="AB2692" s="95"/>
      <c r="AC2692" s="355"/>
      <c r="AD2692" s="355"/>
      <c r="AE2692" s="355"/>
      <c r="AF2692" s="94">
        <f t="shared" si="355"/>
        <v>43434</v>
      </c>
      <c r="AG2692" s="185" t="e">
        <f t="shared" si="351"/>
        <v>#DIV/0!</v>
      </c>
      <c r="AH2692" s="339" t="str">
        <f>VLOOKUP(B2692,'MF PF'!A:B,2)</f>
        <v>FdMgt1</v>
      </c>
      <c r="AI2692" s="358">
        <f t="shared" si="356"/>
        <v>0</v>
      </c>
      <c r="AJ2692" s="94">
        <f t="shared" si="357"/>
        <v>43434</v>
      </c>
    </row>
    <row r="2693" spans="1:53" ht="12.75" customHeight="1">
      <c r="A2693" s="94">
        <v>43465</v>
      </c>
      <c r="B2693" s="358" t="s">
        <v>273</v>
      </c>
      <c r="C2693" s="358" t="s">
        <v>365</v>
      </c>
      <c r="D2693" s="93">
        <v>116942.05</v>
      </c>
      <c r="F2693" s="93">
        <v>0.11667597</v>
      </c>
      <c r="G2693" s="93"/>
      <c r="H2693" s="93">
        <v>0</v>
      </c>
      <c r="I2693" s="93">
        <v>0</v>
      </c>
      <c r="K2693" s="93">
        <v>0</v>
      </c>
      <c r="L2693" s="93">
        <f t="shared" si="353"/>
        <v>0</v>
      </c>
      <c r="M2693" s="95" t="e">
        <f t="shared" ca="1" si="354"/>
        <v>#DIV/0!</v>
      </c>
      <c r="N2693" s="95">
        <f>IF(P2693="Hedge Fund",IF(A2693=Summary!$AD$3,M2693-E2693,M2693),IF(A2693=Summary!$AD$3,L2693-D2693,L2693))</f>
        <v>0</v>
      </c>
      <c r="O2693" s="95">
        <f t="shared" si="352"/>
        <v>0</v>
      </c>
      <c r="P2693" s="95" t="s">
        <v>155</v>
      </c>
      <c r="Q2693" s="95">
        <v>-0.11799975172890594</v>
      </c>
      <c r="R2693" s="95">
        <v>0</v>
      </c>
      <c r="S2693" s="95"/>
      <c r="T2693" s="95"/>
      <c r="U2693" s="95"/>
      <c r="V2693" s="95"/>
      <c r="W2693" s="95"/>
      <c r="X2693" s="95"/>
      <c r="Y2693" s="95"/>
      <c r="Z2693" s="95"/>
      <c r="AA2693" s="95"/>
      <c r="AB2693" s="95"/>
      <c r="AC2693" s="355"/>
      <c r="AD2693" s="355"/>
      <c r="AE2693" s="355"/>
      <c r="AF2693" s="94">
        <f t="shared" si="355"/>
        <v>43465</v>
      </c>
      <c r="AG2693" s="185">
        <f t="shared" si="351"/>
        <v>9.1134445743328296E-3</v>
      </c>
      <c r="AH2693" s="339" t="str">
        <f>VLOOKUP(B2693,'MF PF'!A:B,2)</f>
        <v>FdMgt1</v>
      </c>
      <c r="AI2693" s="358">
        <f t="shared" si="356"/>
        <v>0</v>
      </c>
      <c r="AJ2693" s="94">
        <f t="shared" si="357"/>
        <v>43465</v>
      </c>
    </row>
    <row r="2694" spans="1:53" s="358" customFormat="1" ht="12.75" customHeight="1">
      <c r="A2694" s="94">
        <v>43496</v>
      </c>
      <c r="B2694" s="358" t="s">
        <v>273</v>
      </c>
      <c r="C2694" s="358" t="s">
        <v>365</v>
      </c>
      <c r="D2694" s="93">
        <v>118192.6476</v>
      </c>
      <c r="E2694" s="95"/>
      <c r="F2694" s="93">
        <v>0.11517995073914321</v>
      </c>
      <c r="G2694" s="93"/>
      <c r="H2694" s="93">
        <v>0</v>
      </c>
      <c r="I2694" s="93">
        <v>0</v>
      </c>
      <c r="J2694" s="93"/>
      <c r="K2694" s="93">
        <v>0</v>
      </c>
      <c r="L2694" s="93">
        <f t="shared" si="353"/>
        <v>0</v>
      </c>
      <c r="M2694" s="95" t="e">
        <f t="shared" ca="1" si="354"/>
        <v>#DIV/0!</v>
      </c>
      <c r="N2694" s="95">
        <f>IF(P2694="Hedge Fund",IF(A2694=Summary!$AD$3,M2694-E2694,M2694),IF(A2694=Summary!$AD$3,L2694-D2694,L2694))</f>
        <v>-118192.6476</v>
      </c>
      <c r="O2694" s="95">
        <f t="shared" si="352"/>
        <v>-118192.6476</v>
      </c>
      <c r="P2694" s="95" t="s">
        <v>155</v>
      </c>
      <c r="Q2694" s="95">
        <v>8.7420200771425049E-4</v>
      </c>
      <c r="R2694" s="95">
        <v>5.3165238912851855E-4</v>
      </c>
      <c r="S2694" s="95"/>
      <c r="T2694" s="95"/>
      <c r="U2694" s="95"/>
      <c r="V2694" s="95"/>
      <c r="W2694" s="95"/>
      <c r="X2694" s="95"/>
      <c r="Y2694" s="95"/>
      <c r="Z2694" s="95"/>
      <c r="AA2694" s="95"/>
      <c r="AB2694" s="95"/>
      <c r="AF2694" s="94">
        <f t="shared" si="355"/>
        <v>43496</v>
      </c>
      <c r="AG2694" s="185">
        <f t="shared" si="351"/>
        <v>1.0694165186944993E-2</v>
      </c>
      <c r="AH2694" s="339" t="str">
        <f>VLOOKUP(B2694,'MF PF'!A:B,2)</f>
        <v>FdMgt1</v>
      </c>
      <c r="AI2694" s="358">
        <f t="shared" si="356"/>
        <v>0</v>
      </c>
      <c r="AJ2694" s="94">
        <f t="shared" si="357"/>
        <v>43496</v>
      </c>
    </row>
    <row r="2695" spans="1:53" ht="12.75" customHeight="1">
      <c r="A2695" s="94">
        <v>43252</v>
      </c>
      <c r="B2695" s="358" t="s">
        <v>273</v>
      </c>
      <c r="C2695" s="358" t="s">
        <v>366</v>
      </c>
      <c r="D2695" s="93"/>
      <c r="F2695" s="93"/>
      <c r="G2695" s="93">
        <v>71107.710000000006</v>
      </c>
      <c r="H2695" s="93"/>
      <c r="I2695" s="93"/>
      <c r="K2695" s="93"/>
      <c r="L2695" s="93">
        <f t="shared" si="353"/>
        <v>71107.710000000006</v>
      </c>
      <c r="M2695" s="95">
        <f t="shared" ca="1" si="354"/>
        <v>0</v>
      </c>
      <c r="N2695" s="95">
        <f>IF(P2695="Hedge Fund",IF(A2695=Summary!$AD$3,M2695-E2695,M2695),IF(A2695=Summary!$AD$3,L2695-D2695,L2695))</f>
        <v>71107.710000000006</v>
      </c>
      <c r="O2695" s="95">
        <f t="shared" si="352"/>
        <v>71107.710000000006</v>
      </c>
      <c r="P2695" s="107" t="s">
        <v>155</v>
      </c>
      <c r="Q2695" s="95">
        <v>0</v>
      </c>
      <c r="R2695" s="95">
        <v>0</v>
      </c>
      <c r="S2695" s="95"/>
      <c r="T2695" s="95"/>
      <c r="U2695" s="95"/>
      <c r="V2695" s="95"/>
      <c r="W2695" s="95"/>
      <c r="X2695" s="95"/>
      <c r="Y2695" s="95"/>
      <c r="Z2695" s="95"/>
      <c r="AA2695" s="95"/>
      <c r="AB2695" s="95"/>
      <c r="AC2695" s="355"/>
      <c r="AD2695" s="355"/>
      <c r="AE2695" s="355"/>
      <c r="AF2695" s="94">
        <f t="shared" si="355"/>
        <v>43252</v>
      </c>
      <c r="AG2695" s="185">
        <f t="shared" si="351"/>
        <v>-1</v>
      </c>
      <c r="AH2695" s="339" t="str">
        <f>VLOOKUP(B2695,'MF PF'!A:B,2)</f>
        <v>FdMgt1</v>
      </c>
      <c r="AI2695" s="358">
        <f t="shared" si="356"/>
        <v>0</v>
      </c>
      <c r="AJ2695" s="94">
        <f t="shared" si="357"/>
        <v>43281</v>
      </c>
    </row>
    <row r="2696" spans="1:53" ht="12.75" customHeight="1">
      <c r="A2696" s="94">
        <v>43281</v>
      </c>
      <c r="B2696" s="358" t="s">
        <v>273</v>
      </c>
      <c r="C2696" s="358" t="s">
        <v>366</v>
      </c>
      <c r="D2696" s="93">
        <v>71202</v>
      </c>
      <c r="F2696" s="93"/>
      <c r="G2696" s="93"/>
      <c r="H2696" s="93"/>
      <c r="I2696" s="93"/>
      <c r="K2696" s="93"/>
      <c r="L2696" s="93">
        <f t="shared" si="353"/>
        <v>0</v>
      </c>
      <c r="M2696" s="95" t="e">
        <f t="shared" ca="1" si="354"/>
        <v>#DIV/0!</v>
      </c>
      <c r="N2696" s="95">
        <f>IF(P2696="Hedge Fund",IF(A2696=Summary!$AD$3,M2696-E2696,M2696),IF(A2696=Summary!$AD$3,L2696-D2696,L2696))</f>
        <v>0</v>
      </c>
      <c r="O2696" s="95">
        <f t="shared" si="352"/>
        <v>0</v>
      </c>
      <c r="P2696" s="107" t="s">
        <v>155</v>
      </c>
      <c r="Q2696" s="95">
        <v>8.4980000000000003E-5</v>
      </c>
      <c r="R2696" s="95">
        <v>1.664E-5</v>
      </c>
      <c r="S2696" s="95"/>
      <c r="T2696" s="95"/>
      <c r="U2696" s="95"/>
      <c r="V2696" s="95"/>
      <c r="W2696" s="95"/>
      <c r="X2696" s="95"/>
      <c r="Y2696" s="95"/>
      <c r="Z2696" s="95"/>
      <c r="AA2696" s="95"/>
      <c r="AB2696" s="95"/>
      <c r="AC2696" s="355"/>
      <c r="AD2696" s="355"/>
      <c r="AE2696" s="355"/>
      <c r="AF2696" s="94">
        <f t="shared" si="355"/>
        <v>43281</v>
      </c>
      <c r="AG2696" s="185" t="e">
        <f t="shared" si="351"/>
        <v>#DIV/0!</v>
      </c>
      <c r="AH2696" s="339" t="str">
        <f>VLOOKUP(B2696,'MF PF'!A:B,2)</f>
        <v>FdMgt1</v>
      </c>
      <c r="AI2696" s="358">
        <f t="shared" si="356"/>
        <v>0</v>
      </c>
      <c r="AJ2696" s="94">
        <f t="shared" si="357"/>
        <v>43281</v>
      </c>
    </row>
    <row r="2697" spans="1:53" ht="12.75" customHeight="1">
      <c r="A2697" s="94">
        <v>43312</v>
      </c>
      <c r="B2697" s="358" t="s">
        <v>273</v>
      </c>
      <c r="C2697" s="358" t="s">
        <v>366</v>
      </c>
      <c r="D2697" s="93">
        <v>71309.61</v>
      </c>
      <c r="F2697" s="93"/>
      <c r="G2697" s="93"/>
      <c r="H2697" s="93"/>
      <c r="I2697" s="93"/>
      <c r="K2697" s="93"/>
      <c r="L2697" s="93">
        <f t="shared" si="353"/>
        <v>0</v>
      </c>
      <c r="M2697" s="95" t="e">
        <f t="shared" ca="1" si="354"/>
        <v>#DIV/0!</v>
      </c>
      <c r="N2697" s="95">
        <f>IF(P2697="Hedge Fund",IF(A2697=Summary!$AD$3,M2697-E2697,M2697),IF(A2697=Summary!$AD$3,L2697-D2697,L2697))</f>
        <v>0</v>
      </c>
      <c r="O2697" s="95">
        <f t="shared" si="352"/>
        <v>0</v>
      </c>
      <c r="P2697" s="107" t="s">
        <v>155</v>
      </c>
      <c r="Q2697" s="95">
        <v>0</v>
      </c>
      <c r="R2697" s="95">
        <v>3.5630000000000003E-5</v>
      </c>
      <c r="S2697" s="95"/>
      <c r="T2697" s="95"/>
      <c r="U2697" s="95"/>
      <c r="V2697" s="95"/>
      <c r="W2697" s="95"/>
      <c r="X2697" s="95"/>
      <c r="Y2697" s="95"/>
      <c r="Z2697" s="95"/>
      <c r="AA2697" s="95"/>
      <c r="AB2697" s="95"/>
      <c r="AC2697" s="355"/>
      <c r="AD2697" s="355"/>
      <c r="AE2697" s="355"/>
      <c r="AF2697" s="94">
        <f t="shared" si="355"/>
        <v>43312</v>
      </c>
      <c r="AG2697" s="185">
        <f t="shared" si="351"/>
        <v>1.5113339512935475E-3</v>
      </c>
      <c r="AH2697" s="339" t="str">
        <f>VLOOKUP(B2697,'MF PF'!A:B,2)</f>
        <v>FdMgt1</v>
      </c>
      <c r="AI2697" s="358">
        <f t="shared" si="356"/>
        <v>0</v>
      </c>
      <c r="AJ2697" s="94">
        <f t="shared" si="357"/>
        <v>43312</v>
      </c>
    </row>
    <row r="2698" spans="1:53" ht="12.75" customHeight="1">
      <c r="A2698" s="94">
        <v>43329</v>
      </c>
      <c r="B2698" s="358" t="s">
        <v>273</v>
      </c>
      <c r="C2698" s="358" t="s">
        <v>366</v>
      </c>
      <c r="D2698" s="93"/>
      <c r="F2698" s="93"/>
      <c r="G2698" s="93">
        <v>-22654.87928689444</v>
      </c>
      <c r="H2698" s="93"/>
      <c r="I2698" s="93"/>
      <c r="K2698" s="93"/>
      <c r="L2698" s="93">
        <f t="shared" si="353"/>
        <v>-22654.87928689444</v>
      </c>
      <c r="M2698" s="95" t="e">
        <f t="shared" ca="1" si="354"/>
        <v>#DIV/0!</v>
      </c>
      <c r="N2698" s="95">
        <f>IF(P2698="Hedge Fund",IF(A2698=Summary!$AD$3,M2698-E2698,M2698),IF(A2698=Summary!$AD$3,L2698-D2698,L2698))</f>
        <v>-22654.87928689444</v>
      </c>
      <c r="O2698" s="95">
        <f t="shared" si="352"/>
        <v>-22654.87928689444</v>
      </c>
      <c r="P2698" s="107" t="s">
        <v>155</v>
      </c>
      <c r="Q2698" s="95">
        <v>0</v>
      </c>
      <c r="R2698" s="95">
        <v>0</v>
      </c>
      <c r="S2698" s="95"/>
      <c r="T2698" s="95"/>
      <c r="U2698" s="95"/>
      <c r="V2698" s="95"/>
      <c r="W2698" s="95"/>
      <c r="X2698" s="95"/>
      <c r="Y2698" s="95"/>
      <c r="Z2698" s="95"/>
      <c r="AA2698" s="95"/>
      <c r="AB2698" s="95"/>
      <c r="AC2698" s="355"/>
      <c r="AD2698" s="355"/>
      <c r="AE2698" s="355"/>
      <c r="AF2698" s="94">
        <f t="shared" si="355"/>
        <v>43329</v>
      </c>
      <c r="AG2698" s="185">
        <f t="shared" si="351"/>
        <v>-0.68230257763442492</v>
      </c>
      <c r="AH2698" s="339" t="str">
        <f>VLOOKUP(B2698,'MF PF'!A:B,2)</f>
        <v>FdMgt1</v>
      </c>
      <c r="AI2698" s="358">
        <f t="shared" si="356"/>
        <v>0</v>
      </c>
      <c r="AJ2698" s="94">
        <f t="shared" si="357"/>
        <v>43343</v>
      </c>
    </row>
    <row r="2699" spans="1:53" ht="12.75" customHeight="1">
      <c r="A2699" s="94">
        <v>43343</v>
      </c>
      <c r="B2699" s="358" t="s">
        <v>273</v>
      </c>
      <c r="C2699" s="358" t="s">
        <v>366</v>
      </c>
      <c r="D2699" s="93">
        <v>48538.52</v>
      </c>
      <c r="F2699" s="93"/>
      <c r="G2699" s="93"/>
      <c r="H2699" s="93"/>
      <c r="I2699" s="93"/>
      <c r="K2699" s="93"/>
      <c r="L2699" s="93">
        <f t="shared" si="353"/>
        <v>0</v>
      </c>
      <c r="M2699" s="95" t="e">
        <f t="shared" ca="1" si="354"/>
        <v>#DIV/0!</v>
      </c>
      <c r="N2699" s="95">
        <f>IF(P2699="Hedge Fund",IF(A2699=Summary!$AD$3,M2699-E2699,M2699),IF(A2699=Summary!$AD$3,L2699-D2699,L2699))</f>
        <v>0</v>
      </c>
      <c r="O2699" s="95">
        <f t="shared" si="352"/>
        <v>0</v>
      </c>
      <c r="P2699" s="107" t="s">
        <v>155</v>
      </c>
      <c r="Q2699" s="95">
        <v>0</v>
      </c>
      <c r="R2699" s="95">
        <v>1.5119999999999999E-5</v>
      </c>
      <c r="S2699" s="95"/>
      <c r="T2699" s="95"/>
      <c r="U2699" s="95"/>
      <c r="V2699" s="95"/>
      <c r="W2699" s="95"/>
      <c r="X2699" s="95"/>
      <c r="Y2699" s="95"/>
      <c r="Z2699" s="95"/>
      <c r="AA2699" s="95"/>
      <c r="AB2699" s="95"/>
      <c r="AC2699" s="355"/>
      <c r="AD2699" s="355"/>
      <c r="AE2699" s="355"/>
      <c r="AF2699" s="94">
        <f t="shared" si="355"/>
        <v>43343</v>
      </c>
      <c r="AG2699" s="185" t="e">
        <f t="shared" si="351"/>
        <v>#DIV/0!</v>
      </c>
      <c r="AH2699" s="339" t="str">
        <f>VLOOKUP(B2699,'MF PF'!A:B,2)</f>
        <v>FdMgt1</v>
      </c>
      <c r="AI2699" s="358">
        <f t="shared" si="356"/>
        <v>0</v>
      </c>
      <c r="AJ2699" s="94">
        <f t="shared" si="357"/>
        <v>43343</v>
      </c>
    </row>
    <row r="2700" spans="1:53" ht="12.75" customHeight="1">
      <c r="A2700" s="94">
        <v>43369</v>
      </c>
      <c r="B2700" s="358" t="s">
        <v>273</v>
      </c>
      <c r="C2700" s="358" t="s">
        <v>366</v>
      </c>
      <c r="D2700" s="93"/>
      <c r="F2700" s="93"/>
      <c r="G2700" s="93">
        <v>9802.92</v>
      </c>
      <c r="H2700" s="93"/>
      <c r="I2700" s="93"/>
      <c r="K2700" s="93"/>
      <c r="L2700" s="93">
        <f t="shared" si="353"/>
        <v>9802.92</v>
      </c>
      <c r="M2700" s="95" t="e">
        <f t="shared" ca="1" si="354"/>
        <v>#DIV/0!</v>
      </c>
      <c r="N2700" s="95">
        <f>IF(P2700="Hedge Fund",IF(A2700=Summary!$AD$3,M2700-E2700,M2700),IF(A2700=Summary!$AD$3,L2700-D2700,L2700))</f>
        <v>9802.92</v>
      </c>
      <c r="O2700" s="95">
        <f t="shared" si="352"/>
        <v>9802.92</v>
      </c>
      <c r="P2700" s="107" t="s">
        <v>155</v>
      </c>
      <c r="Q2700" s="95">
        <v>0</v>
      </c>
      <c r="R2700" s="95">
        <v>0</v>
      </c>
      <c r="S2700" s="95"/>
      <c r="T2700" s="95"/>
      <c r="U2700" s="95"/>
      <c r="V2700" s="95"/>
      <c r="W2700" s="95"/>
      <c r="X2700" s="95"/>
      <c r="Y2700" s="95"/>
      <c r="Z2700" s="95"/>
      <c r="AA2700" s="95"/>
      <c r="AB2700" s="95"/>
      <c r="AC2700" s="355"/>
      <c r="AD2700" s="355"/>
      <c r="AE2700" s="355"/>
      <c r="AF2700" s="94">
        <f t="shared" si="355"/>
        <v>43369</v>
      </c>
      <c r="AG2700" s="185">
        <f t="shared" si="351"/>
        <v>-1.2019616584930897</v>
      </c>
      <c r="AH2700" s="339" t="str">
        <f>VLOOKUP(B2700,'MF PF'!A:B,2)</f>
        <v>FdMgt1</v>
      </c>
      <c r="AI2700" s="358">
        <f t="shared" si="356"/>
        <v>0</v>
      </c>
      <c r="AJ2700" s="94">
        <f t="shared" si="357"/>
        <v>43373</v>
      </c>
      <c r="AK2700" s="96"/>
      <c r="AL2700" s="96"/>
      <c r="AM2700" s="96"/>
      <c r="AN2700" s="96"/>
      <c r="AO2700" s="96"/>
      <c r="AP2700" s="96"/>
      <c r="AQ2700" s="96"/>
      <c r="AR2700" s="96"/>
      <c r="AS2700" s="96"/>
      <c r="AT2700" s="96"/>
      <c r="AU2700" s="96"/>
      <c r="AV2700" s="96"/>
      <c r="AW2700" s="96"/>
      <c r="AX2700" s="96"/>
      <c r="AY2700" s="96"/>
      <c r="AZ2700" s="96"/>
      <c r="BA2700" s="96"/>
    </row>
    <row r="2701" spans="1:53" ht="12.75" customHeight="1">
      <c r="A2701" s="94">
        <v>43371</v>
      </c>
      <c r="B2701" s="358" t="s">
        <v>273</v>
      </c>
      <c r="C2701" s="358" t="s">
        <v>366</v>
      </c>
      <c r="D2701" s="93">
        <v>58693.86</v>
      </c>
      <c r="F2701" s="93"/>
      <c r="G2701" s="93"/>
      <c r="H2701" s="93"/>
      <c r="I2701" s="93"/>
      <c r="K2701" s="93"/>
      <c r="L2701" s="93">
        <f t="shared" si="353"/>
        <v>0</v>
      </c>
      <c r="M2701" s="95" t="e">
        <f t="shared" ca="1" si="354"/>
        <v>#DIV/0!</v>
      </c>
      <c r="N2701" s="95">
        <f>IF(P2701="Hedge Fund",IF(A2701=Summary!$AD$3,M2701-E2701,M2701),IF(A2701=Summary!$AD$3,L2701-D2701,L2701))</f>
        <v>0</v>
      </c>
      <c r="O2701" s="95">
        <f t="shared" si="352"/>
        <v>0</v>
      </c>
      <c r="P2701" s="107" t="s">
        <v>155</v>
      </c>
      <c r="Q2701" s="95">
        <v>3.2169000000000002E-4</v>
      </c>
      <c r="R2701" s="95">
        <v>7.7310000000000004E-5</v>
      </c>
      <c r="S2701" s="95"/>
      <c r="T2701" s="95"/>
      <c r="U2701" s="95"/>
      <c r="V2701" s="95"/>
      <c r="W2701" s="95"/>
      <c r="X2701" s="95"/>
      <c r="Y2701" s="95"/>
      <c r="Z2701" s="95"/>
      <c r="AA2701" s="95"/>
      <c r="AB2701" s="95"/>
      <c r="AC2701" s="355"/>
      <c r="AD2701" s="355"/>
      <c r="AE2701" s="355"/>
      <c r="AF2701" s="94">
        <f t="shared" si="355"/>
        <v>43371</v>
      </c>
      <c r="AG2701" s="185" t="e">
        <f t="shared" si="351"/>
        <v>#DIV/0!</v>
      </c>
      <c r="AH2701" s="339" t="str">
        <f>VLOOKUP(B2701,'MF PF'!A:B,2)</f>
        <v>FdMgt1</v>
      </c>
      <c r="AI2701" s="358">
        <f t="shared" si="356"/>
        <v>0</v>
      </c>
      <c r="AJ2701" s="94">
        <f t="shared" si="357"/>
        <v>43373</v>
      </c>
    </row>
    <row r="2702" spans="1:53" ht="12.75" customHeight="1">
      <c r="A2702" s="94">
        <v>43404</v>
      </c>
      <c r="B2702" s="358" t="s">
        <v>273</v>
      </c>
      <c r="C2702" s="358" t="s">
        <v>366</v>
      </c>
      <c r="D2702" s="93">
        <v>67195.339099999997</v>
      </c>
      <c r="F2702" s="93">
        <v>7.1107710000000005E-2</v>
      </c>
      <c r="G2702" s="93">
        <v>5753.6400000000031</v>
      </c>
      <c r="H2702" s="93">
        <v>0</v>
      </c>
      <c r="I2702" s="93">
        <v>0</v>
      </c>
      <c r="J2702" s="93">
        <v>0</v>
      </c>
      <c r="K2702" s="93"/>
      <c r="L2702" s="93">
        <f t="shared" si="353"/>
        <v>5753.6400000000031</v>
      </c>
      <c r="M2702" s="95" t="e">
        <f t="shared" ca="1" si="354"/>
        <v>#DIV/0!</v>
      </c>
      <c r="N2702" s="95">
        <f>IF(P2702="Hedge Fund",IF(A2702=Summary!$AD$3,M2702-E2702,M2702),IF(A2702=Summary!$AD$3,L2702-D2702,L2702))</f>
        <v>5753.6400000000031</v>
      </c>
      <c r="O2702" s="95">
        <f t="shared" si="352"/>
        <v>5753.6400000000031</v>
      </c>
      <c r="P2702" s="95" t="s">
        <v>155</v>
      </c>
      <c r="Q2702" s="95">
        <v>3.8222588939373599E-4</v>
      </c>
      <c r="R2702" s="95">
        <v>4.0133089303416488E-4</v>
      </c>
      <c r="S2702" s="95"/>
      <c r="T2702" s="95"/>
      <c r="U2702" s="95"/>
      <c r="V2702" s="95"/>
      <c r="W2702" s="95"/>
      <c r="X2702" s="95"/>
      <c r="Y2702" s="95"/>
      <c r="Z2702" s="95"/>
      <c r="AA2702" s="95"/>
      <c r="AB2702" s="95"/>
      <c r="AC2702" s="355"/>
      <c r="AD2702" s="355"/>
      <c r="AE2702" s="355"/>
      <c r="AF2702" s="94">
        <f t="shared" si="355"/>
        <v>43404</v>
      </c>
      <c r="AG2702" s="185">
        <f t="shared" ref="AG2702:AG2765" si="358">IF(C2702&lt;&gt;C2701,D2702/G2702-1,(D2702-G2702-I2702-H2702)/(D2701)-1)</f>
        <v>4.6816465981279753E-2</v>
      </c>
      <c r="AH2702" s="339" t="str">
        <f>VLOOKUP(B2702,'MF PF'!A:B,2)</f>
        <v>FdMgt1</v>
      </c>
      <c r="AI2702" s="358">
        <f t="shared" si="356"/>
        <v>0</v>
      </c>
      <c r="AJ2702" s="94">
        <f t="shared" si="357"/>
        <v>43404</v>
      </c>
    </row>
    <row r="2703" spans="1:53" ht="12.75" customHeight="1">
      <c r="A2703" s="94">
        <v>43432</v>
      </c>
      <c r="B2703" s="358" t="s">
        <v>273</v>
      </c>
      <c r="C2703" s="358" t="s">
        <v>366</v>
      </c>
      <c r="D2703" s="93"/>
      <c r="F2703" s="93"/>
      <c r="G2703" s="93">
        <v>6186.58</v>
      </c>
      <c r="H2703" s="93">
        <v>0</v>
      </c>
      <c r="I2703" s="93">
        <v>0</v>
      </c>
      <c r="K2703" s="93">
        <v>0</v>
      </c>
      <c r="L2703" s="93">
        <f t="shared" si="353"/>
        <v>6186.58</v>
      </c>
      <c r="M2703" s="95" t="e">
        <f t="shared" ca="1" si="354"/>
        <v>#DIV/0!</v>
      </c>
      <c r="N2703" s="95">
        <f>IF(P2703="Hedge Fund",IF(A2703=Summary!$AD$3,M2703-E2703,M2703),IF(A2703=Summary!$AD$3,L2703-D2703,L2703))</f>
        <v>6186.58</v>
      </c>
      <c r="O2703" s="95">
        <f t="shared" si="352"/>
        <v>6186.58</v>
      </c>
      <c r="P2703" s="95" t="s">
        <v>155</v>
      </c>
      <c r="Q2703" s="95"/>
      <c r="R2703" s="95"/>
      <c r="S2703" s="95"/>
      <c r="T2703" s="95"/>
      <c r="U2703" s="95"/>
      <c r="V2703" s="95"/>
      <c r="W2703" s="95"/>
      <c r="X2703" s="95"/>
      <c r="Y2703" s="95"/>
      <c r="Z2703" s="95"/>
      <c r="AA2703" s="95"/>
      <c r="AB2703" s="95"/>
      <c r="AC2703" s="355"/>
      <c r="AD2703" s="355"/>
      <c r="AE2703" s="355"/>
      <c r="AF2703" s="94">
        <f t="shared" si="355"/>
        <v>43432</v>
      </c>
      <c r="AG2703" s="185">
        <f t="shared" si="358"/>
        <v>-1.092068588132179</v>
      </c>
      <c r="AH2703" s="339" t="str">
        <f>VLOOKUP(B2703,'MF PF'!A:B,2)</f>
        <v>FdMgt1</v>
      </c>
      <c r="AI2703" s="358">
        <f t="shared" si="356"/>
        <v>0</v>
      </c>
      <c r="AJ2703" s="94">
        <f t="shared" si="357"/>
        <v>43434</v>
      </c>
    </row>
    <row r="2704" spans="1:53" ht="12.75" customHeight="1">
      <c r="A2704" s="94">
        <v>43434</v>
      </c>
      <c r="B2704" s="358" t="s">
        <v>273</v>
      </c>
      <c r="C2704" s="358" t="s">
        <v>366</v>
      </c>
      <c r="D2704" s="93">
        <v>70626.22</v>
      </c>
      <c r="F2704" s="93">
        <v>7.1107710000000005E-2</v>
      </c>
      <c r="G2704" s="93"/>
      <c r="H2704" s="93">
        <v>0</v>
      </c>
      <c r="I2704" s="93">
        <v>0</v>
      </c>
      <c r="K2704" s="93">
        <v>0</v>
      </c>
      <c r="L2704" s="93">
        <f t="shared" si="353"/>
        <v>0</v>
      </c>
      <c r="M2704" s="95" t="e">
        <f t="shared" ca="1" si="354"/>
        <v>#DIV/0!</v>
      </c>
      <c r="N2704" s="95">
        <f>IF(P2704="Hedge Fund",IF(A2704=Summary!$AD$3,M2704-E2704,M2704),IF(A2704=Summary!$AD$3,L2704-D2704,L2704))</f>
        <v>0</v>
      </c>
      <c r="O2704" s="95">
        <f t="shared" si="352"/>
        <v>0</v>
      </c>
      <c r="P2704" s="95" t="s">
        <v>155</v>
      </c>
      <c r="Q2704" s="95">
        <v>5.0679999999999996E-4</v>
      </c>
      <c r="R2704" s="95">
        <v>7.5926893034164824E-5</v>
      </c>
      <c r="S2704" s="95"/>
      <c r="T2704" s="95"/>
      <c r="U2704" s="95"/>
      <c r="V2704" s="95"/>
      <c r="W2704" s="95"/>
      <c r="X2704" s="95"/>
      <c r="Y2704" s="95"/>
      <c r="Z2704" s="95"/>
      <c r="AA2704" s="95"/>
      <c r="AB2704" s="95"/>
      <c r="AC2704" s="355"/>
      <c r="AD2704" s="355"/>
      <c r="AE2704" s="355"/>
      <c r="AF2704" s="94">
        <f t="shared" si="355"/>
        <v>43434</v>
      </c>
      <c r="AG2704" s="185" t="e">
        <f t="shared" si="358"/>
        <v>#DIV/0!</v>
      </c>
      <c r="AH2704" s="339" t="str">
        <f>VLOOKUP(B2704,'MF PF'!A:B,2)</f>
        <v>FdMgt1</v>
      </c>
      <c r="AI2704" s="358">
        <f t="shared" si="356"/>
        <v>0</v>
      </c>
      <c r="AJ2704" s="94">
        <f t="shared" si="357"/>
        <v>43434</v>
      </c>
    </row>
    <row r="2705" spans="1:53" ht="12.75" customHeight="1">
      <c r="A2705" s="94">
        <v>43465</v>
      </c>
      <c r="B2705" s="358" t="s">
        <v>273</v>
      </c>
      <c r="C2705" s="358" t="s">
        <v>366</v>
      </c>
      <c r="D2705" s="93">
        <v>71269.88</v>
      </c>
      <c r="F2705" s="93">
        <v>7.1107710000000005E-2</v>
      </c>
      <c r="G2705" s="93"/>
      <c r="H2705" s="93">
        <v>0</v>
      </c>
      <c r="I2705" s="93">
        <v>0</v>
      </c>
      <c r="K2705" s="93">
        <v>0</v>
      </c>
      <c r="L2705" s="93">
        <f t="shared" si="353"/>
        <v>0</v>
      </c>
      <c r="M2705" s="95" t="e">
        <f t="shared" ca="1" si="354"/>
        <v>#DIV/0!</v>
      </c>
      <c r="N2705" s="95">
        <f>IF(P2705="Hedge Fund",IF(A2705=Summary!$AD$3,M2705-E2705,M2705),IF(A2705=Summary!$AD$3,L2705-D2705,L2705))</f>
        <v>0</v>
      </c>
      <c r="O2705" s="95">
        <f t="shared" si="352"/>
        <v>0</v>
      </c>
      <c r="P2705" s="95" t="s">
        <v>155</v>
      </c>
      <c r="Q2705" s="95">
        <v>-7.1914487311148495E-2</v>
      </c>
      <c r="R2705" s="95">
        <v>0</v>
      </c>
      <c r="S2705" s="95"/>
      <c r="T2705" s="95"/>
      <c r="U2705" s="95"/>
      <c r="V2705" s="95"/>
      <c r="W2705" s="95"/>
      <c r="X2705" s="95"/>
      <c r="Y2705" s="95"/>
      <c r="Z2705" s="95"/>
      <c r="AA2705" s="95"/>
      <c r="AB2705" s="95"/>
      <c r="AC2705" s="355"/>
      <c r="AD2705" s="355"/>
      <c r="AE2705" s="355"/>
      <c r="AF2705" s="94">
        <f t="shared" si="355"/>
        <v>43465</v>
      </c>
      <c r="AG2705" s="185">
        <f t="shared" si="358"/>
        <v>9.1136124798978368E-3</v>
      </c>
      <c r="AH2705" s="339" t="str">
        <f>VLOOKUP(B2705,'MF PF'!A:B,2)</f>
        <v>FdMgt1</v>
      </c>
      <c r="AI2705" s="358">
        <f t="shared" si="356"/>
        <v>0</v>
      </c>
      <c r="AJ2705" s="94">
        <f t="shared" si="357"/>
        <v>43465</v>
      </c>
    </row>
    <row r="2706" spans="1:53" ht="12.75" customHeight="1">
      <c r="A2706" s="94">
        <v>43496</v>
      </c>
      <c r="B2706" s="358" t="s">
        <v>273</v>
      </c>
      <c r="C2706" s="358" t="s">
        <v>366</v>
      </c>
      <c r="D2706" s="93">
        <v>72032.046600000001</v>
      </c>
      <c r="E2706" s="95"/>
      <c r="F2706" s="93">
        <v>7.0195970713105557E-2</v>
      </c>
      <c r="G2706" s="93"/>
      <c r="H2706" s="93">
        <v>0</v>
      </c>
      <c r="I2706" s="93">
        <v>0</v>
      </c>
      <c r="K2706" s="93">
        <v>0</v>
      </c>
      <c r="L2706" s="93">
        <f t="shared" si="353"/>
        <v>0</v>
      </c>
      <c r="M2706" s="95" t="e">
        <f t="shared" ca="1" si="354"/>
        <v>#DIV/0!</v>
      </c>
      <c r="N2706" s="95">
        <f>IF(P2706="Hedge Fund",IF(A2706=Summary!$AD$3,M2706-E2706,M2706),IF(A2706=Summary!$AD$3,L2706-D2706,L2706))</f>
        <v>-72032.046600000001</v>
      </c>
      <c r="O2706" s="95">
        <f t="shared" si="352"/>
        <v>-72032.046600000001</v>
      </c>
      <c r="P2706" s="95" t="s">
        <v>155</v>
      </c>
      <c r="Q2706" s="95">
        <v>5.3277896764828867E-4</v>
      </c>
      <c r="R2706" s="95">
        <v>3.2401339303416533E-4</v>
      </c>
      <c r="S2706" s="95"/>
      <c r="T2706" s="95"/>
      <c r="U2706" s="95"/>
      <c r="V2706" s="95"/>
      <c r="W2706" s="95"/>
      <c r="X2706" s="95"/>
      <c r="Y2706" s="95"/>
      <c r="Z2706" s="95"/>
      <c r="AA2706" s="95"/>
      <c r="AB2706" s="95"/>
      <c r="AC2706" s="355"/>
      <c r="AD2706" s="355"/>
      <c r="AE2706" s="355"/>
      <c r="AF2706" s="94">
        <f t="shared" si="355"/>
        <v>43496</v>
      </c>
      <c r="AG2706" s="185">
        <f t="shared" si="358"/>
        <v>1.0694091248645288E-2</v>
      </c>
      <c r="AH2706" s="339" t="str">
        <f>VLOOKUP(B2706,'MF PF'!A:B,2)</f>
        <v>FdMgt1</v>
      </c>
      <c r="AI2706" s="358">
        <f t="shared" si="356"/>
        <v>0</v>
      </c>
      <c r="AJ2706" s="94">
        <f t="shared" si="357"/>
        <v>43496</v>
      </c>
    </row>
    <row r="2707" spans="1:53" ht="12.75" customHeight="1">
      <c r="A2707" s="94">
        <v>43252</v>
      </c>
      <c r="B2707" s="358" t="s">
        <v>273</v>
      </c>
      <c r="C2707" s="358" t="s">
        <v>367</v>
      </c>
      <c r="D2707" s="93"/>
      <c r="F2707" s="93"/>
      <c r="G2707" s="93">
        <v>111075.41</v>
      </c>
      <c r="H2707" s="93"/>
      <c r="I2707" s="93"/>
      <c r="K2707" s="93"/>
      <c r="L2707" s="93">
        <f t="shared" si="353"/>
        <v>111075.41</v>
      </c>
      <c r="M2707" s="95">
        <f t="shared" ca="1" si="354"/>
        <v>0</v>
      </c>
      <c r="N2707" s="95">
        <f>IF(P2707="Hedge Fund",IF(A2707=Summary!$AD$3,M2707-E2707,M2707),IF(A2707=Summary!$AD$3,L2707-D2707,L2707))</f>
        <v>111075.41</v>
      </c>
      <c r="O2707" s="95">
        <f t="shared" si="352"/>
        <v>111075.41</v>
      </c>
      <c r="P2707" s="107" t="s">
        <v>155</v>
      </c>
      <c r="Q2707" s="95">
        <v>0</v>
      </c>
      <c r="R2707" s="95">
        <v>0</v>
      </c>
      <c r="S2707" s="95"/>
      <c r="T2707" s="95"/>
      <c r="U2707" s="95"/>
      <c r="V2707" s="95"/>
      <c r="W2707" s="95"/>
      <c r="X2707" s="95"/>
      <c r="Y2707" s="95"/>
      <c r="Z2707" s="95"/>
      <c r="AA2707" s="95"/>
      <c r="AB2707" s="95"/>
      <c r="AC2707" s="355"/>
      <c r="AD2707" s="355"/>
      <c r="AE2707" s="355"/>
      <c r="AF2707" s="94">
        <f t="shared" si="355"/>
        <v>43252</v>
      </c>
      <c r="AG2707" s="185">
        <f t="shared" si="358"/>
        <v>-1</v>
      </c>
      <c r="AH2707" s="339" t="str">
        <f>VLOOKUP(B2707,'MF PF'!A:B,2)</f>
        <v>FdMgt1</v>
      </c>
      <c r="AI2707" s="358">
        <f t="shared" si="356"/>
        <v>0</v>
      </c>
      <c r="AJ2707" s="94">
        <f t="shared" si="357"/>
        <v>43281</v>
      </c>
    </row>
    <row r="2708" spans="1:53" ht="12.75" customHeight="1">
      <c r="A2708" s="94">
        <v>43281</v>
      </c>
      <c r="B2708" s="358" t="s">
        <v>273</v>
      </c>
      <c r="C2708" s="358" t="s">
        <v>367</v>
      </c>
      <c r="D2708" s="93">
        <v>111381.43</v>
      </c>
      <c r="F2708" s="93"/>
      <c r="G2708" s="93"/>
      <c r="H2708" s="93"/>
      <c r="I2708" s="93"/>
      <c r="K2708" s="93"/>
      <c r="L2708" s="93">
        <f t="shared" si="353"/>
        <v>0</v>
      </c>
      <c r="M2708" s="95" t="e">
        <f t="shared" ca="1" si="354"/>
        <v>#DIV/0!</v>
      </c>
      <c r="N2708" s="95">
        <f>IF(P2708="Hedge Fund",IF(A2708=Summary!$AD$3,M2708-E2708,M2708),IF(A2708=Summary!$AD$3,L2708-D2708,L2708))</f>
        <v>0</v>
      </c>
      <c r="O2708" s="95">
        <f t="shared" si="352"/>
        <v>0</v>
      </c>
      <c r="P2708" s="107" t="s">
        <v>155</v>
      </c>
      <c r="Q2708" s="95">
        <v>0</v>
      </c>
      <c r="R2708" s="95">
        <v>0</v>
      </c>
      <c r="S2708" s="95"/>
      <c r="T2708" s="95"/>
      <c r="U2708" s="95"/>
      <c r="V2708" s="95"/>
      <c r="W2708" s="95"/>
      <c r="X2708" s="95"/>
      <c r="Y2708" s="95"/>
      <c r="Z2708" s="95"/>
      <c r="AA2708" s="95"/>
      <c r="AB2708" s="95"/>
      <c r="AC2708" s="355"/>
      <c r="AD2708" s="355"/>
      <c r="AE2708" s="355"/>
      <c r="AF2708" s="94">
        <f t="shared" si="355"/>
        <v>43281</v>
      </c>
      <c r="AG2708" s="185" t="e">
        <f t="shared" si="358"/>
        <v>#DIV/0!</v>
      </c>
      <c r="AH2708" s="339" t="str">
        <f>VLOOKUP(B2708,'MF PF'!A:B,2)</f>
        <v>FdMgt1</v>
      </c>
      <c r="AI2708" s="358">
        <f t="shared" si="356"/>
        <v>0</v>
      </c>
      <c r="AJ2708" s="94">
        <f t="shared" si="357"/>
        <v>43281</v>
      </c>
    </row>
    <row r="2709" spans="1:53" ht="12.75" customHeight="1">
      <c r="A2709" s="94">
        <v>43312</v>
      </c>
      <c r="B2709" s="358" t="s">
        <v>273</v>
      </c>
      <c r="C2709" s="358" t="s">
        <v>367</v>
      </c>
      <c r="D2709" s="93">
        <v>111727.19</v>
      </c>
      <c r="F2709" s="93"/>
      <c r="G2709" s="93"/>
      <c r="H2709" s="93"/>
      <c r="I2709" s="93"/>
      <c r="K2709" s="93"/>
      <c r="L2709" s="93">
        <f t="shared" si="353"/>
        <v>0</v>
      </c>
      <c r="M2709" s="95" t="e">
        <f t="shared" ca="1" si="354"/>
        <v>#DIV/0!</v>
      </c>
      <c r="N2709" s="95">
        <f>IF(P2709="Hedge Fund",IF(A2709=Summary!$AD$3,M2709-E2709,M2709),IF(A2709=Summary!$AD$3,L2709-D2709,L2709))</f>
        <v>0</v>
      </c>
      <c r="O2709" s="95">
        <f t="shared" si="352"/>
        <v>0</v>
      </c>
      <c r="P2709" s="107" t="s">
        <v>155</v>
      </c>
      <c r="Q2709" s="95">
        <v>0</v>
      </c>
      <c r="R2709" s="95">
        <v>0</v>
      </c>
      <c r="S2709" s="95"/>
      <c r="T2709" s="95"/>
      <c r="U2709" s="95"/>
      <c r="V2709" s="95"/>
      <c r="W2709" s="95"/>
      <c r="X2709" s="95"/>
      <c r="Y2709" s="95"/>
      <c r="Z2709" s="95"/>
      <c r="AA2709" s="95"/>
      <c r="AB2709" s="95"/>
      <c r="AC2709" s="355"/>
      <c r="AD2709" s="355"/>
      <c r="AE2709" s="355"/>
      <c r="AF2709" s="94">
        <f t="shared" si="355"/>
        <v>43312</v>
      </c>
      <c r="AG2709" s="185">
        <f t="shared" si="358"/>
        <v>3.1042876716522727E-3</v>
      </c>
      <c r="AH2709" s="339" t="str">
        <f>VLOOKUP(B2709,'MF PF'!A:B,2)</f>
        <v>FdMgt1</v>
      </c>
      <c r="AI2709" s="358">
        <f t="shared" si="356"/>
        <v>0</v>
      </c>
      <c r="AJ2709" s="94">
        <f t="shared" si="357"/>
        <v>43312</v>
      </c>
    </row>
    <row r="2710" spans="1:53" ht="12.75" customHeight="1">
      <c r="A2710" s="94">
        <v>43329</v>
      </c>
      <c r="B2710" s="358" t="s">
        <v>273</v>
      </c>
      <c r="C2710" s="358" t="s">
        <v>367</v>
      </c>
      <c r="D2710" s="93"/>
      <c r="F2710" s="93"/>
      <c r="G2710" s="93">
        <v>-35388.570019916362</v>
      </c>
      <c r="H2710" s="93"/>
      <c r="I2710" s="93"/>
      <c r="K2710" s="93"/>
      <c r="L2710" s="93">
        <f t="shared" si="353"/>
        <v>-35388.570019916362</v>
      </c>
      <c r="M2710" s="95" t="e">
        <f t="shared" ca="1" si="354"/>
        <v>#DIV/0!</v>
      </c>
      <c r="N2710" s="95">
        <f>IF(P2710="Hedge Fund",IF(A2710=Summary!$AD$3,M2710-E2710,M2710),IF(A2710=Summary!$AD$3,L2710-D2710,L2710))</f>
        <v>-35388.570019916362</v>
      </c>
      <c r="O2710" s="95">
        <f t="shared" si="352"/>
        <v>-35388.570019916362</v>
      </c>
      <c r="P2710" s="107" t="s">
        <v>155</v>
      </c>
      <c r="Q2710" s="95">
        <v>0</v>
      </c>
      <c r="R2710" s="95">
        <v>0</v>
      </c>
      <c r="S2710" s="95"/>
      <c r="T2710" s="95"/>
      <c r="U2710" s="95"/>
      <c r="V2710" s="95"/>
      <c r="W2710" s="95"/>
      <c r="X2710" s="95"/>
      <c r="Y2710" s="95"/>
      <c r="Z2710" s="95"/>
      <c r="AA2710" s="95"/>
      <c r="AB2710" s="95"/>
      <c r="AC2710" s="355"/>
      <c r="AD2710" s="355"/>
      <c r="AE2710" s="355"/>
      <c r="AF2710" s="94">
        <f t="shared" si="355"/>
        <v>43329</v>
      </c>
      <c r="AG2710" s="185">
        <f t="shared" si="358"/>
        <v>-0.68325910622189312</v>
      </c>
      <c r="AH2710" s="339" t="str">
        <f>VLOOKUP(B2710,'MF PF'!A:B,2)</f>
        <v>FdMgt1</v>
      </c>
      <c r="AI2710" s="358">
        <f t="shared" si="356"/>
        <v>0</v>
      </c>
      <c r="AJ2710" s="94">
        <f t="shared" si="357"/>
        <v>43343</v>
      </c>
    </row>
    <row r="2711" spans="1:53" ht="12.75" customHeight="1">
      <c r="A2711" s="94">
        <v>43343</v>
      </c>
      <c r="B2711" s="358" t="s">
        <v>273</v>
      </c>
      <c r="C2711" s="358" t="s">
        <v>367</v>
      </c>
      <c r="D2711" s="93">
        <v>76189.34</v>
      </c>
      <c r="F2711" s="93"/>
      <c r="G2711" s="93"/>
      <c r="H2711" s="93"/>
      <c r="I2711" s="93"/>
      <c r="K2711" s="93"/>
      <c r="L2711" s="93">
        <f t="shared" si="353"/>
        <v>0</v>
      </c>
      <c r="M2711" s="95" t="e">
        <f t="shared" ca="1" si="354"/>
        <v>#DIV/0!</v>
      </c>
      <c r="N2711" s="95">
        <f>IF(P2711="Hedge Fund",IF(A2711=Summary!$AD$3,M2711-E2711,M2711),IF(A2711=Summary!$AD$3,L2711-D2711,L2711))</f>
        <v>0</v>
      </c>
      <c r="O2711" s="95">
        <f t="shared" si="352"/>
        <v>0</v>
      </c>
      <c r="P2711" s="107" t="s">
        <v>155</v>
      </c>
      <c r="Q2711" s="95">
        <v>0</v>
      </c>
      <c r="R2711" s="95">
        <v>0</v>
      </c>
      <c r="S2711" s="95"/>
      <c r="T2711" s="95"/>
      <c r="U2711" s="95"/>
      <c r="V2711" s="95"/>
      <c r="W2711" s="95"/>
      <c r="X2711" s="95"/>
      <c r="Y2711" s="95"/>
      <c r="Z2711" s="95"/>
      <c r="AA2711" s="95"/>
      <c r="AB2711" s="95"/>
      <c r="AC2711" s="355"/>
      <c r="AD2711" s="355"/>
      <c r="AE2711" s="355"/>
      <c r="AF2711" s="94">
        <f t="shared" si="355"/>
        <v>43343</v>
      </c>
      <c r="AG2711" s="185" t="e">
        <f t="shared" si="358"/>
        <v>#DIV/0!</v>
      </c>
      <c r="AH2711" s="339" t="str">
        <f>VLOOKUP(B2711,'MF PF'!A:B,2)</f>
        <v>FdMgt1</v>
      </c>
      <c r="AI2711" s="358">
        <f t="shared" si="356"/>
        <v>0</v>
      </c>
      <c r="AJ2711" s="94">
        <f t="shared" si="357"/>
        <v>43343</v>
      </c>
    </row>
    <row r="2712" spans="1:53" ht="12.75" customHeight="1">
      <c r="A2712" s="94">
        <v>43369</v>
      </c>
      <c r="B2712" s="358" t="s">
        <v>273</v>
      </c>
      <c r="C2712" s="358" t="s">
        <v>367</v>
      </c>
      <c r="D2712" s="93"/>
      <c r="F2712" s="93"/>
      <c r="G2712" s="93">
        <v>15312.87</v>
      </c>
      <c r="H2712" s="93"/>
      <c r="I2712" s="93"/>
      <c r="K2712" s="93"/>
      <c r="L2712" s="93">
        <f t="shared" si="353"/>
        <v>15312.87</v>
      </c>
      <c r="M2712" s="95" t="e">
        <f t="shared" ca="1" si="354"/>
        <v>#DIV/0!</v>
      </c>
      <c r="N2712" s="95">
        <f>IF(P2712="Hedge Fund",IF(A2712=Summary!$AD$3,M2712-E2712,M2712),IF(A2712=Summary!$AD$3,L2712-D2712,L2712))</f>
        <v>15312.87</v>
      </c>
      <c r="O2712" s="95">
        <f t="shared" si="352"/>
        <v>15312.87</v>
      </c>
      <c r="P2712" s="107" t="s">
        <v>155</v>
      </c>
      <c r="Q2712" s="95">
        <v>0</v>
      </c>
      <c r="R2712" s="95">
        <v>0</v>
      </c>
      <c r="S2712" s="95"/>
      <c r="T2712" s="95"/>
      <c r="U2712" s="95"/>
      <c r="V2712" s="95"/>
      <c r="W2712" s="95"/>
      <c r="X2712" s="95"/>
      <c r="Y2712" s="95"/>
      <c r="Z2712" s="95"/>
      <c r="AA2712" s="95"/>
      <c r="AB2712" s="95"/>
      <c r="AC2712" s="355"/>
      <c r="AD2712" s="355"/>
      <c r="AE2712" s="355"/>
      <c r="AF2712" s="94">
        <f t="shared" si="355"/>
        <v>43369</v>
      </c>
      <c r="AG2712" s="185">
        <f t="shared" si="358"/>
        <v>-1.2009844159301026</v>
      </c>
      <c r="AH2712" s="339" t="str">
        <f>VLOOKUP(B2712,'MF PF'!A:B,2)</f>
        <v>FdMgt1</v>
      </c>
      <c r="AI2712" s="358">
        <f t="shared" si="356"/>
        <v>0</v>
      </c>
      <c r="AJ2712" s="94">
        <f t="shared" si="357"/>
        <v>43373</v>
      </c>
    </row>
    <row r="2713" spans="1:53" ht="12.75" customHeight="1">
      <c r="A2713" s="94">
        <v>43371</v>
      </c>
      <c r="B2713" s="358" t="s">
        <v>273</v>
      </c>
      <c r="C2713" s="358" t="s">
        <v>367</v>
      </c>
      <c r="D2713" s="93">
        <v>92307.34</v>
      </c>
      <c r="F2713" s="93"/>
      <c r="G2713" s="93"/>
      <c r="H2713" s="93"/>
      <c r="I2713" s="93"/>
      <c r="K2713" s="93"/>
      <c r="L2713" s="93">
        <f t="shared" si="353"/>
        <v>0</v>
      </c>
      <c r="M2713" s="95" t="e">
        <f t="shared" ca="1" si="354"/>
        <v>#DIV/0!</v>
      </c>
      <c r="N2713" s="95">
        <f>IF(P2713="Hedge Fund",IF(A2713=Summary!$AD$3,M2713-E2713,M2713),IF(A2713=Summary!$AD$3,L2713-D2713,L2713))</f>
        <v>0</v>
      </c>
      <c r="O2713" s="95">
        <f t="shared" si="352"/>
        <v>0</v>
      </c>
      <c r="P2713" s="107" t="s">
        <v>155</v>
      </c>
      <c r="Q2713" s="95">
        <v>0</v>
      </c>
      <c r="R2713" s="95">
        <v>0</v>
      </c>
      <c r="S2713" s="95"/>
      <c r="T2713" s="95"/>
      <c r="U2713" s="95"/>
      <c r="V2713" s="95"/>
      <c r="W2713" s="95"/>
      <c r="X2713" s="95"/>
      <c r="Y2713" s="95"/>
      <c r="Z2713" s="95"/>
      <c r="AA2713" s="95"/>
      <c r="AB2713" s="95"/>
      <c r="AC2713" s="355"/>
      <c r="AD2713" s="355"/>
      <c r="AE2713" s="355"/>
      <c r="AF2713" s="94">
        <f t="shared" si="355"/>
        <v>43371</v>
      </c>
      <c r="AG2713" s="185" t="e">
        <f t="shared" si="358"/>
        <v>#DIV/0!</v>
      </c>
      <c r="AH2713" s="339" t="str">
        <f>VLOOKUP(B2713,'MF PF'!A:B,2)</f>
        <v>FdMgt1</v>
      </c>
      <c r="AI2713" s="358">
        <f t="shared" si="356"/>
        <v>0</v>
      </c>
      <c r="AJ2713" s="94">
        <f t="shared" si="357"/>
        <v>43373</v>
      </c>
    </row>
    <row r="2714" spans="1:53" ht="12.75" customHeight="1">
      <c r="A2714" s="94">
        <v>43404</v>
      </c>
      <c r="B2714" s="358" t="s">
        <v>273</v>
      </c>
      <c r="C2714" s="358" t="s">
        <v>367</v>
      </c>
      <c r="D2714" s="93">
        <v>106187.97</v>
      </c>
      <c r="F2714" s="93">
        <v>0.11107541</v>
      </c>
      <c r="G2714" s="93">
        <v>8987.5999999999985</v>
      </c>
      <c r="H2714" s="93">
        <v>0</v>
      </c>
      <c r="I2714" s="93">
        <v>0</v>
      </c>
      <c r="J2714" s="93">
        <v>0</v>
      </c>
      <c r="K2714" s="93"/>
      <c r="L2714" s="93">
        <f t="shared" si="353"/>
        <v>8987.5999999999985</v>
      </c>
      <c r="M2714" s="95" t="e">
        <f t="shared" ca="1" si="354"/>
        <v>#DIV/0!</v>
      </c>
      <c r="N2714" s="95">
        <f>IF(P2714="Hedge Fund",IF(A2714=Summary!$AD$3,M2714-E2714,M2714),IF(A2714=Summary!$AD$3,L2714-D2714,L2714))</f>
        <v>8987.5999999999985</v>
      </c>
      <c r="O2714" s="95">
        <f t="shared" si="352"/>
        <v>8987.5999999999985</v>
      </c>
      <c r="P2714" s="95" t="s">
        <v>155</v>
      </c>
      <c r="Q2714" s="95">
        <v>0</v>
      </c>
      <c r="R2714" s="95">
        <v>0</v>
      </c>
      <c r="S2714" s="95"/>
      <c r="T2714" s="95"/>
      <c r="U2714" s="95"/>
      <c r="V2714" s="95"/>
      <c r="W2714" s="95"/>
      <c r="X2714" s="95"/>
      <c r="Y2714" s="95"/>
      <c r="Z2714" s="95"/>
      <c r="AA2714" s="95"/>
      <c r="AB2714" s="95"/>
      <c r="AC2714" s="355"/>
      <c r="AD2714" s="355"/>
      <c r="AE2714" s="355"/>
      <c r="AF2714" s="94">
        <f t="shared" si="355"/>
        <v>43404</v>
      </c>
      <c r="AG2714" s="185">
        <f t="shared" si="358"/>
        <v>5.3008027313970807E-2</v>
      </c>
      <c r="AH2714" s="339" t="str">
        <f>VLOOKUP(B2714,'MF PF'!A:B,2)</f>
        <v>FdMgt1</v>
      </c>
      <c r="AI2714" s="358">
        <f t="shared" si="356"/>
        <v>0</v>
      </c>
      <c r="AJ2714" s="94">
        <f t="shared" si="357"/>
        <v>43404</v>
      </c>
    </row>
    <row r="2715" spans="1:53" ht="12.75" customHeight="1">
      <c r="A2715" s="94">
        <v>43432</v>
      </c>
      <c r="B2715" s="358" t="s">
        <v>273</v>
      </c>
      <c r="C2715" s="358" t="s">
        <v>367</v>
      </c>
      <c r="D2715" s="93"/>
      <c r="E2715" s="95"/>
      <c r="F2715" s="93"/>
      <c r="G2715" s="93">
        <v>9663.9</v>
      </c>
      <c r="H2715" s="93">
        <v>0</v>
      </c>
      <c r="I2715" s="93">
        <v>0</v>
      </c>
      <c r="K2715" s="93">
        <v>0</v>
      </c>
      <c r="L2715" s="93">
        <f t="shared" si="353"/>
        <v>9663.9</v>
      </c>
      <c r="M2715" s="95" t="e">
        <f t="shared" ca="1" si="354"/>
        <v>#DIV/0!</v>
      </c>
      <c r="N2715" s="95">
        <f>IF(P2715="Hedge Fund",IF(A2715=Summary!$AD$3,M2715-E2715,M2715),IF(A2715=Summary!$AD$3,L2715-D2715,L2715))</f>
        <v>9663.9</v>
      </c>
      <c r="O2715" s="95">
        <f t="shared" si="352"/>
        <v>9663.9</v>
      </c>
      <c r="P2715" s="95" t="s">
        <v>155</v>
      </c>
      <c r="Q2715" s="95"/>
      <c r="R2715" s="95"/>
      <c r="S2715" s="95"/>
      <c r="T2715" s="95"/>
      <c r="U2715" s="95"/>
      <c r="V2715" s="95"/>
      <c r="W2715" s="95"/>
      <c r="X2715" s="95"/>
      <c r="Y2715" s="95"/>
      <c r="Z2715" s="95"/>
      <c r="AA2715" s="95"/>
      <c r="AB2715" s="95"/>
      <c r="AC2715" s="355"/>
      <c r="AD2715" s="355"/>
      <c r="AE2715" s="355"/>
      <c r="AF2715" s="94">
        <f t="shared" si="355"/>
        <v>43432</v>
      </c>
      <c r="AG2715" s="185">
        <f t="shared" si="358"/>
        <v>-1.0910074841811177</v>
      </c>
      <c r="AH2715" s="339" t="str">
        <f>VLOOKUP(B2715,'MF PF'!A:B,2)</f>
        <v>FdMgt1</v>
      </c>
      <c r="AI2715" s="358">
        <f t="shared" si="356"/>
        <v>0</v>
      </c>
      <c r="AJ2715" s="94">
        <f t="shared" si="357"/>
        <v>43434</v>
      </c>
    </row>
    <row r="2716" spans="1:53" ht="12.75" customHeight="1">
      <c r="A2716" s="94">
        <v>43434</v>
      </c>
      <c r="B2716" s="358" t="s">
        <v>273</v>
      </c>
      <c r="C2716" s="358" t="s">
        <v>367</v>
      </c>
      <c r="D2716" s="93">
        <v>111233.57</v>
      </c>
      <c r="F2716" s="93">
        <v>0.11107541</v>
      </c>
      <c r="G2716" s="93"/>
      <c r="H2716" s="93">
        <v>0</v>
      </c>
      <c r="I2716" s="93">
        <v>0</v>
      </c>
      <c r="K2716" s="93">
        <v>0</v>
      </c>
      <c r="L2716" s="93">
        <f t="shared" si="353"/>
        <v>0</v>
      </c>
      <c r="M2716" s="95" t="e">
        <f t="shared" ca="1" si="354"/>
        <v>#DIV/0!</v>
      </c>
      <c r="N2716" s="95">
        <f>IF(P2716="Hedge Fund",IF(A2716=Summary!$AD$3,M2716-E2716,M2716),IF(A2716=Summary!$AD$3,L2716-D2716,L2716))</f>
        <v>0</v>
      </c>
      <c r="O2716" s="95">
        <f t="shared" si="352"/>
        <v>0</v>
      </c>
      <c r="P2716" s="95" t="s">
        <v>155</v>
      </c>
      <c r="Q2716" s="95">
        <v>0</v>
      </c>
      <c r="R2716" s="95">
        <v>0</v>
      </c>
      <c r="S2716" s="95"/>
      <c r="T2716" s="95"/>
      <c r="U2716" s="95"/>
      <c r="V2716" s="95"/>
      <c r="W2716" s="95"/>
      <c r="X2716" s="95"/>
      <c r="Y2716" s="95"/>
      <c r="Z2716" s="95"/>
      <c r="AA2716" s="95"/>
      <c r="AB2716" s="95"/>
      <c r="AC2716" s="355"/>
      <c r="AD2716" s="355"/>
      <c r="AE2716" s="355"/>
      <c r="AF2716" s="94">
        <f t="shared" si="355"/>
        <v>43434</v>
      </c>
      <c r="AG2716" s="185" t="e">
        <f t="shared" si="358"/>
        <v>#DIV/0!</v>
      </c>
      <c r="AH2716" s="339" t="str">
        <f>VLOOKUP(B2716,'MF PF'!A:B,2)</f>
        <v>FdMgt1</v>
      </c>
      <c r="AI2716" s="358">
        <f t="shared" si="356"/>
        <v>0</v>
      </c>
      <c r="AJ2716" s="94">
        <f t="shared" si="357"/>
        <v>43434</v>
      </c>
      <c r="AK2716" s="96"/>
      <c r="AL2716" s="96"/>
      <c r="AM2716" s="96"/>
      <c r="AN2716" s="96"/>
      <c r="AO2716" s="96"/>
      <c r="AP2716" s="96"/>
      <c r="AQ2716" s="96"/>
      <c r="AR2716" s="96"/>
      <c r="AS2716" s="96"/>
      <c r="AT2716" s="96"/>
      <c r="AU2716" s="96"/>
      <c r="AV2716" s="96"/>
      <c r="AW2716" s="96"/>
      <c r="AX2716" s="96"/>
      <c r="AY2716" s="96"/>
      <c r="AZ2716" s="96"/>
      <c r="BA2716" s="96"/>
    </row>
    <row r="2717" spans="1:53" ht="12.75" customHeight="1">
      <c r="A2717" s="94">
        <v>43465</v>
      </c>
      <c r="B2717" s="358" t="s">
        <v>273</v>
      </c>
      <c r="C2717" s="358" t="s">
        <v>367</v>
      </c>
      <c r="D2717" s="93">
        <v>112335.66</v>
      </c>
      <c r="E2717" s="95"/>
      <c r="F2717" s="93">
        <v>0.11107541</v>
      </c>
      <c r="G2717" s="93"/>
      <c r="H2717" s="93">
        <v>0</v>
      </c>
      <c r="I2717" s="93">
        <v>0</v>
      </c>
      <c r="K2717" s="93">
        <v>0</v>
      </c>
      <c r="L2717" s="93">
        <f t="shared" si="353"/>
        <v>0</v>
      </c>
      <c r="M2717" s="95" t="e">
        <f t="shared" ca="1" si="354"/>
        <v>#DIV/0!</v>
      </c>
      <c r="N2717" s="95">
        <f>IF(P2717="Hedge Fund",IF(A2717=Summary!$AD$3,M2717-E2717,M2717),IF(A2717=Summary!$AD$3,L2717-D2717,L2717))</f>
        <v>0</v>
      </c>
      <c r="O2717" s="95">
        <f t="shared" si="352"/>
        <v>0</v>
      </c>
      <c r="P2717" s="95" t="s">
        <v>155</v>
      </c>
      <c r="Q2717" s="95">
        <v>-0.11233565778074302</v>
      </c>
      <c r="R2717" s="95">
        <v>0</v>
      </c>
      <c r="S2717" s="95"/>
      <c r="T2717" s="95"/>
      <c r="U2717" s="95"/>
      <c r="V2717" s="95"/>
      <c r="W2717" s="95"/>
      <c r="X2717" s="95"/>
      <c r="Y2717" s="95"/>
      <c r="Z2717" s="95"/>
      <c r="AA2717" s="95"/>
      <c r="AB2717" s="95"/>
      <c r="AC2717" s="355"/>
      <c r="AD2717" s="355"/>
      <c r="AE2717" s="355"/>
      <c r="AF2717" s="94">
        <f t="shared" si="355"/>
        <v>43465</v>
      </c>
      <c r="AG2717" s="185">
        <f t="shared" si="358"/>
        <v>9.9078902169551508E-3</v>
      </c>
      <c r="AH2717" s="339" t="str">
        <f>VLOOKUP(B2717,'MF PF'!A:B,2)</f>
        <v>FdMgt1</v>
      </c>
      <c r="AI2717" s="358">
        <f t="shared" si="356"/>
        <v>0</v>
      </c>
      <c r="AJ2717" s="94">
        <f t="shared" si="357"/>
        <v>43465</v>
      </c>
    </row>
    <row r="2718" spans="1:53" ht="12.75" customHeight="1">
      <c r="A2718" s="94">
        <v>43496</v>
      </c>
      <c r="B2718" s="358" t="s">
        <v>273</v>
      </c>
      <c r="C2718" s="358" t="s">
        <v>367</v>
      </c>
      <c r="D2718" s="93">
        <v>113857.67</v>
      </c>
      <c r="E2718" s="95"/>
      <c r="F2718" s="93">
        <v>0.10965120998008362</v>
      </c>
      <c r="G2718" s="93"/>
      <c r="H2718" s="93">
        <v>0</v>
      </c>
      <c r="I2718" s="93">
        <v>0</v>
      </c>
      <c r="K2718" s="93">
        <v>0</v>
      </c>
      <c r="L2718" s="93">
        <f t="shared" si="353"/>
        <v>0</v>
      </c>
      <c r="M2718" s="95" t="e">
        <f t="shared" ca="1" si="354"/>
        <v>#DIV/0!</v>
      </c>
      <c r="N2718" s="95">
        <f>IF(P2718="Hedge Fund",IF(A2718=Summary!$AD$3,M2718-E2718,M2718),IF(A2718=Summary!$AD$3,L2718-D2718,L2718))</f>
        <v>-113857.67</v>
      </c>
      <c r="O2718" s="95">
        <f t="shared" si="352"/>
        <v>-113857.67</v>
      </c>
      <c r="P2718" s="95" t="s">
        <v>155</v>
      </c>
      <c r="Q2718" s="95">
        <v>0</v>
      </c>
      <c r="R2718" s="95">
        <v>0</v>
      </c>
      <c r="S2718" s="95"/>
      <c r="T2718" s="95"/>
      <c r="U2718" s="95"/>
      <c r="V2718" s="95"/>
      <c r="W2718" s="95"/>
      <c r="X2718" s="95"/>
      <c r="Y2718" s="95"/>
      <c r="Z2718" s="95"/>
      <c r="AA2718" s="95"/>
      <c r="AB2718" s="95"/>
      <c r="AC2718" s="355"/>
      <c r="AD2718" s="355"/>
      <c r="AE2718" s="355"/>
      <c r="AF2718" s="94">
        <f t="shared" si="355"/>
        <v>43496</v>
      </c>
      <c r="AG2718" s="185">
        <f t="shared" si="358"/>
        <v>1.3548769820731943E-2</v>
      </c>
      <c r="AH2718" s="339" t="str">
        <f>VLOOKUP(B2718,'MF PF'!A:B,2)</f>
        <v>FdMgt1</v>
      </c>
      <c r="AI2718" s="358">
        <f t="shared" si="356"/>
        <v>0</v>
      </c>
      <c r="AJ2718" s="94">
        <f t="shared" si="357"/>
        <v>43496</v>
      </c>
    </row>
    <row r="2719" spans="1:53" ht="12.75" customHeight="1">
      <c r="A2719" s="94">
        <v>43252</v>
      </c>
      <c r="B2719" s="358" t="s">
        <v>273</v>
      </c>
      <c r="C2719" s="358" t="s">
        <v>368</v>
      </c>
      <c r="D2719" s="93"/>
      <c r="E2719" s="95"/>
      <c r="F2719" s="93"/>
      <c r="G2719" s="93">
        <v>1500000</v>
      </c>
      <c r="H2719" s="93"/>
      <c r="I2719" s="93"/>
      <c r="K2719" s="93"/>
      <c r="L2719" s="93">
        <f t="shared" si="353"/>
        <v>1500000</v>
      </c>
      <c r="M2719" s="95">
        <f t="shared" ca="1" si="354"/>
        <v>0</v>
      </c>
      <c r="N2719" s="95">
        <f>IF(P2719="Hedge Fund",IF(A2719=Summary!$AD$3,M2719-E2719,M2719),IF(A2719=Summary!$AD$3,L2719-D2719,L2719))</f>
        <v>1500000</v>
      </c>
      <c r="O2719" s="95">
        <f t="shared" si="352"/>
        <v>1500000</v>
      </c>
      <c r="P2719" s="107" t="s">
        <v>155</v>
      </c>
      <c r="Q2719" s="95">
        <v>0</v>
      </c>
      <c r="R2719" s="95">
        <v>0</v>
      </c>
      <c r="S2719" s="95"/>
      <c r="T2719" s="95"/>
      <c r="U2719" s="95"/>
      <c r="V2719" s="95"/>
      <c r="W2719" s="95"/>
      <c r="X2719" s="95"/>
      <c r="Y2719" s="95"/>
      <c r="Z2719" s="95"/>
      <c r="AA2719" s="95"/>
      <c r="AB2719" s="95"/>
      <c r="AC2719" s="355"/>
      <c r="AD2719" s="355"/>
      <c r="AE2719" s="355"/>
      <c r="AF2719" s="94">
        <f t="shared" si="355"/>
        <v>43252</v>
      </c>
      <c r="AG2719" s="185">
        <f t="shared" si="358"/>
        <v>-1</v>
      </c>
      <c r="AH2719" s="339" t="str">
        <f>VLOOKUP(B2719,'MF PF'!A:B,2)</f>
        <v>FdMgt1</v>
      </c>
      <c r="AI2719" s="358">
        <f t="shared" si="356"/>
        <v>0</v>
      </c>
      <c r="AJ2719" s="94">
        <f t="shared" si="357"/>
        <v>43281</v>
      </c>
    </row>
    <row r="2720" spans="1:53" ht="12.75" customHeight="1">
      <c r="A2720" s="94">
        <v>43281</v>
      </c>
      <c r="B2720" s="358" t="s">
        <v>273</v>
      </c>
      <c r="C2720" s="358" t="s">
        <v>368</v>
      </c>
      <c r="D2720" s="93">
        <v>1504132.57</v>
      </c>
      <c r="F2720" s="93"/>
      <c r="G2720" s="93"/>
      <c r="H2720" s="93"/>
      <c r="I2720" s="93"/>
      <c r="K2720" s="93"/>
      <c r="L2720" s="93">
        <f t="shared" si="353"/>
        <v>0</v>
      </c>
      <c r="M2720" s="95" t="e">
        <f t="shared" ca="1" si="354"/>
        <v>#DIV/0!</v>
      </c>
      <c r="N2720" s="95">
        <f>IF(P2720="Hedge Fund",IF(A2720=Summary!$AD$3,M2720-E2720,M2720),IF(A2720=Summary!$AD$3,L2720-D2720,L2720))</f>
        <v>0</v>
      </c>
      <c r="O2720" s="95">
        <f t="shared" si="352"/>
        <v>0</v>
      </c>
      <c r="P2720" s="107" t="s">
        <v>155</v>
      </c>
      <c r="Q2720" s="95">
        <v>0</v>
      </c>
      <c r="R2720" s="95">
        <v>0</v>
      </c>
      <c r="S2720" s="95"/>
      <c r="T2720" s="95"/>
      <c r="U2720" s="95"/>
      <c r="V2720" s="95"/>
      <c r="W2720" s="95"/>
      <c r="X2720" s="95"/>
      <c r="Y2720" s="95"/>
      <c r="Z2720" s="95"/>
      <c r="AA2720" s="95"/>
      <c r="AB2720" s="95"/>
      <c r="AC2720" s="355"/>
      <c r="AD2720" s="355"/>
      <c r="AE2720" s="355"/>
      <c r="AF2720" s="94">
        <f t="shared" si="355"/>
        <v>43281</v>
      </c>
      <c r="AG2720" s="185" t="e">
        <f t="shared" si="358"/>
        <v>#DIV/0!</v>
      </c>
      <c r="AH2720" s="339" t="str">
        <f>VLOOKUP(B2720,'MF PF'!A:B,2)</f>
        <v>FdMgt1</v>
      </c>
      <c r="AI2720" s="358">
        <f t="shared" si="356"/>
        <v>0</v>
      </c>
      <c r="AJ2720" s="94">
        <f t="shared" si="357"/>
        <v>43281</v>
      </c>
    </row>
    <row r="2721" spans="1:36" ht="12.75" customHeight="1">
      <c r="A2721" s="94">
        <v>43312</v>
      </c>
      <c r="B2721" s="358" t="s">
        <v>273</v>
      </c>
      <c r="C2721" s="358" t="s">
        <v>368</v>
      </c>
      <c r="D2721" s="93">
        <v>1508801.89</v>
      </c>
      <c r="F2721" s="93"/>
      <c r="G2721" s="93"/>
      <c r="H2721" s="93"/>
      <c r="I2721" s="93"/>
      <c r="K2721" s="93"/>
      <c r="L2721" s="93">
        <f t="shared" si="353"/>
        <v>0</v>
      </c>
      <c r="M2721" s="95" t="e">
        <f t="shared" ca="1" si="354"/>
        <v>#DIV/0!</v>
      </c>
      <c r="N2721" s="95">
        <f>IF(P2721="Hedge Fund",IF(A2721=Summary!$AD$3,M2721-E2721,M2721),IF(A2721=Summary!$AD$3,L2721-D2721,L2721))</f>
        <v>0</v>
      </c>
      <c r="O2721" s="95">
        <f t="shared" si="352"/>
        <v>0</v>
      </c>
      <c r="P2721" s="107" t="s">
        <v>155</v>
      </c>
      <c r="Q2721" s="95">
        <v>0</v>
      </c>
      <c r="R2721" s="95">
        <v>0</v>
      </c>
      <c r="S2721" s="95"/>
      <c r="T2721" s="95"/>
      <c r="U2721" s="95"/>
      <c r="V2721" s="95"/>
      <c r="W2721" s="95"/>
      <c r="X2721" s="95"/>
      <c r="Y2721" s="95"/>
      <c r="Z2721" s="95"/>
      <c r="AA2721" s="95"/>
      <c r="AB2721" s="95"/>
      <c r="AC2721" s="355"/>
      <c r="AD2721" s="355"/>
      <c r="AE2721" s="355"/>
      <c r="AF2721" s="94">
        <f t="shared" si="355"/>
        <v>43312</v>
      </c>
      <c r="AG2721" s="185">
        <f t="shared" si="358"/>
        <v>3.1043274330531112E-3</v>
      </c>
      <c r="AH2721" s="339" t="str">
        <f>VLOOKUP(B2721,'MF PF'!A:B,2)</f>
        <v>FdMgt1</v>
      </c>
      <c r="AI2721" s="358">
        <f t="shared" si="356"/>
        <v>0</v>
      </c>
      <c r="AJ2721" s="94">
        <f t="shared" si="357"/>
        <v>43312</v>
      </c>
    </row>
    <row r="2722" spans="1:36" ht="12.75" customHeight="1">
      <c r="A2722" s="94">
        <v>43329</v>
      </c>
      <c r="B2722" s="358" t="s">
        <v>273</v>
      </c>
      <c r="C2722" s="358" t="s">
        <v>368</v>
      </c>
      <c r="D2722" s="93"/>
      <c r="F2722" s="93"/>
      <c r="G2722" s="93">
        <v>-477899.21419175714</v>
      </c>
      <c r="H2722" s="93"/>
      <c r="I2722" s="93"/>
      <c r="K2722" s="93"/>
      <c r="L2722" s="93">
        <f t="shared" si="353"/>
        <v>-477899.21419175714</v>
      </c>
      <c r="M2722" s="95" t="e">
        <f t="shared" ca="1" si="354"/>
        <v>#DIV/0!</v>
      </c>
      <c r="N2722" s="95">
        <f>IF(P2722="Hedge Fund",IF(A2722=Summary!$AD$3,M2722-E2722,M2722),IF(A2722=Summary!$AD$3,L2722-D2722,L2722))</f>
        <v>-477899.21419175714</v>
      </c>
      <c r="O2722" s="95">
        <f t="shared" si="352"/>
        <v>-477899.21419175714</v>
      </c>
      <c r="P2722" s="107" t="s">
        <v>155</v>
      </c>
      <c r="Q2722" s="95">
        <v>0</v>
      </c>
      <c r="R2722" s="95">
        <v>0</v>
      </c>
      <c r="S2722" s="95"/>
      <c r="T2722" s="95"/>
      <c r="U2722" s="95"/>
      <c r="V2722" s="95"/>
      <c r="W2722" s="95"/>
      <c r="X2722" s="95"/>
      <c r="Y2722" s="95"/>
      <c r="Z2722" s="95"/>
      <c r="AA2722" s="95"/>
      <c r="AB2722" s="95"/>
      <c r="AC2722" s="355"/>
      <c r="AD2722" s="355"/>
      <c r="AE2722" s="355"/>
      <c r="AF2722" s="94">
        <f t="shared" si="355"/>
        <v>43329</v>
      </c>
      <c r="AG2722" s="185">
        <f t="shared" si="358"/>
        <v>-0.68325913603424948</v>
      </c>
      <c r="AH2722" s="339" t="str">
        <f>VLOOKUP(B2722,'MF PF'!A:B,2)</f>
        <v>FdMgt1</v>
      </c>
      <c r="AI2722" s="358">
        <f t="shared" si="356"/>
        <v>0</v>
      </c>
      <c r="AJ2722" s="94">
        <f t="shared" si="357"/>
        <v>43343</v>
      </c>
    </row>
    <row r="2723" spans="1:36" ht="12.75" customHeight="1">
      <c r="A2723" s="94">
        <v>43343</v>
      </c>
      <c r="B2723" s="358" t="s">
        <v>273</v>
      </c>
      <c r="C2723" s="358" t="s">
        <v>368</v>
      </c>
      <c r="D2723" s="93">
        <v>1028886.74</v>
      </c>
      <c r="F2723" s="93"/>
      <c r="G2723" s="93"/>
      <c r="H2723" s="93"/>
      <c r="I2723" s="93"/>
      <c r="K2723" s="93"/>
      <c r="L2723" s="93">
        <f t="shared" si="353"/>
        <v>0</v>
      </c>
      <c r="M2723" s="95" t="e">
        <f t="shared" ca="1" si="354"/>
        <v>#DIV/0!</v>
      </c>
      <c r="N2723" s="95">
        <f>IF(P2723="Hedge Fund",IF(A2723=Summary!$AD$3,M2723-E2723,M2723),IF(A2723=Summary!$AD$3,L2723-D2723,L2723))</f>
        <v>0</v>
      </c>
      <c r="O2723" s="95">
        <f t="shared" ref="O2723:O2786" si="359">N2723</f>
        <v>0</v>
      </c>
      <c r="P2723" s="107" t="s">
        <v>155</v>
      </c>
      <c r="Q2723" s="95">
        <v>0</v>
      </c>
      <c r="R2723" s="95">
        <v>0</v>
      </c>
      <c r="S2723" s="95"/>
      <c r="T2723" s="95"/>
      <c r="U2723" s="95"/>
      <c r="V2723" s="95"/>
      <c r="W2723" s="95"/>
      <c r="X2723" s="95"/>
      <c r="Y2723" s="95"/>
      <c r="Z2723" s="95"/>
      <c r="AA2723" s="95"/>
      <c r="AB2723" s="95"/>
      <c r="AC2723" s="355"/>
      <c r="AD2723" s="355"/>
      <c r="AE2723" s="355"/>
      <c r="AF2723" s="94">
        <f t="shared" si="355"/>
        <v>43343</v>
      </c>
      <c r="AG2723" s="185" t="e">
        <f t="shared" si="358"/>
        <v>#DIV/0!</v>
      </c>
      <c r="AH2723" s="339" t="str">
        <f>VLOOKUP(B2723,'MF PF'!A:B,2)</f>
        <v>FdMgt1</v>
      </c>
      <c r="AI2723" s="358">
        <f t="shared" si="356"/>
        <v>0</v>
      </c>
      <c r="AJ2723" s="94">
        <f t="shared" si="357"/>
        <v>43343</v>
      </c>
    </row>
    <row r="2724" spans="1:36" ht="12.75" customHeight="1">
      <c r="A2724" s="94">
        <v>43369</v>
      </c>
      <c r="B2724" s="358" t="s">
        <v>273</v>
      </c>
      <c r="C2724" s="358" t="s">
        <v>368</v>
      </c>
      <c r="D2724" s="93"/>
      <c r="E2724" s="95"/>
      <c r="F2724" s="93"/>
      <c r="G2724" s="93">
        <v>206790.13</v>
      </c>
      <c r="H2724" s="93"/>
      <c r="I2724" s="93"/>
      <c r="K2724" s="93"/>
      <c r="L2724" s="93">
        <f t="shared" si="353"/>
        <v>206790.13</v>
      </c>
      <c r="M2724" s="95" t="e">
        <f t="shared" ca="1" si="354"/>
        <v>#DIV/0!</v>
      </c>
      <c r="N2724" s="95">
        <f>IF(P2724="Hedge Fund",IF(A2724=Summary!$AD$3,M2724-E2724,M2724),IF(A2724=Summary!$AD$3,L2724-D2724,L2724))</f>
        <v>206790.13</v>
      </c>
      <c r="O2724" s="95">
        <f t="shared" si="359"/>
        <v>206790.13</v>
      </c>
      <c r="P2724" s="107" t="s">
        <v>155</v>
      </c>
      <c r="Q2724" s="95">
        <v>0</v>
      </c>
      <c r="R2724" s="95">
        <v>0</v>
      </c>
      <c r="S2724" s="95"/>
      <c r="T2724" s="95"/>
      <c r="U2724" s="95"/>
      <c r="V2724" s="95"/>
      <c r="W2724" s="95"/>
      <c r="X2724" s="95"/>
      <c r="Y2724" s="95"/>
      <c r="Z2724" s="95"/>
      <c r="AA2724" s="95"/>
      <c r="AB2724" s="95"/>
      <c r="AC2724" s="355"/>
      <c r="AD2724" s="355"/>
      <c r="AE2724" s="355"/>
      <c r="AF2724" s="94">
        <f t="shared" si="355"/>
        <v>43369</v>
      </c>
      <c r="AG2724" s="185">
        <f t="shared" si="358"/>
        <v>-1.2009843474122333</v>
      </c>
      <c r="AH2724" s="339" t="str">
        <f>VLOOKUP(B2724,'MF PF'!A:B,2)</f>
        <v>FdMgt1</v>
      </c>
      <c r="AI2724" s="358">
        <f t="shared" si="356"/>
        <v>0</v>
      </c>
      <c r="AJ2724" s="94">
        <f t="shared" si="357"/>
        <v>43373</v>
      </c>
    </row>
    <row r="2725" spans="1:36" ht="12.75" customHeight="1">
      <c r="A2725" s="94">
        <v>43371</v>
      </c>
      <c r="B2725" s="358" t="s">
        <v>273</v>
      </c>
      <c r="C2725" s="358" t="s">
        <v>368</v>
      </c>
      <c r="D2725" s="93">
        <v>1246549.57</v>
      </c>
      <c r="E2725" s="95"/>
      <c r="F2725" s="93"/>
      <c r="G2725" s="93"/>
      <c r="H2725" s="93"/>
      <c r="I2725" s="93"/>
      <c r="K2725" s="93"/>
      <c r="L2725" s="93">
        <f t="shared" si="353"/>
        <v>0</v>
      </c>
      <c r="M2725" s="95" t="e">
        <f t="shared" ca="1" si="354"/>
        <v>#DIV/0!</v>
      </c>
      <c r="N2725" s="95">
        <f>IF(P2725="Hedge Fund",IF(A2725=Summary!$AD$3,M2725-E2725,M2725),IF(A2725=Summary!$AD$3,L2725-D2725,L2725))</f>
        <v>0</v>
      </c>
      <c r="O2725" s="95">
        <f t="shared" si="359"/>
        <v>0</v>
      </c>
      <c r="P2725" s="107" t="s">
        <v>155</v>
      </c>
      <c r="Q2725" s="95">
        <v>0</v>
      </c>
      <c r="R2725" s="95">
        <v>0</v>
      </c>
      <c r="S2725" s="95"/>
      <c r="T2725" s="95"/>
      <c r="U2725" s="95"/>
      <c r="V2725" s="95"/>
      <c r="W2725" s="95"/>
      <c r="X2725" s="95"/>
      <c r="Y2725" s="95"/>
      <c r="Z2725" s="95"/>
      <c r="AA2725" s="95"/>
      <c r="AB2725" s="95"/>
      <c r="AC2725" s="355"/>
      <c r="AD2725" s="355"/>
      <c r="AE2725" s="355"/>
      <c r="AF2725" s="94">
        <f t="shared" si="355"/>
        <v>43371</v>
      </c>
      <c r="AG2725" s="185" t="e">
        <f t="shared" si="358"/>
        <v>#DIV/0!</v>
      </c>
      <c r="AH2725" s="339" t="str">
        <f>VLOOKUP(B2725,'MF PF'!A:B,2)</f>
        <v>FdMgt1</v>
      </c>
      <c r="AI2725" s="358">
        <f t="shared" si="356"/>
        <v>0</v>
      </c>
      <c r="AJ2725" s="94">
        <f t="shared" si="357"/>
        <v>43373</v>
      </c>
    </row>
    <row r="2726" spans="1:36" ht="12.75" customHeight="1">
      <c r="A2726" s="94">
        <v>43404</v>
      </c>
      <c r="B2726" s="358" t="s">
        <v>273</v>
      </c>
      <c r="C2726" s="358" t="s">
        <v>368</v>
      </c>
      <c r="D2726" s="93">
        <v>1564502.87</v>
      </c>
      <c r="F2726" s="93">
        <v>1.5</v>
      </c>
      <c r="G2726" s="93">
        <v>121371.55000000005</v>
      </c>
      <c r="H2726" s="93">
        <v>0</v>
      </c>
      <c r="I2726" s="93">
        <v>0</v>
      </c>
      <c r="J2726" s="93">
        <v>0</v>
      </c>
      <c r="K2726" s="93"/>
      <c r="L2726" s="93">
        <f t="shared" si="353"/>
        <v>121371.55000000005</v>
      </c>
      <c r="M2726" s="95" t="e">
        <f t="shared" ca="1" si="354"/>
        <v>#DIV/0!</v>
      </c>
      <c r="N2726" s="95">
        <f>IF(P2726="Hedge Fund",IF(A2726=Summary!$AD$3,M2726-E2726,M2726),IF(A2726=Summary!$AD$3,L2726-D2726,L2726))</f>
        <v>121371.55000000005</v>
      </c>
      <c r="O2726" s="95">
        <f t="shared" si="359"/>
        <v>121371.55000000005</v>
      </c>
      <c r="P2726" s="95" t="s">
        <v>155</v>
      </c>
      <c r="Q2726" s="95">
        <v>0</v>
      </c>
      <c r="R2726" s="95">
        <v>0</v>
      </c>
      <c r="S2726" s="95"/>
      <c r="T2726" s="95"/>
      <c r="U2726" s="95"/>
      <c r="V2726" s="95"/>
      <c r="W2726" s="95"/>
      <c r="X2726" s="95"/>
      <c r="Y2726" s="95"/>
      <c r="Z2726" s="95"/>
      <c r="AA2726" s="95"/>
      <c r="AB2726" s="95"/>
      <c r="AC2726" s="355"/>
      <c r="AD2726" s="355"/>
      <c r="AE2726" s="355"/>
      <c r="AF2726" s="94">
        <f t="shared" si="355"/>
        <v>43404</v>
      </c>
      <c r="AG2726" s="185">
        <f t="shared" si="358"/>
        <v>0.15770070820368587</v>
      </c>
      <c r="AH2726" s="339" t="str">
        <f>VLOOKUP(B2726,'MF PF'!A:B,2)</f>
        <v>FdMgt1</v>
      </c>
      <c r="AI2726" s="358">
        <f t="shared" si="356"/>
        <v>0</v>
      </c>
      <c r="AJ2726" s="94">
        <f t="shared" si="357"/>
        <v>43404</v>
      </c>
    </row>
    <row r="2727" spans="1:36" ht="12.75" customHeight="1">
      <c r="A2727" s="94">
        <v>43432</v>
      </c>
      <c r="B2727" s="358" t="s">
        <v>273</v>
      </c>
      <c r="C2727" s="358" t="s">
        <v>368</v>
      </c>
      <c r="D2727" s="93"/>
      <c r="E2727" s="95"/>
      <c r="F2727" s="93"/>
      <c r="G2727" s="93">
        <v>130504.59999999999</v>
      </c>
      <c r="H2727" s="93">
        <v>0</v>
      </c>
      <c r="I2727" s="93">
        <v>0</v>
      </c>
      <c r="K2727" s="93">
        <v>0</v>
      </c>
      <c r="L2727" s="93">
        <f t="shared" si="353"/>
        <v>130504.59999999999</v>
      </c>
      <c r="M2727" s="95" t="e">
        <f t="shared" ca="1" si="354"/>
        <v>#DIV/0!</v>
      </c>
      <c r="N2727" s="95">
        <f>IF(P2727="Hedge Fund",IF(A2727=Summary!$AD$3,M2727-E2727,M2727),IF(A2727=Summary!$AD$3,L2727-D2727,L2727))</f>
        <v>130504.59999999999</v>
      </c>
      <c r="O2727" s="95">
        <f t="shared" si="359"/>
        <v>130504.59999999999</v>
      </c>
      <c r="P2727" s="95" t="s">
        <v>155</v>
      </c>
      <c r="Q2727" s="95"/>
      <c r="R2727" s="95"/>
      <c r="S2727" s="95"/>
      <c r="T2727" s="95"/>
      <c r="U2727" s="95"/>
      <c r="V2727" s="95"/>
      <c r="W2727" s="95"/>
      <c r="X2727" s="95"/>
      <c r="Y2727" s="95"/>
      <c r="Z2727" s="95"/>
      <c r="AA2727" s="95"/>
      <c r="AB2727" s="95"/>
      <c r="AC2727" s="355"/>
      <c r="AD2727" s="355"/>
      <c r="AE2727" s="355"/>
      <c r="AF2727" s="94">
        <f t="shared" si="355"/>
        <v>43432</v>
      </c>
      <c r="AG2727" s="185">
        <f t="shared" si="358"/>
        <v>-1.0834160182780617</v>
      </c>
      <c r="AH2727" s="339" t="str">
        <f>VLOOKUP(B2727,'MF PF'!A:B,2)</f>
        <v>FdMgt1</v>
      </c>
      <c r="AI2727" s="358">
        <f t="shared" si="356"/>
        <v>0</v>
      </c>
      <c r="AJ2727" s="94">
        <f t="shared" si="357"/>
        <v>43434</v>
      </c>
    </row>
    <row r="2728" spans="1:36" ht="12.75" customHeight="1">
      <c r="A2728" s="94">
        <v>43434</v>
      </c>
      <c r="B2728" s="358" t="s">
        <v>273</v>
      </c>
      <c r="C2728" s="358" t="s">
        <v>368</v>
      </c>
      <c r="D2728" s="93">
        <v>1763144.95</v>
      </c>
      <c r="E2728" s="95"/>
      <c r="F2728" s="93">
        <v>1.5</v>
      </c>
      <c r="G2728" s="93"/>
      <c r="H2728" s="93">
        <v>0</v>
      </c>
      <c r="I2728" s="93">
        <v>0</v>
      </c>
      <c r="K2728" s="93">
        <v>0</v>
      </c>
      <c r="L2728" s="93">
        <f t="shared" si="353"/>
        <v>0</v>
      </c>
      <c r="M2728" s="95" t="e">
        <f t="shared" ca="1" si="354"/>
        <v>#DIV/0!</v>
      </c>
      <c r="N2728" s="95">
        <f>IF(P2728="Hedge Fund",IF(A2728=Summary!$AD$3,M2728-E2728,M2728),IF(A2728=Summary!$AD$3,L2728-D2728,L2728))</f>
        <v>0</v>
      </c>
      <c r="O2728" s="95">
        <f t="shared" si="359"/>
        <v>0</v>
      </c>
      <c r="P2728" s="95" t="s">
        <v>155</v>
      </c>
      <c r="Q2728" s="95">
        <v>0</v>
      </c>
      <c r="R2728" s="95">
        <v>0</v>
      </c>
      <c r="S2728" s="95"/>
      <c r="T2728" s="95"/>
      <c r="U2728" s="95"/>
      <c r="V2728" s="95"/>
      <c r="W2728" s="95"/>
      <c r="X2728" s="95"/>
      <c r="Y2728" s="95"/>
      <c r="Z2728" s="95"/>
      <c r="AA2728" s="95"/>
      <c r="AB2728" s="95"/>
      <c r="AC2728" s="355"/>
      <c r="AD2728" s="355"/>
      <c r="AE2728" s="355"/>
      <c r="AF2728" s="94">
        <f t="shared" si="355"/>
        <v>43434</v>
      </c>
      <c r="AG2728" s="185" t="e">
        <f t="shared" si="358"/>
        <v>#DIV/0!</v>
      </c>
      <c r="AH2728" s="339" t="str">
        <f>VLOOKUP(B2728,'MF PF'!A:B,2)</f>
        <v>FdMgt1</v>
      </c>
      <c r="AI2728" s="358">
        <f t="shared" si="356"/>
        <v>0</v>
      </c>
      <c r="AJ2728" s="94">
        <f t="shared" si="357"/>
        <v>43434</v>
      </c>
    </row>
    <row r="2729" spans="1:36" ht="12.75" customHeight="1">
      <c r="A2729" s="94">
        <v>43465</v>
      </c>
      <c r="B2729" s="358" t="s">
        <v>273</v>
      </c>
      <c r="C2729" s="358" t="s">
        <v>368</v>
      </c>
      <c r="D2729" s="93">
        <v>1517018.76</v>
      </c>
      <c r="E2729" s="95"/>
      <c r="F2729" s="93">
        <v>1.5</v>
      </c>
      <c r="G2729" s="93"/>
      <c r="H2729" s="93">
        <v>0</v>
      </c>
      <c r="I2729" s="93">
        <v>0</v>
      </c>
      <c r="K2729" s="93">
        <v>0</v>
      </c>
      <c r="L2729" s="93">
        <f t="shared" si="353"/>
        <v>0</v>
      </c>
      <c r="M2729" s="95" t="e">
        <f t="shared" ca="1" si="354"/>
        <v>#DIV/0!</v>
      </c>
      <c r="N2729" s="95">
        <f>IF(P2729="Hedge Fund",IF(A2729=Summary!$AD$3,M2729-E2729,M2729),IF(A2729=Summary!$AD$3,L2729-D2729,L2729))</f>
        <v>0</v>
      </c>
      <c r="O2729" s="95">
        <f t="shared" si="359"/>
        <v>0</v>
      </c>
      <c r="P2729" s="95" t="s">
        <v>155</v>
      </c>
      <c r="Q2729" s="95">
        <v>-1.5170187591487312</v>
      </c>
      <c r="R2729" s="95">
        <v>0</v>
      </c>
      <c r="S2729" s="95"/>
      <c r="T2729" s="95"/>
      <c r="U2729" s="95"/>
      <c r="V2729" s="95"/>
      <c r="W2729" s="95"/>
      <c r="X2729" s="95"/>
      <c r="Y2729" s="95"/>
      <c r="Z2729" s="95"/>
      <c r="AA2729" s="95"/>
      <c r="AB2729" s="95"/>
      <c r="AC2729" s="355"/>
      <c r="AD2729" s="355"/>
      <c r="AE2729" s="355"/>
      <c r="AF2729" s="94">
        <f t="shared" si="355"/>
        <v>43465</v>
      </c>
      <c r="AG2729" s="185">
        <f t="shared" si="358"/>
        <v>-0.13959498338466159</v>
      </c>
      <c r="AH2729" s="339" t="str">
        <f>VLOOKUP(B2729,'MF PF'!A:B,2)</f>
        <v>FdMgt1</v>
      </c>
      <c r="AI2729" s="358">
        <f t="shared" si="356"/>
        <v>0</v>
      </c>
      <c r="AJ2729" s="94">
        <f t="shared" si="357"/>
        <v>43465</v>
      </c>
    </row>
    <row r="2730" spans="1:36" ht="12.75" customHeight="1">
      <c r="A2730" s="94">
        <v>43496</v>
      </c>
      <c r="B2730" s="358" t="s">
        <v>273</v>
      </c>
      <c r="C2730" s="358" t="s">
        <v>368</v>
      </c>
      <c r="D2730" s="93">
        <v>1537572.55</v>
      </c>
      <c r="E2730" s="95"/>
      <c r="F2730" s="93">
        <v>1.4807670658082428</v>
      </c>
      <c r="G2730" s="93"/>
      <c r="H2730" s="93">
        <v>0</v>
      </c>
      <c r="I2730" s="93">
        <v>0</v>
      </c>
      <c r="K2730" s="93">
        <v>0</v>
      </c>
      <c r="L2730" s="93">
        <f t="shared" si="353"/>
        <v>0</v>
      </c>
      <c r="M2730" s="95" t="e">
        <f t="shared" ca="1" si="354"/>
        <v>#DIV/0!</v>
      </c>
      <c r="N2730" s="95">
        <f>IF(P2730="Hedge Fund",IF(A2730=Summary!$AD$3,M2730-E2730,M2730),IF(A2730=Summary!$AD$3,L2730-D2730,L2730))</f>
        <v>-1537572.55</v>
      </c>
      <c r="O2730" s="95">
        <f t="shared" si="359"/>
        <v>-1537572.55</v>
      </c>
      <c r="P2730" s="95" t="s">
        <v>155</v>
      </c>
      <c r="Q2730" s="95">
        <v>0</v>
      </c>
      <c r="R2730" s="95">
        <v>0</v>
      </c>
      <c r="S2730" s="95"/>
      <c r="T2730" s="95"/>
      <c r="U2730" s="95"/>
      <c r="V2730" s="95"/>
      <c r="W2730" s="95"/>
      <c r="X2730" s="95"/>
      <c r="Y2730" s="95"/>
      <c r="Z2730" s="95"/>
      <c r="AA2730" s="95"/>
      <c r="AB2730" s="95"/>
      <c r="AC2730" s="355"/>
      <c r="AD2730" s="355"/>
      <c r="AE2730" s="355"/>
      <c r="AF2730" s="94">
        <f t="shared" si="355"/>
        <v>43496</v>
      </c>
      <c r="AG2730" s="185">
        <f t="shared" si="358"/>
        <v>1.3548804103121315E-2</v>
      </c>
      <c r="AH2730" s="339" t="str">
        <f>VLOOKUP(B2730,'MF PF'!A:B,2)</f>
        <v>FdMgt1</v>
      </c>
      <c r="AI2730" s="358">
        <f t="shared" si="356"/>
        <v>0</v>
      </c>
      <c r="AJ2730" s="94">
        <f t="shared" si="357"/>
        <v>43496</v>
      </c>
    </row>
    <row r="2731" spans="1:36" ht="12.75" customHeight="1">
      <c r="A2731" s="94">
        <v>43252</v>
      </c>
      <c r="B2731" s="358" t="s">
        <v>273</v>
      </c>
      <c r="C2731" s="358" t="s">
        <v>369</v>
      </c>
      <c r="D2731" s="93"/>
      <c r="E2731" s="95"/>
      <c r="F2731" s="93"/>
      <c r="G2731" s="93">
        <v>7500000</v>
      </c>
      <c r="H2731" s="93"/>
      <c r="I2731" s="93"/>
      <c r="K2731" s="93"/>
      <c r="L2731" s="93">
        <f t="shared" si="353"/>
        <v>7500000</v>
      </c>
      <c r="M2731" s="95">
        <f t="shared" ca="1" si="354"/>
        <v>0</v>
      </c>
      <c r="N2731" s="95">
        <f>IF(P2731="Hedge Fund",IF(A2731=Summary!$AD$3,M2731-E2731,M2731),IF(A2731=Summary!$AD$3,L2731-D2731,L2731))</f>
        <v>7500000</v>
      </c>
      <c r="O2731" s="95">
        <f t="shared" si="359"/>
        <v>7500000</v>
      </c>
      <c r="P2731" s="107" t="s">
        <v>155</v>
      </c>
      <c r="Q2731" s="95">
        <v>0</v>
      </c>
      <c r="R2731" s="95">
        <v>0</v>
      </c>
      <c r="S2731" s="95"/>
      <c r="T2731" s="95"/>
      <c r="U2731" s="95"/>
      <c r="V2731" s="95"/>
      <c r="W2731" s="95"/>
      <c r="X2731" s="95"/>
      <c r="Y2731" s="95"/>
      <c r="Z2731" s="95"/>
      <c r="AA2731" s="95"/>
      <c r="AB2731" s="95"/>
      <c r="AC2731" s="355"/>
      <c r="AD2731" s="355"/>
      <c r="AE2731" s="355"/>
      <c r="AF2731" s="94">
        <f t="shared" si="355"/>
        <v>43252</v>
      </c>
      <c r="AG2731" s="185">
        <f t="shared" si="358"/>
        <v>-1</v>
      </c>
      <c r="AH2731" s="339" t="str">
        <f>VLOOKUP(B2731,'MF PF'!A:B,2)</f>
        <v>FdMgt1</v>
      </c>
      <c r="AI2731" s="358">
        <f t="shared" si="356"/>
        <v>0</v>
      </c>
      <c r="AJ2731" s="94">
        <f t="shared" si="357"/>
        <v>43281</v>
      </c>
    </row>
    <row r="2732" spans="1:36" ht="12.75" customHeight="1">
      <c r="A2732" s="94">
        <v>43281</v>
      </c>
      <c r="B2732" s="358" t="s">
        <v>273</v>
      </c>
      <c r="C2732" s="358" t="s">
        <v>369</v>
      </c>
      <c r="D2732" s="93">
        <v>7509944.9100000001</v>
      </c>
      <c r="E2732" s="95"/>
      <c r="F2732" s="93"/>
      <c r="G2732" s="93"/>
      <c r="H2732" s="93"/>
      <c r="I2732" s="93"/>
      <c r="L2732" s="93">
        <f t="shared" si="353"/>
        <v>0</v>
      </c>
      <c r="M2732" s="95" t="e">
        <f t="shared" ca="1" si="354"/>
        <v>#DIV/0!</v>
      </c>
      <c r="N2732" s="95">
        <f>IF(P2732="Hedge Fund",IF(A2732=Summary!$AD$3,M2732-E2732,M2732),IF(A2732=Summary!$AD$3,L2732-D2732,L2732))</f>
        <v>0</v>
      </c>
      <c r="O2732" s="95">
        <f t="shared" si="359"/>
        <v>0</v>
      </c>
      <c r="P2732" s="107" t="s">
        <v>155</v>
      </c>
      <c r="Q2732" s="95">
        <v>8.9629799999999989E-3</v>
      </c>
      <c r="R2732" s="95">
        <v>1.75498E-3</v>
      </c>
      <c r="S2732" s="95"/>
      <c r="T2732" s="95"/>
      <c r="U2732" s="95"/>
      <c r="V2732" s="95"/>
      <c r="W2732" s="95"/>
      <c r="X2732" s="95"/>
      <c r="Y2732" s="95"/>
      <c r="Z2732" s="95"/>
      <c r="AA2732" s="95"/>
      <c r="AB2732" s="95"/>
      <c r="AC2732" s="355"/>
      <c r="AD2732" s="355"/>
      <c r="AE2732" s="355"/>
      <c r="AF2732" s="94">
        <f t="shared" si="355"/>
        <v>43281</v>
      </c>
      <c r="AG2732" s="185" t="e">
        <f t="shared" si="358"/>
        <v>#DIV/0!</v>
      </c>
      <c r="AH2732" s="339" t="str">
        <f>VLOOKUP(B2732,'MF PF'!A:B,2)</f>
        <v>FdMgt1</v>
      </c>
      <c r="AI2732" s="358">
        <f t="shared" si="356"/>
        <v>0</v>
      </c>
      <c r="AJ2732" s="94">
        <f t="shared" si="357"/>
        <v>43281</v>
      </c>
    </row>
    <row r="2733" spans="1:36" ht="12.75" customHeight="1">
      <c r="A2733" s="94">
        <v>43312</v>
      </c>
      <c r="B2733" s="358" t="s">
        <v>273</v>
      </c>
      <c r="C2733" s="358" t="s">
        <v>369</v>
      </c>
      <c r="D2733" s="93">
        <v>7521294.9100000001</v>
      </c>
      <c r="E2733" s="95"/>
      <c r="F2733" s="93"/>
      <c r="G2733" s="93"/>
      <c r="H2733" s="93"/>
      <c r="I2733" s="93"/>
      <c r="L2733" s="93">
        <f t="shared" si="353"/>
        <v>0</v>
      </c>
      <c r="M2733" s="95" t="e">
        <f t="shared" ca="1" si="354"/>
        <v>#DIV/0!</v>
      </c>
      <c r="N2733" s="95">
        <f>IF(P2733="Hedge Fund",IF(A2733=Summary!$AD$3,M2733-E2733,M2733),IF(A2733=Summary!$AD$3,L2733-D2733,L2733))</f>
        <v>0</v>
      </c>
      <c r="O2733" s="95">
        <f t="shared" si="359"/>
        <v>0</v>
      </c>
      <c r="P2733" s="107" t="s">
        <v>155</v>
      </c>
      <c r="Q2733" s="95">
        <v>0</v>
      </c>
      <c r="R2733" s="95">
        <v>3.7579200000000001E-3</v>
      </c>
      <c r="S2733" s="95"/>
      <c r="T2733" s="95"/>
      <c r="U2733" s="95"/>
      <c r="V2733" s="95"/>
      <c r="W2733" s="95"/>
      <c r="X2733" s="95"/>
      <c r="Y2733" s="95"/>
      <c r="Z2733" s="95"/>
      <c r="AA2733" s="95"/>
      <c r="AB2733" s="95"/>
      <c r="AC2733" s="355"/>
      <c r="AD2733" s="355"/>
      <c r="AE2733" s="355"/>
      <c r="AF2733" s="94">
        <f t="shared" si="355"/>
        <v>43312</v>
      </c>
      <c r="AG2733" s="185">
        <f t="shared" si="358"/>
        <v>1.5113293287793983E-3</v>
      </c>
      <c r="AH2733" s="339" t="str">
        <f>VLOOKUP(B2733,'MF PF'!A:B,2)</f>
        <v>FdMgt1</v>
      </c>
      <c r="AI2733" s="358">
        <f t="shared" si="356"/>
        <v>0</v>
      </c>
      <c r="AJ2733" s="94">
        <f t="shared" si="357"/>
        <v>43312</v>
      </c>
    </row>
    <row r="2734" spans="1:36" ht="12.75" customHeight="1">
      <c r="A2734" s="94">
        <v>43329</v>
      </c>
      <c r="B2734" s="358" t="s">
        <v>273</v>
      </c>
      <c r="C2734" s="358" t="s">
        <v>369</v>
      </c>
      <c r="D2734" s="93"/>
      <c r="F2734" s="93"/>
      <c r="G2734" s="93">
        <v>-2389496.0609587859</v>
      </c>
      <c r="H2734" s="93"/>
      <c r="I2734" s="93"/>
      <c r="L2734" s="93">
        <f t="shared" si="353"/>
        <v>-2389496.0609587859</v>
      </c>
      <c r="M2734" s="95" t="e">
        <f t="shared" ca="1" si="354"/>
        <v>#DIV/0!</v>
      </c>
      <c r="N2734" s="95">
        <f>IF(P2734="Hedge Fund",IF(A2734=Summary!$AD$3,M2734-E2734,M2734),IF(A2734=Summary!$AD$3,L2734-D2734,L2734))</f>
        <v>-2389496.0609587859</v>
      </c>
      <c r="O2734" s="95">
        <f t="shared" si="359"/>
        <v>-2389496.0609587859</v>
      </c>
      <c r="P2734" s="107" t="s">
        <v>155</v>
      </c>
      <c r="Q2734" s="95">
        <v>0</v>
      </c>
      <c r="R2734" s="95">
        <v>0</v>
      </c>
      <c r="S2734" s="95"/>
      <c r="T2734" s="95"/>
      <c r="U2734" s="95"/>
      <c r="V2734" s="95"/>
      <c r="W2734" s="95"/>
      <c r="X2734" s="95"/>
      <c r="Y2734" s="95"/>
      <c r="Z2734" s="95"/>
      <c r="AA2734" s="95"/>
      <c r="AB2734" s="95"/>
      <c r="AC2734" s="355"/>
      <c r="AD2734" s="355"/>
      <c r="AE2734" s="355"/>
      <c r="AF2734" s="94">
        <f t="shared" si="355"/>
        <v>43329</v>
      </c>
      <c r="AG2734" s="185">
        <f t="shared" si="358"/>
        <v>-0.68230257029520125</v>
      </c>
      <c r="AH2734" s="339" t="str">
        <f>VLOOKUP(B2734,'MF PF'!A:B,2)</f>
        <v>FdMgt1</v>
      </c>
      <c r="AI2734" s="358">
        <f t="shared" si="356"/>
        <v>0</v>
      </c>
      <c r="AJ2734" s="94">
        <f t="shared" si="357"/>
        <v>43343</v>
      </c>
    </row>
    <row r="2735" spans="1:36" ht="12.75" customHeight="1">
      <c r="A2735" s="94">
        <v>43343</v>
      </c>
      <c r="B2735" s="358" t="s">
        <v>273</v>
      </c>
      <c r="C2735" s="358" t="s">
        <v>369</v>
      </c>
      <c r="D2735" s="93">
        <v>5119541.9000000004</v>
      </c>
      <c r="F2735" s="93"/>
      <c r="G2735" s="93"/>
      <c r="H2735" s="93"/>
      <c r="I2735" s="93"/>
      <c r="L2735" s="93">
        <f t="shared" si="353"/>
        <v>0</v>
      </c>
      <c r="M2735" s="95" t="e">
        <f t="shared" ca="1" si="354"/>
        <v>#DIV/0!</v>
      </c>
      <c r="N2735" s="95">
        <f>IF(P2735="Hedge Fund",IF(A2735=Summary!$AD$3,M2735-E2735,M2735),IF(A2735=Summary!$AD$3,L2735-D2735,L2735))</f>
        <v>0</v>
      </c>
      <c r="O2735" s="95">
        <f t="shared" si="359"/>
        <v>0</v>
      </c>
      <c r="P2735" s="107" t="s">
        <v>155</v>
      </c>
      <c r="Q2735" s="95">
        <v>0</v>
      </c>
      <c r="R2735" s="95">
        <v>1.59493E-3</v>
      </c>
      <c r="S2735" s="95"/>
      <c r="T2735" s="95"/>
      <c r="U2735" s="95"/>
      <c r="V2735" s="95"/>
      <c r="W2735" s="95"/>
      <c r="X2735" s="95"/>
      <c r="Y2735" s="95"/>
      <c r="Z2735" s="95"/>
      <c r="AA2735" s="95"/>
      <c r="AB2735" s="95"/>
      <c r="AC2735" s="355"/>
      <c r="AD2735" s="355"/>
      <c r="AE2735" s="355"/>
      <c r="AF2735" s="94">
        <f t="shared" si="355"/>
        <v>43343</v>
      </c>
      <c r="AG2735" s="185" t="e">
        <f t="shared" si="358"/>
        <v>#DIV/0!</v>
      </c>
      <c r="AH2735" s="339" t="str">
        <f>VLOOKUP(B2735,'MF PF'!A:B,2)</f>
        <v>FdMgt1</v>
      </c>
      <c r="AI2735" s="358">
        <f t="shared" si="356"/>
        <v>0</v>
      </c>
      <c r="AJ2735" s="94">
        <f t="shared" si="357"/>
        <v>43343</v>
      </c>
    </row>
    <row r="2736" spans="1:36" ht="12.75" customHeight="1">
      <c r="A2736" s="94">
        <v>43369</v>
      </c>
      <c r="B2736" s="358" t="s">
        <v>273</v>
      </c>
      <c r="C2736" s="358" t="s">
        <v>369</v>
      </c>
      <c r="D2736" s="93"/>
      <c r="F2736" s="93"/>
      <c r="G2736" s="93">
        <v>1033950.65</v>
      </c>
      <c r="H2736" s="93"/>
      <c r="I2736" s="93"/>
      <c r="L2736" s="93">
        <f t="shared" si="353"/>
        <v>1033950.65</v>
      </c>
      <c r="M2736" s="95" t="e">
        <f t="shared" ca="1" si="354"/>
        <v>#DIV/0!</v>
      </c>
      <c r="N2736" s="95">
        <f>IF(P2736="Hedge Fund",IF(A2736=Summary!$AD$3,M2736-E2736,M2736),IF(A2736=Summary!$AD$3,L2736-D2736,L2736))</f>
        <v>1033950.65</v>
      </c>
      <c r="O2736" s="95">
        <f t="shared" si="359"/>
        <v>1033950.65</v>
      </c>
      <c r="P2736" s="107" t="s">
        <v>155</v>
      </c>
      <c r="Q2736" s="95">
        <v>0</v>
      </c>
      <c r="R2736" s="95">
        <v>0</v>
      </c>
      <c r="S2736" s="95"/>
      <c r="T2736" s="95"/>
      <c r="U2736" s="95"/>
      <c r="V2736" s="95"/>
      <c r="W2736" s="95"/>
      <c r="X2736" s="95"/>
      <c r="Y2736" s="95"/>
      <c r="Z2736" s="95"/>
      <c r="AA2736" s="95"/>
      <c r="AB2736" s="95"/>
      <c r="AC2736" s="355"/>
      <c r="AD2736" s="355"/>
      <c r="AE2736" s="355"/>
      <c r="AF2736" s="94">
        <f t="shared" si="355"/>
        <v>43369</v>
      </c>
      <c r="AG2736" s="185">
        <f t="shared" si="358"/>
        <v>-1.2019615563650334</v>
      </c>
      <c r="AH2736" s="339" t="str">
        <f>VLOOKUP(B2736,'MF PF'!A:B,2)</f>
        <v>FdMgt1</v>
      </c>
      <c r="AI2736" s="358">
        <f t="shared" si="356"/>
        <v>0</v>
      </c>
      <c r="AJ2736" s="94">
        <f t="shared" si="357"/>
        <v>43373</v>
      </c>
    </row>
    <row r="2737" spans="1:36" ht="12.75" customHeight="1">
      <c r="A2737" s="94">
        <v>43371</v>
      </c>
      <c r="B2737" s="358" t="s">
        <v>273</v>
      </c>
      <c r="C2737" s="358" t="s">
        <v>369</v>
      </c>
      <c r="D2737" s="93">
        <v>6190663.3600000003</v>
      </c>
      <c r="F2737" s="93"/>
      <c r="G2737" s="93"/>
      <c r="H2737" s="93"/>
      <c r="I2737" s="93"/>
      <c r="L2737" s="93">
        <f t="shared" si="353"/>
        <v>0</v>
      </c>
      <c r="M2737" s="95" t="e">
        <f t="shared" ca="1" si="354"/>
        <v>#DIV/0!</v>
      </c>
      <c r="N2737" s="95">
        <f>IF(P2737="Hedge Fund",IF(A2737=Summary!$AD$3,M2737-E2737,M2737),IF(A2737=Summary!$AD$3,L2737-D2737,L2737))</f>
        <v>0</v>
      </c>
      <c r="O2737" s="95">
        <f t="shared" si="359"/>
        <v>0</v>
      </c>
      <c r="P2737" s="107" t="s">
        <v>155</v>
      </c>
      <c r="Q2737" s="95">
        <v>3.3930019999999998E-2</v>
      </c>
      <c r="R2737" s="95">
        <v>8.1544900000000003E-3</v>
      </c>
      <c r="S2737" s="95"/>
      <c r="T2737" s="95"/>
      <c r="U2737" s="95"/>
      <c r="V2737" s="95"/>
      <c r="W2737" s="95"/>
      <c r="X2737" s="95"/>
      <c r="Y2737" s="95"/>
      <c r="Z2737" s="95"/>
      <c r="AA2737" s="95"/>
      <c r="AB2737" s="95"/>
      <c r="AC2737" s="355"/>
      <c r="AD2737" s="355"/>
      <c r="AE2737" s="355"/>
      <c r="AF2737" s="94">
        <f t="shared" si="355"/>
        <v>43371</v>
      </c>
      <c r="AG2737" s="185" t="e">
        <f t="shared" si="358"/>
        <v>#DIV/0!</v>
      </c>
      <c r="AH2737" s="339" t="str">
        <f>VLOOKUP(B2737,'MF PF'!A:B,2)</f>
        <v>FdMgt1</v>
      </c>
      <c r="AI2737" s="358">
        <f t="shared" si="356"/>
        <v>0</v>
      </c>
      <c r="AJ2737" s="94">
        <f t="shared" si="357"/>
        <v>43373</v>
      </c>
    </row>
    <row r="2738" spans="1:36" ht="12.75" customHeight="1">
      <c r="A2738" s="94">
        <v>43404</v>
      </c>
      <c r="B2738" s="358" t="s">
        <v>273</v>
      </c>
      <c r="C2738" s="358" t="s">
        <v>369</v>
      </c>
      <c r="D2738" s="93">
        <v>7087346.6249000002</v>
      </c>
      <c r="F2738" s="93">
        <v>7.5</v>
      </c>
      <c r="G2738" s="93">
        <v>606857.7799999998</v>
      </c>
      <c r="H2738" s="93">
        <v>0</v>
      </c>
      <c r="I2738" s="93">
        <v>0</v>
      </c>
      <c r="J2738" s="93">
        <v>0</v>
      </c>
      <c r="L2738" s="93">
        <f t="shared" si="353"/>
        <v>606857.7799999998</v>
      </c>
      <c r="M2738" s="95" t="e">
        <f t="shared" ca="1" si="354"/>
        <v>#DIV/0!</v>
      </c>
      <c r="N2738" s="95">
        <f>IF(P2738="Hedge Fund",IF(A2738=Summary!$AD$3,M2738-E2738,M2738),IF(A2738=Summary!$AD$3,L2738-D2738,L2738))</f>
        <v>606857.7799999998</v>
      </c>
      <c r="O2738" s="95">
        <f t="shared" si="359"/>
        <v>606857.7799999998</v>
      </c>
      <c r="P2738" s="95" t="s">
        <v>155</v>
      </c>
      <c r="Q2738" s="95">
        <v>4.0314812415066896E-2</v>
      </c>
      <c r="R2738" s="95">
        <v>4.2329925143817948E-2</v>
      </c>
      <c r="S2738" s="95"/>
      <c r="T2738" s="95"/>
      <c r="U2738" s="95"/>
      <c r="V2738" s="95"/>
      <c r="W2738" s="95"/>
      <c r="X2738" s="95"/>
      <c r="Y2738" s="95"/>
      <c r="Z2738" s="95"/>
      <c r="AA2738" s="95"/>
      <c r="AB2738" s="95"/>
      <c r="AC2738" s="355"/>
      <c r="AD2738" s="355"/>
      <c r="AE2738" s="355"/>
      <c r="AF2738" s="94">
        <f t="shared" si="355"/>
        <v>43404</v>
      </c>
      <c r="AG2738" s="185">
        <f t="shared" si="358"/>
        <v>4.6816547443471412E-2</v>
      </c>
      <c r="AH2738" s="339" t="str">
        <f>VLOOKUP(B2738,'MF PF'!A:B,2)</f>
        <v>FdMgt1</v>
      </c>
      <c r="AI2738" s="358">
        <f t="shared" si="356"/>
        <v>0</v>
      </c>
      <c r="AJ2738" s="94">
        <f t="shared" si="357"/>
        <v>43404</v>
      </c>
    </row>
    <row r="2739" spans="1:36" ht="12.75" customHeight="1">
      <c r="A2739" s="94">
        <v>43432</v>
      </c>
      <c r="B2739" s="358" t="s">
        <v>273</v>
      </c>
      <c r="C2739" s="358" t="s">
        <v>369</v>
      </c>
      <c r="D2739" s="93"/>
      <c r="F2739" s="93"/>
      <c r="G2739" s="93">
        <v>652522.95000000007</v>
      </c>
      <c r="H2739" s="93">
        <v>0</v>
      </c>
      <c r="I2739" s="93">
        <v>0</v>
      </c>
      <c r="K2739" s="7">
        <v>0</v>
      </c>
      <c r="L2739" s="93">
        <f t="shared" si="353"/>
        <v>652522.95000000007</v>
      </c>
      <c r="M2739" s="95" t="e">
        <f t="shared" ca="1" si="354"/>
        <v>#DIV/0!</v>
      </c>
      <c r="N2739" s="95">
        <f>IF(P2739="Hedge Fund",IF(A2739=Summary!$AD$3,M2739-E2739,M2739),IF(A2739=Summary!$AD$3,L2739-D2739,L2739))</f>
        <v>652522.95000000007</v>
      </c>
      <c r="O2739" s="95">
        <f t="shared" si="359"/>
        <v>652522.95000000007</v>
      </c>
      <c r="P2739" s="95" t="s">
        <v>155</v>
      </c>
      <c r="Q2739" s="95"/>
      <c r="R2739" s="95"/>
      <c r="S2739" s="95"/>
      <c r="T2739" s="95"/>
      <c r="U2739" s="95"/>
      <c r="V2739" s="95"/>
      <c r="W2739" s="95"/>
      <c r="X2739" s="95"/>
      <c r="Y2739" s="95"/>
      <c r="Z2739" s="95"/>
      <c r="AA2739" s="95"/>
      <c r="AB2739" s="95"/>
      <c r="AC2739" s="355"/>
      <c r="AD2739" s="355"/>
      <c r="AE2739" s="355"/>
      <c r="AF2739" s="94">
        <f t="shared" si="355"/>
        <v>43432</v>
      </c>
      <c r="AG2739" s="185">
        <f t="shared" si="358"/>
        <v>-1.0920687225466705</v>
      </c>
      <c r="AH2739" s="339" t="str">
        <f>VLOOKUP(B2739,'MF PF'!A:B,2)</f>
        <v>FdMgt1</v>
      </c>
      <c r="AI2739" s="358">
        <f t="shared" si="356"/>
        <v>0</v>
      </c>
      <c r="AJ2739" s="94">
        <f t="shared" si="357"/>
        <v>43434</v>
      </c>
    </row>
    <row r="2740" spans="1:36" ht="12.75" customHeight="1">
      <c r="A2740" s="94">
        <v>43434</v>
      </c>
      <c r="B2740" s="358" t="s">
        <v>273</v>
      </c>
      <c r="C2740" s="358" t="s">
        <v>369</v>
      </c>
      <c r="D2740" s="93">
        <v>7449216.1600000001</v>
      </c>
      <c r="F2740" s="93">
        <v>7.5</v>
      </c>
      <c r="G2740" s="93"/>
      <c r="H2740" s="93">
        <v>0</v>
      </c>
      <c r="I2740" s="93">
        <v>0</v>
      </c>
      <c r="K2740" s="7">
        <v>0</v>
      </c>
      <c r="L2740" s="93">
        <f t="shared" si="353"/>
        <v>0</v>
      </c>
      <c r="M2740" s="95" t="e">
        <f t="shared" ca="1" si="354"/>
        <v>#DIV/0!</v>
      </c>
      <c r="N2740" s="95">
        <f>IF(P2740="Hedge Fund",IF(A2740=Summary!$AD$3,M2740-E2740,M2740),IF(A2740=Summary!$AD$3,L2740-D2740,L2740))</f>
        <v>0</v>
      </c>
      <c r="O2740" s="95">
        <f t="shared" si="359"/>
        <v>0</v>
      </c>
      <c r="P2740" s="95" t="s">
        <v>155</v>
      </c>
      <c r="Q2740" s="95">
        <v>5.3454169999999995E-2</v>
      </c>
      <c r="R2740" s="95">
        <v>8.0083831438179116E-3</v>
      </c>
      <c r="S2740" s="95"/>
      <c r="T2740" s="95"/>
      <c r="U2740" s="95"/>
      <c r="V2740" s="95"/>
      <c r="W2740" s="95"/>
      <c r="X2740" s="95"/>
      <c r="Y2740" s="95"/>
      <c r="Z2740" s="95"/>
      <c r="AA2740" s="95"/>
      <c r="AB2740" s="95"/>
      <c r="AC2740" s="355"/>
      <c r="AD2740" s="355"/>
      <c r="AE2740" s="355"/>
      <c r="AF2740" s="94">
        <f t="shared" si="355"/>
        <v>43434</v>
      </c>
      <c r="AG2740" s="185" t="e">
        <f t="shared" si="358"/>
        <v>#DIV/0!</v>
      </c>
      <c r="AH2740" s="339" t="str">
        <f>VLOOKUP(B2740,'MF PF'!A:B,2)</f>
        <v>FdMgt1</v>
      </c>
      <c r="AI2740" s="358">
        <f t="shared" si="356"/>
        <v>0</v>
      </c>
      <c r="AJ2740" s="94">
        <f t="shared" si="357"/>
        <v>43434</v>
      </c>
    </row>
    <row r="2741" spans="1:36" ht="12.75" customHeight="1">
      <c r="A2741" s="94">
        <v>43465</v>
      </c>
      <c r="B2741" s="358" t="s">
        <v>273</v>
      </c>
      <c r="C2741" s="358" t="s">
        <v>369</v>
      </c>
      <c r="D2741" s="93">
        <v>7517104.0800000001</v>
      </c>
      <c r="F2741" s="93">
        <v>7.5</v>
      </c>
      <c r="G2741" s="93"/>
      <c r="H2741" s="93">
        <v>0</v>
      </c>
      <c r="I2741" s="93">
        <v>0</v>
      </c>
      <c r="K2741" s="7">
        <v>0</v>
      </c>
      <c r="L2741" s="93">
        <f t="shared" si="353"/>
        <v>0</v>
      </c>
      <c r="M2741" s="95" t="e">
        <f t="shared" ca="1" si="354"/>
        <v>#DIV/0!</v>
      </c>
      <c r="N2741" s="95">
        <f>IF(P2741="Hedge Fund",IF(A2741=Summary!$AD$3,M2741-E2741,M2741),IF(A2741=Summary!$AD$3,L2741-D2741,L2741))</f>
        <v>0</v>
      </c>
      <c r="O2741" s="95">
        <f t="shared" si="359"/>
        <v>0</v>
      </c>
      <c r="P2741" s="95" t="s">
        <v>155</v>
      </c>
      <c r="Q2741" s="95">
        <v>-7.5850937857436573</v>
      </c>
      <c r="R2741" s="95">
        <v>0</v>
      </c>
      <c r="S2741" s="95"/>
      <c r="T2741" s="95"/>
      <c r="U2741" s="95"/>
      <c r="V2741" s="95"/>
      <c r="W2741" s="95"/>
      <c r="X2741" s="95"/>
      <c r="Y2741" s="95"/>
      <c r="Z2741" s="95"/>
      <c r="AA2741" s="95"/>
      <c r="AB2741" s="95"/>
      <c r="AC2741" s="355"/>
      <c r="AD2741" s="355"/>
      <c r="AE2741" s="355"/>
      <c r="AF2741" s="94">
        <f t="shared" si="355"/>
        <v>43465</v>
      </c>
      <c r="AG2741" s="185">
        <f t="shared" si="358"/>
        <v>9.1134313385261567E-3</v>
      </c>
      <c r="AH2741" s="339" t="str">
        <f>VLOOKUP(B2741,'MF PF'!A:B,2)</f>
        <v>FdMgt1</v>
      </c>
      <c r="AI2741" s="358">
        <f t="shared" si="356"/>
        <v>0</v>
      </c>
      <c r="AJ2741" s="94">
        <f t="shared" si="357"/>
        <v>43465</v>
      </c>
    </row>
    <row r="2742" spans="1:36" ht="12.75" customHeight="1">
      <c r="A2742" s="94">
        <v>43496</v>
      </c>
      <c r="B2742" s="358" t="s">
        <v>273</v>
      </c>
      <c r="C2742" s="358" t="s">
        <v>369</v>
      </c>
      <c r="D2742" s="93">
        <v>7597493.5143999998</v>
      </c>
      <c r="F2742" s="93">
        <v>7.4038353190412138</v>
      </c>
      <c r="G2742" s="93"/>
      <c r="H2742" s="93">
        <v>0</v>
      </c>
      <c r="I2742" s="93">
        <v>0</v>
      </c>
      <c r="K2742" s="7">
        <v>0</v>
      </c>
      <c r="L2742" s="93">
        <f t="shared" si="353"/>
        <v>0</v>
      </c>
      <c r="M2742" s="95" t="e">
        <f t="shared" ca="1" si="354"/>
        <v>#DIV/0!</v>
      </c>
      <c r="N2742" s="95">
        <f>IF(P2742="Hedge Fund",IF(A2742=Summary!$AD$3,M2742-E2742,M2742),IF(A2742=Summary!$AD$3,L2742-D2742,L2742))</f>
        <v>-7597493.5143999998</v>
      </c>
      <c r="O2742" s="95">
        <f t="shared" si="359"/>
        <v>-7597493.5143999998</v>
      </c>
      <c r="P2742" s="95" t="s">
        <v>155</v>
      </c>
      <c r="Q2742" s="95">
        <v>5.6194219408305567E-2</v>
      </c>
      <c r="R2742" s="95">
        <v>3.417497564381794E-2</v>
      </c>
      <c r="S2742" s="95"/>
      <c r="T2742" s="95"/>
      <c r="U2742" s="95"/>
      <c r="V2742" s="95"/>
      <c r="W2742" s="95"/>
      <c r="X2742" s="95"/>
      <c r="Y2742" s="95"/>
      <c r="Z2742" s="95"/>
      <c r="AA2742" s="95"/>
      <c r="AB2742" s="95"/>
      <c r="AC2742" s="355"/>
      <c r="AD2742" s="355"/>
      <c r="AE2742" s="355"/>
      <c r="AF2742" s="94">
        <f t="shared" si="355"/>
        <v>43496</v>
      </c>
      <c r="AG2742" s="185">
        <f t="shared" si="358"/>
        <v>1.0694202653636742E-2</v>
      </c>
      <c r="AH2742" s="339" t="str">
        <f>VLOOKUP(B2742,'MF PF'!A:B,2)</f>
        <v>FdMgt1</v>
      </c>
      <c r="AI2742" s="358">
        <f t="shared" si="356"/>
        <v>0</v>
      </c>
      <c r="AJ2742" s="94">
        <f t="shared" si="357"/>
        <v>43496</v>
      </c>
    </row>
    <row r="2743" spans="1:36" ht="12.75" customHeight="1">
      <c r="A2743" s="94">
        <v>43252</v>
      </c>
      <c r="B2743" s="358" t="s">
        <v>273</v>
      </c>
      <c r="C2743" s="358" t="s">
        <v>370</v>
      </c>
      <c r="D2743" s="93"/>
      <c r="F2743" s="93"/>
      <c r="G2743" s="93">
        <v>2000000</v>
      </c>
      <c r="H2743" s="93"/>
      <c r="I2743" s="93"/>
      <c r="L2743" s="93">
        <f t="shared" si="353"/>
        <v>2000000</v>
      </c>
      <c r="M2743" s="95">
        <f t="shared" ca="1" si="354"/>
        <v>0</v>
      </c>
      <c r="N2743" s="95">
        <f>IF(P2743="Hedge Fund",IF(A2743=Summary!$AD$3,M2743-E2743,M2743),IF(A2743=Summary!$AD$3,L2743-D2743,L2743))</f>
        <v>2000000</v>
      </c>
      <c r="O2743" s="95">
        <f t="shared" si="359"/>
        <v>2000000</v>
      </c>
      <c r="P2743" s="107" t="s">
        <v>155</v>
      </c>
      <c r="Q2743" s="95">
        <v>0</v>
      </c>
      <c r="R2743" s="95">
        <v>0</v>
      </c>
      <c r="S2743" s="95"/>
      <c r="T2743" s="95"/>
      <c r="U2743" s="95"/>
      <c r="V2743" s="95"/>
      <c r="W2743" s="95"/>
      <c r="X2743" s="95"/>
      <c r="Y2743" s="95"/>
      <c r="Z2743" s="95"/>
      <c r="AA2743" s="95"/>
      <c r="AB2743" s="95"/>
      <c r="AC2743" s="355"/>
      <c r="AD2743" s="355"/>
      <c r="AE2743" s="355"/>
      <c r="AF2743" s="94">
        <f t="shared" si="355"/>
        <v>43252</v>
      </c>
      <c r="AG2743" s="185">
        <f t="shared" si="358"/>
        <v>-1</v>
      </c>
      <c r="AH2743" s="339" t="str">
        <f>VLOOKUP(B2743,'MF PF'!A:B,2)</f>
        <v>FdMgt1</v>
      </c>
      <c r="AI2743" s="358">
        <f t="shared" si="356"/>
        <v>0</v>
      </c>
      <c r="AJ2743" s="94">
        <f t="shared" si="357"/>
        <v>43281</v>
      </c>
    </row>
    <row r="2744" spans="1:36" ht="12.75" customHeight="1">
      <c r="A2744" s="94">
        <v>43281</v>
      </c>
      <c r="B2744" s="358" t="s">
        <v>273</v>
      </c>
      <c r="C2744" s="358" t="s">
        <v>370</v>
      </c>
      <c r="D2744" s="93">
        <v>2005510.1</v>
      </c>
      <c r="F2744" s="93"/>
      <c r="G2744" s="93"/>
      <c r="H2744" s="93"/>
      <c r="I2744" s="93"/>
      <c r="L2744" s="93">
        <f t="shared" si="353"/>
        <v>0</v>
      </c>
      <c r="M2744" s="95" t="e">
        <f t="shared" ca="1" si="354"/>
        <v>#DIV/0!</v>
      </c>
      <c r="N2744" s="95">
        <f>IF(P2744="Hedge Fund",IF(A2744=Summary!$AD$3,M2744-E2744,M2744),IF(A2744=Summary!$AD$3,L2744-D2744,L2744))</f>
        <v>0</v>
      </c>
      <c r="O2744" s="95">
        <f t="shared" si="359"/>
        <v>0</v>
      </c>
      <c r="P2744" s="107" t="s">
        <v>155</v>
      </c>
      <c r="Q2744" s="95">
        <v>0</v>
      </c>
      <c r="R2744" s="95">
        <v>0</v>
      </c>
      <c r="S2744" s="95"/>
      <c r="T2744" s="95"/>
      <c r="U2744" s="95"/>
      <c r="V2744" s="95"/>
      <c r="W2744" s="95"/>
      <c r="X2744" s="95"/>
      <c r="Y2744" s="95"/>
      <c r="Z2744" s="95"/>
      <c r="AA2744" s="95"/>
      <c r="AB2744" s="95"/>
      <c r="AC2744" s="355"/>
      <c r="AD2744" s="355"/>
      <c r="AE2744" s="355"/>
      <c r="AF2744" s="94">
        <f t="shared" si="355"/>
        <v>43281</v>
      </c>
      <c r="AG2744" s="185" t="e">
        <f t="shared" si="358"/>
        <v>#DIV/0!</v>
      </c>
      <c r="AH2744" s="339" t="str">
        <f>VLOOKUP(B2744,'MF PF'!A:B,2)</f>
        <v>FdMgt1</v>
      </c>
      <c r="AI2744" s="358">
        <f t="shared" si="356"/>
        <v>0</v>
      </c>
      <c r="AJ2744" s="94">
        <f t="shared" si="357"/>
        <v>43281</v>
      </c>
    </row>
    <row r="2745" spans="1:36" ht="12.75" customHeight="1">
      <c r="A2745" s="94">
        <v>43312</v>
      </c>
      <c r="B2745" s="358" t="s">
        <v>273</v>
      </c>
      <c r="C2745" s="358" t="s">
        <v>370</v>
      </c>
      <c r="D2745" s="93">
        <v>2011735.86</v>
      </c>
      <c r="F2745" s="93"/>
      <c r="G2745" s="93"/>
      <c r="H2745" s="93"/>
      <c r="I2745" s="93"/>
      <c r="L2745" s="93">
        <f t="shared" si="353"/>
        <v>0</v>
      </c>
      <c r="M2745" s="95" t="e">
        <f t="shared" ca="1" si="354"/>
        <v>#DIV/0!</v>
      </c>
      <c r="N2745" s="95">
        <f>IF(P2745="Hedge Fund",IF(A2745=Summary!$AD$3,M2745-E2745,M2745),IF(A2745=Summary!$AD$3,L2745-D2745,L2745))</f>
        <v>0</v>
      </c>
      <c r="O2745" s="95">
        <f t="shared" si="359"/>
        <v>0</v>
      </c>
      <c r="P2745" s="107" t="s">
        <v>155</v>
      </c>
      <c r="Q2745" s="95">
        <v>0</v>
      </c>
      <c r="R2745" s="95">
        <v>0</v>
      </c>
      <c r="S2745" s="95"/>
      <c r="T2745" s="95"/>
      <c r="U2745" s="95"/>
      <c r="V2745" s="95"/>
      <c r="W2745" s="95"/>
      <c r="X2745" s="95"/>
      <c r="Y2745" s="95"/>
      <c r="Z2745" s="95"/>
      <c r="AA2745" s="95"/>
      <c r="AB2745" s="95"/>
      <c r="AC2745" s="355"/>
      <c r="AD2745" s="355"/>
      <c r="AE2745" s="355"/>
      <c r="AF2745" s="94">
        <f t="shared" si="355"/>
        <v>43312</v>
      </c>
      <c r="AG2745" s="185">
        <f t="shared" si="358"/>
        <v>3.1043274227340323E-3</v>
      </c>
      <c r="AH2745" s="339" t="str">
        <f>VLOOKUP(B2745,'MF PF'!A:B,2)</f>
        <v>FdMgt1</v>
      </c>
      <c r="AI2745" s="358">
        <f t="shared" si="356"/>
        <v>0</v>
      </c>
      <c r="AJ2745" s="94">
        <f t="shared" si="357"/>
        <v>43312</v>
      </c>
    </row>
    <row r="2746" spans="1:36" ht="12.75" customHeight="1">
      <c r="A2746" s="94">
        <v>43329</v>
      </c>
      <c r="B2746" s="358" t="s">
        <v>273</v>
      </c>
      <c r="C2746" s="358" t="s">
        <v>370</v>
      </c>
      <c r="D2746" s="93"/>
      <c r="F2746" s="93"/>
      <c r="G2746" s="93">
        <v>-637198.94558900956</v>
      </c>
      <c r="H2746" s="93"/>
      <c r="I2746" s="93"/>
      <c r="L2746" s="93">
        <f t="shared" si="353"/>
        <v>-637198.94558900956</v>
      </c>
      <c r="M2746" s="95" t="e">
        <f t="shared" ca="1" si="354"/>
        <v>#DIV/0!</v>
      </c>
      <c r="N2746" s="95">
        <f>IF(P2746="Hedge Fund",IF(A2746=Summary!$AD$3,M2746-E2746,M2746),IF(A2746=Summary!$AD$3,L2746-D2746,L2746))</f>
        <v>-637198.94558900956</v>
      </c>
      <c r="O2746" s="95">
        <f t="shared" si="359"/>
        <v>-637198.94558900956</v>
      </c>
      <c r="P2746" s="107" t="s">
        <v>155</v>
      </c>
      <c r="Q2746" s="95">
        <v>0</v>
      </c>
      <c r="R2746" s="95">
        <v>0</v>
      </c>
      <c r="S2746" s="95"/>
      <c r="T2746" s="95"/>
      <c r="U2746" s="95"/>
      <c r="V2746" s="95"/>
      <c r="W2746" s="95"/>
      <c r="X2746" s="95"/>
      <c r="Y2746" s="95"/>
      <c r="Z2746" s="95"/>
      <c r="AA2746" s="95"/>
      <c r="AB2746" s="95"/>
      <c r="AC2746" s="355"/>
      <c r="AD2746" s="355"/>
      <c r="AE2746" s="355"/>
      <c r="AF2746" s="94">
        <f t="shared" si="355"/>
        <v>43329</v>
      </c>
      <c r="AG2746" s="185">
        <f t="shared" si="358"/>
        <v>-0.68325914039778091</v>
      </c>
      <c r="AH2746" s="339" t="str">
        <f>VLOOKUP(B2746,'MF PF'!A:B,2)</f>
        <v>FdMgt1</v>
      </c>
      <c r="AI2746" s="358">
        <f t="shared" si="356"/>
        <v>0</v>
      </c>
      <c r="AJ2746" s="94">
        <f t="shared" si="357"/>
        <v>43343</v>
      </c>
    </row>
    <row r="2747" spans="1:36" ht="12.75" customHeight="1">
      <c r="A2747" s="94">
        <v>43343</v>
      </c>
      <c r="B2747" s="358" t="s">
        <v>273</v>
      </c>
      <c r="C2747" s="358" t="s">
        <v>370</v>
      </c>
      <c r="D2747" s="93">
        <v>1371848.98</v>
      </c>
      <c r="F2747" s="93"/>
      <c r="G2747" s="93"/>
      <c r="H2747" s="93"/>
      <c r="I2747" s="93"/>
      <c r="L2747" s="93">
        <f t="shared" si="353"/>
        <v>0</v>
      </c>
      <c r="M2747" s="95" t="e">
        <f t="shared" ca="1" si="354"/>
        <v>#DIV/0!</v>
      </c>
      <c r="N2747" s="95">
        <f>IF(P2747="Hedge Fund",IF(A2747=Summary!$AD$3,M2747-E2747,M2747),IF(A2747=Summary!$AD$3,L2747-D2747,L2747))</f>
        <v>0</v>
      </c>
      <c r="O2747" s="95">
        <f t="shared" si="359"/>
        <v>0</v>
      </c>
      <c r="P2747" s="107" t="s">
        <v>155</v>
      </c>
      <c r="Q2747" s="95">
        <v>0</v>
      </c>
      <c r="R2747" s="95">
        <v>0</v>
      </c>
      <c r="S2747" s="95"/>
      <c r="T2747" s="95"/>
      <c r="U2747" s="95"/>
      <c r="V2747" s="95"/>
      <c r="W2747" s="95"/>
      <c r="X2747" s="95"/>
      <c r="Y2747" s="95"/>
      <c r="Z2747" s="95"/>
      <c r="AA2747" s="95"/>
      <c r="AB2747" s="95"/>
      <c r="AC2747" s="355"/>
      <c r="AD2747" s="355"/>
      <c r="AE2747" s="355"/>
      <c r="AF2747" s="94">
        <f t="shared" si="355"/>
        <v>43343</v>
      </c>
      <c r="AG2747" s="185" t="e">
        <f t="shared" si="358"/>
        <v>#DIV/0!</v>
      </c>
      <c r="AH2747" s="339" t="str">
        <f>VLOOKUP(B2747,'MF PF'!A:B,2)</f>
        <v>FdMgt1</v>
      </c>
      <c r="AI2747" s="358">
        <f t="shared" si="356"/>
        <v>0</v>
      </c>
      <c r="AJ2747" s="94">
        <f t="shared" si="357"/>
        <v>43343</v>
      </c>
    </row>
    <row r="2748" spans="1:36" ht="12.75" customHeight="1">
      <c r="A2748" s="94">
        <v>43369</v>
      </c>
      <c r="B2748" s="358" t="s">
        <v>273</v>
      </c>
      <c r="C2748" s="358" t="s">
        <v>370</v>
      </c>
      <c r="D2748" s="93"/>
      <c r="F2748" s="93"/>
      <c r="G2748" s="93">
        <v>275720.17</v>
      </c>
      <c r="H2748" s="93"/>
      <c r="I2748" s="93"/>
      <c r="L2748" s="93">
        <f t="shared" si="353"/>
        <v>275720.17</v>
      </c>
      <c r="M2748" s="95" t="e">
        <f t="shared" ca="1" si="354"/>
        <v>#DIV/0!</v>
      </c>
      <c r="N2748" s="95">
        <f>IF(P2748="Hedge Fund",IF(A2748=Summary!$AD$3,M2748-E2748,M2748),IF(A2748=Summary!$AD$3,L2748-D2748,L2748))</f>
        <v>275720.17</v>
      </c>
      <c r="O2748" s="95">
        <f t="shared" si="359"/>
        <v>275720.17</v>
      </c>
      <c r="P2748" s="107" t="s">
        <v>155</v>
      </c>
      <c r="Q2748" s="95">
        <v>0</v>
      </c>
      <c r="R2748" s="95">
        <v>0</v>
      </c>
      <c r="S2748" s="95"/>
      <c r="T2748" s="95"/>
      <c r="U2748" s="95"/>
      <c r="V2748" s="95"/>
      <c r="W2748" s="95"/>
      <c r="X2748" s="95"/>
      <c r="Y2748" s="95"/>
      <c r="Z2748" s="95"/>
      <c r="AA2748" s="95"/>
      <c r="AB2748" s="95"/>
      <c r="AC2748" s="355"/>
      <c r="AD2748" s="355"/>
      <c r="AE2748" s="355"/>
      <c r="AF2748" s="94">
        <f t="shared" si="355"/>
        <v>43369</v>
      </c>
      <c r="AG2748" s="185">
        <f t="shared" si="358"/>
        <v>-1.2009843459591303</v>
      </c>
      <c r="AH2748" s="339" t="str">
        <f>VLOOKUP(B2748,'MF PF'!A:B,2)</f>
        <v>FdMgt1</v>
      </c>
      <c r="AI2748" s="358">
        <f t="shared" si="356"/>
        <v>0</v>
      </c>
      <c r="AJ2748" s="94">
        <f t="shared" si="357"/>
        <v>43373</v>
      </c>
    </row>
    <row r="2749" spans="1:36" ht="12.75" customHeight="1">
      <c r="A2749" s="94">
        <v>43371</v>
      </c>
      <c r="B2749" s="358" t="s">
        <v>273</v>
      </c>
      <c r="C2749" s="358" t="s">
        <v>370</v>
      </c>
      <c r="D2749" s="93">
        <v>1662066.1</v>
      </c>
      <c r="F2749" s="93"/>
      <c r="G2749" s="93"/>
      <c r="H2749" s="93"/>
      <c r="I2749" s="93"/>
      <c r="L2749" s="93">
        <f t="shared" si="353"/>
        <v>0</v>
      </c>
      <c r="M2749" s="95" t="e">
        <f t="shared" ca="1" si="354"/>
        <v>#DIV/0!</v>
      </c>
      <c r="N2749" s="95">
        <f>IF(P2749="Hedge Fund",IF(A2749=Summary!$AD$3,M2749-E2749,M2749),IF(A2749=Summary!$AD$3,L2749-D2749,L2749))</f>
        <v>0</v>
      </c>
      <c r="O2749" s="95">
        <f t="shared" si="359"/>
        <v>0</v>
      </c>
      <c r="P2749" s="107" t="s">
        <v>155</v>
      </c>
      <c r="Q2749" s="95">
        <v>0</v>
      </c>
      <c r="R2749" s="95">
        <v>0</v>
      </c>
      <c r="S2749" s="95"/>
      <c r="T2749" s="95"/>
      <c r="U2749" s="95"/>
      <c r="V2749" s="95"/>
      <c r="W2749" s="95"/>
      <c r="X2749" s="95"/>
      <c r="Y2749" s="95"/>
      <c r="Z2749" s="95"/>
      <c r="AA2749" s="95"/>
      <c r="AB2749" s="95"/>
      <c r="AC2749" s="355"/>
      <c r="AD2749" s="355"/>
      <c r="AE2749" s="355"/>
      <c r="AF2749" s="94">
        <f t="shared" si="355"/>
        <v>43371</v>
      </c>
      <c r="AG2749" s="185" t="e">
        <f t="shared" si="358"/>
        <v>#DIV/0!</v>
      </c>
      <c r="AH2749" s="339" t="str">
        <f>VLOOKUP(B2749,'MF PF'!A:B,2)</f>
        <v>FdMgt1</v>
      </c>
      <c r="AI2749" s="358">
        <f t="shared" si="356"/>
        <v>0</v>
      </c>
      <c r="AJ2749" s="94">
        <f t="shared" si="357"/>
        <v>43373</v>
      </c>
    </row>
    <row r="2750" spans="1:36" ht="12.75" customHeight="1">
      <c r="A2750" s="94">
        <v>43404</v>
      </c>
      <c r="B2750" s="358" t="s">
        <v>273</v>
      </c>
      <c r="C2750" s="358" t="s">
        <v>370</v>
      </c>
      <c r="D2750" s="93">
        <v>1911997.69</v>
      </c>
      <c r="F2750" s="93">
        <v>2</v>
      </c>
      <c r="G2750" s="93">
        <v>161828.74</v>
      </c>
      <c r="H2750" s="93">
        <v>0</v>
      </c>
      <c r="I2750" s="93">
        <v>0</v>
      </c>
      <c r="J2750" s="93">
        <v>0</v>
      </c>
      <c r="L2750" s="93">
        <f t="shared" si="353"/>
        <v>161828.74</v>
      </c>
      <c r="M2750" s="95" t="e">
        <f t="shared" ca="1" si="354"/>
        <v>#DIV/0!</v>
      </c>
      <c r="N2750" s="95">
        <f>IF(P2750="Hedge Fund",IF(A2750=Summary!$AD$3,M2750-E2750,M2750),IF(A2750=Summary!$AD$3,L2750-D2750,L2750))</f>
        <v>161828.74</v>
      </c>
      <c r="O2750" s="95">
        <f t="shared" si="359"/>
        <v>161828.74</v>
      </c>
      <c r="P2750" s="95" t="s">
        <v>155</v>
      </c>
      <c r="Q2750" s="95">
        <v>0</v>
      </c>
      <c r="R2750" s="95">
        <v>0</v>
      </c>
      <c r="S2750" s="95"/>
      <c r="T2750" s="95"/>
      <c r="U2750" s="95"/>
      <c r="V2750" s="95"/>
      <c r="W2750" s="95"/>
      <c r="X2750" s="95"/>
      <c r="Y2750" s="95"/>
      <c r="Z2750" s="95"/>
      <c r="AA2750" s="95"/>
      <c r="AB2750" s="95"/>
      <c r="AC2750" s="355"/>
      <c r="AD2750" s="355"/>
      <c r="AE2750" s="355"/>
      <c r="AF2750" s="94">
        <f t="shared" si="355"/>
        <v>43404</v>
      </c>
      <c r="AG2750" s="185">
        <f t="shared" si="358"/>
        <v>5.3008030186043609E-2</v>
      </c>
      <c r="AH2750" s="339" t="str">
        <f>VLOOKUP(B2750,'MF PF'!A:B,2)</f>
        <v>FdMgt1</v>
      </c>
      <c r="AI2750" s="358">
        <f t="shared" si="356"/>
        <v>0</v>
      </c>
      <c r="AJ2750" s="94">
        <f t="shared" si="357"/>
        <v>43404</v>
      </c>
    </row>
    <row r="2751" spans="1:36" ht="12.75" customHeight="1">
      <c r="A2751" s="94">
        <v>43432</v>
      </c>
      <c r="B2751" s="358" t="s">
        <v>273</v>
      </c>
      <c r="C2751" s="358" t="s">
        <v>370</v>
      </c>
      <c r="D2751" s="93"/>
      <c r="F2751" s="93"/>
      <c r="G2751" s="93">
        <v>174006.12</v>
      </c>
      <c r="H2751" s="93">
        <v>0</v>
      </c>
      <c r="I2751" s="93">
        <v>0</v>
      </c>
      <c r="K2751" s="7">
        <v>0</v>
      </c>
      <c r="L2751" s="93">
        <f t="shared" si="353"/>
        <v>174006.12</v>
      </c>
      <c r="M2751" s="95" t="e">
        <f t="shared" ca="1" si="354"/>
        <v>#DIV/0!</v>
      </c>
      <c r="N2751" s="95">
        <f>IF(P2751="Hedge Fund",IF(A2751=Summary!$AD$3,M2751-E2751,M2751),IF(A2751=Summary!$AD$3,L2751-D2751,L2751))</f>
        <v>174006.12</v>
      </c>
      <c r="O2751" s="95">
        <f t="shared" si="359"/>
        <v>174006.12</v>
      </c>
      <c r="P2751" s="95" t="s">
        <v>155</v>
      </c>
      <c r="Q2751" s="95"/>
      <c r="R2751" s="95"/>
      <c r="S2751" s="95"/>
      <c r="T2751" s="95"/>
      <c r="U2751" s="95"/>
      <c r="V2751" s="95"/>
      <c r="W2751" s="95"/>
      <c r="X2751" s="95"/>
      <c r="Y2751" s="95"/>
      <c r="Z2751" s="95"/>
      <c r="AA2751" s="95"/>
      <c r="AB2751" s="95"/>
      <c r="AC2751" s="355"/>
      <c r="AD2751" s="355"/>
      <c r="AE2751" s="355"/>
      <c r="AF2751" s="94">
        <f t="shared" si="355"/>
        <v>43432</v>
      </c>
      <c r="AG2751" s="185">
        <f t="shared" si="358"/>
        <v>-1.091007494888762</v>
      </c>
      <c r="AH2751" s="339" t="str">
        <f>VLOOKUP(B2751,'MF PF'!A:B,2)</f>
        <v>FdMgt1</v>
      </c>
      <c r="AI2751" s="358">
        <f t="shared" si="356"/>
        <v>0</v>
      </c>
      <c r="AJ2751" s="94">
        <f t="shared" si="357"/>
        <v>43434</v>
      </c>
    </row>
    <row r="2752" spans="1:36" ht="12.75" customHeight="1">
      <c r="A2752" s="94">
        <v>43434</v>
      </c>
      <c r="B2752" s="358" t="s">
        <v>273</v>
      </c>
      <c r="C2752" s="358" t="s">
        <v>370</v>
      </c>
      <c r="D2752" s="93">
        <v>2002847.65</v>
      </c>
      <c r="F2752" s="93">
        <v>2</v>
      </c>
      <c r="G2752" s="93"/>
      <c r="H2752" s="93">
        <v>0</v>
      </c>
      <c r="I2752" s="93">
        <v>0</v>
      </c>
      <c r="K2752" s="7">
        <v>0</v>
      </c>
      <c r="L2752" s="93">
        <f t="shared" si="353"/>
        <v>0</v>
      </c>
      <c r="M2752" s="95" t="e">
        <f t="shared" ca="1" si="354"/>
        <v>#DIV/0!</v>
      </c>
      <c r="N2752" s="95">
        <f>IF(P2752="Hedge Fund",IF(A2752=Summary!$AD$3,M2752-E2752,M2752),IF(A2752=Summary!$AD$3,L2752-D2752,L2752))</f>
        <v>0</v>
      </c>
      <c r="O2752" s="95">
        <f t="shared" si="359"/>
        <v>0</v>
      </c>
      <c r="P2752" s="95" t="s">
        <v>155</v>
      </c>
      <c r="Q2752" s="95">
        <v>0</v>
      </c>
      <c r="R2752" s="95">
        <v>0</v>
      </c>
      <c r="S2752" s="95"/>
      <c r="T2752" s="95"/>
      <c r="U2752" s="95"/>
      <c r="V2752" s="95"/>
      <c r="W2752" s="95"/>
      <c r="X2752" s="95"/>
      <c r="Y2752" s="95"/>
      <c r="Z2752" s="95"/>
      <c r="AA2752" s="95"/>
      <c r="AB2752" s="95"/>
      <c r="AC2752" s="355"/>
      <c r="AD2752" s="355"/>
      <c r="AE2752" s="355"/>
      <c r="AF2752" s="94">
        <f t="shared" si="355"/>
        <v>43434</v>
      </c>
      <c r="AG2752" s="185" t="e">
        <f t="shared" si="358"/>
        <v>#DIV/0!</v>
      </c>
      <c r="AH2752" s="339" t="str">
        <f>VLOOKUP(B2752,'MF PF'!A:B,2)</f>
        <v>FdMgt1</v>
      </c>
      <c r="AI2752" s="358">
        <f t="shared" si="356"/>
        <v>0</v>
      </c>
      <c r="AJ2752" s="94">
        <f t="shared" si="357"/>
        <v>43434</v>
      </c>
    </row>
    <row r="2753" spans="1:36" ht="12.75" customHeight="1">
      <c r="A2753" s="94">
        <v>43465</v>
      </c>
      <c r="B2753" s="358" t="s">
        <v>273</v>
      </c>
      <c r="C2753" s="358" t="s">
        <v>370</v>
      </c>
      <c r="D2753" s="93">
        <v>2022691.68</v>
      </c>
      <c r="F2753" s="93">
        <v>2</v>
      </c>
      <c r="G2753" s="93"/>
      <c r="H2753" s="93">
        <v>0</v>
      </c>
      <c r="I2753" s="93">
        <v>0</v>
      </c>
      <c r="K2753" s="93">
        <v>0</v>
      </c>
      <c r="L2753" s="93">
        <f t="shared" si="353"/>
        <v>0</v>
      </c>
      <c r="M2753" s="95" t="e">
        <f t="shared" ca="1" si="354"/>
        <v>#DIV/0!</v>
      </c>
      <c r="N2753" s="95">
        <f>IF(P2753="Hedge Fund",IF(A2753=Summary!$AD$3,M2753-E2753,M2753),IF(A2753=Summary!$AD$3,L2753-D2753,L2753))</f>
        <v>0</v>
      </c>
      <c r="O2753" s="95">
        <f t="shared" si="359"/>
        <v>0</v>
      </c>
      <c r="P2753" s="95" t="s">
        <v>155</v>
      </c>
      <c r="Q2753" s="95">
        <v>-2.0226916755316418</v>
      </c>
      <c r="R2753" s="95">
        <v>0</v>
      </c>
      <c r="S2753" s="95"/>
      <c r="T2753" s="95"/>
      <c r="U2753" s="95"/>
      <c r="V2753" s="95"/>
      <c r="W2753" s="95"/>
      <c r="X2753" s="95"/>
      <c r="Y2753" s="95"/>
      <c r="Z2753" s="95"/>
      <c r="AA2753" s="95"/>
      <c r="AB2753" s="95"/>
      <c r="AC2753" s="355"/>
      <c r="AD2753" s="355"/>
      <c r="AE2753" s="355"/>
      <c r="AF2753" s="94">
        <f t="shared" si="355"/>
        <v>43465</v>
      </c>
      <c r="AG2753" s="185">
        <f t="shared" si="358"/>
        <v>9.9079078730726078E-3</v>
      </c>
      <c r="AH2753" s="339" t="str">
        <f>VLOOKUP(B2753,'MF PF'!A:B,2)</f>
        <v>FdMgt1</v>
      </c>
      <c r="AI2753" s="358">
        <f t="shared" si="356"/>
        <v>0</v>
      </c>
      <c r="AJ2753" s="94">
        <f t="shared" si="357"/>
        <v>43465</v>
      </c>
    </row>
    <row r="2754" spans="1:36" ht="12.75" customHeight="1">
      <c r="A2754" s="94">
        <v>43496</v>
      </c>
      <c r="B2754" s="358" t="s">
        <v>273</v>
      </c>
      <c r="C2754" s="358" t="s">
        <v>370</v>
      </c>
      <c r="D2754" s="93">
        <v>2050096.72</v>
      </c>
      <c r="F2754" s="93">
        <v>1.9743560844109902</v>
      </c>
      <c r="G2754" s="93"/>
      <c r="H2754" s="93">
        <v>0</v>
      </c>
      <c r="I2754" s="93">
        <v>0</v>
      </c>
      <c r="K2754" s="93">
        <v>0</v>
      </c>
      <c r="L2754" s="93">
        <f t="shared" si="353"/>
        <v>0</v>
      </c>
      <c r="M2754" s="95" t="e">
        <f t="shared" ca="1" si="354"/>
        <v>#DIV/0!</v>
      </c>
      <c r="N2754" s="95">
        <f>IF(P2754="Hedge Fund",IF(A2754=Summary!$AD$3,M2754-E2754,M2754),IF(A2754=Summary!$AD$3,L2754-D2754,L2754))</f>
        <v>-2050096.72</v>
      </c>
      <c r="O2754" s="95">
        <f t="shared" si="359"/>
        <v>-2050096.72</v>
      </c>
      <c r="P2754" s="95" t="s">
        <v>155</v>
      </c>
      <c r="Q2754" s="95">
        <v>0</v>
      </c>
      <c r="R2754" s="95">
        <v>0</v>
      </c>
      <c r="S2754" s="95"/>
      <c r="T2754" s="95"/>
      <c r="U2754" s="95"/>
      <c r="V2754" s="95"/>
      <c r="W2754" s="95"/>
      <c r="X2754" s="95"/>
      <c r="Y2754" s="95"/>
      <c r="Z2754" s="95"/>
      <c r="AA2754" s="95"/>
      <c r="AB2754" s="95"/>
      <c r="AC2754" s="355"/>
      <c r="AD2754" s="355"/>
      <c r="AE2754" s="355"/>
      <c r="AF2754" s="94">
        <f t="shared" si="355"/>
        <v>43496</v>
      </c>
      <c r="AG2754" s="185">
        <f t="shared" si="358"/>
        <v>1.3548797511244937E-2</v>
      </c>
      <c r="AH2754" s="339" t="str">
        <f>VLOOKUP(B2754,'MF PF'!A:B,2)</f>
        <v>FdMgt1</v>
      </c>
      <c r="AI2754" s="358">
        <f t="shared" si="356"/>
        <v>0</v>
      </c>
      <c r="AJ2754" s="94">
        <f t="shared" si="357"/>
        <v>43496</v>
      </c>
    </row>
    <row r="2755" spans="1:36" ht="12.75" customHeight="1">
      <c r="A2755" s="94">
        <v>43252</v>
      </c>
      <c r="B2755" s="358" t="s">
        <v>273</v>
      </c>
      <c r="C2755" s="358" t="s">
        <v>371</v>
      </c>
      <c r="D2755" s="93"/>
      <c r="F2755" s="93"/>
      <c r="G2755" s="93">
        <v>300000</v>
      </c>
      <c r="H2755" s="93"/>
      <c r="I2755" s="93"/>
      <c r="K2755" s="93"/>
      <c r="L2755" s="93">
        <f t="shared" ref="L2755:L2818" si="360">G2755+H2755+I2755</f>
        <v>300000</v>
      </c>
      <c r="M2755" s="95">
        <f t="shared" ref="M2755:M2818" ca="1" si="361">IF(A2755&gt;INDIRECT("A"&amp;ROW()-1),I2755/K2755,E2755)</f>
        <v>0</v>
      </c>
      <c r="N2755" s="95">
        <f>IF(P2755="Hedge Fund",IF(A2755=Summary!$AD$3,M2755-E2755,M2755),IF(A2755=Summary!$AD$3,L2755-D2755,L2755))</f>
        <v>300000</v>
      </c>
      <c r="O2755" s="95">
        <f t="shared" si="359"/>
        <v>300000</v>
      </c>
      <c r="P2755" s="107" t="s">
        <v>155</v>
      </c>
      <c r="Q2755" s="95">
        <v>0</v>
      </c>
      <c r="R2755" s="95">
        <v>0</v>
      </c>
      <c r="S2755" s="95"/>
      <c r="T2755" s="95"/>
      <c r="U2755" s="95"/>
      <c r="V2755" s="95"/>
      <c r="W2755" s="95"/>
      <c r="X2755" s="95"/>
      <c r="Y2755" s="95"/>
      <c r="Z2755" s="95"/>
      <c r="AA2755" s="95"/>
      <c r="AB2755" s="95"/>
      <c r="AC2755" s="355"/>
      <c r="AD2755" s="355"/>
      <c r="AE2755" s="355"/>
      <c r="AF2755" s="94">
        <f t="shared" ref="AF2755:AF2818" si="362">A2755</f>
        <v>43252</v>
      </c>
      <c r="AG2755" s="185">
        <f t="shared" si="358"/>
        <v>-1</v>
      </c>
      <c r="AH2755" s="339" t="str">
        <f>VLOOKUP(B2755,'MF PF'!A:B,2)</f>
        <v>FdMgt1</v>
      </c>
      <c r="AI2755" s="358">
        <f t="shared" ref="AI2755:AI2818" si="363">AF2755-A2755</f>
        <v>0</v>
      </c>
      <c r="AJ2755" s="94">
        <f t="shared" ref="AJ2755:AJ2818" si="364">EOMONTH(A2755,0)</f>
        <v>43281</v>
      </c>
    </row>
    <row r="2756" spans="1:36" ht="12.75" customHeight="1">
      <c r="A2756" s="94">
        <v>43281</v>
      </c>
      <c r="B2756" s="358" t="s">
        <v>273</v>
      </c>
      <c r="C2756" s="358" t="s">
        <v>371</v>
      </c>
      <c r="D2756" s="93">
        <v>300397.8</v>
      </c>
      <c r="F2756" s="93"/>
      <c r="G2756" s="93"/>
      <c r="H2756" s="93"/>
      <c r="I2756" s="93"/>
      <c r="K2756" s="93"/>
      <c r="L2756" s="93">
        <f t="shared" si="360"/>
        <v>0</v>
      </c>
      <c r="M2756" s="95" t="e">
        <f t="shared" ca="1" si="361"/>
        <v>#DIV/0!</v>
      </c>
      <c r="N2756" s="95">
        <f>IF(P2756="Hedge Fund",IF(A2756=Summary!$AD$3,M2756-E2756,M2756),IF(A2756=Summary!$AD$3,L2756-D2756,L2756))</f>
        <v>0</v>
      </c>
      <c r="O2756" s="95">
        <f t="shared" si="359"/>
        <v>0</v>
      </c>
      <c r="P2756" s="107" t="s">
        <v>155</v>
      </c>
      <c r="Q2756" s="95">
        <v>3.5851999999999998E-4</v>
      </c>
      <c r="R2756" s="95">
        <v>7.0199999999999999E-5</v>
      </c>
      <c r="S2756" s="95"/>
      <c r="T2756" s="95"/>
      <c r="U2756" s="95"/>
      <c r="V2756" s="95"/>
      <c r="W2756" s="95"/>
      <c r="X2756" s="95"/>
      <c r="Y2756" s="95"/>
      <c r="Z2756" s="95"/>
      <c r="AA2756" s="95"/>
      <c r="AB2756" s="95"/>
      <c r="AC2756" s="355"/>
      <c r="AD2756" s="355"/>
      <c r="AE2756" s="355"/>
      <c r="AF2756" s="94">
        <f t="shared" si="362"/>
        <v>43281</v>
      </c>
      <c r="AG2756" s="185" t="e">
        <f t="shared" si="358"/>
        <v>#DIV/0!</v>
      </c>
      <c r="AH2756" s="339" t="str">
        <f>VLOOKUP(B2756,'MF PF'!A:B,2)</f>
        <v>FdMgt1</v>
      </c>
      <c r="AI2756" s="358">
        <f t="shared" si="363"/>
        <v>0</v>
      </c>
      <c r="AJ2756" s="94">
        <f t="shared" si="364"/>
        <v>43281</v>
      </c>
    </row>
    <row r="2757" spans="1:36" ht="12.75" customHeight="1">
      <c r="A2757" s="94">
        <v>43312</v>
      </c>
      <c r="B2757" s="358" t="s">
        <v>273</v>
      </c>
      <c r="C2757" s="358" t="s">
        <v>371</v>
      </c>
      <c r="D2757" s="93">
        <v>300851.78999999998</v>
      </c>
      <c r="F2757" s="93"/>
      <c r="G2757" s="93"/>
      <c r="H2757" s="93"/>
      <c r="I2757" s="93"/>
      <c r="K2757" s="93"/>
      <c r="L2757" s="93">
        <f t="shared" si="360"/>
        <v>0</v>
      </c>
      <c r="M2757" s="95" t="e">
        <f t="shared" ca="1" si="361"/>
        <v>#DIV/0!</v>
      </c>
      <c r="N2757" s="95">
        <f>IF(P2757="Hedge Fund",IF(A2757=Summary!$AD$3,M2757-E2757,M2757),IF(A2757=Summary!$AD$3,L2757-D2757,L2757))</f>
        <v>0</v>
      </c>
      <c r="O2757" s="95">
        <f t="shared" si="359"/>
        <v>0</v>
      </c>
      <c r="P2757" s="107" t="s">
        <v>155</v>
      </c>
      <c r="Q2757" s="95">
        <v>0</v>
      </c>
      <c r="R2757" s="95">
        <v>1.5031999999999998E-4</v>
      </c>
      <c r="S2757" s="95"/>
      <c r="T2757" s="95"/>
      <c r="U2757" s="95"/>
      <c r="V2757" s="95"/>
      <c r="W2757" s="95"/>
      <c r="X2757" s="95"/>
      <c r="Y2757" s="95"/>
      <c r="Z2757" s="95"/>
      <c r="AA2757" s="95"/>
      <c r="AB2757" s="95"/>
      <c r="AC2757" s="355"/>
      <c r="AD2757" s="355"/>
      <c r="AE2757" s="355"/>
      <c r="AF2757" s="94">
        <f t="shared" si="362"/>
        <v>43312</v>
      </c>
      <c r="AG2757" s="185">
        <f t="shared" si="358"/>
        <v>1.5112960214755944E-3</v>
      </c>
      <c r="AH2757" s="339" t="str">
        <f>VLOOKUP(B2757,'MF PF'!A:B,2)</f>
        <v>FdMgt1</v>
      </c>
      <c r="AI2757" s="358">
        <f t="shared" si="363"/>
        <v>0</v>
      </c>
      <c r="AJ2757" s="94">
        <f t="shared" si="364"/>
        <v>43312</v>
      </c>
    </row>
    <row r="2758" spans="1:36" ht="12.75" customHeight="1">
      <c r="A2758" s="94">
        <v>43329</v>
      </c>
      <c r="B2758" s="358" t="s">
        <v>273</v>
      </c>
      <c r="C2758" s="358" t="s">
        <v>371</v>
      </c>
      <c r="D2758" s="93"/>
      <c r="F2758" s="93"/>
      <c r="G2758" s="93">
        <v>-95579.838838351439</v>
      </c>
      <c r="H2758" s="93"/>
      <c r="I2758" s="93"/>
      <c r="K2758" s="93"/>
      <c r="L2758" s="93">
        <f t="shared" si="360"/>
        <v>-95579.838838351439</v>
      </c>
      <c r="M2758" s="95" t="e">
        <f t="shared" ca="1" si="361"/>
        <v>#DIV/0!</v>
      </c>
      <c r="N2758" s="95">
        <f>IF(P2758="Hedge Fund",IF(A2758=Summary!$AD$3,M2758-E2758,M2758),IF(A2758=Summary!$AD$3,L2758-D2758,L2758))</f>
        <v>-95579.838838351439</v>
      </c>
      <c r="O2758" s="95">
        <f t="shared" si="359"/>
        <v>-95579.838838351439</v>
      </c>
      <c r="P2758" s="107" t="s">
        <v>155</v>
      </c>
      <c r="Q2758" s="95">
        <v>0</v>
      </c>
      <c r="R2758" s="95">
        <v>0</v>
      </c>
      <c r="S2758" s="95"/>
      <c r="T2758" s="95"/>
      <c r="U2758" s="95"/>
      <c r="V2758" s="95"/>
      <c r="W2758" s="95"/>
      <c r="X2758" s="95"/>
      <c r="Y2758" s="95"/>
      <c r="Z2758" s="95"/>
      <c r="AA2758" s="95"/>
      <c r="AB2758" s="95"/>
      <c r="AC2758" s="355"/>
      <c r="AD2758" s="355"/>
      <c r="AE2758" s="355"/>
      <c r="AF2758" s="94">
        <f t="shared" si="362"/>
        <v>43329</v>
      </c>
      <c r="AG2758" s="185">
        <f t="shared" si="358"/>
        <v>-0.68230257550286988</v>
      </c>
      <c r="AH2758" s="339" t="str">
        <f>VLOOKUP(B2758,'MF PF'!A:B,2)</f>
        <v>FdMgt1</v>
      </c>
      <c r="AI2758" s="358">
        <f t="shared" si="363"/>
        <v>0</v>
      </c>
      <c r="AJ2758" s="94">
        <f t="shared" si="364"/>
        <v>43343</v>
      </c>
    </row>
    <row r="2759" spans="1:36" ht="12.75" customHeight="1">
      <c r="A2759" s="94">
        <v>43343</v>
      </c>
      <c r="B2759" s="358" t="s">
        <v>273</v>
      </c>
      <c r="C2759" s="358" t="s">
        <v>371</v>
      </c>
      <c r="D2759" s="93">
        <v>204781.67</v>
      </c>
      <c r="F2759" s="93"/>
      <c r="G2759" s="93"/>
      <c r="H2759" s="93"/>
      <c r="I2759" s="93"/>
      <c r="K2759" s="93"/>
      <c r="L2759" s="93">
        <f t="shared" si="360"/>
        <v>0</v>
      </c>
      <c r="M2759" s="95" t="e">
        <f t="shared" ca="1" si="361"/>
        <v>#DIV/0!</v>
      </c>
      <c r="N2759" s="95">
        <f>IF(P2759="Hedge Fund",IF(A2759=Summary!$AD$3,M2759-E2759,M2759),IF(A2759=Summary!$AD$3,L2759-D2759,L2759))</f>
        <v>0</v>
      </c>
      <c r="O2759" s="9">
        <f t="shared" si="359"/>
        <v>0</v>
      </c>
      <c r="P2759" s="107" t="s">
        <v>155</v>
      </c>
      <c r="Q2759" s="95">
        <v>0</v>
      </c>
      <c r="R2759" s="95">
        <v>6.3799999999999992E-5</v>
      </c>
      <c r="S2759" s="95"/>
      <c r="T2759" s="95"/>
      <c r="U2759" s="95"/>
      <c r="V2759" s="95"/>
      <c r="W2759" s="95"/>
      <c r="X2759" s="95"/>
      <c r="Y2759" s="95"/>
      <c r="Z2759" s="95"/>
      <c r="AA2759" s="95"/>
      <c r="AB2759" s="95"/>
      <c r="AC2759" s="355"/>
      <c r="AD2759" s="355"/>
      <c r="AE2759" s="355"/>
      <c r="AF2759" s="94">
        <f t="shared" si="362"/>
        <v>43343</v>
      </c>
      <c r="AG2759" s="185" t="e">
        <f t="shared" si="358"/>
        <v>#DIV/0!</v>
      </c>
      <c r="AH2759" s="339" t="str">
        <f>VLOOKUP(B2759,'MF PF'!A:B,2)</f>
        <v>FdMgt1</v>
      </c>
      <c r="AI2759" s="358">
        <f t="shared" si="363"/>
        <v>0</v>
      </c>
      <c r="AJ2759" s="94">
        <f t="shared" si="364"/>
        <v>43343</v>
      </c>
    </row>
    <row r="2760" spans="1:36" ht="12.75" customHeight="1">
      <c r="A2760" s="94">
        <v>43369</v>
      </c>
      <c r="B2760" s="358" t="s">
        <v>273</v>
      </c>
      <c r="C2760" s="358" t="s">
        <v>371</v>
      </c>
      <c r="D2760" s="93"/>
      <c r="F2760" s="93"/>
      <c r="G2760" s="93">
        <v>41358.03</v>
      </c>
      <c r="H2760" s="93"/>
      <c r="I2760" s="93"/>
      <c r="K2760" s="93"/>
      <c r="L2760" s="93">
        <f t="shared" si="360"/>
        <v>41358.03</v>
      </c>
      <c r="M2760" s="95" t="e">
        <f t="shared" ca="1" si="361"/>
        <v>#DIV/0!</v>
      </c>
      <c r="N2760" s="95">
        <f>IF(P2760="Hedge Fund",IF(A2760=Summary!$AD$3,M2760-E2760,M2760),IF(A2760=Summary!$AD$3,L2760-D2760,L2760))</f>
        <v>41358.03</v>
      </c>
      <c r="O2760" s="9">
        <f t="shared" si="359"/>
        <v>41358.03</v>
      </c>
      <c r="P2760" s="107" t="s">
        <v>155</v>
      </c>
      <c r="Q2760" s="95">
        <v>0</v>
      </c>
      <c r="R2760" s="95">
        <v>0</v>
      </c>
      <c r="S2760" s="95"/>
      <c r="T2760" s="95"/>
      <c r="U2760" s="95"/>
      <c r="V2760" s="95"/>
      <c r="W2760" s="95"/>
      <c r="X2760" s="95"/>
      <c r="Y2760" s="95"/>
      <c r="Z2760" s="95"/>
      <c r="AA2760" s="95"/>
      <c r="AB2760" s="95"/>
      <c r="AC2760" s="355"/>
      <c r="AD2760" s="355"/>
      <c r="AE2760" s="355"/>
      <c r="AF2760" s="94">
        <f t="shared" si="362"/>
        <v>43369</v>
      </c>
      <c r="AG2760" s="185">
        <f t="shared" si="358"/>
        <v>-1.2019615818154037</v>
      </c>
      <c r="AH2760" s="339" t="str">
        <f>VLOOKUP(B2760,'MF PF'!A:B,2)</f>
        <v>FdMgt1</v>
      </c>
      <c r="AI2760" s="358">
        <f t="shared" si="363"/>
        <v>0</v>
      </c>
      <c r="AJ2760" s="94">
        <f t="shared" si="364"/>
        <v>43373</v>
      </c>
    </row>
    <row r="2761" spans="1:36" ht="12.75" customHeight="1">
      <c r="A2761" s="94">
        <v>43371</v>
      </c>
      <c r="B2761" s="358" t="s">
        <v>273</v>
      </c>
      <c r="C2761" s="358" t="s">
        <v>371</v>
      </c>
      <c r="D2761" s="93">
        <v>247626.54</v>
      </c>
      <c r="F2761" s="93"/>
      <c r="G2761" s="93"/>
      <c r="H2761" s="93"/>
      <c r="I2761" s="93"/>
      <c r="K2761" s="93"/>
      <c r="L2761" s="93">
        <f t="shared" si="360"/>
        <v>0</v>
      </c>
      <c r="M2761" s="95" t="e">
        <f t="shared" ca="1" si="361"/>
        <v>#DIV/0!</v>
      </c>
      <c r="N2761" s="95">
        <f>IF(P2761="Hedge Fund",IF(A2761=Summary!$AD$3,M2761-E2761,M2761),IF(A2761=Summary!$AD$3,L2761-D2761,L2761))</f>
        <v>0</v>
      </c>
      <c r="O2761" s="9">
        <f t="shared" si="359"/>
        <v>0</v>
      </c>
      <c r="P2761" s="107" t="s">
        <v>155</v>
      </c>
      <c r="Q2761" s="95">
        <v>1.3572E-3</v>
      </c>
      <c r="R2761" s="95">
        <v>3.2618000000000002E-4</v>
      </c>
      <c r="S2761" s="95"/>
      <c r="T2761" s="95"/>
      <c r="U2761" s="95"/>
      <c r="V2761" s="95"/>
      <c r="W2761" s="95"/>
      <c r="X2761" s="95"/>
      <c r="Y2761" s="95"/>
      <c r="Z2761" s="95"/>
      <c r="AA2761" s="95"/>
      <c r="AB2761" s="95"/>
      <c r="AC2761" s="355"/>
      <c r="AD2761" s="355"/>
      <c r="AE2761" s="355"/>
      <c r="AF2761" s="94">
        <f t="shared" si="362"/>
        <v>43371</v>
      </c>
      <c r="AG2761" s="185" t="e">
        <f t="shared" si="358"/>
        <v>#DIV/0!</v>
      </c>
      <c r="AH2761" s="339" t="str">
        <f>VLOOKUP(B2761,'MF PF'!A:B,2)</f>
        <v>FdMgt1</v>
      </c>
      <c r="AI2761" s="358">
        <f t="shared" si="363"/>
        <v>0</v>
      </c>
      <c r="AJ2761" s="94">
        <f t="shared" si="364"/>
        <v>43373</v>
      </c>
    </row>
    <row r="2762" spans="1:36" ht="12.75" customHeight="1">
      <c r="A2762" s="94">
        <v>43404</v>
      </c>
      <c r="B2762" s="358" t="s">
        <v>273</v>
      </c>
      <c r="C2762" s="358" t="s">
        <v>371</v>
      </c>
      <c r="D2762" s="93">
        <v>297647.56170000002</v>
      </c>
      <c r="F2762" s="93">
        <v>0.3</v>
      </c>
      <c r="G2762" s="93">
        <v>24274.309999999998</v>
      </c>
      <c r="H2762" s="93">
        <v>0</v>
      </c>
      <c r="I2762" s="93">
        <v>0</v>
      </c>
      <c r="J2762" s="93">
        <v>0</v>
      </c>
      <c r="K2762" s="93"/>
      <c r="L2762" s="93">
        <f t="shared" si="360"/>
        <v>24274.309999999998</v>
      </c>
      <c r="M2762" s="95" t="e">
        <f t="shared" ca="1" si="361"/>
        <v>#DIV/0!</v>
      </c>
      <c r="N2762" s="95">
        <f>IF(P2762="Hedge Fund",IF(A2762=Summary!$AD$3,M2762-E2762,M2762),IF(A2762=Summary!$AD$3,L2762-D2762,L2762))</f>
        <v>24274.309999999998</v>
      </c>
      <c r="O2762" s="9">
        <f t="shared" si="359"/>
        <v>24274.309999999998</v>
      </c>
      <c r="P2762" s="95" t="s">
        <v>155</v>
      </c>
      <c r="Q2762" s="95">
        <v>1.6720436452766479E-3</v>
      </c>
      <c r="R2762" s="95">
        <v>1.3580968325752715E-2</v>
      </c>
      <c r="S2762" s="95"/>
      <c r="T2762" s="95"/>
      <c r="U2762" s="95"/>
      <c r="V2762" s="95"/>
      <c r="W2762" s="95"/>
      <c r="X2762" s="95"/>
      <c r="Y2762" s="95"/>
      <c r="Z2762" s="95"/>
      <c r="AA2762" s="95"/>
      <c r="AB2762" s="95"/>
      <c r="AC2762" s="355"/>
      <c r="AD2762" s="355"/>
      <c r="AE2762" s="355"/>
      <c r="AF2762" s="94">
        <f t="shared" si="362"/>
        <v>43404</v>
      </c>
      <c r="AG2762" s="185">
        <f t="shared" si="358"/>
        <v>0.10397395893025041</v>
      </c>
      <c r="AH2762" s="339" t="str">
        <f>VLOOKUP(B2762,'MF PF'!A:B,2)</f>
        <v>FdMgt1</v>
      </c>
      <c r="AI2762" s="358">
        <f t="shared" si="363"/>
        <v>0</v>
      </c>
      <c r="AJ2762" s="94">
        <f t="shared" si="364"/>
        <v>43404</v>
      </c>
    </row>
    <row r="2763" spans="1:36" ht="12.75" customHeight="1">
      <c r="A2763" s="94">
        <v>43432</v>
      </c>
      <c r="B2763" s="358" t="s">
        <v>273</v>
      </c>
      <c r="C2763" s="358" t="s">
        <v>371</v>
      </c>
      <c r="D2763" s="93"/>
      <c r="F2763" s="93"/>
      <c r="G2763" s="93">
        <v>26100.91</v>
      </c>
      <c r="H2763" s="93">
        <v>0</v>
      </c>
      <c r="I2763" s="93">
        <v>0</v>
      </c>
      <c r="K2763" s="93">
        <v>0</v>
      </c>
      <c r="L2763" s="93">
        <f t="shared" si="360"/>
        <v>26100.91</v>
      </c>
      <c r="M2763" s="95" t="e">
        <f t="shared" ca="1" si="361"/>
        <v>#DIV/0!</v>
      </c>
      <c r="N2763" s="95">
        <f>IF(P2763="Hedge Fund",IF(A2763=Summary!$AD$3,M2763-E2763,M2763),IF(A2763=Summary!$AD$3,L2763-D2763,L2763))</f>
        <v>26100.91</v>
      </c>
      <c r="O2763" s="9">
        <f t="shared" si="359"/>
        <v>26100.91</v>
      </c>
      <c r="P2763" s="95" t="s">
        <v>155</v>
      </c>
      <c r="Q2763" s="95"/>
      <c r="R2763" s="95"/>
      <c r="S2763" s="95"/>
      <c r="T2763" s="95"/>
      <c r="U2763" s="95"/>
      <c r="V2763" s="95"/>
      <c r="W2763" s="95"/>
      <c r="X2763" s="95"/>
      <c r="Y2763" s="95"/>
      <c r="Z2763" s="95"/>
      <c r="AA2763" s="95"/>
      <c r="AB2763" s="95"/>
      <c r="AC2763" s="355"/>
      <c r="AD2763" s="355"/>
      <c r="AE2763" s="355"/>
      <c r="AF2763" s="94">
        <f t="shared" si="362"/>
        <v>43432</v>
      </c>
      <c r="AG2763" s="185">
        <f t="shared" si="358"/>
        <v>-1.0876906561939426</v>
      </c>
      <c r="AH2763" s="339" t="str">
        <f>VLOOKUP(B2763,'MF PF'!A:B,2)</f>
        <v>FdMgt1</v>
      </c>
      <c r="AI2763" s="358">
        <f t="shared" si="363"/>
        <v>0</v>
      </c>
      <c r="AJ2763" s="94">
        <f t="shared" si="364"/>
        <v>43434</v>
      </c>
    </row>
    <row r="2764" spans="1:36" ht="12.75" customHeight="1">
      <c r="A2764" s="94">
        <v>43434</v>
      </c>
      <c r="B2764" s="358" t="s">
        <v>273</v>
      </c>
      <c r="C2764" s="358" t="s">
        <v>371</v>
      </c>
      <c r="D2764" s="93">
        <v>342225.31</v>
      </c>
      <c r="F2764" s="93">
        <v>0.3</v>
      </c>
      <c r="G2764" s="93"/>
      <c r="H2764" s="93">
        <v>0</v>
      </c>
      <c r="I2764" s="93">
        <v>0</v>
      </c>
      <c r="K2764" s="93">
        <v>0</v>
      </c>
      <c r="L2764" s="93">
        <f t="shared" si="360"/>
        <v>0</v>
      </c>
      <c r="M2764" s="95" t="e">
        <f t="shared" ca="1" si="361"/>
        <v>#DIV/0!</v>
      </c>
      <c r="N2764" s="95">
        <f>IF(P2764="Hedge Fund",IF(A2764=Summary!$AD$3,M2764-E2764,M2764),IF(A2764=Summary!$AD$3,L2764-D2764,L2764))</f>
        <v>0</v>
      </c>
      <c r="O2764" s="9">
        <f t="shared" si="359"/>
        <v>0</v>
      </c>
      <c r="P2764" s="95" t="s">
        <v>155</v>
      </c>
      <c r="Q2764" s="95">
        <v>2.2733200000000001E-3</v>
      </c>
      <c r="R2764" s="95">
        <v>8.1303358257527169E-3</v>
      </c>
      <c r="S2764" s="95"/>
      <c r="T2764" s="95"/>
      <c r="U2764" s="95"/>
      <c r="V2764" s="95"/>
      <c r="W2764" s="95"/>
      <c r="X2764" s="95"/>
      <c r="Y2764" s="95"/>
      <c r="Z2764" s="95"/>
      <c r="AA2764" s="95"/>
      <c r="AB2764" s="95"/>
      <c r="AC2764" s="355"/>
      <c r="AD2764" s="355"/>
      <c r="AE2764" s="355"/>
      <c r="AF2764" s="94">
        <f t="shared" si="362"/>
        <v>43434</v>
      </c>
      <c r="AG2764" s="185" t="e">
        <f t="shared" si="358"/>
        <v>#DIV/0!</v>
      </c>
      <c r="AH2764" s="339" t="str">
        <f>VLOOKUP(B2764,'MF PF'!A:B,2)</f>
        <v>FdMgt1</v>
      </c>
      <c r="AI2764" s="358">
        <f t="shared" si="363"/>
        <v>0</v>
      </c>
      <c r="AJ2764" s="94">
        <f t="shared" si="364"/>
        <v>43434</v>
      </c>
    </row>
    <row r="2765" spans="1:36" ht="12.75" customHeight="1">
      <c r="A2765" s="94">
        <v>43465</v>
      </c>
      <c r="B2765" s="358" t="s">
        <v>273</v>
      </c>
      <c r="C2765" s="358" t="s">
        <v>371</v>
      </c>
      <c r="D2765" s="93">
        <v>300684.17</v>
      </c>
      <c r="F2765" s="93">
        <v>0.3</v>
      </c>
      <c r="G2765" s="93"/>
      <c r="H2765" s="93">
        <v>0</v>
      </c>
      <c r="I2765" s="93">
        <v>0</v>
      </c>
      <c r="K2765" s="93">
        <v>0</v>
      </c>
      <c r="L2765" s="93">
        <f t="shared" si="360"/>
        <v>0</v>
      </c>
      <c r="M2765" s="95" t="e">
        <f t="shared" ca="1" si="361"/>
        <v>#DIV/0!</v>
      </c>
      <c r="N2765" s="95">
        <f>IF(P2765="Hedge Fund",IF(A2765=Summary!$AD$3,M2765-E2765,M2765),IF(A2765=Summary!$AD$3,L2765-D2765,L2765))</f>
        <v>0</v>
      </c>
      <c r="O2765" s="9">
        <f t="shared" si="359"/>
        <v>0</v>
      </c>
      <c r="P2765" s="95" t="s">
        <v>155</v>
      </c>
      <c r="Q2765" s="95">
        <v>-0.30340374982974627</v>
      </c>
      <c r="R2765" s="95">
        <v>0</v>
      </c>
      <c r="S2765" s="95"/>
      <c r="T2765" s="95"/>
      <c r="U2765" s="95"/>
      <c r="V2765" s="95"/>
      <c r="W2765" s="95"/>
      <c r="X2765" s="95"/>
      <c r="Y2765" s="95"/>
      <c r="Z2765" s="95"/>
      <c r="AA2765" s="95"/>
      <c r="AB2765" s="95"/>
      <c r="AC2765" s="355"/>
      <c r="AD2765" s="355"/>
      <c r="AE2765" s="355"/>
      <c r="AF2765" s="94">
        <f t="shared" si="362"/>
        <v>43465</v>
      </c>
      <c r="AG2765" s="185">
        <f t="shared" si="358"/>
        <v>-0.12138535282501461</v>
      </c>
      <c r="AH2765" s="339" t="str">
        <f>VLOOKUP(B2765,'MF PF'!A:B,2)</f>
        <v>FdMgt1</v>
      </c>
      <c r="AI2765" s="358">
        <f t="shared" si="363"/>
        <v>0</v>
      </c>
      <c r="AJ2765" s="94">
        <f t="shared" si="364"/>
        <v>43465</v>
      </c>
    </row>
    <row r="2766" spans="1:36" ht="12.75" customHeight="1">
      <c r="A2766" s="94">
        <v>43496</v>
      </c>
      <c r="B2766" s="358" t="s">
        <v>273</v>
      </c>
      <c r="C2766" s="358" t="s">
        <v>371</v>
      </c>
      <c r="D2766" s="93">
        <v>348271.28769999999</v>
      </c>
      <c r="F2766" s="93">
        <v>0.29615341116164856</v>
      </c>
      <c r="G2766" s="93"/>
      <c r="H2766" s="93">
        <v>0</v>
      </c>
      <c r="I2766" s="93">
        <v>0</v>
      </c>
      <c r="K2766" s="93">
        <v>0</v>
      </c>
      <c r="L2766" s="93">
        <f t="shared" si="360"/>
        <v>0</v>
      </c>
      <c r="M2766" s="95" t="e">
        <f t="shared" ca="1" si="361"/>
        <v>#DIV/0!</v>
      </c>
      <c r="N2766" s="95">
        <f>IF(P2766="Hedge Fund",IF(A2766=Summary!$AD$3,M2766-E2766,M2766),IF(A2766=Summary!$AD$3,L2766-D2766,L2766))</f>
        <v>-348271.28769999999</v>
      </c>
      <c r="O2766" s="9">
        <f t="shared" si="359"/>
        <v>-348271.28769999999</v>
      </c>
      <c r="P2766" s="95" t="s">
        <v>155</v>
      </c>
      <c r="Q2766" s="95">
        <v>2.2477687763322227E-3</v>
      </c>
      <c r="R2766" s="95">
        <v>9.1972723257527124E-3</v>
      </c>
      <c r="S2766" s="95"/>
      <c r="T2766" s="95"/>
      <c r="U2766" s="95"/>
      <c r="V2766" s="95"/>
      <c r="W2766" s="95"/>
      <c r="X2766" s="95"/>
      <c r="Y2766" s="95"/>
      <c r="Z2766" s="95"/>
      <c r="AA2766" s="95"/>
      <c r="AB2766" s="95"/>
      <c r="AC2766" s="355"/>
      <c r="AD2766" s="355"/>
      <c r="AE2766" s="355"/>
      <c r="AF2766" s="94">
        <f t="shared" si="362"/>
        <v>43496</v>
      </c>
      <c r="AG2766" s="185">
        <f t="shared" ref="AG2766:AG2829" si="365">IF(C2766&lt;&gt;C2765,D2766/G2766-1,(D2766-G2766-I2766-H2766)/(D2765)-1)</f>
        <v>0.15826279680769373</v>
      </c>
      <c r="AH2766" s="339" t="str">
        <f>VLOOKUP(B2766,'MF PF'!A:B,2)</f>
        <v>FdMgt1</v>
      </c>
      <c r="AI2766" s="358">
        <f t="shared" si="363"/>
        <v>0</v>
      </c>
      <c r="AJ2766" s="94">
        <f t="shared" si="364"/>
        <v>43496</v>
      </c>
    </row>
    <row r="2767" spans="1:36" ht="12.75" customHeight="1">
      <c r="A2767" s="94">
        <v>43252</v>
      </c>
      <c r="B2767" s="358" t="s">
        <v>273</v>
      </c>
      <c r="C2767" s="358" t="s">
        <v>372</v>
      </c>
      <c r="D2767" s="93"/>
      <c r="F2767" s="93"/>
      <c r="G2767" s="93">
        <v>1000000</v>
      </c>
      <c r="H2767" s="93"/>
      <c r="I2767" s="93"/>
      <c r="K2767" s="93"/>
      <c r="L2767" s="93">
        <f t="shared" si="360"/>
        <v>1000000</v>
      </c>
      <c r="M2767" s="95">
        <f t="shared" ca="1" si="361"/>
        <v>0</v>
      </c>
      <c r="N2767" s="95">
        <f>IF(P2767="Hedge Fund",IF(A2767=Summary!$AD$3,M2767-E2767,M2767),IF(A2767=Summary!$AD$3,L2767-D2767,L2767))</f>
        <v>1000000</v>
      </c>
      <c r="O2767" s="9">
        <f t="shared" si="359"/>
        <v>1000000</v>
      </c>
      <c r="P2767" s="107" t="s">
        <v>155</v>
      </c>
      <c r="Q2767" s="95">
        <v>0</v>
      </c>
      <c r="R2767" s="95">
        <v>0</v>
      </c>
      <c r="S2767" s="95"/>
      <c r="T2767" s="95"/>
      <c r="U2767" s="95"/>
      <c r="V2767" s="95"/>
      <c r="W2767" s="95"/>
      <c r="X2767" s="95"/>
      <c r="Y2767" s="95"/>
      <c r="Z2767" s="95"/>
      <c r="AA2767" s="95"/>
      <c r="AB2767" s="95"/>
      <c r="AC2767" s="355"/>
      <c r="AD2767" s="355"/>
      <c r="AE2767" s="355"/>
      <c r="AF2767" s="94">
        <f t="shared" si="362"/>
        <v>43252</v>
      </c>
      <c r="AG2767" s="185">
        <f t="shared" si="365"/>
        <v>-1</v>
      </c>
      <c r="AH2767" s="339" t="str">
        <f>VLOOKUP(B2767,'MF PF'!A:B,2)</f>
        <v>FdMgt1</v>
      </c>
      <c r="AI2767" s="358">
        <f t="shared" si="363"/>
        <v>0</v>
      </c>
      <c r="AJ2767" s="94">
        <f t="shared" si="364"/>
        <v>43281</v>
      </c>
    </row>
    <row r="2768" spans="1:36" ht="12.75" customHeight="1">
      <c r="A2768" s="94">
        <v>43281</v>
      </c>
      <c r="B2768" s="358" t="s">
        <v>273</v>
      </c>
      <c r="C2768" s="358" t="s">
        <v>372</v>
      </c>
      <c r="D2768" s="93">
        <v>1001325.98</v>
      </c>
      <c r="F2768" s="93"/>
      <c r="G2768" s="93"/>
      <c r="H2768" s="93"/>
      <c r="I2768" s="93"/>
      <c r="K2768" s="93"/>
      <c r="L2768" s="93">
        <f t="shared" si="360"/>
        <v>0</v>
      </c>
      <c r="M2768" s="95" t="e">
        <f t="shared" ca="1" si="361"/>
        <v>#DIV/0!</v>
      </c>
      <c r="N2768" s="95">
        <f>IF(P2768="Hedge Fund",IF(A2768=Summary!$AD$3,M2768-E2768,M2768),IF(A2768=Summary!$AD$3,L2768-D2768,L2768))</f>
        <v>0</v>
      </c>
      <c r="O2768" s="9">
        <f t="shared" si="359"/>
        <v>0</v>
      </c>
      <c r="P2768" s="107" t="s">
        <v>155</v>
      </c>
      <c r="Q2768" s="95">
        <v>1.19506E-3</v>
      </c>
      <c r="R2768" s="95">
        <v>2.34E-4</v>
      </c>
      <c r="S2768" s="95"/>
      <c r="T2768" s="95"/>
      <c r="U2768" s="95"/>
      <c r="V2768" s="95"/>
      <c r="W2768" s="95"/>
      <c r="X2768" s="95"/>
      <c r="Y2768" s="95"/>
      <c r="Z2768" s="95"/>
      <c r="AA2768" s="95"/>
      <c r="AB2768" s="95"/>
      <c r="AC2768" s="355"/>
      <c r="AD2768" s="355"/>
      <c r="AE2768" s="355"/>
      <c r="AF2768" s="94">
        <f t="shared" si="362"/>
        <v>43281</v>
      </c>
      <c r="AG2768" s="185" t="e">
        <f t="shared" si="365"/>
        <v>#DIV/0!</v>
      </c>
      <c r="AH2768" s="339" t="str">
        <f>VLOOKUP(B2768,'MF PF'!A:B,2)</f>
        <v>FdMgt1</v>
      </c>
      <c r="AI2768" s="358">
        <f t="shared" si="363"/>
        <v>0</v>
      </c>
      <c r="AJ2768" s="94">
        <f t="shared" si="364"/>
        <v>43281</v>
      </c>
    </row>
    <row r="2769" spans="1:36" ht="12.75" customHeight="1">
      <c r="A2769" s="94">
        <v>43312</v>
      </c>
      <c r="B2769" s="358" t="s">
        <v>273</v>
      </c>
      <c r="C2769" s="358" t="s">
        <v>372</v>
      </c>
      <c r="D2769" s="93">
        <v>1002839.32</v>
      </c>
      <c r="F2769" s="93"/>
      <c r="G2769" s="93"/>
      <c r="H2769" s="93"/>
      <c r="I2769" s="93"/>
      <c r="K2769" s="93"/>
      <c r="L2769" s="93">
        <f t="shared" si="360"/>
        <v>0</v>
      </c>
      <c r="M2769" s="95" t="e">
        <f t="shared" ca="1" si="361"/>
        <v>#DIV/0!</v>
      </c>
      <c r="N2769" s="95">
        <f>IF(P2769="Hedge Fund",IF(A2769=Summary!$AD$3,M2769-E2769,M2769),IF(A2769=Summary!$AD$3,L2769-D2769,L2769))</f>
        <v>0</v>
      </c>
      <c r="O2769" s="9">
        <f t="shared" si="359"/>
        <v>0</v>
      </c>
      <c r="P2769" s="107" t="s">
        <v>155</v>
      </c>
      <c r="Q2769" s="95">
        <v>0</v>
      </c>
      <c r="R2769" s="95">
        <v>5.0106E-4</v>
      </c>
      <c r="S2769" s="95"/>
      <c r="T2769" s="95"/>
      <c r="U2769" s="95"/>
      <c r="V2769" s="95"/>
      <c r="W2769" s="95"/>
      <c r="X2769" s="95"/>
      <c r="Y2769" s="95"/>
      <c r="Z2769" s="95"/>
      <c r="AA2769" s="95"/>
      <c r="AB2769" s="95"/>
      <c r="AC2769" s="355"/>
      <c r="AD2769" s="355"/>
      <c r="AE2769" s="355"/>
      <c r="AF2769" s="94">
        <f t="shared" si="362"/>
        <v>43312</v>
      </c>
      <c r="AG2769" s="185">
        <f t="shared" si="365"/>
        <v>1.5113359986924646E-3</v>
      </c>
      <c r="AH2769" s="339" t="str">
        <f>VLOOKUP(B2769,'MF PF'!A:B,2)</f>
        <v>FdMgt1</v>
      </c>
      <c r="AI2769" s="358">
        <f t="shared" si="363"/>
        <v>0</v>
      </c>
      <c r="AJ2769" s="94">
        <f t="shared" si="364"/>
        <v>43312</v>
      </c>
    </row>
    <row r="2770" spans="1:36" ht="12.75" customHeight="1">
      <c r="A2770" s="94">
        <v>43329</v>
      </c>
      <c r="B2770" s="358" t="s">
        <v>273</v>
      </c>
      <c r="C2770" s="358" t="s">
        <v>372</v>
      </c>
      <c r="D2770" s="93"/>
      <c r="F2770" s="93"/>
      <c r="G2770" s="93">
        <v>-318599.47279450478</v>
      </c>
      <c r="H2770" s="93"/>
      <c r="I2770" s="93"/>
      <c r="K2770" s="93"/>
      <c r="L2770" s="93">
        <f t="shared" si="360"/>
        <v>-318599.47279450478</v>
      </c>
      <c r="M2770" s="95" t="e">
        <f t="shared" ca="1" si="361"/>
        <v>#DIV/0!</v>
      </c>
      <c r="N2770" s="95">
        <f>IF(P2770="Hedge Fund",IF(A2770=Summary!$AD$3,M2770-E2770,M2770),IF(A2770=Summary!$AD$3,L2770-D2770,L2770))</f>
        <v>-318599.47279450478</v>
      </c>
      <c r="O2770" s="9">
        <f t="shared" si="359"/>
        <v>-318599.47279450478</v>
      </c>
      <c r="P2770" s="107" t="s">
        <v>155</v>
      </c>
      <c r="Q2770" s="95">
        <v>0</v>
      </c>
      <c r="R2770" s="95">
        <v>0</v>
      </c>
      <c r="S2770" s="95"/>
      <c r="T2770" s="95"/>
      <c r="U2770" s="95"/>
      <c r="V2770" s="95"/>
      <c r="W2770" s="95"/>
      <c r="X2770" s="95"/>
      <c r="Y2770" s="95"/>
      <c r="Z2770" s="95"/>
      <c r="AA2770" s="95"/>
      <c r="AB2770" s="95"/>
      <c r="AC2770" s="355"/>
      <c r="AD2770" s="355"/>
      <c r="AE2770" s="355"/>
      <c r="AF2770" s="94">
        <f t="shared" si="362"/>
        <v>43329</v>
      </c>
      <c r="AG2770" s="185">
        <f t="shared" si="365"/>
        <v>-0.68230257186714138</v>
      </c>
      <c r="AH2770" s="339" t="str">
        <f>VLOOKUP(B2770,'MF PF'!A:B,2)</f>
        <v>FdMgt1</v>
      </c>
      <c r="AI2770" s="358">
        <f t="shared" si="363"/>
        <v>0</v>
      </c>
      <c r="AJ2770" s="94">
        <f t="shared" si="364"/>
        <v>43343</v>
      </c>
    </row>
    <row r="2771" spans="1:36" ht="12.75" customHeight="1">
      <c r="A2771" s="94">
        <v>43343</v>
      </c>
      <c r="B2771" s="358" t="s">
        <v>273</v>
      </c>
      <c r="C2771" s="358" t="s">
        <v>372</v>
      </c>
      <c r="D2771" s="93">
        <v>682605.58</v>
      </c>
      <c r="E2771" s="95"/>
      <c r="F2771" s="93"/>
      <c r="G2771" s="93"/>
      <c r="H2771" s="93"/>
      <c r="I2771" s="93"/>
      <c r="K2771" s="93"/>
      <c r="L2771" s="93">
        <f t="shared" si="360"/>
        <v>0</v>
      </c>
      <c r="M2771" s="95" t="e">
        <f t="shared" ca="1" si="361"/>
        <v>#DIV/0!</v>
      </c>
      <c r="N2771" s="95">
        <f>IF(P2771="Hedge Fund",IF(A2771=Summary!$AD$3,M2771-E2771,M2771),IF(A2771=Summary!$AD$3,L2771-D2771,L2771))</f>
        <v>0</v>
      </c>
      <c r="O2771" s="9">
        <f t="shared" si="359"/>
        <v>0</v>
      </c>
      <c r="P2771" s="107" t="s">
        <v>155</v>
      </c>
      <c r="Q2771" s="95">
        <v>0</v>
      </c>
      <c r="R2771" s="95">
        <v>2.1265999999999999E-4</v>
      </c>
      <c r="S2771" s="95"/>
      <c r="T2771" s="95"/>
      <c r="U2771" s="95"/>
      <c r="V2771" s="95"/>
      <c r="W2771" s="95"/>
      <c r="X2771" s="95"/>
      <c r="Y2771" s="95"/>
      <c r="Z2771" s="95"/>
      <c r="AA2771" s="95"/>
      <c r="AB2771" s="95"/>
      <c r="AC2771" s="355"/>
      <c r="AD2771" s="355"/>
      <c r="AE2771" s="355"/>
      <c r="AF2771" s="94">
        <f t="shared" si="362"/>
        <v>43343</v>
      </c>
      <c r="AG2771" s="185" t="e">
        <f t="shared" si="365"/>
        <v>#DIV/0!</v>
      </c>
      <c r="AH2771" s="339" t="str">
        <f>VLOOKUP(B2771,'MF PF'!A:B,2)</f>
        <v>FdMgt1</v>
      </c>
      <c r="AI2771" s="358">
        <f t="shared" si="363"/>
        <v>0</v>
      </c>
      <c r="AJ2771" s="94">
        <f t="shared" si="364"/>
        <v>43343</v>
      </c>
    </row>
    <row r="2772" spans="1:36" ht="12.75" customHeight="1">
      <c r="A2772" s="94">
        <v>43369</v>
      </c>
      <c r="B2772" s="358" t="s">
        <v>273</v>
      </c>
      <c r="C2772" s="358" t="s">
        <v>372</v>
      </c>
      <c r="D2772" s="93"/>
      <c r="F2772" s="93"/>
      <c r="G2772" s="93">
        <v>137860.09</v>
      </c>
      <c r="H2772" s="93"/>
      <c r="I2772" s="93"/>
      <c r="K2772" s="93"/>
      <c r="L2772" s="93">
        <f t="shared" si="360"/>
        <v>137860.09</v>
      </c>
      <c r="M2772" s="95" t="e">
        <f t="shared" ca="1" si="361"/>
        <v>#DIV/0!</v>
      </c>
      <c r="N2772" s="95">
        <f>IF(P2772="Hedge Fund",IF(A2772=Summary!$AD$3,M2772-E2772,M2772),IF(A2772=Summary!$AD$3,L2772-D2772,L2772))</f>
        <v>137860.09</v>
      </c>
      <c r="O2772" s="9">
        <f t="shared" si="359"/>
        <v>137860.09</v>
      </c>
      <c r="P2772" s="107" t="s">
        <v>155</v>
      </c>
      <c r="Q2772" s="95">
        <v>0</v>
      </c>
      <c r="R2772" s="95">
        <v>0</v>
      </c>
      <c r="S2772" s="95"/>
      <c r="T2772" s="95"/>
      <c r="U2772" s="95"/>
      <c r="V2772" s="95"/>
      <c r="W2772" s="95"/>
      <c r="X2772" s="95"/>
      <c r="Y2772" s="95"/>
      <c r="Z2772" s="95"/>
      <c r="AA2772" s="95"/>
      <c r="AB2772" s="95"/>
      <c r="AC2772" s="355"/>
      <c r="AD2772" s="355"/>
      <c r="AE2772" s="355"/>
      <c r="AF2772" s="94">
        <f t="shared" si="362"/>
        <v>43369</v>
      </c>
      <c r="AG2772" s="185">
        <f t="shared" si="365"/>
        <v>-1.2019615632207401</v>
      </c>
      <c r="AH2772" s="339" t="str">
        <f>VLOOKUP(B2772,'MF PF'!A:B,2)</f>
        <v>FdMgt1</v>
      </c>
      <c r="AI2772" s="358">
        <f t="shared" si="363"/>
        <v>0</v>
      </c>
      <c r="AJ2772" s="94">
        <f t="shared" si="364"/>
        <v>43373</v>
      </c>
    </row>
    <row r="2773" spans="1:36" ht="12.75" customHeight="1">
      <c r="A2773" s="94">
        <v>43371</v>
      </c>
      <c r="B2773" s="358" t="s">
        <v>273</v>
      </c>
      <c r="C2773" s="358" t="s">
        <v>372</v>
      </c>
      <c r="D2773" s="93">
        <v>825421.79</v>
      </c>
      <c r="F2773" s="93"/>
      <c r="G2773" s="93"/>
      <c r="H2773" s="93"/>
      <c r="I2773" s="93"/>
      <c r="K2773" s="93"/>
      <c r="L2773" s="93">
        <f t="shared" si="360"/>
        <v>0</v>
      </c>
      <c r="M2773" s="95" t="e">
        <f t="shared" ca="1" si="361"/>
        <v>#DIV/0!</v>
      </c>
      <c r="N2773" s="95">
        <f>IF(P2773="Hedge Fund",IF(A2773=Summary!$AD$3,M2773-E2773,M2773),IF(A2773=Summary!$AD$3,L2773-D2773,L2773))</f>
        <v>0</v>
      </c>
      <c r="O2773" s="9">
        <f t="shared" si="359"/>
        <v>0</v>
      </c>
      <c r="P2773" s="107" t="s">
        <v>155</v>
      </c>
      <c r="Q2773" s="95">
        <v>4.5240000000000002E-3</v>
      </c>
      <c r="R2773" s="95">
        <v>1.08726E-3</v>
      </c>
      <c r="S2773" s="95"/>
      <c r="T2773" s="95"/>
      <c r="U2773" s="95"/>
      <c r="V2773" s="95"/>
      <c r="W2773" s="95"/>
      <c r="X2773" s="95"/>
      <c r="Y2773" s="95"/>
      <c r="Z2773" s="95"/>
      <c r="AA2773" s="95"/>
      <c r="AB2773" s="95"/>
      <c r="AC2773" s="355"/>
      <c r="AD2773" s="355"/>
      <c r="AE2773" s="355"/>
      <c r="AF2773" s="94">
        <f t="shared" si="362"/>
        <v>43371</v>
      </c>
      <c r="AG2773" s="185" t="e">
        <f t="shared" si="365"/>
        <v>#DIV/0!</v>
      </c>
      <c r="AH2773" s="339" t="str">
        <f>VLOOKUP(B2773,'MF PF'!A:B,2)</f>
        <v>FdMgt1</v>
      </c>
      <c r="AI2773" s="358">
        <f t="shared" si="363"/>
        <v>0</v>
      </c>
      <c r="AJ2773" s="94">
        <f t="shared" si="364"/>
        <v>43373</v>
      </c>
    </row>
    <row r="2774" spans="1:36" ht="12.75" customHeight="1">
      <c r="A2774" s="94">
        <v>43404</v>
      </c>
      <c r="B2774" s="358" t="s">
        <v>273</v>
      </c>
      <c r="C2774" s="358" t="s">
        <v>372</v>
      </c>
      <c r="D2774" s="93">
        <v>944979.55810000002</v>
      </c>
      <c r="F2774" s="93">
        <v>1</v>
      </c>
      <c r="G2774" s="93">
        <v>80914.37</v>
      </c>
      <c r="H2774" s="93">
        <v>0</v>
      </c>
      <c r="I2774" s="93">
        <v>0</v>
      </c>
      <c r="J2774" s="93">
        <v>0</v>
      </c>
      <c r="K2774" s="93"/>
      <c r="L2774" s="93">
        <f t="shared" si="360"/>
        <v>80914.37</v>
      </c>
      <c r="M2774" s="95" t="e">
        <f t="shared" ca="1" si="361"/>
        <v>#DIV/0!</v>
      </c>
      <c r="N2774" s="95">
        <f>IF(P2774="Hedge Fund",IF(A2774=Summary!$AD$3,M2774-E2774,M2774),IF(A2774=Summary!$AD$3,L2774-D2774,L2774))</f>
        <v>80914.37</v>
      </c>
      <c r="O2774" s="9">
        <f t="shared" si="359"/>
        <v>80914.37</v>
      </c>
      <c r="P2774" s="95" t="s">
        <v>155</v>
      </c>
      <c r="Q2774" s="95">
        <v>5.375308345625357E-3</v>
      </c>
      <c r="R2774" s="95">
        <v>5.6439919191757443E-3</v>
      </c>
      <c r="S2774" s="95"/>
      <c r="T2774" s="95"/>
      <c r="U2774" s="95"/>
      <c r="V2774" s="95"/>
      <c r="W2774" s="95"/>
      <c r="X2774" s="95"/>
      <c r="Y2774" s="95"/>
      <c r="Z2774" s="95"/>
      <c r="AA2774" s="95"/>
      <c r="AB2774" s="95"/>
      <c r="AC2774" s="355"/>
      <c r="AD2774" s="355"/>
      <c r="AE2774" s="355"/>
      <c r="AF2774" s="94">
        <f t="shared" si="362"/>
        <v>43404</v>
      </c>
      <c r="AG2774" s="185">
        <f t="shared" si="365"/>
        <v>4.6816547089216121E-2</v>
      </c>
      <c r="AH2774" s="339" t="str">
        <f>VLOOKUP(B2774,'MF PF'!A:B,2)</f>
        <v>FdMgt1</v>
      </c>
      <c r="AI2774" s="358">
        <f t="shared" si="363"/>
        <v>0</v>
      </c>
      <c r="AJ2774" s="94">
        <f t="shared" si="364"/>
        <v>43404</v>
      </c>
    </row>
    <row r="2775" spans="1:36" ht="12.75" customHeight="1">
      <c r="A2775" s="94">
        <v>43432</v>
      </c>
      <c r="B2775" s="358" t="s">
        <v>273</v>
      </c>
      <c r="C2775" s="358" t="s">
        <v>372</v>
      </c>
      <c r="D2775" s="93"/>
      <c r="F2775" s="93"/>
      <c r="G2775" s="93">
        <v>87003.060000000012</v>
      </c>
      <c r="H2775" s="93">
        <v>0</v>
      </c>
      <c r="I2775" s="93">
        <v>0</v>
      </c>
      <c r="K2775" s="93">
        <v>0</v>
      </c>
      <c r="L2775" s="93">
        <f t="shared" si="360"/>
        <v>87003.060000000012</v>
      </c>
      <c r="M2775" s="95" t="e">
        <f t="shared" ca="1" si="361"/>
        <v>#DIV/0!</v>
      </c>
      <c r="N2775" s="95">
        <f>IF(P2775="Hedge Fund",IF(A2775=Summary!$AD$3,M2775-E2775,M2775),IF(A2775=Summary!$AD$3,L2775-D2775,L2775))</f>
        <v>87003.060000000012</v>
      </c>
      <c r="O2775" s="9">
        <f t="shared" si="359"/>
        <v>87003.060000000012</v>
      </c>
      <c r="P2775" s="95" t="s">
        <v>155</v>
      </c>
      <c r="Q2775" s="95"/>
      <c r="R2775" s="95"/>
      <c r="S2775" s="95"/>
      <c r="T2775" s="95"/>
      <c r="U2775" s="95"/>
      <c r="V2775" s="95"/>
      <c r="W2775" s="95"/>
      <c r="X2775" s="95"/>
      <c r="Y2775" s="95"/>
      <c r="Z2775" s="95"/>
      <c r="AA2775" s="95"/>
      <c r="AB2775" s="95"/>
      <c r="AC2775" s="355"/>
      <c r="AD2775" s="355"/>
      <c r="AE2775" s="355"/>
      <c r="AF2775" s="94">
        <f t="shared" si="362"/>
        <v>43432</v>
      </c>
      <c r="AG2775" s="185">
        <f t="shared" si="365"/>
        <v>-1.092068721756194</v>
      </c>
      <c r="AH2775" s="339" t="str">
        <f>VLOOKUP(B2775,'MF PF'!A:B,2)</f>
        <v>FdMgt1</v>
      </c>
      <c r="AI2775" s="358">
        <f t="shared" si="363"/>
        <v>0</v>
      </c>
      <c r="AJ2775" s="94">
        <f t="shared" si="364"/>
        <v>43434</v>
      </c>
    </row>
    <row r="2776" spans="1:36" ht="12.75" customHeight="1">
      <c r="A2776" s="94">
        <v>43434</v>
      </c>
      <c r="B2776" s="358" t="s">
        <v>273</v>
      </c>
      <c r="C2776" s="358" t="s">
        <v>372</v>
      </c>
      <c r="D2776" s="93">
        <v>993228.83</v>
      </c>
      <c r="F2776" s="93">
        <v>1</v>
      </c>
      <c r="G2776" s="93"/>
      <c r="H2776" s="93">
        <v>0</v>
      </c>
      <c r="I2776" s="93">
        <v>0</v>
      </c>
      <c r="K2776" s="93">
        <v>0</v>
      </c>
      <c r="L2776" s="93">
        <f t="shared" si="360"/>
        <v>0</v>
      </c>
      <c r="M2776" s="95" t="e">
        <f t="shared" ca="1" si="361"/>
        <v>#DIV/0!</v>
      </c>
      <c r="N2776" s="95">
        <f>IF(P2776="Hedge Fund",IF(A2776=Summary!$AD$3,M2776-E2776,M2776),IF(A2776=Summary!$AD$3,L2776-D2776,L2776))</f>
        <v>0</v>
      </c>
      <c r="O2776" s="95">
        <f t="shared" si="359"/>
        <v>0</v>
      </c>
      <c r="P2776" s="95" t="s">
        <v>155</v>
      </c>
      <c r="Q2776" s="95">
        <v>7.1272200000000001E-3</v>
      </c>
      <c r="R2776" s="95">
        <v>1.0677844191757206E-3</v>
      </c>
      <c r="S2776" s="95"/>
      <c r="T2776" s="95"/>
      <c r="U2776" s="95"/>
      <c r="V2776" s="95"/>
      <c r="W2776" s="95"/>
      <c r="X2776" s="95"/>
      <c r="Y2776" s="95"/>
      <c r="Z2776" s="95"/>
      <c r="AA2776" s="95"/>
      <c r="AB2776" s="95"/>
      <c r="AC2776" s="355"/>
      <c r="AD2776" s="355"/>
      <c r="AE2776" s="355"/>
      <c r="AF2776" s="94">
        <f t="shared" si="362"/>
        <v>43434</v>
      </c>
      <c r="AG2776" s="185" t="e">
        <f t="shared" si="365"/>
        <v>#DIV/0!</v>
      </c>
      <c r="AH2776" s="339" t="str">
        <f>VLOOKUP(B2776,'MF PF'!A:B,2)</f>
        <v>FdMgt1</v>
      </c>
      <c r="AI2776" s="358">
        <f t="shared" si="363"/>
        <v>0</v>
      </c>
      <c r="AJ2776" s="94">
        <f t="shared" si="364"/>
        <v>43434</v>
      </c>
    </row>
    <row r="2777" spans="1:36" ht="12.75" customHeight="1">
      <c r="A2777" s="94">
        <v>43465</v>
      </c>
      <c r="B2777" s="358" t="s">
        <v>273</v>
      </c>
      <c r="C2777" s="358" t="s">
        <v>372</v>
      </c>
      <c r="D2777" s="93">
        <v>1002280.55</v>
      </c>
      <c r="F2777" s="93">
        <v>1</v>
      </c>
      <c r="G2777" s="93"/>
      <c r="H2777" s="93">
        <v>0</v>
      </c>
      <c r="I2777" s="93">
        <v>0</v>
      </c>
      <c r="K2777" s="93">
        <v>0</v>
      </c>
      <c r="L2777" s="93">
        <f t="shared" si="360"/>
        <v>0</v>
      </c>
      <c r="M2777" s="95" t="e">
        <f t="shared" ca="1" si="361"/>
        <v>#DIV/0!</v>
      </c>
      <c r="N2777" s="95">
        <f>IF(P2777="Hedge Fund",IF(A2777=Summary!$AD$3,M2777-E2777,M2777),IF(A2777=Summary!$AD$3,L2777-D2777,L2777))</f>
        <v>0</v>
      </c>
      <c r="O2777" s="95">
        <f t="shared" si="359"/>
        <v>0</v>
      </c>
      <c r="P2777" s="95" t="s">
        <v>155</v>
      </c>
      <c r="Q2777" s="95">
        <v>-1.0113458427658211</v>
      </c>
      <c r="R2777" s="95">
        <v>0</v>
      </c>
      <c r="S2777" s="95"/>
      <c r="T2777" s="95"/>
      <c r="U2777" s="95"/>
      <c r="V2777" s="95"/>
      <c r="W2777" s="95"/>
      <c r="X2777" s="95"/>
      <c r="Y2777" s="95"/>
      <c r="Z2777" s="95"/>
      <c r="AA2777" s="95"/>
      <c r="AB2777" s="95"/>
      <c r="AC2777" s="355"/>
      <c r="AD2777" s="355"/>
      <c r="AE2777" s="355"/>
      <c r="AF2777" s="94">
        <f t="shared" si="362"/>
        <v>43465</v>
      </c>
      <c r="AG2777" s="185">
        <f t="shared" si="365"/>
        <v>9.113428574158533E-3</v>
      </c>
      <c r="AH2777" s="339" t="str">
        <f>VLOOKUP(B2777,'MF PF'!A:B,2)</f>
        <v>FdMgt1</v>
      </c>
      <c r="AI2777" s="358">
        <f t="shared" si="363"/>
        <v>0</v>
      </c>
      <c r="AJ2777" s="94">
        <f t="shared" si="364"/>
        <v>43465</v>
      </c>
    </row>
    <row r="2778" spans="1:36" ht="12.75" customHeight="1">
      <c r="A2778" s="94">
        <v>43496</v>
      </c>
      <c r="B2778" s="358" t="s">
        <v>273</v>
      </c>
      <c r="C2778" s="358" t="s">
        <v>372</v>
      </c>
      <c r="D2778" s="93">
        <v>1012999.1456</v>
      </c>
      <c r="F2778" s="93">
        <v>0.98717804720549518</v>
      </c>
      <c r="G2778" s="93"/>
      <c r="H2778" s="93">
        <v>0</v>
      </c>
      <c r="I2778" s="93">
        <v>0</v>
      </c>
      <c r="K2778" s="93">
        <v>0</v>
      </c>
      <c r="L2778" s="93">
        <f t="shared" si="360"/>
        <v>0</v>
      </c>
      <c r="M2778" s="95" t="e">
        <f t="shared" ca="1" si="361"/>
        <v>#DIV/0!</v>
      </c>
      <c r="N2778" s="95">
        <f>IF(P2778="Hedge Fund",IF(A2778=Summary!$AD$3,M2778-E2778,M2778),IF(A2778=Summary!$AD$3,L2778-D2778,L2778))</f>
        <v>-1012999.1456</v>
      </c>
      <c r="O2778" s="95">
        <f t="shared" si="359"/>
        <v>-1012999.1456</v>
      </c>
      <c r="P2778" s="95" t="s">
        <v>155</v>
      </c>
      <c r="Q2778" s="95">
        <v>7.4925625877740772E-3</v>
      </c>
      <c r="R2778" s="95">
        <v>4.5566644191757308E-3</v>
      </c>
      <c r="S2778" s="95"/>
      <c r="T2778" s="95"/>
      <c r="U2778" s="95"/>
      <c r="V2778" s="95"/>
      <c r="W2778" s="95"/>
      <c r="X2778" s="95"/>
      <c r="Y2778" s="95"/>
      <c r="Z2778" s="95"/>
      <c r="AA2778" s="95"/>
      <c r="AB2778" s="95"/>
      <c r="AC2778" s="355"/>
      <c r="AD2778" s="355"/>
      <c r="AE2778" s="355"/>
      <c r="AF2778" s="94">
        <f t="shared" si="362"/>
        <v>43496</v>
      </c>
      <c r="AG2778" s="185">
        <f t="shared" si="365"/>
        <v>1.0694206926394001E-2</v>
      </c>
      <c r="AH2778" s="339" t="str">
        <f>VLOOKUP(B2778,'MF PF'!A:B,2)</f>
        <v>FdMgt1</v>
      </c>
      <c r="AI2778" s="358">
        <f t="shared" si="363"/>
        <v>0</v>
      </c>
      <c r="AJ2778" s="94">
        <f t="shared" si="364"/>
        <v>43496</v>
      </c>
    </row>
    <row r="2779" spans="1:36" ht="12.75" customHeight="1">
      <c r="A2779" s="94">
        <v>43252</v>
      </c>
      <c r="B2779" s="358" t="s">
        <v>273</v>
      </c>
      <c r="C2779" s="358" t="s">
        <v>373</v>
      </c>
      <c r="D2779" s="93"/>
      <c r="F2779" s="93"/>
      <c r="G2779" s="93">
        <v>40000</v>
      </c>
      <c r="H2779" s="93"/>
      <c r="I2779" s="93"/>
      <c r="K2779" s="93"/>
      <c r="L2779" s="93">
        <f t="shared" si="360"/>
        <v>40000</v>
      </c>
      <c r="M2779" s="95">
        <f t="shared" ca="1" si="361"/>
        <v>0</v>
      </c>
      <c r="N2779" s="95">
        <f>IF(P2779="Hedge Fund",IF(A2779=Summary!$AD$3,M2779-E2779,M2779),IF(A2779=Summary!$AD$3,L2779-D2779,L2779))</f>
        <v>40000</v>
      </c>
      <c r="O2779" s="95">
        <f t="shared" si="359"/>
        <v>40000</v>
      </c>
      <c r="P2779" s="107" t="s">
        <v>155</v>
      </c>
      <c r="Q2779" s="95">
        <v>0</v>
      </c>
      <c r="R2779" s="95">
        <v>0</v>
      </c>
      <c r="S2779" s="95"/>
      <c r="T2779" s="95"/>
      <c r="U2779" s="95"/>
      <c r="V2779" s="95"/>
      <c r="W2779" s="95"/>
      <c r="X2779" s="95"/>
      <c r="Y2779" s="95"/>
      <c r="Z2779" s="95"/>
      <c r="AA2779" s="95"/>
      <c r="AB2779" s="95"/>
      <c r="AC2779" s="355"/>
      <c r="AD2779" s="355"/>
      <c r="AE2779" s="355"/>
      <c r="AF2779" s="94">
        <f t="shared" si="362"/>
        <v>43252</v>
      </c>
      <c r="AG2779" s="185">
        <f t="shared" si="365"/>
        <v>-1</v>
      </c>
      <c r="AH2779" s="339" t="str">
        <f>VLOOKUP(B2779,'MF PF'!A:B,2)</f>
        <v>FdMgt1</v>
      </c>
      <c r="AI2779" s="358">
        <f t="shared" si="363"/>
        <v>0</v>
      </c>
      <c r="AJ2779" s="94">
        <f t="shared" si="364"/>
        <v>43281</v>
      </c>
    </row>
    <row r="2780" spans="1:36" s="358" customFormat="1" ht="12.75" customHeight="1">
      <c r="A2780" s="94">
        <v>43281</v>
      </c>
      <c r="B2780" s="358" t="s">
        <v>273</v>
      </c>
      <c r="C2780" s="358" t="s">
        <v>373</v>
      </c>
      <c r="D2780" s="93">
        <v>40093.67</v>
      </c>
      <c r="E2780" s="95"/>
      <c r="F2780" s="93"/>
      <c r="G2780" s="93"/>
      <c r="H2780" s="93"/>
      <c r="I2780" s="93"/>
      <c r="J2780" s="93"/>
      <c r="K2780" s="93"/>
      <c r="L2780" s="93">
        <f t="shared" si="360"/>
        <v>0</v>
      </c>
      <c r="M2780" s="95" t="e">
        <f t="shared" ca="1" si="361"/>
        <v>#DIV/0!</v>
      </c>
      <c r="N2780" s="95">
        <f>IF(P2780="Hedge Fund",IF(A2780=Summary!$AD$3,M2780-E2780,M2780),IF(A2780=Summary!$AD$3,L2780-D2780,L2780))</f>
        <v>0</v>
      </c>
      <c r="O2780" s="95">
        <f t="shared" si="359"/>
        <v>0</v>
      </c>
      <c r="P2780" s="107" t="s">
        <v>155</v>
      </c>
      <c r="Q2780" s="95">
        <v>0</v>
      </c>
      <c r="R2780" s="95">
        <v>1.6530000000000003E-5</v>
      </c>
      <c r="S2780" s="95"/>
      <c r="T2780" s="95"/>
      <c r="U2780" s="95"/>
      <c r="V2780" s="95"/>
      <c r="W2780" s="95"/>
      <c r="X2780" s="95"/>
      <c r="Y2780" s="95"/>
      <c r="Z2780" s="95"/>
      <c r="AA2780" s="95"/>
      <c r="AB2780" s="95"/>
      <c r="AF2780" s="94">
        <f t="shared" si="362"/>
        <v>43281</v>
      </c>
      <c r="AG2780" s="185" t="e">
        <f t="shared" si="365"/>
        <v>#DIV/0!</v>
      </c>
      <c r="AH2780" s="339" t="str">
        <f>VLOOKUP(B2780,'MF PF'!A:B,2)</f>
        <v>FdMgt1</v>
      </c>
      <c r="AI2780" s="358">
        <f t="shared" si="363"/>
        <v>0</v>
      </c>
      <c r="AJ2780" s="94">
        <f t="shared" si="364"/>
        <v>43281</v>
      </c>
    </row>
    <row r="2781" spans="1:36" ht="12.75" customHeight="1">
      <c r="A2781" s="94">
        <v>43312</v>
      </c>
      <c r="B2781" s="358" t="s">
        <v>273</v>
      </c>
      <c r="C2781" s="358" t="s">
        <v>373</v>
      </c>
      <c r="D2781" s="93">
        <v>40199.51</v>
      </c>
      <c r="E2781" s="95"/>
      <c r="F2781" s="93"/>
      <c r="G2781" s="93"/>
      <c r="H2781" s="93"/>
      <c r="I2781" s="93"/>
      <c r="K2781" s="93"/>
      <c r="L2781" s="93">
        <f t="shared" si="360"/>
        <v>0</v>
      </c>
      <c r="M2781" s="95" t="e">
        <f t="shared" ca="1" si="361"/>
        <v>#DIV/0!</v>
      </c>
      <c r="N2781" s="95">
        <f>IF(P2781="Hedge Fund",IF(A2781=Summary!$AD$3,M2781-E2781,M2781),IF(A2781=Summary!$AD$3,L2781-D2781,L2781))</f>
        <v>0</v>
      </c>
      <c r="O2781" s="95">
        <f t="shared" si="359"/>
        <v>0</v>
      </c>
      <c r="P2781" s="107" t="s">
        <v>155</v>
      </c>
      <c r="Q2781" s="95">
        <v>0</v>
      </c>
      <c r="R2781" s="95">
        <v>3.5210000000000003E-5</v>
      </c>
      <c r="S2781" s="95"/>
      <c r="T2781" s="95"/>
      <c r="U2781" s="95"/>
      <c r="V2781" s="95"/>
      <c r="W2781" s="95"/>
      <c r="X2781" s="95"/>
      <c r="Y2781" s="95"/>
      <c r="Z2781" s="95"/>
      <c r="AA2781" s="95"/>
      <c r="AB2781" s="95"/>
      <c r="AC2781" s="355"/>
      <c r="AD2781" s="355"/>
      <c r="AE2781" s="355"/>
      <c r="AF2781" s="94">
        <f t="shared" si="362"/>
        <v>43312</v>
      </c>
      <c r="AG2781" s="185">
        <f t="shared" si="365"/>
        <v>2.6398182057167929E-3</v>
      </c>
      <c r="AH2781" s="339" t="str">
        <f>VLOOKUP(B2781,'MF PF'!A:B,2)</f>
        <v>FdMgt1</v>
      </c>
      <c r="AI2781" s="358">
        <f t="shared" si="363"/>
        <v>0</v>
      </c>
      <c r="AJ2781" s="94">
        <f t="shared" si="364"/>
        <v>43312</v>
      </c>
    </row>
    <row r="2782" spans="1:36" ht="12.75" customHeight="1">
      <c r="A2782" s="94">
        <v>43329</v>
      </c>
      <c r="B2782" s="358" t="s">
        <v>273</v>
      </c>
      <c r="C2782" s="358" t="s">
        <v>373</v>
      </c>
      <c r="D2782" s="93"/>
      <c r="E2782" s="95"/>
      <c r="F2782" s="93"/>
      <c r="G2782" s="93">
        <v>-12743.976511780193</v>
      </c>
      <c r="H2782" s="93"/>
      <c r="I2782" s="93"/>
      <c r="K2782" s="93"/>
      <c r="L2782" s="93">
        <f t="shared" si="360"/>
        <v>-12743.976511780193</v>
      </c>
      <c r="M2782" s="95" t="e">
        <f t="shared" ca="1" si="361"/>
        <v>#DIV/0!</v>
      </c>
      <c r="N2782" s="95">
        <f>IF(P2782="Hedge Fund",IF(A2782=Summary!$AD$3,M2782-E2782,M2782),IF(A2782=Summary!$AD$3,L2782-D2782,L2782))</f>
        <v>-12743.976511780193</v>
      </c>
      <c r="O2782" s="95">
        <f t="shared" si="359"/>
        <v>-12743.976511780193</v>
      </c>
      <c r="P2782" s="107" t="s">
        <v>155</v>
      </c>
      <c r="Q2782" s="95">
        <v>0</v>
      </c>
      <c r="R2782" s="95">
        <v>0</v>
      </c>
      <c r="S2782" s="95"/>
      <c r="T2782" s="95"/>
      <c r="U2782" s="95"/>
      <c r="V2782" s="95"/>
      <c r="W2782" s="95"/>
      <c r="X2782" s="95"/>
      <c r="Y2782" s="95"/>
      <c r="Z2782" s="95"/>
      <c r="AA2782" s="95"/>
      <c r="AB2782" s="95"/>
      <c r="AC2782" s="355"/>
      <c r="AD2782" s="355"/>
      <c r="AE2782" s="355"/>
      <c r="AF2782" s="94">
        <f t="shared" si="362"/>
        <v>43329</v>
      </c>
      <c r="AG2782" s="185">
        <f t="shared" si="365"/>
        <v>-0.68298179475868759</v>
      </c>
      <c r="AH2782" s="339" t="str">
        <f>VLOOKUP(B2782,'MF PF'!A:B,2)</f>
        <v>FdMgt1</v>
      </c>
      <c r="AI2782" s="358">
        <f t="shared" si="363"/>
        <v>0</v>
      </c>
      <c r="AJ2782" s="94">
        <f t="shared" si="364"/>
        <v>43343</v>
      </c>
    </row>
    <row r="2783" spans="1:36" ht="12.75" customHeight="1">
      <c r="A2783" s="94">
        <v>43343</v>
      </c>
      <c r="B2783" s="358" t="s">
        <v>273</v>
      </c>
      <c r="C2783" s="358" t="s">
        <v>373</v>
      </c>
      <c r="D2783" s="93">
        <v>27409.84</v>
      </c>
      <c r="E2783" s="95"/>
      <c r="F2783" s="93"/>
      <c r="G2783" s="93"/>
      <c r="H2783" s="93"/>
      <c r="I2783" s="93"/>
      <c r="K2783" s="93"/>
      <c r="L2783" s="93">
        <f t="shared" si="360"/>
        <v>0</v>
      </c>
      <c r="M2783" s="95" t="e">
        <f t="shared" ca="1" si="361"/>
        <v>#DIV/0!</v>
      </c>
      <c r="N2783" s="95">
        <f>IF(P2783="Hedge Fund",IF(A2783=Summary!$AD$3,M2783-E2783,M2783),IF(A2783=Summary!$AD$3,L2783-D2783,L2783))</f>
        <v>0</v>
      </c>
      <c r="O2783" s="95">
        <f t="shared" si="359"/>
        <v>0</v>
      </c>
      <c r="P2783" s="107" t="s">
        <v>155</v>
      </c>
      <c r="Q2783" s="95">
        <v>0</v>
      </c>
      <c r="R2783" s="95">
        <v>2.7140000000000001E-5</v>
      </c>
      <c r="S2783" s="95"/>
      <c r="T2783" s="95"/>
      <c r="U2783" s="95"/>
      <c r="V2783" s="95"/>
      <c r="W2783" s="95"/>
      <c r="X2783" s="95"/>
      <c r="Y2783" s="95"/>
      <c r="Z2783" s="95"/>
      <c r="AA2783" s="95"/>
      <c r="AB2783" s="95"/>
      <c r="AC2783" s="355"/>
      <c r="AD2783" s="355"/>
      <c r="AE2783" s="355"/>
      <c r="AF2783" s="94">
        <f t="shared" si="362"/>
        <v>43343</v>
      </c>
      <c r="AG2783" s="185" t="e">
        <f t="shared" si="365"/>
        <v>#DIV/0!</v>
      </c>
      <c r="AH2783" s="339" t="str">
        <f>VLOOKUP(B2783,'MF PF'!A:B,2)</f>
        <v>FdMgt1</v>
      </c>
      <c r="AI2783" s="358">
        <f t="shared" si="363"/>
        <v>0</v>
      </c>
      <c r="AJ2783" s="94">
        <f t="shared" si="364"/>
        <v>43343</v>
      </c>
    </row>
    <row r="2784" spans="1:36" ht="12.75" customHeight="1">
      <c r="A2784" s="94">
        <v>43369</v>
      </c>
      <c r="B2784" s="358" t="s">
        <v>273</v>
      </c>
      <c r="C2784" s="358" t="s">
        <v>373</v>
      </c>
      <c r="D2784" s="93"/>
      <c r="E2784" s="95"/>
      <c r="F2784" s="93"/>
      <c r="G2784" s="93">
        <v>5514.4</v>
      </c>
      <c r="H2784" s="93"/>
      <c r="I2784" s="93"/>
      <c r="K2784" s="93"/>
      <c r="L2784" s="93">
        <f t="shared" si="360"/>
        <v>5514.4</v>
      </c>
      <c r="M2784" s="95" t="e">
        <f t="shared" ca="1" si="361"/>
        <v>#DIV/0!</v>
      </c>
      <c r="N2784" s="95">
        <f>IF(P2784="Hedge Fund",IF(A2784=Summary!$AD$3,M2784-E2784,M2784),IF(A2784=Summary!$AD$3,L2784-D2784,L2784))</f>
        <v>5514.4</v>
      </c>
      <c r="O2784" s="95">
        <f t="shared" si="359"/>
        <v>5514.4</v>
      </c>
      <c r="P2784" s="107" t="s">
        <v>155</v>
      </c>
      <c r="Q2784" s="95">
        <v>0</v>
      </c>
      <c r="R2784" s="95">
        <v>0</v>
      </c>
      <c r="S2784" s="95"/>
      <c r="T2784" s="95"/>
      <c r="U2784" s="95"/>
      <c r="V2784" s="95"/>
      <c r="W2784" s="95"/>
      <c r="X2784" s="95"/>
      <c r="Y2784" s="95"/>
      <c r="Z2784" s="95"/>
      <c r="AA2784" s="95"/>
      <c r="AB2784" s="95"/>
      <c r="AC2784" s="355"/>
      <c r="AD2784" s="355"/>
      <c r="AE2784" s="355"/>
      <c r="AF2784" s="94">
        <f t="shared" si="362"/>
        <v>43369</v>
      </c>
      <c r="AG2784" s="185">
        <f t="shared" si="365"/>
        <v>-1.2011832247105418</v>
      </c>
      <c r="AH2784" s="339" t="str">
        <f>VLOOKUP(B2784,'MF PF'!A:B,2)</f>
        <v>FdMgt1</v>
      </c>
      <c r="AI2784" s="358">
        <f t="shared" si="363"/>
        <v>0</v>
      </c>
      <c r="AJ2784" s="94">
        <f t="shared" si="364"/>
        <v>43373</v>
      </c>
    </row>
    <row r="2785" spans="1:36" ht="12.75" customHeight="1">
      <c r="A2785" s="94">
        <v>43371</v>
      </c>
      <c r="B2785" s="358" t="s">
        <v>273</v>
      </c>
      <c r="C2785" s="358" t="s">
        <v>373</v>
      </c>
      <c r="D2785" s="93">
        <v>33170.69</v>
      </c>
      <c r="F2785" s="93"/>
      <c r="G2785" s="93"/>
      <c r="H2785" s="93"/>
      <c r="I2785" s="93"/>
      <c r="K2785" s="93"/>
      <c r="L2785" s="93">
        <f t="shared" si="360"/>
        <v>0</v>
      </c>
      <c r="M2785" s="95" t="e">
        <f t="shared" ca="1" si="361"/>
        <v>#DIV/0!</v>
      </c>
      <c r="N2785" s="95">
        <f>IF(P2785="Hedge Fund",IF(A2785=Summary!$AD$3,M2785-E2785,M2785),IF(A2785=Summary!$AD$3,L2785-D2785,L2785))</f>
        <v>0</v>
      </c>
      <c r="O2785" s="95">
        <f t="shared" si="359"/>
        <v>0</v>
      </c>
      <c r="P2785" s="107" t="s">
        <v>155</v>
      </c>
      <c r="Q2785" s="95">
        <v>0</v>
      </c>
      <c r="R2785" s="95">
        <v>7.0629999999999993E-5</v>
      </c>
      <c r="S2785" s="95"/>
      <c r="T2785" s="95"/>
      <c r="U2785" s="95"/>
      <c r="V2785" s="95"/>
      <c r="W2785" s="95"/>
      <c r="X2785" s="95"/>
      <c r="Y2785" s="95"/>
      <c r="Z2785" s="95"/>
      <c r="AA2785" s="95"/>
      <c r="AB2785" s="95"/>
      <c r="AC2785" s="355"/>
      <c r="AD2785" s="355"/>
      <c r="AE2785" s="355"/>
      <c r="AF2785" s="94">
        <f t="shared" si="362"/>
        <v>43371</v>
      </c>
      <c r="AG2785" s="185" t="e">
        <f t="shared" si="365"/>
        <v>#DIV/0!</v>
      </c>
      <c r="AH2785" s="339" t="str">
        <f>VLOOKUP(B2785,'MF PF'!A:B,2)</f>
        <v>FdMgt1</v>
      </c>
      <c r="AI2785" s="358">
        <f t="shared" si="363"/>
        <v>0</v>
      </c>
      <c r="AJ2785" s="94">
        <f t="shared" si="364"/>
        <v>43373</v>
      </c>
    </row>
    <row r="2786" spans="1:36" ht="12.75" customHeight="1">
      <c r="A2786" s="94">
        <v>43404</v>
      </c>
      <c r="B2786" s="358" t="s">
        <v>273</v>
      </c>
      <c r="C2786" s="358" t="s">
        <v>373</v>
      </c>
      <c r="D2786" s="93">
        <v>37981.94</v>
      </c>
      <c r="F2786" s="93">
        <v>0.04</v>
      </c>
      <c r="G2786" s="93">
        <v>3236.5800000000017</v>
      </c>
      <c r="H2786" s="93">
        <v>0</v>
      </c>
      <c r="I2786" s="93">
        <v>0</v>
      </c>
      <c r="J2786" s="93">
        <v>0</v>
      </c>
      <c r="K2786" s="93"/>
      <c r="L2786" s="93">
        <f t="shared" si="360"/>
        <v>3236.5800000000017</v>
      </c>
      <c r="M2786" s="95" t="e">
        <f t="shared" ca="1" si="361"/>
        <v>#DIV/0!</v>
      </c>
      <c r="N2786" s="95">
        <f>IF(P2786="Hedge Fund",IF(A2786=Summary!$AD$3,M2786-E2786,M2786),IF(A2786=Summary!$AD$3,L2786-D2786,L2786))</f>
        <v>3236.5800000000017</v>
      </c>
      <c r="O2786" s="95">
        <f t="shared" si="359"/>
        <v>3236.5800000000017</v>
      </c>
      <c r="P2786" s="95" t="s">
        <v>155</v>
      </c>
      <c r="Q2786" s="95">
        <v>0</v>
      </c>
      <c r="R2786" s="95">
        <v>2.580099767670286E-4</v>
      </c>
      <c r="S2786" s="95"/>
      <c r="T2786" s="95"/>
      <c r="U2786" s="95"/>
      <c r="V2786" s="95"/>
      <c r="W2786" s="95"/>
      <c r="X2786" s="95"/>
      <c r="Y2786" s="95"/>
      <c r="Z2786" s="95"/>
      <c r="AA2786" s="95"/>
      <c r="AB2786" s="95"/>
      <c r="AC2786" s="355"/>
      <c r="AD2786" s="355"/>
      <c r="AE2786" s="355"/>
      <c r="AF2786" s="94">
        <f t="shared" si="362"/>
        <v>43404</v>
      </c>
      <c r="AG2786" s="185">
        <f t="shared" si="365"/>
        <v>4.7471728806364855E-2</v>
      </c>
      <c r="AH2786" s="339" t="str">
        <f>VLOOKUP(B2786,'MF PF'!A:B,2)</f>
        <v>FdMgt1</v>
      </c>
      <c r="AI2786" s="358">
        <f t="shared" si="363"/>
        <v>0</v>
      </c>
      <c r="AJ2786" s="94">
        <f t="shared" si="364"/>
        <v>43404</v>
      </c>
    </row>
    <row r="2787" spans="1:36" ht="12.75" customHeight="1">
      <c r="A2787" s="94">
        <v>43432</v>
      </c>
      <c r="B2787" s="358" t="s">
        <v>273</v>
      </c>
      <c r="C2787" s="358" t="s">
        <v>373</v>
      </c>
      <c r="D2787" s="93"/>
      <c r="F2787" s="93"/>
      <c r="G2787" s="93">
        <v>3480.12</v>
      </c>
      <c r="H2787" s="93">
        <v>0</v>
      </c>
      <c r="I2787" s="93">
        <v>0</v>
      </c>
      <c r="K2787" s="93">
        <v>0</v>
      </c>
      <c r="L2787" s="93">
        <f t="shared" si="360"/>
        <v>3480.12</v>
      </c>
      <c r="M2787" s="95" t="e">
        <f t="shared" ca="1" si="361"/>
        <v>#DIV/0!</v>
      </c>
      <c r="N2787" s="95">
        <f>IF(P2787="Hedge Fund",IF(A2787=Summary!$AD$3,M2787-E2787,M2787),IF(A2787=Summary!$AD$3,L2787-D2787,L2787))</f>
        <v>3480.12</v>
      </c>
      <c r="O2787" s="95">
        <f t="shared" ref="O2787:O2850" si="366">N2787</f>
        <v>3480.12</v>
      </c>
      <c r="P2787" s="95" t="s">
        <v>155</v>
      </c>
      <c r="Q2787" s="95"/>
      <c r="R2787" s="95"/>
      <c r="S2787" s="95"/>
      <c r="T2787" s="95"/>
      <c r="U2787" s="95"/>
      <c r="V2787" s="95"/>
      <c r="W2787" s="95"/>
      <c r="X2787" s="95"/>
      <c r="Y2787" s="95"/>
      <c r="Z2787" s="95"/>
      <c r="AA2787" s="95"/>
      <c r="AB2787" s="95"/>
      <c r="AC2787" s="355"/>
      <c r="AD2787" s="355"/>
      <c r="AE2787" s="355"/>
      <c r="AF2787" s="94">
        <f t="shared" si="362"/>
        <v>43432</v>
      </c>
      <c r="AG2787" s="185">
        <f t="shared" si="365"/>
        <v>-1.0916256515596623</v>
      </c>
      <c r="AH2787" s="339" t="str">
        <f>VLOOKUP(B2787,'MF PF'!A:B,2)</f>
        <v>FdMgt1</v>
      </c>
      <c r="AI2787" s="358">
        <f t="shared" si="363"/>
        <v>0</v>
      </c>
      <c r="AJ2787" s="94">
        <f t="shared" si="364"/>
        <v>43434</v>
      </c>
    </row>
    <row r="2788" spans="1:36" ht="12.75" customHeight="1">
      <c r="A2788" s="94">
        <v>43434</v>
      </c>
      <c r="B2788" s="358" t="s">
        <v>273</v>
      </c>
      <c r="C2788" s="358" t="s">
        <v>373</v>
      </c>
      <c r="D2788" s="93">
        <v>39971.480000000003</v>
      </c>
      <c r="F2788" s="93">
        <v>0.04</v>
      </c>
      <c r="G2788" s="93"/>
      <c r="H2788" s="93">
        <v>0</v>
      </c>
      <c r="I2788" s="93">
        <v>0</v>
      </c>
      <c r="K2788" s="93">
        <v>0</v>
      </c>
      <c r="L2788" s="93">
        <f t="shared" si="360"/>
        <v>0</v>
      </c>
      <c r="M2788" s="95" t="e">
        <f t="shared" ca="1" si="361"/>
        <v>#DIV/0!</v>
      </c>
      <c r="N2788" s="95">
        <f>IF(P2788="Hedge Fund",IF(A2788=Summary!$AD$3,M2788-E2788,M2788),IF(A2788=Summary!$AD$3,L2788-D2788,L2788))</f>
        <v>0</v>
      </c>
      <c r="O2788" s="95">
        <f t="shared" si="366"/>
        <v>0</v>
      </c>
      <c r="P2788" s="95" t="s">
        <v>155</v>
      </c>
      <c r="Q2788" s="95">
        <v>0</v>
      </c>
      <c r="R2788" s="95">
        <v>8.5473976767027856E-5</v>
      </c>
      <c r="S2788" s="95"/>
      <c r="T2788" s="95"/>
      <c r="U2788" s="95"/>
      <c r="V2788" s="95"/>
      <c r="W2788" s="95"/>
      <c r="X2788" s="95"/>
      <c r="Y2788" s="95"/>
      <c r="Z2788" s="95"/>
      <c r="AA2788" s="95"/>
      <c r="AB2788" s="95"/>
      <c r="AC2788" s="355"/>
      <c r="AD2788" s="355"/>
      <c r="AE2788" s="355"/>
      <c r="AF2788" s="94">
        <f t="shared" si="362"/>
        <v>43434</v>
      </c>
      <c r="AG2788" s="185" t="e">
        <f t="shared" si="365"/>
        <v>#DIV/0!</v>
      </c>
      <c r="AH2788" s="339" t="str">
        <f>VLOOKUP(B2788,'MF PF'!A:B,2)</f>
        <v>FdMgt1</v>
      </c>
      <c r="AI2788" s="358">
        <f t="shared" si="363"/>
        <v>0</v>
      </c>
      <c r="AJ2788" s="94">
        <f t="shared" si="364"/>
        <v>43434</v>
      </c>
    </row>
    <row r="2789" spans="1:36" ht="12.75" customHeight="1">
      <c r="A2789" s="94">
        <v>43465</v>
      </c>
      <c r="B2789" s="358" t="s">
        <v>273</v>
      </c>
      <c r="C2789" s="358" t="s">
        <v>373</v>
      </c>
      <c r="D2789" s="93">
        <v>40308.83</v>
      </c>
      <c r="F2789" s="93">
        <v>0.04</v>
      </c>
      <c r="G2789" s="93"/>
      <c r="H2789" s="93">
        <v>0</v>
      </c>
      <c r="I2789" s="93">
        <v>0</v>
      </c>
      <c r="K2789" s="93">
        <v>0</v>
      </c>
      <c r="L2789" s="93">
        <f t="shared" si="360"/>
        <v>0</v>
      </c>
      <c r="M2789" s="95" t="e">
        <f t="shared" ca="1" si="361"/>
        <v>#DIV/0!</v>
      </c>
      <c r="N2789" s="95">
        <f>IF(P2789="Hedge Fund",IF(A2789=Summary!$AD$3,M2789-E2789,M2789),IF(A2789=Summary!$AD$3,L2789-D2789,L2789))</f>
        <v>0</v>
      </c>
      <c r="O2789" s="95">
        <f t="shared" si="366"/>
        <v>0</v>
      </c>
      <c r="P2789" s="95" t="s">
        <v>155</v>
      </c>
      <c r="Q2789" s="95">
        <v>-4.0453835310632846E-2</v>
      </c>
      <c r="R2789" s="95">
        <v>0</v>
      </c>
      <c r="S2789" s="95"/>
      <c r="T2789" s="95"/>
      <c r="U2789" s="95"/>
      <c r="V2789" s="95"/>
      <c r="W2789" s="95"/>
      <c r="X2789" s="95"/>
      <c r="Y2789" s="95"/>
      <c r="Z2789" s="95"/>
      <c r="AA2789" s="95"/>
      <c r="AB2789" s="95"/>
      <c r="AC2789" s="355"/>
      <c r="AD2789" s="355"/>
      <c r="AE2789" s="355"/>
      <c r="AF2789" s="94">
        <f t="shared" si="362"/>
        <v>43465</v>
      </c>
      <c r="AG2789" s="185">
        <f t="shared" si="365"/>
        <v>8.4397675542662309E-3</v>
      </c>
      <c r="AH2789" s="339" t="str">
        <f>VLOOKUP(B2789,'MF PF'!A:B,2)</f>
        <v>FdMgt1</v>
      </c>
      <c r="AI2789" s="358">
        <f t="shared" si="363"/>
        <v>0</v>
      </c>
      <c r="AJ2789" s="94">
        <f t="shared" si="364"/>
        <v>43465</v>
      </c>
    </row>
    <row r="2790" spans="1:36" ht="12.75" customHeight="1">
      <c r="A2790" s="94">
        <v>43496</v>
      </c>
      <c r="B2790" s="358" t="s">
        <v>273</v>
      </c>
      <c r="C2790" s="358" t="s">
        <v>373</v>
      </c>
      <c r="D2790" s="93">
        <v>40774.709000000003</v>
      </c>
      <c r="F2790" s="93">
        <v>3.9487123488219811E-2</v>
      </c>
      <c r="G2790" s="93"/>
      <c r="H2790" s="93">
        <v>0</v>
      </c>
      <c r="I2790" s="93">
        <v>0</v>
      </c>
      <c r="K2790" s="93">
        <v>0</v>
      </c>
      <c r="L2790" s="93">
        <f t="shared" si="360"/>
        <v>0</v>
      </c>
      <c r="M2790" s="95" t="e">
        <f t="shared" ca="1" si="361"/>
        <v>#DIV/0!</v>
      </c>
      <c r="N2790" s="95">
        <f>IF(P2790="Hedge Fund",IF(A2790=Summary!$AD$3,M2790-E2790,M2790),IF(A2790=Summary!$AD$3,L2790-D2790,L2790))</f>
        <v>-40774.709000000003</v>
      </c>
      <c r="O2790" s="95">
        <f t="shared" si="366"/>
        <v>-40774.709000000003</v>
      </c>
      <c r="P2790" s="95" t="s">
        <v>155</v>
      </c>
      <c r="Q2790" s="95">
        <v>0</v>
      </c>
      <c r="R2790" s="95">
        <v>2.2722097676702833E-4</v>
      </c>
      <c r="S2790" s="95"/>
      <c r="T2790" s="95"/>
      <c r="U2790" s="95"/>
      <c r="V2790" s="95"/>
      <c r="W2790" s="95"/>
      <c r="X2790" s="95"/>
      <c r="Y2790" s="95"/>
      <c r="Z2790" s="95"/>
      <c r="AA2790" s="95"/>
      <c r="AB2790" s="95"/>
      <c r="AC2790" s="355"/>
      <c r="AD2790" s="355"/>
      <c r="AE2790" s="355"/>
      <c r="AF2790" s="94">
        <f t="shared" si="362"/>
        <v>43496</v>
      </c>
      <c r="AG2790" s="185">
        <f t="shared" si="365"/>
        <v>1.1557740574459796E-2</v>
      </c>
      <c r="AH2790" s="339" t="str">
        <f>VLOOKUP(B2790,'MF PF'!A:B,2)</f>
        <v>FdMgt1</v>
      </c>
      <c r="AI2790" s="358">
        <f t="shared" si="363"/>
        <v>0</v>
      </c>
      <c r="AJ2790" s="94">
        <f t="shared" si="364"/>
        <v>43496</v>
      </c>
    </row>
    <row r="2791" spans="1:36" ht="12.75" customHeight="1">
      <c r="A2791" s="94">
        <v>43252</v>
      </c>
      <c r="B2791" s="358" t="s">
        <v>273</v>
      </c>
      <c r="C2791" s="358" t="s">
        <v>374</v>
      </c>
      <c r="D2791" s="93"/>
      <c r="F2791" s="93"/>
      <c r="G2791" s="93">
        <v>1000000</v>
      </c>
      <c r="H2791" s="93"/>
      <c r="I2791" s="93"/>
      <c r="K2791" s="93"/>
      <c r="L2791" s="93">
        <f t="shared" si="360"/>
        <v>1000000</v>
      </c>
      <c r="M2791" s="95">
        <f t="shared" ca="1" si="361"/>
        <v>0</v>
      </c>
      <c r="N2791" s="95">
        <f>IF(P2791="Hedge Fund",IF(A2791=Summary!$AD$3,M2791-E2791,M2791),IF(A2791=Summary!$AD$3,L2791-D2791,L2791))</f>
        <v>1000000</v>
      </c>
      <c r="O2791" s="95">
        <f t="shared" si="366"/>
        <v>1000000</v>
      </c>
      <c r="P2791" s="107" t="s">
        <v>155</v>
      </c>
      <c r="Q2791" s="95">
        <v>0</v>
      </c>
      <c r="R2791" s="95">
        <v>0</v>
      </c>
      <c r="S2791" s="95"/>
      <c r="T2791" s="95"/>
      <c r="U2791" s="95"/>
      <c r="V2791" s="95"/>
      <c r="W2791" s="95"/>
      <c r="X2791" s="95"/>
      <c r="Y2791" s="95"/>
      <c r="Z2791" s="95"/>
      <c r="AA2791" s="95"/>
      <c r="AB2791" s="95"/>
      <c r="AC2791" s="355"/>
      <c r="AD2791" s="355"/>
      <c r="AE2791" s="355"/>
      <c r="AF2791" s="94">
        <f t="shared" si="362"/>
        <v>43252</v>
      </c>
      <c r="AG2791" s="185">
        <f t="shared" si="365"/>
        <v>-1</v>
      </c>
      <c r="AH2791" s="339" t="str">
        <f>VLOOKUP(B2791,'MF PF'!A:B,2)</f>
        <v>FdMgt1</v>
      </c>
      <c r="AI2791" s="358">
        <f t="shared" si="363"/>
        <v>0</v>
      </c>
      <c r="AJ2791" s="94">
        <f t="shared" si="364"/>
        <v>43281</v>
      </c>
    </row>
    <row r="2792" spans="1:36" ht="12.75" customHeight="1">
      <c r="A2792" s="94">
        <v>43281</v>
      </c>
      <c r="B2792" s="358" t="s">
        <v>273</v>
      </c>
      <c r="C2792" s="358" t="s">
        <v>374</v>
      </c>
      <c r="D2792" s="93">
        <v>1001393.71</v>
      </c>
      <c r="F2792" s="93"/>
      <c r="G2792" s="93"/>
      <c r="H2792" s="93"/>
      <c r="I2792" s="93"/>
      <c r="K2792" s="93"/>
      <c r="L2792" s="93">
        <f t="shared" si="360"/>
        <v>0</v>
      </c>
      <c r="M2792" s="95" t="e">
        <f t="shared" ca="1" si="361"/>
        <v>#DIV/0!</v>
      </c>
      <c r="N2792" s="95">
        <f>IF(P2792="Hedge Fund",IF(A2792=Summary!$AD$3,M2792-E2792,M2792),IF(A2792=Summary!$AD$3,L2792-D2792,L2792))</f>
        <v>0</v>
      </c>
      <c r="O2792" s="95">
        <f t="shared" si="366"/>
        <v>0</v>
      </c>
      <c r="P2792" s="107" t="s">
        <v>155</v>
      </c>
      <c r="Q2792" s="95">
        <v>1.1153900000000002E-3</v>
      </c>
      <c r="R2792" s="95">
        <v>2.4594999999999999E-4</v>
      </c>
      <c r="S2792" s="95"/>
      <c r="T2792" s="95"/>
      <c r="U2792" s="95"/>
      <c r="V2792" s="95"/>
      <c r="W2792" s="95"/>
      <c r="X2792" s="95"/>
      <c r="Y2792" s="95"/>
      <c r="Z2792" s="95"/>
      <c r="AA2792" s="95"/>
      <c r="AB2792" s="95"/>
      <c r="AC2792" s="355"/>
      <c r="AD2792" s="355"/>
      <c r="AE2792" s="355"/>
      <c r="AF2792" s="94">
        <f t="shared" si="362"/>
        <v>43281</v>
      </c>
      <c r="AG2792" s="185" t="e">
        <f t="shared" si="365"/>
        <v>#DIV/0!</v>
      </c>
      <c r="AH2792" s="339" t="str">
        <f>VLOOKUP(B2792,'MF PF'!A:B,2)</f>
        <v>FdMgt1</v>
      </c>
      <c r="AI2792" s="358">
        <f t="shared" si="363"/>
        <v>0</v>
      </c>
      <c r="AJ2792" s="94">
        <f t="shared" si="364"/>
        <v>43281</v>
      </c>
    </row>
    <row r="2793" spans="1:36" ht="12.75" customHeight="1">
      <c r="A2793" s="94">
        <v>43312</v>
      </c>
      <c r="B2793" s="358" t="s">
        <v>273</v>
      </c>
      <c r="C2793" s="358" t="s">
        <v>374</v>
      </c>
      <c r="D2793" s="93">
        <v>1002982.55</v>
      </c>
      <c r="F2793" s="93"/>
      <c r="G2793" s="93"/>
      <c r="H2793" s="93"/>
      <c r="I2793" s="93"/>
      <c r="K2793" s="93"/>
      <c r="L2793" s="93">
        <f t="shared" si="360"/>
        <v>0</v>
      </c>
      <c r="M2793" s="95" t="e">
        <f t="shared" ca="1" si="361"/>
        <v>#DIV/0!</v>
      </c>
      <c r="N2793" s="95">
        <f>IF(P2793="Hedge Fund",IF(A2793=Summary!$AD$3,M2793-E2793,M2793),IF(A2793=Summary!$AD$3,L2793-D2793,L2793))</f>
        <v>0</v>
      </c>
      <c r="O2793" s="95">
        <f t="shared" si="366"/>
        <v>0</v>
      </c>
      <c r="P2793" s="107" t="s">
        <v>155</v>
      </c>
      <c r="Q2793" s="95">
        <v>0</v>
      </c>
      <c r="R2793" s="95">
        <v>5.2633000000000009E-4</v>
      </c>
      <c r="S2793" s="95"/>
      <c r="T2793" s="95"/>
      <c r="U2793" s="95"/>
      <c r="V2793" s="95"/>
      <c r="W2793" s="95"/>
      <c r="X2793" s="95"/>
      <c r="Y2793" s="95"/>
      <c r="Z2793" s="95"/>
      <c r="AA2793" s="95"/>
      <c r="AB2793" s="95"/>
      <c r="AC2793" s="355"/>
      <c r="AD2793" s="355"/>
      <c r="AE2793" s="355"/>
      <c r="AF2793" s="94">
        <f t="shared" si="362"/>
        <v>43312</v>
      </c>
      <c r="AG2793" s="185">
        <f t="shared" si="365"/>
        <v>1.5866286997150425E-3</v>
      </c>
      <c r="AH2793" s="339" t="str">
        <f>VLOOKUP(B2793,'MF PF'!A:B,2)</f>
        <v>FdMgt1</v>
      </c>
      <c r="AI2793" s="358">
        <f t="shared" si="363"/>
        <v>0</v>
      </c>
      <c r="AJ2793" s="94">
        <f t="shared" si="364"/>
        <v>43312</v>
      </c>
    </row>
    <row r="2794" spans="1:36" ht="12.75" customHeight="1">
      <c r="A2794" s="94">
        <v>43329</v>
      </c>
      <c r="B2794" s="358" t="s">
        <v>273</v>
      </c>
      <c r="C2794" s="358" t="s">
        <v>374</v>
      </c>
      <c r="D2794" s="93"/>
      <c r="F2794" s="93"/>
      <c r="G2794" s="93">
        <v>-318599.47279450478</v>
      </c>
      <c r="H2794" s="93"/>
      <c r="I2794" s="93"/>
      <c r="K2794" s="93"/>
      <c r="L2794" s="93">
        <f t="shared" si="360"/>
        <v>-318599.47279450478</v>
      </c>
      <c r="M2794" s="95" t="e">
        <f t="shared" ca="1" si="361"/>
        <v>#DIV/0!</v>
      </c>
      <c r="N2794" s="95">
        <f>IF(P2794="Hedge Fund",IF(A2794=Summary!$AD$3,M2794-E2794,M2794),IF(A2794=Summary!$AD$3,L2794-D2794,L2794))</f>
        <v>-318599.47279450478</v>
      </c>
      <c r="O2794" s="95">
        <f t="shared" si="366"/>
        <v>-318599.47279450478</v>
      </c>
      <c r="P2794" s="107" t="s">
        <v>155</v>
      </c>
      <c r="Q2794" s="95">
        <v>0</v>
      </c>
      <c r="R2794" s="95">
        <v>0</v>
      </c>
      <c r="S2794" s="95"/>
      <c r="T2794" s="95"/>
      <c r="U2794" s="95"/>
      <c r="V2794" s="95"/>
      <c r="W2794" s="95"/>
      <c r="X2794" s="95"/>
      <c r="Y2794" s="95"/>
      <c r="Z2794" s="95"/>
      <c r="AA2794" s="95"/>
      <c r="AB2794" s="95"/>
      <c r="AC2794" s="355"/>
      <c r="AD2794" s="355"/>
      <c r="AE2794" s="355"/>
      <c r="AF2794" s="94">
        <f t="shared" si="362"/>
        <v>43329</v>
      </c>
      <c r="AG2794" s="185">
        <f t="shared" si="365"/>
        <v>-0.68234794035598645</v>
      </c>
      <c r="AH2794" s="339" t="str">
        <f>VLOOKUP(B2794,'MF PF'!A:B,2)</f>
        <v>FdMgt1</v>
      </c>
      <c r="AI2794" s="358">
        <f t="shared" si="363"/>
        <v>0</v>
      </c>
      <c r="AJ2794" s="94">
        <f t="shared" si="364"/>
        <v>43343</v>
      </c>
    </row>
    <row r="2795" spans="1:36" ht="12.75" customHeight="1">
      <c r="A2795" s="94">
        <v>43343</v>
      </c>
      <c r="B2795" s="358" t="s">
        <v>273</v>
      </c>
      <c r="C2795" s="358" t="s">
        <v>374</v>
      </c>
      <c r="D2795" s="93">
        <v>682888.94</v>
      </c>
      <c r="F2795" s="93"/>
      <c r="G2795" s="93"/>
      <c r="H2795" s="93"/>
      <c r="I2795" s="93"/>
      <c r="K2795" s="93"/>
      <c r="L2795" s="93">
        <f t="shared" si="360"/>
        <v>0</v>
      </c>
      <c r="M2795" s="95" t="e">
        <f t="shared" ca="1" si="361"/>
        <v>#DIV/0!</v>
      </c>
      <c r="N2795" s="95">
        <f>IF(P2795="Hedge Fund",IF(A2795=Summary!$AD$3,M2795-E2795,M2795),IF(A2795=Summary!$AD$3,L2795-D2795,L2795))</f>
        <v>0</v>
      </c>
      <c r="O2795" s="95">
        <f t="shared" si="366"/>
        <v>0</v>
      </c>
      <c r="P2795" s="107" t="s">
        <v>155</v>
      </c>
      <c r="Q2795" s="95">
        <v>0</v>
      </c>
      <c r="R2795" s="95">
        <v>2.6266000000000001E-4</v>
      </c>
      <c r="S2795" s="95"/>
      <c r="T2795" s="95"/>
      <c r="U2795" s="95"/>
      <c r="V2795" s="95"/>
      <c r="W2795" s="95"/>
      <c r="X2795" s="95"/>
      <c r="Y2795" s="95"/>
      <c r="Z2795" s="95"/>
      <c r="AA2795" s="95"/>
      <c r="AB2795" s="95"/>
      <c r="AC2795" s="355"/>
      <c r="AD2795" s="355"/>
      <c r="AE2795" s="355"/>
      <c r="AF2795" s="94">
        <f t="shared" si="362"/>
        <v>43343</v>
      </c>
      <c r="AG2795" s="185" t="e">
        <f t="shared" si="365"/>
        <v>#DIV/0!</v>
      </c>
      <c r="AH2795" s="339" t="str">
        <f>VLOOKUP(B2795,'MF PF'!A:B,2)</f>
        <v>FdMgt1</v>
      </c>
      <c r="AI2795" s="358">
        <f t="shared" si="363"/>
        <v>0</v>
      </c>
      <c r="AJ2795" s="94">
        <f t="shared" si="364"/>
        <v>43343</v>
      </c>
    </row>
    <row r="2796" spans="1:36" ht="12.75" customHeight="1">
      <c r="A2796" s="94">
        <v>43369</v>
      </c>
      <c r="B2796" s="358" t="s">
        <v>273</v>
      </c>
      <c r="C2796" s="358" t="s">
        <v>374</v>
      </c>
      <c r="D2796" s="93"/>
      <c r="F2796" s="93"/>
      <c r="G2796" s="93">
        <v>137860.09</v>
      </c>
      <c r="H2796" s="93"/>
      <c r="I2796" s="93"/>
      <c r="K2796" s="93"/>
      <c r="L2796" s="93">
        <f t="shared" si="360"/>
        <v>137860.09</v>
      </c>
      <c r="M2796" s="95" t="e">
        <f t="shared" ca="1" si="361"/>
        <v>#DIV/0!</v>
      </c>
      <c r="N2796" s="95">
        <f>IF(P2796="Hedge Fund",IF(A2796=Summary!$AD$3,M2796-E2796,M2796),IF(A2796=Summary!$AD$3,L2796-D2796,L2796))</f>
        <v>137860.09</v>
      </c>
      <c r="O2796" s="95">
        <f t="shared" si="366"/>
        <v>137860.09</v>
      </c>
      <c r="P2796" s="107" t="s">
        <v>155</v>
      </c>
      <c r="Q2796" s="95">
        <v>0</v>
      </c>
      <c r="R2796" s="95">
        <v>0</v>
      </c>
      <c r="S2796" s="95"/>
      <c r="T2796" s="95"/>
      <c r="U2796" s="95"/>
      <c r="V2796" s="95"/>
      <c r="W2796" s="95"/>
      <c r="X2796" s="95"/>
      <c r="Y2796" s="95"/>
      <c r="Z2796" s="95"/>
      <c r="AA2796" s="95"/>
      <c r="AB2796" s="95"/>
      <c r="AC2796" s="355"/>
      <c r="AD2796" s="355"/>
      <c r="AE2796" s="355"/>
      <c r="AF2796" s="94">
        <f t="shared" si="362"/>
        <v>43369</v>
      </c>
      <c r="AG2796" s="185">
        <f t="shared" si="365"/>
        <v>-1.2018777606795037</v>
      </c>
      <c r="AH2796" s="339" t="str">
        <f>VLOOKUP(B2796,'MF PF'!A:B,2)</f>
        <v>FdMgt1</v>
      </c>
      <c r="AI2796" s="358">
        <f t="shared" si="363"/>
        <v>0</v>
      </c>
      <c r="AJ2796" s="94">
        <f t="shared" si="364"/>
        <v>43373</v>
      </c>
    </row>
    <row r="2797" spans="1:36" ht="12.75" customHeight="1">
      <c r="A2797" s="94">
        <v>43371</v>
      </c>
      <c r="B2797" s="358" t="s">
        <v>273</v>
      </c>
      <c r="C2797" s="358" t="s">
        <v>374</v>
      </c>
      <c r="D2797" s="93">
        <v>825853.55</v>
      </c>
      <c r="E2797" s="95"/>
      <c r="F2797" s="93"/>
      <c r="G2797" s="93"/>
      <c r="H2797" s="93"/>
      <c r="I2797" s="93"/>
      <c r="K2797" s="93"/>
      <c r="L2797" s="93">
        <f t="shared" si="360"/>
        <v>0</v>
      </c>
      <c r="M2797" s="95" t="e">
        <f t="shared" ca="1" si="361"/>
        <v>#DIV/0!</v>
      </c>
      <c r="N2797" s="95">
        <f>IF(P2797="Hedge Fund",IF(A2797=Summary!$AD$3,M2797-E2797,M2797),IF(A2797=Summary!$AD$3,L2797-D2797,L2797))</f>
        <v>0</v>
      </c>
      <c r="O2797" s="95">
        <f t="shared" si="366"/>
        <v>0</v>
      </c>
      <c r="P2797" s="107" t="s">
        <v>155</v>
      </c>
      <c r="Q2797" s="95">
        <v>4.0160400000000002E-3</v>
      </c>
      <c r="R2797" s="95">
        <v>1.1634600000000001E-3</v>
      </c>
      <c r="S2797" s="95"/>
      <c r="T2797" s="95"/>
      <c r="U2797" s="95"/>
      <c r="V2797" s="95"/>
      <c r="W2797" s="95"/>
      <c r="X2797" s="95"/>
      <c r="Y2797" s="95"/>
      <c r="Z2797" s="95"/>
      <c r="AA2797" s="95"/>
      <c r="AB2797" s="95"/>
      <c r="AC2797" s="355"/>
      <c r="AD2797" s="355"/>
      <c r="AE2797" s="355"/>
      <c r="AF2797" s="94">
        <f t="shared" si="362"/>
        <v>43371</v>
      </c>
      <c r="AG2797" s="185" t="e">
        <f t="shared" si="365"/>
        <v>#DIV/0!</v>
      </c>
      <c r="AH2797" s="339" t="str">
        <f>VLOOKUP(B2797,'MF PF'!A:B,2)</f>
        <v>FdMgt1</v>
      </c>
      <c r="AI2797" s="358">
        <f t="shared" si="363"/>
        <v>0</v>
      </c>
      <c r="AJ2797" s="94">
        <f t="shared" si="364"/>
        <v>43373</v>
      </c>
    </row>
    <row r="2798" spans="1:36" ht="12.75" customHeight="1">
      <c r="A2798" s="94">
        <v>43404</v>
      </c>
      <c r="B2798" s="358" t="s">
        <v>273</v>
      </c>
      <c r="C2798" s="358" t="s">
        <v>374</v>
      </c>
      <c r="D2798" s="93">
        <v>945490.76509999996</v>
      </c>
      <c r="F2798" s="93">
        <v>1</v>
      </c>
      <c r="G2798" s="93">
        <v>80914.37</v>
      </c>
      <c r="H2798" s="93">
        <v>0</v>
      </c>
      <c r="I2798" s="93">
        <v>0</v>
      </c>
      <c r="J2798" s="93">
        <v>0</v>
      </c>
      <c r="K2798" s="93"/>
      <c r="L2798" s="93">
        <f t="shared" si="360"/>
        <v>80914.37</v>
      </c>
      <c r="M2798" s="95" t="e">
        <f t="shared" ca="1" si="361"/>
        <v>#DIV/0!</v>
      </c>
      <c r="N2798" s="95">
        <f>IF(P2798="Hedge Fund",IF(A2798=Summary!$AD$3,M2798-E2798,M2798),IF(A2798=Summary!$AD$3,L2798-D2798,L2798))</f>
        <v>80914.37</v>
      </c>
      <c r="O2798" s="95">
        <f t="shared" si="366"/>
        <v>80914.37</v>
      </c>
      <c r="P2798" s="95" t="s">
        <v>155</v>
      </c>
      <c r="Q2798" s="95">
        <v>4.7738841084913729E-3</v>
      </c>
      <c r="R2798" s="95">
        <v>5.7342049191757335E-3</v>
      </c>
      <c r="S2798" s="95"/>
      <c r="T2798" s="95"/>
      <c r="U2798" s="95"/>
      <c r="V2798" s="95"/>
      <c r="W2798" s="95"/>
      <c r="X2798" s="95"/>
      <c r="Y2798" s="95"/>
      <c r="Z2798" s="95"/>
      <c r="AA2798" s="95"/>
      <c r="AB2798" s="95"/>
      <c r="AC2798" s="355"/>
      <c r="AD2798" s="355"/>
      <c r="AE2798" s="355"/>
      <c r="AF2798" s="94">
        <f t="shared" si="362"/>
        <v>43404</v>
      </c>
      <c r="AG2798" s="185">
        <f t="shared" si="365"/>
        <v>4.6888271049994268E-2</v>
      </c>
      <c r="AH2798" s="339" t="str">
        <f>VLOOKUP(B2798,'MF PF'!A:B,2)</f>
        <v>FdMgt1</v>
      </c>
      <c r="AI2798" s="358">
        <f t="shared" si="363"/>
        <v>0</v>
      </c>
      <c r="AJ2798" s="94">
        <f t="shared" si="364"/>
        <v>43404</v>
      </c>
    </row>
    <row r="2799" spans="1:36" ht="12.75" customHeight="1">
      <c r="A2799" s="94">
        <v>43432</v>
      </c>
      <c r="B2799" s="358" t="s">
        <v>273</v>
      </c>
      <c r="C2799" s="358" t="s">
        <v>374</v>
      </c>
      <c r="D2799" s="93"/>
      <c r="F2799" s="93"/>
      <c r="G2799" s="93">
        <v>87003.060000000012</v>
      </c>
      <c r="H2799" s="93">
        <v>0</v>
      </c>
      <c r="I2799" s="93">
        <v>0</v>
      </c>
      <c r="K2799" s="93">
        <v>0</v>
      </c>
      <c r="L2799" s="93">
        <f t="shared" si="360"/>
        <v>87003.060000000012</v>
      </c>
      <c r="M2799" s="95" t="e">
        <f t="shared" ca="1" si="361"/>
        <v>#DIV/0!</v>
      </c>
      <c r="N2799" s="95">
        <f>IF(P2799="Hedge Fund",IF(A2799=Summary!$AD$3,M2799-E2799,M2799),IF(A2799=Summary!$AD$3,L2799-D2799,L2799))</f>
        <v>87003.060000000012</v>
      </c>
      <c r="O2799" s="95">
        <f t="shared" si="366"/>
        <v>87003.060000000012</v>
      </c>
      <c r="P2799" s="95" t="s">
        <v>155</v>
      </c>
      <c r="Q2799" s="95"/>
      <c r="R2799" s="95"/>
      <c r="S2799" s="95"/>
      <c r="T2799" s="95"/>
      <c r="U2799" s="95"/>
      <c r="V2799" s="95"/>
      <c r="W2799" s="95"/>
      <c r="X2799" s="95"/>
      <c r="Y2799" s="95"/>
      <c r="Z2799" s="95"/>
      <c r="AA2799" s="95"/>
      <c r="AB2799" s="95"/>
      <c r="AC2799" s="355"/>
      <c r="AD2799" s="355"/>
      <c r="AE2799" s="355"/>
      <c r="AF2799" s="94">
        <f t="shared" si="362"/>
        <v>43432</v>
      </c>
      <c r="AG2799" s="185">
        <f t="shared" si="365"/>
        <v>-1.0920189421319182</v>
      </c>
      <c r="AH2799" s="339" t="str">
        <f>VLOOKUP(B2799,'MF PF'!A:B,2)</f>
        <v>FdMgt1</v>
      </c>
      <c r="AI2799" s="358">
        <f t="shared" si="363"/>
        <v>0</v>
      </c>
      <c r="AJ2799" s="94">
        <f t="shared" si="364"/>
        <v>43434</v>
      </c>
    </row>
    <row r="2800" spans="1:36" ht="12.75" customHeight="1">
      <c r="A2800" s="94">
        <v>43434</v>
      </c>
      <c r="B2800" s="358" t="s">
        <v>273</v>
      </c>
      <c r="C2800" s="358" t="s">
        <v>374</v>
      </c>
      <c r="D2800" s="93">
        <v>993816.44</v>
      </c>
      <c r="E2800" s="95"/>
      <c r="F2800" s="93">
        <v>1</v>
      </c>
      <c r="G2800" s="93"/>
      <c r="H2800" s="93">
        <v>0</v>
      </c>
      <c r="I2800" s="93">
        <v>0</v>
      </c>
      <c r="K2800" s="93">
        <v>0</v>
      </c>
      <c r="L2800" s="93">
        <f t="shared" si="360"/>
        <v>0</v>
      </c>
      <c r="M2800" s="95" t="e">
        <f t="shared" ca="1" si="361"/>
        <v>#DIV/0!</v>
      </c>
      <c r="N2800" s="95">
        <f>IF(P2800="Hedge Fund",IF(A2800=Summary!$AD$3,M2800-E2800,M2800),IF(A2800=Summary!$AD$3,L2800-D2800,L2800))</f>
        <v>0</v>
      </c>
      <c r="O2800" s="95">
        <f t="shared" si="366"/>
        <v>0</v>
      </c>
      <c r="P2800" s="95" t="s">
        <v>155</v>
      </c>
      <c r="Q2800" s="95">
        <v>6.4359200000000004E-3</v>
      </c>
      <c r="R2800" s="95">
        <v>1.1714809191757287E-3</v>
      </c>
      <c r="S2800" s="95"/>
      <c r="T2800" s="95"/>
      <c r="U2800" s="95"/>
      <c r="V2800" s="95"/>
      <c r="W2800" s="95"/>
      <c r="X2800" s="95"/>
      <c r="Y2800" s="95"/>
      <c r="Z2800" s="95"/>
      <c r="AA2800" s="95"/>
      <c r="AB2800" s="95"/>
      <c r="AC2800" s="355"/>
      <c r="AD2800" s="355"/>
      <c r="AE2800" s="355"/>
      <c r="AF2800" s="94">
        <f t="shared" si="362"/>
        <v>43434</v>
      </c>
      <c r="AG2800" s="185" t="e">
        <f t="shared" si="365"/>
        <v>#DIV/0!</v>
      </c>
      <c r="AH2800" s="339" t="str">
        <f>VLOOKUP(B2800,'MF PF'!A:B,2)</f>
        <v>FdMgt1</v>
      </c>
      <c r="AI2800" s="358">
        <f t="shared" si="363"/>
        <v>0</v>
      </c>
      <c r="AJ2800" s="94">
        <f t="shared" si="364"/>
        <v>43434</v>
      </c>
    </row>
    <row r="2801" spans="1:36" ht="12.75" customHeight="1">
      <c r="A2801" s="94">
        <v>43465</v>
      </c>
      <c r="B2801" s="358" t="s">
        <v>273</v>
      </c>
      <c r="C2801" s="358" t="s">
        <v>374</v>
      </c>
      <c r="D2801" s="93">
        <v>1002818.63</v>
      </c>
      <c r="E2801" s="95"/>
      <c r="F2801" s="93">
        <v>1</v>
      </c>
      <c r="G2801" s="93"/>
      <c r="H2801" s="93">
        <v>0</v>
      </c>
      <c r="I2801" s="93">
        <v>0</v>
      </c>
      <c r="K2801" s="93">
        <v>0</v>
      </c>
      <c r="L2801" s="93">
        <f t="shared" si="360"/>
        <v>0</v>
      </c>
      <c r="M2801" s="95" t="e">
        <f t="shared" ca="1" si="361"/>
        <v>#DIV/0!</v>
      </c>
      <c r="N2801" s="95">
        <f>IF(P2801="Hedge Fund",IF(A2801=Summary!$AD$3,M2801-E2801,M2801),IF(A2801=Summary!$AD$3,L2801-D2801,L2801))</f>
        <v>0</v>
      </c>
      <c r="O2801" s="95">
        <f t="shared" si="366"/>
        <v>0</v>
      </c>
      <c r="P2801" s="95" t="s">
        <v>155</v>
      </c>
      <c r="Q2801" s="95">
        <v>-1.0113458427658211</v>
      </c>
      <c r="R2801" s="95">
        <v>0</v>
      </c>
      <c r="S2801" s="95"/>
      <c r="T2801" s="95"/>
      <c r="U2801" s="95"/>
      <c r="V2801" s="95"/>
      <c r="W2801" s="95"/>
      <c r="X2801" s="95"/>
      <c r="Y2801" s="95"/>
      <c r="Z2801" s="95"/>
      <c r="AA2801" s="95"/>
      <c r="AB2801" s="95"/>
      <c r="AC2801" s="355"/>
      <c r="AD2801" s="355"/>
      <c r="AE2801" s="355"/>
      <c r="AF2801" s="94">
        <f t="shared" si="362"/>
        <v>43465</v>
      </c>
      <c r="AG2801" s="185">
        <f t="shared" si="365"/>
        <v>9.0582019351581611E-3</v>
      </c>
      <c r="AH2801" s="339" t="str">
        <f>VLOOKUP(B2801,'MF PF'!A:B,2)</f>
        <v>FdMgt1</v>
      </c>
      <c r="AI2801" s="358">
        <f t="shared" si="363"/>
        <v>0</v>
      </c>
      <c r="AJ2801" s="94">
        <f t="shared" si="364"/>
        <v>43465</v>
      </c>
    </row>
    <row r="2802" spans="1:36" ht="12.75" customHeight="1">
      <c r="A2802" s="94">
        <v>43496</v>
      </c>
      <c r="B2802" s="358" t="s">
        <v>273</v>
      </c>
      <c r="C2802" s="358" t="s">
        <v>374</v>
      </c>
      <c r="D2802" s="93">
        <v>1013423.7206</v>
      </c>
      <c r="F2802" s="93">
        <v>0.98717804720549518</v>
      </c>
      <c r="G2802" s="93"/>
      <c r="H2802" s="93">
        <v>0</v>
      </c>
      <c r="I2802" s="93">
        <v>0</v>
      </c>
      <c r="K2802" s="93">
        <v>0</v>
      </c>
      <c r="L2802" s="93">
        <f t="shared" si="360"/>
        <v>0</v>
      </c>
      <c r="M2802" s="95" t="e">
        <f t="shared" ca="1" si="361"/>
        <v>#DIV/0!</v>
      </c>
      <c r="N2802" s="95">
        <f>IF(P2802="Hedge Fund",IF(A2802=Summary!$AD$3,M2802-E2802,M2802),IF(A2802=Summary!$AD$3,L2802-D2802,L2802))</f>
        <v>-1013423.7206</v>
      </c>
      <c r="O2802" s="95">
        <f t="shared" si="366"/>
        <v>-1013423.7206</v>
      </c>
      <c r="P2802" s="95" t="s">
        <v>155</v>
      </c>
      <c r="Q2802" s="95">
        <v>6.9930584152558062E-3</v>
      </c>
      <c r="R2802" s="95">
        <v>4.6315894191757308E-3</v>
      </c>
      <c r="S2802" s="95"/>
      <c r="T2802" s="95"/>
      <c r="U2802" s="95"/>
      <c r="V2802" s="95"/>
      <c r="W2802" s="95"/>
      <c r="X2802" s="95"/>
      <c r="Y2802" s="95"/>
      <c r="Z2802" s="95"/>
      <c r="AA2802" s="95"/>
      <c r="AB2802" s="95"/>
      <c r="AC2802" s="355"/>
      <c r="AD2802" s="355"/>
      <c r="AE2802" s="355"/>
      <c r="AF2802" s="94">
        <f t="shared" si="362"/>
        <v>43496</v>
      </c>
      <c r="AG2802" s="185">
        <f t="shared" si="365"/>
        <v>1.0575282790667773E-2</v>
      </c>
      <c r="AH2802" s="339" t="str">
        <f>VLOOKUP(B2802,'MF PF'!A:B,2)</f>
        <v>FdMgt1</v>
      </c>
      <c r="AI2802" s="358">
        <f t="shared" si="363"/>
        <v>0</v>
      </c>
      <c r="AJ2802" s="94">
        <f t="shared" si="364"/>
        <v>43496</v>
      </c>
    </row>
    <row r="2803" spans="1:36" ht="12.75" customHeight="1">
      <c r="A2803" s="94">
        <v>43329</v>
      </c>
      <c r="B2803" s="358" t="s">
        <v>273</v>
      </c>
      <c r="C2803" s="358" t="s">
        <v>302</v>
      </c>
      <c r="D2803" s="93"/>
      <c r="F2803" s="93"/>
      <c r="G2803" s="93">
        <v>615354.2389688543</v>
      </c>
      <c r="H2803" s="93"/>
      <c r="I2803" s="93"/>
      <c r="K2803" s="93"/>
      <c r="L2803" s="93">
        <f t="shared" si="360"/>
        <v>615354.2389688543</v>
      </c>
      <c r="M2803" s="95">
        <f t="shared" ca="1" si="361"/>
        <v>0</v>
      </c>
      <c r="N2803" s="95">
        <f>IF(P2803="Hedge Fund",IF(A2803=Summary!$AD$3,M2803-E2803,M2803),IF(A2803=Summary!$AD$3,L2803-D2803,L2803))</f>
        <v>615354.2389688543</v>
      </c>
      <c r="O2803" s="95">
        <f t="shared" si="366"/>
        <v>615354.2389688543</v>
      </c>
      <c r="P2803" s="107" t="s">
        <v>155</v>
      </c>
      <c r="Q2803" s="95">
        <v>0</v>
      </c>
      <c r="R2803" s="95">
        <v>0</v>
      </c>
      <c r="S2803" s="95"/>
      <c r="T2803" s="95"/>
      <c r="U2803" s="95"/>
      <c r="V2803" s="95"/>
      <c r="W2803" s="95"/>
      <c r="X2803" s="95"/>
      <c r="Y2803" s="95"/>
      <c r="Z2803" s="95"/>
      <c r="AA2803" s="95"/>
      <c r="AB2803" s="95"/>
      <c r="AC2803" s="355"/>
      <c r="AD2803" s="355"/>
      <c r="AE2803" s="355"/>
      <c r="AF2803" s="94">
        <f t="shared" si="362"/>
        <v>43329</v>
      </c>
      <c r="AG2803" s="185">
        <f t="shared" si="365"/>
        <v>-1</v>
      </c>
      <c r="AH2803" s="339" t="str">
        <f>VLOOKUP(B2803,'MF PF'!A:B,2)</f>
        <v>FdMgt1</v>
      </c>
      <c r="AI2803" s="358">
        <f t="shared" si="363"/>
        <v>0</v>
      </c>
      <c r="AJ2803" s="94">
        <f t="shared" si="364"/>
        <v>43343</v>
      </c>
    </row>
    <row r="2804" spans="1:36" ht="12.75" customHeight="1">
      <c r="A2804" s="94">
        <v>43343</v>
      </c>
      <c r="B2804" s="358" t="s">
        <v>273</v>
      </c>
      <c r="C2804" s="358" t="s">
        <v>302</v>
      </c>
      <c r="D2804" s="93">
        <v>742427.44</v>
      </c>
      <c r="F2804" s="93"/>
      <c r="G2804" s="93"/>
      <c r="H2804" s="93"/>
      <c r="I2804" s="93"/>
      <c r="L2804" s="93">
        <f t="shared" si="360"/>
        <v>0</v>
      </c>
      <c r="M2804" s="95" t="e">
        <f t="shared" ca="1" si="361"/>
        <v>#DIV/0!</v>
      </c>
      <c r="N2804" s="95">
        <f>IF(P2804="Hedge Fund",IF(A2804=Summary!$AD$3,M2804-E2804,M2804),IF(A2804=Summary!$AD$3,L2804-D2804,L2804))</f>
        <v>0</v>
      </c>
      <c r="O2804" s="95">
        <f t="shared" si="366"/>
        <v>0</v>
      </c>
      <c r="P2804" s="107" t="s">
        <v>155</v>
      </c>
      <c r="Q2804" s="95">
        <v>0</v>
      </c>
      <c r="R2804" s="95">
        <v>0</v>
      </c>
      <c r="S2804" s="95"/>
      <c r="T2804" s="95"/>
      <c r="U2804" s="95"/>
      <c r="V2804" s="95"/>
      <c r="W2804" s="95"/>
      <c r="X2804" s="95"/>
      <c r="Y2804" s="95"/>
      <c r="Z2804" s="95"/>
      <c r="AA2804" s="95"/>
      <c r="AB2804" s="95"/>
      <c r="AC2804" s="355"/>
      <c r="AD2804" s="355"/>
      <c r="AE2804" s="355"/>
      <c r="AF2804" s="94">
        <f t="shared" si="362"/>
        <v>43343</v>
      </c>
      <c r="AG2804" s="185" t="e">
        <f t="shared" si="365"/>
        <v>#DIV/0!</v>
      </c>
      <c r="AH2804" s="339" t="str">
        <f>VLOOKUP(B2804,'MF PF'!A:B,2)</f>
        <v>FdMgt1</v>
      </c>
      <c r="AI2804" s="358">
        <f t="shared" si="363"/>
        <v>0</v>
      </c>
      <c r="AJ2804" s="94">
        <f t="shared" si="364"/>
        <v>43343</v>
      </c>
    </row>
    <row r="2805" spans="1:36" ht="12.75" customHeight="1">
      <c r="A2805" s="94">
        <v>43369</v>
      </c>
      <c r="B2805" s="358" t="s">
        <v>273</v>
      </c>
      <c r="C2805" s="358" t="s">
        <v>302</v>
      </c>
      <c r="D2805" s="93"/>
      <c r="F2805" s="93"/>
      <c r="G2805" s="93">
        <v>123884.71</v>
      </c>
      <c r="H2805" s="93"/>
      <c r="I2805" s="93"/>
      <c r="L2805" s="93">
        <f t="shared" si="360"/>
        <v>123884.71</v>
      </c>
      <c r="M2805" s="95" t="e">
        <f t="shared" ca="1" si="361"/>
        <v>#DIV/0!</v>
      </c>
      <c r="N2805" s="95">
        <f>IF(P2805="Hedge Fund",IF(A2805=Summary!$AD$3,M2805-E2805,M2805),IF(A2805=Summary!$AD$3,L2805-D2805,L2805))</f>
        <v>123884.71</v>
      </c>
      <c r="O2805" s="95">
        <f t="shared" si="366"/>
        <v>123884.71</v>
      </c>
      <c r="P2805" s="107" t="s">
        <v>155</v>
      </c>
      <c r="Q2805" s="95">
        <v>0</v>
      </c>
      <c r="R2805" s="95">
        <v>0</v>
      </c>
      <c r="S2805" s="95"/>
      <c r="T2805" s="95"/>
      <c r="U2805" s="95"/>
      <c r="V2805" s="95"/>
      <c r="W2805" s="95"/>
      <c r="X2805" s="95"/>
      <c r="Y2805" s="95"/>
      <c r="Z2805" s="95"/>
      <c r="AA2805" s="95"/>
      <c r="AB2805" s="95"/>
      <c r="AC2805" s="355"/>
      <c r="AD2805" s="355"/>
      <c r="AE2805" s="355"/>
      <c r="AF2805" s="94">
        <f t="shared" si="362"/>
        <v>43369</v>
      </c>
      <c r="AG2805" s="185">
        <f t="shared" si="365"/>
        <v>-1.1668644009170781</v>
      </c>
      <c r="AH2805" s="339" t="str">
        <f>VLOOKUP(B2805,'MF PF'!A:B,2)</f>
        <v>FdMgt1</v>
      </c>
      <c r="AI2805" s="358">
        <f t="shared" si="363"/>
        <v>0</v>
      </c>
      <c r="AJ2805" s="94">
        <f t="shared" si="364"/>
        <v>43373</v>
      </c>
    </row>
    <row r="2806" spans="1:36" ht="12.75" customHeight="1">
      <c r="A2806" s="94">
        <v>43371</v>
      </c>
      <c r="B2806" s="358" t="s">
        <v>273</v>
      </c>
      <c r="C2806" s="358" t="s">
        <v>302</v>
      </c>
      <c r="D2806" s="93">
        <v>746788.74</v>
      </c>
      <c r="F2806" s="93"/>
      <c r="G2806" s="93"/>
      <c r="H2806" s="93"/>
      <c r="I2806" s="93"/>
      <c r="K2806" s="93"/>
      <c r="L2806" s="93">
        <f t="shared" si="360"/>
        <v>0</v>
      </c>
      <c r="M2806" s="95" t="e">
        <f t="shared" ca="1" si="361"/>
        <v>#DIV/0!</v>
      </c>
      <c r="N2806" s="95">
        <f>IF(P2806="Hedge Fund",IF(A2806=Summary!$AD$3,M2806-E2806,M2806),IF(A2806=Summary!$AD$3,L2806-D2806,L2806))</f>
        <v>0</v>
      </c>
      <c r="O2806" s="95">
        <f t="shared" si="366"/>
        <v>0</v>
      </c>
      <c r="P2806" s="107" t="s">
        <v>155</v>
      </c>
      <c r="Q2806" s="95">
        <v>0</v>
      </c>
      <c r="R2806" s="95">
        <v>0</v>
      </c>
      <c r="S2806" s="95"/>
      <c r="T2806" s="95"/>
      <c r="U2806" s="95"/>
      <c r="V2806" s="95"/>
      <c r="W2806" s="95"/>
      <c r="X2806" s="95"/>
      <c r="Y2806" s="95"/>
      <c r="Z2806" s="95"/>
      <c r="AA2806" s="95"/>
      <c r="AB2806" s="95"/>
      <c r="AC2806" s="355"/>
      <c r="AD2806" s="355"/>
      <c r="AE2806" s="355"/>
      <c r="AF2806" s="94">
        <f t="shared" si="362"/>
        <v>43371</v>
      </c>
      <c r="AG2806" s="185" t="e">
        <f t="shared" si="365"/>
        <v>#DIV/0!</v>
      </c>
      <c r="AH2806" s="339" t="str">
        <f>VLOOKUP(B2806,'MF PF'!A:B,2)</f>
        <v>FdMgt1</v>
      </c>
      <c r="AI2806" s="358">
        <f t="shared" si="363"/>
        <v>0</v>
      </c>
      <c r="AJ2806" s="94">
        <f t="shared" si="364"/>
        <v>43373</v>
      </c>
    </row>
    <row r="2807" spans="1:36" ht="12.75" customHeight="1">
      <c r="A2807" s="94">
        <v>43404</v>
      </c>
      <c r="B2807" s="358" t="s">
        <v>273</v>
      </c>
      <c r="C2807" s="358" t="s">
        <v>302</v>
      </c>
      <c r="D2807" s="93">
        <v>862115.54</v>
      </c>
      <c r="E2807" s="95"/>
      <c r="F2807" s="93">
        <v>0.89862635999999985</v>
      </c>
      <c r="G2807" s="93">
        <v>72711.790000000037</v>
      </c>
      <c r="H2807" s="93">
        <v>0</v>
      </c>
      <c r="I2807" s="93">
        <v>0</v>
      </c>
      <c r="J2807" s="93">
        <v>0</v>
      </c>
      <c r="K2807" s="93"/>
      <c r="L2807" s="93">
        <f t="shared" si="360"/>
        <v>72711.790000000037</v>
      </c>
      <c r="M2807" s="95" t="e">
        <f t="shared" ca="1" si="361"/>
        <v>#DIV/0!</v>
      </c>
      <c r="N2807" s="95">
        <f>IF(P2807="Hedge Fund",IF(A2807=Summary!$AD$3,M2807-E2807,M2807),IF(A2807=Summary!$AD$3,L2807-D2807,L2807))</f>
        <v>72711.790000000037</v>
      </c>
      <c r="O2807" s="95">
        <f t="shared" si="366"/>
        <v>72711.790000000037</v>
      </c>
      <c r="P2807" s="95" t="s">
        <v>155</v>
      </c>
      <c r="Q2807" s="95">
        <v>0</v>
      </c>
      <c r="R2807" s="95">
        <v>0</v>
      </c>
      <c r="S2807" s="95"/>
      <c r="T2807" s="95"/>
      <c r="U2807" s="95"/>
      <c r="V2807" s="95"/>
      <c r="W2807" s="95"/>
      <c r="X2807" s="95"/>
      <c r="Y2807" s="95"/>
      <c r="Z2807" s="95"/>
      <c r="AA2807" s="95"/>
      <c r="AB2807" s="95"/>
      <c r="AC2807" s="355"/>
      <c r="AD2807" s="355"/>
      <c r="AE2807" s="355"/>
      <c r="AF2807" s="94">
        <f t="shared" si="362"/>
        <v>43404</v>
      </c>
      <c r="AG2807" s="185">
        <f t="shared" si="365"/>
        <v>5.7064344596304384E-2</v>
      </c>
      <c r="AH2807" s="339" t="str">
        <f>VLOOKUP(B2807,'MF PF'!A:B,2)</f>
        <v>FdMgt1</v>
      </c>
      <c r="AI2807" s="358">
        <f t="shared" si="363"/>
        <v>0</v>
      </c>
      <c r="AJ2807" s="94">
        <f t="shared" si="364"/>
        <v>43404</v>
      </c>
    </row>
    <row r="2808" spans="1:36" ht="12.75" customHeight="1">
      <c r="A2808" s="94">
        <v>43432</v>
      </c>
      <c r="B2808" s="358" t="s">
        <v>273</v>
      </c>
      <c r="C2808" s="358" t="s">
        <v>302</v>
      </c>
      <c r="D2808" s="93"/>
      <c r="F2808" s="93"/>
      <c r="G2808" s="93">
        <v>78182.7</v>
      </c>
      <c r="H2808" s="93">
        <v>0</v>
      </c>
      <c r="I2808" s="93">
        <v>0</v>
      </c>
      <c r="K2808" s="7">
        <v>0</v>
      </c>
      <c r="L2808" s="93">
        <f t="shared" si="360"/>
        <v>78182.7</v>
      </c>
      <c r="M2808" s="95" t="e">
        <f t="shared" ca="1" si="361"/>
        <v>#DIV/0!</v>
      </c>
      <c r="N2808" s="95">
        <f>IF(P2808="Hedge Fund",IF(A2808=Summary!$AD$3,M2808-E2808,M2808),IF(A2808=Summary!$AD$3,L2808-D2808,L2808))</f>
        <v>78182.7</v>
      </c>
      <c r="O2808" s="95">
        <f t="shared" si="366"/>
        <v>78182.7</v>
      </c>
      <c r="P2808" s="95" t="s">
        <v>155</v>
      </c>
      <c r="Q2808" s="95"/>
      <c r="R2808" s="95"/>
      <c r="S2808" s="95"/>
      <c r="T2808" s="95"/>
      <c r="U2808" s="95"/>
      <c r="V2808" s="95"/>
      <c r="W2808" s="95"/>
      <c r="X2808" s="95"/>
      <c r="Y2808" s="95"/>
      <c r="Z2808" s="95"/>
      <c r="AA2808" s="95"/>
      <c r="AB2808" s="95"/>
      <c r="AC2808" s="355"/>
      <c r="AD2808" s="355"/>
      <c r="AE2808" s="355"/>
      <c r="AF2808" s="94">
        <f t="shared" si="362"/>
        <v>43432</v>
      </c>
      <c r="AG2808" s="185">
        <f t="shared" si="365"/>
        <v>-1.0906870325061071</v>
      </c>
      <c r="AH2808" s="339" t="str">
        <f>VLOOKUP(B2808,'MF PF'!A:B,2)</f>
        <v>FdMgt1</v>
      </c>
      <c r="AI2808" s="358">
        <f t="shared" si="363"/>
        <v>0</v>
      </c>
      <c r="AJ2808" s="94">
        <f t="shared" si="364"/>
        <v>43434</v>
      </c>
    </row>
    <row r="2809" spans="1:36" ht="12.75" customHeight="1">
      <c r="A2809" s="94">
        <v>43434</v>
      </c>
      <c r="B2809" s="358" t="s">
        <v>273</v>
      </c>
      <c r="C2809" s="358" t="s">
        <v>302</v>
      </c>
      <c r="D2809" s="93">
        <v>902935.08</v>
      </c>
      <c r="F2809" s="93">
        <v>0.89862635999999985</v>
      </c>
      <c r="G2809" s="93"/>
      <c r="H2809" s="93">
        <v>0</v>
      </c>
      <c r="I2809" s="93">
        <v>0</v>
      </c>
      <c r="K2809" s="7">
        <v>0</v>
      </c>
      <c r="L2809" s="93">
        <f t="shared" si="360"/>
        <v>0</v>
      </c>
      <c r="M2809" s="95" t="e">
        <f t="shared" ca="1" si="361"/>
        <v>#DIV/0!</v>
      </c>
      <c r="N2809" s="95">
        <f>IF(P2809="Hedge Fund",IF(A2809=Summary!$AD$3,M2809-E2809,M2809),IF(A2809=Summary!$AD$3,L2809-D2809,L2809))</f>
        <v>0</v>
      </c>
      <c r="O2809" s="95">
        <f t="shared" si="366"/>
        <v>0</v>
      </c>
      <c r="P2809" s="95" t="s">
        <v>155</v>
      </c>
      <c r="Q2809" s="95">
        <v>0</v>
      </c>
      <c r="R2809" s="95">
        <v>0</v>
      </c>
      <c r="S2809" s="95"/>
      <c r="T2809" s="95"/>
      <c r="U2809" s="95"/>
      <c r="V2809" s="95"/>
      <c r="W2809" s="95"/>
      <c r="X2809" s="95"/>
      <c r="Y2809" s="95"/>
      <c r="Z2809" s="95"/>
      <c r="AA2809" s="95"/>
      <c r="AB2809" s="95"/>
      <c r="AC2809" s="355"/>
      <c r="AD2809" s="355"/>
      <c r="AE2809" s="355"/>
      <c r="AF2809" s="94">
        <f t="shared" si="362"/>
        <v>43434</v>
      </c>
      <c r="AG2809" s="185" t="e">
        <f t="shared" si="365"/>
        <v>#DIV/0!</v>
      </c>
      <c r="AH2809" s="339" t="str">
        <f>VLOOKUP(B2809,'MF PF'!A:B,2)</f>
        <v>FdMgt1</v>
      </c>
      <c r="AI2809" s="358">
        <f t="shared" si="363"/>
        <v>0</v>
      </c>
      <c r="AJ2809" s="94">
        <f t="shared" si="364"/>
        <v>43434</v>
      </c>
    </row>
    <row r="2810" spans="1:36" ht="12.75" customHeight="1">
      <c r="A2810" s="94">
        <v>43465</v>
      </c>
      <c r="B2810" s="358" t="s">
        <v>273</v>
      </c>
      <c r="C2810" s="358" t="s">
        <v>302</v>
      </c>
      <c r="D2810" s="368">
        <v>908822.03</v>
      </c>
      <c r="F2810" s="93">
        <v>0.89862635999999985</v>
      </c>
      <c r="G2810" s="93"/>
      <c r="H2810" s="93">
        <v>0</v>
      </c>
      <c r="I2810" s="93">
        <v>0</v>
      </c>
      <c r="K2810" s="7">
        <v>0</v>
      </c>
      <c r="L2810" s="93">
        <f t="shared" si="360"/>
        <v>0</v>
      </c>
      <c r="M2810" s="95" t="e">
        <f t="shared" ca="1" si="361"/>
        <v>#DIV/0!</v>
      </c>
      <c r="N2810" s="95">
        <f>IF(P2810="Hedge Fund",IF(A2810=Summary!$AD$3,M2810-E2810,M2810),IF(A2810=Summary!$AD$3,L2810-D2810,L2810))</f>
        <v>0</v>
      </c>
      <c r="O2810" s="95">
        <f t="shared" si="366"/>
        <v>0</v>
      </c>
      <c r="P2810" s="95" t="s">
        <v>155</v>
      </c>
      <c r="Q2810" s="95">
        <v>-0.9088220276814889</v>
      </c>
      <c r="R2810" s="95">
        <v>0</v>
      </c>
      <c r="S2810" s="95"/>
      <c r="T2810" s="95"/>
      <c r="U2810" s="95"/>
      <c r="V2810" s="95"/>
      <c r="W2810" s="95"/>
      <c r="X2810" s="95"/>
      <c r="Y2810" s="95"/>
      <c r="Z2810" s="95"/>
      <c r="AA2810" s="95"/>
      <c r="AB2810" s="95"/>
      <c r="AC2810" s="355"/>
      <c r="AD2810" s="355"/>
      <c r="AE2810" s="355"/>
      <c r="AF2810" s="94">
        <f t="shared" si="362"/>
        <v>43465</v>
      </c>
      <c r="AG2810" s="185">
        <f t="shared" si="365"/>
        <v>6.5197932059524177E-3</v>
      </c>
      <c r="AH2810" s="339" t="str">
        <f>VLOOKUP(B2810,'MF PF'!A:B,2)</f>
        <v>FdMgt1</v>
      </c>
      <c r="AI2810" s="358">
        <f t="shared" si="363"/>
        <v>0</v>
      </c>
      <c r="AJ2810" s="94">
        <f t="shared" si="364"/>
        <v>43465</v>
      </c>
    </row>
    <row r="2811" spans="1:36" ht="12.75" customHeight="1">
      <c r="A2811" s="94">
        <v>43496</v>
      </c>
      <c r="B2811" s="358" t="s">
        <v>273</v>
      </c>
      <c r="C2811" s="358" t="s">
        <v>302</v>
      </c>
      <c r="D2811" s="93">
        <v>924164.71</v>
      </c>
      <c r="F2811" s="93">
        <v>0.89013343896885422</v>
      </c>
      <c r="G2811" s="93"/>
      <c r="H2811" s="93">
        <v>0</v>
      </c>
      <c r="I2811" s="93">
        <v>0</v>
      </c>
      <c r="K2811" s="7">
        <v>0</v>
      </c>
      <c r="L2811" s="93">
        <f t="shared" si="360"/>
        <v>0</v>
      </c>
      <c r="M2811" s="95" t="e">
        <f t="shared" ca="1" si="361"/>
        <v>#DIV/0!</v>
      </c>
      <c r="N2811" s="95">
        <f>IF(P2811="Hedge Fund",IF(A2811=Summary!$AD$3,M2811-E2811,M2811),IF(A2811=Summary!$AD$3,L2811-D2811,L2811))</f>
        <v>-924164.71</v>
      </c>
      <c r="O2811" s="95">
        <f t="shared" si="366"/>
        <v>-924164.71</v>
      </c>
      <c r="P2811" s="95" t="s">
        <v>155</v>
      </c>
      <c r="Q2811" s="95">
        <v>0</v>
      </c>
      <c r="R2811" s="95">
        <v>0</v>
      </c>
      <c r="S2811" s="95"/>
      <c r="T2811" s="95"/>
      <c r="U2811" s="95"/>
      <c r="V2811" s="95"/>
      <c r="W2811" s="95"/>
      <c r="X2811" s="95"/>
      <c r="Y2811" s="95"/>
      <c r="Z2811" s="95"/>
      <c r="AA2811" s="95"/>
      <c r="AB2811" s="95"/>
      <c r="AC2811" s="355"/>
      <c r="AD2811" s="355"/>
      <c r="AE2811" s="355"/>
      <c r="AF2811" s="94">
        <f t="shared" si="362"/>
        <v>43496</v>
      </c>
      <c r="AG2811" s="185">
        <f t="shared" si="365"/>
        <v>1.6881941121079436E-2</v>
      </c>
      <c r="AH2811" s="339" t="str">
        <f>VLOOKUP(B2811,'MF PF'!A:B,2)</f>
        <v>FdMgt1</v>
      </c>
      <c r="AI2811" s="358">
        <f t="shared" si="363"/>
        <v>0</v>
      </c>
      <c r="AJ2811" s="94">
        <f t="shared" si="364"/>
        <v>43496</v>
      </c>
    </row>
    <row r="2812" spans="1:36" ht="12.75" customHeight="1">
      <c r="A2812" s="94">
        <v>43329</v>
      </c>
      <c r="B2812" s="358" t="s">
        <v>273</v>
      </c>
      <c r="C2812" s="358" t="s">
        <v>303</v>
      </c>
      <c r="D2812" s="93"/>
      <c r="F2812" s="93"/>
      <c r="G2812" s="93">
        <v>1315789.9988014151</v>
      </c>
      <c r="H2812" s="93"/>
      <c r="I2812" s="93"/>
      <c r="K2812" s="93"/>
      <c r="L2812" s="93">
        <f t="shared" si="360"/>
        <v>1315789.9988014151</v>
      </c>
      <c r="M2812" s="95">
        <f t="shared" ca="1" si="361"/>
        <v>0</v>
      </c>
      <c r="N2812" s="95">
        <f>IF(P2812="Hedge Fund",IF(A2812=Summary!$AD$3,M2812-E2812,M2812),IF(A2812=Summary!$AD$3,L2812-D2812,L2812))</f>
        <v>1315789.9988014151</v>
      </c>
      <c r="O2812" s="95">
        <f t="shared" si="366"/>
        <v>1315789.9988014151</v>
      </c>
      <c r="P2812" s="107" t="s">
        <v>155</v>
      </c>
      <c r="Q2812" s="95">
        <v>0</v>
      </c>
      <c r="R2812" s="95">
        <v>0</v>
      </c>
      <c r="S2812" s="95"/>
      <c r="T2812" s="95"/>
      <c r="U2812" s="95"/>
      <c r="V2812" s="95"/>
      <c r="W2812" s="95"/>
      <c r="X2812" s="95"/>
      <c r="Y2812" s="95"/>
      <c r="Z2812" s="95"/>
      <c r="AA2812" s="95"/>
      <c r="AB2812" s="95"/>
      <c r="AC2812" s="355"/>
      <c r="AD2812" s="355"/>
      <c r="AE2812" s="355"/>
      <c r="AF2812" s="94">
        <f t="shared" si="362"/>
        <v>43329</v>
      </c>
      <c r="AG2812" s="185">
        <f t="shared" si="365"/>
        <v>-1</v>
      </c>
      <c r="AH2812" s="339" t="str">
        <f>VLOOKUP(B2812,'MF PF'!A:B,2)</f>
        <v>FdMgt1</v>
      </c>
      <c r="AI2812" s="358">
        <f t="shared" si="363"/>
        <v>0</v>
      </c>
      <c r="AJ2812" s="94">
        <f t="shared" si="364"/>
        <v>43343</v>
      </c>
    </row>
    <row r="2813" spans="1:36" ht="12.75" customHeight="1">
      <c r="A2813" s="94">
        <v>43343</v>
      </c>
      <c r="B2813" s="358" t="s">
        <v>273</v>
      </c>
      <c r="C2813" s="358" t="s">
        <v>303</v>
      </c>
      <c r="D2813" s="93">
        <v>1587506.95</v>
      </c>
      <c r="F2813" s="93"/>
      <c r="G2813" s="93"/>
      <c r="H2813" s="93"/>
      <c r="I2813" s="93"/>
      <c r="K2813" s="93"/>
      <c r="L2813" s="93">
        <f t="shared" si="360"/>
        <v>0</v>
      </c>
      <c r="M2813" s="95" t="e">
        <f t="shared" ca="1" si="361"/>
        <v>#DIV/0!</v>
      </c>
      <c r="N2813" s="95">
        <f>IF(P2813="Hedge Fund",IF(A2813=Summary!$AD$3,M2813-E2813,M2813),IF(A2813=Summary!$AD$3,L2813-D2813,L2813))</f>
        <v>0</v>
      </c>
      <c r="O2813" s="95">
        <f t="shared" si="366"/>
        <v>0</v>
      </c>
      <c r="P2813" s="107" t="s">
        <v>155</v>
      </c>
      <c r="Q2813" s="95">
        <v>0</v>
      </c>
      <c r="R2813" s="95">
        <v>0</v>
      </c>
      <c r="S2813" s="95"/>
      <c r="T2813" s="95"/>
      <c r="U2813" s="95"/>
      <c r="V2813" s="95"/>
      <c r="W2813" s="95"/>
      <c r="X2813" s="95"/>
      <c r="Y2813" s="95"/>
      <c r="Z2813" s="95"/>
      <c r="AA2813" s="95"/>
      <c r="AB2813" s="95"/>
      <c r="AC2813" s="355"/>
      <c r="AD2813" s="355"/>
      <c r="AE2813" s="355"/>
      <c r="AF2813" s="94">
        <f t="shared" si="362"/>
        <v>43343</v>
      </c>
      <c r="AG2813" s="185" t="e">
        <f t="shared" si="365"/>
        <v>#DIV/0!</v>
      </c>
      <c r="AH2813" s="339" t="str">
        <f>VLOOKUP(B2813,'MF PF'!A:B,2)</f>
        <v>FdMgt1</v>
      </c>
      <c r="AI2813" s="358">
        <f t="shared" si="363"/>
        <v>0</v>
      </c>
      <c r="AJ2813" s="94">
        <f t="shared" si="364"/>
        <v>43343</v>
      </c>
    </row>
    <row r="2814" spans="1:36" ht="12.75" customHeight="1">
      <c r="A2814" s="94">
        <v>43369</v>
      </c>
      <c r="B2814" s="358" t="s">
        <v>273</v>
      </c>
      <c r="C2814" s="358" t="s">
        <v>303</v>
      </c>
      <c r="D2814" s="93"/>
      <c r="F2814" s="93"/>
      <c r="G2814" s="93">
        <v>264898.39</v>
      </c>
      <c r="H2814" s="93"/>
      <c r="I2814" s="93"/>
      <c r="K2814" s="93"/>
      <c r="L2814" s="93">
        <f t="shared" si="360"/>
        <v>264898.39</v>
      </c>
      <c r="M2814" s="95" t="e">
        <f t="shared" ca="1" si="361"/>
        <v>#DIV/0!</v>
      </c>
      <c r="N2814" s="95">
        <f>IF(P2814="Hedge Fund",IF(A2814=Summary!$AD$3,M2814-E2814,M2814),IF(A2814=Summary!$AD$3,L2814-D2814,L2814))</f>
        <v>264898.39</v>
      </c>
      <c r="O2814" s="95">
        <f t="shared" si="366"/>
        <v>264898.39</v>
      </c>
      <c r="P2814" s="107" t="s">
        <v>155</v>
      </c>
      <c r="Q2814" s="95">
        <v>0</v>
      </c>
      <c r="R2814" s="95">
        <v>0</v>
      </c>
      <c r="S2814" s="95"/>
      <c r="T2814" s="95"/>
      <c r="U2814" s="95"/>
      <c r="V2814" s="95"/>
      <c r="W2814" s="95"/>
      <c r="X2814" s="95"/>
      <c r="Y2814" s="95"/>
      <c r="Z2814" s="95"/>
      <c r="AA2814" s="95"/>
      <c r="AB2814" s="95"/>
      <c r="AC2814" s="355"/>
      <c r="AD2814" s="355"/>
      <c r="AE2814" s="355"/>
      <c r="AF2814" s="94">
        <f t="shared" si="362"/>
        <v>43369</v>
      </c>
      <c r="AG2814" s="185">
        <f t="shared" si="365"/>
        <v>-1.1668643970346082</v>
      </c>
      <c r="AH2814" s="339" t="str">
        <f>VLOOKUP(B2814,'MF PF'!A:B,2)</f>
        <v>FdMgt1</v>
      </c>
      <c r="AI2814" s="358">
        <f t="shared" si="363"/>
        <v>0</v>
      </c>
      <c r="AJ2814" s="94">
        <f t="shared" si="364"/>
        <v>43373</v>
      </c>
    </row>
    <row r="2815" spans="1:36" ht="12.75" customHeight="1">
      <c r="A2815" s="94">
        <v>43371</v>
      </c>
      <c r="B2815" s="358" t="s">
        <v>273</v>
      </c>
      <c r="C2815" s="358" t="s">
        <v>303</v>
      </c>
      <c r="D2815" s="93">
        <v>1596831.85</v>
      </c>
      <c r="F2815" s="93"/>
      <c r="G2815" s="93"/>
      <c r="H2815" s="93"/>
      <c r="I2815" s="93"/>
      <c r="K2815" s="93"/>
      <c r="L2815" s="93">
        <f t="shared" si="360"/>
        <v>0</v>
      </c>
      <c r="M2815" s="95" t="e">
        <f t="shared" ca="1" si="361"/>
        <v>#DIV/0!</v>
      </c>
      <c r="N2815" s="95">
        <f>IF(P2815="Hedge Fund",IF(A2815=Summary!$AD$3,M2815-E2815,M2815),IF(A2815=Summary!$AD$3,L2815-D2815,L2815))</f>
        <v>0</v>
      </c>
      <c r="O2815" s="95">
        <f t="shared" si="366"/>
        <v>0</v>
      </c>
      <c r="P2815" s="107" t="s">
        <v>155</v>
      </c>
      <c r="Q2815" s="95">
        <v>0</v>
      </c>
      <c r="R2815" s="95">
        <v>0</v>
      </c>
      <c r="S2815" s="95"/>
      <c r="T2815" s="95"/>
      <c r="U2815" s="95"/>
      <c r="V2815" s="95"/>
      <c r="W2815" s="95"/>
      <c r="X2815" s="95"/>
      <c r="Y2815" s="95"/>
      <c r="Z2815" s="95"/>
      <c r="AA2815" s="95"/>
      <c r="AB2815" s="95"/>
      <c r="AC2815" s="355"/>
      <c r="AD2815" s="355"/>
      <c r="AE2815" s="355"/>
      <c r="AF2815" s="94">
        <f t="shared" si="362"/>
        <v>43371</v>
      </c>
      <c r="AG2815" s="185" t="e">
        <f t="shared" si="365"/>
        <v>#DIV/0!</v>
      </c>
      <c r="AH2815" s="339" t="str">
        <f>VLOOKUP(B2815,'MF PF'!A:B,2)</f>
        <v>FdMgt1</v>
      </c>
      <c r="AI2815" s="358">
        <f t="shared" si="363"/>
        <v>0</v>
      </c>
      <c r="AJ2815" s="94">
        <f t="shared" si="364"/>
        <v>43373</v>
      </c>
    </row>
    <row r="2816" spans="1:36" ht="12.75" customHeight="1">
      <c r="A2816" s="94">
        <v>43404</v>
      </c>
      <c r="B2816" s="358" t="s">
        <v>273</v>
      </c>
      <c r="C2816" s="358" t="s">
        <v>303</v>
      </c>
      <c r="D2816" s="93">
        <v>1843431.14</v>
      </c>
      <c r="F2816" s="93">
        <v>1.9215016999999999</v>
      </c>
      <c r="G2816" s="93">
        <v>155477.09999999998</v>
      </c>
      <c r="H2816" s="93">
        <v>0</v>
      </c>
      <c r="I2816" s="93">
        <v>0</v>
      </c>
      <c r="J2816" s="93">
        <v>0</v>
      </c>
      <c r="K2816" s="93"/>
      <c r="L2816" s="93">
        <f t="shared" si="360"/>
        <v>155477.09999999998</v>
      </c>
      <c r="M2816" s="95" t="e">
        <f t="shared" ca="1" si="361"/>
        <v>#DIV/0!</v>
      </c>
      <c r="N2816" s="95">
        <f>IF(P2816="Hedge Fund",IF(A2816=Summary!$AD$3,M2816-E2816,M2816),IF(A2816=Summary!$AD$3,L2816-D2816,L2816))</f>
        <v>155477.09999999998</v>
      </c>
      <c r="O2816" s="95">
        <f t="shared" si="366"/>
        <v>155477.09999999998</v>
      </c>
      <c r="P2816" s="95" t="s">
        <v>155</v>
      </c>
      <c r="Q2816" s="95">
        <v>0</v>
      </c>
      <c r="R2816" s="95">
        <v>0</v>
      </c>
      <c r="S2816" s="95"/>
      <c r="T2816" s="95"/>
      <c r="U2816" s="95"/>
      <c r="V2816" s="95"/>
      <c r="W2816" s="95"/>
      <c r="X2816" s="95"/>
      <c r="Y2816" s="95"/>
      <c r="Z2816" s="95"/>
      <c r="AA2816" s="95"/>
      <c r="AB2816" s="95"/>
      <c r="AC2816" s="355"/>
      <c r="AD2816" s="355"/>
      <c r="AE2816" s="355"/>
      <c r="AF2816" s="94">
        <f t="shared" si="362"/>
        <v>43404</v>
      </c>
      <c r="AG2816" s="185">
        <f t="shared" si="365"/>
        <v>5.7064361535624331E-2</v>
      </c>
      <c r="AH2816" s="339" t="str">
        <f>VLOOKUP(B2816,'MF PF'!A:B,2)</f>
        <v>FdMgt1</v>
      </c>
      <c r="AI2816" s="358">
        <f t="shared" si="363"/>
        <v>0</v>
      </c>
      <c r="AJ2816" s="94">
        <f t="shared" si="364"/>
        <v>43404</v>
      </c>
    </row>
    <row r="2817" spans="1:36" ht="12.75" customHeight="1">
      <c r="A2817" s="94">
        <v>43432</v>
      </c>
      <c r="B2817" s="358" t="s">
        <v>273</v>
      </c>
      <c r="C2817" s="358" t="s">
        <v>303</v>
      </c>
      <c r="D2817" s="93"/>
      <c r="F2817" s="93"/>
      <c r="G2817" s="93">
        <v>167176.09000000003</v>
      </c>
      <c r="H2817" s="93">
        <v>0</v>
      </c>
      <c r="I2817" s="93">
        <v>0</v>
      </c>
      <c r="K2817" s="93">
        <v>0</v>
      </c>
      <c r="L2817" s="93">
        <f t="shared" si="360"/>
        <v>167176.09000000003</v>
      </c>
      <c r="M2817" s="95" t="e">
        <f t="shared" ca="1" si="361"/>
        <v>#DIV/0!</v>
      </c>
      <c r="N2817" s="95">
        <f>IF(P2817="Hedge Fund",IF(A2817=Summary!$AD$3,M2817-E2817,M2817),IF(A2817=Summary!$AD$3,L2817-D2817,L2817))</f>
        <v>167176.09000000003</v>
      </c>
      <c r="O2817" s="95">
        <f t="shared" si="366"/>
        <v>167176.09000000003</v>
      </c>
      <c r="P2817" s="95" t="s">
        <v>155</v>
      </c>
      <c r="Q2817" s="95"/>
      <c r="R2817" s="95"/>
      <c r="S2817" s="95"/>
      <c r="T2817" s="95"/>
      <c r="U2817" s="95"/>
      <c r="V2817" s="95"/>
      <c r="W2817" s="95"/>
      <c r="X2817" s="95"/>
      <c r="Y2817" s="95"/>
      <c r="Z2817" s="95"/>
      <c r="AA2817" s="95"/>
      <c r="AB2817" s="95"/>
      <c r="AC2817" s="355"/>
      <c r="AD2817" s="355"/>
      <c r="AE2817" s="355"/>
      <c r="AF2817" s="94">
        <f t="shared" si="362"/>
        <v>43432</v>
      </c>
      <c r="AG2817" s="185">
        <f t="shared" si="365"/>
        <v>-1.0906874612088846</v>
      </c>
      <c r="AH2817" s="339" t="str">
        <f>VLOOKUP(B2817,'MF PF'!A:B,2)</f>
        <v>FdMgt1</v>
      </c>
      <c r="AI2817" s="358">
        <f t="shared" si="363"/>
        <v>0</v>
      </c>
      <c r="AJ2817" s="94">
        <f t="shared" si="364"/>
        <v>43434</v>
      </c>
    </row>
    <row r="2818" spans="1:36" ht="12.75" customHeight="1">
      <c r="A2818" s="94">
        <v>43434</v>
      </c>
      <c r="B2818" s="358" t="s">
        <v>273</v>
      </c>
      <c r="C2818" s="358" t="s">
        <v>303</v>
      </c>
      <c r="D2818" s="93">
        <v>1930714.88</v>
      </c>
      <c r="F2818" s="93">
        <v>1.9215016999999999</v>
      </c>
      <c r="G2818" s="93"/>
      <c r="H2818" s="93">
        <v>0</v>
      </c>
      <c r="I2818" s="93">
        <v>0</v>
      </c>
      <c r="K2818" s="93">
        <v>0</v>
      </c>
      <c r="L2818" s="93">
        <f t="shared" si="360"/>
        <v>0</v>
      </c>
      <c r="M2818" s="95" t="e">
        <f t="shared" ca="1" si="361"/>
        <v>#DIV/0!</v>
      </c>
      <c r="N2818" s="95">
        <f>IF(P2818="Hedge Fund",IF(A2818=Summary!$AD$3,M2818-E2818,M2818),IF(A2818=Summary!$AD$3,L2818-D2818,L2818))</f>
        <v>0</v>
      </c>
      <c r="O2818" s="95">
        <f t="shared" si="366"/>
        <v>0</v>
      </c>
      <c r="P2818" s="95" t="s">
        <v>155</v>
      </c>
      <c r="Q2818" s="95">
        <v>0</v>
      </c>
      <c r="R2818" s="95">
        <v>0</v>
      </c>
      <c r="S2818" s="95"/>
      <c r="T2818" s="95"/>
      <c r="U2818" s="95"/>
      <c r="V2818" s="95"/>
      <c r="W2818" s="95"/>
      <c r="X2818" s="95"/>
      <c r="Y2818" s="95"/>
      <c r="Z2818" s="95"/>
      <c r="AA2818" s="95"/>
      <c r="AB2818" s="95"/>
      <c r="AC2818" s="355"/>
      <c r="AD2818" s="355"/>
      <c r="AE2818" s="355"/>
      <c r="AF2818" s="94">
        <f t="shared" si="362"/>
        <v>43434</v>
      </c>
      <c r="AG2818" s="185" t="e">
        <f t="shared" si="365"/>
        <v>#DIV/0!</v>
      </c>
      <c r="AH2818" s="339" t="str">
        <f>VLOOKUP(B2818,'MF PF'!A:B,2)</f>
        <v>FdMgt1</v>
      </c>
      <c r="AI2818" s="358">
        <f t="shared" si="363"/>
        <v>0</v>
      </c>
      <c r="AJ2818" s="94">
        <f t="shared" si="364"/>
        <v>43434</v>
      </c>
    </row>
    <row r="2819" spans="1:36" ht="12.75" customHeight="1">
      <c r="A2819" s="94">
        <v>43465</v>
      </c>
      <c r="B2819" s="358" t="s">
        <v>273</v>
      </c>
      <c r="C2819" s="358" t="s">
        <v>303</v>
      </c>
      <c r="D2819" s="368">
        <v>1943302.74</v>
      </c>
      <c r="F2819" s="93">
        <v>1.9215016999999999</v>
      </c>
      <c r="G2819" s="93"/>
      <c r="H2819" s="93">
        <v>0</v>
      </c>
      <c r="I2819" s="93">
        <v>0</v>
      </c>
      <c r="K2819" s="93">
        <v>0</v>
      </c>
      <c r="L2819" s="93">
        <f t="shared" ref="L2819:L2882" si="367">G2819+H2819+I2819</f>
        <v>0</v>
      </c>
      <c r="M2819" s="95" t="e">
        <f t="shared" ref="M2819:M2882" ca="1" si="368">IF(A2819&gt;INDIRECT("A"&amp;ROW()-1),I2819/K2819,E2819)</f>
        <v>#DIV/0!</v>
      </c>
      <c r="N2819" s="95">
        <f>IF(P2819="Hedge Fund",IF(A2819=Summary!$AD$3,M2819-E2819,M2819),IF(A2819=Summary!$AD$3,L2819-D2819,L2819))</f>
        <v>0</v>
      </c>
      <c r="O2819" s="95">
        <f t="shared" si="366"/>
        <v>0</v>
      </c>
      <c r="P2819" s="95" t="s">
        <v>155</v>
      </c>
      <c r="Q2819" s="95">
        <v>-1.9433027423955125</v>
      </c>
      <c r="R2819" s="95">
        <v>0</v>
      </c>
      <c r="S2819" s="95"/>
      <c r="T2819" s="95"/>
      <c r="U2819" s="95"/>
      <c r="V2819" s="95"/>
      <c r="W2819" s="95"/>
      <c r="X2819" s="95"/>
      <c r="Y2819" s="95"/>
      <c r="Z2819" s="95"/>
      <c r="AA2819" s="95"/>
      <c r="AB2819" s="95"/>
      <c r="AC2819" s="355"/>
      <c r="AD2819" s="355"/>
      <c r="AE2819" s="355"/>
      <c r="AF2819" s="94">
        <f t="shared" ref="AF2819:AF2882" si="369">A2819</f>
        <v>43465</v>
      </c>
      <c r="AG2819" s="185">
        <f t="shared" si="365"/>
        <v>6.5197922957946908E-3</v>
      </c>
      <c r="AH2819" s="339" t="str">
        <f>VLOOKUP(B2819,'MF PF'!A:B,2)</f>
        <v>FdMgt1</v>
      </c>
      <c r="AI2819" s="358">
        <f t="shared" ref="AI2819:AI2882" si="370">AF2819-A2819</f>
        <v>0</v>
      </c>
      <c r="AJ2819" s="94">
        <f t="shared" ref="AJ2819:AJ2882" si="371">EOMONTH(A2819,0)</f>
        <v>43465</v>
      </c>
    </row>
    <row r="2820" spans="1:36" ht="12.75" customHeight="1">
      <c r="A2820" s="94">
        <v>43496</v>
      </c>
      <c r="B2820" s="358" t="s">
        <v>273</v>
      </c>
      <c r="C2820" s="358" t="s">
        <v>303</v>
      </c>
      <c r="D2820" s="93">
        <v>1976109.46</v>
      </c>
      <c r="F2820" s="93">
        <v>1.9033415788014152</v>
      </c>
      <c r="G2820" s="93"/>
      <c r="H2820" s="93">
        <v>0</v>
      </c>
      <c r="I2820" s="93">
        <v>0</v>
      </c>
      <c r="K2820" s="93">
        <v>0</v>
      </c>
      <c r="L2820" s="93">
        <f t="shared" si="367"/>
        <v>0</v>
      </c>
      <c r="M2820" s="95" t="e">
        <f t="shared" ca="1" si="368"/>
        <v>#DIV/0!</v>
      </c>
      <c r="N2820" s="95">
        <f>IF(P2820="Hedge Fund",IF(A2820=Summary!$AD$3,M2820-E2820,M2820),IF(A2820=Summary!$AD$3,L2820-D2820,L2820))</f>
        <v>-1976109.46</v>
      </c>
      <c r="O2820" s="95">
        <f t="shared" si="366"/>
        <v>-1976109.46</v>
      </c>
      <c r="P2820" s="95" t="s">
        <v>155</v>
      </c>
      <c r="Q2820" s="95">
        <v>0</v>
      </c>
      <c r="R2820" s="95">
        <v>0</v>
      </c>
      <c r="S2820" s="95"/>
      <c r="T2820" s="95"/>
      <c r="U2820" s="95"/>
      <c r="V2820" s="95"/>
      <c r="W2820" s="95"/>
      <c r="X2820" s="95"/>
      <c r="Y2820" s="95"/>
      <c r="Z2820" s="95"/>
      <c r="AA2820" s="95"/>
      <c r="AB2820" s="95"/>
      <c r="AC2820" s="355"/>
      <c r="AD2820" s="355"/>
      <c r="AE2820" s="355"/>
      <c r="AF2820" s="94">
        <f t="shared" si="369"/>
        <v>43496</v>
      </c>
      <c r="AG2820" s="185">
        <f t="shared" si="365"/>
        <v>1.6881939866971063E-2</v>
      </c>
      <c r="AH2820" s="339" t="str">
        <f>VLOOKUP(B2820,'MF PF'!A:B,2)</f>
        <v>FdMgt1</v>
      </c>
      <c r="AI2820" s="358">
        <f t="shared" si="370"/>
        <v>0</v>
      </c>
      <c r="AJ2820" s="94">
        <f t="shared" si="371"/>
        <v>43496</v>
      </c>
    </row>
    <row r="2821" spans="1:36" ht="12.75" customHeight="1">
      <c r="A2821" s="94">
        <v>43329</v>
      </c>
      <c r="B2821" s="358" t="s">
        <v>273</v>
      </c>
      <c r="C2821" s="358" t="s">
        <v>325</v>
      </c>
      <c r="D2821" s="93"/>
      <c r="F2821" s="93"/>
      <c r="G2821" s="93">
        <v>1657267.2892863816</v>
      </c>
      <c r="H2821" s="93"/>
      <c r="I2821" s="93"/>
      <c r="K2821" s="93"/>
      <c r="L2821" s="93">
        <f t="shared" si="367"/>
        <v>1657267.2892863816</v>
      </c>
      <c r="M2821" s="95">
        <f t="shared" ca="1" si="368"/>
        <v>0</v>
      </c>
      <c r="N2821" s="95">
        <f>IF(P2821="Hedge Fund",IF(A2821=Summary!$AD$3,M2821-E2821,M2821),IF(A2821=Summary!$AD$3,L2821-D2821,L2821))</f>
        <v>1657267.2892863816</v>
      </c>
      <c r="O2821" s="95">
        <f t="shared" si="366"/>
        <v>1657267.2892863816</v>
      </c>
      <c r="P2821" s="107" t="s">
        <v>155</v>
      </c>
      <c r="Q2821" s="95">
        <v>0</v>
      </c>
      <c r="R2821" s="95">
        <v>0</v>
      </c>
      <c r="S2821" s="95"/>
      <c r="T2821" s="95"/>
      <c r="U2821" s="95"/>
      <c r="V2821" s="95"/>
      <c r="W2821" s="95"/>
      <c r="X2821" s="95"/>
      <c r="Y2821" s="95"/>
      <c r="Z2821" s="95"/>
      <c r="AA2821" s="95"/>
      <c r="AB2821" s="95"/>
      <c r="AC2821" s="355"/>
      <c r="AD2821" s="355"/>
      <c r="AE2821" s="355"/>
      <c r="AF2821" s="94">
        <f t="shared" si="369"/>
        <v>43329</v>
      </c>
      <c r="AG2821" s="185">
        <f t="shared" si="365"/>
        <v>-1</v>
      </c>
      <c r="AH2821" s="339" t="str">
        <f>VLOOKUP(B2821,'MF PF'!A:B,2)</f>
        <v>FdMgt1</v>
      </c>
      <c r="AI2821" s="358">
        <f t="shared" si="370"/>
        <v>0</v>
      </c>
      <c r="AJ2821" s="94">
        <f t="shared" si="371"/>
        <v>43343</v>
      </c>
    </row>
    <row r="2822" spans="1:36" ht="12.75" customHeight="1">
      <c r="A2822" s="94">
        <v>43343</v>
      </c>
      <c r="B2822" s="358" t="s">
        <v>273</v>
      </c>
      <c r="C2822" s="358" t="s">
        <v>325</v>
      </c>
      <c r="D2822" s="93">
        <v>1999501.72</v>
      </c>
      <c r="F2822" s="93"/>
      <c r="G2822" s="93"/>
      <c r="H2822" s="93"/>
      <c r="I2822" s="93"/>
      <c r="K2822" s="93"/>
      <c r="L2822" s="93">
        <f t="shared" si="367"/>
        <v>0</v>
      </c>
      <c r="M2822" s="95" t="e">
        <f t="shared" ca="1" si="368"/>
        <v>#DIV/0!</v>
      </c>
      <c r="N2822" s="95">
        <f>IF(P2822="Hedge Fund",IF(A2822=Summary!$AD$3,M2822-E2822,M2822),IF(A2822=Summary!$AD$3,L2822-D2822,L2822))</f>
        <v>0</v>
      </c>
      <c r="O2822" s="95">
        <f t="shared" si="366"/>
        <v>0</v>
      </c>
      <c r="P2822" s="107" t="s">
        <v>155</v>
      </c>
      <c r="Q2822" s="95">
        <v>0</v>
      </c>
      <c r="R2822" s="95">
        <v>0</v>
      </c>
      <c r="S2822" s="95"/>
      <c r="T2822" s="95"/>
      <c r="U2822" s="95"/>
      <c r="V2822" s="95"/>
      <c r="W2822" s="95"/>
      <c r="X2822" s="95"/>
      <c r="Y2822" s="95"/>
      <c r="Z2822" s="95"/>
      <c r="AA2822" s="95"/>
      <c r="AB2822" s="95"/>
      <c r="AC2822" s="355"/>
      <c r="AD2822" s="355"/>
      <c r="AE2822" s="355"/>
      <c r="AF2822" s="94">
        <f t="shared" si="369"/>
        <v>43343</v>
      </c>
      <c r="AG2822" s="185" t="e">
        <f t="shared" si="365"/>
        <v>#DIV/0!</v>
      </c>
      <c r="AH2822" s="339" t="str">
        <f>VLOOKUP(B2822,'MF PF'!A:B,2)</f>
        <v>FdMgt1</v>
      </c>
      <c r="AI2822" s="358">
        <f t="shared" si="370"/>
        <v>0</v>
      </c>
      <c r="AJ2822" s="94">
        <f t="shared" si="371"/>
        <v>43343</v>
      </c>
    </row>
    <row r="2823" spans="1:36" ht="12.75" customHeight="1">
      <c r="A2823" s="94">
        <v>43369</v>
      </c>
      <c r="B2823" s="358" t="s">
        <v>273</v>
      </c>
      <c r="C2823" s="358" t="s">
        <v>325</v>
      </c>
      <c r="D2823" s="93"/>
      <c r="F2823" s="93"/>
      <c r="G2823" s="93">
        <v>333645.65000000002</v>
      </c>
      <c r="H2823" s="93"/>
      <c r="I2823" s="93"/>
      <c r="K2823" s="93"/>
      <c r="L2823" s="93">
        <f t="shared" si="367"/>
        <v>333645.65000000002</v>
      </c>
      <c r="M2823" s="95" t="e">
        <f t="shared" ca="1" si="368"/>
        <v>#DIV/0!</v>
      </c>
      <c r="N2823" s="95">
        <f>IF(P2823="Hedge Fund",IF(A2823=Summary!$AD$3,M2823-E2823,M2823),IF(A2823=Summary!$AD$3,L2823-D2823,L2823))</f>
        <v>333645.65000000002</v>
      </c>
      <c r="O2823" s="95">
        <f t="shared" si="366"/>
        <v>333645.65000000002</v>
      </c>
      <c r="P2823" s="107" t="s">
        <v>155</v>
      </c>
      <c r="Q2823" s="95">
        <v>0</v>
      </c>
      <c r="R2823" s="95">
        <v>0</v>
      </c>
      <c r="S2823" s="95"/>
      <c r="T2823" s="95"/>
      <c r="U2823" s="95"/>
      <c r="V2823" s="95"/>
      <c r="W2823" s="95"/>
      <c r="X2823" s="95"/>
      <c r="Y2823" s="95"/>
      <c r="Z2823" s="95"/>
      <c r="AA2823" s="95"/>
      <c r="AB2823" s="95"/>
      <c r="AC2823" s="355"/>
      <c r="AD2823" s="355"/>
      <c r="AE2823" s="355"/>
      <c r="AF2823" s="94">
        <f t="shared" si="369"/>
        <v>43369</v>
      </c>
      <c r="AG2823" s="185">
        <f t="shared" si="365"/>
        <v>-1.1668643975960171</v>
      </c>
      <c r="AH2823" s="339" t="str">
        <f>VLOOKUP(B2823,'MF PF'!A:B,2)</f>
        <v>FdMgt1</v>
      </c>
      <c r="AI2823" s="358">
        <f t="shared" si="370"/>
        <v>0</v>
      </c>
      <c r="AJ2823" s="94">
        <f t="shared" si="371"/>
        <v>43373</v>
      </c>
    </row>
    <row r="2824" spans="1:36" ht="12.75" customHeight="1">
      <c r="A2824" s="94">
        <v>43371</v>
      </c>
      <c r="B2824" s="358" t="s">
        <v>273</v>
      </c>
      <c r="C2824" s="358" t="s">
        <v>325</v>
      </c>
      <c r="D2824" s="93">
        <v>2011246</v>
      </c>
      <c r="F2824" s="93"/>
      <c r="G2824" s="93"/>
      <c r="H2824" s="93"/>
      <c r="I2824" s="93"/>
      <c r="K2824" s="93"/>
      <c r="L2824" s="93">
        <f t="shared" si="367"/>
        <v>0</v>
      </c>
      <c r="M2824" s="95" t="e">
        <f t="shared" ca="1" si="368"/>
        <v>#DIV/0!</v>
      </c>
      <c r="N2824" s="95">
        <f>IF(P2824="Hedge Fund",IF(A2824=Summary!$AD$3,M2824-E2824,M2824),IF(A2824=Summary!$AD$3,L2824-D2824,L2824))</f>
        <v>0</v>
      </c>
      <c r="O2824" s="95">
        <f t="shared" si="366"/>
        <v>0</v>
      </c>
      <c r="P2824" s="107" t="s">
        <v>155</v>
      </c>
      <c r="Q2824" s="95">
        <v>0</v>
      </c>
      <c r="R2824" s="95">
        <v>0</v>
      </c>
      <c r="S2824" s="95"/>
      <c r="T2824" s="95"/>
      <c r="U2824" s="95"/>
      <c r="V2824" s="95"/>
      <c r="W2824" s="95"/>
      <c r="X2824" s="95"/>
      <c r="Y2824" s="95"/>
      <c r="Z2824" s="95"/>
      <c r="AA2824" s="95"/>
      <c r="AB2824" s="95"/>
      <c r="AC2824" s="355"/>
      <c r="AD2824" s="355"/>
      <c r="AE2824" s="355"/>
      <c r="AF2824" s="94">
        <f t="shared" si="369"/>
        <v>43371</v>
      </c>
      <c r="AG2824" s="185" t="e">
        <f t="shared" si="365"/>
        <v>#DIV/0!</v>
      </c>
      <c r="AH2824" s="339" t="str">
        <f>VLOOKUP(B2824,'MF PF'!A:B,2)</f>
        <v>FdMgt1</v>
      </c>
      <c r="AI2824" s="358">
        <f t="shared" si="370"/>
        <v>0</v>
      </c>
      <c r="AJ2824" s="94">
        <f t="shared" si="371"/>
        <v>43373</v>
      </c>
    </row>
    <row r="2825" spans="1:36" ht="12.75" customHeight="1">
      <c r="A2825" s="94">
        <v>43404</v>
      </c>
      <c r="B2825" s="358" t="s">
        <v>273</v>
      </c>
      <c r="C2825" s="358" t="s">
        <v>325</v>
      </c>
      <c r="D2825" s="93">
        <v>2253292.46</v>
      </c>
      <c r="F2825" s="93">
        <v>2.4201758399999997</v>
      </c>
      <c r="G2825" s="93">
        <v>195827</v>
      </c>
      <c r="H2825" s="93">
        <v>0</v>
      </c>
      <c r="I2825" s="93">
        <v>0</v>
      </c>
      <c r="J2825" s="93">
        <v>0</v>
      </c>
      <c r="K2825" s="93"/>
      <c r="L2825" s="93">
        <f t="shared" si="367"/>
        <v>195827</v>
      </c>
      <c r="M2825" s="95" t="e">
        <f t="shared" ca="1" si="368"/>
        <v>#DIV/0!</v>
      </c>
      <c r="N2825" s="95">
        <f>IF(P2825="Hedge Fund",IF(A2825=Summary!$AD$3,M2825-E2825,M2825),IF(A2825=Summary!$AD$3,L2825-D2825,L2825))</f>
        <v>195827</v>
      </c>
      <c r="O2825" s="95">
        <f t="shared" si="366"/>
        <v>195827</v>
      </c>
      <c r="P2825" s="95" t="s">
        <v>155</v>
      </c>
      <c r="Q2825" s="95">
        <v>0</v>
      </c>
      <c r="R2825" s="95">
        <v>0</v>
      </c>
      <c r="S2825" s="95"/>
      <c r="T2825" s="95"/>
      <c r="U2825" s="95"/>
      <c r="V2825" s="95"/>
      <c r="W2825" s="95"/>
      <c r="X2825" s="95"/>
      <c r="Y2825" s="95"/>
      <c r="Z2825" s="95"/>
      <c r="AA2825" s="95"/>
      <c r="AB2825" s="95"/>
      <c r="AC2825" s="355"/>
      <c r="AD2825" s="355"/>
      <c r="AE2825" s="355"/>
      <c r="AF2825" s="94">
        <f t="shared" si="369"/>
        <v>43404</v>
      </c>
      <c r="AG2825" s="185">
        <f t="shared" si="365"/>
        <v>2.2980510588958225E-2</v>
      </c>
      <c r="AH2825" s="339" t="str">
        <f>VLOOKUP(B2825,'MF PF'!A:B,2)</f>
        <v>FdMgt1</v>
      </c>
      <c r="AI2825" s="358">
        <f t="shared" si="370"/>
        <v>0</v>
      </c>
      <c r="AJ2825" s="94">
        <f t="shared" si="371"/>
        <v>43404</v>
      </c>
    </row>
    <row r="2826" spans="1:36" ht="12.75" customHeight="1">
      <c r="A2826" s="94">
        <v>43432</v>
      </c>
      <c r="B2826" s="358" t="s">
        <v>273</v>
      </c>
      <c r="C2826" s="358" t="s">
        <v>325</v>
      </c>
      <c r="D2826" s="93"/>
      <c r="F2826" s="93"/>
      <c r="G2826" s="93">
        <v>210562.81</v>
      </c>
      <c r="H2826" s="93">
        <v>0</v>
      </c>
      <c r="I2826" s="93">
        <v>0</v>
      </c>
      <c r="K2826" s="93">
        <v>0</v>
      </c>
      <c r="L2826" s="93">
        <f t="shared" si="367"/>
        <v>210562.81</v>
      </c>
      <c r="M2826" s="95" t="e">
        <f t="shared" ca="1" si="368"/>
        <v>#DIV/0!</v>
      </c>
      <c r="N2826" s="95">
        <f>IF(P2826="Hedge Fund",IF(A2826=Summary!$AD$3,M2826-E2826,M2826),IF(A2826=Summary!$AD$3,L2826-D2826,L2826))</f>
        <v>210562.81</v>
      </c>
      <c r="O2826" s="95">
        <f t="shared" si="366"/>
        <v>210562.81</v>
      </c>
      <c r="P2826" s="95" t="s">
        <v>155</v>
      </c>
      <c r="Q2826" s="95"/>
      <c r="R2826" s="95"/>
      <c r="S2826" s="95"/>
      <c r="T2826" s="95"/>
      <c r="U2826" s="95"/>
      <c r="V2826" s="95"/>
      <c r="W2826" s="95"/>
      <c r="X2826" s="95"/>
      <c r="Y2826" s="95"/>
      <c r="Z2826" s="95"/>
      <c r="AA2826" s="95"/>
      <c r="AB2826" s="95"/>
      <c r="AC2826" s="355"/>
      <c r="AD2826" s="355"/>
      <c r="AE2826" s="355"/>
      <c r="AF2826" s="94">
        <f t="shared" si="369"/>
        <v>43432</v>
      </c>
      <c r="AG2826" s="185">
        <f t="shared" si="365"/>
        <v>-1.0934467290588634</v>
      </c>
      <c r="AH2826" s="339" t="str">
        <f>VLOOKUP(B2826,'MF PF'!A:B,2)</f>
        <v>FdMgt1</v>
      </c>
      <c r="AI2826" s="358">
        <f t="shared" si="370"/>
        <v>0</v>
      </c>
      <c r="AJ2826" s="94">
        <f t="shared" si="371"/>
        <v>43434</v>
      </c>
    </row>
    <row r="2827" spans="1:36" ht="12.75" customHeight="1">
      <c r="A2827" s="94">
        <v>43434</v>
      </c>
      <c r="B2827" s="358" t="s">
        <v>273</v>
      </c>
      <c r="C2827" s="358" t="s">
        <v>325</v>
      </c>
      <c r="D2827" s="93">
        <v>2431780.06</v>
      </c>
      <c r="F2827" s="93">
        <v>2.4201758399999997</v>
      </c>
      <c r="G2827" s="93"/>
      <c r="H2827" s="93">
        <v>0</v>
      </c>
      <c r="I2827" s="93">
        <v>0</v>
      </c>
      <c r="K2827" s="93">
        <v>0</v>
      </c>
      <c r="L2827" s="93">
        <f t="shared" si="367"/>
        <v>0</v>
      </c>
      <c r="M2827" s="95" t="e">
        <f t="shared" ca="1" si="368"/>
        <v>#DIV/0!</v>
      </c>
      <c r="N2827" s="95">
        <f>IF(P2827="Hedge Fund",IF(A2827=Summary!$AD$3,M2827-E2827,M2827),IF(A2827=Summary!$AD$3,L2827-D2827,L2827))</f>
        <v>0</v>
      </c>
      <c r="O2827" s="95">
        <f t="shared" si="366"/>
        <v>0</v>
      </c>
      <c r="P2827" s="95" t="s">
        <v>155</v>
      </c>
      <c r="Q2827" s="95">
        <v>0</v>
      </c>
      <c r="R2827" s="95">
        <v>0</v>
      </c>
      <c r="S2827" s="95"/>
      <c r="T2827" s="95"/>
      <c r="U2827" s="95"/>
      <c r="V2827" s="95"/>
      <c r="W2827" s="95"/>
      <c r="X2827" s="95"/>
      <c r="Y2827" s="95"/>
      <c r="Z2827" s="95"/>
      <c r="AA2827" s="95"/>
      <c r="AB2827" s="95"/>
      <c r="AC2827" s="355"/>
      <c r="AD2827" s="355"/>
      <c r="AE2827" s="355"/>
      <c r="AF2827" s="94">
        <f t="shared" si="369"/>
        <v>43434</v>
      </c>
      <c r="AG2827" s="185" t="e">
        <f t="shared" si="365"/>
        <v>#DIV/0!</v>
      </c>
      <c r="AH2827" s="339" t="str">
        <f>VLOOKUP(B2827,'MF PF'!A:B,2)</f>
        <v>FdMgt1</v>
      </c>
      <c r="AI2827" s="358">
        <f t="shared" si="370"/>
        <v>0</v>
      </c>
      <c r="AJ2827" s="94">
        <f t="shared" si="371"/>
        <v>43434</v>
      </c>
    </row>
    <row r="2828" spans="1:36" ht="12.75" customHeight="1">
      <c r="A2828" s="94">
        <v>43465</v>
      </c>
      <c r="B2828" s="358" t="s">
        <v>273</v>
      </c>
      <c r="C2828" s="358" t="s">
        <v>325</v>
      </c>
      <c r="D2828" s="368">
        <v>2447634.77</v>
      </c>
      <c r="F2828" s="93">
        <v>2.4201758399999997</v>
      </c>
      <c r="G2828" s="93"/>
      <c r="H2828" s="93">
        <v>0</v>
      </c>
      <c r="I2828" s="93">
        <v>0</v>
      </c>
      <c r="K2828" s="93">
        <v>0</v>
      </c>
      <c r="L2828" s="93">
        <f t="shared" si="367"/>
        <v>0</v>
      </c>
      <c r="M2828" s="95" t="e">
        <f t="shared" ca="1" si="368"/>
        <v>#DIV/0!</v>
      </c>
      <c r="N2828" s="95">
        <f>IF(P2828="Hedge Fund",IF(A2828=Summary!$AD$3,M2828-E2828,M2828),IF(A2828=Summary!$AD$3,L2828-D2828,L2828))</f>
        <v>0</v>
      </c>
      <c r="O2828" s="95">
        <f t="shared" si="366"/>
        <v>0</v>
      </c>
      <c r="P2828" s="95" t="s">
        <v>155</v>
      </c>
      <c r="Q2828" s="95">
        <v>-2.4476347692287725</v>
      </c>
      <c r="R2828" s="95">
        <v>0</v>
      </c>
      <c r="S2828" s="95"/>
      <c r="T2828" s="95"/>
      <c r="U2828" s="95"/>
      <c r="V2828" s="95"/>
      <c r="W2828" s="95"/>
      <c r="X2828" s="95"/>
      <c r="Y2828" s="95"/>
      <c r="Z2828" s="95"/>
      <c r="AA2828" s="95"/>
      <c r="AB2828" s="95"/>
      <c r="AC2828" s="355"/>
      <c r="AD2828" s="355"/>
      <c r="AE2828" s="355"/>
      <c r="AF2828" s="94">
        <f t="shared" si="369"/>
        <v>43465</v>
      </c>
      <c r="AG2828" s="185">
        <f t="shared" si="365"/>
        <v>6.5197960378045039E-3</v>
      </c>
      <c r="AH2828" s="339" t="str">
        <f>VLOOKUP(B2828,'MF PF'!A:B,2)</f>
        <v>FdMgt1</v>
      </c>
      <c r="AI2828" s="358">
        <f t="shared" si="370"/>
        <v>0</v>
      </c>
      <c r="AJ2828" s="94">
        <f t="shared" si="371"/>
        <v>43465</v>
      </c>
    </row>
    <row r="2829" spans="1:36" ht="12.75" customHeight="1">
      <c r="A2829" s="94">
        <v>43496</v>
      </c>
      <c r="B2829" s="358" t="s">
        <v>273</v>
      </c>
      <c r="C2829" s="358" t="s">
        <v>325</v>
      </c>
      <c r="D2829" s="93">
        <v>2488955.58</v>
      </c>
      <c r="F2829" s="93">
        <v>2.3973027492863817</v>
      </c>
      <c r="G2829" s="93"/>
      <c r="H2829" s="93">
        <v>0</v>
      </c>
      <c r="I2829" s="93">
        <v>0</v>
      </c>
      <c r="K2829" s="93">
        <v>0</v>
      </c>
      <c r="L2829" s="93">
        <f t="shared" si="367"/>
        <v>0</v>
      </c>
      <c r="M2829" s="95" t="e">
        <f t="shared" ca="1" si="368"/>
        <v>#DIV/0!</v>
      </c>
      <c r="N2829" s="95">
        <f>IF(P2829="Hedge Fund",IF(A2829=Summary!$AD$3,M2829-E2829,M2829),IF(A2829=Summary!$AD$3,L2829-D2829,L2829))</f>
        <v>-2488955.58</v>
      </c>
      <c r="O2829" s="95">
        <f t="shared" si="366"/>
        <v>-2488955.58</v>
      </c>
      <c r="P2829" s="95" t="s">
        <v>155</v>
      </c>
      <c r="Q2829" s="95">
        <v>0</v>
      </c>
      <c r="R2829" s="95">
        <v>0</v>
      </c>
      <c r="S2829" s="95"/>
      <c r="T2829" s="95"/>
      <c r="U2829" s="95"/>
      <c r="V2829" s="95"/>
      <c r="W2829" s="95"/>
      <c r="X2829" s="95"/>
      <c r="Y2829" s="95"/>
      <c r="Z2829" s="95"/>
      <c r="AA2829" s="95"/>
      <c r="AB2829" s="95"/>
      <c r="AC2829" s="355"/>
      <c r="AD2829" s="355"/>
      <c r="AE2829" s="355"/>
      <c r="AF2829" s="94">
        <f t="shared" si="369"/>
        <v>43496</v>
      </c>
      <c r="AG2829" s="185">
        <f t="shared" si="365"/>
        <v>1.6881934554312528E-2</v>
      </c>
      <c r="AH2829" s="339" t="str">
        <f>VLOOKUP(B2829,'MF PF'!A:B,2)</f>
        <v>FdMgt1</v>
      </c>
      <c r="AI2829" s="358">
        <f t="shared" si="370"/>
        <v>0</v>
      </c>
      <c r="AJ2829" s="94">
        <f t="shared" si="371"/>
        <v>43496</v>
      </c>
    </row>
    <row r="2830" spans="1:36" ht="12.75" customHeight="1">
      <c r="A2830" s="94">
        <v>43329</v>
      </c>
      <c r="B2830" s="358" t="s">
        <v>273</v>
      </c>
      <c r="C2830" s="358" t="s">
        <v>326</v>
      </c>
      <c r="D2830" s="93"/>
      <c r="F2830" s="93"/>
      <c r="G2830" s="93">
        <v>1806182.6545612537</v>
      </c>
      <c r="H2830" s="93"/>
      <c r="I2830" s="93"/>
      <c r="K2830" s="93"/>
      <c r="L2830" s="93">
        <f t="shared" si="367"/>
        <v>1806182.6545612537</v>
      </c>
      <c r="M2830" s="95">
        <f t="shared" ca="1" si="368"/>
        <v>0</v>
      </c>
      <c r="N2830" s="95">
        <f>IF(P2830="Hedge Fund",IF(A2830=Summary!$AD$3,M2830-E2830,M2830),IF(A2830=Summary!$AD$3,L2830-D2830,L2830))</f>
        <v>1806182.6545612537</v>
      </c>
      <c r="O2830" s="95">
        <f t="shared" si="366"/>
        <v>1806182.6545612537</v>
      </c>
      <c r="P2830" s="107" t="s">
        <v>155</v>
      </c>
      <c r="Q2830" s="95">
        <v>0</v>
      </c>
      <c r="R2830" s="95">
        <v>0</v>
      </c>
      <c r="S2830" s="95"/>
      <c r="T2830" s="95"/>
      <c r="U2830" s="95"/>
      <c r="V2830" s="95"/>
      <c r="W2830" s="95"/>
      <c r="X2830" s="95"/>
      <c r="Y2830" s="95"/>
      <c r="Z2830" s="95"/>
      <c r="AA2830" s="95"/>
      <c r="AB2830" s="95"/>
      <c r="AC2830" s="355"/>
      <c r="AD2830" s="355"/>
      <c r="AE2830" s="355"/>
      <c r="AF2830" s="94">
        <f t="shared" si="369"/>
        <v>43329</v>
      </c>
      <c r="AG2830" s="185">
        <f t="shared" ref="AG2830:AG2893" si="372">IF(C2830&lt;&gt;C2829,D2830/G2830-1,(D2830-G2830-I2830-H2830)/(D2829)-1)</f>
        <v>-1</v>
      </c>
      <c r="AH2830" s="339" t="str">
        <f>VLOOKUP(B2830,'MF PF'!A:B,2)</f>
        <v>FdMgt1</v>
      </c>
      <c r="AI2830" s="358">
        <f t="shared" si="370"/>
        <v>0</v>
      </c>
      <c r="AJ2830" s="94">
        <f t="shared" si="371"/>
        <v>43343</v>
      </c>
    </row>
    <row r="2831" spans="1:36" ht="12.75" customHeight="1">
      <c r="A2831" s="94">
        <v>43343</v>
      </c>
      <c r="B2831" s="358" t="s">
        <v>273</v>
      </c>
      <c r="C2831" s="358" t="s">
        <v>326</v>
      </c>
      <c r="D2831" s="93">
        <v>2179168.2000000002</v>
      </c>
      <c r="F2831" s="93"/>
      <c r="G2831" s="93"/>
      <c r="H2831" s="93"/>
      <c r="I2831" s="93"/>
      <c r="K2831" s="93"/>
      <c r="L2831" s="93">
        <f t="shared" si="367"/>
        <v>0</v>
      </c>
      <c r="M2831" s="95" t="e">
        <f t="shared" ca="1" si="368"/>
        <v>#DIV/0!</v>
      </c>
      <c r="N2831" s="95">
        <f>IF(P2831="Hedge Fund",IF(A2831=Summary!$AD$3,M2831-E2831,M2831),IF(A2831=Summary!$AD$3,L2831-D2831,L2831))</f>
        <v>0</v>
      </c>
      <c r="O2831" s="95">
        <f t="shared" si="366"/>
        <v>0</v>
      </c>
      <c r="P2831" s="107" t="s">
        <v>155</v>
      </c>
      <c r="Q2831" s="95">
        <v>0</v>
      </c>
      <c r="R2831" s="95">
        <v>0</v>
      </c>
      <c r="S2831" s="95"/>
      <c r="T2831" s="95"/>
      <c r="U2831" s="95"/>
      <c r="V2831" s="95"/>
      <c r="W2831" s="95"/>
      <c r="X2831" s="95"/>
      <c r="Y2831" s="95"/>
      <c r="Z2831" s="95"/>
      <c r="AA2831" s="95"/>
      <c r="AB2831" s="95"/>
      <c r="AC2831" s="355"/>
      <c r="AD2831" s="355"/>
      <c r="AE2831" s="355"/>
      <c r="AF2831" s="94">
        <f t="shared" si="369"/>
        <v>43343</v>
      </c>
      <c r="AG2831" s="185" t="e">
        <f t="shared" si="372"/>
        <v>#DIV/0!</v>
      </c>
      <c r="AH2831" s="339" t="str">
        <f>VLOOKUP(B2831,'MF PF'!A:B,2)</f>
        <v>FdMgt1</v>
      </c>
      <c r="AI2831" s="358">
        <f t="shared" si="370"/>
        <v>0</v>
      </c>
      <c r="AJ2831" s="94">
        <f t="shared" si="371"/>
        <v>43343</v>
      </c>
    </row>
    <row r="2832" spans="1:36" ht="12.75" customHeight="1">
      <c r="A2832" s="94">
        <v>43369</v>
      </c>
      <c r="B2832" s="358" t="s">
        <v>273</v>
      </c>
      <c r="C2832" s="358" t="s">
        <v>326</v>
      </c>
      <c r="D2832" s="93"/>
      <c r="E2832" s="95"/>
      <c r="F2832" s="93"/>
      <c r="G2832" s="93">
        <v>363625.59</v>
      </c>
      <c r="H2832" s="93"/>
      <c r="I2832" s="93"/>
      <c r="K2832" s="93"/>
      <c r="L2832" s="93">
        <f t="shared" si="367"/>
        <v>363625.59</v>
      </c>
      <c r="M2832" s="95" t="e">
        <f t="shared" ca="1" si="368"/>
        <v>#DIV/0!</v>
      </c>
      <c r="N2832" s="95">
        <f>IF(P2832="Hedge Fund",IF(A2832=Summary!$AD$3,M2832-E2832,M2832),IF(A2832=Summary!$AD$3,L2832-D2832,L2832))</f>
        <v>363625.59</v>
      </c>
      <c r="O2832" s="95">
        <f t="shared" si="366"/>
        <v>363625.59</v>
      </c>
      <c r="P2832" s="107" t="s">
        <v>155</v>
      </c>
      <c r="Q2832" s="95">
        <v>0</v>
      </c>
      <c r="R2832" s="95">
        <v>0</v>
      </c>
      <c r="S2832" s="95"/>
      <c r="T2832" s="95"/>
      <c r="U2832" s="95"/>
      <c r="V2832" s="95"/>
      <c r="W2832" s="95"/>
      <c r="X2832" s="95"/>
      <c r="Y2832" s="95"/>
      <c r="Z2832" s="95"/>
      <c r="AA2832" s="95"/>
      <c r="AB2832" s="95"/>
      <c r="AC2832" s="355"/>
      <c r="AD2832" s="355"/>
      <c r="AE2832" s="355"/>
      <c r="AF2832" s="94">
        <f t="shared" si="369"/>
        <v>43369</v>
      </c>
      <c r="AG2832" s="185">
        <f t="shared" si="372"/>
        <v>-1.1668643980762936</v>
      </c>
      <c r="AH2832" s="339" t="str">
        <f>VLOOKUP(B2832,'MF PF'!A:B,2)</f>
        <v>FdMgt1</v>
      </c>
      <c r="AI2832" s="358">
        <f t="shared" si="370"/>
        <v>0</v>
      </c>
      <c r="AJ2832" s="94">
        <f t="shared" si="371"/>
        <v>43373</v>
      </c>
    </row>
    <row r="2833" spans="1:36" ht="12.75" customHeight="1">
      <c r="A2833" s="94">
        <v>43371</v>
      </c>
      <c r="B2833" s="358" t="s">
        <v>273</v>
      </c>
      <c r="C2833" s="358" t="s">
        <v>326</v>
      </c>
      <c r="D2833" s="93">
        <v>2191968.35</v>
      </c>
      <c r="E2833" s="95"/>
      <c r="F2833" s="93"/>
      <c r="G2833" s="93"/>
      <c r="H2833" s="93"/>
      <c r="I2833" s="93"/>
      <c r="K2833" s="93"/>
      <c r="L2833" s="93">
        <f t="shared" si="367"/>
        <v>0</v>
      </c>
      <c r="M2833" s="95" t="e">
        <f t="shared" ca="1" si="368"/>
        <v>#DIV/0!</v>
      </c>
      <c r="N2833" s="95">
        <f>IF(P2833="Hedge Fund",IF(A2833=Summary!$AD$3,M2833-E2833,M2833),IF(A2833=Summary!$AD$3,L2833-D2833,L2833))</f>
        <v>0</v>
      </c>
      <c r="O2833" s="95">
        <f t="shared" si="366"/>
        <v>0</v>
      </c>
      <c r="P2833" s="107" t="s">
        <v>155</v>
      </c>
      <c r="Q2833" s="95">
        <v>0</v>
      </c>
      <c r="R2833" s="95">
        <v>0</v>
      </c>
      <c r="S2833" s="95"/>
      <c r="T2833" s="95"/>
      <c r="U2833" s="95"/>
      <c r="V2833" s="95"/>
      <c r="W2833" s="95"/>
      <c r="X2833" s="95"/>
      <c r="Y2833" s="95"/>
      <c r="Z2833" s="95"/>
      <c r="AA2833" s="95"/>
      <c r="AB2833" s="95"/>
      <c r="AC2833" s="355"/>
      <c r="AD2833" s="355"/>
      <c r="AE2833" s="355"/>
      <c r="AF2833" s="94">
        <f t="shared" si="369"/>
        <v>43371</v>
      </c>
      <c r="AG2833" s="185" t="e">
        <f t="shared" si="372"/>
        <v>#DIV/0!</v>
      </c>
      <c r="AH2833" s="339" t="str">
        <f>VLOOKUP(B2833,'MF PF'!A:B,2)</f>
        <v>FdMgt1</v>
      </c>
      <c r="AI2833" s="358">
        <f t="shared" si="370"/>
        <v>0</v>
      </c>
      <c r="AJ2833" s="94">
        <f t="shared" si="371"/>
        <v>43373</v>
      </c>
    </row>
    <row r="2834" spans="1:36" ht="12.75" customHeight="1">
      <c r="A2834" s="94">
        <v>43404</v>
      </c>
      <c r="B2834" s="358" t="s">
        <v>273</v>
      </c>
      <c r="C2834" s="358" t="s">
        <v>326</v>
      </c>
      <c r="D2834" s="93">
        <v>2599025.85</v>
      </c>
      <c r="F2834" s="93">
        <v>2.6376422499999999</v>
      </c>
      <c r="G2834" s="93">
        <v>213423.17000000004</v>
      </c>
      <c r="H2834" s="93">
        <v>0</v>
      </c>
      <c r="I2834" s="93">
        <v>0</v>
      </c>
      <c r="J2834" s="93">
        <v>0</v>
      </c>
      <c r="K2834" s="93"/>
      <c r="L2834" s="93">
        <f t="shared" si="367"/>
        <v>213423.17000000004</v>
      </c>
      <c r="M2834" s="95" t="e">
        <f t="shared" ca="1" si="368"/>
        <v>#DIV/0!</v>
      </c>
      <c r="N2834" s="95">
        <f>IF(P2834="Hedge Fund",IF(A2834=Summary!$AD$3,M2834-E2834,M2834),IF(A2834=Summary!$AD$3,L2834-D2834,L2834))</f>
        <v>213423.17000000004</v>
      </c>
      <c r="O2834" s="95">
        <f t="shared" si="366"/>
        <v>213423.17000000004</v>
      </c>
      <c r="P2834" s="95" t="s">
        <v>155</v>
      </c>
      <c r="Q2834" s="95">
        <v>0</v>
      </c>
      <c r="R2834" s="95">
        <v>0</v>
      </c>
      <c r="S2834" s="95"/>
      <c r="T2834" s="95"/>
      <c r="U2834" s="95"/>
      <c r="V2834" s="95"/>
      <c r="W2834" s="95"/>
      <c r="X2834" s="95"/>
      <c r="Y2834" s="95"/>
      <c r="Z2834" s="95"/>
      <c r="AA2834" s="95"/>
      <c r="AB2834" s="95"/>
      <c r="AC2834" s="355"/>
      <c r="AD2834" s="355"/>
      <c r="AE2834" s="355"/>
      <c r="AF2834" s="94">
        <f t="shared" si="369"/>
        <v>43404</v>
      </c>
      <c r="AG2834" s="185">
        <f t="shared" si="372"/>
        <v>8.8338104881851898E-2</v>
      </c>
      <c r="AH2834" s="339" t="str">
        <f>VLOOKUP(B2834,'MF PF'!A:B,2)</f>
        <v>FdMgt1</v>
      </c>
      <c r="AI2834" s="358">
        <f t="shared" si="370"/>
        <v>0</v>
      </c>
      <c r="AJ2834" s="94">
        <f t="shared" si="371"/>
        <v>43404</v>
      </c>
    </row>
    <row r="2835" spans="1:36" ht="12.75" customHeight="1">
      <c r="A2835" s="94">
        <v>43432</v>
      </c>
      <c r="B2835" s="358" t="s">
        <v>273</v>
      </c>
      <c r="C2835" s="358" t="s">
        <v>326</v>
      </c>
      <c r="D2835" s="93"/>
      <c r="F2835" s="93"/>
      <c r="G2835" s="93">
        <v>229482.47</v>
      </c>
      <c r="H2835" s="93">
        <v>0</v>
      </c>
      <c r="I2835" s="93">
        <v>0</v>
      </c>
      <c r="K2835" s="93">
        <v>0</v>
      </c>
      <c r="L2835" s="93">
        <f t="shared" si="367"/>
        <v>229482.47</v>
      </c>
      <c r="M2835" s="95" t="e">
        <f t="shared" ca="1" si="368"/>
        <v>#DIV/0!</v>
      </c>
      <c r="N2835" s="95">
        <f>IF(P2835="Hedge Fund",IF(A2835=Summary!$AD$3,M2835-E2835,M2835),IF(A2835=Summary!$AD$3,L2835-D2835,L2835))</f>
        <v>229482.47</v>
      </c>
      <c r="O2835" s="95">
        <f t="shared" si="366"/>
        <v>229482.47</v>
      </c>
      <c r="P2835" s="95" t="s">
        <v>155</v>
      </c>
      <c r="Q2835" s="95"/>
      <c r="R2835" s="95"/>
      <c r="S2835" s="95"/>
      <c r="T2835" s="95"/>
      <c r="U2835" s="95"/>
      <c r="V2835" s="95"/>
      <c r="W2835" s="95"/>
      <c r="X2835" s="95"/>
      <c r="Y2835" s="95"/>
      <c r="Z2835" s="95"/>
      <c r="AA2835" s="95"/>
      <c r="AB2835" s="95"/>
      <c r="AC2835" s="355"/>
      <c r="AD2835" s="355"/>
      <c r="AE2835" s="355"/>
      <c r="AF2835" s="94">
        <f t="shared" si="369"/>
        <v>43432</v>
      </c>
      <c r="AG2835" s="185">
        <f t="shared" si="372"/>
        <v>-1.0882955704345918</v>
      </c>
      <c r="AH2835" s="339" t="str">
        <f>VLOOKUP(B2835,'MF PF'!A:B,2)</f>
        <v>FdMgt1</v>
      </c>
      <c r="AI2835" s="358">
        <f t="shared" si="370"/>
        <v>0</v>
      </c>
      <c r="AJ2835" s="94">
        <f t="shared" si="371"/>
        <v>43434</v>
      </c>
    </row>
    <row r="2836" spans="1:36" ht="12.75" customHeight="1">
      <c r="A2836" s="94">
        <v>43434</v>
      </c>
      <c r="B2836" s="358" t="s">
        <v>273</v>
      </c>
      <c r="C2836" s="358" t="s">
        <v>326</v>
      </c>
      <c r="D2836" s="93">
        <v>2650289.17</v>
      </c>
      <c r="F2836" s="93">
        <v>2.6376422499999999</v>
      </c>
      <c r="G2836" s="93"/>
      <c r="H2836" s="93">
        <v>0</v>
      </c>
      <c r="I2836" s="93">
        <v>0</v>
      </c>
      <c r="K2836" s="93">
        <v>0</v>
      </c>
      <c r="L2836" s="93">
        <f t="shared" si="367"/>
        <v>0</v>
      </c>
      <c r="M2836" s="95" t="e">
        <f t="shared" ca="1" si="368"/>
        <v>#DIV/0!</v>
      </c>
      <c r="N2836" s="95">
        <f>IF(P2836="Hedge Fund",IF(A2836=Summary!$AD$3,M2836-E2836,M2836),IF(A2836=Summary!$AD$3,L2836-D2836,L2836))</f>
        <v>0</v>
      </c>
      <c r="O2836" s="95">
        <f t="shared" si="366"/>
        <v>0</v>
      </c>
      <c r="P2836" s="95" t="s">
        <v>155</v>
      </c>
      <c r="Q2836" s="95">
        <v>0</v>
      </c>
      <c r="R2836" s="95">
        <v>0</v>
      </c>
      <c r="S2836" s="95"/>
      <c r="T2836" s="95"/>
      <c r="U2836" s="95"/>
      <c r="V2836" s="95"/>
      <c r="W2836" s="95"/>
      <c r="X2836" s="95"/>
      <c r="Y2836" s="95"/>
      <c r="Z2836" s="95"/>
      <c r="AA2836" s="95"/>
      <c r="AB2836" s="95"/>
      <c r="AC2836" s="355"/>
      <c r="AD2836" s="355"/>
      <c r="AE2836" s="355"/>
      <c r="AF2836" s="94">
        <f t="shared" si="369"/>
        <v>43434</v>
      </c>
      <c r="AG2836" s="185" t="e">
        <f t="shared" si="372"/>
        <v>#DIV/0!</v>
      </c>
      <c r="AH2836" s="339" t="str">
        <f>VLOOKUP(B2836,'MF PF'!A:B,2)</f>
        <v>FdMgt1</v>
      </c>
      <c r="AI2836" s="358">
        <f t="shared" si="370"/>
        <v>0</v>
      </c>
      <c r="AJ2836" s="94">
        <f t="shared" si="371"/>
        <v>43434</v>
      </c>
    </row>
    <row r="2837" spans="1:36" ht="12.75" customHeight="1">
      <c r="A2837" s="94">
        <v>43465</v>
      </c>
      <c r="B2837" s="358" t="s">
        <v>273</v>
      </c>
      <c r="C2837" s="358" t="s">
        <v>326</v>
      </c>
      <c r="D2837" s="368">
        <v>2667568.5099999998</v>
      </c>
      <c r="E2837" s="95"/>
      <c r="F2837" s="93">
        <v>2.6376422499999999</v>
      </c>
      <c r="G2837" s="93"/>
      <c r="H2837" s="93">
        <v>0</v>
      </c>
      <c r="I2837" s="93">
        <v>0</v>
      </c>
      <c r="K2837" s="93">
        <v>0</v>
      </c>
      <c r="L2837" s="93">
        <f t="shared" si="367"/>
        <v>0</v>
      </c>
      <c r="M2837" s="95" t="e">
        <f t="shared" ca="1" si="368"/>
        <v>#DIV/0!</v>
      </c>
      <c r="N2837" s="95">
        <f>IF(P2837="Hedge Fund",IF(A2837=Summary!$AD$3,M2837-E2837,M2837),IF(A2837=Summary!$AD$3,L2837-D2837,L2837))</f>
        <v>0</v>
      </c>
      <c r="O2837" s="95">
        <f t="shared" si="366"/>
        <v>0</v>
      </c>
      <c r="P2837" s="95" t="s">
        <v>155</v>
      </c>
      <c r="Q2837" s="95">
        <v>-2.6675685086581011</v>
      </c>
      <c r="R2837" s="95">
        <v>0</v>
      </c>
      <c r="S2837" s="95"/>
      <c r="T2837" s="95"/>
      <c r="U2837" s="95"/>
      <c r="V2837" s="95"/>
      <c r="W2837" s="95"/>
      <c r="X2837" s="95"/>
      <c r="Y2837" s="95"/>
      <c r="Z2837" s="95"/>
      <c r="AA2837" s="95"/>
      <c r="AB2837" s="95"/>
      <c r="AC2837" s="355"/>
      <c r="AD2837" s="355"/>
      <c r="AE2837" s="355"/>
      <c r="AF2837" s="94">
        <f t="shared" si="369"/>
        <v>43465</v>
      </c>
      <c r="AG2837" s="185">
        <f t="shared" si="372"/>
        <v>6.5197942155119648E-3</v>
      </c>
      <c r="AH2837" s="339" t="str">
        <f>VLOOKUP(B2837,'MF PF'!A:B,2)</f>
        <v>FdMgt1</v>
      </c>
      <c r="AI2837" s="358">
        <f t="shared" si="370"/>
        <v>0</v>
      </c>
      <c r="AJ2837" s="94">
        <f t="shared" si="371"/>
        <v>43465</v>
      </c>
    </row>
    <row r="2838" spans="1:36" ht="12.75" customHeight="1">
      <c r="A2838" s="94">
        <v>43496</v>
      </c>
      <c r="B2838" s="358" t="s">
        <v>273</v>
      </c>
      <c r="C2838" s="358" t="s">
        <v>326</v>
      </c>
      <c r="D2838" s="93">
        <v>2712602.23</v>
      </c>
      <c r="E2838" s="95"/>
      <c r="F2838" s="93">
        <v>2.6127138845612539</v>
      </c>
      <c r="G2838" s="93"/>
      <c r="H2838" s="93">
        <v>0</v>
      </c>
      <c r="I2838" s="93">
        <v>0</v>
      </c>
      <c r="K2838" s="93">
        <v>0</v>
      </c>
      <c r="L2838" s="93">
        <f t="shared" si="367"/>
        <v>0</v>
      </c>
      <c r="M2838" s="95" t="e">
        <f t="shared" ca="1" si="368"/>
        <v>#DIV/0!</v>
      </c>
      <c r="N2838" s="95">
        <f>IF(P2838="Hedge Fund",IF(A2838=Summary!$AD$3,M2838-E2838,M2838),IF(A2838=Summary!$AD$3,L2838-D2838,L2838))</f>
        <v>-2712602.23</v>
      </c>
      <c r="O2838" s="95">
        <f t="shared" si="366"/>
        <v>-2712602.23</v>
      </c>
      <c r="P2838" s="95" t="s">
        <v>155</v>
      </c>
      <c r="Q2838" s="95">
        <v>0</v>
      </c>
      <c r="R2838" s="95">
        <v>0</v>
      </c>
      <c r="S2838" s="95"/>
      <c r="T2838" s="95"/>
      <c r="U2838" s="95"/>
      <c r="V2838" s="95"/>
      <c r="W2838" s="95"/>
      <c r="X2838" s="95"/>
      <c r="Y2838" s="95"/>
      <c r="Z2838" s="95"/>
      <c r="AA2838" s="95"/>
      <c r="AB2838" s="95"/>
      <c r="AC2838" s="355"/>
      <c r="AD2838" s="355"/>
      <c r="AE2838" s="355"/>
      <c r="AF2838" s="94">
        <f t="shared" si="369"/>
        <v>43496</v>
      </c>
      <c r="AG2838" s="185">
        <f t="shared" si="372"/>
        <v>1.688193567707108E-2</v>
      </c>
      <c r="AH2838" s="339" t="str">
        <f>VLOOKUP(B2838,'MF PF'!A:B,2)</f>
        <v>FdMgt1</v>
      </c>
      <c r="AI2838" s="358">
        <f t="shared" si="370"/>
        <v>0</v>
      </c>
      <c r="AJ2838" s="94">
        <f t="shared" si="371"/>
        <v>43496</v>
      </c>
    </row>
    <row r="2839" spans="1:36" ht="12.75" customHeight="1">
      <c r="A2839" s="94">
        <v>43329</v>
      </c>
      <c r="B2839" s="358" t="s">
        <v>273</v>
      </c>
      <c r="C2839" s="358" t="s">
        <v>327</v>
      </c>
      <c r="D2839" s="93"/>
      <c r="F2839" s="93"/>
      <c r="G2839" s="93">
        <v>1697747.7300869208</v>
      </c>
      <c r="H2839" s="93"/>
      <c r="I2839" s="93"/>
      <c r="K2839" s="93"/>
      <c r="L2839" s="93">
        <f t="shared" si="367"/>
        <v>1697747.7300869208</v>
      </c>
      <c r="M2839" s="95">
        <f t="shared" ca="1" si="368"/>
        <v>0</v>
      </c>
      <c r="N2839" s="95">
        <f>IF(P2839="Hedge Fund",IF(A2839=Summary!$AD$3,M2839-E2839,M2839),IF(A2839=Summary!$AD$3,L2839-D2839,L2839))</f>
        <v>1697747.7300869208</v>
      </c>
      <c r="O2839" s="95">
        <f t="shared" si="366"/>
        <v>1697747.7300869208</v>
      </c>
      <c r="P2839" s="107" t="s">
        <v>155</v>
      </c>
      <c r="Q2839" s="95">
        <v>0</v>
      </c>
      <c r="R2839" s="95">
        <v>0</v>
      </c>
      <c r="S2839" s="95"/>
      <c r="T2839" s="95"/>
      <c r="U2839" s="95"/>
      <c r="V2839" s="95"/>
      <c r="W2839" s="95"/>
      <c r="X2839" s="95"/>
      <c r="Y2839" s="95"/>
      <c r="Z2839" s="95"/>
      <c r="AA2839" s="95"/>
      <c r="AB2839" s="95"/>
      <c r="AC2839" s="355"/>
      <c r="AD2839" s="355"/>
      <c r="AE2839" s="355"/>
      <c r="AF2839" s="94">
        <f t="shared" si="369"/>
        <v>43329</v>
      </c>
      <c r="AG2839" s="185">
        <f t="shared" si="372"/>
        <v>-1</v>
      </c>
      <c r="AH2839" s="339" t="str">
        <f>VLOOKUP(B2839,'MF PF'!A:B,2)</f>
        <v>FdMgt1</v>
      </c>
      <c r="AI2839" s="358">
        <f t="shared" si="370"/>
        <v>0</v>
      </c>
      <c r="AJ2839" s="94">
        <f t="shared" si="371"/>
        <v>43343</v>
      </c>
    </row>
    <row r="2840" spans="1:36" ht="12.75" customHeight="1">
      <c r="A2840" s="94">
        <v>43343</v>
      </c>
      <c r="B2840" s="358" t="s">
        <v>273</v>
      </c>
      <c r="C2840" s="358" t="s">
        <v>327</v>
      </c>
      <c r="D2840" s="93">
        <v>2048341.55</v>
      </c>
      <c r="F2840" s="93"/>
      <c r="G2840" s="93"/>
      <c r="H2840" s="93"/>
      <c r="I2840" s="93"/>
      <c r="K2840" s="93"/>
      <c r="L2840" s="93">
        <f t="shared" si="367"/>
        <v>0</v>
      </c>
      <c r="M2840" s="95" t="e">
        <f t="shared" ca="1" si="368"/>
        <v>#DIV/0!</v>
      </c>
      <c r="N2840" s="95">
        <f>IF(P2840="Hedge Fund",IF(A2840=Summary!$AD$3,M2840-E2840,M2840),IF(A2840=Summary!$AD$3,L2840-D2840,L2840))</f>
        <v>0</v>
      </c>
      <c r="O2840" s="95">
        <f t="shared" si="366"/>
        <v>0</v>
      </c>
      <c r="P2840" s="107" t="s">
        <v>155</v>
      </c>
      <c r="Q2840" s="95">
        <v>0</v>
      </c>
      <c r="R2840" s="95">
        <v>0</v>
      </c>
      <c r="S2840" s="95"/>
      <c r="T2840" s="95"/>
      <c r="U2840" s="95"/>
      <c r="V2840" s="95"/>
      <c r="W2840" s="95"/>
      <c r="X2840" s="95"/>
      <c r="Y2840" s="95"/>
      <c r="Z2840" s="95"/>
      <c r="AA2840" s="95"/>
      <c r="AB2840" s="95"/>
      <c r="AC2840" s="355"/>
      <c r="AD2840" s="355"/>
      <c r="AE2840" s="355"/>
      <c r="AF2840" s="94">
        <f t="shared" si="369"/>
        <v>43343</v>
      </c>
      <c r="AG2840" s="185" t="e">
        <f t="shared" si="372"/>
        <v>#DIV/0!</v>
      </c>
      <c r="AH2840" s="339" t="str">
        <f>VLOOKUP(B2840,'MF PF'!A:B,2)</f>
        <v>FdMgt1</v>
      </c>
      <c r="AI2840" s="358">
        <f t="shared" si="370"/>
        <v>0</v>
      </c>
      <c r="AJ2840" s="94">
        <f t="shared" si="371"/>
        <v>43343</v>
      </c>
    </row>
    <row r="2841" spans="1:36" ht="12.75" customHeight="1">
      <c r="A2841" s="94">
        <v>43369</v>
      </c>
      <c r="B2841" s="358" t="s">
        <v>273</v>
      </c>
      <c r="C2841" s="358" t="s">
        <v>327</v>
      </c>
      <c r="D2841" s="93"/>
      <c r="E2841" s="95"/>
      <c r="F2841" s="93"/>
      <c r="G2841" s="93">
        <v>341795.28</v>
      </c>
      <c r="H2841" s="93"/>
      <c r="I2841" s="93"/>
      <c r="K2841" s="93"/>
      <c r="L2841" s="93">
        <f t="shared" si="367"/>
        <v>341795.28</v>
      </c>
      <c r="M2841" s="95" t="e">
        <f t="shared" ca="1" si="368"/>
        <v>#DIV/0!</v>
      </c>
      <c r="N2841" s="95">
        <f>IF(P2841="Hedge Fund",IF(A2841=Summary!$AD$3,M2841-E2841,M2841),IF(A2841=Summary!$AD$3,L2841-D2841,L2841))</f>
        <v>341795.28</v>
      </c>
      <c r="O2841" s="95">
        <f t="shared" si="366"/>
        <v>341795.28</v>
      </c>
      <c r="P2841" s="107" t="s">
        <v>155</v>
      </c>
      <c r="Q2841" s="95">
        <v>0</v>
      </c>
      <c r="R2841" s="95">
        <v>0</v>
      </c>
      <c r="S2841" s="95"/>
      <c r="T2841" s="95"/>
      <c r="U2841" s="95"/>
      <c r="V2841" s="95"/>
      <c r="W2841" s="95"/>
      <c r="X2841" s="95"/>
      <c r="Y2841" s="95"/>
      <c r="Z2841" s="95"/>
      <c r="AA2841" s="95"/>
      <c r="AB2841" s="95"/>
      <c r="AC2841" s="355"/>
      <c r="AD2841" s="355"/>
      <c r="AE2841" s="355"/>
      <c r="AF2841" s="94">
        <f t="shared" si="369"/>
        <v>43369</v>
      </c>
      <c r="AG2841" s="185">
        <f t="shared" si="372"/>
        <v>-1.1668643981761733</v>
      </c>
      <c r="AH2841" s="339" t="str">
        <f>VLOOKUP(B2841,'MF PF'!A:B,2)</f>
        <v>FdMgt1</v>
      </c>
      <c r="AI2841" s="358">
        <f t="shared" si="370"/>
        <v>0</v>
      </c>
      <c r="AJ2841" s="94">
        <f t="shared" si="371"/>
        <v>43373</v>
      </c>
    </row>
    <row r="2842" spans="1:36" ht="12.75" customHeight="1">
      <c r="A2842" s="94">
        <v>43371</v>
      </c>
      <c r="B2842" s="358" t="s">
        <v>273</v>
      </c>
      <c r="C2842" s="358" t="s">
        <v>327</v>
      </c>
      <c r="D2842" s="93">
        <v>2060372.73</v>
      </c>
      <c r="F2842" s="93"/>
      <c r="G2842" s="93"/>
      <c r="H2842" s="93"/>
      <c r="I2842" s="93"/>
      <c r="K2842" s="93"/>
      <c r="L2842" s="93">
        <f t="shared" si="367"/>
        <v>0</v>
      </c>
      <c r="M2842" s="95" t="e">
        <f t="shared" ca="1" si="368"/>
        <v>#DIV/0!</v>
      </c>
      <c r="N2842" s="95">
        <f>IF(P2842="Hedge Fund",IF(A2842=Summary!$AD$3,M2842-E2842,M2842),IF(A2842=Summary!$AD$3,L2842-D2842,L2842))</f>
        <v>0</v>
      </c>
      <c r="O2842" s="95">
        <f t="shared" si="366"/>
        <v>0</v>
      </c>
      <c r="P2842" s="107" t="s">
        <v>155</v>
      </c>
      <c r="Q2842" s="95">
        <v>0</v>
      </c>
      <c r="R2842" s="95">
        <v>0</v>
      </c>
      <c r="S2842" s="95"/>
      <c r="T2842" s="95"/>
      <c r="U2842" s="95"/>
      <c r="V2842" s="95"/>
      <c r="W2842" s="95"/>
      <c r="X2842" s="95"/>
      <c r="Y2842" s="95"/>
      <c r="Z2842" s="95"/>
      <c r="AA2842" s="95"/>
      <c r="AB2842" s="95"/>
      <c r="AC2842" s="355"/>
      <c r="AD2842" s="355"/>
      <c r="AE2842" s="355"/>
      <c r="AF2842" s="94">
        <f t="shared" si="369"/>
        <v>43371</v>
      </c>
      <c r="AG2842" s="185" t="e">
        <f t="shared" si="372"/>
        <v>#DIV/0!</v>
      </c>
      <c r="AH2842" s="339" t="str">
        <f>VLOOKUP(B2842,'MF PF'!A:B,2)</f>
        <v>FdMgt1</v>
      </c>
      <c r="AI2842" s="358">
        <f t="shared" si="370"/>
        <v>0</v>
      </c>
      <c r="AJ2842" s="94">
        <f t="shared" si="371"/>
        <v>43373</v>
      </c>
    </row>
    <row r="2843" spans="1:36" ht="12.75" customHeight="1">
      <c r="A2843" s="94">
        <v>43404</v>
      </c>
      <c r="B2843" s="358" t="s">
        <v>273</v>
      </c>
      <c r="C2843" s="358" t="s">
        <v>327</v>
      </c>
      <c r="D2843" s="93">
        <v>2378556.89</v>
      </c>
      <c r="F2843" s="93">
        <v>2.4792910499999996</v>
      </c>
      <c r="G2843" s="93">
        <v>200610.27000000002</v>
      </c>
      <c r="H2843" s="93">
        <v>0</v>
      </c>
      <c r="I2843" s="93">
        <v>0</v>
      </c>
      <c r="J2843" s="93">
        <v>0</v>
      </c>
      <c r="K2843" s="93"/>
      <c r="L2843" s="93">
        <f t="shared" si="367"/>
        <v>200610.27000000002</v>
      </c>
      <c r="M2843" s="95" t="e">
        <f t="shared" ca="1" si="368"/>
        <v>#DIV/0!</v>
      </c>
      <c r="N2843" s="95">
        <f>IF(P2843="Hedge Fund",IF(A2843=Summary!$AD$3,M2843-E2843,M2843),IF(A2843=Summary!$AD$3,L2843-D2843,L2843))</f>
        <v>200610.27000000002</v>
      </c>
      <c r="O2843" s="95">
        <f t="shared" si="366"/>
        <v>200610.27000000002</v>
      </c>
      <c r="P2843" s="95" t="s">
        <v>155</v>
      </c>
      <c r="Q2843" s="95">
        <v>0</v>
      </c>
      <c r="R2843" s="95">
        <v>0</v>
      </c>
      <c r="S2843" s="95"/>
      <c r="T2843" s="95"/>
      <c r="U2843" s="95"/>
      <c r="V2843" s="95"/>
      <c r="W2843" s="95"/>
      <c r="X2843" s="95"/>
      <c r="Y2843" s="95"/>
      <c r="Z2843" s="95"/>
      <c r="AA2843" s="95"/>
      <c r="AB2843" s="95"/>
      <c r="AC2843" s="355"/>
      <c r="AD2843" s="355"/>
      <c r="AE2843" s="355"/>
      <c r="AF2843" s="94">
        <f t="shared" si="369"/>
        <v>43404</v>
      </c>
      <c r="AG2843" s="185">
        <f t="shared" si="372"/>
        <v>5.7064378832076823E-2</v>
      </c>
      <c r="AH2843" s="339" t="str">
        <f>VLOOKUP(B2843,'MF PF'!A:B,2)</f>
        <v>FdMgt1</v>
      </c>
      <c r="AI2843" s="358">
        <f t="shared" si="370"/>
        <v>0</v>
      </c>
      <c r="AJ2843" s="94">
        <f t="shared" si="371"/>
        <v>43404</v>
      </c>
    </row>
    <row r="2844" spans="1:36" ht="12.75" customHeight="1">
      <c r="A2844" s="94">
        <v>43432</v>
      </c>
      <c r="B2844" s="358" t="s">
        <v>273</v>
      </c>
      <c r="C2844" s="358" t="s">
        <v>327</v>
      </c>
      <c r="D2844" s="93"/>
      <c r="F2844" s="93"/>
      <c r="G2844" s="93">
        <v>215705.99000000002</v>
      </c>
      <c r="H2844" s="93">
        <v>0</v>
      </c>
      <c r="I2844" s="93">
        <v>0</v>
      </c>
      <c r="K2844" s="93">
        <v>0</v>
      </c>
      <c r="L2844" s="93">
        <f t="shared" si="367"/>
        <v>215705.99000000002</v>
      </c>
      <c r="M2844" s="95" t="e">
        <f t="shared" ca="1" si="368"/>
        <v>#DIV/0!</v>
      </c>
      <c r="N2844" s="95">
        <f>IF(P2844="Hedge Fund",IF(A2844=Summary!$AD$3,M2844-E2844,M2844),IF(A2844=Summary!$AD$3,L2844-D2844,L2844))</f>
        <v>215705.99000000002</v>
      </c>
      <c r="O2844" s="95">
        <f t="shared" si="366"/>
        <v>215705.99000000002</v>
      </c>
      <c r="P2844" s="95" t="s">
        <v>155</v>
      </c>
      <c r="Q2844" s="95"/>
      <c r="R2844" s="95"/>
      <c r="S2844" s="95"/>
      <c r="T2844" s="95"/>
      <c r="U2844" s="95"/>
      <c r="V2844" s="95"/>
      <c r="W2844" s="95"/>
      <c r="X2844" s="95"/>
      <c r="Y2844" s="95"/>
      <c r="Z2844" s="95"/>
      <c r="AA2844" s="95"/>
      <c r="AB2844" s="95"/>
      <c r="AC2844" s="355"/>
      <c r="AD2844" s="355"/>
      <c r="AE2844" s="355"/>
      <c r="AF2844" s="94">
        <f t="shared" si="369"/>
        <v>43432</v>
      </c>
      <c r="AG2844" s="185">
        <f t="shared" si="372"/>
        <v>-1.0906877573148985</v>
      </c>
      <c r="AH2844" s="339" t="str">
        <f>VLOOKUP(B2844,'MF PF'!A:B,2)</f>
        <v>FdMgt1</v>
      </c>
      <c r="AI2844" s="358">
        <f t="shared" si="370"/>
        <v>0</v>
      </c>
      <c r="AJ2844" s="94">
        <f t="shared" si="371"/>
        <v>43434</v>
      </c>
    </row>
    <row r="2845" spans="1:36" ht="12.75" customHeight="1">
      <c r="A2845" s="94">
        <v>43434</v>
      </c>
      <c r="B2845" s="358" t="s">
        <v>273</v>
      </c>
      <c r="C2845" s="358" t="s">
        <v>327</v>
      </c>
      <c r="D2845" s="93">
        <v>2491178.7200000002</v>
      </c>
      <c r="F2845" s="93">
        <v>2.4792910499999996</v>
      </c>
      <c r="G2845" s="93"/>
      <c r="H2845" s="93">
        <v>0</v>
      </c>
      <c r="I2845" s="93">
        <v>0</v>
      </c>
      <c r="K2845" s="93">
        <v>0</v>
      </c>
      <c r="L2845" s="93">
        <f t="shared" si="367"/>
        <v>0</v>
      </c>
      <c r="M2845" s="95" t="e">
        <f t="shared" ca="1" si="368"/>
        <v>#DIV/0!</v>
      </c>
      <c r="N2845" s="95">
        <f>IF(P2845="Hedge Fund",IF(A2845=Summary!$AD$3,M2845-E2845,M2845),IF(A2845=Summary!$AD$3,L2845-D2845,L2845))</f>
        <v>0</v>
      </c>
      <c r="O2845" s="95">
        <f t="shared" si="366"/>
        <v>0</v>
      </c>
      <c r="P2845" s="95" t="s">
        <v>155</v>
      </c>
      <c r="Q2845" s="95">
        <v>0</v>
      </c>
      <c r="R2845" s="95">
        <v>0</v>
      </c>
      <c r="S2845" s="95"/>
      <c r="T2845" s="95"/>
      <c r="U2845" s="95"/>
      <c r="V2845" s="95"/>
      <c r="W2845" s="95"/>
      <c r="X2845" s="95"/>
      <c r="Y2845" s="95"/>
      <c r="Z2845" s="95"/>
      <c r="AA2845" s="95"/>
      <c r="AB2845" s="95"/>
      <c r="AC2845" s="355"/>
      <c r="AD2845" s="355"/>
      <c r="AE2845" s="355"/>
      <c r="AF2845" s="94">
        <f t="shared" si="369"/>
        <v>43434</v>
      </c>
      <c r="AG2845" s="185" t="e">
        <f t="shared" si="372"/>
        <v>#DIV/0!</v>
      </c>
      <c r="AH2845" s="339" t="str">
        <f>VLOOKUP(B2845,'MF PF'!A:B,2)</f>
        <v>FdMgt1</v>
      </c>
      <c r="AI2845" s="358">
        <f t="shared" si="370"/>
        <v>0</v>
      </c>
      <c r="AJ2845" s="94">
        <f t="shared" si="371"/>
        <v>43434</v>
      </c>
    </row>
    <row r="2846" spans="1:36" ht="12.75" customHeight="1">
      <c r="A2846" s="94">
        <v>43465</v>
      </c>
      <c r="B2846" s="358" t="s">
        <v>273</v>
      </c>
      <c r="C2846" s="358" t="s">
        <v>327</v>
      </c>
      <c r="D2846" s="368">
        <v>2507420.7000000002</v>
      </c>
      <c r="F2846" s="93">
        <v>2.4792910499999996</v>
      </c>
      <c r="G2846" s="93"/>
      <c r="H2846" s="93">
        <v>0</v>
      </c>
      <c r="I2846" s="93">
        <v>0</v>
      </c>
      <c r="K2846" s="93">
        <v>0</v>
      </c>
      <c r="L2846" s="93">
        <f t="shared" si="367"/>
        <v>0</v>
      </c>
      <c r="M2846" s="95" t="e">
        <f t="shared" ca="1" si="368"/>
        <v>#DIV/0!</v>
      </c>
      <c r="N2846" s="95">
        <f>IF(P2846="Hedge Fund",IF(A2846=Summary!$AD$3,M2846-E2846,M2846),IF(A2846=Summary!$AD$3,L2846-D2846,L2846))</f>
        <v>0</v>
      </c>
      <c r="O2846" s="95">
        <f t="shared" si="366"/>
        <v>0</v>
      </c>
      <c r="P2846" s="95" t="s">
        <v>155</v>
      </c>
      <c r="Q2846" s="95">
        <v>-2.5074206995987702</v>
      </c>
      <c r="R2846" s="95">
        <v>0</v>
      </c>
      <c r="S2846" s="95"/>
      <c r="T2846" s="95"/>
      <c r="U2846" s="95"/>
      <c r="V2846" s="95"/>
      <c r="W2846" s="95"/>
      <c r="X2846" s="95"/>
      <c r="Y2846" s="95"/>
      <c r="Z2846" s="95"/>
      <c r="AA2846" s="95"/>
      <c r="AB2846" s="95"/>
      <c r="AC2846" s="355"/>
      <c r="AD2846" s="355"/>
      <c r="AE2846" s="355"/>
      <c r="AF2846" s="94">
        <f t="shared" si="369"/>
        <v>43465</v>
      </c>
      <c r="AG2846" s="185">
        <f t="shared" si="372"/>
        <v>6.5197971825963208E-3</v>
      </c>
      <c r="AH2846" s="339" t="str">
        <f>VLOOKUP(B2846,'MF PF'!A:B,2)</f>
        <v>FdMgt1</v>
      </c>
      <c r="AI2846" s="358">
        <f t="shared" si="370"/>
        <v>0</v>
      </c>
      <c r="AJ2846" s="94">
        <f t="shared" si="371"/>
        <v>43465</v>
      </c>
    </row>
    <row r="2847" spans="1:36" ht="12.75" customHeight="1">
      <c r="A2847" s="94">
        <v>43496</v>
      </c>
      <c r="B2847" s="358" t="s">
        <v>273</v>
      </c>
      <c r="C2847" s="358" t="s">
        <v>327</v>
      </c>
      <c r="D2847" s="93">
        <v>2549750.81</v>
      </c>
      <c r="F2847" s="93">
        <v>2.4558592700869206</v>
      </c>
      <c r="G2847" s="93"/>
      <c r="H2847" s="93">
        <v>0</v>
      </c>
      <c r="I2847" s="93">
        <v>0</v>
      </c>
      <c r="K2847" s="93">
        <v>0</v>
      </c>
      <c r="L2847" s="93">
        <f t="shared" si="367"/>
        <v>0</v>
      </c>
      <c r="M2847" s="95" t="e">
        <f t="shared" ca="1" si="368"/>
        <v>#DIV/0!</v>
      </c>
      <c r="N2847" s="95">
        <f>IF(P2847="Hedge Fund",IF(A2847=Summary!$AD$3,M2847-E2847,M2847),IF(A2847=Summary!$AD$3,L2847-D2847,L2847))</f>
        <v>-2549750.81</v>
      </c>
      <c r="O2847" s="95">
        <f t="shared" si="366"/>
        <v>-2549750.81</v>
      </c>
      <c r="P2847" s="95" t="s">
        <v>155</v>
      </c>
      <c r="Q2847" s="95">
        <v>0</v>
      </c>
      <c r="R2847" s="95">
        <v>0</v>
      </c>
      <c r="S2847" s="95"/>
      <c r="T2847" s="95"/>
      <c r="U2847" s="95"/>
      <c r="V2847" s="95"/>
      <c r="W2847" s="95"/>
      <c r="X2847" s="95"/>
      <c r="Y2847" s="95"/>
      <c r="Z2847" s="95"/>
      <c r="AA2847" s="95"/>
      <c r="AB2847" s="95"/>
      <c r="AC2847" s="355"/>
      <c r="AD2847" s="355"/>
      <c r="AE2847" s="355"/>
      <c r="AF2847" s="94">
        <f t="shared" si="369"/>
        <v>43496</v>
      </c>
      <c r="AG2847" s="185">
        <f t="shared" si="372"/>
        <v>1.6881933693855045E-2</v>
      </c>
      <c r="AH2847" s="339" t="str">
        <f>VLOOKUP(B2847,'MF PF'!A:B,2)</f>
        <v>FdMgt1</v>
      </c>
      <c r="AI2847" s="358">
        <f t="shared" si="370"/>
        <v>0</v>
      </c>
      <c r="AJ2847" s="94">
        <f t="shared" si="371"/>
        <v>43496</v>
      </c>
    </row>
    <row r="2848" spans="1:36" ht="12.75" customHeight="1">
      <c r="A2848" s="94">
        <v>43329</v>
      </c>
      <c r="B2848" s="358" t="s">
        <v>273</v>
      </c>
      <c r="C2848" s="358" t="s">
        <v>328</v>
      </c>
      <c r="D2848" s="93"/>
      <c r="F2848" s="93"/>
      <c r="G2848" s="93">
        <v>81006.866316168715</v>
      </c>
      <c r="H2848" s="93"/>
      <c r="I2848" s="93"/>
      <c r="K2848" s="93"/>
      <c r="L2848" s="93">
        <f t="shared" si="367"/>
        <v>81006.866316168715</v>
      </c>
      <c r="M2848" s="95">
        <f t="shared" ca="1" si="368"/>
        <v>0</v>
      </c>
      <c r="N2848" s="95">
        <f>IF(P2848="Hedge Fund",IF(A2848=Summary!$AD$3,M2848-E2848,M2848),IF(A2848=Summary!$AD$3,L2848-D2848,L2848))</f>
        <v>81006.866316168715</v>
      </c>
      <c r="O2848" s="95">
        <f t="shared" si="366"/>
        <v>81006.866316168715</v>
      </c>
      <c r="P2848" s="107" t="s">
        <v>155</v>
      </c>
      <c r="Q2848" s="95">
        <v>0</v>
      </c>
      <c r="R2848" s="95">
        <v>0</v>
      </c>
      <c r="S2848" s="95"/>
      <c r="T2848" s="95"/>
      <c r="U2848" s="95"/>
      <c r="V2848" s="95"/>
      <c r="W2848" s="95"/>
      <c r="X2848" s="95"/>
      <c r="Y2848" s="95"/>
      <c r="Z2848" s="95"/>
      <c r="AA2848" s="95"/>
      <c r="AB2848" s="95"/>
      <c r="AC2848" s="355"/>
      <c r="AD2848" s="355"/>
      <c r="AE2848" s="355"/>
      <c r="AF2848" s="94">
        <f t="shared" si="369"/>
        <v>43329</v>
      </c>
      <c r="AG2848" s="185">
        <f t="shared" si="372"/>
        <v>-1</v>
      </c>
      <c r="AH2848" s="339" t="str">
        <f>VLOOKUP(B2848,'MF PF'!A:B,2)</f>
        <v>FdMgt1</v>
      </c>
      <c r="AI2848" s="358">
        <f t="shared" si="370"/>
        <v>0</v>
      </c>
      <c r="AJ2848" s="94">
        <f t="shared" si="371"/>
        <v>43343</v>
      </c>
    </row>
    <row r="2849" spans="1:36" ht="12.75" customHeight="1">
      <c r="A2849" s="94">
        <v>43343</v>
      </c>
      <c r="B2849" s="358" t="s">
        <v>273</v>
      </c>
      <c r="C2849" s="358" t="s">
        <v>328</v>
      </c>
      <c r="D2849" s="93">
        <v>-20562.36</v>
      </c>
      <c r="F2849" s="93"/>
      <c r="G2849" s="93"/>
      <c r="H2849" s="93"/>
      <c r="I2849" s="93"/>
      <c r="K2849" s="93"/>
      <c r="L2849" s="93">
        <f t="shared" si="367"/>
        <v>0</v>
      </c>
      <c r="M2849" s="95" t="e">
        <f t="shared" ca="1" si="368"/>
        <v>#DIV/0!</v>
      </c>
      <c r="N2849" s="95">
        <f>IF(P2849="Hedge Fund",IF(A2849=Summary!$AD$3,M2849-E2849,M2849),IF(A2849=Summary!$AD$3,L2849-D2849,L2849))</f>
        <v>0</v>
      </c>
      <c r="O2849" s="95">
        <f t="shared" si="366"/>
        <v>0</v>
      </c>
      <c r="P2849" s="107" t="s">
        <v>155</v>
      </c>
      <c r="Q2849" s="95">
        <v>0</v>
      </c>
      <c r="R2849" s="95">
        <v>0</v>
      </c>
      <c r="S2849" s="95"/>
      <c r="T2849" s="95"/>
      <c r="U2849" s="95"/>
      <c r="V2849" s="95"/>
      <c r="W2849" s="95"/>
      <c r="X2849" s="95"/>
      <c r="Y2849" s="95"/>
      <c r="Z2849" s="95"/>
      <c r="AA2849" s="95"/>
      <c r="AB2849" s="95"/>
      <c r="AC2849" s="355"/>
      <c r="AD2849" s="355"/>
      <c r="AE2849" s="355"/>
      <c r="AF2849" s="94">
        <f t="shared" si="369"/>
        <v>43343</v>
      </c>
      <c r="AG2849" s="185" t="e">
        <f t="shared" si="372"/>
        <v>#DIV/0!</v>
      </c>
      <c r="AH2849" s="339" t="str">
        <f>VLOOKUP(B2849,'MF PF'!A:B,2)</f>
        <v>FdMgt1</v>
      </c>
      <c r="AI2849" s="358">
        <f t="shared" si="370"/>
        <v>0</v>
      </c>
      <c r="AJ2849" s="94">
        <f t="shared" si="371"/>
        <v>43343</v>
      </c>
    </row>
    <row r="2850" spans="1:36" ht="12.75" customHeight="1">
      <c r="A2850" s="94">
        <v>43369</v>
      </c>
      <c r="B2850" s="358" t="s">
        <v>273</v>
      </c>
      <c r="C2850" s="358" t="s">
        <v>328</v>
      </c>
      <c r="D2850" s="93"/>
      <c r="F2850" s="93"/>
      <c r="G2850" s="93">
        <v>16308.44</v>
      </c>
      <c r="H2850" s="93"/>
      <c r="I2850" s="93"/>
      <c r="K2850" s="93"/>
      <c r="L2850" s="93">
        <f t="shared" si="367"/>
        <v>16308.44</v>
      </c>
      <c r="M2850" s="95" t="e">
        <f t="shared" ca="1" si="368"/>
        <v>#DIV/0!</v>
      </c>
      <c r="N2850" s="95">
        <f>IF(P2850="Hedge Fund",IF(A2850=Summary!$AD$3,M2850-E2850,M2850),IF(A2850=Summary!$AD$3,L2850-D2850,L2850))</f>
        <v>16308.44</v>
      </c>
      <c r="O2850" s="95">
        <f t="shared" si="366"/>
        <v>16308.44</v>
      </c>
      <c r="P2850" s="107" t="s">
        <v>155</v>
      </c>
      <c r="Q2850" s="95">
        <v>0</v>
      </c>
      <c r="R2850" s="95">
        <v>0</v>
      </c>
      <c r="S2850" s="95"/>
      <c r="T2850" s="95"/>
      <c r="U2850" s="95"/>
      <c r="V2850" s="95"/>
      <c r="W2850" s="95"/>
      <c r="X2850" s="95"/>
      <c r="Y2850" s="95"/>
      <c r="Z2850" s="95"/>
      <c r="AA2850" s="95"/>
      <c r="AB2850" s="95"/>
      <c r="AC2850" s="355"/>
      <c r="AD2850" s="355"/>
      <c r="AE2850" s="355"/>
      <c r="AF2850" s="94">
        <f t="shared" si="369"/>
        <v>43369</v>
      </c>
      <c r="AG2850" s="185">
        <f t="shared" si="372"/>
        <v>-0.20687897692677304</v>
      </c>
      <c r="AH2850" s="339" t="str">
        <f>VLOOKUP(B2850,'MF PF'!A:B,2)</f>
        <v>FdMgt1</v>
      </c>
      <c r="AI2850" s="358">
        <f t="shared" si="370"/>
        <v>0</v>
      </c>
      <c r="AJ2850" s="94">
        <f t="shared" si="371"/>
        <v>43373</v>
      </c>
    </row>
    <row r="2851" spans="1:36" ht="12.75" customHeight="1">
      <c r="A2851" s="94">
        <v>43371</v>
      </c>
      <c r="B2851" s="358" t="s">
        <v>273</v>
      </c>
      <c r="C2851" s="358" t="s">
        <v>328</v>
      </c>
      <c r="D2851" s="93">
        <v>98309.18</v>
      </c>
      <c r="F2851" s="93"/>
      <c r="G2851" s="93"/>
      <c r="H2851" s="93"/>
      <c r="I2851" s="93"/>
      <c r="K2851" s="93"/>
      <c r="L2851" s="93">
        <f t="shared" si="367"/>
        <v>0</v>
      </c>
      <c r="M2851" s="95" t="e">
        <f t="shared" ca="1" si="368"/>
        <v>#DIV/0!</v>
      </c>
      <c r="N2851" s="95">
        <f>IF(P2851="Hedge Fund",IF(A2851=Summary!$AD$3,M2851-E2851,M2851),IF(A2851=Summary!$AD$3,L2851-D2851,L2851))</f>
        <v>0</v>
      </c>
      <c r="O2851" s="95">
        <f t="shared" ref="O2851:O2914" si="373">N2851</f>
        <v>0</v>
      </c>
      <c r="P2851" s="107" t="s">
        <v>155</v>
      </c>
      <c r="Q2851" s="95">
        <v>0</v>
      </c>
      <c r="R2851" s="95">
        <v>0</v>
      </c>
      <c r="S2851" s="95"/>
      <c r="T2851" s="95"/>
      <c r="U2851" s="95"/>
      <c r="V2851" s="95"/>
      <c r="W2851" s="95"/>
      <c r="X2851" s="95"/>
      <c r="Y2851" s="95"/>
      <c r="Z2851" s="95"/>
      <c r="AA2851" s="95"/>
      <c r="AB2851" s="95"/>
      <c r="AC2851" s="355"/>
      <c r="AD2851" s="355"/>
      <c r="AE2851" s="355"/>
      <c r="AF2851" s="94">
        <f t="shared" si="369"/>
        <v>43371</v>
      </c>
      <c r="AG2851" s="185" t="e">
        <f t="shared" si="372"/>
        <v>#DIV/0!</v>
      </c>
      <c r="AH2851" s="339" t="str">
        <f>VLOOKUP(B2851,'MF PF'!A:B,2)</f>
        <v>FdMgt1</v>
      </c>
      <c r="AI2851" s="358">
        <f t="shared" si="370"/>
        <v>0</v>
      </c>
      <c r="AJ2851" s="94">
        <f t="shared" si="371"/>
        <v>43373</v>
      </c>
    </row>
    <row r="2852" spans="1:36" ht="12.75" customHeight="1">
      <c r="A2852" s="94">
        <v>43404</v>
      </c>
      <c r="B2852" s="358" t="s">
        <v>273</v>
      </c>
      <c r="C2852" s="358" t="s">
        <v>328</v>
      </c>
      <c r="D2852" s="93">
        <v>103199.24</v>
      </c>
      <c r="E2852" s="95"/>
      <c r="F2852" s="93">
        <v>0.11829707</v>
      </c>
      <c r="G2852" s="93">
        <v>9571.9400000000023</v>
      </c>
      <c r="H2852" s="93">
        <v>0</v>
      </c>
      <c r="I2852" s="93">
        <v>0</v>
      </c>
      <c r="J2852" s="93">
        <v>0</v>
      </c>
      <c r="K2852" s="93"/>
      <c r="L2852" s="93">
        <f t="shared" si="367"/>
        <v>9571.9400000000023</v>
      </c>
      <c r="M2852" s="95" t="e">
        <f t="shared" ca="1" si="368"/>
        <v>#DIV/0!</v>
      </c>
      <c r="N2852" s="95">
        <f>IF(P2852="Hedge Fund",IF(A2852=Summary!$AD$3,M2852-E2852,M2852),IF(A2852=Summary!$AD$3,L2852-D2852,L2852))</f>
        <v>9571.9400000000023</v>
      </c>
      <c r="O2852" s="95">
        <f t="shared" si="373"/>
        <v>9571.9400000000023</v>
      </c>
      <c r="P2852" s="95" t="s">
        <v>155</v>
      </c>
      <c r="Q2852" s="95">
        <v>0</v>
      </c>
      <c r="R2852" s="95">
        <v>0</v>
      </c>
      <c r="S2852" s="95"/>
      <c r="T2852" s="95"/>
      <c r="U2852" s="95"/>
      <c r="V2852" s="95"/>
      <c r="W2852" s="95"/>
      <c r="X2852" s="95"/>
      <c r="Y2852" s="95"/>
      <c r="Z2852" s="95"/>
      <c r="AA2852" s="95"/>
      <c r="AB2852" s="95"/>
      <c r="AC2852" s="355"/>
      <c r="AD2852" s="355"/>
      <c r="AE2852" s="355"/>
      <c r="AF2852" s="94">
        <f t="shared" si="369"/>
        <v>43404</v>
      </c>
      <c r="AG2852" s="185">
        <f t="shared" si="372"/>
        <v>-4.7624036737972886E-2</v>
      </c>
      <c r="AH2852" s="339" t="str">
        <f>VLOOKUP(B2852,'MF PF'!A:B,2)</f>
        <v>FdMgt1</v>
      </c>
      <c r="AI2852" s="358">
        <f t="shared" si="370"/>
        <v>0</v>
      </c>
      <c r="AJ2852" s="94">
        <f t="shared" si="371"/>
        <v>43404</v>
      </c>
    </row>
    <row r="2853" spans="1:36" ht="12.75" customHeight="1">
      <c r="A2853" s="94">
        <v>43432</v>
      </c>
      <c r="B2853" s="358" t="s">
        <v>273</v>
      </c>
      <c r="C2853" s="358" t="s">
        <v>328</v>
      </c>
      <c r="D2853" s="93"/>
      <c r="E2853" s="95"/>
      <c r="F2853" s="93"/>
      <c r="G2853" s="93">
        <v>10291.800000000001</v>
      </c>
      <c r="H2853" s="93">
        <v>0</v>
      </c>
      <c r="I2853" s="93">
        <v>0</v>
      </c>
      <c r="K2853" s="93">
        <v>0</v>
      </c>
      <c r="L2853" s="93">
        <f t="shared" si="367"/>
        <v>10291.800000000001</v>
      </c>
      <c r="M2853" s="95" t="e">
        <f t="shared" ca="1" si="368"/>
        <v>#DIV/0!</v>
      </c>
      <c r="N2853" s="95">
        <f>IF(P2853="Hedge Fund",IF(A2853=Summary!$AD$3,M2853-E2853,M2853),IF(A2853=Summary!$AD$3,L2853-D2853,L2853))</f>
        <v>10291.800000000001</v>
      </c>
      <c r="O2853" s="95">
        <f t="shared" si="373"/>
        <v>10291.800000000001</v>
      </c>
      <c r="P2853" s="95" t="s">
        <v>155</v>
      </c>
      <c r="Q2853" s="95"/>
      <c r="R2853" s="95"/>
      <c r="S2853" s="95"/>
      <c r="T2853" s="95"/>
      <c r="U2853" s="95"/>
      <c r="V2853" s="95"/>
      <c r="W2853" s="95"/>
      <c r="X2853" s="95"/>
      <c r="Y2853" s="95"/>
      <c r="Z2853" s="95"/>
      <c r="AA2853" s="95"/>
      <c r="AB2853" s="95"/>
      <c r="AC2853" s="355"/>
      <c r="AD2853" s="355"/>
      <c r="AE2853" s="355"/>
      <c r="AF2853" s="94">
        <f t="shared" si="369"/>
        <v>43432</v>
      </c>
      <c r="AG2853" s="185">
        <f t="shared" si="372"/>
        <v>-1.0997274786132145</v>
      </c>
      <c r="AH2853" s="339" t="str">
        <f>VLOOKUP(B2853,'MF PF'!A:B,2)</f>
        <v>FdMgt1</v>
      </c>
      <c r="AI2853" s="358">
        <f t="shared" si="370"/>
        <v>0</v>
      </c>
      <c r="AJ2853" s="94">
        <f t="shared" si="371"/>
        <v>43434</v>
      </c>
    </row>
    <row r="2854" spans="1:36" ht="12.75" customHeight="1">
      <c r="A2854" s="94">
        <v>43434</v>
      </c>
      <c r="B2854" s="358" t="s">
        <v>273</v>
      </c>
      <c r="C2854" s="358" t="s">
        <v>328</v>
      </c>
      <c r="D2854" s="93">
        <v>118864.28</v>
      </c>
      <c r="E2854" s="95"/>
      <c r="F2854" s="93">
        <v>0.11829707</v>
      </c>
      <c r="G2854" s="93"/>
      <c r="H2854" s="93">
        <v>0</v>
      </c>
      <c r="I2854" s="93">
        <v>0</v>
      </c>
      <c r="K2854" s="93">
        <v>0</v>
      </c>
      <c r="L2854" s="93">
        <f t="shared" si="367"/>
        <v>0</v>
      </c>
      <c r="M2854" s="95" t="e">
        <f t="shared" ca="1" si="368"/>
        <v>#DIV/0!</v>
      </c>
      <c r="N2854" s="95">
        <f>IF(P2854="Hedge Fund",IF(A2854=Summary!$AD$3,M2854-E2854,M2854),IF(A2854=Summary!$AD$3,L2854-D2854,L2854))</f>
        <v>0</v>
      </c>
      <c r="O2854" s="95">
        <f t="shared" si="373"/>
        <v>0</v>
      </c>
      <c r="P2854" s="95" t="s">
        <v>155</v>
      </c>
      <c r="Q2854" s="95">
        <v>0</v>
      </c>
      <c r="R2854" s="95">
        <v>0</v>
      </c>
      <c r="S2854" s="95"/>
      <c r="T2854" s="95"/>
      <c r="U2854" s="95"/>
      <c r="V2854" s="95"/>
      <c r="W2854" s="95"/>
      <c r="X2854" s="95"/>
      <c r="Y2854" s="95"/>
      <c r="Z2854" s="95"/>
      <c r="AA2854" s="95"/>
      <c r="AB2854" s="95"/>
      <c r="AC2854" s="355"/>
      <c r="AD2854" s="355"/>
      <c r="AE2854" s="355"/>
      <c r="AF2854" s="94">
        <f t="shared" si="369"/>
        <v>43434</v>
      </c>
      <c r="AG2854" s="185" t="e">
        <f t="shared" si="372"/>
        <v>#DIV/0!</v>
      </c>
      <c r="AH2854" s="339" t="str">
        <f>VLOOKUP(B2854,'MF PF'!A:B,2)</f>
        <v>FdMgt1</v>
      </c>
      <c r="AI2854" s="358">
        <f t="shared" si="370"/>
        <v>0</v>
      </c>
      <c r="AJ2854" s="94">
        <f t="shared" si="371"/>
        <v>43434</v>
      </c>
    </row>
    <row r="2855" spans="1:36" ht="12.75" customHeight="1">
      <c r="A2855" s="94">
        <v>43465</v>
      </c>
      <c r="B2855" s="358" t="s">
        <v>273</v>
      </c>
      <c r="C2855" s="358" t="s">
        <v>328</v>
      </c>
      <c r="D2855" s="368">
        <v>119638.92</v>
      </c>
      <c r="F2855" s="93">
        <v>0.11829707</v>
      </c>
      <c r="G2855" s="93"/>
      <c r="H2855" s="93">
        <v>0</v>
      </c>
      <c r="I2855" s="93">
        <v>0</v>
      </c>
      <c r="K2855" s="93">
        <v>0</v>
      </c>
      <c r="L2855" s="93">
        <f t="shared" si="367"/>
        <v>0</v>
      </c>
      <c r="M2855" s="95" t="e">
        <f t="shared" ca="1" si="368"/>
        <v>#DIV/0!</v>
      </c>
      <c r="N2855" s="95">
        <f>IF(P2855="Hedge Fund",IF(A2855=Summary!$AD$3,M2855-E2855,M2855),IF(A2855=Summary!$AD$3,L2855-D2855,L2855))</f>
        <v>0</v>
      </c>
      <c r="O2855" s="95">
        <f t="shared" si="373"/>
        <v>0</v>
      </c>
      <c r="P2855" s="95" t="s">
        <v>155</v>
      </c>
      <c r="Q2855" s="95">
        <v>-0.11963892156447654</v>
      </c>
      <c r="R2855" s="95">
        <v>0</v>
      </c>
      <c r="S2855" s="95"/>
      <c r="T2855" s="95"/>
      <c r="U2855" s="95"/>
      <c r="V2855" s="95"/>
      <c r="W2855" s="95"/>
      <c r="X2855" s="95"/>
      <c r="Y2855" s="95"/>
      <c r="Z2855" s="95"/>
      <c r="AA2855" s="95"/>
      <c r="AB2855" s="95"/>
      <c r="AC2855" s="355"/>
      <c r="AD2855" s="355"/>
      <c r="AE2855" s="355"/>
      <c r="AF2855" s="94">
        <f t="shared" si="369"/>
        <v>43465</v>
      </c>
      <c r="AG2855" s="185">
        <f t="shared" si="372"/>
        <v>6.5170125120852518E-3</v>
      </c>
      <c r="AH2855" s="339" t="str">
        <f>VLOOKUP(B2855,'MF PF'!A:B,2)</f>
        <v>FdMgt1</v>
      </c>
      <c r="AI2855" s="358">
        <f t="shared" si="370"/>
        <v>0</v>
      </c>
      <c r="AJ2855" s="94">
        <f t="shared" si="371"/>
        <v>43465</v>
      </c>
    </row>
    <row r="2856" spans="1:36" ht="12.75" customHeight="1">
      <c r="A2856" s="94">
        <v>43496</v>
      </c>
      <c r="B2856" s="358" t="s">
        <v>273</v>
      </c>
      <c r="C2856" s="358" t="s">
        <v>328</v>
      </c>
      <c r="D2856" s="93">
        <v>121658.99</v>
      </c>
      <c r="F2856" s="93">
        <v>0.11717904631616873</v>
      </c>
      <c r="G2856" s="93"/>
      <c r="H2856" s="93">
        <v>0</v>
      </c>
      <c r="I2856" s="93">
        <v>0</v>
      </c>
      <c r="K2856" s="93">
        <v>0</v>
      </c>
      <c r="L2856" s="93">
        <f t="shared" si="367"/>
        <v>0</v>
      </c>
      <c r="M2856" s="95" t="e">
        <f t="shared" ca="1" si="368"/>
        <v>#DIV/0!</v>
      </c>
      <c r="N2856" s="95">
        <f>IF(P2856="Hedge Fund",IF(A2856=Summary!$AD$3,M2856-E2856,M2856),IF(A2856=Summary!$AD$3,L2856-D2856,L2856))</f>
        <v>-121658.99</v>
      </c>
      <c r="O2856" s="95">
        <f t="shared" si="373"/>
        <v>-121658.99</v>
      </c>
      <c r="P2856" s="95" t="s">
        <v>155</v>
      </c>
      <c r="Q2856" s="95">
        <v>0</v>
      </c>
      <c r="R2856" s="95">
        <v>0</v>
      </c>
      <c r="S2856" s="95"/>
      <c r="T2856" s="95"/>
      <c r="U2856" s="95"/>
      <c r="V2856" s="95"/>
      <c r="W2856" s="95"/>
      <c r="X2856" s="95"/>
      <c r="Y2856" s="95"/>
      <c r="Z2856" s="95"/>
      <c r="AA2856" s="95"/>
      <c r="AB2856" s="95"/>
      <c r="AC2856" s="355"/>
      <c r="AD2856" s="355"/>
      <c r="AE2856" s="355"/>
      <c r="AF2856" s="94">
        <f t="shared" si="369"/>
        <v>43496</v>
      </c>
      <c r="AG2856" s="185">
        <f t="shared" si="372"/>
        <v>1.6884722797564589E-2</v>
      </c>
      <c r="AH2856" s="339" t="str">
        <f>VLOOKUP(B2856,'MF PF'!A:B,2)</f>
        <v>FdMgt1</v>
      </c>
      <c r="AI2856" s="358">
        <f t="shared" si="370"/>
        <v>0</v>
      </c>
      <c r="AJ2856" s="94">
        <f t="shared" si="371"/>
        <v>43496</v>
      </c>
    </row>
    <row r="2857" spans="1:36" ht="12.75" customHeight="1">
      <c r="A2857" s="94">
        <v>43329</v>
      </c>
      <c r="B2857" s="358" t="s">
        <v>273</v>
      </c>
      <c r="C2857" s="358" t="s">
        <v>375</v>
      </c>
      <c r="D2857" s="93"/>
      <c r="F2857" s="93"/>
      <c r="G2857" s="93">
        <v>276428.7702094643</v>
      </c>
      <c r="H2857" s="93"/>
      <c r="I2857" s="93"/>
      <c r="K2857" s="93"/>
      <c r="L2857" s="93">
        <f t="shared" si="367"/>
        <v>276428.7702094643</v>
      </c>
      <c r="M2857" s="95">
        <f t="shared" ca="1" si="368"/>
        <v>0</v>
      </c>
      <c r="N2857" s="95">
        <f>IF(P2857="Hedge Fund",IF(A2857=Summary!$AD$3,M2857-E2857,M2857),IF(A2857=Summary!$AD$3,L2857-D2857,L2857))</f>
        <v>276428.7702094643</v>
      </c>
      <c r="O2857" s="95">
        <f t="shared" si="373"/>
        <v>276428.7702094643</v>
      </c>
      <c r="P2857" s="107" t="s">
        <v>155</v>
      </c>
      <c r="Q2857" s="95">
        <v>0</v>
      </c>
      <c r="R2857" s="95">
        <v>0</v>
      </c>
      <c r="S2857" s="95"/>
      <c r="T2857" s="95"/>
      <c r="U2857" s="95"/>
      <c r="V2857" s="95"/>
      <c r="W2857" s="95"/>
      <c r="X2857" s="95"/>
      <c r="Y2857" s="95"/>
      <c r="Z2857" s="95"/>
      <c r="AA2857" s="95"/>
      <c r="AB2857" s="95"/>
      <c r="AC2857" s="355"/>
      <c r="AD2857" s="355"/>
      <c r="AE2857" s="355"/>
      <c r="AF2857" s="94">
        <f t="shared" si="369"/>
        <v>43329</v>
      </c>
      <c r="AG2857" s="185">
        <f t="shared" si="372"/>
        <v>-1</v>
      </c>
      <c r="AH2857" s="339" t="str">
        <f>VLOOKUP(B2857,'MF PF'!A:B,2)</f>
        <v>FdMgt1</v>
      </c>
      <c r="AI2857" s="358">
        <f t="shared" si="370"/>
        <v>0</v>
      </c>
      <c r="AJ2857" s="94">
        <f t="shared" si="371"/>
        <v>43343</v>
      </c>
    </row>
    <row r="2858" spans="1:36" ht="12.75" customHeight="1">
      <c r="A2858" s="94">
        <v>43343</v>
      </c>
      <c r="B2858" s="358" t="s">
        <v>273</v>
      </c>
      <c r="C2858" s="358" t="s">
        <v>375</v>
      </c>
      <c r="D2858" s="93">
        <v>332595.14</v>
      </c>
      <c r="F2858" s="93"/>
      <c r="G2858" s="93"/>
      <c r="H2858" s="93"/>
      <c r="I2858" s="93"/>
      <c r="K2858" s="93"/>
      <c r="L2858" s="93">
        <f t="shared" si="367"/>
        <v>0</v>
      </c>
      <c r="M2858" s="95" t="e">
        <f t="shared" ca="1" si="368"/>
        <v>#DIV/0!</v>
      </c>
      <c r="N2858" s="95">
        <f>IF(P2858="Hedge Fund",IF(A2858=Summary!$AD$3,M2858-E2858,M2858),IF(A2858=Summary!$AD$3,L2858-D2858,L2858))</f>
        <v>0</v>
      </c>
      <c r="O2858" s="95">
        <f t="shared" si="373"/>
        <v>0</v>
      </c>
      <c r="P2858" s="107" t="s">
        <v>155</v>
      </c>
      <c r="Q2858" s="95">
        <v>0</v>
      </c>
      <c r="R2858" s="95">
        <v>0</v>
      </c>
      <c r="S2858" s="95"/>
      <c r="T2858" s="95"/>
      <c r="U2858" s="95"/>
      <c r="V2858" s="95"/>
      <c r="W2858" s="95"/>
      <c r="X2858" s="95"/>
      <c r="Y2858" s="95"/>
      <c r="Z2858" s="95"/>
      <c r="AA2858" s="95"/>
      <c r="AB2858" s="95"/>
      <c r="AC2858" s="355"/>
      <c r="AD2858" s="355"/>
      <c r="AE2858" s="355"/>
      <c r="AF2858" s="94">
        <f t="shared" si="369"/>
        <v>43343</v>
      </c>
      <c r="AG2858" s="185" t="e">
        <f t="shared" si="372"/>
        <v>#DIV/0!</v>
      </c>
      <c r="AH2858" s="339" t="str">
        <f>VLOOKUP(B2858,'MF PF'!A:B,2)</f>
        <v>FdMgt1</v>
      </c>
      <c r="AI2858" s="358">
        <f t="shared" si="370"/>
        <v>0</v>
      </c>
      <c r="AJ2858" s="94">
        <f t="shared" si="371"/>
        <v>43343</v>
      </c>
    </row>
    <row r="2859" spans="1:36" ht="12.75" customHeight="1">
      <c r="A2859" s="94">
        <v>43369</v>
      </c>
      <c r="B2859" s="358" t="s">
        <v>273</v>
      </c>
      <c r="C2859" s="358" t="s">
        <v>375</v>
      </c>
      <c r="D2859" s="93"/>
      <c r="F2859" s="93"/>
      <c r="G2859" s="93">
        <v>55651.39</v>
      </c>
      <c r="H2859" s="93"/>
      <c r="I2859" s="93"/>
      <c r="K2859" s="93"/>
      <c r="L2859" s="93">
        <f t="shared" si="367"/>
        <v>55651.39</v>
      </c>
      <c r="M2859" s="95" t="e">
        <f t="shared" ca="1" si="368"/>
        <v>#DIV/0!</v>
      </c>
      <c r="N2859" s="95">
        <f>IF(P2859="Hedge Fund",IF(A2859=Summary!$AD$3,M2859-E2859,M2859),IF(A2859=Summary!$AD$3,L2859-D2859,L2859))</f>
        <v>55651.39</v>
      </c>
      <c r="O2859" s="95">
        <f t="shared" si="373"/>
        <v>55651.39</v>
      </c>
      <c r="P2859" s="107" t="s">
        <v>155</v>
      </c>
      <c r="Q2859" s="95">
        <v>0</v>
      </c>
      <c r="R2859" s="95">
        <v>0</v>
      </c>
      <c r="S2859" s="95"/>
      <c r="T2859" s="95"/>
      <c r="U2859" s="95"/>
      <c r="V2859" s="95"/>
      <c r="W2859" s="95"/>
      <c r="X2859" s="95"/>
      <c r="Y2859" s="95"/>
      <c r="Z2859" s="95"/>
      <c r="AA2859" s="95"/>
      <c r="AB2859" s="95"/>
      <c r="AC2859" s="355"/>
      <c r="AD2859" s="355"/>
      <c r="AE2859" s="355"/>
      <c r="AF2859" s="94">
        <f t="shared" si="369"/>
        <v>43369</v>
      </c>
      <c r="AG2859" s="185">
        <f t="shared" si="372"/>
        <v>-1.1673247239872477</v>
      </c>
      <c r="AH2859" s="339" t="str">
        <f>VLOOKUP(B2859,'MF PF'!A:B,2)</f>
        <v>FdMgt1</v>
      </c>
      <c r="AI2859" s="358">
        <f t="shared" si="370"/>
        <v>0</v>
      </c>
      <c r="AJ2859" s="94">
        <f t="shared" si="371"/>
        <v>43373</v>
      </c>
    </row>
    <row r="2860" spans="1:36" ht="12.75" customHeight="1">
      <c r="A2860" s="94">
        <v>43371</v>
      </c>
      <c r="B2860" s="358" t="s">
        <v>273</v>
      </c>
      <c r="C2860" s="358" t="s">
        <v>375</v>
      </c>
      <c r="D2860" s="93">
        <v>333820.7</v>
      </c>
      <c r="F2860" s="93"/>
      <c r="G2860" s="93"/>
      <c r="H2860" s="93"/>
      <c r="I2860" s="93"/>
      <c r="K2860" s="93"/>
      <c r="L2860" s="93">
        <f t="shared" si="367"/>
        <v>0</v>
      </c>
      <c r="M2860" s="95" t="e">
        <f t="shared" ca="1" si="368"/>
        <v>#DIV/0!</v>
      </c>
      <c r="N2860" s="95">
        <f>IF(P2860="Hedge Fund",IF(A2860=Summary!$AD$3,M2860-E2860,M2860),IF(A2860=Summary!$AD$3,L2860-D2860,L2860))</f>
        <v>0</v>
      </c>
      <c r="O2860" s="95">
        <f t="shared" si="373"/>
        <v>0</v>
      </c>
      <c r="P2860" s="107" t="s">
        <v>155</v>
      </c>
      <c r="Q2860" s="95">
        <v>1.3438299999999999E-3</v>
      </c>
      <c r="R2860" s="95">
        <v>3.0714999999999996E-4</v>
      </c>
      <c r="S2860" s="95"/>
      <c r="T2860" s="95"/>
      <c r="U2860" s="95"/>
      <c r="V2860" s="95"/>
      <c r="W2860" s="95"/>
      <c r="X2860" s="95"/>
      <c r="Y2860" s="95"/>
      <c r="Z2860" s="95"/>
      <c r="AA2860" s="95"/>
      <c r="AB2860" s="95"/>
      <c r="AC2860" s="355"/>
      <c r="AD2860" s="355"/>
      <c r="AE2860" s="355"/>
      <c r="AF2860" s="94">
        <f t="shared" si="369"/>
        <v>43371</v>
      </c>
      <c r="AG2860" s="185" t="e">
        <f t="shared" si="372"/>
        <v>#DIV/0!</v>
      </c>
      <c r="AH2860" s="339" t="str">
        <f>VLOOKUP(B2860,'MF PF'!A:B,2)</f>
        <v>FdMgt1</v>
      </c>
      <c r="AI2860" s="358">
        <f t="shared" si="370"/>
        <v>0</v>
      </c>
      <c r="AJ2860" s="94">
        <f t="shared" si="371"/>
        <v>43373</v>
      </c>
    </row>
    <row r="2861" spans="1:36" ht="12.75" customHeight="1">
      <c r="A2861" s="94">
        <v>43404</v>
      </c>
      <c r="B2861" s="358" t="s">
        <v>273</v>
      </c>
      <c r="C2861" s="358" t="s">
        <v>375</v>
      </c>
      <c r="D2861" s="93">
        <v>383034.77799999999</v>
      </c>
      <c r="F2861" s="93">
        <v>0.40368021000000004</v>
      </c>
      <c r="G2861" s="93">
        <v>32663.530000000013</v>
      </c>
      <c r="H2861" s="93">
        <v>0</v>
      </c>
      <c r="I2861" s="93">
        <v>0</v>
      </c>
      <c r="J2861" s="93">
        <v>0</v>
      </c>
      <c r="K2861" s="93"/>
      <c r="L2861" s="93">
        <f t="shared" si="367"/>
        <v>32663.530000000013</v>
      </c>
      <c r="M2861" s="95" t="e">
        <f t="shared" ca="1" si="368"/>
        <v>#DIV/0!</v>
      </c>
      <c r="N2861" s="95">
        <f>IF(P2861="Hedge Fund",IF(A2861=Summary!$AD$3,M2861-E2861,M2861),IF(A2861=Summary!$AD$3,L2861-D2861,L2861))</f>
        <v>32663.530000000013</v>
      </c>
      <c r="O2861" s="95">
        <f t="shared" si="373"/>
        <v>32663.530000000013</v>
      </c>
      <c r="P2861" s="95" t="s">
        <v>155</v>
      </c>
      <c r="Q2861" s="95">
        <v>1.6893278226068128E-3</v>
      </c>
      <c r="R2861" s="95">
        <v>2.5545719685803455E-3</v>
      </c>
      <c r="S2861" s="95"/>
      <c r="T2861" s="95"/>
      <c r="U2861" s="95"/>
      <c r="V2861" s="95"/>
      <c r="W2861" s="95"/>
      <c r="X2861" s="95"/>
      <c r="Y2861" s="95"/>
      <c r="Z2861" s="95"/>
      <c r="AA2861" s="95"/>
      <c r="AB2861" s="95"/>
      <c r="AC2861" s="355"/>
      <c r="AD2861" s="355"/>
      <c r="AE2861" s="355"/>
      <c r="AF2861" s="94">
        <f t="shared" si="369"/>
        <v>43404</v>
      </c>
      <c r="AG2861" s="185">
        <f t="shared" si="372"/>
        <v>4.9579154318470708E-2</v>
      </c>
      <c r="AH2861" s="339" t="str">
        <f>VLOOKUP(B2861,'MF PF'!A:B,2)</f>
        <v>FdMgt1</v>
      </c>
      <c r="AI2861" s="358">
        <f t="shared" si="370"/>
        <v>0</v>
      </c>
      <c r="AJ2861" s="94">
        <f t="shared" si="371"/>
        <v>43404</v>
      </c>
    </row>
    <row r="2862" spans="1:36" ht="12.75" customHeight="1">
      <c r="A2862" s="94">
        <v>43432</v>
      </c>
      <c r="B2862" s="358" t="s">
        <v>273</v>
      </c>
      <c r="C2862" s="358" t="s">
        <v>375</v>
      </c>
      <c r="D2862" s="93"/>
      <c r="F2862" s="93"/>
      <c r="G2862" s="93">
        <v>35121.339999999997</v>
      </c>
      <c r="H2862" s="93">
        <v>0</v>
      </c>
      <c r="I2862" s="93">
        <v>0</v>
      </c>
      <c r="K2862" s="93">
        <v>0</v>
      </c>
      <c r="L2862" s="93">
        <f t="shared" si="367"/>
        <v>35121.339999999997</v>
      </c>
      <c r="M2862" s="95" t="e">
        <f t="shared" ca="1" si="368"/>
        <v>#DIV/0!</v>
      </c>
      <c r="N2862" s="95">
        <f>IF(P2862="Hedge Fund",IF(A2862=Summary!$AD$3,M2862-E2862,M2862),IF(A2862=Summary!$AD$3,L2862-D2862,L2862))</f>
        <v>35121.339999999997</v>
      </c>
      <c r="O2862" s="95">
        <f t="shared" si="373"/>
        <v>35121.339999999997</v>
      </c>
      <c r="P2862" s="95" t="s">
        <v>155</v>
      </c>
      <c r="Q2862" s="95"/>
      <c r="R2862" s="95"/>
      <c r="S2862" s="95"/>
      <c r="T2862" s="95"/>
      <c r="U2862" s="95"/>
      <c r="V2862" s="95"/>
      <c r="W2862" s="95"/>
      <c r="X2862" s="95"/>
      <c r="Y2862" s="95"/>
      <c r="Z2862" s="95"/>
      <c r="AA2862" s="95"/>
      <c r="AB2862" s="95"/>
      <c r="AC2862" s="355"/>
      <c r="AD2862" s="355"/>
      <c r="AE2862" s="355"/>
      <c r="AF2862" s="94">
        <f t="shared" si="369"/>
        <v>43432</v>
      </c>
      <c r="AG2862" s="185">
        <f t="shared" si="372"/>
        <v>-1.0916923005879116</v>
      </c>
      <c r="AH2862" s="339" t="str">
        <f>VLOOKUP(B2862,'MF PF'!A:B,2)</f>
        <v>FdMgt1</v>
      </c>
      <c r="AI2862" s="358">
        <f t="shared" si="370"/>
        <v>0</v>
      </c>
      <c r="AJ2862" s="94">
        <f t="shared" si="371"/>
        <v>43434</v>
      </c>
    </row>
    <row r="2863" spans="1:36" ht="12.75" customHeight="1">
      <c r="A2863" s="94">
        <v>43434</v>
      </c>
      <c r="B2863" s="358" t="s">
        <v>273</v>
      </c>
      <c r="C2863" s="358" t="s">
        <v>375</v>
      </c>
      <c r="D2863" s="93">
        <v>402715.68</v>
      </c>
      <c r="F2863" s="93">
        <v>0.40368021000000004</v>
      </c>
      <c r="G2863" s="93"/>
      <c r="H2863" s="93">
        <v>0</v>
      </c>
      <c r="I2863" s="93">
        <v>0</v>
      </c>
      <c r="K2863" s="93">
        <v>0</v>
      </c>
      <c r="L2863" s="93">
        <f t="shared" si="367"/>
        <v>0</v>
      </c>
      <c r="M2863" s="95" t="e">
        <f t="shared" ca="1" si="368"/>
        <v>#DIV/0!</v>
      </c>
      <c r="N2863" s="95">
        <f>IF(P2863="Hedge Fund",IF(A2863=Summary!$AD$3,M2863-E2863,M2863),IF(A2863=Summary!$AD$3,L2863-D2863,L2863))</f>
        <v>0</v>
      </c>
      <c r="O2863" s="95">
        <f t="shared" si="373"/>
        <v>0</v>
      </c>
      <c r="P2863" s="95" t="s">
        <v>155</v>
      </c>
      <c r="Q2863" s="95">
        <v>2.39704E-3</v>
      </c>
      <c r="R2863" s="95">
        <v>5.0305496858034165E-4</v>
      </c>
      <c r="S2863" s="95"/>
      <c r="T2863" s="95"/>
      <c r="U2863" s="95"/>
      <c r="V2863" s="95"/>
      <c r="W2863" s="95"/>
      <c r="X2863" s="95"/>
      <c r="Y2863" s="95"/>
      <c r="Z2863" s="95"/>
      <c r="AA2863" s="95"/>
      <c r="AB2863" s="95"/>
      <c r="AC2863" s="355"/>
      <c r="AD2863" s="355"/>
      <c r="AE2863" s="355"/>
      <c r="AF2863" s="94">
        <f t="shared" si="369"/>
        <v>43434</v>
      </c>
      <c r="AG2863" s="185" t="e">
        <f t="shared" si="372"/>
        <v>#DIV/0!</v>
      </c>
      <c r="AH2863" s="339" t="str">
        <f>VLOOKUP(B2863,'MF PF'!A:B,2)</f>
        <v>FdMgt1</v>
      </c>
      <c r="AI2863" s="358">
        <f t="shared" si="370"/>
        <v>0</v>
      </c>
      <c r="AJ2863" s="94">
        <f t="shared" si="371"/>
        <v>43434</v>
      </c>
    </row>
    <row r="2864" spans="1:36" ht="12.75" customHeight="1">
      <c r="A2864" s="94">
        <v>43465</v>
      </c>
      <c r="B2864" s="358" t="s">
        <v>273</v>
      </c>
      <c r="C2864" s="358" t="s">
        <v>375</v>
      </c>
      <c r="D2864" s="368">
        <v>404804.94099999999</v>
      </c>
      <c r="F2864" s="93">
        <v>0.40368021000000004</v>
      </c>
      <c r="G2864" s="93"/>
      <c r="H2864" s="93">
        <v>0</v>
      </c>
      <c r="I2864" s="93">
        <v>0</v>
      </c>
      <c r="K2864" s="93">
        <v>0</v>
      </c>
      <c r="L2864" s="93">
        <f t="shared" si="367"/>
        <v>0</v>
      </c>
      <c r="M2864" s="95" t="e">
        <f t="shared" ca="1" si="368"/>
        <v>#DIV/0!</v>
      </c>
      <c r="N2864" s="95">
        <f>IF(P2864="Hedge Fund",IF(A2864=Summary!$AD$3,M2864-E2864,M2864),IF(A2864=Summary!$AD$3,L2864-D2864,L2864))</f>
        <v>0</v>
      </c>
      <c r="O2864" s="95">
        <f t="shared" si="373"/>
        <v>0</v>
      </c>
      <c r="P2864" s="95" t="s">
        <v>155</v>
      </c>
      <c r="Q2864" s="95">
        <v>-0.4082603029857047</v>
      </c>
      <c r="R2864" s="95">
        <v>0</v>
      </c>
      <c r="S2864" s="95"/>
      <c r="T2864" s="95"/>
      <c r="U2864" s="95"/>
      <c r="V2864" s="95"/>
      <c r="W2864" s="95"/>
      <c r="X2864" s="95"/>
      <c r="Y2864" s="95"/>
      <c r="Z2864" s="95"/>
      <c r="AA2864" s="95"/>
      <c r="AB2864" s="95"/>
      <c r="AC2864" s="355"/>
      <c r="AD2864" s="355"/>
      <c r="AE2864" s="355"/>
      <c r="AF2864" s="94">
        <f t="shared" si="369"/>
        <v>43465</v>
      </c>
      <c r="AG2864" s="185">
        <f t="shared" si="372"/>
        <v>5.1879306015598647E-3</v>
      </c>
      <c r="AH2864" s="339" t="str">
        <f>VLOOKUP(B2864,'MF PF'!A:B,2)</f>
        <v>FdMgt1</v>
      </c>
      <c r="AI2864" s="358">
        <f t="shared" si="370"/>
        <v>0</v>
      </c>
      <c r="AJ2864" s="94">
        <f t="shared" si="371"/>
        <v>43465</v>
      </c>
    </row>
    <row r="2865" spans="1:36" ht="12.75" customHeight="1">
      <c r="A2865" s="94">
        <v>43496</v>
      </c>
      <c r="B2865" s="358" t="s">
        <v>273</v>
      </c>
      <c r="C2865" s="358" t="s">
        <v>375</v>
      </c>
      <c r="D2865" s="93">
        <v>410288.495</v>
      </c>
      <c r="F2865" s="93">
        <v>0.39986503020946434</v>
      </c>
      <c r="G2865" s="93"/>
      <c r="H2865" s="93">
        <v>0</v>
      </c>
      <c r="I2865" s="93">
        <v>0</v>
      </c>
      <c r="K2865" s="93">
        <v>0</v>
      </c>
      <c r="L2865" s="93">
        <f t="shared" si="367"/>
        <v>0</v>
      </c>
      <c r="M2865" s="95" t="e">
        <f t="shared" ca="1" si="368"/>
        <v>#DIV/0!</v>
      </c>
      <c r="N2865" s="95">
        <f>IF(P2865="Hedge Fund",IF(A2865=Summary!$AD$3,M2865-E2865,M2865),IF(A2865=Summary!$AD$3,L2865-D2865,L2865))</f>
        <v>-410288.495</v>
      </c>
      <c r="O2865" s="95">
        <f t="shared" si="373"/>
        <v>-410288.495</v>
      </c>
      <c r="P2865" s="95" t="s">
        <v>155</v>
      </c>
      <c r="Q2865" s="95">
        <v>3.0245992388707827E-3</v>
      </c>
      <c r="R2865" s="95">
        <v>1.8394349685803434E-3</v>
      </c>
      <c r="S2865" s="95"/>
      <c r="T2865" s="95"/>
      <c r="U2865" s="95"/>
      <c r="V2865" s="95"/>
      <c r="W2865" s="95"/>
      <c r="X2865" s="95"/>
      <c r="Y2865" s="95"/>
      <c r="Z2865" s="95"/>
      <c r="AA2865" s="95"/>
      <c r="AB2865" s="95"/>
      <c r="AC2865" s="355"/>
      <c r="AD2865" s="355"/>
      <c r="AE2865" s="355"/>
      <c r="AF2865" s="94">
        <f t="shared" si="369"/>
        <v>43496</v>
      </c>
      <c r="AG2865" s="185">
        <f t="shared" si="372"/>
        <v>1.3546163706534387E-2</v>
      </c>
      <c r="AH2865" s="339" t="str">
        <f>VLOOKUP(B2865,'MF PF'!A:B,2)</f>
        <v>FdMgt1</v>
      </c>
      <c r="AI2865" s="358">
        <f t="shared" si="370"/>
        <v>0</v>
      </c>
      <c r="AJ2865" s="94">
        <f t="shared" si="371"/>
        <v>43496</v>
      </c>
    </row>
    <row r="2866" spans="1:36" s="358" customFormat="1" ht="12.75" customHeight="1">
      <c r="A2866" s="94">
        <v>43329</v>
      </c>
      <c r="B2866" s="358" t="s">
        <v>273</v>
      </c>
      <c r="C2866" s="358" t="s">
        <v>376</v>
      </c>
      <c r="D2866" s="93"/>
      <c r="E2866" s="95"/>
      <c r="F2866" s="93"/>
      <c r="G2866" s="93">
        <v>258614.24866045982</v>
      </c>
      <c r="H2866" s="93"/>
      <c r="I2866" s="93"/>
      <c r="J2866" s="93"/>
      <c r="K2866" s="93"/>
      <c r="L2866" s="93">
        <f t="shared" si="367"/>
        <v>258614.24866045982</v>
      </c>
      <c r="M2866" s="95">
        <f t="shared" ca="1" si="368"/>
        <v>0</v>
      </c>
      <c r="N2866" s="95">
        <f>IF(P2866="Hedge Fund",IF(A2866=Summary!$AD$3,M2866-E2866,M2866),IF(A2866=Summary!$AD$3,L2866-D2866,L2866))</f>
        <v>258614.24866045982</v>
      </c>
      <c r="O2866" s="95">
        <f t="shared" si="373"/>
        <v>258614.24866045982</v>
      </c>
      <c r="P2866" s="107" t="s">
        <v>155</v>
      </c>
      <c r="Q2866" s="95">
        <v>0</v>
      </c>
      <c r="R2866" s="95">
        <v>0</v>
      </c>
      <c r="S2866" s="95"/>
      <c r="T2866" s="95"/>
      <c r="U2866" s="95"/>
      <c r="V2866" s="95"/>
      <c r="W2866" s="95"/>
      <c r="X2866" s="95"/>
      <c r="Y2866" s="95"/>
      <c r="Z2866" s="95"/>
      <c r="AA2866" s="95"/>
      <c r="AB2866" s="95"/>
      <c r="AF2866" s="94">
        <f t="shared" si="369"/>
        <v>43329</v>
      </c>
      <c r="AG2866" s="185">
        <f t="shared" si="372"/>
        <v>-1</v>
      </c>
      <c r="AH2866" s="339" t="str">
        <f>VLOOKUP(B2866,'MF PF'!A:B,2)</f>
        <v>FdMgt1</v>
      </c>
      <c r="AI2866" s="358">
        <f t="shared" si="370"/>
        <v>0</v>
      </c>
      <c r="AJ2866" s="94">
        <f t="shared" si="371"/>
        <v>43343</v>
      </c>
    </row>
    <row r="2867" spans="1:36" ht="12.75" customHeight="1">
      <c r="A2867" s="94">
        <v>43343</v>
      </c>
      <c r="B2867" s="358" t="s">
        <v>273</v>
      </c>
      <c r="C2867" s="358" t="s">
        <v>376</v>
      </c>
      <c r="D2867" s="93">
        <v>311161.09000000003</v>
      </c>
      <c r="F2867" s="93"/>
      <c r="G2867" s="93"/>
      <c r="H2867" s="93"/>
      <c r="I2867" s="93"/>
      <c r="K2867" s="93"/>
      <c r="L2867" s="93">
        <f t="shared" si="367"/>
        <v>0</v>
      </c>
      <c r="M2867" s="95" t="e">
        <f t="shared" ca="1" si="368"/>
        <v>#DIV/0!</v>
      </c>
      <c r="N2867" s="95">
        <f>IF(P2867="Hedge Fund",IF(A2867=Summary!$AD$3,M2867-E2867,M2867),IF(A2867=Summary!$AD$3,L2867-D2867,L2867))</f>
        <v>0</v>
      </c>
      <c r="O2867" s="95">
        <f t="shared" si="373"/>
        <v>0</v>
      </c>
      <c r="P2867" s="107" t="s">
        <v>155</v>
      </c>
      <c r="Q2867" s="95">
        <v>0</v>
      </c>
      <c r="R2867" s="95">
        <v>0</v>
      </c>
      <c r="S2867" s="95"/>
      <c r="T2867" s="95"/>
      <c r="U2867" s="95"/>
      <c r="V2867" s="95"/>
      <c r="W2867" s="95"/>
      <c r="X2867" s="95"/>
      <c r="Y2867" s="95"/>
      <c r="Z2867" s="95"/>
      <c r="AA2867" s="95"/>
      <c r="AB2867" s="95"/>
      <c r="AC2867" s="355"/>
      <c r="AD2867" s="355"/>
      <c r="AE2867" s="355"/>
      <c r="AF2867" s="94">
        <f t="shared" si="369"/>
        <v>43343</v>
      </c>
      <c r="AG2867" s="185" t="e">
        <f t="shared" si="372"/>
        <v>#DIV/0!</v>
      </c>
      <c r="AH2867" s="339" t="str">
        <f>VLOOKUP(B2867,'MF PF'!A:B,2)</f>
        <v>FdMgt1</v>
      </c>
      <c r="AI2867" s="358">
        <f t="shared" si="370"/>
        <v>0</v>
      </c>
      <c r="AJ2867" s="94">
        <f t="shared" si="371"/>
        <v>43343</v>
      </c>
    </row>
    <row r="2868" spans="1:36" ht="12.75" customHeight="1">
      <c r="A2868" s="94">
        <v>43369</v>
      </c>
      <c r="B2868" s="358" t="s">
        <v>273</v>
      </c>
      <c r="C2868" s="358" t="s">
        <v>376</v>
      </c>
      <c r="D2868" s="93"/>
      <c r="F2868" s="93"/>
      <c r="G2868" s="93">
        <v>52064.94</v>
      </c>
      <c r="H2868" s="93"/>
      <c r="I2868" s="93"/>
      <c r="K2868" s="93"/>
      <c r="L2868" s="93">
        <f t="shared" si="367"/>
        <v>52064.94</v>
      </c>
      <c r="M2868" s="95" t="e">
        <f t="shared" ca="1" si="368"/>
        <v>#DIV/0!</v>
      </c>
      <c r="N2868" s="95">
        <f>IF(P2868="Hedge Fund",IF(A2868=Summary!$AD$3,M2868-E2868,M2868),IF(A2868=Summary!$AD$3,L2868-D2868,L2868))</f>
        <v>52064.94</v>
      </c>
      <c r="O2868" s="95">
        <f t="shared" si="373"/>
        <v>52064.94</v>
      </c>
      <c r="P2868" s="107" t="s">
        <v>155</v>
      </c>
      <c r="Q2868" s="95">
        <v>0</v>
      </c>
      <c r="R2868" s="95">
        <v>0</v>
      </c>
      <c r="S2868" s="95"/>
      <c r="T2868" s="95"/>
      <c r="U2868" s="95"/>
      <c r="V2868" s="95"/>
      <c r="W2868" s="95"/>
      <c r="X2868" s="95"/>
      <c r="Y2868" s="95"/>
      <c r="Z2868" s="95"/>
      <c r="AA2868" s="95"/>
      <c r="AB2868" s="95"/>
      <c r="AC2868" s="355"/>
      <c r="AD2868" s="355"/>
      <c r="AE2868" s="355"/>
      <c r="AF2868" s="94">
        <f t="shared" si="369"/>
        <v>43369</v>
      </c>
      <c r="AG2868" s="185">
        <f t="shared" si="372"/>
        <v>-1.1673247127396296</v>
      </c>
      <c r="AH2868" s="339" t="str">
        <f>VLOOKUP(B2868,'MF PF'!A:B,2)</f>
        <v>FdMgt1</v>
      </c>
      <c r="AI2868" s="358">
        <f t="shared" si="370"/>
        <v>0</v>
      </c>
      <c r="AJ2868" s="94">
        <f t="shared" si="371"/>
        <v>43373</v>
      </c>
    </row>
    <row r="2869" spans="1:36" ht="12.75" customHeight="1">
      <c r="A2869" s="94">
        <v>43371</v>
      </c>
      <c r="B2869" s="358" t="s">
        <v>273</v>
      </c>
      <c r="C2869" s="358" t="s">
        <v>376</v>
      </c>
      <c r="D2869" s="93">
        <v>312307.55</v>
      </c>
      <c r="F2869" s="93"/>
      <c r="G2869" s="93"/>
      <c r="H2869" s="93"/>
      <c r="I2869" s="93"/>
      <c r="K2869" s="93"/>
      <c r="L2869" s="93">
        <f t="shared" si="367"/>
        <v>0</v>
      </c>
      <c r="M2869" s="95" t="e">
        <f t="shared" ca="1" si="368"/>
        <v>#DIV/0!</v>
      </c>
      <c r="N2869" s="95">
        <f>IF(P2869="Hedge Fund",IF(A2869=Summary!$AD$3,M2869-E2869,M2869),IF(A2869=Summary!$AD$3,L2869-D2869,L2869))</f>
        <v>0</v>
      </c>
      <c r="O2869" s="95">
        <f t="shared" si="373"/>
        <v>0</v>
      </c>
      <c r="P2869" s="107" t="s">
        <v>155</v>
      </c>
      <c r="Q2869" s="95">
        <v>1.2572200000000001E-3</v>
      </c>
      <c r="R2869" s="95">
        <v>2.8736000000000001E-4</v>
      </c>
      <c r="S2869" s="95"/>
      <c r="T2869" s="95"/>
      <c r="U2869" s="95"/>
      <c r="V2869" s="95"/>
      <c r="W2869" s="95"/>
      <c r="X2869" s="95"/>
      <c r="Y2869" s="95"/>
      <c r="Z2869" s="95"/>
      <c r="AA2869" s="95"/>
      <c r="AB2869" s="95"/>
      <c r="AC2869" s="355"/>
      <c r="AD2869" s="355"/>
      <c r="AE2869" s="355"/>
      <c r="AF2869" s="94">
        <f t="shared" si="369"/>
        <v>43371</v>
      </c>
      <c r="AG2869" s="185" t="e">
        <f t="shared" si="372"/>
        <v>#DIV/0!</v>
      </c>
      <c r="AH2869" s="339" t="str">
        <f>VLOOKUP(B2869,'MF PF'!A:B,2)</f>
        <v>FdMgt1</v>
      </c>
      <c r="AI2869" s="358">
        <f t="shared" si="370"/>
        <v>0</v>
      </c>
      <c r="AJ2869" s="94">
        <f t="shared" si="371"/>
        <v>43373</v>
      </c>
    </row>
    <row r="2870" spans="1:36" ht="12.75" customHeight="1">
      <c r="A2870" s="94">
        <v>43404</v>
      </c>
      <c r="B2870" s="358" t="s">
        <v>273</v>
      </c>
      <c r="C2870" s="358" t="s">
        <v>376</v>
      </c>
      <c r="D2870" s="93">
        <v>358350.04580000002</v>
      </c>
      <c r="F2870" s="93">
        <v>0.37766508999999998</v>
      </c>
      <c r="G2870" s="93">
        <v>30558.53</v>
      </c>
      <c r="H2870" s="93">
        <v>0</v>
      </c>
      <c r="I2870" s="93">
        <v>0</v>
      </c>
      <c r="J2870" s="93">
        <v>0</v>
      </c>
      <c r="K2870" s="93"/>
      <c r="L2870" s="93">
        <f t="shared" si="367"/>
        <v>30558.53</v>
      </c>
      <c r="M2870" s="95" t="e">
        <f t="shared" ca="1" si="368"/>
        <v>#DIV/0!</v>
      </c>
      <c r="N2870" s="95">
        <f>IF(P2870="Hedge Fund",IF(A2870=Summary!$AD$3,M2870-E2870,M2870),IF(A2870=Summary!$AD$3,L2870-D2870,L2870))</f>
        <v>30558.53</v>
      </c>
      <c r="O2870" s="95">
        <f t="shared" si="373"/>
        <v>30558.53</v>
      </c>
      <c r="P2870" s="95" t="s">
        <v>155</v>
      </c>
      <c r="Q2870" s="95">
        <v>1.5804589391823695E-3</v>
      </c>
      <c r="R2870" s="95">
        <v>2.3899442009310211E-3</v>
      </c>
      <c r="S2870" s="95"/>
      <c r="T2870" s="95"/>
      <c r="U2870" s="95"/>
      <c r="V2870" s="95"/>
      <c r="W2870" s="95"/>
      <c r="X2870" s="95"/>
      <c r="Y2870" s="95"/>
      <c r="Z2870" s="95"/>
      <c r="AA2870" s="95"/>
      <c r="AB2870" s="95"/>
      <c r="AC2870" s="355"/>
      <c r="AD2870" s="355"/>
      <c r="AE2870" s="355"/>
      <c r="AF2870" s="94">
        <f t="shared" si="369"/>
        <v>43404</v>
      </c>
      <c r="AG2870" s="185">
        <f t="shared" si="372"/>
        <v>4.9579223428956709E-2</v>
      </c>
      <c r="AH2870" s="339" t="str">
        <f>VLOOKUP(B2870,'MF PF'!A:B,2)</f>
        <v>FdMgt1</v>
      </c>
      <c r="AI2870" s="358">
        <f t="shared" si="370"/>
        <v>0</v>
      </c>
      <c r="AJ2870" s="94">
        <f t="shared" si="371"/>
        <v>43404</v>
      </c>
    </row>
    <row r="2871" spans="1:36" s="358" customFormat="1" ht="12.75" customHeight="1">
      <c r="A2871" s="94">
        <v>43432</v>
      </c>
      <c r="B2871" s="358" t="s">
        <v>273</v>
      </c>
      <c r="C2871" s="358" t="s">
        <v>376</v>
      </c>
      <c r="D2871" s="93"/>
      <c r="E2871" s="95"/>
      <c r="F2871" s="93"/>
      <c r="G2871" s="93">
        <v>32858.06</v>
      </c>
      <c r="H2871" s="93">
        <v>0</v>
      </c>
      <c r="I2871" s="93">
        <v>0</v>
      </c>
      <c r="J2871" s="93"/>
      <c r="K2871" s="93">
        <v>0</v>
      </c>
      <c r="L2871" s="93">
        <f t="shared" si="367"/>
        <v>32858.06</v>
      </c>
      <c r="M2871" s="95" t="e">
        <f t="shared" ca="1" si="368"/>
        <v>#DIV/0!</v>
      </c>
      <c r="N2871" s="95">
        <f>IF(P2871="Hedge Fund",IF(A2871=Summary!$AD$3,M2871-E2871,M2871),IF(A2871=Summary!$AD$3,L2871-D2871,L2871))</f>
        <v>32858.06</v>
      </c>
      <c r="O2871" s="95">
        <f t="shared" si="373"/>
        <v>32858.06</v>
      </c>
      <c r="P2871" s="95" t="s">
        <v>155</v>
      </c>
      <c r="Q2871" s="95"/>
      <c r="R2871" s="95"/>
      <c r="S2871" s="95"/>
      <c r="T2871" s="95"/>
      <c r="U2871" s="95"/>
      <c r="V2871" s="95"/>
      <c r="W2871" s="95"/>
      <c r="X2871" s="95"/>
      <c r="Y2871" s="95"/>
      <c r="Z2871" s="95"/>
      <c r="AA2871" s="95"/>
      <c r="AB2871" s="95"/>
      <c r="AF2871" s="94">
        <f t="shared" si="369"/>
        <v>43432</v>
      </c>
      <c r="AG2871" s="185">
        <f t="shared" si="372"/>
        <v>-1.0916926351345815</v>
      </c>
      <c r="AH2871" s="339" t="str">
        <f>VLOOKUP(B2871,'MF PF'!A:B,2)</f>
        <v>FdMgt1</v>
      </c>
      <c r="AI2871" s="358">
        <f t="shared" si="370"/>
        <v>0</v>
      </c>
      <c r="AJ2871" s="94">
        <f t="shared" si="371"/>
        <v>43434</v>
      </c>
    </row>
    <row r="2872" spans="1:36" ht="12.75" customHeight="1">
      <c r="A2872" s="94">
        <v>43434</v>
      </c>
      <c r="B2872" s="358" t="s">
        <v>273</v>
      </c>
      <c r="C2872" s="358" t="s">
        <v>376</v>
      </c>
      <c r="D2872" s="93">
        <v>376762.71</v>
      </c>
      <c r="F2872" s="93">
        <v>0.37766508999999998</v>
      </c>
      <c r="G2872" s="93"/>
      <c r="H2872" s="93">
        <v>0</v>
      </c>
      <c r="I2872" s="93">
        <v>0</v>
      </c>
      <c r="K2872" s="93">
        <v>0</v>
      </c>
      <c r="L2872" s="93">
        <f t="shared" si="367"/>
        <v>0</v>
      </c>
      <c r="M2872" s="95" t="e">
        <f t="shared" ca="1" si="368"/>
        <v>#DIV/0!</v>
      </c>
      <c r="N2872" s="95">
        <f>IF(P2872="Hedge Fund",IF(A2872=Summary!$AD$3,M2872-E2872,M2872),IF(A2872=Summary!$AD$3,L2872-D2872,L2872))</f>
        <v>0</v>
      </c>
      <c r="O2872" s="95">
        <f t="shared" si="373"/>
        <v>0</v>
      </c>
      <c r="P2872" s="95" t="s">
        <v>155</v>
      </c>
      <c r="Q2872" s="95">
        <v>2.2425700000000002E-3</v>
      </c>
      <c r="R2872" s="95">
        <v>4.706357009310188E-4</v>
      </c>
      <c r="S2872" s="95"/>
      <c r="T2872" s="95"/>
      <c r="U2872" s="95"/>
      <c r="V2872" s="95"/>
      <c r="W2872" s="95"/>
      <c r="X2872" s="95"/>
      <c r="Y2872" s="95"/>
      <c r="Z2872" s="95"/>
      <c r="AA2872" s="95"/>
      <c r="AB2872" s="95"/>
      <c r="AC2872" s="355"/>
      <c r="AD2872" s="355"/>
      <c r="AE2872" s="355"/>
      <c r="AF2872" s="94">
        <f t="shared" si="369"/>
        <v>43434</v>
      </c>
      <c r="AG2872" s="185" t="e">
        <f t="shared" si="372"/>
        <v>#DIV/0!</v>
      </c>
      <c r="AH2872" s="339" t="str">
        <f>VLOOKUP(B2872,'MF PF'!A:B,2)</f>
        <v>FdMgt1</v>
      </c>
      <c r="AI2872" s="358">
        <f t="shared" si="370"/>
        <v>0</v>
      </c>
      <c r="AJ2872" s="94">
        <f t="shared" si="371"/>
        <v>43434</v>
      </c>
    </row>
    <row r="2873" spans="1:36" ht="12.75" customHeight="1">
      <c r="A2873" s="94">
        <v>43465</v>
      </c>
      <c r="B2873" s="358" t="s">
        <v>273</v>
      </c>
      <c r="C2873" s="358" t="s">
        <v>376</v>
      </c>
      <c r="D2873" s="368">
        <v>378717.34029999998</v>
      </c>
      <c r="F2873" s="93">
        <v>0.37766508999999998</v>
      </c>
      <c r="G2873" s="93"/>
      <c r="H2873" s="93">
        <v>0</v>
      </c>
      <c r="I2873" s="93">
        <v>0</v>
      </c>
      <c r="K2873" s="93">
        <v>0</v>
      </c>
      <c r="L2873" s="93">
        <f t="shared" si="367"/>
        <v>0</v>
      </c>
      <c r="M2873" s="95" t="e">
        <f t="shared" ca="1" si="368"/>
        <v>#DIV/0!</v>
      </c>
      <c r="N2873" s="95">
        <f>IF(P2873="Hedge Fund",IF(A2873=Summary!$AD$3,M2873-E2873,M2873),IF(A2873=Summary!$AD$3,L2873-D2873,L2873))</f>
        <v>0</v>
      </c>
      <c r="O2873" s="95">
        <f t="shared" si="373"/>
        <v>0</v>
      </c>
      <c r="P2873" s="95" t="s">
        <v>155</v>
      </c>
      <c r="Q2873" s="95">
        <v>-0.38195001914604965</v>
      </c>
      <c r="R2873" s="95">
        <v>0</v>
      </c>
      <c r="S2873" s="95"/>
      <c r="T2873" s="95"/>
      <c r="U2873" s="95"/>
      <c r="V2873" s="95"/>
      <c r="W2873" s="95"/>
      <c r="X2873" s="95"/>
      <c r="Y2873" s="95"/>
      <c r="Z2873" s="95"/>
      <c r="AA2873" s="95"/>
      <c r="AB2873" s="95"/>
      <c r="AC2873" s="355"/>
      <c r="AD2873" s="355"/>
      <c r="AE2873" s="355"/>
      <c r="AF2873" s="94">
        <f t="shared" si="369"/>
        <v>43465</v>
      </c>
      <c r="AG2873" s="185">
        <f t="shared" si="372"/>
        <v>5.1879611440313056E-3</v>
      </c>
      <c r="AH2873" s="339" t="str">
        <f>VLOOKUP(B2873,'MF PF'!A:B,2)</f>
        <v>FdMgt1</v>
      </c>
      <c r="AI2873" s="358">
        <f t="shared" si="370"/>
        <v>0</v>
      </c>
      <c r="AJ2873" s="94">
        <f t="shared" si="371"/>
        <v>43465</v>
      </c>
    </row>
    <row r="2874" spans="1:36" ht="12.75" customHeight="1">
      <c r="A2874" s="94">
        <v>43496</v>
      </c>
      <c r="B2874" s="358" t="s">
        <v>273</v>
      </c>
      <c r="C2874" s="358" t="s">
        <v>376</v>
      </c>
      <c r="D2874" s="93">
        <v>383847.50679999997</v>
      </c>
      <c r="F2874" s="93">
        <v>0.37409577866045984</v>
      </c>
      <c r="G2874" s="93"/>
      <c r="H2874" s="93">
        <v>0</v>
      </c>
      <c r="I2874" s="93">
        <v>0</v>
      </c>
      <c r="K2874" s="93">
        <v>0</v>
      </c>
      <c r="L2874" s="93">
        <f t="shared" si="367"/>
        <v>0</v>
      </c>
      <c r="M2874" s="95" t="e">
        <f t="shared" ca="1" si="368"/>
        <v>#DIV/0!</v>
      </c>
      <c r="N2874" s="95">
        <f>IF(P2874="Hedge Fund",IF(A2874=Summary!$AD$3,M2874-E2874,M2874),IF(A2874=Summary!$AD$3,L2874-D2874,L2874))</f>
        <v>-383847.50679999997</v>
      </c>
      <c r="O2874" s="95">
        <f t="shared" si="373"/>
        <v>-383847.50679999997</v>
      </c>
      <c r="P2874" s="95" t="s">
        <v>155</v>
      </c>
      <c r="Q2874" s="95">
        <v>2.8296793240423293E-3</v>
      </c>
      <c r="R2874" s="95">
        <v>1.7208932009310258E-3</v>
      </c>
      <c r="S2874" s="95"/>
      <c r="T2874" s="95"/>
      <c r="U2874" s="95"/>
      <c r="V2874" s="95"/>
      <c r="W2874" s="95"/>
      <c r="X2874" s="95"/>
      <c r="Y2874" s="95"/>
      <c r="Z2874" s="95"/>
      <c r="AA2874" s="95"/>
      <c r="AB2874" s="95"/>
      <c r="AC2874" s="355"/>
      <c r="AD2874" s="355"/>
      <c r="AE2874" s="355"/>
      <c r="AF2874" s="94">
        <f t="shared" si="369"/>
        <v>43496</v>
      </c>
      <c r="AG2874" s="185">
        <f t="shared" si="372"/>
        <v>1.3546162148097451E-2</v>
      </c>
      <c r="AH2874" s="339" t="str">
        <f>VLOOKUP(B2874,'MF PF'!A:B,2)</f>
        <v>FdMgt1</v>
      </c>
      <c r="AI2874" s="358">
        <f t="shared" si="370"/>
        <v>0</v>
      </c>
      <c r="AJ2874" s="94">
        <f t="shared" si="371"/>
        <v>43496</v>
      </c>
    </row>
    <row r="2875" spans="1:36" ht="12.75" customHeight="1">
      <c r="A2875" s="94">
        <v>43329</v>
      </c>
      <c r="B2875" s="358" t="s">
        <v>273</v>
      </c>
      <c r="C2875" s="358" t="s">
        <v>377</v>
      </c>
      <c r="D2875" s="93"/>
      <c r="F2875" s="93"/>
      <c r="G2875" s="93">
        <v>2676009.9033536147</v>
      </c>
      <c r="H2875" s="93"/>
      <c r="I2875" s="93"/>
      <c r="K2875" s="93"/>
      <c r="L2875" s="93">
        <f t="shared" si="367"/>
        <v>2676009.9033536147</v>
      </c>
      <c r="M2875" s="95">
        <f t="shared" ca="1" si="368"/>
        <v>0</v>
      </c>
      <c r="N2875" s="95">
        <f>IF(P2875="Hedge Fund",IF(A2875=Summary!$AD$3,M2875-E2875,M2875),IF(A2875=Summary!$AD$3,L2875-D2875,L2875))</f>
        <v>2676009.9033536147</v>
      </c>
      <c r="O2875" s="95">
        <f t="shared" si="373"/>
        <v>2676009.9033536147</v>
      </c>
      <c r="P2875" s="107" t="s">
        <v>155</v>
      </c>
      <c r="Q2875" s="95">
        <v>0</v>
      </c>
      <c r="R2875" s="95">
        <v>0</v>
      </c>
      <c r="S2875" s="95"/>
      <c r="T2875" s="95"/>
      <c r="U2875" s="95"/>
      <c r="V2875" s="95"/>
      <c r="W2875" s="95"/>
      <c r="X2875" s="95"/>
      <c r="Y2875" s="95"/>
      <c r="Z2875" s="95"/>
      <c r="AA2875" s="95"/>
      <c r="AB2875" s="95"/>
      <c r="AC2875" s="355"/>
      <c r="AD2875" s="355"/>
      <c r="AE2875" s="355"/>
      <c r="AF2875" s="94">
        <f t="shared" si="369"/>
        <v>43329</v>
      </c>
      <c r="AG2875" s="185">
        <f t="shared" si="372"/>
        <v>-1</v>
      </c>
      <c r="AH2875" s="339" t="str">
        <f>VLOOKUP(B2875,'MF PF'!A:B,2)</f>
        <v>FdMgt1</v>
      </c>
      <c r="AI2875" s="358">
        <f t="shared" si="370"/>
        <v>0</v>
      </c>
      <c r="AJ2875" s="94">
        <f t="shared" si="371"/>
        <v>43343</v>
      </c>
    </row>
    <row r="2876" spans="1:36" s="358" customFormat="1" ht="12.75" customHeight="1">
      <c r="A2876" s="94">
        <v>43343</v>
      </c>
      <c r="B2876" s="358" t="s">
        <v>273</v>
      </c>
      <c r="C2876" s="358" t="s">
        <v>377</v>
      </c>
      <c r="D2876" s="93">
        <v>3219736.85</v>
      </c>
      <c r="E2876" s="95"/>
      <c r="F2876" s="93"/>
      <c r="G2876" s="93"/>
      <c r="H2876" s="93"/>
      <c r="I2876" s="93"/>
      <c r="J2876" s="93"/>
      <c r="K2876" s="93"/>
      <c r="L2876" s="93">
        <f t="shared" si="367"/>
        <v>0</v>
      </c>
      <c r="M2876" s="95" t="e">
        <f t="shared" ca="1" si="368"/>
        <v>#DIV/0!</v>
      </c>
      <c r="N2876" s="95">
        <f>IF(P2876="Hedge Fund",IF(A2876=Summary!$AD$3,M2876-E2876,M2876),IF(A2876=Summary!$AD$3,L2876-D2876,L2876))</f>
        <v>0</v>
      </c>
      <c r="O2876" s="95">
        <f t="shared" si="373"/>
        <v>0</v>
      </c>
      <c r="P2876" s="107" t="s">
        <v>155</v>
      </c>
      <c r="Q2876" s="95">
        <v>0</v>
      </c>
      <c r="R2876" s="95">
        <v>0</v>
      </c>
      <c r="S2876" s="95"/>
      <c r="T2876" s="95"/>
      <c r="U2876" s="95"/>
      <c r="V2876" s="95"/>
      <c r="W2876" s="95"/>
      <c r="X2876" s="95"/>
      <c r="Y2876" s="95"/>
      <c r="Z2876" s="95"/>
      <c r="AA2876" s="95"/>
      <c r="AB2876" s="95"/>
      <c r="AF2876" s="94">
        <f t="shared" si="369"/>
        <v>43343</v>
      </c>
      <c r="AG2876" s="185" t="e">
        <f t="shared" si="372"/>
        <v>#DIV/0!</v>
      </c>
      <c r="AH2876" s="339" t="str">
        <f>VLOOKUP(B2876,'MF PF'!A:B,2)</f>
        <v>FdMgt1</v>
      </c>
      <c r="AI2876" s="358">
        <f t="shared" si="370"/>
        <v>0</v>
      </c>
      <c r="AJ2876" s="94">
        <f t="shared" si="371"/>
        <v>43343</v>
      </c>
    </row>
    <row r="2877" spans="1:36" ht="12.75" customHeight="1">
      <c r="A2877" s="94">
        <v>43369</v>
      </c>
      <c r="B2877" s="358" t="s">
        <v>273</v>
      </c>
      <c r="C2877" s="358" t="s">
        <v>377</v>
      </c>
      <c r="D2877" s="93"/>
      <c r="F2877" s="93"/>
      <c r="G2877" s="93">
        <v>538741.56000000006</v>
      </c>
      <c r="H2877" s="93"/>
      <c r="I2877" s="93"/>
      <c r="K2877" s="93"/>
      <c r="L2877" s="93">
        <f t="shared" si="367"/>
        <v>538741.56000000006</v>
      </c>
      <c r="M2877" s="95" t="e">
        <f t="shared" ca="1" si="368"/>
        <v>#DIV/0!</v>
      </c>
      <c r="N2877" s="95">
        <f>IF(P2877="Hedge Fund",IF(A2877=Summary!$AD$3,M2877-E2877,M2877),IF(A2877=Summary!$AD$3,L2877-D2877,L2877))</f>
        <v>538741.56000000006</v>
      </c>
      <c r="O2877" s="95">
        <f t="shared" si="373"/>
        <v>538741.56000000006</v>
      </c>
      <c r="P2877" s="107" t="s">
        <v>155</v>
      </c>
      <c r="Q2877" s="95">
        <v>0</v>
      </c>
      <c r="R2877" s="95">
        <v>0</v>
      </c>
      <c r="S2877" s="95"/>
      <c r="T2877" s="95"/>
      <c r="U2877" s="95"/>
      <c r="V2877" s="95"/>
      <c r="W2877" s="95"/>
      <c r="X2877" s="95"/>
      <c r="Y2877" s="95"/>
      <c r="Z2877" s="95"/>
      <c r="AA2877" s="95"/>
      <c r="AB2877" s="95"/>
      <c r="AC2877" s="355"/>
      <c r="AD2877" s="355"/>
      <c r="AE2877" s="355"/>
      <c r="AF2877" s="94">
        <f t="shared" si="369"/>
        <v>43369</v>
      </c>
      <c r="AG2877" s="185">
        <f t="shared" si="372"/>
        <v>-1.1673247178569888</v>
      </c>
      <c r="AH2877" s="339" t="str">
        <f>VLOOKUP(B2877,'MF PF'!A:B,2)</f>
        <v>FdMgt1</v>
      </c>
      <c r="AI2877" s="358">
        <f t="shared" si="370"/>
        <v>0</v>
      </c>
      <c r="AJ2877" s="94">
        <f t="shared" si="371"/>
        <v>43373</v>
      </c>
    </row>
    <row r="2878" spans="1:36" ht="12.75" customHeight="1">
      <c r="A2878" s="94">
        <v>43371</v>
      </c>
      <c r="B2878" s="358" t="s">
        <v>273</v>
      </c>
      <c r="C2878" s="358" t="s">
        <v>377</v>
      </c>
      <c r="D2878" s="93">
        <v>3231600.94</v>
      </c>
      <c r="E2878" s="95"/>
      <c r="F2878" s="93"/>
      <c r="G2878" s="93"/>
      <c r="H2878" s="93"/>
      <c r="I2878" s="93"/>
      <c r="K2878" s="93"/>
      <c r="L2878" s="93">
        <f t="shared" si="367"/>
        <v>0</v>
      </c>
      <c r="M2878" s="95" t="e">
        <f t="shared" ca="1" si="368"/>
        <v>#DIV/0!</v>
      </c>
      <c r="N2878" s="95">
        <f>IF(P2878="Hedge Fund",IF(A2878=Summary!$AD$3,M2878-E2878,M2878),IF(A2878=Summary!$AD$3,L2878-D2878,L2878))</f>
        <v>0</v>
      </c>
      <c r="O2878" s="95">
        <f t="shared" si="373"/>
        <v>0</v>
      </c>
      <c r="P2878" s="107" t="s">
        <v>155</v>
      </c>
      <c r="Q2878" s="95">
        <v>1.3009120000000001E-2</v>
      </c>
      <c r="R2878" s="95">
        <v>2.9734399999999999E-3</v>
      </c>
      <c r="S2878" s="95"/>
      <c r="T2878" s="95"/>
      <c r="U2878" s="95"/>
      <c r="V2878" s="95"/>
      <c r="W2878" s="95"/>
      <c r="X2878" s="95"/>
      <c r="Y2878" s="95"/>
      <c r="Z2878" s="95"/>
      <c r="AA2878" s="95"/>
      <c r="AB2878" s="95"/>
      <c r="AC2878" s="355"/>
      <c r="AD2878" s="355"/>
      <c r="AE2878" s="355"/>
      <c r="AF2878" s="94">
        <f t="shared" si="369"/>
        <v>43371</v>
      </c>
      <c r="AG2878" s="185" t="e">
        <f t="shared" si="372"/>
        <v>#DIV/0!</v>
      </c>
      <c r="AH2878" s="339" t="str">
        <f>VLOOKUP(B2878,'MF PF'!A:B,2)</f>
        <v>FdMgt1</v>
      </c>
      <c r="AI2878" s="358">
        <f t="shared" si="370"/>
        <v>0</v>
      </c>
      <c r="AJ2878" s="94">
        <f t="shared" si="371"/>
        <v>43373</v>
      </c>
    </row>
    <row r="2879" spans="1:36" ht="12.75" customHeight="1">
      <c r="A2879" s="94">
        <v>43404</v>
      </c>
      <c r="B2879" s="358" t="s">
        <v>273</v>
      </c>
      <c r="C2879" s="358" t="s">
        <v>377</v>
      </c>
      <c r="D2879" s="93">
        <v>3708025.2570000002</v>
      </c>
      <c r="F2879" s="93">
        <v>3.9078864599999998</v>
      </c>
      <c r="G2879" s="93">
        <v>316204.16999999993</v>
      </c>
      <c r="H2879" s="93">
        <v>0</v>
      </c>
      <c r="I2879" s="93">
        <v>0</v>
      </c>
      <c r="J2879" s="93">
        <v>0</v>
      </c>
      <c r="K2879" s="93"/>
      <c r="L2879" s="93">
        <f t="shared" si="367"/>
        <v>316204.16999999993</v>
      </c>
      <c r="M2879" s="95" t="e">
        <f t="shared" ca="1" si="368"/>
        <v>#DIV/0!</v>
      </c>
      <c r="N2879" s="95">
        <f>IF(P2879="Hedge Fund",IF(A2879=Summary!$AD$3,M2879-E2879,M2879),IF(A2879=Summary!$AD$3,L2879-D2879,L2879))</f>
        <v>316204.16999999993</v>
      </c>
      <c r="O2879" s="95">
        <f t="shared" si="373"/>
        <v>316204.16999999993</v>
      </c>
      <c r="P2879" s="95" t="s">
        <v>155</v>
      </c>
      <c r="Q2879" s="95">
        <v>1.6353789707124488E-2</v>
      </c>
      <c r="R2879" s="95">
        <v>2.4729912996957752E-2</v>
      </c>
      <c r="S2879" s="95"/>
      <c r="T2879" s="95"/>
      <c r="U2879" s="95"/>
      <c r="V2879" s="95"/>
      <c r="W2879" s="95"/>
      <c r="X2879" s="95"/>
      <c r="Y2879" s="95"/>
      <c r="Z2879" s="95"/>
      <c r="AA2879" s="95"/>
      <c r="AB2879" s="95"/>
      <c r="AC2879" s="355"/>
      <c r="AD2879" s="355"/>
      <c r="AE2879" s="355"/>
      <c r="AF2879" s="94">
        <f t="shared" si="369"/>
        <v>43404</v>
      </c>
      <c r="AG2879" s="185">
        <f t="shared" si="372"/>
        <v>4.9579186902947381E-2</v>
      </c>
      <c r="AH2879" s="339" t="str">
        <f>VLOOKUP(B2879,'MF PF'!A:B,2)</f>
        <v>FdMgt1</v>
      </c>
      <c r="AI2879" s="358">
        <f t="shared" si="370"/>
        <v>0</v>
      </c>
      <c r="AJ2879" s="94">
        <f t="shared" si="371"/>
        <v>43404</v>
      </c>
    </row>
    <row r="2880" spans="1:36" ht="12.75" customHeight="1">
      <c r="A2880" s="94">
        <v>43432</v>
      </c>
      <c r="B2880" s="358" t="s">
        <v>273</v>
      </c>
      <c r="C2880" s="358" t="s">
        <v>377</v>
      </c>
      <c r="D2880" s="363"/>
      <c r="F2880" s="93"/>
      <c r="G2880" s="93">
        <v>339997.38</v>
      </c>
      <c r="H2880" s="93">
        <v>0</v>
      </c>
      <c r="I2880" s="93">
        <v>0</v>
      </c>
      <c r="K2880" s="93">
        <v>0</v>
      </c>
      <c r="L2880" s="93">
        <f t="shared" si="367"/>
        <v>339997.38</v>
      </c>
      <c r="M2880" s="95" t="e">
        <f t="shared" ca="1" si="368"/>
        <v>#DIV/0!</v>
      </c>
      <c r="N2880" s="95">
        <f>IF(P2880="Hedge Fund",IF(A2880=Summary!$AD$3,M2880-E2880,M2880),IF(A2880=Summary!$AD$3,L2880-D2880,L2880))</f>
        <v>339997.38</v>
      </c>
      <c r="O2880" s="95">
        <f t="shared" si="373"/>
        <v>339997.38</v>
      </c>
      <c r="P2880" s="95" t="s">
        <v>155</v>
      </c>
      <c r="Q2880" s="95"/>
      <c r="R2880" s="95"/>
      <c r="S2880" s="95"/>
      <c r="T2880" s="95"/>
      <c r="U2880" s="95"/>
      <c r="V2880" s="95"/>
      <c r="W2880" s="95"/>
      <c r="X2880" s="95"/>
      <c r="Y2880" s="95"/>
      <c r="Z2880" s="95"/>
      <c r="AA2880" s="95"/>
      <c r="AB2880" s="95"/>
      <c r="AC2880" s="355"/>
      <c r="AD2880" s="355"/>
      <c r="AE2880" s="355"/>
      <c r="AF2880" s="94">
        <f t="shared" si="369"/>
        <v>43432</v>
      </c>
      <c r="AG2880" s="185">
        <f t="shared" si="372"/>
        <v>-1.0916923042414972</v>
      </c>
      <c r="AH2880" s="339" t="str">
        <f>VLOOKUP(B2880,'MF PF'!A:B,2)</f>
        <v>FdMgt1</v>
      </c>
      <c r="AI2880" s="358">
        <f t="shared" si="370"/>
        <v>0</v>
      </c>
      <c r="AJ2880" s="94">
        <f t="shared" si="371"/>
        <v>43434</v>
      </c>
    </row>
    <row r="2881" spans="1:36" ht="12.75" customHeight="1">
      <c r="A2881" s="94">
        <v>43434</v>
      </c>
      <c r="B2881" s="358" t="s">
        <v>273</v>
      </c>
      <c r="C2881" s="358" t="s">
        <v>377</v>
      </c>
      <c r="D2881" s="363">
        <v>3898549.09</v>
      </c>
      <c r="F2881" s="93">
        <v>3.9078864599999998</v>
      </c>
      <c r="G2881" s="93"/>
      <c r="H2881" s="93">
        <v>0</v>
      </c>
      <c r="I2881" s="93">
        <v>0</v>
      </c>
      <c r="K2881" s="93">
        <v>0</v>
      </c>
      <c r="L2881" s="93">
        <f t="shared" si="367"/>
        <v>0</v>
      </c>
      <c r="M2881" s="95" t="e">
        <f t="shared" ca="1" si="368"/>
        <v>#DIV/0!</v>
      </c>
      <c r="N2881" s="95">
        <f>IF(P2881="Hedge Fund",IF(A2881=Summary!$AD$3,M2881-E2881,M2881),IF(A2881=Summary!$AD$3,L2881-D2881,L2881))</f>
        <v>0</v>
      </c>
      <c r="O2881" s="95">
        <f t="shared" si="373"/>
        <v>0</v>
      </c>
      <c r="P2881" s="95" t="s">
        <v>155</v>
      </c>
      <c r="Q2881" s="95">
        <v>2.3204950000000002E-2</v>
      </c>
      <c r="R2881" s="95">
        <v>4.8698949969578067E-3</v>
      </c>
      <c r="S2881" s="95"/>
      <c r="T2881" s="95"/>
      <c r="U2881" s="95"/>
      <c r="V2881" s="95"/>
      <c r="W2881" s="95"/>
      <c r="X2881" s="95"/>
      <c r="Y2881" s="95"/>
      <c r="Z2881" s="95"/>
      <c r="AA2881" s="95"/>
      <c r="AB2881" s="95"/>
      <c r="AC2881" s="355"/>
      <c r="AD2881" s="355"/>
      <c r="AE2881" s="355"/>
      <c r="AF2881" s="94">
        <f t="shared" si="369"/>
        <v>43434</v>
      </c>
      <c r="AG2881" s="185" t="e">
        <f t="shared" si="372"/>
        <v>#DIV/0!</v>
      </c>
      <c r="AH2881" s="339" t="str">
        <f>VLOOKUP(B2881,'MF PF'!A:B,2)</f>
        <v>FdMgt1</v>
      </c>
      <c r="AI2881" s="358">
        <f t="shared" si="370"/>
        <v>0</v>
      </c>
      <c r="AJ2881" s="94">
        <f t="shared" si="371"/>
        <v>43434</v>
      </c>
    </row>
    <row r="2882" spans="1:36" ht="12.75" customHeight="1">
      <c r="A2882" s="94">
        <v>43465</v>
      </c>
      <c r="B2882" s="358" t="s">
        <v>273</v>
      </c>
      <c r="C2882" s="358" t="s">
        <v>377</v>
      </c>
      <c r="D2882" s="368">
        <v>3918774.5545000001</v>
      </c>
      <c r="E2882" s="95"/>
      <c r="F2882" s="93">
        <v>3.9078864599999998</v>
      </c>
      <c r="G2882" s="93"/>
      <c r="H2882" s="93">
        <v>0</v>
      </c>
      <c r="I2882" s="93">
        <v>0</v>
      </c>
      <c r="K2882" s="93">
        <v>0</v>
      </c>
      <c r="L2882" s="93">
        <f t="shared" si="367"/>
        <v>0</v>
      </c>
      <c r="M2882" s="95" t="e">
        <f t="shared" ca="1" si="368"/>
        <v>#DIV/0!</v>
      </c>
      <c r="N2882" s="95">
        <f>IF(P2882="Hedge Fund",IF(A2882=Summary!$AD$3,M2882-E2882,M2882),IF(A2882=Summary!$AD$3,L2882-D2882,L2882))</f>
        <v>0</v>
      </c>
      <c r="O2882" s="95">
        <f t="shared" si="373"/>
        <v>0</v>
      </c>
      <c r="P2882" s="95" t="s">
        <v>155</v>
      </c>
      <c r="Q2882" s="95">
        <v>-3.9522247031654003</v>
      </c>
      <c r="R2882" s="95">
        <v>0</v>
      </c>
      <c r="S2882" s="95"/>
      <c r="T2882" s="95"/>
      <c r="U2882" s="95"/>
      <c r="V2882" s="95"/>
      <c r="W2882" s="95"/>
      <c r="X2882" s="95"/>
      <c r="Y2882" s="95"/>
      <c r="Z2882" s="95"/>
      <c r="AA2882" s="95"/>
      <c r="AB2882" s="95"/>
      <c r="AC2882" s="355"/>
      <c r="AD2882" s="355"/>
      <c r="AE2882" s="355"/>
      <c r="AF2882" s="94">
        <f t="shared" si="369"/>
        <v>43465</v>
      </c>
      <c r="AG2882" s="185">
        <f t="shared" si="372"/>
        <v>5.1879466009239206E-3</v>
      </c>
      <c r="AH2882" s="339" t="str">
        <f>VLOOKUP(B2882,'MF PF'!A:B,2)</f>
        <v>FdMgt1</v>
      </c>
      <c r="AI2882" s="358">
        <f t="shared" si="370"/>
        <v>0</v>
      </c>
      <c r="AJ2882" s="94">
        <f t="shared" si="371"/>
        <v>43465</v>
      </c>
    </row>
    <row r="2883" spans="1:36" ht="12.75" customHeight="1">
      <c r="A2883" s="94">
        <v>43496</v>
      </c>
      <c r="B2883" s="358" t="s">
        <v>273</v>
      </c>
      <c r="C2883" s="358" t="s">
        <v>377</v>
      </c>
      <c r="D2883" s="93">
        <v>3971858.9075000002</v>
      </c>
      <c r="F2883" s="93">
        <v>3.8709530133536147</v>
      </c>
      <c r="G2883" s="93"/>
      <c r="H2883" s="93">
        <v>0</v>
      </c>
      <c r="I2883" s="93">
        <v>0</v>
      </c>
      <c r="K2883" s="93">
        <v>0</v>
      </c>
      <c r="L2883" s="93">
        <f t="shared" ref="L2883:L2946" si="374">G2883+H2883+I2883</f>
        <v>0</v>
      </c>
      <c r="M2883" s="95" t="e">
        <f t="shared" ref="M2883:M2946" ca="1" si="375">IF(A2883&gt;INDIRECT("A"&amp;ROW()-1),I2883/K2883,E2883)</f>
        <v>#DIV/0!</v>
      </c>
      <c r="N2883" s="95">
        <f>IF(P2883="Hedge Fund",IF(A2883=Summary!$AD$3,M2883-E2883,M2883),IF(A2883=Summary!$AD$3,L2883-D2883,L2883))</f>
        <v>-3971858.9075000002</v>
      </c>
      <c r="O2883" s="95">
        <f t="shared" si="373"/>
        <v>-3971858.9075000002</v>
      </c>
      <c r="P2883" s="95" t="s">
        <v>155</v>
      </c>
      <c r="Q2883" s="95">
        <v>2.9280083887464878E-2</v>
      </c>
      <c r="R2883" s="95">
        <v>1.7806922496957821E-2</v>
      </c>
      <c r="S2883" s="95"/>
      <c r="T2883" s="95"/>
      <c r="U2883" s="95"/>
      <c r="V2883" s="95"/>
      <c r="W2883" s="95"/>
      <c r="X2883" s="95"/>
      <c r="Y2883" s="95"/>
      <c r="Z2883" s="95"/>
      <c r="AA2883" s="95"/>
      <c r="AB2883" s="95"/>
      <c r="AC2883" s="355"/>
      <c r="AD2883" s="355"/>
      <c r="AE2883" s="355"/>
      <c r="AF2883" s="94">
        <f t="shared" ref="AF2883:AF2946" si="376">A2883</f>
        <v>43496</v>
      </c>
      <c r="AG2883" s="185">
        <f t="shared" si="372"/>
        <v>1.354616150067689E-2</v>
      </c>
      <c r="AH2883" s="339" t="str">
        <f>VLOOKUP(B2883,'MF PF'!A:B,2)</f>
        <v>FdMgt1</v>
      </c>
      <c r="AI2883" s="358">
        <f t="shared" ref="AI2883:AI2946" si="377">AF2883-A2883</f>
        <v>0</v>
      </c>
      <c r="AJ2883" s="94">
        <f t="shared" ref="AJ2883:AJ2946" si="378">EOMONTH(A2883,0)</f>
        <v>43496</v>
      </c>
    </row>
    <row r="2884" spans="1:36" ht="12.75" customHeight="1">
      <c r="A2884" s="94">
        <v>43329</v>
      </c>
      <c r="B2884" s="358" t="s">
        <v>273</v>
      </c>
      <c r="C2884" s="358" t="s">
        <v>378</v>
      </c>
      <c r="D2884" s="93"/>
      <c r="F2884" s="93"/>
      <c r="G2884" s="93">
        <v>187965.91718211613</v>
      </c>
      <c r="H2884" s="93"/>
      <c r="I2884" s="93"/>
      <c r="K2884" s="93"/>
      <c r="L2884" s="93">
        <f t="shared" si="374"/>
        <v>187965.91718211613</v>
      </c>
      <c r="M2884" s="95">
        <f t="shared" ca="1" si="375"/>
        <v>0</v>
      </c>
      <c r="N2884" s="95">
        <f>IF(P2884="Hedge Fund",IF(A2884=Summary!$AD$3,M2884-E2884,M2884),IF(A2884=Summary!$AD$3,L2884-D2884,L2884))</f>
        <v>187965.91718211613</v>
      </c>
      <c r="O2884" s="95">
        <f t="shared" si="373"/>
        <v>187965.91718211613</v>
      </c>
      <c r="P2884" s="107" t="s">
        <v>155</v>
      </c>
      <c r="Q2884" s="95">
        <v>0</v>
      </c>
      <c r="R2884" s="95">
        <v>0</v>
      </c>
      <c r="S2884" s="95"/>
      <c r="T2884" s="95"/>
      <c r="U2884" s="95"/>
      <c r="V2884" s="95"/>
      <c r="W2884" s="95"/>
      <c r="X2884" s="95"/>
      <c r="Y2884" s="95"/>
      <c r="Z2884" s="95"/>
      <c r="AA2884" s="95"/>
      <c r="AB2884" s="95"/>
      <c r="AC2884" s="355"/>
      <c r="AD2884" s="355"/>
      <c r="AE2884" s="355"/>
      <c r="AF2884" s="94">
        <f t="shared" si="376"/>
        <v>43329</v>
      </c>
      <c r="AG2884" s="185">
        <f t="shared" si="372"/>
        <v>-1</v>
      </c>
      <c r="AH2884" s="339" t="str">
        <f>VLOOKUP(B2884,'MF PF'!A:B,2)</f>
        <v>FdMgt1</v>
      </c>
      <c r="AI2884" s="358">
        <f t="shared" si="377"/>
        <v>0</v>
      </c>
      <c r="AJ2884" s="94">
        <f t="shared" si="378"/>
        <v>43343</v>
      </c>
    </row>
    <row r="2885" spans="1:36" ht="12.75" customHeight="1">
      <c r="A2885" s="94">
        <v>43343</v>
      </c>
      <c r="B2885" s="358" t="s">
        <v>273</v>
      </c>
      <c r="C2885" s="358" t="s">
        <v>378</v>
      </c>
      <c r="D2885" s="93">
        <v>226157.86</v>
      </c>
      <c r="F2885" s="93"/>
      <c r="G2885" s="93"/>
      <c r="H2885" s="93"/>
      <c r="I2885" s="93"/>
      <c r="K2885" s="93"/>
      <c r="L2885" s="93">
        <f t="shared" si="374"/>
        <v>0</v>
      </c>
      <c r="M2885" s="95" t="e">
        <f t="shared" ca="1" si="375"/>
        <v>#DIV/0!</v>
      </c>
      <c r="N2885" s="95">
        <f>IF(P2885="Hedge Fund",IF(A2885=Summary!$AD$3,M2885-E2885,M2885),IF(A2885=Summary!$AD$3,L2885-D2885,L2885))</f>
        <v>0</v>
      </c>
      <c r="O2885" s="95">
        <f t="shared" si="373"/>
        <v>0</v>
      </c>
      <c r="P2885" s="107" t="s">
        <v>155</v>
      </c>
      <c r="Q2885" s="95">
        <v>0</v>
      </c>
      <c r="R2885" s="95">
        <v>0</v>
      </c>
      <c r="S2885" s="95"/>
      <c r="T2885" s="95"/>
      <c r="U2885" s="95"/>
      <c r="V2885" s="95"/>
      <c r="W2885" s="95"/>
      <c r="X2885" s="95"/>
      <c r="Y2885" s="95"/>
      <c r="Z2885" s="95"/>
      <c r="AA2885" s="95"/>
      <c r="AB2885" s="95"/>
      <c r="AC2885" s="355"/>
      <c r="AD2885" s="355"/>
      <c r="AE2885" s="355"/>
      <c r="AF2885" s="94">
        <f t="shared" si="376"/>
        <v>43343</v>
      </c>
      <c r="AG2885" s="185" t="e">
        <f t="shared" si="372"/>
        <v>#DIV/0!</v>
      </c>
      <c r="AH2885" s="339" t="str">
        <f>VLOOKUP(B2885,'MF PF'!A:B,2)</f>
        <v>FdMgt1</v>
      </c>
      <c r="AI2885" s="358">
        <f t="shared" si="377"/>
        <v>0</v>
      </c>
      <c r="AJ2885" s="94">
        <f t="shared" si="378"/>
        <v>43343</v>
      </c>
    </row>
    <row r="2886" spans="1:36" ht="12.75" customHeight="1">
      <c r="A2886" s="94">
        <v>43369</v>
      </c>
      <c r="B2886" s="358" t="s">
        <v>273</v>
      </c>
      <c r="C2886" s="358" t="s">
        <v>378</v>
      </c>
      <c r="D2886" s="93"/>
      <c r="F2886" s="93"/>
      <c r="G2886" s="93">
        <v>37841.800000000003</v>
      </c>
      <c r="H2886" s="93"/>
      <c r="I2886" s="93"/>
      <c r="K2886" s="93"/>
      <c r="L2886" s="93">
        <f t="shared" si="374"/>
        <v>37841.800000000003</v>
      </c>
      <c r="M2886" s="95" t="e">
        <f t="shared" ca="1" si="375"/>
        <v>#DIV/0!</v>
      </c>
      <c r="N2886" s="95">
        <f>IF(P2886="Hedge Fund",IF(A2886=Summary!$AD$3,M2886-E2886,M2886),IF(A2886=Summary!$AD$3,L2886-D2886,L2886))</f>
        <v>37841.800000000003</v>
      </c>
      <c r="O2886" s="95">
        <f t="shared" si="373"/>
        <v>37841.800000000003</v>
      </c>
      <c r="P2886" s="107" t="s">
        <v>155</v>
      </c>
      <c r="Q2886" s="95">
        <v>0</v>
      </c>
      <c r="R2886" s="95">
        <v>0</v>
      </c>
      <c r="S2886" s="95"/>
      <c r="T2886" s="95"/>
      <c r="U2886" s="95"/>
      <c r="V2886" s="95"/>
      <c r="W2886" s="95"/>
      <c r="X2886" s="95"/>
      <c r="Y2886" s="95"/>
      <c r="Z2886" s="95"/>
      <c r="AA2886" s="95"/>
      <c r="AB2886" s="95"/>
      <c r="AC2886" s="355"/>
      <c r="AD2886" s="355"/>
      <c r="AE2886" s="355"/>
      <c r="AF2886" s="94">
        <f t="shared" si="376"/>
        <v>43369</v>
      </c>
      <c r="AG2886" s="185">
        <f t="shared" si="372"/>
        <v>-1.1673247173456629</v>
      </c>
      <c r="AH2886" s="339" t="str">
        <f>VLOOKUP(B2886,'MF PF'!A:B,2)</f>
        <v>FdMgt1</v>
      </c>
      <c r="AI2886" s="358">
        <f t="shared" si="377"/>
        <v>0</v>
      </c>
      <c r="AJ2886" s="94">
        <f t="shared" si="378"/>
        <v>43373</v>
      </c>
    </row>
    <row r="2887" spans="1:36" ht="12.75" customHeight="1">
      <c r="A2887" s="94">
        <v>43371</v>
      </c>
      <c r="B2887" s="358" t="s">
        <v>273</v>
      </c>
      <c r="C2887" s="358" t="s">
        <v>378</v>
      </c>
      <c r="D2887" s="93">
        <v>226991.24</v>
      </c>
      <c r="F2887" s="93"/>
      <c r="G2887" s="93"/>
      <c r="H2887" s="93"/>
      <c r="I2887" s="93"/>
      <c r="K2887" s="93"/>
      <c r="L2887" s="93">
        <f t="shared" si="374"/>
        <v>0</v>
      </c>
      <c r="M2887" s="95" t="e">
        <f t="shared" ca="1" si="375"/>
        <v>#DIV/0!</v>
      </c>
      <c r="N2887" s="95">
        <f>IF(P2887="Hedge Fund",IF(A2887=Summary!$AD$3,M2887-E2887,M2887),IF(A2887=Summary!$AD$3,L2887-D2887,L2887))</f>
        <v>0</v>
      </c>
      <c r="O2887" s="95">
        <f t="shared" si="373"/>
        <v>0</v>
      </c>
      <c r="P2887" s="107" t="s">
        <v>155</v>
      </c>
      <c r="Q2887" s="95">
        <v>9.1376999999999995E-4</v>
      </c>
      <c r="R2887" s="95">
        <v>2.0886E-4</v>
      </c>
      <c r="S2887" s="95"/>
      <c r="T2887" s="95"/>
      <c r="U2887" s="95"/>
      <c r="V2887" s="95"/>
      <c r="W2887" s="95"/>
      <c r="X2887" s="95"/>
      <c r="Y2887" s="95"/>
      <c r="Z2887" s="95"/>
      <c r="AA2887" s="95"/>
      <c r="AB2887" s="95"/>
      <c r="AC2887" s="355"/>
      <c r="AD2887" s="355"/>
      <c r="AE2887" s="355"/>
      <c r="AF2887" s="94">
        <f t="shared" si="376"/>
        <v>43371</v>
      </c>
      <c r="AG2887" s="185" t="e">
        <f t="shared" si="372"/>
        <v>#DIV/0!</v>
      </c>
      <c r="AH2887" s="339" t="str">
        <f>VLOOKUP(B2887,'MF PF'!A:B,2)</f>
        <v>FdMgt1</v>
      </c>
      <c r="AI2887" s="358">
        <f t="shared" si="377"/>
        <v>0</v>
      </c>
      <c r="AJ2887" s="94">
        <f t="shared" si="378"/>
        <v>43373</v>
      </c>
    </row>
    <row r="2888" spans="1:36" ht="12.75" customHeight="1">
      <c r="A2888" s="94">
        <v>43404</v>
      </c>
      <c r="B2888" s="358" t="s">
        <v>273</v>
      </c>
      <c r="C2888" s="358" t="s">
        <v>378</v>
      </c>
      <c r="D2888" s="93">
        <v>260455.8126</v>
      </c>
      <c r="E2888" s="95"/>
      <c r="F2888" s="93">
        <v>0.27449425</v>
      </c>
      <c r="G2888" s="93">
        <v>22210.53</v>
      </c>
      <c r="H2888" s="93">
        <v>0</v>
      </c>
      <c r="I2888" s="93">
        <v>0</v>
      </c>
      <c r="J2888" s="93">
        <v>0</v>
      </c>
      <c r="K2888" s="93"/>
      <c r="L2888" s="93">
        <f t="shared" si="374"/>
        <v>22210.53</v>
      </c>
      <c r="M2888" s="95" t="e">
        <f t="shared" ca="1" si="375"/>
        <v>#DIV/0!</v>
      </c>
      <c r="N2888" s="95">
        <f>IF(P2888="Hedge Fund",IF(A2888=Summary!$AD$3,M2888-E2888,M2888),IF(A2888=Summary!$AD$3,L2888-D2888,L2888))</f>
        <v>22210.53</v>
      </c>
      <c r="O2888" s="95">
        <f t="shared" si="373"/>
        <v>22210.53</v>
      </c>
      <c r="P2888" s="95" t="s">
        <v>155</v>
      </c>
      <c r="Q2888" s="95">
        <v>1.148708324366896E-3</v>
      </c>
      <c r="R2888" s="95">
        <v>1.7370574226825877E-3</v>
      </c>
      <c r="S2888" s="95"/>
      <c r="T2888" s="95"/>
      <c r="U2888" s="95"/>
      <c r="V2888" s="95"/>
      <c r="W2888" s="95"/>
      <c r="X2888" s="95"/>
      <c r="Y2888" s="95"/>
      <c r="Z2888" s="95"/>
      <c r="AA2888" s="95"/>
      <c r="AB2888" s="95"/>
      <c r="AC2888" s="355"/>
      <c r="AD2888" s="355"/>
      <c r="AE2888" s="355"/>
      <c r="AF2888" s="94">
        <f t="shared" si="376"/>
        <v>43404</v>
      </c>
      <c r="AG2888" s="185">
        <f t="shared" si="372"/>
        <v>4.9579193452575554E-2</v>
      </c>
      <c r="AH2888" s="339" t="str">
        <f>VLOOKUP(B2888,'MF PF'!A:B,2)</f>
        <v>FdMgt1</v>
      </c>
      <c r="AI2888" s="358">
        <f t="shared" si="377"/>
        <v>0</v>
      </c>
      <c r="AJ2888" s="94">
        <f t="shared" si="378"/>
        <v>43404</v>
      </c>
    </row>
    <row r="2889" spans="1:36" ht="12.75" customHeight="1">
      <c r="A2889" s="94">
        <v>43432</v>
      </c>
      <c r="B2889" s="358" t="s">
        <v>273</v>
      </c>
      <c r="C2889" s="358" t="s">
        <v>378</v>
      </c>
      <c r="D2889" s="93"/>
      <c r="F2889" s="93"/>
      <c r="G2889" s="93">
        <v>23881.759999999998</v>
      </c>
      <c r="H2889" s="93">
        <v>0</v>
      </c>
      <c r="I2889" s="93">
        <v>0</v>
      </c>
      <c r="K2889" s="93">
        <v>0</v>
      </c>
      <c r="L2889" s="93">
        <f t="shared" si="374"/>
        <v>23881.759999999998</v>
      </c>
      <c r="M2889" s="95" t="e">
        <f t="shared" ca="1" si="375"/>
        <v>#DIV/0!</v>
      </c>
      <c r="N2889" s="95">
        <f>IF(P2889="Hedge Fund",IF(A2889=Summary!$AD$3,M2889-E2889,M2889),IF(A2889=Summary!$AD$3,L2889-D2889,L2889))</f>
        <v>23881.759999999998</v>
      </c>
      <c r="O2889" s="95">
        <f t="shared" si="373"/>
        <v>23881.759999999998</v>
      </c>
      <c r="P2889" s="95" t="s">
        <v>155</v>
      </c>
      <c r="Q2889" s="95"/>
      <c r="R2889" s="95"/>
      <c r="S2889" s="95"/>
      <c r="T2889" s="95"/>
      <c r="U2889" s="95"/>
      <c r="V2889" s="95"/>
      <c r="W2889" s="95"/>
      <c r="X2889" s="95"/>
      <c r="Y2889" s="95"/>
      <c r="Z2889" s="95"/>
      <c r="AA2889" s="95"/>
      <c r="AB2889" s="95"/>
      <c r="AC2889" s="355"/>
      <c r="AD2889" s="355"/>
      <c r="AE2889" s="355"/>
      <c r="AF2889" s="94">
        <f t="shared" si="376"/>
        <v>43432</v>
      </c>
      <c r="AG2889" s="185">
        <f t="shared" si="372"/>
        <v>-1.0916921751970146</v>
      </c>
      <c r="AH2889" s="339" t="str">
        <f>VLOOKUP(B2889,'MF PF'!A:B,2)</f>
        <v>FdMgt1</v>
      </c>
      <c r="AI2889" s="358">
        <f t="shared" si="377"/>
        <v>0</v>
      </c>
      <c r="AJ2889" s="94">
        <f t="shared" si="378"/>
        <v>43434</v>
      </c>
    </row>
    <row r="2890" spans="1:36" ht="12.75" customHeight="1">
      <c r="A2890" s="94">
        <v>43434</v>
      </c>
      <c r="B2890" s="358" t="s">
        <v>273</v>
      </c>
      <c r="C2890" s="358" t="s">
        <v>378</v>
      </c>
      <c r="D2890" s="93">
        <v>273838.39</v>
      </c>
      <c r="F2890" s="93">
        <v>0.27449425</v>
      </c>
      <c r="G2890" s="93"/>
      <c r="H2890" s="93">
        <v>0</v>
      </c>
      <c r="I2890" s="93">
        <v>0</v>
      </c>
      <c r="K2890" s="93">
        <v>0</v>
      </c>
      <c r="L2890" s="93">
        <f t="shared" si="374"/>
        <v>0</v>
      </c>
      <c r="M2890" s="95" t="e">
        <f t="shared" ca="1" si="375"/>
        <v>#DIV/0!</v>
      </c>
      <c r="N2890" s="95">
        <f>IF(P2890="Hedge Fund",IF(A2890=Summary!$AD$3,M2890-E2890,M2890),IF(A2890=Summary!$AD$3,L2890-D2890,L2890))</f>
        <v>0</v>
      </c>
      <c r="O2890" s="95">
        <f t="shared" si="373"/>
        <v>0</v>
      </c>
      <c r="P2890" s="95" t="s">
        <v>155</v>
      </c>
      <c r="Q2890" s="95">
        <v>1.6299400000000001E-3</v>
      </c>
      <c r="R2890" s="95">
        <v>3.4206792268258869E-4</v>
      </c>
      <c r="S2890" s="95"/>
      <c r="T2890" s="95"/>
      <c r="U2890" s="95"/>
      <c r="V2890" s="95"/>
      <c r="W2890" s="95"/>
      <c r="X2890" s="95"/>
      <c r="Y2890" s="95"/>
      <c r="Z2890" s="95"/>
      <c r="AA2890" s="95"/>
      <c r="AB2890" s="95"/>
      <c r="AC2890" s="355"/>
      <c r="AD2890" s="355"/>
      <c r="AE2890" s="355"/>
      <c r="AF2890" s="94">
        <f t="shared" si="376"/>
        <v>43434</v>
      </c>
      <c r="AG2890" s="185" t="e">
        <f t="shared" si="372"/>
        <v>#DIV/0!</v>
      </c>
      <c r="AH2890" s="339" t="str">
        <f>VLOOKUP(B2890,'MF PF'!A:B,2)</f>
        <v>FdMgt1</v>
      </c>
      <c r="AI2890" s="358">
        <f t="shared" si="377"/>
        <v>0</v>
      </c>
      <c r="AJ2890" s="94">
        <f t="shared" si="378"/>
        <v>43434</v>
      </c>
    </row>
    <row r="2891" spans="1:36" ht="12.75" customHeight="1">
      <c r="A2891" s="94">
        <v>43465</v>
      </c>
      <c r="B2891" s="358" t="s">
        <v>273</v>
      </c>
      <c r="C2891" s="358" t="s">
        <v>378</v>
      </c>
      <c r="D2891" s="368">
        <v>275259.04810000001</v>
      </c>
      <c r="F2891" s="93">
        <v>0.27449425</v>
      </c>
      <c r="G2891" s="93"/>
      <c r="H2891" s="93">
        <v>0</v>
      </c>
      <c r="I2891" s="93">
        <v>0</v>
      </c>
      <c r="K2891" s="93">
        <v>0</v>
      </c>
      <c r="L2891" s="93">
        <f t="shared" si="374"/>
        <v>0</v>
      </c>
      <c r="M2891" s="95" t="e">
        <f t="shared" ca="1" si="375"/>
        <v>#DIV/0!</v>
      </c>
      <c r="N2891" s="95">
        <f>IF(P2891="Hedge Fund",IF(A2891=Summary!$AD$3,M2891-E2891,M2891),IF(A2891=Summary!$AD$3,L2891-D2891,L2891))</f>
        <v>0</v>
      </c>
      <c r="O2891" s="95">
        <f t="shared" si="373"/>
        <v>0</v>
      </c>
      <c r="P2891" s="95" t="s">
        <v>155</v>
      </c>
      <c r="Q2891" s="95">
        <v>-0.27760862020592403</v>
      </c>
      <c r="R2891" s="95">
        <v>0</v>
      </c>
      <c r="S2891" s="95"/>
      <c r="T2891" s="95"/>
      <c r="U2891" s="95"/>
      <c r="V2891" s="95"/>
      <c r="W2891" s="95"/>
      <c r="X2891" s="95"/>
      <c r="Y2891" s="95"/>
      <c r="Z2891" s="95"/>
      <c r="AA2891" s="95"/>
      <c r="AB2891" s="95"/>
      <c r="AC2891" s="355"/>
      <c r="AD2891" s="355"/>
      <c r="AE2891" s="355"/>
      <c r="AF2891" s="94">
        <f t="shared" si="376"/>
        <v>43465</v>
      </c>
      <c r="AG2891" s="185">
        <f t="shared" si="372"/>
        <v>5.1879435166122256E-3</v>
      </c>
      <c r="AH2891" s="339" t="str">
        <f>VLOOKUP(B2891,'MF PF'!A:B,2)</f>
        <v>FdMgt1</v>
      </c>
      <c r="AI2891" s="358">
        <f t="shared" si="377"/>
        <v>0</v>
      </c>
      <c r="AJ2891" s="94">
        <f t="shared" si="378"/>
        <v>43465</v>
      </c>
    </row>
    <row r="2892" spans="1:36" ht="12.75" customHeight="1">
      <c r="A2892" s="94">
        <v>43496</v>
      </c>
      <c r="B2892" s="358" t="s">
        <v>273</v>
      </c>
      <c r="C2892" s="358" t="s">
        <v>378</v>
      </c>
      <c r="D2892" s="93">
        <v>278987.75160000002</v>
      </c>
      <c r="F2892" s="93">
        <v>0.2719000071821161</v>
      </c>
      <c r="G2892" s="93"/>
      <c r="H2892" s="93">
        <v>0</v>
      </c>
      <c r="I2892" s="93">
        <v>0</v>
      </c>
      <c r="K2892" s="93">
        <v>0</v>
      </c>
      <c r="L2892" s="93">
        <f t="shared" si="374"/>
        <v>0</v>
      </c>
      <c r="M2892" s="95" t="e">
        <f t="shared" ca="1" si="375"/>
        <v>#DIV/0!</v>
      </c>
      <c r="N2892" s="95">
        <f>IF(P2892="Hedge Fund",IF(A2892=Summary!$AD$3,M2892-E2892,M2892),IF(A2892=Summary!$AD$3,L2892-D2892,L2892))</f>
        <v>-278987.75160000002</v>
      </c>
      <c r="O2892" s="95">
        <f t="shared" si="373"/>
        <v>-278987.75160000002</v>
      </c>
      <c r="P2892" s="95" t="s">
        <v>155</v>
      </c>
      <c r="Q2892" s="95">
        <v>2.0566653481091045E-3</v>
      </c>
      <c r="R2892" s="95">
        <v>1.2507784226825898E-3</v>
      </c>
      <c r="S2892" s="95"/>
      <c r="T2892" s="95"/>
      <c r="U2892" s="95"/>
      <c r="V2892" s="95"/>
      <c r="W2892" s="95"/>
      <c r="X2892" s="95"/>
      <c r="Y2892" s="95"/>
      <c r="Z2892" s="95"/>
      <c r="AA2892" s="95"/>
      <c r="AB2892" s="95"/>
      <c r="AC2892" s="355"/>
      <c r="AD2892" s="355"/>
      <c r="AE2892" s="355"/>
      <c r="AF2892" s="94">
        <f t="shared" si="376"/>
        <v>43496</v>
      </c>
      <c r="AG2892" s="185">
        <f t="shared" si="372"/>
        <v>1.3546161427708592E-2</v>
      </c>
      <c r="AH2892" s="339" t="str">
        <f>VLOOKUP(B2892,'MF PF'!A:B,2)</f>
        <v>FdMgt1</v>
      </c>
      <c r="AI2892" s="358">
        <f t="shared" si="377"/>
        <v>0</v>
      </c>
      <c r="AJ2892" s="94">
        <f t="shared" si="378"/>
        <v>43496</v>
      </c>
    </row>
    <row r="2893" spans="1:36" ht="12.75" customHeight="1">
      <c r="A2893" s="94">
        <v>43329</v>
      </c>
      <c r="B2893" s="358" t="s">
        <v>273</v>
      </c>
      <c r="C2893" s="358" t="s">
        <v>379</v>
      </c>
      <c r="D2893" s="93"/>
      <c r="F2893" s="93"/>
      <c r="G2893" s="93">
        <v>136270.74163617956</v>
      </c>
      <c r="H2893" s="93"/>
      <c r="I2893" s="93"/>
      <c r="K2893" s="93"/>
      <c r="L2893" s="93">
        <f t="shared" si="374"/>
        <v>136270.74163617956</v>
      </c>
      <c r="M2893" s="95">
        <f t="shared" ca="1" si="375"/>
        <v>0</v>
      </c>
      <c r="N2893" s="95">
        <f>IF(P2893="Hedge Fund",IF(A2893=Summary!$AD$3,M2893-E2893,M2893),IF(A2893=Summary!$AD$3,L2893-D2893,L2893))</f>
        <v>136270.74163617956</v>
      </c>
      <c r="O2893" s="95">
        <f t="shared" si="373"/>
        <v>136270.74163617956</v>
      </c>
      <c r="P2893" s="107" t="s">
        <v>155</v>
      </c>
      <c r="Q2893" s="95">
        <v>0</v>
      </c>
      <c r="R2893" s="95">
        <v>0</v>
      </c>
      <c r="S2893" s="95"/>
      <c r="T2893" s="95"/>
      <c r="U2893" s="95"/>
      <c r="V2893" s="95"/>
      <c r="W2893" s="95"/>
      <c r="X2893" s="95"/>
      <c r="Y2893" s="95"/>
      <c r="Z2893" s="95"/>
      <c r="AA2893" s="95"/>
      <c r="AB2893" s="95"/>
      <c r="AC2893" s="355"/>
      <c r="AD2893" s="355"/>
      <c r="AE2893" s="355"/>
      <c r="AF2893" s="94">
        <f t="shared" si="376"/>
        <v>43329</v>
      </c>
      <c r="AG2893" s="185">
        <f t="shared" si="372"/>
        <v>-1</v>
      </c>
      <c r="AH2893" s="339" t="str">
        <f>VLOOKUP(B2893,'MF PF'!A:B,2)</f>
        <v>FdMgt1</v>
      </c>
      <c r="AI2893" s="358">
        <f t="shared" si="377"/>
        <v>0</v>
      </c>
      <c r="AJ2893" s="94">
        <f t="shared" si="378"/>
        <v>43343</v>
      </c>
    </row>
    <row r="2894" spans="1:36" ht="12.75" customHeight="1">
      <c r="A2894" s="94">
        <v>43343</v>
      </c>
      <c r="B2894" s="358" t="s">
        <v>273</v>
      </c>
      <c r="C2894" s="358" t="s">
        <v>379</v>
      </c>
      <c r="D2894" s="93">
        <v>163958.82</v>
      </c>
      <c r="F2894" s="93"/>
      <c r="G2894" s="93"/>
      <c r="H2894" s="93"/>
      <c r="I2894" s="93"/>
      <c r="K2894" s="93"/>
      <c r="L2894" s="93">
        <f t="shared" si="374"/>
        <v>0</v>
      </c>
      <c r="M2894" s="95" t="e">
        <f t="shared" ca="1" si="375"/>
        <v>#DIV/0!</v>
      </c>
      <c r="N2894" s="95">
        <f>IF(P2894="Hedge Fund",IF(A2894=Summary!$AD$3,M2894-E2894,M2894),IF(A2894=Summary!$AD$3,L2894-D2894,L2894))</f>
        <v>0</v>
      </c>
      <c r="O2894" s="95">
        <f t="shared" si="373"/>
        <v>0</v>
      </c>
      <c r="P2894" s="107" t="s">
        <v>155</v>
      </c>
      <c r="Q2894" s="95">
        <v>0</v>
      </c>
      <c r="R2894" s="95">
        <v>0</v>
      </c>
      <c r="S2894" s="95"/>
      <c r="T2894" s="95"/>
      <c r="U2894" s="95"/>
      <c r="V2894" s="95"/>
      <c r="W2894" s="95"/>
      <c r="X2894" s="95"/>
      <c r="Y2894" s="95"/>
      <c r="Z2894" s="95"/>
      <c r="AA2894" s="95"/>
      <c r="AB2894" s="95"/>
      <c r="AC2894" s="355"/>
      <c r="AD2894" s="355"/>
      <c r="AE2894" s="355"/>
      <c r="AF2894" s="94">
        <f t="shared" si="376"/>
        <v>43343</v>
      </c>
      <c r="AG2894" s="185" t="e">
        <f t="shared" ref="AG2894:AG2957" si="379">IF(C2894&lt;&gt;C2893,D2894/G2894-1,(D2894-G2894-I2894-H2894)/(D2893)-1)</f>
        <v>#DIV/0!</v>
      </c>
      <c r="AH2894" s="339" t="str">
        <f>VLOOKUP(B2894,'MF PF'!A:B,2)</f>
        <v>FdMgt1</v>
      </c>
      <c r="AI2894" s="358">
        <f t="shared" si="377"/>
        <v>0</v>
      </c>
      <c r="AJ2894" s="94">
        <f t="shared" si="378"/>
        <v>43343</v>
      </c>
    </row>
    <row r="2895" spans="1:36" ht="12.75" customHeight="1">
      <c r="A2895" s="94">
        <v>43369</v>
      </c>
      <c r="B2895" s="358" t="s">
        <v>273</v>
      </c>
      <c r="C2895" s="358" t="s">
        <v>379</v>
      </c>
      <c r="D2895" s="93"/>
      <c r="F2895" s="93"/>
      <c r="G2895" s="93">
        <v>27434.36</v>
      </c>
      <c r="H2895" s="93"/>
      <c r="I2895" s="93"/>
      <c r="K2895" s="93"/>
      <c r="L2895" s="93">
        <f t="shared" si="374"/>
        <v>27434.36</v>
      </c>
      <c r="M2895" s="95" t="e">
        <f t="shared" ca="1" si="375"/>
        <v>#DIV/0!</v>
      </c>
      <c r="N2895" s="95">
        <f>IF(P2895="Hedge Fund",IF(A2895=Summary!$AD$3,M2895-E2895,M2895),IF(A2895=Summary!$AD$3,L2895-D2895,L2895))</f>
        <v>27434.36</v>
      </c>
      <c r="O2895" s="95">
        <f t="shared" si="373"/>
        <v>27434.36</v>
      </c>
      <c r="P2895" s="107" t="s">
        <v>155</v>
      </c>
      <c r="Q2895" s="95">
        <v>0</v>
      </c>
      <c r="R2895" s="95">
        <v>0</v>
      </c>
      <c r="S2895" s="95"/>
      <c r="T2895" s="95"/>
      <c r="U2895" s="95"/>
      <c r="V2895" s="95"/>
      <c r="W2895" s="95"/>
      <c r="X2895" s="95"/>
      <c r="Y2895" s="95"/>
      <c r="Z2895" s="95"/>
      <c r="AA2895" s="95"/>
      <c r="AB2895" s="95"/>
      <c r="AC2895" s="355"/>
      <c r="AD2895" s="355"/>
      <c r="AE2895" s="355"/>
      <c r="AF2895" s="94">
        <f t="shared" si="376"/>
        <v>43369</v>
      </c>
      <c r="AG2895" s="185">
        <f t="shared" si="379"/>
        <v>-1.1673246977503253</v>
      </c>
      <c r="AH2895" s="339" t="str">
        <f>VLOOKUP(B2895,'MF PF'!A:B,2)</f>
        <v>FdMgt1</v>
      </c>
      <c r="AI2895" s="358">
        <f t="shared" si="377"/>
        <v>0</v>
      </c>
      <c r="AJ2895" s="94">
        <f t="shared" si="378"/>
        <v>43373</v>
      </c>
    </row>
    <row r="2896" spans="1:36" ht="12.75" customHeight="1">
      <c r="A2896" s="94">
        <v>43371</v>
      </c>
      <c r="B2896" s="358" t="s">
        <v>273</v>
      </c>
      <c r="C2896" s="358" t="s">
        <v>379</v>
      </c>
      <c r="D2896" s="93">
        <v>164563.12</v>
      </c>
      <c r="F2896" s="93"/>
      <c r="G2896" s="93"/>
      <c r="H2896" s="93"/>
      <c r="I2896" s="93"/>
      <c r="K2896" s="93"/>
      <c r="L2896" s="93">
        <f t="shared" si="374"/>
        <v>0</v>
      </c>
      <c r="M2896" s="95" t="e">
        <f t="shared" ca="1" si="375"/>
        <v>#DIV/0!</v>
      </c>
      <c r="N2896" s="95">
        <f>IF(P2896="Hedge Fund",IF(A2896=Summary!$AD$3,M2896-E2896,M2896),IF(A2896=Summary!$AD$3,L2896-D2896,L2896))</f>
        <v>0</v>
      </c>
      <c r="O2896" s="95">
        <f t="shared" si="373"/>
        <v>0</v>
      </c>
      <c r="P2896" s="107" t="s">
        <v>155</v>
      </c>
      <c r="Q2896" s="95">
        <v>6.6246000000000002E-4</v>
      </c>
      <c r="R2896" s="95">
        <v>1.5141999999999998E-4</v>
      </c>
      <c r="S2896" s="95"/>
      <c r="T2896" s="95"/>
      <c r="U2896" s="95"/>
      <c r="V2896" s="95"/>
      <c r="W2896" s="95"/>
      <c r="X2896" s="95"/>
      <c r="Y2896" s="95"/>
      <c r="Z2896" s="95"/>
      <c r="AA2896" s="95"/>
      <c r="AB2896" s="95"/>
      <c r="AC2896" s="355"/>
      <c r="AD2896" s="355"/>
      <c r="AE2896" s="355"/>
      <c r="AF2896" s="94">
        <f t="shared" si="376"/>
        <v>43371</v>
      </c>
      <c r="AG2896" s="185" t="e">
        <f t="shared" si="379"/>
        <v>#DIV/0!</v>
      </c>
      <c r="AH2896" s="339" t="str">
        <f>VLOOKUP(B2896,'MF PF'!A:B,2)</f>
        <v>FdMgt1</v>
      </c>
      <c r="AI2896" s="358">
        <f t="shared" si="377"/>
        <v>0</v>
      </c>
      <c r="AJ2896" s="94">
        <f t="shared" si="378"/>
        <v>43373</v>
      </c>
    </row>
    <row r="2897" spans="1:36" ht="12.75" customHeight="1">
      <c r="A2897" s="94">
        <v>43404</v>
      </c>
      <c r="B2897" s="358" t="s">
        <v>273</v>
      </c>
      <c r="C2897" s="358" t="s">
        <v>379</v>
      </c>
      <c r="D2897" s="93">
        <v>188824.10819999999</v>
      </c>
      <c r="F2897" s="93">
        <v>0.1990015</v>
      </c>
      <c r="G2897" s="93">
        <v>16102.079999999994</v>
      </c>
      <c r="H2897" s="93">
        <v>0</v>
      </c>
      <c r="I2897" s="93">
        <v>0</v>
      </c>
      <c r="J2897" s="93">
        <v>0</v>
      </c>
      <c r="K2897" s="93"/>
      <c r="L2897" s="93">
        <f t="shared" si="374"/>
        <v>16102.079999999994</v>
      </c>
      <c r="M2897" s="95" t="e">
        <f t="shared" ca="1" si="375"/>
        <v>#DIV/0!</v>
      </c>
      <c r="N2897" s="95">
        <f>IF(P2897="Hedge Fund",IF(A2897=Summary!$AD$3,M2897-E2897,M2897),IF(A2897=Summary!$AD$3,L2897-D2897,L2897))</f>
        <v>16102.079999999994</v>
      </c>
      <c r="O2897" s="95">
        <f t="shared" si="373"/>
        <v>16102.079999999994</v>
      </c>
      <c r="P2897" s="95" t="s">
        <v>155</v>
      </c>
      <c r="Q2897" s="95">
        <v>8.3278536552482368E-4</v>
      </c>
      <c r="R2897" s="95">
        <v>1.2593217545730701E-3</v>
      </c>
      <c r="S2897" s="95"/>
      <c r="T2897" s="95"/>
      <c r="U2897" s="95"/>
      <c r="V2897" s="95"/>
      <c r="W2897" s="95"/>
      <c r="X2897" s="95"/>
      <c r="Y2897" s="95"/>
      <c r="Z2897" s="95"/>
      <c r="AA2897" s="95"/>
      <c r="AB2897" s="95"/>
      <c r="AC2897" s="355"/>
      <c r="AD2897" s="355"/>
      <c r="AE2897" s="355"/>
      <c r="AF2897" s="94">
        <f t="shared" si="376"/>
        <v>43404</v>
      </c>
      <c r="AG2897" s="185">
        <f t="shared" si="379"/>
        <v>4.9579202193055227E-2</v>
      </c>
      <c r="AH2897" s="339" t="str">
        <f>VLOOKUP(B2897,'MF PF'!A:B,2)</f>
        <v>FdMgt1</v>
      </c>
      <c r="AI2897" s="358">
        <f t="shared" si="377"/>
        <v>0</v>
      </c>
      <c r="AJ2897" s="94">
        <f t="shared" si="378"/>
        <v>43404</v>
      </c>
    </row>
    <row r="2898" spans="1:36" ht="12.75" customHeight="1">
      <c r="A2898" s="94">
        <v>43432</v>
      </c>
      <c r="B2898" s="358" t="s">
        <v>273</v>
      </c>
      <c r="C2898" s="358" t="s">
        <v>379</v>
      </c>
      <c r="D2898" s="93"/>
      <c r="F2898" s="93"/>
      <c r="G2898" s="93">
        <v>17313.550000000003</v>
      </c>
      <c r="H2898" s="93">
        <v>0</v>
      </c>
      <c r="I2898" s="93">
        <v>0</v>
      </c>
      <c r="K2898" s="93">
        <v>0</v>
      </c>
      <c r="L2898" s="93">
        <f t="shared" si="374"/>
        <v>17313.550000000003</v>
      </c>
      <c r="M2898" s="95" t="e">
        <f t="shared" ca="1" si="375"/>
        <v>#DIV/0!</v>
      </c>
      <c r="N2898" s="95">
        <f>IF(P2898="Hedge Fund",IF(A2898=Summary!$AD$3,M2898-E2898,M2898),IF(A2898=Summary!$AD$3,L2898-D2898,L2898))</f>
        <v>17313.550000000003</v>
      </c>
      <c r="O2898" s="95">
        <f t="shared" si="373"/>
        <v>17313.550000000003</v>
      </c>
      <c r="P2898" s="95" t="s">
        <v>155</v>
      </c>
      <c r="Q2898" s="95"/>
      <c r="R2898" s="95"/>
      <c r="S2898" s="95"/>
      <c r="T2898" s="95"/>
      <c r="U2898" s="95"/>
      <c r="V2898" s="95"/>
      <c r="W2898" s="95"/>
      <c r="X2898" s="95"/>
      <c r="Y2898" s="95"/>
      <c r="Z2898" s="95"/>
      <c r="AA2898" s="95"/>
      <c r="AB2898" s="95"/>
      <c r="AC2898" s="355"/>
      <c r="AD2898" s="355"/>
      <c r="AE2898" s="355"/>
      <c r="AF2898" s="94">
        <f t="shared" si="376"/>
        <v>43432</v>
      </c>
      <c r="AG2898" s="185">
        <f t="shared" si="379"/>
        <v>-1.0916914167636991</v>
      </c>
      <c r="AH2898" s="339" t="str">
        <f>VLOOKUP(B2898,'MF PF'!A:B,2)</f>
        <v>FdMgt1</v>
      </c>
      <c r="AI2898" s="358">
        <f t="shared" si="377"/>
        <v>0</v>
      </c>
      <c r="AJ2898" s="94">
        <f t="shared" si="378"/>
        <v>43434</v>
      </c>
    </row>
    <row r="2899" spans="1:36" ht="12.75" customHeight="1">
      <c r="A2899" s="94">
        <v>43434</v>
      </c>
      <c r="B2899" s="358" t="s">
        <v>273</v>
      </c>
      <c r="C2899" s="358" t="s">
        <v>379</v>
      </c>
      <c r="D2899" s="93">
        <v>198526.01</v>
      </c>
      <c r="E2899" s="95"/>
      <c r="F2899" s="93">
        <v>0.1990015</v>
      </c>
      <c r="G2899" s="93"/>
      <c r="H2899" s="93">
        <v>0</v>
      </c>
      <c r="I2899" s="93">
        <v>0</v>
      </c>
      <c r="K2899" s="93">
        <v>0</v>
      </c>
      <c r="L2899" s="93">
        <f t="shared" si="374"/>
        <v>0</v>
      </c>
      <c r="M2899" s="95" t="e">
        <f t="shared" ca="1" si="375"/>
        <v>#DIV/0!</v>
      </c>
      <c r="N2899" s="95">
        <f>IF(P2899="Hedge Fund",IF(A2899=Summary!$AD$3,M2899-E2899,M2899),IF(A2899=Summary!$AD$3,L2899-D2899,L2899))</f>
        <v>0</v>
      </c>
      <c r="O2899" s="95">
        <f t="shared" si="373"/>
        <v>0</v>
      </c>
      <c r="P2899" s="95" t="s">
        <v>155</v>
      </c>
      <c r="Q2899" s="95">
        <v>1.1816700000000001E-3</v>
      </c>
      <c r="R2899" s="95">
        <v>2.4799025457306707E-4</v>
      </c>
      <c r="S2899" s="95"/>
      <c r="T2899" s="95"/>
      <c r="U2899" s="95"/>
      <c r="V2899" s="95"/>
      <c r="W2899" s="95"/>
      <c r="X2899" s="95"/>
      <c r="Y2899" s="95"/>
      <c r="Z2899" s="95"/>
      <c r="AA2899" s="95"/>
      <c r="AB2899" s="95"/>
      <c r="AC2899" s="355"/>
      <c r="AD2899" s="355"/>
      <c r="AE2899" s="355"/>
      <c r="AF2899" s="94">
        <f t="shared" si="376"/>
        <v>43434</v>
      </c>
      <c r="AG2899" s="185" t="e">
        <f t="shared" si="379"/>
        <v>#DIV/0!</v>
      </c>
      <c r="AH2899" s="339" t="str">
        <f>VLOOKUP(B2899,'MF PF'!A:B,2)</f>
        <v>FdMgt1</v>
      </c>
      <c r="AI2899" s="358">
        <f t="shared" si="377"/>
        <v>0</v>
      </c>
      <c r="AJ2899" s="94">
        <f t="shared" si="378"/>
        <v>43434</v>
      </c>
    </row>
    <row r="2900" spans="1:36" ht="12.75" customHeight="1">
      <c r="A2900" s="94">
        <v>43465</v>
      </c>
      <c r="B2900" s="358" t="s">
        <v>273</v>
      </c>
      <c r="C2900" s="358" t="s">
        <v>379</v>
      </c>
      <c r="D2900" s="368">
        <v>199555.9547</v>
      </c>
      <c r="E2900" s="95"/>
      <c r="F2900" s="93">
        <v>0.1990015</v>
      </c>
      <c r="G2900" s="93"/>
      <c r="H2900" s="93">
        <v>0</v>
      </c>
      <c r="I2900" s="93">
        <v>0</v>
      </c>
      <c r="K2900" s="93">
        <v>0</v>
      </c>
      <c r="L2900" s="93">
        <f t="shared" si="374"/>
        <v>0</v>
      </c>
      <c r="M2900" s="95" t="e">
        <f t="shared" ca="1" si="375"/>
        <v>#DIV/0!</v>
      </c>
      <c r="N2900" s="95">
        <f>IF(P2900="Hedge Fund",IF(A2900=Summary!$AD$3,M2900-E2900,M2900),IF(A2900=Summary!$AD$3,L2900-D2900,L2900))</f>
        <v>0</v>
      </c>
      <c r="O2900" s="95">
        <f t="shared" si="373"/>
        <v>0</v>
      </c>
      <c r="P2900" s="95" t="s">
        <v>155</v>
      </c>
      <c r="Q2900" s="95">
        <v>-0.20125933401002641</v>
      </c>
      <c r="R2900" s="95">
        <v>0</v>
      </c>
      <c r="S2900" s="95"/>
      <c r="T2900" s="95"/>
      <c r="U2900" s="95"/>
      <c r="V2900" s="95"/>
      <c r="W2900" s="95"/>
      <c r="X2900" s="95"/>
      <c r="Y2900" s="95"/>
      <c r="Z2900" s="95"/>
      <c r="AA2900" s="95"/>
      <c r="AB2900" s="95"/>
      <c r="AC2900" s="355"/>
      <c r="AD2900" s="355"/>
      <c r="AE2900" s="355"/>
      <c r="AF2900" s="94">
        <f t="shared" si="376"/>
        <v>43465</v>
      </c>
      <c r="AG2900" s="185">
        <f t="shared" si="379"/>
        <v>5.1879584947081003E-3</v>
      </c>
      <c r="AH2900" s="339" t="str">
        <f>VLOOKUP(B2900,'MF PF'!A:B,2)</f>
        <v>FdMgt1</v>
      </c>
      <c r="AI2900" s="358">
        <f t="shared" si="377"/>
        <v>0</v>
      </c>
      <c r="AJ2900" s="94">
        <f t="shared" si="378"/>
        <v>43465</v>
      </c>
    </row>
    <row r="2901" spans="1:36" ht="12.75" customHeight="1">
      <c r="A2901" s="94">
        <v>43496</v>
      </c>
      <c r="B2901" s="358" t="s">
        <v>273</v>
      </c>
      <c r="C2901" s="358" t="s">
        <v>379</v>
      </c>
      <c r="D2901" s="93">
        <v>202259.1672</v>
      </c>
      <c r="F2901" s="93">
        <v>0.19712073163617955</v>
      </c>
      <c r="G2901" s="93"/>
      <c r="H2901" s="93">
        <v>0</v>
      </c>
      <c r="I2901" s="93">
        <v>0</v>
      </c>
      <c r="K2901" s="93">
        <v>0</v>
      </c>
      <c r="L2901" s="93">
        <f t="shared" si="374"/>
        <v>0</v>
      </c>
      <c r="M2901" s="95" t="e">
        <f t="shared" ca="1" si="375"/>
        <v>#DIV/0!</v>
      </c>
      <c r="N2901" s="95">
        <f>IF(P2901="Hedge Fund",IF(A2901=Summary!$AD$3,M2901-E2901,M2901),IF(A2901=Summary!$AD$3,L2901-D2901,L2901))</f>
        <v>-202259.1672</v>
      </c>
      <c r="O2901" s="95">
        <f t="shared" si="373"/>
        <v>-202259.1672</v>
      </c>
      <c r="P2901" s="95" t="s">
        <v>155</v>
      </c>
      <c r="Q2901" s="95">
        <v>1.4910311938109233E-3</v>
      </c>
      <c r="R2901" s="95">
        <v>9.0678275457306882E-4</v>
      </c>
      <c r="S2901" s="95"/>
      <c r="T2901" s="95"/>
      <c r="U2901" s="95"/>
      <c r="V2901" s="95"/>
      <c r="W2901" s="95"/>
      <c r="X2901" s="95"/>
      <c r="Y2901" s="95"/>
      <c r="Z2901" s="95"/>
      <c r="AA2901" s="95"/>
      <c r="AB2901" s="95"/>
      <c r="AC2901" s="355"/>
      <c r="AD2901" s="355"/>
      <c r="AE2901" s="355"/>
      <c r="AF2901" s="94">
        <f t="shared" si="376"/>
        <v>43496</v>
      </c>
      <c r="AG2901" s="185">
        <f t="shared" si="379"/>
        <v>1.3546137994548069E-2</v>
      </c>
      <c r="AH2901" s="339" t="str">
        <f>VLOOKUP(B2901,'MF PF'!A:B,2)</f>
        <v>FdMgt1</v>
      </c>
      <c r="AI2901" s="358">
        <f t="shared" si="377"/>
        <v>0</v>
      </c>
      <c r="AJ2901" s="94">
        <f t="shared" si="378"/>
        <v>43496</v>
      </c>
    </row>
    <row r="2902" spans="1:36" ht="12.75" customHeight="1">
      <c r="A2902" s="94">
        <v>43329</v>
      </c>
      <c r="B2902" s="358" t="s">
        <v>273</v>
      </c>
      <c r="C2902" s="358" t="s">
        <v>380</v>
      </c>
      <c r="D2902" s="93"/>
      <c r="F2902" s="93"/>
      <c r="G2902" s="93">
        <v>21623.539122453571</v>
      </c>
      <c r="H2902" s="93"/>
      <c r="I2902" s="93"/>
      <c r="K2902" s="93"/>
      <c r="L2902" s="93">
        <f t="shared" si="374"/>
        <v>21623.539122453571</v>
      </c>
      <c r="M2902" s="95">
        <f t="shared" ca="1" si="375"/>
        <v>0</v>
      </c>
      <c r="N2902" s="95">
        <f>IF(P2902="Hedge Fund",IF(A2902=Summary!$AD$3,M2902-E2902,M2902),IF(A2902=Summary!$AD$3,L2902-D2902,L2902))</f>
        <v>21623.539122453571</v>
      </c>
      <c r="O2902" s="95">
        <f t="shared" si="373"/>
        <v>21623.539122453571</v>
      </c>
      <c r="P2902" s="107" t="s">
        <v>155</v>
      </c>
      <c r="Q2902" s="95">
        <v>0</v>
      </c>
      <c r="R2902" s="95">
        <v>0</v>
      </c>
      <c r="S2902" s="95"/>
      <c r="T2902" s="95"/>
      <c r="U2902" s="95"/>
      <c r="V2902" s="95"/>
      <c r="W2902" s="95"/>
      <c r="X2902" s="95"/>
      <c r="Y2902" s="95"/>
      <c r="Z2902" s="95"/>
      <c r="AA2902" s="95"/>
      <c r="AB2902" s="95"/>
      <c r="AC2902" s="355"/>
      <c r="AD2902" s="355"/>
      <c r="AE2902" s="355"/>
      <c r="AF2902" s="94">
        <f t="shared" si="376"/>
        <v>43329</v>
      </c>
      <c r="AG2902" s="185">
        <f t="shared" si="379"/>
        <v>-1</v>
      </c>
      <c r="AH2902" s="339" t="str">
        <f>VLOOKUP(B2902,'MF PF'!A:B,2)</f>
        <v>FdMgt1</v>
      </c>
      <c r="AI2902" s="358">
        <f t="shared" si="377"/>
        <v>0</v>
      </c>
      <c r="AJ2902" s="94">
        <f t="shared" si="378"/>
        <v>43343</v>
      </c>
    </row>
    <row r="2903" spans="1:36" ht="12.75" customHeight="1">
      <c r="A2903" s="94">
        <v>43343</v>
      </c>
      <c r="B2903" s="358" t="s">
        <v>273</v>
      </c>
      <c r="C2903" s="358" t="s">
        <v>380</v>
      </c>
      <c r="D2903" s="93">
        <v>26089.16</v>
      </c>
      <c r="F2903" s="93"/>
      <c r="G2903" s="93"/>
      <c r="H2903" s="93"/>
      <c r="I2903" s="93"/>
      <c r="K2903" s="93"/>
      <c r="L2903" s="93">
        <f t="shared" si="374"/>
        <v>0</v>
      </c>
      <c r="M2903" s="95" t="e">
        <f t="shared" ca="1" si="375"/>
        <v>#DIV/0!</v>
      </c>
      <c r="N2903" s="95">
        <f>IF(P2903="Hedge Fund",IF(A2903=Summary!$AD$3,M2903-E2903,M2903),IF(A2903=Summary!$AD$3,L2903-D2903,L2903))</f>
        <v>0</v>
      </c>
      <c r="O2903" s="95">
        <f t="shared" si="373"/>
        <v>0</v>
      </c>
      <c r="P2903" s="107" t="s">
        <v>155</v>
      </c>
      <c r="Q2903" s="95">
        <v>0</v>
      </c>
      <c r="R2903" s="95">
        <v>0</v>
      </c>
      <c r="S2903" s="95"/>
      <c r="T2903" s="95"/>
      <c r="U2903" s="95"/>
      <c r="V2903" s="95"/>
      <c r="W2903" s="95"/>
      <c r="X2903" s="95"/>
      <c r="Y2903" s="95"/>
      <c r="Z2903" s="95"/>
      <c r="AA2903" s="95"/>
      <c r="AB2903" s="95"/>
      <c r="AC2903" s="355"/>
      <c r="AD2903" s="355"/>
      <c r="AE2903" s="355"/>
      <c r="AF2903" s="94">
        <f t="shared" si="376"/>
        <v>43343</v>
      </c>
      <c r="AG2903" s="185" t="e">
        <f t="shared" si="379"/>
        <v>#DIV/0!</v>
      </c>
      <c r="AH2903" s="339" t="str">
        <f>VLOOKUP(B2903,'MF PF'!A:B,2)</f>
        <v>FdMgt1</v>
      </c>
      <c r="AI2903" s="358">
        <f t="shared" si="377"/>
        <v>0</v>
      </c>
      <c r="AJ2903" s="94">
        <f t="shared" si="378"/>
        <v>43343</v>
      </c>
    </row>
    <row r="2904" spans="1:36" ht="12.75" customHeight="1">
      <c r="A2904" s="94">
        <v>43369</v>
      </c>
      <c r="B2904" s="358" t="s">
        <v>273</v>
      </c>
      <c r="C2904" s="358" t="s">
        <v>380</v>
      </c>
      <c r="D2904" s="93"/>
      <c r="F2904" s="93"/>
      <c r="G2904" s="93">
        <v>4353.3500000000004</v>
      </c>
      <c r="H2904" s="93"/>
      <c r="I2904" s="93"/>
      <c r="K2904" s="93"/>
      <c r="L2904" s="93">
        <f t="shared" si="374"/>
        <v>4353.3500000000004</v>
      </c>
      <c r="M2904" s="95" t="e">
        <f t="shared" ca="1" si="375"/>
        <v>#DIV/0!</v>
      </c>
      <c r="N2904" s="95">
        <f>IF(P2904="Hedge Fund",IF(A2904=Summary!$AD$3,M2904-E2904,M2904),IF(A2904=Summary!$AD$3,L2904-D2904,L2904))</f>
        <v>4353.3500000000004</v>
      </c>
      <c r="O2904" s="95">
        <f t="shared" si="373"/>
        <v>4353.3500000000004</v>
      </c>
      <c r="P2904" s="107" t="s">
        <v>155</v>
      </c>
      <c r="Q2904" s="95">
        <v>0</v>
      </c>
      <c r="R2904" s="95">
        <v>0</v>
      </c>
      <c r="S2904" s="95"/>
      <c r="T2904" s="95"/>
      <c r="U2904" s="95"/>
      <c r="V2904" s="95"/>
      <c r="W2904" s="95"/>
      <c r="X2904" s="95"/>
      <c r="Y2904" s="95"/>
      <c r="Z2904" s="95"/>
      <c r="AA2904" s="95"/>
      <c r="AB2904" s="95"/>
      <c r="AC2904" s="355"/>
      <c r="AD2904" s="355"/>
      <c r="AE2904" s="355"/>
      <c r="AF2904" s="94">
        <f t="shared" si="376"/>
        <v>43369</v>
      </c>
      <c r="AG2904" s="185">
        <f t="shared" si="379"/>
        <v>-1.1668643221935855</v>
      </c>
      <c r="AH2904" s="339" t="str">
        <f>VLOOKUP(B2904,'MF PF'!A:B,2)</f>
        <v>FdMgt1</v>
      </c>
      <c r="AI2904" s="358">
        <f t="shared" si="377"/>
        <v>0</v>
      </c>
      <c r="AJ2904" s="94">
        <f t="shared" si="378"/>
        <v>43373</v>
      </c>
    </row>
    <row r="2905" spans="1:36" ht="12.75" customHeight="1">
      <c r="A2905" s="94">
        <v>43371</v>
      </c>
      <c r="B2905" s="358" t="s">
        <v>273</v>
      </c>
      <c r="C2905" s="358" t="s">
        <v>380</v>
      </c>
      <c r="D2905" s="93">
        <v>26242.19</v>
      </c>
      <c r="F2905" s="93"/>
      <c r="G2905" s="93"/>
      <c r="H2905" s="93"/>
      <c r="I2905" s="93"/>
      <c r="K2905" s="93"/>
      <c r="L2905" s="93">
        <f t="shared" si="374"/>
        <v>0</v>
      </c>
      <c r="M2905" s="95" t="e">
        <f t="shared" ca="1" si="375"/>
        <v>#DIV/0!</v>
      </c>
      <c r="N2905" s="95">
        <f>IF(P2905="Hedge Fund",IF(A2905=Summary!$AD$3,M2905-E2905,M2905),IF(A2905=Summary!$AD$3,L2905-D2905,L2905))</f>
        <v>0</v>
      </c>
      <c r="O2905" s="95">
        <f t="shared" si="373"/>
        <v>0</v>
      </c>
      <c r="P2905" s="107" t="s">
        <v>155</v>
      </c>
      <c r="Q2905" s="95">
        <v>0</v>
      </c>
      <c r="R2905" s="95">
        <v>0</v>
      </c>
      <c r="S2905" s="95"/>
      <c r="T2905" s="95"/>
      <c r="U2905" s="95"/>
      <c r="V2905" s="95"/>
      <c r="W2905" s="95"/>
      <c r="X2905" s="95"/>
      <c r="Y2905" s="95"/>
      <c r="Z2905" s="95"/>
      <c r="AA2905" s="95"/>
      <c r="AB2905" s="95"/>
      <c r="AC2905" s="355"/>
      <c r="AD2905" s="355"/>
      <c r="AE2905" s="355"/>
      <c r="AF2905" s="94">
        <f t="shared" si="376"/>
        <v>43371</v>
      </c>
      <c r="AG2905" s="185" t="e">
        <f t="shared" si="379"/>
        <v>#DIV/0!</v>
      </c>
      <c r="AH2905" s="339" t="str">
        <f>VLOOKUP(B2905,'MF PF'!A:B,2)</f>
        <v>FdMgt1</v>
      </c>
      <c r="AI2905" s="358">
        <f t="shared" si="377"/>
        <v>0</v>
      </c>
      <c r="AJ2905" s="94">
        <f t="shared" si="378"/>
        <v>43373</v>
      </c>
    </row>
    <row r="2906" spans="1:36" ht="12.75" customHeight="1">
      <c r="A2906" s="94">
        <v>43404</v>
      </c>
      <c r="B2906" s="358" t="s">
        <v>273</v>
      </c>
      <c r="C2906" s="358" t="s">
        <v>380</v>
      </c>
      <c r="D2906" s="93">
        <v>30294.82</v>
      </c>
      <c r="F2906" s="93">
        <v>3.1578040000000002E-2</v>
      </c>
      <c r="G2906" s="93">
        <v>2555.1200000000008</v>
      </c>
      <c r="H2906" s="93">
        <v>0</v>
      </c>
      <c r="I2906" s="93">
        <v>0</v>
      </c>
      <c r="J2906" s="93">
        <v>0</v>
      </c>
      <c r="K2906" s="93"/>
      <c r="L2906" s="93">
        <f t="shared" si="374"/>
        <v>2555.1200000000008</v>
      </c>
      <c r="M2906" s="95" t="e">
        <f t="shared" ca="1" si="375"/>
        <v>#DIV/0!</v>
      </c>
      <c r="N2906" s="95">
        <f>IF(P2906="Hedge Fund",IF(A2906=Summary!$AD$3,M2906-E2906,M2906),IF(A2906=Summary!$AD$3,L2906-D2906,L2906))</f>
        <v>2555.1200000000008</v>
      </c>
      <c r="O2906" s="95">
        <f t="shared" si="373"/>
        <v>2555.1200000000008</v>
      </c>
      <c r="P2906" s="95" t="s">
        <v>155</v>
      </c>
      <c r="Q2906" s="95">
        <v>0</v>
      </c>
      <c r="R2906" s="95">
        <v>0</v>
      </c>
      <c r="S2906" s="95"/>
      <c r="T2906" s="95"/>
      <c r="U2906" s="95"/>
      <c r="V2906" s="95"/>
      <c r="W2906" s="95"/>
      <c r="X2906" s="95"/>
      <c r="Y2906" s="95"/>
      <c r="Z2906" s="95"/>
      <c r="AA2906" s="95"/>
      <c r="AB2906" s="95"/>
      <c r="AC2906" s="355"/>
      <c r="AD2906" s="355"/>
      <c r="AE2906" s="355"/>
      <c r="AF2906" s="94">
        <f t="shared" si="376"/>
        <v>43404</v>
      </c>
      <c r="AG2906" s="185">
        <f t="shared" si="379"/>
        <v>5.7064978189701243E-2</v>
      </c>
      <c r="AH2906" s="339" t="str">
        <f>VLOOKUP(B2906,'MF PF'!A:B,2)</f>
        <v>FdMgt1</v>
      </c>
      <c r="AI2906" s="358">
        <f t="shared" si="377"/>
        <v>0</v>
      </c>
      <c r="AJ2906" s="94">
        <f t="shared" si="378"/>
        <v>43404</v>
      </c>
    </row>
    <row r="2907" spans="1:36" ht="12.75" customHeight="1">
      <c r="A2907" s="94">
        <v>43432</v>
      </c>
      <c r="B2907" s="358" t="s">
        <v>273</v>
      </c>
      <c r="C2907" s="358" t="s">
        <v>380</v>
      </c>
      <c r="D2907" s="93"/>
      <c r="F2907" s="93"/>
      <c r="G2907" s="93">
        <v>2747.59</v>
      </c>
      <c r="H2907" s="93">
        <v>0</v>
      </c>
      <c r="I2907" s="93">
        <v>0</v>
      </c>
      <c r="K2907" s="93">
        <v>0</v>
      </c>
      <c r="L2907" s="93">
        <f t="shared" si="374"/>
        <v>2747.59</v>
      </c>
      <c r="M2907" s="95" t="e">
        <f t="shared" ca="1" si="375"/>
        <v>#DIV/0!</v>
      </c>
      <c r="N2907" s="95">
        <f>IF(P2907="Hedge Fund",IF(A2907=Summary!$AD$3,M2907-E2907,M2907),IF(A2907=Summary!$AD$3,L2907-D2907,L2907))</f>
        <v>2747.59</v>
      </c>
      <c r="O2907" s="95">
        <f t="shared" si="373"/>
        <v>2747.59</v>
      </c>
      <c r="P2907" s="95" t="s">
        <v>155</v>
      </c>
      <c r="Q2907" s="95"/>
      <c r="R2907" s="95"/>
      <c r="S2907" s="95"/>
      <c r="T2907" s="95"/>
      <c r="U2907" s="95"/>
      <c r="V2907" s="95"/>
      <c r="W2907" s="95"/>
      <c r="X2907" s="95"/>
      <c r="Y2907" s="95"/>
      <c r="Z2907" s="95"/>
      <c r="AA2907" s="95"/>
      <c r="AB2907" s="95"/>
      <c r="AC2907" s="355"/>
      <c r="AD2907" s="355"/>
      <c r="AE2907" s="355"/>
      <c r="AF2907" s="94">
        <f t="shared" si="376"/>
        <v>43432</v>
      </c>
      <c r="AG2907" s="185">
        <f t="shared" si="379"/>
        <v>-1.0906950429149274</v>
      </c>
      <c r="AH2907" s="339" t="str">
        <f>VLOOKUP(B2907,'MF PF'!A:B,2)</f>
        <v>FdMgt1</v>
      </c>
      <c r="AI2907" s="358">
        <f t="shared" si="377"/>
        <v>0</v>
      </c>
      <c r="AJ2907" s="94">
        <f t="shared" si="378"/>
        <v>43434</v>
      </c>
    </row>
    <row r="2908" spans="1:36" ht="12.75" customHeight="1">
      <c r="A2908" s="94">
        <v>43434</v>
      </c>
      <c r="B2908" s="358" t="s">
        <v>273</v>
      </c>
      <c r="C2908" s="358" t="s">
        <v>380</v>
      </c>
      <c r="D2908" s="93">
        <v>31729.45</v>
      </c>
      <c r="F2908" s="93">
        <v>3.1578040000000002E-2</v>
      </c>
      <c r="G2908" s="93"/>
      <c r="H2908" s="93">
        <v>0</v>
      </c>
      <c r="I2908" s="93">
        <v>0</v>
      </c>
      <c r="K2908" s="93">
        <v>0</v>
      </c>
      <c r="L2908" s="93">
        <f t="shared" si="374"/>
        <v>0</v>
      </c>
      <c r="M2908" s="95" t="e">
        <f t="shared" ca="1" si="375"/>
        <v>#DIV/0!</v>
      </c>
      <c r="N2908" s="95">
        <f>IF(P2908="Hedge Fund",IF(A2908=Summary!$AD$3,M2908-E2908,M2908),IF(A2908=Summary!$AD$3,L2908-D2908,L2908))</f>
        <v>0</v>
      </c>
      <c r="O2908" s="95">
        <f t="shared" si="373"/>
        <v>0</v>
      </c>
      <c r="P2908" s="95" t="s">
        <v>155</v>
      </c>
      <c r="Q2908" s="95">
        <v>0</v>
      </c>
      <c r="R2908" s="95">
        <v>0</v>
      </c>
      <c r="S2908" s="95"/>
      <c r="T2908" s="95"/>
      <c r="U2908" s="95"/>
      <c r="V2908" s="95"/>
      <c r="W2908" s="95"/>
      <c r="X2908" s="95"/>
      <c r="Y2908" s="95"/>
      <c r="Z2908" s="95"/>
      <c r="AA2908" s="95"/>
      <c r="AB2908" s="95"/>
      <c r="AC2908" s="355"/>
      <c r="AD2908" s="355"/>
      <c r="AE2908" s="355"/>
      <c r="AF2908" s="94">
        <f t="shared" si="376"/>
        <v>43434</v>
      </c>
      <c r="AG2908" s="185" t="e">
        <f t="shared" si="379"/>
        <v>#DIV/0!</v>
      </c>
      <c r="AH2908" s="339" t="str">
        <f>VLOOKUP(B2908,'MF PF'!A:B,2)</f>
        <v>FdMgt1</v>
      </c>
      <c r="AI2908" s="358">
        <f t="shared" si="377"/>
        <v>0</v>
      </c>
      <c r="AJ2908" s="94">
        <f t="shared" si="378"/>
        <v>43434</v>
      </c>
    </row>
    <row r="2909" spans="1:36" ht="12.75" customHeight="1">
      <c r="A2909" s="94">
        <v>43465</v>
      </c>
      <c r="B2909" s="358" t="s">
        <v>273</v>
      </c>
      <c r="C2909" s="358" t="s">
        <v>380</v>
      </c>
      <c r="D2909" s="368">
        <v>31936.32</v>
      </c>
      <c r="F2909" s="93">
        <v>3.1578040000000002E-2</v>
      </c>
      <c r="G2909" s="93"/>
      <c r="H2909" s="93">
        <v>0</v>
      </c>
      <c r="I2909" s="93">
        <v>0</v>
      </c>
      <c r="K2909" s="93">
        <v>0</v>
      </c>
      <c r="L2909" s="93">
        <f t="shared" si="374"/>
        <v>0</v>
      </c>
      <c r="M2909" s="95" t="e">
        <f t="shared" ca="1" si="375"/>
        <v>#DIV/0!</v>
      </c>
      <c r="N2909" s="95">
        <f>IF(P2909="Hedge Fund",IF(A2909=Summary!$AD$3,M2909-E2909,M2909),IF(A2909=Summary!$AD$3,L2909-D2909,L2909))</f>
        <v>0</v>
      </c>
      <c r="O2909" s="95">
        <f t="shared" si="373"/>
        <v>0</v>
      </c>
      <c r="P2909" s="95" t="s">
        <v>155</v>
      </c>
      <c r="Q2909" s="95">
        <v>-3.193632257079658E-2</v>
      </c>
      <c r="R2909" s="95">
        <v>0</v>
      </c>
      <c r="S2909" s="95"/>
      <c r="T2909" s="95"/>
      <c r="U2909" s="95"/>
      <c r="V2909" s="95"/>
      <c r="W2909" s="95"/>
      <c r="X2909" s="95"/>
      <c r="Y2909" s="95"/>
      <c r="Z2909" s="95"/>
      <c r="AA2909" s="95"/>
      <c r="AB2909" s="95"/>
      <c r="AC2909" s="355"/>
      <c r="AD2909" s="355"/>
      <c r="AE2909" s="355"/>
      <c r="AF2909" s="94">
        <f t="shared" si="376"/>
        <v>43465</v>
      </c>
      <c r="AG2909" s="185">
        <f t="shared" si="379"/>
        <v>6.5198104599983875E-3</v>
      </c>
      <c r="AH2909" s="339" t="str">
        <f>VLOOKUP(B2909,'MF PF'!A:B,2)</f>
        <v>FdMgt1</v>
      </c>
      <c r="AI2909" s="358">
        <f t="shared" si="377"/>
        <v>0</v>
      </c>
      <c r="AJ2909" s="94">
        <f t="shared" si="378"/>
        <v>43465</v>
      </c>
    </row>
    <row r="2910" spans="1:36" ht="12.75" customHeight="1">
      <c r="A2910" s="94">
        <v>43496</v>
      </c>
      <c r="B2910" s="358" t="s">
        <v>273</v>
      </c>
      <c r="C2910" s="358" t="s">
        <v>380</v>
      </c>
      <c r="D2910" s="93">
        <v>32475.47</v>
      </c>
      <c r="F2910" s="93">
        <v>3.1279599122453573E-2</v>
      </c>
      <c r="G2910" s="93"/>
      <c r="H2910" s="93">
        <v>0</v>
      </c>
      <c r="I2910" s="93">
        <v>0</v>
      </c>
      <c r="K2910" s="93">
        <v>0</v>
      </c>
      <c r="L2910" s="93">
        <f t="shared" si="374"/>
        <v>0</v>
      </c>
      <c r="M2910" s="95" t="e">
        <f t="shared" ca="1" si="375"/>
        <v>#DIV/0!</v>
      </c>
      <c r="N2910" s="95">
        <f>IF(P2910="Hedge Fund",IF(A2910=Summary!$AD$3,M2910-E2910,M2910),IF(A2910=Summary!$AD$3,L2910-D2910,L2910))</f>
        <v>-32475.47</v>
      </c>
      <c r="O2910" s="95">
        <f t="shared" si="373"/>
        <v>-32475.47</v>
      </c>
      <c r="P2910" s="95" t="s">
        <v>155</v>
      </c>
      <c r="Q2910" s="95">
        <v>0</v>
      </c>
      <c r="R2910" s="95">
        <v>0</v>
      </c>
      <c r="S2910" s="95"/>
      <c r="T2910" s="95"/>
      <c r="U2910" s="95"/>
      <c r="V2910" s="95"/>
      <c r="W2910" s="95"/>
      <c r="X2910" s="95"/>
      <c r="Y2910" s="95"/>
      <c r="Z2910" s="95"/>
      <c r="AA2910" s="95"/>
      <c r="AB2910" s="95"/>
      <c r="AC2910" s="355"/>
      <c r="AD2910" s="355"/>
      <c r="AE2910" s="355"/>
      <c r="AF2910" s="94">
        <f t="shared" si="376"/>
        <v>43496</v>
      </c>
      <c r="AG2910" s="185">
        <f t="shared" si="379"/>
        <v>1.6882032745162867E-2</v>
      </c>
      <c r="AH2910" s="339" t="str">
        <f>VLOOKUP(B2910,'MF PF'!A:B,2)</f>
        <v>FdMgt1</v>
      </c>
      <c r="AI2910" s="358">
        <f t="shared" si="377"/>
        <v>0</v>
      </c>
      <c r="AJ2910" s="94">
        <f t="shared" si="378"/>
        <v>43496</v>
      </c>
    </row>
    <row r="2911" spans="1:36" ht="12.75" customHeight="1">
      <c r="A2911" s="94">
        <v>43329</v>
      </c>
      <c r="B2911" s="358" t="s">
        <v>273</v>
      </c>
      <c r="C2911" s="358" t="s">
        <v>381</v>
      </c>
      <c r="D2911" s="93"/>
      <c r="F2911" s="93"/>
      <c r="G2911" s="93">
        <v>68477.568777712513</v>
      </c>
      <c r="H2911" s="93"/>
      <c r="I2911" s="93"/>
      <c r="K2911" s="93"/>
      <c r="L2911" s="93">
        <f t="shared" si="374"/>
        <v>68477.568777712513</v>
      </c>
      <c r="M2911" s="95">
        <f t="shared" ca="1" si="375"/>
        <v>0</v>
      </c>
      <c r="N2911" s="95">
        <f>IF(P2911="Hedge Fund",IF(A2911=Summary!$AD$3,M2911-E2911,M2911),IF(A2911=Summary!$AD$3,L2911-D2911,L2911))</f>
        <v>68477.568777712513</v>
      </c>
      <c r="O2911" s="95">
        <f t="shared" si="373"/>
        <v>68477.568777712513</v>
      </c>
      <c r="P2911" s="107" t="s">
        <v>155</v>
      </c>
      <c r="Q2911" s="95">
        <v>0</v>
      </c>
      <c r="R2911" s="95">
        <v>0</v>
      </c>
      <c r="S2911" s="95"/>
      <c r="T2911" s="95"/>
      <c r="U2911" s="95"/>
      <c r="V2911" s="95"/>
      <c r="W2911" s="95"/>
      <c r="X2911" s="95"/>
      <c r="Y2911" s="95"/>
      <c r="Z2911" s="95"/>
      <c r="AA2911" s="95"/>
      <c r="AB2911" s="95"/>
      <c r="AC2911" s="355"/>
      <c r="AD2911" s="355"/>
      <c r="AE2911" s="355"/>
      <c r="AF2911" s="94">
        <f t="shared" si="376"/>
        <v>43329</v>
      </c>
      <c r="AG2911" s="185">
        <f t="shared" si="379"/>
        <v>-1</v>
      </c>
      <c r="AH2911" s="339" t="str">
        <f>VLOOKUP(B2911,'MF PF'!A:B,2)</f>
        <v>FdMgt1</v>
      </c>
      <c r="AI2911" s="358">
        <f t="shared" si="377"/>
        <v>0</v>
      </c>
      <c r="AJ2911" s="94">
        <f t="shared" si="378"/>
        <v>43343</v>
      </c>
    </row>
    <row r="2912" spans="1:36" ht="12.75" customHeight="1">
      <c r="A2912" s="94">
        <v>43343</v>
      </c>
      <c r="B2912" s="358" t="s">
        <v>273</v>
      </c>
      <c r="C2912" s="358" t="s">
        <v>381</v>
      </c>
      <c r="D2912" s="93">
        <v>51095.61</v>
      </c>
      <c r="F2912" s="93"/>
      <c r="G2912" s="93"/>
      <c r="H2912" s="93"/>
      <c r="I2912" s="93"/>
      <c r="K2912" s="93"/>
      <c r="L2912" s="93">
        <f t="shared" si="374"/>
        <v>0</v>
      </c>
      <c r="M2912" s="95" t="e">
        <f t="shared" ca="1" si="375"/>
        <v>#DIV/0!</v>
      </c>
      <c r="N2912" s="95">
        <f>IF(P2912="Hedge Fund",IF(A2912=Summary!$AD$3,M2912-E2912,M2912),IF(A2912=Summary!$AD$3,L2912-D2912,L2912))</f>
        <v>0</v>
      </c>
      <c r="O2912" s="95">
        <f t="shared" si="373"/>
        <v>0</v>
      </c>
      <c r="P2912" s="107" t="s">
        <v>155</v>
      </c>
      <c r="Q2912" s="95">
        <v>0</v>
      </c>
      <c r="R2912" s="95">
        <v>0</v>
      </c>
      <c r="S2912" s="95"/>
      <c r="T2912" s="95"/>
      <c r="U2912" s="95"/>
      <c r="V2912" s="95"/>
      <c r="W2912" s="95"/>
      <c r="X2912" s="95"/>
      <c r="Y2912" s="95"/>
      <c r="Z2912" s="95"/>
      <c r="AA2912" s="95"/>
      <c r="AB2912" s="95"/>
      <c r="AC2912" s="355"/>
      <c r="AD2912" s="355"/>
      <c r="AE2912" s="355"/>
      <c r="AF2912" s="94">
        <f t="shared" si="376"/>
        <v>43343</v>
      </c>
      <c r="AG2912" s="185" t="e">
        <f t="shared" si="379"/>
        <v>#DIV/0!</v>
      </c>
      <c r="AH2912" s="339" t="str">
        <f>VLOOKUP(B2912,'MF PF'!A:B,2)</f>
        <v>FdMgt1</v>
      </c>
      <c r="AI2912" s="358">
        <f t="shared" si="377"/>
        <v>0</v>
      </c>
      <c r="AJ2912" s="94">
        <f t="shared" si="378"/>
        <v>43343</v>
      </c>
    </row>
    <row r="2913" spans="1:36" ht="12.75" customHeight="1">
      <c r="A2913" s="94">
        <v>43369</v>
      </c>
      <c r="B2913" s="358" t="s">
        <v>273</v>
      </c>
      <c r="C2913" s="358" t="s">
        <v>381</v>
      </c>
      <c r="D2913" s="93"/>
      <c r="F2913" s="93"/>
      <c r="G2913" s="93">
        <v>13786.01</v>
      </c>
      <c r="H2913" s="93"/>
      <c r="I2913" s="93"/>
      <c r="K2913" s="93"/>
      <c r="L2913" s="93">
        <f t="shared" si="374"/>
        <v>13786.01</v>
      </c>
      <c r="M2913" s="95" t="e">
        <f t="shared" ca="1" si="375"/>
        <v>#DIV/0!</v>
      </c>
      <c r="N2913" s="95">
        <f>IF(P2913="Hedge Fund",IF(A2913=Summary!$AD$3,M2913-E2913,M2913),IF(A2913=Summary!$AD$3,L2913-D2913,L2913))</f>
        <v>13786.01</v>
      </c>
      <c r="O2913" s="95">
        <f t="shared" si="373"/>
        <v>13786.01</v>
      </c>
      <c r="P2913" s="107" t="s">
        <v>155</v>
      </c>
      <c r="Q2913" s="95">
        <v>0</v>
      </c>
      <c r="R2913" s="95">
        <v>0</v>
      </c>
      <c r="S2913" s="95"/>
      <c r="T2913" s="95"/>
      <c r="U2913" s="95"/>
      <c r="V2913" s="95"/>
      <c r="W2913" s="95"/>
      <c r="X2913" s="95"/>
      <c r="Y2913" s="95"/>
      <c r="Z2913" s="95"/>
      <c r="AA2913" s="95"/>
      <c r="AB2913" s="95"/>
      <c r="AC2913" s="355"/>
      <c r="AD2913" s="355"/>
      <c r="AE2913" s="355"/>
      <c r="AF2913" s="94">
        <f t="shared" si="376"/>
        <v>43369</v>
      </c>
      <c r="AG2913" s="185">
        <f t="shared" si="379"/>
        <v>-1.269808110716361</v>
      </c>
      <c r="AH2913" s="339" t="str">
        <f>VLOOKUP(B2913,'MF PF'!A:B,2)</f>
        <v>FdMgt1</v>
      </c>
      <c r="AI2913" s="358">
        <f t="shared" si="377"/>
        <v>0</v>
      </c>
      <c r="AJ2913" s="94">
        <f t="shared" si="378"/>
        <v>43373</v>
      </c>
    </row>
    <row r="2914" spans="1:36" ht="12.75" customHeight="1">
      <c r="A2914" s="94">
        <v>43371</v>
      </c>
      <c r="B2914" s="358" t="s">
        <v>273</v>
      </c>
      <c r="C2914" s="358" t="s">
        <v>381</v>
      </c>
      <c r="D2914" s="93">
        <v>83103.73</v>
      </c>
      <c r="F2914" s="93"/>
      <c r="G2914" s="93"/>
      <c r="H2914" s="93"/>
      <c r="I2914" s="93"/>
      <c r="K2914" s="93"/>
      <c r="L2914" s="93">
        <f t="shared" si="374"/>
        <v>0</v>
      </c>
      <c r="M2914" s="95" t="e">
        <f t="shared" ca="1" si="375"/>
        <v>#DIV/0!</v>
      </c>
      <c r="N2914" s="95">
        <f>IF(P2914="Hedge Fund",IF(A2914=Summary!$AD$3,M2914-E2914,M2914),IF(A2914=Summary!$AD$3,L2914-D2914,L2914))</f>
        <v>0</v>
      </c>
      <c r="O2914" s="95">
        <f t="shared" si="373"/>
        <v>0</v>
      </c>
      <c r="P2914" s="107" t="s">
        <v>155</v>
      </c>
      <c r="Q2914" s="95">
        <v>0</v>
      </c>
      <c r="R2914" s="95">
        <v>0</v>
      </c>
      <c r="S2914" s="95"/>
      <c r="T2914" s="95"/>
      <c r="U2914" s="95"/>
      <c r="V2914" s="95"/>
      <c r="W2914" s="95"/>
      <c r="X2914" s="95"/>
      <c r="Y2914" s="95"/>
      <c r="Z2914" s="95"/>
      <c r="AA2914" s="95"/>
      <c r="AB2914" s="95"/>
      <c r="AC2914" s="355"/>
      <c r="AD2914" s="355"/>
      <c r="AE2914" s="355"/>
      <c r="AF2914" s="94">
        <f t="shared" si="376"/>
        <v>43371</v>
      </c>
      <c r="AG2914" s="185" t="e">
        <f t="shared" si="379"/>
        <v>#DIV/0!</v>
      </c>
      <c r="AH2914" s="339" t="str">
        <f>VLOOKUP(B2914,'MF PF'!A:B,2)</f>
        <v>FdMgt1</v>
      </c>
      <c r="AI2914" s="358">
        <f t="shared" si="377"/>
        <v>0</v>
      </c>
      <c r="AJ2914" s="94">
        <f t="shared" si="378"/>
        <v>43373</v>
      </c>
    </row>
    <row r="2915" spans="1:36" ht="12.75" customHeight="1">
      <c r="A2915" s="94">
        <v>43404</v>
      </c>
      <c r="B2915" s="358" t="s">
        <v>273</v>
      </c>
      <c r="C2915" s="358" t="s">
        <v>381</v>
      </c>
      <c r="D2915" s="93">
        <v>87237.52</v>
      </c>
      <c r="F2915" s="93">
        <v>0.1</v>
      </c>
      <c r="G2915" s="93">
        <v>8091.4399999999951</v>
      </c>
      <c r="H2915" s="93">
        <v>0</v>
      </c>
      <c r="I2915" s="93">
        <v>0</v>
      </c>
      <c r="J2915" s="93">
        <v>0</v>
      </c>
      <c r="K2915" s="93"/>
      <c r="L2915" s="93">
        <f t="shared" si="374"/>
        <v>8091.4399999999951</v>
      </c>
      <c r="M2915" s="95" t="e">
        <f t="shared" ca="1" si="375"/>
        <v>#DIV/0!</v>
      </c>
      <c r="N2915" s="95">
        <f>IF(P2915="Hedge Fund",IF(A2915=Summary!$AD$3,M2915-E2915,M2915),IF(A2915=Summary!$AD$3,L2915-D2915,L2915))</f>
        <v>8091.4399999999951</v>
      </c>
      <c r="O2915" s="95">
        <f t="shared" ref="O2915:O2965" si="380">N2915</f>
        <v>8091.4399999999951</v>
      </c>
      <c r="P2915" s="95" t="s">
        <v>155</v>
      </c>
      <c r="Q2915" s="95">
        <v>0</v>
      </c>
      <c r="R2915" s="95">
        <v>0</v>
      </c>
      <c r="S2915" s="95"/>
      <c r="T2915" s="95"/>
      <c r="U2915" s="95"/>
      <c r="V2915" s="95"/>
      <c r="W2915" s="95"/>
      <c r="X2915" s="95"/>
      <c r="Y2915" s="95"/>
      <c r="Z2915" s="95"/>
      <c r="AA2915" s="95"/>
      <c r="AB2915" s="95"/>
      <c r="AC2915" s="355"/>
      <c r="AD2915" s="355"/>
      <c r="AE2915" s="355"/>
      <c r="AF2915" s="94">
        <f t="shared" si="376"/>
        <v>43404</v>
      </c>
      <c r="AG2915" s="185">
        <f t="shared" si="379"/>
        <v>-4.7623012829869138E-2</v>
      </c>
      <c r="AH2915" s="339" t="str">
        <f>VLOOKUP(B2915,'MF PF'!A:B,2)</f>
        <v>FdMgt1</v>
      </c>
      <c r="AI2915" s="358">
        <f t="shared" si="377"/>
        <v>0</v>
      </c>
      <c r="AJ2915" s="94">
        <f t="shared" si="378"/>
        <v>43404</v>
      </c>
    </row>
    <row r="2916" spans="1:36" ht="12.75" customHeight="1">
      <c r="A2916" s="94">
        <v>43432</v>
      </c>
      <c r="B2916" s="358" t="s">
        <v>273</v>
      </c>
      <c r="C2916" s="358" t="s">
        <v>381</v>
      </c>
      <c r="D2916" s="93"/>
      <c r="F2916" s="93"/>
      <c r="G2916" s="93">
        <v>8699.8799999999992</v>
      </c>
      <c r="H2916" s="93">
        <v>0</v>
      </c>
      <c r="I2916" s="93">
        <v>0</v>
      </c>
      <c r="K2916" s="93">
        <v>0</v>
      </c>
      <c r="L2916" s="93">
        <f t="shared" si="374"/>
        <v>8699.8799999999992</v>
      </c>
      <c r="M2916" s="95" t="e">
        <f t="shared" ca="1" si="375"/>
        <v>#DIV/0!</v>
      </c>
      <c r="N2916" s="95">
        <f>IF(P2916="Hedge Fund",IF(A2916=Summary!$AD$3,M2916-E2916,M2916),IF(A2916=Summary!$AD$3,L2916-D2916,L2916))</f>
        <v>8699.8799999999992</v>
      </c>
      <c r="O2916" s="95">
        <f t="shared" si="380"/>
        <v>8699.8799999999992</v>
      </c>
      <c r="P2916" s="95" t="s">
        <v>155</v>
      </c>
      <c r="Q2916" s="95"/>
      <c r="R2916" s="95"/>
      <c r="S2916" s="95"/>
      <c r="T2916" s="95"/>
      <c r="U2916" s="95"/>
      <c r="V2916" s="95"/>
      <c r="W2916" s="95"/>
      <c r="X2916" s="95"/>
      <c r="Y2916" s="95"/>
      <c r="Z2916" s="95"/>
      <c r="AA2916" s="95"/>
      <c r="AB2916" s="95"/>
      <c r="AC2916" s="355"/>
      <c r="AD2916" s="355"/>
      <c r="AE2916" s="355"/>
      <c r="AF2916" s="94">
        <f t="shared" si="376"/>
        <v>43432</v>
      </c>
      <c r="AG2916" s="185">
        <f t="shared" si="379"/>
        <v>-1.099726356274227</v>
      </c>
      <c r="AH2916" s="339" t="str">
        <f>VLOOKUP(B2916,'MF PF'!A:B,2)</f>
        <v>FdMgt1</v>
      </c>
      <c r="AI2916" s="358">
        <f t="shared" si="377"/>
        <v>0</v>
      </c>
      <c r="AJ2916" s="94">
        <f t="shared" si="378"/>
        <v>43434</v>
      </c>
    </row>
    <row r="2917" spans="1:36" ht="12.75" customHeight="1">
      <c r="A2917" s="94">
        <v>43434</v>
      </c>
      <c r="B2917" s="358" t="s">
        <v>273</v>
      </c>
      <c r="C2917" s="358" t="s">
        <v>381</v>
      </c>
      <c r="D2917" s="93">
        <v>100479.48</v>
      </c>
      <c r="F2917" s="93">
        <v>0.1</v>
      </c>
      <c r="G2917" s="93"/>
      <c r="H2917" s="93">
        <v>0</v>
      </c>
      <c r="I2917" s="93">
        <v>0</v>
      </c>
      <c r="K2917" s="93">
        <v>0</v>
      </c>
      <c r="L2917" s="93">
        <f t="shared" si="374"/>
        <v>0</v>
      </c>
      <c r="M2917" s="95" t="e">
        <f t="shared" ca="1" si="375"/>
        <v>#DIV/0!</v>
      </c>
      <c r="N2917" s="95">
        <f>IF(P2917="Hedge Fund",IF(A2917=Summary!$AD$3,M2917-E2917,M2917),IF(A2917=Summary!$AD$3,L2917-D2917,L2917))</f>
        <v>0</v>
      </c>
      <c r="O2917" s="95">
        <f t="shared" si="380"/>
        <v>0</v>
      </c>
      <c r="P2917" s="95" t="s">
        <v>155</v>
      </c>
      <c r="Q2917" s="95">
        <v>0</v>
      </c>
      <c r="R2917" s="95">
        <v>0</v>
      </c>
      <c r="S2917" s="95"/>
      <c r="T2917" s="95"/>
      <c r="U2917" s="95"/>
      <c r="V2917" s="95"/>
      <c r="W2917" s="95"/>
      <c r="X2917" s="95"/>
      <c r="Y2917" s="95"/>
      <c r="Z2917" s="95"/>
      <c r="AA2917" s="95"/>
      <c r="AB2917" s="95"/>
      <c r="AC2917" s="355"/>
      <c r="AD2917" s="355"/>
      <c r="AE2917" s="355"/>
      <c r="AF2917" s="94">
        <f t="shared" si="376"/>
        <v>43434</v>
      </c>
      <c r="AG2917" s="185" t="e">
        <f t="shared" si="379"/>
        <v>#DIV/0!</v>
      </c>
      <c r="AH2917" s="339" t="str">
        <f>VLOOKUP(B2917,'MF PF'!A:B,2)</f>
        <v>FdMgt1</v>
      </c>
      <c r="AI2917" s="358">
        <f t="shared" si="377"/>
        <v>0</v>
      </c>
      <c r="AJ2917" s="94">
        <f t="shared" si="378"/>
        <v>43434</v>
      </c>
    </row>
    <row r="2918" spans="1:36" ht="12.75" customHeight="1">
      <c r="A2918" s="94">
        <v>43465</v>
      </c>
      <c r="B2918" s="358" t="s">
        <v>273</v>
      </c>
      <c r="C2918" s="358" t="s">
        <v>381</v>
      </c>
      <c r="D2918" s="368">
        <v>101134.58</v>
      </c>
      <c r="F2918" s="93">
        <v>0.1</v>
      </c>
      <c r="G2918" s="93"/>
      <c r="H2918" s="93">
        <v>0</v>
      </c>
      <c r="I2918" s="93">
        <v>0</v>
      </c>
      <c r="K2918" s="93">
        <v>0</v>
      </c>
      <c r="L2918" s="93">
        <f t="shared" si="374"/>
        <v>0</v>
      </c>
      <c r="M2918" s="95" t="e">
        <f t="shared" ca="1" si="375"/>
        <v>#DIV/0!</v>
      </c>
      <c r="N2918" s="95">
        <f>IF(P2918="Hedge Fund",IF(A2918=Summary!$AD$3,M2918-E2918,M2918),IF(A2918=Summary!$AD$3,L2918-D2918,L2918))</f>
        <v>0</v>
      </c>
      <c r="O2918" s="95">
        <f t="shared" si="380"/>
        <v>0</v>
      </c>
      <c r="P2918" s="95" t="s">
        <v>155</v>
      </c>
      <c r="Q2918" s="95">
        <v>-0.10113458278705256</v>
      </c>
      <c r="R2918" s="95">
        <v>0</v>
      </c>
      <c r="S2918" s="95"/>
      <c r="T2918" s="95"/>
      <c r="U2918" s="95"/>
      <c r="V2918" s="95"/>
      <c r="W2918" s="95"/>
      <c r="X2918" s="95"/>
      <c r="Y2918" s="95"/>
      <c r="Z2918" s="95"/>
      <c r="AA2918" s="95"/>
      <c r="AB2918" s="95"/>
      <c r="AC2918" s="355"/>
      <c r="AD2918" s="355"/>
      <c r="AE2918" s="355"/>
      <c r="AF2918" s="94">
        <f t="shared" si="376"/>
        <v>43465</v>
      </c>
      <c r="AG2918" s="185">
        <f t="shared" si="379"/>
        <v>6.5197391547011652E-3</v>
      </c>
      <c r="AH2918" s="339" t="str">
        <f>VLOOKUP(B2918,'MF PF'!A:B,2)</f>
        <v>FdMgt1</v>
      </c>
      <c r="AI2918" s="358">
        <f t="shared" si="377"/>
        <v>0</v>
      </c>
      <c r="AJ2918" s="94">
        <f t="shared" si="378"/>
        <v>43465</v>
      </c>
    </row>
    <row r="2919" spans="1:36" ht="12.75" customHeight="1">
      <c r="A2919" s="94">
        <v>43496</v>
      </c>
      <c r="B2919" s="358" t="s">
        <v>273</v>
      </c>
      <c r="C2919" s="358" t="s">
        <v>381</v>
      </c>
      <c r="D2919" s="93">
        <v>102841.93</v>
      </c>
      <c r="F2919" s="93">
        <v>9.9054898777712522E-2</v>
      </c>
      <c r="G2919" s="93"/>
      <c r="H2919" s="93">
        <v>0</v>
      </c>
      <c r="I2919" s="93">
        <v>0</v>
      </c>
      <c r="K2919" s="93">
        <v>0</v>
      </c>
      <c r="L2919" s="93">
        <f t="shared" si="374"/>
        <v>0</v>
      </c>
      <c r="M2919" s="95" t="e">
        <f t="shared" ca="1" si="375"/>
        <v>#DIV/0!</v>
      </c>
      <c r="N2919" s="95">
        <f>IF(P2919="Hedge Fund",IF(A2919=Summary!$AD$3,M2919-E2919,M2919),IF(A2919=Summary!$AD$3,L2919-D2919,L2919))</f>
        <v>-102841.93</v>
      </c>
      <c r="O2919" s="95">
        <f t="shared" si="380"/>
        <v>-102841.93</v>
      </c>
      <c r="P2919" s="95" t="s">
        <v>155</v>
      </c>
      <c r="Q2919" s="95">
        <v>0</v>
      </c>
      <c r="R2919" s="95">
        <v>0</v>
      </c>
      <c r="S2919" s="95"/>
      <c r="T2919" s="95"/>
      <c r="U2919" s="95"/>
      <c r="V2919" s="95"/>
      <c r="W2919" s="95"/>
      <c r="X2919" s="95"/>
      <c r="Y2919" s="95"/>
      <c r="Z2919" s="95"/>
      <c r="AA2919" s="95"/>
      <c r="AB2919" s="95"/>
      <c r="AC2919" s="355"/>
      <c r="AD2919" s="355"/>
      <c r="AE2919" s="355"/>
      <c r="AF2919" s="94">
        <f t="shared" si="376"/>
        <v>43496</v>
      </c>
      <c r="AG2919" s="185">
        <f t="shared" si="379"/>
        <v>1.6881960650847461E-2</v>
      </c>
      <c r="AH2919" s="339" t="str">
        <f>VLOOKUP(B2919,'MF PF'!A:B,2)</f>
        <v>FdMgt1</v>
      </c>
      <c r="AI2919" s="358">
        <f t="shared" si="377"/>
        <v>0</v>
      </c>
      <c r="AJ2919" s="94">
        <f t="shared" si="378"/>
        <v>43496</v>
      </c>
    </row>
    <row r="2920" spans="1:36" ht="12.75" customHeight="1">
      <c r="A2920" s="94">
        <v>43329</v>
      </c>
      <c r="B2920" s="358" t="s">
        <v>273</v>
      </c>
      <c r="C2920" s="358" t="s">
        <v>382</v>
      </c>
      <c r="D2920" s="93"/>
      <c r="F2920" s="93"/>
      <c r="G2920" s="93">
        <v>821725.8253325501</v>
      </c>
      <c r="H2920" s="93"/>
      <c r="I2920" s="93"/>
      <c r="K2920" s="93"/>
      <c r="L2920" s="93">
        <f t="shared" si="374"/>
        <v>821725.8253325501</v>
      </c>
      <c r="M2920" s="95">
        <f t="shared" ca="1" si="375"/>
        <v>0</v>
      </c>
      <c r="N2920" s="95">
        <f>IF(P2920="Hedge Fund",IF(A2920=Summary!$AD$3,M2920-E2920,M2920),IF(A2920=Summary!$AD$3,L2920-D2920,L2920))</f>
        <v>821725.8253325501</v>
      </c>
      <c r="O2920" s="95">
        <f t="shared" si="380"/>
        <v>821725.8253325501</v>
      </c>
      <c r="P2920" s="107" t="s">
        <v>155</v>
      </c>
      <c r="Q2920" s="95">
        <v>0</v>
      </c>
      <c r="R2920" s="95">
        <v>0</v>
      </c>
      <c r="S2920" s="95"/>
      <c r="T2920" s="95"/>
      <c r="U2920" s="95"/>
      <c r="V2920" s="95"/>
      <c r="W2920" s="95"/>
      <c r="X2920" s="95"/>
      <c r="Y2920" s="95"/>
      <c r="Z2920" s="95"/>
      <c r="AA2920" s="95"/>
      <c r="AB2920" s="95"/>
      <c r="AC2920" s="355"/>
      <c r="AD2920" s="355"/>
      <c r="AE2920" s="355"/>
      <c r="AF2920" s="94">
        <f t="shared" si="376"/>
        <v>43329</v>
      </c>
      <c r="AG2920" s="185">
        <f t="shared" si="379"/>
        <v>-1</v>
      </c>
      <c r="AH2920" s="339" t="str">
        <f>VLOOKUP(B2920,'MF PF'!A:B,2)</f>
        <v>FdMgt1</v>
      </c>
      <c r="AI2920" s="358">
        <f t="shared" si="377"/>
        <v>0</v>
      </c>
      <c r="AJ2920" s="94">
        <f t="shared" si="378"/>
        <v>43343</v>
      </c>
    </row>
    <row r="2921" spans="1:36" ht="12.75" customHeight="1">
      <c r="A2921" s="94">
        <v>43343</v>
      </c>
      <c r="B2921" s="358" t="s">
        <v>273</v>
      </c>
      <c r="C2921" s="358" t="s">
        <v>382</v>
      </c>
      <c r="D2921" s="93">
        <v>611394.16</v>
      </c>
      <c r="F2921" s="93"/>
      <c r="G2921" s="93"/>
      <c r="H2921" s="93"/>
      <c r="I2921" s="93"/>
      <c r="K2921" s="93"/>
      <c r="L2921" s="93">
        <f t="shared" si="374"/>
        <v>0</v>
      </c>
      <c r="M2921" s="95" t="e">
        <f t="shared" ca="1" si="375"/>
        <v>#DIV/0!</v>
      </c>
      <c r="N2921" s="95">
        <f>IF(P2921="Hedge Fund",IF(A2921=Summary!$AD$3,M2921-E2921,M2921),IF(A2921=Summary!$AD$3,L2921-D2921,L2921))</f>
        <v>0</v>
      </c>
      <c r="O2921" s="95">
        <f t="shared" si="380"/>
        <v>0</v>
      </c>
      <c r="P2921" s="107" t="s">
        <v>155</v>
      </c>
      <c r="Q2921" s="95">
        <v>0</v>
      </c>
      <c r="R2921" s="95">
        <v>0</v>
      </c>
      <c r="S2921" s="95"/>
      <c r="T2921" s="95"/>
      <c r="U2921" s="95"/>
      <c r="V2921" s="95"/>
      <c r="W2921" s="95"/>
      <c r="X2921" s="95"/>
      <c r="Y2921" s="95"/>
      <c r="Z2921" s="95"/>
      <c r="AA2921" s="95"/>
      <c r="AB2921" s="95"/>
      <c r="AC2921" s="355"/>
      <c r="AD2921" s="355"/>
      <c r="AE2921" s="355"/>
      <c r="AF2921" s="94">
        <f t="shared" si="376"/>
        <v>43343</v>
      </c>
      <c r="AG2921" s="185" t="e">
        <f t="shared" si="379"/>
        <v>#DIV/0!</v>
      </c>
      <c r="AH2921" s="339" t="str">
        <f>VLOOKUP(B2921,'MF PF'!A:B,2)</f>
        <v>FdMgt1</v>
      </c>
      <c r="AI2921" s="358">
        <f t="shared" si="377"/>
        <v>0</v>
      </c>
      <c r="AJ2921" s="94">
        <f t="shared" si="378"/>
        <v>43343</v>
      </c>
    </row>
    <row r="2922" spans="1:36" ht="12.75" customHeight="1">
      <c r="A2922" s="94">
        <v>43369</v>
      </c>
      <c r="B2922" s="358" t="s">
        <v>273</v>
      </c>
      <c r="C2922" s="358" t="s">
        <v>382</v>
      </c>
      <c r="D2922" s="93"/>
      <c r="F2922" s="93"/>
      <c r="G2922" s="93">
        <v>165432.1</v>
      </c>
      <c r="H2922" s="93"/>
      <c r="I2922" s="93"/>
      <c r="K2922" s="93"/>
      <c r="L2922" s="93">
        <f t="shared" si="374"/>
        <v>165432.1</v>
      </c>
      <c r="M2922" s="95" t="e">
        <f t="shared" ca="1" si="375"/>
        <v>#DIV/0!</v>
      </c>
      <c r="N2922" s="95">
        <f>IF(P2922="Hedge Fund",IF(A2922=Summary!$AD$3,M2922-E2922,M2922),IF(A2922=Summary!$AD$3,L2922-D2922,L2922))</f>
        <v>165432.1</v>
      </c>
      <c r="O2922" s="95">
        <f t="shared" si="380"/>
        <v>165432.1</v>
      </c>
      <c r="P2922" s="107" t="s">
        <v>155</v>
      </c>
      <c r="Q2922" s="95">
        <v>0</v>
      </c>
      <c r="R2922" s="95">
        <v>0</v>
      </c>
      <c r="S2922" s="95"/>
      <c r="T2922" s="95"/>
      <c r="U2922" s="95"/>
      <c r="V2922" s="95"/>
      <c r="W2922" s="95"/>
      <c r="X2922" s="95"/>
      <c r="Y2922" s="95"/>
      <c r="Z2922" s="95"/>
      <c r="AA2922" s="95"/>
      <c r="AB2922" s="95"/>
      <c r="AC2922" s="355"/>
      <c r="AD2922" s="355"/>
      <c r="AE2922" s="355"/>
      <c r="AF2922" s="94">
        <f t="shared" si="376"/>
        <v>43369</v>
      </c>
      <c r="AG2922" s="185">
        <f t="shared" si="379"/>
        <v>-1.2705817471334695</v>
      </c>
      <c r="AH2922" s="339" t="str">
        <f>VLOOKUP(B2922,'MF PF'!A:B,2)</f>
        <v>FdMgt1</v>
      </c>
      <c r="AI2922" s="358">
        <f t="shared" si="377"/>
        <v>0</v>
      </c>
      <c r="AJ2922" s="94">
        <f t="shared" si="378"/>
        <v>43373</v>
      </c>
    </row>
    <row r="2923" spans="1:36" ht="12.75" customHeight="1">
      <c r="A2923" s="94">
        <v>43371</v>
      </c>
      <c r="B2923" s="358" t="s">
        <v>273</v>
      </c>
      <c r="C2923" s="358" t="s">
        <v>382</v>
      </c>
      <c r="D2923" s="93">
        <v>992331.92</v>
      </c>
      <c r="F2923" s="93"/>
      <c r="G2923" s="93"/>
      <c r="H2923" s="93"/>
      <c r="I2923" s="93"/>
      <c r="K2923" s="93"/>
      <c r="L2923" s="93">
        <f t="shared" si="374"/>
        <v>0</v>
      </c>
      <c r="M2923" s="95" t="e">
        <f t="shared" ca="1" si="375"/>
        <v>#DIV/0!</v>
      </c>
      <c r="N2923" s="95">
        <f>IF(P2923="Hedge Fund",IF(A2923=Summary!$AD$3,M2923-E2923,M2923),IF(A2923=Summary!$AD$3,L2923-D2923,L2923))</f>
        <v>0</v>
      </c>
      <c r="O2923" s="95">
        <f t="shared" si="380"/>
        <v>0</v>
      </c>
      <c r="P2923" s="107" t="s">
        <v>155</v>
      </c>
      <c r="Q2923" s="95">
        <v>3.9947300000000002E-3</v>
      </c>
      <c r="R2923" s="95">
        <v>9.1305999999999994E-4</v>
      </c>
      <c r="S2923" s="95"/>
      <c r="T2923" s="95"/>
      <c r="U2923" s="95"/>
      <c r="V2923" s="95"/>
      <c r="W2923" s="95"/>
      <c r="X2923" s="95"/>
      <c r="Y2923" s="95"/>
      <c r="Z2923" s="95"/>
      <c r="AA2923" s="95"/>
      <c r="AB2923" s="95"/>
      <c r="AC2923" s="355"/>
      <c r="AD2923" s="355"/>
      <c r="AE2923" s="355"/>
      <c r="AF2923" s="94">
        <f t="shared" si="376"/>
        <v>43371</v>
      </c>
      <c r="AG2923" s="185" t="e">
        <f t="shared" si="379"/>
        <v>#DIV/0!</v>
      </c>
      <c r="AH2923" s="339" t="str">
        <f>VLOOKUP(B2923,'MF PF'!A:B,2)</f>
        <v>FdMgt1</v>
      </c>
      <c r="AI2923" s="358">
        <f t="shared" si="377"/>
        <v>0</v>
      </c>
      <c r="AJ2923" s="94">
        <f t="shared" si="378"/>
        <v>43373</v>
      </c>
    </row>
    <row r="2924" spans="1:36" ht="12.75" customHeight="1">
      <c r="A2924" s="94">
        <v>43404</v>
      </c>
      <c r="B2924" s="358" t="s">
        <v>273</v>
      </c>
      <c r="C2924" s="358" t="s">
        <v>382</v>
      </c>
      <c r="D2924" s="93">
        <v>969430.77</v>
      </c>
      <c r="F2924" s="93">
        <v>1.2</v>
      </c>
      <c r="G2924" s="93">
        <v>97097.239999999991</v>
      </c>
      <c r="H2924" s="93">
        <v>0</v>
      </c>
      <c r="I2924" s="93">
        <v>0</v>
      </c>
      <c r="J2924" s="93">
        <v>0</v>
      </c>
      <c r="K2924" s="93"/>
      <c r="L2924" s="93">
        <f t="shared" si="374"/>
        <v>97097.239999999991</v>
      </c>
      <c r="M2924" s="95" t="e">
        <f t="shared" ca="1" si="375"/>
        <v>#DIV/0!</v>
      </c>
      <c r="N2924" s="95">
        <f>IF(P2924="Hedge Fund",IF(A2924=Summary!$AD$3,M2924-E2924,M2924),IF(A2924=Summary!$AD$3,L2924-D2924,L2924))</f>
        <v>97097.239999999991</v>
      </c>
      <c r="O2924" s="95">
        <f t="shared" si="380"/>
        <v>97097.239999999991</v>
      </c>
      <c r="P2924" s="95" t="s">
        <v>155</v>
      </c>
      <c r="Q2924" s="95">
        <v>5.1202839400407716E-3</v>
      </c>
      <c r="R2924" s="95">
        <v>0</v>
      </c>
      <c r="S2924" s="95"/>
      <c r="T2924" s="95"/>
      <c r="U2924" s="95"/>
      <c r="V2924" s="95"/>
      <c r="W2924" s="95"/>
      <c r="X2924" s="95"/>
      <c r="Y2924" s="95"/>
      <c r="Z2924" s="95"/>
      <c r="AA2924" s="95"/>
      <c r="AB2924" s="95"/>
      <c r="AC2924" s="355"/>
      <c r="AD2924" s="355"/>
      <c r="AE2924" s="355"/>
      <c r="AF2924" s="94">
        <f t="shared" si="376"/>
        <v>43404</v>
      </c>
      <c r="AG2924" s="185">
        <f t="shared" si="379"/>
        <v>-0.12092565761665719</v>
      </c>
      <c r="AH2924" s="339" t="str">
        <f>VLOOKUP(B2924,'MF PF'!A:B,2)</f>
        <v>FdMgt1</v>
      </c>
      <c r="AI2924" s="358">
        <f t="shared" si="377"/>
        <v>0</v>
      </c>
      <c r="AJ2924" s="94">
        <f t="shared" si="378"/>
        <v>43404</v>
      </c>
    </row>
    <row r="2925" spans="1:36" ht="12.75" customHeight="1">
      <c r="A2925" s="94">
        <v>43432</v>
      </c>
      <c r="B2925" s="358" t="s">
        <v>273</v>
      </c>
      <c r="C2925" s="358" t="s">
        <v>382</v>
      </c>
      <c r="D2925" s="93"/>
      <c r="F2925" s="93"/>
      <c r="G2925" s="93">
        <v>104403.63</v>
      </c>
      <c r="H2925" s="93">
        <v>0</v>
      </c>
      <c r="I2925" s="93">
        <v>0</v>
      </c>
      <c r="K2925" s="93">
        <v>0</v>
      </c>
      <c r="L2925" s="93">
        <f t="shared" si="374"/>
        <v>104403.63</v>
      </c>
      <c r="M2925" s="95" t="e">
        <f t="shared" ca="1" si="375"/>
        <v>#DIV/0!</v>
      </c>
      <c r="N2925" s="95">
        <f>IF(P2925="Hedge Fund",IF(A2925=Summary!$AD$3,M2925-E2925,M2925),IF(A2925=Summary!$AD$3,L2925-D2925,L2925))</f>
        <v>104403.63</v>
      </c>
      <c r="O2925" s="95">
        <f t="shared" si="380"/>
        <v>104403.63</v>
      </c>
      <c r="P2925" s="95" t="s">
        <v>155</v>
      </c>
      <c r="Q2925" s="95"/>
      <c r="R2925" s="95"/>
      <c r="S2925" s="95"/>
      <c r="T2925" s="95"/>
      <c r="U2925" s="95"/>
      <c r="V2925" s="95"/>
      <c r="W2925" s="95"/>
      <c r="X2925" s="95"/>
      <c r="Y2925" s="95"/>
      <c r="Z2925" s="95"/>
      <c r="AA2925" s="95"/>
      <c r="AB2925" s="95"/>
      <c r="AC2925" s="355"/>
      <c r="AD2925" s="355"/>
      <c r="AE2925" s="355"/>
      <c r="AF2925" s="94">
        <f t="shared" si="376"/>
        <v>43432</v>
      </c>
      <c r="AG2925" s="185">
        <f t="shared" si="379"/>
        <v>-1.1076958079224162</v>
      </c>
      <c r="AH2925" s="339" t="str">
        <f>VLOOKUP(B2925,'MF PF'!A:B,2)</f>
        <v>FdMgt1</v>
      </c>
      <c r="AI2925" s="358">
        <f t="shared" si="377"/>
        <v>0</v>
      </c>
      <c r="AJ2925" s="94">
        <f t="shared" si="378"/>
        <v>43434</v>
      </c>
    </row>
    <row r="2926" spans="1:36" ht="12.75" customHeight="1">
      <c r="A2926" s="94">
        <v>43434</v>
      </c>
      <c r="B2926" s="358" t="s">
        <v>273</v>
      </c>
      <c r="C2926" s="358" t="s">
        <v>382</v>
      </c>
      <c r="D2926" s="93">
        <v>1142760.3799999999</v>
      </c>
      <c r="F2926" s="93">
        <v>1.2</v>
      </c>
      <c r="G2926" s="93"/>
      <c r="H2926" s="93">
        <v>0</v>
      </c>
      <c r="I2926" s="93">
        <v>0</v>
      </c>
      <c r="K2926" s="93">
        <v>0</v>
      </c>
      <c r="L2926" s="93">
        <f t="shared" si="374"/>
        <v>0</v>
      </c>
      <c r="M2926" s="95" t="e">
        <f t="shared" ca="1" si="375"/>
        <v>#DIV/0!</v>
      </c>
      <c r="N2926" s="95">
        <f>IF(P2926="Hedge Fund",IF(A2926=Summary!$AD$3,M2926-E2926,M2926),IF(A2926=Summary!$AD$3,L2926-D2926,L2926))</f>
        <v>0</v>
      </c>
      <c r="O2926" s="95">
        <f t="shared" si="380"/>
        <v>0</v>
      </c>
      <c r="P2926" s="95" t="s">
        <v>155</v>
      </c>
      <c r="Q2926" s="95">
        <v>6.9805500000000003E-3</v>
      </c>
      <c r="R2926" s="95">
        <v>0</v>
      </c>
      <c r="S2926" s="95"/>
      <c r="T2926" s="95"/>
      <c r="U2926" s="95"/>
      <c r="V2926" s="95"/>
      <c r="W2926" s="95"/>
      <c r="X2926" s="95"/>
      <c r="Y2926" s="95"/>
      <c r="Z2926" s="95"/>
      <c r="AA2926" s="95"/>
      <c r="AB2926" s="95"/>
      <c r="AC2926" s="355"/>
      <c r="AD2926" s="355"/>
      <c r="AE2926" s="355"/>
      <c r="AF2926" s="94">
        <f t="shared" si="376"/>
        <v>43434</v>
      </c>
      <c r="AG2926" s="185" t="e">
        <f t="shared" si="379"/>
        <v>#DIV/0!</v>
      </c>
      <c r="AH2926" s="339" t="str">
        <f>VLOOKUP(B2926,'MF PF'!A:B,2)</f>
        <v>FdMgt1</v>
      </c>
      <c r="AI2926" s="358">
        <f t="shared" si="377"/>
        <v>0</v>
      </c>
      <c r="AJ2926" s="94">
        <f t="shared" si="378"/>
        <v>43434</v>
      </c>
    </row>
    <row r="2927" spans="1:36" ht="12.75" customHeight="1">
      <c r="A2927" s="94">
        <v>43465</v>
      </c>
      <c r="B2927" s="358" t="s">
        <v>273</v>
      </c>
      <c r="C2927" s="358" t="s">
        <v>382</v>
      </c>
      <c r="D2927" s="368">
        <v>1203343.4247999999</v>
      </c>
      <c r="F2927" s="93">
        <v>1.2</v>
      </c>
      <c r="G2927" s="93"/>
      <c r="H2927" s="93">
        <v>0</v>
      </c>
      <c r="I2927" s="93">
        <v>0</v>
      </c>
      <c r="K2927" s="93">
        <v>0</v>
      </c>
      <c r="L2927" s="93">
        <f t="shared" si="374"/>
        <v>0</v>
      </c>
      <c r="M2927" s="95" t="e">
        <f t="shared" ca="1" si="375"/>
        <v>#DIV/0!</v>
      </c>
      <c r="N2927" s="95">
        <f>IF(P2927="Hedge Fund",IF(A2927=Summary!$AD$3,M2927-E2927,M2927),IF(A2927=Summary!$AD$3,L2927-D2927,L2927))</f>
        <v>0</v>
      </c>
      <c r="O2927" s="95">
        <f t="shared" si="380"/>
        <v>0</v>
      </c>
      <c r="P2927" s="95" t="s">
        <v>155</v>
      </c>
      <c r="Q2927" s="95">
        <v>-1.2136150034446309</v>
      </c>
      <c r="R2927" s="95">
        <v>0</v>
      </c>
      <c r="S2927" s="95"/>
      <c r="T2927" s="95"/>
      <c r="U2927" s="95"/>
      <c r="V2927" s="95"/>
      <c r="W2927" s="95"/>
      <c r="X2927" s="95"/>
      <c r="Y2927" s="95"/>
      <c r="Z2927" s="95"/>
      <c r="AA2927" s="95"/>
      <c r="AB2927" s="95"/>
      <c r="AC2927" s="355"/>
      <c r="AD2927" s="355"/>
      <c r="AE2927" s="355"/>
      <c r="AF2927" s="94">
        <f t="shared" si="376"/>
        <v>43465</v>
      </c>
      <c r="AG2927" s="185">
        <f t="shared" si="379"/>
        <v>5.3014652818117458E-2</v>
      </c>
      <c r="AH2927" s="339" t="str">
        <f>VLOOKUP(B2927,'MF PF'!A:B,2)</f>
        <v>FdMgt1</v>
      </c>
      <c r="AI2927" s="358">
        <f t="shared" si="377"/>
        <v>0</v>
      </c>
      <c r="AJ2927" s="94">
        <f t="shared" si="378"/>
        <v>43465</v>
      </c>
    </row>
    <row r="2928" spans="1:36" ht="12.75" customHeight="1">
      <c r="A2928" s="94">
        <v>43496</v>
      </c>
      <c r="B2928" s="358" t="s">
        <v>273</v>
      </c>
      <c r="C2928" s="358" t="s">
        <v>382</v>
      </c>
      <c r="D2928" s="93">
        <v>1169099.3</v>
      </c>
      <c r="F2928" s="93">
        <v>1.18865879533255</v>
      </c>
      <c r="G2928" s="93"/>
      <c r="H2928" s="93">
        <v>0</v>
      </c>
      <c r="I2928" s="93">
        <v>0</v>
      </c>
      <c r="K2928" s="93">
        <v>0</v>
      </c>
      <c r="L2928" s="93">
        <f t="shared" si="374"/>
        <v>0</v>
      </c>
      <c r="M2928" s="95" t="e">
        <f t="shared" ca="1" si="375"/>
        <v>#DIV/0!</v>
      </c>
      <c r="N2928" s="95">
        <f>IF(P2928="Hedge Fund",IF(A2928=Summary!$AD$3,M2928-E2928,M2928),IF(A2928=Summary!$AD$3,L2928-D2928,L2928))</f>
        <v>-1169099.3</v>
      </c>
      <c r="O2928" s="95">
        <f t="shared" si="380"/>
        <v>-1169099.3</v>
      </c>
      <c r="P2928" s="95" t="s">
        <v>155</v>
      </c>
      <c r="Q2928" s="95">
        <v>8.9910751053288909E-3</v>
      </c>
      <c r="R2928" s="95">
        <v>0</v>
      </c>
      <c r="S2928" s="95"/>
      <c r="T2928" s="95"/>
      <c r="U2928" s="95"/>
      <c r="V2928" s="95"/>
      <c r="W2928" s="95"/>
      <c r="X2928" s="95"/>
      <c r="Y2928" s="95"/>
      <c r="Z2928" s="95"/>
      <c r="AA2928" s="95"/>
      <c r="AB2928" s="95"/>
      <c r="AC2928" s="355"/>
      <c r="AD2928" s="355"/>
      <c r="AE2928" s="355"/>
      <c r="AF2928" s="94">
        <f t="shared" si="376"/>
        <v>43496</v>
      </c>
      <c r="AG2928" s="185">
        <f t="shared" si="379"/>
        <v>-2.8457482788582511E-2</v>
      </c>
      <c r="AH2928" s="339" t="str">
        <f>VLOOKUP(B2928,'MF PF'!A:B,2)</f>
        <v>FdMgt1</v>
      </c>
      <c r="AI2928" s="358">
        <f t="shared" si="377"/>
        <v>0</v>
      </c>
      <c r="AJ2928" s="94">
        <f t="shared" si="378"/>
        <v>43496</v>
      </c>
    </row>
    <row r="2929" spans="1:36" ht="12.75" customHeight="1">
      <c r="A2929" s="94">
        <v>43329</v>
      </c>
      <c r="B2929" s="358" t="s">
        <v>273</v>
      </c>
      <c r="C2929" s="358" t="s">
        <v>383</v>
      </c>
      <c r="D2929" s="93"/>
      <c r="F2929" s="93"/>
      <c r="G2929" s="93">
        <v>109563.31004434002</v>
      </c>
      <c r="H2929" s="93"/>
      <c r="I2929" s="93"/>
      <c r="K2929" s="93"/>
      <c r="L2929" s="93">
        <f t="shared" si="374"/>
        <v>109563.31004434002</v>
      </c>
      <c r="M2929" s="95">
        <f t="shared" ca="1" si="375"/>
        <v>0</v>
      </c>
      <c r="N2929" s="95">
        <f>IF(P2929="Hedge Fund",IF(A2929=Summary!$AD$3,M2929-E2929,M2929),IF(A2929=Summary!$AD$3,L2929-D2929,L2929))</f>
        <v>109563.31004434002</v>
      </c>
      <c r="O2929" s="95">
        <f t="shared" si="380"/>
        <v>109563.31004434002</v>
      </c>
      <c r="P2929" s="107" t="s">
        <v>155</v>
      </c>
      <c r="Q2929" s="95">
        <v>0</v>
      </c>
      <c r="R2929" s="95">
        <v>0</v>
      </c>
      <c r="S2929" s="95"/>
      <c r="T2929" s="95"/>
      <c r="U2929" s="95"/>
      <c r="V2929" s="95"/>
      <c r="W2929" s="95"/>
      <c r="X2929" s="95"/>
      <c r="Y2929" s="95"/>
      <c r="Z2929" s="95"/>
      <c r="AA2929" s="95"/>
      <c r="AB2929" s="95"/>
      <c r="AC2929" s="355"/>
      <c r="AD2929" s="355"/>
      <c r="AE2929" s="355"/>
      <c r="AF2929" s="94">
        <f t="shared" si="376"/>
        <v>43329</v>
      </c>
      <c r="AG2929" s="185">
        <f t="shared" si="379"/>
        <v>-1</v>
      </c>
      <c r="AH2929" s="339" t="str">
        <f>VLOOKUP(B2929,'MF PF'!A:B,2)</f>
        <v>FdMgt1</v>
      </c>
      <c r="AI2929" s="358">
        <f t="shared" si="377"/>
        <v>0</v>
      </c>
      <c r="AJ2929" s="94">
        <f t="shared" si="378"/>
        <v>43343</v>
      </c>
    </row>
    <row r="2930" spans="1:36" ht="12.75" customHeight="1">
      <c r="A2930" s="94">
        <v>43343</v>
      </c>
      <c r="B2930" s="358" t="s">
        <v>273</v>
      </c>
      <c r="C2930" s="358" t="s">
        <v>383</v>
      </c>
      <c r="D2930" s="93">
        <v>132188.85999999999</v>
      </c>
      <c r="F2930" s="93"/>
      <c r="G2930" s="93"/>
      <c r="H2930" s="93"/>
      <c r="I2930" s="93"/>
      <c r="K2930" s="93"/>
      <c r="L2930" s="93">
        <f t="shared" si="374"/>
        <v>0</v>
      </c>
      <c r="M2930" s="95" t="e">
        <f t="shared" ca="1" si="375"/>
        <v>#DIV/0!</v>
      </c>
      <c r="N2930" s="95">
        <f>IF(P2930="Hedge Fund",IF(A2930=Summary!$AD$3,M2930-E2930,M2930),IF(A2930=Summary!$AD$3,L2930-D2930,L2930))</f>
        <v>0</v>
      </c>
      <c r="O2930" s="95">
        <f t="shared" si="380"/>
        <v>0</v>
      </c>
      <c r="P2930" s="107" t="s">
        <v>155</v>
      </c>
      <c r="Q2930" s="95">
        <v>0</v>
      </c>
      <c r="R2930" s="95">
        <v>0</v>
      </c>
      <c r="S2930" s="95"/>
      <c r="T2930" s="95"/>
      <c r="U2930" s="95"/>
      <c r="V2930" s="95"/>
      <c r="W2930" s="95"/>
      <c r="X2930" s="95"/>
      <c r="Y2930" s="95"/>
      <c r="Z2930" s="95"/>
      <c r="AA2930" s="95"/>
      <c r="AB2930" s="95"/>
      <c r="AC2930" s="355"/>
      <c r="AD2930" s="355"/>
      <c r="AE2930" s="355"/>
      <c r="AF2930" s="94">
        <f t="shared" si="376"/>
        <v>43343</v>
      </c>
      <c r="AG2930" s="185" t="e">
        <f t="shared" si="379"/>
        <v>#DIV/0!</v>
      </c>
      <c r="AH2930" s="339" t="str">
        <f>VLOOKUP(B2930,'MF PF'!A:B,2)</f>
        <v>FdMgt1</v>
      </c>
      <c r="AI2930" s="358">
        <f t="shared" si="377"/>
        <v>0</v>
      </c>
      <c r="AJ2930" s="94">
        <f t="shared" si="378"/>
        <v>43343</v>
      </c>
    </row>
    <row r="2931" spans="1:36" ht="12.75" customHeight="1">
      <c r="A2931" s="94">
        <v>43369</v>
      </c>
      <c r="B2931" s="358" t="s">
        <v>273</v>
      </c>
      <c r="C2931" s="358" t="s">
        <v>383</v>
      </c>
      <c r="D2931" s="93"/>
      <c r="F2931" s="93"/>
      <c r="G2931" s="93">
        <v>22057.61</v>
      </c>
      <c r="H2931" s="93"/>
      <c r="I2931" s="93"/>
      <c r="K2931" s="93"/>
      <c r="L2931" s="93">
        <f t="shared" si="374"/>
        <v>22057.61</v>
      </c>
      <c r="M2931" s="95" t="e">
        <f t="shared" ca="1" si="375"/>
        <v>#DIV/0!</v>
      </c>
      <c r="N2931" s="95">
        <f>IF(P2931="Hedge Fund",IF(A2931=Summary!$AD$3,M2931-E2931,M2931),IF(A2931=Summary!$AD$3,L2931-D2931,L2931))</f>
        <v>22057.61</v>
      </c>
      <c r="O2931" s="95">
        <f t="shared" si="380"/>
        <v>22057.61</v>
      </c>
      <c r="P2931" s="107" t="s">
        <v>155</v>
      </c>
      <c r="Q2931" s="95">
        <v>0</v>
      </c>
      <c r="R2931" s="95">
        <v>0</v>
      </c>
      <c r="S2931" s="95"/>
      <c r="T2931" s="95"/>
      <c r="U2931" s="95"/>
      <c r="V2931" s="95"/>
      <c r="W2931" s="95"/>
      <c r="X2931" s="95"/>
      <c r="Y2931" s="95"/>
      <c r="Z2931" s="95"/>
      <c r="AA2931" s="95"/>
      <c r="AB2931" s="95"/>
      <c r="AC2931" s="355"/>
      <c r="AD2931" s="355"/>
      <c r="AE2931" s="355"/>
      <c r="AF2931" s="94">
        <f t="shared" si="376"/>
        <v>43369</v>
      </c>
      <c r="AG2931" s="185">
        <f t="shared" si="379"/>
        <v>-1.1668643636082496</v>
      </c>
      <c r="AH2931" s="339" t="str">
        <f>VLOOKUP(B2931,'MF PF'!A:B,2)</f>
        <v>FdMgt1</v>
      </c>
      <c r="AI2931" s="358">
        <f t="shared" si="377"/>
        <v>0</v>
      </c>
      <c r="AJ2931" s="94">
        <f t="shared" si="378"/>
        <v>43373</v>
      </c>
    </row>
    <row r="2932" spans="1:36" ht="12.75" customHeight="1">
      <c r="A2932" s="94">
        <v>43371</v>
      </c>
      <c r="B2932" s="358" t="s">
        <v>273</v>
      </c>
      <c r="C2932" s="358" t="s">
        <v>383</v>
      </c>
      <c r="D2932" s="93">
        <v>132763.51999999999</v>
      </c>
      <c r="F2932" s="93"/>
      <c r="G2932" s="93"/>
      <c r="H2932" s="93"/>
      <c r="I2932" s="93"/>
      <c r="K2932" s="93"/>
      <c r="L2932" s="93">
        <f t="shared" si="374"/>
        <v>0</v>
      </c>
      <c r="M2932" s="95" t="e">
        <f t="shared" ca="1" si="375"/>
        <v>#DIV/0!</v>
      </c>
      <c r="N2932" s="95">
        <f>IF(P2932="Hedge Fund",IF(A2932=Summary!$AD$3,M2932-E2932,M2932),IF(A2932=Summary!$AD$3,L2932-D2932,L2932))</f>
        <v>0</v>
      </c>
      <c r="O2932" s="95">
        <f t="shared" si="380"/>
        <v>0</v>
      </c>
      <c r="P2932" s="107" t="s">
        <v>155</v>
      </c>
      <c r="Q2932" s="95">
        <v>0</v>
      </c>
      <c r="R2932" s="95">
        <v>2.0163999999999997E-4</v>
      </c>
      <c r="S2932" s="95"/>
      <c r="T2932" s="95"/>
      <c r="U2932" s="95"/>
      <c r="V2932" s="95"/>
      <c r="W2932" s="95"/>
      <c r="X2932" s="95"/>
      <c r="Y2932" s="95"/>
      <c r="Z2932" s="95"/>
      <c r="AA2932" s="95"/>
      <c r="AB2932" s="95"/>
      <c r="AC2932" s="355"/>
      <c r="AD2932" s="355"/>
      <c r="AE2932" s="355"/>
      <c r="AF2932" s="94">
        <f t="shared" si="376"/>
        <v>43371</v>
      </c>
      <c r="AG2932" s="185" t="e">
        <f t="shared" si="379"/>
        <v>#DIV/0!</v>
      </c>
      <c r="AH2932" s="339" t="str">
        <f>VLOOKUP(B2932,'MF PF'!A:B,2)</f>
        <v>FdMgt1</v>
      </c>
      <c r="AI2932" s="358">
        <f t="shared" si="377"/>
        <v>0</v>
      </c>
      <c r="AJ2932" s="94">
        <f t="shared" si="378"/>
        <v>43373</v>
      </c>
    </row>
    <row r="2933" spans="1:36" ht="12.75" customHeight="1">
      <c r="A2933" s="94">
        <v>43404</v>
      </c>
      <c r="B2933" s="358" t="s">
        <v>273</v>
      </c>
      <c r="C2933" s="358" t="s">
        <v>383</v>
      </c>
      <c r="D2933" s="93">
        <v>152386.09099999999</v>
      </c>
      <c r="F2933" s="93">
        <v>0.16</v>
      </c>
      <c r="G2933" s="93">
        <v>12946.300000000003</v>
      </c>
      <c r="H2933" s="93">
        <v>0</v>
      </c>
      <c r="I2933" s="93">
        <v>0</v>
      </c>
      <c r="J2933" s="93">
        <v>0</v>
      </c>
      <c r="K2933" s="93"/>
      <c r="L2933" s="93">
        <f t="shared" si="374"/>
        <v>12946.300000000003</v>
      </c>
      <c r="M2933" s="95" t="e">
        <f t="shared" ca="1" si="375"/>
        <v>#DIV/0!</v>
      </c>
      <c r="N2933" s="95">
        <f>IF(P2933="Hedge Fund",IF(A2933=Summary!$AD$3,M2933-E2933,M2933),IF(A2933=Summary!$AD$3,L2933-D2933,L2933))</f>
        <v>12946.300000000003</v>
      </c>
      <c r="O2933" s="95">
        <f t="shared" si="380"/>
        <v>12946.300000000003</v>
      </c>
      <c r="P2933" s="95" t="s">
        <v>155</v>
      </c>
      <c r="Q2933" s="95">
        <v>0</v>
      </c>
      <c r="R2933" s="95">
        <v>1.1129489933489997E-3</v>
      </c>
      <c r="S2933" s="95"/>
      <c r="T2933" s="95"/>
      <c r="U2933" s="95"/>
      <c r="V2933" s="95"/>
      <c r="W2933" s="95"/>
      <c r="X2933" s="95"/>
      <c r="Y2933" s="95"/>
      <c r="Z2933" s="95"/>
      <c r="AA2933" s="95"/>
      <c r="AB2933" s="95"/>
      <c r="AC2933" s="355"/>
      <c r="AD2933" s="355"/>
      <c r="AE2933" s="355"/>
      <c r="AF2933" s="94">
        <f t="shared" si="376"/>
        <v>43404</v>
      </c>
      <c r="AG2933" s="185">
        <f t="shared" si="379"/>
        <v>5.028693876149104E-2</v>
      </c>
      <c r="AH2933" s="339" t="str">
        <f>VLOOKUP(B2933,'MF PF'!A:B,2)</f>
        <v>FdMgt1</v>
      </c>
      <c r="AI2933" s="358">
        <f t="shared" si="377"/>
        <v>0</v>
      </c>
      <c r="AJ2933" s="94">
        <f t="shared" si="378"/>
        <v>43404</v>
      </c>
    </row>
    <row r="2934" spans="1:36" ht="12.75" customHeight="1">
      <c r="A2934" s="94">
        <v>43432</v>
      </c>
      <c r="B2934" s="358" t="s">
        <v>273</v>
      </c>
      <c r="C2934" s="358" t="s">
        <v>383</v>
      </c>
      <c r="D2934" s="93"/>
      <c r="F2934" s="93"/>
      <c r="G2934" s="93">
        <v>13920.619999999999</v>
      </c>
      <c r="H2934" s="93">
        <v>0</v>
      </c>
      <c r="I2934" s="93">
        <v>0</v>
      </c>
      <c r="K2934" s="93">
        <v>0</v>
      </c>
      <c r="L2934" s="93">
        <f t="shared" si="374"/>
        <v>13920.619999999999</v>
      </c>
      <c r="M2934" s="95" t="e">
        <f t="shared" ca="1" si="375"/>
        <v>#DIV/0!</v>
      </c>
      <c r="N2934" s="95">
        <f>IF(P2934="Hedge Fund",IF(A2934=Summary!$AD$3,M2934-E2934,M2934),IF(A2934=Summary!$AD$3,L2934-D2934,L2934))</f>
        <v>13920.619999999999</v>
      </c>
      <c r="O2934" s="95">
        <f t="shared" si="380"/>
        <v>13920.619999999999</v>
      </c>
      <c r="P2934" s="95" t="s">
        <v>155</v>
      </c>
      <c r="Q2934" s="95"/>
      <c r="R2934" s="95"/>
      <c r="S2934" s="95"/>
      <c r="T2934" s="95"/>
      <c r="U2934" s="95"/>
      <c r="V2934" s="95"/>
      <c r="W2934" s="95"/>
      <c r="X2934" s="95"/>
      <c r="Y2934" s="95"/>
      <c r="Z2934" s="95"/>
      <c r="AA2934" s="95"/>
      <c r="AB2934" s="95"/>
      <c r="AC2934" s="355"/>
      <c r="AD2934" s="355"/>
      <c r="AE2934" s="355"/>
      <c r="AF2934" s="94">
        <f t="shared" si="376"/>
        <v>43432</v>
      </c>
      <c r="AG2934" s="185">
        <f t="shared" si="379"/>
        <v>-1.0913509881948478</v>
      </c>
      <c r="AH2934" s="339" t="str">
        <f>VLOOKUP(B2934,'MF PF'!A:B,2)</f>
        <v>FdMgt1</v>
      </c>
      <c r="AI2934" s="358">
        <f t="shared" si="377"/>
        <v>0</v>
      </c>
      <c r="AJ2934" s="94">
        <f t="shared" si="378"/>
        <v>43434</v>
      </c>
    </row>
    <row r="2935" spans="1:36" ht="12.75" customHeight="1">
      <c r="A2935" s="94">
        <v>43434</v>
      </c>
      <c r="B2935" s="358" t="s">
        <v>273</v>
      </c>
      <c r="C2935" s="358" t="s">
        <v>383</v>
      </c>
      <c r="D2935" s="93">
        <v>160425.26999999999</v>
      </c>
      <c r="F2935" s="93">
        <v>0.16</v>
      </c>
      <c r="G2935" s="93"/>
      <c r="H2935" s="93">
        <v>0</v>
      </c>
      <c r="I2935" s="93">
        <v>0</v>
      </c>
      <c r="K2935" s="93">
        <v>0</v>
      </c>
      <c r="L2935" s="93">
        <f t="shared" si="374"/>
        <v>0</v>
      </c>
      <c r="M2935" s="95" t="e">
        <f t="shared" ca="1" si="375"/>
        <v>#DIV/0!</v>
      </c>
      <c r="N2935" s="95">
        <f>IF(P2935="Hedge Fund",IF(A2935=Summary!$AD$3,M2935-E2935,M2935),IF(A2935=Summary!$AD$3,L2935-D2935,L2935))</f>
        <v>0</v>
      </c>
      <c r="O2935" s="95">
        <f t="shared" si="380"/>
        <v>0</v>
      </c>
      <c r="P2935" s="95" t="s">
        <v>155</v>
      </c>
      <c r="Q2935" s="95">
        <v>0</v>
      </c>
      <c r="R2935" s="95">
        <v>3.4189949334900157E-4</v>
      </c>
      <c r="S2935" s="95"/>
      <c r="T2935" s="95"/>
      <c r="U2935" s="95"/>
      <c r="V2935" s="95"/>
      <c r="W2935" s="95"/>
      <c r="X2935" s="95"/>
      <c r="Y2935" s="95"/>
      <c r="Z2935" s="95"/>
      <c r="AA2935" s="95"/>
      <c r="AB2935" s="95"/>
      <c r="AC2935" s="355"/>
      <c r="AD2935" s="355"/>
      <c r="AE2935" s="355"/>
      <c r="AF2935" s="94">
        <f t="shared" si="376"/>
        <v>43434</v>
      </c>
      <c r="AG2935" s="185" t="e">
        <f t="shared" si="379"/>
        <v>#DIV/0!</v>
      </c>
      <c r="AH2935" s="339" t="str">
        <f>VLOOKUP(B2935,'MF PF'!A:B,2)</f>
        <v>FdMgt1</v>
      </c>
      <c r="AI2935" s="358">
        <f t="shared" si="377"/>
        <v>0</v>
      </c>
      <c r="AJ2935" s="94">
        <f t="shared" si="378"/>
        <v>43434</v>
      </c>
    </row>
    <row r="2936" spans="1:36" ht="12.75" customHeight="1">
      <c r="A2936" s="94">
        <v>43465</v>
      </c>
      <c r="B2936" s="358" t="s">
        <v>273</v>
      </c>
      <c r="C2936" s="358" t="s">
        <v>383</v>
      </c>
      <c r="D2936" s="368">
        <v>161316.2065</v>
      </c>
      <c r="F2936" s="93">
        <v>0.16</v>
      </c>
      <c r="G2936" s="93"/>
      <c r="H2936" s="93">
        <v>0</v>
      </c>
      <c r="I2936" s="93">
        <v>0</v>
      </c>
      <c r="K2936" s="93">
        <v>0</v>
      </c>
      <c r="L2936" s="93">
        <f t="shared" si="374"/>
        <v>0</v>
      </c>
      <c r="M2936" s="95" t="e">
        <f t="shared" ca="1" si="375"/>
        <v>#DIV/0!</v>
      </c>
      <c r="N2936" s="95">
        <f>IF(P2936="Hedge Fund",IF(A2936=Summary!$AD$3,M2936-E2936,M2936),IF(A2936=Summary!$AD$3,L2936-D2936,L2936))</f>
        <v>0</v>
      </c>
      <c r="O2936" s="95">
        <f t="shared" si="380"/>
        <v>0</v>
      </c>
      <c r="P2936" s="95" t="s">
        <v>155</v>
      </c>
      <c r="Q2936" s="95">
        <v>-0.16181533445928414</v>
      </c>
      <c r="R2936" s="95">
        <v>0</v>
      </c>
      <c r="S2936" s="95"/>
      <c r="T2936" s="95"/>
      <c r="U2936" s="95"/>
      <c r="V2936" s="95"/>
      <c r="W2936" s="95"/>
      <c r="X2936" s="95"/>
      <c r="Y2936" s="95"/>
      <c r="Z2936" s="95"/>
      <c r="AA2936" s="95"/>
      <c r="AB2936" s="95"/>
      <c r="AC2936" s="355"/>
      <c r="AD2936" s="355"/>
      <c r="AE2936" s="355"/>
      <c r="AF2936" s="94">
        <f t="shared" si="376"/>
        <v>43465</v>
      </c>
      <c r="AG2936" s="185">
        <f t="shared" si="379"/>
        <v>5.5535920244984549E-3</v>
      </c>
      <c r="AH2936" s="339" t="str">
        <f>VLOOKUP(B2936,'MF PF'!A:B,2)</f>
        <v>FdMgt1</v>
      </c>
      <c r="AI2936" s="358">
        <f t="shared" si="377"/>
        <v>0</v>
      </c>
      <c r="AJ2936" s="94">
        <f t="shared" si="378"/>
        <v>43465</v>
      </c>
    </row>
    <row r="2937" spans="1:36" ht="12.75" customHeight="1">
      <c r="A2937" s="94">
        <v>43496</v>
      </c>
      <c r="B2937" s="358" t="s">
        <v>273</v>
      </c>
      <c r="C2937" s="358" t="s">
        <v>383</v>
      </c>
      <c r="D2937" s="93">
        <v>163638.20250000001</v>
      </c>
      <c r="E2937" s="95"/>
      <c r="F2937" s="93">
        <v>0.15848784004433999</v>
      </c>
      <c r="G2937" s="93"/>
      <c r="H2937" s="93">
        <v>0</v>
      </c>
      <c r="I2937" s="93">
        <v>0</v>
      </c>
      <c r="K2937" s="93">
        <v>0</v>
      </c>
      <c r="L2937" s="93">
        <f t="shared" si="374"/>
        <v>0</v>
      </c>
      <c r="M2937" s="95" t="e">
        <f t="shared" ca="1" si="375"/>
        <v>#DIV/0!</v>
      </c>
      <c r="N2937" s="95">
        <f>IF(P2937="Hedge Fund",IF(A2937=Summary!$AD$3,M2937-E2937,M2937),IF(A2937=Summary!$AD$3,L2937-D2937,L2937))</f>
        <v>-163638.20250000001</v>
      </c>
      <c r="O2937" s="95">
        <f t="shared" si="380"/>
        <v>-163638.20250000001</v>
      </c>
      <c r="P2937" s="95" t="s">
        <v>155</v>
      </c>
      <c r="Q2937" s="95">
        <v>0</v>
      </c>
      <c r="R2937" s="95">
        <v>9.0888749334899906E-4</v>
      </c>
      <c r="S2937" s="95"/>
      <c r="T2937" s="95"/>
      <c r="U2937" s="95"/>
      <c r="V2937" s="95"/>
      <c r="W2937" s="95"/>
      <c r="X2937" s="95"/>
      <c r="Y2937" s="95"/>
      <c r="Z2937" s="95"/>
      <c r="AA2937" s="95"/>
      <c r="AB2937" s="95"/>
      <c r="AC2937" s="355"/>
      <c r="AD2937" s="355"/>
      <c r="AE2937" s="355"/>
      <c r="AF2937" s="94">
        <f t="shared" si="376"/>
        <v>43496</v>
      </c>
      <c r="AG2937" s="185">
        <f t="shared" si="379"/>
        <v>1.4394065236092768E-2</v>
      </c>
      <c r="AH2937" s="339" t="str">
        <f>VLOOKUP(B2937,'MF PF'!A:B,2)</f>
        <v>FdMgt1</v>
      </c>
      <c r="AI2937" s="358">
        <f t="shared" si="377"/>
        <v>0</v>
      </c>
      <c r="AJ2937" s="94">
        <f t="shared" si="378"/>
        <v>43496</v>
      </c>
    </row>
    <row r="2938" spans="1:36" ht="12.75" customHeight="1">
      <c r="A2938" s="94">
        <v>43329</v>
      </c>
      <c r="B2938" s="358" t="s">
        <v>273</v>
      </c>
      <c r="C2938" s="358" t="s">
        <v>384</v>
      </c>
      <c r="D2938" s="93"/>
      <c r="F2938" s="93"/>
      <c r="G2938" s="93">
        <v>6847715.8777712509</v>
      </c>
      <c r="H2938" s="93"/>
      <c r="I2938" s="93"/>
      <c r="K2938" s="93"/>
      <c r="L2938" s="93">
        <f t="shared" si="374"/>
        <v>6847715.8777712509</v>
      </c>
      <c r="M2938" s="95">
        <f t="shared" ca="1" si="375"/>
        <v>0</v>
      </c>
      <c r="N2938" s="95">
        <f>IF(P2938="Hedge Fund",IF(A2938=Summary!$AD$3,M2938-E2938,M2938),IF(A2938=Summary!$AD$3,L2938-D2938,L2938))</f>
        <v>6847715.8777712509</v>
      </c>
      <c r="O2938" s="95">
        <f t="shared" si="380"/>
        <v>6847715.8777712509</v>
      </c>
      <c r="P2938" s="107" t="s">
        <v>155</v>
      </c>
      <c r="Q2938" s="95">
        <v>0</v>
      </c>
      <c r="R2938" s="95">
        <v>0</v>
      </c>
      <c r="S2938" s="95"/>
      <c r="T2938" s="95"/>
      <c r="U2938" s="95"/>
      <c r="V2938" s="95"/>
      <c r="W2938" s="95"/>
      <c r="X2938" s="95"/>
      <c r="Y2938" s="95"/>
      <c r="Z2938" s="95"/>
      <c r="AA2938" s="95"/>
      <c r="AB2938" s="95"/>
      <c r="AC2938" s="355"/>
      <c r="AD2938" s="355"/>
      <c r="AE2938" s="355"/>
      <c r="AF2938" s="94">
        <f t="shared" si="376"/>
        <v>43329</v>
      </c>
      <c r="AG2938" s="185">
        <f t="shared" si="379"/>
        <v>-1</v>
      </c>
      <c r="AH2938" s="339" t="str">
        <f>VLOOKUP(B2938,'MF PF'!A:B,2)</f>
        <v>FdMgt1</v>
      </c>
      <c r="AI2938" s="358">
        <f t="shared" si="377"/>
        <v>0</v>
      </c>
      <c r="AJ2938" s="94">
        <f t="shared" si="378"/>
        <v>43343</v>
      </c>
    </row>
    <row r="2939" spans="1:36" ht="12.75" customHeight="1">
      <c r="A2939" s="94">
        <v>43343</v>
      </c>
      <c r="B2939" s="358" t="s">
        <v>273</v>
      </c>
      <c r="C2939" s="358" t="s">
        <v>384</v>
      </c>
      <c r="D2939" s="93">
        <v>5094951.99</v>
      </c>
      <c r="F2939" s="93"/>
      <c r="G2939" s="93"/>
      <c r="H2939" s="93"/>
      <c r="I2939" s="93"/>
      <c r="K2939" s="93"/>
      <c r="L2939" s="93">
        <f t="shared" si="374"/>
        <v>0</v>
      </c>
      <c r="M2939" s="95" t="e">
        <f t="shared" ca="1" si="375"/>
        <v>#DIV/0!</v>
      </c>
      <c r="N2939" s="95">
        <f>IF(P2939="Hedge Fund",IF(A2939=Summary!$AD$3,M2939-E2939,M2939),IF(A2939=Summary!$AD$3,L2939-D2939,L2939))</f>
        <v>0</v>
      </c>
      <c r="O2939" s="95">
        <f t="shared" si="380"/>
        <v>0</v>
      </c>
      <c r="P2939" s="107" t="s">
        <v>155</v>
      </c>
      <c r="Q2939" s="95">
        <v>0</v>
      </c>
      <c r="R2939" s="95">
        <v>0</v>
      </c>
      <c r="S2939" s="95"/>
      <c r="T2939" s="95"/>
      <c r="U2939" s="95"/>
      <c r="V2939" s="95"/>
      <c r="W2939" s="95"/>
      <c r="X2939" s="95"/>
      <c r="Y2939" s="95"/>
      <c r="Z2939" s="95"/>
      <c r="AA2939" s="95"/>
      <c r="AB2939" s="95"/>
      <c r="AC2939" s="355"/>
      <c r="AD2939" s="355"/>
      <c r="AE2939" s="355"/>
      <c r="AF2939" s="94">
        <f t="shared" si="376"/>
        <v>43343</v>
      </c>
      <c r="AG2939" s="185" t="e">
        <f t="shared" si="379"/>
        <v>#DIV/0!</v>
      </c>
      <c r="AH2939" s="339" t="str">
        <f>VLOOKUP(B2939,'MF PF'!A:B,2)</f>
        <v>FdMgt1</v>
      </c>
      <c r="AI2939" s="358">
        <f t="shared" si="377"/>
        <v>0</v>
      </c>
      <c r="AJ2939" s="94">
        <f t="shared" si="378"/>
        <v>43343</v>
      </c>
    </row>
    <row r="2940" spans="1:36" ht="12.75" customHeight="1">
      <c r="A2940" s="94">
        <v>43369</v>
      </c>
      <c r="B2940" s="358" t="s">
        <v>273</v>
      </c>
      <c r="C2940" s="358" t="s">
        <v>384</v>
      </c>
      <c r="D2940" s="93"/>
      <c r="F2940" s="93"/>
      <c r="G2940" s="93">
        <v>1378600.86</v>
      </c>
      <c r="H2940" s="93"/>
      <c r="I2940" s="93"/>
      <c r="K2940" s="93"/>
      <c r="L2940" s="93">
        <f t="shared" si="374"/>
        <v>1378600.86</v>
      </c>
      <c r="M2940" s="95" t="e">
        <f t="shared" ca="1" si="375"/>
        <v>#DIV/0!</v>
      </c>
      <c r="N2940" s="95">
        <f>IF(P2940="Hedge Fund",IF(A2940=Summary!$AD$3,M2940-E2940,M2940),IF(A2940=Summary!$AD$3,L2940-D2940,L2940))</f>
        <v>1378600.86</v>
      </c>
      <c r="O2940" s="95">
        <f t="shared" si="380"/>
        <v>1378600.86</v>
      </c>
      <c r="P2940" s="107" t="s">
        <v>155</v>
      </c>
      <c r="Q2940" s="95">
        <v>0</v>
      </c>
      <c r="R2940" s="95">
        <v>0</v>
      </c>
      <c r="S2940" s="95"/>
      <c r="T2940" s="95"/>
      <c r="U2940" s="95"/>
      <c r="V2940" s="95"/>
      <c r="W2940" s="95"/>
      <c r="X2940" s="95"/>
      <c r="Y2940" s="95"/>
      <c r="Z2940" s="95"/>
      <c r="AA2940" s="95"/>
      <c r="AB2940" s="95"/>
      <c r="AC2940" s="355"/>
      <c r="AD2940" s="355"/>
      <c r="AE2940" s="355"/>
      <c r="AF2940" s="94">
        <f t="shared" si="376"/>
        <v>43369</v>
      </c>
      <c r="AG2940" s="185">
        <f t="shared" si="379"/>
        <v>-1.270581717493279</v>
      </c>
      <c r="AH2940" s="339" t="str">
        <f>VLOOKUP(B2940,'MF PF'!A:B,2)</f>
        <v>FdMgt1</v>
      </c>
      <c r="AI2940" s="358">
        <f t="shared" si="377"/>
        <v>0</v>
      </c>
      <c r="AJ2940" s="94">
        <f t="shared" si="378"/>
        <v>43373</v>
      </c>
    </row>
    <row r="2941" spans="1:36" ht="12.75" customHeight="1">
      <c r="A2941" s="94">
        <v>43371</v>
      </c>
      <c r="B2941" s="358" t="s">
        <v>273</v>
      </c>
      <c r="C2941" s="358" t="s">
        <v>384</v>
      </c>
      <c r="D2941" s="93">
        <v>8269433.3499999996</v>
      </c>
      <c r="F2941" s="93"/>
      <c r="G2941" s="93"/>
      <c r="H2941" s="93"/>
      <c r="I2941" s="93"/>
      <c r="K2941" s="93"/>
      <c r="L2941" s="93">
        <f t="shared" si="374"/>
        <v>0</v>
      </c>
      <c r="M2941" s="95" t="e">
        <f t="shared" ca="1" si="375"/>
        <v>#DIV/0!</v>
      </c>
      <c r="N2941" s="95">
        <f>IF(P2941="Hedge Fund",IF(A2941=Summary!$AD$3,M2941-E2941,M2941),IF(A2941=Summary!$AD$3,L2941-D2941,L2941))</f>
        <v>0</v>
      </c>
      <c r="O2941" s="95">
        <f t="shared" si="380"/>
        <v>0</v>
      </c>
      <c r="P2941" s="107" t="s">
        <v>155</v>
      </c>
      <c r="Q2941" s="95">
        <v>3.3289390000000002E-2</v>
      </c>
      <c r="R2941" s="95">
        <v>7.6088100000000006E-3</v>
      </c>
      <c r="S2941" s="95"/>
      <c r="T2941" s="95"/>
      <c r="U2941" s="95"/>
      <c r="V2941" s="95"/>
      <c r="W2941" s="95"/>
      <c r="X2941" s="95"/>
      <c r="Y2941" s="95"/>
      <c r="Z2941" s="95"/>
      <c r="AA2941" s="95"/>
      <c r="AB2941" s="95"/>
      <c r="AC2941" s="355"/>
      <c r="AD2941" s="355"/>
      <c r="AE2941" s="355"/>
      <c r="AF2941" s="94">
        <f t="shared" si="376"/>
        <v>43371</v>
      </c>
      <c r="AG2941" s="185" t="e">
        <f t="shared" si="379"/>
        <v>#DIV/0!</v>
      </c>
      <c r="AH2941" s="339" t="str">
        <f>VLOOKUP(B2941,'MF PF'!A:B,2)</f>
        <v>FdMgt1</v>
      </c>
      <c r="AI2941" s="358">
        <f t="shared" si="377"/>
        <v>0</v>
      </c>
      <c r="AJ2941" s="94">
        <f t="shared" si="378"/>
        <v>43373</v>
      </c>
    </row>
    <row r="2942" spans="1:36" ht="12.75" customHeight="1">
      <c r="A2942" s="94">
        <v>43404</v>
      </c>
      <c r="B2942" s="358" t="s">
        <v>273</v>
      </c>
      <c r="C2942" s="358" t="s">
        <v>384</v>
      </c>
      <c r="D2942" s="93">
        <v>8680595.9000000004</v>
      </c>
      <c r="F2942" s="93">
        <v>10</v>
      </c>
      <c r="G2942" s="93">
        <v>809143.71</v>
      </c>
      <c r="H2942" s="93">
        <v>0</v>
      </c>
      <c r="I2942" s="93">
        <v>0</v>
      </c>
      <c r="J2942" s="93">
        <v>0</v>
      </c>
      <c r="K2942" s="93"/>
      <c r="L2942" s="93">
        <f t="shared" si="374"/>
        <v>809143.71</v>
      </c>
      <c r="M2942" s="95" t="e">
        <f t="shared" ca="1" si="375"/>
        <v>#DIV/0!</v>
      </c>
      <c r="N2942" s="95">
        <f>IF(P2942="Hedge Fund",IF(A2942=Summary!$AD$3,M2942-E2942,M2942),IF(A2942=Summary!$AD$3,L2942-D2942,L2942))</f>
        <v>809143.71</v>
      </c>
      <c r="O2942" s="95">
        <f t="shared" si="380"/>
        <v>809143.71</v>
      </c>
      <c r="P2942" s="95" t="s">
        <v>155</v>
      </c>
      <c r="Q2942" s="95">
        <v>4.3073670606504154E-2</v>
      </c>
      <c r="R2942" s="95">
        <v>0</v>
      </c>
      <c r="S2942" s="95"/>
      <c r="T2942" s="95"/>
      <c r="U2942" s="95"/>
      <c r="V2942" s="95"/>
      <c r="W2942" s="95"/>
      <c r="X2942" s="95"/>
      <c r="Y2942" s="95"/>
      <c r="Z2942" s="95"/>
      <c r="AA2942" s="95"/>
      <c r="AB2942" s="95"/>
      <c r="AC2942" s="355"/>
      <c r="AD2942" s="355"/>
      <c r="AE2942" s="355"/>
      <c r="AF2942" s="94">
        <f t="shared" si="376"/>
        <v>43404</v>
      </c>
      <c r="AG2942" s="185">
        <f t="shared" si="379"/>
        <v>-4.8126775216103423E-2</v>
      </c>
      <c r="AH2942" s="339" t="str">
        <f>VLOOKUP(B2942,'MF PF'!A:B,2)</f>
        <v>FdMgt1</v>
      </c>
      <c r="AI2942" s="358">
        <f t="shared" si="377"/>
        <v>0</v>
      </c>
      <c r="AJ2942" s="94">
        <f t="shared" si="378"/>
        <v>43404</v>
      </c>
    </row>
    <row r="2943" spans="1:36" ht="12.75" customHeight="1">
      <c r="A2943" s="94">
        <v>43432</v>
      </c>
      <c r="B2943" s="358" t="s">
        <v>273</v>
      </c>
      <c r="C2943" s="358" t="s">
        <v>384</v>
      </c>
      <c r="D2943" s="93"/>
      <c r="F2943" s="93"/>
      <c r="G2943" s="93">
        <v>870029.53</v>
      </c>
      <c r="H2943" s="93">
        <v>0</v>
      </c>
      <c r="I2943" s="93">
        <v>0</v>
      </c>
      <c r="K2943" s="93">
        <v>0</v>
      </c>
      <c r="L2943" s="93">
        <f t="shared" si="374"/>
        <v>870029.53</v>
      </c>
      <c r="M2943" s="95" t="e">
        <f t="shared" ca="1" si="375"/>
        <v>#DIV/0!</v>
      </c>
      <c r="N2943" s="95">
        <f>IF(P2943="Hedge Fund",IF(A2943=Summary!$AD$3,M2943-E2943,M2943),IF(A2943=Summary!$AD$3,L2943-D2943,L2943))</f>
        <v>870029.53</v>
      </c>
      <c r="O2943" s="95">
        <f t="shared" si="380"/>
        <v>870029.53</v>
      </c>
      <c r="P2943" s="95" t="s">
        <v>155</v>
      </c>
      <c r="Q2943" s="95"/>
      <c r="R2943" s="95"/>
      <c r="S2943" s="95"/>
      <c r="T2943" s="95"/>
      <c r="U2943" s="95"/>
      <c r="V2943" s="95"/>
      <c r="W2943" s="95"/>
      <c r="X2943" s="95"/>
      <c r="Y2943" s="95"/>
      <c r="Z2943" s="95"/>
      <c r="AA2943" s="95"/>
      <c r="AB2943" s="95"/>
      <c r="AC2943" s="355"/>
      <c r="AD2943" s="355"/>
      <c r="AE2943" s="355"/>
      <c r="AF2943" s="94">
        <f t="shared" si="376"/>
        <v>43432</v>
      </c>
      <c r="AG2943" s="185">
        <f t="shared" si="379"/>
        <v>-1.1002269360332739</v>
      </c>
      <c r="AH2943" s="339" t="str">
        <f>VLOOKUP(B2943,'MF PF'!A:B,2)</f>
        <v>FdMgt1</v>
      </c>
      <c r="AI2943" s="358">
        <f t="shared" si="377"/>
        <v>0</v>
      </c>
      <c r="AJ2943" s="94">
        <f t="shared" si="378"/>
        <v>43434</v>
      </c>
    </row>
    <row r="2944" spans="1:36" ht="12.75" customHeight="1">
      <c r="A2944" s="94">
        <v>43434</v>
      </c>
      <c r="B2944" s="358" t="s">
        <v>273</v>
      </c>
      <c r="C2944" s="358" t="s">
        <v>384</v>
      </c>
      <c r="D2944" s="93">
        <v>9976106.3399999999</v>
      </c>
      <c r="E2944" s="95"/>
      <c r="F2944" s="93">
        <v>10</v>
      </c>
      <c r="G2944" s="93"/>
      <c r="H2944" s="93">
        <v>0</v>
      </c>
      <c r="I2944" s="93">
        <v>0</v>
      </c>
      <c r="K2944" s="93">
        <v>0</v>
      </c>
      <c r="L2944" s="93">
        <f t="shared" si="374"/>
        <v>0</v>
      </c>
      <c r="M2944" s="95" t="e">
        <f t="shared" ca="1" si="375"/>
        <v>#DIV/0!</v>
      </c>
      <c r="N2944" s="95">
        <f>IF(P2944="Hedge Fund",IF(A2944=Summary!$AD$3,M2944-E2944,M2944),IF(A2944=Summary!$AD$3,L2944-D2944,L2944))</f>
        <v>0</v>
      </c>
      <c r="O2944" s="95">
        <f t="shared" si="380"/>
        <v>0</v>
      </c>
      <c r="P2944" s="95" t="s">
        <v>155</v>
      </c>
      <c r="Q2944" s="95">
        <v>5.937978E-2</v>
      </c>
      <c r="R2944" s="95">
        <v>1.2461710834312531E-2</v>
      </c>
      <c r="S2944" s="95"/>
      <c r="T2944" s="95"/>
      <c r="U2944" s="95"/>
      <c r="V2944" s="95"/>
      <c r="W2944" s="95"/>
      <c r="X2944" s="95"/>
      <c r="Y2944" s="95"/>
      <c r="Z2944" s="95"/>
      <c r="AA2944" s="95"/>
      <c r="AB2944" s="95"/>
      <c r="AC2944" s="355"/>
      <c r="AD2944" s="355"/>
      <c r="AE2944" s="355"/>
      <c r="AF2944" s="94">
        <f t="shared" si="376"/>
        <v>43434</v>
      </c>
      <c r="AG2944" s="185" t="e">
        <f t="shared" si="379"/>
        <v>#DIV/0!</v>
      </c>
      <c r="AH2944" s="339" t="str">
        <f>VLOOKUP(B2944,'MF PF'!A:B,2)</f>
        <v>FdMgt1</v>
      </c>
      <c r="AI2944" s="358">
        <f t="shared" si="377"/>
        <v>0</v>
      </c>
      <c r="AJ2944" s="94">
        <f t="shared" si="378"/>
        <v>43434</v>
      </c>
    </row>
    <row r="2945" spans="1:36" ht="12.75" customHeight="1">
      <c r="A2945" s="94">
        <v>43465</v>
      </c>
      <c r="B2945" s="358" t="s">
        <v>273</v>
      </c>
      <c r="C2945" s="358" t="s">
        <v>384</v>
      </c>
      <c r="D2945" s="368">
        <v>10027861.8617</v>
      </c>
      <c r="F2945" s="93">
        <v>10</v>
      </c>
      <c r="G2945" s="93"/>
      <c r="H2945" s="93">
        <v>0</v>
      </c>
      <c r="I2945" s="93">
        <v>0</v>
      </c>
      <c r="K2945" s="93">
        <v>0</v>
      </c>
      <c r="L2945" s="93">
        <f t="shared" si="374"/>
        <v>0</v>
      </c>
      <c r="M2945" s="95" t="e">
        <f t="shared" ca="1" si="375"/>
        <v>#DIV/0!</v>
      </c>
      <c r="N2945" s="95">
        <f>IF(P2945="Hedge Fund",IF(A2945=Summary!$AD$3,M2945-E2945,M2945),IF(A2945=Summary!$AD$3,L2945-D2945,L2945))</f>
        <v>0</v>
      </c>
      <c r="O2945" s="95">
        <f t="shared" si="380"/>
        <v>0</v>
      </c>
      <c r="P2945" s="95" t="s">
        <v>155</v>
      </c>
      <c r="Q2945" s="95">
        <v>-10.113458378705257</v>
      </c>
      <c r="R2945" s="95">
        <v>0</v>
      </c>
      <c r="S2945" s="95"/>
      <c r="T2945" s="95"/>
      <c r="U2945" s="95"/>
      <c r="V2945" s="95"/>
      <c r="W2945" s="95"/>
      <c r="X2945" s="95"/>
      <c r="Y2945" s="95"/>
      <c r="Z2945" s="95"/>
      <c r="AA2945" s="95"/>
      <c r="AB2945" s="95"/>
      <c r="AC2945" s="355"/>
      <c r="AD2945" s="355"/>
      <c r="AE2945" s="355"/>
      <c r="AF2945" s="94">
        <f t="shared" si="376"/>
        <v>43465</v>
      </c>
      <c r="AG2945" s="185">
        <f t="shared" si="379"/>
        <v>5.1879480767442754E-3</v>
      </c>
      <c r="AH2945" s="339" t="str">
        <f>VLOOKUP(B2945,'MF PF'!A:B,2)</f>
        <v>FdMgt1</v>
      </c>
      <c r="AI2945" s="358">
        <f t="shared" si="377"/>
        <v>0</v>
      </c>
      <c r="AJ2945" s="94">
        <f t="shared" si="378"/>
        <v>43465</v>
      </c>
    </row>
    <row r="2946" spans="1:36" ht="12.75" customHeight="1">
      <c r="A2946" s="94">
        <v>43496</v>
      </c>
      <c r="B2946" s="358" t="s">
        <v>273</v>
      </c>
      <c r="C2946" s="358" t="s">
        <v>384</v>
      </c>
      <c r="D2946" s="93">
        <v>10163700.9057</v>
      </c>
      <c r="F2946" s="93">
        <v>9.90548997777125</v>
      </c>
      <c r="G2946" s="93"/>
      <c r="H2946" s="93">
        <v>0</v>
      </c>
      <c r="I2946" s="93">
        <v>0</v>
      </c>
      <c r="K2946" s="93">
        <v>0</v>
      </c>
      <c r="L2946" s="93">
        <f t="shared" si="374"/>
        <v>0</v>
      </c>
      <c r="M2946" s="95" t="e">
        <f t="shared" ca="1" si="375"/>
        <v>#DIV/0!</v>
      </c>
      <c r="N2946" s="95">
        <f>IF(P2946="Hedge Fund",IF(A2946=Summary!$AD$3,M2946-E2946,M2946),IF(A2946=Summary!$AD$3,L2946-D2946,L2946))</f>
        <v>-10163700.9057</v>
      </c>
      <c r="O2946" s="95">
        <f t="shared" si="380"/>
        <v>-10163700.9057</v>
      </c>
      <c r="P2946" s="95" t="s">
        <v>155</v>
      </c>
      <c r="Q2946" s="95">
        <v>7.4925625877740779E-2</v>
      </c>
      <c r="R2946" s="95">
        <v>4.5566634334312288E-2</v>
      </c>
      <c r="S2946" s="95"/>
      <c r="T2946" s="95"/>
      <c r="U2946" s="95"/>
      <c r="V2946" s="95"/>
      <c r="W2946" s="95"/>
      <c r="X2946" s="95"/>
      <c r="Y2946" s="95"/>
      <c r="Z2946" s="95"/>
      <c r="AA2946" s="95"/>
      <c r="AB2946" s="95"/>
      <c r="AC2946" s="355"/>
      <c r="AD2946" s="355"/>
      <c r="AE2946" s="355"/>
      <c r="AF2946" s="94">
        <f t="shared" si="376"/>
        <v>43496</v>
      </c>
      <c r="AG2946" s="185">
        <f t="shared" si="379"/>
        <v>1.3546162270026585E-2</v>
      </c>
      <c r="AH2946" s="339" t="str">
        <f>VLOOKUP(B2946,'MF PF'!A:B,2)</f>
        <v>FdMgt1</v>
      </c>
      <c r="AI2946" s="358">
        <f t="shared" si="377"/>
        <v>0</v>
      </c>
      <c r="AJ2946" s="94">
        <f t="shared" si="378"/>
        <v>43496</v>
      </c>
    </row>
    <row r="2947" spans="1:36" ht="12.75" customHeight="1">
      <c r="A2947" s="94">
        <v>43329</v>
      </c>
      <c r="B2947" s="358" t="s">
        <v>273</v>
      </c>
      <c r="C2947" s="358" t="s">
        <v>385</v>
      </c>
      <c r="D2947" s="93"/>
      <c r="F2947" s="93"/>
      <c r="G2947" s="93">
        <v>1032370.2269021661</v>
      </c>
      <c r="H2947" s="93"/>
      <c r="I2947" s="93"/>
      <c r="K2947" s="93"/>
      <c r="L2947" s="93">
        <f t="shared" ref="L2947:L2965" si="381">G2947+H2947+I2947</f>
        <v>1032370.2269021661</v>
      </c>
      <c r="M2947" s="95">
        <f t="shared" ref="M2947:M2965" ca="1" si="382">IF(A2947&gt;INDIRECT("A"&amp;ROW()-1),I2947/K2947,E2947)</f>
        <v>0</v>
      </c>
      <c r="N2947" s="95">
        <f>IF(P2947="Hedge Fund",IF(A2947=Summary!$AD$3,M2947-E2947,M2947),IF(A2947=Summary!$AD$3,L2947-D2947,L2947))</f>
        <v>1032370.2269021661</v>
      </c>
      <c r="O2947" s="95">
        <f t="shared" si="380"/>
        <v>1032370.2269021661</v>
      </c>
      <c r="P2947" s="107" t="s">
        <v>155</v>
      </c>
      <c r="Q2947" s="95">
        <v>0</v>
      </c>
      <c r="R2947" s="95">
        <v>0</v>
      </c>
      <c r="S2947" s="95"/>
      <c r="T2947" s="95"/>
      <c r="U2947" s="95"/>
      <c r="V2947" s="95"/>
      <c r="W2947" s="95"/>
      <c r="X2947" s="95"/>
      <c r="Y2947" s="95"/>
      <c r="Z2947" s="95"/>
      <c r="AA2947" s="95"/>
      <c r="AB2947" s="95"/>
      <c r="AC2947" s="355"/>
      <c r="AD2947" s="355"/>
      <c r="AE2947" s="355"/>
      <c r="AF2947" s="94">
        <f t="shared" ref="AF2947:AF2965" si="383">A2947</f>
        <v>43329</v>
      </c>
      <c r="AG2947" s="185">
        <f t="shared" si="379"/>
        <v>-1</v>
      </c>
      <c r="AH2947" s="339" t="str">
        <f>VLOOKUP(B2947,'MF PF'!A:B,2)</f>
        <v>FdMgt1</v>
      </c>
      <c r="AI2947" s="358">
        <f t="shared" ref="AI2947:AI2965" si="384">AF2947-A2947</f>
        <v>0</v>
      </c>
      <c r="AJ2947" s="94">
        <f t="shared" ref="AJ2947:AJ2965" si="385">EOMONTH(A2947,0)</f>
        <v>43343</v>
      </c>
    </row>
    <row r="2948" spans="1:36" ht="12.75" customHeight="1">
      <c r="A2948" s="94">
        <v>43343</v>
      </c>
      <c r="B2948" s="358" t="s">
        <v>273</v>
      </c>
      <c r="C2948" s="358" t="s">
        <v>385</v>
      </c>
      <c r="D2948" s="93">
        <v>1242335.3500000001</v>
      </c>
      <c r="F2948" s="93"/>
      <c r="G2948" s="93"/>
      <c r="H2948" s="93"/>
      <c r="I2948" s="93"/>
      <c r="K2948" s="93"/>
      <c r="L2948" s="93">
        <f t="shared" si="381"/>
        <v>0</v>
      </c>
      <c r="M2948" s="95" t="e">
        <f t="shared" ca="1" si="382"/>
        <v>#DIV/0!</v>
      </c>
      <c r="N2948" s="95">
        <f>IF(P2948="Hedge Fund",IF(A2948=Summary!$AD$3,M2948-E2948,M2948),IF(A2948=Summary!$AD$3,L2948-D2948,L2948))</f>
        <v>0</v>
      </c>
      <c r="O2948" s="95">
        <f t="shared" si="380"/>
        <v>0</v>
      </c>
      <c r="P2948" s="107" t="s">
        <v>155</v>
      </c>
      <c r="Q2948" s="95">
        <v>0</v>
      </c>
      <c r="R2948" s="95">
        <v>0</v>
      </c>
      <c r="S2948" s="95"/>
      <c r="T2948" s="95"/>
      <c r="U2948" s="95"/>
      <c r="V2948" s="95"/>
      <c r="W2948" s="95"/>
      <c r="X2948" s="95"/>
      <c r="Y2948" s="95"/>
      <c r="Z2948" s="95"/>
      <c r="AA2948" s="95"/>
      <c r="AB2948" s="95"/>
      <c r="AC2948" s="355"/>
      <c r="AD2948" s="355"/>
      <c r="AE2948" s="355"/>
      <c r="AF2948" s="94">
        <f t="shared" si="383"/>
        <v>43343</v>
      </c>
      <c r="AG2948" s="185" t="e">
        <f t="shared" si="379"/>
        <v>#DIV/0!</v>
      </c>
      <c r="AH2948" s="339" t="str">
        <f>VLOOKUP(B2948,'MF PF'!A:B,2)</f>
        <v>FdMgt1</v>
      </c>
      <c r="AI2948" s="358">
        <f t="shared" si="384"/>
        <v>0</v>
      </c>
      <c r="AJ2948" s="94">
        <f t="shared" si="385"/>
        <v>43343</v>
      </c>
    </row>
    <row r="2949" spans="1:36" ht="12.75" customHeight="1">
      <c r="A2949" s="94">
        <v>43369</v>
      </c>
      <c r="B2949" s="358" t="s">
        <v>273</v>
      </c>
      <c r="C2949" s="358" t="s">
        <v>385</v>
      </c>
      <c r="D2949" s="93"/>
      <c r="F2949" s="93"/>
      <c r="G2949" s="93">
        <v>207839.64</v>
      </c>
      <c r="H2949" s="93"/>
      <c r="I2949" s="93"/>
      <c r="K2949" s="93"/>
      <c r="L2949" s="93">
        <f t="shared" si="381"/>
        <v>207839.64</v>
      </c>
      <c r="M2949" s="95" t="e">
        <f t="shared" ca="1" si="382"/>
        <v>#DIV/0!</v>
      </c>
      <c r="N2949" s="95">
        <f>IF(P2949="Hedge Fund",IF(A2949=Summary!$AD$3,M2949-E2949,M2949),IF(A2949=Summary!$AD$3,L2949-D2949,L2949))</f>
        <v>207839.64</v>
      </c>
      <c r="O2949" s="95">
        <f t="shared" si="380"/>
        <v>207839.64</v>
      </c>
      <c r="P2949" s="107" t="s">
        <v>155</v>
      </c>
      <c r="Q2949" s="95">
        <v>0</v>
      </c>
      <c r="R2949" s="95">
        <v>0</v>
      </c>
      <c r="S2949" s="95"/>
      <c r="T2949" s="95"/>
      <c r="U2949" s="95"/>
      <c r="V2949" s="95"/>
      <c r="W2949" s="95"/>
      <c r="X2949" s="95"/>
      <c r="Y2949" s="95"/>
      <c r="Z2949" s="95"/>
      <c r="AA2949" s="95"/>
      <c r="AB2949" s="95"/>
      <c r="AC2949" s="355"/>
      <c r="AD2949" s="355"/>
      <c r="AE2949" s="355"/>
      <c r="AF2949" s="94">
        <f t="shared" si="383"/>
        <v>43369</v>
      </c>
      <c r="AG2949" s="185">
        <f t="shared" si="379"/>
        <v>-1.1672975336329277</v>
      </c>
      <c r="AH2949" s="339" t="str">
        <f>VLOOKUP(B2949,'MF PF'!A:B,2)</f>
        <v>FdMgt1</v>
      </c>
      <c r="AI2949" s="358">
        <f t="shared" si="384"/>
        <v>0</v>
      </c>
      <c r="AJ2949" s="94">
        <f t="shared" si="385"/>
        <v>43373</v>
      </c>
    </row>
    <row r="2950" spans="1:36" ht="12.75" customHeight="1">
      <c r="A2950" s="94">
        <v>43371</v>
      </c>
      <c r="B2950" s="358" t="s">
        <v>273</v>
      </c>
      <c r="C2950" s="358" t="s">
        <v>385</v>
      </c>
      <c r="D2950" s="93">
        <v>1246993.52</v>
      </c>
      <c r="F2950" s="93"/>
      <c r="G2950" s="93"/>
      <c r="H2950" s="93"/>
      <c r="I2950" s="93"/>
      <c r="K2950" s="93"/>
      <c r="L2950" s="93">
        <f t="shared" si="381"/>
        <v>0</v>
      </c>
      <c r="M2950" s="95" t="e">
        <f t="shared" ca="1" si="382"/>
        <v>#DIV/0!</v>
      </c>
      <c r="N2950" s="95">
        <f>IF(P2950="Hedge Fund",IF(A2950=Summary!$AD$3,M2950-E2950,M2950),IF(A2950=Summary!$AD$3,L2950-D2950,L2950))</f>
        <v>0</v>
      </c>
      <c r="O2950" s="95">
        <f t="shared" si="380"/>
        <v>0</v>
      </c>
      <c r="P2950" s="107" t="s">
        <v>155</v>
      </c>
      <c r="Q2950" s="95">
        <v>4.6854100000000001E-3</v>
      </c>
      <c r="R2950" s="95">
        <v>1.1971199999999999E-3</v>
      </c>
      <c r="S2950" s="95"/>
      <c r="T2950" s="95"/>
      <c r="U2950" s="95"/>
      <c r="V2950" s="95"/>
      <c r="W2950" s="95"/>
      <c r="X2950" s="95"/>
      <c r="Y2950" s="95"/>
      <c r="Z2950" s="95"/>
      <c r="AA2950" s="95"/>
      <c r="AB2950" s="95"/>
      <c r="AC2950" s="355"/>
      <c r="AD2950" s="355"/>
      <c r="AE2950" s="355"/>
      <c r="AF2950" s="94">
        <f t="shared" si="383"/>
        <v>43371</v>
      </c>
      <c r="AG2950" s="185" t="e">
        <f t="shared" si="379"/>
        <v>#DIV/0!</v>
      </c>
      <c r="AH2950" s="339" t="str">
        <f>VLOOKUP(B2950,'MF PF'!A:B,2)</f>
        <v>FdMgt1</v>
      </c>
      <c r="AI2950" s="358">
        <f t="shared" si="384"/>
        <v>0</v>
      </c>
      <c r="AJ2950" s="94">
        <f t="shared" si="385"/>
        <v>43373</v>
      </c>
    </row>
    <row r="2951" spans="1:36" ht="12.75" customHeight="1">
      <c r="A2951" s="94">
        <v>43404</v>
      </c>
      <c r="B2951" s="358" t="s">
        <v>273</v>
      </c>
      <c r="C2951" s="358" t="s">
        <v>385</v>
      </c>
      <c r="D2951" s="93">
        <v>1430842.3674999999</v>
      </c>
      <c r="F2951" s="93">
        <v>1.5076128999999998</v>
      </c>
      <c r="G2951" s="93">
        <v>121987.55000000005</v>
      </c>
      <c r="H2951" s="93">
        <v>0</v>
      </c>
      <c r="I2951" s="93">
        <v>0</v>
      </c>
      <c r="J2951" s="93">
        <v>0</v>
      </c>
      <c r="K2951" s="93"/>
      <c r="L2951" s="93">
        <f t="shared" si="381"/>
        <v>121987.55000000005</v>
      </c>
      <c r="M2951" s="95" t="e">
        <f t="shared" ca="1" si="382"/>
        <v>#DIV/0!</v>
      </c>
      <c r="N2951" s="95">
        <f>IF(P2951="Hedge Fund",IF(A2951=Summary!$AD$3,M2951-E2951,M2951),IF(A2951=Summary!$AD$3,L2951-D2951,L2951))</f>
        <v>121987.55000000005</v>
      </c>
      <c r="O2951" s="95">
        <f t="shared" si="380"/>
        <v>121987.55000000005</v>
      </c>
      <c r="P2951" s="95" t="s">
        <v>155</v>
      </c>
      <c r="Q2951" s="95">
        <v>5.9164501527957016E-3</v>
      </c>
      <c r="R2951" s="95">
        <v>9.5993824646750919E-3</v>
      </c>
      <c r="S2951" s="95"/>
      <c r="T2951" s="95"/>
      <c r="U2951" s="95"/>
      <c r="V2951" s="95"/>
      <c r="W2951" s="95"/>
      <c r="X2951" s="95"/>
      <c r="Y2951" s="95"/>
      <c r="Z2951" s="95"/>
      <c r="AA2951" s="95"/>
      <c r="AB2951" s="95"/>
      <c r="AC2951" s="355"/>
      <c r="AD2951" s="355"/>
      <c r="AE2951" s="355"/>
      <c r="AF2951" s="94">
        <f t="shared" si="383"/>
        <v>43404</v>
      </c>
      <c r="AG2951" s="185">
        <f t="shared" si="379"/>
        <v>4.9608355222246825E-2</v>
      </c>
      <c r="AH2951" s="339" t="str">
        <f>VLOOKUP(B2951,'MF PF'!A:B,2)</f>
        <v>FdMgt1</v>
      </c>
      <c r="AI2951" s="358">
        <f t="shared" si="384"/>
        <v>0</v>
      </c>
      <c r="AJ2951" s="94">
        <f t="shared" si="385"/>
        <v>43404</v>
      </c>
    </row>
    <row r="2952" spans="1:36" ht="12.75" customHeight="1">
      <c r="A2952" s="94">
        <v>43432</v>
      </c>
      <c r="B2952" s="358" t="s">
        <v>273</v>
      </c>
      <c r="C2952" s="358" t="s">
        <v>385</v>
      </c>
      <c r="D2952" s="93"/>
      <c r="E2952" s="95"/>
      <c r="F2952" s="93"/>
      <c r="G2952" s="93">
        <v>131167.03</v>
      </c>
      <c r="H2952" s="93">
        <v>0</v>
      </c>
      <c r="I2952" s="93">
        <v>0</v>
      </c>
      <c r="K2952" s="93">
        <v>0</v>
      </c>
      <c r="L2952" s="93">
        <f t="shared" si="381"/>
        <v>131167.03</v>
      </c>
      <c r="M2952" s="95" t="e">
        <f t="shared" ca="1" si="382"/>
        <v>#DIV/0!</v>
      </c>
      <c r="N2952" s="95">
        <f>IF(P2952="Hedge Fund",IF(A2952=Summary!$AD$3,M2952-E2952,M2952),IF(A2952=Summary!$AD$3,L2952-D2952,L2952))</f>
        <v>131167.03</v>
      </c>
      <c r="O2952" s="95">
        <f t="shared" si="380"/>
        <v>131167.03</v>
      </c>
      <c r="P2952" s="95" t="s">
        <v>155</v>
      </c>
      <c r="Q2952" s="95"/>
      <c r="R2952" s="95"/>
      <c r="S2952" s="95"/>
      <c r="T2952" s="95"/>
      <c r="U2952" s="95"/>
      <c r="V2952" s="95"/>
      <c r="W2952" s="95"/>
      <c r="X2952" s="95"/>
      <c r="Y2952" s="95"/>
      <c r="Z2952" s="95"/>
      <c r="AA2952" s="95"/>
      <c r="AB2952" s="95"/>
      <c r="AC2952" s="355"/>
      <c r="AD2952" s="355"/>
      <c r="AE2952" s="355"/>
      <c r="AF2952" s="94">
        <f t="shared" si="383"/>
        <v>43432</v>
      </c>
      <c r="AG2952" s="185">
        <f t="shared" si="379"/>
        <v>-1.0916711952199025</v>
      </c>
      <c r="AH2952" s="339" t="str">
        <f>VLOOKUP(B2952,'MF PF'!A:B,2)</f>
        <v>FdMgt1</v>
      </c>
      <c r="AI2952" s="358">
        <f t="shared" si="384"/>
        <v>0</v>
      </c>
      <c r="AJ2952" s="94">
        <f t="shared" si="385"/>
        <v>43434</v>
      </c>
    </row>
    <row r="2953" spans="1:36" ht="12.75" customHeight="1">
      <c r="A2953" s="94">
        <v>43434</v>
      </c>
      <c r="B2953" s="358" t="s">
        <v>273</v>
      </c>
      <c r="C2953" s="358" t="s">
        <v>385</v>
      </c>
      <c r="D2953" s="93">
        <v>1504303.72</v>
      </c>
      <c r="E2953" s="95"/>
      <c r="F2953" s="93">
        <v>1.5076128999999998</v>
      </c>
      <c r="G2953" s="93"/>
      <c r="H2953" s="93">
        <v>0</v>
      </c>
      <c r="I2953" s="93">
        <v>0</v>
      </c>
      <c r="K2953" s="93">
        <v>0</v>
      </c>
      <c r="L2953" s="93">
        <f t="shared" si="381"/>
        <v>0</v>
      </c>
      <c r="M2953" s="95" t="e">
        <f t="shared" ca="1" si="382"/>
        <v>#DIV/0!</v>
      </c>
      <c r="N2953" s="95">
        <f>IF(P2953="Hedge Fund",IF(A2953=Summary!$AD$3,M2953-E2953,M2953),IF(A2953=Summary!$AD$3,L2953-D2953,L2953))</f>
        <v>0</v>
      </c>
      <c r="O2953" s="95">
        <f t="shared" si="380"/>
        <v>0</v>
      </c>
      <c r="P2953" s="95" t="s">
        <v>155</v>
      </c>
      <c r="Q2953" s="95">
        <v>8.6073999999999994E-3</v>
      </c>
      <c r="R2953" s="95">
        <v>1.9304599646750721E-3</v>
      </c>
      <c r="S2953" s="95"/>
      <c r="T2953" s="95"/>
      <c r="U2953" s="95"/>
      <c r="V2953" s="95"/>
      <c r="W2953" s="95"/>
      <c r="X2953" s="95"/>
      <c r="Y2953" s="95"/>
      <c r="Z2953" s="95"/>
      <c r="AA2953" s="95"/>
      <c r="AB2953" s="95"/>
      <c r="AC2953" s="355"/>
      <c r="AD2953" s="355"/>
      <c r="AE2953" s="355"/>
      <c r="AF2953" s="94">
        <f t="shared" si="383"/>
        <v>43434</v>
      </c>
      <c r="AG2953" s="185" t="e">
        <f t="shared" si="379"/>
        <v>#DIV/0!</v>
      </c>
      <c r="AH2953" s="339" t="str">
        <f>VLOOKUP(B2953,'MF PF'!A:B,2)</f>
        <v>FdMgt1</v>
      </c>
      <c r="AI2953" s="358">
        <f t="shared" si="384"/>
        <v>0</v>
      </c>
      <c r="AJ2953" s="94">
        <f t="shared" si="385"/>
        <v>43434</v>
      </c>
    </row>
    <row r="2954" spans="1:36" ht="12.75" customHeight="1">
      <c r="A2954" s="94">
        <v>43465</v>
      </c>
      <c r="B2954" s="358" t="s">
        <v>273</v>
      </c>
      <c r="C2954" s="358" t="s">
        <v>385</v>
      </c>
      <c r="D2954" s="368">
        <v>1512096.7239999999</v>
      </c>
      <c r="E2954" s="95"/>
      <c r="F2954" s="93">
        <v>1.5076128999999998</v>
      </c>
      <c r="G2954" s="93"/>
      <c r="H2954" s="93">
        <v>0</v>
      </c>
      <c r="I2954" s="93">
        <v>0</v>
      </c>
      <c r="K2954" s="93">
        <v>0</v>
      </c>
      <c r="L2954" s="93">
        <f t="shared" si="381"/>
        <v>0</v>
      </c>
      <c r="M2954" s="95" t="e">
        <f t="shared" ca="1" si="382"/>
        <v>#DIV/0!</v>
      </c>
      <c r="N2954" s="95">
        <f>IF(P2954="Hedge Fund",IF(A2954=Summary!$AD$3,M2954-E2954,M2954),IF(A2954=Summary!$AD$3,L2954-D2954,L2954))</f>
        <v>0</v>
      </c>
      <c r="O2954" s="95">
        <f t="shared" si="380"/>
        <v>0</v>
      </c>
      <c r="P2954" s="95" t="s">
        <v>155</v>
      </c>
      <c r="Q2954" s="95">
        <v>-1.5247180313062141</v>
      </c>
      <c r="R2954" s="95">
        <v>0</v>
      </c>
      <c r="S2954" s="95"/>
      <c r="T2954" s="95"/>
      <c r="U2954" s="95"/>
      <c r="V2954" s="95"/>
      <c r="W2954" s="95"/>
      <c r="X2954" s="95"/>
      <c r="Y2954" s="95"/>
      <c r="Z2954" s="95"/>
      <c r="AA2954" s="95"/>
      <c r="AB2954" s="95"/>
      <c r="AC2954" s="355"/>
      <c r="AD2954" s="355"/>
      <c r="AE2954" s="355"/>
      <c r="AF2954" s="94">
        <f t="shared" si="383"/>
        <v>43465</v>
      </c>
      <c r="AG2954" s="185">
        <f t="shared" si="379"/>
        <v>5.1804724646962175E-3</v>
      </c>
      <c r="AH2954" s="339" t="str">
        <f>VLOOKUP(B2954,'MF PF'!A:B,2)</f>
        <v>FdMgt1</v>
      </c>
      <c r="AI2954" s="358">
        <f t="shared" si="384"/>
        <v>0</v>
      </c>
      <c r="AJ2954" s="94">
        <f t="shared" si="385"/>
        <v>43465</v>
      </c>
    </row>
    <row r="2955" spans="1:36" ht="12.75" customHeight="1">
      <c r="A2955" s="94">
        <v>43496</v>
      </c>
      <c r="B2955" s="358" t="s">
        <v>273</v>
      </c>
      <c r="C2955" s="358" t="s">
        <v>385</v>
      </c>
      <c r="D2955" s="93">
        <v>1532292.6645</v>
      </c>
      <c r="F2955" s="93">
        <v>1.4933644469021661</v>
      </c>
      <c r="G2955" s="93"/>
      <c r="H2955" s="93">
        <v>0</v>
      </c>
      <c r="I2955" s="93">
        <v>0</v>
      </c>
      <c r="K2955" s="93">
        <v>0</v>
      </c>
      <c r="L2955" s="93">
        <f t="shared" si="381"/>
        <v>0</v>
      </c>
      <c r="M2955" s="95" t="e">
        <f t="shared" ca="1" si="382"/>
        <v>#DIV/0!</v>
      </c>
      <c r="N2955" s="95">
        <f>IF(P2955="Hedge Fund",IF(A2955=Summary!$AD$3,M2955-E2955,M2955),IF(A2955=Summary!$AD$3,L2955-D2955,L2955))</f>
        <v>-1532292.6645</v>
      </c>
      <c r="O2955" s="95">
        <f t="shared" si="380"/>
        <v>-1532292.6645</v>
      </c>
      <c r="P2955" s="95" t="s">
        <v>155</v>
      </c>
      <c r="Q2955" s="95">
        <v>1.1295884011385581E-2</v>
      </c>
      <c r="R2955" s="95">
        <v>6.8696854646750957E-3</v>
      </c>
      <c r="S2955" s="95"/>
      <c r="T2955" s="95"/>
      <c r="U2955" s="95"/>
      <c r="V2955" s="95"/>
      <c r="W2955" s="95"/>
      <c r="X2955" s="95"/>
      <c r="Y2955" s="95"/>
      <c r="Z2955" s="95"/>
      <c r="AA2955" s="95"/>
      <c r="AB2955" s="95"/>
      <c r="AC2955" s="355"/>
      <c r="AD2955" s="355"/>
      <c r="AE2955" s="355"/>
      <c r="AF2955" s="94">
        <f t="shared" si="383"/>
        <v>43496</v>
      </c>
      <c r="AG2955" s="185">
        <f t="shared" si="379"/>
        <v>1.3356249094022887E-2</v>
      </c>
      <c r="AH2955" s="339" t="str">
        <f>VLOOKUP(B2955,'MF PF'!A:B,2)</f>
        <v>FdMgt1</v>
      </c>
      <c r="AI2955" s="358">
        <f t="shared" si="384"/>
        <v>0</v>
      </c>
      <c r="AJ2955" s="94">
        <f t="shared" si="385"/>
        <v>43496</v>
      </c>
    </row>
    <row r="2956" spans="1:36" ht="12.75" customHeight="1">
      <c r="A2956" s="94">
        <v>43329</v>
      </c>
      <c r="B2956" s="358" t="s">
        <v>273</v>
      </c>
      <c r="C2956" s="358" t="s">
        <v>386</v>
      </c>
      <c r="D2956" s="93"/>
      <c r="F2956" s="93"/>
      <c r="G2956" s="93">
        <v>1369543.3755542503</v>
      </c>
      <c r="H2956" s="93"/>
      <c r="I2956" s="93"/>
      <c r="K2956" s="93"/>
      <c r="L2956" s="93">
        <f t="shared" si="381"/>
        <v>1369543.3755542503</v>
      </c>
      <c r="M2956" s="95">
        <f t="shared" ca="1" si="382"/>
        <v>0</v>
      </c>
      <c r="N2956" s="95">
        <f>IF(P2956="Hedge Fund",IF(A2956=Summary!$AD$3,M2956-E2956,M2956),IF(A2956=Summary!$AD$3,L2956-D2956,L2956))</f>
        <v>1369543.3755542503</v>
      </c>
      <c r="O2956" s="95">
        <f t="shared" si="380"/>
        <v>1369543.3755542503</v>
      </c>
      <c r="P2956" s="107" t="s">
        <v>155</v>
      </c>
      <c r="Q2956" s="95">
        <v>0</v>
      </c>
      <c r="R2956" s="95">
        <v>0</v>
      </c>
      <c r="S2956" s="95"/>
      <c r="T2956" s="95"/>
      <c r="U2956" s="95"/>
      <c r="V2956" s="95"/>
      <c r="W2956" s="95"/>
      <c r="X2956" s="95"/>
      <c r="Y2956" s="95"/>
      <c r="Z2956" s="95"/>
      <c r="AA2956" s="95"/>
      <c r="AB2956" s="95"/>
      <c r="AC2956" s="355"/>
      <c r="AD2956" s="355"/>
      <c r="AE2956" s="355"/>
      <c r="AF2956" s="94">
        <f t="shared" si="383"/>
        <v>43329</v>
      </c>
      <c r="AG2956" s="185">
        <f t="shared" si="379"/>
        <v>-1</v>
      </c>
      <c r="AH2956" s="339" t="str">
        <f>VLOOKUP(B2956,'MF PF'!A:B,2)</f>
        <v>FdMgt1</v>
      </c>
      <c r="AI2956" s="358">
        <f t="shared" si="384"/>
        <v>0</v>
      </c>
      <c r="AJ2956" s="94">
        <f t="shared" si="385"/>
        <v>43343</v>
      </c>
    </row>
    <row r="2957" spans="1:36" ht="12.75" customHeight="1">
      <c r="A2957" s="94">
        <v>43343</v>
      </c>
      <c r="B2957" s="358" t="s">
        <v>273</v>
      </c>
      <c r="C2957" s="358" t="s">
        <v>386</v>
      </c>
      <c r="D2957" s="93">
        <v>1018980.63</v>
      </c>
      <c r="E2957" s="95"/>
      <c r="F2957" s="93"/>
      <c r="G2957" s="93"/>
      <c r="H2957" s="93"/>
      <c r="I2957" s="93"/>
      <c r="K2957" s="93"/>
      <c r="L2957" s="93">
        <f t="shared" si="381"/>
        <v>0</v>
      </c>
      <c r="M2957" s="95" t="e">
        <f t="shared" ca="1" si="382"/>
        <v>#DIV/0!</v>
      </c>
      <c r="N2957" s="95">
        <f>IF(P2957="Hedge Fund",IF(A2957=Summary!$AD$3,M2957-E2957,M2957),IF(A2957=Summary!$AD$3,L2957-D2957,L2957))</f>
        <v>0</v>
      </c>
      <c r="O2957" s="95">
        <f t="shared" si="380"/>
        <v>0</v>
      </c>
      <c r="P2957" s="107" t="s">
        <v>155</v>
      </c>
      <c r="Q2957" s="95">
        <v>0</v>
      </c>
      <c r="R2957" s="95">
        <v>0</v>
      </c>
      <c r="S2957" s="95"/>
      <c r="T2957" s="95"/>
      <c r="U2957" s="95"/>
      <c r="V2957" s="95"/>
      <c r="W2957" s="95"/>
      <c r="X2957" s="95"/>
      <c r="Y2957" s="95"/>
      <c r="Z2957" s="95"/>
      <c r="AA2957" s="95"/>
      <c r="AB2957" s="95"/>
      <c r="AC2957" s="355"/>
      <c r="AD2957" s="355"/>
      <c r="AE2957" s="355"/>
      <c r="AF2957" s="94">
        <f t="shared" si="383"/>
        <v>43343</v>
      </c>
      <c r="AG2957" s="185" t="e">
        <f t="shared" si="379"/>
        <v>#DIV/0!</v>
      </c>
      <c r="AH2957" s="339" t="str">
        <f>VLOOKUP(B2957,'MF PF'!A:B,2)</f>
        <v>FdMgt1</v>
      </c>
      <c r="AI2957" s="358">
        <f t="shared" si="384"/>
        <v>0</v>
      </c>
      <c r="AJ2957" s="94">
        <f t="shared" si="385"/>
        <v>43343</v>
      </c>
    </row>
    <row r="2958" spans="1:36" ht="12.75" customHeight="1">
      <c r="A2958" s="94">
        <v>43369</v>
      </c>
      <c r="B2958" s="358" t="s">
        <v>273</v>
      </c>
      <c r="C2958" s="358" t="s">
        <v>386</v>
      </c>
      <c r="D2958" s="93"/>
      <c r="F2958" s="93"/>
      <c r="G2958" s="93">
        <v>275720.17</v>
      </c>
      <c r="H2958" s="93"/>
      <c r="I2958" s="93"/>
      <c r="K2958" s="93"/>
      <c r="L2958" s="93">
        <f t="shared" si="381"/>
        <v>275720.17</v>
      </c>
      <c r="M2958" s="95" t="e">
        <f t="shared" ca="1" si="382"/>
        <v>#DIV/0!</v>
      </c>
      <c r="N2958" s="95">
        <f>IF(P2958="Hedge Fund",IF(A2958=Summary!$AD$3,M2958-E2958,M2958),IF(A2958=Summary!$AD$3,L2958-D2958,L2958))</f>
        <v>275720.17</v>
      </c>
      <c r="O2958" s="95">
        <f t="shared" si="380"/>
        <v>275720.17</v>
      </c>
      <c r="P2958" s="107" t="s">
        <v>155</v>
      </c>
      <c r="Q2958" s="95">
        <v>0</v>
      </c>
      <c r="R2958" s="95">
        <v>0</v>
      </c>
      <c r="S2958" s="95"/>
      <c r="T2958" s="95"/>
      <c r="U2958" s="95"/>
      <c r="V2958" s="95"/>
      <c r="W2958" s="95"/>
      <c r="X2958" s="95"/>
      <c r="Y2958" s="95"/>
      <c r="Z2958" s="95"/>
      <c r="AA2958" s="95"/>
      <c r="AB2958" s="95"/>
      <c r="AC2958" s="355"/>
      <c r="AD2958" s="355"/>
      <c r="AE2958" s="355"/>
      <c r="AF2958" s="94">
        <f t="shared" si="383"/>
        <v>43369</v>
      </c>
      <c r="AG2958" s="185">
        <f t="shared" ref="AG2958:AG3021" si="386">IF(C2958&lt;&gt;C2957,D2958/G2958-1,(D2958-G2958-I2958-H2958)/(D2957)-1)</f>
        <v>-1.2705843093406006</v>
      </c>
      <c r="AH2958" s="339" t="str">
        <f>VLOOKUP(B2958,'MF PF'!A:B,2)</f>
        <v>FdMgt1</v>
      </c>
      <c r="AI2958" s="358">
        <f t="shared" si="384"/>
        <v>0</v>
      </c>
      <c r="AJ2958" s="94">
        <f t="shared" si="385"/>
        <v>43373</v>
      </c>
    </row>
    <row r="2959" spans="1:36" ht="12.75" customHeight="1">
      <c r="A2959" s="94">
        <v>43371</v>
      </c>
      <c r="B2959" s="358" t="s">
        <v>273</v>
      </c>
      <c r="C2959" s="358" t="s">
        <v>386</v>
      </c>
      <c r="D2959" s="93">
        <v>1653886.87</v>
      </c>
      <c r="F2959" s="93"/>
      <c r="G2959" s="93"/>
      <c r="H2959" s="93"/>
      <c r="I2959" s="93"/>
      <c r="K2959" s="93"/>
      <c r="L2959" s="93">
        <f t="shared" si="381"/>
        <v>0</v>
      </c>
      <c r="M2959" s="95" t="e">
        <f t="shared" ca="1" si="382"/>
        <v>#DIV/0!</v>
      </c>
      <c r="N2959" s="95">
        <f>IF(P2959="Hedge Fund",IF(A2959=Summary!$AD$3,M2959-E2959,M2959),IF(A2959=Summary!$AD$3,L2959-D2959,L2959))</f>
        <v>0</v>
      </c>
      <c r="O2959" s="95">
        <f t="shared" si="380"/>
        <v>0</v>
      </c>
      <c r="P2959" s="107" t="s">
        <v>155</v>
      </c>
      <c r="Q2959" s="95">
        <v>6.6578799999999997E-3</v>
      </c>
      <c r="R2959" s="95">
        <v>1.52176E-3</v>
      </c>
      <c r="S2959" s="95"/>
      <c r="T2959" s="95"/>
      <c r="U2959" s="95"/>
      <c r="V2959" s="95"/>
      <c r="W2959" s="95"/>
      <c r="X2959" s="95"/>
      <c r="Y2959" s="95"/>
      <c r="Z2959" s="95"/>
      <c r="AA2959" s="95"/>
      <c r="AB2959" s="95"/>
      <c r="AC2959" s="355"/>
      <c r="AD2959" s="355"/>
      <c r="AE2959" s="355"/>
      <c r="AF2959" s="94">
        <f t="shared" si="383"/>
        <v>43371</v>
      </c>
      <c r="AG2959" s="185" t="e">
        <f t="shared" si="386"/>
        <v>#DIV/0!</v>
      </c>
      <c r="AH2959" s="339" t="str">
        <f>VLOOKUP(B2959,'MF PF'!A:B,2)</f>
        <v>FdMgt1</v>
      </c>
      <c r="AI2959" s="358">
        <f t="shared" si="384"/>
        <v>0</v>
      </c>
      <c r="AJ2959" s="94">
        <f t="shared" si="385"/>
        <v>43373</v>
      </c>
    </row>
    <row r="2960" spans="1:36" ht="12.75" customHeight="1">
      <c r="A2960" s="94">
        <v>43404</v>
      </c>
      <c r="B2960" s="358" t="s">
        <v>273</v>
      </c>
      <c r="C2960" s="358" t="s">
        <v>386</v>
      </c>
      <c r="D2960" s="93">
        <v>1736119.57</v>
      </c>
      <c r="E2960" s="95"/>
      <c r="F2960" s="93">
        <v>2</v>
      </c>
      <c r="G2960" s="93">
        <v>161828.74</v>
      </c>
      <c r="H2960" s="93">
        <v>0</v>
      </c>
      <c r="I2960" s="93">
        <v>0</v>
      </c>
      <c r="J2960" s="93">
        <v>0</v>
      </c>
      <c r="K2960" s="93"/>
      <c r="L2960" s="93">
        <f t="shared" si="381"/>
        <v>161828.74</v>
      </c>
      <c r="M2960" s="95" t="e">
        <f t="shared" ca="1" si="382"/>
        <v>#DIV/0!</v>
      </c>
      <c r="N2960" s="95">
        <f>IF(P2960="Hedge Fund",IF(A2960=Summary!$AD$3,M2960-E2960,M2960),IF(A2960=Summary!$AD$3,L2960-D2960,L2960))</f>
        <v>161828.74</v>
      </c>
      <c r="O2960" s="95">
        <f t="shared" si="380"/>
        <v>161828.74</v>
      </c>
      <c r="P2960" s="95" t="s">
        <v>155</v>
      </c>
      <c r="Q2960" s="95">
        <v>8.6147347858213773E-3</v>
      </c>
      <c r="R2960" s="95">
        <v>0</v>
      </c>
      <c r="S2960" s="95"/>
      <c r="T2960" s="95"/>
      <c r="U2960" s="95"/>
      <c r="V2960" s="95"/>
      <c r="W2960" s="95"/>
      <c r="X2960" s="95"/>
      <c r="Y2960" s="95"/>
      <c r="Z2960" s="95"/>
      <c r="AA2960" s="95"/>
      <c r="AB2960" s="95"/>
      <c r="AC2960" s="355"/>
      <c r="AD2960" s="355"/>
      <c r="AE2960" s="355"/>
      <c r="AF2960" s="94">
        <f t="shared" si="383"/>
        <v>43404</v>
      </c>
      <c r="AG2960" s="185">
        <f t="shared" si="386"/>
        <v>-4.8126653306099443E-2</v>
      </c>
      <c r="AH2960" s="339" t="str">
        <f>VLOOKUP(B2960,'MF PF'!A:B,2)</f>
        <v>FdMgt1</v>
      </c>
      <c r="AI2960" s="358">
        <f t="shared" si="384"/>
        <v>0</v>
      </c>
      <c r="AJ2960" s="94">
        <f t="shared" si="385"/>
        <v>43404</v>
      </c>
    </row>
    <row r="2961" spans="1:36" ht="12.75" customHeight="1">
      <c r="A2961" s="94">
        <v>43432</v>
      </c>
      <c r="B2961" s="358" t="s">
        <v>273</v>
      </c>
      <c r="C2961" s="358" t="s">
        <v>386</v>
      </c>
      <c r="D2961" s="93"/>
      <c r="E2961" s="95"/>
      <c r="F2961" s="93"/>
      <c r="G2961" s="93">
        <v>174005.71</v>
      </c>
      <c r="H2961" s="93">
        <v>0</v>
      </c>
      <c r="I2961" s="93">
        <v>0</v>
      </c>
      <c r="K2961" s="93">
        <v>0</v>
      </c>
      <c r="L2961" s="93">
        <f t="shared" si="381"/>
        <v>174005.71</v>
      </c>
      <c r="M2961" s="95" t="e">
        <f t="shared" ca="1" si="382"/>
        <v>#DIV/0!</v>
      </c>
      <c r="N2961" s="95">
        <f>IF(P2961="Hedge Fund",IF(A2961=Summary!$AD$3,M2961-E2961,M2961),IF(A2961=Summary!$AD$3,L2961-D2961,L2961))</f>
        <v>174005.71</v>
      </c>
      <c r="O2961" s="95">
        <f t="shared" si="380"/>
        <v>174005.71</v>
      </c>
      <c r="P2961" s="95" t="s">
        <v>155</v>
      </c>
      <c r="Q2961" s="95"/>
      <c r="R2961" s="95"/>
      <c r="S2961" s="95"/>
      <c r="T2961" s="95"/>
      <c r="U2961" s="95"/>
      <c r="V2961" s="95"/>
      <c r="W2961" s="95"/>
      <c r="X2961" s="95"/>
      <c r="Y2961" s="95"/>
      <c r="Z2961" s="95"/>
      <c r="AA2961" s="95"/>
      <c r="AB2961" s="95"/>
      <c r="AC2961" s="355"/>
      <c r="AD2961" s="355"/>
      <c r="AE2961" s="355"/>
      <c r="AF2961" s="94">
        <f t="shared" si="383"/>
        <v>43432</v>
      </c>
      <c r="AG2961" s="185">
        <f t="shared" si="386"/>
        <v>-1.1002268006229547</v>
      </c>
      <c r="AH2961" s="339" t="str">
        <f>VLOOKUP(B2961,'MF PF'!A:B,2)</f>
        <v>FdMgt1</v>
      </c>
      <c r="AI2961" s="358">
        <f t="shared" si="384"/>
        <v>0</v>
      </c>
      <c r="AJ2961" s="94">
        <f t="shared" si="385"/>
        <v>43434</v>
      </c>
    </row>
    <row r="2962" spans="1:36" ht="12.75" customHeight="1">
      <c r="A2962" s="94">
        <v>43434</v>
      </c>
      <c r="B2962" s="358" t="s">
        <v>273</v>
      </c>
      <c r="C2962" s="358" t="s">
        <v>386</v>
      </c>
      <c r="D2962" s="93">
        <v>1993200.04</v>
      </c>
      <c r="E2962" s="95"/>
      <c r="F2962" s="93">
        <v>2</v>
      </c>
      <c r="G2962" s="93"/>
      <c r="H2962" s="93">
        <v>0</v>
      </c>
      <c r="I2962" s="93">
        <v>0</v>
      </c>
      <c r="K2962" s="93">
        <v>0</v>
      </c>
      <c r="L2962" s="93">
        <f t="shared" si="381"/>
        <v>0</v>
      </c>
      <c r="M2962" s="95" t="e">
        <f t="shared" ca="1" si="382"/>
        <v>#DIV/0!</v>
      </c>
      <c r="N2962" s="95">
        <f>IF(P2962="Hedge Fund",IF(A2962=Summary!$AD$3,M2962-E2962,M2962),IF(A2962=Summary!$AD$3,L2962-D2962,L2962))</f>
        <v>0</v>
      </c>
      <c r="O2962" s="95">
        <f t="shared" si="380"/>
        <v>0</v>
      </c>
      <c r="P2962" s="95" t="s">
        <v>155</v>
      </c>
      <c r="Q2962" s="95">
        <v>1.186978E-2</v>
      </c>
      <c r="R2962" s="95">
        <v>2.135655666862463E-3</v>
      </c>
      <c r="S2962" s="95"/>
      <c r="T2962" s="95"/>
      <c r="U2962" s="95"/>
      <c r="V2962" s="95"/>
      <c r="W2962" s="95"/>
      <c r="X2962" s="95"/>
      <c r="Y2962" s="95"/>
      <c r="Z2962" s="95"/>
      <c r="AA2962" s="95"/>
      <c r="AB2962" s="95"/>
      <c r="AC2962" s="355"/>
      <c r="AD2962" s="355"/>
      <c r="AE2962" s="355"/>
      <c r="AF2962" s="94">
        <f t="shared" si="383"/>
        <v>43434</v>
      </c>
      <c r="AG2962" s="185" t="e">
        <f t="shared" si="386"/>
        <v>#DIV/0!</v>
      </c>
      <c r="AH2962" s="339" t="str">
        <f>VLOOKUP(B2962,'MF PF'!A:B,2)</f>
        <v>FdMgt1</v>
      </c>
      <c r="AI2962" s="358">
        <f t="shared" si="384"/>
        <v>0</v>
      </c>
      <c r="AJ2962" s="94">
        <f t="shared" si="385"/>
        <v>43434</v>
      </c>
    </row>
    <row r="2963" spans="1:36" ht="12.75" customHeight="1">
      <c r="A2963" s="94">
        <v>43465</v>
      </c>
      <c r="B2963" s="358" t="s">
        <v>273</v>
      </c>
      <c r="C2963" s="358" t="s">
        <v>386</v>
      </c>
      <c r="D2963" s="368">
        <v>2005572.3722999999</v>
      </c>
      <c r="E2963" s="95"/>
      <c r="F2963" s="93">
        <v>2</v>
      </c>
      <c r="G2963" s="93"/>
      <c r="H2963" s="93">
        <v>0</v>
      </c>
      <c r="I2963" s="93">
        <v>0</v>
      </c>
      <c r="K2963" s="93">
        <v>0</v>
      </c>
      <c r="L2963" s="93">
        <f t="shared" si="381"/>
        <v>0</v>
      </c>
      <c r="M2963" s="95" t="e">
        <f t="shared" ca="1" si="382"/>
        <v>#DIV/0!</v>
      </c>
      <c r="N2963" s="95">
        <f>IF(P2963="Hedge Fund",IF(A2963=Summary!$AD$3,M2963-E2963,M2963),IF(A2963=Summary!$AD$3,L2963-D2963,L2963))</f>
        <v>0</v>
      </c>
      <c r="O2963" s="95">
        <f t="shared" si="380"/>
        <v>0</v>
      </c>
      <c r="P2963" s="95" t="s">
        <v>155</v>
      </c>
      <c r="Q2963" s="95">
        <v>-2.0226916757410516</v>
      </c>
      <c r="R2963" s="95">
        <v>0</v>
      </c>
      <c r="S2963" s="95"/>
      <c r="T2963" s="95"/>
      <c r="U2963" s="95"/>
      <c r="V2963" s="95"/>
      <c r="W2963" s="95"/>
      <c r="X2963" s="95"/>
      <c r="Y2963" s="95"/>
      <c r="Z2963" s="95"/>
      <c r="AA2963" s="95"/>
      <c r="AB2963" s="95"/>
      <c r="AC2963" s="355"/>
      <c r="AD2963" s="355"/>
      <c r="AE2963" s="355"/>
      <c r="AF2963" s="94">
        <f t="shared" si="383"/>
        <v>43465</v>
      </c>
      <c r="AG2963" s="185">
        <f t="shared" si="386"/>
        <v>6.2072707463922683E-3</v>
      </c>
      <c r="AH2963" s="339" t="str">
        <f>VLOOKUP(B2963,'MF PF'!A:B,2)</f>
        <v>FdMgt1</v>
      </c>
      <c r="AI2963" s="358">
        <f t="shared" si="384"/>
        <v>0</v>
      </c>
      <c r="AJ2963" s="94">
        <f t="shared" si="385"/>
        <v>43465</v>
      </c>
    </row>
    <row r="2964" spans="1:36" ht="12.75" customHeight="1">
      <c r="A2964" s="94">
        <v>43496</v>
      </c>
      <c r="B2964" s="358" t="s">
        <v>273</v>
      </c>
      <c r="C2964" s="358" t="s">
        <v>386</v>
      </c>
      <c r="D2964" s="93">
        <v>2030713.7063</v>
      </c>
      <c r="E2964" s="95"/>
      <c r="F2964" s="93">
        <v>1.9810979955542503</v>
      </c>
      <c r="G2964" s="93"/>
      <c r="H2964" s="93">
        <v>0</v>
      </c>
      <c r="I2964" s="93">
        <v>0</v>
      </c>
      <c r="K2964" s="93">
        <v>0</v>
      </c>
      <c r="L2964" s="93">
        <f t="shared" si="381"/>
        <v>0</v>
      </c>
      <c r="M2964" s="95" t="e">
        <f t="shared" ca="1" si="382"/>
        <v>#DIV/0!</v>
      </c>
      <c r="N2964" s="95">
        <f>IF(P2964="Hedge Fund",IF(A2964=Summary!$AD$3,M2964-E2964,M2964),IF(A2964=Summary!$AD$3,L2964-D2964,L2964))</f>
        <v>-2030713.7063</v>
      </c>
      <c r="O2964" s="95">
        <f t="shared" si="380"/>
        <v>-2030713.7063</v>
      </c>
      <c r="P2964" s="95" t="s">
        <v>155</v>
      </c>
      <c r="Q2964" s="95">
        <v>1.4985125175548154E-2</v>
      </c>
      <c r="R2964" s="95">
        <v>8.7557136668624594E-3</v>
      </c>
      <c r="S2964" s="95"/>
      <c r="T2964" s="95"/>
      <c r="U2964" s="95"/>
      <c r="V2964" s="95"/>
      <c r="W2964" s="95"/>
      <c r="X2964" s="95"/>
      <c r="Y2964" s="95"/>
      <c r="Z2964" s="95"/>
      <c r="AA2964" s="95"/>
      <c r="AB2964" s="95"/>
      <c r="AC2964" s="355"/>
      <c r="AD2964" s="355"/>
      <c r="AE2964" s="355"/>
      <c r="AF2964" s="94">
        <f t="shared" si="383"/>
        <v>43496</v>
      </c>
      <c r="AG2964" s="185">
        <f t="shared" si="386"/>
        <v>1.2535740094568482E-2</v>
      </c>
      <c r="AH2964" s="339" t="str">
        <f>VLOOKUP(B2964,'MF PF'!A:B,2)</f>
        <v>FdMgt1</v>
      </c>
      <c r="AI2964" s="358">
        <f t="shared" si="384"/>
        <v>0</v>
      </c>
      <c r="AJ2964" s="94">
        <f t="shared" si="385"/>
        <v>43496</v>
      </c>
    </row>
    <row r="2965" spans="1:36" ht="12.75" customHeight="1">
      <c r="A2965" s="94">
        <v>43404</v>
      </c>
      <c r="B2965" s="358" t="s">
        <v>273</v>
      </c>
      <c r="C2965" s="358" t="s">
        <v>329</v>
      </c>
      <c r="D2965" s="93">
        <v>6899.32</v>
      </c>
      <c r="E2965" s="95"/>
      <c r="F2965" s="93">
        <v>0.05</v>
      </c>
      <c r="G2965" s="93"/>
      <c r="H2965" s="93"/>
      <c r="I2965" s="93"/>
      <c r="K2965" s="93"/>
      <c r="L2965" s="93">
        <f t="shared" si="381"/>
        <v>0</v>
      </c>
      <c r="M2965" s="95">
        <f t="shared" ca="1" si="382"/>
        <v>0</v>
      </c>
      <c r="N2965" s="95">
        <f>IF(P2965="Hedge Fund",IF(A2965=Summary!$AD$3,M2965-E2965,M2965),IF(A2965=Summary!$AD$3,L2965-D2965,L2965))</f>
        <v>0</v>
      </c>
      <c r="O2965" s="95">
        <f t="shared" si="380"/>
        <v>0</v>
      </c>
      <c r="P2965" s="95" t="s">
        <v>155</v>
      </c>
      <c r="Q2965" s="95">
        <v>0</v>
      </c>
      <c r="R2965" s="95">
        <v>0</v>
      </c>
      <c r="S2965" s="95"/>
      <c r="T2965" s="95"/>
      <c r="U2965" s="95"/>
      <c r="V2965" s="95"/>
      <c r="W2965" s="95"/>
      <c r="X2965" s="95"/>
      <c r="Y2965" s="95"/>
      <c r="Z2965" s="95"/>
      <c r="AA2965" s="95"/>
      <c r="AB2965" s="95"/>
      <c r="AC2965" s="355"/>
      <c r="AD2965" s="355"/>
      <c r="AE2965" s="355"/>
      <c r="AF2965" s="94">
        <f t="shared" si="383"/>
        <v>43404</v>
      </c>
      <c r="AG2965" s="185" t="e">
        <f t="shared" si="386"/>
        <v>#DIV/0!</v>
      </c>
      <c r="AH2965" s="339" t="str">
        <f>VLOOKUP(B2965,'MF PF'!A:B,2)</f>
        <v>FdMgt1</v>
      </c>
      <c r="AI2965" s="358">
        <f t="shared" si="384"/>
        <v>0</v>
      </c>
      <c r="AJ2965" s="94">
        <f t="shared" si="385"/>
        <v>43404</v>
      </c>
    </row>
    <row r="2966" spans="1:36" s="358" customFormat="1" ht="12.75" customHeight="1">
      <c r="A2966" s="94">
        <v>43404</v>
      </c>
      <c r="B2966" s="358" t="s">
        <v>273</v>
      </c>
      <c r="C2966" s="358" t="s">
        <v>329</v>
      </c>
      <c r="D2966" s="93"/>
      <c r="E2966" s="95"/>
      <c r="F2966" s="93">
        <v>0.05</v>
      </c>
      <c r="G2966" s="93">
        <v>45649.850000000006</v>
      </c>
      <c r="H2966" s="93"/>
      <c r="I2966" s="93"/>
      <c r="J2966" s="93"/>
      <c r="K2966" s="93"/>
      <c r="L2966" s="93">
        <v>45649.850000000006</v>
      </c>
      <c r="M2966" s="95">
        <v>0</v>
      </c>
      <c r="N2966" s="95">
        <v>45649.850000000006</v>
      </c>
      <c r="O2966" s="95">
        <v>45649.850000000006</v>
      </c>
      <c r="P2966" s="95" t="s">
        <v>155</v>
      </c>
      <c r="Q2966" s="95"/>
      <c r="R2966" s="95"/>
      <c r="S2966" s="95"/>
      <c r="T2966" s="95"/>
      <c r="U2966" s="95"/>
      <c r="V2966" s="95"/>
      <c r="W2966" s="95"/>
      <c r="X2966" s="95"/>
      <c r="Y2966" s="95"/>
      <c r="Z2966" s="95"/>
      <c r="AA2966" s="95"/>
      <c r="AB2966" s="95"/>
      <c r="AF2966" s="94">
        <v>43404</v>
      </c>
      <c r="AG2966" s="185">
        <f t="shared" si="386"/>
        <v>-7.6165723578555582</v>
      </c>
      <c r="AH2966" s="339" t="s">
        <v>286</v>
      </c>
      <c r="AI2966" s="358">
        <v>0</v>
      </c>
      <c r="AJ2966" s="94">
        <v>43404</v>
      </c>
    </row>
    <row r="2967" spans="1:36" ht="12.75" customHeight="1">
      <c r="A2967" s="94">
        <v>43432</v>
      </c>
      <c r="B2967" s="358" t="s">
        <v>273</v>
      </c>
      <c r="C2967" s="358" t="s">
        <v>329</v>
      </c>
      <c r="D2967" s="93"/>
      <c r="E2967" s="95"/>
      <c r="F2967" s="93"/>
      <c r="G2967" s="93">
        <v>4350.1499999999996</v>
      </c>
      <c r="H2967" s="93"/>
      <c r="I2967" s="93"/>
      <c r="K2967" s="93"/>
      <c r="L2967" s="93">
        <f>G2967+H2967+I2967</f>
        <v>4350.1499999999996</v>
      </c>
      <c r="M2967" s="95" t="e">
        <f ca="1">IF(A2967&gt;INDIRECT("A"&amp;ROW()-1),I2967/K2967,E2967)</f>
        <v>#DIV/0!</v>
      </c>
      <c r="N2967" s="95">
        <f>IF(P2967="Hedge Fund",IF(A2967=Summary!$AD$3,M2967-E2967,M2967),IF(A2967=Summary!$AD$3,L2967-D2967,L2967))</f>
        <v>4350.1499999999996</v>
      </c>
      <c r="O2967" s="95">
        <f>N2967</f>
        <v>4350.1499999999996</v>
      </c>
      <c r="P2967" s="95" t="s">
        <v>155</v>
      </c>
      <c r="Q2967" s="95"/>
      <c r="R2967" s="95"/>
      <c r="S2967" s="95"/>
      <c r="T2967" s="95"/>
      <c r="U2967" s="95"/>
      <c r="V2967" s="95"/>
      <c r="W2967" s="95"/>
      <c r="X2967" s="95"/>
      <c r="Y2967" s="95"/>
      <c r="Z2967" s="95"/>
      <c r="AA2967" s="95"/>
      <c r="AB2967" s="95"/>
      <c r="AC2967" s="355"/>
      <c r="AD2967" s="355"/>
      <c r="AE2967" s="355"/>
      <c r="AF2967" s="94">
        <f>A2967</f>
        <v>43432</v>
      </c>
      <c r="AG2967" s="185" t="e">
        <f t="shared" si="386"/>
        <v>#DIV/0!</v>
      </c>
      <c r="AH2967" s="339" t="str">
        <f>VLOOKUP(B2967,'MF PF'!A:B,2)</f>
        <v>FdMgt1</v>
      </c>
      <c r="AI2967" s="358">
        <f>AF2967-A2967</f>
        <v>0</v>
      </c>
      <c r="AJ2967" s="94">
        <f>EOMONTH(A2967,0)</f>
        <v>43434</v>
      </c>
    </row>
    <row r="2968" spans="1:36" ht="12.75" customHeight="1">
      <c r="A2968" s="94">
        <v>43434</v>
      </c>
      <c r="B2968" s="358" t="s">
        <v>273</v>
      </c>
      <c r="C2968" s="358" t="s">
        <v>329</v>
      </c>
      <c r="D2968" s="93">
        <v>15690.92</v>
      </c>
      <c r="E2968" s="95"/>
      <c r="F2968" s="93">
        <v>0.05</v>
      </c>
      <c r="G2968" s="93"/>
      <c r="H2968" s="93"/>
      <c r="I2968" s="93"/>
      <c r="K2968" s="93"/>
      <c r="L2968" s="93">
        <f>G2968+H2968+I2968</f>
        <v>0</v>
      </c>
      <c r="M2968" s="95" t="e">
        <f ca="1">IF(A2968&gt;INDIRECT("A"&amp;ROW()-1),I2968/K2968,E2968)</f>
        <v>#DIV/0!</v>
      </c>
      <c r="N2968" s="95">
        <f>IF(P2968="Hedge Fund",IF(A2968=Summary!$AD$3,M2968-E2968,M2968),IF(A2968=Summary!$AD$3,L2968-D2968,L2968))</f>
        <v>0</v>
      </c>
      <c r="O2968" s="95">
        <f>N2968</f>
        <v>0</v>
      </c>
      <c r="P2968" s="95" t="s">
        <v>155</v>
      </c>
      <c r="Q2968" s="95">
        <v>0</v>
      </c>
      <c r="R2968" s="95">
        <v>0</v>
      </c>
      <c r="S2968" s="95"/>
      <c r="T2968" s="95"/>
      <c r="U2968" s="95"/>
      <c r="V2968" s="95"/>
      <c r="W2968" s="95"/>
      <c r="X2968" s="95"/>
      <c r="Y2968" s="95"/>
      <c r="Z2968" s="95"/>
      <c r="AA2968" s="95"/>
      <c r="AB2968" s="95"/>
      <c r="AC2968" s="355"/>
      <c r="AD2968" s="355"/>
      <c r="AE2968" s="355"/>
      <c r="AF2968" s="94">
        <f>A2968</f>
        <v>43434</v>
      </c>
      <c r="AG2968" s="185" t="e">
        <f t="shared" si="386"/>
        <v>#DIV/0!</v>
      </c>
      <c r="AH2968" s="339" t="str">
        <f>VLOOKUP(B2968,'MF PF'!A:B,2)</f>
        <v>FdMgt1</v>
      </c>
      <c r="AI2968" s="358">
        <f>AF2968-A2968</f>
        <v>0</v>
      </c>
      <c r="AJ2968" s="94">
        <f>EOMONTH(A2968,0)</f>
        <v>43434</v>
      </c>
    </row>
    <row r="2969" spans="1:36" ht="12.75" customHeight="1">
      <c r="A2969" s="94">
        <v>43465</v>
      </c>
      <c r="B2969" s="358" t="s">
        <v>273</v>
      </c>
      <c r="C2969" s="358" t="s">
        <v>329</v>
      </c>
      <c r="D2969" s="370">
        <v>50567.29</v>
      </c>
      <c r="F2969" s="93">
        <v>0.05</v>
      </c>
      <c r="G2969" s="93">
        <v>0</v>
      </c>
      <c r="H2969" s="93">
        <v>0</v>
      </c>
      <c r="I2969" s="93">
        <v>0</v>
      </c>
      <c r="K2969" s="93">
        <v>0</v>
      </c>
      <c r="L2969" s="93">
        <f>G2969+H2969+I2969</f>
        <v>0</v>
      </c>
      <c r="M2969" s="95" t="e">
        <f ca="1">IF(A2969&gt;INDIRECT("A"&amp;ROW()-1),I2969/K2969,E2969)</f>
        <v>#DIV/0!</v>
      </c>
      <c r="N2969" s="95">
        <f>IF(P2969="Hedge Fund",IF(A2969=Summary!$AD$3,M2969-E2969,M2969),IF(A2969=Summary!$AD$3,L2969-D2969,L2969))</f>
        <v>0</v>
      </c>
      <c r="O2969" s="95">
        <f>N2969</f>
        <v>0</v>
      </c>
      <c r="P2969" s="95" t="s">
        <v>155</v>
      </c>
      <c r="Q2969" s="95">
        <v>-5.0567291904179981E-2</v>
      </c>
      <c r="R2969" s="95">
        <v>0</v>
      </c>
      <c r="S2969" s="95"/>
      <c r="T2969" s="95"/>
      <c r="U2969" s="95"/>
      <c r="V2969" s="95"/>
      <c r="W2969" s="95"/>
      <c r="X2969" s="95"/>
      <c r="Y2969" s="95"/>
      <c r="Z2969" s="95"/>
      <c r="AA2969" s="95"/>
      <c r="AB2969" s="95"/>
      <c r="AC2969" s="355"/>
      <c r="AD2969" s="355"/>
      <c r="AE2969" s="355"/>
      <c r="AF2969" s="94">
        <f>A2969</f>
        <v>43465</v>
      </c>
      <c r="AG2969" s="185">
        <f t="shared" si="386"/>
        <v>2.222710331835227</v>
      </c>
      <c r="AH2969" s="339" t="str">
        <f>VLOOKUP(B2969,'MF PF'!A:B,2)</f>
        <v>FdMgt1</v>
      </c>
      <c r="AI2969" s="358">
        <f>AF2969-A2969</f>
        <v>0</v>
      </c>
      <c r="AJ2969" s="94">
        <f>EOMONTH(A2969,0)</f>
        <v>43465</v>
      </c>
    </row>
    <row r="2970" spans="1:36" ht="12.75" customHeight="1">
      <c r="A2970" s="94">
        <v>43496</v>
      </c>
      <c r="B2970" s="358" t="s">
        <v>273</v>
      </c>
      <c r="C2970" s="358" t="s">
        <v>329</v>
      </c>
      <c r="D2970" s="93">
        <v>51655.12</v>
      </c>
      <c r="F2970" s="93">
        <v>5.000000000000001E-2</v>
      </c>
      <c r="G2970" s="93">
        <v>0</v>
      </c>
      <c r="H2970" s="93">
        <v>0</v>
      </c>
      <c r="I2970" s="93">
        <v>0</v>
      </c>
      <c r="K2970" s="93">
        <v>0</v>
      </c>
      <c r="L2970" s="93">
        <f>G2970+H2970+I2970</f>
        <v>0</v>
      </c>
      <c r="M2970" s="95" t="e">
        <f ca="1">IF(A2970&gt;INDIRECT("A"&amp;ROW()-1),I2970/K2970,E2970)</f>
        <v>#DIV/0!</v>
      </c>
      <c r="N2970" s="95">
        <f>IF(P2970="Hedge Fund",IF(A2970=Summary!$AD$3,M2970-E2970,M2970),IF(A2970=Summary!$AD$3,L2970-D2970,L2970))</f>
        <v>-51655.12</v>
      </c>
      <c r="O2970" s="95">
        <f>N2970</f>
        <v>-51655.12</v>
      </c>
      <c r="P2970" s="95" t="s">
        <v>155</v>
      </c>
      <c r="Q2970" s="95">
        <v>0</v>
      </c>
      <c r="R2970" s="95">
        <v>0</v>
      </c>
      <c r="S2970" s="95"/>
      <c r="T2970" s="95"/>
      <c r="U2970" s="95"/>
      <c r="V2970" s="95"/>
      <c r="W2970" s="95"/>
      <c r="X2970" s="95"/>
      <c r="Y2970" s="95"/>
      <c r="Z2970" s="95"/>
      <c r="AA2970" s="95"/>
      <c r="AB2970" s="95"/>
      <c r="AC2970" s="355"/>
      <c r="AD2970" s="355"/>
      <c r="AE2970" s="355"/>
      <c r="AF2970" s="94">
        <f>A2970</f>
        <v>43496</v>
      </c>
      <c r="AG2970" s="185">
        <f t="shared" si="386"/>
        <v>2.1512523214117341E-2</v>
      </c>
      <c r="AH2970" s="339" t="str">
        <f>VLOOKUP(B2970,'MF PF'!A:B,2)</f>
        <v>FdMgt1</v>
      </c>
      <c r="AI2970" s="358">
        <f>AF2970-A2970</f>
        <v>0</v>
      </c>
      <c r="AJ2970" s="94">
        <f>EOMONTH(A2970,0)</f>
        <v>43496</v>
      </c>
    </row>
    <row r="2971" spans="1:36" ht="12.75" customHeight="1">
      <c r="A2971" s="94">
        <v>43404</v>
      </c>
      <c r="B2971" s="358" t="s">
        <v>273</v>
      </c>
      <c r="C2971" s="358" t="s">
        <v>330</v>
      </c>
      <c r="D2971" s="93">
        <v>603106.94999999995</v>
      </c>
      <c r="F2971" s="93">
        <v>1</v>
      </c>
      <c r="G2971" s="93"/>
      <c r="H2971" s="93"/>
      <c r="I2971" s="93"/>
      <c r="K2971" s="93"/>
      <c r="L2971" s="93">
        <f>G2971+H2971+I2971</f>
        <v>0</v>
      </c>
      <c r="M2971" s="95">
        <f ca="1">IF(A2971&gt;INDIRECT("A"&amp;ROW()-1),I2971/K2971,E2971)</f>
        <v>0</v>
      </c>
      <c r="N2971" s="95">
        <f>IF(P2971="Hedge Fund",IF(A2971=Summary!$AD$3,M2971-E2971,M2971),IF(A2971=Summary!$AD$3,L2971-D2971,L2971))</f>
        <v>0</v>
      </c>
      <c r="O2971" s="95">
        <f>N2971</f>
        <v>0</v>
      </c>
      <c r="P2971" s="95" t="s">
        <v>155</v>
      </c>
      <c r="Q2971" s="95">
        <v>0</v>
      </c>
      <c r="R2971" s="95">
        <v>0</v>
      </c>
      <c r="S2971" s="95"/>
      <c r="T2971" s="95"/>
      <c r="U2971" s="95"/>
      <c r="V2971" s="95"/>
      <c r="W2971" s="95"/>
      <c r="X2971" s="95"/>
      <c r="Y2971" s="95"/>
      <c r="Z2971" s="95"/>
      <c r="AA2971" s="95"/>
      <c r="AB2971" s="95"/>
      <c r="AC2971" s="355"/>
      <c r="AD2971" s="355"/>
      <c r="AE2971" s="355"/>
      <c r="AF2971" s="94">
        <f>A2971</f>
        <v>43404</v>
      </c>
      <c r="AG2971" s="185" t="e">
        <f t="shared" si="386"/>
        <v>#DIV/0!</v>
      </c>
      <c r="AH2971" s="339" t="str">
        <f>VLOOKUP(B2971,'MF PF'!A:B,2)</f>
        <v>FdMgt1</v>
      </c>
      <c r="AI2971" s="358">
        <f>AF2971-A2971</f>
        <v>0</v>
      </c>
      <c r="AJ2971" s="94">
        <f>EOMONTH(A2971,0)</f>
        <v>43404</v>
      </c>
    </row>
    <row r="2972" spans="1:36" ht="12.75" customHeight="1">
      <c r="A2972" s="94">
        <v>43404</v>
      </c>
      <c r="B2972" s="358" t="s">
        <v>273</v>
      </c>
      <c r="C2972" s="358" t="s">
        <v>330</v>
      </c>
      <c r="D2972" s="93"/>
      <c r="F2972" s="93">
        <v>1</v>
      </c>
      <c r="G2972" s="93">
        <v>912997.02</v>
      </c>
      <c r="H2972" s="93"/>
      <c r="I2972" s="93"/>
      <c r="K2972" s="93"/>
      <c r="L2972" s="93">
        <v>912997.02</v>
      </c>
      <c r="M2972" s="95">
        <v>0</v>
      </c>
      <c r="N2972" s="95">
        <v>912997.02</v>
      </c>
      <c r="O2972" s="95">
        <v>912997.02</v>
      </c>
      <c r="P2972" s="95" t="s">
        <v>155</v>
      </c>
      <c r="Q2972" s="95"/>
      <c r="R2972" s="95"/>
      <c r="S2972" s="95"/>
      <c r="T2972" s="95"/>
      <c r="U2972" s="95"/>
      <c r="V2972" s="95"/>
      <c r="W2972" s="95"/>
      <c r="X2972" s="95"/>
      <c r="Y2972" s="95"/>
      <c r="Z2972" s="95"/>
      <c r="AA2972" s="95"/>
      <c r="AB2972" s="95"/>
      <c r="AC2972" s="355"/>
      <c r="AD2972" s="355"/>
      <c r="AE2972" s="355"/>
      <c r="AF2972" s="94">
        <v>43404</v>
      </c>
      <c r="AG2972" s="185">
        <f t="shared" si="386"/>
        <v>-2.5138227473584909</v>
      </c>
      <c r="AH2972" s="339" t="s">
        <v>286</v>
      </c>
      <c r="AI2972" s="358">
        <v>0</v>
      </c>
      <c r="AJ2972" s="94">
        <v>43404</v>
      </c>
    </row>
    <row r="2973" spans="1:36" ht="12.75" customHeight="1">
      <c r="A2973" s="94">
        <v>43432</v>
      </c>
      <c r="B2973" s="358" t="s">
        <v>273</v>
      </c>
      <c r="C2973" s="358" t="s">
        <v>330</v>
      </c>
      <c r="D2973" s="93"/>
      <c r="F2973" s="93"/>
      <c r="G2973" s="93">
        <v>87002.98000000001</v>
      </c>
      <c r="H2973" s="93"/>
      <c r="I2973" s="93"/>
      <c r="K2973" s="93"/>
      <c r="L2973" s="93">
        <f>G2973+H2973+I2973</f>
        <v>87002.98000000001</v>
      </c>
      <c r="M2973" s="95" t="e">
        <f ca="1">IF(A2973&gt;INDIRECT("A"&amp;ROW()-1),I2973/K2973,E2973)</f>
        <v>#DIV/0!</v>
      </c>
      <c r="N2973" s="95">
        <f>IF(P2973="Hedge Fund",IF(A2973=Summary!$AD$3,M2973-E2973,M2973),IF(A2973=Summary!$AD$3,L2973-D2973,L2973))</f>
        <v>87002.98000000001</v>
      </c>
      <c r="O2973" s="95">
        <f>N2973</f>
        <v>87002.98000000001</v>
      </c>
      <c r="P2973" s="95" t="s">
        <v>155</v>
      </c>
      <c r="Q2973" s="95"/>
      <c r="R2973" s="95"/>
      <c r="S2973" s="95"/>
      <c r="T2973" s="95"/>
      <c r="U2973" s="95"/>
      <c r="V2973" s="95"/>
      <c r="W2973" s="95"/>
      <c r="X2973" s="95"/>
      <c r="Y2973" s="95"/>
      <c r="Z2973" s="95"/>
      <c r="AA2973" s="95"/>
      <c r="AB2973" s="95"/>
      <c r="AC2973" s="355"/>
      <c r="AD2973" s="355"/>
      <c r="AE2973" s="355"/>
      <c r="AF2973" s="94">
        <f>A2973</f>
        <v>43432</v>
      </c>
      <c r="AG2973" s="185" t="e">
        <f t="shared" si="386"/>
        <v>#DIV/0!</v>
      </c>
      <c r="AH2973" s="339" t="str">
        <f>VLOOKUP(B2973,'MF PF'!A:B,2)</f>
        <v>FdMgt1</v>
      </c>
      <c r="AI2973" s="358">
        <f>AF2973-A2973</f>
        <v>0</v>
      </c>
      <c r="AJ2973" s="94">
        <f>EOMONTH(A2973,0)</f>
        <v>43434</v>
      </c>
    </row>
    <row r="2974" spans="1:36" ht="12.75" customHeight="1">
      <c r="A2974" s="94">
        <v>43434</v>
      </c>
      <c r="B2974" s="358" t="s">
        <v>273</v>
      </c>
      <c r="C2974" s="358" t="s">
        <v>330</v>
      </c>
      <c r="D2974" s="93">
        <v>753601.29</v>
      </c>
      <c r="F2974" s="93">
        <v>1</v>
      </c>
      <c r="G2974" s="93"/>
      <c r="H2974" s="93"/>
      <c r="I2974" s="93"/>
      <c r="K2974" s="93"/>
      <c r="L2974" s="93">
        <f>G2974+H2974+I2974</f>
        <v>0</v>
      </c>
      <c r="M2974" s="95" t="e">
        <f ca="1">IF(A2974&gt;INDIRECT("A"&amp;ROW()-1),I2974/K2974,E2974)</f>
        <v>#DIV/0!</v>
      </c>
      <c r="N2974" s="95">
        <f>IF(P2974="Hedge Fund",IF(A2974=Summary!$AD$3,M2974-E2974,M2974),IF(A2974=Summary!$AD$3,L2974-D2974,L2974))</f>
        <v>0</v>
      </c>
      <c r="O2974" s="95">
        <f>N2974</f>
        <v>0</v>
      </c>
      <c r="P2974" s="95" t="s">
        <v>155</v>
      </c>
      <c r="Q2974" s="95">
        <v>0</v>
      </c>
      <c r="R2974" s="95">
        <v>0</v>
      </c>
      <c r="S2974" s="95"/>
      <c r="T2974" s="95"/>
      <c r="U2974" s="95"/>
      <c r="V2974" s="95"/>
      <c r="W2974" s="95"/>
      <c r="X2974" s="95"/>
      <c r="Y2974" s="95"/>
      <c r="Z2974" s="95"/>
      <c r="AA2974" s="95"/>
      <c r="AB2974" s="95"/>
      <c r="AC2974" s="355"/>
      <c r="AD2974" s="355"/>
      <c r="AE2974" s="355"/>
      <c r="AF2974" s="94">
        <f>A2974</f>
        <v>43434</v>
      </c>
      <c r="AG2974" s="185" t="e">
        <f t="shared" si="386"/>
        <v>#DIV/0!</v>
      </c>
      <c r="AH2974" s="339" t="str">
        <f>VLOOKUP(B2974,'MF PF'!A:B,2)</f>
        <v>FdMgt1</v>
      </c>
      <c r="AI2974" s="358">
        <f>AF2974-A2974</f>
        <v>0</v>
      </c>
      <c r="AJ2974" s="94">
        <f>EOMONTH(A2974,0)</f>
        <v>43434</v>
      </c>
    </row>
    <row r="2975" spans="1:36" ht="12.75" customHeight="1">
      <c r="A2975" s="94">
        <v>43465</v>
      </c>
      <c r="B2975" s="358" t="s">
        <v>273</v>
      </c>
      <c r="C2975" s="358" t="s">
        <v>330</v>
      </c>
      <c r="D2975" s="370">
        <v>1011345.84</v>
      </c>
      <c r="F2975" s="93">
        <v>1</v>
      </c>
      <c r="G2975" s="93">
        <v>0</v>
      </c>
      <c r="H2975" s="93">
        <v>0</v>
      </c>
      <c r="I2975" s="93">
        <v>0</v>
      </c>
      <c r="K2975" s="93">
        <v>0</v>
      </c>
      <c r="L2975" s="93">
        <f>G2975+H2975+I2975</f>
        <v>0</v>
      </c>
      <c r="M2975" s="95" t="e">
        <f ca="1">IF(A2975&gt;INDIRECT("A"&amp;ROW()-1),I2975/K2975,E2975)</f>
        <v>#DIV/0!</v>
      </c>
      <c r="N2975" s="95">
        <f>IF(P2975="Hedge Fund",IF(A2975=Summary!$AD$3,M2975-E2975,M2975),IF(A2975=Summary!$AD$3,L2975-D2975,L2975))</f>
        <v>0</v>
      </c>
      <c r="O2975" s="95">
        <f>N2975</f>
        <v>0</v>
      </c>
      <c r="P2975" s="95" t="s">
        <v>155</v>
      </c>
      <c r="Q2975" s="95">
        <v>-1.0113458380835998</v>
      </c>
      <c r="R2975" s="95">
        <v>0</v>
      </c>
      <c r="S2975" s="95"/>
      <c r="T2975" s="95"/>
      <c r="U2975" s="95"/>
      <c r="V2975" s="95"/>
      <c r="W2975" s="95"/>
      <c r="X2975" s="95"/>
      <c r="Y2975" s="95"/>
      <c r="Z2975" s="95"/>
      <c r="AA2975" s="95"/>
      <c r="AB2975" s="95"/>
      <c r="AC2975" s="355"/>
      <c r="AD2975" s="355"/>
      <c r="AE2975" s="355"/>
      <c r="AF2975" s="94">
        <f>A2975</f>
        <v>43465</v>
      </c>
      <c r="AG2975" s="185">
        <f t="shared" si="386"/>
        <v>0.34201712950889451</v>
      </c>
      <c r="AH2975" s="339" t="str">
        <f>VLOOKUP(B2975,'MF PF'!A:B,2)</f>
        <v>FdMgt1</v>
      </c>
      <c r="AI2975" s="358">
        <f>AF2975-A2975</f>
        <v>0</v>
      </c>
      <c r="AJ2975" s="94">
        <f>EOMONTH(A2975,0)</f>
        <v>43465</v>
      </c>
    </row>
    <row r="2976" spans="1:36" ht="12.75" customHeight="1">
      <c r="A2976" s="94">
        <v>43496</v>
      </c>
      <c r="B2976" s="358" t="s">
        <v>273</v>
      </c>
      <c r="C2976" s="358" t="s">
        <v>330</v>
      </c>
      <c r="D2976" s="93">
        <v>1037870.32</v>
      </c>
      <c r="F2976" s="93">
        <v>1</v>
      </c>
      <c r="G2976" s="93">
        <v>0</v>
      </c>
      <c r="H2976" s="93">
        <v>0</v>
      </c>
      <c r="I2976" s="93">
        <v>0</v>
      </c>
      <c r="K2976" s="93">
        <v>0</v>
      </c>
      <c r="L2976" s="93">
        <f>G2976+H2976+I2976</f>
        <v>0</v>
      </c>
      <c r="M2976" s="95" t="e">
        <f ca="1">IF(A2976&gt;INDIRECT("A"&amp;ROW()-1),I2976/K2976,E2976)</f>
        <v>#DIV/0!</v>
      </c>
      <c r="N2976" s="95">
        <f>IF(P2976="Hedge Fund",IF(A2976=Summary!$AD$3,M2976-E2976,M2976),IF(A2976=Summary!$AD$3,L2976-D2976,L2976))</f>
        <v>-1037870.32</v>
      </c>
      <c r="O2976" s="95">
        <f>N2976</f>
        <v>-1037870.32</v>
      </c>
      <c r="P2976" s="95" t="s">
        <v>155</v>
      </c>
      <c r="Q2976" s="95">
        <v>0</v>
      </c>
      <c r="R2976" s="95">
        <v>0</v>
      </c>
      <c r="S2976" s="95"/>
      <c r="T2976" s="95"/>
      <c r="U2976" s="95"/>
      <c r="V2976" s="95"/>
      <c r="W2976" s="95"/>
      <c r="X2976" s="95"/>
      <c r="Y2976" s="95"/>
      <c r="Z2976" s="95"/>
      <c r="AA2976" s="95"/>
      <c r="AB2976" s="95"/>
      <c r="AC2976" s="355"/>
      <c r="AD2976" s="355"/>
      <c r="AE2976" s="355"/>
      <c r="AF2976" s="94">
        <f>A2976</f>
        <v>43496</v>
      </c>
      <c r="AG2976" s="185">
        <f t="shared" si="386"/>
        <v>2.6226913634212368E-2</v>
      </c>
      <c r="AH2976" s="339" t="str">
        <f>VLOOKUP(B2976,'MF PF'!A:B,2)</f>
        <v>FdMgt1</v>
      </c>
      <c r="AI2976" s="358">
        <f>AF2976-A2976</f>
        <v>0</v>
      </c>
      <c r="AJ2976" s="94">
        <f>EOMONTH(A2976,0)</f>
        <v>43496</v>
      </c>
    </row>
    <row r="2977" spans="1:36" ht="12.75" customHeight="1">
      <c r="A2977" s="94">
        <v>43404</v>
      </c>
      <c r="B2977" s="358" t="s">
        <v>273</v>
      </c>
      <c r="C2977" s="358" t="s">
        <v>331</v>
      </c>
      <c r="D2977" s="93">
        <v>4401171.74</v>
      </c>
      <c r="F2977" s="93">
        <v>5</v>
      </c>
      <c r="G2977" s="93"/>
      <c r="H2977" s="93"/>
      <c r="I2977" s="93"/>
      <c r="K2977" s="93"/>
      <c r="L2977" s="93">
        <f>G2977+H2977+I2977</f>
        <v>0</v>
      </c>
      <c r="M2977" s="95">
        <f ca="1">IF(A2977&gt;INDIRECT("A"&amp;ROW()-1),I2977/K2977,E2977)</f>
        <v>0</v>
      </c>
      <c r="N2977" s="95">
        <f>IF(P2977="Hedge Fund",IF(A2977=Summary!$AD$3,M2977-E2977,M2977),IF(A2977=Summary!$AD$3,L2977-D2977,L2977))</f>
        <v>0</v>
      </c>
      <c r="O2977" s="95">
        <f>N2977</f>
        <v>0</v>
      </c>
      <c r="P2977" s="95" t="s">
        <v>155</v>
      </c>
      <c r="Q2977" s="95">
        <v>9.7261235240840276E-3</v>
      </c>
      <c r="R2977" s="95">
        <v>0</v>
      </c>
      <c r="S2977" s="95"/>
      <c r="T2977" s="95"/>
      <c r="U2977" s="95"/>
      <c r="V2977" s="95"/>
      <c r="W2977" s="95"/>
      <c r="X2977" s="95"/>
      <c r="Y2977" s="95"/>
      <c r="Z2977" s="95"/>
      <c r="AA2977" s="95"/>
      <c r="AB2977" s="95"/>
      <c r="AC2977" s="355"/>
      <c r="AD2977" s="355"/>
      <c r="AE2977" s="355"/>
      <c r="AF2977" s="94">
        <f>A2977</f>
        <v>43404</v>
      </c>
      <c r="AG2977" s="185" t="e">
        <f t="shared" si="386"/>
        <v>#DIV/0!</v>
      </c>
      <c r="AH2977" s="339" t="str">
        <f>VLOOKUP(B2977,'MF PF'!A:B,2)</f>
        <v>FdMgt1</v>
      </c>
      <c r="AI2977" s="358">
        <f>AF2977-A2977</f>
        <v>0</v>
      </c>
      <c r="AJ2977" s="94">
        <f>EOMONTH(A2977,0)</f>
        <v>43404</v>
      </c>
    </row>
    <row r="2978" spans="1:36" ht="12.75" customHeight="1">
      <c r="A2978" s="94">
        <v>43404</v>
      </c>
      <c r="B2978" s="358" t="s">
        <v>273</v>
      </c>
      <c r="C2978" s="358" t="s">
        <v>331</v>
      </c>
      <c r="D2978" s="93"/>
      <c r="F2978" s="93">
        <v>5</v>
      </c>
      <c r="G2978" s="93">
        <v>4564985.0600000005</v>
      </c>
      <c r="H2978" s="93"/>
      <c r="I2978" s="93"/>
      <c r="K2978" s="93"/>
      <c r="L2978" s="93">
        <v>4564985.0600000005</v>
      </c>
      <c r="M2978" s="95">
        <v>0</v>
      </c>
      <c r="N2978" s="95">
        <v>4564985.0600000005</v>
      </c>
      <c r="O2978" s="95">
        <v>4564985.0600000005</v>
      </c>
      <c r="P2978" s="95" t="s">
        <v>155</v>
      </c>
      <c r="Q2978" s="95"/>
      <c r="R2978" s="95"/>
      <c r="S2978" s="95"/>
      <c r="T2978" s="95"/>
      <c r="U2978" s="95"/>
      <c r="V2978" s="95"/>
      <c r="W2978" s="95"/>
      <c r="X2978" s="95"/>
      <c r="Y2978" s="95"/>
      <c r="Z2978" s="95"/>
      <c r="AA2978" s="95"/>
      <c r="AB2978" s="95"/>
      <c r="AC2978" s="355"/>
      <c r="AD2978" s="355"/>
      <c r="AE2978" s="355"/>
      <c r="AF2978" s="94">
        <v>43404</v>
      </c>
      <c r="AG2978" s="185">
        <f t="shared" si="386"/>
        <v>-2.0372203880414812</v>
      </c>
      <c r="AH2978" s="339" t="s">
        <v>286</v>
      </c>
      <c r="AI2978" s="358">
        <v>0</v>
      </c>
      <c r="AJ2978" s="94">
        <v>43404</v>
      </c>
    </row>
    <row r="2979" spans="1:36" ht="12.75" customHeight="1">
      <c r="A2979" s="94">
        <v>43432</v>
      </c>
      <c r="B2979" s="358" t="s">
        <v>273</v>
      </c>
      <c r="C2979" s="358" t="s">
        <v>331</v>
      </c>
      <c r="D2979" s="93"/>
      <c r="F2979" s="93"/>
      <c r="G2979" s="93">
        <v>435014.94</v>
      </c>
      <c r="H2979" s="93"/>
      <c r="I2979" s="93"/>
      <c r="K2979" s="93"/>
      <c r="L2979" s="93">
        <f>G2979+H2979+I2979</f>
        <v>435014.94</v>
      </c>
      <c r="M2979" s="95" t="e">
        <f ca="1">IF(A2979&gt;INDIRECT("A"&amp;ROW()-1),I2979/K2979,E2979)</f>
        <v>#DIV/0!</v>
      </c>
      <c r="N2979" s="95">
        <f>IF(P2979="Hedge Fund",IF(A2979=Summary!$AD$3,M2979-E2979,M2979),IF(A2979=Summary!$AD$3,L2979-D2979,L2979))</f>
        <v>435014.94</v>
      </c>
      <c r="O2979" s="95">
        <f>N2979</f>
        <v>435014.94</v>
      </c>
      <c r="P2979" s="95" t="s">
        <v>155</v>
      </c>
      <c r="Q2979" s="95"/>
      <c r="R2979" s="95"/>
      <c r="S2979" s="95"/>
      <c r="T2979" s="95"/>
      <c r="U2979" s="95"/>
      <c r="V2979" s="95"/>
      <c r="W2979" s="95"/>
      <c r="X2979" s="95"/>
      <c r="Y2979" s="95"/>
      <c r="Z2979" s="95"/>
      <c r="AA2979" s="95"/>
      <c r="AB2979" s="95"/>
      <c r="AC2979" s="355"/>
      <c r="AD2979" s="355"/>
      <c r="AE2979" s="355"/>
      <c r="AF2979" s="94">
        <f>A2979</f>
        <v>43432</v>
      </c>
      <c r="AG2979" s="185" t="e">
        <f t="shared" si="386"/>
        <v>#DIV/0!</v>
      </c>
      <c r="AH2979" s="339" t="str">
        <f>VLOOKUP(B2979,'MF PF'!A:B,2)</f>
        <v>FdMgt1</v>
      </c>
      <c r="AI2979" s="358">
        <f>AF2979-A2979</f>
        <v>0</v>
      </c>
      <c r="AJ2979" s="94">
        <f>EOMONTH(A2979,0)</f>
        <v>43434</v>
      </c>
    </row>
    <row r="2980" spans="1:36" ht="12.75" customHeight="1">
      <c r="A2980" s="94">
        <v>43434</v>
      </c>
      <c r="B2980" s="358" t="s">
        <v>273</v>
      </c>
      <c r="C2980" s="358" t="s">
        <v>331</v>
      </c>
      <c r="D2980" s="93">
        <v>5059915.12</v>
      </c>
      <c r="F2980" s="93">
        <v>5</v>
      </c>
      <c r="G2980" s="93"/>
      <c r="H2980" s="93"/>
      <c r="I2980" s="93"/>
      <c r="K2980" s="93"/>
      <c r="L2980" s="93">
        <f>G2980+H2980+I2980</f>
        <v>0</v>
      </c>
      <c r="M2980" s="95" t="e">
        <f ca="1">IF(A2980&gt;INDIRECT("A"&amp;ROW()-1),I2980/K2980,E2980)</f>
        <v>#DIV/0!</v>
      </c>
      <c r="N2980" s="95">
        <f>IF(P2980="Hedge Fund",IF(A2980=Summary!$AD$3,M2980-E2980,M2980),IF(A2980=Summary!$AD$3,L2980-D2980,L2980))</f>
        <v>0</v>
      </c>
      <c r="O2980" s="95">
        <f>N2980</f>
        <v>0</v>
      </c>
      <c r="P2980" s="95" t="s">
        <v>155</v>
      </c>
      <c r="Q2980" s="95">
        <v>2.9689759999999999E-2</v>
      </c>
      <c r="R2980" s="95">
        <v>6.230875667156092E-3</v>
      </c>
      <c r="S2980" s="95"/>
      <c r="T2980" s="95"/>
      <c r="U2980" s="95"/>
      <c r="V2980" s="95"/>
      <c r="W2980" s="95"/>
      <c r="X2980" s="95"/>
      <c r="Y2980" s="95"/>
      <c r="Z2980" s="95"/>
      <c r="AA2980" s="95"/>
      <c r="AB2980" s="95"/>
      <c r="AC2980" s="355"/>
      <c r="AD2980" s="355"/>
      <c r="AE2980" s="355"/>
      <c r="AF2980" s="94">
        <f>A2980</f>
        <v>43434</v>
      </c>
      <c r="AG2980" s="185" t="e">
        <f t="shared" si="386"/>
        <v>#DIV/0!</v>
      </c>
      <c r="AH2980" s="339" t="str">
        <f>VLOOKUP(B2980,'MF PF'!A:B,2)</f>
        <v>FdMgt1</v>
      </c>
      <c r="AI2980" s="358">
        <f>AF2980-A2980</f>
        <v>0</v>
      </c>
      <c r="AJ2980" s="94">
        <f>EOMONTH(A2980,0)</f>
        <v>43434</v>
      </c>
    </row>
    <row r="2981" spans="1:36" ht="12.75" customHeight="1">
      <c r="A2981" s="94">
        <v>43465</v>
      </c>
      <c r="B2981" s="358" t="s">
        <v>273</v>
      </c>
      <c r="C2981" s="358" t="s">
        <v>331</v>
      </c>
      <c r="D2981" s="370">
        <v>5021958.8744999999</v>
      </c>
      <c r="F2981" s="93">
        <v>5</v>
      </c>
      <c r="G2981" s="93">
        <v>0</v>
      </c>
      <c r="H2981" s="93">
        <v>0</v>
      </c>
      <c r="I2981" s="93">
        <v>0</v>
      </c>
      <c r="K2981" s="93">
        <v>0</v>
      </c>
      <c r="L2981" s="93">
        <f>G2981+H2981+I2981</f>
        <v>0</v>
      </c>
      <c r="M2981" s="95" t="e">
        <f ca="1">IF(A2981&gt;INDIRECT("A"&amp;ROW()-1),I2981/K2981,E2981)</f>
        <v>#DIV/0!</v>
      </c>
      <c r="N2981" s="95">
        <f>IF(P2981="Hedge Fund",IF(A2981=Summary!$AD$3,M2981-E2981,M2981),IF(A2981=Summary!$AD$3,L2981-D2981,L2981))</f>
        <v>0</v>
      </c>
      <c r="O2981" s="95">
        <f>N2981</f>
        <v>0</v>
      </c>
      <c r="P2981" s="95" t="s">
        <v>155</v>
      </c>
      <c r="Q2981" s="95">
        <v>-5.0567291904179985</v>
      </c>
      <c r="R2981" s="95">
        <v>0</v>
      </c>
      <c r="S2981" s="95"/>
      <c r="T2981" s="95"/>
      <c r="U2981" s="95"/>
      <c r="V2981" s="95"/>
      <c r="W2981" s="95"/>
      <c r="X2981" s="95"/>
      <c r="Y2981" s="95"/>
      <c r="Z2981" s="95"/>
      <c r="AA2981" s="95"/>
      <c r="AB2981" s="95"/>
      <c r="AC2981" s="355"/>
      <c r="AD2981" s="355"/>
      <c r="AE2981" s="355"/>
      <c r="AF2981" s="94">
        <f>A2981</f>
        <v>43465</v>
      </c>
      <c r="AG2981" s="185">
        <f t="shared" si="386"/>
        <v>-7.5013601216299408E-3</v>
      </c>
      <c r="AH2981" s="339" t="str">
        <f>VLOOKUP(B2981,'MF PF'!A:B,2)</f>
        <v>FdMgt1</v>
      </c>
      <c r="AI2981" s="358">
        <f>AF2981-A2981</f>
        <v>0</v>
      </c>
      <c r="AJ2981" s="94">
        <f>EOMONTH(A2981,0)</f>
        <v>43465</v>
      </c>
    </row>
    <row r="2982" spans="1:36" ht="12.75" customHeight="1">
      <c r="A2982" s="94">
        <v>43496</v>
      </c>
      <c r="B2982" s="358" t="s">
        <v>273</v>
      </c>
      <c r="C2982" s="358" t="s">
        <v>331</v>
      </c>
      <c r="D2982" s="93">
        <v>5129102.93</v>
      </c>
      <c r="F2982" s="93">
        <v>5.0000000000000009</v>
      </c>
      <c r="G2982" s="93">
        <v>0</v>
      </c>
      <c r="H2982" s="93">
        <v>0</v>
      </c>
      <c r="I2982" s="93">
        <v>0</v>
      </c>
      <c r="K2982" s="93">
        <v>0</v>
      </c>
      <c r="L2982" s="93">
        <f>G2982+H2982+I2982</f>
        <v>0</v>
      </c>
      <c r="M2982" s="95" t="e">
        <f ca="1">IF(A2982&gt;INDIRECT("A"&amp;ROW()-1),I2982/K2982,E2982)</f>
        <v>#DIV/0!</v>
      </c>
      <c r="N2982" s="95">
        <f>IF(P2982="Hedge Fund",IF(A2982=Summary!$AD$3,M2982-E2982,M2982),IF(A2982=Summary!$AD$3,L2982-D2982,L2982))</f>
        <v>-5129102.93</v>
      </c>
      <c r="O2982" s="95">
        <f>N2982</f>
        <v>-5129102.93</v>
      </c>
      <c r="P2982" s="95" t="s">
        <v>155</v>
      </c>
      <c r="Q2982" s="95">
        <v>3.7462812938870389E-2</v>
      </c>
      <c r="R2982" s="95">
        <v>2.278286999999983E-2</v>
      </c>
      <c r="S2982" s="95"/>
      <c r="T2982" s="95"/>
      <c r="U2982" s="95"/>
      <c r="V2982" s="95"/>
      <c r="W2982" s="95"/>
      <c r="X2982" s="95"/>
      <c r="Y2982" s="95"/>
      <c r="Z2982" s="95"/>
      <c r="AA2982" s="95"/>
      <c r="AB2982" s="95"/>
      <c r="AC2982" s="355"/>
      <c r="AD2982" s="355"/>
      <c r="AE2982" s="355"/>
      <c r="AF2982" s="94">
        <f>A2982</f>
        <v>43496</v>
      </c>
      <c r="AG2982" s="185">
        <f t="shared" si="386"/>
        <v>2.1335112090233421E-2</v>
      </c>
      <c r="AH2982" s="339" t="str">
        <f>VLOOKUP(B2982,'MF PF'!A:B,2)</f>
        <v>FdMgt1</v>
      </c>
      <c r="AI2982" s="358">
        <f>AF2982-A2982</f>
        <v>0</v>
      </c>
      <c r="AJ2982" s="94">
        <f>EOMONTH(A2982,0)</f>
        <v>43496</v>
      </c>
    </row>
    <row r="2983" spans="1:36" ht="12.75" customHeight="1">
      <c r="A2983" s="94">
        <v>43404</v>
      </c>
      <c r="B2983" s="358" t="s">
        <v>273</v>
      </c>
      <c r="C2983" s="358" t="s">
        <v>332</v>
      </c>
      <c r="D2983" s="93">
        <v>4401171.74</v>
      </c>
      <c r="F2983" s="93">
        <v>5</v>
      </c>
      <c r="G2983" s="93"/>
      <c r="H2983" s="93"/>
      <c r="I2983" s="93"/>
      <c r="K2983" s="93"/>
      <c r="L2983" s="93">
        <f>G2983+H2983+I2983</f>
        <v>0</v>
      </c>
      <c r="M2983" s="95">
        <f ca="1">IF(A2983&gt;INDIRECT("A"&amp;ROW()-1),I2983/K2983,E2983)</f>
        <v>0</v>
      </c>
      <c r="N2983" s="95">
        <f>IF(P2983="Hedge Fund",IF(A2983=Summary!$AD$3,M2983-E2983,M2983),IF(A2983=Summary!$AD$3,L2983-D2983,L2983))</f>
        <v>0</v>
      </c>
      <c r="O2983" s="95">
        <f>N2983</f>
        <v>0</v>
      </c>
      <c r="P2983" s="95" t="s">
        <v>155</v>
      </c>
      <c r="Q2983" s="95">
        <v>9.7261235240840276E-3</v>
      </c>
      <c r="R2983" s="95">
        <v>0</v>
      </c>
      <c r="S2983" s="95"/>
      <c r="T2983" s="95"/>
      <c r="U2983" s="95"/>
      <c r="V2983" s="95"/>
      <c r="W2983" s="95"/>
      <c r="X2983" s="95"/>
      <c r="Y2983" s="95"/>
      <c r="Z2983" s="95"/>
      <c r="AA2983" s="95"/>
      <c r="AB2983" s="95"/>
      <c r="AC2983" s="355"/>
      <c r="AD2983" s="355"/>
      <c r="AE2983" s="355"/>
      <c r="AF2983" s="94">
        <f>A2983</f>
        <v>43404</v>
      </c>
      <c r="AG2983" s="185" t="e">
        <f t="shared" si="386"/>
        <v>#DIV/0!</v>
      </c>
      <c r="AH2983" s="339" t="str">
        <f>VLOOKUP(B2983,'MF PF'!A:B,2)</f>
        <v>FdMgt1</v>
      </c>
      <c r="AI2983" s="358">
        <f>AF2983-A2983</f>
        <v>0</v>
      </c>
      <c r="AJ2983" s="94">
        <f>EOMONTH(A2983,0)</f>
        <v>43404</v>
      </c>
    </row>
    <row r="2984" spans="1:36" ht="12.75" customHeight="1">
      <c r="A2984" s="94">
        <v>43404</v>
      </c>
      <c r="B2984" s="358" t="s">
        <v>273</v>
      </c>
      <c r="C2984" s="358" t="s">
        <v>332</v>
      </c>
      <c r="D2984" s="93"/>
      <c r="F2984" s="93">
        <v>5</v>
      </c>
      <c r="G2984" s="93">
        <v>4564985.0600000005</v>
      </c>
      <c r="H2984" s="93"/>
      <c r="I2984" s="93"/>
      <c r="K2984" s="93"/>
      <c r="L2984" s="93">
        <v>4564985.0600000005</v>
      </c>
      <c r="M2984" s="95">
        <v>0</v>
      </c>
      <c r="N2984" s="95">
        <v>4564985.0600000005</v>
      </c>
      <c r="O2984" s="95">
        <v>4564985.0600000005</v>
      </c>
      <c r="P2984" s="95" t="s">
        <v>155</v>
      </c>
      <c r="Q2984" s="95"/>
      <c r="R2984" s="95"/>
      <c r="S2984" s="95"/>
      <c r="T2984" s="95"/>
      <c r="U2984" s="95"/>
      <c r="V2984" s="95"/>
      <c r="W2984" s="95"/>
      <c r="X2984" s="95"/>
      <c r="Y2984" s="95"/>
      <c r="Z2984" s="95"/>
      <c r="AA2984" s="95"/>
      <c r="AB2984" s="95"/>
      <c r="AC2984" s="355"/>
      <c r="AD2984" s="355"/>
      <c r="AE2984" s="355"/>
      <c r="AF2984" s="94">
        <v>43404</v>
      </c>
      <c r="AG2984" s="185">
        <f t="shared" si="386"/>
        <v>-2.0372203880414812</v>
      </c>
      <c r="AH2984" s="339" t="s">
        <v>286</v>
      </c>
      <c r="AI2984" s="358">
        <v>0</v>
      </c>
      <c r="AJ2984" s="94">
        <v>43404</v>
      </c>
    </row>
    <row r="2985" spans="1:36" ht="12.75" customHeight="1">
      <c r="A2985" s="94">
        <v>43432</v>
      </c>
      <c r="B2985" s="358" t="s">
        <v>273</v>
      </c>
      <c r="C2985" s="358" t="s">
        <v>332</v>
      </c>
      <c r="D2985" s="93"/>
      <c r="F2985" s="93"/>
      <c r="G2985" s="93">
        <v>435014.94</v>
      </c>
      <c r="H2985" s="93"/>
      <c r="I2985" s="93"/>
      <c r="K2985" s="93"/>
      <c r="L2985" s="93">
        <f>G2985+H2985+I2985</f>
        <v>435014.94</v>
      </c>
      <c r="M2985" s="95" t="e">
        <f ca="1">IF(A2985&gt;INDIRECT("A"&amp;ROW()-1),I2985/K2985,E2985)</f>
        <v>#DIV/0!</v>
      </c>
      <c r="N2985" s="95">
        <f>IF(P2985="Hedge Fund",IF(A2985=Summary!$AD$3,M2985-E2985,M2985),IF(A2985=Summary!$AD$3,L2985-D2985,L2985))</f>
        <v>435014.94</v>
      </c>
      <c r="O2985" s="95">
        <f>N2985</f>
        <v>435014.94</v>
      </c>
      <c r="P2985" s="95" t="s">
        <v>155</v>
      </c>
      <c r="Q2985" s="95"/>
      <c r="R2985" s="95"/>
      <c r="S2985" s="95"/>
      <c r="T2985" s="95"/>
      <c r="U2985" s="95"/>
      <c r="V2985" s="95"/>
      <c r="W2985" s="95"/>
      <c r="X2985" s="95"/>
      <c r="Y2985" s="95"/>
      <c r="Z2985" s="95"/>
      <c r="AA2985" s="95"/>
      <c r="AB2985" s="95"/>
      <c r="AC2985" s="355"/>
      <c r="AD2985" s="355"/>
      <c r="AE2985" s="355"/>
      <c r="AF2985" s="94">
        <f>A2985</f>
        <v>43432</v>
      </c>
      <c r="AG2985" s="185" t="e">
        <f t="shared" si="386"/>
        <v>#DIV/0!</v>
      </c>
      <c r="AH2985" s="339" t="str">
        <f>VLOOKUP(B2985,'MF PF'!A:B,2)</f>
        <v>FdMgt1</v>
      </c>
      <c r="AI2985" s="358">
        <f>AF2985-A2985</f>
        <v>0</v>
      </c>
      <c r="AJ2985" s="94">
        <f>EOMONTH(A2985,0)</f>
        <v>43434</v>
      </c>
    </row>
    <row r="2986" spans="1:36" ht="12.75" customHeight="1">
      <c r="A2986" s="94">
        <v>43434</v>
      </c>
      <c r="B2986" s="358" t="s">
        <v>273</v>
      </c>
      <c r="C2986" s="358" t="s">
        <v>332</v>
      </c>
      <c r="D2986" s="93">
        <v>5059918.09</v>
      </c>
      <c r="F2986" s="93">
        <v>5</v>
      </c>
      <c r="G2986" s="93"/>
      <c r="H2986" s="93"/>
      <c r="I2986" s="93"/>
      <c r="K2986" s="93"/>
      <c r="L2986" s="93">
        <f>G2986+H2986+I2986</f>
        <v>0</v>
      </c>
      <c r="M2986" s="95" t="e">
        <f ca="1">IF(A2986&gt;INDIRECT("A"&amp;ROW()-1),I2986/K2986,E2986)</f>
        <v>#DIV/0!</v>
      </c>
      <c r="N2986" s="95">
        <f>IF(P2986="Hedge Fund",IF(A2986=Summary!$AD$3,M2986-E2986,M2986),IF(A2986=Summary!$AD$3,L2986-D2986,L2986))</f>
        <v>0</v>
      </c>
      <c r="O2986" s="95">
        <f>N2986</f>
        <v>0</v>
      </c>
      <c r="P2986" s="95" t="s">
        <v>155</v>
      </c>
      <c r="Q2986" s="95">
        <v>0</v>
      </c>
      <c r="R2986" s="95">
        <v>0</v>
      </c>
      <c r="S2986" s="95"/>
      <c r="T2986" s="95"/>
      <c r="U2986" s="95"/>
      <c r="V2986" s="95"/>
      <c r="W2986" s="95"/>
      <c r="X2986" s="95"/>
      <c r="Y2986" s="95"/>
      <c r="Z2986" s="95"/>
      <c r="AA2986" s="95"/>
      <c r="AB2986" s="95"/>
      <c r="AC2986" s="355"/>
      <c r="AD2986" s="355"/>
      <c r="AE2986" s="355"/>
      <c r="AF2986" s="94">
        <f>A2986</f>
        <v>43434</v>
      </c>
      <c r="AG2986" s="185" t="e">
        <f t="shared" si="386"/>
        <v>#DIV/0!</v>
      </c>
      <c r="AH2986" s="339" t="str">
        <f>VLOOKUP(B2986,'MF PF'!A:B,2)</f>
        <v>FdMgt1</v>
      </c>
      <c r="AI2986" s="358">
        <f>AF2986-A2986</f>
        <v>0</v>
      </c>
      <c r="AJ2986" s="94">
        <f>EOMONTH(A2986,0)</f>
        <v>43434</v>
      </c>
    </row>
    <row r="2987" spans="1:36" ht="12.75" customHeight="1">
      <c r="A2987" s="94">
        <v>43465</v>
      </c>
      <c r="B2987" s="358" t="s">
        <v>273</v>
      </c>
      <c r="C2987" s="358" t="s">
        <v>332</v>
      </c>
      <c r="D2987" s="370">
        <v>5021958.8744999999</v>
      </c>
      <c r="F2987" s="93">
        <v>5</v>
      </c>
      <c r="G2987" s="93">
        <v>0</v>
      </c>
      <c r="H2987" s="93">
        <v>0</v>
      </c>
      <c r="I2987" s="93">
        <v>0</v>
      </c>
      <c r="K2987" s="93">
        <v>0</v>
      </c>
      <c r="L2987" s="93">
        <f>G2987+H2987+I2987</f>
        <v>0</v>
      </c>
      <c r="M2987" s="95" t="e">
        <f ca="1">IF(A2987&gt;INDIRECT("A"&amp;ROW()-1),I2987/K2987,E2987)</f>
        <v>#DIV/0!</v>
      </c>
      <c r="N2987" s="95">
        <f>IF(P2987="Hedge Fund",IF(A2987=Summary!$AD$3,M2987-E2987,M2987),IF(A2987=Summary!$AD$3,L2987-D2987,L2987))</f>
        <v>0</v>
      </c>
      <c r="O2987" s="95">
        <f>N2987</f>
        <v>0</v>
      </c>
      <c r="P2987" s="95" t="s">
        <v>155</v>
      </c>
      <c r="Q2987" s="95">
        <v>-5.0567291904179985</v>
      </c>
      <c r="R2987" s="95">
        <v>0</v>
      </c>
      <c r="S2987" s="95"/>
      <c r="T2987" s="95"/>
      <c r="U2987" s="95"/>
      <c r="V2987" s="95"/>
      <c r="W2987" s="95"/>
      <c r="X2987" s="95"/>
      <c r="Y2987" s="95"/>
      <c r="Z2987" s="95"/>
      <c r="AA2987" s="95"/>
      <c r="AB2987" s="95"/>
      <c r="AC2987" s="355"/>
      <c r="AD2987" s="355"/>
      <c r="AE2987" s="355"/>
      <c r="AF2987" s="94">
        <f>A2987</f>
        <v>43465</v>
      </c>
      <c r="AG2987" s="185">
        <f t="shared" si="386"/>
        <v>-7.5019426846096859E-3</v>
      </c>
      <c r="AH2987" s="339" t="str">
        <f>VLOOKUP(B2987,'MF PF'!A:B,2)</f>
        <v>FdMgt1</v>
      </c>
      <c r="AI2987" s="358">
        <f>AF2987-A2987</f>
        <v>0</v>
      </c>
      <c r="AJ2987" s="94">
        <f>EOMONTH(A2987,0)</f>
        <v>43465</v>
      </c>
    </row>
    <row r="2988" spans="1:36" ht="12.75" customHeight="1">
      <c r="A2988" s="94">
        <v>43496</v>
      </c>
      <c r="B2988" s="358" t="s">
        <v>273</v>
      </c>
      <c r="C2988" s="358" t="s">
        <v>332</v>
      </c>
      <c r="D2988" s="93">
        <v>5129105.4630000005</v>
      </c>
      <c r="F2988" s="93">
        <v>5.0000000000000009</v>
      </c>
      <c r="G2988" s="93">
        <v>0</v>
      </c>
      <c r="H2988" s="93">
        <v>0</v>
      </c>
      <c r="I2988" s="93">
        <v>0</v>
      </c>
      <c r="K2988" s="93">
        <v>0</v>
      </c>
      <c r="L2988" s="93">
        <f>G2988+H2988+I2988</f>
        <v>0</v>
      </c>
      <c r="M2988" s="95" t="e">
        <f ca="1">IF(A2988&gt;INDIRECT("A"&amp;ROW()-1),I2988/K2988,E2988)</f>
        <v>#DIV/0!</v>
      </c>
      <c r="N2988" s="95">
        <f>IF(P2988="Hedge Fund",IF(A2988=Summary!$AD$3,M2988-E2988,M2988),IF(A2988=Summary!$AD$3,L2988-D2988,L2988))</f>
        <v>-5129105.4630000005</v>
      </c>
      <c r="O2988" s="95">
        <f>N2988</f>
        <v>-5129105.4630000005</v>
      </c>
      <c r="P2988" s="95" t="s">
        <v>155</v>
      </c>
      <c r="Q2988" s="95">
        <v>3.7462812938870389E-2</v>
      </c>
      <c r="R2988" s="95">
        <v>2.2783316999999897E-2</v>
      </c>
      <c r="S2988" s="95"/>
      <c r="T2988" s="95"/>
      <c r="U2988" s="95"/>
      <c r="V2988" s="95"/>
      <c r="W2988" s="95"/>
      <c r="X2988" s="95"/>
      <c r="Y2988" s="95"/>
      <c r="Z2988" s="95"/>
      <c r="AA2988" s="95"/>
      <c r="AB2988" s="95"/>
      <c r="AC2988" s="355"/>
      <c r="AD2988" s="355"/>
      <c r="AE2988" s="355"/>
      <c r="AF2988" s="94">
        <f>A2988</f>
        <v>43496</v>
      </c>
      <c r="AG2988" s="185">
        <f t="shared" si="386"/>
        <v>2.1335616475088859E-2</v>
      </c>
      <c r="AH2988" s="339" t="str">
        <f>VLOOKUP(B2988,'MF PF'!A:B,2)</f>
        <v>FdMgt1</v>
      </c>
      <c r="AI2988" s="358">
        <f>AF2988-A2988</f>
        <v>0</v>
      </c>
      <c r="AJ2988" s="94">
        <f>EOMONTH(A2988,0)</f>
        <v>43496</v>
      </c>
    </row>
    <row r="2989" spans="1:36" ht="12.75" customHeight="1">
      <c r="A2989" s="94">
        <v>43404</v>
      </c>
      <c r="B2989" s="358" t="s">
        <v>273</v>
      </c>
      <c r="C2989" s="358" t="s">
        <v>401</v>
      </c>
      <c r="D2989" s="93">
        <v>4401171.74</v>
      </c>
      <c r="F2989" s="93">
        <v>5</v>
      </c>
      <c r="G2989" s="93"/>
      <c r="H2989" s="93"/>
      <c r="I2989" s="93"/>
      <c r="K2989" s="93"/>
      <c r="L2989" s="93">
        <f>G2989+H2989+I2989</f>
        <v>0</v>
      </c>
      <c r="M2989" s="95">
        <f ca="1">IF(A2989&gt;INDIRECT("A"&amp;ROW()-1),I2989/K2989,E2989)</f>
        <v>0</v>
      </c>
      <c r="N2989" s="95">
        <f>IF(P2989="Hedge Fund",IF(A2989=Summary!$AD$3,M2989-E2989,M2989),IF(A2989=Summary!$AD$3,L2989-D2989,L2989))</f>
        <v>0</v>
      </c>
      <c r="O2989" s="95">
        <f>N2989</f>
        <v>0</v>
      </c>
      <c r="P2989" s="95" t="s">
        <v>155</v>
      </c>
      <c r="Q2989" s="95">
        <v>9.7261235240840276E-3</v>
      </c>
      <c r="R2989" s="95">
        <v>0</v>
      </c>
      <c r="S2989" s="95"/>
      <c r="T2989" s="95"/>
      <c r="U2989" s="95"/>
      <c r="V2989" s="95"/>
      <c r="W2989" s="95"/>
      <c r="X2989" s="95"/>
      <c r="Y2989" s="95"/>
      <c r="Z2989" s="95"/>
      <c r="AA2989" s="95"/>
      <c r="AB2989" s="95"/>
      <c r="AC2989" s="355"/>
      <c r="AD2989" s="355"/>
      <c r="AE2989" s="355"/>
      <c r="AF2989" s="94">
        <f>A2989</f>
        <v>43404</v>
      </c>
      <c r="AG2989" s="185" t="e">
        <f t="shared" si="386"/>
        <v>#DIV/0!</v>
      </c>
      <c r="AH2989" s="339" t="str">
        <f>VLOOKUP(B2989,'MF PF'!A:B,2)</f>
        <v>FdMgt1</v>
      </c>
      <c r="AI2989" s="358">
        <f>AF2989-A2989</f>
        <v>0</v>
      </c>
      <c r="AJ2989" s="94">
        <f>EOMONTH(A2989,0)</f>
        <v>43404</v>
      </c>
    </row>
    <row r="2990" spans="1:36" ht="12.75" customHeight="1">
      <c r="A2990" s="94">
        <v>43404</v>
      </c>
      <c r="B2990" s="358" t="s">
        <v>273</v>
      </c>
      <c r="C2990" s="358" t="s">
        <v>401</v>
      </c>
      <c r="D2990" s="93"/>
      <c r="F2990" s="93">
        <v>5</v>
      </c>
      <c r="G2990" s="93">
        <v>4564985.0600000005</v>
      </c>
      <c r="H2990" s="93"/>
      <c r="I2990" s="93"/>
      <c r="K2990" s="93"/>
      <c r="L2990" s="93">
        <v>4564985.0600000005</v>
      </c>
      <c r="M2990" s="95">
        <v>0</v>
      </c>
      <c r="N2990" s="95">
        <v>4564985.0600000005</v>
      </c>
      <c r="O2990" s="95">
        <v>4564985.0600000005</v>
      </c>
      <c r="P2990" s="95" t="s">
        <v>155</v>
      </c>
      <c r="Q2990" s="95"/>
      <c r="R2990" s="95"/>
      <c r="S2990" s="95"/>
      <c r="T2990" s="95"/>
      <c r="U2990" s="95"/>
      <c r="V2990" s="95"/>
      <c r="W2990" s="95"/>
      <c r="X2990" s="95"/>
      <c r="Y2990" s="95"/>
      <c r="Z2990" s="95"/>
      <c r="AA2990" s="95"/>
      <c r="AB2990" s="95"/>
      <c r="AC2990" s="355"/>
      <c r="AD2990" s="355"/>
      <c r="AE2990" s="355"/>
      <c r="AF2990" s="94">
        <v>43404</v>
      </c>
      <c r="AG2990" s="185">
        <f t="shared" si="386"/>
        <v>-2.0372203880414812</v>
      </c>
      <c r="AH2990" s="339" t="s">
        <v>286</v>
      </c>
      <c r="AI2990" s="358">
        <v>0</v>
      </c>
      <c r="AJ2990" s="94">
        <v>43404</v>
      </c>
    </row>
    <row r="2991" spans="1:36" ht="12.75" customHeight="1">
      <c r="A2991" s="94">
        <v>43432</v>
      </c>
      <c r="B2991" s="358" t="s">
        <v>273</v>
      </c>
      <c r="C2991" s="358" t="s">
        <v>401</v>
      </c>
      <c r="D2991" s="93"/>
      <c r="F2991" s="93"/>
      <c r="G2991" s="93">
        <v>435014.94</v>
      </c>
      <c r="H2991" s="93"/>
      <c r="I2991" s="93"/>
      <c r="K2991" s="93"/>
      <c r="L2991" s="93">
        <f>G2991+H2991+I2991</f>
        <v>435014.94</v>
      </c>
      <c r="M2991" s="95" t="e">
        <f ca="1">IF(A2991&gt;INDIRECT("A"&amp;ROW()-1),I2991/K2991,E2991)</f>
        <v>#DIV/0!</v>
      </c>
      <c r="N2991" s="95">
        <f>IF(P2991="Hedge Fund",IF(A2991=Summary!$AD$3,M2991-E2991,M2991),IF(A2991=Summary!$AD$3,L2991-D2991,L2991))</f>
        <v>435014.94</v>
      </c>
      <c r="O2991" s="95">
        <f>N2991</f>
        <v>435014.94</v>
      </c>
      <c r="P2991" s="95" t="s">
        <v>155</v>
      </c>
      <c r="Q2991" s="95"/>
      <c r="R2991" s="95"/>
      <c r="S2991" s="95"/>
      <c r="T2991" s="95"/>
      <c r="U2991" s="95"/>
      <c r="V2991" s="95"/>
      <c r="W2991" s="95"/>
      <c r="X2991" s="95"/>
      <c r="Y2991" s="95"/>
      <c r="Z2991" s="95"/>
      <c r="AA2991" s="95"/>
      <c r="AB2991" s="95"/>
      <c r="AC2991" s="355"/>
      <c r="AD2991" s="355"/>
      <c r="AE2991" s="355"/>
      <c r="AF2991" s="94">
        <f>A2991</f>
        <v>43432</v>
      </c>
      <c r="AG2991" s="185" t="e">
        <f t="shared" si="386"/>
        <v>#DIV/0!</v>
      </c>
      <c r="AH2991" s="339" t="str">
        <f>VLOOKUP(B2991,'MF PF'!A:B,2)</f>
        <v>FdMgt1</v>
      </c>
      <c r="AI2991" s="358">
        <f>AF2991-A2991</f>
        <v>0</v>
      </c>
      <c r="AJ2991" s="94">
        <f>EOMONTH(A2991,0)</f>
        <v>43434</v>
      </c>
    </row>
    <row r="2992" spans="1:36" ht="12.75" customHeight="1">
      <c r="A2992" s="94">
        <v>43434</v>
      </c>
      <c r="B2992" s="358" t="s">
        <v>273</v>
      </c>
      <c r="C2992" s="358" t="s">
        <v>401</v>
      </c>
      <c r="D2992" s="93">
        <v>5059915.12</v>
      </c>
      <c r="F2992" s="93">
        <v>5</v>
      </c>
      <c r="G2992" s="93"/>
      <c r="H2992" s="93"/>
      <c r="I2992" s="93"/>
      <c r="K2992" s="93"/>
      <c r="L2992" s="93">
        <f>G2992+H2992+I2992</f>
        <v>0</v>
      </c>
      <c r="M2992" s="95" t="e">
        <f ca="1">IF(A2992&gt;INDIRECT("A"&amp;ROW()-1),I2992/K2992,E2992)</f>
        <v>#DIV/0!</v>
      </c>
      <c r="N2992" s="95">
        <f>IF(P2992="Hedge Fund",IF(A2992=Summary!$AD$3,M2992-E2992,M2992),IF(A2992=Summary!$AD$3,L2992-D2992,L2992))</f>
        <v>0</v>
      </c>
      <c r="O2992" s="95">
        <f>N2992</f>
        <v>0</v>
      </c>
      <c r="P2992" s="95" t="s">
        <v>155</v>
      </c>
      <c r="Q2992" s="95">
        <v>0</v>
      </c>
      <c r="R2992" s="95">
        <v>0</v>
      </c>
      <c r="S2992" s="95"/>
      <c r="T2992" s="95"/>
      <c r="U2992" s="95"/>
      <c r="V2992" s="95"/>
      <c r="W2992" s="95"/>
      <c r="X2992" s="95"/>
      <c r="Y2992" s="95"/>
      <c r="Z2992" s="95"/>
      <c r="AA2992" s="95"/>
      <c r="AB2992" s="95"/>
      <c r="AC2992" s="355"/>
      <c r="AD2992" s="355"/>
      <c r="AE2992" s="355"/>
      <c r="AF2992" s="94">
        <f>A2992</f>
        <v>43434</v>
      </c>
      <c r="AG2992" s="185" t="e">
        <f t="shared" si="386"/>
        <v>#DIV/0!</v>
      </c>
      <c r="AH2992" s="339" t="str">
        <f>VLOOKUP(B2992,'MF PF'!A:B,2)</f>
        <v>FdMgt1</v>
      </c>
      <c r="AI2992" s="358">
        <f>AF2992-A2992</f>
        <v>0</v>
      </c>
      <c r="AJ2992" s="94">
        <f>EOMONTH(A2992,0)</f>
        <v>43434</v>
      </c>
    </row>
    <row r="2993" spans="1:36" ht="12.75" customHeight="1">
      <c r="A2993" s="94">
        <v>43465</v>
      </c>
      <c r="B2993" s="358" t="s">
        <v>273</v>
      </c>
      <c r="C2993" s="358" t="s">
        <v>401</v>
      </c>
      <c r="D2993" s="370">
        <v>5021958.8744999999</v>
      </c>
      <c r="F2993" s="93">
        <v>5</v>
      </c>
      <c r="G2993" s="93">
        <v>0</v>
      </c>
      <c r="H2993" s="93">
        <v>0</v>
      </c>
      <c r="I2993" s="93">
        <v>0</v>
      </c>
      <c r="K2993" s="93">
        <v>0</v>
      </c>
      <c r="L2993" s="93">
        <f>G2993+H2993+I2993</f>
        <v>0</v>
      </c>
      <c r="M2993" s="95" t="e">
        <f ca="1">IF(A2993&gt;INDIRECT("A"&amp;ROW()-1),I2993/K2993,E2993)</f>
        <v>#DIV/0!</v>
      </c>
      <c r="N2993" s="95">
        <f>IF(P2993="Hedge Fund",IF(A2993=Summary!$AD$3,M2993-E2993,M2993),IF(A2993=Summary!$AD$3,L2993-D2993,L2993))</f>
        <v>0</v>
      </c>
      <c r="O2993" s="95">
        <f>N2993</f>
        <v>0</v>
      </c>
      <c r="P2993" s="95" t="s">
        <v>155</v>
      </c>
      <c r="Q2993" s="95">
        <v>-5.0567291904179985</v>
      </c>
      <c r="R2993" s="95">
        <v>0</v>
      </c>
      <c r="S2993" s="95"/>
      <c r="T2993" s="95"/>
      <c r="U2993" s="95"/>
      <c r="V2993" s="95"/>
      <c r="W2993" s="95"/>
      <c r="X2993" s="95"/>
      <c r="Y2993" s="95"/>
      <c r="Z2993" s="95"/>
      <c r="AA2993" s="95"/>
      <c r="AB2993" s="95"/>
      <c r="AC2993" s="355"/>
      <c r="AD2993" s="355"/>
      <c r="AE2993" s="355"/>
      <c r="AF2993" s="94">
        <f>A2993</f>
        <v>43465</v>
      </c>
      <c r="AG2993" s="185">
        <f t="shared" si="386"/>
        <v>-7.5013601216299408E-3</v>
      </c>
      <c r="AH2993" s="339" t="str">
        <f>VLOOKUP(B2993,'MF PF'!A:B,2)</f>
        <v>FdMgt1</v>
      </c>
      <c r="AI2993" s="358">
        <f>AF2993-A2993</f>
        <v>0</v>
      </c>
      <c r="AJ2993" s="94">
        <f>EOMONTH(A2993,0)</f>
        <v>43465</v>
      </c>
    </row>
    <row r="2994" spans="1:36" ht="12.75" customHeight="1">
      <c r="A2994" s="94">
        <v>43496</v>
      </c>
      <c r="B2994" s="358" t="s">
        <v>273</v>
      </c>
      <c r="C2994" s="358" t="s">
        <v>401</v>
      </c>
      <c r="D2994" s="93">
        <v>5129102.93</v>
      </c>
      <c r="F2994" s="93">
        <v>5.0000000000000009</v>
      </c>
      <c r="G2994" s="93">
        <v>0</v>
      </c>
      <c r="H2994" s="93">
        <v>0</v>
      </c>
      <c r="I2994" s="93">
        <v>0</v>
      </c>
      <c r="K2994" s="93">
        <v>0</v>
      </c>
      <c r="L2994" s="93">
        <f>G2994+H2994+I2994</f>
        <v>0</v>
      </c>
      <c r="M2994" s="95" t="e">
        <f ca="1">IF(A2994&gt;INDIRECT("A"&amp;ROW()-1),I2994/K2994,E2994)</f>
        <v>#DIV/0!</v>
      </c>
      <c r="N2994" s="95">
        <f>IF(P2994="Hedge Fund",IF(A2994=Summary!$AD$3,M2994-E2994,M2994),IF(A2994=Summary!$AD$3,L2994-D2994,L2994))</f>
        <v>-5129102.93</v>
      </c>
      <c r="O2994" s="95">
        <f>N2994</f>
        <v>-5129102.93</v>
      </c>
      <c r="P2994" s="95" t="s">
        <v>155</v>
      </c>
      <c r="Q2994" s="95">
        <v>3.7462812938870389E-2</v>
      </c>
      <c r="R2994" s="95">
        <v>2.278286999999983E-2</v>
      </c>
      <c r="S2994" s="95"/>
      <c r="T2994" s="95"/>
      <c r="U2994" s="95"/>
      <c r="V2994" s="95"/>
      <c r="W2994" s="95"/>
      <c r="X2994" s="95"/>
      <c r="Y2994" s="95"/>
      <c r="Z2994" s="95"/>
      <c r="AA2994" s="95"/>
      <c r="AB2994" s="95"/>
      <c r="AC2994" s="355"/>
      <c r="AD2994" s="355"/>
      <c r="AE2994" s="355"/>
      <c r="AF2994" s="94">
        <f>A2994</f>
        <v>43496</v>
      </c>
      <c r="AG2994" s="185">
        <f t="shared" si="386"/>
        <v>2.1335112090233421E-2</v>
      </c>
      <c r="AH2994" s="339" t="str">
        <f>VLOOKUP(B2994,'MF PF'!A:B,2)</f>
        <v>FdMgt1</v>
      </c>
      <c r="AI2994" s="358">
        <f>AF2994-A2994</f>
        <v>0</v>
      </c>
      <c r="AJ2994" s="94">
        <f>EOMONTH(A2994,0)</f>
        <v>43496</v>
      </c>
    </row>
    <row r="2995" spans="1:36" ht="12.75" customHeight="1">
      <c r="A2995" s="94">
        <v>43404</v>
      </c>
      <c r="B2995" s="358" t="s">
        <v>273</v>
      </c>
      <c r="C2995" s="358" t="s">
        <v>402</v>
      </c>
      <c r="D2995" s="93">
        <v>8802343.5</v>
      </c>
      <c r="F2995" s="93">
        <v>10</v>
      </c>
      <c r="G2995" s="93"/>
      <c r="H2995" s="93"/>
      <c r="I2995" s="93"/>
      <c r="K2995" s="93"/>
      <c r="L2995" s="93">
        <f>G2995+H2995+I2995</f>
        <v>0</v>
      </c>
      <c r="M2995" s="95">
        <f ca="1">IF(A2995&gt;INDIRECT("A"&amp;ROW()-1),I2995/K2995,E2995)</f>
        <v>0</v>
      </c>
      <c r="N2995" s="95">
        <f>IF(P2995="Hedge Fund",IF(A2995=Summary!$AD$3,M2995-E2995,M2995),IF(A2995=Summary!$AD$3,L2995-D2995,L2995))</f>
        <v>0</v>
      </c>
      <c r="O2995" s="95">
        <f>N2995</f>
        <v>0</v>
      </c>
      <c r="P2995" s="95" t="s">
        <v>155</v>
      </c>
      <c r="Q2995" s="95">
        <v>1.9452247070770791E-2</v>
      </c>
      <c r="R2995" s="95">
        <v>0</v>
      </c>
      <c r="S2995" s="95"/>
      <c r="T2995" s="95"/>
      <c r="U2995" s="95"/>
      <c r="V2995" s="95"/>
      <c r="W2995" s="95"/>
      <c r="X2995" s="95"/>
      <c r="Y2995" s="95"/>
      <c r="Z2995" s="95"/>
      <c r="AA2995" s="95"/>
      <c r="AB2995" s="95"/>
      <c r="AC2995" s="355"/>
      <c r="AD2995" s="355"/>
      <c r="AE2995" s="355"/>
      <c r="AF2995" s="94">
        <f>A2995</f>
        <v>43404</v>
      </c>
      <c r="AG2995" s="185" t="e">
        <f t="shared" si="386"/>
        <v>#DIV/0!</v>
      </c>
      <c r="AH2995" s="339" t="str">
        <f>VLOOKUP(B2995,'MF PF'!A:B,2)</f>
        <v>FdMgt1</v>
      </c>
      <c r="AI2995" s="358">
        <f>AF2995-A2995</f>
        <v>0</v>
      </c>
      <c r="AJ2995" s="94">
        <f>EOMONTH(A2995,0)</f>
        <v>43404</v>
      </c>
    </row>
    <row r="2996" spans="1:36" ht="12.75" customHeight="1">
      <c r="A2996" s="94">
        <v>43404</v>
      </c>
      <c r="B2996" s="358" t="s">
        <v>273</v>
      </c>
      <c r="C2996" s="358" t="s">
        <v>402</v>
      </c>
      <c r="D2996" s="93"/>
      <c r="F2996" s="93">
        <v>10</v>
      </c>
      <c r="G2996" s="93">
        <v>9129970.129999999</v>
      </c>
      <c r="H2996" s="93"/>
      <c r="I2996" s="93"/>
      <c r="K2996" s="93"/>
      <c r="L2996" s="93">
        <v>9129970.129999999</v>
      </c>
      <c r="M2996" s="95">
        <v>0</v>
      </c>
      <c r="N2996" s="95">
        <v>9129970.129999999</v>
      </c>
      <c r="O2996" s="95">
        <v>9129970.129999999</v>
      </c>
      <c r="P2996" s="95" t="s">
        <v>155</v>
      </c>
      <c r="Q2996" s="95"/>
      <c r="R2996" s="95"/>
      <c r="S2996" s="95"/>
      <c r="T2996" s="95"/>
      <c r="U2996" s="95"/>
      <c r="V2996" s="95"/>
      <c r="W2996" s="95"/>
      <c r="X2996" s="95"/>
      <c r="Y2996" s="95"/>
      <c r="Z2996" s="95"/>
      <c r="AA2996" s="95"/>
      <c r="AB2996" s="95"/>
      <c r="AC2996" s="355"/>
      <c r="AD2996" s="355"/>
      <c r="AE2996" s="355"/>
      <c r="AF2996" s="94">
        <v>43404</v>
      </c>
      <c r="AG2996" s="185">
        <f t="shared" si="386"/>
        <v>-2.0372203868208505</v>
      </c>
      <c r="AH2996" s="339" t="s">
        <v>286</v>
      </c>
      <c r="AI2996" s="358">
        <v>0</v>
      </c>
      <c r="AJ2996" s="94">
        <v>43404</v>
      </c>
    </row>
    <row r="2997" spans="1:36" ht="12.75" customHeight="1">
      <c r="A2997" s="94">
        <v>43432</v>
      </c>
      <c r="B2997" s="358" t="s">
        <v>273</v>
      </c>
      <c r="C2997" s="358" t="s">
        <v>402</v>
      </c>
      <c r="D2997" s="93"/>
      <c r="F2997" s="93"/>
      <c r="G2997" s="93">
        <v>870029.87</v>
      </c>
      <c r="H2997" s="93"/>
      <c r="I2997" s="93"/>
      <c r="K2997" s="93"/>
      <c r="L2997" s="93">
        <f>G2997+H2997+I2997</f>
        <v>870029.87</v>
      </c>
      <c r="M2997" s="95" t="e">
        <f ca="1">IF(A2997&gt;INDIRECT("A"&amp;ROW()-1),I2997/K2997,E2997)</f>
        <v>#DIV/0!</v>
      </c>
      <c r="N2997" s="95">
        <f>IF(P2997="Hedge Fund",IF(A2997=Summary!$AD$3,M2997-E2997,M2997),IF(A2997=Summary!$AD$3,L2997-D2997,L2997))</f>
        <v>870029.87</v>
      </c>
      <c r="O2997" s="95">
        <f>N2997</f>
        <v>870029.87</v>
      </c>
      <c r="P2997" s="95" t="s">
        <v>155</v>
      </c>
      <c r="Q2997" s="95"/>
      <c r="R2997" s="95"/>
      <c r="S2997" s="95"/>
      <c r="T2997" s="95"/>
      <c r="U2997" s="95"/>
      <c r="V2997" s="95"/>
      <c r="W2997" s="95"/>
      <c r="X2997" s="95"/>
      <c r="Y2997" s="95"/>
      <c r="Z2997" s="95"/>
      <c r="AA2997" s="95"/>
      <c r="AB2997" s="95"/>
      <c r="AC2997" s="355"/>
      <c r="AD2997" s="355"/>
      <c r="AE2997" s="355"/>
      <c r="AF2997" s="94">
        <f>A2997</f>
        <v>43432</v>
      </c>
      <c r="AG2997" s="185" t="e">
        <f t="shared" si="386"/>
        <v>#DIV/0!</v>
      </c>
      <c r="AH2997" s="339" t="str">
        <f>VLOOKUP(B2997,'MF PF'!A:B,2)</f>
        <v>FdMgt1</v>
      </c>
      <c r="AI2997" s="358">
        <f>AF2997-A2997</f>
        <v>0</v>
      </c>
      <c r="AJ2997" s="94">
        <f>EOMONTH(A2997,0)</f>
        <v>43434</v>
      </c>
    </row>
    <row r="2998" spans="1:36" ht="12.75" customHeight="1">
      <c r="A2998" s="94">
        <v>43434</v>
      </c>
      <c r="B2998" s="358" t="s">
        <v>273</v>
      </c>
      <c r="C2998" s="358" t="s">
        <v>402</v>
      </c>
      <c r="D2998" s="93">
        <v>10119836.18</v>
      </c>
      <c r="F2998" s="93">
        <v>10</v>
      </c>
      <c r="G2998" s="93"/>
      <c r="H2998" s="93"/>
      <c r="I2998" s="93"/>
      <c r="K2998" s="93"/>
      <c r="L2998" s="93">
        <f>G2998+H2998+I2998</f>
        <v>0</v>
      </c>
      <c r="M2998" s="95" t="e">
        <f ca="1">IF(A2998&gt;INDIRECT("A"&amp;ROW()-1),I2998/K2998,E2998)</f>
        <v>#DIV/0!</v>
      </c>
      <c r="N2998" s="95">
        <f>IF(P2998="Hedge Fund",IF(A2998=Summary!$AD$3,M2998-E2998,M2998),IF(A2998=Summary!$AD$3,L2998-D2998,L2998))</f>
        <v>0</v>
      </c>
      <c r="O2998" s="95">
        <f>N2998</f>
        <v>0</v>
      </c>
      <c r="P2998" s="95" t="s">
        <v>155</v>
      </c>
      <c r="Q2998" s="95">
        <v>1.313433E-2</v>
      </c>
      <c r="R2998" s="95">
        <v>0</v>
      </c>
      <c r="S2998" s="95"/>
      <c r="T2998" s="95"/>
      <c r="U2998" s="95"/>
      <c r="V2998" s="95"/>
      <c r="W2998" s="95"/>
      <c r="X2998" s="95"/>
      <c r="Y2998" s="95"/>
      <c r="Z2998" s="95"/>
      <c r="AA2998" s="95"/>
      <c r="AB2998" s="95"/>
      <c r="AC2998" s="355"/>
      <c r="AD2998" s="355"/>
      <c r="AE2998" s="355"/>
      <c r="AF2998" s="94">
        <f>A2998</f>
        <v>43434</v>
      </c>
      <c r="AG2998" s="185" t="e">
        <f t="shared" si="386"/>
        <v>#DIV/0!</v>
      </c>
      <c r="AH2998" s="339" t="str">
        <f>VLOOKUP(B2998,'MF PF'!A:B,2)</f>
        <v>FdMgt1</v>
      </c>
      <c r="AI2998" s="358">
        <f>AF2998-A2998</f>
        <v>0</v>
      </c>
      <c r="AJ2998" s="94">
        <f>EOMONTH(A2998,0)</f>
        <v>43434</v>
      </c>
    </row>
    <row r="2999" spans="1:36" ht="12.75" customHeight="1">
      <c r="A2999" s="94">
        <v>43465</v>
      </c>
      <c r="B2999" s="358" t="s">
        <v>273</v>
      </c>
      <c r="C2999" s="358" t="s">
        <v>402</v>
      </c>
      <c r="D2999" s="370">
        <v>10043917.740499999</v>
      </c>
      <c r="F2999" s="93">
        <v>10</v>
      </c>
      <c r="G2999" s="93">
        <v>0</v>
      </c>
      <c r="H2999" s="93">
        <v>0</v>
      </c>
      <c r="I2999" s="93">
        <v>0</v>
      </c>
      <c r="K2999" s="93">
        <v>0</v>
      </c>
      <c r="L2999" s="93">
        <f>G2999+H2999+I2999</f>
        <v>0</v>
      </c>
      <c r="M2999" s="95" t="e">
        <f ca="1">IF(A2999&gt;INDIRECT("A"&amp;ROW()-1),I2999/K2999,E2999)</f>
        <v>#DIV/0!</v>
      </c>
      <c r="N2999" s="95">
        <f>IF(P2999="Hedge Fund",IF(A2999=Summary!$AD$3,M2999-E2999,M2999),IF(A2999=Summary!$AD$3,L2999-D2999,L2999))</f>
        <v>0</v>
      </c>
      <c r="O2999" s="95">
        <f>N2999</f>
        <v>0</v>
      </c>
      <c r="P2999" s="95" t="s">
        <v>155</v>
      </c>
      <c r="Q2999" s="95">
        <v>-10.113458380835997</v>
      </c>
      <c r="R2999" s="95">
        <v>0</v>
      </c>
      <c r="S2999" s="95"/>
      <c r="T2999" s="95"/>
      <c r="U2999" s="95"/>
      <c r="V2999" s="95"/>
      <c r="W2999" s="95"/>
      <c r="X2999" s="95"/>
      <c r="Y2999" s="95"/>
      <c r="Z2999" s="95"/>
      <c r="AA2999" s="95"/>
      <c r="AB2999" s="95"/>
      <c r="AC2999" s="355"/>
      <c r="AD2999" s="355"/>
      <c r="AE2999" s="355"/>
      <c r="AF2999" s="94">
        <f>A2999</f>
        <v>43465</v>
      </c>
      <c r="AG2999" s="185">
        <f t="shared" si="386"/>
        <v>-7.5019435245443633E-3</v>
      </c>
      <c r="AH2999" s="339" t="str">
        <f>VLOOKUP(B2999,'MF PF'!A:B,2)</f>
        <v>FdMgt1</v>
      </c>
      <c r="AI2999" s="358">
        <f>AF2999-A2999</f>
        <v>0</v>
      </c>
      <c r="AJ2999" s="94">
        <f>EOMONTH(A2999,0)</f>
        <v>43465</v>
      </c>
    </row>
    <row r="3000" spans="1:36" ht="12.75" customHeight="1">
      <c r="A3000" s="94">
        <v>43496</v>
      </c>
      <c r="B3000" s="358" t="s">
        <v>273</v>
      </c>
      <c r="C3000" s="358" t="s">
        <v>402</v>
      </c>
      <c r="D3000" s="93">
        <v>10258210.926000001</v>
      </c>
      <c r="E3000" s="95"/>
      <c r="F3000" s="93">
        <v>9.9999999999999982</v>
      </c>
      <c r="G3000" s="93">
        <v>0</v>
      </c>
      <c r="H3000" s="93">
        <v>0</v>
      </c>
      <c r="I3000" s="93">
        <v>0</v>
      </c>
      <c r="K3000" s="93">
        <v>0</v>
      </c>
      <c r="L3000" s="93">
        <f>G3000+H3000+I3000</f>
        <v>0</v>
      </c>
      <c r="M3000" s="95" t="e">
        <f ca="1">IF(A3000&gt;INDIRECT("A"&amp;ROW()-1),I3000/K3000,E3000)</f>
        <v>#DIV/0!</v>
      </c>
      <c r="N3000" s="95">
        <f>IF(P3000="Hedge Fund",IF(A3000=Summary!$AD$3,M3000-E3000,M3000),IF(A3000=Summary!$AD$3,L3000-D3000,L3000))</f>
        <v>-10258210.926000001</v>
      </c>
      <c r="O3000" s="95">
        <f>N3000</f>
        <v>-10258210.926000001</v>
      </c>
      <c r="P3000" s="95" t="s">
        <v>155</v>
      </c>
      <c r="Q3000" s="95">
        <v>7.4925625877740779E-2</v>
      </c>
      <c r="R3000" s="95">
        <v>4.5566634000000356E-2</v>
      </c>
      <c r="S3000" s="95"/>
      <c r="T3000" s="95"/>
      <c r="U3000" s="95"/>
      <c r="V3000" s="95"/>
      <c r="W3000" s="95"/>
      <c r="X3000" s="95"/>
      <c r="Y3000" s="95"/>
      <c r="Z3000" s="95"/>
      <c r="AA3000" s="95"/>
      <c r="AB3000" s="95"/>
      <c r="AC3000" s="355"/>
      <c r="AD3000" s="355"/>
      <c r="AE3000" s="355"/>
      <c r="AF3000" s="94">
        <f>A3000</f>
        <v>43496</v>
      </c>
      <c r="AG3000" s="185">
        <f t="shared" si="386"/>
        <v>2.1335617339428126E-2</v>
      </c>
      <c r="AH3000" s="339" t="str">
        <f>VLOOKUP(B3000,'MF PF'!A:B,2)</f>
        <v>FdMgt1</v>
      </c>
      <c r="AI3000" s="358">
        <f>AF3000-A3000</f>
        <v>0</v>
      </c>
      <c r="AJ3000" s="94">
        <f>EOMONTH(A3000,0)</f>
        <v>43496</v>
      </c>
    </row>
    <row r="3001" spans="1:36" ht="12.75" customHeight="1">
      <c r="A3001" s="94">
        <v>43404</v>
      </c>
      <c r="B3001" s="358" t="s">
        <v>273</v>
      </c>
      <c r="C3001" s="358" t="s">
        <v>403</v>
      </c>
      <c r="D3001" s="93">
        <v>4401171.74</v>
      </c>
      <c r="E3001" s="95"/>
      <c r="F3001" s="93">
        <v>5</v>
      </c>
      <c r="G3001" s="93"/>
      <c r="H3001" s="93"/>
      <c r="I3001" s="93"/>
      <c r="K3001" s="93"/>
      <c r="L3001" s="93">
        <f>G3001+H3001+I3001</f>
        <v>0</v>
      </c>
      <c r="M3001" s="95">
        <f ca="1">IF(A3001&gt;INDIRECT("A"&amp;ROW()-1),I3001/K3001,E3001)</f>
        <v>0</v>
      </c>
      <c r="N3001" s="95">
        <f>IF(P3001="Hedge Fund",IF(A3001=Summary!$AD$3,M3001-E3001,M3001),IF(A3001=Summary!$AD$3,L3001-D3001,L3001))</f>
        <v>0</v>
      </c>
      <c r="O3001" s="95">
        <f>N3001</f>
        <v>0</v>
      </c>
      <c r="P3001" s="95" t="s">
        <v>155</v>
      </c>
      <c r="Q3001" s="95">
        <v>9.7261235240840276E-3</v>
      </c>
      <c r="R3001" s="95">
        <v>0</v>
      </c>
      <c r="S3001" s="95"/>
      <c r="T3001" s="95"/>
      <c r="U3001" s="95"/>
      <c r="V3001" s="95"/>
      <c r="W3001" s="95"/>
      <c r="X3001" s="95"/>
      <c r="Y3001" s="95"/>
      <c r="Z3001" s="95"/>
      <c r="AA3001" s="95"/>
      <c r="AB3001" s="95"/>
      <c r="AC3001" s="355"/>
      <c r="AD3001" s="355"/>
      <c r="AE3001" s="355"/>
      <c r="AF3001" s="94">
        <f>A3001</f>
        <v>43404</v>
      </c>
      <c r="AG3001" s="185" t="e">
        <f t="shared" si="386"/>
        <v>#DIV/0!</v>
      </c>
      <c r="AH3001" s="339" t="str">
        <f>VLOOKUP(B3001,'MF PF'!A:B,2)</f>
        <v>FdMgt1</v>
      </c>
      <c r="AI3001" s="358">
        <f>AF3001-A3001</f>
        <v>0</v>
      </c>
      <c r="AJ3001" s="94">
        <f>EOMONTH(A3001,0)</f>
        <v>43404</v>
      </c>
    </row>
    <row r="3002" spans="1:36" ht="12.75" customHeight="1">
      <c r="A3002" s="94">
        <v>43404</v>
      </c>
      <c r="B3002" s="358" t="s">
        <v>273</v>
      </c>
      <c r="C3002" s="358" t="s">
        <v>403</v>
      </c>
      <c r="D3002" s="93"/>
      <c r="F3002" s="93">
        <v>5</v>
      </c>
      <c r="G3002" s="93">
        <v>4564985.0600000005</v>
      </c>
      <c r="H3002" s="93"/>
      <c r="I3002" s="93"/>
      <c r="K3002" s="93"/>
      <c r="L3002" s="93">
        <v>4564985.0600000005</v>
      </c>
      <c r="M3002" s="95">
        <v>0</v>
      </c>
      <c r="N3002" s="95">
        <v>4564985.0600000005</v>
      </c>
      <c r="O3002" s="95">
        <v>4564985.0600000005</v>
      </c>
      <c r="P3002" s="95" t="s">
        <v>155</v>
      </c>
      <c r="Q3002" s="95"/>
      <c r="R3002" s="95"/>
      <c r="S3002" s="95"/>
      <c r="T3002" s="95"/>
      <c r="U3002" s="95"/>
      <c r="V3002" s="95"/>
      <c r="W3002" s="95"/>
      <c r="X3002" s="95"/>
      <c r="Y3002" s="95"/>
      <c r="Z3002" s="95"/>
      <c r="AA3002" s="95"/>
      <c r="AB3002" s="95"/>
      <c r="AC3002" s="355"/>
      <c r="AD3002" s="355"/>
      <c r="AE3002" s="355"/>
      <c r="AF3002" s="94">
        <v>43404</v>
      </c>
      <c r="AG3002" s="185">
        <f t="shared" si="386"/>
        <v>-2.0372203880414812</v>
      </c>
      <c r="AH3002" s="339" t="s">
        <v>286</v>
      </c>
      <c r="AI3002" s="358">
        <v>0</v>
      </c>
      <c r="AJ3002" s="94">
        <v>43404</v>
      </c>
    </row>
    <row r="3003" spans="1:36" ht="12.75" customHeight="1">
      <c r="A3003" s="94">
        <v>43432</v>
      </c>
      <c r="B3003" s="358" t="s">
        <v>273</v>
      </c>
      <c r="C3003" s="358" t="s">
        <v>403</v>
      </c>
      <c r="D3003" s="93"/>
      <c r="F3003" s="93"/>
      <c r="G3003" s="93">
        <v>435014.94</v>
      </c>
      <c r="H3003" s="93"/>
      <c r="I3003" s="93"/>
      <c r="K3003" s="93"/>
      <c r="L3003" s="93">
        <f>G3003+H3003+I3003</f>
        <v>435014.94</v>
      </c>
      <c r="M3003" s="95" t="e">
        <f ca="1">IF(A3003&gt;INDIRECT("A"&amp;ROW()-1),I3003/K3003,E3003)</f>
        <v>#DIV/0!</v>
      </c>
      <c r="N3003" s="95">
        <f>IF(P3003="Hedge Fund",IF(A3003=Summary!$AD$3,M3003-E3003,M3003),IF(A3003=Summary!$AD$3,L3003-D3003,L3003))</f>
        <v>435014.94</v>
      </c>
      <c r="O3003" s="95">
        <f>N3003</f>
        <v>435014.94</v>
      </c>
      <c r="P3003" s="95" t="s">
        <v>155</v>
      </c>
      <c r="Q3003" s="95"/>
      <c r="R3003" s="95"/>
      <c r="S3003" s="95"/>
      <c r="T3003" s="95"/>
      <c r="U3003" s="95"/>
      <c r="V3003" s="95"/>
      <c r="W3003" s="95"/>
      <c r="X3003" s="95"/>
      <c r="Y3003" s="95"/>
      <c r="Z3003" s="95"/>
      <c r="AA3003" s="95"/>
      <c r="AB3003" s="95"/>
      <c r="AC3003" s="355"/>
      <c r="AD3003" s="355"/>
      <c r="AE3003" s="355"/>
      <c r="AF3003" s="94">
        <f>A3003</f>
        <v>43432</v>
      </c>
      <c r="AG3003" s="185" t="e">
        <f t="shared" si="386"/>
        <v>#DIV/0!</v>
      </c>
      <c r="AH3003" s="339" t="str">
        <f>VLOOKUP(B3003,'MF PF'!A:B,2)</f>
        <v>FdMgt1</v>
      </c>
      <c r="AI3003" s="358">
        <f>AF3003-A3003</f>
        <v>0</v>
      </c>
      <c r="AJ3003" s="94">
        <f>EOMONTH(A3003,0)</f>
        <v>43434</v>
      </c>
    </row>
    <row r="3004" spans="1:36" ht="12.75" customHeight="1">
      <c r="A3004" s="94">
        <v>43434</v>
      </c>
      <c r="B3004" s="358" t="s">
        <v>273</v>
      </c>
      <c r="C3004" s="358" t="s">
        <v>403</v>
      </c>
      <c r="D3004" s="93">
        <v>5059915.12</v>
      </c>
      <c r="F3004" s="93">
        <v>5</v>
      </c>
      <c r="G3004" s="93"/>
      <c r="H3004" s="93"/>
      <c r="I3004" s="93"/>
      <c r="K3004" s="93"/>
      <c r="L3004" s="93">
        <f>G3004+H3004+I3004</f>
        <v>0</v>
      </c>
      <c r="M3004" s="95" t="e">
        <f ca="1">IF(A3004&gt;INDIRECT("A"&amp;ROW()-1),I3004/K3004,E3004)</f>
        <v>#DIV/0!</v>
      </c>
      <c r="N3004" s="95">
        <f>IF(P3004="Hedge Fund",IF(A3004=Summary!$AD$3,M3004-E3004,M3004),IF(A3004=Summary!$AD$3,L3004-D3004,L3004))</f>
        <v>0</v>
      </c>
      <c r="O3004" s="95">
        <f>N3004</f>
        <v>0</v>
      </c>
      <c r="P3004" s="95" t="s">
        <v>155</v>
      </c>
      <c r="Q3004" s="95">
        <v>1.313434E-2</v>
      </c>
      <c r="R3004" s="95">
        <v>0</v>
      </c>
      <c r="S3004" s="95"/>
      <c r="T3004" s="95"/>
      <c r="U3004" s="95"/>
      <c r="V3004" s="95"/>
      <c r="W3004" s="95"/>
      <c r="X3004" s="95"/>
      <c r="Y3004" s="95"/>
      <c r="Z3004" s="95"/>
      <c r="AA3004" s="95"/>
      <c r="AB3004" s="95"/>
      <c r="AC3004" s="355"/>
      <c r="AD3004" s="355"/>
      <c r="AE3004" s="355"/>
      <c r="AF3004" s="94">
        <f>A3004</f>
        <v>43434</v>
      </c>
      <c r="AG3004" s="185" t="e">
        <f t="shared" si="386"/>
        <v>#DIV/0!</v>
      </c>
      <c r="AH3004" s="339" t="str">
        <f>VLOOKUP(B3004,'MF PF'!A:B,2)</f>
        <v>FdMgt1</v>
      </c>
      <c r="AI3004" s="358">
        <f>AF3004-A3004</f>
        <v>0</v>
      </c>
      <c r="AJ3004" s="94">
        <f>EOMONTH(A3004,0)</f>
        <v>43434</v>
      </c>
    </row>
    <row r="3005" spans="1:36" ht="12.75" customHeight="1">
      <c r="A3005" s="94">
        <v>43465</v>
      </c>
      <c r="B3005" s="358" t="s">
        <v>273</v>
      </c>
      <c r="C3005" s="358" t="s">
        <v>403</v>
      </c>
      <c r="D3005" s="370">
        <v>5021958.8744999999</v>
      </c>
      <c r="F3005" s="93">
        <v>5</v>
      </c>
      <c r="G3005" s="93">
        <v>0</v>
      </c>
      <c r="H3005" s="93">
        <v>0</v>
      </c>
      <c r="I3005" s="93">
        <v>0</v>
      </c>
      <c r="K3005" s="93">
        <v>0</v>
      </c>
      <c r="L3005" s="93">
        <f>G3005+H3005+I3005</f>
        <v>0</v>
      </c>
      <c r="M3005" s="95" t="e">
        <f ca="1">IF(A3005&gt;INDIRECT("A"&amp;ROW()-1),I3005/K3005,E3005)</f>
        <v>#DIV/0!</v>
      </c>
      <c r="N3005" s="95">
        <f>IF(P3005="Hedge Fund",IF(A3005=Summary!$AD$3,M3005-E3005,M3005),IF(A3005=Summary!$AD$3,L3005-D3005,L3005))</f>
        <v>0</v>
      </c>
      <c r="O3005" s="95">
        <f>N3005</f>
        <v>0</v>
      </c>
      <c r="P3005" s="95" t="s">
        <v>155</v>
      </c>
      <c r="Q3005" s="95">
        <v>-5.0567291904179985</v>
      </c>
      <c r="R3005" s="95">
        <v>0</v>
      </c>
      <c r="S3005" s="95"/>
      <c r="T3005" s="95"/>
      <c r="U3005" s="95"/>
      <c r="V3005" s="95"/>
      <c r="W3005" s="95"/>
      <c r="X3005" s="95"/>
      <c r="Y3005" s="95"/>
      <c r="Z3005" s="95"/>
      <c r="AA3005" s="95"/>
      <c r="AB3005" s="95"/>
      <c r="AC3005" s="355"/>
      <c r="AD3005" s="355"/>
      <c r="AE3005" s="355"/>
      <c r="AF3005" s="94">
        <f>A3005</f>
        <v>43465</v>
      </c>
      <c r="AG3005" s="185">
        <f t="shared" si="386"/>
        <v>-7.5013601216299408E-3</v>
      </c>
      <c r="AH3005" s="339" t="str">
        <f>VLOOKUP(B3005,'MF PF'!A:B,2)</f>
        <v>FdMgt1</v>
      </c>
      <c r="AI3005" s="358">
        <f>AF3005-A3005</f>
        <v>0</v>
      </c>
      <c r="AJ3005" s="94">
        <f>EOMONTH(A3005,0)</f>
        <v>43465</v>
      </c>
    </row>
    <row r="3006" spans="1:36" ht="12.75" customHeight="1">
      <c r="A3006" s="94">
        <v>43496</v>
      </c>
      <c r="B3006" s="358" t="s">
        <v>273</v>
      </c>
      <c r="C3006" s="358" t="s">
        <v>403</v>
      </c>
      <c r="D3006" s="93">
        <v>5129102.93</v>
      </c>
      <c r="F3006" s="93">
        <v>5.0000000000000009</v>
      </c>
      <c r="G3006" s="93">
        <v>0</v>
      </c>
      <c r="H3006" s="93">
        <v>0</v>
      </c>
      <c r="I3006" s="93">
        <v>0</v>
      </c>
      <c r="K3006" s="93">
        <v>0</v>
      </c>
      <c r="L3006" s="93">
        <f>G3006+H3006+I3006</f>
        <v>0</v>
      </c>
      <c r="M3006" s="95" t="e">
        <f ca="1">IF(A3006&gt;INDIRECT("A"&amp;ROW()-1),I3006/K3006,E3006)</f>
        <v>#DIV/0!</v>
      </c>
      <c r="N3006" s="95">
        <f>IF(P3006="Hedge Fund",IF(A3006=Summary!$AD$3,M3006-E3006,M3006),IF(A3006=Summary!$AD$3,L3006-D3006,L3006))</f>
        <v>-5129102.93</v>
      </c>
      <c r="O3006" s="95">
        <f>N3006</f>
        <v>-5129102.93</v>
      </c>
      <c r="P3006" s="95" t="s">
        <v>155</v>
      </c>
      <c r="Q3006" s="95">
        <v>3.7462812938870389E-2</v>
      </c>
      <c r="R3006" s="95">
        <v>2.278286999999983E-2</v>
      </c>
      <c r="S3006" s="95"/>
      <c r="T3006" s="95"/>
      <c r="U3006" s="95"/>
      <c r="V3006" s="95"/>
      <c r="W3006" s="95"/>
      <c r="X3006" s="95"/>
      <c r="Y3006" s="95"/>
      <c r="Z3006" s="95"/>
      <c r="AA3006" s="95"/>
      <c r="AB3006" s="95"/>
      <c r="AC3006" s="355"/>
      <c r="AD3006" s="355"/>
      <c r="AE3006" s="355"/>
      <c r="AF3006" s="94">
        <f>A3006</f>
        <v>43496</v>
      </c>
      <c r="AG3006" s="185">
        <f t="shared" si="386"/>
        <v>2.1335112090233421E-2</v>
      </c>
      <c r="AH3006" s="339" t="str">
        <f>VLOOKUP(B3006,'MF PF'!A:B,2)</f>
        <v>FdMgt1</v>
      </c>
      <c r="AI3006" s="358">
        <f>AF3006-A3006</f>
        <v>0</v>
      </c>
      <c r="AJ3006" s="94">
        <f>EOMONTH(A3006,0)</f>
        <v>43496</v>
      </c>
    </row>
    <row r="3007" spans="1:36" ht="12.75" customHeight="1">
      <c r="A3007" s="94">
        <v>43404</v>
      </c>
      <c r="B3007" s="358" t="s">
        <v>273</v>
      </c>
      <c r="C3007" s="358" t="s">
        <v>404</v>
      </c>
      <c r="D3007" s="93">
        <v>880234.36</v>
      </c>
      <c r="E3007" s="95"/>
      <c r="F3007" s="93">
        <v>1</v>
      </c>
      <c r="G3007" s="93"/>
      <c r="H3007" s="93"/>
      <c r="I3007" s="93"/>
      <c r="K3007" s="93"/>
      <c r="L3007" s="93">
        <f>G3007+H3007+I3007</f>
        <v>0</v>
      </c>
      <c r="M3007" s="95">
        <f ca="1">IF(A3007&gt;INDIRECT("A"&amp;ROW()-1),I3007/K3007,E3007)</f>
        <v>0</v>
      </c>
      <c r="N3007" s="95">
        <f>IF(P3007="Hedge Fund",IF(A3007=Summary!$AD$3,M3007-E3007,M3007),IF(A3007=Summary!$AD$3,L3007-D3007,L3007))</f>
        <v>0</v>
      </c>
      <c r="O3007" s="95">
        <f>N3007</f>
        <v>0</v>
      </c>
      <c r="P3007" s="95" t="s">
        <v>155</v>
      </c>
      <c r="Q3007" s="95">
        <v>1.9452247228989965E-3</v>
      </c>
      <c r="R3007" s="95">
        <v>0</v>
      </c>
      <c r="S3007" s="95"/>
      <c r="T3007" s="95"/>
      <c r="U3007" s="95"/>
      <c r="V3007" s="95"/>
      <c r="W3007" s="95"/>
      <c r="X3007" s="95"/>
      <c r="Y3007" s="95"/>
      <c r="Z3007" s="95"/>
      <c r="AA3007" s="95"/>
      <c r="AB3007" s="95"/>
      <c r="AC3007" s="355"/>
      <c r="AD3007" s="355"/>
      <c r="AE3007" s="355"/>
      <c r="AF3007" s="94">
        <f>A3007</f>
        <v>43404</v>
      </c>
      <c r="AG3007" s="185" t="e">
        <f t="shared" si="386"/>
        <v>#DIV/0!</v>
      </c>
      <c r="AH3007" s="339" t="str">
        <f>VLOOKUP(B3007,'MF PF'!A:B,2)</f>
        <v>FdMgt1</v>
      </c>
      <c r="AI3007" s="358">
        <f>AF3007-A3007</f>
        <v>0</v>
      </c>
      <c r="AJ3007" s="94">
        <f>EOMONTH(A3007,0)</f>
        <v>43404</v>
      </c>
    </row>
    <row r="3008" spans="1:36" ht="12.75" customHeight="1">
      <c r="A3008" s="94">
        <v>43404</v>
      </c>
      <c r="B3008" s="358" t="s">
        <v>273</v>
      </c>
      <c r="C3008" s="358" t="s">
        <v>404</v>
      </c>
      <c r="D3008" s="93"/>
      <c r="E3008" s="95"/>
      <c r="F3008" s="93">
        <v>1</v>
      </c>
      <c r="G3008" s="93">
        <v>912997.02</v>
      </c>
      <c r="H3008" s="93"/>
      <c r="I3008" s="93"/>
      <c r="K3008" s="93"/>
      <c r="L3008" s="93">
        <v>912997.02</v>
      </c>
      <c r="M3008" s="95">
        <v>0</v>
      </c>
      <c r="N3008" s="95">
        <v>912997.02</v>
      </c>
      <c r="O3008" s="95">
        <v>912997.02</v>
      </c>
      <c r="P3008" s="95" t="s">
        <v>155</v>
      </c>
      <c r="Q3008" s="95"/>
      <c r="R3008" s="95"/>
      <c r="S3008" s="95"/>
      <c r="T3008" s="95"/>
      <c r="U3008" s="95"/>
      <c r="V3008" s="95"/>
      <c r="W3008" s="95"/>
      <c r="X3008" s="95"/>
      <c r="Y3008" s="95"/>
      <c r="Z3008" s="95"/>
      <c r="AA3008" s="95"/>
      <c r="AB3008" s="95"/>
      <c r="AC3008" s="355"/>
      <c r="AD3008" s="355"/>
      <c r="AE3008" s="355"/>
      <c r="AF3008" s="94">
        <v>43404</v>
      </c>
      <c r="AG3008" s="185">
        <f t="shared" si="386"/>
        <v>-2.0372203829898208</v>
      </c>
      <c r="AH3008" s="339" t="s">
        <v>286</v>
      </c>
      <c r="AI3008" s="358">
        <v>0</v>
      </c>
      <c r="AJ3008" s="94">
        <v>43404</v>
      </c>
    </row>
    <row r="3009" spans="1:36" ht="12.75" customHeight="1">
      <c r="A3009" s="94">
        <v>43432</v>
      </c>
      <c r="B3009" s="358" t="s">
        <v>273</v>
      </c>
      <c r="C3009" s="358" t="s">
        <v>404</v>
      </c>
      <c r="D3009" s="93"/>
      <c r="E3009" s="95"/>
      <c r="F3009" s="93"/>
      <c r="G3009" s="93">
        <v>87002.98000000001</v>
      </c>
      <c r="H3009" s="93"/>
      <c r="I3009" s="93"/>
      <c r="K3009" s="93"/>
      <c r="L3009" s="93">
        <f t="shared" ref="L3009:L3072" si="387">G3009+H3009+I3009</f>
        <v>87002.98000000001</v>
      </c>
      <c r="M3009" s="95" t="e">
        <f t="shared" ref="M3009:M3072" ca="1" si="388">IF(A3009&gt;INDIRECT("A"&amp;ROW()-1),I3009/K3009,E3009)</f>
        <v>#DIV/0!</v>
      </c>
      <c r="N3009" s="95">
        <f>IF(P3009="Hedge Fund",IF(A3009=Summary!$AD$3,M3009-E3009,M3009),IF(A3009=Summary!$AD$3,L3009-D3009,L3009))</f>
        <v>87002.98000000001</v>
      </c>
      <c r="O3009" s="95">
        <f t="shared" ref="O3009:O3038" si="389">N3009</f>
        <v>87002.98000000001</v>
      </c>
      <c r="P3009" s="95" t="s">
        <v>155</v>
      </c>
      <c r="Q3009" s="95"/>
      <c r="R3009" s="95"/>
      <c r="S3009" s="95"/>
      <c r="T3009" s="95"/>
      <c r="U3009" s="95"/>
      <c r="V3009" s="95"/>
      <c r="W3009" s="95"/>
      <c r="X3009" s="95"/>
      <c r="Y3009" s="95"/>
      <c r="Z3009" s="95"/>
      <c r="AA3009" s="95"/>
      <c r="AB3009" s="95"/>
      <c r="AC3009" s="355"/>
      <c r="AD3009" s="355"/>
      <c r="AE3009" s="355"/>
      <c r="AF3009" s="94">
        <f t="shared" ref="AF3009:AF3072" si="390">A3009</f>
        <v>43432</v>
      </c>
      <c r="AG3009" s="185" t="e">
        <f t="shared" si="386"/>
        <v>#DIV/0!</v>
      </c>
      <c r="AH3009" s="339" t="str">
        <f>VLOOKUP(B3009,'MF PF'!A:B,2)</f>
        <v>FdMgt1</v>
      </c>
      <c r="AI3009" s="358">
        <f t="shared" ref="AI3009:AI3072" si="391">AF3009-A3009</f>
        <v>0</v>
      </c>
      <c r="AJ3009" s="94">
        <f t="shared" ref="AJ3009:AJ3072" si="392">EOMONTH(A3009,0)</f>
        <v>43434</v>
      </c>
    </row>
    <row r="3010" spans="1:36" ht="12.75" customHeight="1">
      <c r="A3010" s="94">
        <v>43434</v>
      </c>
      <c r="B3010" s="358" t="s">
        <v>273</v>
      </c>
      <c r="C3010" s="358" t="s">
        <v>404</v>
      </c>
      <c r="D3010" s="93">
        <v>1011983.04</v>
      </c>
      <c r="E3010" s="95"/>
      <c r="F3010" s="93">
        <v>1</v>
      </c>
      <c r="G3010" s="93"/>
      <c r="H3010" s="93"/>
      <c r="I3010" s="93"/>
      <c r="K3010" s="93"/>
      <c r="L3010" s="93">
        <f t="shared" si="387"/>
        <v>0</v>
      </c>
      <c r="M3010" s="95" t="e">
        <f t="shared" ca="1" si="388"/>
        <v>#DIV/0!</v>
      </c>
      <c r="N3010" s="95">
        <f>IF(P3010="Hedge Fund",IF(A3010=Summary!$AD$3,M3010-E3010,M3010),IF(A3010=Summary!$AD$3,L3010-D3010,L3010))</f>
        <v>0</v>
      </c>
      <c r="O3010" s="95">
        <f t="shared" si="389"/>
        <v>0</v>
      </c>
      <c r="P3010" s="95" t="s">
        <v>155</v>
      </c>
      <c r="Q3010" s="95">
        <v>1.313433E-2</v>
      </c>
      <c r="R3010" s="95">
        <v>0</v>
      </c>
      <c r="S3010" s="95"/>
      <c r="T3010" s="95"/>
      <c r="U3010" s="95"/>
      <c r="V3010" s="95"/>
      <c r="W3010" s="95"/>
      <c r="X3010" s="95"/>
      <c r="Y3010" s="95"/>
      <c r="Z3010" s="95"/>
      <c r="AA3010" s="95"/>
      <c r="AB3010" s="95"/>
      <c r="AC3010" s="355"/>
      <c r="AD3010" s="355"/>
      <c r="AE3010" s="355"/>
      <c r="AF3010" s="94">
        <f t="shared" si="390"/>
        <v>43434</v>
      </c>
      <c r="AG3010" s="185" t="e">
        <f t="shared" si="386"/>
        <v>#DIV/0!</v>
      </c>
      <c r="AH3010" s="339" t="str">
        <f>VLOOKUP(B3010,'MF PF'!A:B,2)</f>
        <v>FdMgt1</v>
      </c>
      <c r="AI3010" s="358">
        <f t="shared" si="391"/>
        <v>0</v>
      </c>
      <c r="AJ3010" s="94">
        <f t="shared" si="392"/>
        <v>43434</v>
      </c>
    </row>
    <row r="3011" spans="1:36" ht="12.75" customHeight="1">
      <c r="A3011" s="94">
        <v>43465</v>
      </c>
      <c r="B3011" s="358" t="s">
        <v>273</v>
      </c>
      <c r="C3011" s="358" t="s">
        <v>404</v>
      </c>
      <c r="D3011" s="370">
        <v>1004391.7715</v>
      </c>
      <c r="E3011" s="95"/>
      <c r="F3011" s="93">
        <v>1</v>
      </c>
      <c r="G3011" s="93">
        <v>0</v>
      </c>
      <c r="H3011" s="93">
        <v>0</v>
      </c>
      <c r="I3011" s="93">
        <v>0</v>
      </c>
      <c r="K3011" s="93">
        <v>0</v>
      </c>
      <c r="L3011" s="93">
        <f t="shared" si="387"/>
        <v>0</v>
      </c>
      <c r="M3011" s="95" t="e">
        <f t="shared" ca="1" si="388"/>
        <v>#DIV/0!</v>
      </c>
      <c r="N3011" s="95">
        <f>IF(P3011="Hedge Fund",IF(A3011=Summary!$AD$3,M3011-E3011,M3011),IF(A3011=Summary!$AD$3,L3011-D3011,L3011))</f>
        <v>0</v>
      </c>
      <c r="O3011" s="95">
        <f t="shared" si="389"/>
        <v>0</v>
      </c>
      <c r="P3011" s="95" t="s">
        <v>155</v>
      </c>
      <c r="Q3011" s="95">
        <v>-1.0113458380835998</v>
      </c>
      <c r="R3011" s="95">
        <v>0</v>
      </c>
      <c r="S3011" s="95"/>
      <c r="T3011" s="95"/>
      <c r="U3011" s="95"/>
      <c r="V3011" s="95"/>
      <c r="W3011" s="95"/>
      <c r="X3011" s="95"/>
      <c r="Y3011" s="95"/>
      <c r="Z3011" s="95"/>
      <c r="AA3011" s="95"/>
      <c r="AB3011" s="95"/>
      <c r="AC3011" s="355"/>
      <c r="AD3011" s="355"/>
      <c r="AE3011" s="355"/>
      <c r="AF3011" s="94">
        <f t="shared" si="390"/>
        <v>43465</v>
      </c>
      <c r="AG3011" s="185">
        <f t="shared" si="386"/>
        <v>-7.5013791733110624E-3</v>
      </c>
      <c r="AH3011" s="339" t="str">
        <f>VLOOKUP(B3011,'MF PF'!A:B,2)</f>
        <v>FdMgt1</v>
      </c>
      <c r="AI3011" s="358">
        <f t="shared" si="391"/>
        <v>0</v>
      </c>
      <c r="AJ3011" s="94">
        <f t="shared" si="392"/>
        <v>43465</v>
      </c>
    </row>
    <row r="3012" spans="1:36" ht="12.75" customHeight="1">
      <c r="A3012" s="94">
        <v>43496</v>
      </c>
      <c r="B3012" s="358" t="s">
        <v>273</v>
      </c>
      <c r="C3012" s="358" t="s">
        <v>404</v>
      </c>
      <c r="D3012" s="93">
        <v>1025820.603</v>
      </c>
      <c r="F3012" s="93">
        <v>1</v>
      </c>
      <c r="G3012" s="93">
        <v>0</v>
      </c>
      <c r="H3012" s="93">
        <v>0</v>
      </c>
      <c r="I3012" s="93">
        <v>0</v>
      </c>
      <c r="K3012" s="93">
        <v>0</v>
      </c>
      <c r="L3012" s="93">
        <f t="shared" si="387"/>
        <v>0</v>
      </c>
      <c r="M3012" s="95" t="e">
        <f t="shared" ca="1" si="388"/>
        <v>#DIV/0!</v>
      </c>
      <c r="N3012" s="95">
        <f>IF(P3012="Hedge Fund",IF(A3012=Summary!$AD$3,M3012-E3012,M3012),IF(A3012=Summary!$AD$3,L3012-D3012,L3012))</f>
        <v>-1025820.603</v>
      </c>
      <c r="O3012" s="95">
        <f t="shared" si="389"/>
        <v>-1025820.603</v>
      </c>
      <c r="P3012" s="95" t="s">
        <v>155</v>
      </c>
      <c r="Q3012" s="95">
        <v>7.4925625877740772E-3</v>
      </c>
      <c r="R3012" s="95">
        <v>4.5565770000000078E-3</v>
      </c>
      <c r="S3012" s="95"/>
      <c r="T3012" s="95"/>
      <c r="U3012" s="95"/>
      <c r="V3012" s="95"/>
      <c r="W3012" s="95"/>
      <c r="X3012" s="95"/>
      <c r="Y3012" s="95"/>
      <c r="Z3012" s="95"/>
      <c r="AA3012" s="95"/>
      <c r="AB3012" s="95"/>
      <c r="AC3012" s="355"/>
      <c r="AD3012" s="355"/>
      <c r="AE3012" s="355"/>
      <c r="AF3012" s="94">
        <f t="shared" si="390"/>
        <v>43496</v>
      </c>
      <c r="AG3012" s="185">
        <f t="shared" si="386"/>
        <v>2.1335132473255136E-2</v>
      </c>
      <c r="AH3012" s="339" t="str">
        <f>VLOOKUP(B3012,'MF PF'!A:B,2)</f>
        <v>FdMgt1</v>
      </c>
      <c r="AI3012" s="358">
        <f t="shared" si="391"/>
        <v>0</v>
      </c>
      <c r="AJ3012" s="94">
        <f t="shared" si="392"/>
        <v>43496</v>
      </c>
    </row>
    <row r="3013" spans="1:36" ht="12.75" customHeight="1">
      <c r="A3013" s="94">
        <v>43329</v>
      </c>
      <c r="B3013" s="358" t="s">
        <v>273</v>
      </c>
      <c r="C3013" s="358" t="s">
        <v>387</v>
      </c>
      <c r="D3013" s="93"/>
      <c r="E3013" s="95"/>
      <c r="F3013" s="93"/>
      <c r="G3013" s="93">
        <v>88507.399967734367</v>
      </c>
      <c r="H3013" s="93"/>
      <c r="I3013" s="93"/>
      <c r="K3013" s="93"/>
      <c r="L3013" s="93">
        <f t="shared" si="387"/>
        <v>88507.399967734367</v>
      </c>
      <c r="M3013" s="95">
        <f t="shared" ca="1" si="388"/>
        <v>0</v>
      </c>
      <c r="N3013" s="95">
        <f>IF(P3013="Hedge Fund",IF(A3013=Summary!$AD$3,M3013-E3013,M3013),IF(A3013=Summary!$AD$3,L3013-D3013,L3013))</f>
        <v>88507.399967734367</v>
      </c>
      <c r="O3013" s="95">
        <f t="shared" si="389"/>
        <v>88507.399967734367</v>
      </c>
      <c r="P3013" s="107" t="s">
        <v>155</v>
      </c>
      <c r="Q3013" s="95">
        <v>0</v>
      </c>
      <c r="R3013" s="95">
        <v>0</v>
      </c>
      <c r="S3013" s="95"/>
      <c r="T3013" s="95"/>
      <c r="U3013" s="95"/>
      <c r="V3013" s="95"/>
      <c r="W3013" s="95"/>
      <c r="X3013" s="95"/>
      <c r="Y3013" s="95"/>
      <c r="Z3013" s="95"/>
      <c r="AA3013" s="95"/>
      <c r="AB3013" s="95"/>
      <c r="AC3013" s="355"/>
      <c r="AD3013" s="355"/>
      <c r="AE3013" s="355"/>
      <c r="AF3013" s="94">
        <f t="shared" si="390"/>
        <v>43329</v>
      </c>
      <c r="AG3013" s="185">
        <f t="shared" si="386"/>
        <v>-1</v>
      </c>
      <c r="AH3013" s="339" t="str">
        <f>VLOOKUP(B3013,'MF PF'!A:B,2)</f>
        <v>FdMgt1</v>
      </c>
      <c r="AI3013" s="358">
        <f t="shared" si="391"/>
        <v>0</v>
      </c>
      <c r="AJ3013" s="94">
        <f t="shared" si="392"/>
        <v>43343</v>
      </c>
    </row>
    <row r="3014" spans="1:36" ht="12.75" customHeight="1">
      <c r="A3014" s="94">
        <v>43343</v>
      </c>
      <c r="B3014" s="358" t="s">
        <v>273</v>
      </c>
      <c r="C3014" s="358" t="s">
        <v>387</v>
      </c>
      <c r="D3014" s="93">
        <v>60066.73</v>
      </c>
      <c r="E3014" s="95"/>
      <c r="F3014" s="93"/>
      <c r="G3014" s="93"/>
      <c r="H3014" s="93"/>
      <c r="I3014" s="93"/>
      <c r="K3014" s="93"/>
      <c r="L3014" s="93">
        <f t="shared" si="387"/>
        <v>0</v>
      </c>
      <c r="M3014" s="95" t="e">
        <f t="shared" ca="1" si="388"/>
        <v>#DIV/0!</v>
      </c>
      <c r="N3014" s="95">
        <f>IF(P3014="Hedge Fund",IF(A3014=Summary!$AD$3,M3014-E3014,M3014),IF(A3014=Summary!$AD$3,L3014-D3014,L3014))</f>
        <v>0</v>
      </c>
      <c r="O3014" s="95">
        <f t="shared" si="389"/>
        <v>0</v>
      </c>
      <c r="P3014" s="107" t="s">
        <v>155</v>
      </c>
      <c r="Q3014" s="95">
        <v>0</v>
      </c>
      <c r="R3014" s="95">
        <v>0</v>
      </c>
      <c r="S3014" s="95"/>
      <c r="T3014" s="95"/>
      <c r="U3014" s="95"/>
      <c r="V3014" s="95"/>
      <c r="W3014" s="95"/>
      <c r="X3014" s="95"/>
      <c r="Y3014" s="95"/>
      <c r="Z3014" s="95"/>
      <c r="AA3014" s="95"/>
      <c r="AB3014" s="95"/>
      <c r="AC3014" s="355"/>
      <c r="AD3014" s="355"/>
      <c r="AE3014" s="355"/>
      <c r="AF3014" s="94">
        <f t="shared" si="390"/>
        <v>43343</v>
      </c>
      <c r="AG3014" s="185" t="e">
        <f t="shared" si="386"/>
        <v>#DIV/0!</v>
      </c>
      <c r="AH3014" s="339" t="str">
        <f>VLOOKUP(B3014,'MF PF'!A:B,2)</f>
        <v>FdMgt1</v>
      </c>
      <c r="AI3014" s="358">
        <f t="shared" si="391"/>
        <v>0</v>
      </c>
      <c r="AJ3014" s="94">
        <f t="shared" si="392"/>
        <v>43343</v>
      </c>
    </row>
    <row r="3015" spans="1:36" ht="12.75" customHeight="1">
      <c r="A3015" s="94">
        <v>43369</v>
      </c>
      <c r="B3015" s="358" t="s">
        <v>273</v>
      </c>
      <c r="C3015" s="358" t="s">
        <v>387</v>
      </c>
      <c r="D3015" s="93"/>
      <c r="E3015" s="95"/>
      <c r="F3015" s="93"/>
      <c r="G3015" s="93">
        <v>17818.57</v>
      </c>
      <c r="H3015" s="93"/>
      <c r="I3015" s="93"/>
      <c r="K3015" s="93"/>
      <c r="L3015" s="93">
        <f t="shared" si="387"/>
        <v>17818.57</v>
      </c>
      <c r="M3015" s="95" t="e">
        <f t="shared" ca="1" si="388"/>
        <v>#DIV/0!</v>
      </c>
      <c r="N3015" s="95">
        <f>IF(P3015="Hedge Fund",IF(A3015=Summary!$AD$3,M3015-E3015,M3015),IF(A3015=Summary!$AD$3,L3015-D3015,L3015))</f>
        <v>17818.57</v>
      </c>
      <c r="O3015" s="95">
        <f t="shared" si="389"/>
        <v>17818.57</v>
      </c>
      <c r="P3015" s="107" t="s">
        <v>155</v>
      </c>
      <c r="Q3015" s="95">
        <v>0</v>
      </c>
      <c r="R3015" s="95">
        <v>0</v>
      </c>
      <c r="S3015" s="95"/>
      <c r="T3015" s="95"/>
      <c r="U3015" s="95"/>
      <c r="V3015" s="95"/>
      <c r="W3015" s="95"/>
      <c r="X3015" s="95"/>
      <c r="Y3015" s="95"/>
      <c r="Z3015" s="95"/>
      <c r="AA3015" s="95"/>
      <c r="AB3015" s="95"/>
      <c r="AC3015" s="355"/>
      <c r="AD3015" s="355"/>
      <c r="AE3015" s="355"/>
      <c r="AF3015" s="94">
        <f t="shared" si="390"/>
        <v>43369</v>
      </c>
      <c r="AG3015" s="185">
        <f t="shared" si="386"/>
        <v>-1.2966462465994071</v>
      </c>
      <c r="AH3015" s="339" t="str">
        <f>VLOOKUP(B3015,'MF PF'!A:B,2)</f>
        <v>FdMgt1</v>
      </c>
      <c r="AI3015" s="358">
        <f t="shared" si="391"/>
        <v>0</v>
      </c>
      <c r="AJ3015" s="94">
        <f t="shared" si="392"/>
        <v>43373</v>
      </c>
    </row>
    <row r="3016" spans="1:36" ht="12.75" customHeight="1">
      <c r="A3016" s="94">
        <v>43371</v>
      </c>
      <c r="B3016" s="358" t="s">
        <v>273</v>
      </c>
      <c r="C3016" s="358" t="s">
        <v>387</v>
      </c>
      <c r="D3016" s="93">
        <v>107410.97</v>
      </c>
      <c r="E3016" s="95"/>
      <c r="F3016" s="93"/>
      <c r="G3016" s="93"/>
      <c r="H3016" s="93"/>
      <c r="I3016" s="93"/>
      <c r="K3016" s="93"/>
      <c r="L3016" s="93">
        <f t="shared" si="387"/>
        <v>0</v>
      </c>
      <c r="M3016" s="95" t="e">
        <f t="shared" ca="1" si="388"/>
        <v>#DIV/0!</v>
      </c>
      <c r="N3016" s="95">
        <f>IF(P3016="Hedge Fund",IF(A3016=Summary!$AD$3,M3016-E3016,M3016),IF(A3016=Summary!$AD$3,L3016-D3016,L3016))</f>
        <v>0</v>
      </c>
      <c r="O3016" s="95">
        <f t="shared" si="389"/>
        <v>0</v>
      </c>
      <c r="P3016" s="107" t="s">
        <v>155</v>
      </c>
      <c r="Q3016" s="95">
        <v>0</v>
      </c>
      <c r="R3016" s="95">
        <v>0</v>
      </c>
      <c r="S3016" s="95"/>
      <c r="T3016" s="95"/>
      <c r="U3016" s="95"/>
      <c r="V3016" s="95"/>
      <c r="W3016" s="95"/>
      <c r="X3016" s="95"/>
      <c r="Y3016" s="95"/>
      <c r="Z3016" s="95"/>
      <c r="AA3016" s="95"/>
      <c r="AB3016" s="95"/>
      <c r="AC3016" s="355"/>
      <c r="AD3016" s="355"/>
      <c r="AE3016" s="355"/>
      <c r="AF3016" s="94">
        <f t="shared" si="390"/>
        <v>43371</v>
      </c>
      <c r="AG3016" s="185" t="e">
        <f t="shared" si="386"/>
        <v>#DIV/0!</v>
      </c>
      <c r="AH3016" s="339" t="str">
        <f>VLOOKUP(B3016,'MF PF'!A:B,2)</f>
        <v>FdMgt1</v>
      </c>
      <c r="AI3016" s="358">
        <f t="shared" si="391"/>
        <v>0</v>
      </c>
      <c r="AJ3016" s="94">
        <f t="shared" si="392"/>
        <v>43373</v>
      </c>
    </row>
    <row r="3017" spans="1:36" ht="12.75" customHeight="1">
      <c r="A3017" s="94">
        <v>43404</v>
      </c>
      <c r="B3017" s="358" t="s">
        <v>273</v>
      </c>
      <c r="C3017" s="358" t="s">
        <v>387</v>
      </c>
      <c r="D3017" s="93">
        <v>112754.2</v>
      </c>
      <c r="F3017" s="93">
        <v>0.12925114999999998</v>
      </c>
      <c r="G3017" s="93">
        <v>10458.279999999999</v>
      </c>
      <c r="H3017" s="93">
        <v>0</v>
      </c>
      <c r="I3017" s="93">
        <v>0</v>
      </c>
      <c r="J3017" s="93">
        <v>0</v>
      </c>
      <c r="K3017" s="93"/>
      <c r="L3017" s="93">
        <f t="shared" si="387"/>
        <v>10458.279999999999</v>
      </c>
      <c r="M3017" s="95" t="e">
        <f t="shared" ca="1" si="388"/>
        <v>#DIV/0!</v>
      </c>
      <c r="N3017" s="95">
        <f>IF(P3017="Hedge Fund",IF(A3017=Summary!$AD$3,M3017-E3017,M3017),IF(A3017=Summary!$AD$3,L3017-D3017,L3017))</f>
        <v>10458.279999999999</v>
      </c>
      <c r="O3017" s="95">
        <f t="shared" si="389"/>
        <v>10458.279999999999</v>
      </c>
      <c r="P3017" s="95" t="s">
        <v>155</v>
      </c>
      <c r="Q3017" s="95">
        <v>0</v>
      </c>
      <c r="R3017" s="95">
        <v>0</v>
      </c>
      <c r="S3017" s="95"/>
      <c r="T3017" s="95"/>
      <c r="U3017" s="95"/>
      <c r="V3017" s="95"/>
      <c r="W3017" s="95"/>
      <c r="X3017" s="95"/>
      <c r="Y3017" s="95"/>
      <c r="Z3017" s="95"/>
      <c r="AA3017" s="95"/>
      <c r="AB3017" s="95"/>
      <c r="AC3017" s="355"/>
      <c r="AD3017" s="355"/>
      <c r="AE3017" s="355"/>
      <c r="AF3017" s="94">
        <f t="shared" si="390"/>
        <v>43404</v>
      </c>
      <c r="AG3017" s="185">
        <f t="shared" si="386"/>
        <v>-4.7621299761095193E-2</v>
      </c>
      <c r="AH3017" s="339" t="str">
        <f>VLOOKUP(B3017,'MF PF'!A:B,2)</f>
        <v>FdMgt1</v>
      </c>
      <c r="AI3017" s="358">
        <f t="shared" si="391"/>
        <v>0</v>
      </c>
      <c r="AJ3017" s="94">
        <f t="shared" si="392"/>
        <v>43404</v>
      </c>
    </row>
    <row r="3018" spans="1:36" ht="12.75" customHeight="1">
      <c r="A3018" s="94">
        <v>43432</v>
      </c>
      <c r="B3018" s="358" t="s">
        <v>273</v>
      </c>
      <c r="C3018" s="358" t="s">
        <v>387</v>
      </c>
      <c r="D3018" s="93"/>
      <c r="F3018" s="93"/>
      <c r="G3018" s="93">
        <v>11245.35</v>
      </c>
      <c r="H3018" s="93">
        <v>0</v>
      </c>
      <c r="I3018" s="93">
        <v>0</v>
      </c>
      <c r="K3018" s="93">
        <v>0</v>
      </c>
      <c r="L3018" s="93">
        <f t="shared" si="387"/>
        <v>11245.35</v>
      </c>
      <c r="M3018" s="95" t="e">
        <f t="shared" ca="1" si="388"/>
        <v>#DIV/0!</v>
      </c>
      <c r="N3018" s="95">
        <f>IF(P3018="Hedge Fund",IF(A3018=Summary!$AD$3,M3018-E3018,M3018),IF(A3018=Summary!$AD$3,L3018-D3018,L3018))</f>
        <v>11245.35</v>
      </c>
      <c r="O3018" s="95">
        <f t="shared" si="389"/>
        <v>11245.35</v>
      </c>
      <c r="P3018" s="95" t="s">
        <v>155</v>
      </c>
      <c r="Q3018" s="95"/>
      <c r="R3018" s="95"/>
      <c r="S3018" s="95"/>
      <c r="T3018" s="95"/>
      <c r="U3018" s="95"/>
      <c r="V3018" s="95"/>
      <c r="W3018" s="95"/>
      <c r="X3018" s="95"/>
      <c r="Y3018" s="95"/>
      <c r="Z3018" s="95"/>
      <c r="AA3018" s="95"/>
      <c r="AB3018" s="95"/>
      <c r="AC3018" s="355"/>
      <c r="AD3018" s="355"/>
      <c r="AE3018" s="355"/>
      <c r="AF3018" s="94">
        <f t="shared" si="390"/>
        <v>43432</v>
      </c>
      <c r="AG3018" s="185">
        <f t="shared" si="386"/>
        <v>-1.0997333137036138</v>
      </c>
      <c r="AH3018" s="339" t="str">
        <f>VLOOKUP(B3018,'MF PF'!A:B,2)</f>
        <v>FdMgt1</v>
      </c>
      <c r="AI3018" s="358">
        <f t="shared" si="391"/>
        <v>0</v>
      </c>
      <c r="AJ3018" s="94">
        <f t="shared" si="392"/>
        <v>43434</v>
      </c>
    </row>
    <row r="3019" spans="1:36" ht="12.75" customHeight="1">
      <c r="A3019" s="94">
        <v>43434</v>
      </c>
      <c r="B3019" s="358" t="s">
        <v>273</v>
      </c>
      <c r="C3019" s="358" t="s">
        <v>387</v>
      </c>
      <c r="D3019" s="93">
        <v>129870.88</v>
      </c>
      <c r="F3019" s="93">
        <v>0.12925114999999998</v>
      </c>
      <c r="G3019" s="93"/>
      <c r="H3019" s="93">
        <v>0</v>
      </c>
      <c r="I3019" s="93">
        <v>0</v>
      </c>
      <c r="K3019" s="93">
        <v>0</v>
      </c>
      <c r="L3019" s="93">
        <f t="shared" si="387"/>
        <v>0</v>
      </c>
      <c r="M3019" s="95" t="e">
        <f t="shared" ca="1" si="388"/>
        <v>#DIV/0!</v>
      </c>
      <c r="N3019" s="95">
        <f>IF(P3019="Hedge Fund",IF(A3019=Summary!$AD$3,M3019-E3019,M3019),IF(A3019=Summary!$AD$3,L3019-D3019,L3019))</f>
        <v>0</v>
      </c>
      <c r="O3019" s="95">
        <f t="shared" si="389"/>
        <v>0</v>
      </c>
      <c r="P3019" s="95" t="s">
        <v>155</v>
      </c>
      <c r="Q3019" s="95">
        <v>1.313433E-2</v>
      </c>
      <c r="R3019" s="95">
        <v>0</v>
      </c>
      <c r="S3019" s="95"/>
      <c r="T3019" s="95"/>
      <c r="U3019" s="95"/>
      <c r="V3019" s="95"/>
      <c r="W3019" s="95"/>
      <c r="X3019" s="95"/>
      <c r="Y3019" s="95"/>
      <c r="Z3019" s="95"/>
      <c r="AA3019" s="95"/>
      <c r="AB3019" s="95"/>
      <c r="AC3019" s="355"/>
      <c r="AD3019" s="355"/>
      <c r="AE3019" s="355"/>
      <c r="AF3019" s="94">
        <f t="shared" si="390"/>
        <v>43434</v>
      </c>
      <c r="AG3019" s="185" t="e">
        <f t="shared" si="386"/>
        <v>#DIV/0!</v>
      </c>
      <c r="AH3019" s="339" t="str">
        <f>VLOOKUP(B3019,'MF PF'!A:B,2)</f>
        <v>FdMgt1</v>
      </c>
      <c r="AI3019" s="358">
        <f t="shared" si="391"/>
        <v>0</v>
      </c>
      <c r="AJ3019" s="94">
        <f t="shared" si="392"/>
        <v>43434</v>
      </c>
    </row>
    <row r="3020" spans="1:36" ht="12.75" customHeight="1">
      <c r="A3020" s="94">
        <v>43465</v>
      </c>
      <c r="B3020" s="358" t="s">
        <v>273</v>
      </c>
      <c r="C3020" s="358" t="s">
        <v>387</v>
      </c>
      <c r="D3020" s="369">
        <v>130717.73</v>
      </c>
      <c r="F3020" s="93">
        <v>0.12925114999999998</v>
      </c>
      <c r="G3020" s="93"/>
      <c r="H3020" s="93">
        <v>0</v>
      </c>
      <c r="I3020" s="93">
        <v>0</v>
      </c>
      <c r="K3020" s="93">
        <v>0</v>
      </c>
      <c r="L3020" s="93">
        <f t="shared" si="387"/>
        <v>0</v>
      </c>
      <c r="M3020" s="95" t="e">
        <f t="shared" ca="1" si="388"/>
        <v>#DIV/0!</v>
      </c>
      <c r="N3020" s="95">
        <f>IF(P3020="Hedge Fund",IF(A3020=Summary!$AD$3,M3020-E3020,M3020),IF(A3020=Summary!$AD$3,L3020-D3020,L3020))</f>
        <v>0</v>
      </c>
      <c r="O3020" s="95">
        <f t="shared" si="389"/>
        <v>0</v>
      </c>
      <c r="P3020" s="95" t="s">
        <v>155</v>
      </c>
      <c r="Q3020" s="95">
        <v>-0.130717727561176</v>
      </c>
      <c r="R3020" s="95">
        <v>0</v>
      </c>
      <c r="S3020" s="95"/>
      <c r="T3020" s="95"/>
      <c r="U3020" s="95"/>
      <c r="V3020" s="95"/>
      <c r="W3020" s="95"/>
      <c r="X3020" s="95"/>
      <c r="Y3020" s="95"/>
      <c r="Z3020" s="95"/>
      <c r="AA3020" s="95"/>
      <c r="AB3020" s="95"/>
      <c r="AC3020" s="355"/>
      <c r="AD3020" s="355"/>
      <c r="AE3020" s="355"/>
      <c r="AF3020" s="94">
        <f t="shared" si="390"/>
        <v>43465</v>
      </c>
      <c r="AG3020" s="185">
        <f t="shared" si="386"/>
        <v>6.5207073363944268E-3</v>
      </c>
      <c r="AH3020" s="339" t="str">
        <f>VLOOKUP(B3020,'MF PF'!A:B,2)</f>
        <v>FdMgt1</v>
      </c>
      <c r="AI3020" s="358">
        <f t="shared" si="391"/>
        <v>0</v>
      </c>
      <c r="AJ3020" s="94">
        <f t="shared" si="392"/>
        <v>43465</v>
      </c>
    </row>
    <row r="3021" spans="1:36" ht="12.75" customHeight="1">
      <c r="A3021" s="94">
        <v>43496</v>
      </c>
      <c r="B3021" s="358" t="s">
        <v>273</v>
      </c>
      <c r="C3021" s="358" t="s">
        <v>387</v>
      </c>
      <c r="D3021" s="93">
        <v>132924.38</v>
      </c>
      <c r="F3021" s="93">
        <v>0.12802959996773436</v>
      </c>
      <c r="G3021" s="93"/>
      <c r="H3021" s="93">
        <v>0</v>
      </c>
      <c r="I3021" s="93">
        <v>0</v>
      </c>
      <c r="K3021" s="93">
        <v>0</v>
      </c>
      <c r="L3021" s="93">
        <f t="shared" si="387"/>
        <v>0</v>
      </c>
      <c r="M3021" s="95" t="e">
        <f t="shared" ca="1" si="388"/>
        <v>#DIV/0!</v>
      </c>
      <c r="N3021" s="95">
        <f>IF(P3021="Hedge Fund",IF(A3021=Summary!$AD$3,M3021-E3021,M3021),IF(A3021=Summary!$AD$3,L3021-D3021,L3021))</f>
        <v>-132924.38</v>
      </c>
      <c r="O3021" s="95">
        <f t="shared" si="389"/>
        <v>-132924.38</v>
      </c>
      <c r="P3021" s="95" t="s">
        <v>155</v>
      </c>
      <c r="Q3021" s="95">
        <v>0</v>
      </c>
      <c r="R3021" s="95">
        <v>0</v>
      </c>
      <c r="S3021" s="95"/>
      <c r="T3021" s="95"/>
      <c r="U3021" s="95"/>
      <c r="V3021" s="95"/>
      <c r="W3021" s="95"/>
      <c r="X3021" s="95"/>
      <c r="Y3021" s="95"/>
      <c r="Z3021" s="95"/>
      <c r="AA3021" s="95"/>
      <c r="AB3021" s="95"/>
      <c r="AC3021" s="355"/>
      <c r="AD3021" s="355"/>
      <c r="AE3021" s="355"/>
      <c r="AF3021" s="94">
        <f t="shared" si="390"/>
        <v>43496</v>
      </c>
      <c r="AG3021" s="185">
        <f t="shared" si="386"/>
        <v>1.6881030599292135E-2</v>
      </c>
      <c r="AH3021" s="339" t="str">
        <f>VLOOKUP(B3021,'MF PF'!A:B,2)</f>
        <v>FdMgt1</v>
      </c>
      <c r="AI3021" s="358">
        <f t="shared" si="391"/>
        <v>0</v>
      </c>
      <c r="AJ3021" s="94">
        <f t="shared" si="392"/>
        <v>43496</v>
      </c>
    </row>
    <row r="3022" spans="1:36" ht="12.75" customHeight="1">
      <c r="A3022" s="94">
        <v>43329</v>
      </c>
      <c r="B3022" s="358" t="s">
        <v>273</v>
      </c>
      <c r="C3022" s="358" t="s">
        <v>388</v>
      </c>
      <c r="D3022" s="93"/>
      <c r="E3022" s="95"/>
      <c r="F3022" s="93"/>
      <c r="G3022" s="93">
        <v>3423857.4388856255</v>
      </c>
      <c r="H3022" s="93"/>
      <c r="I3022" s="93"/>
      <c r="K3022" s="93"/>
      <c r="L3022" s="93">
        <f t="shared" si="387"/>
        <v>3423857.4388856255</v>
      </c>
      <c r="M3022" s="95">
        <f t="shared" ca="1" si="388"/>
        <v>0</v>
      </c>
      <c r="N3022" s="95">
        <f>IF(P3022="Hedge Fund",IF(A3022=Summary!$AD$3,M3022-E3022,M3022),IF(A3022=Summary!$AD$3,L3022-D3022,L3022))</f>
        <v>3423857.4388856255</v>
      </c>
      <c r="O3022" s="95">
        <f t="shared" si="389"/>
        <v>3423857.4388856255</v>
      </c>
      <c r="P3022" s="107" t="s">
        <v>155</v>
      </c>
      <c r="Q3022" s="95">
        <v>0</v>
      </c>
      <c r="R3022" s="95">
        <v>0</v>
      </c>
      <c r="S3022" s="95"/>
      <c r="T3022" s="95"/>
      <c r="U3022" s="95"/>
      <c r="V3022" s="95"/>
      <c r="W3022" s="95"/>
      <c r="X3022" s="95"/>
      <c r="Y3022" s="95"/>
      <c r="Z3022" s="95"/>
      <c r="AA3022" s="95"/>
      <c r="AB3022" s="95"/>
      <c r="AC3022" s="355"/>
      <c r="AD3022" s="355"/>
      <c r="AE3022" s="355"/>
      <c r="AF3022" s="94">
        <f t="shared" si="390"/>
        <v>43329</v>
      </c>
      <c r="AG3022" s="185">
        <f t="shared" ref="AG3022:AG3044" si="393">IF(C3022&lt;&gt;C3021,D3022/G3022-1,(D3022-G3022-I3022-H3022)/(D3021)-1)</f>
        <v>-1</v>
      </c>
      <c r="AH3022" s="339" t="str">
        <f>VLOOKUP(B3022,'MF PF'!A:B,2)</f>
        <v>FdMgt1</v>
      </c>
      <c r="AI3022" s="358">
        <f t="shared" si="391"/>
        <v>0</v>
      </c>
      <c r="AJ3022" s="94">
        <f t="shared" si="392"/>
        <v>43343</v>
      </c>
    </row>
    <row r="3023" spans="1:36" ht="12.75" customHeight="1">
      <c r="A3023" s="94">
        <v>43343</v>
      </c>
      <c r="B3023" s="358" t="s">
        <v>273</v>
      </c>
      <c r="C3023" s="358" t="s">
        <v>388</v>
      </c>
      <c r="D3023" s="93">
        <v>3445971.37</v>
      </c>
      <c r="E3023" s="95"/>
      <c r="F3023" s="93"/>
      <c r="G3023" s="93"/>
      <c r="H3023" s="93"/>
      <c r="I3023" s="93"/>
      <c r="K3023" s="93"/>
      <c r="L3023" s="93">
        <f t="shared" si="387"/>
        <v>0</v>
      </c>
      <c r="M3023" s="95" t="e">
        <f t="shared" ca="1" si="388"/>
        <v>#DIV/0!</v>
      </c>
      <c r="N3023" s="95">
        <f>IF(P3023="Hedge Fund",IF(A3023=Summary!$AD$3,M3023-E3023,M3023),IF(A3023=Summary!$AD$3,L3023-D3023,L3023))</f>
        <v>0</v>
      </c>
      <c r="O3023" s="95">
        <f t="shared" si="389"/>
        <v>0</v>
      </c>
      <c r="P3023" s="107" t="s">
        <v>155</v>
      </c>
      <c r="Q3023" s="95">
        <v>0</v>
      </c>
      <c r="R3023" s="95">
        <v>0</v>
      </c>
      <c r="S3023" s="95"/>
      <c r="T3023" s="95"/>
      <c r="U3023" s="95"/>
      <c r="V3023" s="95"/>
      <c r="W3023" s="95"/>
      <c r="X3023" s="95"/>
      <c r="Y3023" s="95"/>
      <c r="Z3023" s="95"/>
      <c r="AA3023" s="95"/>
      <c r="AB3023" s="95"/>
      <c r="AC3023" s="355"/>
      <c r="AD3023" s="355"/>
      <c r="AE3023" s="355"/>
      <c r="AF3023" s="94">
        <f t="shared" si="390"/>
        <v>43343</v>
      </c>
      <c r="AG3023" s="185" t="e">
        <f t="shared" si="393"/>
        <v>#DIV/0!</v>
      </c>
      <c r="AH3023" s="339" t="str">
        <f>VLOOKUP(B3023,'MF PF'!A:B,2)</f>
        <v>FdMgt1</v>
      </c>
      <c r="AI3023" s="358">
        <f t="shared" si="391"/>
        <v>0</v>
      </c>
      <c r="AJ3023" s="94">
        <f t="shared" si="392"/>
        <v>43343</v>
      </c>
    </row>
    <row r="3024" spans="1:36" ht="12.75" customHeight="1">
      <c r="A3024" s="94">
        <v>43369</v>
      </c>
      <c r="B3024" s="358" t="s">
        <v>273</v>
      </c>
      <c r="C3024" s="358" t="s">
        <v>388</v>
      </c>
      <c r="D3024" s="93"/>
      <c r="E3024" s="95"/>
      <c r="F3024" s="93"/>
      <c r="G3024" s="93">
        <v>689300.43</v>
      </c>
      <c r="H3024" s="93"/>
      <c r="I3024" s="93"/>
      <c r="K3024" s="93"/>
      <c r="L3024" s="93">
        <f t="shared" si="387"/>
        <v>689300.43</v>
      </c>
      <c r="M3024" s="95" t="e">
        <f t="shared" ca="1" si="388"/>
        <v>#DIV/0!</v>
      </c>
      <c r="N3024" s="95">
        <f>IF(P3024="Hedge Fund",IF(A3024=Summary!$AD$3,M3024-E3024,M3024),IF(A3024=Summary!$AD$3,L3024-D3024,L3024))</f>
        <v>689300.43</v>
      </c>
      <c r="O3024" s="95">
        <f t="shared" si="389"/>
        <v>689300.43</v>
      </c>
      <c r="P3024" s="107" t="s">
        <v>155</v>
      </c>
      <c r="Q3024" s="95">
        <v>0</v>
      </c>
      <c r="R3024" s="95">
        <v>0</v>
      </c>
      <c r="S3024" s="95"/>
      <c r="T3024" s="95"/>
      <c r="U3024" s="95"/>
      <c r="V3024" s="95"/>
      <c r="W3024" s="95"/>
      <c r="X3024" s="95"/>
      <c r="Y3024" s="95"/>
      <c r="Z3024" s="95"/>
      <c r="AA3024" s="95"/>
      <c r="AB3024" s="95"/>
      <c r="AC3024" s="355"/>
      <c r="AD3024" s="355"/>
      <c r="AE3024" s="355"/>
      <c r="AF3024" s="94">
        <f t="shared" si="390"/>
        <v>43369</v>
      </c>
      <c r="AG3024" s="185">
        <f t="shared" si="393"/>
        <v>-1.2000308058276179</v>
      </c>
      <c r="AH3024" s="339" t="str">
        <f>VLOOKUP(B3024,'MF PF'!A:B,2)</f>
        <v>FdMgt1</v>
      </c>
      <c r="AI3024" s="358">
        <f t="shared" si="391"/>
        <v>0</v>
      </c>
      <c r="AJ3024" s="94">
        <f t="shared" si="392"/>
        <v>43373</v>
      </c>
    </row>
    <row r="3025" spans="1:36" ht="12.75" customHeight="1">
      <c r="A3025" s="94">
        <v>43371</v>
      </c>
      <c r="B3025" s="358" t="s">
        <v>273</v>
      </c>
      <c r="C3025" s="358" t="s">
        <v>388</v>
      </c>
      <c r="D3025" s="93">
        <v>4134686.7</v>
      </c>
      <c r="E3025" s="95"/>
      <c r="F3025" s="93"/>
      <c r="G3025" s="93"/>
      <c r="H3025" s="93"/>
      <c r="I3025" s="93"/>
      <c r="K3025" s="93"/>
      <c r="L3025" s="93">
        <f t="shared" si="387"/>
        <v>0</v>
      </c>
      <c r="M3025" s="95" t="e">
        <f t="shared" ca="1" si="388"/>
        <v>#DIV/0!</v>
      </c>
      <c r="N3025" s="95">
        <f>IF(P3025="Hedge Fund",IF(A3025=Summary!$AD$3,M3025-E3025,M3025),IF(A3025=Summary!$AD$3,L3025-D3025,L3025))</f>
        <v>0</v>
      </c>
      <c r="O3025" s="95">
        <f t="shared" si="389"/>
        <v>0</v>
      </c>
      <c r="P3025" s="107" t="s">
        <v>155</v>
      </c>
      <c r="Q3025" s="95">
        <v>1.6644570000000001E-2</v>
      </c>
      <c r="R3025" s="95">
        <v>3.7992E-3</v>
      </c>
      <c r="S3025" s="95"/>
      <c r="T3025" s="95"/>
      <c r="U3025" s="95"/>
      <c r="V3025" s="95"/>
      <c r="W3025" s="95"/>
      <c r="X3025" s="95"/>
      <c r="Y3025" s="95"/>
      <c r="Z3025" s="95"/>
      <c r="AA3025" s="95"/>
      <c r="AB3025" s="95"/>
      <c r="AC3025" s="355"/>
      <c r="AD3025" s="355"/>
      <c r="AE3025" s="355"/>
      <c r="AF3025" s="94">
        <f t="shared" si="390"/>
        <v>43371</v>
      </c>
      <c r="AG3025" s="185" t="e">
        <f t="shared" si="393"/>
        <v>#DIV/0!</v>
      </c>
      <c r="AH3025" s="339" t="str">
        <f>VLOOKUP(B3025,'MF PF'!A:B,2)</f>
        <v>FdMgt1</v>
      </c>
      <c r="AI3025" s="358">
        <f t="shared" si="391"/>
        <v>0</v>
      </c>
      <c r="AJ3025" s="94">
        <f t="shared" si="392"/>
        <v>43373</v>
      </c>
    </row>
    <row r="3026" spans="1:36" ht="12.75" customHeight="1">
      <c r="A3026" s="94">
        <v>43404</v>
      </c>
      <c r="B3026" s="358" t="s">
        <v>273</v>
      </c>
      <c r="C3026" s="358" t="s">
        <v>388</v>
      </c>
      <c r="D3026" s="93">
        <v>4340297.07</v>
      </c>
      <c r="E3026" s="95"/>
      <c r="F3026" s="93">
        <v>5</v>
      </c>
      <c r="G3026" s="93">
        <v>404571.84999999986</v>
      </c>
      <c r="H3026" s="93">
        <v>0</v>
      </c>
      <c r="I3026" s="93">
        <v>0</v>
      </c>
      <c r="J3026" s="93">
        <v>0</v>
      </c>
      <c r="K3026" s="93"/>
      <c r="L3026" s="93">
        <f t="shared" si="387"/>
        <v>404571.84999999986</v>
      </c>
      <c r="M3026" s="95" t="e">
        <f t="shared" ca="1" si="388"/>
        <v>#DIV/0!</v>
      </c>
      <c r="N3026" s="95">
        <f>IF(P3026="Hedge Fund",IF(A3026=Summary!$AD$3,M3026-E3026,M3026),IF(A3026=Summary!$AD$3,L3026-D3026,L3026))</f>
        <v>404571.84999999986</v>
      </c>
      <c r="O3026" s="95">
        <f t="shared" si="389"/>
        <v>404571.84999999986</v>
      </c>
      <c r="P3026" s="95" t="s">
        <v>155</v>
      </c>
      <c r="Q3026" s="95">
        <v>2.1536703398838494E-2</v>
      </c>
      <c r="R3026" s="95">
        <v>0</v>
      </c>
      <c r="S3026" s="95"/>
      <c r="T3026" s="95"/>
      <c r="U3026" s="95"/>
      <c r="V3026" s="95"/>
      <c r="W3026" s="95"/>
      <c r="X3026" s="95"/>
      <c r="Y3026" s="95"/>
      <c r="Z3026" s="95"/>
      <c r="AA3026" s="95"/>
      <c r="AB3026" s="95"/>
      <c r="AC3026" s="355"/>
      <c r="AD3026" s="355"/>
      <c r="AE3026" s="355"/>
      <c r="AF3026" s="94">
        <f t="shared" si="390"/>
        <v>43404</v>
      </c>
      <c r="AG3026" s="185">
        <f t="shared" si="393"/>
        <v>-4.812008609987295E-2</v>
      </c>
      <c r="AH3026" s="339" t="str">
        <f>VLOOKUP(B3026,'MF PF'!A:B,2)</f>
        <v>FdMgt1</v>
      </c>
      <c r="AI3026" s="358">
        <f t="shared" si="391"/>
        <v>0</v>
      </c>
      <c r="AJ3026" s="94">
        <f t="shared" si="392"/>
        <v>43404</v>
      </c>
    </row>
    <row r="3027" spans="1:36" ht="12.75" customHeight="1">
      <c r="A3027" s="94">
        <v>43432</v>
      </c>
      <c r="B3027" s="358" t="s">
        <v>273</v>
      </c>
      <c r="C3027" s="358" t="s">
        <v>388</v>
      </c>
      <c r="D3027" s="93"/>
      <c r="E3027" s="95"/>
      <c r="F3027" s="93"/>
      <c r="G3027" s="93">
        <v>435015.27</v>
      </c>
      <c r="H3027" s="93">
        <v>0</v>
      </c>
      <c r="I3027" s="93">
        <v>0</v>
      </c>
      <c r="K3027" s="93">
        <v>0</v>
      </c>
      <c r="L3027" s="93">
        <f t="shared" si="387"/>
        <v>435015.27</v>
      </c>
      <c r="M3027" s="95" t="e">
        <f t="shared" ca="1" si="388"/>
        <v>#DIV/0!</v>
      </c>
      <c r="N3027" s="95">
        <f>IF(P3027="Hedge Fund",IF(A3027=Summary!$AD$3,M3027-E3027,M3027),IF(A3027=Summary!$AD$3,L3027-D3027,L3027))</f>
        <v>435015.27</v>
      </c>
      <c r="O3027" s="95">
        <f t="shared" si="389"/>
        <v>435015.27</v>
      </c>
      <c r="P3027" s="95" t="s">
        <v>155</v>
      </c>
      <c r="Q3027" s="95"/>
      <c r="R3027" s="95"/>
      <c r="S3027" s="95"/>
      <c r="T3027" s="95"/>
      <c r="U3027" s="95"/>
      <c r="V3027" s="95"/>
      <c r="W3027" s="95"/>
      <c r="X3027" s="95"/>
      <c r="Y3027" s="95"/>
      <c r="Z3027" s="95"/>
      <c r="AA3027" s="95"/>
      <c r="AB3027" s="95"/>
      <c r="AC3027" s="355"/>
      <c r="AD3027" s="355"/>
      <c r="AE3027" s="355"/>
      <c r="AF3027" s="94">
        <f t="shared" si="390"/>
        <v>43432</v>
      </c>
      <c r="AG3027" s="185">
        <f t="shared" si="393"/>
        <v>-1.1002270727058783</v>
      </c>
      <c r="AH3027" s="339" t="str">
        <f>VLOOKUP(B3027,'MF PF'!A:B,2)</f>
        <v>FdMgt1</v>
      </c>
      <c r="AI3027" s="358">
        <f t="shared" si="391"/>
        <v>0</v>
      </c>
      <c r="AJ3027" s="94">
        <f t="shared" si="392"/>
        <v>43434</v>
      </c>
    </row>
    <row r="3028" spans="1:36" ht="12.75" customHeight="1">
      <c r="A3028" s="94">
        <v>43434</v>
      </c>
      <c r="B3028" s="358" t="s">
        <v>273</v>
      </c>
      <c r="C3028" s="358" t="s">
        <v>388</v>
      </c>
      <c r="D3028" s="93">
        <v>4988053.28</v>
      </c>
      <c r="E3028" s="95"/>
      <c r="F3028" s="93">
        <v>5</v>
      </c>
      <c r="G3028" s="93"/>
      <c r="H3028" s="93">
        <v>0</v>
      </c>
      <c r="I3028" s="93">
        <v>0</v>
      </c>
      <c r="K3028" s="93">
        <v>0</v>
      </c>
      <c r="L3028" s="93">
        <f t="shared" si="387"/>
        <v>0</v>
      </c>
      <c r="M3028" s="95" t="e">
        <f t="shared" ca="1" si="388"/>
        <v>#DIV/0!</v>
      </c>
      <c r="N3028" s="95">
        <f>IF(P3028="Hedge Fund",IF(A3028=Summary!$AD$3,M3028-E3028,M3028),IF(A3028=Summary!$AD$3,L3028-D3028,L3028))</f>
        <v>0</v>
      </c>
      <c r="O3028" s="95">
        <f t="shared" si="389"/>
        <v>0</v>
      </c>
      <c r="P3028" s="95" t="s">
        <v>155</v>
      </c>
      <c r="Q3028" s="95">
        <v>2.6268699999999999E-3</v>
      </c>
      <c r="R3028" s="95">
        <v>0</v>
      </c>
      <c r="S3028" s="95"/>
      <c r="T3028" s="95"/>
      <c r="U3028" s="95"/>
      <c r="V3028" s="95"/>
      <c r="W3028" s="95"/>
      <c r="X3028" s="95"/>
      <c r="Y3028" s="95"/>
      <c r="Z3028" s="95"/>
      <c r="AA3028" s="95"/>
      <c r="AB3028" s="95"/>
      <c r="AC3028" s="355"/>
      <c r="AD3028" s="355"/>
      <c r="AE3028" s="355"/>
      <c r="AF3028" s="94">
        <f t="shared" si="390"/>
        <v>43434</v>
      </c>
      <c r="AG3028" s="185" t="e">
        <f t="shared" si="393"/>
        <v>#DIV/0!</v>
      </c>
      <c r="AH3028" s="339" t="str">
        <f>VLOOKUP(B3028,'MF PF'!A:B,2)</f>
        <v>FdMgt1</v>
      </c>
      <c r="AI3028" s="358">
        <f t="shared" si="391"/>
        <v>0</v>
      </c>
      <c r="AJ3028" s="94">
        <f t="shared" si="392"/>
        <v>43434</v>
      </c>
    </row>
    <row r="3029" spans="1:36" ht="12.75" customHeight="1">
      <c r="A3029" s="94">
        <v>43465</v>
      </c>
      <c r="B3029" s="358" t="s">
        <v>273</v>
      </c>
      <c r="C3029" s="358" t="s">
        <v>388</v>
      </c>
      <c r="D3029" s="369">
        <v>5013944.0972999996</v>
      </c>
      <c r="E3029" s="95"/>
      <c r="F3029" s="93">
        <v>5</v>
      </c>
      <c r="G3029" s="93"/>
      <c r="H3029" s="93">
        <v>0</v>
      </c>
      <c r="I3029" s="93">
        <v>0</v>
      </c>
      <c r="K3029" s="93">
        <v>0</v>
      </c>
      <c r="L3029" s="93">
        <f t="shared" si="387"/>
        <v>0</v>
      </c>
      <c r="M3029" s="95" t="e">
        <f t="shared" ca="1" si="388"/>
        <v>#DIV/0!</v>
      </c>
      <c r="N3029" s="95">
        <f>IF(P3029="Hedge Fund",IF(A3029=Summary!$AD$3,M3029-E3029,M3029),IF(A3029=Summary!$AD$3,L3029-D3029,L3029))</f>
        <v>0</v>
      </c>
      <c r="O3029" s="95">
        <f t="shared" si="389"/>
        <v>0</v>
      </c>
      <c r="P3029" s="95" t="s">
        <v>155</v>
      </c>
      <c r="Q3029" s="95">
        <v>-5.0567447441466662</v>
      </c>
      <c r="R3029" s="95">
        <v>0</v>
      </c>
      <c r="S3029" s="95"/>
      <c r="T3029" s="95"/>
      <c r="U3029" s="95"/>
      <c r="V3029" s="95"/>
      <c r="W3029" s="95"/>
      <c r="X3029" s="95"/>
      <c r="Y3029" s="95"/>
      <c r="Z3029" s="95"/>
      <c r="AA3029" s="95"/>
      <c r="AB3029" s="95"/>
      <c r="AC3029" s="355"/>
      <c r="AD3029" s="355"/>
      <c r="AE3029" s="355"/>
      <c r="AF3029" s="94">
        <f t="shared" si="390"/>
        <v>43465</v>
      </c>
      <c r="AG3029" s="185">
        <f t="shared" si="393"/>
        <v>5.1905655065496159E-3</v>
      </c>
      <c r="AH3029" s="339" t="str">
        <f>VLOOKUP(B3029,'MF PF'!A:B,2)</f>
        <v>FdMgt1</v>
      </c>
      <c r="AI3029" s="358">
        <f t="shared" si="391"/>
        <v>0</v>
      </c>
      <c r="AJ3029" s="94">
        <f t="shared" si="392"/>
        <v>43465</v>
      </c>
    </row>
    <row r="3030" spans="1:36" ht="12.75" customHeight="1">
      <c r="A3030" s="94">
        <v>43496</v>
      </c>
      <c r="B3030" s="358" t="s">
        <v>273</v>
      </c>
      <c r="C3030" s="358" t="s">
        <v>388</v>
      </c>
      <c r="D3030" s="93">
        <v>5081850.4528000001</v>
      </c>
      <c r="F3030" s="93">
        <v>4.9527449888856259</v>
      </c>
      <c r="G3030" s="93"/>
      <c r="H3030" s="93">
        <v>0</v>
      </c>
      <c r="I3030" s="93">
        <v>0</v>
      </c>
      <c r="K3030" s="93">
        <v>0</v>
      </c>
      <c r="L3030" s="93">
        <f t="shared" si="387"/>
        <v>0</v>
      </c>
      <c r="M3030" s="95" t="e">
        <f t="shared" ca="1" si="388"/>
        <v>#DIV/0!</v>
      </c>
      <c r="N3030" s="95">
        <f>IF(P3030="Hedge Fund",IF(A3030=Summary!$AD$3,M3030-E3030,M3030),IF(A3030=Summary!$AD$3,L3030-D3030,L3030))</f>
        <v>-5081850.4528000001</v>
      </c>
      <c r="O3030" s="95">
        <f t="shared" si="389"/>
        <v>-5081850.4528000001</v>
      </c>
      <c r="P3030" s="95" t="s">
        <v>155</v>
      </c>
      <c r="Q3030" s="95">
        <f>37462.8129388703/1000000</f>
        <v>3.7462812938870396E-2</v>
      </c>
      <c r="R3030" s="95">
        <f>22783.317167156/1000000</f>
        <v>2.2783317167156002E-2</v>
      </c>
      <c r="S3030" s="95"/>
      <c r="T3030" s="95"/>
      <c r="U3030" s="95"/>
      <c r="V3030" s="95"/>
      <c r="W3030" s="95"/>
      <c r="X3030" s="95"/>
      <c r="Y3030" s="95"/>
      <c r="Z3030" s="95"/>
      <c r="AA3030" s="95"/>
      <c r="AB3030" s="95"/>
      <c r="AC3030" s="355"/>
      <c r="AD3030" s="355"/>
      <c r="AE3030" s="355"/>
      <c r="AF3030" s="94">
        <f t="shared" si="390"/>
        <v>43496</v>
      </c>
      <c r="AG3030" s="185">
        <f t="shared" si="393"/>
        <v>1.354350072163113E-2</v>
      </c>
      <c r="AH3030" s="339" t="str">
        <f>VLOOKUP(B3030,'MF PF'!A:B,2)</f>
        <v>FdMgt1</v>
      </c>
      <c r="AI3030" s="358">
        <f t="shared" si="391"/>
        <v>0</v>
      </c>
      <c r="AJ3030" s="94">
        <f t="shared" si="392"/>
        <v>43496</v>
      </c>
    </row>
    <row r="3031" spans="1:36" ht="12.75" customHeight="1">
      <c r="A3031" s="94">
        <v>43329</v>
      </c>
      <c r="B3031" s="358" t="s">
        <v>273</v>
      </c>
      <c r="C3031" s="358" t="s">
        <v>389</v>
      </c>
      <c r="D3031" s="93"/>
      <c r="E3031" s="95"/>
      <c r="F3031" s="93"/>
      <c r="G3031" s="93">
        <v>684.84568777712514</v>
      </c>
      <c r="H3031" s="93"/>
      <c r="I3031" s="93"/>
      <c r="K3031" s="93"/>
      <c r="L3031" s="93">
        <f t="shared" si="387"/>
        <v>684.84568777712514</v>
      </c>
      <c r="M3031" s="95">
        <f t="shared" ca="1" si="388"/>
        <v>0</v>
      </c>
      <c r="N3031" s="95">
        <f>IF(P3031="Hedge Fund",IF(A3031=Summary!$AD$3,M3031-E3031,M3031),IF(A3031=Summary!$AD$3,L3031-D3031,L3031))</f>
        <v>684.84568777712514</v>
      </c>
      <c r="O3031" s="95">
        <f t="shared" si="389"/>
        <v>684.84568777712514</v>
      </c>
      <c r="P3031" s="107" t="s">
        <v>155</v>
      </c>
      <c r="Q3031" s="95">
        <v>0</v>
      </c>
      <c r="R3031" s="95">
        <v>0</v>
      </c>
      <c r="S3031" s="95"/>
      <c r="T3031" s="95"/>
      <c r="U3031" s="95"/>
      <c r="V3031" s="95"/>
      <c r="W3031" s="95"/>
      <c r="X3031" s="95"/>
      <c r="Y3031" s="95"/>
      <c r="Z3031" s="95"/>
      <c r="AA3031" s="95"/>
      <c r="AB3031" s="95"/>
      <c r="AC3031" s="355"/>
      <c r="AD3031" s="355"/>
      <c r="AE3031" s="355"/>
      <c r="AF3031" s="94">
        <f t="shared" si="390"/>
        <v>43329</v>
      </c>
      <c r="AG3031" s="185">
        <f t="shared" si="393"/>
        <v>-1</v>
      </c>
      <c r="AH3031" s="339" t="str">
        <f>VLOOKUP(B3031,'MF PF'!A:B,2)</f>
        <v>FdMgt1</v>
      </c>
      <c r="AI3031" s="358">
        <f t="shared" si="391"/>
        <v>0</v>
      </c>
      <c r="AJ3031" s="94">
        <f t="shared" si="392"/>
        <v>43343</v>
      </c>
    </row>
    <row r="3032" spans="1:36" ht="12.75" customHeight="1">
      <c r="A3032" s="94">
        <v>43343</v>
      </c>
      <c r="B3032" s="358" t="s">
        <v>273</v>
      </c>
      <c r="C3032" s="358" t="s">
        <v>389</v>
      </c>
      <c r="D3032" s="93">
        <v>1006.35</v>
      </c>
      <c r="E3032" s="95"/>
      <c r="F3032" s="93"/>
      <c r="G3032" s="93"/>
      <c r="H3032" s="93"/>
      <c r="I3032" s="93"/>
      <c r="K3032" s="93"/>
      <c r="L3032" s="93">
        <f t="shared" si="387"/>
        <v>0</v>
      </c>
      <c r="M3032" s="95" t="e">
        <f t="shared" ca="1" si="388"/>
        <v>#DIV/0!</v>
      </c>
      <c r="N3032" s="95">
        <f>IF(P3032="Hedge Fund",IF(A3032=Summary!$AD$3,M3032-E3032,M3032),IF(A3032=Summary!$AD$3,L3032-D3032,L3032))</f>
        <v>0</v>
      </c>
      <c r="O3032" s="95">
        <f t="shared" si="389"/>
        <v>0</v>
      </c>
      <c r="P3032" s="107" t="s">
        <v>155</v>
      </c>
      <c r="Q3032" s="95">
        <v>0</v>
      </c>
      <c r="R3032" s="95">
        <v>0</v>
      </c>
      <c r="S3032" s="95"/>
      <c r="T3032" s="95"/>
      <c r="U3032" s="95"/>
      <c r="V3032" s="95"/>
      <c r="W3032" s="95"/>
      <c r="X3032" s="95"/>
      <c r="Y3032" s="95"/>
      <c r="Z3032" s="95"/>
      <c r="AA3032" s="95"/>
      <c r="AB3032" s="95"/>
      <c r="AC3032" s="355"/>
      <c r="AD3032" s="355"/>
      <c r="AE3032" s="355"/>
      <c r="AF3032" s="94">
        <f t="shared" si="390"/>
        <v>43343</v>
      </c>
      <c r="AG3032" s="185" t="e">
        <f t="shared" si="393"/>
        <v>#DIV/0!</v>
      </c>
      <c r="AH3032" s="339" t="str">
        <f>VLOOKUP(B3032,'MF PF'!A:B,2)</f>
        <v>FdMgt1</v>
      </c>
      <c r="AI3032" s="358">
        <f t="shared" si="391"/>
        <v>0</v>
      </c>
      <c r="AJ3032" s="94">
        <f t="shared" si="392"/>
        <v>43343</v>
      </c>
    </row>
    <row r="3033" spans="1:36" ht="12.75" customHeight="1">
      <c r="A3033" s="94">
        <v>43369</v>
      </c>
      <c r="B3033" s="358" t="s">
        <v>273</v>
      </c>
      <c r="C3033" s="358" t="s">
        <v>389</v>
      </c>
      <c r="D3033" s="93"/>
      <c r="E3033" s="95"/>
      <c r="F3033" s="93"/>
      <c r="G3033" s="93">
        <v>137.86000000000001</v>
      </c>
      <c r="H3033" s="93"/>
      <c r="I3033" s="93"/>
      <c r="K3033" s="93"/>
      <c r="L3033" s="93">
        <f t="shared" si="387"/>
        <v>137.86000000000001</v>
      </c>
      <c r="M3033" s="95" t="e">
        <f t="shared" ca="1" si="388"/>
        <v>#DIV/0!</v>
      </c>
      <c r="N3033" s="95">
        <f>IF(P3033="Hedge Fund",IF(A3033=Summary!$AD$3,M3033-E3033,M3033),IF(A3033=Summary!$AD$3,L3033-D3033,L3033))</f>
        <v>137.86000000000001</v>
      </c>
      <c r="O3033" s="95">
        <f t="shared" si="389"/>
        <v>137.86000000000001</v>
      </c>
      <c r="P3033" s="107" t="s">
        <v>155</v>
      </c>
      <c r="Q3033" s="95">
        <v>0</v>
      </c>
      <c r="R3033" s="95">
        <v>0</v>
      </c>
      <c r="S3033" s="95"/>
      <c r="T3033" s="95"/>
      <c r="U3033" s="95"/>
      <c r="V3033" s="95"/>
      <c r="W3033" s="95"/>
      <c r="X3033" s="95"/>
      <c r="Y3033" s="95"/>
      <c r="Z3033" s="95"/>
      <c r="AA3033" s="95"/>
      <c r="AB3033" s="95"/>
      <c r="AC3033" s="355"/>
      <c r="AD3033" s="355"/>
      <c r="AE3033" s="355"/>
      <c r="AF3033" s="94">
        <f t="shared" si="390"/>
        <v>43369</v>
      </c>
      <c r="AG3033" s="185">
        <f t="shared" si="393"/>
        <v>-1.1369901127838227</v>
      </c>
      <c r="AH3033" s="339" t="str">
        <f>VLOOKUP(B3033,'MF PF'!A:B,2)</f>
        <v>FdMgt1</v>
      </c>
      <c r="AI3033" s="358">
        <f t="shared" si="391"/>
        <v>0</v>
      </c>
      <c r="AJ3033" s="94">
        <f t="shared" si="392"/>
        <v>43373</v>
      </c>
    </row>
    <row r="3034" spans="1:36" ht="12.75" customHeight="1">
      <c r="A3034" s="94">
        <v>43371</v>
      </c>
      <c r="B3034" s="358" t="s">
        <v>273</v>
      </c>
      <c r="C3034" s="358" t="s">
        <v>389</v>
      </c>
      <c r="D3034" s="93">
        <v>831.1</v>
      </c>
      <c r="E3034" s="95"/>
      <c r="F3034" s="93"/>
      <c r="G3034" s="93"/>
      <c r="H3034" s="93"/>
      <c r="I3034" s="93"/>
      <c r="K3034" s="93"/>
      <c r="L3034" s="93">
        <f t="shared" si="387"/>
        <v>0</v>
      </c>
      <c r="M3034" s="95" t="e">
        <f t="shared" ca="1" si="388"/>
        <v>#DIV/0!</v>
      </c>
      <c r="N3034" s="95">
        <f>IF(P3034="Hedge Fund",IF(A3034=Summary!$AD$3,M3034-E3034,M3034),IF(A3034=Summary!$AD$3,L3034-D3034,L3034))</f>
        <v>0</v>
      </c>
      <c r="O3034" s="95">
        <f t="shared" si="389"/>
        <v>0</v>
      </c>
      <c r="P3034" s="107" t="s">
        <v>155</v>
      </c>
      <c r="Q3034" s="95">
        <v>0</v>
      </c>
      <c r="R3034" s="95">
        <v>0</v>
      </c>
      <c r="S3034" s="95"/>
      <c r="T3034" s="95"/>
      <c r="U3034" s="95"/>
      <c r="V3034" s="95"/>
      <c r="W3034" s="95"/>
      <c r="X3034" s="95"/>
      <c r="Y3034" s="95"/>
      <c r="Z3034" s="95"/>
      <c r="AA3034" s="95"/>
      <c r="AB3034" s="95"/>
      <c r="AC3034" s="355"/>
      <c r="AD3034" s="355"/>
      <c r="AE3034" s="355"/>
      <c r="AF3034" s="94">
        <f t="shared" si="390"/>
        <v>43371</v>
      </c>
      <c r="AG3034" s="185" t="e">
        <f t="shared" si="393"/>
        <v>#DIV/0!</v>
      </c>
      <c r="AH3034" s="339" t="str">
        <f>VLOOKUP(B3034,'MF PF'!A:B,2)</f>
        <v>FdMgt1</v>
      </c>
      <c r="AI3034" s="358">
        <f t="shared" si="391"/>
        <v>0</v>
      </c>
      <c r="AJ3034" s="94">
        <f t="shared" si="392"/>
        <v>43373</v>
      </c>
    </row>
    <row r="3035" spans="1:36" ht="12.75" customHeight="1">
      <c r="A3035" s="94">
        <v>43404</v>
      </c>
      <c r="B3035" s="358" t="s">
        <v>273</v>
      </c>
      <c r="C3035" s="358" t="s">
        <v>389</v>
      </c>
      <c r="D3035" s="93">
        <v>959.43</v>
      </c>
      <c r="E3035" s="95"/>
      <c r="F3035" s="93">
        <v>1E-3</v>
      </c>
      <c r="G3035" s="93">
        <v>80.900000000000034</v>
      </c>
      <c r="H3035" s="93">
        <v>0</v>
      </c>
      <c r="I3035" s="93">
        <v>0</v>
      </c>
      <c r="J3035" s="93">
        <v>0</v>
      </c>
      <c r="K3035" s="93"/>
      <c r="L3035" s="93">
        <f t="shared" si="387"/>
        <v>80.900000000000034</v>
      </c>
      <c r="M3035" s="95" t="e">
        <f t="shared" ca="1" si="388"/>
        <v>#DIV/0!</v>
      </c>
      <c r="N3035" s="95">
        <f>IF(P3035="Hedge Fund",IF(A3035=Summary!$AD$3,M3035-E3035,M3035),IF(A3035=Summary!$AD$3,L3035-D3035,L3035))</f>
        <v>80.900000000000034</v>
      </c>
      <c r="O3035" s="95">
        <f t="shared" si="389"/>
        <v>80.900000000000034</v>
      </c>
      <c r="P3035" s="95" t="s">
        <v>155</v>
      </c>
      <c r="Q3035" s="95">
        <v>0</v>
      </c>
      <c r="R3035" s="95">
        <v>0</v>
      </c>
      <c r="S3035" s="95"/>
      <c r="T3035" s="95"/>
      <c r="U3035" s="95"/>
      <c r="V3035" s="95"/>
      <c r="W3035" s="95"/>
      <c r="X3035" s="95"/>
      <c r="Y3035" s="95"/>
      <c r="Z3035" s="95"/>
      <c r="AA3035" s="95"/>
      <c r="AB3035" s="95"/>
      <c r="AC3035" s="355"/>
      <c r="AD3035" s="355"/>
      <c r="AE3035" s="355"/>
      <c r="AF3035" s="94">
        <f t="shared" si="390"/>
        <v>43404</v>
      </c>
      <c r="AG3035" s="185">
        <f t="shared" si="393"/>
        <v>5.7068944771988761E-2</v>
      </c>
      <c r="AH3035" s="339" t="str">
        <f>VLOOKUP(B3035,'MF PF'!A:B,2)</f>
        <v>FdMgt1</v>
      </c>
      <c r="AI3035" s="358">
        <f t="shared" si="391"/>
        <v>0</v>
      </c>
      <c r="AJ3035" s="94">
        <f t="shared" si="392"/>
        <v>43404</v>
      </c>
    </row>
    <row r="3036" spans="1:36" ht="12.75" customHeight="1">
      <c r="A3036" s="94">
        <v>43432</v>
      </c>
      <c r="B3036" s="358" t="s">
        <v>273</v>
      </c>
      <c r="C3036" s="358" t="s">
        <v>389</v>
      </c>
      <c r="D3036" s="93"/>
      <c r="E3036" s="95"/>
      <c r="F3036" s="93"/>
      <c r="G3036" s="93">
        <v>86.94</v>
      </c>
      <c r="H3036" s="93">
        <v>0</v>
      </c>
      <c r="I3036" s="93">
        <v>0</v>
      </c>
      <c r="K3036" s="93">
        <v>0</v>
      </c>
      <c r="L3036" s="93">
        <f t="shared" si="387"/>
        <v>86.94</v>
      </c>
      <c r="M3036" s="95" t="e">
        <f t="shared" ca="1" si="388"/>
        <v>#DIV/0!</v>
      </c>
      <c r="N3036" s="95">
        <f>IF(P3036="Hedge Fund",IF(A3036=Summary!$AD$3,M3036-E3036,M3036),IF(A3036=Summary!$AD$3,L3036-D3036,L3036))</f>
        <v>86.94</v>
      </c>
      <c r="O3036" s="95">
        <f t="shared" si="389"/>
        <v>86.94</v>
      </c>
      <c r="P3036" s="95" t="s">
        <v>155</v>
      </c>
      <c r="Q3036" s="95"/>
      <c r="R3036" s="95"/>
      <c r="S3036" s="95"/>
      <c r="T3036" s="95"/>
      <c r="U3036" s="95"/>
      <c r="V3036" s="95"/>
      <c r="W3036" s="95"/>
      <c r="X3036" s="95"/>
      <c r="Y3036" s="95"/>
      <c r="Z3036" s="95"/>
      <c r="AA3036" s="95"/>
      <c r="AB3036" s="95"/>
      <c r="AC3036" s="355"/>
      <c r="AD3036" s="355"/>
      <c r="AE3036" s="355"/>
      <c r="AF3036" s="94">
        <f t="shared" si="390"/>
        <v>43432</v>
      </c>
      <c r="AG3036" s="185">
        <f t="shared" si="393"/>
        <v>-1.0906163034301617</v>
      </c>
      <c r="AH3036" s="339" t="str">
        <f>VLOOKUP(B3036,'MF PF'!A:B,2)</f>
        <v>FdMgt1</v>
      </c>
      <c r="AI3036" s="358">
        <f t="shared" si="391"/>
        <v>0</v>
      </c>
      <c r="AJ3036" s="94">
        <f t="shared" si="392"/>
        <v>43434</v>
      </c>
    </row>
    <row r="3037" spans="1:36" ht="12.75" customHeight="1">
      <c r="A3037" s="94">
        <v>43434</v>
      </c>
      <c r="B3037" s="358" t="s">
        <v>273</v>
      </c>
      <c r="C3037" s="358" t="s">
        <v>389</v>
      </c>
      <c r="D3037" s="93">
        <v>1004.79</v>
      </c>
      <c r="E3037" s="95"/>
      <c r="F3037" s="93">
        <v>1E-3</v>
      </c>
      <c r="G3037" s="93"/>
      <c r="H3037" s="93">
        <v>0</v>
      </c>
      <c r="I3037" s="93">
        <v>0</v>
      </c>
      <c r="K3037" s="93">
        <v>0</v>
      </c>
      <c r="L3037" s="93">
        <f t="shared" si="387"/>
        <v>0</v>
      </c>
      <c r="M3037" s="95" t="e">
        <f t="shared" ca="1" si="388"/>
        <v>#DIV/0!</v>
      </c>
      <c r="N3037" s="95">
        <f>IF(P3037="Hedge Fund",IF(A3037=Summary!$AD$3,M3037-E3037,M3037),IF(A3037=Summary!$AD$3,L3037-D3037,L3037))</f>
        <v>0</v>
      </c>
      <c r="O3037" s="95">
        <f t="shared" si="389"/>
        <v>0</v>
      </c>
      <c r="P3037" s="95" t="s">
        <v>155</v>
      </c>
      <c r="Q3037" s="95">
        <v>2.6268679999999999E-2</v>
      </c>
      <c r="R3037" s="95">
        <v>0</v>
      </c>
      <c r="S3037" s="95"/>
      <c r="T3037" s="95"/>
      <c r="U3037" s="95"/>
      <c r="V3037" s="95"/>
      <c r="W3037" s="95"/>
      <c r="X3037" s="95"/>
      <c r="Y3037" s="95"/>
      <c r="Z3037" s="95"/>
      <c r="AA3037" s="95"/>
      <c r="AB3037" s="95"/>
      <c r="AC3037" s="355"/>
      <c r="AD3037" s="355"/>
      <c r="AE3037" s="355"/>
      <c r="AF3037" s="94">
        <f t="shared" si="390"/>
        <v>43434</v>
      </c>
      <c r="AG3037" s="185" t="e">
        <f t="shared" si="393"/>
        <v>#DIV/0!</v>
      </c>
      <c r="AH3037" s="339" t="str">
        <f>VLOOKUP(B3037,'MF PF'!A:B,2)</f>
        <v>FdMgt1</v>
      </c>
      <c r="AI3037" s="358">
        <f t="shared" si="391"/>
        <v>0</v>
      </c>
      <c r="AJ3037" s="94">
        <f t="shared" si="392"/>
        <v>43434</v>
      </c>
    </row>
    <row r="3038" spans="1:36" ht="12.75" customHeight="1">
      <c r="A3038" s="94">
        <v>43465</v>
      </c>
      <c r="B3038" s="358" t="s">
        <v>273</v>
      </c>
      <c r="C3038" s="358" t="s">
        <v>389</v>
      </c>
      <c r="D3038" s="369">
        <v>1011.35</v>
      </c>
      <c r="E3038" s="95"/>
      <c r="F3038" s="93">
        <v>1E-3</v>
      </c>
      <c r="G3038" s="93"/>
      <c r="H3038" s="93">
        <v>0</v>
      </c>
      <c r="I3038" s="93">
        <v>0</v>
      </c>
      <c r="K3038" s="93">
        <v>0</v>
      </c>
      <c r="L3038" s="93">
        <f t="shared" si="387"/>
        <v>0</v>
      </c>
      <c r="M3038" s="95" t="e">
        <f t="shared" ca="1" si="388"/>
        <v>#DIV/0!</v>
      </c>
      <c r="N3038" s="95">
        <f>IF(P3038="Hedge Fund",IF(A3038=Summary!$AD$3,M3038-E3038,M3038),IF(A3038=Summary!$AD$3,L3038-D3038,L3038))</f>
        <v>0</v>
      </c>
      <c r="O3038" s="95">
        <f t="shared" si="389"/>
        <v>0</v>
      </c>
      <c r="P3038" s="95" t="s">
        <v>155</v>
      </c>
      <c r="Q3038" s="95">
        <v>-1.0113456388293333E-3</v>
      </c>
      <c r="R3038" s="95">
        <v>0</v>
      </c>
      <c r="S3038" s="95"/>
      <c r="T3038" s="95"/>
      <c r="U3038" s="95"/>
      <c r="V3038" s="95"/>
      <c r="W3038" s="95"/>
      <c r="X3038" s="95"/>
      <c r="Y3038" s="95"/>
      <c r="Z3038" s="95"/>
      <c r="AA3038" s="95"/>
      <c r="AB3038" s="95"/>
      <c r="AC3038" s="355"/>
      <c r="AD3038" s="355"/>
      <c r="AE3038" s="355"/>
      <c r="AF3038" s="94">
        <f t="shared" si="390"/>
        <v>43465</v>
      </c>
      <c r="AG3038" s="185">
        <f t="shared" si="393"/>
        <v>6.5287273957743697E-3</v>
      </c>
      <c r="AH3038" s="339" t="str">
        <f>VLOOKUP(B3038,'MF PF'!A:B,2)</f>
        <v>FdMgt1</v>
      </c>
      <c r="AI3038" s="358">
        <f t="shared" si="391"/>
        <v>0</v>
      </c>
      <c r="AJ3038" s="94">
        <f t="shared" si="392"/>
        <v>43465</v>
      </c>
    </row>
    <row r="3039" spans="1:36" ht="12.75" customHeight="1">
      <c r="A3039" s="94">
        <v>43496</v>
      </c>
      <c r="B3039" s="358" t="s">
        <v>273</v>
      </c>
      <c r="C3039" s="358" t="s">
        <v>389</v>
      </c>
      <c r="D3039" s="93">
        <v>1028.4100000000001</v>
      </c>
      <c r="E3039" s="95"/>
      <c r="F3039" s="93">
        <v>9.9054568777712498E-4</v>
      </c>
      <c r="G3039" s="93"/>
      <c r="H3039" s="93">
        <v>0</v>
      </c>
      <c r="I3039" s="93">
        <v>0</v>
      </c>
      <c r="K3039" s="93">
        <v>0</v>
      </c>
      <c r="L3039" s="93">
        <f t="shared" si="387"/>
        <v>0</v>
      </c>
      <c r="M3039" s="95" t="e">
        <f t="shared" ca="1" si="388"/>
        <v>#DIV/0!</v>
      </c>
      <c r="N3039" s="95">
        <f>IF(P3039="Hedge Fund",IF(A3039=Summary!$AD$3,M3039-E3039,M3039),IF(A3039=Summary!$AD$3,L3039-D3039,L3039))</f>
        <v>-1028.4100000000001</v>
      </c>
      <c r="O3039" s="95"/>
      <c r="P3039" s="95" t="s">
        <v>155</v>
      </c>
      <c r="Q3039" s="95">
        <v>0</v>
      </c>
      <c r="R3039" s="95">
        <v>0</v>
      </c>
      <c r="S3039" s="95"/>
      <c r="T3039" s="95"/>
      <c r="U3039" s="95"/>
      <c r="V3039" s="95"/>
      <c r="W3039" s="95"/>
      <c r="X3039" s="95"/>
      <c r="Y3039" s="95"/>
      <c r="Z3039" s="95"/>
      <c r="AA3039" s="95"/>
      <c r="AB3039" s="95"/>
      <c r="AC3039" s="355"/>
      <c r="AD3039" s="355"/>
      <c r="AE3039" s="355"/>
      <c r="AF3039" s="94">
        <f t="shared" si="390"/>
        <v>43496</v>
      </c>
      <c r="AG3039" s="185">
        <f t="shared" si="393"/>
        <v>1.6868542047757895E-2</v>
      </c>
      <c r="AH3039" s="339" t="str">
        <f>VLOOKUP(B3039,'MF PF'!A:B,2)</f>
        <v>FdMgt1</v>
      </c>
      <c r="AI3039" s="358">
        <f t="shared" si="391"/>
        <v>0</v>
      </c>
      <c r="AJ3039" s="94">
        <f t="shared" si="392"/>
        <v>43496</v>
      </c>
    </row>
    <row r="3040" spans="1:36" ht="12.75" customHeight="1">
      <c r="A3040" s="94">
        <v>43404</v>
      </c>
      <c r="B3040" s="358" t="s">
        <v>273</v>
      </c>
      <c r="C3040" s="358" t="s">
        <v>419</v>
      </c>
      <c r="D3040" s="93">
        <f>440117.18/2</f>
        <v>220058.59</v>
      </c>
      <c r="E3040" s="95"/>
      <c r="F3040" s="93">
        <f>0.5/2</f>
        <v>0.25</v>
      </c>
      <c r="G3040" s="93"/>
      <c r="H3040" s="93"/>
      <c r="I3040" s="93"/>
      <c r="K3040" s="93"/>
      <c r="L3040" s="93">
        <f t="shared" si="387"/>
        <v>0</v>
      </c>
      <c r="M3040" s="95">
        <f t="shared" ca="1" si="388"/>
        <v>0</v>
      </c>
      <c r="N3040" s="95">
        <f>IF(P3040="Hedge Fund",IF(A3040=Summary!$AD$3,M3040-E3040,M3040),IF(A3040=Summary!$AD$3,L3040-D3040,L3040))</f>
        <v>0</v>
      </c>
      <c r="O3040" s="95">
        <f t="shared" ref="O3040:O3057" si="394">N3040</f>
        <v>0</v>
      </c>
      <c r="P3040" s="95" t="s">
        <v>155</v>
      </c>
      <c r="Q3040" s="95">
        <v>9.7261236144949824E-4</v>
      </c>
      <c r="R3040" s="95">
        <v>0</v>
      </c>
      <c r="S3040" s="95"/>
      <c r="T3040" s="95"/>
      <c r="U3040" s="95"/>
      <c r="V3040" s="95"/>
      <c r="W3040" s="95"/>
      <c r="X3040" s="95"/>
      <c r="Y3040" s="95"/>
      <c r="Z3040" s="95"/>
      <c r="AA3040" s="95"/>
      <c r="AB3040" s="95"/>
      <c r="AC3040" s="355"/>
      <c r="AD3040" s="355"/>
      <c r="AE3040" s="355"/>
      <c r="AF3040" s="94">
        <f t="shared" si="390"/>
        <v>43404</v>
      </c>
      <c r="AG3040" s="185" t="e">
        <f t="shared" si="393"/>
        <v>#DIV/0!</v>
      </c>
      <c r="AH3040" s="339" t="str">
        <f>VLOOKUP(B3040,'MF PF'!A:B,2)</f>
        <v>FdMgt1</v>
      </c>
      <c r="AI3040" s="358">
        <f t="shared" si="391"/>
        <v>0</v>
      </c>
      <c r="AJ3040" s="94">
        <f t="shared" si="392"/>
        <v>43404</v>
      </c>
    </row>
    <row r="3041" spans="1:36" ht="12.75" customHeight="1">
      <c r="A3041" s="94">
        <v>43404</v>
      </c>
      <c r="B3041" s="358" t="s">
        <v>273</v>
      </c>
      <c r="C3041" s="358" t="s">
        <v>419</v>
      </c>
      <c r="D3041" s="93"/>
      <c r="E3041" s="95"/>
      <c r="F3041" s="93">
        <f>0.5/2</f>
        <v>0.25</v>
      </c>
      <c r="G3041" s="93">
        <v>228249.255</v>
      </c>
      <c r="H3041" s="93"/>
      <c r="I3041" s="93"/>
      <c r="K3041" s="93"/>
      <c r="L3041" s="93">
        <f t="shared" si="387"/>
        <v>228249.255</v>
      </c>
      <c r="M3041" s="95">
        <f t="shared" ca="1" si="388"/>
        <v>0</v>
      </c>
      <c r="N3041" s="95">
        <f>IF(P3041="Hedge Fund",IF(A3041=Summary!$AD$3,M3041-E3041,M3041),IF(A3041=Summary!$AD$3,L3041-D3041,L3041))</f>
        <v>228249.255</v>
      </c>
      <c r="O3041" s="95">
        <f t="shared" si="394"/>
        <v>228249.255</v>
      </c>
      <c r="P3041" s="95" t="s">
        <v>155</v>
      </c>
      <c r="Q3041" s="95"/>
      <c r="R3041" s="95">
        <v>0</v>
      </c>
      <c r="S3041" s="95"/>
      <c r="T3041" s="95"/>
      <c r="U3041" s="95"/>
      <c r="V3041" s="95"/>
      <c r="W3041" s="95"/>
      <c r="X3041" s="95"/>
      <c r="Y3041" s="95"/>
      <c r="Z3041" s="95"/>
      <c r="AA3041" s="95"/>
      <c r="AB3041" s="95"/>
      <c r="AC3041" s="355"/>
      <c r="AD3041" s="355"/>
      <c r="AE3041" s="355"/>
      <c r="AF3041" s="94">
        <f t="shared" si="390"/>
        <v>43404</v>
      </c>
      <c r="AG3041" s="185">
        <f t="shared" si="393"/>
        <v>-2.0372203829898208</v>
      </c>
      <c r="AH3041" s="339" t="str">
        <f>VLOOKUP(B3041,'MF PF'!A:B,2)</f>
        <v>FdMgt1</v>
      </c>
      <c r="AI3041" s="358">
        <f t="shared" si="391"/>
        <v>0</v>
      </c>
      <c r="AJ3041" s="94">
        <f t="shared" si="392"/>
        <v>43404</v>
      </c>
    </row>
    <row r="3042" spans="1:36" ht="12.75" customHeight="1">
      <c r="A3042" s="94">
        <v>43432</v>
      </c>
      <c r="B3042" s="358" t="s">
        <v>273</v>
      </c>
      <c r="C3042" s="358" t="s">
        <v>419</v>
      </c>
      <c r="D3042" s="93"/>
      <c r="E3042" s="95"/>
      <c r="F3042" s="93">
        <f>0.5/2</f>
        <v>0.25</v>
      </c>
      <c r="G3042" s="93">
        <v>21750.744999999999</v>
      </c>
      <c r="H3042" s="93"/>
      <c r="I3042" s="93"/>
      <c r="K3042" s="93"/>
      <c r="L3042" s="93">
        <f t="shared" si="387"/>
        <v>21750.744999999999</v>
      </c>
      <c r="M3042" s="95" t="e">
        <f t="shared" ca="1" si="388"/>
        <v>#DIV/0!</v>
      </c>
      <c r="N3042" s="95">
        <f>IF(P3042="Hedge Fund",IF(A3042=Summary!$AD$3,M3042-E3042,M3042),IF(A3042=Summary!$AD$3,L3042-D3042,L3042))</f>
        <v>21750.744999999999</v>
      </c>
      <c r="O3042" s="95">
        <f t="shared" si="394"/>
        <v>21750.744999999999</v>
      </c>
      <c r="P3042" s="95" t="s">
        <v>155</v>
      </c>
      <c r="Q3042" s="95"/>
      <c r="R3042" s="95"/>
      <c r="S3042" s="95"/>
      <c r="T3042" s="95"/>
      <c r="U3042" s="95"/>
      <c r="V3042" s="95"/>
      <c r="W3042" s="95"/>
      <c r="X3042" s="95"/>
      <c r="Y3042" s="95"/>
      <c r="Z3042" s="95"/>
      <c r="AA3042" s="95"/>
      <c r="AB3042" s="95"/>
      <c r="AC3042" s="355"/>
      <c r="AD3042" s="355"/>
      <c r="AE3042" s="355"/>
      <c r="AF3042" s="94">
        <f t="shared" si="390"/>
        <v>43432</v>
      </c>
      <c r="AG3042" s="185" t="e">
        <f t="shared" si="393"/>
        <v>#DIV/0!</v>
      </c>
      <c r="AH3042" s="339" t="str">
        <f>VLOOKUP(B3042,'MF PF'!A:B,2)</f>
        <v>FdMgt1</v>
      </c>
      <c r="AI3042" s="358">
        <f t="shared" si="391"/>
        <v>0</v>
      </c>
      <c r="AJ3042" s="94">
        <f t="shared" si="392"/>
        <v>43434</v>
      </c>
    </row>
    <row r="3043" spans="1:36" ht="12.75" customHeight="1">
      <c r="A3043" s="94">
        <v>43434</v>
      </c>
      <c r="B3043" s="358" t="s">
        <v>273</v>
      </c>
      <c r="C3043" s="358" t="s">
        <v>419</v>
      </c>
      <c r="D3043" s="93">
        <v>252995.91</v>
      </c>
      <c r="E3043" s="95"/>
      <c r="F3043" s="93">
        <f>0.5/2</f>
        <v>0.25</v>
      </c>
      <c r="G3043" s="93"/>
      <c r="H3043" s="93"/>
      <c r="I3043" s="93"/>
      <c r="K3043" s="93"/>
      <c r="L3043" s="93">
        <f t="shared" si="387"/>
        <v>0</v>
      </c>
      <c r="M3043" s="95" t="e">
        <f t="shared" ca="1" si="388"/>
        <v>#DIV/0!</v>
      </c>
      <c r="N3043" s="95">
        <f>IF(P3043="Hedge Fund",IF(A3043=Summary!$AD$3,M3043-E3043,M3043),IF(A3043=Summary!$AD$3,L3043-D3043,L3043))</f>
        <v>0</v>
      </c>
      <c r="O3043" s="95">
        <f t="shared" si="394"/>
        <v>0</v>
      </c>
      <c r="P3043" s="95" t="s">
        <v>155</v>
      </c>
      <c r="Q3043" s="95">
        <v>6.5672000000000007E-4</v>
      </c>
      <c r="R3043" s="95">
        <v>0</v>
      </c>
      <c r="S3043" s="95"/>
      <c r="T3043" s="95"/>
      <c r="U3043" s="95"/>
      <c r="V3043" s="95"/>
      <c r="W3043" s="95"/>
      <c r="X3043" s="95"/>
      <c r="Y3043" s="95"/>
      <c r="Z3043" s="95"/>
      <c r="AA3043" s="95"/>
      <c r="AB3043" s="95"/>
      <c r="AC3043" s="355"/>
      <c r="AD3043" s="355"/>
      <c r="AE3043" s="355"/>
      <c r="AF3043" s="94">
        <f t="shared" si="390"/>
        <v>43434</v>
      </c>
      <c r="AG3043" s="185" t="e">
        <f t="shared" si="393"/>
        <v>#DIV/0!</v>
      </c>
      <c r="AH3043" s="339" t="str">
        <f>VLOOKUP(B3043,'MF PF'!A:B,2)</f>
        <v>FdMgt1</v>
      </c>
      <c r="AI3043" s="358">
        <f t="shared" si="391"/>
        <v>0</v>
      </c>
      <c r="AJ3043" s="94">
        <f t="shared" si="392"/>
        <v>43434</v>
      </c>
    </row>
    <row r="3044" spans="1:36" ht="12.75" customHeight="1">
      <c r="A3044" s="94">
        <v>43465</v>
      </c>
      <c r="B3044" s="358" t="s">
        <v>273</v>
      </c>
      <c r="C3044" s="358" t="s">
        <v>419</v>
      </c>
      <c r="D3044" s="373">
        <v>251098.59950000001</v>
      </c>
      <c r="E3044" s="95"/>
      <c r="F3044" s="93">
        <v>0.25</v>
      </c>
      <c r="G3044" s="93">
        <v>0</v>
      </c>
      <c r="H3044" s="93">
        <v>0</v>
      </c>
      <c r="I3044" s="93">
        <v>0</v>
      </c>
      <c r="K3044" s="93">
        <v>0</v>
      </c>
      <c r="L3044" s="93">
        <f t="shared" si="387"/>
        <v>0</v>
      </c>
      <c r="M3044" s="95" t="e">
        <f t="shared" ca="1" si="388"/>
        <v>#DIV/0!</v>
      </c>
      <c r="N3044" s="95">
        <f>IF(P3044="Hedge Fund",IF(A3044=Summary!$AD$3,M3044-E3044,M3044),IF(A3044=Summary!$AD$3,L3044-D3044,L3044))</f>
        <v>0</v>
      </c>
      <c r="O3044" s="95">
        <f t="shared" si="394"/>
        <v>0</v>
      </c>
      <c r="P3044" s="95" t="s">
        <v>155</v>
      </c>
      <c r="Q3044" s="95">
        <v>-0.25283723726060181</v>
      </c>
      <c r="R3044" s="95">
        <v>0</v>
      </c>
      <c r="S3044" s="95"/>
      <c r="T3044" s="95"/>
      <c r="U3044" s="95"/>
      <c r="V3044" s="95"/>
      <c r="W3044" s="95"/>
      <c r="X3044" s="95"/>
      <c r="Y3044" s="95"/>
      <c r="Z3044" s="95"/>
      <c r="AA3044" s="95"/>
      <c r="AB3044" s="95"/>
      <c r="AC3044" s="355"/>
      <c r="AD3044" s="355"/>
      <c r="AE3044" s="355"/>
      <c r="AF3044" s="94">
        <f t="shared" si="390"/>
        <v>43465</v>
      </c>
      <c r="AG3044" s="185">
        <f t="shared" si="393"/>
        <v>-7.4993722230528581E-3</v>
      </c>
      <c r="AH3044" s="339" t="str">
        <f>VLOOKUP(B3044,'MF PF'!A:B,2)</f>
        <v>FdMgt1</v>
      </c>
      <c r="AI3044" s="358">
        <f t="shared" si="391"/>
        <v>0</v>
      </c>
      <c r="AJ3044" s="94">
        <f t="shared" si="392"/>
        <v>43465</v>
      </c>
    </row>
    <row r="3045" spans="1:36" ht="12.75" customHeight="1">
      <c r="A3045" s="94">
        <v>43496</v>
      </c>
      <c r="B3045" s="358" t="s">
        <v>273</v>
      </c>
      <c r="C3045" s="358" t="s">
        <v>419</v>
      </c>
      <c r="D3045" s="93">
        <v>256455.2825</v>
      </c>
      <c r="E3045" s="95"/>
      <c r="F3045" s="93">
        <v>0.25</v>
      </c>
      <c r="G3045" s="93">
        <v>0</v>
      </c>
      <c r="H3045" s="93">
        <v>0</v>
      </c>
      <c r="I3045" s="93">
        <v>0</v>
      </c>
      <c r="K3045" s="93">
        <v>0</v>
      </c>
      <c r="L3045" s="93">
        <f t="shared" si="387"/>
        <v>0</v>
      </c>
      <c r="M3045" s="95" t="e">
        <f t="shared" ca="1" si="388"/>
        <v>#DIV/0!</v>
      </c>
      <c r="N3045" s="95">
        <f>IF(P3045="Hedge Fund",IF(A3045=Summary!$AD$3,M3045-E3045,M3045),IF(A3045=Summary!$AD$3,L3045-D3045,L3045))</f>
        <v>-256455.2825</v>
      </c>
      <c r="O3045" s="95">
        <f t="shared" si="394"/>
        <v>-256455.2825</v>
      </c>
      <c r="P3045" s="95" t="s">
        <v>155</v>
      </c>
      <c r="Q3045" s="95">
        <v>1.8731406469435186E-3</v>
      </c>
      <c r="R3045" s="95">
        <v>1.1391675000000016E-3</v>
      </c>
      <c r="S3045" s="95"/>
      <c r="T3045" s="95"/>
      <c r="U3045" s="95"/>
      <c r="V3045" s="95"/>
      <c r="W3045" s="95"/>
      <c r="X3045" s="95"/>
      <c r="Y3045" s="95"/>
      <c r="Z3045" s="95"/>
      <c r="AA3045" s="95"/>
      <c r="AB3045" s="95"/>
      <c r="AC3045" s="355"/>
      <c r="AD3045" s="355"/>
      <c r="AE3045" s="355"/>
      <c r="AF3045" s="94">
        <f t="shared" si="390"/>
        <v>43496</v>
      </c>
      <c r="AG3045" s="185">
        <f>IF(C3045&lt;&gt;C3043,D3045/G3045-1,(D3045-G3045-I3045-H3045)/(D3043)-1)</f>
        <v>1.3673630138921977E-2</v>
      </c>
      <c r="AH3045" s="339" t="str">
        <f>VLOOKUP(B3045,'MF PF'!A:B,2)</f>
        <v>FdMgt1</v>
      </c>
      <c r="AI3045" s="358">
        <f t="shared" si="391"/>
        <v>0</v>
      </c>
      <c r="AJ3045" s="94">
        <f t="shared" si="392"/>
        <v>43496</v>
      </c>
    </row>
    <row r="3046" spans="1:36" ht="12.75" customHeight="1">
      <c r="A3046" s="94">
        <v>43404</v>
      </c>
      <c r="B3046" s="358" t="s">
        <v>273</v>
      </c>
      <c r="C3046" s="358" t="s">
        <v>418</v>
      </c>
      <c r="D3046" s="93">
        <f>440117.18/2</f>
        <v>220058.59</v>
      </c>
      <c r="E3046" s="95"/>
      <c r="F3046" s="93">
        <f>0.5/2</f>
        <v>0.25</v>
      </c>
      <c r="G3046" s="93"/>
      <c r="H3046" s="93"/>
      <c r="I3046" s="93"/>
      <c r="K3046" s="93"/>
      <c r="L3046" s="93">
        <f t="shared" si="387"/>
        <v>0</v>
      </c>
      <c r="M3046" s="95">
        <f t="shared" ca="1" si="388"/>
        <v>0</v>
      </c>
      <c r="N3046" s="95">
        <f>IF(P3046="Hedge Fund",IF(A3046=Summary!$AD$3,M3046-E3046,M3046),IF(A3046=Summary!$AD$3,L3046-D3046,L3046))</f>
        <v>0</v>
      </c>
      <c r="O3046" s="95">
        <f t="shared" si="394"/>
        <v>0</v>
      </c>
      <c r="P3046" s="95" t="s">
        <v>155</v>
      </c>
      <c r="Q3046" s="95">
        <v>9.7261236144949824E-4</v>
      </c>
      <c r="R3046" s="95">
        <v>0</v>
      </c>
      <c r="S3046" s="95"/>
      <c r="T3046" s="95"/>
      <c r="U3046" s="95"/>
      <c r="V3046" s="95"/>
      <c r="W3046" s="95"/>
      <c r="X3046" s="95"/>
      <c r="Y3046" s="95"/>
      <c r="Z3046" s="95"/>
      <c r="AA3046" s="95"/>
      <c r="AB3046" s="95"/>
      <c r="AC3046" s="355"/>
      <c r="AD3046" s="355"/>
      <c r="AE3046" s="355"/>
      <c r="AF3046" s="94">
        <f t="shared" si="390"/>
        <v>43404</v>
      </c>
      <c r="AG3046" s="185" t="e">
        <f t="shared" ref="AG3046:AG3077" si="395">IF(C3046&lt;&gt;C3045,D3046/G3046-1,(D3046-G3046-I3046-H3046)/(D3045)-1)</f>
        <v>#DIV/0!</v>
      </c>
      <c r="AH3046" s="339" t="str">
        <f>VLOOKUP(B3046,'MF PF'!A:B,2)</f>
        <v>FdMgt1</v>
      </c>
      <c r="AI3046" s="358">
        <f t="shared" si="391"/>
        <v>0</v>
      </c>
      <c r="AJ3046" s="94">
        <f t="shared" si="392"/>
        <v>43404</v>
      </c>
    </row>
    <row r="3047" spans="1:36" ht="12.75" customHeight="1">
      <c r="A3047" s="94">
        <v>43404</v>
      </c>
      <c r="B3047" s="358" t="s">
        <v>273</v>
      </c>
      <c r="C3047" s="358" t="s">
        <v>418</v>
      </c>
      <c r="D3047" s="93"/>
      <c r="F3047" s="93">
        <v>0.25</v>
      </c>
      <c r="G3047" s="93">
        <v>228249.255</v>
      </c>
      <c r="H3047" s="93"/>
      <c r="I3047" s="93"/>
      <c r="L3047" s="93">
        <f t="shared" si="387"/>
        <v>228249.255</v>
      </c>
      <c r="M3047" s="95">
        <f t="shared" ca="1" si="388"/>
        <v>0</v>
      </c>
      <c r="N3047" s="95">
        <f>IF(P3047="Hedge Fund",IF(A3047=Summary!$AD$3,M3047-E3047,M3047),IF(A3047=Summary!$AD$3,L3047-D3047,L3047))</f>
        <v>228249.255</v>
      </c>
      <c r="O3047" s="95">
        <f t="shared" si="394"/>
        <v>228249.255</v>
      </c>
      <c r="P3047" s="95" t="s">
        <v>155</v>
      </c>
      <c r="Q3047" s="95"/>
      <c r="R3047" s="95">
        <v>0</v>
      </c>
      <c r="S3047" s="95"/>
      <c r="T3047" s="95"/>
      <c r="U3047" s="95"/>
      <c r="V3047" s="95"/>
      <c r="W3047" s="95"/>
      <c r="X3047" s="95"/>
      <c r="Y3047" s="95"/>
      <c r="Z3047" s="95"/>
      <c r="AA3047" s="95"/>
      <c r="AB3047" s="95"/>
      <c r="AC3047" s="355"/>
      <c r="AD3047" s="355"/>
      <c r="AE3047" s="355"/>
      <c r="AF3047" s="94">
        <f t="shared" si="390"/>
        <v>43404</v>
      </c>
      <c r="AG3047" s="185">
        <f t="shared" si="395"/>
        <v>-2.0372203829898208</v>
      </c>
      <c r="AH3047" s="339" t="str">
        <f>VLOOKUP(B3047,'MF PF'!A:B,2)</f>
        <v>FdMgt1</v>
      </c>
      <c r="AI3047" s="358">
        <f t="shared" si="391"/>
        <v>0</v>
      </c>
      <c r="AJ3047" s="94">
        <f t="shared" si="392"/>
        <v>43404</v>
      </c>
    </row>
    <row r="3048" spans="1:36" ht="12.75" customHeight="1">
      <c r="A3048" s="94">
        <v>43432</v>
      </c>
      <c r="B3048" s="358" t="s">
        <v>273</v>
      </c>
      <c r="C3048" s="358" t="s">
        <v>418</v>
      </c>
      <c r="D3048" s="93"/>
      <c r="F3048" s="93">
        <f>0.5/2</f>
        <v>0.25</v>
      </c>
      <c r="G3048" s="93">
        <v>21750.744999999999</v>
      </c>
      <c r="H3048" s="93"/>
      <c r="I3048" s="93"/>
      <c r="L3048" s="93">
        <f t="shared" si="387"/>
        <v>21750.744999999999</v>
      </c>
      <c r="M3048" s="95" t="e">
        <f t="shared" ca="1" si="388"/>
        <v>#DIV/0!</v>
      </c>
      <c r="N3048" s="95">
        <f>IF(P3048="Hedge Fund",IF(A3048=Summary!$AD$3,M3048-E3048,M3048),IF(A3048=Summary!$AD$3,L3048-D3048,L3048))</f>
        <v>21750.744999999999</v>
      </c>
      <c r="O3048" s="95">
        <f t="shared" si="394"/>
        <v>21750.744999999999</v>
      </c>
      <c r="P3048" s="95" t="s">
        <v>155</v>
      </c>
      <c r="Q3048" s="95"/>
      <c r="R3048" s="95"/>
      <c r="S3048" s="95"/>
      <c r="T3048" s="95"/>
      <c r="U3048" s="95"/>
      <c r="V3048" s="95"/>
      <c r="W3048" s="95"/>
      <c r="X3048" s="95"/>
      <c r="Y3048" s="95"/>
      <c r="Z3048" s="95"/>
      <c r="AA3048" s="95"/>
      <c r="AB3048" s="95"/>
      <c r="AC3048" s="355"/>
      <c r="AD3048" s="355"/>
      <c r="AE3048" s="355"/>
      <c r="AF3048" s="94">
        <f t="shared" si="390"/>
        <v>43432</v>
      </c>
      <c r="AG3048" s="185" t="e">
        <f t="shared" si="395"/>
        <v>#DIV/0!</v>
      </c>
      <c r="AH3048" s="339" t="str">
        <f>VLOOKUP(B3048,'MF PF'!A:B,2)</f>
        <v>FdMgt1</v>
      </c>
      <c r="AI3048" s="358">
        <f t="shared" si="391"/>
        <v>0</v>
      </c>
      <c r="AJ3048" s="94">
        <f t="shared" si="392"/>
        <v>43434</v>
      </c>
    </row>
    <row r="3049" spans="1:36" ht="12.75" customHeight="1">
      <c r="A3049" s="94">
        <v>43434</v>
      </c>
      <c r="B3049" s="358" t="s">
        <v>273</v>
      </c>
      <c r="C3049" s="358" t="s">
        <v>418</v>
      </c>
      <c r="D3049" s="93">
        <v>252995.91</v>
      </c>
      <c r="F3049" s="93">
        <f>0.5/2</f>
        <v>0.25</v>
      </c>
      <c r="G3049" s="93"/>
      <c r="H3049" s="93"/>
      <c r="I3049" s="93"/>
      <c r="L3049" s="93">
        <f t="shared" si="387"/>
        <v>0</v>
      </c>
      <c r="M3049" s="95" t="e">
        <f t="shared" ca="1" si="388"/>
        <v>#DIV/0!</v>
      </c>
      <c r="N3049" s="95">
        <f>IF(P3049="Hedge Fund",IF(A3049=Summary!$AD$3,M3049-E3049,M3049),IF(A3049=Summary!$AD$3,L3049-D3049,L3049))</f>
        <v>0</v>
      </c>
      <c r="O3049" s="95">
        <f t="shared" si="394"/>
        <v>0</v>
      </c>
      <c r="P3049" s="95" t="s">
        <v>155</v>
      </c>
      <c r="Q3049" s="95">
        <v>6.5672000000000007E-4</v>
      </c>
      <c r="R3049" s="95">
        <v>0</v>
      </c>
      <c r="S3049" s="95"/>
      <c r="T3049" s="95"/>
      <c r="U3049" s="95"/>
      <c r="V3049" s="95"/>
      <c r="W3049" s="95"/>
      <c r="X3049" s="95"/>
      <c r="Y3049" s="95"/>
      <c r="Z3049" s="95"/>
      <c r="AA3049" s="95"/>
      <c r="AB3049" s="95"/>
      <c r="AC3049" s="355"/>
      <c r="AD3049" s="355"/>
      <c r="AE3049" s="355"/>
      <c r="AF3049" s="94">
        <f t="shared" si="390"/>
        <v>43434</v>
      </c>
      <c r="AG3049" s="185" t="e">
        <f t="shared" si="395"/>
        <v>#DIV/0!</v>
      </c>
      <c r="AH3049" s="339" t="str">
        <f>VLOOKUP(B3049,'MF PF'!A:B,2)</f>
        <v>FdMgt1</v>
      </c>
      <c r="AI3049" s="358">
        <f t="shared" si="391"/>
        <v>0</v>
      </c>
      <c r="AJ3049" s="94">
        <f t="shared" si="392"/>
        <v>43434</v>
      </c>
    </row>
    <row r="3050" spans="1:36" ht="12.75" customHeight="1">
      <c r="A3050" s="94">
        <v>43465</v>
      </c>
      <c r="B3050" s="358" t="s">
        <v>273</v>
      </c>
      <c r="C3050" s="358" t="s">
        <v>418</v>
      </c>
      <c r="D3050" s="373">
        <v>251098.59950000001</v>
      </c>
      <c r="F3050" s="93">
        <v>0.25</v>
      </c>
      <c r="G3050" s="93">
        <v>0</v>
      </c>
      <c r="H3050" s="93">
        <v>0</v>
      </c>
      <c r="I3050" s="93">
        <v>0</v>
      </c>
      <c r="K3050" s="7">
        <v>0</v>
      </c>
      <c r="L3050" s="93">
        <f t="shared" si="387"/>
        <v>0</v>
      </c>
      <c r="M3050" s="95" t="e">
        <f t="shared" ca="1" si="388"/>
        <v>#DIV/0!</v>
      </c>
      <c r="N3050" s="95">
        <f>IF(P3050="Hedge Fund",IF(A3050=Summary!$AD$3,M3050-E3050,M3050),IF(A3050=Summary!$AD$3,L3050-D3050,L3050))</f>
        <v>0</v>
      </c>
      <c r="O3050" s="95">
        <f t="shared" si="394"/>
        <v>0</v>
      </c>
      <c r="P3050" s="95" t="s">
        <v>155</v>
      </c>
      <c r="Q3050" s="95">
        <v>-0.25283723726060181</v>
      </c>
      <c r="R3050" s="95">
        <v>0</v>
      </c>
      <c r="S3050" s="95"/>
      <c r="T3050" s="95"/>
      <c r="U3050" s="95"/>
      <c r="V3050" s="95"/>
      <c r="W3050" s="95"/>
      <c r="X3050" s="95"/>
      <c r="Y3050" s="95"/>
      <c r="Z3050" s="95"/>
      <c r="AA3050" s="95"/>
      <c r="AB3050" s="95"/>
      <c r="AC3050" s="355"/>
      <c r="AD3050" s="355"/>
      <c r="AE3050" s="355"/>
      <c r="AF3050" s="94">
        <f t="shared" si="390"/>
        <v>43465</v>
      </c>
      <c r="AG3050" s="185">
        <f t="shared" si="395"/>
        <v>-7.4993722230528581E-3</v>
      </c>
      <c r="AH3050" s="339" t="str">
        <f>VLOOKUP(B3050,'MF PF'!A:B,2)</f>
        <v>FdMgt1</v>
      </c>
      <c r="AI3050" s="358">
        <f t="shared" si="391"/>
        <v>0</v>
      </c>
      <c r="AJ3050" s="94">
        <f t="shared" si="392"/>
        <v>43465</v>
      </c>
    </row>
    <row r="3051" spans="1:36" ht="12.75" customHeight="1">
      <c r="A3051" s="94">
        <v>43496</v>
      </c>
      <c r="B3051" s="358" t="s">
        <v>273</v>
      </c>
      <c r="C3051" s="358" t="s">
        <v>418</v>
      </c>
      <c r="D3051" s="93">
        <v>256455.2825</v>
      </c>
      <c r="F3051" s="93">
        <v>0.25</v>
      </c>
      <c r="G3051" s="93">
        <v>0</v>
      </c>
      <c r="H3051" s="93">
        <v>0</v>
      </c>
      <c r="I3051" s="93">
        <v>0</v>
      </c>
      <c r="K3051" s="7">
        <v>0</v>
      </c>
      <c r="L3051" s="93">
        <f t="shared" si="387"/>
        <v>0</v>
      </c>
      <c r="M3051" s="95" t="e">
        <f t="shared" ca="1" si="388"/>
        <v>#DIV/0!</v>
      </c>
      <c r="N3051" s="95">
        <f>IF(P3051="Hedge Fund",IF(A3051=Summary!$AD$3,M3051-E3051,M3051),IF(A3051=Summary!$AD$3,L3051-D3051,L3051))</f>
        <v>-256455.2825</v>
      </c>
      <c r="O3051" s="95">
        <f t="shared" si="394"/>
        <v>-256455.2825</v>
      </c>
      <c r="P3051" s="95" t="s">
        <v>155</v>
      </c>
      <c r="Q3051" s="95">
        <v>1.8731406469435186E-3</v>
      </c>
      <c r="R3051" s="95">
        <v>1.1391675000000016E-3</v>
      </c>
      <c r="S3051" s="95"/>
      <c r="T3051" s="95"/>
      <c r="U3051" s="95"/>
      <c r="V3051" s="95"/>
      <c r="W3051" s="95"/>
      <c r="X3051" s="95"/>
      <c r="Y3051" s="95"/>
      <c r="Z3051" s="95"/>
      <c r="AA3051" s="95"/>
      <c r="AB3051" s="95"/>
      <c r="AC3051" s="355"/>
      <c r="AD3051" s="355"/>
      <c r="AE3051" s="355"/>
      <c r="AF3051" s="94">
        <f t="shared" si="390"/>
        <v>43496</v>
      </c>
      <c r="AG3051" s="185">
        <f t="shared" si="395"/>
        <v>2.1332986367373241E-2</v>
      </c>
      <c r="AH3051" s="339" t="str">
        <f>VLOOKUP(B3051,'MF PF'!A:B,2)</f>
        <v>FdMgt1</v>
      </c>
      <c r="AI3051" s="358">
        <f t="shared" si="391"/>
        <v>0</v>
      </c>
      <c r="AJ3051" s="94">
        <f t="shared" si="392"/>
        <v>43496</v>
      </c>
    </row>
    <row r="3052" spans="1:36" ht="12.75" customHeight="1">
      <c r="A3052" s="94">
        <v>43404</v>
      </c>
      <c r="B3052" s="358" t="s">
        <v>273</v>
      </c>
      <c r="C3052" s="358" t="s">
        <v>420</v>
      </c>
      <c r="D3052" s="93">
        <v>440117.18</v>
      </c>
      <c r="F3052" s="93">
        <v>0.5</v>
      </c>
      <c r="G3052" s="93"/>
      <c r="H3052" s="93"/>
      <c r="I3052" s="93"/>
      <c r="L3052" s="93">
        <f t="shared" si="387"/>
        <v>0</v>
      </c>
      <c r="M3052" s="95">
        <f t="shared" ca="1" si="388"/>
        <v>0</v>
      </c>
      <c r="N3052" s="95">
        <f>IF(P3052="Hedge Fund",IF(A3052=Summary!$AD$3,M3052-E3052,M3052),IF(A3052=Summary!$AD$3,L3052-D3052,L3052))</f>
        <v>0</v>
      </c>
      <c r="O3052" s="95">
        <f t="shared" si="394"/>
        <v>0</v>
      </c>
      <c r="P3052" s="95" t="s">
        <v>155</v>
      </c>
      <c r="Q3052" s="95">
        <v>9.7261236144949824E-4</v>
      </c>
      <c r="R3052" s="95">
        <v>0</v>
      </c>
      <c r="S3052" s="95"/>
      <c r="T3052" s="95"/>
      <c r="U3052" s="95"/>
      <c r="V3052" s="95"/>
      <c r="W3052" s="95"/>
      <c r="X3052" s="95"/>
      <c r="Y3052" s="95"/>
      <c r="Z3052" s="95"/>
      <c r="AA3052" s="95"/>
      <c r="AB3052" s="95"/>
      <c r="AC3052" s="355"/>
      <c r="AD3052" s="355"/>
      <c r="AE3052" s="355"/>
      <c r="AF3052" s="94">
        <f t="shared" si="390"/>
        <v>43404</v>
      </c>
      <c r="AG3052" s="185" t="e">
        <f t="shared" si="395"/>
        <v>#DIV/0!</v>
      </c>
      <c r="AH3052" s="339" t="str">
        <f>VLOOKUP(B3052,'MF PF'!A:B,2)</f>
        <v>FdMgt1</v>
      </c>
      <c r="AI3052" s="358">
        <f t="shared" si="391"/>
        <v>0</v>
      </c>
      <c r="AJ3052" s="94">
        <f t="shared" si="392"/>
        <v>43404</v>
      </c>
    </row>
    <row r="3053" spans="1:36" ht="12.75" customHeight="1">
      <c r="A3053" s="94">
        <v>43404</v>
      </c>
      <c r="B3053" s="358" t="s">
        <v>273</v>
      </c>
      <c r="C3053" s="358" t="s">
        <v>420</v>
      </c>
      <c r="D3053" s="93"/>
      <c r="F3053" s="93">
        <v>0.5</v>
      </c>
      <c r="G3053" s="93">
        <v>456498.51</v>
      </c>
      <c r="H3053" s="93"/>
      <c r="I3053" s="93"/>
      <c r="L3053" s="93">
        <f t="shared" si="387"/>
        <v>456498.51</v>
      </c>
      <c r="M3053" s="95">
        <f t="shared" ca="1" si="388"/>
        <v>0</v>
      </c>
      <c r="N3053" s="95">
        <f>IF(P3053="Hedge Fund",IF(A3053=Summary!$AD$3,M3053-E3053,M3053),IF(A3053=Summary!$AD$3,L3053-D3053,L3053))</f>
        <v>456498.51</v>
      </c>
      <c r="O3053" s="95">
        <f t="shared" si="394"/>
        <v>456498.51</v>
      </c>
      <c r="P3053" s="95" t="s">
        <v>155</v>
      </c>
      <c r="Q3053" s="95"/>
      <c r="R3053" s="95">
        <v>0</v>
      </c>
      <c r="S3053" s="95"/>
      <c r="T3053" s="95"/>
      <c r="U3053" s="95"/>
      <c r="V3053" s="95"/>
      <c r="W3053" s="95"/>
      <c r="X3053" s="95"/>
      <c r="Y3053" s="95"/>
      <c r="Z3053" s="95"/>
      <c r="AA3053" s="95"/>
      <c r="AB3053" s="95"/>
      <c r="AC3053" s="355"/>
      <c r="AD3053" s="355"/>
      <c r="AE3053" s="355"/>
      <c r="AF3053" s="94">
        <f t="shared" si="390"/>
        <v>43404</v>
      </c>
      <c r="AG3053" s="185">
        <f t="shared" si="395"/>
        <v>-2.0372203829898208</v>
      </c>
      <c r="AH3053" s="339" t="str">
        <f>VLOOKUP(B3053,'MF PF'!A:B,2)</f>
        <v>FdMgt1</v>
      </c>
      <c r="AI3053" s="358">
        <f t="shared" si="391"/>
        <v>0</v>
      </c>
      <c r="AJ3053" s="94">
        <f t="shared" si="392"/>
        <v>43404</v>
      </c>
    </row>
    <row r="3054" spans="1:36" ht="12.75" customHeight="1">
      <c r="A3054" s="94">
        <v>43432</v>
      </c>
      <c r="B3054" s="358" t="s">
        <v>273</v>
      </c>
      <c r="C3054" s="358" t="s">
        <v>420</v>
      </c>
      <c r="D3054" s="93"/>
      <c r="F3054" s="93">
        <v>0.5</v>
      </c>
      <c r="G3054" s="93">
        <v>43501.49</v>
      </c>
      <c r="H3054" s="93"/>
      <c r="I3054" s="93"/>
      <c r="L3054" s="93">
        <f t="shared" si="387"/>
        <v>43501.49</v>
      </c>
      <c r="M3054" s="95" t="e">
        <f t="shared" ca="1" si="388"/>
        <v>#DIV/0!</v>
      </c>
      <c r="N3054" s="95">
        <f>IF(P3054="Hedge Fund",IF(A3054=Summary!$AD$3,M3054-E3054,M3054),IF(A3054=Summary!$AD$3,L3054-D3054,L3054))</f>
        <v>43501.49</v>
      </c>
      <c r="O3054" s="95">
        <f t="shared" si="394"/>
        <v>43501.49</v>
      </c>
      <c r="P3054" s="95" t="s">
        <v>155</v>
      </c>
      <c r="Q3054" s="95"/>
      <c r="R3054" s="95"/>
      <c r="S3054" s="95"/>
      <c r="T3054" s="95"/>
      <c r="U3054" s="95"/>
      <c r="V3054" s="95"/>
      <c r="W3054" s="95"/>
      <c r="X3054" s="95"/>
      <c r="Y3054" s="95"/>
      <c r="Z3054" s="95"/>
      <c r="AA3054" s="95"/>
      <c r="AB3054" s="95"/>
      <c r="AC3054" s="355"/>
      <c r="AD3054" s="355"/>
      <c r="AE3054" s="355"/>
      <c r="AF3054" s="94">
        <f t="shared" si="390"/>
        <v>43432</v>
      </c>
      <c r="AG3054" s="185" t="e">
        <f t="shared" si="395"/>
        <v>#DIV/0!</v>
      </c>
      <c r="AH3054" s="339" t="str">
        <f>VLOOKUP(B3054,'MF PF'!A:B,2)</f>
        <v>FdMgt1</v>
      </c>
      <c r="AI3054" s="358">
        <f t="shared" si="391"/>
        <v>0</v>
      </c>
      <c r="AJ3054" s="94">
        <f t="shared" si="392"/>
        <v>43434</v>
      </c>
    </row>
    <row r="3055" spans="1:36" ht="12.75" customHeight="1">
      <c r="A3055" s="94">
        <v>43434</v>
      </c>
      <c r="B3055" s="358" t="s">
        <v>273</v>
      </c>
      <c r="C3055" s="358" t="s">
        <v>420</v>
      </c>
      <c r="D3055" s="93">
        <v>505991.81</v>
      </c>
      <c r="F3055" s="93">
        <v>0.5</v>
      </c>
      <c r="G3055" s="93"/>
      <c r="H3055" s="93"/>
      <c r="I3055" s="93"/>
      <c r="L3055" s="93">
        <f t="shared" si="387"/>
        <v>0</v>
      </c>
      <c r="M3055" s="95" t="e">
        <f t="shared" ca="1" si="388"/>
        <v>#DIV/0!</v>
      </c>
      <c r="N3055" s="95">
        <f>IF(P3055="Hedge Fund",IF(A3055=Summary!$AD$3,M3055-E3055,M3055),IF(A3055=Summary!$AD$3,L3055-D3055,L3055))</f>
        <v>0</v>
      </c>
      <c r="O3055" s="95">
        <f t="shared" si="394"/>
        <v>0</v>
      </c>
      <c r="P3055" s="95" t="s">
        <v>155</v>
      </c>
      <c r="Q3055" s="95">
        <v>1.31343E-3</v>
      </c>
      <c r="R3055" s="95">
        <v>0</v>
      </c>
      <c r="S3055" s="95"/>
      <c r="T3055" s="95"/>
      <c r="U3055" s="95"/>
      <c r="V3055" s="95"/>
      <c r="W3055" s="95"/>
      <c r="X3055" s="95"/>
      <c r="Y3055" s="95"/>
      <c r="Z3055" s="95"/>
      <c r="AA3055" s="95"/>
      <c r="AB3055" s="95"/>
      <c r="AC3055" s="355"/>
      <c r="AD3055" s="355"/>
      <c r="AE3055" s="355"/>
      <c r="AF3055" s="94">
        <f t="shared" si="390"/>
        <v>43434</v>
      </c>
      <c r="AG3055" s="185" t="e">
        <f t="shared" si="395"/>
        <v>#DIV/0!</v>
      </c>
      <c r="AH3055" s="339" t="str">
        <f>VLOOKUP(B3055,'MF PF'!A:B,2)</f>
        <v>FdMgt1</v>
      </c>
      <c r="AI3055" s="358">
        <f t="shared" si="391"/>
        <v>0</v>
      </c>
      <c r="AJ3055" s="94">
        <f t="shared" si="392"/>
        <v>43434</v>
      </c>
    </row>
    <row r="3056" spans="1:36" ht="12.75" customHeight="1">
      <c r="A3056" s="94">
        <v>43465</v>
      </c>
      <c r="B3056" s="358" t="s">
        <v>273</v>
      </c>
      <c r="C3056" s="358" t="s">
        <v>420</v>
      </c>
      <c r="D3056" s="373">
        <v>502197.20750000002</v>
      </c>
      <c r="F3056" s="93">
        <v>0.5</v>
      </c>
      <c r="G3056" s="93">
        <v>0</v>
      </c>
      <c r="H3056" s="93">
        <v>0</v>
      </c>
      <c r="I3056" s="93">
        <v>0</v>
      </c>
      <c r="K3056" s="7">
        <v>0</v>
      </c>
      <c r="L3056" s="93">
        <f t="shared" si="387"/>
        <v>0</v>
      </c>
      <c r="M3056" s="95" t="e">
        <f t="shared" ca="1" si="388"/>
        <v>#DIV/0!</v>
      </c>
      <c r="N3056" s="95">
        <f>IF(P3056="Hedge Fund",IF(A3056=Summary!$AD$3,M3056-E3056,M3056),IF(A3056=Summary!$AD$3,L3056-D3056,L3056))</f>
        <v>0</v>
      </c>
      <c r="O3056" s="95">
        <f t="shared" si="394"/>
        <v>0</v>
      </c>
      <c r="P3056" s="95" t="s">
        <v>155</v>
      </c>
      <c r="Q3056" s="95">
        <v>-0.50567447452120362</v>
      </c>
      <c r="R3056" s="95">
        <v>0</v>
      </c>
      <c r="S3056" s="95"/>
      <c r="T3056" s="95"/>
      <c r="U3056" s="95"/>
      <c r="V3056" s="95"/>
      <c r="W3056" s="95"/>
      <c r="X3056" s="95"/>
      <c r="Y3056" s="95"/>
      <c r="Z3056" s="95"/>
      <c r="AA3056" s="95"/>
      <c r="AB3056" s="95"/>
      <c r="AC3056" s="355"/>
      <c r="AD3056" s="355"/>
      <c r="AE3056" s="355"/>
      <c r="AF3056" s="94">
        <f t="shared" si="390"/>
        <v>43465</v>
      </c>
      <c r="AG3056" s="185">
        <f t="shared" si="395"/>
        <v>-7.4993358094076479E-3</v>
      </c>
      <c r="AH3056" s="339" t="str">
        <f>VLOOKUP(B3056,'MF PF'!A:B,2)</f>
        <v>FdMgt1</v>
      </c>
      <c r="AI3056" s="358">
        <f t="shared" si="391"/>
        <v>0</v>
      </c>
      <c r="AJ3056" s="94">
        <f t="shared" si="392"/>
        <v>43465</v>
      </c>
    </row>
    <row r="3057" spans="1:36" ht="12.75" customHeight="1">
      <c r="A3057" s="94">
        <v>43496</v>
      </c>
      <c r="B3057" s="358" t="s">
        <v>273</v>
      </c>
      <c r="C3057" s="358" t="s">
        <v>420</v>
      </c>
      <c r="D3057" s="93">
        <v>512910.54800000001</v>
      </c>
      <c r="F3057" s="93">
        <v>0.5</v>
      </c>
      <c r="G3057" s="93">
        <v>0</v>
      </c>
      <c r="H3057" s="93">
        <v>0</v>
      </c>
      <c r="I3057" s="93">
        <v>0</v>
      </c>
      <c r="K3057" s="7">
        <v>0</v>
      </c>
      <c r="L3057" s="93">
        <f t="shared" si="387"/>
        <v>0</v>
      </c>
      <c r="M3057" s="95" t="e">
        <f t="shared" ca="1" si="388"/>
        <v>#DIV/0!</v>
      </c>
      <c r="N3057" s="95">
        <f>IF(P3057="Hedge Fund",IF(A3057=Summary!$AD$3,M3057-E3057,M3057),IF(A3057=Summary!$AD$3,L3057-D3057,L3057))</f>
        <v>-512910.54800000001</v>
      </c>
      <c r="O3057" s="95">
        <f t="shared" si="394"/>
        <v>-512910.54800000001</v>
      </c>
      <c r="P3057" s="95" t="s">
        <v>155</v>
      </c>
      <c r="Q3057" s="95">
        <v>3.7462812938870386E-3</v>
      </c>
      <c r="R3057" s="95">
        <v>2.278332000000001E-3</v>
      </c>
      <c r="S3057" s="95"/>
      <c r="T3057" s="95"/>
      <c r="U3057" s="95"/>
      <c r="V3057" s="95"/>
      <c r="W3057" s="95"/>
      <c r="X3057" s="95"/>
      <c r="Y3057" s="95"/>
      <c r="Z3057" s="95"/>
      <c r="AA3057" s="95"/>
      <c r="AB3057" s="95"/>
      <c r="AC3057" s="355"/>
      <c r="AD3057" s="355"/>
      <c r="AE3057" s="355"/>
      <c r="AF3057" s="94">
        <f t="shared" si="390"/>
        <v>43496</v>
      </c>
      <c r="AG3057" s="185">
        <f t="shared" si="395"/>
        <v>2.1332935229433803E-2</v>
      </c>
      <c r="AH3057" s="339" t="str">
        <f>VLOOKUP(B3057,'MF PF'!A:B,2)</f>
        <v>FdMgt1</v>
      </c>
      <c r="AI3057" s="358">
        <f t="shared" si="391"/>
        <v>0</v>
      </c>
      <c r="AJ3057" s="94">
        <f t="shared" si="392"/>
        <v>43496</v>
      </c>
    </row>
    <row r="3058" spans="1:36" ht="12.75" customHeight="1">
      <c r="A3058" s="94">
        <v>41542</v>
      </c>
      <c r="B3058" s="101" t="s">
        <v>94</v>
      </c>
      <c r="C3058" s="358" t="s">
        <v>297</v>
      </c>
      <c r="D3058" s="98">
        <v>10000000</v>
      </c>
      <c r="E3058" s="9">
        <f t="shared" ref="E3058:E3074" si="396">IF(K3058="","",D3058/K3058)</f>
        <v>10000000</v>
      </c>
      <c r="F3058" s="98"/>
      <c r="G3058" s="98">
        <v>10000000</v>
      </c>
      <c r="H3058" s="98"/>
      <c r="I3058" s="98"/>
      <c r="J3058" s="98"/>
      <c r="K3058" s="7">
        <v>1</v>
      </c>
      <c r="L3058" s="93">
        <f t="shared" si="387"/>
        <v>10000000</v>
      </c>
      <c r="M3058" s="95">
        <f t="shared" ca="1" si="388"/>
        <v>10000000</v>
      </c>
      <c r="N3058" s="95">
        <f>IF(P3058="Hedge Fund",IF(A3058=Summary!$AD$3,M3058-E3058,M3058),IF(A3058=Summary!$AD$3,L3058-D3058,L3058))</f>
        <v>10000000</v>
      </c>
      <c r="O3058" s="95"/>
      <c r="P3058" s="107" t="s">
        <v>155</v>
      </c>
      <c r="Q3058" s="107">
        <v>0</v>
      </c>
      <c r="R3058" s="107">
        <v>0</v>
      </c>
      <c r="S3058" s="107">
        <v>0</v>
      </c>
      <c r="T3058" s="107">
        <v>0</v>
      </c>
      <c r="U3058" s="107"/>
      <c r="V3058" s="107"/>
      <c r="W3058" s="107"/>
      <c r="X3058" s="107"/>
      <c r="Y3058" s="107"/>
      <c r="Z3058" s="107"/>
      <c r="AA3058" s="107"/>
      <c r="AB3058" s="107"/>
      <c r="AC3058" s="355"/>
      <c r="AD3058" s="355"/>
      <c r="AE3058" s="355"/>
      <c r="AF3058" s="94">
        <f t="shared" si="390"/>
        <v>41542</v>
      </c>
      <c r="AG3058" s="185">
        <f t="shared" si="395"/>
        <v>0</v>
      </c>
      <c r="AH3058" s="339" t="str">
        <f>VLOOKUP(B3058,'MF PF'!A:B,2)</f>
        <v>FdMgt2</v>
      </c>
      <c r="AI3058" s="358">
        <f t="shared" si="391"/>
        <v>0</v>
      </c>
      <c r="AJ3058" s="94">
        <f t="shared" si="392"/>
        <v>41547</v>
      </c>
    </row>
    <row r="3059" spans="1:36" ht="12.75" customHeight="1">
      <c r="A3059" s="94">
        <v>41547</v>
      </c>
      <c r="B3059" s="101" t="s">
        <v>94</v>
      </c>
      <c r="C3059" s="358" t="s">
        <v>297</v>
      </c>
      <c r="D3059" s="98">
        <v>10000000</v>
      </c>
      <c r="E3059" s="9">
        <f t="shared" si="396"/>
        <v>10000000</v>
      </c>
      <c r="F3059" s="98"/>
      <c r="G3059" s="98"/>
      <c r="H3059" s="98"/>
      <c r="I3059" s="98"/>
      <c r="J3059" s="98"/>
      <c r="K3059" s="7">
        <v>1</v>
      </c>
      <c r="L3059" s="93">
        <f t="shared" si="387"/>
        <v>0</v>
      </c>
      <c r="M3059" s="95">
        <f t="shared" ca="1" si="388"/>
        <v>0</v>
      </c>
      <c r="N3059" s="95">
        <f>IF(P3059="Hedge Fund",IF(A3059=Summary!$AD$3,M3059-E3059,M3059),IF(A3059=Summary!$AD$3,L3059-D3059,L3059))</f>
        <v>0</v>
      </c>
      <c r="O3059" s="95"/>
      <c r="P3059" s="107" t="s">
        <v>155</v>
      </c>
      <c r="Q3059" s="107">
        <v>0</v>
      </c>
      <c r="R3059" s="107">
        <v>0</v>
      </c>
      <c r="S3059" s="107">
        <v>0</v>
      </c>
      <c r="T3059" s="107">
        <v>0</v>
      </c>
      <c r="U3059" s="107"/>
      <c r="V3059" s="107"/>
      <c r="W3059" s="107"/>
      <c r="X3059" s="107"/>
      <c r="Y3059" s="107"/>
      <c r="Z3059" s="107"/>
      <c r="AA3059" s="107"/>
      <c r="AB3059" s="107"/>
      <c r="AC3059" s="355"/>
      <c r="AD3059" s="355"/>
      <c r="AE3059" s="355"/>
      <c r="AF3059" s="94">
        <f t="shared" si="390"/>
        <v>41547</v>
      </c>
      <c r="AG3059" s="185">
        <f t="shared" si="395"/>
        <v>0</v>
      </c>
      <c r="AH3059" s="339" t="str">
        <f>VLOOKUP(B3059,'MF PF'!A:B,2)</f>
        <v>FdMgt2</v>
      </c>
      <c r="AI3059" s="358">
        <f t="shared" si="391"/>
        <v>0</v>
      </c>
      <c r="AJ3059" s="94">
        <f t="shared" si="392"/>
        <v>41547</v>
      </c>
    </row>
    <row r="3060" spans="1:36" ht="12.75" customHeight="1">
      <c r="A3060" s="94">
        <v>41578</v>
      </c>
      <c r="B3060" s="101" t="s">
        <v>94</v>
      </c>
      <c r="C3060" s="358" t="s">
        <v>297</v>
      </c>
      <c r="D3060" s="98">
        <v>10000000</v>
      </c>
      <c r="E3060" s="9">
        <f t="shared" si="396"/>
        <v>10000000</v>
      </c>
      <c r="F3060" s="98"/>
      <c r="G3060" s="98"/>
      <c r="H3060" s="98"/>
      <c r="I3060" s="98"/>
      <c r="J3060" s="98"/>
      <c r="K3060" s="7">
        <v>1</v>
      </c>
      <c r="L3060" s="93">
        <f t="shared" si="387"/>
        <v>0</v>
      </c>
      <c r="M3060" s="95">
        <f t="shared" ca="1" si="388"/>
        <v>0</v>
      </c>
      <c r="N3060" s="95">
        <f>IF(P3060="Hedge Fund",IF(A3060=Summary!$AD$3,M3060-E3060,M3060),IF(A3060=Summary!$AD$3,L3060-D3060,L3060))</f>
        <v>0</v>
      </c>
      <c r="O3060" s="95"/>
      <c r="P3060" s="107" t="s">
        <v>155</v>
      </c>
      <c r="Q3060" s="107">
        <v>0</v>
      </c>
      <c r="R3060" s="107">
        <v>0</v>
      </c>
      <c r="S3060" s="107">
        <v>0</v>
      </c>
      <c r="T3060" s="107">
        <v>0</v>
      </c>
      <c r="U3060" s="107"/>
      <c r="V3060" s="107"/>
      <c r="W3060" s="107"/>
      <c r="X3060" s="107"/>
      <c r="Y3060" s="107"/>
      <c r="Z3060" s="107"/>
      <c r="AA3060" s="107"/>
      <c r="AB3060" s="107"/>
      <c r="AC3060" s="355"/>
      <c r="AD3060" s="355"/>
      <c r="AE3060" s="355"/>
      <c r="AF3060" s="94">
        <f t="shared" si="390"/>
        <v>41578</v>
      </c>
      <c r="AG3060" s="185">
        <f t="shared" si="395"/>
        <v>0</v>
      </c>
      <c r="AH3060" s="339" t="str">
        <f>VLOOKUP(B3060,'MF PF'!A:B,2)</f>
        <v>FdMgt2</v>
      </c>
      <c r="AI3060" s="358">
        <f t="shared" si="391"/>
        <v>0</v>
      </c>
      <c r="AJ3060" s="94">
        <f t="shared" si="392"/>
        <v>41578</v>
      </c>
    </row>
    <row r="3061" spans="1:36" ht="12.75" customHeight="1">
      <c r="A3061" s="94">
        <v>41607</v>
      </c>
      <c r="B3061" s="101" t="s">
        <v>94</v>
      </c>
      <c r="C3061" s="358" t="s">
        <v>297</v>
      </c>
      <c r="D3061" s="98">
        <v>10164368.672502527</v>
      </c>
      <c r="E3061" s="9">
        <f t="shared" si="396"/>
        <v>10164368.672502527</v>
      </c>
      <c r="F3061" s="98"/>
      <c r="G3061" s="98"/>
      <c r="H3061" s="98"/>
      <c r="I3061" s="98"/>
      <c r="J3061" s="98"/>
      <c r="K3061" s="7">
        <v>1</v>
      </c>
      <c r="L3061" s="93">
        <f t="shared" si="387"/>
        <v>0</v>
      </c>
      <c r="M3061" s="95">
        <f t="shared" ca="1" si="388"/>
        <v>0</v>
      </c>
      <c r="N3061" s="95">
        <f>IF(P3061="Hedge Fund",IF(A3061=Summary!$AD$3,M3061-E3061,M3061),IF(A3061=Summary!$AD$3,L3061-D3061,L3061))</f>
        <v>0</v>
      </c>
      <c r="O3061" s="95"/>
      <c r="P3061" s="107" t="s">
        <v>155</v>
      </c>
      <c r="Q3061" s="107">
        <v>0</v>
      </c>
      <c r="R3061" s="107">
        <v>0</v>
      </c>
      <c r="S3061" s="107">
        <v>0</v>
      </c>
      <c r="T3061" s="107">
        <v>0</v>
      </c>
      <c r="U3061" s="107"/>
      <c r="V3061" s="107"/>
      <c r="W3061" s="107"/>
      <c r="X3061" s="107"/>
      <c r="Y3061" s="107"/>
      <c r="Z3061" s="107"/>
      <c r="AA3061" s="107"/>
      <c r="AB3061" s="107"/>
      <c r="AC3061" s="355"/>
      <c r="AD3061" s="355"/>
      <c r="AE3061" s="355"/>
      <c r="AF3061" s="94">
        <f t="shared" si="390"/>
        <v>41607</v>
      </c>
      <c r="AG3061" s="185">
        <f t="shared" si="395"/>
        <v>1.6436867250252618E-2</v>
      </c>
      <c r="AH3061" s="339" t="str">
        <f>VLOOKUP(B3061,'MF PF'!A:B,2)</f>
        <v>FdMgt2</v>
      </c>
      <c r="AI3061" s="358">
        <f t="shared" si="391"/>
        <v>0</v>
      </c>
      <c r="AJ3061" s="94">
        <f t="shared" si="392"/>
        <v>41608</v>
      </c>
    </row>
    <row r="3062" spans="1:36" ht="12.75" customHeight="1">
      <c r="A3062" s="94">
        <v>41639</v>
      </c>
      <c r="B3062" s="101" t="s">
        <v>94</v>
      </c>
      <c r="C3062" s="358" t="s">
        <v>297</v>
      </c>
      <c r="D3062" s="98">
        <v>10257937.023066772</v>
      </c>
      <c r="E3062" s="9">
        <f t="shared" si="396"/>
        <v>10257937.023066772</v>
      </c>
      <c r="F3062" s="98"/>
      <c r="G3062" s="98"/>
      <c r="H3062" s="98"/>
      <c r="I3062" s="98"/>
      <c r="J3062" s="98"/>
      <c r="K3062" s="7">
        <v>1</v>
      </c>
      <c r="L3062" s="93">
        <f t="shared" si="387"/>
        <v>0</v>
      </c>
      <c r="M3062" s="95">
        <f t="shared" ca="1" si="388"/>
        <v>0</v>
      </c>
      <c r="N3062" s="95">
        <f>IF(P3062="Hedge Fund",IF(A3062=Summary!$AD$3,M3062-E3062,M3062),IF(A3062=Summary!$AD$3,L3062-D3062,L3062))</f>
        <v>0</v>
      </c>
      <c r="O3062" s="95"/>
      <c r="P3062" s="107" t="s">
        <v>155</v>
      </c>
      <c r="Q3062" s="107">
        <v>0</v>
      </c>
      <c r="R3062" s="107">
        <v>0</v>
      </c>
      <c r="S3062" s="107">
        <v>0</v>
      </c>
      <c r="T3062" s="107">
        <v>0</v>
      </c>
      <c r="U3062" s="107"/>
      <c r="V3062" s="107"/>
      <c r="W3062" s="107"/>
      <c r="X3062" s="107"/>
      <c r="Y3062" s="107"/>
      <c r="Z3062" s="107"/>
      <c r="AA3062" s="107"/>
      <c r="AB3062" s="107"/>
      <c r="AC3062" s="355"/>
      <c r="AD3062" s="355"/>
      <c r="AE3062" s="355"/>
      <c r="AF3062" s="94">
        <f t="shared" si="390"/>
        <v>41639</v>
      </c>
      <c r="AG3062" s="185">
        <f t="shared" si="395"/>
        <v>9.2055250629952123E-3</v>
      </c>
      <c r="AH3062" s="339" t="str">
        <f>VLOOKUP(B3062,'MF PF'!A:B,2)</f>
        <v>FdMgt2</v>
      </c>
      <c r="AI3062" s="358">
        <f t="shared" si="391"/>
        <v>0</v>
      </c>
      <c r="AJ3062" s="94">
        <f t="shared" si="392"/>
        <v>41639</v>
      </c>
    </row>
    <row r="3063" spans="1:36" ht="12.75" customHeight="1">
      <c r="A3063" s="94">
        <v>41669</v>
      </c>
      <c r="B3063" s="101" t="s">
        <v>94</v>
      </c>
      <c r="C3063" s="358" t="s">
        <v>297</v>
      </c>
      <c r="D3063" s="98">
        <v>10346527.986370357</v>
      </c>
      <c r="E3063" s="9">
        <f t="shared" si="396"/>
        <v>10346527.986370357</v>
      </c>
      <c r="F3063" s="98"/>
      <c r="G3063" s="98"/>
      <c r="H3063" s="98"/>
      <c r="I3063" s="98"/>
      <c r="J3063" s="98"/>
      <c r="K3063" s="7">
        <v>1</v>
      </c>
      <c r="L3063" s="93">
        <f t="shared" si="387"/>
        <v>0</v>
      </c>
      <c r="M3063" s="95">
        <f t="shared" ca="1" si="388"/>
        <v>0</v>
      </c>
      <c r="N3063" s="95">
        <f>IF(P3063="Hedge Fund",IF(A3063=Summary!$AD$3,M3063-E3063,M3063),IF(A3063=Summary!$AD$3,L3063-D3063,L3063))</f>
        <v>0</v>
      </c>
      <c r="O3063" s="95"/>
      <c r="P3063" s="107" t="s">
        <v>155</v>
      </c>
      <c r="Q3063" s="107">
        <v>0</v>
      </c>
      <c r="R3063" s="107">
        <v>0</v>
      </c>
      <c r="S3063" s="107">
        <v>0</v>
      </c>
      <c r="T3063" s="107">
        <v>0</v>
      </c>
      <c r="U3063" s="107"/>
      <c r="V3063" s="107"/>
      <c r="W3063" s="107"/>
      <c r="X3063" s="107"/>
      <c r="Y3063" s="107"/>
      <c r="Z3063" s="107"/>
      <c r="AA3063" s="107"/>
      <c r="AB3063" s="107"/>
      <c r="AC3063" s="355"/>
      <c r="AD3063" s="355"/>
      <c r="AE3063" s="355"/>
      <c r="AF3063" s="94">
        <f t="shared" si="390"/>
        <v>41669</v>
      </c>
      <c r="AG3063" s="185">
        <f t="shared" si="395"/>
        <v>8.6363333196892711E-3</v>
      </c>
      <c r="AH3063" s="339" t="str">
        <f>VLOOKUP(B3063,'MF PF'!A:B,2)</f>
        <v>FdMgt2</v>
      </c>
      <c r="AI3063" s="358">
        <f t="shared" si="391"/>
        <v>0</v>
      </c>
      <c r="AJ3063" s="94">
        <f t="shared" si="392"/>
        <v>41670</v>
      </c>
    </row>
    <row r="3064" spans="1:36" ht="12.75" customHeight="1">
      <c r="A3064" s="94">
        <v>41698</v>
      </c>
      <c r="B3064" s="101" t="s">
        <v>94</v>
      </c>
      <c r="C3064" s="358" t="s">
        <v>297</v>
      </c>
      <c r="D3064" s="98">
        <v>10432846.72352398</v>
      </c>
      <c r="E3064" s="9">
        <f t="shared" si="396"/>
        <v>10432846.72352398</v>
      </c>
      <c r="F3064" s="98"/>
      <c r="G3064" s="98"/>
      <c r="H3064" s="98"/>
      <c r="I3064" s="98"/>
      <c r="J3064" s="98"/>
      <c r="K3064" s="7">
        <v>1</v>
      </c>
      <c r="L3064" s="93">
        <f t="shared" si="387"/>
        <v>0</v>
      </c>
      <c r="M3064" s="95">
        <f t="shared" ca="1" si="388"/>
        <v>0</v>
      </c>
      <c r="N3064" s="95">
        <f>IF(P3064="Hedge Fund",IF(A3064=Summary!$AD$3,M3064-E3064,M3064),IF(A3064=Summary!$AD$3,L3064-D3064,L3064))</f>
        <v>0</v>
      </c>
      <c r="O3064" s="95"/>
      <c r="P3064" s="107" t="s">
        <v>155</v>
      </c>
      <c r="Q3064" s="107">
        <v>0</v>
      </c>
      <c r="R3064" s="107">
        <v>0</v>
      </c>
      <c r="S3064" s="107">
        <v>0</v>
      </c>
      <c r="T3064" s="107">
        <v>0</v>
      </c>
      <c r="U3064" s="107"/>
      <c r="V3064" s="107"/>
      <c r="W3064" s="107"/>
      <c r="X3064" s="107"/>
      <c r="Y3064" s="107"/>
      <c r="Z3064" s="107"/>
      <c r="AA3064" s="107"/>
      <c r="AB3064" s="107"/>
      <c r="AC3064" s="355"/>
      <c r="AD3064" s="355"/>
      <c r="AE3064" s="355"/>
      <c r="AF3064" s="94">
        <f t="shared" si="390"/>
        <v>41698</v>
      </c>
      <c r="AG3064" s="185">
        <f t="shared" si="395"/>
        <v>8.3427732730565474E-3</v>
      </c>
      <c r="AH3064" s="339" t="str">
        <f>VLOOKUP(B3064,'MF PF'!A:B,2)</f>
        <v>FdMgt2</v>
      </c>
      <c r="AI3064" s="358">
        <f t="shared" si="391"/>
        <v>0</v>
      </c>
      <c r="AJ3064" s="94">
        <f t="shared" si="392"/>
        <v>41698</v>
      </c>
    </row>
    <row r="3065" spans="1:36" ht="12.75" customHeight="1">
      <c r="A3065" s="94">
        <v>41729</v>
      </c>
      <c r="B3065" s="101" t="s">
        <v>94</v>
      </c>
      <c r="C3065" s="358" t="s">
        <v>297</v>
      </c>
      <c r="D3065" s="98">
        <v>10525942.206504317</v>
      </c>
      <c r="E3065" s="9">
        <f t="shared" si="396"/>
        <v>10525942.206504317</v>
      </c>
      <c r="F3065" s="98"/>
      <c r="G3065" s="98"/>
      <c r="H3065" s="98"/>
      <c r="I3065" s="98"/>
      <c r="J3065" s="98"/>
      <c r="K3065" s="7">
        <v>1</v>
      </c>
      <c r="L3065" s="93">
        <f t="shared" si="387"/>
        <v>0</v>
      </c>
      <c r="M3065" s="95">
        <f t="shared" ca="1" si="388"/>
        <v>0</v>
      </c>
      <c r="N3065" s="95">
        <f>IF(P3065="Hedge Fund",IF(A3065=Summary!$AD$3,M3065-E3065,M3065),IF(A3065=Summary!$AD$3,L3065-D3065,L3065))</f>
        <v>0</v>
      </c>
      <c r="O3065" s="95"/>
      <c r="P3065" s="107" t="s">
        <v>155</v>
      </c>
      <c r="Q3065" s="107">
        <v>0</v>
      </c>
      <c r="R3065" s="107">
        <v>0</v>
      </c>
      <c r="S3065" s="107">
        <v>0</v>
      </c>
      <c r="T3065" s="107">
        <v>0</v>
      </c>
      <c r="U3065" s="107"/>
      <c r="V3065" s="107"/>
      <c r="W3065" s="107"/>
      <c r="X3065" s="107"/>
      <c r="Y3065" s="107"/>
      <c r="Z3065" s="107"/>
      <c r="AA3065" s="107"/>
      <c r="AB3065" s="107"/>
      <c r="AC3065" s="355"/>
      <c r="AD3065" s="355"/>
      <c r="AE3065" s="355"/>
      <c r="AF3065" s="94">
        <f t="shared" si="390"/>
        <v>41729</v>
      </c>
      <c r="AG3065" s="185">
        <f t="shared" si="395"/>
        <v>8.9233059247793012E-3</v>
      </c>
      <c r="AH3065" s="339" t="str">
        <f>VLOOKUP(B3065,'MF PF'!A:B,2)</f>
        <v>FdMgt2</v>
      </c>
      <c r="AI3065" s="358">
        <f t="shared" si="391"/>
        <v>0</v>
      </c>
      <c r="AJ3065" s="94">
        <f t="shared" si="392"/>
        <v>41729</v>
      </c>
    </row>
    <row r="3066" spans="1:36" ht="12.75" customHeight="1">
      <c r="A3066" s="94">
        <v>41759</v>
      </c>
      <c r="B3066" s="101" t="s">
        <v>94</v>
      </c>
      <c r="C3066" s="358" t="s">
        <v>297</v>
      </c>
      <c r="D3066" s="98">
        <v>10616825.116279578</v>
      </c>
      <c r="E3066" s="9">
        <f t="shared" si="396"/>
        <v>10616825.116279578</v>
      </c>
      <c r="F3066" s="98"/>
      <c r="G3066" s="98"/>
      <c r="H3066" s="98"/>
      <c r="I3066" s="98"/>
      <c r="J3066" s="98"/>
      <c r="K3066" s="7">
        <v>1</v>
      </c>
      <c r="L3066" s="93">
        <f t="shared" si="387"/>
        <v>0</v>
      </c>
      <c r="M3066" s="95">
        <f t="shared" ca="1" si="388"/>
        <v>0</v>
      </c>
      <c r="N3066" s="95">
        <f>IF(P3066="Hedge Fund",IF(A3066=Summary!$AD$3,M3066-E3066,M3066),IF(A3066=Summary!$AD$3,L3066-D3066,L3066))</f>
        <v>0</v>
      </c>
      <c r="O3066" s="95"/>
      <c r="P3066" s="107" t="s">
        <v>155</v>
      </c>
      <c r="Q3066" s="107">
        <v>0</v>
      </c>
      <c r="R3066" s="107">
        <v>0</v>
      </c>
      <c r="S3066" s="107">
        <v>0</v>
      </c>
      <c r="T3066" s="107">
        <v>0</v>
      </c>
      <c r="U3066" s="107"/>
      <c r="V3066" s="107"/>
      <c r="W3066" s="107"/>
      <c r="X3066" s="107"/>
      <c r="Y3066" s="107"/>
      <c r="Z3066" s="107"/>
      <c r="AA3066" s="107"/>
      <c r="AB3066" s="107"/>
      <c r="AC3066" s="355"/>
      <c r="AD3066" s="355"/>
      <c r="AE3066" s="355"/>
      <c r="AF3066" s="94">
        <f t="shared" si="390"/>
        <v>41759</v>
      </c>
      <c r="AG3066" s="185">
        <f t="shared" si="395"/>
        <v>8.6341828590985603E-3</v>
      </c>
      <c r="AH3066" s="339" t="str">
        <f>VLOOKUP(B3066,'MF PF'!A:B,2)</f>
        <v>FdMgt2</v>
      </c>
      <c r="AI3066" s="358">
        <f t="shared" si="391"/>
        <v>0</v>
      </c>
      <c r="AJ3066" s="94">
        <f t="shared" si="392"/>
        <v>41759</v>
      </c>
    </row>
    <row r="3067" spans="1:36" ht="12.75" customHeight="1">
      <c r="A3067" s="94">
        <v>41789</v>
      </c>
      <c r="B3067" s="101" t="s">
        <v>94</v>
      </c>
      <c r="C3067" s="358" t="s">
        <v>297</v>
      </c>
      <c r="D3067" s="98">
        <v>10708493.105861999</v>
      </c>
      <c r="E3067" s="9">
        <f t="shared" si="396"/>
        <v>10708493.105861999</v>
      </c>
      <c r="F3067" s="98"/>
      <c r="G3067" s="98"/>
      <c r="H3067" s="98"/>
      <c r="I3067" s="98"/>
      <c r="J3067" s="98"/>
      <c r="K3067" s="7">
        <v>1</v>
      </c>
      <c r="L3067" s="93">
        <f t="shared" si="387"/>
        <v>0</v>
      </c>
      <c r="M3067" s="95">
        <f t="shared" ca="1" si="388"/>
        <v>0</v>
      </c>
      <c r="N3067" s="95">
        <f>IF(P3067="Hedge Fund",IF(A3067=Summary!$AD$3,M3067-E3067,M3067),IF(A3067=Summary!$AD$3,L3067-D3067,L3067))</f>
        <v>0</v>
      </c>
      <c r="O3067" s="95"/>
      <c r="P3067" s="107" t="s">
        <v>155</v>
      </c>
      <c r="Q3067" s="107">
        <v>0</v>
      </c>
      <c r="R3067" s="107">
        <v>0</v>
      </c>
      <c r="S3067" s="107">
        <v>0</v>
      </c>
      <c r="T3067" s="107">
        <v>0</v>
      </c>
      <c r="U3067" s="107"/>
      <c r="V3067" s="107"/>
      <c r="W3067" s="107"/>
      <c r="X3067" s="107"/>
      <c r="Y3067" s="107"/>
      <c r="Z3067" s="107"/>
      <c r="AA3067" s="107"/>
      <c r="AB3067" s="107"/>
      <c r="AC3067" s="355"/>
      <c r="AD3067" s="355"/>
      <c r="AE3067" s="355"/>
      <c r="AF3067" s="94">
        <f t="shared" si="390"/>
        <v>41789</v>
      </c>
      <c r="AG3067" s="185">
        <f t="shared" si="395"/>
        <v>8.6342186650376629E-3</v>
      </c>
      <c r="AH3067" s="339" t="str">
        <f>VLOOKUP(B3067,'MF PF'!A:B,2)</f>
        <v>FdMgt2</v>
      </c>
      <c r="AI3067" s="358">
        <f t="shared" si="391"/>
        <v>0</v>
      </c>
      <c r="AJ3067" s="94">
        <f t="shared" si="392"/>
        <v>41790</v>
      </c>
    </row>
    <row r="3068" spans="1:36" ht="12.75" customHeight="1">
      <c r="A3068" s="94">
        <v>41820</v>
      </c>
      <c r="B3068" s="101" t="s">
        <v>94</v>
      </c>
      <c r="C3068" s="358" t="s">
        <v>297</v>
      </c>
      <c r="D3068" s="98">
        <v>10804043.874846555</v>
      </c>
      <c r="E3068" s="9">
        <f t="shared" si="396"/>
        <v>10804043.874846555</v>
      </c>
      <c r="F3068" s="98"/>
      <c r="G3068" s="98"/>
      <c r="H3068" s="98"/>
      <c r="I3068" s="98"/>
      <c r="J3068" s="98"/>
      <c r="K3068" s="7">
        <v>1</v>
      </c>
      <c r="L3068" s="93">
        <f t="shared" si="387"/>
        <v>0</v>
      </c>
      <c r="M3068" s="95">
        <f t="shared" ca="1" si="388"/>
        <v>0</v>
      </c>
      <c r="N3068" s="95">
        <f>IF(P3068="Hedge Fund",IF(A3068=Summary!$AD$3,M3068-E3068,M3068),IF(A3068=Summary!$AD$3,L3068-D3068,L3068))</f>
        <v>0</v>
      </c>
      <c r="O3068" s="95"/>
      <c r="P3068" s="107" t="s">
        <v>155</v>
      </c>
      <c r="Q3068" s="107">
        <v>0</v>
      </c>
      <c r="R3068" s="107">
        <v>0</v>
      </c>
      <c r="S3068" s="107">
        <v>0</v>
      </c>
      <c r="T3068" s="107">
        <v>0</v>
      </c>
      <c r="U3068" s="107"/>
      <c r="V3068" s="107"/>
      <c r="W3068" s="107"/>
      <c r="X3068" s="107"/>
      <c r="Y3068" s="107"/>
      <c r="Z3068" s="107"/>
      <c r="AA3068" s="107"/>
      <c r="AB3068" s="107"/>
      <c r="AC3068" s="355"/>
      <c r="AD3068" s="355"/>
      <c r="AE3068" s="355"/>
      <c r="AF3068" s="94">
        <f t="shared" si="390"/>
        <v>41820</v>
      </c>
      <c r="AG3068" s="185">
        <f t="shared" si="395"/>
        <v>8.9228958771285782E-3</v>
      </c>
      <c r="AH3068" s="339" t="str">
        <f>VLOOKUP(B3068,'MF PF'!A:B,2)</f>
        <v>FdMgt2</v>
      </c>
      <c r="AI3068" s="358">
        <f t="shared" si="391"/>
        <v>0</v>
      </c>
      <c r="AJ3068" s="94">
        <f t="shared" si="392"/>
        <v>41820</v>
      </c>
    </row>
    <row r="3069" spans="1:36" ht="12.75" customHeight="1">
      <c r="A3069" s="94">
        <v>41851</v>
      </c>
      <c r="B3069" s="101" t="s">
        <v>94</v>
      </c>
      <c r="C3069" s="358" t="s">
        <v>297</v>
      </c>
      <c r="D3069" s="98">
        <v>10900453.286927642</v>
      </c>
      <c r="E3069" s="9">
        <f t="shared" si="396"/>
        <v>10900453.286927642</v>
      </c>
      <c r="F3069" s="98"/>
      <c r="G3069" s="98"/>
      <c r="H3069" s="98"/>
      <c r="I3069" s="98"/>
      <c r="J3069" s="98"/>
      <c r="K3069" s="7">
        <v>1</v>
      </c>
      <c r="L3069" s="93">
        <f t="shared" si="387"/>
        <v>0</v>
      </c>
      <c r="M3069" s="95">
        <f t="shared" ca="1" si="388"/>
        <v>0</v>
      </c>
      <c r="N3069" s="95">
        <f>IF(P3069="Hedge Fund",IF(A3069=Summary!$AD$3,M3069-E3069,M3069),IF(A3069=Summary!$AD$3,L3069-D3069,L3069))</f>
        <v>0</v>
      </c>
      <c r="O3069" s="95"/>
      <c r="P3069" s="107" t="s">
        <v>155</v>
      </c>
      <c r="Q3069" s="107">
        <v>0</v>
      </c>
      <c r="R3069" s="107">
        <v>0</v>
      </c>
      <c r="S3069" s="107">
        <v>0</v>
      </c>
      <c r="T3069" s="107">
        <v>0</v>
      </c>
      <c r="U3069" s="107"/>
      <c r="V3069" s="107"/>
      <c r="W3069" s="107"/>
      <c r="X3069" s="107"/>
      <c r="Y3069" s="107"/>
      <c r="Z3069" s="107"/>
      <c r="AA3069" s="107"/>
      <c r="AB3069" s="107"/>
      <c r="AC3069" s="355"/>
      <c r="AD3069" s="355"/>
      <c r="AE3069" s="355"/>
      <c r="AF3069" s="94">
        <f t="shared" si="390"/>
        <v>41851</v>
      </c>
      <c r="AG3069" s="185">
        <f t="shared" si="395"/>
        <v>8.9234561797313372E-3</v>
      </c>
      <c r="AH3069" s="339" t="str">
        <f>VLOOKUP(B3069,'MF PF'!A:B,2)</f>
        <v>FdMgt2</v>
      </c>
      <c r="AI3069" s="358">
        <f t="shared" si="391"/>
        <v>0</v>
      </c>
      <c r="AJ3069" s="94">
        <f t="shared" si="392"/>
        <v>41851</v>
      </c>
    </row>
    <row r="3070" spans="1:36" ht="12.75" customHeight="1">
      <c r="A3070" s="94">
        <v>41880</v>
      </c>
      <c r="B3070" s="101" t="s">
        <v>94</v>
      </c>
      <c r="C3070" s="358" t="s">
        <v>297</v>
      </c>
      <c r="D3070" s="98">
        <v>0</v>
      </c>
      <c r="E3070" s="9">
        <f t="shared" si="396"/>
        <v>0</v>
      </c>
      <c r="F3070" s="98"/>
      <c r="G3070" s="98"/>
      <c r="H3070" s="98"/>
      <c r="I3070" s="98">
        <v>-10913284.529999999</v>
      </c>
      <c r="J3070" s="98"/>
      <c r="K3070" s="103">
        <v>1</v>
      </c>
      <c r="L3070" s="93">
        <f t="shared" si="387"/>
        <v>-10913284.529999999</v>
      </c>
      <c r="M3070" s="95">
        <f t="shared" ca="1" si="388"/>
        <v>-10913284.529999999</v>
      </c>
      <c r="N3070" s="95">
        <f>IF(P3070="Hedge Fund",IF(A3070=Summary!$AD$3,M3070-E3070,M3070),IF(A3070=Summary!$AD$3,L3070-D3070,L3070))</f>
        <v>-10913284.529999999</v>
      </c>
      <c r="O3070" s="95"/>
      <c r="P3070" s="107" t="s">
        <v>155</v>
      </c>
      <c r="Q3070" s="107">
        <v>0</v>
      </c>
      <c r="R3070" s="107">
        <v>0</v>
      </c>
      <c r="S3070" s="107">
        <v>0</v>
      </c>
      <c r="T3070" s="107">
        <v>0</v>
      </c>
      <c r="U3070" s="107"/>
      <c r="V3070" s="107"/>
      <c r="W3070" s="107"/>
      <c r="X3070" s="107"/>
      <c r="Y3070" s="107"/>
      <c r="Z3070" s="107"/>
      <c r="AA3070" s="107"/>
      <c r="AB3070" s="107"/>
      <c r="AC3070" s="355"/>
      <c r="AD3070" s="355"/>
      <c r="AE3070" s="355"/>
      <c r="AF3070" s="94">
        <f t="shared" si="390"/>
        <v>41880</v>
      </c>
      <c r="AG3070" s="185">
        <f t="shared" si="395"/>
        <v>1.177129311470404E-3</v>
      </c>
      <c r="AH3070" s="339" t="str">
        <f>VLOOKUP(B3070,'MF PF'!A:B,2)</f>
        <v>FdMgt2</v>
      </c>
      <c r="AI3070" s="358">
        <f t="shared" si="391"/>
        <v>0</v>
      </c>
      <c r="AJ3070" s="94">
        <f t="shared" si="392"/>
        <v>41882</v>
      </c>
    </row>
    <row r="3071" spans="1:36" ht="12.75" customHeight="1">
      <c r="A3071" s="94">
        <v>42492</v>
      </c>
      <c r="B3071" s="101" t="s">
        <v>92</v>
      </c>
      <c r="C3071" s="358" t="s">
        <v>297</v>
      </c>
      <c r="D3071" s="98">
        <v>10377013.1771596</v>
      </c>
      <c r="E3071" s="9">
        <f t="shared" si="396"/>
        <v>10374027.213771095</v>
      </c>
      <c r="F3071" s="98"/>
      <c r="G3071" s="98">
        <v>10380000</v>
      </c>
      <c r="H3071" s="98">
        <v>0</v>
      </c>
      <c r="I3071" s="98">
        <v>0</v>
      </c>
      <c r="J3071" s="98"/>
      <c r="K3071" s="7">
        <v>1.0002878306878298</v>
      </c>
      <c r="L3071" s="93">
        <f t="shared" si="387"/>
        <v>10380000</v>
      </c>
      <c r="M3071" s="95">
        <f t="shared" ca="1" si="388"/>
        <v>0</v>
      </c>
      <c r="N3071" s="95">
        <f>IF(P3071="Hedge Fund",IF(A3071=Summary!$AD$3,M3071-E3071,M3071),IF(A3071=Summary!$AD$3,L3071-D3071,L3071))</f>
        <v>10380000</v>
      </c>
      <c r="O3071" s="95"/>
      <c r="P3071" s="107" t="s">
        <v>155</v>
      </c>
      <c r="Q3071" s="107">
        <v>0</v>
      </c>
      <c r="R3071" s="107">
        <v>0</v>
      </c>
      <c r="S3071" s="107">
        <v>0</v>
      </c>
      <c r="T3071" s="107">
        <v>0</v>
      </c>
      <c r="U3071" s="107"/>
      <c r="V3071" s="107"/>
      <c r="W3071" s="107"/>
      <c r="X3071" s="107"/>
      <c r="Y3071" s="107"/>
      <c r="Z3071" s="107"/>
      <c r="AA3071" s="107"/>
      <c r="AB3071" s="107"/>
      <c r="AC3071" s="355"/>
      <c r="AD3071" s="355"/>
      <c r="AE3071" s="355"/>
      <c r="AF3071" s="94">
        <f t="shared" si="390"/>
        <v>42492</v>
      </c>
      <c r="AG3071" s="185" t="e">
        <f t="shared" si="395"/>
        <v>#DIV/0!</v>
      </c>
      <c r="AH3071" s="339" t="str">
        <f>VLOOKUP(B3071,'MF PF'!A:B,2)</f>
        <v>FdMgt2</v>
      </c>
      <c r="AI3071" s="358">
        <f t="shared" si="391"/>
        <v>0</v>
      </c>
      <c r="AJ3071" s="94">
        <f t="shared" si="392"/>
        <v>42521</v>
      </c>
    </row>
    <row r="3072" spans="1:36" ht="12.75" customHeight="1">
      <c r="A3072" s="94">
        <v>42521</v>
      </c>
      <c r="B3072" s="101" t="s">
        <v>92</v>
      </c>
      <c r="C3072" s="358" t="s">
        <v>297</v>
      </c>
      <c r="D3072" s="98">
        <v>10486724.781968523</v>
      </c>
      <c r="E3072" s="9">
        <f t="shared" si="396"/>
        <v>10483707.249299951</v>
      </c>
      <c r="F3072" s="98"/>
      <c r="G3072" s="98"/>
      <c r="H3072" s="98">
        <v>0</v>
      </c>
      <c r="I3072" s="98">
        <v>0</v>
      </c>
      <c r="J3072" s="98"/>
      <c r="K3072" s="7">
        <v>1.0002878306878298</v>
      </c>
      <c r="L3072" s="93">
        <f t="shared" si="387"/>
        <v>0</v>
      </c>
      <c r="M3072" s="95">
        <f t="shared" ca="1" si="388"/>
        <v>0</v>
      </c>
      <c r="N3072" s="95">
        <f>IF(P3072="Hedge Fund",IF(A3072=Summary!$AD$3,M3072-E3072,M3072),IF(A3072=Summary!$AD$3,L3072-D3072,L3072))</f>
        <v>0</v>
      </c>
      <c r="O3072" s="95"/>
      <c r="P3072" s="107" t="s">
        <v>155</v>
      </c>
      <c r="Q3072" s="107">
        <v>2.0833333333333332E-2</v>
      </c>
      <c r="R3072" s="107">
        <v>0</v>
      </c>
      <c r="S3072" s="107">
        <v>0</v>
      </c>
      <c r="T3072" s="107">
        <v>0</v>
      </c>
      <c r="U3072" s="107"/>
      <c r="V3072" s="107"/>
      <c r="W3072" s="107"/>
      <c r="X3072" s="107"/>
      <c r="Y3072" s="107"/>
      <c r="Z3072" s="107"/>
      <c r="AA3072" s="107"/>
      <c r="AB3072" s="107"/>
      <c r="AC3072" s="355"/>
      <c r="AD3072" s="355"/>
      <c r="AE3072" s="355"/>
      <c r="AF3072" s="94">
        <f t="shared" si="390"/>
        <v>42521</v>
      </c>
      <c r="AG3072" s="185">
        <f t="shared" si="395"/>
        <v>1.0572560999575931E-2</v>
      </c>
      <c r="AH3072" s="339" t="str">
        <f>VLOOKUP(B3072,'MF PF'!A:B,2)</f>
        <v>FdMgt2</v>
      </c>
      <c r="AI3072" s="358">
        <f t="shared" si="391"/>
        <v>0</v>
      </c>
      <c r="AJ3072" s="94">
        <f t="shared" si="392"/>
        <v>42521</v>
      </c>
    </row>
    <row r="3073" spans="1:36" ht="12.75" customHeight="1">
      <c r="A3073" s="94">
        <v>42551</v>
      </c>
      <c r="B3073" s="101" t="s">
        <v>92</v>
      </c>
      <c r="C3073" s="358" t="s">
        <v>297</v>
      </c>
      <c r="D3073" s="98">
        <v>12941662.31513188</v>
      </c>
      <c r="E3073" s="9">
        <f t="shared" si="396"/>
        <v>12937938.379429029</v>
      </c>
      <c r="F3073" s="98"/>
      <c r="G3073" s="98"/>
      <c r="H3073" s="98">
        <v>0</v>
      </c>
      <c r="I3073" s="98">
        <v>0</v>
      </c>
      <c r="J3073" s="98"/>
      <c r="K3073" s="7">
        <v>1.0002878306878298</v>
      </c>
      <c r="L3073" s="93">
        <f t="shared" ref="L3073:L3136" si="397">G3073+H3073+I3073</f>
        <v>0</v>
      </c>
      <c r="M3073" s="95">
        <f t="shared" ref="M3073:M3136" ca="1" si="398">IF(A3073&gt;INDIRECT("A"&amp;ROW()-1),I3073/K3073,E3073)</f>
        <v>0</v>
      </c>
      <c r="N3073" s="95">
        <f>IF(P3073="Hedge Fund",IF(A3073=Summary!$AD$3,M3073-E3073,M3073),IF(A3073=Summary!$AD$3,L3073-D3073,L3073))</f>
        <v>0</v>
      </c>
      <c r="O3073" s="95"/>
      <c r="P3073" s="107" t="s">
        <v>155</v>
      </c>
      <c r="Q3073" s="107">
        <v>2.0833333333333332E-2</v>
      </c>
      <c r="R3073" s="107">
        <v>0</v>
      </c>
      <c r="S3073" s="107">
        <v>0</v>
      </c>
      <c r="T3073" s="107">
        <v>0</v>
      </c>
      <c r="U3073" s="107"/>
      <c r="V3073" s="107"/>
      <c r="W3073" s="107"/>
      <c r="X3073" s="107"/>
      <c r="Y3073" s="107"/>
      <c r="Z3073" s="107"/>
      <c r="AA3073" s="107"/>
      <c r="AB3073" s="107"/>
      <c r="AC3073" s="355"/>
      <c r="AD3073" s="355"/>
      <c r="AE3073" s="355"/>
      <c r="AF3073" s="94">
        <f t="shared" ref="AF3073:AF3136" si="399">A3073</f>
        <v>42551</v>
      </c>
      <c r="AG3073" s="185">
        <f t="shared" si="395"/>
        <v>0.23409954816250345</v>
      </c>
      <c r="AH3073" s="339" t="str">
        <f>VLOOKUP(B3073,'MF PF'!A:B,2)</f>
        <v>FdMgt2</v>
      </c>
      <c r="AI3073" s="358">
        <f t="shared" ref="AI3073:AI3136" si="400">AF3073-A3073</f>
        <v>0</v>
      </c>
      <c r="AJ3073" s="94">
        <f t="shared" ref="AJ3073:AJ3136" si="401">EOMONTH(A3073,0)</f>
        <v>42551</v>
      </c>
    </row>
    <row r="3074" spans="1:36" ht="12.75" customHeight="1">
      <c r="A3074" s="94">
        <v>42580</v>
      </c>
      <c r="B3074" s="101" t="s">
        <v>92</v>
      </c>
      <c r="C3074" s="358" t="s">
        <v>297</v>
      </c>
      <c r="D3074" s="98">
        <v>12939780.3823858</v>
      </c>
      <c r="E3074" s="9">
        <f t="shared" si="396"/>
        <v>12936056.988205079</v>
      </c>
      <c r="F3074" s="98"/>
      <c r="G3074" s="98"/>
      <c r="H3074" s="98">
        <v>0</v>
      </c>
      <c r="I3074" s="98">
        <v>0</v>
      </c>
      <c r="J3074" s="98"/>
      <c r="K3074" s="7">
        <v>1.0002878306878298</v>
      </c>
      <c r="L3074" s="93">
        <f t="shared" si="397"/>
        <v>0</v>
      </c>
      <c r="M3074" s="95">
        <f t="shared" ca="1" si="398"/>
        <v>0</v>
      </c>
      <c r="N3074" s="95">
        <f>IF(P3074="Hedge Fund",IF(A3074=Summary!$AD$3,M3074-E3074,M3074),IF(A3074=Summary!$AD$3,L3074-D3074,L3074))</f>
        <v>0</v>
      </c>
      <c r="O3074" s="95"/>
      <c r="P3074" s="107" t="s">
        <v>155</v>
      </c>
      <c r="Q3074" s="107">
        <v>2.0833333333333332E-2</v>
      </c>
      <c r="R3074" s="107">
        <v>0</v>
      </c>
      <c r="S3074" s="107">
        <v>0</v>
      </c>
      <c r="T3074" s="107">
        <v>0</v>
      </c>
      <c r="U3074" s="107"/>
      <c r="V3074" s="107"/>
      <c r="W3074" s="107"/>
      <c r="X3074" s="107"/>
      <c r="Y3074" s="107"/>
      <c r="Z3074" s="107"/>
      <c r="AA3074" s="107"/>
      <c r="AB3074" s="107"/>
      <c r="AC3074" s="355"/>
      <c r="AD3074" s="355"/>
      <c r="AE3074" s="355"/>
      <c r="AF3074" s="94">
        <f t="shared" si="399"/>
        <v>42580</v>
      </c>
      <c r="AG3074" s="185">
        <f t="shared" si="395"/>
        <v>-1.454166165253401E-4</v>
      </c>
      <c r="AH3074" s="339" t="str">
        <f>VLOOKUP(B3074,'MF PF'!A:B,2)</f>
        <v>FdMgt2</v>
      </c>
      <c r="AI3074" s="358">
        <f t="shared" si="400"/>
        <v>0</v>
      </c>
      <c r="AJ3074" s="94">
        <f t="shared" si="401"/>
        <v>42582</v>
      </c>
    </row>
    <row r="3075" spans="1:36" ht="12.75" customHeight="1">
      <c r="A3075" s="97">
        <v>40633</v>
      </c>
      <c r="B3075" s="94" t="s">
        <v>188</v>
      </c>
      <c r="C3075" s="96" t="s">
        <v>298</v>
      </c>
      <c r="D3075" s="110">
        <v>5439919.8303298615</v>
      </c>
      <c r="E3075" s="9">
        <f t="shared" ref="E3075:E3106" si="402">D3075/K3075</f>
        <v>5531500.9606722854</v>
      </c>
      <c r="F3075" s="98">
        <v>20</v>
      </c>
      <c r="G3075" s="98">
        <v>5440000</v>
      </c>
      <c r="H3075" s="98">
        <v>0</v>
      </c>
      <c r="I3075" s="98">
        <v>0</v>
      </c>
      <c r="J3075" s="98"/>
      <c r="K3075" s="7">
        <v>0.98344371066848857</v>
      </c>
      <c r="L3075" s="93">
        <f t="shared" si="397"/>
        <v>5440000</v>
      </c>
      <c r="M3075" s="95">
        <f t="shared" ca="1" si="398"/>
        <v>5531500.9606722854</v>
      </c>
      <c r="N3075" s="95">
        <f>IF(P3075="Hedge Fund",IF(A3075=Summary!$AD$3,M3075-E3075,M3075),IF(A3075=Summary!$AD$3,L3075-D3075,L3075))</f>
        <v>5440000</v>
      </c>
      <c r="O3075" s="95">
        <f t="shared" ref="O3075:O3106" si="403">N3075</f>
        <v>5440000</v>
      </c>
      <c r="P3075" s="107" t="s">
        <v>155</v>
      </c>
      <c r="Q3075" s="107">
        <v>0</v>
      </c>
      <c r="R3075" s="107">
        <v>0</v>
      </c>
      <c r="S3075" s="107">
        <v>3.0904820000000003E-3</v>
      </c>
      <c r="T3075" s="107">
        <v>0</v>
      </c>
      <c r="U3075" s="107" t="s">
        <v>0</v>
      </c>
      <c r="V3075" s="107">
        <v>4.0799398727473957</v>
      </c>
      <c r="W3075" s="107" t="s">
        <v>15</v>
      </c>
      <c r="X3075" s="107">
        <v>1.3599799575824654</v>
      </c>
      <c r="Y3075" s="107"/>
      <c r="Z3075" s="107"/>
      <c r="AA3075" s="107"/>
      <c r="AB3075" s="107"/>
      <c r="AC3075" s="355"/>
      <c r="AD3075" s="355"/>
      <c r="AE3075" s="355"/>
      <c r="AF3075" s="94">
        <f t="shared" si="399"/>
        <v>40633</v>
      </c>
      <c r="AG3075" s="185">
        <f t="shared" si="395"/>
        <v>-1.4737071716619532E-5</v>
      </c>
      <c r="AH3075" s="339" t="str">
        <f>VLOOKUP(B3075,'MF PF'!A:B,2)</f>
        <v>FdMgt1</v>
      </c>
      <c r="AI3075" s="358">
        <f t="shared" si="400"/>
        <v>0</v>
      </c>
      <c r="AJ3075" s="94">
        <f t="shared" si="401"/>
        <v>40633</v>
      </c>
    </row>
    <row r="3076" spans="1:36" ht="12.75" customHeight="1">
      <c r="A3076" s="97">
        <v>40662</v>
      </c>
      <c r="B3076" s="94" t="s">
        <v>188</v>
      </c>
      <c r="C3076" s="96" t="s">
        <v>298</v>
      </c>
      <c r="D3076" s="98">
        <v>6963222.8666041326</v>
      </c>
      <c r="E3076" s="9">
        <f t="shared" si="402"/>
        <v>5617962.1755314358</v>
      </c>
      <c r="F3076" s="98">
        <v>20</v>
      </c>
      <c r="G3076" s="98">
        <v>1440000</v>
      </c>
      <c r="H3076" s="98">
        <v>0</v>
      </c>
      <c r="I3076" s="98">
        <v>0</v>
      </c>
      <c r="J3076" s="98"/>
      <c r="K3076" s="7">
        <v>1.2394570573885078</v>
      </c>
      <c r="L3076" s="93">
        <f t="shared" si="397"/>
        <v>1440000</v>
      </c>
      <c r="M3076" s="95">
        <f t="shared" ca="1" si="398"/>
        <v>0</v>
      </c>
      <c r="N3076" s="95">
        <f>IF(P3076="Hedge Fund",IF(A3076=Summary!$AD$3,M3076-E3076,M3076),IF(A3076=Summary!$AD$3,L3076-D3076,L3076))</f>
        <v>1440000</v>
      </c>
      <c r="O3076" s="95">
        <f t="shared" si="403"/>
        <v>1440000</v>
      </c>
      <c r="P3076" s="107" t="s">
        <v>155</v>
      </c>
      <c r="Q3076" s="107">
        <v>0</v>
      </c>
      <c r="R3076" s="107">
        <v>0</v>
      </c>
      <c r="S3076" s="107">
        <v>6.479285231481482E-3</v>
      </c>
      <c r="T3076" s="107">
        <v>6.3397155578703715E-3</v>
      </c>
      <c r="U3076" s="107" t="s">
        <v>0</v>
      </c>
      <c r="V3076" s="107">
        <v>5.2224171499530989</v>
      </c>
      <c r="W3076" s="107" t="s">
        <v>15</v>
      </c>
      <c r="X3076" s="107">
        <v>1.7408057166510333</v>
      </c>
      <c r="Y3076" s="107"/>
      <c r="Z3076" s="107"/>
      <c r="AA3076" s="107"/>
      <c r="AB3076" s="107"/>
      <c r="AC3076" s="355"/>
      <c r="AD3076" s="355"/>
      <c r="AE3076" s="355"/>
      <c r="AF3076" s="94">
        <f t="shared" si="399"/>
        <v>40662</v>
      </c>
      <c r="AG3076" s="185">
        <f t="shared" si="395"/>
        <v>1.5313283811614564E-2</v>
      </c>
      <c r="AH3076" s="339" t="str">
        <f>VLOOKUP(B3076,'MF PF'!A:B,2)</f>
        <v>FdMgt1</v>
      </c>
      <c r="AI3076" s="358">
        <f t="shared" si="400"/>
        <v>0</v>
      </c>
      <c r="AJ3076" s="94">
        <f t="shared" si="401"/>
        <v>40663</v>
      </c>
    </row>
    <row r="3077" spans="1:36" ht="12.75" customHeight="1">
      <c r="A3077" s="97">
        <v>40694</v>
      </c>
      <c r="B3077" s="94" t="s">
        <v>188</v>
      </c>
      <c r="C3077" s="96" t="s">
        <v>298</v>
      </c>
      <c r="D3077" s="98">
        <v>9241618.556954734</v>
      </c>
      <c r="E3077" s="9">
        <f t="shared" si="402"/>
        <v>5684692.6349293655</v>
      </c>
      <c r="F3077" s="98">
        <v>20</v>
      </c>
      <c r="G3077" s="98">
        <v>2240000</v>
      </c>
      <c r="H3077" s="98">
        <v>0</v>
      </c>
      <c r="I3077" s="98">
        <v>0</v>
      </c>
      <c r="J3077" s="98"/>
      <c r="K3077" s="93">
        <v>1.6257024170788021</v>
      </c>
      <c r="L3077" s="93">
        <f t="shared" si="397"/>
        <v>2240000</v>
      </c>
      <c r="M3077" s="95">
        <f t="shared" ca="1" si="398"/>
        <v>0</v>
      </c>
      <c r="N3077" s="95">
        <f>IF(P3077="Hedge Fund",IF(A3077=Summary!$AD$3,M3077-E3077,M3077),IF(A3077=Summary!$AD$3,L3077-D3077,L3077))</f>
        <v>2240000</v>
      </c>
      <c r="O3077" s="95">
        <f t="shared" si="403"/>
        <v>2240000</v>
      </c>
      <c r="P3077" s="107" t="s">
        <v>155</v>
      </c>
      <c r="Q3077" s="107">
        <v>0</v>
      </c>
      <c r="R3077" s="107">
        <v>0</v>
      </c>
      <c r="S3077" s="107">
        <v>8.3648381944444444E-3</v>
      </c>
      <c r="T3077" s="107">
        <v>7.7633204236111121E-3</v>
      </c>
      <c r="U3077" s="107" t="s">
        <v>0</v>
      </c>
      <c r="V3077" s="107">
        <v>6.9312139177160494</v>
      </c>
      <c r="W3077" s="107" t="s">
        <v>15</v>
      </c>
      <c r="X3077" s="107">
        <v>2.3104046392386843</v>
      </c>
      <c r="Y3077" s="107"/>
      <c r="Z3077" s="107"/>
      <c r="AA3077" s="107"/>
      <c r="AB3077" s="107"/>
      <c r="AC3077" s="355"/>
      <c r="AD3077" s="355"/>
      <c r="AE3077" s="355"/>
      <c r="AF3077" s="94">
        <f t="shared" si="399"/>
        <v>40694</v>
      </c>
      <c r="AG3077" s="185">
        <f t="shared" si="395"/>
        <v>5.5140688566424068E-3</v>
      </c>
      <c r="AH3077" s="339" t="str">
        <f>VLOOKUP(B3077,'MF PF'!A:B,2)</f>
        <v>FdMgt1</v>
      </c>
      <c r="AI3077" s="358">
        <f t="shared" si="400"/>
        <v>0</v>
      </c>
      <c r="AJ3077" s="94">
        <f t="shared" si="401"/>
        <v>40694</v>
      </c>
    </row>
    <row r="3078" spans="1:36" ht="12.75" customHeight="1">
      <c r="A3078" s="97">
        <v>40724</v>
      </c>
      <c r="B3078" s="94" t="s">
        <v>188</v>
      </c>
      <c r="C3078" s="96" t="s">
        <v>298</v>
      </c>
      <c r="D3078" s="98">
        <v>9117203.4608489964</v>
      </c>
      <c r="E3078" s="9">
        <f t="shared" si="402"/>
        <v>5608162.5794907464</v>
      </c>
      <c r="F3078" s="98">
        <v>20</v>
      </c>
      <c r="G3078" s="98">
        <v>0</v>
      </c>
      <c r="H3078" s="98">
        <v>0</v>
      </c>
      <c r="I3078" s="98">
        <v>0</v>
      </c>
      <c r="J3078" s="98"/>
      <c r="K3078" s="93">
        <v>1.6257024170788021</v>
      </c>
      <c r="L3078" s="93">
        <f t="shared" si="397"/>
        <v>0</v>
      </c>
      <c r="M3078" s="95">
        <f t="shared" ca="1" si="398"/>
        <v>0</v>
      </c>
      <c r="N3078" s="95">
        <f>IF(P3078="Hedge Fund",IF(A3078=Summary!$AD$3,M3078-E3078,M3078),IF(A3078=Summary!$AD$3,L3078-D3078,L3078))</f>
        <v>0</v>
      </c>
      <c r="O3078" s="95">
        <f t="shared" si="403"/>
        <v>0</v>
      </c>
      <c r="P3078" s="107" t="s">
        <v>155</v>
      </c>
      <c r="Q3078" s="107">
        <v>0</v>
      </c>
      <c r="R3078" s="107">
        <v>0</v>
      </c>
      <c r="S3078" s="107">
        <v>8.0008648055555562E-3</v>
      </c>
      <c r="T3078" s="107">
        <v>2.7102760416666669E-4</v>
      </c>
      <c r="U3078" s="107" t="s">
        <v>0</v>
      </c>
      <c r="V3078" s="107">
        <v>6.8379025956367459</v>
      </c>
      <c r="W3078" s="107" t="s">
        <v>15</v>
      </c>
      <c r="X3078" s="107">
        <v>2.2793008652122499</v>
      </c>
      <c r="Y3078" s="107"/>
      <c r="Z3078" s="107"/>
      <c r="AA3078" s="107"/>
      <c r="AB3078" s="107"/>
      <c r="AC3078" s="355"/>
      <c r="AD3078" s="355"/>
      <c r="AE3078" s="355"/>
      <c r="AF3078" s="94">
        <f t="shared" si="399"/>
        <v>40724</v>
      </c>
      <c r="AG3078" s="185">
        <f t="shared" ref="AG3078:AG3109" si="404">IF(C3078&lt;&gt;C3077,D3078/G3078-1,(D3078-G3078-I3078-H3078)/(D3077)-1)</f>
        <v>-1.3462479038599762E-2</v>
      </c>
      <c r="AH3078" s="339" t="str">
        <f>VLOOKUP(B3078,'MF PF'!A:B,2)</f>
        <v>FdMgt1</v>
      </c>
      <c r="AI3078" s="358">
        <f t="shared" si="400"/>
        <v>0</v>
      </c>
      <c r="AJ3078" s="94">
        <f t="shared" si="401"/>
        <v>40724</v>
      </c>
    </row>
    <row r="3079" spans="1:36" ht="12.75" customHeight="1">
      <c r="A3079" s="97">
        <v>40753</v>
      </c>
      <c r="B3079" s="94" t="s">
        <v>188</v>
      </c>
      <c r="C3079" s="96" t="s">
        <v>298</v>
      </c>
      <c r="D3079" s="98">
        <v>11074140.605355401</v>
      </c>
      <c r="E3079" s="9">
        <f t="shared" si="402"/>
        <v>5726804.1646914193</v>
      </c>
      <c r="F3079" s="98">
        <v>20</v>
      </c>
      <c r="G3079" s="98">
        <v>1756624</v>
      </c>
      <c r="H3079" s="98">
        <v>0</v>
      </c>
      <c r="I3079" s="98">
        <v>0</v>
      </c>
      <c r="J3079" s="98"/>
      <c r="K3079" s="93">
        <v>1.9337383096898888</v>
      </c>
      <c r="L3079" s="93">
        <f t="shared" si="397"/>
        <v>1756624</v>
      </c>
      <c r="M3079" s="95">
        <f t="shared" ca="1" si="398"/>
        <v>0</v>
      </c>
      <c r="N3079" s="95">
        <f>IF(P3079="Hedge Fund",IF(A3079=Summary!$AD$3,M3079-E3079,M3079),IF(A3079=Summary!$AD$3,L3079-D3079,L3079))</f>
        <v>1756624</v>
      </c>
      <c r="O3079" s="95">
        <f t="shared" si="403"/>
        <v>1756624</v>
      </c>
      <c r="P3079" s="107" t="s">
        <v>155</v>
      </c>
      <c r="Q3079" s="107">
        <v>0</v>
      </c>
      <c r="R3079" s="107">
        <v>0</v>
      </c>
      <c r="S3079" s="107">
        <v>9.151950226713489E-3</v>
      </c>
      <c r="T3079" s="107">
        <v>1.3893436705231903E-2</v>
      </c>
      <c r="U3079" s="107" t="s">
        <v>0</v>
      </c>
      <c r="V3079" s="107">
        <v>8.3056054540165487</v>
      </c>
      <c r="W3079" s="107" t="s">
        <v>15</v>
      </c>
      <c r="X3079" s="107">
        <v>2.7685351513388516</v>
      </c>
      <c r="Y3079" s="107"/>
      <c r="Z3079" s="107"/>
      <c r="AA3079" s="107"/>
      <c r="AB3079" s="107"/>
      <c r="AC3079" s="355"/>
      <c r="AD3079" s="355"/>
      <c r="AE3079" s="355"/>
      <c r="AF3079" s="94">
        <f t="shared" si="399"/>
        <v>40753</v>
      </c>
      <c r="AG3079" s="185">
        <f t="shared" si="404"/>
        <v>2.1970897695393843E-2</v>
      </c>
      <c r="AH3079" s="339" t="str">
        <f>VLOOKUP(B3079,'MF PF'!A:B,2)</f>
        <v>FdMgt1</v>
      </c>
      <c r="AI3079" s="358">
        <f t="shared" si="400"/>
        <v>0</v>
      </c>
      <c r="AJ3079" s="94">
        <f t="shared" si="401"/>
        <v>40755</v>
      </c>
    </row>
    <row r="3080" spans="1:36" ht="12.75" customHeight="1">
      <c r="A3080" s="97">
        <v>40786</v>
      </c>
      <c r="B3080" s="94" t="s">
        <v>188</v>
      </c>
      <c r="C3080" s="96" t="s">
        <v>298</v>
      </c>
      <c r="D3080" s="98">
        <v>11412371.688635422</v>
      </c>
      <c r="E3080" s="9">
        <f t="shared" si="402"/>
        <v>5618404.3421111973</v>
      </c>
      <c r="F3080" s="98">
        <v>20</v>
      </c>
      <c r="G3080" s="98">
        <v>580000</v>
      </c>
      <c r="H3080" s="98">
        <v>0</v>
      </c>
      <c r="I3080" s="98">
        <v>0</v>
      </c>
      <c r="J3080" s="98"/>
      <c r="K3080" s="7">
        <v>2.0312478407965662</v>
      </c>
      <c r="L3080" s="93">
        <f t="shared" si="397"/>
        <v>580000</v>
      </c>
      <c r="M3080" s="95">
        <f t="shared" ca="1" si="398"/>
        <v>0</v>
      </c>
      <c r="N3080" s="95">
        <f>IF(P3080="Hedge Fund",IF(A3080=Summary!$AD$3,M3080-E3080,M3080),IF(A3080=Summary!$AD$3,L3080-D3080,L3080))</f>
        <v>580000</v>
      </c>
      <c r="O3080" s="95">
        <f t="shared" si="403"/>
        <v>580000</v>
      </c>
      <c r="P3080" s="107" t="s">
        <v>155</v>
      </c>
      <c r="Q3080" s="107">
        <v>0</v>
      </c>
      <c r="R3080" s="107">
        <v>0</v>
      </c>
      <c r="S3080" s="107">
        <v>1.0648906212962965E-2</v>
      </c>
      <c r="T3080" s="107">
        <v>3.4242899305555563E-4</v>
      </c>
      <c r="U3080" s="107" t="s">
        <v>0</v>
      </c>
      <c r="V3080" s="107">
        <v>8.5592787664765666</v>
      </c>
      <c r="W3080" s="107" t="s">
        <v>15</v>
      </c>
      <c r="X3080" s="107">
        <v>2.8530929221588566</v>
      </c>
      <c r="Y3080" s="107"/>
      <c r="Z3080" s="107"/>
      <c r="AA3080" s="107"/>
      <c r="AB3080" s="107"/>
      <c r="AC3080" s="355"/>
      <c r="AD3080" s="355"/>
      <c r="AE3080" s="355"/>
      <c r="AF3080" s="94">
        <f t="shared" si="399"/>
        <v>40786</v>
      </c>
      <c r="AG3080" s="185">
        <f t="shared" si="404"/>
        <v>-2.1831844595061489E-2</v>
      </c>
      <c r="AH3080" s="339" t="str">
        <f>VLOOKUP(B3080,'MF PF'!A:B,2)</f>
        <v>FdMgt1</v>
      </c>
      <c r="AI3080" s="358">
        <f t="shared" si="400"/>
        <v>0</v>
      </c>
      <c r="AJ3080" s="94">
        <f t="shared" si="401"/>
        <v>40786</v>
      </c>
    </row>
    <row r="3081" spans="1:36" ht="12.75" customHeight="1">
      <c r="A3081" s="97">
        <v>40816</v>
      </c>
      <c r="B3081" s="94" t="s">
        <v>188</v>
      </c>
      <c r="C3081" s="96" t="s">
        <v>298</v>
      </c>
      <c r="D3081" s="98">
        <v>12201220.449999999</v>
      </c>
      <c r="E3081" s="9">
        <f t="shared" si="402"/>
        <v>5547816.2166290497</v>
      </c>
      <c r="F3081" s="98">
        <v>20</v>
      </c>
      <c r="G3081" s="98">
        <v>960000</v>
      </c>
      <c r="H3081" s="98">
        <v>0</v>
      </c>
      <c r="I3081" s="98">
        <v>0</v>
      </c>
      <c r="J3081" s="98"/>
      <c r="K3081" s="7">
        <v>2.1992834610180498</v>
      </c>
      <c r="L3081" s="93">
        <f t="shared" si="397"/>
        <v>960000</v>
      </c>
      <c r="M3081" s="95">
        <f t="shared" ca="1" si="398"/>
        <v>0</v>
      </c>
      <c r="N3081" s="95">
        <f>IF(P3081="Hedge Fund",IF(A3081=Summary!$AD$3,M3081-E3081,M3081),IF(A3081=Summary!$AD$3,L3081-D3081,L3081))</f>
        <v>960000</v>
      </c>
      <c r="O3081" s="95">
        <f t="shared" si="403"/>
        <v>960000</v>
      </c>
      <c r="P3081" s="107" t="s">
        <v>155</v>
      </c>
      <c r="Q3081" s="107">
        <v>0</v>
      </c>
      <c r="R3081" s="107">
        <v>0</v>
      </c>
      <c r="S3081" s="107">
        <v>1.0229916028370039E-2</v>
      </c>
      <c r="T3081" s="107">
        <v>3.2261447041383509E-4</v>
      </c>
      <c r="U3081" s="107" t="s">
        <v>0</v>
      </c>
      <c r="V3081" s="107">
        <v>9.1509153399999992</v>
      </c>
      <c r="W3081" s="107" t="s">
        <v>15</v>
      </c>
      <c r="X3081" s="107">
        <v>3.05030511</v>
      </c>
      <c r="Y3081" s="107"/>
      <c r="Z3081" s="107"/>
      <c r="AA3081" s="107"/>
      <c r="AB3081" s="107"/>
      <c r="AC3081" s="355"/>
      <c r="AD3081" s="355"/>
      <c r="AE3081" s="355"/>
      <c r="AF3081" s="94">
        <f t="shared" si="399"/>
        <v>40816</v>
      </c>
      <c r="AG3081" s="185">
        <f t="shared" si="404"/>
        <v>-1.4996991274465521E-2</v>
      </c>
      <c r="AH3081" s="339" t="str">
        <f>VLOOKUP(B3081,'MF PF'!A:B,2)</f>
        <v>FdMgt1</v>
      </c>
      <c r="AI3081" s="358">
        <f t="shared" si="400"/>
        <v>0</v>
      </c>
      <c r="AJ3081" s="94">
        <f t="shared" si="401"/>
        <v>40816</v>
      </c>
    </row>
    <row r="3082" spans="1:36" ht="12.75" customHeight="1">
      <c r="A3082" s="97">
        <v>40847</v>
      </c>
      <c r="B3082" s="94" t="s">
        <v>188</v>
      </c>
      <c r="C3082" s="96" t="s">
        <v>298</v>
      </c>
      <c r="D3082" s="98">
        <v>12066360.928115284</v>
      </c>
      <c r="E3082" s="95">
        <f t="shared" si="402"/>
        <v>5486496.4621385168</v>
      </c>
      <c r="F3082" s="98">
        <v>20</v>
      </c>
      <c r="G3082" s="98">
        <v>0</v>
      </c>
      <c r="H3082" s="98">
        <v>0</v>
      </c>
      <c r="I3082" s="98">
        <v>0</v>
      </c>
      <c r="J3082" s="98"/>
      <c r="K3082" s="93">
        <v>2.1992834610180498</v>
      </c>
      <c r="L3082" s="93">
        <f t="shared" si="397"/>
        <v>0</v>
      </c>
      <c r="M3082" s="95">
        <f t="shared" ca="1" si="398"/>
        <v>0</v>
      </c>
      <c r="N3082" s="95">
        <f>IF(P3082="Hedge Fund",IF(A3082=Summary!$AD$3,M3082-E3082,M3082),IF(A3082=Summary!$AD$3,L3082-D3082,L3082))</f>
        <v>0</v>
      </c>
      <c r="O3082" s="95">
        <f t="shared" si="403"/>
        <v>0</v>
      </c>
      <c r="P3082" s="107" t="s">
        <v>155</v>
      </c>
      <c r="Q3082" s="107">
        <v>0</v>
      </c>
      <c r="R3082" s="107">
        <v>0</v>
      </c>
      <c r="S3082" s="107">
        <v>1.0448280539001325E-2</v>
      </c>
      <c r="T3082" s="107">
        <v>3.2951684054385942E-4</v>
      </c>
      <c r="U3082" s="107" t="s">
        <v>0</v>
      </c>
      <c r="V3082" s="107">
        <v>9.0497706960864601</v>
      </c>
      <c r="W3082" s="107" t="s">
        <v>15</v>
      </c>
      <c r="X3082" s="107">
        <v>3.0165902320288227</v>
      </c>
      <c r="Y3082" s="107"/>
      <c r="Z3082" s="107"/>
      <c r="AA3082" s="107"/>
      <c r="AB3082" s="107"/>
      <c r="AC3082" s="355"/>
      <c r="AD3082" s="355"/>
      <c r="AE3082" s="355"/>
      <c r="AF3082" s="94">
        <f t="shared" si="399"/>
        <v>40847</v>
      </c>
      <c r="AG3082" s="185">
        <f t="shared" si="404"/>
        <v>-1.1052953467840632E-2</v>
      </c>
      <c r="AH3082" s="339" t="str">
        <f>VLOOKUP(B3082,'MF PF'!A:B,2)</f>
        <v>FdMgt1</v>
      </c>
      <c r="AI3082" s="358">
        <f t="shared" si="400"/>
        <v>0</v>
      </c>
      <c r="AJ3082" s="94">
        <f t="shared" si="401"/>
        <v>40847</v>
      </c>
    </row>
    <row r="3083" spans="1:36" ht="12.75" customHeight="1">
      <c r="A3083" s="97">
        <v>40877</v>
      </c>
      <c r="B3083" s="94" t="s">
        <v>188</v>
      </c>
      <c r="C3083" s="96" t="s">
        <v>298</v>
      </c>
      <c r="D3083" s="98">
        <v>13278731.665019356</v>
      </c>
      <c r="E3083" s="95">
        <f t="shared" si="402"/>
        <v>5599629.342714793</v>
      </c>
      <c r="F3083" s="98">
        <v>20</v>
      </c>
      <c r="G3083" s="98">
        <v>960000</v>
      </c>
      <c r="H3083" s="98">
        <v>0</v>
      </c>
      <c r="I3083" s="98">
        <v>0</v>
      </c>
      <c r="J3083" s="98"/>
      <c r="K3083" s="93">
        <v>2.3713590404506322</v>
      </c>
      <c r="L3083" s="93">
        <f t="shared" si="397"/>
        <v>960000</v>
      </c>
      <c r="M3083" s="95">
        <f t="shared" ca="1" si="398"/>
        <v>0</v>
      </c>
      <c r="N3083" s="95">
        <f>IF(P3083="Hedge Fund",IF(A3083=Summary!$AD$3,M3083-E3083,M3083),IF(A3083=Summary!$AD$3,L3083-D3083,L3083))</f>
        <v>960000</v>
      </c>
      <c r="O3083" s="95">
        <f t="shared" si="403"/>
        <v>960000</v>
      </c>
      <c r="P3083" s="107" t="s">
        <v>155</v>
      </c>
      <c r="Q3083" s="107">
        <v>0</v>
      </c>
      <c r="R3083" s="107">
        <v>0</v>
      </c>
      <c r="S3083" s="107">
        <v>1.105366821451479E-2</v>
      </c>
      <c r="T3083" s="107">
        <v>3.4082557197318404E-4</v>
      </c>
      <c r="U3083" s="107" t="s">
        <v>0</v>
      </c>
      <c r="V3083" s="107">
        <v>9.9590487487645163</v>
      </c>
      <c r="W3083" s="107" t="s">
        <v>15</v>
      </c>
      <c r="X3083" s="107">
        <v>3.3196829162548402</v>
      </c>
      <c r="Y3083" s="107"/>
      <c r="Z3083" s="107"/>
      <c r="AA3083" s="107"/>
      <c r="AB3083" s="107"/>
      <c r="AC3083" s="355"/>
      <c r="AD3083" s="355"/>
      <c r="AE3083" s="355"/>
      <c r="AF3083" s="94">
        <f t="shared" si="399"/>
        <v>40877</v>
      </c>
      <c r="AG3083" s="185">
        <f t="shared" si="404"/>
        <v>2.0915231891997621E-2</v>
      </c>
      <c r="AH3083" s="339" t="str">
        <f>VLOOKUP(B3083,'MF PF'!A:B,2)</f>
        <v>FdMgt1</v>
      </c>
      <c r="AI3083" s="358">
        <f t="shared" si="400"/>
        <v>0</v>
      </c>
      <c r="AJ3083" s="94">
        <f t="shared" si="401"/>
        <v>40877</v>
      </c>
    </row>
    <row r="3084" spans="1:36" ht="12.75" customHeight="1">
      <c r="A3084" s="97">
        <v>40907</v>
      </c>
      <c r="B3084" s="94" t="s">
        <v>188</v>
      </c>
      <c r="C3084" s="96" t="s">
        <v>298</v>
      </c>
      <c r="D3084" s="98">
        <v>18738539.340648819</v>
      </c>
      <c r="E3084" s="95">
        <f t="shared" si="402"/>
        <v>5704961.8956675557</v>
      </c>
      <c r="F3084" s="98">
        <v>20</v>
      </c>
      <c r="G3084" s="98">
        <v>5200000</v>
      </c>
      <c r="H3084" s="98">
        <v>0</v>
      </c>
      <c r="I3084" s="98">
        <v>0</v>
      </c>
      <c r="J3084" s="98"/>
      <c r="K3084" s="93">
        <v>3.2846037683230067</v>
      </c>
      <c r="L3084" s="93">
        <f t="shared" si="397"/>
        <v>5200000</v>
      </c>
      <c r="M3084" s="95">
        <f t="shared" ca="1" si="398"/>
        <v>0</v>
      </c>
      <c r="N3084" s="95">
        <f>IF(P3084="Hedge Fund",IF(A3084=Summary!$AD$3,M3084-E3084,M3084),IF(A3084=Summary!$AD$3,L3084-D3084,L3084))</f>
        <v>5200000</v>
      </c>
      <c r="O3084" s="95">
        <f t="shared" si="403"/>
        <v>5200000</v>
      </c>
      <c r="P3084" s="107" t="s">
        <v>155</v>
      </c>
      <c r="Q3084" s="107">
        <v>0</v>
      </c>
      <c r="R3084" s="107">
        <v>0</v>
      </c>
      <c r="S3084" s="107">
        <v>1.4977314171483845E-2</v>
      </c>
      <c r="T3084" s="107">
        <v>7.1214351973376173E-3</v>
      </c>
      <c r="U3084" s="107" t="s">
        <v>0</v>
      </c>
      <c r="V3084" s="107">
        <v>14.05390450548661</v>
      </c>
      <c r="W3084" s="107" t="s">
        <v>15</v>
      </c>
      <c r="X3084" s="107">
        <v>4.684634835162206</v>
      </c>
      <c r="Y3084" s="107"/>
      <c r="Z3084" s="107"/>
      <c r="AA3084" s="107"/>
      <c r="AB3084" s="107"/>
      <c r="AC3084" s="355"/>
      <c r="AD3084" s="355"/>
      <c r="AE3084" s="355"/>
      <c r="AF3084" s="94">
        <f t="shared" si="399"/>
        <v>40907</v>
      </c>
      <c r="AG3084" s="185">
        <f t="shared" si="404"/>
        <v>1.9565699660448965E-2</v>
      </c>
      <c r="AH3084" s="339" t="str">
        <f>VLOOKUP(B3084,'MF PF'!A:B,2)</f>
        <v>FdMgt1</v>
      </c>
      <c r="AI3084" s="358">
        <f t="shared" si="400"/>
        <v>0</v>
      </c>
      <c r="AJ3084" s="94">
        <f t="shared" si="401"/>
        <v>40908</v>
      </c>
    </row>
    <row r="3085" spans="1:36" ht="12.75" customHeight="1">
      <c r="A3085" s="97">
        <v>40939</v>
      </c>
      <c r="B3085" s="94" t="s">
        <v>188</v>
      </c>
      <c r="C3085" s="96" t="s">
        <v>298</v>
      </c>
      <c r="D3085" s="98">
        <v>18688107.043579143</v>
      </c>
      <c r="E3085" s="9">
        <f t="shared" si="402"/>
        <v>5689607.7462398382</v>
      </c>
      <c r="F3085" s="98">
        <v>20</v>
      </c>
      <c r="G3085" s="98">
        <v>0</v>
      </c>
      <c r="H3085" s="98">
        <v>0</v>
      </c>
      <c r="I3085" s="98">
        <v>0</v>
      </c>
      <c r="J3085" s="98"/>
      <c r="K3085" s="93">
        <v>3.2846037683230067</v>
      </c>
      <c r="L3085" s="93">
        <f t="shared" si="397"/>
        <v>0</v>
      </c>
      <c r="M3085" s="95">
        <f t="shared" ca="1" si="398"/>
        <v>0</v>
      </c>
      <c r="N3085" s="95">
        <f>IF(P3085="Hedge Fund",IF(A3085=Summary!$AD$3,M3085-E3085,M3085),IF(A3085=Summary!$AD$3,L3085-D3085,L3085))</f>
        <v>0</v>
      </c>
      <c r="O3085" s="95">
        <f t="shared" si="403"/>
        <v>0</v>
      </c>
      <c r="P3085" s="107" t="s">
        <v>155</v>
      </c>
      <c r="Q3085" s="107">
        <v>0</v>
      </c>
      <c r="R3085" s="107">
        <v>0</v>
      </c>
      <c r="S3085" s="107">
        <v>1.5916557592592594E-2</v>
      </c>
      <c r="T3085" s="107">
        <v>1.5806055000000001E-3</v>
      </c>
      <c r="U3085" s="107" t="s">
        <v>0</v>
      </c>
      <c r="V3085" s="107">
        <v>14.016080282684351</v>
      </c>
      <c r="W3085" s="107" t="s">
        <v>15</v>
      </c>
      <c r="X3085" s="107">
        <v>4.6720267608947887</v>
      </c>
      <c r="Y3085" s="107"/>
      <c r="Z3085" s="107"/>
      <c r="AA3085" s="107"/>
      <c r="AB3085" s="107"/>
      <c r="AC3085" s="355"/>
      <c r="AD3085" s="355"/>
      <c r="AE3085" s="355"/>
      <c r="AF3085" s="94">
        <f t="shared" si="399"/>
        <v>40939</v>
      </c>
      <c r="AG3085" s="185">
        <f t="shared" si="404"/>
        <v>-2.6913675688838845E-3</v>
      </c>
      <c r="AH3085" s="339" t="str">
        <f>VLOOKUP(B3085,'MF PF'!A:B,2)</f>
        <v>FdMgt1</v>
      </c>
      <c r="AI3085" s="358">
        <f t="shared" si="400"/>
        <v>0</v>
      </c>
      <c r="AJ3085" s="94">
        <f t="shared" si="401"/>
        <v>40939</v>
      </c>
    </row>
    <row r="3086" spans="1:36" ht="12.75" customHeight="1">
      <c r="A3086" s="97">
        <v>40968</v>
      </c>
      <c r="B3086" s="94" t="s">
        <v>188</v>
      </c>
      <c r="C3086" s="96" t="s">
        <v>298</v>
      </c>
      <c r="D3086" s="98">
        <v>19871660.301793132</v>
      </c>
      <c r="E3086" s="95">
        <f t="shared" si="402"/>
        <v>5629013.3591202339</v>
      </c>
      <c r="F3086" s="98">
        <v>20</v>
      </c>
      <c r="G3086" s="98">
        <v>1423376</v>
      </c>
      <c r="H3086" s="98">
        <v>0</v>
      </c>
      <c r="I3086" s="98">
        <v>-506667</v>
      </c>
      <c r="J3086" s="98"/>
      <c r="K3086" s="93">
        <v>3.5302208458249069</v>
      </c>
      <c r="L3086" s="93">
        <f t="shared" si="397"/>
        <v>916709</v>
      </c>
      <c r="M3086" s="95">
        <f t="shared" ca="1" si="398"/>
        <v>-143522.7488952202</v>
      </c>
      <c r="N3086" s="95">
        <f>IF(P3086="Hedge Fund",IF(A3086=Summary!$AD$3,M3086-E3086,M3086),IF(A3086=Summary!$AD$3,L3086-D3086,L3086))</f>
        <v>916709</v>
      </c>
      <c r="O3086" s="95">
        <f t="shared" si="403"/>
        <v>916709</v>
      </c>
      <c r="P3086" s="107" t="s">
        <v>155</v>
      </c>
      <c r="Q3086" s="107">
        <v>0</v>
      </c>
      <c r="R3086" s="107">
        <v>0</v>
      </c>
      <c r="S3086" s="107">
        <v>1.5626680064814817E-2</v>
      </c>
      <c r="T3086" s="107">
        <v>2.1790995784722229E-2</v>
      </c>
      <c r="U3086" s="107" t="s">
        <v>0</v>
      </c>
      <c r="V3086" s="107">
        <v>14.903745476344849</v>
      </c>
      <c r="W3086" s="107" t="s">
        <v>15</v>
      </c>
      <c r="X3086" s="107">
        <v>4.9679148254482861</v>
      </c>
      <c r="Y3086" s="107"/>
      <c r="Z3086" s="107"/>
      <c r="AA3086" s="107"/>
      <c r="AB3086" s="107"/>
      <c r="AC3086" s="355"/>
      <c r="AD3086" s="355"/>
      <c r="AE3086" s="355"/>
      <c r="AF3086" s="94">
        <f t="shared" si="399"/>
        <v>40968</v>
      </c>
      <c r="AG3086" s="185">
        <f t="shared" si="404"/>
        <v>1.4278827576903907E-2</v>
      </c>
      <c r="AH3086" s="339" t="str">
        <f>VLOOKUP(B3086,'MF PF'!A:B,2)</f>
        <v>FdMgt1</v>
      </c>
      <c r="AI3086" s="358">
        <f t="shared" si="400"/>
        <v>0</v>
      </c>
      <c r="AJ3086" s="94">
        <f t="shared" si="401"/>
        <v>40968</v>
      </c>
    </row>
    <row r="3087" spans="1:36" ht="12.75" customHeight="1">
      <c r="A3087" s="97">
        <v>40998</v>
      </c>
      <c r="B3087" s="94" t="s">
        <v>188</v>
      </c>
      <c r="C3087" s="96" t="s">
        <v>298</v>
      </c>
      <c r="D3087" s="98">
        <v>20386278.47693345</v>
      </c>
      <c r="E3087" s="9">
        <f t="shared" si="402"/>
        <v>5774788.4246515986</v>
      </c>
      <c r="F3087" s="98">
        <v>20</v>
      </c>
      <c r="G3087" s="98">
        <v>0</v>
      </c>
      <c r="H3087" s="98">
        <v>0</v>
      </c>
      <c r="I3087" s="98">
        <v>0</v>
      </c>
      <c r="J3087" s="98"/>
      <c r="K3087" s="93">
        <v>3.5302208458249069</v>
      </c>
      <c r="L3087" s="93">
        <f t="shared" si="397"/>
        <v>0</v>
      </c>
      <c r="M3087" s="95">
        <f t="shared" ca="1" si="398"/>
        <v>0</v>
      </c>
      <c r="N3087" s="95">
        <f>IF(P3087="Hedge Fund",IF(A3087=Summary!$AD$3,M3087-E3087,M3087),IF(A3087=Summary!$AD$3,L3087-D3087,L3087))</f>
        <v>0</v>
      </c>
      <c r="O3087" s="95">
        <f t="shared" si="403"/>
        <v>0</v>
      </c>
      <c r="P3087" s="107" t="s">
        <v>155</v>
      </c>
      <c r="Q3087" s="107">
        <v>0</v>
      </c>
      <c r="R3087" s="107">
        <v>0</v>
      </c>
      <c r="S3087" s="107">
        <v>1.6565295537037037E-2</v>
      </c>
      <c r="T3087" s="107">
        <v>6.3902603203703709E-2</v>
      </c>
      <c r="U3087" s="107" t="s">
        <v>0</v>
      </c>
      <c r="V3087" s="107">
        <v>15.2897091077001</v>
      </c>
      <c r="W3087" s="107" t="s">
        <v>15</v>
      </c>
      <c r="X3087" s="107">
        <v>5.0965693692333502</v>
      </c>
      <c r="Y3087" s="107"/>
      <c r="Z3087" s="107"/>
      <c r="AA3087" s="107"/>
      <c r="AB3087" s="107"/>
      <c r="AC3087" s="355"/>
      <c r="AD3087" s="355"/>
      <c r="AE3087" s="355"/>
      <c r="AF3087" s="94">
        <f t="shared" si="399"/>
        <v>40998</v>
      </c>
      <c r="AG3087" s="185">
        <f t="shared" si="404"/>
        <v>2.589708999272089E-2</v>
      </c>
      <c r="AH3087" s="339" t="str">
        <f>VLOOKUP(B3087,'MF PF'!A:B,2)</f>
        <v>FdMgt1</v>
      </c>
      <c r="AI3087" s="358">
        <f t="shared" si="400"/>
        <v>0</v>
      </c>
      <c r="AJ3087" s="94">
        <f t="shared" si="401"/>
        <v>40999</v>
      </c>
    </row>
    <row r="3088" spans="1:36" ht="12.75" customHeight="1">
      <c r="A3088" s="97">
        <v>41029</v>
      </c>
      <c r="B3088" s="94" t="s">
        <v>188</v>
      </c>
      <c r="C3088" s="96" t="s">
        <v>298</v>
      </c>
      <c r="D3088" s="98">
        <v>20996803.877107341</v>
      </c>
      <c r="E3088" s="9">
        <f t="shared" si="402"/>
        <v>5947730.9760775082</v>
      </c>
      <c r="F3088" s="98">
        <v>20</v>
      </c>
      <c r="G3088" s="98">
        <v>0</v>
      </c>
      <c r="H3088" s="98">
        <v>0</v>
      </c>
      <c r="I3088" s="98">
        <v>0</v>
      </c>
      <c r="J3088" s="98"/>
      <c r="K3088" s="93">
        <v>3.5302208458249069</v>
      </c>
      <c r="L3088" s="93">
        <f t="shared" si="397"/>
        <v>0</v>
      </c>
      <c r="M3088" s="95">
        <f t="shared" ca="1" si="398"/>
        <v>0</v>
      </c>
      <c r="N3088" s="95">
        <f>IF(P3088="Hedge Fund",IF(A3088=Summary!$AD$3,M3088-E3088,M3088),IF(A3088=Summary!$AD$3,L3088-D3088,L3088))</f>
        <v>0</v>
      </c>
      <c r="O3088" s="95">
        <f t="shared" si="403"/>
        <v>0</v>
      </c>
      <c r="P3088" s="107" t="s">
        <v>155</v>
      </c>
      <c r="Q3088" s="107">
        <v>0</v>
      </c>
      <c r="R3088" s="107">
        <v>0</v>
      </c>
      <c r="S3088" s="107">
        <v>1.7606188407407408E-2</v>
      </c>
      <c r="T3088" s="107">
        <v>0.11674443673148151</v>
      </c>
      <c r="U3088" s="107" t="s">
        <v>0</v>
      </c>
      <c r="V3088" s="107">
        <v>15.7476031578305</v>
      </c>
      <c r="W3088" s="107" t="s">
        <v>15</v>
      </c>
      <c r="X3088" s="107">
        <v>5.24920071927684</v>
      </c>
      <c r="Y3088" s="107"/>
      <c r="Z3088" s="107"/>
      <c r="AA3088" s="107"/>
      <c r="AB3088" s="107"/>
      <c r="AC3088" s="355"/>
      <c r="AD3088" s="355"/>
      <c r="AE3088" s="355"/>
      <c r="AF3088" s="94">
        <f t="shared" si="399"/>
        <v>41029</v>
      </c>
      <c r="AG3088" s="185">
        <f t="shared" si="404"/>
        <v>2.9947859334144011E-2</v>
      </c>
      <c r="AH3088" s="339" t="str">
        <f>VLOOKUP(B3088,'MF PF'!A:B,2)</f>
        <v>FdMgt1</v>
      </c>
      <c r="AI3088" s="358">
        <f t="shared" si="400"/>
        <v>0</v>
      </c>
      <c r="AJ3088" s="94">
        <f t="shared" si="401"/>
        <v>41029</v>
      </c>
    </row>
    <row r="3089" spans="1:36" ht="12.75" customHeight="1">
      <c r="A3089" s="97">
        <v>41060</v>
      </c>
      <c r="B3089" s="94" t="s">
        <v>188</v>
      </c>
      <c r="C3089" s="96" t="s">
        <v>298</v>
      </c>
      <c r="D3089" s="98">
        <v>21105407.251500808</v>
      </c>
      <c r="E3089" s="9">
        <f t="shared" si="402"/>
        <v>5978494.8798491117</v>
      </c>
      <c r="F3089" s="98">
        <v>20</v>
      </c>
      <c r="G3089" s="98">
        <v>0</v>
      </c>
      <c r="H3089" s="98">
        <v>0</v>
      </c>
      <c r="I3089" s="98">
        <v>0</v>
      </c>
      <c r="J3089" s="98"/>
      <c r="K3089" s="93">
        <v>3.5302208458249069</v>
      </c>
      <c r="L3089" s="93">
        <f t="shared" si="397"/>
        <v>0</v>
      </c>
      <c r="M3089" s="95">
        <f t="shared" ca="1" si="398"/>
        <v>0</v>
      </c>
      <c r="N3089" s="95">
        <f>IF(P3089="Hedge Fund",IF(A3089=Summary!$AD$3,M3089-E3089,M3089),IF(A3089=Summary!$AD$3,L3089-D3089,L3089))</f>
        <v>0</v>
      </c>
      <c r="O3089" s="95">
        <f t="shared" si="403"/>
        <v>0</v>
      </c>
      <c r="P3089" s="107" t="s">
        <v>155</v>
      </c>
      <c r="Q3089" s="107">
        <v>0</v>
      </c>
      <c r="R3089" s="107">
        <v>0</v>
      </c>
      <c r="S3089" s="107">
        <v>1.7684097453703702E-2</v>
      </c>
      <c r="T3089" s="107">
        <v>0.12172395858796296</v>
      </c>
      <c r="U3089" s="107" t="s">
        <v>0</v>
      </c>
      <c r="V3089" s="107">
        <v>15.8290556886256</v>
      </c>
      <c r="W3089" s="107" t="s">
        <v>15</v>
      </c>
      <c r="X3089" s="107">
        <v>5.2763515628752096</v>
      </c>
      <c r="Y3089" s="107"/>
      <c r="Z3089" s="107"/>
      <c r="AA3089" s="107"/>
      <c r="AB3089" s="107"/>
      <c r="AC3089" s="355"/>
      <c r="AD3089" s="355"/>
      <c r="AE3089" s="355"/>
      <c r="AF3089" s="94">
        <f t="shared" si="399"/>
        <v>41060</v>
      </c>
      <c r="AG3089" s="185">
        <f t="shared" si="404"/>
        <v>5.1723764735391864E-3</v>
      </c>
      <c r="AH3089" s="339" t="str">
        <f>VLOOKUP(B3089,'MF PF'!A:B,2)</f>
        <v>FdMgt1</v>
      </c>
      <c r="AI3089" s="358">
        <f t="shared" si="400"/>
        <v>0</v>
      </c>
      <c r="AJ3089" s="94">
        <f t="shared" si="401"/>
        <v>41060</v>
      </c>
    </row>
    <row r="3090" spans="1:36" ht="12.75" customHeight="1">
      <c r="A3090" s="97">
        <v>41089</v>
      </c>
      <c r="B3090" s="94" t="s">
        <v>188</v>
      </c>
      <c r="C3090" s="96" t="s">
        <v>298</v>
      </c>
      <c r="D3090" s="98">
        <v>15856006.646431472</v>
      </c>
      <c r="E3090" s="9">
        <f t="shared" si="402"/>
        <v>4491505.5853188122</v>
      </c>
      <c r="F3090" s="98">
        <v>20</v>
      </c>
      <c r="G3090" s="98">
        <v>0</v>
      </c>
      <c r="H3090" s="98">
        <v>0</v>
      </c>
      <c r="I3090" s="98">
        <v>-5084657.16</v>
      </c>
      <c r="J3090" s="98"/>
      <c r="K3090" s="93">
        <v>3.5302208458249069</v>
      </c>
      <c r="L3090" s="93">
        <f t="shared" si="397"/>
        <v>-5084657.16</v>
      </c>
      <c r="M3090" s="95">
        <f t="shared" ca="1" si="398"/>
        <v>-1440322.6829317156</v>
      </c>
      <c r="N3090" s="95">
        <f>IF(P3090="Hedge Fund",IF(A3090=Summary!$AD$3,M3090-E3090,M3090),IF(A3090=Summary!$AD$3,L3090-D3090,L3090))</f>
        <v>-5084657.16</v>
      </c>
      <c r="O3090" s="95">
        <f t="shared" si="403"/>
        <v>-5084657.16</v>
      </c>
      <c r="P3090" s="107" t="s">
        <v>155</v>
      </c>
      <c r="Q3090" s="107">
        <v>0</v>
      </c>
      <c r="R3090" s="107">
        <v>0</v>
      </c>
      <c r="S3090" s="107">
        <v>1.2481193490740741E-2</v>
      </c>
      <c r="T3090" s="107">
        <v>0.10674695115046298</v>
      </c>
      <c r="U3090" s="107" t="s">
        <v>0</v>
      </c>
      <c r="V3090" s="107">
        <v>11.8920052348236</v>
      </c>
      <c r="W3090" s="107" t="s">
        <v>15</v>
      </c>
      <c r="X3090" s="107">
        <v>3.9640014116078701</v>
      </c>
      <c r="Y3090" s="107"/>
      <c r="Z3090" s="107"/>
      <c r="AA3090" s="107"/>
      <c r="AB3090" s="107"/>
      <c r="AC3090" s="355"/>
      <c r="AD3090" s="355"/>
      <c r="AE3090" s="355"/>
      <c r="AF3090" s="94">
        <f t="shared" si="399"/>
        <v>41089</v>
      </c>
      <c r="AG3090" s="185">
        <f t="shared" si="404"/>
        <v>-7.8057458501598065E-3</v>
      </c>
      <c r="AH3090" s="339" t="str">
        <f>VLOOKUP(B3090,'MF PF'!A:B,2)</f>
        <v>FdMgt1</v>
      </c>
      <c r="AI3090" s="358">
        <f t="shared" si="400"/>
        <v>0</v>
      </c>
      <c r="AJ3090" s="94">
        <f t="shared" si="401"/>
        <v>41090</v>
      </c>
    </row>
    <row r="3091" spans="1:36" ht="12.75" customHeight="1">
      <c r="A3091" s="97">
        <v>41121</v>
      </c>
      <c r="B3091" s="94" t="s">
        <v>188</v>
      </c>
      <c r="C3091" s="96" t="s">
        <v>298</v>
      </c>
      <c r="D3091" s="98">
        <v>16124571.248880671</v>
      </c>
      <c r="E3091" s="95">
        <f t="shared" si="402"/>
        <v>4567581.4497415219</v>
      </c>
      <c r="F3091" s="98">
        <v>20</v>
      </c>
      <c r="G3091" s="98">
        <v>0</v>
      </c>
      <c r="H3091" s="98">
        <v>0</v>
      </c>
      <c r="I3091" s="98">
        <v>0</v>
      </c>
      <c r="J3091" s="98"/>
      <c r="K3091" s="93">
        <v>3.5302208458249069</v>
      </c>
      <c r="L3091" s="93">
        <f t="shared" si="397"/>
        <v>0</v>
      </c>
      <c r="M3091" s="95">
        <f t="shared" ca="1" si="398"/>
        <v>0</v>
      </c>
      <c r="N3091" s="95">
        <f>IF(P3091="Hedge Fund",IF(A3091=Summary!$AD$3,M3091-E3091,M3091),IF(A3091=Summary!$AD$3,L3091-D3091,L3091))</f>
        <v>0</v>
      </c>
      <c r="O3091" s="95">
        <f t="shared" si="403"/>
        <v>0</v>
      </c>
      <c r="P3091" s="107" t="s">
        <v>155</v>
      </c>
      <c r="Q3091" s="107">
        <v>0</v>
      </c>
      <c r="R3091" s="107">
        <v>0</v>
      </c>
      <c r="S3091" s="107">
        <v>7.4035567143032775E-3</v>
      </c>
      <c r="T3091" s="107">
        <v>0.1290542929212963</v>
      </c>
      <c r="U3091" s="107" t="s">
        <v>0</v>
      </c>
      <c r="V3091" s="107">
        <v>12.0934286866605</v>
      </c>
      <c r="W3091" s="107" t="s">
        <v>15</v>
      </c>
      <c r="X3091" s="107">
        <v>4.03114256222017</v>
      </c>
      <c r="Y3091" s="107"/>
      <c r="Z3091" s="107"/>
      <c r="AA3091" s="107"/>
      <c r="AB3091" s="107"/>
      <c r="AC3091" s="355"/>
      <c r="AD3091" s="355"/>
      <c r="AE3091" s="355"/>
      <c r="AF3091" s="94">
        <f t="shared" si="399"/>
        <v>41121</v>
      </c>
      <c r="AG3091" s="185">
        <f t="shared" si="404"/>
        <v>1.6937720097994546E-2</v>
      </c>
      <c r="AH3091" s="339" t="str">
        <f>VLOOKUP(B3091,'MF PF'!A:B,2)</f>
        <v>FdMgt1</v>
      </c>
      <c r="AI3091" s="358">
        <f t="shared" si="400"/>
        <v>0</v>
      </c>
      <c r="AJ3091" s="94">
        <f t="shared" si="401"/>
        <v>41121</v>
      </c>
    </row>
    <row r="3092" spans="1:36" ht="12.75" customHeight="1">
      <c r="A3092" s="97">
        <v>41152</v>
      </c>
      <c r="B3092" s="94" t="s">
        <v>188</v>
      </c>
      <c r="C3092" s="96" t="s">
        <v>298</v>
      </c>
      <c r="D3092" s="98">
        <v>16163682.000000002</v>
      </c>
      <c r="E3092" s="95">
        <f t="shared" si="402"/>
        <v>4578660.2895159759</v>
      </c>
      <c r="F3092" s="98">
        <v>20</v>
      </c>
      <c r="G3092" s="98">
        <v>0</v>
      </c>
      <c r="H3092" s="98">
        <v>0</v>
      </c>
      <c r="I3092" s="98">
        <v>0</v>
      </c>
      <c r="J3092" s="98"/>
      <c r="K3092" s="93">
        <v>3.5302208458249069</v>
      </c>
      <c r="L3092" s="93">
        <f t="shared" si="397"/>
        <v>0</v>
      </c>
      <c r="M3092" s="95">
        <f t="shared" ca="1" si="398"/>
        <v>0</v>
      </c>
      <c r="N3092" s="95">
        <f>IF(P3092="Hedge Fund",IF(A3092=Summary!$AD$3,M3092-E3092,M3092),IF(A3092=Summary!$AD$3,L3092-D3092,L3092))</f>
        <v>0</v>
      </c>
      <c r="O3092" s="95">
        <f t="shared" si="403"/>
        <v>0</v>
      </c>
      <c r="P3092" s="107" t="s">
        <v>155</v>
      </c>
      <c r="Q3092" s="107">
        <v>0</v>
      </c>
      <c r="R3092" s="107">
        <v>0</v>
      </c>
      <c r="S3092" s="107">
        <v>7.1829621689814827E-3</v>
      </c>
      <c r="T3092" s="107">
        <v>0.13123646349074075</v>
      </c>
      <c r="U3092" s="107" t="s">
        <v>0</v>
      </c>
      <c r="V3092" s="107">
        <v>12.122762</v>
      </c>
      <c r="W3092" s="107" t="s">
        <v>15</v>
      </c>
      <c r="X3092" s="107">
        <v>4.0409199999999998</v>
      </c>
      <c r="Y3092" s="107"/>
      <c r="Z3092" s="107"/>
      <c r="AA3092" s="107"/>
      <c r="AB3092" s="107"/>
      <c r="AC3092" s="355"/>
      <c r="AD3092" s="355"/>
      <c r="AE3092" s="355"/>
      <c r="AF3092" s="94">
        <f t="shared" si="399"/>
        <v>41152</v>
      </c>
      <c r="AG3092" s="185">
        <f t="shared" si="404"/>
        <v>2.4255374307733391E-3</v>
      </c>
      <c r="AH3092" s="339" t="str">
        <f>VLOOKUP(B3092,'MF PF'!A:B,2)</f>
        <v>FdMgt1</v>
      </c>
      <c r="AI3092" s="358">
        <f t="shared" si="400"/>
        <v>0</v>
      </c>
      <c r="AJ3092" s="94">
        <f t="shared" si="401"/>
        <v>41152</v>
      </c>
    </row>
    <row r="3093" spans="1:36" ht="12.75" customHeight="1">
      <c r="A3093" s="97">
        <v>41180</v>
      </c>
      <c r="B3093" s="94" t="s">
        <v>188</v>
      </c>
      <c r="C3093" s="96" t="s">
        <v>298</v>
      </c>
      <c r="D3093" s="98">
        <v>15927797.57</v>
      </c>
      <c r="E3093" s="95">
        <f t="shared" si="402"/>
        <v>4511841.6851561451</v>
      </c>
      <c r="F3093" s="98">
        <v>20</v>
      </c>
      <c r="G3093" s="98">
        <v>0</v>
      </c>
      <c r="H3093" s="98">
        <v>0</v>
      </c>
      <c r="I3093" s="98">
        <v>0</v>
      </c>
      <c r="J3093" s="98"/>
      <c r="K3093" s="93">
        <v>3.5302208458249069</v>
      </c>
      <c r="L3093" s="93">
        <f t="shared" si="397"/>
        <v>0</v>
      </c>
      <c r="M3093" s="95">
        <f t="shared" ca="1" si="398"/>
        <v>0</v>
      </c>
      <c r="N3093" s="95">
        <f>IF(P3093="Hedge Fund",IF(A3093=Summary!$AD$3,M3093-E3093,M3093),IF(A3093=Summary!$AD$3,L3093-D3093,L3093))</f>
        <v>0</v>
      </c>
      <c r="O3093" s="95">
        <f t="shared" si="403"/>
        <v>0</v>
      </c>
      <c r="P3093" s="107" t="s">
        <v>155</v>
      </c>
      <c r="Q3093" s="107">
        <v>0.104944617408108</v>
      </c>
      <c r="R3093" s="107">
        <v>1.957410407</v>
      </c>
      <c r="S3093" s="107">
        <v>7.3099015324074069E-3</v>
      </c>
      <c r="T3093" s="107">
        <v>0.12434016400231483</v>
      </c>
      <c r="U3093" s="107" t="s">
        <v>0</v>
      </c>
      <c r="V3093" s="107">
        <v>11.94584843</v>
      </c>
      <c r="W3093" s="107" t="s">
        <v>15</v>
      </c>
      <c r="X3093" s="107">
        <v>3.9819491400000002</v>
      </c>
      <c r="Y3093" s="107"/>
      <c r="Z3093" s="107"/>
      <c r="AA3093" s="107"/>
      <c r="AB3093" s="107"/>
      <c r="AC3093" s="355"/>
      <c r="AD3093" s="355"/>
      <c r="AE3093" s="355"/>
      <c r="AF3093" s="94">
        <f t="shared" si="399"/>
        <v>41180</v>
      </c>
      <c r="AG3093" s="185">
        <f t="shared" si="404"/>
        <v>-1.4593483712436406E-2</v>
      </c>
      <c r="AH3093" s="339" t="str">
        <f>VLOOKUP(B3093,'MF PF'!A:B,2)</f>
        <v>FdMgt1</v>
      </c>
      <c r="AI3093" s="358">
        <f t="shared" si="400"/>
        <v>0</v>
      </c>
      <c r="AJ3093" s="94">
        <f t="shared" si="401"/>
        <v>41182</v>
      </c>
    </row>
    <row r="3094" spans="1:36" ht="12.75" customHeight="1">
      <c r="A3094" s="97">
        <v>41213</v>
      </c>
      <c r="B3094" s="94" t="s">
        <v>188</v>
      </c>
      <c r="C3094" s="96" t="s">
        <v>298</v>
      </c>
      <c r="D3094" s="98">
        <v>13944781.049999999</v>
      </c>
      <c r="E3094" s="95">
        <f t="shared" si="402"/>
        <v>3950115.7743408885</v>
      </c>
      <c r="F3094" s="98">
        <v>20</v>
      </c>
      <c r="G3094" s="98">
        <v>0</v>
      </c>
      <c r="H3094" s="98">
        <v>0</v>
      </c>
      <c r="I3094" s="98">
        <v>-2196798.5</v>
      </c>
      <c r="J3094" s="98"/>
      <c r="K3094" s="93">
        <v>3.5302208458249069</v>
      </c>
      <c r="L3094" s="93">
        <f t="shared" si="397"/>
        <v>-2196798.5</v>
      </c>
      <c r="M3094" s="95">
        <f t="shared" ca="1" si="398"/>
        <v>-622283.58959414449</v>
      </c>
      <c r="N3094" s="95">
        <f>IF(P3094="Hedge Fund",IF(A3094=Summary!$AD$3,M3094-E3094,M3094),IF(A3094=Summary!$AD$3,L3094-D3094,L3094))</f>
        <v>-2196798.5</v>
      </c>
      <c r="O3094" s="95">
        <f t="shared" si="403"/>
        <v>-2196798.5</v>
      </c>
      <c r="P3094" s="107" t="s">
        <v>155</v>
      </c>
      <c r="Q3094" s="107">
        <v>0.10863791968284101</v>
      </c>
      <c r="R3094" s="107">
        <v>2.2564713019999982</v>
      </c>
      <c r="S3094" s="107">
        <v>7.56858989451651E-3</v>
      </c>
      <c r="T3094" s="107">
        <v>0.1435737533812903</v>
      </c>
      <c r="U3094" s="107" t="s">
        <v>0</v>
      </c>
      <c r="V3094" s="107">
        <v>10.458586029999999</v>
      </c>
      <c r="W3094" s="107" t="s">
        <v>15</v>
      </c>
      <c r="X3094" s="107">
        <v>3.4861950199999998</v>
      </c>
      <c r="Y3094" s="107"/>
      <c r="Z3094" s="107"/>
      <c r="AA3094" s="107"/>
      <c r="AB3094" s="107"/>
      <c r="AC3094" s="355"/>
      <c r="AD3094" s="355"/>
      <c r="AE3094" s="355"/>
      <c r="AF3094" s="94">
        <f t="shared" si="399"/>
        <v>41213</v>
      </c>
      <c r="AG3094" s="185">
        <f t="shared" si="404"/>
        <v>1.3421942303100121E-2</v>
      </c>
      <c r="AH3094" s="339" t="str">
        <f>VLOOKUP(B3094,'MF PF'!A:B,2)</f>
        <v>FdMgt1</v>
      </c>
      <c r="AI3094" s="358">
        <f t="shared" si="400"/>
        <v>0</v>
      </c>
      <c r="AJ3094" s="94">
        <f t="shared" si="401"/>
        <v>41213</v>
      </c>
    </row>
    <row r="3095" spans="1:36" ht="12.75" customHeight="1">
      <c r="A3095" s="97">
        <v>41243</v>
      </c>
      <c r="B3095" s="94" t="s">
        <v>188</v>
      </c>
      <c r="C3095" s="96" t="s">
        <v>298</v>
      </c>
      <c r="D3095" s="98">
        <v>14009041.93</v>
      </c>
      <c r="E3095" s="9">
        <f t="shared" si="402"/>
        <v>3968318.8508073371</v>
      </c>
      <c r="F3095" s="98">
        <v>20</v>
      </c>
      <c r="G3095" s="98">
        <v>0</v>
      </c>
      <c r="H3095" s="98">
        <v>0</v>
      </c>
      <c r="I3095" s="98">
        <v>0</v>
      </c>
      <c r="J3095" s="98"/>
      <c r="K3095" s="93">
        <v>3.5302208458249069</v>
      </c>
      <c r="L3095" s="93">
        <f t="shared" si="397"/>
        <v>0</v>
      </c>
      <c r="M3095" s="95">
        <f t="shared" ca="1" si="398"/>
        <v>0</v>
      </c>
      <c r="N3095" s="95">
        <f>IF(P3095="Hedge Fund",IF(A3095=Summary!$AD$3,M3095-E3095,M3095),IF(A3095=Summary!$AD$3,L3095-D3095,L3095))</f>
        <v>0</v>
      </c>
      <c r="O3095" s="95">
        <f t="shared" si="403"/>
        <v>0</v>
      </c>
      <c r="P3095" s="107" t="s">
        <v>155</v>
      </c>
      <c r="Q3095" s="107">
        <v>9.9115082501967905E-2</v>
      </c>
      <c r="R3095" s="107">
        <v>2.3348894489999985</v>
      </c>
      <c r="S3095" s="107">
        <v>6.9040251409171515E-3</v>
      </c>
      <c r="T3095" s="107">
        <v>0.14847931216471025</v>
      </c>
      <c r="U3095" s="107" t="s">
        <v>0</v>
      </c>
      <c r="V3095" s="107">
        <v>10.506781689999999</v>
      </c>
      <c r="W3095" s="107" t="s">
        <v>15</v>
      </c>
      <c r="X3095" s="107">
        <v>3.50226024</v>
      </c>
      <c r="Y3095" s="107"/>
      <c r="Z3095" s="107"/>
      <c r="AA3095" s="107"/>
      <c r="AB3095" s="107"/>
      <c r="AC3095" s="355"/>
      <c r="AD3095" s="355"/>
      <c r="AE3095" s="355"/>
      <c r="AF3095" s="94">
        <f t="shared" si="399"/>
        <v>41243</v>
      </c>
      <c r="AG3095" s="185">
        <f t="shared" si="404"/>
        <v>4.6082387216830334E-3</v>
      </c>
      <c r="AH3095" s="339" t="str">
        <f>VLOOKUP(B3095,'MF PF'!A:B,2)</f>
        <v>FdMgt1</v>
      </c>
      <c r="AI3095" s="358">
        <f t="shared" si="400"/>
        <v>0</v>
      </c>
      <c r="AJ3095" s="94">
        <f t="shared" si="401"/>
        <v>41243</v>
      </c>
    </row>
    <row r="3096" spans="1:36" ht="12.75" customHeight="1">
      <c r="A3096" s="97">
        <v>41274</v>
      </c>
      <c r="B3096" s="94" t="s">
        <v>188</v>
      </c>
      <c r="C3096" s="96" t="s">
        <v>298</v>
      </c>
      <c r="D3096" s="98">
        <v>14352573.709999997</v>
      </c>
      <c r="E3096" s="95">
        <f t="shared" si="402"/>
        <v>4065630.5474413545</v>
      </c>
      <c r="F3096" s="98">
        <v>20</v>
      </c>
      <c r="G3096" s="98">
        <v>0</v>
      </c>
      <c r="H3096" s="98">
        <v>0</v>
      </c>
      <c r="I3096" s="98">
        <v>0</v>
      </c>
      <c r="J3096" s="98"/>
      <c r="K3096" s="93">
        <v>3.5302208458249069</v>
      </c>
      <c r="L3096" s="93">
        <f t="shared" si="397"/>
        <v>0</v>
      </c>
      <c r="M3096" s="95">
        <f t="shared" ca="1" si="398"/>
        <v>0</v>
      </c>
      <c r="N3096" s="95">
        <f>IF(P3096="Hedge Fund",IF(A3096=Summary!$AD$3,M3096-E3096,M3096),IF(A3096=Summary!$AD$3,L3096-D3096,L3096))</f>
        <v>0</v>
      </c>
      <c r="O3096" s="95">
        <f t="shared" si="403"/>
        <v>0</v>
      </c>
      <c r="P3096" s="107" t="s">
        <v>155</v>
      </c>
      <c r="Q3096" s="107">
        <v>0.10471876507952201</v>
      </c>
      <c r="R3096" s="107">
        <v>2.8162089054999999</v>
      </c>
      <c r="S3096" s="107">
        <v>7.2913272034737363E-3</v>
      </c>
      <c r="T3096" s="107">
        <v>0.17916337831405355</v>
      </c>
      <c r="U3096" s="107" t="s">
        <v>0</v>
      </c>
      <c r="V3096" s="107">
        <v>10.764430529999998</v>
      </c>
      <c r="W3096" s="107" t="s">
        <v>15</v>
      </c>
      <c r="X3096" s="107">
        <v>3.5881431800000003</v>
      </c>
      <c r="Y3096" s="107"/>
      <c r="Z3096" s="107"/>
      <c r="AA3096" s="107"/>
      <c r="AB3096" s="107"/>
      <c r="AC3096" s="355"/>
      <c r="AD3096" s="355"/>
      <c r="AE3096" s="355"/>
      <c r="AF3096" s="94">
        <f t="shared" si="399"/>
        <v>41274</v>
      </c>
      <c r="AG3096" s="185">
        <f t="shared" si="404"/>
        <v>2.4522146604782025E-2</v>
      </c>
      <c r="AH3096" s="339" t="str">
        <f>VLOOKUP(B3096,'MF PF'!A:B,2)</f>
        <v>FdMgt1</v>
      </c>
      <c r="AI3096" s="358">
        <f t="shared" si="400"/>
        <v>0</v>
      </c>
      <c r="AJ3096" s="94">
        <f t="shared" si="401"/>
        <v>41274</v>
      </c>
    </row>
    <row r="3097" spans="1:36" ht="12.75" customHeight="1">
      <c r="A3097" s="97">
        <v>41305</v>
      </c>
      <c r="B3097" s="94" t="s">
        <v>188</v>
      </c>
      <c r="C3097" s="96" t="s">
        <v>298</v>
      </c>
      <c r="D3097" s="98">
        <v>11058816.67</v>
      </c>
      <c r="E3097" s="9">
        <f t="shared" si="402"/>
        <v>3132613.2706623585</v>
      </c>
      <c r="F3097" s="98">
        <v>20</v>
      </c>
      <c r="G3097" s="98">
        <v>0</v>
      </c>
      <c r="H3097" s="98">
        <v>0</v>
      </c>
      <c r="I3097" s="98">
        <v>-3991693.48</v>
      </c>
      <c r="J3097" s="98"/>
      <c r="K3097" s="93">
        <v>3.5302208458249069</v>
      </c>
      <c r="L3097" s="93">
        <f t="shared" si="397"/>
        <v>-3991693.48</v>
      </c>
      <c r="M3097" s="95">
        <f t="shared" ca="1" si="398"/>
        <v>-1130720.6133352432</v>
      </c>
      <c r="N3097" s="95">
        <f>IF(P3097="Hedge Fund",IF(A3097=Summary!$AD$3,M3097-E3097,M3097),IF(A3097=Summary!$AD$3,L3097-D3097,L3097))</f>
        <v>-3991693.48</v>
      </c>
      <c r="O3097" s="95">
        <f t="shared" si="403"/>
        <v>-3991693.48</v>
      </c>
      <c r="P3097" s="107" t="s">
        <v>155</v>
      </c>
      <c r="Q3097" s="107">
        <v>8.1055150250014696E-2</v>
      </c>
      <c r="R3097" s="107">
        <v>3.838333784</v>
      </c>
      <c r="S3097" s="107">
        <v>5.6382960997359427E-3</v>
      </c>
      <c r="T3097" s="107">
        <v>0.24541471035740742</v>
      </c>
      <c r="U3097" s="107" t="s">
        <v>0</v>
      </c>
      <c r="V3097" s="107">
        <v>8.29411275</v>
      </c>
      <c r="W3097" s="107" t="s">
        <v>15</v>
      </c>
      <c r="X3097" s="107">
        <v>2.7647039200000001</v>
      </c>
      <c r="Y3097" s="107"/>
      <c r="Z3097" s="107"/>
      <c r="AA3097" s="107"/>
      <c r="AB3097" s="107"/>
      <c r="AC3097" s="355"/>
      <c r="AD3097" s="355"/>
      <c r="AE3097" s="355"/>
      <c r="AF3097" s="94">
        <f t="shared" si="399"/>
        <v>41305</v>
      </c>
      <c r="AG3097" s="185">
        <f t="shared" si="404"/>
        <v>4.8627964161837012E-2</v>
      </c>
      <c r="AH3097" s="339" t="str">
        <f>VLOOKUP(B3097,'MF PF'!A:B,2)</f>
        <v>FdMgt1</v>
      </c>
      <c r="AI3097" s="358">
        <f t="shared" si="400"/>
        <v>0</v>
      </c>
      <c r="AJ3097" s="94">
        <f t="shared" si="401"/>
        <v>41305</v>
      </c>
    </row>
    <row r="3098" spans="1:36" ht="12.75" customHeight="1">
      <c r="A3098" s="97">
        <v>41333</v>
      </c>
      <c r="B3098" s="94" t="s">
        <v>188</v>
      </c>
      <c r="C3098" s="96" t="s">
        <v>298</v>
      </c>
      <c r="D3098" s="98">
        <v>10904940.99</v>
      </c>
      <c r="E3098" s="9">
        <f t="shared" si="402"/>
        <v>3089025.1534537757</v>
      </c>
      <c r="F3098" s="98">
        <v>20</v>
      </c>
      <c r="G3098" s="98">
        <v>0</v>
      </c>
      <c r="H3098" s="98">
        <v>0</v>
      </c>
      <c r="I3098" s="98">
        <v>0</v>
      </c>
      <c r="J3098" s="98"/>
      <c r="K3098" s="93">
        <v>3.5302208458249069</v>
      </c>
      <c r="L3098" s="93">
        <f t="shared" si="397"/>
        <v>0</v>
      </c>
      <c r="M3098" s="95">
        <f t="shared" ca="1" si="398"/>
        <v>0</v>
      </c>
      <c r="N3098" s="95">
        <f>IF(P3098="Hedge Fund",IF(A3098=Summary!$AD$3,M3098-E3098,M3098),IF(A3098=Summary!$AD$3,L3098-D3098,L3098))</f>
        <v>0</v>
      </c>
      <c r="O3098" s="95">
        <f t="shared" si="403"/>
        <v>0</v>
      </c>
      <c r="P3098" s="107" t="s">
        <v>155</v>
      </c>
      <c r="Q3098" s="107">
        <v>7.2156556018884599E-2</v>
      </c>
      <c r="R3098" s="107">
        <v>3.5979169065000001</v>
      </c>
      <c r="S3098" s="107">
        <v>5.0183419248778756E-3</v>
      </c>
      <c r="T3098" s="107">
        <v>0.22967172115000001</v>
      </c>
      <c r="U3098" s="107" t="s">
        <v>0</v>
      </c>
      <c r="V3098" s="107">
        <v>8.178705990000001</v>
      </c>
      <c r="W3098" s="107" t="s">
        <v>15</v>
      </c>
      <c r="X3098" s="107">
        <v>2.726235</v>
      </c>
      <c r="Y3098" s="107"/>
      <c r="Z3098" s="107"/>
      <c r="AA3098" s="107"/>
      <c r="AB3098" s="107"/>
      <c r="AC3098" s="355"/>
      <c r="AD3098" s="355"/>
      <c r="AE3098" s="355"/>
      <c r="AF3098" s="94">
        <f t="shared" si="399"/>
        <v>41333</v>
      </c>
      <c r="AG3098" s="185">
        <f t="shared" si="404"/>
        <v>-1.391429884333184E-2</v>
      </c>
      <c r="AH3098" s="339" t="str">
        <f>VLOOKUP(B3098,'MF PF'!A:B,2)</f>
        <v>FdMgt1</v>
      </c>
      <c r="AI3098" s="358">
        <f t="shared" si="400"/>
        <v>0</v>
      </c>
      <c r="AJ3098" s="94">
        <f t="shared" si="401"/>
        <v>41333</v>
      </c>
    </row>
    <row r="3099" spans="1:36" ht="12.75" customHeight="1">
      <c r="A3099" s="97">
        <v>41361</v>
      </c>
      <c r="B3099" s="94" t="s">
        <v>188</v>
      </c>
      <c r="C3099" s="96" t="s">
        <v>298</v>
      </c>
      <c r="D3099" s="98">
        <v>8925270.2399999984</v>
      </c>
      <c r="E3099" s="95">
        <f t="shared" si="402"/>
        <v>2528246.9935430996</v>
      </c>
      <c r="F3099" s="98">
        <v>20</v>
      </c>
      <c r="G3099" s="98">
        <v>0</v>
      </c>
      <c r="H3099" s="98">
        <v>0</v>
      </c>
      <c r="I3099" s="98">
        <v>-1504579.72</v>
      </c>
      <c r="J3099" s="98"/>
      <c r="K3099" s="93">
        <v>3.5302208458249069</v>
      </c>
      <c r="L3099" s="93">
        <f t="shared" si="397"/>
        <v>-1504579.72</v>
      </c>
      <c r="M3099" s="95">
        <f t="shared" ca="1" si="398"/>
        <v>-426199.8854206031</v>
      </c>
      <c r="N3099" s="95">
        <f>IF(P3099="Hedge Fund",IF(A3099=Summary!$AD$3,M3099-E3099,M3099),IF(A3099=Summary!$AD$3,L3099-D3099,L3099))</f>
        <v>-1504579.72</v>
      </c>
      <c r="O3099" s="95">
        <f t="shared" si="403"/>
        <v>-1504579.72</v>
      </c>
      <c r="P3099" s="107" t="s">
        <v>155</v>
      </c>
      <c r="Q3099" s="107">
        <v>5.9551701254124997E-2</v>
      </c>
      <c r="R3099" s="107">
        <v>2.8452230080000001</v>
      </c>
      <c r="S3099" s="107">
        <v>4.140385843651017E-3</v>
      </c>
      <c r="T3099" s="107">
        <v>0.18064918532987265</v>
      </c>
      <c r="U3099" s="107" t="s">
        <v>0</v>
      </c>
      <c r="V3099" s="107">
        <v>6.69395293</v>
      </c>
      <c r="W3099" s="107" t="s">
        <v>15</v>
      </c>
      <c r="X3099" s="107">
        <v>2.2313173100000001</v>
      </c>
      <c r="Y3099" s="107"/>
      <c r="Z3099" s="107"/>
      <c r="AA3099" s="107"/>
      <c r="AB3099" s="107"/>
      <c r="AC3099" s="355"/>
      <c r="AD3099" s="355"/>
      <c r="AE3099" s="355"/>
      <c r="AF3099" s="94">
        <f t="shared" si="399"/>
        <v>41361</v>
      </c>
      <c r="AG3099" s="185">
        <f t="shared" si="404"/>
        <v>-4.3566584214959736E-2</v>
      </c>
      <c r="AH3099" s="339" t="str">
        <f>VLOOKUP(B3099,'MF PF'!A:B,2)</f>
        <v>FdMgt1</v>
      </c>
      <c r="AI3099" s="358">
        <f t="shared" si="400"/>
        <v>0</v>
      </c>
      <c r="AJ3099" s="94">
        <f t="shared" si="401"/>
        <v>41364</v>
      </c>
    </row>
    <row r="3100" spans="1:36" ht="12.75" customHeight="1">
      <c r="A3100" s="97">
        <v>41394</v>
      </c>
      <c r="B3100" s="94" t="s">
        <v>188</v>
      </c>
      <c r="C3100" s="96" t="s">
        <v>298</v>
      </c>
      <c r="D3100" s="98">
        <v>8622221.2100000009</v>
      </c>
      <c r="E3100" s="9">
        <f t="shared" si="402"/>
        <v>2442402.7806071281</v>
      </c>
      <c r="F3100" s="98">
        <v>20</v>
      </c>
      <c r="G3100" s="98">
        <v>0</v>
      </c>
      <c r="H3100" s="98">
        <v>0</v>
      </c>
      <c r="I3100" s="98">
        <v>0</v>
      </c>
      <c r="J3100" s="98"/>
      <c r="K3100" s="93">
        <v>3.5302208458249069</v>
      </c>
      <c r="L3100" s="93">
        <f t="shared" si="397"/>
        <v>0</v>
      </c>
      <c r="M3100" s="95">
        <f t="shared" ca="1" si="398"/>
        <v>0</v>
      </c>
      <c r="N3100" s="95">
        <f>IF(P3100="Hedge Fund",IF(A3100=Summary!$AD$3,M3100-E3100,M3100),IF(A3100=Summary!$AD$3,L3100-D3100,L3100))</f>
        <v>0</v>
      </c>
      <c r="O3100" s="95">
        <f t="shared" si="403"/>
        <v>0</v>
      </c>
      <c r="P3100" s="107" t="s">
        <v>155</v>
      </c>
      <c r="Q3100" s="107">
        <v>6.7816715134049507E-2</v>
      </c>
      <c r="R3100" s="107">
        <v>2.3834679765</v>
      </c>
      <c r="S3100" s="107">
        <v>4.713690814814815E-3</v>
      </c>
      <c r="T3100" s="107">
        <v>0.15051172352546299</v>
      </c>
      <c r="U3100" s="107" t="s">
        <v>0</v>
      </c>
      <c r="V3100" s="107">
        <v>6.4666661599999999</v>
      </c>
      <c r="W3100" s="107" t="s">
        <v>15</v>
      </c>
      <c r="X3100" s="107">
        <v>2.1555550499999998</v>
      </c>
      <c r="Y3100" s="107"/>
      <c r="Z3100" s="107"/>
      <c r="AA3100" s="107"/>
      <c r="AB3100" s="107"/>
      <c r="AC3100" s="355"/>
      <c r="AD3100" s="355"/>
      <c r="AE3100" s="355"/>
      <c r="AF3100" s="94">
        <f t="shared" si="399"/>
        <v>41394</v>
      </c>
      <c r="AG3100" s="185">
        <f t="shared" si="404"/>
        <v>-3.3954045295103263E-2</v>
      </c>
      <c r="AH3100" s="339" t="str">
        <f>VLOOKUP(B3100,'MF PF'!A:B,2)</f>
        <v>FdMgt1</v>
      </c>
      <c r="AI3100" s="358">
        <f t="shared" si="400"/>
        <v>0</v>
      </c>
      <c r="AJ3100" s="94">
        <f t="shared" si="401"/>
        <v>41394</v>
      </c>
    </row>
    <row r="3101" spans="1:36" ht="12.75" customHeight="1">
      <c r="A3101" s="97">
        <v>41425</v>
      </c>
      <c r="B3101" s="94" t="s">
        <v>188</v>
      </c>
      <c r="C3101" s="96" t="s">
        <v>298</v>
      </c>
      <c r="D3101" s="98">
        <v>7838255.0600000005</v>
      </c>
      <c r="E3101" s="9">
        <f t="shared" si="402"/>
        <v>2220329.9460060932</v>
      </c>
      <c r="F3101" s="98">
        <v>20</v>
      </c>
      <c r="G3101" s="98">
        <v>0</v>
      </c>
      <c r="H3101" s="98">
        <v>0</v>
      </c>
      <c r="I3101" s="98">
        <v>-909125.73</v>
      </c>
      <c r="J3101" s="98"/>
      <c r="K3101" s="93">
        <v>3.5302208458249069</v>
      </c>
      <c r="L3101" s="93">
        <f t="shared" si="397"/>
        <v>-909125.73</v>
      </c>
      <c r="M3101" s="95">
        <f t="shared" ca="1" si="398"/>
        <v>-257526.58819495598</v>
      </c>
      <c r="N3101" s="95">
        <f>IF(P3101="Hedge Fund",IF(A3101=Summary!$AD$3,M3101-E3101,M3101),IF(A3101=Summary!$AD$3,L3101-D3101,L3101))</f>
        <v>-909125.73</v>
      </c>
      <c r="O3101" s="95">
        <f t="shared" si="403"/>
        <v>-909125.73</v>
      </c>
      <c r="P3101" s="107" t="s">
        <v>155</v>
      </c>
      <c r="Q3101" s="107">
        <v>5.79812700814442E-2</v>
      </c>
      <c r="R3101" s="107">
        <v>2.5597769757499993</v>
      </c>
      <c r="S3101" s="107">
        <v>4.0263451473945026E-3</v>
      </c>
      <c r="T3101" s="107">
        <v>0.16187399877533024</v>
      </c>
      <c r="U3101" s="107" t="s">
        <v>0</v>
      </c>
      <c r="V3101" s="107">
        <v>5.8786915400000002</v>
      </c>
      <c r="W3101" s="107" t="s">
        <v>15</v>
      </c>
      <c r="X3101" s="107">
        <v>1.9595635200000001</v>
      </c>
      <c r="Y3101" s="107"/>
      <c r="Z3101" s="107"/>
      <c r="AA3101" s="107"/>
      <c r="AB3101" s="107"/>
      <c r="AC3101" s="355"/>
      <c r="AD3101" s="355"/>
      <c r="AE3101" s="355"/>
      <c r="AF3101" s="94">
        <f t="shared" si="399"/>
        <v>41425</v>
      </c>
      <c r="AG3101" s="185">
        <f t="shared" si="404"/>
        <v>1.4515932374228768E-2</v>
      </c>
      <c r="AH3101" s="339" t="str">
        <f>VLOOKUP(B3101,'MF PF'!A:B,2)</f>
        <v>FdMgt1</v>
      </c>
      <c r="AI3101" s="358">
        <f t="shared" si="400"/>
        <v>0</v>
      </c>
      <c r="AJ3101" s="94">
        <f t="shared" si="401"/>
        <v>41425</v>
      </c>
    </row>
    <row r="3102" spans="1:36" ht="12.75" customHeight="1">
      <c r="A3102" s="97">
        <v>41453</v>
      </c>
      <c r="B3102" s="94" t="s">
        <v>188</v>
      </c>
      <c r="C3102" s="96" t="s">
        <v>298</v>
      </c>
      <c r="D3102" s="98">
        <v>7836269.3599999985</v>
      </c>
      <c r="E3102" s="9">
        <f t="shared" si="402"/>
        <v>2219767.4599501994</v>
      </c>
      <c r="F3102" s="98">
        <v>20</v>
      </c>
      <c r="G3102" s="98">
        <v>0</v>
      </c>
      <c r="H3102" s="98">
        <v>0</v>
      </c>
      <c r="I3102" s="98">
        <v>0</v>
      </c>
      <c r="J3102" s="98"/>
      <c r="K3102" s="7">
        <v>3.5302208458249069</v>
      </c>
      <c r="L3102" s="93">
        <f t="shared" si="397"/>
        <v>0</v>
      </c>
      <c r="M3102" s="95">
        <f t="shared" ca="1" si="398"/>
        <v>0</v>
      </c>
      <c r="N3102" s="95">
        <f>IF(P3102="Hedge Fund",IF(A3102=Summary!$AD$3,M3102-E3102,M3102),IF(A3102=Summary!$AD$3,L3102-D3102,L3102))</f>
        <v>0</v>
      </c>
      <c r="O3102" s="95">
        <f t="shared" si="403"/>
        <v>0</v>
      </c>
      <c r="P3102" s="107" t="s">
        <v>155</v>
      </c>
      <c r="Q3102" s="107">
        <v>5.2321232716537901E-2</v>
      </c>
      <c r="R3102" s="107">
        <v>2.5494838932500001</v>
      </c>
      <c r="S3102" s="107">
        <v>3.6330117453703711E-3</v>
      </c>
      <c r="T3102" s="107">
        <v>0.1611658903310185</v>
      </c>
      <c r="U3102" s="107" t="s">
        <v>0</v>
      </c>
      <c r="V3102" s="107">
        <v>5.8772022699999997</v>
      </c>
      <c r="W3102" s="107" t="s">
        <v>15</v>
      </c>
      <c r="X3102" s="107">
        <v>1.95906709</v>
      </c>
      <c r="Y3102" s="107"/>
      <c r="Z3102" s="107"/>
      <c r="AA3102" s="107"/>
      <c r="AB3102" s="107"/>
      <c r="AC3102" s="355"/>
      <c r="AD3102" s="355"/>
      <c r="AE3102" s="355"/>
      <c r="AF3102" s="94">
        <f t="shared" si="399"/>
        <v>41453</v>
      </c>
      <c r="AG3102" s="185">
        <f t="shared" si="404"/>
        <v>-2.5333444558794938E-4</v>
      </c>
      <c r="AH3102" s="339" t="str">
        <f>VLOOKUP(B3102,'MF PF'!A:B,2)</f>
        <v>FdMgt1</v>
      </c>
      <c r="AI3102" s="358">
        <f t="shared" si="400"/>
        <v>0</v>
      </c>
      <c r="AJ3102" s="94">
        <f t="shared" si="401"/>
        <v>41455</v>
      </c>
    </row>
    <row r="3103" spans="1:36" ht="12.75" customHeight="1">
      <c r="A3103" s="97">
        <v>41486</v>
      </c>
      <c r="B3103" s="94" t="s">
        <v>188</v>
      </c>
      <c r="C3103" s="96" t="s">
        <v>298</v>
      </c>
      <c r="D3103" s="98">
        <v>7496333</v>
      </c>
      <c r="E3103" s="9">
        <f t="shared" si="402"/>
        <v>2123474.2321760696</v>
      </c>
      <c r="F3103" s="98">
        <v>20</v>
      </c>
      <c r="G3103" s="98">
        <v>0</v>
      </c>
      <c r="H3103" s="98">
        <v>0</v>
      </c>
      <c r="I3103" s="98">
        <v>0</v>
      </c>
      <c r="J3103" s="98"/>
      <c r="K3103" s="7">
        <v>3.5302208458249069</v>
      </c>
      <c r="L3103" s="93">
        <f t="shared" si="397"/>
        <v>0</v>
      </c>
      <c r="M3103" s="95">
        <f t="shared" ca="1" si="398"/>
        <v>0</v>
      </c>
      <c r="N3103" s="95">
        <f>IF(P3103="Hedge Fund",IF(A3103=Summary!$AD$3,M3103-E3103,M3103),IF(A3103=Summary!$AD$3,L3103-D3103,L3103))</f>
        <v>0</v>
      </c>
      <c r="O3103" s="95">
        <f t="shared" si="403"/>
        <v>0</v>
      </c>
      <c r="P3103" s="107" t="s">
        <v>155</v>
      </c>
      <c r="Q3103" s="107">
        <v>5.9023222832782399E-2</v>
      </c>
      <c r="R3103" s="107">
        <v>2.0348636142499985</v>
      </c>
      <c r="S3103" s="107">
        <v>4.0969315486111112E-3</v>
      </c>
      <c r="T3103" s="107">
        <v>0.1276252983287037</v>
      </c>
      <c r="U3103" s="107" t="s">
        <v>0</v>
      </c>
      <c r="V3103" s="107">
        <v>5.6222500000000002</v>
      </c>
      <c r="W3103" s="107" t="s">
        <v>15</v>
      </c>
      <c r="X3103" s="107">
        <v>1.8740829999999999</v>
      </c>
      <c r="Y3103" s="107"/>
      <c r="Z3103" s="107"/>
      <c r="AA3103" s="107"/>
      <c r="AB3103" s="107"/>
      <c r="AC3103" s="355"/>
      <c r="AD3103" s="355"/>
      <c r="AE3103" s="355"/>
      <c r="AF3103" s="94">
        <f t="shared" si="399"/>
        <v>41486</v>
      </c>
      <c r="AG3103" s="185">
        <f t="shared" si="404"/>
        <v>-4.3379871771023315E-2</v>
      </c>
      <c r="AH3103" s="339" t="str">
        <f>VLOOKUP(B3103,'MF PF'!A:B,2)</f>
        <v>FdMgt1</v>
      </c>
      <c r="AI3103" s="358">
        <f t="shared" si="400"/>
        <v>0</v>
      </c>
      <c r="AJ3103" s="94">
        <f t="shared" si="401"/>
        <v>41486</v>
      </c>
    </row>
    <row r="3104" spans="1:36" ht="12.75" customHeight="1">
      <c r="A3104" s="97">
        <v>41516</v>
      </c>
      <c r="B3104" s="94" t="s">
        <v>188</v>
      </c>
      <c r="C3104" s="96" t="s">
        <v>298</v>
      </c>
      <c r="D3104" s="98">
        <v>7284499.3499999996</v>
      </c>
      <c r="E3104" s="9">
        <f t="shared" si="402"/>
        <v>2063468.4537130792</v>
      </c>
      <c r="F3104" s="98">
        <v>20</v>
      </c>
      <c r="G3104" s="98">
        <v>0</v>
      </c>
      <c r="H3104" s="98">
        <v>0</v>
      </c>
      <c r="I3104" s="98">
        <v>0</v>
      </c>
      <c r="J3104" s="98"/>
      <c r="K3104" s="93">
        <v>3.5302208458249069</v>
      </c>
      <c r="L3104" s="93">
        <f t="shared" si="397"/>
        <v>0</v>
      </c>
      <c r="M3104" s="95">
        <f t="shared" ca="1" si="398"/>
        <v>0</v>
      </c>
      <c r="N3104" s="95">
        <f>IF(P3104="Hedge Fund",IF(A3104=Summary!$AD$3,M3104-E3104,M3104),IF(A3104=Summary!$AD$3,L3104-D3104,L3104))</f>
        <v>0</v>
      </c>
      <c r="O3104" s="95">
        <f t="shared" si="403"/>
        <v>0</v>
      </c>
      <c r="P3104" s="107" t="s">
        <v>155</v>
      </c>
      <c r="Q3104" s="107">
        <v>5.2142626258420199E-2</v>
      </c>
      <c r="R3104" s="107">
        <v>1.7120206462499992</v>
      </c>
      <c r="S3104" s="107">
        <v>3.618305086160796E-3</v>
      </c>
      <c r="T3104" s="107">
        <v>0.10657310903101842</v>
      </c>
      <c r="U3104" s="107" t="s">
        <v>0</v>
      </c>
      <c r="V3104" s="107">
        <v>5.4633747599999998</v>
      </c>
      <c r="W3104" s="107" t="s">
        <v>15</v>
      </c>
      <c r="X3104" s="107">
        <v>1.8211245900000002</v>
      </c>
      <c r="Y3104" s="107"/>
      <c r="Z3104" s="107"/>
      <c r="AA3104" s="107"/>
      <c r="AB3104" s="107"/>
      <c r="AC3104" s="355"/>
      <c r="AD3104" s="355"/>
      <c r="AE3104" s="355"/>
      <c r="AF3104" s="94">
        <f t="shared" si="399"/>
        <v>41516</v>
      </c>
      <c r="AG3104" s="185">
        <f t="shared" si="404"/>
        <v>-2.8258303092992265E-2</v>
      </c>
      <c r="AH3104" s="339" t="str">
        <f>VLOOKUP(B3104,'MF PF'!A:B,2)</f>
        <v>FdMgt1</v>
      </c>
      <c r="AI3104" s="358">
        <f t="shared" si="400"/>
        <v>0</v>
      </c>
      <c r="AJ3104" s="94">
        <f t="shared" si="401"/>
        <v>41517</v>
      </c>
    </row>
    <row r="3105" spans="1:36" ht="12.75" customHeight="1">
      <c r="A3105" s="97">
        <v>41547</v>
      </c>
      <c r="B3105" s="94" t="s">
        <v>188</v>
      </c>
      <c r="C3105" s="96" t="s">
        <v>298</v>
      </c>
      <c r="D3105" s="98">
        <v>5829674.0599999996</v>
      </c>
      <c r="E3105" s="9">
        <f t="shared" si="402"/>
        <v>1651362.4259214806</v>
      </c>
      <c r="F3105" s="98">
        <v>20</v>
      </c>
      <c r="G3105" s="98">
        <v>0</v>
      </c>
      <c r="H3105" s="98">
        <v>-9.3132257461547852E-10</v>
      </c>
      <c r="I3105" s="98">
        <v>-1568165.29</v>
      </c>
      <c r="J3105" s="98"/>
      <c r="K3105" s="7">
        <v>3.5302208458249069</v>
      </c>
      <c r="L3105" s="93">
        <f t="shared" si="397"/>
        <v>-1568165.290000001</v>
      </c>
      <c r="M3105" s="95">
        <f t="shared" ca="1" si="398"/>
        <v>-444211.66790588328</v>
      </c>
      <c r="N3105" s="95">
        <f>IF(P3105="Hedge Fund",IF(A3105=Summary!$AD$3,M3105-E3105,M3105),IF(A3105=Summary!$AD$3,L3105-D3105,L3105))</f>
        <v>-1568165.290000001</v>
      </c>
      <c r="O3105" s="95">
        <f t="shared" si="403"/>
        <v>-1568165.290000001</v>
      </c>
      <c r="P3105" s="107" t="s">
        <v>155</v>
      </c>
      <c r="Q3105" s="107">
        <v>4.3401248612449997E-2</v>
      </c>
      <c r="R3105" s="107">
        <v>1.8735221427499982</v>
      </c>
      <c r="S3105" s="107">
        <v>3.0070137289551725E-3</v>
      </c>
      <c r="T3105" s="107">
        <v>0.11701061268472213</v>
      </c>
      <c r="U3105" s="107" t="s">
        <v>0</v>
      </c>
      <c r="V3105" s="107">
        <v>4.3722557899999996</v>
      </c>
      <c r="W3105" s="107" t="s">
        <v>15</v>
      </c>
      <c r="X3105" s="107">
        <v>1.45741827</v>
      </c>
      <c r="Y3105" s="107"/>
      <c r="Z3105" s="107"/>
      <c r="AA3105" s="107"/>
      <c r="AB3105" s="107"/>
      <c r="AC3105" s="355"/>
      <c r="AD3105" s="355"/>
      <c r="AE3105" s="355"/>
      <c r="AF3105" s="94">
        <f t="shared" si="399"/>
        <v>41547</v>
      </c>
      <c r="AG3105" s="185">
        <f t="shared" si="404"/>
        <v>1.555906515387373E-2</v>
      </c>
      <c r="AH3105" s="339" t="str">
        <f>VLOOKUP(B3105,'MF PF'!A:B,2)</f>
        <v>FdMgt1</v>
      </c>
      <c r="AI3105" s="358">
        <f t="shared" si="400"/>
        <v>0</v>
      </c>
      <c r="AJ3105" s="94">
        <f t="shared" si="401"/>
        <v>41547</v>
      </c>
    </row>
    <row r="3106" spans="1:36" ht="12.75" customHeight="1">
      <c r="A3106" s="97">
        <v>41578</v>
      </c>
      <c r="B3106" s="94" t="s">
        <v>188</v>
      </c>
      <c r="C3106" s="96" t="s">
        <v>298</v>
      </c>
      <c r="D3106" s="98">
        <v>5909208.8499999996</v>
      </c>
      <c r="E3106" s="9">
        <f t="shared" si="402"/>
        <v>1673892.1183893227</v>
      </c>
      <c r="F3106" s="98">
        <v>20</v>
      </c>
      <c r="G3106" s="98">
        <v>0</v>
      </c>
      <c r="H3106" s="98">
        <v>0</v>
      </c>
      <c r="I3106" s="98">
        <v>0</v>
      </c>
      <c r="J3106" s="98"/>
      <c r="K3106" s="7">
        <v>3.5302208458249069</v>
      </c>
      <c r="L3106" s="93">
        <f t="shared" si="397"/>
        <v>0</v>
      </c>
      <c r="M3106" s="95">
        <f t="shared" ca="1" si="398"/>
        <v>0</v>
      </c>
      <c r="N3106" s="95">
        <f>IF(P3106="Hedge Fund",IF(A3106=Summary!$AD$3,M3106-E3106,M3106),IF(A3106=Summary!$AD$3,L3106-D3106,L3106))</f>
        <v>0</v>
      </c>
      <c r="O3106" s="95">
        <f t="shared" si="403"/>
        <v>0</v>
      </c>
      <c r="P3106" s="107" t="s">
        <v>155</v>
      </c>
      <c r="Q3106" s="107">
        <v>4.3932156520843202E-2</v>
      </c>
      <c r="R3106" s="107">
        <v>1.983905606249998</v>
      </c>
      <c r="S3106" s="107">
        <v>3.0435436550925931E-3</v>
      </c>
      <c r="T3106" s="107">
        <v>0.12409550781018522</v>
      </c>
      <c r="U3106" s="107" t="s">
        <v>0</v>
      </c>
      <c r="V3106" s="107">
        <v>4.4319068799999997</v>
      </c>
      <c r="W3106" s="107" t="s">
        <v>15</v>
      </c>
      <c r="X3106" s="107">
        <v>1.4773019700000001</v>
      </c>
      <c r="Y3106" s="107"/>
      <c r="Z3106" s="107"/>
      <c r="AA3106" s="107"/>
      <c r="AB3106" s="107"/>
      <c r="AC3106" s="355"/>
      <c r="AD3106" s="355"/>
      <c r="AE3106" s="355"/>
      <c r="AF3106" s="94">
        <f t="shared" si="399"/>
        <v>41578</v>
      </c>
      <c r="AG3106" s="185">
        <f t="shared" si="404"/>
        <v>1.3643093795882022E-2</v>
      </c>
      <c r="AH3106" s="339" t="str">
        <f>VLOOKUP(B3106,'MF PF'!A:B,2)</f>
        <v>FdMgt1</v>
      </c>
      <c r="AI3106" s="358">
        <f t="shared" si="400"/>
        <v>0</v>
      </c>
      <c r="AJ3106" s="94">
        <f t="shared" si="401"/>
        <v>41578</v>
      </c>
    </row>
    <row r="3107" spans="1:36" ht="12.75" customHeight="1">
      <c r="A3107" s="97">
        <v>41607</v>
      </c>
      <c r="B3107" s="94" t="s">
        <v>188</v>
      </c>
      <c r="C3107" s="96" t="s">
        <v>298</v>
      </c>
      <c r="D3107" s="98">
        <v>5764841.1500000004</v>
      </c>
      <c r="E3107" s="9">
        <f t="shared" ref="E3107:E3138" si="405">D3107/K3107</f>
        <v>1632997.3114339053</v>
      </c>
      <c r="F3107" s="98">
        <v>20</v>
      </c>
      <c r="G3107" s="98">
        <v>0</v>
      </c>
      <c r="H3107" s="98">
        <v>-9.3132257461547852E-10</v>
      </c>
      <c r="I3107" s="98">
        <v>0</v>
      </c>
      <c r="J3107" s="98"/>
      <c r="K3107" s="7">
        <v>3.5302208458249069</v>
      </c>
      <c r="L3107" s="93">
        <f t="shared" si="397"/>
        <v>-9.3132257461547852E-10</v>
      </c>
      <c r="M3107" s="95">
        <f t="shared" ca="1" si="398"/>
        <v>0</v>
      </c>
      <c r="N3107" s="95">
        <f>IF(P3107="Hedge Fund",IF(A3107=Summary!$AD$3,M3107-E3107,M3107),IF(A3107=Summary!$AD$3,L3107-D3107,L3107))</f>
        <v>-9.3132257461547852E-10</v>
      </c>
      <c r="O3107" s="95">
        <f t="shared" ref="O3107:O3138" si="406">N3107</f>
        <v>-9.3132257461547852E-10</v>
      </c>
      <c r="P3107" s="107" t="s">
        <v>155</v>
      </c>
      <c r="Q3107" s="107">
        <v>4.0097409422905197E-2</v>
      </c>
      <c r="R3107" s="107">
        <v>1.7632087252499986</v>
      </c>
      <c r="S3107" s="107">
        <v>2.7770582384259298E-3</v>
      </c>
      <c r="T3107" s="107">
        <v>0.109700636564815</v>
      </c>
      <c r="U3107" s="107" t="s">
        <v>0</v>
      </c>
      <c r="V3107" s="107">
        <v>4.32363111</v>
      </c>
      <c r="W3107" s="107" t="s">
        <v>15</v>
      </c>
      <c r="X3107" s="107">
        <v>1.4412100400000001</v>
      </c>
      <c r="Y3107" s="107"/>
      <c r="Z3107" s="107"/>
      <c r="AA3107" s="107"/>
      <c r="AB3107" s="107"/>
      <c r="AC3107" s="355"/>
      <c r="AD3107" s="355"/>
      <c r="AE3107" s="355"/>
      <c r="AF3107" s="94">
        <f t="shared" si="399"/>
        <v>41607</v>
      </c>
      <c r="AG3107" s="185">
        <f t="shared" si="404"/>
        <v>-2.4430969299722438E-2</v>
      </c>
      <c r="AH3107" s="339" t="str">
        <f>VLOOKUP(B3107,'MF PF'!A:B,2)</f>
        <v>FdMgt1</v>
      </c>
      <c r="AI3107" s="358">
        <f t="shared" si="400"/>
        <v>0</v>
      </c>
      <c r="AJ3107" s="94">
        <f t="shared" si="401"/>
        <v>41608</v>
      </c>
    </row>
    <row r="3108" spans="1:36" ht="12.75" customHeight="1">
      <c r="A3108" s="97">
        <v>41639</v>
      </c>
      <c r="B3108" s="94" t="s">
        <v>188</v>
      </c>
      <c r="C3108" s="96" t="s">
        <v>298</v>
      </c>
      <c r="D3108" s="98">
        <v>5832803.9000000004</v>
      </c>
      <c r="E3108" s="9">
        <f t="shared" si="405"/>
        <v>1652249.0106811004</v>
      </c>
      <c r="F3108" s="98">
        <v>20</v>
      </c>
      <c r="G3108" s="98">
        <v>0</v>
      </c>
      <c r="H3108" s="98">
        <v>0</v>
      </c>
      <c r="I3108" s="98">
        <v>0</v>
      </c>
      <c r="J3108" s="98"/>
      <c r="K3108" s="7">
        <v>3.5302208458249069</v>
      </c>
      <c r="L3108" s="93">
        <f t="shared" si="397"/>
        <v>0</v>
      </c>
      <c r="M3108" s="95">
        <f t="shared" ca="1" si="398"/>
        <v>0</v>
      </c>
      <c r="N3108" s="95">
        <f>IF(P3108="Hedge Fund",IF(A3108=Summary!$AD$3,M3108-E3108,M3108),IF(A3108=Summary!$AD$3,L3108-D3108,L3108))</f>
        <v>0</v>
      </c>
      <c r="O3108" s="95">
        <f t="shared" si="406"/>
        <v>0</v>
      </c>
      <c r="P3108" s="107" t="s">
        <v>155</v>
      </c>
      <c r="Q3108" s="107">
        <v>4.4677805599249103E-2</v>
      </c>
      <c r="R3108" s="107">
        <v>1.8513061007499985</v>
      </c>
      <c r="S3108" s="107">
        <v>3.09298075632756E-3</v>
      </c>
      <c r="T3108" s="107">
        <v>0.115156371476741</v>
      </c>
      <c r="U3108" s="107" t="s">
        <v>0</v>
      </c>
      <c r="V3108" s="107">
        <v>4.3746031700000003</v>
      </c>
      <c r="W3108" s="107" t="s">
        <v>15</v>
      </c>
      <c r="X3108" s="107">
        <v>1.4582007299999999</v>
      </c>
      <c r="Y3108" s="107"/>
      <c r="Z3108" s="107"/>
      <c r="AA3108" s="107"/>
      <c r="AB3108" s="107"/>
      <c r="AC3108" s="355"/>
      <c r="AD3108" s="355"/>
      <c r="AE3108" s="355"/>
      <c r="AF3108" s="94">
        <f t="shared" si="399"/>
        <v>41639</v>
      </c>
      <c r="AG3108" s="185">
        <f t="shared" si="404"/>
        <v>1.1789180001950283E-2</v>
      </c>
      <c r="AH3108" s="339" t="str">
        <f>VLOOKUP(B3108,'MF PF'!A:B,2)</f>
        <v>FdMgt1</v>
      </c>
      <c r="AI3108" s="358">
        <f t="shared" si="400"/>
        <v>0</v>
      </c>
      <c r="AJ3108" s="94">
        <f t="shared" si="401"/>
        <v>41639</v>
      </c>
    </row>
    <row r="3109" spans="1:36" ht="12.75" customHeight="1">
      <c r="A3109" s="97">
        <v>41669</v>
      </c>
      <c r="B3109" s="94" t="s">
        <v>188</v>
      </c>
      <c r="C3109" s="96" t="s">
        <v>298</v>
      </c>
      <c r="D3109" s="98">
        <v>5692070.6500000004</v>
      </c>
      <c r="E3109" s="95">
        <f t="shared" si="405"/>
        <v>1612383.7285511054</v>
      </c>
      <c r="F3109" s="98">
        <v>20</v>
      </c>
      <c r="G3109" s="98">
        <v>0</v>
      </c>
      <c r="H3109" s="98">
        <v>-9.3132257461547852E-10</v>
      </c>
      <c r="I3109" s="98">
        <v>0</v>
      </c>
      <c r="J3109" s="98"/>
      <c r="K3109" s="93">
        <v>3.5302208458249069</v>
      </c>
      <c r="L3109" s="93">
        <f t="shared" si="397"/>
        <v>-9.3132257461547852E-10</v>
      </c>
      <c r="M3109" s="95">
        <f t="shared" ca="1" si="398"/>
        <v>0</v>
      </c>
      <c r="N3109" s="95">
        <f>IF(P3109="Hedge Fund",IF(A3109=Summary!$AD$3,M3109-E3109,M3109),IF(A3109=Summary!$AD$3,L3109-D3109,L3109))</f>
        <v>-9.3132257461547852E-10</v>
      </c>
      <c r="O3109" s="95">
        <f t="shared" si="406"/>
        <v>-9.3132257461547852E-10</v>
      </c>
      <c r="P3109" s="107" t="s">
        <v>155</v>
      </c>
      <c r="Q3109" s="107">
        <v>4.0872684024873297E-2</v>
      </c>
      <c r="R3109" s="107">
        <v>1.635478109749998</v>
      </c>
      <c r="S3109" s="107">
        <v>2.8285824063261399E-3</v>
      </c>
      <c r="T3109" s="107">
        <v>0.10106249947037001</v>
      </c>
      <c r="U3109" s="107" t="s">
        <v>0</v>
      </c>
      <c r="V3109" s="107">
        <v>4.2690532300000008</v>
      </c>
      <c r="W3109" s="107" t="s">
        <v>15</v>
      </c>
      <c r="X3109" s="107">
        <v>1.4230174199999999</v>
      </c>
      <c r="Y3109" s="107"/>
      <c r="Z3109" s="107"/>
      <c r="AA3109" s="107"/>
      <c r="AB3109" s="107"/>
      <c r="AC3109" s="355"/>
      <c r="AD3109" s="355"/>
      <c r="AE3109" s="355"/>
      <c r="AF3109" s="94">
        <f t="shared" si="399"/>
        <v>41669</v>
      </c>
      <c r="AG3109" s="185">
        <f t="shared" si="404"/>
        <v>-2.4127889847282424E-2</v>
      </c>
      <c r="AH3109" s="339" t="str">
        <f>VLOOKUP(B3109,'MF PF'!A:B,2)</f>
        <v>FdMgt1</v>
      </c>
      <c r="AI3109" s="358">
        <f t="shared" si="400"/>
        <v>0</v>
      </c>
      <c r="AJ3109" s="94">
        <f t="shared" si="401"/>
        <v>41670</v>
      </c>
    </row>
    <row r="3110" spans="1:36" ht="12.75" customHeight="1">
      <c r="A3110" s="97">
        <v>41698</v>
      </c>
      <c r="B3110" s="94" t="s">
        <v>188</v>
      </c>
      <c r="C3110" s="96" t="s">
        <v>298</v>
      </c>
      <c r="D3110" s="98">
        <v>5493697.709999999</v>
      </c>
      <c r="E3110" s="9">
        <f t="shared" si="405"/>
        <v>1556190.943832095</v>
      </c>
      <c r="F3110" s="98">
        <v>20</v>
      </c>
      <c r="G3110" s="98">
        <v>0</v>
      </c>
      <c r="H3110" s="98">
        <v>0</v>
      </c>
      <c r="I3110" s="98">
        <v>0</v>
      </c>
      <c r="J3110" s="98"/>
      <c r="K3110" s="7">
        <v>3.5302208458249069</v>
      </c>
      <c r="L3110" s="93">
        <f t="shared" si="397"/>
        <v>0</v>
      </c>
      <c r="M3110" s="95">
        <f t="shared" ca="1" si="398"/>
        <v>0</v>
      </c>
      <c r="N3110" s="95">
        <f>IF(P3110="Hedge Fund",IF(A3110=Summary!$AD$3,M3110-E3110,M3110),IF(A3110=Summary!$AD$3,L3110-D3110,L3110))</f>
        <v>0</v>
      </c>
      <c r="O3110" s="95">
        <f t="shared" si="406"/>
        <v>0</v>
      </c>
      <c r="P3110" s="107" t="s">
        <v>155</v>
      </c>
      <c r="Q3110" s="107">
        <v>3.8144602395356601E-2</v>
      </c>
      <c r="R3110" s="107">
        <v>1.3339887022499977</v>
      </c>
      <c r="S3110" s="107">
        <v>2.6385385538816699E-3</v>
      </c>
      <c r="T3110" s="107">
        <v>8.1388038315277605E-2</v>
      </c>
      <c r="U3110" s="107" t="s">
        <v>0</v>
      </c>
      <c r="V3110" s="107">
        <v>4.1202735299999995</v>
      </c>
      <c r="W3110" s="107" t="s">
        <v>15</v>
      </c>
      <c r="X3110" s="107">
        <v>1.37342418</v>
      </c>
      <c r="Y3110" s="107"/>
      <c r="Z3110" s="107"/>
      <c r="AA3110" s="107"/>
      <c r="AB3110" s="107"/>
      <c r="AC3110" s="355"/>
      <c r="AD3110" s="355"/>
      <c r="AE3110" s="355"/>
      <c r="AF3110" s="94">
        <f t="shared" si="399"/>
        <v>41698</v>
      </c>
      <c r="AG3110" s="185">
        <f t="shared" ref="AG3110:AG3141" si="407">IF(C3110&lt;&gt;C3109,D3110/G3110-1,(D3110-G3110-I3110-H3110)/(D3109)-1)</f>
        <v>-3.4850751545046466E-2</v>
      </c>
      <c r="AH3110" s="339" t="str">
        <f>VLOOKUP(B3110,'MF PF'!A:B,2)</f>
        <v>FdMgt1</v>
      </c>
      <c r="AI3110" s="358">
        <f t="shared" si="400"/>
        <v>0</v>
      </c>
      <c r="AJ3110" s="94">
        <f t="shared" si="401"/>
        <v>41698</v>
      </c>
    </row>
    <row r="3111" spans="1:36" ht="12.75" customHeight="1">
      <c r="A3111" s="97">
        <v>41729</v>
      </c>
      <c r="B3111" s="94" t="s">
        <v>188</v>
      </c>
      <c r="C3111" s="96" t="s">
        <v>298</v>
      </c>
      <c r="D3111" s="98">
        <v>4430006.74</v>
      </c>
      <c r="E3111" s="9">
        <f t="shared" si="405"/>
        <v>1254880.9078727311</v>
      </c>
      <c r="F3111" s="98">
        <v>20</v>
      </c>
      <c r="G3111" s="98">
        <v>0</v>
      </c>
      <c r="H3111" s="98">
        <v>0</v>
      </c>
      <c r="I3111" s="98">
        <v>-1000000</v>
      </c>
      <c r="J3111" s="98"/>
      <c r="K3111" s="7">
        <v>3.5302208458249069</v>
      </c>
      <c r="L3111" s="93">
        <f t="shared" si="397"/>
        <v>-1000000</v>
      </c>
      <c r="M3111" s="95">
        <f t="shared" ca="1" si="398"/>
        <v>-283268.39698504185</v>
      </c>
      <c r="N3111" s="95">
        <f>IF(P3111="Hedge Fund",IF(A3111=Summary!$AD$3,M3111-E3111,M3111),IF(A3111=Summary!$AD$3,L3111-D3111,L3111))</f>
        <v>-1000000</v>
      </c>
      <c r="O3111" s="95">
        <f t="shared" si="406"/>
        <v>-1000000</v>
      </c>
      <c r="P3111" s="107" t="s">
        <v>155</v>
      </c>
      <c r="Q3111" s="107">
        <v>3.3114230127117596E-2</v>
      </c>
      <c r="R3111" s="107">
        <v>1.2342163692499983</v>
      </c>
      <c r="S3111" s="107">
        <v>2.2854881381637803E-3</v>
      </c>
      <c r="T3111" s="107">
        <v>7.4862563797455497E-2</v>
      </c>
      <c r="U3111" s="107" t="s">
        <v>0</v>
      </c>
      <c r="V3111" s="107">
        <v>3.3225053</v>
      </c>
      <c r="W3111" s="107" t="s">
        <v>15</v>
      </c>
      <c r="X3111" s="107">
        <v>1.1075014399999998</v>
      </c>
      <c r="Y3111" s="107"/>
      <c r="Z3111" s="107"/>
      <c r="AA3111" s="107"/>
      <c r="AB3111" s="107"/>
      <c r="AC3111" s="355"/>
      <c r="AD3111" s="355"/>
      <c r="AE3111" s="355"/>
      <c r="AF3111" s="94">
        <f t="shared" si="399"/>
        <v>41729</v>
      </c>
      <c r="AG3111" s="185">
        <f t="shared" si="407"/>
        <v>-1.1593460973301162E-2</v>
      </c>
      <c r="AH3111" s="339" t="str">
        <f>VLOOKUP(B3111,'MF PF'!A:B,2)</f>
        <v>FdMgt1</v>
      </c>
      <c r="AI3111" s="358">
        <f t="shared" si="400"/>
        <v>0</v>
      </c>
      <c r="AJ3111" s="94">
        <f t="shared" si="401"/>
        <v>41729</v>
      </c>
    </row>
    <row r="3112" spans="1:36" ht="12.75" customHeight="1">
      <c r="A3112" s="97">
        <v>41759</v>
      </c>
      <c r="B3112" s="94" t="s">
        <v>188</v>
      </c>
      <c r="C3112" s="96" t="s">
        <v>298</v>
      </c>
      <c r="D3112" s="98">
        <v>4400796.42</v>
      </c>
      <c r="E3112" s="9">
        <f t="shared" si="405"/>
        <v>1246606.547350911</v>
      </c>
      <c r="F3112" s="98">
        <v>20</v>
      </c>
      <c r="G3112" s="98">
        <v>0</v>
      </c>
      <c r="H3112" s="98">
        <v>0</v>
      </c>
      <c r="I3112" s="98">
        <v>0</v>
      </c>
      <c r="J3112" s="98"/>
      <c r="K3112" s="7">
        <v>3.5302208458249069</v>
      </c>
      <c r="L3112" s="93">
        <f t="shared" si="397"/>
        <v>0</v>
      </c>
      <c r="M3112" s="95">
        <f t="shared" ca="1" si="398"/>
        <v>0</v>
      </c>
      <c r="N3112" s="95">
        <f>IF(P3112="Hedge Fund",IF(A3112=Summary!$AD$3,M3112-E3112,M3112),IF(A3112=Summary!$AD$3,L3112-D3112,L3112))</f>
        <v>0</v>
      </c>
      <c r="O3112" s="95">
        <f t="shared" si="406"/>
        <v>0</v>
      </c>
      <c r="P3112" s="107" t="s">
        <v>155</v>
      </c>
      <c r="Q3112" s="107">
        <v>3.1817964225521002E-2</v>
      </c>
      <c r="R3112" s="107">
        <v>1.1857847352499979</v>
      </c>
      <c r="S3112" s="107">
        <v>2.1955922715684801E-3</v>
      </c>
      <c r="T3112" s="107">
        <v>7.1672653460934099E-2</v>
      </c>
      <c r="U3112" s="107" t="s">
        <v>0</v>
      </c>
      <c r="V3112" s="107">
        <v>3.3005975599999999</v>
      </c>
      <c r="W3112" s="107" t="s">
        <v>15</v>
      </c>
      <c r="X3112" s="107">
        <v>1.1001988600000001</v>
      </c>
      <c r="Y3112" s="107"/>
      <c r="Z3112" s="107"/>
      <c r="AA3112" s="107"/>
      <c r="AB3112" s="107"/>
      <c r="AC3112" s="355"/>
      <c r="AD3112" s="355"/>
      <c r="AE3112" s="355"/>
      <c r="AF3112" s="94">
        <f t="shared" si="399"/>
        <v>41759</v>
      </c>
      <c r="AG3112" s="185">
        <f t="shared" si="407"/>
        <v>-6.5937416609890276E-3</v>
      </c>
      <c r="AH3112" s="339" t="str">
        <f>VLOOKUP(B3112,'MF PF'!A:B,2)</f>
        <v>FdMgt1</v>
      </c>
      <c r="AI3112" s="358">
        <f t="shared" si="400"/>
        <v>0</v>
      </c>
      <c r="AJ3112" s="94">
        <f t="shared" si="401"/>
        <v>41759</v>
      </c>
    </row>
    <row r="3113" spans="1:36" ht="12.75" customHeight="1">
      <c r="A3113" s="97">
        <v>41789</v>
      </c>
      <c r="B3113" s="94" t="s">
        <v>188</v>
      </c>
      <c r="C3113" s="96" t="s">
        <v>298</v>
      </c>
      <c r="D3113" s="98">
        <v>3941963.4700000007</v>
      </c>
      <c r="E3113" s="9">
        <f t="shared" si="405"/>
        <v>1116633.6731204933</v>
      </c>
      <c r="F3113" s="98">
        <v>20</v>
      </c>
      <c r="G3113" s="98">
        <v>0</v>
      </c>
      <c r="H3113" s="98">
        <v>0</v>
      </c>
      <c r="I3113" s="98">
        <v>-400000</v>
      </c>
      <c r="J3113" s="98"/>
      <c r="K3113" s="7">
        <v>3.5302208458249069</v>
      </c>
      <c r="L3113" s="93">
        <f t="shared" si="397"/>
        <v>-400000</v>
      </c>
      <c r="M3113" s="95">
        <f t="shared" ca="1" si="398"/>
        <v>-113307.35879401675</v>
      </c>
      <c r="N3113" s="95">
        <f>IF(P3113="Hedge Fund",IF(A3113=Summary!$AD$3,M3113-E3113,M3113),IF(A3113=Summary!$AD$3,L3113-D3113,L3113))</f>
        <v>-400000</v>
      </c>
      <c r="O3113" s="95">
        <f t="shared" si="406"/>
        <v>-400000</v>
      </c>
      <c r="P3113" s="107" t="s">
        <v>155</v>
      </c>
      <c r="Q3113" s="107">
        <v>2.7901842960602798E-2</v>
      </c>
      <c r="R3113" s="107">
        <v>1.0934456962500001</v>
      </c>
      <c r="S3113" s="107">
        <v>1.92220315246566E-3</v>
      </c>
      <c r="T3113" s="107">
        <v>6.5615522355127298E-2</v>
      </c>
      <c r="U3113" s="107" t="s">
        <v>0</v>
      </c>
      <c r="V3113" s="107">
        <v>2.9564728499999999</v>
      </c>
      <c r="W3113" s="107" t="s">
        <v>15</v>
      </c>
      <c r="X3113" s="107">
        <v>0.98549061999999998</v>
      </c>
      <c r="Y3113" s="107"/>
      <c r="Z3113" s="107"/>
      <c r="AA3113" s="107"/>
      <c r="AB3113" s="107"/>
      <c r="AC3113" s="355"/>
      <c r="AD3113" s="355"/>
      <c r="AE3113" s="355"/>
      <c r="AF3113" s="94">
        <f t="shared" si="399"/>
        <v>41789</v>
      </c>
      <c r="AG3113" s="185">
        <f t="shared" si="407"/>
        <v>-1.3368705203591125E-2</v>
      </c>
      <c r="AH3113" s="339" t="str">
        <f>VLOOKUP(B3113,'MF PF'!A:B,2)</f>
        <v>FdMgt1</v>
      </c>
      <c r="AI3113" s="358">
        <f t="shared" si="400"/>
        <v>0</v>
      </c>
      <c r="AJ3113" s="94">
        <f t="shared" si="401"/>
        <v>41790</v>
      </c>
    </row>
    <row r="3114" spans="1:36" ht="12.75" customHeight="1">
      <c r="A3114" s="97">
        <v>41820</v>
      </c>
      <c r="B3114" s="94" t="s">
        <v>188</v>
      </c>
      <c r="C3114" s="96" t="s">
        <v>298</v>
      </c>
      <c r="D3114" s="98">
        <v>3919778.1400000006</v>
      </c>
      <c r="E3114" s="95">
        <f t="shared" si="405"/>
        <v>1110349.2702548092</v>
      </c>
      <c r="F3114" s="98">
        <v>20</v>
      </c>
      <c r="G3114" s="98">
        <v>0</v>
      </c>
      <c r="H3114" s="98">
        <v>0</v>
      </c>
      <c r="I3114" s="98">
        <v>0</v>
      </c>
      <c r="J3114" s="98"/>
      <c r="K3114" s="93">
        <v>3.5302208458249069</v>
      </c>
      <c r="L3114" s="93">
        <f t="shared" si="397"/>
        <v>0</v>
      </c>
      <c r="M3114" s="95">
        <f t="shared" ca="1" si="398"/>
        <v>0</v>
      </c>
      <c r="N3114" s="95">
        <f>IF(P3114="Hedge Fund",IF(A3114=Summary!$AD$3,M3114-E3114,M3114),IF(A3114=Summary!$AD$3,L3114-D3114,L3114))</f>
        <v>0</v>
      </c>
      <c r="O3114" s="95">
        <f t="shared" si="406"/>
        <v>0</v>
      </c>
      <c r="P3114" s="107" t="s">
        <v>155</v>
      </c>
      <c r="Q3114" s="107">
        <v>2.86503846586291E-2</v>
      </c>
      <c r="R3114" s="107">
        <v>1.0558859817499981</v>
      </c>
      <c r="S3114" s="107">
        <v>1.9733761553552198E-3</v>
      </c>
      <c r="T3114" s="107">
        <v>6.3134390084918293E-2</v>
      </c>
      <c r="U3114" s="107" t="s">
        <v>0</v>
      </c>
      <c r="V3114" s="107">
        <v>2.9398338500000003</v>
      </c>
      <c r="W3114" s="107" t="s">
        <v>15</v>
      </c>
      <c r="X3114" s="107">
        <v>0.97994429000000005</v>
      </c>
      <c r="Y3114" s="107"/>
      <c r="Z3114" s="107"/>
      <c r="AA3114" s="107"/>
      <c r="AB3114" s="107"/>
      <c r="AC3114" s="355"/>
      <c r="AD3114" s="355"/>
      <c r="AE3114" s="355"/>
      <c r="AF3114" s="94">
        <f t="shared" si="399"/>
        <v>41820</v>
      </c>
      <c r="AG3114" s="185">
        <f t="shared" si="407"/>
        <v>-5.6279897489766029E-3</v>
      </c>
      <c r="AH3114" s="339" t="str">
        <f>VLOOKUP(B3114,'MF PF'!A:B,2)</f>
        <v>FdMgt1</v>
      </c>
      <c r="AI3114" s="358">
        <f t="shared" si="400"/>
        <v>0</v>
      </c>
      <c r="AJ3114" s="94">
        <f t="shared" si="401"/>
        <v>41820</v>
      </c>
    </row>
    <row r="3115" spans="1:36" ht="12.75" customHeight="1">
      <c r="A3115" s="97">
        <v>41851</v>
      </c>
      <c r="B3115" s="94" t="s">
        <v>188</v>
      </c>
      <c r="C3115" s="96" t="s">
        <v>298</v>
      </c>
      <c r="D3115" s="98">
        <v>3893611.78</v>
      </c>
      <c r="E3115" s="9">
        <f t="shared" si="405"/>
        <v>1102937.1674026754</v>
      </c>
      <c r="F3115" s="98">
        <v>20</v>
      </c>
      <c r="G3115" s="98">
        <v>0</v>
      </c>
      <c r="H3115" s="98">
        <v>0</v>
      </c>
      <c r="I3115" s="98">
        <v>0</v>
      </c>
      <c r="J3115" s="98"/>
      <c r="K3115" s="7">
        <v>3.5302208458249069</v>
      </c>
      <c r="L3115" s="93">
        <f t="shared" si="397"/>
        <v>0</v>
      </c>
      <c r="M3115" s="95">
        <f t="shared" ca="1" si="398"/>
        <v>0</v>
      </c>
      <c r="N3115" s="95">
        <f>IF(P3115="Hedge Fund",IF(A3115=Summary!$AD$3,M3115-E3115,M3115),IF(A3115=Summary!$AD$3,L3115-D3115,L3115))</f>
        <v>0</v>
      </c>
      <c r="O3115" s="95">
        <f t="shared" si="406"/>
        <v>0</v>
      </c>
      <c r="P3115" s="107" t="s">
        <v>155</v>
      </c>
      <c r="Q3115" s="107">
        <v>2.8440105424305299E-2</v>
      </c>
      <c r="R3115" s="107">
        <v>1.0125069707499983</v>
      </c>
      <c r="S3115" s="107">
        <v>1.95847513853098E-3</v>
      </c>
      <c r="T3115" s="107">
        <v>6.0277596522825799E-2</v>
      </c>
      <c r="U3115" s="107" t="s">
        <v>0</v>
      </c>
      <c r="V3115" s="107">
        <v>2.9202090800000002</v>
      </c>
      <c r="W3115" s="107" t="s">
        <v>15</v>
      </c>
      <c r="X3115" s="107">
        <v>0.97340269999999995</v>
      </c>
      <c r="Y3115" s="107"/>
      <c r="Z3115" s="107"/>
      <c r="AA3115" s="107"/>
      <c r="AB3115" s="107"/>
      <c r="AC3115" s="355"/>
      <c r="AD3115" s="355"/>
      <c r="AE3115" s="355"/>
      <c r="AF3115" s="94">
        <f t="shared" si="399"/>
        <v>41851</v>
      </c>
      <c r="AG3115" s="185">
        <f t="shared" si="407"/>
        <v>-6.6754696478819042E-3</v>
      </c>
      <c r="AH3115" s="339" t="str">
        <f>VLOOKUP(B3115,'MF PF'!A:B,2)</f>
        <v>FdMgt1</v>
      </c>
      <c r="AI3115" s="358">
        <f t="shared" si="400"/>
        <v>0</v>
      </c>
      <c r="AJ3115" s="94">
        <f t="shared" si="401"/>
        <v>41851</v>
      </c>
    </row>
    <row r="3116" spans="1:36" ht="12.75" customHeight="1">
      <c r="A3116" s="97">
        <v>41880</v>
      </c>
      <c r="B3116" s="94" t="s">
        <v>188</v>
      </c>
      <c r="C3116" s="96" t="s">
        <v>298</v>
      </c>
      <c r="D3116" s="98">
        <v>4124128.3900000006</v>
      </c>
      <c r="E3116" s="9">
        <f t="shared" si="405"/>
        <v>1168235.2379958017</v>
      </c>
      <c r="F3116" s="98">
        <v>20</v>
      </c>
      <c r="G3116" s="98">
        <v>0</v>
      </c>
      <c r="H3116" s="98">
        <v>0</v>
      </c>
      <c r="I3116" s="98">
        <v>0</v>
      </c>
      <c r="J3116" s="98"/>
      <c r="K3116" s="7">
        <v>3.5302208458249069</v>
      </c>
      <c r="L3116" s="93">
        <f t="shared" si="397"/>
        <v>0</v>
      </c>
      <c r="M3116" s="95">
        <f t="shared" ca="1" si="398"/>
        <v>0</v>
      </c>
      <c r="N3116" s="95">
        <f>IF(P3116="Hedge Fund",IF(A3116=Summary!$AD$3,M3116-E3116,M3116),IF(A3116=Summary!$AD$3,L3116-D3116,L3116))</f>
        <v>0</v>
      </c>
      <c r="O3116" s="95">
        <f t="shared" si="406"/>
        <v>0</v>
      </c>
      <c r="P3116" s="107" t="s">
        <v>155</v>
      </c>
      <c r="Q3116" s="107">
        <v>2.8132242892573499E-2</v>
      </c>
      <c r="R3116" s="107">
        <v>1.3507338047499999</v>
      </c>
      <c r="S3116" s="107">
        <v>1.93851976440103E-3</v>
      </c>
      <c r="T3116" s="107">
        <v>8.2232507949932199E-2</v>
      </c>
      <c r="U3116" s="107" t="s">
        <v>0</v>
      </c>
      <c r="V3116" s="107">
        <v>3.0930965399999999</v>
      </c>
      <c r="W3116" s="107" t="s">
        <v>15</v>
      </c>
      <c r="X3116" s="107">
        <v>1.03103185</v>
      </c>
      <c r="Y3116" s="107"/>
      <c r="Z3116" s="107"/>
      <c r="AA3116" s="107"/>
      <c r="AB3116" s="107"/>
      <c r="AC3116" s="355"/>
      <c r="AD3116" s="355"/>
      <c r="AE3116" s="355"/>
      <c r="AF3116" s="94">
        <f t="shared" si="399"/>
        <v>41880</v>
      </c>
      <c r="AG3116" s="185">
        <f t="shared" si="407"/>
        <v>5.920379920362806E-2</v>
      </c>
      <c r="AH3116" s="339" t="str">
        <f>VLOOKUP(B3116,'MF PF'!A:B,2)</f>
        <v>FdMgt1</v>
      </c>
      <c r="AI3116" s="358">
        <f t="shared" si="400"/>
        <v>0</v>
      </c>
      <c r="AJ3116" s="94">
        <f t="shared" si="401"/>
        <v>41882</v>
      </c>
    </row>
    <row r="3117" spans="1:36" ht="12.75" customHeight="1">
      <c r="A3117" s="97">
        <v>41912</v>
      </c>
      <c r="B3117" s="94" t="s">
        <v>188</v>
      </c>
      <c r="C3117" s="96" t="s">
        <v>298</v>
      </c>
      <c r="D3117" s="98">
        <v>4134442.0999999996</v>
      </c>
      <c r="E3117" s="9">
        <f t="shared" si="405"/>
        <v>1171156.7860944699</v>
      </c>
      <c r="F3117" s="98">
        <v>20</v>
      </c>
      <c r="G3117" s="98">
        <v>0</v>
      </c>
      <c r="H3117" s="98">
        <v>0</v>
      </c>
      <c r="I3117" s="98">
        <v>0</v>
      </c>
      <c r="J3117" s="98"/>
      <c r="K3117" s="7">
        <v>3.5302208458249069</v>
      </c>
      <c r="L3117" s="93">
        <f t="shared" si="397"/>
        <v>0</v>
      </c>
      <c r="M3117" s="95">
        <f t="shared" ca="1" si="398"/>
        <v>0</v>
      </c>
      <c r="N3117" s="95">
        <f>IF(P3117="Hedge Fund",IF(A3117=Summary!$AD$3,M3117-E3117,M3117),IF(A3117=Summary!$AD$3,L3117-D3117,L3117))</f>
        <v>0</v>
      </c>
      <c r="O3117" s="95">
        <f t="shared" si="406"/>
        <v>0</v>
      </c>
      <c r="P3117" s="107" t="s">
        <v>155</v>
      </c>
      <c r="Q3117" s="107">
        <v>1.20081194341881E-2</v>
      </c>
      <c r="R3117" s="107">
        <v>1.3643971487499984</v>
      </c>
      <c r="S3117" s="107">
        <v>9.63953680759971E-4</v>
      </c>
      <c r="T3117" s="107">
        <v>8.3094904822526905E-2</v>
      </c>
      <c r="U3117" s="107" t="s">
        <v>0</v>
      </c>
      <c r="V3117" s="107">
        <v>3.1008318199999998</v>
      </c>
      <c r="W3117" s="107" t="s">
        <v>15</v>
      </c>
      <c r="X3117" s="107">
        <v>1.03361028</v>
      </c>
      <c r="Y3117" s="107"/>
      <c r="Z3117" s="107"/>
      <c r="AA3117" s="107"/>
      <c r="AB3117" s="107"/>
      <c r="AC3117" s="355"/>
      <c r="AD3117" s="355"/>
      <c r="AE3117" s="355"/>
      <c r="AF3117" s="94">
        <f t="shared" si="399"/>
        <v>41912</v>
      </c>
      <c r="AG3117" s="185">
        <f t="shared" si="407"/>
        <v>2.5008217554542966E-3</v>
      </c>
      <c r="AH3117" s="339" t="str">
        <f>VLOOKUP(B3117,'MF PF'!A:B,2)</f>
        <v>FdMgt1</v>
      </c>
      <c r="AI3117" s="358">
        <f t="shared" si="400"/>
        <v>0</v>
      </c>
      <c r="AJ3117" s="94">
        <f t="shared" si="401"/>
        <v>41912</v>
      </c>
    </row>
    <row r="3118" spans="1:36" ht="12.75" customHeight="1">
      <c r="A3118" s="97">
        <v>41943</v>
      </c>
      <c r="B3118" s="94" t="s">
        <v>188</v>
      </c>
      <c r="C3118" s="96" t="s">
        <v>298</v>
      </c>
      <c r="D3118" s="98">
        <v>3925700.7</v>
      </c>
      <c r="E3118" s="9">
        <f t="shared" si="405"/>
        <v>1112026.9443320567</v>
      </c>
      <c r="F3118" s="98">
        <v>20</v>
      </c>
      <c r="G3118" s="98">
        <v>0</v>
      </c>
      <c r="H3118" s="98">
        <v>0</v>
      </c>
      <c r="I3118" s="98">
        <v>0</v>
      </c>
      <c r="J3118" s="98"/>
      <c r="K3118" s="7">
        <v>3.5302208458249069</v>
      </c>
      <c r="L3118" s="93">
        <f t="shared" si="397"/>
        <v>0</v>
      </c>
      <c r="M3118" s="95">
        <f t="shared" ca="1" si="398"/>
        <v>0</v>
      </c>
      <c r="N3118" s="95">
        <f>IF(P3118="Hedge Fund",IF(A3118=Summary!$AD$3,M3118-E3118,M3118),IF(A3118=Summary!$AD$3,L3118-D3118,L3118))</f>
        <v>0</v>
      </c>
      <c r="O3118" s="95">
        <f t="shared" si="406"/>
        <v>0</v>
      </c>
      <c r="P3118" s="107" t="s">
        <v>155</v>
      </c>
      <c r="Q3118" s="107">
        <v>1.1684628901495E-3</v>
      </c>
      <c r="R3118" s="107">
        <v>1.0538599402499988</v>
      </c>
      <c r="S3118" s="107">
        <v>1.18165294674845E-4</v>
      </c>
      <c r="T3118" s="107">
        <v>6.2895340843927394E-2</v>
      </c>
      <c r="U3118" s="107" t="s">
        <v>0</v>
      </c>
      <c r="V3118" s="107">
        <v>2.94427577</v>
      </c>
      <c r="W3118" s="107" t="s">
        <v>15</v>
      </c>
      <c r="X3118" s="107">
        <v>0.98142493000000008</v>
      </c>
      <c r="Y3118" s="107"/>
      <c r="Z3118" s="107"/>
      <c r="AA3118" s="107"/>
      <c r="AB3118" s="107"/>
      <c r="AC3118" s="355"/>
      <c r="AD3118" s="355"/>
      <c r="AE3118" s="355"/>
      <c r="AF3118" s="94">
        <f t="shared" si="399"/>
        <v>41943</v>
      </c>
      <c r="AG3118" s="185">
        <f t="shared" si="407"/>
        <v>-5.0488408097430937E-2</v>
      </c>
      <c r="AH3118" s="339" t="str">
        <f>VLOOKUP(B3118,'MF PF'!A:B,2)</f>
        <v>FdMgt1</v>
      </c>
      <c r="AI3118" s="358">
        <f t="shared" si="400"/>
        <v>0</v>
      </c>
      <c r="AJ3118" s="94">
        <f t="shared" si="401"/>
        <v>41943</v>
      </c>
    </row>
    <row r="3119" spans="1:36" ht="12.75" customHeight="1">
      <c r="A3119" s="97">
        <v>41971</v>
      </c>
      <c r="B3119" s="94" t="s">
        <v>188</v>
      </c>
      <c r="C3119" s="96" t="s">
        <v>298</v>
      </c>
      <c r="D3119" s="98">
        <v>3654688.2800000003</v>
      </c>
      <c r="E3119" s="95">
        <f t="shared" si="405"/>
        <v>1035257.6905556199</v>
      </c>
      <c r="F3119" s="98">
        <v>20</v>
      </c>
      <c r="G3119" s="98">
        <v>0</v>
      </c>
      <c r="H3119" s="98">
        <v>0</v>
      </c>
      <c r="I3119" s="98">
        <v>0</v>
      </c>
      <c r="J3119" s="98"/>
      <c r="K3119" s="93">
        <v>3.5302208458249069</v>
      </c>
      <c r="L3119" s="93">
        <f t="shared" si="397"/>
        <v>0</v>
      </c>
      <c r="M3119" s="95">
        <f t="shared" ca="1" si="398"/>
        <v>0</v>
      </c>
      <c r="N3119" s="95">
        <f>IF(P3119="Hedge Fund",IF(A3119=Summary!$AD$3,M3119-E3119,M3119),IF(A3119=Summary!$AD$3,L3119-D3119,L3119))</f>
        <v>0</v>
      </c>
      <c r="O3119" s="95">
        <f t="shared" si="406"/>
        <v>0</v>
      </c>
      <c r="P3119" s="107" t="s">
        <v>155</v>
      </c>
      <c r="Q3119" s="107">
        <v>0</v>
      </c>
      <c r="R3119" s="107">
        <v>0.6335103882499985</v>
      </c>
      <c r="S3119" s="107">
        <v>0</v>
      </c>
      <c r="T3119" s="107">
        <v>3.5571195905535799E-2</v>
      </c>
      <c r="U3119" s="107" t="s">
        <v>0</v>
      </c>
      <c r="V3119" s="107">
        <v>2.7410162100000002</v>
      </c>
      <c r="W3119" s="107" t="s">
        <v>15</v>
      </c>
      <c r="X3119" s="107">
        <v>0.91367206999999995</v>
      </c>
      <c r="Y3119" s="107"/>
      <c r="Z3119" s="107"/>
      <c r="AA3119" s="107"/>
      <c r="AB3119" s="107"/>
      <c r="AC3119" s="355"/>
      <c r="AD3119" s="355"/>
      <c r="AE3119" s="355"/>
      <c r="AF3119" s="94">
        <f t="shared" si="399"/>
        <v>41971</v>
      </c>
      <c r="AG3119" s="185">
        <f t="shared" si="407"/>
        <v>-6.9035425955931817E-2</v>
      </c>
      <c r="AH3119" s="339" t="str">
        <f>VLOOKUP(B3119,'MF PF'!A:B,2)</f>
        <v>FdMgt1</v>
      </c>
      <c r="AI3119" s="358">
        <f t="shared" si="400"/>
        <v>0</v>
      </c>
      <c r="AJ3119" s="94">
        <f t="shared" si="401"/>
        <v>41973</v>
      </c>
    </row>
    <row r="3120" spans="1:36" ht="12.75" customHeight="1">
      <c r="A3120" s="97">
        <v>42004</v>
      </c>
      <c r="B3120" s="94" t="s">
        <v>188</v>
      </c>
      <c r="C3120" s="96" t="s">
        <v>298</v>
      </c>
      <c r="D3120" s="98">
        <v>3172090.71</v>
      </c>
      <c r="E3120" s="9">
        <f t="shared" si="405"/>
        <v>898553.0505128433</v>
      </c>
      <c r="F3120" s="98">
        <v>20</v>
      </c>
      <c r="G3120" s="98">
        <v>0</v>
      </c>
      <c r="H3120" s="98">
        <v>0</v>
      </c>
      <c r="I3120" s="98">
        <v>-480000</v>
      </c>
      <c r="J3120" s="98"/>
      <c r="K3120" s="7">
        <v>3.5302208458249069</v>
      </c>
      <c r="L3120" s="93">
        <f t="shared" si="397"/>
        <v>-480000</v>
      </c>
      <c r="M3120" s="95">
        <f t="shared" ca="1" si="398"/>
        <v>-135968.83055282009</v>
      </c>
      <c r="N3120" s="95">
        <f>IF(P3120="Hedge Fund",IF(A3120=Summary!$AD$3,M3120-E3120,M3120),IF(A3120=Summary!$AD$3,L3120-D3120,L3120))</f>
        <v>-480000</v>
      </c>
      <c r="O3120" s="95">
        <f t="shared" si="406"/>
        <v>-480000</v>
      </c>
      <c r="P3120" s="107" t="s">
        <v>155</v>
      </c>
      <c r="Q3120" s="107">
        <v>0</v>
      </c>
      <c r="R3120" s="107">
        <v>0.64779731874999813</v>
      </c>
      <c r="S3120" s="107">
        <v>0</v>
      </c>
      <c r="T3120" s="107">
        <v>3.6517395253857103E-2</v>
      </c>
      <c r="U3120" s="107" t="s">
        <v>0</v>
      </c>
      <c r="V3120" s="107">
        <v>2.3790682799999998</v>
      </c>
      <c r="W3120" s="107" t="s">
        <v>15</v>
      </c>
      <c r="X3120" s="107">
        <v>0.79302243000000006</v>
      </c>
      <c r="Y3120" s="107"/>
      <c r="Z3120" s="107"/>
      <c r="AA3120" s="107"/>
      <c r="AB3120" s="107"/>
      <c r="AC3120" s="355"/>
      <c r="AD3120" s="355"/>
      <c r="AE3120" s="355"/>
      <c r="AF3120" s="94">
        <f t="shared" si="399"/>
        <v>42004</v>
      </c>
      <c r="AG3120" s="185">
        <f t="shared" si="407"/>
        <v>-7.1075008345178325E-4</v>
      </c>
      <c r="AH3120" s="339" t="str">
        <f>VLOOKUP(B3120,'MF PF'!A:B,2)</f>
        <v>FdMgt1</v>
      </c>
      <c r="AI3120" s="358">
        <f t="shared" si="400"/>
        <v>0</v>
      </c>
      <c r="AJ3120" s="94">
        <f t="shared" si="401"/>
        <v>42004</v>
      </c>
    </row>
    <row r="3121" spans="1:36" ht="12.75" customHeight="1">
      <c r="A3121" s="97">
        <v>42034</v>
      </c>
      <c r="B3121" s="94" t="s">
        <v>188</v>
      </c>
      <c r="C3121" s="96" t="s">
        <v>298</v>
      </c>
      <c r="D3121" s="98">
        <v>3127789.4099999997</v>
      </c>
      <c r="E3121" s="9">
        <f t="shared" si="405"/>
        <v>886003.89227748977</v>
      </c>
      <c r="F3121" s="98">
        <v>20</v>
      </c>
      <c r="G3121" s="98">
        <v>0</v>
      </c>
      <c r="H3121" s="98">
        <v>0</v>
      </c>
      <c r="I3121" s="98">
        <v>0</v>
      </c>
      <c r="J3121" s="98"/>
      <c r="K3121" s="7">
        <v>3.5302208458249069</v>
      </c>
      <c r="L3121" s="93">
        <f t="shared" si="397"/>
        <v>0</v>
      </c>
      <c r="M3121" s="95">
        <f t="shared" ca="1" si="398"/>
        <v>0</v>
      </c>
      <c r="N3121" s="95">
        <f>IF(P3121="Hedge Fund",IF(A3121=Summary!$AD$3,M3121-E3121,M3121),IF(A3121=Summary!$AD$3,L3121-D3121,L3121))</f>
        <v>0</v>
      </c>
      <c r="O3121" s="95">
        <f t="shared" si="406"/>
        <v>0</v>
      </c>
      <c r="P3121" s="107" t="s">
        <v>155</v>
      </c>
      <c r="Q3121" s="107">
        <v>0</v>
      </c>
      <c r="R3121" s="107">
        <v>0.51101888932079265</v>
      </c>
      <c r="S3121" s="107">
        <v>0</v>
      </c>
      <c r="T3121" s="107">
        <v>2.8806971290840179E-2</v>
      </c>
      <c r="U3121" s="107" t="s">
        <v>0</v>
      </c>
      <c r="V3121" s="107">
        <v>2.3458422999999997</v>
      </c>
      <c r="W3121" s="107" t="s">
        <v>15</v>
      </c>
      <c r="X3121" s="107">
        <v>0.78194710999999995</v>
      </c>
      <c r="Y3121" s="107"/>
      <c r="Z3121" s="107"/>
      <c r="AA3121" s="107"/>
      <c r="AB3121" s="107"/>
      <c r="AC3121" s="355"/>
      <c r="AD3121" s="355"/>
      <c r="AE3121" s="355"/>
      <c r="AF3121" s="94">
        <f t="shared" si="399"/>
        <v>42034</v>
      </c>
      <c r="AG3121" s="185">
        <f t="shared" si="407"/>
        <v>-1.3965962530749998E-2</v>
      </c>
      <c r="AH3121" s="339" t="str">
        <f>VLOOKUP(B3121,'MF PF'!A:B,2)</f>
        <v>FdMgt1</v>
      </c>
      <c r="AI3121" s="358">
        <f t="shared" si="400"/>
        <v>0</v>
      </c>
      <c r="AJ3121" s="94">
        <f t="shared" si="401"/>
        <v>42035</v>
      </c>
    </row>
    <row r="3122" spans="1:36" ht="12.75" customHeight="1">
      <c r="A3122" s="97">
        <v>42062</v>
      </c>
      <c r="B3122" s="94" t="s">
        <v>188</v>
      </c>
      <c r="C3122" s="96" t="s">
        <v>298</v>
      </c>
      <c r="D3122" s="98">
        <v>3287632</v>
      </c>
      <c r="E3122" s="9">
        <f t="shared" si="405"/>
        <v>931282.24651672714</v>
      </c>
      <c r="F3122" s="98">
        <v>20</v>
      </c>
      <c r="G3122" s="98">
        <v>0</v>
      </c>
      <c r="H3122" s="98">
        <v>-4.6566128730773926E-10</v>
      </c>
      <c r="I3122" s="98">
        <v>0</v>
      </c>
      <c r="J3122" s="98"/>
      <c r="K3122" s="7">
        <v>3.5302208458249069</v>
      </c>
      <c r="L3122" s="93">
        <f t="shared" si="397"/>
        <v>-4.6566128730773926E-10</v>
      </c>
      <c r="M3122" s="95">
        <f t="shared" ca="1" si="398"/>
        <v>0</v>
      </c>
      <c r="N3122" s="95">
        <f>IF(P3122="Hedge Fund",IF(A3122=Summary!$AD$3,M3122-E3122,M3122),IF(A3122=Summary!$AD$3,L3122-D3122,L3122))</f>
        <v>-4.6566128730773926E-10</v>
      </c>
      <c r="O3122" s="95">
        <f t="shared" si="406"/>
        <v>-4.6566128730773926E-10</v>
      </c>
      <c r="P3122" s="107" t="s">
        <v>155</v>
      </c>
      <c r="Q3122" s="107">
        <v>0</v>
      </c>
      <c r="R3122" s="107">
        <v>0.73575103079021731</v>
      </c>
      <c r="S3122" s="107">
        <v>0</v>
      </c>
      <c r="T3122" s="107">
        <v>4.1475489975234217E-2</v>
      </c>
      <c r="U3122" s="107" t="s">
        <v>0</v>
      </c>
      <c r="V3122" s="107">
        <v>2.4657239999999998</v>
      </c>
      <c r="W3122" s="107" t="s">
        <v>15</v>
      </c>
      <c r="X3122" s="107">
        <v>0.82190799999999997</v>
      </c>
      <c r="Y3122" s="107"/>
      <c r="Z3122" s="107"/>
      <c r="AA3122" s="107"/>
      <c r="AB3122" s="107"/>
      <c r="AC3122" s="355"/>
      <c r="AD3122" s="355"/>
      <c r="AE3122" s="355"/>
      <c r="AF3122" s="94">
        <f t="shared" si="399"/>
        <v>42062</v>
      </c>
      <c r="AG3122" s="185">
        <f t="shared" si="407"/>
        <v>5.1104012785822661E-2</v>
      </c>
      <c r="AH3122" s="339" t="str">
        <f>VLOOKUP(B3122,'MF PF'!A:B,2)</f>
        <v>FdMgt1</v>
      </c>
      <c r="AI3122" s="358">
        <f t="shared" si="400"/>
        <v>0</v>
      </c>
      <c r="AJ3122" s="94">
        <f t="shared" si="401"/>
        <v>42063</v>
      </c>
    </row>
    <row r="3123" spans="1:36" ht="12.75" customHeight="1">
      <c r="A3123" s="97">
        <v>42094</v>
      </c>
      <c r="B3123" s="94" t="s">
        <v>188</v>
      </c>
      <c r="C3123" s="96" t="s">
        <v>298</v>
      </c>
      <c r="D3123" s="98">
        <v>2791812.28</v>
      </c>
      <c r="E3123" s="9">
        <f t="shared" si="405"/>
        <v>790832.1892387548</v>
      </c>
      <c r="F3123" s="98">
        <v>20</v>
      </c>
      <c r="G3123" s="98">
        <v>0</v>
      </c>
      <c r="H3123" s="98">
        <v>0</v>
      </c>
      <c r="I3123" s="98">
        <v>-477919.5</v>
      </c>
      <c r="J3123" s="98"/>
      <c r="K3123" s="7">
        <v>3.5302208458249069</v>
      </c>
      <c r="L3123" s="93">
        <f t="shared" si="397"/>
        <v>-477919.5</v>
      </c>
      <c r="M3123" s="95">
        <f t="shared" ca="1" si="398"/>
        <v>-135379.49065289271</v>
      </c>
      <c r="N3123" s="95">
        <f>IF(P3123="Hedge Fund",IF(A3123=Summary!$AD$3,M3123-E3123,M3123),IF(A3123=Summary!$AD$3,L3123-D3123,L3123))</f>
        <v>-477919.5</v>
      </c>
      <c r="O3123" s="95">
        <f t="shared" si="406"/>
        <v>-477919.5</v>
      </c>
      <c r="P3123" s="107" t="s">
        <v>155</v>
      </c>
      <c r="Q3123" s="107">
        <v>0</v>
      </c>
      <c r="R3123" s="107">
        <v>0.6849820711681901</v>
      </c>
      <c r="S3123" s="107">
        <v>0</v>
      </c>
      <c r="T3123" s="107">
        <v>3.8994749280827704E-2</v>
      </c>
      <c r="U3123" s="107" t="s">
        <v>0</v>
      </c>
      <c r="V3123" s="107">
        <v>2.0938592099999997</v>
      </c>
      <c r="W3123" s="107" t="s">
        <v>15</v>
      </c>
      <c r="X3123" s="107">
        <v>0.69795306999999995</v>
      </c>
      <c r="Y3123" s="107"/>
      <c r="Z3123" s="107"/>
      <c r="AA3123" s="107"/>
      <c r="AB3123" s="107"/>
      <c r="AC3123" s="355"/>
      <c r="AD3123" s="355"/>
      <c r="AE3123" s="355"/>
      <c r="AF3123" s="94">
        <f t="shared" si="399"/>
        <v>42094</v>
      </c>
      <c r="AG3123" s="185">
        <f t="shared" si="407"/>
        <v>-5.4447152236016816E-3</v>
      </c>
      <c r="AH3123" s="339" t="str">
        <f>VLOOKUP(B3123,'MF PF'!A:B,2)</f>
        <v>FdMgt1</v>
      </c>
      <c r="AI3123" s="358">
        <f t="shared" si="400"/>
        <v>0</v>
      </c>
      <c r="AJ3123" s="94">
        <f t="shared" si="401"/>
        <v>42094</v>
      </c>
    </row>
    <row r="3124" spans="1:36" ht="12.75" customHeight="1">
      <c r="A3124" s="97">
        <v>42124</v>
      </c>
      <c r="B3124" s="94" t="s">
        <v>188</v>
      </c>
      <c r="C3124" s="96" t="s">
        <v>298</v>
      </c>
      <c r="D3124" s="98">
        <v>2847103.5900000003</v>
      </c>
      <c r="E3124" s="9">
        <f t="shared" si="405"/>
        <v>806494.46998965798</v>
      </c>
      <c r="F3124" s="98">
        <v>20</v>
      </c>
      <c r="G3124" s="98">
        <v>0</v>
      </c>
      <c r="H3124" s="98">
        <v>0</v>
      </c>
      <c r="I3124" s="98">
        <v>0</v>
      </c>
      <c r="J3124" s="98"/>
      <c r="K3124" s="7">
        <v>3.5302208458249069</v>
      </c>
      <c r="L3124" s="93">
        <f t="shared" si="397"/>
        <v>0</v>
      </c>
      <c r="M3124" s="95">
        <f t="shared" ca="1" si="398"/>
        <v>0</v>
      </c>
      <c r="N3124" s="95">
        <f>IF(P3124="Hedge Fund",IF(A3124=Summary!$AD$3,M3124-E3124,M3124),IF(A3124=Summary!$AD$3,L3124-D3124,L3124))</f>
        <v>0</v>
      </c>
      <c r="O3124" s="95">
        <f t="shared" si="406"/>
        <v>0</v>
      </c>
      <c r="P3124" s="107" t="s">
        <v>155</v>
      </c>
      <c r="Q3124" s="107">
        <v>0</v>
      </c>
      <c r="R3124" s="107">
        <v>0.75530032283503956</v>
      </c>
      <c r="S3124" s="107">
        <v>0</v>
      </c>
      <c r="T3124" s="107">
        <v>4.3548371694007798E-2</v>
      </c>
      <c r="U3124" s="107" t="s">
        <v>0</v>
      </c>
      <c r="V3124" s="107">
        <v>2.13532769</v>
      </c>
      <c r="W3124" s="107" t="s">
        <v>15</v>
      </c>
      <c r="X3124" s="107">
        <v>0.71177590000000002</v>
      </c>
      <c r="Y3124" s="107"/>
      <c r="Z3124" s="107"/>
      <c r="AA3124" s="107"/>
      <c r="AB3124" s="107"/>
      <c r="AC3124" s="355"/>
      <c r="AD3124" s="355"/>
      <c r="AE3124" s="355"/>
      <c r="AF3124" s="94">
        <f t="shared" si="399"/>
        <v>42124</v>
      </c>
      <c r="AG3124" s="185">
        <f t="shared" si="407"/>
        <v>1.9804809369203147E-2</v>
      </c>
      <c r="AH3124" s="339" t="str">
        <f>VLOOKUP(B3124,'MF PF'!A:B,2)</f>
        <v>FdMgt1</v>
      </c>
      <c r="AI3124" s="358">
        <f t="shared" si="400"/>
        <v>0</v>
      </c>
      <c r="AJ3124" s="94">
        <f t="shared" si="401"/>
        <v>42124</v>
      </c>
    </row>
    <row r="3125" spans="1:36" ht="12.75" customHeight="1">
      <c r="A3125" s="97">
        <v>42153</v>
      </c>
      <c r="B3125" s="94" t="s">
        <v>188</v>
      </c>
      <c r="C3125" s="96" t="s">
        <v>298</v>
      </c>
      <c r="D3125" s="98">
        <v>2866857.4099999997</v>
      </c>
      <c r="E3125" s="9">
        <f t="shared" si="405"/>
        <v>812090.10291538888</v>
      </c>
      <c r="F3125" s="98">
        <v>20</v>
      </c>
      <c r="G3125" s="98">
        <v>0</v>
      </c>
      <c r="H3125" s="98">
        <v>0</v>
      </c>
      <c r="I3125" s="98">
        <v>0</v>
      </c>
      <c r="J3125" s="98"/>
      <c r="K3125" s="7">
        <v>3.5302208458249069</v>
      </c>
      <c r="L3125" s="93">
        <f t="shared" si="397"/>
        <v>0</v>
      </c>
      <c r="M3125" s="95">
        <f t="shared" ca="1" si="398"/>
        <v>0</v>
      </c>
      <c r="N3125" s="95">
        <f>IF(P3125="Hedge Fund",IF(A3125=Summary!$AD$3,M3125-E3125,M3125),IF(A3125=Summary!$AD$3,L3125-D3125,L3125))</f>
        <v>0</v>
      </c>
      <c r="O3125" s="95">
        <f t="shared" si="406"/>
        <v>0</v>
      </c>
      <c r="P3125" s="107" t="s">
        <v>155</v>
      </c>
      <c r="Q3125" s="107">
        <v>0</v>
      </c>
      <c r="R3125" s="107">
        <v>0.77367366789632686</v>
      </c>
      <c r="S3125" s="107">
        <v>0</v>
      </c>
      <c r="T3125" s="107">
        <v>4.4607724160570898E-2</v>
      </c>
      <c r="U3125" s="107" t="s">
        <v>0</v>
      </c>
      <c r="V3125" s="107">
        <v>2.15014306</v>
      </c>
      <c r="W3125" s="107" t="s">
        <v>15</v>
      </c>
      <c r="X3125" s="107">
        <v>0.71671434999999994</v>
      </c>
      <c r="Y3125" s="107"/>
      <c r="Z3125" s="107"/>
      <c r="AA3125" s="107"/>
      <c r="AB3125" s="107"/>
      <c r="AC3125" s="355"/>
      <c r="AD3125" s="355"/>
      <c r="AE3125" s="355"/>
      <c r="AF3125" s="94">
        <f t="shared" si="399"/>
        <v>42153</v>
      </c>
      <c r="AG3125" s="185">
        <f t="shared" si="407"/>
        <v>6.9382161117641505E-3</v>
      </c>
      <c r="AH3125" s="339" t="str">
        <f>VLOOKUP(B3125,'MF PF'!A:B,2)</f>
        <v>FdMgt1</v>
      </c>
      <c r="AI3125" s="358">
        <f t="shared" si="400"/>
        <v>0</v>
      </c>
      <c r="AJ3125" s="94">
        <f t="shared" si="401"/>
        <v>42155</v>
      </c>
    </row>
    <row r="3126" spans="1:36" ht="12.75" customHeight="1">
      <c r="A3126" s="97">
        <v>42185</v>
      </c>
      <c r="B3126" s="94" t="s">
        <v>188</v>
      </c>
      <c r="C3126" s="96" t="s">
        <v>298</v>
      </c>
      <c r="D3126" s="98">
        <v>2823590.6500000004</v>
      </c>
      <c r="E3126" s="9">
        <f t="shared" si="405"/>
        <v>799833.99716745247</v>
      </c>
      <c r="F3126" s="98">
        <v>20</v>
      </c>
      <c r="G3126" s="98">
        <v>0</v>
      </c>
      <c r="H3126" s="98">
        <v>0</v>
      </c>
      <c r="I3126" s="98">
        <v>0</v>
      </c>
      <c r="J3126" s="98"/>
      <c r="K3126" s="7">
        <v>3.5302208458249069</v>
      </c>
      <c r="L3126" s="93">
        <f t="shared" si="397"/>
        <v>0</v>
      </c>
      <c r="M3126" s="95">
        <f t="shared" ca="1" si="398"/>
        <v>0</v>
      </c>
      <c r="N3126" s="95">
        <f>IF(P3126="Hedge Fund",IF(A3126=Summary!$AD$3,M3126-E3126,M3126),IF(A3126=Summary!$AD$3,L3126-D3126,L3126))</f>
        <v>0</v>
      </c>
      <c r="O3126" s="95">
        <f t="shared" si="406"/>
        <v>0</v>
      </c>
      <c r="P3126" s="107" t="s">
        <v>155</v>
      </c>
      <c r="Q3126" s="107">
        <v>0</v>
      </c>
      <c r="R3126" s="107">
        <v>0.69727742627429989</v>
      </c>
      <c r="S3126" s="107">
        <v>0</v>
      </c>
      <c r="T3126" s="107">
        <v>3.9776955197009405E-2</v>
      </c>
      <c r="U3126" s="107" t="s">
        <v>0</v>
      </c>
      <c r="V3126" s="107">
        <v>2.1176932400000004</v>
      </c>
      <c r="W3126" s="107" t="s">
        <v>15</v>
      </c>
      <c r="X3126" s="107">
        <v>0.70589741000000006</v>
      </c>
      <c r="Y3126" s="107"/>
      <c r="Z3126" s="107"/>
      <c r="AA3126" s="107"/>
      <c r="AB3126" s="107"/>
      <c r="AC3126" s="355"/>
      <c r="AD3126" s="355"/>
      <c r="AE3126" s="355"/>
      <c r="AF3126" s="94">
        <f t="shared" si="399"/>
        <v>42185</v>
      </c>
      <c r="AG3126" s="185">
        <f t="shared" si="407"/>
        <v>-1.509205161340732E-2</v>
      </c>
      <c r="AH3126" s="339" t="str">
        <f>VLOOKUP(B3126,'MF PF'!A:B,2)</f>
        <v>FdMgt1</v>
      </c>
      <c r="AI3126" s="358">
        <f t="shared" si="400"/>
        <v>0</v>
      </c>
      <c r="AJ3126" s="94">
        <f t="shared" si="401"/>
        <v>42185</v>
      </c>
    </row>
    <row r="3127" spans="1:36" ht="12.75" customHeight="1">
      <c r="A3127" s="97">
        <v>42216</v>
      </c>
      <c r="B3127" s="94" t="s">
        <v>188</v>
      </c>
      <c r="C3127" s="96" t="s">
        <v>298</v>
      </c>
      <c r="D3127" s="98">
        <v>2440121.92</v>
      </c>
      <c r="E3127" s="9">
        <f t="shared" si="405"/>
        <v>691209.42472646257</v>
      </c>
      <c r="F3127" s="98">
        <v>20</v>
      </c>
      <c r="G3127" s="98">
        <v>0</v>
      </c>
      <c r="H3127" s="98">
        <v>0</v>
      </c>
      <c r="I3127" s="98">
        <v>-250000</v>
      </c>
      <c r="J3127" s="98"/>
      <c r="K3127" s="7">
        <v>3.5302208458249069</v>
      </c>
      <c r="L3127" s="93">
        <f t="shared" si="397"/>
        <v>-250000</v>
      </c>
      <c r="M3127" s="95">
        <f t="shared" ca="1" si="398"/>
        <v>-70817.099246260463</v>
      </c>
      <c r="N3127" s="95">
        <f>IF(P3127="Hedge Fund",IF(A3127=Summary!$AD$3,M3127-E3127,M3127),IF(A3127=Summary!$AD$3,L3127-D3127,L3127))</f>
        <v>-250000</v>
      </c>
      <c r="O3127" s="95">
        <f t="shared" si="406"/>
        <v>-250000</v>
      </c>
      <c r="P3127" s="107" t="s">
        <v>155</v>
      </c>
      <c r="Q3127" s="107">
        <v>0</v>
      </c>
      <c r="R3127" s="107">
        <v>0.48860344823849133</v>
      </c>
      <c r="S3127" s="107">
        <v>0</v>
      </c>
      <c r="T3127" s="107">
        <v>2.62166549268124E-2</v>
      </c>
      <c r="U3127" s="107" t="s">
        <v>0</v>
      </c>
      <c r="V3127" s="107">
        <v>1.83009194</v>
      </c>
      <c r="W3127" s="107" t="s">
        <v>15</v>
      </c>
      <c r="X3127" s="107">
        <v>0.61002997999999997</v>
      </c>
      <c r="Y3127" s="107"/>
      <c r="Z3127" s="107"/>
      <c r="AA3127" s="107"/>
      <c r="AB3127" s="107"/>
      <c r="AC3127" s="355"/>
      <c r="AD3127" s="355"/>
      <c r="AE3127" s="355"/>
      <c r="AF3127" s="94">
        <f t="shared" si="399"/>
        <v>42216</v>
      </c>
      <c r="AG3127" s="185">
        <f t="shared" si="407"/>
        <v>-4.7269150009403904E-2</v>
      </c>
      <c r="AH3127" s="339" t="str">
        <f>VLOOKUP(B3127,'MF PF'!A:B,2)</f>
        <v>FdMgt1</v>
      </c>
      <c r="AI3127" s="358">
        <f t="shared" si="400"/>
        <v>0</v>
      </c>
      <c r="AJ3127" s="94">
        <f t="shared" si="401"/>
        <v>42216</v>
      </c>
    </row>
    <row r="3128" spans="1:36" ht="12.75" customHeight="1">
      <c r="A3128" s="97">
        <v>42247</v>
      </c>
      <c r="B3128" s="94" t="s">
        <v>188</v>
      </c>
      <c r="C3128" s="96" t="s">
        <v>298</v>
      </c>
      <c r="D3128" s="98">
        <v>2526770.6</v>
      </c>
      <c r="E3128" s="9">
        <f t="shared" si="405"/>
        <v>715754.25741093245</v>
      </c>
      <c r="F3128" s="98">
        <v>20</v>
      </c>
      <c r="G3128" s="98">
        <v>0</v>
      </c>
      <c r="H3128" s="98">
        <v>0</v>
      </c>
      <c r="I3128" s="98">
        <v>0</v>
      </c>
      <c r="J3128" s="98"/>
      <c r="K3128" s="7">
        <v>3.5302208458249069</v>
      </c>
      <c r="L3128" s="93">
        <f t="shared" si="397"/>
        <v>0</v>
      </c>
      <c r="M3128" s="95">
        <f t="shared" ca="1" si="398"/>
        <v>0</v>
      </c>
      <c r="N3128" s="95">
        <f>IF(P3128="Hedge Fund",IF(A3128=Summary!$AD$3,M3128-E3128,M3128),IF(A3128=Summary!$AD$3,L3128-D3128,L3128))</f>
        <v>0</v>
      </c>
      <c r="O3128" s="95">
        <f t="shared" si="406"/>
        <v>0</v>
      </c>
      <c r="P3128" s="107" t="s">
        <v>155</v>
      </c>
      <c r="Q3128" s="107">
        <v>0</v>
      </c>
      <c r="R3128" s="107">
        <v>0.60740928220268309</v>
      </c>
      <c r="S3128" s="107">
        <v>0</v>
      </c>
      <c r="T3128" s="107">
        <v>3.3958686182676397E-2</v>
      </c>
      <c r="U3128" s="107" t="s">
        <v>0</v>
      </c>
      <c r="V3128" s="107">
        <v>1.89507845</v>
      </c>
      <c r="W3128" s="107" t="s">
        <v>15</v>
      </c>
      <c r="X3128" s="107">
        <v>0.63169215000000001</v>
      </c>
      <c r="Y3128" s="107"/>
      <c r="Z3128" s="107"/>
      <c r="AA3128" s="107"/>
      <c r="AB3128" s="107"/>
      <c r="AC3128" s="355"/>
      <c r="AD3128" s="355"/>
      <c r="AE3128" s="355"/>
      <c r="AF3128" s="94">
        <f t="shared" si="399"/>
        <v>42247</v>
      </c>
      <c r="AG3128" s="185">
        <f t="shared" si="407"/>
        <v>3.5509979763634236E-2</v>
      </c>
      <c r="AH3128" s="339" t="str">
        <f>VLOOKUP(B3128,'MF PF'!A:B,2)</f>
        <v>FdMgt1</v>
      </c>
      <c r="AI3128" s="358">
        <f t="shared" si="400"/>
        <v>0</v>
      </c>
      <c r="AJ3128" s="94">
        <f t="shared" si="401"/>
        <v>42247</v>
      </c>
    </row>
    <row r="3129" spans="1:36" ht="12.75" customHeight="1">
      <c r="A3129" s="97">
        <v>42277</v>
      </c>
      <c r="B3129" s="94" t="s">
        <v>188</v>
      </c>
      <c r="C3129" s="96" t="s">
        <v>298</v>
      </c>
      <c r="D3129" s="98">
        <v>2502109.4300000002</v>
      </c>
      <c r="E3129" s="9">
        <f t="shared" si="405"/>
        <v>708768.5273172569</v>
      </c>
      <c r="F3129" s="98">
        <v>20</v>
      </c>
      <c r="G3129" s="98">
        <v>0</v>
      </c>
      <c r="H3129" s="98">
        <v>0</v>
      </c>
      <c r="I3129" s="98">
        <v>0</v>
      </c>
      <c r="J3129" s="98"/>
      <c r="K3129" s="7">
        <v>3.5302208458249069</v>
      </c>
      <c r="L3129" s="93">
        <f t="shared" si="397"/>
        <v>0</v>
      </c>
      <c r="M3129" s="95">
        <f t="shared" ca="1" si="398"/>
        <v>0</v>
      </c>
      <c r="N3129" s="95">
        <f>IF(P3129="Hedge Fund",IF(A3129=Summary!$AD$3,M3129-E3129,M3129),IF(A3129=Summary!$AD$3,L3129-D3129,L3129))</f>
        <v>0</v>
      </c>
      <c r="O3129" s="95">
        <f t="shared" si="406"/>
        <v>0</v>
      </c>
      <c r="P3129" s="107" t="s">
        <v>155</v>
      </c>
      <c r="Q3129" s="107">
        <v>0</v>
      </c>
      <c r="R3129" s="107">
        <v>0.56068751868623867</v>
      </c>
      <c r="S3129" s="107">
        <v>0</v>
      </c>
      <c r="T3129" s="107">
        <v>3.09237142489205E-2</v>
      </c>
      <c r="U3129" s="107" t="s">
        <v>0</v>
      </c>
      <c r="V3129" s="107">
        <v>1.8765825700000001</v>
      </c>
      <c r="W3129" s="107" t="s">
        <v>15</v>
      </c>
      <c r="X3129" s="107">
        <v>0.62552686000000002</v>
      </c>
      <c r="Y3129" s="107"/>
      <c r="Z3129" s="107"/>
      <c r="AA3129" s="107"/>
      <c r="AB3129" s="107"/>
      <c r="AC3129" s="355"/>
      <c r="AD3129" s="355"/>
      <c r="AE3129" s="355"/>
      <c r="AF3129" s="94">
        <f t="shared" si="399"/>
        <v>42277</v>
      </c>
      <c r="AG3129" s="185">
        <f t="shared" si="407"/>
        <v>-9.7599560482458658E-3</v>
      </c>
      <c r="AH3129" s="339" t="str">
        <f>VLOOKUP(B3129,'MF PF'!A:B,2)</f>
        <v>FdMgt1</v>
      </c>
      <c r="AI3129" s="358">
        <f t="shared" si="400"/>
        <v>0</v>
      </c>
      <c r="AJ3129" s="94">
        <f t="shared" si="401"/>
        <v>42277</v>
      </c>
    </row>
    <row r="3130" spans="1:36" ht="12.75" customHeight="1">
      <c r="A3130" s="97">
        <v>42307</v>
      </c>
      <c r="B3130" s="94" t="s">
        <v>188</v>
      </c>
      <c r="C3130" s="96" t="s">
        <v>298</v>
      </c>
      <c r="D3130" s="98">
        <v>2474407.83</v>
      </c>
      <c r="E3130" s="9">
        <f t="shared" si="405"/>
        <v>700921.53949133598</v>
      </c>
      <c r="F3130" s="98">
        <v>20</v>
      </c>
      <c r="G3130" s="98">
        <v>0</v>
      </c>
      <c r="H3130" s="98">
        <v>0</v>
      </c>
      <c r="I3130" s="98">
        <v>0</v>
      </c>
      <c r="J3130" s="98"/>
      <c r="K3130" s="7">
        <v>3.5302208458249069</v>
      </c>
      <c r="L3130" s="93">
        <f t="shared" si="397"/>
        <v>0</v>
      </c>
      <c r="M3130" s="95">
        <f t="shared" ca="1" si="398"/>
        <v>0</v>
      </c>
      <c r="N3130" s="95">
        <f>IF(P3130="Hedge Fund",IF(A3130=Summary!$AD$3,M3130-E3130,M3130),IF(A3130=Summary!$AD$3,L3130-D3130,L3130))</f>
        <v>0</v>
      </c>
      <c r="O3130" s="95">
        <f t="shared" si="406"/>
        <v>0</v>
      </c>
      <c r="P3130" s="107" t="s">
        <v>155</v>
      </c>
      <c r="Q3130" s="107">
        <v>0</v>
      </c>
      <c r="R3130" s="107">
        <v>0.5086671532624093</v>
      </c>
      <c r="S3130" s="107">
        <v>0</v>
      </c>
      <c r="T3130" s="107">
        <v>2.7516079730722797E-2</v>
      </c>
      <c r="U3130" s="107" t="s">
        <v>0</v>
      </c>
      <c r="V3130" s="107">
        <v>1.85580637</v>
      </c>
      <c r="W3130" s="107" t="s">
        <v>15</v>
      </c>
      <c r="X3130" s="107">
        <v>0.61860145999999994</v>
      </c>
      <c r="Y3130" s="107"/>
      <c r="Z3130" s="107"/>
      <c r="AA3130" s="107"/>
      <c r="AB3130" s="107"/>
      <c r="AC3130" s="355"/>
      <c r="AD3130" s="355"/>
      <c r="AE3130" s="355"/>
      <c r="AF3130" s="94">
        <f t="shared" si="399"/>
        <v>42307</v>
      </c>
      <c r="AG3130" s="185">
        <f t="shared" si="407"/>
        <v>-1.1071298348449998E-2</v>
      </c>
      <c r="AH3130" s="339" t="str">
        <f>VLOOKUP(B3130,'MF PF'!A:B,2)</f>
        <v>FdMgt1</v>
      </c>
      <c r="AI3130" s="358">
        <f t="shared" si="400"/>
        <v>0</v>
      </c>
      <c r="AJ3130" s="94">
        <f t="shared" si="401"/>
        <v>42308</v>
      </c>
    </row>
    <row r="3131" spans="1:36" ht="12.75" customHeight="1">
      <c r="A3131" s="97">
        <v>42338</v>
      </c>
      <c r="B3131" s="94" t="s">
        <v>188</v>
      </c>
      <c r="C3131" s="96" t="s">
        <v>298</v>
      </c>
      <c r="D3131" s="98">
        <v>2183321.84</v>
      </c>
      <c r="E3131" s="9">
        <f t="shared" si="405"/>
        <v>618466.07771923207</v>
      </c>
      <c r="F3131" s="98">
        <v>20</v>
      </c>
      <c r="G3131" s="98">
        <v>0</v>
      </c>
      <c r="H3131" s="98">
        <v>0</v>
      </c>
      <c r="I3131" s="98">
        <v>-290000</v>
      </c>
      <c r="J3131" s="98"/>
      <c r="K3131" s="7">
        <v>3.5302208458249069</v>
      </c>
      <c r="L3131" s="93">
        <f t="shared" si="397"/>
        <v>-290000</v>
      </c>
      <c r="M3131" s="95">
        <f t="shared" ca="1" si="398"/>
        <v>-82147.835125662139</v>
      </c>
      <c r="N3131" s="95">
        <f>IF(P3131="Hedge Fund",IF(A3131=Summary!$AD$3,M3131-E3131,M3131),IF(A3131=Summary!$AD$3,L3131-D3131,L3131))</f>
        <v>-290000</v>
      </c>
      <c r="O3131" s="95">
        <f t="shared" si="406"/>
        <v>-290000</v>
      </c>
      <c r="P3131" s="107" t="s">
        <v>155</v>
      </c>
      <c r="Q3131" s="107">
        <v>0</v>
      </c>
      <c r="R3131" s="107">
        <v>0.49766621252999582</v>
      </c>
      <c r="S3131" s="107">
        <v>0</v>
      </c>
      <c r="T3131" s="107">
        <v>2.67873671592797E-2</v>
      </c>
      <c r="U3131" s="107" t="s">
        <v>0</v>
      </c>
      <c r="V3131" s="107">
        <v>1.6374918799999998</v>
      </c>
      <c r="W3131" s="107" t="s">
        <v>15</v>
      </c>
      <c r="X3131" s="107">
        <v>0.54582995999999995</v>
      </c>
      <c r="Y3131" s="107"/>
      <c r="Z3131" s="107"/>
      <c r="AA3131" s="107"/>
      <c r="AB3131" s="107"/>
      <c r="AC3131" s="355"/>
      <c r="AD3131" s="355"/>
      <c r="AE3131" s="355"/>
      <c r="AF3131" s="94">
        <f t="shared" si="399"/>
        <v>42338</v>
      </c>
      <c r="AG3131" s="185">
        <f t="shared" si="407"/>
        <v>-4.3888884719545107E-4</v>
      </c>
      <c r="AH3131" s="339" t="str">
        <f>VLOOKUP(B3131,'MF PF'!A:B,2)</f>
        <v>FdMgt1</v>
      </c>
      <c r="AI3131" s="358">
        <f t="shared" si="400"/>
        <v>0</v>
      </c>
      <c r="AJ3131" s="94">
        <f t="shared" si="401"/>
        <v>42338</v>
      </c>
    </row>
    <row r="3132" spans="1:36" ht="12.75" customHeight="1">
      <c r="A3132" s="97">
        <v>42369</v>
      </c>
      <c r="B3132" s="94" t="s">
        <v>188</v>
      </c>
      <c r="C3132" s="96" t="s">
        <v>298</v>
      </c>
      <c r="D3132" s="98">
        <v>1678825.21</v>
      </c>
      <c r="E3132" s="9">
        <f t="shared" si="405"/>
        <v>475558.12605477625</v>
      </c>
      <c r="F3132" s="98">
        <v>20</v>
      </c>
      <c r="G3132" s="98">
        <v>0</v>
      </c>
      <c r="H3132" s="98">
        <v>0</v>
      </c>
      <c r="I3132" s="98">
        <v>-406740</v>
      </c>
      <c r="J3132" s="98"/>
      <c r="K3132" s="7">
        <v>3.5302208458249069</v>
      </c>
      <c r="L3132" s="93">
        <f t="shared" si="397"/>
        <v>-406740</v>
      </c>
      <c r="M3132" s="95">
        <f t="shared" ca="1" si="398"/>
        <v>-115216.58778969593</v>
      </c>
      <c r="N3132" s="95">
        <f>IF(P3132="Hedge Fund",IF(A3132=Summary!$AD$3,M3132-E3132,M3132),IF(A3132=Summary!$AD$3,L3132-D3132,L3132))</f>
        <v>-406740</v>
      </c>
      <c r="O3132" s="95">
        <f t="shared" si="406"/>
        <v>-406740</v>
      </c>
      <c r="P3132" s="107" t="s">
        <v>155</v>
      </c>
      <c r="Q3132" s="107">
        <v>0</v>
      </c>
      <c r="R3132" s="107">
        <v>0.34076894901534155</v>
      </c>
      <c r="S3132" s="107">
        <v>0</v>
      </c>
      <c r="T3132" s="107">
        <v>1.703844742078995E-2</v>
      </c>
      <c r="U3132" s="107" t="s">
        <v>0</v>
      </c>
      <c r="V3132" s="107">
        <v>1.2591194099999998</v>
      </c>
      <c r="W3132" s="107" t="s">
        <v>15</v>
      </c>
      <c r="X3132" s="107">
        <v>0.41970579999999996</v>
      </c>
      <c r="Y3132" s="107"/>
      <c r="Z3132" s="107"/>
      <c r="AA3132" s="107"/>
      <c r="AB3132" s="107"/>
      <c r="AC3132" s="355"/>
      <c r="AD3132" s="355"/>
      <c r="AE3132" s="355"/>
      <c r="AF3132" s="94">
        <f t="shared" si="399"/>
        <v>42369</v>
      </c>
      <c r="AG3132" s="185">
        <f t="shared" si="407"/>
        <v>-4.477426470483159E-2</v>
      </c>
      <c r="AH3132" s="339" t="str">
        <f>VLOOKUP(B3132,'MF PF'!A:B,2)</f>
        <v>FdMgt1</v>
      </c>
      <c r="AI3132" s="358">
        <f t="shared" si="400"/>
        <v>0</v>
      </c>
      <c r="AJ3132" s="94">
        <f t="shared" si="401"/>
        <v>42369</v>
      </c>
    </row>
    <row r="3133" spans="1:36" ht="12.75" customHeight="1">
      <c r="A3133" s="97">
        <v>42398</v>
      </c>
      <c r="B3133" s="94" t="s">
        <v>188</v>
      </c>
      <c r="C3133" s="96" t="s">
        <v>298</v>
      </c>
      <c r="D3133" s="98">
        <v>1611811.35</v>
      </c>
      <c r="E3133" s="9">
        <f t="shared" si="405"/>
        <v>456575.21735679626</v>
      </c>
      <c r="F3133" s="98">
        <v>20</v>
      </c>
      <c r="G3133" s="98">
        <v>0</v>
      </c>
      <c r="H3133" s="98">
        <v>0</v>
      </c>
      <c r="I3133" s="98">
        <v>0</v>
      </c>
      <c r="J3133" s="98"/>
      <c r="K3133" s="7">
        <v>3.5302208458249069</v>
      </c>
      <c r="L3133" s="93">
        <f t="shared" si="397"/>
        <v>0</v>
      </c>
      <c r="M3133" s="95">
        <f t="shared" ca="1" si="398"/>
        <v>0</v>
      </c>
      <c r="N3133" s="95">
        <f>IF(P3133="Hedge Fund",IF(A3133=Summary!$AD$3,M3133-E3133,M3133),IF(A3133=Summary!$AD$3,L3133-D3133,L3133))</f>
        <v>0</v>
      </c>
      <c r="O3133" s="95">
        <f t="shared" si="406"/>
        <v>0</v>
      </c>
      <c r="P3133" s="107" t="s">
        <v>155</v>
      </c>
      <c r="Q3133" s="107">
        <v>0</v>
      </c>
      <c r="R3133" s="107">
        <v>0.25181277728214502</v>
      </c>
      <c r="S3133" s="107">
        <v>0</v>
      </c>
      <c r="T3133" s="107">
        <v>1.2590638831192649E-2</v>
      </c>
      <c r="U3133" s="107" t="s">
        <v>0</v>
      </c>
      <c r="V3133" s="107">
        <v>1.2088590100000001</v>
      </c>
      <c r="W3133" s="107" t="s">
        <v>15</v>
      </c>
      <c r="X3133" s="107">
        <v>0.40295234000000002</v>
      </c>
      <c r="Y3133" s="107"/>
      <c r="Z3133" s="107"/>
      <c r="AA3133" s="107"/>
      <c r="AB3133" s="107"/>
      <c r="AC3133" s="355"/>
      <c r="AD3133" s="355"/>
      <c r="AE3133" s="355"/>
      <c r="AF3133" s="94">
        <f t="shared" si="399"/>
        <v>42398</v>
      </c>
      <c r="AG3133" s="185">
        <f t="shared" si="407"/>
        <v>-3.9917115612053466E-2</v>
      </c>
      <c r="AH3133" s="339" t="str">
        <f>VLOOKUP(B3133,'MF PF'!A:B,2)</f>
        <v>FdMgt1</v>
      </c>
      <c r="AI3133" s="358">
        <f t="shared" si="400"/>
        <v>0</v>
      </c>
      <c r="AJ3133" s="94">
        <f t="shared" si="401"/>
        <v>42400</v>
      </c>
    </row>
    <row r="3134" spans="1:36" ht="12.75" customHeight="1">
      <c r="A3134" s="97">
        <v>42429</v>
      </c>
      <c r="B3134" s="94" t="s">
        <v>188</v>
      </c>
      <c r="C3134" s="96" t="s">
        <v>298</v>
      </c>
      <c r="D3134" s="98">
        <v>1665543.12</v>
      </c>
      <c r="E3134" s="9">
        <f t="shared" si="405"/>
        <v>471795.72971186525</v>
      </c>
      <c r="F3134" s="98">
        <v>20</v>
      </c>
      <c r="G3134" s="98">
        <v>0</v>
      </c>
      <c r="H3134" s="98">
        <v>0</v>
      </c>
      <c r="I3134" s="98">
        <v>0</v>
      </c>
      <c r="J3134" s="98"/>
      <c r="K3134" s="7">
        <v>3.5302208458249069</v>
      </c>
      <c r="L3134" s="93">
        <f t="shared" si="397"/>
        <v>0</v>
      </c>
      <c r="M3134" s="95">
        <f t="shared" ca="1" si="398"/>
        <v>0</v>
      </c>
      <c r="N3134" s="95">
        <f>IF(P3134="Hedge Fund",IF(A3134=Summary!$AD$3,M3134-E3134,M3134),IF(A3134=Summary!$AD$3,L3134-D3134,L3134))</f>
        <v>0</v>
      </c>
      <c r="O3134" s="95">
        <f t="shared" si="406"/>
        <v>0</v>
      </c>
      <c r="P3134" s="107" t="s">
        <v>155</v>
      </c>
      <c r="Q3134" s="107">
        <v>0</v>
      </c>
      <c r="R3134" s="107">
        <v>0.31280395636206065</v>
      </c>
      <c r="S3134" s="107">
        <v>0</v>
      </c>
      <c r="T3134" s="107">
        <v>1.5640197818103035E-2</v>
      </c>
      <c r="U3134" s="107" t="s">
        <v>0</v>
      </c>
      <c r="V3134" s="107">
        <v>1.2491578400000001</v>
      </c>
      <c r="W3134" s="107" t="s">
        <v>15</v>
      </c>
      <c r="X3134" s="107">
        <v>0.41638528000000002</v>
      </c>
      <c r="Y3134" s="107"/>
      <c r="Z3134" s="107"/>
      <c r="AA3134" s="107"/>
      <c r="AB3134" s="107"/>
      <c r="AC3134" s="355"/>
      <c r="AD3134" s="355"/>
      <c r="AE3134" s="355"/>
      <c r="AF3134" s="94">
        <f t="shared" si="399"/>
        <v>42429</v>
      </c>
      <c r="AG3134" s="185">
        <f t="shared" si="407"/>
        <v>3.3336264817839911E-2</v>
      </c>
      <c r="AH3134" s="339" t="str">
        <f>VLOOKUP(B3134,'MF PF'!A:B,2)</f>
        <v>FdMgt1</v>
      </c>
      <c r="AI3134" s="358">
        <f t="shared" si="400"/>
        <v>0</v>
      </c>
      <c r="AJ3134" s="94">
        <f t="shared" si="401"/>
        <v>42429</v>
      </c>
    </row>
    <row r="3135" spans="1:36" ht="12.75" customHeight="1">
      <c r="A3135" s="97">
        <v>42460</v>
      </c>
      <c r="B3135" s="94" t="s">
        <v>188</v>
      </c>
      <c r="C3135" s="96" t="s">
        <v>298</v>
      </c>
      <c r="D3135" s="98">
        <v>1658931.3199999998</v>
      </c>
      <c r="E3135" s="9">
        <f t="shared" si="405"/>
        <v>469922.81572467944</v>
      </c>
      <c r="F3135" s="98">
        <v>20</v>
      </c>
      <c r="G3135" s="98">
        <v>0</v>
      </c>
      <c r="H3135" s="98">
        <v>-2.3283064365386963E-10</v>
      </c>
      <c r="I3135" s="98">
        <v>0</v>
      </c>
      <c r="J3135" s="98"/>
      <c r="K3135" s="7">
        <v>3.5302208458249069</v>
      </c>
      <c r="L3135" s="93">
        <f t="shared" si="397"/>
        <v>-2.3283064365386963E-10</v>
      </c>
      <c r="M3135" s="95">
        <f t="shared" ca="1" si="398"/>
        <v>0</v>
      </c>
      <c r="N3135" s="95">
        <f>IF(P3135="Hedge Fund",IF(A3135=Summary!$AD$3,M3135-E3135,M3135),IF(A3135=Summary!$AD$3,L3135-D3135,L3135))</f>
        <v>-2.3283064365386963E-10</v>
      </c>
      <c r="O3135" s="95">
        <f t="shared" si="406"/>
        <v>-2.3283064365386963E-10</v>
      </c>
      <c r="P3135" s="107" t="s">
        <v>155</v>
      </c>
      <c r="Q3135" s="107">
        <v>0</v>
      </c>
      <c r="R3135" s="107">
        <v>0.29866738140427601</v>
      </c>
      <c r="S3135" s="107">
        <v>0</v>
      </c>
      <c r="T3135" s="107">
        <v>1.4933369039950193E-2</v>
      </c>
      <c r="U3135" s="107" t="s">
        <v>0</v>
      </c>
      <c r="V3135" s="107">
        <v>1.2441989899999999</v>
      </c>
      <c r="W3135" s="107" t="s">
        <v>15</v>
      </c>
      <c r="X3135" s="107">
        <v>0.41473233000000004</v>
      </c>
      <c r="Y3135" s="107"/>
      <c r="Z3135" s="107"/>
      <c r="AA3135" s="107"/>
      <c r="AB3135" s="107"/>
      <c r="AC3135" s="355"/>
      <c r="AD3135" s="355"/>
      <c r="AE3135" s="355"/>
      <c r="AF3135" s="94">
        <f t="shared" si="399"/>
        <v>42460</v>
      </c>
      <c r="AG3135" s="185">
        <f t="shared" si="407"/>
        <v>-3.969756123756274E-3</v>
      </c>
      <c r="AH3135" s="339" t="str">
        <f>VLOOKUP(B3135,'MF PF'!A:B,2)</f>
        <v>FdMgt1</v>
      </c>
      <c r="AI3135" s="358">
        <f t="shared" si="400"/>
        <v>0</v>
      </c>
      <c r="AJ3135" s="94">
        <f t="shared" si="401"/>
        <v>42460</v>
      </c>
    </row>
    <row r="3136" spans="1:36" ht="12.75" customHeight="1">
      <c r="A3136" s="97">
        <v>42489</v>
      </c>
      <c r="B3136" s="94" t="s">
        <v>188</v>
      </c>
      <c r="C3136" s="96" t="s">
        <v>298</v>
      </c>
      <c r="D3136" s="98">
        <v>1748740.6400000001</v>
      </c>
      <c r="E3136" s="9">
        <f t="shared" si="405"/>
        <v>495362.95783539623</v>
      </c>
      <c r="F3136" s="98">
        <v>20</v>
      </c>
      <c r="G3136" s="98">
        <v>0</v>
      </c>
      <c r="H3136" s="98">
        <v>0</v>
      </c>
      <c r="I3136" s="98">
        <v>0</v>
      </c>
      <c r="J3136" s="98"/>
      <c r="K3136" s="7">
        <v>3.5302208458249069</v>
      </c>
      <c r="L3136" s="93">
        <f t="shared" si="397"/>
        <v>0</v>
      </c>
      <c r="M3136" s="95">
        <f t="shared" ca="1" si="398"/>
        <v>0</v>
      </c>
      <c r="N3136" s="95">
        <f>IF(P3136="Hedge Fund",IF(A3136=Summary!$AD$3,M3136-E3136,M3136),IF(A3136=Summary!$AD$3,L3136-D3136,L3136))</f>
        <v>0</v>
      </c>
      <c r="O3136" s="95">
        <f t="shared" si="406"/>
        <v>0</v>
      </c>
      <c r="P3136" s="107" t="s">
        <v>155</v>
      </c>
      <c r="Q3136" s="107">
        <v>0</v>
      </c>
      <c r="R3136" s="107">
        <v>0.41165192122027849</v>
      </c>
      <c r="S3136" s="107">
        <v>0</v>
      </c>
      <c r="T3136" s="107">
        <v>2.0651412670511234E-2</v>
      </c>
      <c r="U3136" s="107" t="s">
        <v>0</v>
      </c>
      <c r="V3136" s="107">
        <v>1.3115559800000001</v>
      </c>
      <c r="W3136" s="107" t="s">
        <v>15</v>
      </c>
      <c r="X3136" s="107">
        <v>0.43718465999999995</v>
      </c>
      <c r="Y3136" s="107"/>
      <c r="Z3136" s="107"/>
      <c r="AA3136" s="107"/>
      <c r="AB3136" s="107"/>
      <c r="AC3136" s="355"/>
      <c r="AD3136" s="355"/>
      <c r="AE3136" s="355"/>
      <c r="AF3136" s="94">
        <f t="shared" si="399"/>
        <v>42489</v>
      </c>
      <c r="AG3136" s="185">
        <f t="shared" si="407"/>
        <v>5.4136852392418611E-2</v>
      </c>
      <c r="AH3136" s="339" t="str">
        <f>VLOOKUP(B3136,'MF PF'!A:B,2)</f>
        <v>FdMgt1</v>
      </c>
      <c r="AI3136" s="358">
        <f t="shared" si="400"/>
        <v>0</v>
      </c>
      <c r="AJ3136" s="94">
        <f t="shared" si="401"/>
        <v>42490</v>
      </c>
    </row>
    <row r="3137" spans="1:36" ht="12.75" customHeight="1">
      <c r="A3137" s="97">
        <v>42521</v>
      </c>
      <c r="B3137" s="94" t="s">
        <v>188</v>
      </c>
      <c r="C3137" s="96" t="s">
        <v>298</v>
      </c>
      <c r="D3137" s="98">
        <v>1782495.5299999998</v>
      </c>
      <c r="E3137" s="9">
        <f t="shared" si="405"/>
        <v>504924.65141610254</v>
      </c>
      <c r="F3137" s="98">
        <v>20</v>
      </c>
      <c r="G3137" s="98">
        <v>0</v>
      </c>
      <c r="H3137" s="98">
        <v>0</v>
      </c>
      <c r="I3137" s="98">
        <v>0</v>
      </c>
      <c r="J3137" s="98"/>
      <c r="K3137" s="7">
        <v>3.5302208458249069</v>
      </c>
      <c r="L3137" s="93">
        <f t="shared" ref="L3137:L3200" si="408">G3137+H3137+I3137</f>
        <v>0</v>
      </c>
      <c r="M3137" s="95">
        <f t="shared" ref="M3137:M3200" ca="1" si="409">IF(A3137&gt;INDIRECT("A"&amp;ROW()-1),I3137/K3137,E3137)</f>
        <v>0</v>
      </c>
      <c r="N3137" s="95">
        <f>IF(P3137="Hedge Fund",IF(A3137=Summary!$AD$3,M3137-E3137,M3137),IF(A3137=Summary!$AD$3,L3137-D3137,L3137))</f>
        <v>0</v>
      </c>
      <c r="O3137" s="95">
        <f t="shared" si="406"/>
        <v>0</v>
      </c>
      <c r="P3137" s="107" t="s">
        <v>155</v>
      </c>
      <c r="Q3137" s="107">
        <v>0</v>
      </c>
      <c r="R3137" s="107">
        <v>0.45469143897699976</v>
      </c>
      <c r="S3137" s="107">
        <v>0</v>
      </c>
      <c r="T3137" s="107">
        <v>2.2872779999999999E-2</v>
      </c>
      <c r="U3137" s="107" t="s">
        <v>0</v>
      </c>
      <c r="V3137" s="107">
        <v>1.3368721499999998</v>
      </c>
      <c r="W3137" s="107" t="s">
        <v>15</v>
      </c>
      <c r="X3137" s="107">
        <v>0.44562338000000001</v>
      </c>
      <c r="Y3137" s="107"/>
      <c r="Z3137" s="107"/>
      <c r="AA3137" s="107"/>
      <c r="AB3137" s="107"/>
      <c r="AC3137" s="355"/>
      <c r="AD3137" s="355"/>
      <c r="AE3137" s="355"/>
      <c r="AF3137" s="94">
        <f t="shared" ref="AF3137:AF3200" si="410">A3137</f>
        <v>42521</v>
      </c>
      <c r="AG3137" s="185">
        <f t="shared" si="407"/>
        <v>1.9302399239717882E-2</v>
      </c>
      <c r="AH3137" s="339" t="str">
        <f>VLOOKUP(B3137,'MF PF'!A:B,2)</f>
        <v>FdMgt1</v>
      </c>
      <c r="AI3137" s="358">
        <f t="shared" ref="AI3137:AI3200" si="411">AF3137-A3137</f>
        <v>0</v>
      </c>
      <c r="AJ3137" s="94">
        <f t="shared" ref="AJ3137:AJ3200" si="412">EOMONTH(A3137,0)</f>
        <v>42521</v>
      </c>
    </row>
    <row r="3138" spans="1:36" ht="12.75" customHeight="1">
      <c r="A3138" s="97">
        <v>42551</v>
      </c>
      <c r="B3138" s="94" t="s">
        <v>188</v>
      </c>
      <c r="C3138" s="96" t="s">
        <v>298</v>
      </c>
      <c r="D3138" s="98">
        <v>1853730.5599999996</v>
      </c>
      <c r="E3138" s="9">
        <f t="shared" si="405"/>
        <v>525103.28417338384</v>
      </c>
      <c r="F3138" s="98">
        <v>20</v>
      </c>
      <c r="G3138" s="98">
        <v>0</v>
      </c>
      <c r="H3138" s="98">
        <v>0</v>
      </c>
      <c r="I3138" s="98">
        <v>0</v>
      </c>
      <c r="J3138" s="98"/>
      <c r="K3138" s="7">
        <v>3.5302208458249069</v>
      </c>
      <c r="L3138" s="93">
        <f t="shared" si="408"/>
        <v>0</v>
      </c>
      <c r="M3138" s="95">
        <f t="shared" ca="1" si="409"/>
        <v>0</v>
      </c>
      <c r="N3138" s="95">
        <f>IF(P3138="Hedge Fund",IF(A3138=Summary!$AD$3,M3138-E3138,M3138),IF(A3138=Summary!$AD$3,L3138-D3138,L3138))</f>
        <v>0</v>
      </c>
      <c r="O3138" s="95">
        <f t="shared" si="406"/>
        <v>0</v>
      </c>
      <c r="P3138" s="107" t="s">
        <v>155</v>
      </c>
      <c r="Q3138" s="107">
        <v>0</v>
      </c>
      <c r="R3138" s="107">
        <v>0.56215035367385102</v>
      </c>
      <c r="S3138" s="107">
        <v>0</v>
      </c>
      <c r="T3138" s="107">
        <v>2.8537895169314001E-2</v>
      </c>
      <c r="U3138" s="107" t="s">
        <v>0</v>
      </c>
      <c r="V3138" s="107">
        <v>1.3902984199999999</v>
      </c>
      <c r="W3138" s="107" t="s">
        <v>15</v>
      </c>
      <c r="X3138" s="107">
        <v>0.46343213999999999</v>
      </c>
      <c r="Y3138" s="107"/>
      <c r="Z3138" s="107"/>
      <c r="AA3138" s="107"/>
      <c r="AB3138" s="107"/>
      <c r="AC3138" s="355"/>
      <c r="AD3138" s="355"/>
      <c r="AE3138" s="355"/>
      <c r="AF3138" s="94">
        <f t="shared" si="410"/>
        <v>42551</v>
      </c>
      <c r="AG3138" s="185">
        <f t="shared" si="407"/>
        <v>3.9963651409549383E-2</v>
      </c>
      <c r="AH3138" s="339" t="str">
        <f>VLOOKUP(B3138,'MF PF'!A:B,2)</f>
        <v>FdMgt1</v>
      </c>
      <c r="AI3138" s="358">
        <f t="shared" si="411"/>
        <v>0</v>
      </c>
      <c r="AJ3138" s="94">
        <f t="shared" si="412"/>
        <v>42551</v>
      </c>
    </row>
    <row r="3139" spans="1:36" ht="12.75" customHeight="1">
      <c r="A3139" s="97">
        <v>42580</v>
      </c>
      <c r="B3139" s="94" t="s">
        <v>188</v>
      </c>
      <c r="C3139" s="96" t="s">
        <v>298</v>
      </c>
      <c r="D3139" s="98">
        <v>2083713.4000000004</v>
      </c>
      <c r="E3139" s="9">
        <f t="shared" ref="E3139:E3164" si="413">D3139/K3139</f>
        <v>590250.15459425142</v>
      </c>
      <c r="F3139" s="98">
        <v>20</v>
      </c>
      <c r="G3139" s="98">
        <v>0</v>
      </c>
      <c r="H3139" s="98">
        <v>0</v>
      </c>
      <c r="I3139" s="98">
        <v>0</v>
      </c>
      <c r="J3139" s="98"/>
      <c r="K3139" s="7">
        <v>3.5302208458249069</v>
      </c>
      <c r="L3139" s="93">
        <f t="shared" si="408"/>
        <v>0</v>
      </c>
      <c r="M3139" s="95">
        <f t="shared" ca="1" si="409"/>
        <v>0</v>
      </c>
      <c r="N3139" s="95">
        <f>IF(P3139="Hedge Fund",IF(A3139=Summary!$AD$3,M3139-E3139,M3139),IF(A3139=Summary!$AD$3,L3139-D3139,L3139))</f>
        <v>0</v>
      </c>
      <c r="O3139" s="95">
        <f t="shared" ref="O3139:O3169" si="414">N3139</f>
        <v>0</v>
      </c>
      <c r="P3139" s="107" t="s">
        <v>155</v>
      </c>
      <c r="Q3139" s="107">
        <v>0</v>
      </c>
      <c r="R3139" s="107">
        <v>0.89706792961365101</v>
      </c>
      <c r="S3139" s="107">
        <v>0</v>
      </c>
      <c r="T3139" s="107">
        <v>4.5798945352988674E-2</v>
      </c>
      <c r="U3139" s="107" t="s">
        <v>0</v>
      </c>
      <c r="V3139" s="107">
        <v>1.5627855500000001</v>
      </c>
      <c r="W3139" s="107" t="s">
        <v>15</v>
      </c>
      <c r="X3139" s="107">
        <v>0.52092784999999997</v>
      </c>
      <c r="Y3139" s="107"/>
      <c r="Z3139" s="107"/>
      <c r="AA3139" s="107"/>
      <c r="AB3139" s="107"/>
      <c r="AC3139" s="355"/>
      <c r="AD3139" s="355"/>
      <c r="AE3139" s="355"/>
      <c r="AF3139" s="94">
        <f t="shared" si="410"/>
        <v>42580</v>
      </c>
      <c r="AG3139" s="185">
        <f t="shared" si="407"/>
        <v>0.1240648694921449</v>
      </c>
      <c r="AH3139" s="339" t="str">
        <f>VLOOKUP(B3139,'MF PF'!A:B,2)</f>
        <v>FdMgt1</v>
      </c>
      <c r="AI3139" s="358">
        <f t="shared" si="411"/>
        <v>0</v>
      </c>
      <c r="AJ3139" s="94">
        <f t="shared" si="412"/>
        <v>42582</v>
      </c>
    </row>
    <row r="3140" spans="1:36" ht="12.75" customHeight="1">
      <c r="A3140" s="97">
        <v>42613</v>
      </c>
      <c r="B3140" s="94" t="s">
        <v>188</v>
      </c>
      <c r="C3140" s="96" t="s">
        <v>298</v>
      </c>
      <c r="D3140" s="98">
        <v>2197932.12</v>
      </c>
      <c r="E3140" s="9">
        <f t="shared" si="413"/>
        <v>622604.70831433474</v>
      </c>
      <c r="F3140" s="98">
        <v>20</v>
      </c>
      <c r="G3140" s="98">
        <v>0</v>
      </c>
      <c r="H3140" s="98">
        <v>0</v>
      </c>
      <c r="I3140" s="98">
        <v>0</v>
      </c>
      <c r="J3140" s="98"/>
      <c r="K3140" s="7">
        <v>3.5302208458249069</v>
      </c>
      <c r="L3140" s="93">
        <f t="shared" si="408"/>
        <v>0</v>
      </c>
      <c r="M3140" s="95">
        <f t="shared" ca="1" si="409"/>
        <v>0</v>
      </c>
      <c r="N3140" s="95">
        <f>IF(P3140="Hedge Fund",IF(A3140=Summary!$AD$3,M3140-E3140,M3140),IF(A3140=Summary!$AD$3,L3140-D3140,L3140))</f>
        <v>0</v>
      </c>
      <c r="O3140" s="95">
        <f t="shared" si="414"/>
        <v>0</v>
      </c>
      <c r="P3140" s="107" t="s">
        <v>155</v>
      </c>
      <c r="Q3140" s="107">
        <v>0</v>
      </c>
      <c r="R3140" s="107">
        <v>1.05908303874119</v>
      </c>
      <c r="S3140" s="107">
        <v>0</v>
      </c>
      <c r="T3140" s="107">
        <v>5.4147814834702004E-2</v>
      </c>
      <c r="U3140" s="107" t="s">
        <v>0</v>
      </c>
      <c r="V3140" s="107">
        <v>1.64844959</v>
      </c>
      <c r="W3140" s="107" t="s">
        <v>15</v>
      </c>
      <c r="X3140" s="107">
        <v>0.54948253000000002</v>
      </c>
      <c r="Y3140" s="107"/>
      <c r="Z3140" s="107"/>
      <c r="AA3140" s="107"/>
      <c r="AB3140" s="107"/>
      <c r="AC3140" s="355"/>
      <c r="AD3140" s="355"/>
      <c r="AE3140" s="355"/>
      <c r="AF3140" s="94">
        <f t="shared" si="410"/>
        <v>42613</v>
      </c>
      <c r="AG3140" s="185">
        <f t="shared" si="407"/>
        <v>5.481498559254816E-2</v>
      </c>
      <c r="AH3140" s="339" t="str">
        <f>VLOOKUP(B3140,'MF PF'!A:B,2)</f>
        <v>FdMgt1</v>
      </c>
      <c r="AI3140" s="358">
        <f t="shared" si="411"/>
        <v>0</v>
      </c>
      <c r="AJ3140" s="94">
        <f t="shared" si="412"/>
        <v>42613</v>
      </c>
    </row>
    <row r="3141" spans="1:36" ht="12.75" customHeight="1">
      <c r="A3141" s="97">
        <v>42643</v>
      </c>
      <c r="B3141" s="94" t="s">
        <v>188</v>
      </c>
      <c r="C3141" s="96" t="s">
        <v>298</v>
      </c>
      <c r="D3141" s="98">
        <v>2383926.04</v>
      </c>
      <c r="E3141" s="9">
        <f t="shared" si="413"/>
        <v>675290.9078816988</v>
      </c>
      <c r="F3141" s="98">
        <v>20</v>
      </c>
      <c r="G3141" s="98">
        <v>0</v>
      </c>
      <c r="H3141" s="98">
        <v>-4.6566128730773926E-10</v>
      </c>
      <c r="I3141" s="98">
        <v>0</v>
      </c>
      <c r="J3141" s="98"/>
      <c r="K3141" s="7">
        <v>3.5302208458249069</v>
      </c>
      <c r="L3141" s="93">
        <f t="shared" si="408"/>
        <v>-4.6566128730773926E-10</v>
      </c>
      <c r="M3141" s="95">
        <f t="shared" ca="1" si="409"/>
        <v>0</v>
      </c>
      <c r="N3141" s="95">
        <f>IF(P3141="Hedge Fund",IF(A3141=Summary!$AD$3,M3141-E3141,M3141),IF(A3141=Summary!$AD$3,L3141-D3141,L3141))</f>
        <v>-4.6566128730773926E-10</v>
      </c>
      <c r="O3141" s="95">
        <f t="shared" si="414"/>
        <v>-4.6566128730773926E-10</v>
      </c>
      <c r="P3141" s="107" t="s">
        <v>155</v>
      </c>
      <c r="Q3141" s="107">
        <v>0</v>
      </c>
      <c r="R3141" s="107">
        <v>1.3326301500250002</v>
      </c>
      <c r="S3141" s="107">
        <v>0</v>
      </c>
      <c r="T3141" s="107">
        <v>6.8308259020552611E-2</v>
      </c>
      <c r="U3141" s="107" t="s">
        <v>0</v>
      </c>
      <c r="V3141" s="107">
        <v>1.7879450299999999</v>
      </c>
      <c r="W3141" s="107" t="s">
        <v>15</v>
      </c>
      <c r="X3141" s="107">
        <v>0.59598101000000003</v>
      </c>
      <c r="Y3141" s="107"/>
      <c r="Z3141" s="107"/>
      <c r="AA3141" s="107"/>
      <c r="AB3141" s="107"/>
      <c r="AC3141" s="355"/>
      <c r="AD3141" s="355"/>
      <c r="AE3141" s="355"/>
      <c r="AF3141" s="94">
        <f t="shared" si="410"/>
        <v>42643</v>
      </c>
      <c r="AG3141" s="185">
        <f t="shared" si="407"/>
        <v>8.4622231190652153E-2</v>
      </c>
      <c r="AH3141" s="339" t="str">
        <f>VLOOKUP(B3141,'MF PF'!A:B,2)</f>
        <v>FdMgt1</v>
      </c>
      <c r="AI3141" s="358">
        <f t="shared" si="411"/>
        <v>0</v>
      </c>
      <c r="AJ3141" s="94">
        <f t="shared" si="412"/>
        <v>42643</v>
      </c>
    </row>
    <row r="3142" spans="1:36" ht="12.75" customHeight="1">
      <c r="A3142" s="97">
        <v>42674</v>
      </c>
      <c r="B3142" s="94" t="s">
        <v>188</v>
      </c>
      <c r="C3142" s="96" t="s">
        <v>298</v>
      </c>
      <c r="D3142" s="98">
        <v>2383926.0399999996</v>
      </c>
      <c r="E3142" s="9">
        <f t="shared" si="413"/>
        <v>675290.90788169869</v>
      </c>
      <c r="F3142" s="98">
        <v>20</v>
      </c>
      <c r="G3142" s="98">
        <v>0</v>
      </c>
      <c r="H3142" s="98">
        <v>0</v>
      </c>
      <c r="I3142" s="98">
        <v>0</v>
      </c>
      <c r="J3142" s="98"/>
      <c r="K3142" s="7">
        <v>3.5302208458249069</v>
      </c>
      <c r="L3142" s="93">
        <f t="shared" si="408"/>
        <v>0</v>
      </c>
      <c r="M3142" s="95">
        <f t="shared" ca="1" si="409"/>
        <v>0</v>
      </c>
      <c r="N3142" s="95">
        <f>IF(P3142="Hedge Fund",IF(A3142=Summary!$AD$3,M3142-E3142,M3142),IF(A3142=Summary!$AD$3,L3142-D3142,L3142))</f>
        <v>0</v>
      </c>
      <c r="O3142" s="95">
        <f t="shared" si="414"/>
        <v>0</v>
      </c>
      <c r="P3142" s="107" t="s">
        <v>155</v>
      </c>
      <c r="Q3142" s="107">
        <v>0</v>
      </c>
      <c r="R3142" s="107">
        <v>1.6656619404088</v>
      </c>
      <c r="S3142" s="107">
        <v>0</v>
      </c>
      <c r="T3142" s="107">
        <v>8.5478303569214195E-2</v>
      </c>
      <c r="U3142" s="107" t="s">
        <v>0</v>
      </c>
      <c r="V3142" s="107">
        <v>1.7879450299999999</v>
      </c>
      <c r="W3142" s="107" t="s">
        <v>15</v>
      </c>
      <c r="X3142" s="107">
        <v>0.59598101000000003</v>
      </c>
      <c r="Y3142" s="107"/>
      <c r="Z3142" s="107"/>
      <c r="AA3142" s="107"/>
      <c r="AB3142" s="107"/>
      <c r="AC3142" s="355"/>
      <c r="AD3142" s="355"/>
      <c r="AE3142" s="355"/>
      <c r="AF3142" s="94">
        <f t="shared" si="410"/>
        <v>42674</v>
      </c>
      <c r="AG3142" s="185">
        <f t="shared" ref="AG3142:AG3168" si="415">IF(C3142&lt;&gt;C3141,D3142/G3142-1,(D3142-G3142-I3142-H3142)/(D3141)-1)</f>
        <v>-2.2204460492503131E-16</v>
      </c>
      <c r="AH3142" s="339" t="str">
        <f>VLOOKUP(B3142,'MF PF'!A:B,2)</f>
        <v>FdMgt1</v>
      </c>
      <c r="AI3142" s="358">
        <f t="shared" si="411"/>
        <v>0</v>
      </c>
      <c r="AJ3142" s="94">
        <f t="shared" si="412"/>
        <v>42674</v>
      </c>
    </row>
    <row r="3143" spans="1:36" ht="12.75" customHeight="1">
      <c r="A3143" s="97">
        <v>42704</v>
      </c>
      <c r="B3143" s="94" t="s">
        <v>188</v>
      </c>
      <c r="C3143" s="96" t="s">
        <v>298</v>
      </c>
      <c r="D3143" s="98">
        <v>2105286.3899999997</v>
      </c>
      <c r="E3143" s="9">
        <f t="shared" si="413"/>
        <v>596361.10088972561</v>
      </c>
      <c r="F3143" s="98">
        <v>20</v>
      </c>
      <c r="G3143" s="98">
        <v>0</v>
      </c>
      <c r="H3143" s="98">
        <v>0</v>
      </c>
      <c r="I3143" s="98">
        <v>-305055</v>
      </c>
      <c r="J3143" s="98"/>
      <c r="K3143" s="7">
        <v>3.5302208458249069</v>
      </c>
      <c r="L3143" s="93">
        <f t="shared" si="408"/>
        <v>-305055</v>
      </c>
      <c r="M3143" s="95">
        <f t="shared" ca="1" si="409"/>
        <v>-86412.440842271943</v>
      </c>
      <c r="N3143" s="95">
        <f>IF(P3143="Hedge Fund",IF(A3143=Summary!$AD$3,M3143-E3143,M3143),IF(A3143=Summary!$AD$3,L3143-D3143,L3143))</f>
        <v>-305055</v>
      </c>
      <c r="O3143" s="95">
        <f t="shared" si="414"/>
        <v>-305055</v>
      </c>
      <c r="P3143" s="107" t="s">
        <v>155</v>
      </c>
      <c r="Q3143" s="107">
        <v>0</v>
      </c>
      <c r="R3143" s="107">
        <v>1.3519572440862599</v>
      </c>
      <c r="S3143" s="107">
        <v>0</v>
      </c>
      <c r="T3143" s="107">
        <v>6.9305301119385196E-2</v>
      </c>
      <c r="U3143" s="107" t="s">
        <v>0</v>
      </c>
      <c r="V3143" s="107">
        <v>1.57896529</v>
      </c>
      <c r="W3143" s="107" t="s">
        <v>15</v>
      </c>
      <c r="X3143" s="107">
        <v>0.52632109999999999</v>
      </c>
      <c r="Y3143" s="107"/>
      <c r="Z3143" s="107"/>
      <c r="AA3143" s="107"/>
      <c r="AB3143" s="107"/>
      <c r="AC3143" s="355"/>
      <c r="AD3143" s="355"/>
      <c r="AE3143" s="355"/>
      <c r="AF3143" s="94">
        <f t="shared" si="410"/>
        <v>42704</v>
      </c>
      <c r="AG3143" s="185">
        <f t="shared" si="415"/>
        <v>1.1080608020876292E-2</v>
      </c>
      <c r="AH3143" s="339" t="str">
        <f>VLOOKUP(B3143,'MF PF'!A:B,2)</f>
        <v>FdMgt1</v>
      </c>
      <c r="AI3143" s="358">
        <f t="shared" si="411"/>
        <v>0</v>
      </c>
      <c r="AJ3143" s="94">
        <f t="shared" si="412"/>
        <v>42704</v>
      </c>
    </row>
    <row r="3144" spans="1:36" ht="12.75" customHeight="1">
      <c r="A3144" s="97">
        <v>42734</v>
      </c>
      <c r="B3144" s="94" t="s">
        <v>188</v>
      </c>
      <c r="C3144" s="96" t="s">
        <v>298</v>
      </c>
      <c r="D3144" s="98">
        <v>1648367.29</v>
      </c>
      <c r="E3144" s="9">
        <f t="shared" si="413"/>
        <v>466930.35988087766</v>
      </c>
      <c r="F3144" s="98">
        <v>20</v>
      </c>
      <c r="G3144" s="98">
        <v>0</v>
      </c>
      <c r="H3144" s="98">
        <v>0</v>
      </c>
      <c r="I3144" s="98">
        <v>-488088</v>
      </c>
      <c r="J3144" s="98"/>
      <c r="K3144" s="7">
        <v>3.5302208458249069</v>
      </c>
      <c r="L3144" s="93">
        <f t="shared" si="408"/>
        <v>-488088</v>
      </c>
      <c r="M3144" s="95">
        <f t="shared" ca="1" si="409"/>
        <v>-138259.90534763513</v>
      </c>
      <c r="N3144" s="95">
        <f>IF(P3144="Hedge Fund",IF(A3144=Summary!$AD$3,M3144-E3144,M3144),IF(A3144=Summary!$AD$3,L3144-D3144,L3144))</f>
        <v>-488088</v>
      </c>
      <c r="O3144" s="95">
        <f t="shared" si="414"/>
        <v>-488088</v>
      </c>
      <c r="P3144" s="107" t="s">
        <v>155</v>
      </c>
      <c r="Q3144" s="107">
        <v>0</v>
      </c>
      <c r="R3144" s="107">
        <v>1.3827958810792</v>
      </c>
      <c r="S3144" s="107">
        <v>0</v>
      </c>
      <c r="T3144" s="107">
        <v>7.0888859975050691E-2</v>
      </c>
      <c r="U3144" s="107" t="s">
        <v>0</v>
      </c>
      <c r="V3144" s="107">
        <v>1.2362759699999999</v>
      </c>
      <c r="W3144" s="107" t="s">
        <v>15</v>
      </c>
      <c r="X3144" s="107">
        <v>0.41209131999999998</v>
      </c>
      <c r="Y3144" s="107"/>
      <c r="Z3144" s="107"/>
      <c r="AA3144" s="107"/>
      <c r="AB3144" s="107"/>
      <c r="AC3144" s="355"/>
      <c r="AD3144" s="355"/>
      <c r="AE3144" s="355"/>
      <c r="AF3144" s="94">
        <f t="shared" si="410"/>
        <v>42734</v>
      </c>
      <c r="AG3144" s="185">
        <f t="shared" si="415"/>
        <v>1.4805064122416223E-2</v>
      </c>
      <c r="AH3144" s="339" t="str">
        <f>VLOOKUP(B3144,'MF PF'!A:B,2)</f>
        <v>FdMgt1</v>
      </c>
      <c r="AI3144" s="358">
        <f t="shared" si="411"/>
        <v>0</v>
      </c>
      <c r="AJ3144" s="94">
        <f t="shared" si="412"/>
        <v>42735</v>
      </c>
    </row>
    <row r="3145" spans="1:36" ht="12.75" customHeight="1">
      <c r="A3145" s="97">
        <v>42762</v>
      </c>
      <c r="B3145" s="94" t="s">
        <v>188</v>
      </c>
      <c r="C3145" s="96" t="s">
        <v>298</v>
      </c>
      <c r="D3145" s="98">
        <v>1678796.2699999998</v>
      </c>
      <c r="E3145" s="9">
        <f t="shared" si="413"/>
        <v>475549.92826736748</v>
      </c>
      <c r="F3145" s="98">
        <v>20</v>
      </c>
      <c r="G3145" s="98">
        <v>0</v>
      </c>
      <c r="H3145" s="98">
        <v>0</v>
      </c>
      <c r="I3145" s="98">
        <v>0</v>
      </c>
      <c r="J3145" s="98"/>
      <c r="K3145" s="7">
        <v>3.5302208458249069</v>
      </c>
      <c r="L3145" s="93">
        <f t="shared" si="408"/>
        <v>0</v>
      </c>
      <c r="M3145" s="95">
        <f t="shared" ca="1" si="409"/>
        <v>0</v>
      </c>
      <c r="N3145" s="95">
        <f>IF(P3145="Hedge Fund",IF(A3145=Summary!$AD$3,M3145-E3145,M3145),IF(A3145=Summary!$AD$3,L3145-D3145,L3145))</f>
        <v>0</v>
      </c>
      <c r="O3145" s="95">
        <f t="shared" si="414"/>
        <v>0</v>
      </c>
      <c r="P3145" s="107" t="s">
        <v>155</v>
      </c>
      <c r="Q3145" s="107">
        <v>0</v>
      </c>
      <c r="R3145" s="107">
        <v>1.72535399653829</v>
      </c>
      <c r="S3145" s="107">
        <v>0</v>
      </c>
      <c r="T3145" s="107">
        <v>8.8149245626351999E-2</v>
      </c>
      <c r="U3145" s="107" t="s">
        <v>0</v>
      </c>
      <c r="V3145" s="107">
        <v>1.2590976999999999</v>
      </c>
      <c r="W3145" s="107" t="s">
        <v>15</v>
      </c>
      <c r="X3145" s="107">
        <v>0.41969856999999999</v>
      </c>
      <c r="Y3145" s="107"/>
      <c r="Z3145" s="107"/>
      <c r="AA3145" s="107"/>
      <c r="AB3145" s="107"/>
      <c r="AC3145" s="355"/>
      <c r="AD3145" s="355"/>
      <c r="AE3145" s="355"/>
      <c r="AF3145" s="94">
        <f t="shared" si="410"/>
        <v>42762</v>
      </c>
      <c r="AG3145" s="185">
        <f t="shared" si="415"/>
        <v>1.8460072694113983E-2</v>
      </c>
      <c r="AH3145" s="339" t="str">
        <f>VLOOKUP(B3145,'MF PF'!A:B,2)</f>
        <v>FdMgt1</v>
      </c>
      <c r="AI3145" s="358">
        <f t="shared" si="411"/>
        <v>0</v>
      </c>
      <c r="AJ3145" s="94">
        <f t="shared" si="412"/>
        <v>42766</v>
      </c>
    </row>
    <row r="3146" spans="1:36" ht="12.75" customHeight="1">
      <c r="A3146" s="97">
        <v>42794</v>
      </c>
      <c r="B3146" s="94" t="s">
        <v>188</v>
      </c>
      <c r="C3146" s="96" t="s">
        <v>298</v>
      </c>
      <c r="D3146" s="98">
        <v>1703709.04</v>
      </c>
      <c r="E3146" s="9">
        <f t="shared" si="413"/>
        <v>482606.92868972459</v>
      </c>
      <c r="F3146" s="98">
        <v>20</v>
      </c>
      <c r="G3146" s="98">
        <v>0</v>
      </c>
      <c r="H3146" s="98">
        <v>0</v>
      </c>
      <c r="I3146" s="98">
        <v>0</v>
      </c>
      <c r="J3146" s="98"/>
      <c r="K3146" s="7">
        <v>3.5302208458249069</v>
      </c>
      <c r="L3146" s="93">
        <f t="shared" si="408"/>
        <v>0</v>
      </c>
      <c r="M3146" s="95">
        <f t="shared" ca="1" si="409"/>
        <v>0</v>
      </c>
      <c r="N3146" s="95">
        <f>IF(P3146="Hedge Fund",IF(A3146=Summary!$AD$3,M3146-E3146,M3146),IF(A3146=Summary!$AD$3,L3146-D3146,L3146))</f>
        <v>0</v>
      </c>
      <c r="O3146" s="95">
        <f t="shared" si="414"/>
        <v>0</v>
      </c>
      <c r="P3146" s="107" t="s">
        <v>155</v>
      </c>
      <c r="Q3146" s="107">
        <v>0</v>
      </c>
      <c r="R3146" s="107">
        <v>1.45837852068304</v>
      </c>
      <c r="S3146" s="107">
        <v>0</v>
      </c>
      <c r="T3146" s="107">
        <v>7.4776943126538098E-2</v>
      </c>
      <c r="U3146" s="107" t="s">
        <v>0</v>
      </c>
      <c r="V3146" s="107">
        <v>1.27778228</v>
      </c>
      <c r="W3146" s="107" t="s">
        <v>15</v>
      </c>
      <c r="X3146" s="107">
        <v>0.42592676000000002</v>
      </c>
      <c r="Y3146" s="107"/>
      <c r="Z3146" s="107"/>
      <c r="AA3146" s="107"/>
      <c r="AB3146" s="107"/>
      <c r="AC3146" s="355"/>
      <c r="AD3146" s="355"/>
      <c r="AE3146" s="355"/>
      <c r="AF3146" s="94">
        <f t="shared" si="410"/>
        <v>42794</v>
      </c>
      <c r="AG3146" s="185">
        <f t="shared" si="415"/>
        <v>1.4839662468394854E-2</v>
      </c>
      <c r="AH3146" s="339" t="str">
        <f>VLOOKUP(B3146,'MF PF'!A:B,2)</f>
        <v>FdMgt1</v>
      </c>
      <c r="AI3146" s="358">
        <f t="shared" si="411"/>
        <v>0</v>
      </c>
      <c r="AJ3146" s="94">
        <f t="shared" si="412"/>
        <v>42794</v>
      </c>
    </row>
    <row r="3147" spans="1:36" ht="12.75" customHeight="1">
      <c r="A3147" s="97">
        <v>42825</v>
      </c>
      <c r="B3147" s="94" t="s">
        <v>188</v>
      </c>
      <c r="C3147" s="96" t="s">
        <v>298</v>
      </c>
      <c r="D3147" s="98">
        <v>1393086.49</v>
      </c>
      <c r="E3147" s="9">
        <f t="shared" si="413"/>
        <v>394617.37688381854</v>
      </c>
      <c r="F3147" s="98">
        <v>20</v>
      </c>
      <c r="G3147" s="98">
        <v>0</v>
      </c>
      <c r="H3147" s="98">
        <v>0</v>
      </c>
      <c r="I3147" s="98">
        <v>-305055</v>
      </c>
      <c r="J3147" s="98"/>
      <c r="K3147" s="7">
        <v>3.5302208458249069</v>
      </c>
      <c r="L3147" s="93">
        <f t="shared" si="408"/>
        <v>-305055</v>
      </c>
      <c r="M3147" s="95">
        <f t="shared" ca="1" si="409"/>
        <v>-86412.440842271943</v>
      </c>
      <c r="N3147" s="95">
        <f>IF(P3147="Hedge Fund",IF(A3147=Summary!$AD$3,M3147-E3147,M3147),IF(A3147=Summary!$AD$3,L3147-D3147,L3147))</f>
        <v>-305055</v>
      </c>
      <c r="O3147" s="95">
        <f t="shared" si="414"/>
        <v>-305055</v>
      </c>
      <c r="P3147" s="107" t="s">
        <v>155</v>
      </c>
      <c r="Q3147" s="107">
        <v>0</v>
      </c>
      <c r="R3147" s="107">
        <v>1.7565484600000001</v>
      </c>
      <c r="S3147" s="107">
        <v>0</v>
      </c>
      <c r="T3147" s="107">
        <v>8.9745179999999994E-2</v>
      </c>
      <c r="U3147" s="107" t="s">
        <v>0</v>
      </c>
      <c r="V3147" s="107">
        <v>1.04481537</v>
      </c>
      <c r="W3147" s="107" t="s">
        <v>15</v>
      </c>
      <c r="X3147" s="107">
        <v>0.34827111999999999</v>
      </c>
      <c r="Y3147" s="107"/>
      <c r="Z3147" s="107"/>
      <c r="AA3147" s="107"/>
      <c r="AB3147" s="107"/>
      <c r="AC3147" s="355"/>
      <c r="AD3147" s="355"/>
      <c r="AE3147" s="355"/>
      <c r="AF3147" s="94">
        <f t="shared" si="410"/>
        <v>42825</v>
      </c>
      <c r="AG3147" s="185">
        <f t="shared" si="415"/>
        <v>-3.2678995469790362E-3</v>
      </c>
      <c r="AH3147" s="339" t="str">
        <f>VLOOKUP(B3147,'MF PF'!A:B,2)</f>
        <v>FdMgt1</v>
      </c>
      <c r="AI3147" s="358">
        <f t="shared" si="411"/>
        <v>0</v>
      </c>
      <c r="AJ3147" s="94">
        <f t="shared" si="412"/>
        <v>42825</v>
      </c>
    </row>
    <row r="3148" spans="1:36" ht="12.75" customHeight="1">
      <c r="A3148" s="97">
        <v>42853</v>
      </c>
      <c r="B3148" s="94" t="s">
        <v>188</v>
      </c>
      <c r="C3148" s="96" t="s">
        <v>298</v>
      </c>
      <c r="D3148" s="98">
        <v>1392567.23</v>
      </c>
      <c r="E3148" s="9">
        <f t="shared" si="413"/>
        <v>394470.28693600011</v>
      </c>
      <c r="F3148" s="98">
        <v>20</v>
      </c>
      <c r="G3148" s="98">
        <v>0</v>
      </c>
      <c r="H3148" s="98">
        <v>0</v>
      </c>
      <c r="I3148" s="98">
        <v>0</v>
      </c>
      <c r="J3148" s="98"/>
      <c r="K3148" s="93">
        <v>3.5302208458249069</v>
      </c>
      <c r="L3148" s="93">
        <f t="shared" si="408"/>
        <v>0</v>
      </c>
      <c r="M3148" s="95">
        <f t="shared" ca="1" si="409"/>
        <v>0</v>
      </c>
      <c r="N3148" s="95">
        <f>IF(P3148="Hedge Fund",IF(A3148=Summary!$AD$3,M3148-E3148,M3148),IF(A3148=Summary!$AD$3,L3148-D3148,L3148))</f>
        <v>0</v>
      </c>
      <c r="O3148" s="95">
        <f t="shared" si="414"/>
        <v>0</v>
      </c>
      <c r="P3148" s="107" t="s">
        <v>155</v>
      </c>
      <c r="Q3148" s="107">
        <v>0</v>
      </c>
      <c r="R3148" s="107">
        <v>1.76596832</v>
      </c>
      <c r="S3148" s="107">
        <v>0</v>
      </c>
      <c r="T3148" s="107">
        <v>9.0226890000000004E-2</v>
      </c>
      <c r="U3148" s="107" t="s">
        <v>0</v>
      </c>
      <c r="V3148" s="107">
        <v>1.0444259199999999</v>
      </c>
      <c r="W3148" s="107" t="s">
        <v>15</v>
      </c>
      <c r="X3148" s="107">
        <v>0.34814130999999998</v>
      </c>
      <c r="Y3148" s="107"/>
      <c r="Z3148" s="107"/>
      <c r="AA3148" s="107"/>
      <c r="AB3148" s="107"/>
      <c r="AC3148" s="355"/>
      <c r="AD3148" s="355"/>
      <c r="AE3148" s="355"/>
      <c r="AF3148" s="94">
        <f t="shared" si="410"/>
        <v>42853</v>
      </c>
      <c r="AG3148" s="185">
        <f t="shared" si="415"/>
        <v>-3.7274067599346594E-4</v>
      </c>
      <c r="AH3148" s="339" t="str">
        <f>VLOOKUP(B3148,'MF PF'!A:B,2)</f>
        <v>FdMgt1</v>
      </c>
      <c r="AI3148" s="358">
        <f t="shared" si="411"/>
        <v>0</v>
      </c>
      <c r="AJ3148" s="94">
        <f t="shared" si="412"/>
        <v>42855</v>
      </c>
    </row>
    <row r="3149" spans="1:36" ht="12.75" customHeight="1">
      <c r="A3149" s="97">
        <v>42886</v>
      </c>
      <c r="B3149" s="94" t="s">
        <v>188</v>
      </c>
      <c r="C3149" s="96" t="s">
        <v>298</v>
      </c>
      <c r="D3149" s="98">
        <v>1365095.72</v>
      </c>
      <c r="E3149" s="9">
        <f t="shared" si="413"/>
        <v>386688.47633554152</v>
      </c>
      <c r="F3149" s="98">
        <v>20</v>
      </c>
      <c r="G3149" s="98">
        <v>0</v>
      </c>
      <c r="H3149" s="98">
        <v>0</v>
      </c>
      <c r="I3149" s="98">
        <v>0</v>
      </c>
      <c r="J3149" s="98"/>
      <c r="K3149" s="93">
        <v>3.5302208458249069</v>
      </c>
      <c r="L3149" s="93">
        <f t="shared" si="408"/>
        <v>0</v>
      </c>
      <c r="M3149" s="95">
        <f t="shared" ca="1" si="409"/>
        <v>0</v>
      </c>
      <c r="N3149" s="95">
        <f>IF(P3149="Hedge Fund",IF(A3149=Summary!$AD$3,M3149-E3149,M3149),IF(A3149=Summary!$AD$3,L3149-D3149,L3149))</f>
        <v>0</v>
      </c>
      <c r="O3149" s="95">
        <f t="shared" si="414"/>
        <v>0</v>
      </c>
      <c r="P3149" s="107" t="s">
        <v>155</v>
      </c>
      <c r="Q3149" s="107">
        <v>0</v>
      </c>
      <c r="R3149" s="107">
        <v>1.3956006386070401</v>
      </c>
      <c r="S3149" s="107">
        <v>0</v>
      </c>
      <c r="T3149" s="107">
        <v>5.49031E-3</v>
      </c>
      <c r="U3149" s="107" t="s">
        <v>0</v>
      </c>
      <c r="V3149" s="107">
        <v>1.02382229</v>
      </c>
      <c r="W3149" s="107" t="s">
        <v>15</v>
      </c>
      <c r="X3149" s="107">
        <v>0.34127342999999999</v>
      </c>
      <c r="Y3149" s="107"/>
      <c r="Z3149" s="107"/>
      <c r="AA3149" s="107"/>
      <c r="AB3149" s="107"/>
      <c r="AC3149" s="355"/>
      <c r="AD3149" s="355"/>
      <c r="AE3149" s="355"/>
      <c r="AF3149" s="94">
        <f t="shared" si="410"/>
        <v>42886</v>
      </c>
      <c r="AG3149" s="185">
        <f t="shared" si="415"/>
        <v>-1.9727241463236234E-2</v>
      </c>
      <c r="AH3149" s="339" t="str">
        <f>VLOOKUP(B3149,'MF PF'!A:B,2)</f>
        <v>FdMgt1</v>
      </c>
      <c r="AI3149" s="358">
        <f t="shared" si="411"/>
        <v>0</v>
      </c>
      <c r="AJ3149" s="94">
        <f t="shared" si="412"/>
        <v>42886</v>
      </c>
    </row>
    <row r="3150" spans="1:36" ht="12.75" customHeight="1">
      <c r="A3150" s="97">
        <v>42916</v>
      </c>
      <c r="B3150" s="94" t="s">
        <v>188</v>
      </c>
      <c r="C3150" s="96" t="s">
        <v>298</v>
      </c>
      <c r="D3150" s="98">
        <v>1365614</v>
      </c>
      <c r="E3150" s="9">
        <f t="shared" si="413"/>
        <v>386835.28868033097</v>
      </c>
      <c r="F3150" s="98">
        <v>20</v>
      </c>
      <c r="G3150" s="98">
        <v>0</v>
      </c>
      <c r="H3150" s="98">
        <v>0</v>
      </c>
      <c r="I3150" s="98">
        <v>0</v>
      </c>
      <c r="J3150" s="98"/>
      <c r="K3150" s="93">
        <v>3.5302208458249069</v>
      </c>
      <c r="L3150" s="93">
        <f t="shared" si="408"/>
        <v>0</v>
      </c>
      <c r="M3150" s="95">
        <f t="shared" ca="1" si="409"/>
        <v>0</v>
      </c>
      <c r="N3150" s="95">
        <f>IF(P3150="Hedge Fund",IF(A3150=Summary!$AD$3,M3150-E3150,M3150),IF(A3150=Summary!$AD$3,L3150-D3150,L3150))</f>
        <v>0</v>
      </c>
      <c r="O3150" s="95">
        <f t="shared" si="414"/>
        <v>0</v>
      </c>
      <c r="P3150" s="107" t="s">
        <v>155</v>
      </c>
      <c r="Q3150" s="107">
        <v>0</v>
      </c>
      <c r="R3150" s="107">
        <v>1.3954717000000001</v>
      </c>
      <c r="S3150" s="107">
        <v>0</v>
      </c>
      <c r="T3150" s="107">
        <v>5.0959000000000004E-3</v>
      </c>
      <c r="U3150" s="107" t="s">
        <v>0</v>
      </c>
      <c r="V3150" s="107">
        <v>1.024211</v>
      </c>
      <c r="W3150" s="107" t="s">
        <v>15</v>
      </c>
      <c r="X3150" s="107">
        <v>0.34140300000000001</v>
      </c>
      <c r="Y3150" s="107"/>
      <c r="Z3150" s="107"/>
      <c r="AA3150" s="107"/>
      <c r="AB3150" s="107"/>
      <c r="AC3150" s="355"/>
      <c r="AD3150" s="355"/>
      <c r="AE3150" s="355"/>
      <c r="AF3150" s="94">
        <f t="shared" si="410"/>
        <v>42916</v>
      </c>
      <c r="AG3150" s="185">
        <f t="shared" si="415"/>
        <v>3.7966568380998211E-4</v>
      </c>
      <c r="AH3150" s="339" t="str">
        <f>VLOOKUP(B3150,'MF PF'!A:B,2)</f>
        <v>FdMgt1</v>
      </c>
      <c r="AI3150" s="358">
        <f t="shared" si="411"/>
        <v>0</v>
      </c>
      <c r="AJ3150" s="94">
        <f t="shared" si="412"/>
        <v>42916</v>
      </c>
    </row>
    <row r="3151" spans="1:36" ht="12.75" customHeight="1">
      <c r="A3151" s="97">
        <v>42947</v>
      </c>
      <c r="B3151" s="94" t="s">
        <v>188</v>
      </c>
      <c r="C3151" s="96" t="s">
        <v>298</v>
      </c>
      <c r="D3151" s="98">
        <v>910334.81</v>
      </c>
      <c r="E3151" s="9">
        <f t="shared" si="413"/>
        <v>257869.08234838268</v>
      </c>
      <c r="F3151" s="98">
        <v>20</v>
      </c>
      <c r="G3151" s="98">
        <v>0</v>
      </c>
      <c r="H3151" s="98">
        <v>0</v>
      </c>
      <c r="I3151" s="98">
        <v>-427077</v>
      </c>
      <c r="J3151" s="98"/>
      <c r="K3151" s="7">
        <v>3.5302208458249069</v>
      </c>
      <c r="L3151" s="93">
        <f t="shared" si="408"/>
        <v>-427077</v>
      </c>
      <c r="M3151" s="95">
        <f t="shared" ca="1" si="409"/>
        <v>-120977.41717918073</v>
      </c>
      <c r="N3151" s="95">
        <f>IF(P3151="Hedge Fund",IF(A3151=Summary!$AD$3,M3151-E3151,M3151),IF(A3151=Summary!$AD$3,L3151-D3151,L3151))</f>
        <v>-427077</v>
      </c>
      <c r="O3151" s="95">
        <f t="shared" si="414"/>
        <v>-427077</v>
      </c>
      <c r="P3151" s="107" t="s">
        <v>155</v>
      </c>
      <c r="Q3151" s="107">
        <v>0</v>
      </c>
      <c r="R3151" s="107">
        <v>1.3437761100000001</v>
      </c>
      <c r="S3151" s="107">
        <v>0</v>
      </c>
      <c r="T3151" s="107">
        <v>8.2108128773E-2</v>
      </c>
      <c r="U3151" s="107" t="s">
        <v>0</v>
      </c>
      <c r="V3151" s="107">
        <v>0.68275160999999995</v>
      </c>
      <c r="W3151" s="107" t="s">
        <v>15</v>
      </c>
      <c r="X3151" s="107">
        <v>0.22758320000000001</v>
      </c>
      <c r="Y3151" s="107"/>
      <c r="Z3151" s="107"/>
      <c r="AA3151" s="107"/>
      <c r="AB3151" s="107"/>
      <c r="AC3151" s="355"/>
      <c r="AD3151" s="355"/>
      <c r="AE3151" s="355"/>
      <c r="AF3151" s="94">
        <f t="shared" si="410"/>
        <v>42947</v>
      </c>
      <c r="AG3151" s="185">
        <f t="shared" si="415"/>
        <v>-2.0651655592282991E-2</v>
      </c>
      <c r="AH3151" s="339" t="str">
        <f>VLOOKUP(B3151,'MF PF'!A:B,2)</f>
        <v>FdMgt1</v>
      </c>
      <c r="AI3151" s="358">
        <f t="shared" si="411"/>
        <v>0</v>
      </c>
      <c r="AJ3151" s="94">
        <f t="shared" si="412"/>
        <v>42947</v>
      </c>
    </row>
    <row r="3152" spans="1:36" ht="12.75" customHeight="1">
      <c r="A3152" s="97">
        <v>42978</v>
      </c>
      <c r="B3152" s="94" t="s">
        <v>188</v>
      </c>
      <c r="C3152" s="96" t="s">
        <v>298</v>
      </c>
      <c r="D3152" s="98">
        <v>925100.00000000023</v>
      </c>
      <c r="E3152" s="9">
        <f t="shared" si="413"/>
        <v>262051.5940508623</v>
      </c>
      <c r="F3152" s="98">
        <v>20</v>
      </c>
      <c r="G3152" s="98">
        <v>0</v>
      </c>
      <c r="H3152" s="98">
        <v>0</v>
      </c>
      <c r="I3152" s="98">
        <v>0</v>
      </c>
      <c r="J3152" s="98"/>
      <c r="K3152" s="7">
        <v>3.5302208458249069</v>
      </c>
      <c r="L3152" s="93">
        <f t="shared" si="408"/>
        <v>0</v>
      </c>
      <c r="M3152" s="95">
        <f t="shared" ca="1" si="409"/>
        <v>0</v>
      </c>
      <c r="N3152" s="95">
        <f>IF(P3152="Hedge Fund",IF(A3152=Summary!$AD$3,M3152-E3152,M3152),IF(A3152=Summary!$AD$3,L3152-D3152,L3152))</f>
        <v>0</v>
      </c>
      <c r="O3152" s="95">
        <f t="shared" si="414"/>
        <v>0</v>
      </c>
      <c r="P3152" s="107" t="s">
        <v>155</v>
      </c>
      <c r="Q3152" s="107">
        <v>0</v>
      </c>
      <c r="R3152" s="107">
        <v>1.3648461000000001</v>
      </c>
      <c r="S3152" s="107">
        <v>0</v>
      </c>
      <c r="T3152" s="107">
        <v>8.3496683994000009E-2</v>
      </c>
      <c r="U3152" s="107" t="s">
        <v>0</v>
      </c>
      <c r="V3152" s="107">
        <v>0.69379999999999997</v>
      </c>
      <c r="W3152" s="107" t="s">
        <v>15</v>
      </c>
      <c r="X3152" s="107">
        <v>0.23130000000000001</v>
      </c>
      <c r="Y3152" s="107"/>
      <c r="Z3152" s="107"/>
      <c r="AA3152" s="107"/>
      <c r="AB3152" s="107"/>
      <c r="AC3152" s="355"/>
      <c r="AD3152" s="355"/>
      <c r="AE3152" s="355"/>
      <c r="AF3152" s="94">
        <f t="shared" si="410"/>
        <v>42978</v>
      </c>
      <c r="AG3152" s="185">
        <f t="shared" si="415"/>
        <v>1.6219515982257349E-2</v>
      </c>
      <c r="AH3152" s="339" t="str">
        <f>VLOOKUP(B3152,'MF PF'!A:B,2)</f>
        <v>FdMgt1</v>
      </c>
      <c r="AI3152" s="358">
        <f t="shared" si="411"/>
        <v>0</v>
      </c>
      <c r="AJ3152" s="94">
        <f t="shared" si="412"/>
        <v>42978</v>
      </c>
    </row>
    <row r="3153" spans="1:36" ht="12.75" customHeight="1">
      <c r="A3153" s="97">
        <v>43007</v>
      </c>
      <c r="B3153" s="94" t="s">
        <v>188</v>
      </c>
      <c r="C3153" s="96" t="s">
        <v>298</v>
      </c>
      <c r="D3153" s="98">
        <v>903200</v>
      </c>
      <c r="E3153" s="9">
        <f t="shared" si="413"/>
        <v>255848.01615688982</v>
      </c>
      <c r="F3153" s="98">
        <v>20</v>
      </c>
      <c r="G3153" s="98">
        <v>0</v>
      </c>
      <c r="H3153" s="98">
        <v>0</v>
      </c>
      <c r="I3153" s="98">
        <v>0</v>
      </c>
      <c r="J3153" s="98"/>
      <c r="K3153" s="7">
        <v>3.5302208458249069</v>
      </c>
      <c r="L3153" s="93">
        <f t="shared" si="408"/>
        <v>0</v>
      </c>
      <c r="M3153" s="95">
        <f t="shared" ca="1" si="409"/>
        <v>0</v>
      </c>
      <c r="N3153" s="95">
        <f>IF(P3153="Hedge Fund",IF(A3153=Summary!$AD$3,M3153-E3153,M3153),IF(A3153=Summary!$AD$3,L3153-D3153,L3153))</f>
        <v>0</v>
      </c>
      <c r="O3153" s="95">
        <f t="shared" si="414"/>
        <v>0</v>
      </c>
      <c r="P3153" s="107" t="s">
        <v>155</v>
      </c>
      <c r="Q3153" s="107">
        <v>0</v>
      </c>
      <c r="R3153" s="107">
        <v>1.3419098</v>
      </c>
      <c r="S3153" s="107">
        <v>0</v>
      </c>
      <c r="T3153" s="107">
        <v>8.1365769404999996E-2</v>
      </c>
      <c r="U3153" s="107" t="s">
        <v>0</v>
      </c>
      <c r="V3153" s="107">
        <v>0.6774</v>
      </c>
      <c r="W3153" s="107" t="s">
        <v>15</v>
      </c>
      <c r="X3153" s="107">
        <v>0.2258</v>
      </c>
      <c r="Y3153" s="107"/>
      <c r="Z3153" s="107"/>
      <c r="AA3153" s="107"/>
      <c r="AB3153" s="107"/>
      <c r="AC3153" s="355"/>
      <c r="AD3153" s="355"/>
      <c r="AE3153" s="355"/>
      <c r="AF3153" s="94">
        <f t="shared" si="410"/>
        <v>43007</v>
      </c>
      <c r="AG3153" s="185">
        <f t="shared" si="415"/>
        <v>-2.3673116419846707E-2</v>
      </c>
      <c r="AH3153" s="339" t="str">
        <f>VLOOKUP(B3153,'MF PF'!A:B,2)</f>
        <v>FdMgt1</v>
      </c>
      <c r="AI3153" s="358">
        <f t="shared" si="411"/>
        <v>0</v>
      </c>
      <c r="AJ3153" s="94">
        <f t="shared" si="412"/>
        <v>43008</v>
      </c>
    </row>
    <row r="3154" spans="1:36" ht="12.75" customHeight="1">
      <c r="A3154" s="97">
        <v>43039</v>
      </c>
      <c r="B3154" s="94" t="s">
        <v>188</v>
      </c>
      <c r="C3154" s="96" t="s">
        <v>298</v>
      </c>
      <c r="D3154" s="98">
        <v>1466692.23</v>
      </c>
      <c r="E3154" s="9">
        <f t="shared" si="413"/>
        <v>415467.55686251633</v>
      </c>
      <c r="F3154" s="98">
        <v>20</v>
      </c>
      <c r="G3154" s="98">
        <v>0</v>
      </c>
      <c r="H3154" s="98">
        <v>0</v>
      </c>
      <c r="I3154" s="98">
        <v>0</v>
      </c>
      <c r="J3154" s="98"/>
      <c r="K3154" s="7">
        <v>3.5302208458249069</v>
      </c>
      <c r="L3154" s="93">
        <f t="shared" si="408"/>
        <v>0</v>
      </c>
      <c r="M3154" s="95">
        <f t="shared" ca="1" si="409"/>
        <v>0</v>
      </c>
      <c r="N3154" s="95">
        <f>IF(P3154="Hedge Fund",IF(A3154=Summary!$AD$3,M3154-E3154,M3154),IF(A3154=Summary!$AD$3,L3154-D3154,L3154))</f>
        <v>0</v>
      </c>
      <c r="O3154" s="95">
        <f t="shared" si="414"/>
        <v>0</v>
      </c>
      <c r="P3154" s="107" t="s">
        <v>155</v>
      </c>
      <c r="Q3154" s="107">
        <v>0</v>
      </c>
      <c r="R3154" s="107">
        <v>2.0572032</v>
      </c>
      <c r="S3154" s="107">
        <v>0</v>
      </c>
      <c r="T3154" s="107">
        <v>0.12424333954399999</v>
      </c>
      <c r="U3154" s="107" t="s">
        <v>0</v>
      </c>
      <c r="V3154" s="107">
        <v>1.10001967</v>
      </c>
      <c r="W3154" s="107" t="s">
        <v>15</v>
      </c>
      <c r="X3154" s="107">
        <v>0.36667255999999998</v>
      </c>
      <c r="Y3154" s="107"/>
      <c r="Z3154" s="107"/>
      <c r="AA3154" s="107"/>
      <c r="AB3154" s="107"/>
      <c r="AC3154" s="355"/>
      <c r="AD3154" s="355"/>
      <c r="AE3154" s="355"/>
      <c r="AF3154" s="94">
        <f t="shared" si="410"/>
        <v>43039</v>
      </c>
      <c r="AG3154" s="185">
        <f t="shared" si="415"/>
        <v>0.62388422276350752</v>
      </c>
      <c r="AH3154" s="339" t="str">
        <f>VLOOKUP(B3154,'MF PF'!A:B,2)</f>
        <v>FdMgt1</v>
      </c>
      <c r="AI3154" s="358">
        <f t="shared" si="411"/>
        <v>0</v>
      </c>
      <c r="AJ3154" s="94">
        <f t="shared" si="412"/>
        <v>43039</v>
      </c>
    </row>
    <row r="3155" spans="1:36" ht="12.75" customHeight="1">
      <c r="A3155" s="97">
        <v>43069</v>
      </c>
      <c r="B3155" s="94" t="s">
        <v>188</v>
      </c>
      <c r="C3155" s="96" t="s">
        <v>298</v>
      </c>
      <c r="D3155" s="98">
        <v>1460900</v>
      </c>
      <c r="E3155" s="9">
        <f t="shared" si="413"/>
        <v>413826.80115544767</v>
      </c>
      <c r="F3155" s="98">
        <v>20</v>
      </c>
      <c r="G3155" s="98">
        <v>0</v>
      </c>
      <c r="H3155" s="98">
        <v>0</v>
      </c>
      <c r="I3155" s="98">
        <v>0</v>
      </c>
      <c r="J3155" s="98"/>
      <c r="K3155" s="93">
        <v>3.5302208458249069</v>
      </c>
      <c r="L3155" s="93">
        <f t="shared" si="408"/>
        <v>0</v>
      </c>
      <c r="M3155" s="95">
        <f t="shared" ca="1" si="409"/>
        <v>0</v>
      </c>
      <c r="N3155" s="95">
        <f>IF(P3155="Hedge Fund",IF(A3155=Summary!$AD$3,M3155-E3155,M3155),IF(A3155=Summary!$AD$3,L3155-D3155,L3155))</f>
        <v>0</v>
      </c>
      <c r="O3155" s="95">
        <f t="shared" si="414"/>
        <v>0</v>
      </c>
      <c r="P3155" s="107" t="s">
        <v>155</v>
      </c>
      <c r="Q3155" s="107">
        <v>0</v>
      </c>
      <c r="R3155" s="107">
        <v>2.04853489</v>
      </c>
      <c r="S3155" s="107">
        <v>0</v>
      </c>
      <c r="T3155" s="107">
        <v>0.12386975786</v>
      </c>
      <c r="U3155" s="107" t="s">
        <v>0</v>
      </c>
      <c r="V3155" s="107">
        <v>1.0956999999999999</v>
      </c>
      <c r="W3155" s="107" t="s">
        <v>15</v>
      </c>
      <c r="X3155" s="107">
        <v>0.36520000000000002</v>
      </c>
      <c r="Y3155" s="107"/>
      <c r="Z3155" s="107"/>
      <c r="AA3155" s="107"/>
      <c r="AB3155" s="107"/>
      <c r="AC3155" s="355"/>
      <c r="AD3155" s="355"/>
      <c r="AE3155" s="355"/>
      <c r="AF3155" s="94">
        <f t="shared" si="410"/>
        <v>43069</v>
      </c>
      <c r="AG3155" s="185">
        <f t="shared" si="415"/>
        <v>-3.949178894879668E-3</v>
      </c>
      <c r="AH3155" s="339" t="str">
        <f>VLOOKUP(B3155,'MF PF'!A:B,2)</f>
        <v>FdMgt1</v>
      </c>
      <c r="AI3155" s="358">
        <f t="shared" si="411"/>
        <v>0</v>
      </c>
      <c r="AJ3155" s="94">
        <f t="shared" si="412"/>
        <v>43069</v>
      </c>
    </row>
    <row r="3156" spans="1:36" ht="12.75" customHeight="1">
      <c r="A3156" s="97">
        <v>43098</v>
      </c>
      <c r="B3156" s="94" t="s">
        <v>188</v>
      </c>
      <c r="C3156" s="96" t="s">
        <v>298</v>
      </c>
      <c r="D3156" s="98">
        <v>863200.99</v>
      </c>
      <c r="E3156" s="9">
        <f t="shared" si="413"/>
        <v>244517.56071320115</v>
      </c>
      <c r="F3156" s="98">
        <v>20</v>
      </c>
      <c r="G3156" s="98">
        <v>0</v>
      </c>
      <c r="H3156" s="98">
        <v>0</v>
      </c>
      <c r="I3156" s="98">
        <v>-586065.87</v>
      </c>
      <c r="J3156" s="98"/>
      <c r="K3156" s="93">
        <v>3.5302208458249069</v>
      </c>
      <c r="L3156" s="93">
        <f t="shared" si="408"/>
        <v>-586065.87</v>
      </c>
      <c r="M3156" s="95">
        <f t="shared" ca="1" si="409"/>
        <v>-166013.93952254392</v>
      </c>
      <c r="N3156" s="95">
        <f>IF(P3156="Hedge Fund",IF(A3156=Summary!$AD$3,M3156-E3156,M3156),IF(A3156=Summary!$AD$3,L3156-D3156,L3156))</f>
        <v>-586065.87</v>
      </c>
      <c r="O3156" s="95">
        <f t="shared" si="414"/>
        <v>-586065.87</v>
      </c>
      <c r="P3156" s="107" t="s">
        <v>155</v>
      </c>
      <c r="Q3156" s="107">
        <v>0</v>
      </c>
      <c r="R3156" s="107">
        <v>1.4125804399999999</v>
      </c>
      <c r="S3156" s="107">
        <v>0</v>
      </c>
      <c r="T3156" s="107">
        <v>7.1735880000000002E-2</v>
      </c>
      <c r="U3156" s="107" t="s">
        <v>0</v>
      </c>
      <c r="V3156" s="107">
        <v>1.0956999999999999</v>
      </c>
      <c r="W3156" s="107" t="s">
        <v>15</v>
      </c>
      <c r="X3156" s="107">
        <v>0.36520000000000002</v>
      </c>
      <c r="Y3156" s="107"/>
      <c r="Z3156" s="107"/>
      <c r="AA3156" s="107"/>
      <c r="AB3156" s="107"/>
      <c r="AC3156" s="355"/>
      <c r="AD3156" s="355"/>
      <c r="AE3156" s="355"/>
      <c r="AF3156" s="94">
        <f t="shared" si="410"/>
        <v>43098</v>
      </c>
      <c r="AG3156" s="185">
        <f t="shared" si="415"/>
        <v>-7.9629954137860892E-3</v>
      </c>
      <c r="AH3156" s="339" t="str">
        <f>VLOOKUP(B3156,'MF PF'!A:B,2)</f>
        <v>FdMgt1</v>
      </c>
      <c r="AI3156" s="358">
        <f t="shared" si="411"/>
        <v>0</v>
      </c>
      <c r="AJ3156" s="94">
        <f t="shared" si="412"/>
        <v>43100</v>
      </c>
    </row>
    <row r="3157" spans="1:36" ht="12.75" customHeight="1">
      <c r="A3157" s="97">
        <v>43131</v>
      </c>
      <c r="B3157" s="94" t="s">
        <v>188</v>
      </c>
      <c r="C3157" s="96" t="s">
        <v>298</v>
      </c>
      <c r="D3157" s="98">
        <v>851999.99999999977</v>
      </c>
      <c r="E3157" s="95">
        <f t="shared" si="413"/>
        <v>241344.6742312556</v>
      </c>
      <c r="F3157" s="98">
        <v>20</v>
      </c>
      <c r="G3157" s="98">
        <v>0</v>
      </c>
      <c r="H3157" s="98">
        <v>0</v>
      </c>
      <c r="I3157" s="98">
        <v>0</v>
      </c>
      <c r="J3157" s="98"/>
      <c r="K3157" s="93">
        <v>3.5302208458249069</v>
      </c>
      <c r="L3157" s="93">
        <f t="shared" si="408"/>
        <v>0</v>
      </c>
      <c r="M3157" s="95">
        <f t="shared" ca="1" si="409"/>
        <v>0</v>
      </c>
      <c r="N3157" s="95">
        <f>IF(P3157="Hedge Fund",IF(A3157=Summary!$AD$3,M3157-E3157,M3157),IF(A3157=Summary!$AD$3,L3157-D3157,L3157))</f>
        <v>0</v>
      </c>
      <c r="O3157" s="95">
        <f t="shared" si="414"/>
        <v>0</v>
      </c>
      <c r="P3157" s="107" t="s">
        <v>155</v>
      </c>
      <c r="Q3157" s="107">
        <v>0</v>
      </c>
      <c r="R3157" s="107">
        <v>0</v>
      </c>
      <c r="S3157" s="107">
        <v>0</v>
      </c>
      <c r="T3157" s="107">
        <v>7.0867179999999988E-2</v>
      </c>
      <c r="U3157" s="107" t="s">
        <v>0</v>
      </c>
      <c r="V3157" s="107">
        <v>0.63900000000000001</v>
      </c>
      <c r="W3157" s="107" t="s">
        <v>15</v>
      </c>
      <c r="X3157" s="107">
        <v>0.21299999999999999</v>
      </c>
      <c r="Y3157" s="107"/>
      <c r="Z3157" s="107"/>
      <c r="AA3157" s="107"/>
      <c r="AB3157" s="107"/>
      <c r="AC3157" s="355"/>
      <c r="AD3157" s="355"/>
      <c r="AE3157" s="355"/>
      <c r="AF3157" s="94">
        <f t="shared" si="410"/>
        <v>43131</v>
      </c>
      <c r="AG3157" s="185">
        <f t="shared" si="415"/>
        <v>-1.2976108843434253E-2</v>
      </c>
      <c r="AH3157" s="339" t="str">
        <f>VLOOKUP(B3157,'MF PF'!A:B,2)</f>
        <v>FdMgt1</v>
      </c>
      <c r="AI3157" s="358">
        <f t="shared" si="411"/>
        <v>0</v>
      </c>
      <c r="AJ3157" s="94">
        <f t="shared" si="412"/>
        <v>43131</v>
      </c>
    </row>
    <row r="3158" spans="1:36" ht="12.75" customHeight="1">
      <c r="A3158" s="97">
        <v>43159</v>
      </c>
      <c r="B3158" s="94" t="s">
        <v>188</v>
      </c>
      <c r="C3158" s="96" t="s">
        <v>298</v>
      </c>
      <c r="D3158" s="98">
        <v>868899.99999999977</v>
      </c>
      <c r="E3158" s="9">
        <f t="shared" si="413"/>
        <v>246131.91014030282</v>
      </c>
      <c r="F3158" s="98">
        <v>20</v>
      </c>
      <c r="G3158" s="98">
        <v>0</v>
      </c>
      <c r="H3158" s="98">
        <v>0</v>
      </c>
      <c r="I3158" s="98">
        <v>0</v>
      </c>
      <c r="J3158" s="98"/>
      <c r="K3158" s="93">
        <v>3.5302208458249069</v>
      </c>
      <c r="L3158" s="93">
        <f t="shared" si="408"/>
        <v>0</v>
      </c>
      <c r="M3158" s="95">
        <f t="shared" ca="1" si="409"/>
        <v>0</v>
      </c>
      <c r="N3158" s="95">
        <f>IF(P3158="Hedge Fund",IF(A3158=Summary!$AD$3,M3158-E3158,M3158),IF(A3158=Summary!$AD$3,L3158-D3158,L3158))</f>
        <v>0</v>
      </c>
      <c r="O3158" s="95">
        <f t="shared" si="414"/>
        <v>0</v>
      </c>
      <c r="P3158" s="107" t="s">
        <v>155</v>
      </c>
      <c r="Q3158" s="107">
        <v>0</v>
      </c>
      <c r="R3158" s="107">
        <v>0</v>
      </c>
      <c r="S3158" s="107">
        <v>0</v>
      </c>
      <c r="T3158" s="107">
        <v>7.2165899999999991E-2</v>
      </c>
      <c r="U3158" s="107" t="s">
        <v>0</v>
      </c>
      <c r="V3158" s="107">
        <v>0.65169999999999995</v>
      </c>
      <c r="W3158" s="107" t="s">
        <v>15</v>
      </c>
      <c r="X3158" s="107">
        <v>0.2172</v>
      </c>
      <c r="Y3158" s="107"/>
      <c r="Z3158" s="107"/>
      <c r="AA3158" s="107"/>
      <c r="AB3158" s="107"/>
      <c r="AC3158" s="355"/>
      <c r="AD3158" s="355"/>
      <c r="AE3158" s="355"/>
      <c r="AF3158" s="94">
        <f t="shared" si="410"/>
        <v>43159</v>
      </c>
      <c r="AG3158" s="185">
        <f t="shared" si="415"/>
        <v>1.9835680751173701E-2</v>
      </c>
      <c r="AH3158" s="339" t="str">
        <f>VLOOKUP(B3158,'MF PF'!A:B,2)</f>
        <v>FdMgt1</v>
      </c>
      <c r="AI3158" s="358">
        <f t="shared" si="411"/>
        <v>0</v>
      </c>
      <c r="AJ3158" s="94">
        <f t="shared" si="412"/>
        <v>43159</v>
      </c>
    </row>
    <row r="3159" spans="1:36" ht="12.75" customHeight="1">
      <c r="A3159" s="97">
        <v>43188</v>
      </c>
      <c r="B3159" s="94" t="s">
        <v>188</v>
      </c>
      <c r="C3159" s="96" t="s">
        <v>298</v>
      </c>
      <c r="D3159" s="110">
        <v>425895</v>
      </c>
      <c r="E3159" s="9">
        <f t="shared" si="413"/>
        <v>120642.5939339444</v>
      </c>
      <c r="F3159" s="98">
        <v>20</v>
      </c>
      <c r="G3159" s="98">
        <v>0</v>
      </c>
      <c r="H3159" s="98">
        <v>0</v>
      </c>
      <c r="I3159" s="110">
        <v>-441006.77</v>
      </c>
      <c r="J3159" s="110"/>
      <c r="K3159" s="93">
        <v>3.5302208458249069</v>
      </c>
      <c r="L3159" s="93">
        <f t="shared" si="408"/>
        <v>-441006.77</v>
      </c>
      <c r="M3159" s="95">
        <f t="shared" ca="1" si="409"/>
        <v>-124923.28079745105</v>
      </c>
      <c r="N3159" s="95">
        <f>IF(P3159="Hedge Fund",IF(A3159=Summary!$AD$3,M3159-E3159,M3159),IF(A3159=Summary!$AD$3,L3159-D3159,L3159))</f>
        <v>-441006.77</v>
      </c>
      <c r="O3159" s="95">
        <f t="shared" si="414"/>
        <v>-441006.77</v>
      </c>
      <c r="P3159" s="107" t="s">
        <v>155</v>
      </c>
      <c r="Q3159" s="109">
        <v>0</v>
      </c>
      <c r="R3159" s="109">
        <v>0</v>
      </c>
      <c r="S3159" s="107">
        <v>0</v>
      </c>
      <c r="T3159" s="107">
        <v>0</v>
      </c>
      <c r="U3159" s="107" t="s">
        <v>0</v>
      </c>
      <c r="V3159" s="109">
        <f>319422/10^6</f>
        <v>0.31942199999999998</v>
      </c>
      <c r="W3159" s="107" t="s">
        <v>15</v>
      </c>
      <c r="X3159" s="109">
        <f>106473/10^6</f>
        <v>0.106473</v>
      </c>
      <c r="Y3159" s="107"/>
      <c r="Z3159" s="107"/>
      <c r="AA3159" s="107"/>
      <c r="AB3159" s="107"/>
      <c r="AC3159" s="355"/>
      <c r="AD3159" s="355"/>
      <c r="AE3159" s="355"/>
      <c r="AF3159" s="94">
        <f t="shared" si="410"/>
        <v>43188</v>
      </c>
      <c r="AG3159" s="185">
        <f t="shared" si="415"/>
        <v>-2.2997237886980271E-3</v>
      </c>
      <c r="AH3159" s="339" t="str">
        <f>VLOOKUP(B3159,'MF PF'!A:B,2)</f>
        <v>FdMgt1</v>
      </c>
      <c r="AI3159" s="358">
        <f t="shared" si="411"/>
        <v>0</v>
      </c>
      <c r="AJ3159" s="94">
        <f t="shared" si="412"/>
        <v>43190</v>
      </c>
    </row>
    <row r="3160" spans="1:36" ht="12.75" customHeight="1">
      <c r="A3160" s="97">
        <v>43220</v>
      </c>
      <c r="B3160" s="94" t="s">
        <v>188</v>
      </c>
      <c r="C3160" s="96" t="s">
        <v>298</v>
      </c>
      <c r="D3160" s="110">
        <v>430584.17</v>
      </c>
      <c r="E3160" s="9">
        <f t="shared" si="413"/>
        <v>121970.88760303475</v>
      </c>
      <c r="F3160" s="98">
        <v>20</v>
      </c>
      <c r="G3160" s="98">
        <v>0</v>
      </c>
      <c r="H3160" s="98">
        <v>0</v>
      </c>
      <c r="I3160" s="110"/>
      <c r="J3160" s="110"/>
      <c r="K3160" s="93">
        <v>3.5302208458249069</v>
      </c>
      <c r="L3160" s="93">
        <f t="shared" si="408"/>
        <v>0</v>
      </c>
      <c r="M3160" s="95">
        <f t="shared" ca="1" si="409"/>
        <v>0</v>
      </c>
      <c r="N3160" s="95">
        <f>IF(P3160="Hedge Fund",IF(A3160=Summary!$AD$3,M3160-E3160,M3160),IF(A3160=Summary!$AD$3,L3160-D3160,L3160))</f>
        <v>0</v>
      </c>
      <c r="O3160" s="95">
        <f t="shared" si="414"/>
        <v>0</v>
      </c>
      <c r="P3160" s="107" t="s">
        <v>155</v>
      </c>
      <c r="Q3160" s="109">
        <v>0</v>
      </c>
      <c r="R3160" s="109">
        <v>0</v>
      </c>
      <c r="S3160" s="107">
        <v>0</v>
      </c>
      <c r="T3160" s="107">
        <v>0</v>
      </c>
      <c r="U3160" s="107" t="s">
        <v>0</v>
      </c>
      <c r="V3160" s="109">
        <f>10^-6*322938.62</f>
        <v>0.32293861999999995</v>
      </c>
      <c r="W3160" s="107" t="s">
        <v>15</v>
      </c>
      <c r="X3160" s="109">
        <f>10^-6*107645.55</f>
        <v>0.10764554999999999</v>
      </c>
      <c r="Y3160" s="107"/>
      <c r="Z3160" s="107"/>
      <c r="AA3160" s="107"/>
      <c r="AB3160" s="107"/>
      <c r="AC3160" s="355"/>
      <c r="AD3160" s="355"/>
      <c r="AE3160" s="355"/>
      <c r="AF3160" s="94">
        <f t="shared" si="410"/>
        <v>43220</v>
      </c>
      <c r="AG3160" s="185">
        <f t="shared" si="415"/>
        <v>1.1010155085173556E-2</v>
      </c>
      <c r="AH3160" s="339" t="str">
        <f>VLOOKUP(B3160,'MF PF'!A:B,2)</f>
        <v>FdMgt1</v>
      </c>
      <c r="AI3160" s="358">
        <f t="shared" si="411"/>
        <v>0</v>
      </c>
      <c r="AJ3160" s="94">
        <f t="shared" si="412"/>
        <v>43220</v>
      </c>
    </row>
    <row r="3161" spans="1:36" ht="12.75" customHeight="1">
      <c r="A3161" s="94">
        <v>43251</v>
      </c>
      <c r="B3161" s="358" t="s">
        <v>188</v>
      </c>
      <c r="C3161" s="94" t="s">
        <v>298</v>
      </c>
      <c r="D3161" s="110">
        <v>309840.7</v>
      </c>
      <c r="E3161" s="9">
        <f t="shared" si="413"/>
        <v>87768.078409723268</v>
      </c>
      <c r="F3161" s="98">
        <v>20</v>
      </c>
      <c r="G3161" s="98">
        <v>0</v>
      </c>
      <c r="H3161" s="98">
        <v>0</v>
      </c>
      <c r="I3161" s="98"/>
      <c r="J3161" s="98"/>
      <c r="K3161" s="93">
        <v>3.5302208458249069</v>
      </c>
      <c r="L3161" s="93">
        <f t="shared" si="408"/>
        <v>0</v>
      </c>
      <c r="M3161" s="95">
        <f t="shared" ca="1" si="409"/>
        <v>0</v>
      </c>
      <c r="N3161" s="95">
        <f>IF(P3161="Hedge Fund",IF(A3161=Summary!$AD$3,M3161-E3161,M3161),IF(A3161=Summary!$AD$3,L3161-D3161,L3161))</f>
        <v>0</v>
      </c>
      <c r="O3161" s="95">
        <f t="shared" si="414"/>
        <v>0</v>
      </c>
      <c r="P3161" s="107" t="s">
        <v>155</v>
      </c>
      <c r="Q3161" s="107">
        <v>0</v>
      </c>
      <c r="R3161" s="107">
        <v>0</v>
      </c>
      <c r="S3161" s="107">
        <v>0</v>
      </c>
      <c r="T3161" s="107">
        <v>0</v>
      </c>
      <c r="U3161" s="107" t="s">
        <v>0</v>
      </c>
      <c r="V3161" s="109">
        <f>10^-6*232381.02</f>
        <v>0.23238101999999997</v>
      </c>
      <c r="W3161" s="107" t="s">
        <v>15</v>
      </c>
      <c r="X3161" s="109">
        <f>10^-6* 77459.68</f>
        <v>7.7459679999999989E-2</v>
      </c>
      <c r="Y3161" s="107"/>
      <c r="Z3161" s="107"/>
      <c r="AA3161" s="107"/>
      <c r="AB3161" s="107"/>
      <c r="AC3161" s="355"/>
      <c r="AD3161" s="355"/>
      <c r="AE3161" s="355"/>
      <c r="AF3161" s="94">
        <f t="shared" si="410"/>
        <v>43251</v>
      </c>
      <c r="AG3161" s="185">
        <f t="shared" si="415"/>
        <v>-0.28041781006487065</v>
      </c>
      <c r="AH3161" s="339" t="str">
        <f>VLOOKUP(B3161,'MF PF'!A:B,2)</f>
        <v>FdMgt1</v>
      </c>
      <c r="AI3161" s="358">
        <f t="shared" si="411"/>
        <v>0</v>
      </c>
      <c r="AJ3161" s="94">
        <f t="shared" si="412"/>
        <v>43251</v>
      </c>
    </row>
    <row r="3162" spans="1:36" ht="12.75" customHeight="1">
      <c r="A3162" s="94">
        <v>43280</v>
      </c>
      <c r="B3162" s="358" t="s">
        <v>188</v>
      </c>
      <c r="C3162" s="94" t="s">
        <v>298</v>
      </c>
      <c r="D3162" s="110">
        <v>308929.28000000003</v>
      </c>
      <c r="E3162" s="9">
        <f t="shared" si="413"/>
        <v>87509.901927343162</v>
      </c>
      <c r="F3162" s="98">
        <v>20</v>
      </c>
      <c r="G3162" s="98">
        <v>0</v>
      </c>
      <c r="H3162" s="98">
        <v>0</v>
      </c>
      <c r="I3162" s="98"/>
      <c r="J3162" s="98"/>
      <c r="K3162" s="93">
        <v>3.5302208458249069</v>
      </c>
      <c r="L3162" s="93">
        <f t="shared" si="408"/>
        <v>0</v>
      </c>
      <c r="M3162" s="95">
        <f t="shared" ca="1" si="409"/>
        <v>0</v>
      </c>
      <c r="N3162" s="95">
        <f>IF(P3162="Hedge Fund",IF(A3162=Summary!$AD$3,M3162-E3162,M3162),IF(A3162=Summary!$AD$3,L3162-D3162,L3162))</f>
        <v>0</v>
      </c>
      <c r="O3162" s="95">
        <f t="shared" si="414"/>
        <v>0</v>
      </c>
      <c r="P3162" s="107" t="s">
        <v>155</v>
      </c>
      <c r="Q3162" s="107">
        <v>0</v>
      </c>
      <c r="R3162" s="107">
        <v>0</v>
      </c>
      <c r="S3162" s="107">
        <v>0</v>
      </c>
      <c r="T3162" s="107">
        <v>0</v>
      </c>
      <c r="U3162" s="107" t="s">
        <v>0</v>
      </c>
      <c r="V3162" s="109">
        <f>10^-6*231697.45</f>
        <v>0.23169745</v>
      </c>
      <c r="W3162" s="107" t="s">
        <v>15</v>
      </c>
      <c r="X3162" s="109">
        <f>10^-6* 77231.83</f>
        <v>7.7231830000000001E-2</v>
      </c>
      <c r="Y3162" s="107"/>
      <c r="Z3162" s="107"/>
      <c r="AA3162" s="107"/>
      <c r="AB3162" s="107"/>
      <c r="AC3162" s="355"/>
      <c r="AD3162" s="355"/>
      <c r="AE3162" s="355"/>
      <c r="AF3162" s="94">
        <f t="shared" si="410"/>
        <v>43280</v>
      </c>
      <c r="AG3162" s="185">
        <f t="shared" si="415"/>
        <v>-2.9415761066896584E-3</v>
      </c>
      <c r="AH3162" s="339" t="str">
        <f>VLOOKUP(B3162,'MF PF'!A:B,2)</f>
        <v>FdMgt1</v>
      </c>
      <c r="AI3162" s="358">
        <f t="shared" si="411"/>
        <v>0</v>
      </c>
      <c r="AJ3162" s="94">
        <f t="shared" si="412"/>
        <v>43281</v>
      </c>
    </row>
    <row r="3163" spans="1:36" ht="12.75" customHeight="1">
      <c r="A3163" s="94">
        <v>43312</v>
      </c>
      <c r="B3163" s="358" t="s">
        <v>188</v>
      </c>
      <c r="C3163" s="94" t="s">
        <v>298</v>
      </c>
      <c r="D3163" s="110">
        <v>310849.42700000003</v>
      </c>
      <c r="E3163" s="9">
        <f t="shared" si="413"/>
        <v>88053.818890008799</v>
      </c>
      <c r="F3163" s="98">
        <v>20</v>
      </c>
      <c r="G3163" s="98">
        <v>0</v>
      </c>
      <c r="H3163" s="98">
        <v>0</v>
      </c>
      <c r="I3163" s="98"/>
      <c r="J3163" s="98"/>
      <c r="K3163" s="93">
        <v>3.5302208458249069</v>
      </c>
      <c r="L3163" s="93">
        <f t="shared" si="408"/>
        <v>0</v>
      </c>
      <c r="M3163" s="95">
        <f t="shared" ca="1" si="409"/>
        <v>0</v>
      </c>
      <c r="N3163" s="95">
        <f>IF(P3163="Hedge Fund",IF(A3163=Summary!$AD$3,M3163-E3163,M3163),IF(A3163=Summary!$AD$3,L3163-D3163,L3163))</f>
        <v>0</v>
      </c>
      <c r="O3163" s="95">
        <f t="shared" si="414"/>
        <v>0</v>
      </c>
      <c r="P3163" s="107" t="s">
        <v>155</v>
      </c>
      <c r="Q3163" s="107">
        <v>0</v>
      </c>
      <c r="R3163" s="107">
        <v>0</v>
      </c>
      <c r="S3163" s="107">
        <v>0</v>
      </c>
      <c r="T3163" s="107">
        <v>0</v>
      </c>
      <c r="U3163" s="107" t="s">
        <v>0</v>
      </c>
      <c r="V3163" s="109">
        <f>10^-6*233137.563</f>
        <v>0.23313756299999999</v>
      </c>
      <c r="W3163" s="107" t="s">
        <v>15</v>
      </c>
      <c r="X3163" s="109">
        <f>10^-6*77711.864</f>
        <v>7.7711863999999992E-2</v>
      </c>
      <c r="Y3163" s="107"/>
      <c r="Z3163" s="107"/>
      <c r="AA3163" s="107"/>
      <c r="AB3163" s="107"/>
      <c r="AC3163" s="355"/>
      <c r="AD3163" s="355"/>
      <c r="AE3163" s="355"/>
      <c r="AF3163" s="94">
        <f t="shared" si="410"/>
        <v>43312</v>
      </c>
      <c r="AG3163" s="185">
        <f t="shared" si="415"/>
        <v>6.2154904837767866E-3</v>
      </c>
      <c r="AH3163" s="339" t="str">
        <f>VLOOKUP(B3163,'MF PF'!A:B,2)</f>
        <v>FdMgt1</v>
      </c>
      <c r="AI3163" s="358">
        <f t="shared" si="411"/>
        <v>0</v>
      </c>
      <c r="AJ3163" s="94">
        <f t="shared" si="412"/>
        <v>43312</v>
      </c>
    </row>
    <row r="3164" spans="1:36" ht="12.75" customHeight="1">
      <c r="A3164" s="94">
        <v>43343</v>
      </c>
      <c r="B3164" s="358" t="s">
        <v>188</v>
      </c>
      <c r="C3164" s="94" t="s">
        <v>298</v>
      </c>
      <c r="D3164" s="110">
        <v>309211.40000000002</v>
      </c>
      <c r="E3164" s="95">
        <f t="shared" si="413"/>
        <v>87589.817607500576</v>
      </c>
      <c r="F3164" s="98">
        <v>20</v>
      </c>
      <c r="G3164" s="98">
        <v>0</v>
      </c>
      <c r="H3164" s="98">
        <v>0</v>
      </c>
      <c r="I3164" s="98"/>
      <c r="J3164" s="98"/>
      <c r="K3164" s="93">
        <v>3.5302208458249069</v>
      </c>
      <c r="L3164" s="93">
        <f t="shared" si="408"/>
        <v>0</v>
      </c>
      <c r="M3164" s="95">
        <f t="shared" ca="1" si="409"/>
        <v>0</v>
      </c>
      <c r="N3164" s="95">
        <f>IF(P3164="Hedge Fund",IF(A3164=Summary!$AD$3,M3164-E3164,M3164),IF(A3164=Summary!$AD$3,L3164-D3164,L3164))</f>
        <v>0</v>
      </c>
      <c r="O3164" s="95">
        <f t="shared" si="414"/>
        <v>0</v>
      </c>
      <c r="P3164" s="107" t="s">
        <v>155</v>
      </c>
      <c r="Q3164" s="107">
        <v>0</v>
      </c>
      <c r="R3164" s="107">
        <v>0</v>
      </c>
      <c r="S3164" s="107">
        <v>0</v>
      </c>
      <c r="T3164" s="107">
        <v>0</v>
      </c>
      <c r="U3164" s="107" t="s">
        <v>0</v>
      </c>
      <c r="V3164" s="109">
        <f>231909.04/10^6</f>
        <v>0.23190904000000001</v>
      </c>
      <c r="W3164" s="107" t="s">
        <v>15</v>
      </c>
      <c r="X3164" s="109">
        <f>77302.36/10^6</f>
        <v>7.7302360000000001E-2</v>
      </c>
      <c r="Y3164" s="107"/>
      <c r="Z3164" s="107"/>
      <c r="AA3164" s="107"/>
      <c r="AB3164" s="107"/>
      <c r="AC3164" s="355"/>
      <c r="AD3164" s="355"/>
      <c r="AE3164" s="355"/>
      <c r="AF3164" s="94">
        <f t="shared" si="410"/>
        <v>43343</v>
      </c>
      <c r="AG3164" s="185">
        <f t="shared" si="415"/>
        <v>-5.2695191231605376E-3</v>
      </c>
      <c r="AH3164" s="339" t="str">
        <f>VLOOKUP(B3164,'MF PF'!A:B,2)</f>
        <v>FdMgt1</v>
      </c>
      <c r="AI3164" s="358">
        <f t="shared" si="411"/>
        <v>0</v>
      </c>
      <c r="AJ3164" s="94">
        <f t="shared" si="412"/>
        <v>43343</v>
      </c>
    </row>
    <row r="3165" spans="1:36" ht="12.75" customHeight="1">
      <c r="A3165" s="94">
        <v>43371</v>
      </c>
      <c r="B3165" s="358" t="s">
        <v>188</v>
      </c>
      <c r="C3165" s="358" t="s">
        <v>298</v>
      </c>
      <c r="D3165" s="110">
        <f>981480.6305-671043.35</f>
        <v>310437.28049999999</v>
      </c>
      <c r="E3165" s="95"/>
      <c r="F3165" s="98">
        <f>20.337-0.337</f>
        <v>20</v>
      </c>
      <c r="G3165" s="98"/>
      <c r="H3165" s="93">
        <v>0</v>
      </c>
      <c r="I3165" s="93">
        <v>0</v>
      </c>
      <c r="K3165" s="93">
        <v>0</v>
      </c>
      <c r="L3165" s="93">
        <f t="shared" si="408"/>
        <v>0</v>
      </c>
      <c r="M3165" s="95" t="e">
        <f t="shared" ca="1" si="409"/>
        <v>#DIV/0!</v>
      </c>
      <c r="N3165" s="95">
        <f>IF(P3165="Hedge Fund",IF(A3165=Summary!$AD$3,M3165-E3165,M3165),IF(A3165=Summary!$AD$3,L3165-D3165,L3165))</f>
        <v>0</v>
      </c>
      <c r="O3165" s="95">
        <f t="shared" si="414"/>
        <v>0</v>
      </c>
      <c r="P3165" s="95" t="s">
        <v>155</v>
      </c>
      <c r="Q3165" s="95">
        <v>0</v>
      </c>
      <c r="R3165" s="95"/>
      <c r="S3165" s="107">
        <v>0</v>
      </c>
      <c r="T3165" s="107">
        <v>0</v>
      </c>
      <c r="U3165" s="107" t="s">
        <v>0</v>
      </c>
      <c r="V3165" s="109">
        <f>232828.45/10^6</f>
        <v>0.23282845000000002</v>
      </c>
      <c r="W3165" s="107" t="s">
        <v>15</v>
      </c>
      <c r="X3165" s="109">
        <f>77608.83/10^6</f>
        <v>7.7608830000000004E-2</v>
      </c>
      <c r="Y3165" s="95"/>
      <c r="Z3165" s="95"/>
      <c r="AA3165" s="95"/>
      <c r="AB3165" s="95"/>
      <c r="AC3165" s="355"/>
      <c r="AD3165" s="355"/>
      <c r="AE3165" s="355"/>
      <c r="AF3165" s="94">
        <f t="shared" si="410"/>
        <v>43371</v>
      </c>
      <c r="AG3165" s="185">
        <f t="shared" si="415"/>
        <v>3.9645385001974009E-3</v>
      </c>
      <c r="AH3165" s="339" t="str">
        <f>VLOOKUP(B3165,'MF PF'!A:B,2)</f>
        <v>FdMgt1</v>
      </c>
      <c r="AI3165" s="358">
        <f t="shared" si="411"/>
        <v>0</v>
      </c>
      <c r="AJ3165" s="94">
        <f t="shared" si="412"/>
        <v>43373</v>
      </c>
    </row>
    <row r="3166" spans="1:36" ht="12.75" customHeight="1">
      <c r="A3166" s="94">
        <v>43404</v>
      </c>
      <c r="B3166" s="358" t="s">
        <v>188</v>
      </c>
      <c r="C3166" s="358" t="s">
        <v>298</v>
      </c>
      <c r="D3166" s="93">
        <v>180458.46</v>
      </c>
      <c r="F3166" s="98">
        <f>20.337-0.337</f>
        <v>20</v>
      </c>
      <c r="G3166" s="93"/>
      <c r="H3166" s="93">
        <v>0</v>
      </c>
      <c r="I3166" s="93">
        <v>-129935.11</v>
      </c>
      <c r="J3166" s="93">
        <v>0</v>
      </c>
      <c r="K3166" s="93"/>
      <c r="L3166" s="93">
        <f t="shared" si="408"/>
        <v>-129935.11</v>
      </c>
      <c r="M3166" s="95" t="e">
        <f t="shared" ca="1" si="409"/>
        <v>#DIV/0!</v>
      </c>
      <c r="N3166" s="95">
        <f>IF(P3166="Hedge Fund",IF(A3166=Summary!$AD$3,M3166-E3166,M3166),IF(A3166=Summary!$AD$3,L3166-D3166,L3166))</f>
        <v>-129935.11</v>
      </c>
      <c r="O3166" s="95">
        <f t="shared" si="414"/>
        <v>-129935.11</v>
      </c>
      <c r="P3166" s="95" t="s">
        <v>155</v>
      </c>
      <c r="Q3166" s="95">
        <v>0</v>
      </c>
      <c r="R3166" s="95"/>
      <c r="S3166" s="95"/>
      <c r="T3166" s="95"/>
      <c r="U3166" s="107" t="s">
        <v>0</v>
      </c>
      <c r="V3166" s="109">
        <f>135344.34/10^6</f>
        <v>0.13534434000000001</v>
      </c>
      <c r="W3166" s="107" t="s">
        <v>15</v>
      </c>
      <c r="X3166" s="109">
        <f>45114.12/10^6</f>
        <v>4.5114120000000001E-2</v>
      </c>
      <c r="Y3166" s="95"/>
      <c r="Z3166" s="95"/>
      <c r="AA3166" s="95"/>
      <c r="AB3166" s="95"/>
      <c r="AC3166" s="355"/>
      <c r="AD3166" s="355"/>
      <c r="AE3166" s="355"/>
      <c r="AF3166" s="94">
        <f t="shared" si="410"/>
        <v>43404</v>
      </c>
      <c r="AG3166" s="185">
        <f t="shared" si="415"/>
        <v>-1.4080299869134727E-4</v>
      </c>
      <c r="AH3166" s="339" t="str">
        <f>VLOOKUP(B3166,'MF PF'!A:B,2)</f>
        <v>FdMgt1</v>
      </c>
      <c r="AI3166" s="358">
        <f t="shared" si="411"/>
        <v>0</v>
      </c>
      <c r="AJ3166" s="94">
        <f t="shared" si="412"/>
        <v>43404</v>
      </c>
    </row>
    <row r="3167" spans="1:36" ht="12.75" customHeight="1">
      <c r="A3167" s="94">
        <v>43434</v>
      </c>
      <c r="B3167" s="358" t="s">
        <v>188</v>
      </c>
      <c r="C3167" s="358" t="s">
        <v>298</v>
      </c>
      <c r="D3167" s="93">
        <v>209955.57</v>
      </c>
      <c r="E3167" s="95"/>
      <c r="F3167" s="98">
        <f>20.337-0.337</f>
        <v>20</v>
      </c>
      <c r="G3167" s="93"/>
      <c r="H3167" s="93">
        <v>0</v>
      </c>
      <c r="I3167" s="93">
        <v>0</v>
      </c>
      <c r="K3167" s="93">
        <v>0</v>
      </c>
      <c r="L3167" s="93">
        <f t="shared" si="408"/>
        <v>0</v>
      </c>
      <c r="M3167" s="95" t="e">
        <f t="shared" ca="1" si="409"/>
        <v>#DIV/0!</v>
      </c>
      <c r="N3167" s="95">
        <f>IF(P3167="Hedge Fund",IF(A3167=Summary!$AD$3,M3167-E3167,M3167),IF(A3167=Summary!$AD$3,L3167-D3167,L3167))</f>
        <v>0</v>
      </c>
      <c r="O3167" s="95">
        <f t="shared" si="414"/>
        <v>0</v>
      </c>
      <c r="P3167" s="95" t="s">
        <v>155</v>
      </c>
      <c r="Q3167" s="95">
        <v>0</v>
      </c>
      <c r="R3167" s="95">
        <v>0</v>
      </c>
      <c r="S3167" s="95"/>
      <c r="T3167" s="95"/>
      <c r="U3167" s="107" t="s">
        <v>0</v>
      </c>
      <c r="V3167" s="109">
        <f>157467.17/10^6</f>
        <v>0.15746717000000002</v>
      </c>
      <c r="W3167" s="107" t="s">
        <v>15</v>
      </c>
      <c r="X3167" s="109">
        <f>52488.4/10^6</f>
        <v>5.2488400000000004E-2</v>
      </c>
      <c r="Y3167" s="95"/>
      <c r="Z3167" s="95"/>
      <c r="AA3167" s="95"/>
      <c r="AB3167" s="95"/>
      <c r="AC3167" s="355"/>
      <c r="AD3167" s="355"/>
      <c r="AE3167" s="355"/>
      <c r="AF3167" s="94">
        <f t="shared" si="410"/>
        <v>43434</v>
      </c>
      <c r="AG3167" s="185">
        <f t="shared" si="415"/>
        <v>0.16345650960337355</v>
      </c>
      <c r="AH3167" s="339" t="str">
        <f>VLOOKUP(B3167,'MF PF'!A:B,2)</f>
        <v>FdMgt1</v>
      </c>
      <c r="AI3167" s="358">
        <f t="shared" si="411"/>
        <v>0</v>
      </c>
      <c r="AJ3167" s="94">
        <f t="shared" si="412"/>
        <v>43434</v>
      </c>
    </row>
    <row r="3168" spans="1:36" ht="12.75" customHeight="1">
      <c r="A3168" s="94">
        <v>43465</v>
      </c>
      <c r="B3168" s="358" t="s">
        <v>188</v>
      </c>
      <c r="C3168" s="358" t="s">
        <v>298</v>
      </c>
      <c r="D3168" s="93">
        <v>162753.51</v>
      </c>
      <c r="E3168" s="95"/>
      <c r="F3168" s="93">
        <v>20</v>
      </c>
      <c r="G3168" s="93"/>
      <c r="H3168" s="93">
        <v>0</v>
      </c>
      <c r="I3168" s="93">
        <v>0</v>
      </c>
      <c r="K3168" s="93">
        <v>0</v>
      </c>
      <c r="L3168" s="93">
        <f t="shared" si="408"/>
        <v>0</v>
      </c>
      <c r="M3168" s="95" t="e">
        <f t="shared" ca="1" si="409"/>
        <v>#DIV/0!</v>
      </c>
      <c r="N3168" s="95">
        <f>IF(P3168="Hedge Fund",IF(A3168=Summary!$AD$3,M3168-E3168,M3168),IF(A3168=Summary!$AD$3,L3168-D3168,L3168))</f>
        <v>0</v>
      </c>
      <c r="O3168" s="95">
        <f t="shared" si="414"/>
        <v>0</v>
      </c>
      <c r="P3168" s="95" t="s">
        <v>155</v>
      </c>
      <c r="Q3168" s="95">
        <v>0</v>
      </c>
      <c r="R3168" s="95">
        <v>0</v>
      </c>
      <c r="S3168" s="95"/>
      <c r="T3168" s="95"/>
      <c r="U3168" s="107" t="s">
        <v>0</v>
      </c>
      <c r="V3168" s="109">
        <f>122065.63/10^6</f>
        <v>0.12206563000000001</v>
      </c>
      <c r="W3168" s="107" t="s">
        <v>15</v>
      </c>
      <c r="X3168" s="109">
        <f>40687.88/10^6</f>
        <v>4.0687879999999996E-2</v>
      </c>
      <c r="Y3168" s="95"/>
      <c r="Z3168" s="95"/>
      <c r="AA3168" s="95"/>
      <c r="AB3168" s="95"/>
      <c r="AC3168" s="355"/>
      <c r="AD3168" s="355"/>
      <c r="AE3168" s="355"/>
      <c r="AF3168" s="94">
        <f t="shared" si="410"/>
        <v>43465</v>
      </c>
      <c r="AG3168" s="185">
        <f t="shared" si="415"/>
        <v>-0.22481927962187431</v>
      </c>
      <c r="AH3168" s="339" t="str">
        <f>VLOOKUP(B3168,'MF PF'!A:B,2)</f>
        <v>FdMgt1</v>
      </c>
      <c r="AI3168" s="358">
        <f t="shared" si="411"/>
        <v>0</v>
      </c>
      <c r="AJ3168" s="94">
        <f t="shared" si="412"/>
        <v>43465</v>
      </c>
    </row>
    <row r="3169" spans="1:36" ht="12.75" customHeight="1">
      <c r="A3169" s="94">
        <v>43496</v>
      </c>
      <c r="B3169" s="358" t="s">
        <v>188</v>
      </c>
      <c r="C3169" s="358" t="s">
        <v>298</v>
      </c>
      <c r="D3169" s="93">
        <v>0</v>
      </c>
      <c r="F3169" s="93">
        <v>20</v>
      </c>
      <c r="G3169" s="93"/>
      <c r="H3169" s="93">
        <v>0</v>
      </c>
      <c r="I3169" s="93">
        <v>-162753.51</v>
      </c>
      <c r="K3169" s="7">
        <v>0</v>
      </c>
      <c r="L3169" s="93">
        <f t="shared" si="408"/>
        <v>-162753.51</v>
      </c>
      <c r="M3169" s="95" t="e">
        <f t="shared" ca="1" si="409"/>
        <v>#DIV/0!</v>
      </c>
      <c r="N3169" s="95">
        <f>IF(P3169="Hedge Fund",IF(A3169=Summary!$AD$3,M3169-E3169,M3169),IF(A3169=Summary!$AD$3,L3169-D3169,L3169))</f>
        <v>-162753.51</v>
      </c>
      <c r="O3169" s="95">
        <f t="shared" si="414"/>
        <v>-162753.51</v>
      </c>
      <c r="P3169" s="95" t="s">
        <v>155</v>
      </c>
      <c r="Q3169" s="95">
        <v>0</v>
      </c>
      <c r="R3169" s="95">
        <v>0</v>
      </c>
      <c r="S3169" s="95"/>
      <c r="T3169" s="95"/>
      <c r="U3169" s="95"/>
      <c r="V3169" s="95"/>
      <c r="W3169" s="95"/>
      <c r="X3169" s="95"/>
      <c r="Y3169" s="95"/>
      <c r="Z3169" s="95"/>
      <c r="AA3169" s="95"/>
      <c r="AB3169" s="95"/>
      <c r="AC3169" s="355"/>
      <c r="AD3169" s="355"/>
      <c r="AE3169" s="355"/>
      <c r="AF3169" s="94">
        <f t="shared" si="410"/>
        <v>43496</v>
      </c>
      <c r="AG3169" s="185" t="e">
        <f>IF(C3169&lt;&gt;#REF!,D3169/G3169-1,(D3169-G3169-I3169-H3169)/(#REF!)-1)</f>
        <v>#REF!</v>
      </c>
      <c r="AH3169" s="339" t="str">
        <f>VLOOKUP(B3169,'MF PF'!A:B,2)</f>
        <v>FdMgt1</v>
      </c>
      <c r="AI3169" s="358">
        <f t="shared" si="411"/>
        <v>0</v>
      </c>
      <c r="AJ3169" s="94">
        <f t="shared" si="412"/>
        <v>43496</v>
      </c>
    </row>
    <row r="3170" spans="1:36" ht="12.75" customHeight="1">
      <c r="A3170" s="94">
        <v>40633</v>
      </c>
      <c r="B3170" s="94" t="s">
        <v>188</v>
      </c>
      <c r="C3170" s="358" t="s">
        <v>343</v>
      </c>
      <c r="D3170" s="98">
        <v>91662.649670138489</v>
      </c>
      <c r="E3170" s="95">
        <f t="shared" ref="E3170:E3201" si="416">D3170/K3170</f>
        <v>91661.299360169098</v>
      </c>
      <c r="F3170" s="98">
        <v>0.33700000000000002</v>
      </c>
      <c r="G3170" s="98">
        <v>91664</v>
      </c>
      <c r="H3170" s="98">
        <v>0</v>
      </c>
      <c r="I3170" s="98">
        <v>0</v>
      </c>
      <c r="J3170" s="98"/>
      <c r="K3170" s="93">
        <v>1.0000147315167778</v>
      </c>
      <c r="L3170" s="93">
        <f t="shared" si="408"/>
        <v>91664</v>
      </c>
      <c r="M3170" s="95">
        <f t="shared" ca="1" si="409"/>
        <v>91661.299360169098</v>
      </c>
      <c r="N3170" s="95">
        <f>IF(P3170="Hedge Fund",IF(A3170=Summary!$AD$3,M3170-E3170,M3170),IF(A3170=Summary!$AD$3,L3170-D3170,L3170))</f>
        <v>91664</v>
      </c>
      <c r="O3170" s="95"/>
      <c r="P3170" s="107" t="s">
        <v>155</v>
      </c>
      <c r="Q3170" s="107">
        <v>0</v>
      </c>
      <c r="R3170" s="107">
        <v>0</v>
      </c>
      <c r="S3170" s="107">
        <v>0</v>
      </c>
      <c r="T3170" s="107">
        <v>0</v>
      </c>
      <c r="U3170" s="107"/>
      <c r="V3170" s="107"/>
      <c r="W3170" s="107"/>
      <c r="X3170" s="107"/>
      <c r="Y3170" s="107"/>
      <c r="Z3170" s="107"/>
      <c r="AA3170" s="107"/>
      <c r="AB3170" s="107"/>
      <c r="AC3170" s="355"/>
      <c r="AD3170" s="355"/>
      <c r="AE3170" s="355"/>
      <c r="AF3170" s="94">
        <f t="shared" si="410"/>
        <v>40633</v>
      </c>
      <c r="AG3170" s="185">
        <f t="shared" ref="AG3170:AG3233" si="417">IF(C3170&lt;&gt;C3169,D3170/G3170-1,(D3170-G3170-I3170-H3170)/(D3169)-1)</f>
        <v>-1.4731299763370842E-5</v>
      </c>
      <c r="AH3170" s="339" t="str">
        <f>VLOOKUP(B3170,'MF PF'!A:B,2)</f>
        <v>FdMgt1</v>
      </c>
      <c r="AI3170" s="358">
        <f t="shared" si="411"/>
        <v>0</v>
      </c>
      <c r="AJ3170" s="94">
        <f t="shared" si="412"/>
        <v>40633</v>
      </c>
    </row>
    <row r="3171" spans="1:36" ht="12.75" customHeight="1">
      <c r="A3171" s="94">
        <v>40662</v>
      </c>
      <c r="B3171" s="94" t="s">
        <v>188</v>
      </c>
      <c r="C3171" s="358" t="s">
        <v>343</v>
      </c>
      <c r="D3171" s="102">
        <v>224912.18510616751</v>
      </c>
      <c r="E3171" s="9">
        <f t="shared" si="416"/>
        <v>177834.37360975149</v>
      </c>
      <c r="F3171" s="98">
        <v>0.33700000000000002</v>
      </c>
      <c r="G3171" s="98">
        <v>24264</v>
      </c>
      <c r="H3171" s="98">
        <v>0</v>
      </c>
      <c r="I3171" s="98">
        <v>0</v>
      </c>
      <c r="J3171" s="98"/>
      <c r="K3171" s="93">
        <v>1.264728412965459</v>
      </c>
      <c r="L3171" s="93">
        <f t="shared" si="408"/>
        <v>24264</v>
      </c>
      <c r="M3171" s="95">
        <f t="shared" ca="1" si="409"/>
        <v>0</v>
      </c>
      <c r="N3171" s="95">
        <f>IF(P3171="Hedge Fund",IF(A3171=Summary!$AD$3,M3171-E3171,M3171),IF(A3171=Summary!$AD$3,L3171-D3171,L3171))</f>
        <v>24264</v>
      </c>
      <c r="O3171" s="95"/>
      <c r="P3171" s="107" t="s">
        <v>155</v>
      </c>
      <c r="Q3171" s="107">
        <v>0</v>
      </c>
      <c r="R3171" s="107">
        <v>0</v>
      </c>
      <c r="S3171" s="107">
        <v>0</v>
      </c>
      <c r="T3171" s="107">
        <v>0</v>
      </c>
      <c r="U3171" s="107"/>
      <c r="V3171" s="107"/>
      <c r="W3171" s="107"/>
      <c r="X3171" s="107"/>
      <c r="Y3171" s="107"/>
      <c r="Z3171" s="107"/>
      <c r="AA3171" s="107"/>
      <c r="AB3171" s="107"/>
      <c r="AC3171" s="355"/>
      <c r="AD3171" s="355"/>
      <c r="AE3171" s="355"/>
      <c r="AF3171" s="94">
        <f t="shared" si="410"/>
        <v>40662</v>
      </c>
      <c r="AG3171" s="185">
        <f t="shared" si="417"/>
        <v>1.1889852172965703</v>
      </c>
      <c r="AH3171" s="339" t="str">
        <f>VLOOKUP(B3171,'MF PF'!A:B,2)</f>
        <v>FdMgt1</v>
      </c>
      <c r="AI3171" s="358">
        <f t="shared" si="411"/>
        <v>0</v>
      </c>
      <c r="AJ3171" s="94">
        <f t="shared" si="412"/>
        <v>40663</v>
      </c>
    </row>
    <row r="3172" spans="1:36" ht="12.75" customHeight="1">
      <c r="A3172" s="94">
        <v>40694</v>
      </c>
      <c r="B3172" s="94" t="s">
        <v>188</v>
      </c>
      <c r="C3172" s="358" t="s">
        <v>343</v>
      </c>
      <c r="D3172" s="98">
        <v>397802.57780292595</v>
      </c>
      <c r="E3172" s="9">
        <f t="shared" si="416"/>
        <v>269336.78418931179</v>
      </c>
      <c r="F3172" s="98">
        <v>0.33700000000000002</v>
      </c>
      <c r="G3172" s="98">
        <v>37744</v>
      </c>
      <c r="H3172" s="98">
        <v>0</v>
      </c>
      <c r="I3172" s="98">
        <v>0</v>
      </c>
      <c r="J3172" s="98"/>
      <c r="K3172" s="7">
        <v>1.4769708452571333</v>
      </c>
      <c r="L3172" s="93">
        <f t="shared" si="408"/>
        <v>37744</v>
      </c>
      <c r="M3172" s="95">
        <f t="shared" ca="1" si="409"/>
        <v>0</v>
      </c>
      <c r="N3172" s="95">
        <f>IF(P3172="Hedge Fund",IF(A3172=Summary!$AD$3,M3172-E3172,M3172),IF(A3172=Summary!$AD$3,L3172-D3172,L3172))</f>
        <v>37744</v>
      </c>
      <c r="O3172" s="95"/>
      <c r="P3172" s="107" t="s">
        <v>155</v>
      </c>
      <c r="Q3172" s="107">
        <v>0</v>
      </c>
      <c r="R3172" s="107">
        <v>0</v>
      </c>
      <c r="S3172" s="107">
        <v>0</v>
      </c>
      <c r="T3172" s="107">
        <v>0</v>
      </c>
      <c r="U3172" s="107"/>
      <c r="V3172" s="107"/>
      <c r="W3172" s="107"/>
      <c r="X3172" s="107"/>
      <c r="Y3172" s="107"/>
      <c r="Z3172" s="107"/>
      <c r="AA3172" s="107"/>
      <c r="AB3172" s="107"/>
      <c r="AC3172" s="355"/>
      <c r="AD3172" s="355"/>
      <c r="AE3172" s="355"/>
      <c r="AF3172" s="94">
        <f t="shared" si="410"/>
        <v>40694</v>
      </c>
      <c r="AG3172" s="185">
        <f t="shared" si="417"/>
        <v>0.60088515272289023</v>
      </c>
      <c r="AH3172" s="339" t="str">
        <f>VLOOKUP(B3172,'MF PF'!A:B,2)</f>
        <v>FdMgt1</v>
      </c>
      <c r="AI3172" s="358">
        <f t="shared" si="411"/>
        <v>0</v>
      </c>
      <c r="AJ3172" s="94">
        <f t="shared" si="412"/>
        <v>40694</v>
      </c>
    </row>
    <row r="3173" spans="1:36" ht="12.75" customHeight="1">
      <c r="A3173" s="94">
        <v>40724</v>
      </c>
      <c r="B3173" s="94" t="s">
        <v>188</v>
      </c>
      <c r="C3173" s="358" t="s">
        <v>343</v>
      </c>
      <c r="D3173" s="102">
        <v>153624.87831530557</v>
      </c>
      <c r="E3173" s="9">
        <f t="shared" si="416"/>
        <v>104013.48056979435</v>
      </c>
      <c r="F3173" s="98">
        <v>0.33700000000000002</v>
      </c>
      <c r="G3173" s="98">
        <v>0</v>
      </c>
      <c r="H3173" s="98">
        <v>0</v>
      </c>
      <c r="I3173" s="98">
        <v>0</v>
      </c>
      <c r="J3173" s="98"/>
      <c r="K3173" s="7">
        <v>1.4769708452571333</v>
      </c>
      <c r="L3173" s="93">
        <f t="shared" si="408"/>
        <v>0</v>
      </c>
      <c r="M3173" s="95">
        <f t="shared" ca="1" si="409"/>
        <v>0</v>
      </c>
      <c r="N3173" s="95">
        <f>IF(P3173="Hedge Fund",IF(A3173=Summary!$AD$3,M3173-E3173,M3173),IF(A3173=Summary!$AD$3,L3173-D3173,L3173))</f>
        <v>0</v>
      </c>
      <c r="O3173" s="95"/>
      <c r="P3173" s="107" t="s">
        <v>155</v>
      </c>
      <c r="Q3173" s="107">
        <v>0</v>
      </c>
      <c r="R3173" s="107">
        <v>0</v>
      </c>
      <c r="S3173" s="107">
        <v>0</v>
      </c>
      <c r="T3173" s="107">
        <v>0</v>
      </c>
      <c r="U3173" s="107"/>
      <c r="V3173" s="107"/>
      <c r="W3173" s="107"/>
      <c r="X3173" s="107"/>
      <c r="Y3173" s="107"/>
      <c r="Z3173" s="107"/>
      <c r="AA3173" s="107"/>
      <c r="AB3173" s="107"/>
      <c r="AC3173" s="355"/>
      <c r="AD3173" s="355"/>
      <c r="AE3173" s="355"/>
      <c r="AF3173" s="94">
        <f t="shared" si="410"/>
        <v>40724</v>
      </c>
      <c r="AG3173" s="185">
        <f t="shared" si="417"/>
        <v>-0.6138162825294402</v>
      </c>
      <c r="AH3173" s="339" t="str">
        <f>VLOOKUP(B3173,'MF PF'!A:B,2)</f>
        <v>FdMgt1</v>
      </c>
      <c r="AI3173" s="358">
        <f t="shared" si="411"/>
        <v>0</v>
      </c>
      <c r="AJ3173" s="94">
        <f t="shared" si="412"/>
        <v>40724</v>
      </c>
    </row>
    <row r="3174" spans="1:36" ht="12.75" customHeight="1">
      <c r="A3174" s="94">
        <v>40753</v>
      </c>
      <c r="B3174" s="94" t="s">
        <v>188</v>
      </c>
      <c r="C3174" s="358" t="s">
        <v>343</v>
      </c>
      <c r="D3174" s="98">
        <v>427998.79467020038</v>
      </c>
      <c r="E3174" s="9">
        <f t="shared" si="416"/>
        <v>242968.5733248968</v>
      </c>
      <c r="F3174" s="98">
        <v>0.33700000000000002</v>
      </c>
      <c r="G3174" s="98">
        <v>29599</v>
      </c>
      <c r="H3174" s="98">
        <v>0</v>
      </c>
      <c r="I3174" s="98">
        <v>0</v>
      </c>
      <c r="J3174" s="98"/>
      <c r="K3174" s="7">
        <v>1.7615397284235677</v>
      </c>
      <c r="L3174" s="93">
        <f t="shared" si="408"/>
        <v>29599</v>
      </c>
      <c r="M3174" s="95">
        <f t="shared" ca="1" si="409"/>
        <v>0</v>
      </c>
      <c r="N3174" s="95">
        <f>IF(P3174="Hedge Fund",IF(A3174=Summary!$AD$3,M3174-E3174,M3174),IF(A3174=Summary!$AD$3,L3174-D3174,L3174))</f>
        <v>29599</v>
      </c>
      <c r="O3174" s="95"/>
      <c r="P3174" s="107" t="s">
        <v>155</v>
      </c>
      <c r="Q3174" s="107">
        <v>0</v>
      </c>
      <c r="R3174" s="107">
        <v>0</v>
      </c>
      <c r="S3174" s="107">
        <v>0</v>
      </c>
      <c r="T3174" s="107">
        <v>0</v>
      </c>
      <c r="U3174" s="107"/>
      <c r="V3174" s="107"/>
      <c r="W3174" s="107"/>
      <c r="X3174" s="107"/>
      <c r="Y3174" s="107"/>
      <c r="Z3174" s="107"/>
      <c r="AA3174" s="107"/>
      <c r="AB3174" s="107"/>
      <c r="AC3174" s="355"/>
      <c r="AD3174" s="355"/>
      <c r="AE3174" s="355"/>
      <c r="AF3174" s="94">
        <f t="shared" si="410"/>
        <v>40753</v>
      </c>
      <c r="AG3174" s="185">
        <f t="shared" si="417"/>
        <v>1.5933286264514361</v>
      </c>
      <c r="AH3174" s="339" t="str">
        <f>VLOOKUP(B3174,'MF PF'!A:B,2)</f>
        <v>FdMgt1</v>
      </c>
      <c r="AI3174" s="358">
        <f t="shared" si="411"/>
        <v>0</v>
      </c>
      <c r="AJ3174" s="94">
        <f t="shared" si="412"/>
        <v>40755</v>
      </c>
    </row>
    <row r="3175" spans="1:36" ht="12.75" customHeight="1">
      <c r="A3175" s="94">
        <v>40786</v>
      </c>
      <c r="B3175" s="94" t="s">
        <v>188</v>
      </c>
      <c r="C3175" s="358" t="s">
        <v>343</v>
      </c>
      <c r="D3175" s="98">
        <v>192298.34855347683</v>
      </c>
      <c r="E3175" s="9">
        <f t="shared" si="416"/>
        <v>106727.87961584142</v>
      </c>
      <c r="F3175" s="98">
        <v>0.33700000000000002</v>
      </c>
      <c r="G3175" s="98">
        <v>9773</v>
      </c>
      <c r="H3175" s="98">
        <v>0</v>
      </c>
      <c r="I3175" s="98">
        <v>0</v>
      </c>
      <c r="J3175" s="98"/>
      <c r="K3175" s="7">
        <v>1.8017630374147744</v>
      </c>
      <c r="L3175" s="93">
        <f t="shared" si="408"/>
        <v>9773</v>
      </c>
      <c r="M3175" s="95">
        <f t="shared" ca="1" si="409"/>
        <v>0</v>
      </c>
      <c r="N3175" s="95">
        <f>IF(P3175="Hedge Fund",IF(A3175=Summary!$AD$3,M3175-E3175,M3175),IF(A3175=Summary!$AD$3,L3175-D3175,L3175))</f>
        <v>9773</v>
      </c>
      <c r="O3175" s="95"/>
      <c r="P3175" s="107" t="s">
        <v>155</v>
      </c>
      <c r="Q3175" s="107">
        <v>0</v>
      </c>
      <c r="R3175" s="107">
        <v>0</v>
      </c>
      <c r="S3175" s="107">
        <v>0</v>
      </c>
      <c r="T3175" s="107">
        <v>0</v>
      </c>
      <c r="U3175" s="107"/>
      <c r="V3175" s="107"/>
      <c r="W3175" s="107"/>
      <c r="X3175" s="107"/>
      <c r="Y3175" s="107"/>
      <c r="Z3175" s="107"/>
      <c r="AA3175" s="107"/>
      <c r="AB3175" s="107"/>
      <c r="AC3175" s="355"/>
      <c r="AD3175" s="355"/>
      <c r="AE3175" s="355"/>
      <c r="AF3175" s="94">
        <f t="shared" si="410"/>
        <v>40786</v>
      </c>
      <c r="AG3175" s="185">
        <f t="shared" si="417"/>
        <v>-0.5735377042495553</v>
      </c>
      <c r="AH3175" s="339" t="str">
        <f>VLOOKUP(B3175,'MF PF'!A:B,2)</f>
        <v>FdMgt1</v>
      </c>
      <c r="AI3175" s="358">
        <f t="shared" si="411"/>
        <v>0</v>
      </c>
      <c r="AJ3175" s="94">
        <f t="shared" si="412"/>
        <v>40786</v>
      </c>
    </row>
    <row r="3176" spans="1:36" ht="12.75" customHeight="1">
      <c r="A3176" s="94">
        <v>40816</v>
      </c>
      <c r="B3176" s="94" t="s">
        <v>188</v>
      </c>
      <c r="C3176" s="358" t="s">
        <v>343</v>
      </c>
      <c r="D3176" s="98">
        <v>205590.45550874621</v>
      </c>
      <c r="E3176" s="9">
        <f t="shared" si="416"/>
        <v>105251.47836149708</v>
      </c>
      <c r="F3176" s="98">
        <v>0.33700000000000002</v>
      </c>
      <c r="G3176" s="98">
        <v>16176</v>
      </c>
      <c r="H3176" s="98">
        <v>0</v>
      </c>
      <c r="I3176" s="98">
        <v>0</v>
      </c>
      <c r="J3176" s="98"/>
      <c r="K3176" s="7">
        <v>1.9533260597311948</v>
      </c>
      <c r="L3176" s="93">
        <f t="shared" si="408"/>
        <v>16176</v>
      </c>
      <c r="M3176" s="95">
        <f t="shared" ca="1" si="409"/>
        <v>0</v>
      </c>
      <c r="N3176" s="95">
        <f>IF(P3176="Hedge Fund",IF(A3176=Summary!$AD$3,M3176-E3176,M3176),IF(A3176=Summary!$AD$3,L3176-D3176,L3176))</f>
        <v>16176</v>
      </c>
      <c r="O3176" s="95"/>
      <c r="P3176" s="107" t="s">
        <v>155</v>
      </c>
      <c r="Q3176" s="107">
        <v>0</v>
      </c>
      <c r="R3176" s="107">
        <v>0</v>
      </c>
      <c r="S3176" s="107">
        <v>0</v>
      </c>
      <c r="T3176" s="107">
        <v>0</v>
      </c>
      <c r="U3176" s="107"/>
      <c r="V3176" s="107"/>
      <c r="W3176" s="107"/>
      <c r="X3176" s="107"/>
      <c r="Y3176" s="107"/>
      <c r="Z3176" s="107"/>
      <c r="AA3176" s="107"/>
      <c r="AB3176" s="107"/>
      <c r="AC3176" s="355"/>
      <c r="AD3176" s="355"/>
      <c r="AE3176" s="355"/>
      <c r="AF3176" s="94">
        <f t="shared" si="410"/>
        <v>40816</v>
      </c>
      <c r="AG3176" s="185">
        <f t="shared" si="417"/>
        <v>-1.4996972498329209E-2</v>
      </c>
      <c r="AH3176" s="339" t="str">
        <f>VLOOKUP(B3176,'MF PF'!A:B,2)</f>
        <v>FdMgt1</v>
      </c>
      <c r="AI3176" s="358">
        <f t="shared" si="411"/>
        <v>0</v>
      </c>
      <c r="AJ3176" s="94">
        <f t="shared" si="412"/>
        <v>40816</v>
      </c>
    </row>
    <row r="3177" spans="1:36" ht="12.75" customHeight="1">
      <c r="A3177" s="94">
        <v>40847</v>
      </c>
      <c r="B3177" s="94" t="s">
        <v>188</v>
      </c>
      <c r="C3177" s="358" t="s">
        <v>343</v>
      </c>
      <c r="D3177" s="98">
        <v>203318.06723874202</v>
      </c>
      <c r="E3177" s="9">
        <f t="shared" si="416"/>
        <v>104088.13532479132</v>
      </c>
      <c r="F3177" s="98">
        <v>0.33700000000000002</v>
      </c>
      <c r="G3177" s="98">
        <v>0</v>
      </c>
      <c r="H3177" s="98">
        <v>0</v>
      </c>
      <c r="I3177" s="98">
        <v>0</v>
      </c>
      <c r="J3177" s="98"/>
      <c r="K3177" s="7">
        <v>1.9533260597311948</v>
      </c>
      <c r="L3177" s="93">
        <f t="shared" si="408"/>
        <v>0</v>
      </c>
      <c r="M3177" s="95">
        <f t="shared" ca="1" si="409"/>
        <v>0</v>
      </c>
      <c r="N3177" s="95">
        <f>IF(P3177="Hedge Fund",IF(A3177=Summary!$AD$3,M3177-E3177,M3177),IF(A3177=Summary!$AD$3,L3177-D3177,L3177))</f>
        <v>0</v>
      </c>
      <c r="O3177" s="95"/>
      <c r="P3177" s="107" t="s">
        <v>155</v>
      </c>
      <c r="Q3177" s="107">
        <v>0</v>
      </c>
      <c r="R3177" s="107">
        <v>0</v>
      </c>
      <c r="S3177" s="107">
        <v>0</v>
      </c>
      <c r="T3177" s="107">
        <v>0</v>
      </c>
      <c r="U3177" s="107"/>
      <c r="V3177" s="107"/>
      <c r="W3177" s="107"/>
      <c r="X3177" s="107"/>
      <c r="Y3177" s="107"/>
      <c r="Z3177" s="107"/>
      <c r="AA3177" s="107"/>
      <c r="AB3177" s="107"/>
      <c r="AC3177" s="355"/>
      <c r="AD3177" s="355"/>
      <c r="AE3177" s="355"/>
      <c r="AF3177" s="94">
        <f t="shared" si="410"/>
        <v>40847</v>
      </c>
      <c r="AG3177" s="185">
        <f t="shared" si="417"/>
        <v>-1.1052985238935498E-2</v>
      </c>
      <c r="AH3177" s="339" t="str">
        <f>VLOOKUP(B3177,'MF PF'!A:B,2)</f>
        <v>FdMgt1</v>
      </c>
      <c r="AI3177" s="358">
        <f t="shared" si="411"/>
        <v>0</v>
      </c>
      <c r="AJ3177" s="94">
        <f t="shared" si="412"/>
        <v>40847</v>
      </c>
    </row>
    <row r="3178" spans="1:36" ht="12.75" customHeight="1">
      <c r="A3178" s="94">
        <v>40877</v>
      </c>
      <c r="B3178" s="94" t="s">
        <v>188</v>
      </c>
      <c r="C3178" s="358" t="s">
        <v>343</v>
      </c>
      <c r="D3178" s="98">
        <v>223746.514155577</v>
      </c>
      <c r="E3178" s="9">
        <f t="shared" si="416"/>
        <v>106104.7240905349</v>
      </c>
      <c r="F3178" s="98">
        <v>0.33700000000000002</v>
      </c>
      <c r="G3178" s="98">
        <v>16176</v>
      </c>
      <c r="H3178" s="98">
        <v>0</v>
      </c>
      <c r="I3178" s="98">
        <v>0</v>
      </c>
      <c r="J3178" s="98"/>
      <c r="K3178" s="7">
        <v>2.1087328210256038</v>
      </c>
      <c r="L3178" s="93">
        <f t="shared" si="408"/>
        <v>16176</v>
      </c>
      <c r="M3178" s="95">
        <f t="shared" ca="1" si="409"/>
        <v>0</v>
      </c>
      <c r="N3178" s="95">
        <f>IF(P3178="Hedge Fund",IF(A3178=Summary!$AD$3,M3178-E3178,M3178),IF(A3178=Summary!$AD$3,L3178-D3178,L3178))</f>
        <v>16176</v>
      </c>
      <c r="O3178" s="95"/>
      <c r="P3178" s="107" t="s">
        <v>155</v>
      </c>
      <c r="Q3178" s="107">
        <v>0</v>
      </c>
      <c r="R3178" s="107">
        <v>0</v>
      </c>
      <c r="S3178" s="107">
        <v>0</v>
      </c>
      <c r="T3178" s="107">
        <v>0</v>
      </c>
      <c r="U3178" s="107"/>
      <c r="V3178" s="107"/>
      <c r="W3178" s="107"/>
      <c r="X3178" s="107"/>
      <c r="Y3178" s="107"/>
      <c r="Z3178" s="107"/>
      <c r="AA3178" s="107"/>
      <c r="AB3178" s="107"/>
      <c r="AC3178" s="355"/>
      <c r="AD3178" s="355"/>
      <c r="AE3178" s="355"/>
      <c r="AF3178" s="94">
        <f t="shared" si="410"/>
        <v>40877</v>
      </c>
      <c r="AG3178" s="185">
        <f t="shared" si="417"/>
        <v>2.0915243660277527E-2</v>
      </c>
      <c r="AH3178" s="339" t="str">
        <f>VLOOKUP(B3178,'MF PF'!A:B,2)</f>
        <v>FdMgt1</v>
      </c>
      <c r="AI3178" s="358">
        <f t="shared" si="411"/>
        <v>0</v>
      </c>
      <c r="AJ3178" s="94">
        <f t="shared" si="412"/>
        <v>40877</v>
      </c>
    </row>
    <row r="3179" spans="1:36" ht="12.75" customHeight="1">
      <c r="A3179" s="94">
        <v>40907</v>
      </c>
      <c r="B3179" s="94" t="s">
        <v>188</v>
      </c>
      <c r="C3179" s="358" t="s">
        <v>343</v>
      </c>
      <c r="D3179" s="98">
        <v>436697.39385868312</v>
      </c>
      <c r="E3179" s="9">
        <f t="shared" si="416"/>
        <v>148813.87169102972</v>
      </c>
      <c r="F3179" s="98">
        <v>0.33700000000000002</v>
      </c>
      <c r="G3179" s="98">
        <v>87620</v>
      </c>
      <c r="H3179" s="98">
        <v>0</v>
      </c>
      <c r="I3179" s="98">
        <v>0</v>
      </c>
      <c r="J3179" s="98"/>
      <c r="K3179" s="7">
        <v>2.9345207465965459</v>
      </c>
      <c r="L3179" s="93">
        <f t="shared" si="408"/>
        <v>87620</v>
      </c>
      <c r="M3179" s="95">
        <f t="shared" ca="1" si="409"/>
        <v>0</v>
      </c>
      <c r="N3179" s="95">
        <f>IF(P3179="Hedge Fund",IF(A3179=Summary!$AD$3,M3179-E3179,M3179),IF(A3179=Summary!$AD$3,L3179-D3179,L3179))</f>
        <v>87620</v>
      </c>
      <c r="O3179" s="95"/>
      <c r="P3179" s="107" t="s">
        <v>155</v>
      </c>
      <c r="Q3179" s="107">
        <v>0</v>
      </c>
      <c r="R3179" s="107">
        <v>0</v>
      </c>
      <c r="S3179" s="107">
        <v>0</v>
      </c>
      <c r="T3179" s="107">
        <v>0</v>
      </c>
      <c r="U3179" s="107"/>
      <c r="V3179" s="107"/>
      <c r="W3179" s="107"/>
      <c r="X3179" s="107"/>
      <c r="Y3179" s="107"/>
      <c r="Z3179" s="107"/>
      <c r="AA3179" s="107"/>
      <c r="AB3179" s="107"/>
      <c r="AC3179" s="355"/>
      <c r="AD3179" s="355"/>
      <c r="AE3179" s="355"/>
      <c r="AF3179" s="94">
        <f t="shared" si="410"/>
        <v>40907</v>
      </c>
      <c r="AG3179" s="185">
        <f t="shared" si="417"/>
        <v>0.56014673648037339</v>
      </c>
      <c r="AH3179" s="339" t="str">
        <f>VLOOKUP(B3179,'MF PF'!A:B,2)</f>
        <v>FdMgt1</v>
      </c>
      <c r="AI3179" s="358">
        <f t="shared" si="411"/>
        <v>0</v>
      </c>
      <c r="AJ3179" s="94">
        <f t="shared" si="412"/>
        <v>40908</v>
      </c>
    </row>
    <row r="3180" spans="1:36" ht="12.75" customHeight="1">
      <c r="A3180" s="94">
        <v>40939</v>
      </c>
      <c r="B3180" s="94" t="s">
        <v>188</v>
      </c>
      <c r="C3180" s="358" t="s">
        <v>343</v>
      </c>
      <c r="D3180" s="98">
        <v>346506.59522356617</v>
      </c>
      <c r="E3180" s="9">
        <f t="shared" si="416"/>
        <v>118079.44981320856</v>
      </c>
      <c r="F3180" s="98">
        <v>0.33700000000000002</v>
      </c>
      <c r="G3180" s="98">
        <v>0</v>
      </c>
      <c r="H3180" s="98">
        <v>0</v>
      </c>
      <c r="I3180" s="98">
        <v>0</v>
      </c>
      <c r="J3180" s="98"/>
      <c r="K3180" s="7">
        <v>2.9345207465965459</v>
      </c>
      <c r="L3180" s="93">
        <f t="shared" si="408"/>
        <v>0</v>
      </c>
      <c r="M3180" s="95">
        <f t="shared" ca="1" si="409"/>
        <v>0</v>
      </c>
      <c r="N3180" s="95">
        <f>IF(P3180="Hedge Fund",IF(A3180=Summary!$AD$3,M3180-E3180,M3180),IF(A3180=Summary!$AD$3,L3180-D3180,L3180))</f>
        <v>0</v>
      </c>
      <c r="O3180" s="95"/>
      <c r="P3180" s="107" t="s">
        <v>155</v>
      </c>
      <c r="Q3180" s="107">
        <v>0</v>
      </c>
      <c r="R3180" s="107">
        <v>0</v>
      </c>
      <c r="S3180" s="107">
        <v>0</v>
      </c>
      <c r="T3180" s="107">
        <v>0</v>
      </c>
      <c r="U3180" s="107"/>
      <c r="V3180" s="107"/>
      <c r="W3180" s="107"/>
      <c r="X3180" s="107"/>
      <c r="Y3180" s="107"/>
      <c r="Z3180" s="107"/>
      <c r="AA3180" s="107"/>
      <c r="AB3180" s="107"/>
      <c r="AC3180" s="355"/>
      <c r="AD3180" s="355"/>
      <c r="AE3180" s="355"/>
      <c r="AF3180" s="94">
        <f t="shared" si="410"/>
        <v>40939</v>
      </c>
      <c r="AG3180" s="185">
        <f t="shared" si="417"/>
        <v>-0.20652928069523357</v>
      </c>
      <c r="AH3180" s="339" t="str">
        <f>VLOOKUP(B3180,'MF PF'!A:B,2)</f>
        <v>FdMgt1</v>
      </c>
      <c r="AI3180" s="358">
        <f t="shared" si="411"/>
        <v>0</v>
      </c>
      <c r="AJ3180" s="94">
        <f t="shared" si="412"/>
        <v>40939</v>
      </c>
    </row>
    <row r="3181" spans="1:36" ht="12.75" customHeight="1">
      <c r="A3181" s="94">
        <v>40968</v>
      </c>
      <c r="B3181" s="94" t="s">
        <v>188</v>
      </c>
      <c r="C3181" s="358" t="s">
        <v>343</v>
      </c>
      <c r="D3181" s="98">
        <v>730024.2263319667</v>
      </c>
      <c r="E3181" s="9">
        <f t="shared" si="416"/>
        <v>232666.79399398909</v>
      </c>
      <c r="F3181" s="98">
        <v>0.33700000000000002</v>
      </c>
      <c r="G3181" s="98">
        <v>23984</v>
      </c>
      <c r="H3181" s="98">
        <v>0</v>
      </c>
      <c r="I3181" s="98">
        <v>-8537</v>
      </c>
      <c r="J3181" s="98"/>
      <c r="K3181" s="7">
        <v>3.1376382241757574</v>
      </c>
      <c r="L3181" s="93">
        <f t="shared" si="408"/>
        <v>15447</v>
      </c>
      <c r="M3181" s="95">
        <f t="shared" ca="1" si="409"/>
        <v>-2720.8363074562649</v>
      </c>
      <c r="N3181" s="95">
        <f>IF(P3181="Hedge Fund",IF(A3181=Summary!$AD$3,M3181-E3181,M3181),IF(A3181=Summary!$AD$3,L3181-D3181,L3181))</f>
        <v>15447</v>
      </c>
      <c r="O3181" s="95"/>
      <c r="P3181" s="107" t="s">
        <v>155</v>
      </c>
      <c r="Q3181" s="107">
        <v>0</v>
      </c>
      <c r="R3181" s="107">
        <v>0</v>
      </c>
      <c r="S3181" s="107">
        <v>0</v>
      </c>
      <c r="T3181" s="107">
        <v>0</v>
      </c>
      <c r="U3181" s="107"/>
      <c r="V3181" s="107"/>
      <c r="W3181" s="107"/>
      <c r="X3181" s="107"/>
      <c r="Y3181" s="107"/>
      <c r="Z3181" s="107"/>
      <c r="AA3181" s="107"/>
      <c r="AB3181" s="107"/>
      <c r="AC3181" s="355"/>
      <c r="AD3181" s="355"/>
      <c r="AE3181" s="355"/>
      <c r="AF3181" s="94">
        <f t="shared" si="410"/>
        <v>40968</v>
      </c>
      <c r="AG3181" s="185">
        <f t="shared" si="417"/>
        <v>1.0622326852708857</v>
      </c>
      <c r="AH3181" s="339" t="str">
        <f>VLOOKUP(B3181,'MF PF'!A:B,2)</f>
        <v>FdMgt1</v>
      </c>
      <c r="AI3181" s="358">
        <f t="shared" si="411"/>
        <v>0</v>
      </c>
      <c r="AJ3181" s="94">
        <f t="shared" si="412"/>
        <v>40968</v>
      </c>
    </row>
    <row r="3182" spans="1:36" ht="12.75" customHeight="1">
      <c r="A3182" s="94">
        <v>40998</v>
      </c>
      <c r="B3182" s="94" t="s">
        <v>188</v>
      </c>
      <c r="C3182" s="358" t="s">
        <v>343</v>
      </c>
      <c r="D3182" s="98">
        <v>1482653.4895216525</v>
      </c>
      <c r="E3182" s="9">
        <f t="shared" si="416"/>
        <v>472538.06321509182</v>
      </c>
      <c r="F3182" s="98">
        <v>0.33700000000000002</v>
      </c>
      <c r="G3182" s="98">
        <v>0</v>
      </c>
      <c r="H3182" s="98">
        <v>0</v>
      </c>
      <c r="I3182" s="98">
        <v>0</v>
      </c>
      <c r="J3182" s="98"/>
      <c r="K3182" s="7">
        <v>3.1376382241757574</v>
      </c>
      <c r="L3182" s="93">
        <f t="shared" si="408"/>
        <v>0</v>
      </c>
      <c r="M3182" s="95">
        <f t="shared" ca="1" si="409"/>
        <v>0</v>
      </c>
      <c r="N3182" s="95">
        <f>IF(P3182="Hedge Fund",IF(A3182=Summary!$AD$3,M3182-E3182,M3182),IF(A3182=Summary!$AD$3,L3182-D3182,L3182))</f>
        <v>0</v>
      </c>
      <c r="O3182" s="95"/>
      <c r="P3182" s="107" t="s">
        <v>155</v>
      </c>
      <c r="Q3182" s="107">
        <v>0</v>
      </c>
      <c r="R3182" s="107">
        <v>0</v>
      </c>
      <c r="S3182" s="107">
        <v>0</v>
      </c>
      <c r="T3182" s="107">
        <v>0</v>
      </c>
      <c r="U3182" s="107"/>
      <c r="V3182" s="107"/>
      <c r="W3182" s="107"/>
      <c r="X3182" s="107"/>
      <c r="Y3182" s="107"/>
      <c r="Z3182" s="107"/>
      <c r="AA3182" s="107"/>
      <c r="AB3182" s="107"/>
      <c r="AC3182" s="355"/>
      <c r="AD3182" s="355"/>
      <c r="AE3182" s="355"/>
      <c r="AF3182" s="94">
        <f t="shared" si="410"/>
        <v>40998</v>
      </c>
      <c r="AG3182" s="185">
        <f t="shared" si="417"/>
        <v>1.0309647762942045</v>
      </c>
      <c r="AH3182" s="339" t="str">
        <f>VLOOKUP(B3182,'MF PF'!A:B,2)</f>
        <v>FdMgt1</v>
      </c>
      <c r="AI3182" s="358">
        <f t="shared" si="411"/>
        <v>0</v>
      </c>
      <c r="AJ3182" s="94">
        <f t="shared" si="412"/>
        <v>40999</v>
      </c>
    </row>
    <row r="3183" spans="1:36" ht="12.75" customHeight="1">
      <c r="A3183" s="94">
        <v>41029</v>
      </c>
      <c r="B3183" s="94" t="s">
        <v>188</v>
      </c>
      <c r="C3183" s="358" t="s">
        <v>343</v>
      </c>
      <c r="D3183" s="98">
        <v>2375518.9952369593</v>
      </c>
      <c r="E3183" s="9">
        <f t="shared" si="416"/>
        <v>757104.17374871089</v>
      </c>
      <c r="F3183" s="98">
        <v>0.33700000000000002</v>
      </c>
      <c r="G3183" s="98">
        <v>0</v>
      </c>
      <c r="H3183" s="98">
        <v>0</v>
      </c>
      <c r="I3183" s="98">
        <v>0</v>
      </c>
      <c r="J3183" s="98"/>
      <c r="K3183" s="7">
        <v>3.1376382241757574</v>
      </c>
      <c r="L3183" s="93">
        <f t="shared" si="408"/>
        <v>0</v>
      </c>
      <c r="M3183" s="95">
        <f t="shared" ca="1" si="409"/>
        <v>0</v>
      </c>
      <c r="N3183" s="95">
        <f>IF(P3183="Hedge Fund",IF(A3183=Summary!$AD$3,M3183-E3183,M3183),IF(A3183=Summary!$AD$3,L3183-D3183,L3183))</f>
        <v>0</v>
      </c>
      <c r="O3183" s="95"/>
      <c r="P3183" s="107" t="s">
        <v>155</v>
      </c>
      <c r="Q3183" s="107">
        <v>0</v>
      </c>
      <c r="R3183" s="107">
        <v>0</v>
      </c>
      <c r="S3183" s="107">
        <v>0</v>
      </c>
      <c r="T3183" s="107">
        <v>0</v>
      </c>
      <c r="U3183" s="107"/>
      <c r="V3183" s="107"/>
      <c r="W3183" s="107"/>
      <c r="X3183" s="107"/>
      <c r="Y3183" s="107"/>
      <c r="Z3183" s="107"/>
      <c r="AA3183" s="107"/>
      <c r="AB3183" s="107"/>
      <c r="AC3183" s="355"/>
      <c r="AD3183" s="355"/>
      <c r="AE3183" s="355"/>
      <c r="AF3183" s="94">
        <f t="shared" si="410"/>
        <v>41029</v>
      </c>
      <c r="AG3183" s="185">
        <f t="shared" si="417"/>
        <v>0.60220780649386363</v>
      </c>
      <c r="AH3183" s="339" t="str">
        <f>VLOOKUP(B3183,'MF PF'!A:B,2)</f>
        <v>FdMgt1</v>
      </c>
      <c r="AI3183" s="358">
        <f t="shared" si="411"/>
        <v>0</v>
      </c>
      <c r="AJ3183" s="94">
        <f t="shared" si="412"/>
        <v>41029</v>
      </c>
    </row>
    <row r="3184" spans="1:36" ht="12.75" customHeight="1">
      <c r="A3184" s="94">
        <v>41060</v>
      </c>
      <c r="B3184" s="94" t="s">
        <v>188</v>
      </c>
      <c r="C3184" s="358" t="s">
        <v>343</v>
      </c>
      <c r="D3184" s="98">
        <v>2517481.5755533935</v>
      </c>
      <c r="E3184" s="9">
        <f t="shared" si="416"/>
        <v>802349.21800607652</v>
      </c>
      <c r="F3184" s="98">
        <v>0.33700000000000002</v>
      </c>
      <c r="G3184" s="98">
        <v>0</v>
      </c>
      <c r="H3184" s="98">
        <v>0</v>
      </c>
      <c r="I3184" s="98">
        <v>0</v>
      </c>
      <c r="J3184" s="98"/>
      <c r="K3184" s="7">
        <v>3.1376382241757574</v>
      </c>
      <c r="L3184" s="93">
        <f t="shared" si="408"/>
        <v>0</v>
      </c>
      <c r="M3184" s="95">
        <f t="shared" ca="1" si="409"/>
        <v>0</v>
      </c>
      <c r="N3184" s="95">
        <f>IF(P3184="Hedge Fund",IF(A3184=Summary!$AD$3,M3184-E3184,M3184),IF(A3184=Summary!$AD$3,L3184-D3184,L3184))</f>
        <v>0</v>
      </c>
      <c r="O3184" s="95"/>
      <c r="P3184" s="107" t="s">
        <v>155</v>
      </c>
      <c r="Q3184" s="107">
        <v>0</v>
      </c>
      <c r="R3184" s="107">
        <v>0</v>
      </c>
      <c r="S3184" s="107">
        <v>0</v>
      </c>
      <c r="T3184" s="107">
        <v>0</v>
      </c>
      <c r="U3184" s="107"/>
      <c r="V3184" s="107"/>
      <c r="W3184" s="107"/>
      <c r="X3184" s="107"/>
      <c r="Y3184" s="107"/>
      <c r="Z3184" s="107"/>
      <c r="AA3184" s="107"/>
      <c r="AB3184" s="107"/>
      <c r="AC3184" s="355"/>
      <c r="AD3184" s="355"/>
      <c r="AE3184" s="355"/>
      <c r="AF3184" s="94">
        <f t="shared" si="410"/>
        <v>41060</v>
      </c>
      <c r="AG3184" s="185">
        <f t="shared" si="417"/>
        <v>5.9760658871209404E-2</v>
      </c>
      <c r="AH3184" s="339" t="str">
        <f>VLOOKUP(B3184,'MF PF'!A:B,2)</f>
        <v>FdMgt1</v>
      </c>
      <c r="AI3184" s="358">
        <f t="shared" si="411"/>
        <v>0</v>
      </c>
      <c r="AJ3184" s="94">
        <f t="shared" si="412"/>
        <v>41060</v>
      </c>
    </row>
    <row r="3185" spans="1:36" ht="12.75" customHeight="1">
      <c r="A3185" s="94">
        <v>41089</v>
      </c>
      <c r="B3185" s="94" t="s">
        <v>188</v>
      </c>
      <c r="C3185" s="358" t="s">
        <v>343</v>
      </c>
      <c r="D3185" s="98">
        <v>2166176.8995844284</v>
      </c>
      <c r="E3185" s="9">
        <f t="shared" si="416"/>
        <v>690384.53282913857</v>
      </c>
      <c r="F3185" s="98">
        <v>0.33700000000000002</v>
      </c>
      <c r="G3185" s="98">
        <v>0</v>
      </c>
      <c r="H3185" s="98">
        <v>0</v>
      </c>
      <c r="I3185" s="98">
        <v>-85676.47</v>
      </c>
      <c r="J3185" s="98"/>
      <c r="K3185" s="7">
        <v>3.1376382241757574</v>
      </c>
      <c r="L3185" s="93">
        <f t="shared" si="408"/>
        <v>-85676.47</v>
      </c>
      <c r="M3185" s="95">
        <f t="shared" ca="1" si="409"/>
        <v>-27306.038452698544</v>
      </c>
      <c r="N3185" s="95">
        <f>IF(P3185="Hedge Fund",IF(A3185=Summary!$AD$3,M3185-E3185,M3185),IF(A3185=Summary!$AD$3,L3185-D3185,L3185))</f>
        <v>-85676.47</v>
      </c>
      <c r="O3185" s="95"/>
      <c r="P3185" s="107" t="s">
        <v>155</v>
      </c>
      <c r="Q3185" s="107">
        <v>0</v>
      </c>
      <c r="R3185" s="107">
        <v>0</v>
      </c>
      <c r="S3185" s="107">
        <v>0</v>
      </c>
      <c r="T3185" s="107">
        <v>0</v>
      </c>
      <c r="U3185" s="107"/>
      <c r="V3185" s="107"/>
      <c r="W3185" s="107"/>
      <c r="X3185" s="107"/>
      <c r="Y3185" s="107"/>
      <c r="Z3185" s="107"/>
      <c r="AA3185" s="107"/>
      <c r="AB3185" s="107"/>
      <c r="AC3185" s="355"/>
      <c r="AD3185" s="355"/>
      <c r="AE3185" s="355"/>
      <c r="AF3185" s="94">
        <f t="shared" si="410"/>
        <v>41089</v>
      </c>
      <c r="AG3185" s="185">
        <f t="shared" si="417"/>
        <v>-0.10551346573830411</v>
      </c>
      <c r="AH3185" s="339" t="str">
        <f>VLOOKUP(B3185,'MF PF'!A:B,2)</f>
        <v>FdMgt1</v>
      </c>
      <c r="AI3185" s="358">
        <f t="shared" si="411"/>
        <v>0</v>
      </c>
      <c r="AJ3185" s="94">
        <f t="shared" si="412"/>
        <v>41090</v>
      </c>
    </row>
    <row r="3186" spans="1:36" ht="12.75" customHeight="1">
      <c r="A3186" s="94">
        <v>41121</v>
      </c>
      <c r="B3186" s="94" t="s">
        <v>188</v>
      </c>
      <c r="C3186" s="358" t="s">
        <v>343</v>
      </c>
      <c r="D3186" s="98">
        <v>2559239.6231593285</v>
      </c>
      <c r="E3186" s="9">
        <f t="shared" si="416"/>
        <v>815657.96956455312</v>
      </c>
      <c r="F3186" s="98">
        <v>0.33700000000000002</v>
      </c>
      <c r="G3186" s="98">
        <v>0</v>
      </c>
      <c r="H3186" s="98">
        <v>0</v>
      </c>
      <c r="I3186" s="98">
        <v>0</v>
      </c>
      <c r="J3186" s="98"/>
      <c r="K3186" s="7">
        <v>3.1376382241757574</v>
      </c>
      <c r="L3186" s="93">
        <f t="shared" si="408"/>
        <v>0</v>
      </c>
      <c r="M3186" s="95">
        <f t="shared" ca="1" si="409"/>
        <v>0</v>
      </c>
      <c r="N3186" s="95">
        <f>IF(P3186="Hedge Fund",IF(A3186=Summary!$AD$3,M3186-E3186,M3186),IF(A3186=Summary!$AD$3,L3186-D3186,L3186))</f>
        <v>0</v>
      </c>
      <c r="O3186" s="95"/>
      <c r="P3186" s="107" t="s">
        <v>155</v>
      </c>
      <c r="Q3186" s="107">
        <v>0</v>
      </c>
      <c r="R3186" s="107">
        <v>0</v>
      </c>
      <c r="S3186" s="107">
        <v>0</v>
      </c>
      <c r="T3186" s="107">
        <v>0</v>
      </c>
      <c r="U3186" s="107"/>
      <c r="V3186" s="107"/>
      <c r="W3186" s="107"/>
      <c r="X3186" s="107"/>
      <c r="Y3186" s="107"/>
      <c r="Z3186" s="107"/>
      <c r="AA3186" s="107"/>
      <c r="AB3186" s="107"/>
      <c r="AC3186" s="355"/>
      <c r="AD3186" s="355"/>
      <c r="AE3186" s="355"/>
      <c r="AF3186" s="94">
        <f t="shared" si="410"/>
        <v>41121</v>
      </c>
      <c r="AG3186" s="185">
        <f t="shared" si="417"/>
        <v>0.18145458187201036</v>
      </c>
      <c r="AH3186" s="339" t="str">
        <f>VLOOKUP(B3186,'MF PF'!A:B,2)</f>
        <v>FdMgt1</v>
      </c>
      <c r="AI3186" s="358">
        <f t="shared" si="411"/>
        <v>0</v>
      </c>
      <c r="AJ3186" s="94">
        <f t="shared" si="412"/>
        <v>41121</v>
      </c>
    </row>
    <row r="3187" spans="1:36" ht="12.75" customHeight="1">
      <c r="A3187" s="94">
        <v>41152</v>
      </c>
      <c r="B3187" s="94" t="s">
        <v>188</v>
      </c>
      <c r="C3187" s="358" t="s">
        <v>343</v>
      </c>
      <c r="D3187" s="98">
        <v>2599512.81</v>
      </c>
      <c r="E3187" s="9">
        <f t="shared" si="416"/>
        <v>828493.47957662633</v>
      </c>
      <c r="F3187" s="98">
        <v>0.33700000000000002</v>
      </c>
      <c r="G3187" s="98">
        <v>0</v>
      </c>
      <c r="H3187" s="98">
        <v>0</v>
      </c>
      <c r="I3187" s="98">
        <v>0</v>
      </c>
      <c r="J3187" s="98"/>
      <c r="K3187" s="7">
        <v>3.1376382241757574</v>
      </c>
      <c r="L3187" s="93">
        <f t="shared" si="408"/>
        <v>0</v>
      </c>
      <c r="M3187" s="95">
        <f t="shared" ca="1" si="409"/>
        <v>0</v>
      </c>
      <c r="N3187" s="95">
        <f>IF(P3187="Hedge Fund",IF(A3187=Summary!$AD$3,M3187-E3187,M3187),IF(A3187=Summary!$AD$3,L3187-D3187,L3187))</f>
        <v>0</v>
      </c>
      <c r="O3187" s="95"/>
      <c r="P3187" s="107" t="s">
        <v>155</v>
      </c>
      <c r="Q3187" s="107">
        <v>0</v>
      </c>
      <c r="R3187" s="107">
        <v>0</v>
      </c>
      <c r="S3187" s="107">
        <v>0</v>
      </c>
      <c r="T3187" s="107">
        <v>0</v>
      </c>
      <c r="U3187" s="107"/>
      <c r="V3187" s="107"/>
      <c r="W3187" s="107"/>
      <c r="X3187" s="107"/>
      <c r="Y3187" s="107"/>
      <c r="Z3187" s="107"/>
      <c r="AA3187" s="107"/>
      <c r="AB3187" s="107"/>
      <c r="AC3187" s="355"/>
      <c r="AD3187" s="355"/>
      <c r="AE3187" s="355"/>
      <c r="AF3187" s="94">
        <f t="shared" si="410"/>
        <v>41152</v>
      </c>
      <c r="AG3187" s="185">
        <f t="shared" si="417"/>
        <v>1.5736387666175355E-2</v>
      </c>
      <c r="AH3187" s="339" t="str">
        <f>VLOOKUP(B3187,'MF PF'!A:B,2)</f>
        <v>FdMgt1</v>
      </c>
      <c r="AI3187" s="358">
        <f t="shared" si="411"/>
        <v>0</v>
      </c>
      <c r="AJ3187" s="94">
        <f t="shared" si="412"/>
        <v>41152</v>
      </c>
    </row>
    <row r="3188" spans="1:36" ht="12.75" customHeight="1">
      <c r="A3188" s="94">
        <v>41180</v>
      </c>
      <c r="B3188" s="94" t="s">
        <v>188</v>
      </c>
      <c r="C3188" s="358" t="s">
        <v>343</v>
      </c>
      <c r="D3188" s="98">
        <v>2225794.1400000015</v>
      </c>
      <c r="E3188" s="9">
        <f t="shared" si="416"/>
        <v>709385.20663410996</v>
      </c>
      <c r="F3188" s="98">
        <v>0.33700000000000002</v>
      </c>
      <c r="G3188" s="98">
        <v>0</v>
      </c>
      <c r="H3188" s="98">
        <v>0</v>
      </c>
      <c r="I3188" s="98">
        <v>0</v>
      </c>
      <c r="J3188" s="98"/>
      <c r="K3188" s="7">
        <v>3.1376382241757574</v>
      </c>
      <c r="L3188" s="93">
        <f t="shared" si="408"/>
        <v>0</v>
      </c>
      <c r="M3188" s="95">
        <f t="shared" ca="1" si="409"/>
        <v>0</v>
      </c>
      <c r="N3188" s="95">
        <f>IF(P3188="Hedge Fund",IF(A3188=Summary!$AD$3,M3188-E3188,M3188),IF(A3188=Summary!$AD$3,L3188-D3188,L3188))</f>
        <v>0</v>
      </c>
      <c r="O3188" s="95"/>
      <c r="P3188" s="107" t="s">
        <v>155</v>
      </c>
      <c r="Q3188" s="107">
        <v>0</v>
      </c>
      <c r="R3188" s="107">
        <v>0</v>
      </c>
      <c r="S3188" s="107">
        <v>0</v>
      </c>
      <c r="T3188" s="107">
        <v>0</v>
      </c>
      <c r="U3188" s="107"/>
      <c r="V3188" s="107"/>
      <c r="W3188" s="107"/>
      <c r="X3188" s="107"/>
      <c r="Y3188" s="107"/>
      <c r="Z3188" s="107"/>
      <c r="AA3188" s="107"/>
      <c r="AB3188" s="107"/>
      <c r="AC3188" s="355"/>
      <c r="AD3188" s="355"/>
      <c r="AE3188" s="355"/>
      <c r="AF3188" s="94">
        <f t="shared" si="410"/>
        <v>41180</v>
      </c>
      <c r="AG3188" s="185">
        <f t="shared" si="417"/>
        <v>-0.14376488877544658</v>
      </c>
      <c r="AH3188" s="339" t="str">
        <f>VLOOKUP(B3188,'MF PF'!A:B,2)</f>
        <v>FdMgt1</v>
      </c>
      <c r="AI3188" s="358">
        <f t="shared" si="411"/>
        <v>0</v>
      </c>
      <c r="AJ3188" s="94">
        <f t="shared" si="412"/>
        <v>41182</v>
      </c>
    </row>
    <row r="3189" spans="1:36" ht="12.75" customHeight="1">
      <c r="A3189" s="94">
        <v>41213</v>
      </c>
      <c r="B3189" s="94" t="s">
        <v>188</v>
      </c>
      <c r="C3189" s="358" t="s">
        <v>343</v>
      </c>
      <c r="D3189" s="98">
        <v>2491441.2019999973</v>
      </c>
      <c r="E3189" s="95">
        <f t="shared" si="416"/>
        <v>794049.86298396043</v>
      </c>
      <c r="F3189" s="98">
        <v>0.33700000000000002</v>
      </c>
      <c r="G3189" s="98">
        <v>0</v>
      </c>
      <c r="H3189" s="98">
        <v>0</v>
      </c>
      <c r="I3189" s="98">
        <v>-37016.06</v>
      </c>
      <c r="J3189" s="98"/>
      <c r="K3189" s="93">
        <v>3.1376382241757574</v>
      </c>
      <c r="L3189" s="93">
        <f t="shared" si="408"/>
        <v>-37016.06</v>
      </c>
      <c r="M3189" s="95">
        <f t="shared" ca="1" si="409"/>
        <v>-11797.427668616556</v>
      </c>
      <c r="N3189" s="95">
        <f>IF(P3189="Hedge Fund",IF(A3189=Summary!$AD$3,M3189-E3189,M3189),IF(A3189=Summary!$AD$3,L3189-D3189,L3189))</f>
        <v>-37016.06</v>
      </c>
      <c r="O3189" s="95"/>
      <c r="P3189" s="107" t="s">
        <v>155</v>
      </c>
      <c r="Q3189" s="107">
        <v>0</v>
      </c>
      <c r="R3189" s="107">
        <v>0</v>
      </c>
      <c r="S3189" s="107">
        <v>0</v>
      </c>
      <c r="T3189" s="107">
        <v>0</v>
      </c>
      <c r="U3189" s="107"/>
      <c r="V3189" s="107"/>
      <c r="W3189" s="107"/>
      <c r="X3189" s="107"/>
      <c r="Y3189" s="107"/>
      <c r="Z3189" s="107"/>
      <c r="AA3189" s="107"/>
      <c r="AB3189" s="107"/>
      <c r="AC3189" s="355"/>
      <c r="AD3189" s="355"/>
      <c r="AE3189" s="355"/>
      <c r="AF3189" s="94">
        <f t="shared" si="410"/>
        <v>41213</v>
      </c>
      <c r="AG3189" s="185">
        <f t="shared" si="417"/>
        <v>0.13597983594295715</v>
      </c>
      <c r="AH3189" s="339" t="str">
        <f>VLOOKUP(B3189,'MF PF'!A:B,2)</f>
        <v>FdMgt1</v>
      </c>
      <c r="AI3189" s="358">
        <f t="shared" si="411"/>
        <v>0</v>
      </c>
      <c r="AJ3189" s="94">
        <f t="shared" si="412"/>
        <v>41213</v>
      </c>
    </row>
    <row r="3190" spans="1:36" ht="12.75" customHeight="1">
      <c r="A3190" s="94">
        <v>41243</v>
      </c>
      <c r="B3190" s="94" t="s">
        <v>188</v>
      </c>
      <c r="C3190" s="358" t="s">
        <v>343</v>
      </c>
      <c r="D3190" s="98">
        <v>2570942.1390000032</v>
      </c>
      <c r="E3190" s="95">
        <f t="shared" si="416"/>
        <v>819387.69077667559</v>
      </c>
      <c r="F3190" s="98">
        <v>0.33700000000000002</v>
      </c>
      <c r="G3190" s="98">
        <v>0</v>
      </c>
      <c r="H3190" s="98">
        <v>0</v>
      </c>
      <c r="I3190" s="98">
        <v>0</v>
      </c>
      <c r="J3190" s="98"/>
      <c r="K3190" s="93">
        <v>3.1376382241757574</v>
      </c>
      <c r="L3190" s="93">
        <f t="shared" si="408"/>
        <v>0</v>
      </c>
      <c r="M3190" s="95">
        <f t="shared" ca="1" si="409"/>
        <v>0</v>
      </c>
      <c r="N3190" s="95">
        <f>IF(P3190="Hedge Fund",IF(A3190=Summary!$AD$3,M3190-E3190,M3190),IF(A3190=Summary!$AD$3,L3190-D3190,L3190))</f>
        <v>0</v>
      </c>
      <c r="O3190" s="95"/>
      <c r="P3190" s="107" t="s">
        <v>155</v>
      </c>
      <c r="Q3190" s="107">
        <v>0</v>
      </c>
      <c r="R3190" s="107">
        <v>0</v>
      </c>
      <c r="S3190" s="107">
        <v>0</v>
      </c>
      <c r="T3190" s="107">
        <v>0</v>
      </c>
      <c r="U3190" s="107"/>
      <c r="V3190" s="107"/>
      <c r="W3190" s="107"/>
      <c r="X3190" s="107"/>
      <c r="Y3190" s="107"/>
      <c r="Z3190" s="107"/>
      <c r="AA3190" s="107"/>
      <c r="AB3190" s="107"/>
      <c r="AC3190" s="355"/>
      <c r="AD3190" s="355"/>
      <c r="AE3190" s="355"/>
      <c r="AF3190" s="94">
        <f t="shared" si="410"/>
        <v>41243</v>
      </c>
      <c r="AG3190" s="185">
        <f t="shared" si="417"/>
        <v>3.1909617989855255E-2</v>
      </c>
      <c r="AH3190" s="339" t="str">
        <f>VLOOKUP(B3190,'MF PF'!A:B,2)</f>
        <v>FdMgt1</v>
      </c>
      <c r="AI3190" s="358">
        <f t="shared" si="411"/>
        <v>0</v>
      </c>
      <c r="AJ3190" s="94">
        <f t="shared" si="412"/>
        <v>41243</v>
      </c>
    </row>
    <row r="3191" spans="1:36" ht="12.75" customHeight="1">
      <c r="A3191" s="94">
        <v>41274</v>
      </c>
      <c r="B3191" s="94" t="s">
        <v>188</v>
      </c>
      <c r="C3191" s="358" t="s">
        <v>343</v>
      </c>
      <c r="D3191" s="98">
        <v>3058050.1055000015</v>
      </c>
      <c r="E3191" s="95">
        <f t="shared" si="416"/>
        <v>974634.38644311414</v>
      </c>
      <c r="F3191" s="98">
        <v>0.33700000000000002</v>
      </c>
      <c r="G3191" s="98">
        <v>0</v>
      </c>
      <c r="H3191" s="98">
        <v>0</v>
      </c>
      <c r="I3191" s="98">
        <v>0</v>
      </c>
      <c r="J3191" s="98"/>
      <c r="K3191" s="93">
        <v>3.1376382241757574</v>
      </c>
      <c r="L3191" s="93">
        <f t="shared" si="408"/>
        <v>0</v>
      </c>
      <c r="M3191" s="95">
        <f t="shared" ca="1" si="409"/>
        <v>0</v>
      </c>
      <c r="N3191" s="95">
        <f>IF(P3191="Hedge Fund",IF(A3191=Summary!$AD$3,M3191-E3191,M3191),IF(A3191=Summary!$AD$3,L3191-D3191,L3191))</f>
        <v>0</v>
      </c>
      <c r="O3191" s="95"/>
      <c r="P3191" s="107" t="s">
        <v>155</v>
      </c>
      <c r="Q3191" s="107">
        <v>0</v>
      </c>
      <c r="R3191" s="107">
        <v>0</v>
      </c>
      <c r="S3191" s="107">
        <v>0</v>
      </c>
      <c r="T3191" s="107">
        <v>0</v>
      </c>
      <c r="U3191" s="107"/>
      <c r="V3191" s="107"/>
      <c r="W3191" s="107"/>
      <c r="X3191" s="107"/>
      <c r="Y3191" s="107"/>
      <c r="Z3191" s="107"/>
      <c r="AA3191" s="107"/>
      <c r="AB3191" s="107"/>
      <c r="AC3191" s="355"/>
      <c r="AD3191" s="355"/>
      <c r="AE3191" s="355"/>
      <c r="AF3191" s="94">
        <f t="shared" si="410"/>
        <v>41274</v>
      </c>
      <c r="AG3191" s="185">
        <f t="shared" si="417"/>
        <v>0.18946671693259676</v>
      </c>
      <c r="AH3191" s="339" t="str">
        <f>VLOOKUP(B3191,'MF PF'!A:B,2)</f>
        <v>FdMgt1</v>
      </c>
      <c r="AI3191" s="358">
        <f t="shared" si="411"/>
        <v>0</v>
      </c>
      <c r="AJ3191" s="94">
        <f t="shared" si="412"/>
        <v>41274</v>
      </c>
    </row>
    <row r="3192" spans="1:36" ht="12.75" customHeight="1">
      <c r="A3192" s="94">
        <v>41305</v>
      </c>
      <c r="B3192" s="94" t="s">
        <v>188</v>
      </c>
      <c r="C3192" s="358" t="s">
        <v>343</v>
      </c>
      <c r="D3192" s="98">
        <v>4024675.1740000006</v>
      </c>
      <c r="E3192" s="95">
        <f t="shared" si="416"/>
        <v>1282708.4853153406</v>
      </c>
      <c r="F3192" s="98">
        <v>0.33700000000000002</v>
      </c>
      <c r="G3192" s="98">
        <v>0</v>
      </c>
      <c r="H3192" s="98">
        <v>-4.6566128730773926E-10</v>
      </c>
      <c r="I3192" s="98">
        <v>-67260.039999999994</v>
      </c>
      <c r="J3192" s="98"/>
      <c r="K3192" s="93">
        <v>3.1376382241757574</v>
      </c>
      <c r="L3192" s="93">
        <f t="shared" si="408"/>
        <v>-67260.040000000459</v>
      </c>
      <c r="M3192" s="95">
        <f t="shared" ca="1" si="409"/>
        <v>-21436.518551360041</v>
      </c>
      <c r="N3192" s="95">
        <f>IF(P3192="Hedge Fund",IF(A3192=Summary!$AD$3,M3192-E3192,M3192),IF(A3192=Summary!$AD$3,L3192-D3192,L3192))</f>
        <v>-67260.040000000459</v>
      </c>
      <c r="O3192" s="95"/>
      <c r="P3192" s="107" t="s">
        <v>155</v>
      </c>
      <c r="Q3192" s="107">
        <v>0</v>
      </c>
      <c r="R3192" s="107">
        <v>0</v>
      </c>
      <c r="S3192" s="107">
        <v>0</v>
      </c>
      <c r="T3192" s="107">
        <v>0</v>
      </c>
      <c r="U3192" s="107"/>
      <c r="V3192" s="107"/>
      <c r="W3192" s="107"/>
      <c r="X3192" s="107"/>
      <c r="Y3192" s="107"/>
      <c r="Z3192" s="107"/>
      <c r="AA3192" s="107"/>
      <c r="AB3192" s="107"/>
      <c r="AC3192" s="355"/>
      <c r="AD3192" s="355"/>
      <c r="AE3192" s="355"/>
      <c r="AF3192" s="94">
        <f t="shared" si="410"/>
        <v>41305</v>
      </c>
      <c r="AG3192" s="185">
        <f t="shared" si="417"/>
        <v>0.33808638604074015</v>
      </c>
      <c r="AH3192" s="339" t="str">
        <f>VLOOKUP(B3192,'MF PF'!A:B,2)</f>
        <v>FdMgt1</v>
      </c>
      <c r="AI3192" s="358">
        <f t="shared" si="411"/>
        <v>0</v>
      </c>
      <c r="AJ3192" s="94">
        <f t="shared" si="412"/>
        <v>41305</v>
      </c>
    </row>
    <row r="3193" spans="1:36" ht="12.75" customHeight="1">
      <c r="A3193" s="94">
        <v>41333</v>
      </c>
      <c r="B3193" s="94" t="s">
        <v>188</v>
      </c>
      <c r="C3193" s="358" t="s">
        <v>343</v>
      </c>
      <c r="D3193" s="98">
        <v>3781665.4965000004</v>
      </c>
      <c r="E3193" s="95">
        <f t="shared" si="416"/>
        <v>1205258.6137439176</v>
      </c>
      <c r="F3193" s="98">
        <v>0.33700000000000002</v>
      </c>
      <c r="G3193" s="98">
        <v>0</v>
      </c>
      <c r="H3193" s="98">
        <v>-4.6566128730773926E-10</v>
      </c>
      <c r="I3193" s="98">
        <v>0</v>
      </c>
      <c r="J3193" s="98"/>
      <c r="K3193" s="93">
        <v>3.1376382241757574</v>
      </c>
      <c r="L3193" s="93">
        <f t="shared" si="408"/>
        <v>-4.6566128730773926E-10</v>
      </c>
      <c r="M3193" s="95">
        <f t="shared" ca="1" si="409"/>
        <v>0</v>
      </c>
      <c r="N3193" s="95">
        <f>IF(P3193="Hedge Fund",IF(A3193=Summary!$AD$3,M3193-E3193,M3193),IF(A3193=Summary!$AD$3,L3193-D3193,L3193))</f>
        <v>-4.6566128730773926E-10</v>
      </c>
      <c r="O3193" s="95"/>
      <c r="P3193" s="107" t="s">
        <v>155</v>
      </c>
      <c r="Q3193" s="107">
        <v>0</v>
      </c>
      <c r="R3193" s="107">
        <v>0</v>
      </c>
      <c r="S3193" s="107">
        <v>0</v>
      </c>
      <c r="T3193" s="107">
        <v>0</v>
      </c>
      <c r="U3193" s="107"/>
      <c r="V3193" s="107"/>
      <c r="W3193" s="107"/>
      <c r="X3193" s="107"/>
      <c r="Y3193" s="107"/>
      <c r="Z3193" s="107"/>
      <c r="AA3193" s="107"/>
      <c r="AB3193" s="107"/>
      <c r="AC3193" s="355"/>
      <c r="AD3193" s="355"/>
      <c r="AE3193" s="355"/>
      <c r="AF3193" s="94">
        <f t="shared" si="410"/>
        <v>41333</v>
      </c>
      <c r="AG3193" s="185">
        <f t="shared" si="417"/>
        <v>-6.0379947944589007E-2</v>
      </c>
      <c r="AH3193" s="339" t="str">
        <f>VLOOKUP(B3193,'MF PF'!A:B,2)</f>
        <v>FdMgt1</v>
      </c>
      <c r="AI3193" s="358">
        <f t="shared" si="411"/>
        <v>0</v>
      </c>
      <c r="AJ3193" s="94">
        <f t="shared" si="412"/>
        <v>41333</v>
      </c>
    </row>
    <row r="3194" spans="1:36" ht="12.75" customHeight="1">
      <c r="A3194" s="94">
        <v>41361</v>
      </c>
      <c r="B3194" s="94" t="s">
        <v>188</v>
      </c>
      <c r="C3194" s="358" t="s">
        <v>343</v>
      </c>
      <c r="D3194" s="98">
        <v>2995614.1480000014</v>
      </c>
      <c r="E3194" s="95">
        <f t="shared" si="416"/>
        <v>954735.35633220908</v>
      </c>
      <c r="F3194" s="98">
        <v>0.33700000000000002</v>
      </c>
      <c r="G3194" s="98">
        <v>0</v>
      </c>
      <c r="H3194" s="98">
        <v>0</v>
      </c>
      <c r="I3194" s="98">
        <v>-24932.06</v>
      </c>
      <c r="J3194" s="98"/>
      <c r="K3194" s="93">
        <v>3.1376382241757574</v>
      </c>
      <c r="L3194" s="93">
        <f t="shared" si="408"/>
        <v>-24932.06</v>
      </c>
      <c r="M3194" s="95">
        <f t="shared" ca="1" si="409"/>
        <v>-7946.1232362279543</v>
      </c>
      <c r="N3194" s="95">
        <f>IF(P3194="Hedge Fund",IF(A3194=Summary!$AD$3,M3194-E3194,M3194),IF(A3194=Summary!$AD$3,L3194-D3194,L3194))</f>
        <v>-24932.06</v>
      </c>
      <c r="O3194" s="95"/>
      <c r="P3194" s="107" t="s">
        <v>155</v>
      </c>
      <c r="Q3194" s="107">
        <v>0</v>
      </c>
      <c r="R3194" s="107">
        <v>0</v>
      </c>
      <c r="S3194" s="107">
        <v>0</v>
      </c>
      <c r="T3194" s="107">
        <v>0</v>
      </c>
      <c r="U3194" s="107"/>
      <c r="V3194" s="107"/>
      <c r="W3194" s="107"/>
      <c r="X3194" s="107"/>
      <c r="Y3194" s="107"/>
      <c r="Z3194" s="107"/>
      <c r="AA3194" s="107"/>
      <c r="AB3194" s="107"/>
      <c r="AC3194" s="355"/>
      <c r="AD3194" s="355"/>
      <c r="AE3194" s="355"/>
      <c r="AF3194" s="94">
        <f t="shared" si="410"/>
        <v>41361</v>
      </c>
      <c r="AG3194" s="185">
        <f t="shared" si="417"/>
        <v>-0.20126562997293873</v>
      </c>
      <c r="AH3194" s="339" t="str">
        <f>VLOOKUP(B3194,'MF PF'!A:B,2)</f>
        <v>FdMgt1</v>
      </c>
      <c r="AI3194" s="358">
        <f t="shared" si="411"/>
        <v>0</v>
      </c>
      <c r="AJ3194" s="94">
        <f t="shared" si="412"/>
        <v>41364</v>
      </c>
    </row>
    <row r="3195" spans="1:36" ht="12.75" customHeight="1">
      <c r="A3195" s="94">
        <v>41394</v>
      </c>
      <c r="B3195" s="94" t="s">
        <v>188</v>
      </c>
      <c r="C3195" s="358" t="s">
        <v>343</v>
      </c>
      <c r="D3195" s="98">
        <v>2528752.7364999996</v>
      </c>
      <c r="E3195" s="95">
        <f t="shared" si="416"/>
        <v>805941.46164326859</v>
      </c>
      <c r="F3195" s="98">
        <v>0.33700000000000002</v>
      </c>
      <c r="G3195" s="98">
        <v>0</v>
      </c>
      <c r="H3195" s="98">
        <v>0</v>
      </c>
      <c r="I3195" s="98">
        <v>0</v>
      </c>
      <c r="J3195" s="98"/>
      <c r="K3195" s="93">
        <v>3.1376382241757574</v>
      </c>
      <c r="L3195" s="93">
        <f t="shared" si="408"/>
        <v>0</v>
      </c>
      <c r="M3195" s="95">
        <f t="shared" ca="1" si="409"/>
        <v>0</v>
      </c>
      <c r="N3195" s="95">
        <f>IF(P3195="Hedge Fund",IF(A3195=Summary!$AD$3,M3195-E3195,M3195),IF(A3195=Summary!$AD$3,L3195-D3195,L3195))</f>
        <v>0</v>
      </c>
      <c r="O3195" s="95"/>
      <c r="P3195" s="107" t="s">
        <v>155</v>
      </c>
      <c r="Q3195" s="107">
        <v>0</v>
      </c>
      <c r="R3195" s="107">
        <v>0</v>
      </c>
      <c r="S3195" s="107">
        <v>0</v>
      </c>
      <c r="T3195" s="107">
        <v>0</v>
      </c>
      <c r="U3195" s="107"/>
      <c r="V3195" s="107"/>
      <c r="W3195" s="107"/>
      <c r="X3195" s="107"/>
      <c r="Y3195" s="107"/>
      <c r="Z3195" s="107"/>
      <c r="AA3195" s="107"/>
      <c r="AB3195" s="107"/>
      <c r="AC3195" s="355"/>
      <c r="AD3195" s="355"/>
      <c r="AE3195" s="355"/>
      <c r="AF3195" s="94">
        <f t="shared" si="410"/>
        <v>41394</v>
      </c>
      <c r="AG3195" s="185">
        <f t="shared" si="417"/>
        <v>-0.15584831304515578</v>
      </c>
      <c r="AH3195" s="339" t="str">
        <f>VLOOKUP(B3195,'MF PF'!A:B,2)</f>
        <v>FdMgt1</v>
      </c>
      <c r="AI3195" s="358">
        <f t="shared" si="411"/>
        <v>0</v>
      </c>
      <c r="AJ3195" s="94">
        <f t="shared" si="412"/>
        <v>41394</v>
      </c>
    </row>
    <row r="3196" spans="1:36" ht="12.75" customHeight="1">
      <c r="A3196" s="94">
        <v>41425</v>
      </c>
      <c r="B3196" s="94" t="s">
        <v>188</v>
      </c>
      <c r="C3196" s="358" t="s">
        <v>343</v>
      </c>
      <c r="D3196" s="98">
        <v>2691851.9058000003</v>
      </c>
      <c r="E3196" s="95">
        <f t="shared" si="416"/>
        <v>857922.97055124538</v>
      </c>
      <c r="F3196" s="98">
        <v>0.33700000000000002</v>
      </c>
      <c r="G3196" s="98">
        <v>0</v>
      </c>
      <c r="H3196" s="98">
        <v>0</v>
      </c>
      <c r="I3196" s="98">
        <v>-15318.77</v>
      </c>
      <c r="J3196" s="98"/>
      <c r="K3196" s="93">
        <v>3.1376382241757574</v>
      </c>
      <c r="L3196" s="93">
        <f t="shared" si="408"/>
        <v>-15318.77</v>
      </c>
      <c r="M3196" s="95">
        <f t="shared" ca="1" si="409"/>
        <v>-4882.261403487385</v>
      </c>
      <c r="N3196" s="95">
        <f>IF(P3196="Hedge Fund",IF(A3196=Summary!$AD$3,M3196-E3196,M3196),IF(A3196=Summary!$AD$3,L3196-D3196,L3196))</f>
        <v>-15318.77</v>
      </c>
      <c r="O3196" s="95"/>
      <c r="P3196" s="107" t="s">
        <v>155</v>
      </c>
      <c r="Q3196" s="107">
        <v>0</v>
      </c>
      <c r="R3196" s="107">
        <v>0</v>
      </c>
      <c r="S3196" s="107">
        <v>0</v>
      </c>
      <c r="T3196" s="107">
        <v>0</v>
      </c>
      <c r="U3196" s="107"/>
      <c r="V3196" s="107"/>
      <c r="W3196" s="107"/>
      <c r="X3196" s="107"/>
      <c r="Y3196" s="107"/>
      <c r="Z3196" s="107"/>
      <c r="AA3196" s="107"/>
      <c r="AB3196" s="107"/>
      <c r="AC3196" s="355"/>
      <c r="AD3196" s="355"/>
      <c r="AE3196" s="355"/>
      <c r="AF3196" s="94">
        <f t="shared" si="410"/>
        <v>41425</v>
      </c>
      <c r="AG3196" s="185">
        <f t="shared" si="417"/>
        <v>7.0555707849453642E-2</v>
      </c>
      <c r="AH3196" s="339" t="str">
        <f>VLOOKUP(B3196,'MF PF'!A:B,2)</f>
        <v>FdMgt1</v>
      </c>
      <c r="AI3196" s="358">
        <f t="shared" si="411"/>
        <v>0</v>
      </c>
      <c r="AJ3196" s="94">
        <f t="shared" si="412"/>
        <v>41425</v>
      </c>
    </row>
    <row r="3197" spans="1:36" ht="12.75" customHeight="1">
      <c r="A3197" s="94">
        <v>41453</v>
      </c>
      <c r="B3197" s="94" t="s">
        <v>188</v>
      </c>
      <c r="C3197" s="358" t="s">
        <v>343</v>
      </c>
      <c r="D3197" s="98">
        <v>2681525.3633000022</v>
      </c>
      <c r="E3197" s="95">
        <f t="shared" si="416"/>
        <v>854631.78725916566</v>
      </c>
      <c r="F3197" s="98">
        <v>0.33700000000000002</v>
      </c>
      <c r="G3197" s="98">
        <v>0</v>
      </c>
      <c r="H3197" s="98">
        <v>0</v>
      </c>
      <c r="I3197" s="98">
        <v>0</v>
      </c>
      <c r="J3197" s="98"/>
      <c r="K3197" s="93">
        <v>3.1376382241757574</v>
      </c>
      <c r="L3197" s="93">
        <f t="shared" si="408"/>
        <v>0</v>
      </c>
      <c r="M3197" s="95">
        <f t="shared" ca="1" si="409"/>
        <v>0</v>
      </c>
      <c r="N3197" s="95">
        <f>IF(P3197="Hedge Fund",IF(A3197=Summary!$AD$3,M3197-E3197,M3197),IF(A3197=Summary!$AD$3,L3197-D3197,L3197))</f>
        <v>0</v>
      </c>
      <c r="O3197" s="95"/>
      <c r="P3197" s="107" t="s">
        <v>155</v>
      </c>
      <c r="Q3197" s="107">
        <v>0</v>
      </c>
      <c r="R3197" s="107">
        <v>0</v>
      </c>
      <c r="S3197" s="107">
        <v>0</v>
      </c>
      <c r="T3197" s="107">
        <v>0</v>
      </c>
      <c r="U3197" s="107"/>
      <c r="V3197" s="107"/>
      <c r="W3197" s="107"/>
      <c r="X3197" s="107"/>
      <c r="Y3197" s="107"/>
      <c r="Z3197" s="107"/>
      <c r="AA3197" s="107"/>
      <c r="AB3197" s="107"/>
      <c r="AC3197" s="355"/>
      <c r="AD3197" s="355"/>
      <c r="AE3197" s="355"/>
      <c r="AF3197" s="94">
        <f t="shared" si="410"/>
        <v>41453</v>
      </c>
      <c r="AG3197" s="185">
        <f t="shared" si="417"/>
        <v>-3.8362223708324761E-3</v>
      </c>
      <c r="AH3197" s="339" t="str">
        <f>VLOOKUP(B3197,'MF PF'!A:B,2)</f>
        <v>FdMgt1</v>
      </c>
      <c r="AI3197" s="358">
        <f t="shared" si="411"/>
        <v>0</v>
      </c>
      <c r="AJ3197" s="94">
        <f t="shared" si="412"/>
        <v>41455</v>
      </c>
    </row>
    <row r="3198" spans="1:36" ht="12.75" customHeight="1">
      <c r="A3198" s="94">
        <v>41486</v>
      </c>
      <c r="B3198" s="94" t="s">
        <v>188</v>
      </c>
      <c r="C3198" s="358" t="s">
        <v>343</v>
      </c>
      <c r="D3198" s="98">
        <v>2161177.1543000005</v>
      </c>
      <c r="E3198" s="95">
        <f t="shared" si="416"/>
        <v>688791.05871669808</v>
      </c>
      <c r="F3198" s="98">
        <v>0.33700000000000002</v>
      </c>
      <c r="G3198" s="98">
        <v>0</v>
      </c>
      <c r="H3198" s="98">
        <v>0</v>
      </c>
      <c r="I3198" s="98">
        <v>0</v>
      </c>
      <c r="J3198" s="98"/>
      <c r="K3198" s="93">
        <v>3.1376382241757574</v>
      </c>
      <c r="L3198" s="93">
        <f t="shared" si="408"/>
        <v>0</v>
      </c>
      <c r="M3198" s="95">
        <f t="shared" ca="1" si="409"/>
        <v>0</v>
      </c>
      <c r="N3198" s="95">
        <f>IF(P3198="Hedge Fund",IF(A3198=Summary!$AD$3,M3198-E3198,M3198),IF(A3198=Summary!$AD$3,L3198-D3198,L3198))</f>
        <v>0</v>
      </c>
      <c r="O3198" s="95"/>
      <c r="P3198" s="107" t="s">
        <v>155</v>
      </c>
      <c r="Q3198" s="107">
        <v>0</v>
      </c>
      <c r="R3198" s="107">
        <v>0</v>
      </c>
      <c r="S3198" s="107">
        <v>0</v>
      </c>
      <c r="T3198" s="107">
        <v>0</v>
      </c>
      <c r="U3198" s="107"/>
      <c r="V3198" s="107"/>
      <c r="W3198" s="107"/>
      <c r="X3198" s="107"/>
      <c r="Y3198" s="107"/>
      <c r="Z3198" s="107"/>
      <c r="AA3198" s="107"/>
      <c r="AB3198" s="107"/>
      <c r="AC3198" s="355"/>
      <c r="AD3198" s="355"/>
      <c r="AE3198" s="355"/>
      <c r="AF3198" s="94">
        <f t="shared" si="410"/>
        <v>41486</v>
      </c>
      <c r="AG3198" s="185">
        <f t="shared" si="417"/>
        <v>-0.1940493333091724</v>
      </c>
      <c r="AH3198" s="339" t="str">
        <f>VLOOKUP(B3198,'MF PF'!A:B,2)</f>
        <v>FdMgt1</v>
      </c>
      <c r="AI3198" s="358">
        <f t="shared" si="411"/>
        <v>0</v>
      </c>
      <c r="AJ3198" s="94">
        <f t="shared" si="412"/>
        <v>41486</v>
      </c>
    </row>
    <row r="3199" spans="1:36" ht="12.75" customHeight="1">
      <c r="A3199" s="94">
        <v>41516</v>
      </c>
      <c r="B3199" s="94" t="s">
        <v>188</v>
      </c>
      <c r="C3199" s="358" t="s">
        <v>343</v>
      </c>
      <c r="D3199" s="98">
        <v>1834764.7962999991</v>
      </c>
      <c r="E3199" s="95">
        <f t="shared" si="416"/>
        <v>584759.83055120485</v>
      </c>
      <c r="F3199" s="98">
        <v>0.33700000000000002</v>
      </c>
      <c r="G3199" s="98">
        <v>0</v>
      </c>
      <c r="H3199" s="98">
        <v>0</v>
      </c>
      <c r="I3199" s="98">
        <v>0</v>
      </c>
      <c r="J3199" s="98"/>
      <c r="K3199" s="93">
        <v>3.1376382241757574</v>
      </c>
      <c r="L3199" s="93">
        <f t="shared" si="408"/>
        <v>0</v>
      </c>
      <c r="M3199" s="95">
        <f t="shared" ca="1" si="409"/>
        <v>0</v>
      </c>
      <c r="N3199" s="95">
        <f>IF(P3199="Hedge Fund",IF(A3199=Summary!$AD$3,M3199-E3199,M3199),IF(A3199=Summary!$AD$3,L3199-D3199,L3199))</f>
        <v>0</v>
      </c>
      <c r="O3199" s="95"/>
      <c r="P3199" s="107" t="s">
        <v>155</v>
      </c>
      <c r="Q3199" s="107">
        <v>0</v>
      </c>
      <c r="R3199" s="107">
        <v>0</v>
      </c>
      <c r="S3199" s="107">
        <v>0</v>
      </c>
      <c r="T3199" s="107">
        <v>0</v>
      </c>
      <c r="U3199" s="107"/>
      <c r="V3199" s="107"/>
      <c r="W3199" s="107"/>
      <c r="X3199" s="107"/>
      <c r="Y3199" s="107"/>
      <c r="Z3199" s="107"/>
      <c r="AA3199" s="107"/>
      <c r="AB3199" s="107"/>
      <c r="AC3199" s="355"/>
      <c r="AD3199" s="355"/>
      <c r="AE3199" s="355"/>
      <c r="AF3199" s="94">
        <f t="shared" si="410"/>
        <v>41516</v>
      </c>
      <c r="AG3199" s="185">
        <f t="shared" si="417"/>
        <v>-0.15103452178853216</v>
      </c>
      <c r="AH3199" s="339" t="str">
        <f>VLOOKUP(B3199,'MF PF'!A:B,2)</f>
        <v>FdMgt1</v>
      </c>
      <c r="AI3199" s="358">
        <f t="shared" si="411"/>
        <v>0</v>
      </c>
      <c r="AJ3199" s="94">
        <f t="shared" si="412"/>
        <v>41517</v>
      </c>
    </row>
    <row r="3200" spans="1:36" ht="12.75" customHeight="1">
      <c r="A3200" s="94">
        <v>41547</v>
      </c>
      <c r="B3200" s="94" t="s">
        <v>188</v>
      </c>
      <c r="C3200" s="358" t="s">
        <v>343</v>
      </c>
      <c r="D3200" s="98">
        <v>1971752.4828000003</v>
      </c>
      <c r="E3200" s="95">
        <f t="shared" si="416"/>
        <v>628419.32113380288</v>
      </c>
      <c r="F3200" s="98">
        <v>0.33700000000000002</v>
      </c>
      <c r="G3200" s="98">
        <v>0</v>
      </c>
      <c r="H3200" s="98">
        <v>0</v>
      </c>
      <c r="I3200" s="98">
        <v>-26423.59</v>
      </c>
      <c r="J3200" s="98"/>
      <c r="K3200" s="93">
        <v>3.1376382241757574</v>
      </c>
      <c r="L3200" s="93">
        <f t="shared" si="408"/>
        <v>-26423.59</v>
      </c>
      <c r="M3200" s="95">
        <f t="shared" ca="1" si="409"/>
        <v>-8421.4903414944692</v>
      </c>
      <c r="N3200" s="95">
        <f>IF(P3200="Hedge Fund",IF(A3200=Summary!$AD$3,M3200-E3200,M3200),IF(A3200=Summary!$AD$3,L3200-D3200,L3200))</f>
        <v>-26423.59</v>
      </c>
      <c r="O3200" s="95"/>
      <c r="P3200" s="107" t="s">
        <v>155</v>
      </c>
      <c r="Q3200" s="107">
        <v>0</v>
      </c>
      <c r="R3200" s="107">
        <v>0</v>
      </c>
      <c r="S3200" s="107">
        <v>0</v>
      </c>
      <c r="T3200" s="107">
        <v>0</v>
      </c>
      <c r="U3200" s="107"/>
      <c r="V3200" s="107"/>
      <c r="W3200" s="107"/>
      <c r="X3200" s="107"/>
      <c r="Y3200" s="107"/>
      <c r="Z3200" s="107"/>
      <c r="AA3200" s="107"/>
      <c r="AB3200" s="107"/>
      <c r="AC3200" s="355"/>
      <c r="AD3200" s="355"/>
      <c r="AE3200" s="355"/>
      <c r="AF3200" s="94">
        <f t="shared" si="410"/>
        <v>41547</v>
      </c>
      <c r="AG3200" s="185">
        <f t="shared" si="417"/>
        <v>8.9063882645632697E-2</v>
      </c>
      <c r="AH3200" s="339" t="str">
        <f>VLOOKUP(B3200,'MF PF'!A:B,2)</f>
        <v>FdMgt1</v>
      </c>
      <c r="AI3200" s="358">
        <f t="shared" si="411"/>
        <v>0</v>
      </c>
      <c r="AJ3200" s="94">
        <f t="shared" si="412"/>
        <v>41547</v>
      </c>
    </row>
    <row r="3201" spans="1:53" ht="12.75" customHeight="1">
      <c r="A3201" s="94">
        <v>41578</v>
      </c>
      <c r="B3201" s="94" t="s">
        <v>188</v>
      </c>
      <c r="C3201" s="358" t="s">
        <v>343</v>
      </c>
      <c r="D3201" s="98">
        <v>2083476.1063000001</v>
      </c>
      <c r="E3201" s="95">
        <f t="shared" si="416"/>
        <v>664026.8754525769</v>
      </c>
      <c r="F3201" s="98">
        <v>0.33700000000000002</v>
      </c>
      <c r="G3201" s="98">
        <v>0</v>
      </c>
      <c r="H3201" s="98">
        <v>-2.3283064365386963E-10</v>
      </c>
      <c r="I3201" s="98">
        <v>0</v>
      </c>
      <c r="J3201" s="98"/>
      <c r="K3201" s="93">
        <v>3.1376382241757574</v>
      </c>
      <c r="L3201" s="93">
        <f t="shared" ref="L3201:L3264" si="418">G3201+H3201+I3201</f>
        <v>-2.3283064365386963E-10</v>
      </c>
      <c r="M3201" s="95">
        <f t="shared" ref="M3201:M3264" ca="1" si="419">IF(A3201&gt;INDIRECT("A"&amp;ROW()-1),I3201/K3201,E3201)</f>
        <v>0</v>
      </c>
      <c r="N3201" s="95">
        <f>IF(P3201="Hedge Fund",IF(A3201=Summary!$AD$3,M3201-E3201,M3201),IF(A3201=Summary!$AD$3,L3201-D3201,L3201))</f>
        <v>-2.3283064365386963E-10</v>
      </c>
      <c r="O3201" s="95"/>
      <c r="P3201" s="107" t="s">
        <v>155</v>
      </c>
      <c r="Q3201" s="107">
        <v>0</v>
      </c>
      <c r="R3201" s="107">
        <v>0</v>
      </c>
      <c r="S3201" s="107">
        <v>0</v>
      </c>
      <c r="T3201" s="107">
        <v>0</v>
      </c>
      <c r="U3201" s="107"/>
      <c r="V3201" s="107"/>
      <c r="W3201" s="107"/>
      <c r="X3201" s="107"/>
      <c r="Y3201" s="107"/>
      <c r="Z3201" s="107"/>
      <c r="AA3201" s="107"/>
      <c r="AB3201" s="107"/>
      <c r="AC3201" s="355"/>
      <c r="AD3201" s="355"/>
      <c r="AE3201" s="355"/>
      <c r="AF3201" s="94">
        <f t="shared" ref="AF3201:AF3264" si="420">A3201</f>
        <v>41578</v>
      </c>
      <c r="AG3201" s="185">
        <f t="shared" si="417"/>
        <v>5.666209348008322E-2</v>
      </c>
      <c r="AH3201" s="339" t="str">
        <f>VLOOKUP(B3201,'MF PF'!A:B,2)</f>
        <v>FdMgt1</v>
      </c>
      <c r="AI3201" s="358">
        <f t="shared" ref="AI3201:AI3264" si="421">AF3201-A3201</f>
        <v>0</v>
      </c>
      <c r="AJ3201" s="94">
        <f t="shared" ref="AJ3201:AJ3264" si="422">EOMONTH(A3201,0)</f>
        <v>41578</v>
      </c>
    </row>
    <row r="3202" spans="1:53" ht="12.75" customHeight="1">
      <c r="A3202" s="94">
        <v>41607</v>
      </c>
      <c r="B3202" s="94" t="s">
        <v>188</v>
      </c>
      <c r="C3202" s="358" t="s">
        <v>343</v>
      </c>
      <c r="D3202" s="98">
        <v>1860346.6252999993</v>
      </c>
      <c r="E3202" s="95">
        <f t="shared" ref="E3202:E3233" si="423">D3202/K3202</f>
        <v>592913.04235328257</v>
      </c>
      <c r="F3202" s="98">
        <v>0.33700000000000002</v>
      </c>
      <c r="G3202" s="98">
        <v>0</v>
      </c>
      <c r="H3202" s="98">
        <v>0</v>
      </c>
      <c r="I3202" s="98">
        <v>0</v>
      </c>
      <c r="J3202" s="98"/>
      <c r="K3202" s="93">
        <v>3.1376382241757574</v>
      </c>
      <c r="L3202" s="93">
        <f t="shared" si="418"/>
        <v>0</v>
      </c>
      <c r="M3202" s="95">
        <f t="shared" ca="1" si="419"/>
        <v>0</v>
      </c>
      <c r="N3202" s="95">
        <f>IF(P3202="Hedge Fund",IF(A3202=Summary!$AD$3,M3202-E3202,M3202),IF(A3202=Summary!$AD$3,L3202-D3202,L3202))</f>
        <v>0</v>
      </c>
      <c r="O3202" s="95"/>
      <c r="P3202" s="107" t="s">
        <v>155</v>
      </c>
      <c r="Q3202" s="107">
        <v>0</v>
      </c>
      <c r="R3202" s="107">
        <v>0</v>
      </c>
      <c r="S3202" s="107">
        <v>0</v>
      </c>
      <c r="T3202" s="107">
        <v>0</v>
      </c>
      <c r="U3202" s="107"/>
      <c r="V3202" s="107"/>
      <c r="W3202" s="107"/>
      <c r="X3202" s="107"/>
      <c r="Y3202" s="107"/>
      <c r="Z3202" s="107"/>
      <c r="AA3202" s="107"/>
      <c r="AB3202" s="107"/>
      <c r="AC3202" s="355"/>
      <c r="AD3202" s="355"/>
      <c r="AE3202" s="355"/>
      <c r="AF3202" s="94">
        <f t="shared" si="420"/>
        <v>41607</v>
      </c>
      <c r="AG3202" s="185">
        <f t="shared" si="417"/>
        <v>-0.10709481156289891</v>
      </c>
      <c r="AH3202" s="339" t="str">
        <f>VLOOKUP(B3202,'MF PF'!A:B,2)</f>
        <v>FdMgt1</v>
      </c>
      <c r="AI3202" s="358">
        <f t="shared" si="421"/>
        <v>0</v>
      </c>
      <c r="AJ3202" s="94">
        <f t="shared" si="422"/>
        <v>41608</v>
      </c>
    </row>
    <row r="3203" spans="1:53" ht="12.75" customHeight="1">
      <c r="A3203" s="94">
        <v>41639</v>
      </c>
      <c r="B3203" s="94" t="s">
        <v>188</v>
      </c>
      <c r="C3203" s="358" t="s">
        <v>343</v>
      </c>
      <c r="D3203" s="98">
        <v>1949589.1707999995</v>
      </c>
      <c r="E3203" s="95">
        <f t="shared" si="423"/>
        <v>621355.62850371224</v>
      </c>
      <c r="F3203" s="98">
        <v>0.33700000000000002</v>
      </c>
      <c r="G3203" s="98">
        <v>0</v>
      </c>
      <c r="H3203" s="98">
        <v>0</v>
      </c>
      <c r="I3203" s="98">
        <v>0</v>
      </c>
      <c r="J3203" s="98"/>
      <c r="K3203" s="93">
        <v>3.1376382241757574</v>
      </c>
      <c r="L3203" s="93">
        <f t="shared" si="418"/>
        <v>0</v>
      </c>
      <c r="M3203" s="95">
        <f t="shared" ca="1" si="419"/>
        <v>0</v>
      </c>
      <c r="N3203" s="95">
        <f>IF(P3203="Hedge Fund",IF(A3203=Summary!$AD$3,M3203-E3203,M3203),IF(A3203=Summary!$AD$3,L3203-D3203,L3203))</f>
        <v>0</v>
      </c>
      <c r="O3203" s="95"/>
      <c r="P3203" s="107" t="s">
        <v>155</v>
      </c>
      <c r="Q3203" s="107">
        <v>0</v>
      </c>
      <c r="R3203" s="107">
        <v>0</v>
      </c>
      <c r="S3203" s="107">
        <v>0</v>
      </c>
      <c r="T3203" s="107">
        <v>0</v>
      </c>
      <c r="U3203" s="107"/>
      <c r="V3203" s="107"/>
      <c r="W3203" s="107"/>
      <c r="X3203" s="107"/>
      <c r="Y3203" s="107"/>
      <c r="Z3203" s="107"/>
      <c r="AA3203" s="107"/>
      <c r="AB3203" s="107"/>
      <c r="AC3203" s="355"/>
      <c r="AD3203" s="355"/>
      <c r="AE3203" s="355"/>
      <c r="AF3203" s="94">
        <f t="shared" si="420"/>
        <v>41639</v>
      </c>
      <c r="AG3203" s="185">
        <f t="shared" si="417"/>
        <v>4.7970923421654765E-2</v>
      </c>
      <c r="AH3203" s="339" t="str">
        <f>VLOOKUP(B3203,'MF PF'!A:B,2)</f>
        <v>FdMgt1</v>
      </c>
      <c r="AI3203" s="358">
        <f t="shared" si="421"/>
        <v>0</v>
      </c>
      <c r="AJ3203" s="94">
        <f t="shared" si="422"/>
        <v>41639</v>
      </c>
    </row>
    <row r="3204" spans="1:53" ht="12.75" customHeight="1">
      <c r="A3204" s="94">
        <v>41669</v>
      </c>
      <c r="B3204" s="94" t="s">
        <v>188</v>
      </c>
      <c r="C3204" s="358" t="s">
        <v>343</v>
      </c>
      <c r="D3204" s="98">
        <v>1731389.8297999995</v>
      </c>
      <c r="E3204" s="95">
        <f t="shared" si="423"/>
        <v>551813.08554297313</v>
      </c>
      <c r="F3204" s="98">
        <v>0.33700000000000002</v>
      </c>
      <c r="G3204" s="98">
        <v>0</v>
      </c>
      <c r="H3204" s="98">
        <v>0</v>
      </c>
      <c r="I3204" s="98">
        <v>0</v>
      </c>
      <c r="J3204" s="98"/>
      <c r="K3204" s="93">
        <v>3.1376382241757574</v>
      </c>
      <c r="L3204" s="93">
        <f t="shared" si="418"/>
        <v>0</v>
      </c>
      <c r="M3204" s="95">
        <f t="shared" ca="1" si="419"/>
        <v>0</v>
      </c>
      <c r="N3204" s="95">
        <f>IF(P3204="Hedge Fund",IF(A3204=Summary!$AD$3,M3204-E3204,M3204),IF(A3204=Summary!$AD$3,L3204-D3204,L3204))</f>
        <v>0</v>
      </c>
      <c r="O3204" s="95"/>
      <c r="P3204" s="107" t="s">
        <v>155</v>
      </c>
      <c r="Q3204" s="107">
        <v>0</v>
      </c>
      <c r="R3204" s="107">
        <v>0</v>
      </c>
      <c r="S3204" s="107">
        <v>0</v>
      </c>
      <c r="T3204" s="107">
        <v>0</v>
      </c>
      <c r="U3204" s="107"/>
      <c r="V3204" s="107"/>
      <c r="W3204" s="107"/>
      <c r="X3204" s="107"/>
      <c r="Y3204" s="107"/>
      <c r="Z3204" s="107"/>
      <c r="AA3204" s="107"/>
      <c r="AB3204" s="107"/>
      <c r="AC3204" s="355"/>
      <c r="AD3204" s="355"/>
      <c r="AE3204" s="355"/>
      <c r="AF3204" s="94">
        <f t="shared" si="420"/>
        <v>41669</v>
      </c>
      <c r="AG3204" s="185">
        <f t="shared" si="417"/>
        <v>-0.11192067758073543</v>
      </c>
      <c r="AH3204" s="339" t="str">
        <f>VLOOKUP(B3204,'MF PF'!A:B,2)</f>
        <v>FdMgt1</v>
      </c>
      <c r="AI3204" s="358">
        <f t="shared" si="421"/>
        <v>0</v>
      </c>
      <c r="AJ3204" s="94">
        <f t="shared" si="422"/>
        <v>41670</v>
      </c>
    </row>
    <row r="3205" spans="1:53" ht="12.75" customHeight="1">
      <c r="A3205" s="94">
        <v>41698</v>
      </c>
      <c r="B3205" s="94" t="s">
        <v>188</v>
      </c>
      <c r="C3205" s="358" t="s">
        <v>343</v>
      </c>
      <c r="D3205" s="98">
        <v>1426557.8423000004</v>
      </c>
      <c r="E3205" s="95">
        <f t="shared" si="423"/>
        <v>454659.76010499115</v>
      </c>
      <c r="F3205" s="98">
        <v>0.33700000000000002</v>
      </c>
      <c r="G3205" s="98">
        <v>0</v>
      </c>
      <c r="H3205" s="98">
        <v>0</v>
      </c>
      <c r="I3205" s="98">
        <v>0</v>
      </c>
      <c r="J3205" s="98"/>
      <c r="K3205" s="93">
        <v>3.1376382241757574</v>
      </c>
      <c r="L3205" s="93">
        <f t="shared" si="418"/>
        <v>0</v>
      </c>
      <c r="M3205" s="95">
        <f t="shared" ca="1" si="419"/>
        <v>0</v>
      </c>
      <c r="N3205" s="95">
        <f>IF(P3205="Hedge Fund",IF(A3205=Summary!$AD$3,M3205-E3205,M3205),IF(A3205=Summary!$AD$3,L3205-D3205,L3205))</f>
        <v>0</v>
      </c>
      <c r="O3205" s="95"/>
      <c r="P3205" s="107" t="s">
        <v>155</v>
      </c>
      <c r="Q3205" s="107">
        <v>0</v>
      </c>
      <c r="R3205" s="107">
        <v>0</v>
      </c>
      <c r="S3205" s="107">
        <v>0</v>
      </c>
      <c r="T3205" s="107">
        <v>0</v>
      </c>
      <c r="U3205" s="107"/>
      <c r="V3205" s="107"/>
      <c r="W3205" s="107"/>
      <c r="X3205" s="107"/>
      <c r="Y3205" s="107"/>
      <c r="Z3205" s="107"/>
      <c r="AA3205" s="107"/>
      <c r="AB3205" s="107"/>
      <c r="AC3205" s="355"/>
      <c r="AD3205" s="355"/>
      <c r="AE3205" s="355"/>
      <c r="AF3205" s="94">
        <f t="shared" si="420"/>
        <v>41698</v>
      </c>
      <c r="AG3205" s="185">
        <f t="shared" si="417"/>
        <v>-0.17606201806973276</v>
      </c>
      <c r="AH3205" s="339" t="str">
        <f>VLOOKUP(B3205,'MF PF'!A:B,2)</f>
        <v>FdMgt1</v>
      </c>
      <c r="AI3205" s="358">
        <f t="shared" si="421"/>
        <v>0</v>
      </c>
      <c r="AJ3205" s="94">
        <f t="shared" si="422"/>
        <v>41698</v>
      </c>
    </row>
    <row r="3206" spans="1:53" ht="12.75" customHeight="1">
      <c r="A3206" s="94">
        <v>41729</v>
      </c>
      <c r="B3206" s="94" t="s">
        <v>188</v>
      </c>
      <c r="C3206" s="358" t="s">
        <v>343</v>
      </c>
      <c r="D3206" s="98">
        <v>1308862.3093000003</v>
      </c>
      <c r="E3206" s="95">
        <f t="shared" si="423"/>
        <v>417148.89218747715</v>
      </c>
      <c r="F3206" s="98">
        <v>0.33700000000000002</v>
      </c>
      <c r="G3206" s="98">
        <v>0</v>
      </c>
      <c r="H3206" s="98">
        <v>0</v>
      </c>
      <c r="I3206" s="98">
        <v>-16850</v>
      </c>
      <c r="J3206" s="98"/>
      <c r="K3206" s="93">
        <v>3.1376382241757574</v>
      </c>
      <c r="L3206" s="93">
        <f t="shared" si="418"/>
        <v>-16850</v>
      </c>
      <c r="M3206" s="95">
        <f t="shared" ca="1" si="419"/>
        <v>-5370.2813377811954</v>
      </c>
      <c r="N3206" s="95">
        <f>IF(P3206="Hedge Fund",IF(A3206=Summary!$AD$3,M3206-E3206,M3206),IF(A3206=Summary!$AD$3,L3206-D3206,L3206))</f>
        <v>-16850</v>
      </c>
      <c r="O3206" s="95"/>
      <c r="P3206" s="107" t="s">
        <v>155</v>
      </c>
      <c r="Q3206" s="107">
        <v>0</v>
      </c>
      <c r="R3206" s="107">
        <v>0</v>
      </c>
      <c r="S3206" s="107">
        <v>0</v>
      </c>
      <c r="T3206" s="107">
        <v>0</v>
      </c>
      <c r="U3206" s="107"/>
      <c r="V3206" s="107"/>
      <c r="W3206" s="107"/>
      <c r="X3206" s="107"/>
      <c r="Y3206" s="107"/>
      <c r="Z3206" s="107"/>
      <c r="AA3206" s="107"/>
      <c r="AB3206" s="107"/>
      <c r="AC3206" s="355"/>
      <c r="AD3206" s="355"/>
      <c r="AE3206" s="355"/>
      <c r="AF3206" s="94">
        <f t="shared" si="420"/>
        <v>41729</v>
      </c>
      <c r="AG3206" s="185">
        <f t="shared" si="417"/>
        <v>-7.0691513522795235E-2</v>
      </c>
      <c r="AH3206" s="339" t="str">
        <f>VLOOKUP(B3206,'MF PF'!A:B,2)</f>
        <v>FdMgt1</v>
      </c>
      <c r="AI3206" s="358">
        <f t="shared" si="421"/>
        <v>0</v>
      </c>
      <c r="AJ3206" s="94">
        <f t="shared" si="422"/>
        <v>41729</v>
      </c>
      <c r="AK3206" s="358"/>
      <c r="AL3206" s="358"/>
      <c r="AM3206" s="358"/>
      <c r="AN3206" s="358"/>
      <c r="AO3206" s="358"/>
      <c r="AP3206" s="358"/>
      <c r="AQ3206" s="358"/>
      <c r="AR3206" s="358"/>
      <c r="AS3206" s="358"/>
      <c r="AT3206" s="358"/>
      <c r="AU3206" s="358"/>
      <c r="AV3206" s="358"/>
      <c r="AW3206" s="358"/>
      <c r="AX3206" s="358"/>
      <c r="AY3206" s="358"/>
      <c r="AZ3206" s="358"/>
      <c r="BA3206" s="358"/>
    </row>
    <row r="3207" spans="1:53" ht="12.75" customHeight="1">
      <c r="A3207" s="94">
        <v>41759</v>
      </c>
      <c r="B3207" s="94" t="s">
        <v>188</v>
      </c>
      <c r="C3207" s="358" t="s">
        <v>343</v>
      </c>
      <c r="D3207" s="98">
        <v>1259938.4853000003</v>
      </c>
      <c r="E3207" s="95">
        <f t="shared" si="423"/>
        <v>401556.32844859932</v>
      </c>
      <c r="F3207" s="98">
        <v>0.33700000000000002</v>
      </c>
      <c r="G3207" s="98">
        <v>0</v>
      </c>
      <c r="H3207" s="98">
        <v>0</v>
      </c>
      <c r="I3207" s="98">
        <v>0</v>
      </c>
      <c r="J3207" s="98"/>
      <c r="K3207" s="93">
        <v>3.1376382241757574</v>
      </c>
      <c r="L3207" s="93">
        <f t="shared" si="418"/>
        <v>0</v>
      </c>
      <c r="M3207" s="95">
        <f t="shared" ca="1" si="419"/>
        <v>0</v>
      </c>
      <c r="N3207" s="95">
        <f>IF(P3207="Hedge Fund",IF(A3207=Summary!$AD$3,M3207-E3207,M3207),IF(A3207=Summary!$AD$3,L3207-D3207,L3207))</f>
        <v>0</v>
      </c>
      <c r="O3207" s="95"/>
      <c r="P3207" s="107" t="s">
        <v>155</v>
      </c>
      <c r="Q3207" s="107">
        <v>0</v>
      </c>
      <c r="R3207" s="107">
        <v>0</v>
      </c>
      <c r="S3207" s="107">
        <v>0</v>
      </c>
      <c r="T3207" s="107">
        <v>0</v>
      </c>
      <c r="U3207" s="107"/>
      <c r="V3207" s="107"/>
      <c r="W3207" s="107"/>
      <c r="X3207" s="107"/>
      <c r="Y3207" s="107"/>
      <c r="Z3207" s="107"/>
      <c r="AA3207" s="107"/>
      <c r="AB3207" s="107"/>
      <c r="AC3207" s="355"/>
      <c r="AD3207" s="355"/>
      <c r="AE3207" s="355"/>
      <c r="AF3207" s="94">
        <f t="shared" si="420"/>
        <v>41759</v>
      </c>
      <c r="AG3207" s="185">
        <f t="shared" si="417"/>
        <v>-3.7378892838747291E-2</v>
      </c>
      <c r="AH3207" s="339" t="str">
        <f>VLOOKUP(B3207,'MF PF'!A:B,2)</f>
        <v>FdMgt1</v>
      </c>
      <c r="AI3207" s="358">
        <f t="shared" si="421"/>
        <v>0</v>
      </c>
      <c r="AJ3207" s="94">
        <f t="shared" si="422"/>
        <v>41759</v>
      </c>
      <c r="AK3207" s="358"/>
      <c r="AL3207" s="358"/>
      <c r="AM3207" s="358"/>
      <c r="AN3207" s="358"/>
      <c r="AO3207" s="358"/>
      <c r="AP3207" s="358"/>
      <c r="AQ3207" s="358"/>
      <c r="AR3207" s="358"/>
      <c r="AS3207" s="358"/>
      <c r="AT3207" s="358"/>
      <c r="AU3207" s="358"/>
      <c r="AV3207" s="358"/>
      <c r="AW3207" s="358"/>
      <c r="AX3207" s="358"/>
      <c r="AY3207" s="358"/>
      <c r="AZ3207" s="358"/>
      <c r="BA3207" s="358"/>
    </row>
    <row r="3208" spans="1:53" ht="12.75" customHeight="1">
      <c r="A3208" s="94">
        <v>41789</v>
      </c>
      <c r="B3208" s="94" t="s">
        <v>188</v>
      </c>
      <c r="C3208" s="358" t="s">
        <v>343</v>
      </c>
      <c r="D3208" s="98">
        <v>1159868.1062999994</v>
      </c>
      <c r="E3208" s="95">
        <f t="shared" si="423"/>
        <v>369662.79202080134</v>
      </c>
      <c r="F3208" s="98">
        <v>0.33700000000000002</v>
      </c>
      <c r="G3208" s="98">
        <v>0</v>
      </c>
      <c r="H3208" s="98">
        <v>0</v>
      </c>
      <c r="I3208" s="98">
        <v>-6740</v>
      </c>
      <c r="J3208" s="98"/>
      <c r="K3208" s="93">
        <v>3.1376382241757574</v>
      </c>
      <c r="L3208" s="93">
        <f t="shared" si="418"/>
        <v>-6740</v>
      </c>
      <c r="M3208" s="95">
        <f t="shared" ca="1" si="419"/>
        <v>-2148.1125351124779</v>
      </c>
      <c r="N3208" s="95">
        <f>IF(P3208="Hedge Fund",IF(A3208=Summary!$AD$3,M3208-E3208,M3208),IF(A3208=Summary!$AD$3,L3208-D3208,L3208))</f>
        <v>-6740</v>
      </c>
      <c r="O3208" s="95"/>
      <c r="P3208" s="107" t="s">
        <v>155</v>
      </c>
      <c r="Q3208" s="107">
        <v>0</v>
      </c>
      <c r="R3208" s="107">
        <v>0</v>
      </c>
      <c r="S3208" s="107">
        <v>0</v>
      </c>
      <c r="T3208" s="107">
        <v>0</v>
      </c>
      <c r="U3208" s="107"/>
      <c r="V3208" s="107"/>
      <c r="W3208" s="107"/>
      <c r="X3208" s="107"/>
      <c r="Y3208" s="107"/>
      <c r="Z3208" s="107"/>
      <c r="AA3208" s="107"/>
      <c r="AB3208" s="107"/>
      <c r="AC3208" s="355"/>
      <c r="AD3208" s="355"/>
      <c r="AE3208" s="355"/>
      <c r="AF3208" s="94">
        <f t="shared" si="420"/>
        <v>41789</v>
      </c>
      <c r="AG3208" s="185">
        <f t="shared" si="417"/>
        <v>-7.4075345811647542E-2</v>
      </c>
      <c r="AH3208" s="339" t="str">
        <f>VLOOKUP(B3208,'MF PF'!A:B,2)</f>
        <v>FdMgt1</v>
      </c>
      <c r="AI3208" s="358">
        <f t="shared" si="421"/>
        <v>0</v>
      </c>
      <c r="AJ3208" s="94">
        <f t="shared" si="422"/>
        <v>41790</v>
      </c>
    </row>
    <row r="3209" spans="1:53" ht="12.75" customHeight="1">
      <c r="A3209" s="94">
        <v>41820</v>
      </c>
      <c r="B3209" s="94" t="s">
        <v>188</v>
      </c>
      <c r="C3209" s="358" t="s">
        <v>343</v>
      </c>
      <c r="D3209" s="98">
        <v>1121934.5717999993</v>
      </c>
      <c r="E3209" s="95">
        <f t="shared" si="423"/>
        <v>357572.95508303103</v>
      </c>
      <c r="F3209" s="98">
        <v>0.33700000000000002</v>
      </c>
      <c r="G3209" s="98">
        <v>0</v>
      </c>
      <c r="H3209" s="98">
        <v>0</v>
      </c>
      <c r="I3209" s="98">
        <v>0</v>
      </c>
      <c r="J3209" s="98"/>
      <c r="K3209" s="93">
        <v>3.1376382241757574</v>
      </c>
      <c r="L3209" s="93">
        <f t="shared" si="418"/>
        <v>0</v>
      </c>
      <c r="M3209" s="95">
        <f t="shared" ca="1" si="419"/>
        <v>0</v>
      </c>
      <c r="N3209" s="95">
        <f>IF(P3209="Hedge Fund",IF(A3209=Summary!$AD$3,M3209-E3209,M3209),IF(A3209=Summary!$AD$3,L3209-D3209,L3209))</f>
        <v>0</v>
      </c>
      <c r="O3209" s="95"/>
      <c r="P3209" s="107" t="s">
        <v>155</v>
      </c>
      <c r="Q3209" s="107">
        <v>0</v>
      </c>
      <c r="R3209" s="107">
        <v>0</v>
      </c>
      <c r="S3209" s="107">
        <v>0</v>
      </c>
      <c r="T3209" s="107">
        <v>0</v>
      </c>
      <c r="U3209" s="107"/>
      <c r="V3209" s="107"/>
      <c r="W3209" s="107"/>
      <c r="X3209" s="107"/>
      <c r="Y3209" s="107"/>
      <c r="Z3209" s="107"/>
      <c r="AA3209" s="107"/>
      <c r="AB3209" s="107"/>
      <c r="AC3209" s="355"/>
      <c r="AD3209" s="355"/>
      <c r="AE3209" s="355"/>
      <c r="AF3209" s="94">
        <f t="shared" si="420"/>
        <v>41820</v>
      </c>
      <c r="AG3209" s="185">
        <f t="shared" si="417"/>
        <v>-3.2705041455970973E-2</v>
      </c>
      <c r="AH3209" s="339" t="str">
        <f>VLOOKUP(B3209,'MF PF'!A:B,2)</f>
        <v>FdMgt1</v>
      </c>
      <c r="AI3209" s="358">
        <f t="shared" si="421"/>
        <v>0</v>
      </c>
      <c r="AJ3209" s="94">
        <f t="shared" si="422"/>
        <v>41820</v>
      </c>
      <c r="AK3209" s="358"/>
      <c r="AL3209" s="358"/>
      <c r="AM3209" s="358"/>
      <c r="AN3209" s="358"/>
      <c r="AO3209" s="358"/>
      <c r="AP3209" s="358"/>
      <c r="AQ3209" s="358"/>
      <c r="AR3209" s="358"/>
      <c r="AS3209" s="358"/>
      <c r="AT3209" s="358"/>
      <c r="AU3209" s="358"/>
      <c r="AV3209" s="358"/>
      <c r="AW3209" s="358"/>
      <c r="AX3209" s="358"/>
      <c r="AY3209" s="358"/>
      <c r="AZ3209" s="358"/>
      <c r="BA3209" s="358"/>
    </row>
    <row r="3210" spans="1:53" ht="12.75" customHeight="1">
      <c r="A3210" s="94">
        <v>41851</v>
      </c>
      <c r="B3210" s="94" t="s">
        <v>188</v>
      </c>
      <c r="C3210" s="358" t="s">
        <v>343</v>
      </c>
      <c r="D3210" s="98">
        <v>1078114.6608000002</v>
      </c>
      <c r="E3210" s="95">
        <f t="shared" si="423"/>
        <v>343607.06485949818</v>
      </c>
      <c r="F3210" s="98">
        <v>0.33700000000000002</v>
      </c>
      <c r="G3210" s="98">
        <v>0</v>
      </c>
      <c r="H3210" s="98">
        <v>0</v>
      </c>
      <c r="I3210" s="98">
        <v>0</v>
      </c>
      <c r="J3210" s="98"/>
      <c r="K3210" s="93">
        <v>3.1376382241757574</v>
      </c>
      <c r="L3210" s="93">
        <f t="shared" si="418"/>
        <v>0</v>
      </c>
      <c r="M3210" s="95">
        <f t="shared" ca="1" si="419"/>
        <v>0</v>
      </c>
      <c r="N3210" s="95">
        <f>IF(P3210="Hedge Fund",IF(A3210=Summary!$AD$3,M3210-E3210,M3210),IF(A3210=Summary!$AD$3,L3210-D3210,L3210))</f>
        <v>0</v>
      </c>
      <c r="O3210" s="95"/>
      <c r="P3210" s="107" t="s">
        <v>155</v>
      </c>
      <c r="Q3210" s="107">
        <v>0</v>
      </c>
      <c r="R3210" s="107">
        <v>0</v>
      </c>
      <c r="S3210" s="107">
        <v>0</v>
      </c>
      <c r="T3210" s="107">
        <v>0</v>
      </c>
      <c r="U3210" s="107"/>
      <c r="V3210" s="107"/>
      <c r="W3210" s="107"/>
      <c r="X3210" s="107"/>
      <c r="Y3210" s="107"/>
      <c r="Z3210" s="107"/>
      <c r="AA3210" s="107"/>
      <c r="AB3210" s="107"/>
      <c r="AC3210" s="355"/>
      <c r="AD3210" s="355"/>
      <c r="AE3210" s="355"/>
      <c r="AF3210" s="94">
        <f t="shared" si="420"/>
        <v>41851</v>
      </c>
      <c r="AG3210" s="185">
        <f t="shared" si="417"/>
        <v>-3.9057456737156881E-2</v>
      </c>
      <c r="AH3210" s="339" t="str">
        <f>VLOOKUP(B3210,'MF PF'!A:B,2)</f>
        <v>FdMgt1</v>
      </c>
      <c r="AI3210" s="358">
        <f t="shared" si="421"/>
        <v>0</v>
      </c>
      <c r="AJ3210" s="94">
        <f t="shared" si="422"/>
        <v>41851</v>
      </c>
    </row>
    <row r="3211" spans="1:53" ht="12.75" customHeight="1">
      <c r="A3211" s="94">
        <v>41880</v>
      </c>
      <c r="B3211" s="94" t="s">
        <v>188</v>
      </c>
      <c r="C3211" s="358" t="s">
        <v>343</v>
      </c>
      <c r="D3211" s="98">
        <v>1420225.6947999999</v>
      </c>
      <c r="E3211" s="95">
        <f t="shared" si="423"/>
        <v>452641.63467191521</v>
      </c>
      <c r="F3211" s="98">
        <v>0.33700000000000002</v>
      </c>
      <c r="G3211" s="98">
        <v>0</v>
      </c>
      <c r="H3211" s="98">
        <v>0</v>
      </c>
      <c r="I3211" s="98">
        <v>0</v>
      </c>
      <c r="J3211" s="98"/>
      <c r="K3211" s="93">
        <v>3.1376382241757574</v>
      </c>
      <c r="L3211" s="93">
        <f t="shared" si="418"/>
        <v>0</v>
      </c>
      <c r="M3211" s="95">
        <f t="shared" ca="1" si="419"/>
        <v>0</v>
      </c>
      <c r="N3211" s="95">
        <f>IF(P3211="Hedge Fund",IF(A3211=Summary!$AD$3,M3211-E3211,M3211),IF(A3211=Summary!$AD$3,L3211-D3211,L3211))</f>
        <v>0</v>
      </c>
      <c r="O3211" s="95"/>
      <c r="P3211" s="107" t="s">
        <v>155</v>
      </c>
      <c r="Q3211" s="107">
        <v>0</v>
      </c>
      <c r="R3211" s="107">
        <v>0</v>
      </c>
      <c r="S3211" s="107">
        <v>0</v>
      </c>
      <c r="T3211" s="107">
        <v>0</v>
      </c>
      <c r="U3211" s="107"/>
      <c r="V3211" s="107"/>
      <c r="W3211" s="107"/>
      <c r="X3211" s="107"/>
      <c r="Y3211" s="107"/>
      <c r="Z3211" s="107"/>
      <c r="AA3211" s="107"/>
      <c r="AB3211" s="107"/>
      <c r="AC3211" s="355"/>
      <c r="AD3211" s="355"/>
      <c r="AE3211" s="355"/>
      <c r="AF3211" s="94">
        <f t="shared" si="420"/>
        <v>41880</v>
      </c>
      <c r="AG3211" s="185">
        <f t="shared" si="417"/>
        <v>0.3173234224884216</v>
      </c>
      <c r="AH3211" s="339" t="str">
        <f>VLOOKUP(B3211,'MF PF'!A:B,2)</f>
        <v>FdMgt1</v>
      </c>
      <c r="AI3211" s="358">
        <f t="shared" si="421"/>
        <v>0</v>
      </c>
      <c r="AJ3211" s="94">
        <f t="shared" si="422"/>
        <v>41882</v>
      </c>
    </row>
    <row r="3212" spans="1:53" ht="12.75" customHeight="1">
      <c r="A3212" s="94">
        <v>41912</v>
      </c>
      <c r="B3212" s="94" t="s">
        <v>188</v>
      </c>
      <c r="C3212" s="358" t="s">
        <v>343</v>
      </c>
      <c r="D3212" s="98">
        <v>1434062.8288</v>
      </c>
      <c r="E3212" s="95">
        <f t="shared" si="423"/>
        <v>457051.68229735008</v>
      </c>
      <c r="F3212" s="98">
        <v>0.33700000000000002</v>
      </c>
      <c r="G3212" s="98">
        <v>0</v>
      </c>
      <c r="H3212" s="98">
        <v>0</v>
      </c>
      <c r="I3212" s="98">
        <v>0</v>
      </c>
      <c r="J3212" s="98"/>
      <c r="K3212" s="93">
        <v>3.1376382241757574</v>
      </c>
      <c r="L3212" s="93">
        <f t="shared" si="418"/>
        <v>0</v>
      </c>
      <c r="M3212" s="95">
        <f t="shared" ca="1" si="419"/>
        <v>0</v>
      </c>
      <c r="N3212" s="95">
        <f>IF(P3212="Hedge Fund",IF(A3212=Summary!$AD$3,M3212-E3212,M3212),IF(A3212=Summary!$AD$3,L3212-D3212,L3212))</f>
        <v>0</v>
      </c>
      <c r="O3212" s="95"/>
      <c r="P3212" s="107" t="s">
        <v>155</v>
      </c>
      <c r="Q3212" s="107">
        <v>0</v>
      </c>
      <c r="R3212" s="107">
        <v>0</v>
      </c>
      <c r="S3212" s="107">
        <v>0</v>
      </c>
      <c r="T3212" s="107">
        <v>0</v>
      </c>
      <c r="U3212" s="107"/>
      <c r="V3212" s="107"/>
      <c r="W3212" s="107"/>
      <c r="X3212" s="107"/>
      <c r="Y3212" s="107"/>
      <c r="Z3212" s="107"/>
      <c r="AA3212" s="107"/>
      <c r="AB3212" s="107"/>
      <c r="AC3212" s="355"/>
      <c r="AD3212" s="355"/>
      <c r="AE3212" s="355"/>
      <c r="AF3212" s="94">
        <f t="shared" si="420"/>
        <v>41912</v>
      </c>
      <c r="AG3212" s="185">
        <f t="shared" si="417"/>
        <v>9.7429120249430401E-3</v>
      </c>
      <c r="AH3212" s="339" t="str">
        <f>VLOOKUP(B3212,'MF PF'!A:B,2)</f>
        <v>FdMgt1</v>
      </c>
      <c r="AI3212" s="358">
        <f t="shared" si="421"/>
        <v>0</v>
      </c>
      <c r="AJ3212" s="94">
        <f t="shared" si="422"/>
        <v>41912</v>
      </c>
      <c r="AK3212" s="358"/>
      <c r="AL3212" s="358"/>
      <c r="AM3212" s="358"/>
      <c r="AN3212" s="358"/>
      <c r="AO3212" s="358"/>
      <c r="AP3212" s="358"/>
      <c r="AQ3212" s="358"/>
      <c r="AR3212" s="358"/>
      <c r="AS3212" s="358"/>
      <c r="AT3212" s="358"/>
      <c r="AU3212" s="358"/>
      <c r="AV3212" s="358"/>
      <c r="AW3212" s="358"/>
      <c r="AX3212" s="358"/>
      <c r="AY3212" s="358"/>
      <c r="AZ3212" s="358"/>
      <c r="BA3212" s="358"/>
    </row>
    <row r="3213" spans="1:53" s="358" customFormat="1" ht="12.75" customHeight="1">
      <c r="A3213" s="94">
        <v>41943</v>
      </c>
      <c r="B3213" s="94" t="s">
        <v>188</v>
      </c>
      <c r="C3213" s="358" t="s">
        <v>343</v>
      </c>
      <c r="D3213" s="98">
        <v>1120008.3302999993</v>
      </c>
      <c r="E3213" s="95">
        <f t="shared" si="423"/>
        <v>356959.04061540432</v>
      </c>
      <c r="F3213" s="98">
        <v>0.33700000000000002</v>
      </c>
      <c r="G3213" s="98">
        <v>0</v>
      </c>
      <c r="H3213" s="98">
        <v>0</v>
      </c>
      <c r="I3213" s="98">
        <v>0</v>
      </c>
      <c r="J3213" s="98"/>
      <c r="K3213" s="93">
        <v>3.1376382241757574</v>
      </c>
      <c r="L3213" s="93">
        <f t="shared" si="418"/>
        <v>0</v>
      </c>
      <c r="M3213" s="95">
        <f t="shared" ca="1" si="419"/>
        <v>0</v>
      </c>
      <c r="N3213" s="95">
        <f>IF(P3213="Hedge Fund",IF(A3213=Summary!$AD$3,M3213-E3213,M3213),IF(A3213=Summary!$AD$3,L3213-D3213,L3213))</f>
        <v>0</v>
      </c>
      <c r="O3213" s="95"/>
      <c r="P3213" s="107" t="s">
        <v>155</v>
      </c>
      <c r="Q3213" s="107">
        <v>0</v>
      </c>
      <c r="R3213" s="107">
        <v>0</v>
      </c>
      <c r="S3213" s="107">
        <v>0</v>
      </c>
      <c r="T3213" s="107">
        <v>0</v>
      </c>
      <c r="U3213" s="107"/>
      <c r="V3213" s="107"/>
      <c r="W3213" s="107"/>
      <c r="X3213" s="107"/>
      <c r="Y3213" s="107"/>
      <c r="Z3213" s="107"/>
      <c r="AA3213" s="107"/>
      <c r="AB3213" s="107"/>
      <c r="AF3213" s="94">
        <f t="shared" si="420"/>
        <v>41943</v>
      </c>
      <c r="AG3213" s="185">
        <f t="shared" si="417"/>
        <v>-0.21899633139699759</v>
      </c>
      <c r="AH3213" s="339" t="str">
        <f>VLOOKUP(B3213,'MF PF'!A:B,2)</f>
        <v>FdMgt1</v>
      </c>
      <c r="AI3213" s="358">
        <f t="shared" si="421"/>
        <v>0</v>
      </c>
      <c r="AJ3213" s="94">
        <f t="shared" si="422"/>
        <v>41943</v>
      </c>
    </row>
    <row r="3214" spans="1:53" ht="12.75" customHeight="1">
      <c r="A3214" s="94">
        <v>41971</v>
      </c>
      <c r="B3214" s="94" t="s">
        <v>188</v>
      </c>
      <c r="C3214" s="358" t="s">
        <v>343</v>
      </c>
      <c r="D3214" s="98">
        <v>683005.10819999967</v>
      </c>
      <c r="E3214" s="95">
        <f t="shared" si="423"/>
        <v>217681.28107867562</v>
      </c>
      <c r="F3214" s="98">
        <v>0.33700000000000002</v>
      </c>
      <c r="G3214" s="98">
        <v>0</v>
      </c>
      <c r="H3214" s="98">
        <v>0</v>
      </c>
      <c r="I3214" s="98">
        <v>0</v>
      </c>
      <c r="J3214" s="98"/>
      <c r="K3214" s="93">
        <v>3.1376382241757574</v>
      </c>
      <c r="L3214" s="93">
        <f t="shared" si="418"/>
        <v>0</v>
      </c>
      <c r="M3214" s="95">
        <f t="shared" ca="1" si="419"/>
        <v>0</v>
      </c>
      <c r="N3214" s="95">
        <f>IF(P3214="Hedge Fund",IF(A3214=Summary!$AD$3,M3214-E3214,M3214),IF(A3214=Summary!$AD$3,L3214-D3214,L3214))</f>
        <v>0</v>
      </c>
      <c r="O3214" s="95"/>
      <c r="P3214" s="107" t="s">
        <v>155</v>
      </c>
      <c r="Q3214" s="107">
        <v>0</v>
      </c>
      <c r="R3214" s="107">
        <v>0</v>
      </c>
      <c r="S3214" s="107">
        <v>0</v>
      </c>
      <c r="T3214" s="107">
        <v>0</v>
      </c>
      <c r="U3214" s="107"/>
      <c r="V3214" s="107"/>
      <c r="W3214" s="107"/>
      <c r="X3214" s="107"/>
      <c r="Y3214" s="107"/>
      <c r="Z3214" s="107"/>
      <c r="AA3214" s="107"/>
      <c r="AB3214" s="107"/>
      <c r="AC3214" s="355"/>
      <c r="AD3214" s="355"/>
      <c r="AE3214" s="355"/>
      <c r="AF3214" s="94">
        <f t="shared" si="420"/>
        <v>41971</v>
      </c>
      <c r="AG3214" s="185">
        <f t="shared" si="417"/>
        <v>-0.39017854624612158</v>
      </c>
      <c r="AH3214" s="339" t="str">
        <f>VLOOKUP(B3214,'MF PF'!A:B,2)</f>
        <v>FdMgt1</v>
      </c>
      <c r="AI3214" s="358">
        <f t="shared" si="421"/>
        <v>0</v>
      </c>
      <c r="AJ3214" s="94">
        <f t="shared" si="422"/>
        <v>41973</v>
      </c>
    </row>
    <row r="3215" spans="1:53" ht="12.75" customHeight="1">
      <c r="A3215" s="94">
        <v>42004</v>
      </c>
      <c r="B3215" s="94" t="s">
        <v>188</v>
      </c>
      <c r="C3215" s="358" t="s">
        <v>343</v>
      </c>
      <c r="D3215" s="98">
        <v>701247.37870000023</v>
      </c>
      <c r="E3215" s="95">
        <f t="shared" si="423"/>
        <v>223495.29442140021</v>
      </c>
      <c r="F3215" s="98">
        <v>0.33700000000000002</v>
      </c>
      <c r="G3215" s="98">
        <v>0</v>
      </c>
      <c r="H3215" s="98">
        <v>0</v>
      </c>
      <c r="I3215" s="98">
        <v>-8088</v>
      </c>
      <c r="J3215" s="98"/>
      <c r="K3215" s="93">
        <v>3.1376382241757574</v>
      </c>
      <c r="L3215" s="93">
        <f t="shared" si="418"/>
        <v>-8088</v>
      </c>
      <c r="M3215" s="95">
        <f t="shared" ca="1" si="419"/>
        <v>-2577.7350421349738</v>
      </c>
      <c r="N3215" s="95">
        <f>IF(P3215="Hedge Fund",IF(A3215=Summary!$AD$3,M3215-E3215,M3215),IF(A3215=Summary!$AD$3,L3215-D3215,L3215))</f>
        <v>-8088</v>
      </c>
      <c r="O3215" s="95"/>
      <c r="P3215" s="107" t="s">
        <v>155</v>
      </c>
      <c r="Q3215" s="107">
        <v>0</v>
      </c>
      <c r="R3215" s="107">
        <v>0</v>
      </c>
      <c r="S3215" s="107">
        <v>0</v>
      </c>
      <c r="T3215" s="107">
        <v>0</v>
      </c>
      <c r="U3215" s="107"/>
      <c r="V3215" s="107"/>
      <c r="W3215" s="107"/>
      <c r="X3215" s="107"/>
      <c r="Y3215" s="107"/>
      <c r="Z3215" s="107"/>
      <c r="AA3215" s="107"/>
      <c r="AB3215" s="107"/>
      <c r="AC3215" s="355"/>
      <c r="AD3215" s="355"/>
      <c r="AE3215" s="355"/>
      <c r="AF3215" s="94">
        <f t="shared" si="420"/>
        <v>42004</v>
      </c>
      <c r="AG3215" s="185">
        <f t="shared" si="417"/>
        <v>3.8550620169432781E-2</v>
      </c>
      <c r="AH3215" s="339" t="str">
        <f>VLOOKUP(B3215,'MF PF'!A:B,2)</f>
        <v>FdMgt1</v>
      </c>
      <c r="AI3215" s="358">
        <f t="shared" si="421"/>
        <v>0</v>
      </c>
      <c r="AJ3215" s="94">
        <f t="shared" si="422"/>
        <v>42004</v>
      </c>
    </row>
    <row r="3216" spans="1:53" ht="12.75" customHeight="1">
      <c r="A3216" s="94">
        <v>42034</v>
      </c>
      <c r="B3216" s="94" t="s">
        <v>188</v>
      </c>
      <c r="C3216" s="358" t="s">
        <v>343</v>
      </c>
      <c r="D3216" s="98">
        <v>563722.46930000046</v>
      </c>
      <c r="E3216" s="95">
        <f t="shared" si="423"/>
        <v>179664.58495962759</v>
      </c>
      <c r="F3216" s="98">
        <v>0.33700000000000002</v>
      </c>
      <c r="G3216" s="98">
        <v>0</v>
      </c>
      <c r="H3216" s="98">
        <v>0</v>
      </c>
      <c r="I3216" s="98">
        <v>0</v>
      </c>
      <c r="J3216" s="98"/>
      <c r="K3216" s="93">
        <v>3.1376382241757574</v>
      </c>
      <c r="L3216" s="93">
        <f t="shared" si="418"/>
        <v>0</v>
      </c>
      <c r="M3216" s="95">
        <f t="shared" ca="1" si="419"/>
        <v>0</v>
      </c>
      <c r="N3216" s="95">
        <f>IF(P3216="Hedge Fund",IF(A3216=Summary!$AD$3,M3216-E3216,M3216),IF(A3216=Summary!$AD$3,L3216-D3216,L3216))</f>
        <v>0</v>
      </c>
      <c r="O3216" s="95"/>
      <c r="P3216" s="107" t="s">
        <v>155</v>
      </c>
      <c r="Q3216" s="107">
        <v>0</v>
      </c>
      <c r="R3216" s="107">
        <v>0</v>
      </c>
      <c r="S3216" s="107">
        <v>0</v>
      </c>
      <c r="T3216" s="107">
        <v>0</v>
      </c>
      <c r="U3216" s="107"/>
      <c r="V3216" s="107"/>
      <c r="W3216" s="107"/>
      <c r="X3216" s="107"/>
      <c r="Y3216" s="107"/>
      <c r="Z3216" s="107"/>
      <c r="AA3216" s="107"/>
      <c r="AB3216" s="107"/>
      <c r="AC3216" s="355"/>
      <c r="AD3216" s="355"/>
      <c r="AE3216" s="355"/>
      <c r="AF3216" s="94">
        <f t="shared" si="420"/>
        <v>42034</v>
      </c>
      <c r="AG3216" s="185">
        <f t="shared" si="417"/>
        <v>-0.19611468588296022</v>
      </c>
      <c r="AH3216" s="339" t="str">
        <f>VLOOKUP(B3216,'MF PF'!A:B,2)</f>
        <v>FdMgt1</v>
      </c>
      <c r="AI3216" s="358">
        <f t="shared" si="421"/>
        <v>0</v>
      </c>
      <c r="AJ3216" s="94">
        <f t="shared" si="422"/>
        <v>42035</v>
      </c>
    </row>
    <row r="3217" spans="1:36" ht="12.75" customHeight="1">
      <c r="A3217" s="94">
        <v>42062</v>
      </c>
      <c r="B3217" s="94" t="s">
        <v>188</v>
      </c>
      <c r="C3217" s="358" t="s">
        <v>343</v>
      </c>
      <c r="D3217" s="98">
        <v>791148.03080000007</v>
      </c>
      <c r="E3217" s="95">
        <f t="shared" si="423"/>
        <v>252147.62642300193</v>
      </c>
      <c r="F3217" s="98">
        <v>0.33700000000000002</v>
      </c>
      <c r="G3217" s="98">
        <v>0</v>
      </c>
      <c r="H3217" s="98">
        <v>0</v>
      </c>
      <c r="I3217" s="98">
        <v>0</v>
      </c>
      <c r="J3217" s="98"/>
      <c r="K3217" s="93">
        <v>3.1376382241757574</v>
      </c>
      <c r="L3217" s="93">
        <f t="shared" si="418"/>
        <v>0</v>
      </c>
      <c r="M3217" s="95">
        <f t="shared" ca="1" si="419"/>
        <v>0</v>
      </c>
      <c r="N3217" s="95">
        <f>IF(P3217="Hedge Fund",IF(A3217=Summary!$AD$3,M3217-E3217,M3217),IF(A3217=Summary!$AD$3,L3217-D3217,L3217))</f>
        <v>0</v>
      </c>
      <c r="O3217" s="95"/>
      <c r="P3217" s="107" t="s">
        <v>155</v>
      </c>
      <c r="Q3217" s="107">
        <v>0</v>
      </c>
      <c r="R3217" s="107">
        <v>0</v>
      </c>
      <c r="S3217" s="107">
        <v>0</v>
      </c>
      <c r="T3217" s="107">
        <v>0</v>
      </c>
      <c r="U3217" s="107"/>
      <c r="V3217" s="107"/>
      <c r="W3217" s="107"/>
      <c r="X3217" s="107"/>
      <c r="Y3217" s="107"/>
      <c r="Z3217" s="107"/>
      <c r="AA3217" s="107"/>
      <c r="AB3217" s="107"/>
      <c r="AC3217" s="355"/>
      <c r="AD3217" s="355"/>
      <c r="AE3217" s="355"/>
      <c r="AF3217" s="94">
        <f t="shared" si="420"/>
        <v>42062</v>
      </c>
      <c r="AG3217" s="185">
        <f t="shared" si="417"/>
        <v>0.40343533189727943</v>
      </c>
      <c r="AH3217" s="339" t="str">
        <f>VLOOKUP(B3217,'MF PF'!A:B,2)</f>
        <v>FdMgt1</v>
      </c>
      <c r="AI3217" s="358">
        <f t="shared" si="421"/>
        <v>0</v>
      </c>
      <c r="AJ3217" s="94">
        <f t="shared" si="422"/>
        <v>42063</v>
      </c>
    </row>
    <row r="3218" spans="1:36" ht="12.75" customHeight="1">
      <c r="A3218" s="94">
        <v>42094</v>
      </c>
      <c r="B3218" s="94" t="s">
        <v>188</v>
      </c>
      <c r="C3218" s="358" t="s">
        <v>343</v>
      </c>
      <c r="D3218" s="98">
        <v>732024.51120000007</v>
      </c>
      <c r="E3218" s="95">
        <f t="shared" si="423"/>
        <v>233304.30690182562</v>
      </c>
      <c r="F3218" s="98">
        <v>0.33700000000000002</v>
      </c>
      <c r="G3218" s="98">
        <v>0</v>
      </c>
      <c r="H3218" s="98">
        <v>0</v>
      </c>
      <c r="I3218" s="98">
        <v>-7919.4999999999991</v>
      </c>
      <c r="J3218" s="98"/>
      <c r="K3218" s="93">
        <v>3.1376382241757574</v>
      </c>
      <c r="L3218" s="93">
        <f t="shared" si="418"/>
        <v>-7919.4999999999991</v>
      </c>
      <c r="M3218" s="95">
        <f t="shared" ca="1" si="419"/>
        <v>-2524.0322287571612</v>
      </c>
      <c r="N3218" s="95">
        <f>IF(P3218="Hedge Fund",IF(A3218=Summary!$AD$3,M3218-E3218,M3218),IF(A3218=Summary!$AD$3,L3218-D3218,L3218))</f>
        <v>-7919.4999999999991</v>
      </c>
      <c r="O3218" s="95"/>
      <c r="P3218" s="107" t="s">
        <v>155</v>
      </c>
      <c r="Q3218" s="107">
        <v>0</v>
      </c>
      <c r="R3218" s="107">
        <v>0</v>
      </c>
      <c r="S3218" s="107">
        <v>0</v>
      </c>
      <c r="T3218" s="107">
        <v>0</v>
      </c>
      <c r="U3218" s="107"/>
      <c r="V3218" s="107"/>
      <c r="W3218" s="107"/>
      <c r="X3218" s="107"/>
      <c r="Y3218" s="107"/>
      <c r="Z3218" s="107"/>
      <c r="AA3218" s="107"/>
      <c r="AB3218" s="107"/>
      <c r="AC3218" s="355"/>
      <c r="AD3218" s="355"/>
      <c r="AE3218" s="355"/>
      <c r="AF3218" s="94">
        <f t="shared" si="420"/>
        <v>42094</v>
      </c>
      <c r="AG3218" s="185">
        <f t="shared" si="417"/>
        <v>-6.4721161662025573E-2</v>
      </c>
      <c r="AH3218" s="339" t="str">
        <f>VLOOKUP(B3218,'MF PF'!A:B,2)</f>
        <v>FdMgt1</v>
      </c>
      <c r="AI3218" s="358">
        <f t="shared" si="421"/>
        <v>0</v>
      </c>
      <c r="AJ3218" s="94">
        <f t="shared" si="422"/>
        <v>42094</v>
      </c>
    </row>
    <row r="3219" spans="1:36" ht="12.75" customHeight="1">
      <c r="A3219" s="94">
        <v>42124</v>
      </c>
      <c r="B3219" s="94" t="s">
        <v>188</v>
      </c>
      <c r="C3219" s="358" t="s">
        <v>343</v>
      </c>
      <c r="D3219" s="98">
        <v>803273.9828</v>
      </c>
      <c r="E3219" s="95">
        <f t="shared" si="423"/>
        <v>256012.30142172182</v>
      </c>
      <c r="F3219" s="98">
        <v>0.33700000000000002</v>
      </c>
      <c r="G3219" s="98">
        <v>0</v>
      </c>
      <c r="H3219" s="98">
        <v>0</v>
      </c>
      <c r="I3219" s="98">
        <v>0</v>
      </c>
      <c r="J3219" s="98"/>
      <c r="K3219" s="93">
        <v>3.1376382241757574</v>
      </c>
      <c r="L3219" s="93">
        <f t="shared" si="418"/>
        <v>0</v>
      </c>
      <c r="M3219" s="95">
        <f t="shared" ca="1" si="419"/>
        <v>0</v>
      </c>
      <c r="N3219" s="95">
        <f>IF(P3219="Hedge Fund",IF(A3219=Summary!$AD$3,M3219-E3219,M3219),IF(A3219=Summary!$AD$3,L3219-D3219,L3219))</f>
        <v>0</v>
      </c>
      <c r="O3219" s="95"/>
      <c r="P3219" s="107" t="s">
        <v>155</v>
      </c>
      <c r="Q3219" s="107">
        <v>0</v>
      </c>
      <c r="R3219" s="107">
        <v>0</v>
      </c>
      <c r="S3219" s="107">
        <v>0</v>
      </c>
      <c r="T3219" s="107">
        <v>0</v>
      </c>
      <c r="U3219" s="107"/>
      <c r="V3219" s="107"/>
      <c r="W3219" s="107"/>
      <c r="X3219" s="107"/>
      <c r="Y3219" s="107"/>
      <c r="Z3219" s="107"/>
      <c r="AA3219" s="107"/>
      <c r="AB3219" s="107"/>
      <c r="AC3219" s="355"/>
      <c r="AD3219" s="355"/>
      <c r="AE3219" s="355"/>
      <c r="AF3219" s="94">
        <f t="shared" si="420"/>
        <v>42124</v>
      </c>
      <c r="AG3219" s="185">
        <f t="shared" si="417"/>
        <v>9.7332084527062435E-2</v>
      </c>
      <c r="AH3219" s="339" t="str">
        <f>VLOOKUP(B3219,'MF PF'!A:B,2)</f>
        <v>FdMgt1</v>
      </c>
      <c r="AI3219" s="358">
        <f t="shared" si="421"/>
        <v>0</v>
      </c>
      <c r="AJ3219" s="94">
        <f t="shared" si="422"/>
        <v>42124</v>
      </c>
    </row>
    <row r="3220" spans="1:36" ht="12.75" customHeight="1">
      <c r="A3220" s="94">
        <v>42153</v>
      </c>
      <c r="B3220" s="94" t="s">
        <v>188</v>
      </c>
      <c r="C3220" s="358" t="s">
        <v>343</v>
      </c>
      <c r="D3220" s="98">
        <v>821980.5079000002</v>
      </c>
      <c r="E3220" s="95">
        <f t="shared" si="423"/>
        <v>261974.27783948244</v>
      </c>
      <c r="F3220" s="98">
        <v>0.33700000000000002</v>
      </c>
      <c r="G3220" s="98">
        <v>0</v>
      </c>
      <c r="H3220" s="98">
        <v>0</v>
      </c>
      <c r="I3220" s="98">
        <v>0</v>
      </c>
      <c r="J3220" s="98"/>
      <c r="K3220" s="93">
        <v>3.1376382241757574</v>
      </c>
      <c r="L3220" s="93">
        <f t="shared" si="418"/>
        <v>0</v>
      </c>
      <c r="M3220" s="95">
        <f t="shared" ca="1" si="419"/>
        <v>0</v>
      </c>
      <c r="N3220" s="95">
        <f>IF(P3220="Hedge Fund",IF(A3220=Summary!$AD$3,M3220-E3220,M3220),IF(A3220=Summary!$AD$3,L3220-D3220,L3220))</f>
        <v>0</v>
      </c>
      <c r="O3220" s="95"/>
      <c r="P3220" s="107" t="s">
        <v>155</v>
      </c>
      <c r="Q3220" s="107">
        <v>0</v>
      </c>
      <c r="R3220" s="107">
        <v>0</v>
      </c>
      <c r="S3220" s="107">
        <v>0</v>
      </c>
      <c r="T3220" s="107">
        <v>0</v>
      </c>
      <c r="U3220" s="107"/>
      <c r="V3220" s="107"/>
      <c r="W3220" s="107"/>
      <c r="X3220" s="107"/>
      <c r="Y3220" s="107"/>
      <c r="Z3220" s="107"/>
      <c r="AA3220" s="107"/>
      <c r="AB3220" s="107"/>
      <c r="AC3220" s="355"/>
      <c r="AD3220" s="355"/>
      <c r="AE3220" s="355"/>
      <c r="AF3220" s="94">
        <f t="shared" si="420"/>
        <v>42153</v>
      </c>
      <c r="AG3220" s="185">
        <f t="shared" si="417"/>
        <v>2.3287851344063526E-2</v>
      </c>
      <c r="AH3220" s="339" t="str">
        <f>VLOOKUP(B3220,'MF PF'!A:B,2)</f>
        <v>FdMgt1</v>
      </c>
      <c r="AI3220" s="358">
        <f t="shared" si="421"/>
        <v>0</v>
      </c>
      <c r="AJ3220" s="94">
        <f t="shared" si="422"/>
        <v>42155</v>
      </c>
    </row>
    <row r="3221" spans="1:36" ht="12.75" customHeight="1">
      <c r="A3221" s="94">
        <v>42185</v>
      </c>
      <c r="B3221" s="94" t="s">
        <v>188</v>
      </c>
      <c r="C3221" s="358" t="s">
        <v>343</v>
      </c>
      <c r="D3221" s="98">
        <v>744855.38629999931</v>
      </c>
      <c r="E3221" s="95">
        <f t="shared" si="423"/>
        <v>237393.64868799341</v>
      </c>
      <c r="F3221" s="98">
        <v>0.33700000000000002</v>
      </c>
      <c r="G3221" s="98">
        <v>0</v>
      </c>
      <c r="H3221" s="98">
        <v>0</v>
      </c>
      <c r="I3221" s="98">
        <v>0</v>
      </c>
      <c r="J3221" s="98"/>
      <c r="K3221" s="93">
        <v>3.1376382241757574</v>
      </c>
      <c r="L3221" s="93">
        <f t="shared" si="418"/>
        <v>0</v>
      </c>
      <c r="M3221" s="95">
        <f t="shared" ca="1" si="419"/>
        <v>0</v>
      </c>
      <c r="N3221" s="95">
        <f>IF(P3221="Hedge Fund",IF(A3221=Summary!$AD$3,M3221-E3221,M3221),IF(A3221=Summary!$AD$3,L3221-D3221,L3221))</f>
        <v>0</v>
      </c>
      <c r="O3221" s="95"/>
      <c r="P3221" s="107" t="s">
        <v>155</v>
      </c>
      <c r="Q3221" s="107">
        <v>0</v>
      </c>
      <c r="R3221" s="107">
        <v>0</v>
      </c>
      <c r="S3221" s="107">
        <v>0</v>
      </c>
      <c r="T3221" s="107">
        <v>0</v>
      </c>
      <c r="U3221" s="107"/>
      <c r="V3221" s="107"/>
      <c r="W3221" s="107"/>
      <c r="X3221" s="107"/>
      <c r="Y3221" s="107"/>
      <c r="Z3221" s="107"/>
      <c r="AA3221" s="107"/>
      <c r="AB3221" s="107"/>
      <c r="AC3221" s="355"/>
      <c r="AD3221" s="355"/>
      <c r="AE3221" s="355"/>
      <c r="AF3221" s="94">
        <f t="shared" si="420"/>
        <v>42185</v>
      </c>
      <c r="AG3221" s="185">
        <f t="shared" si="417"/>
        <v>-9.3828406949746923E-2</v>
      </c>
      <c r="AH3221" s="339" t="str">
        <f>VLOOKUP(B3221,'MF PF'!A:B,2)</f>
        <v>FdMgt1</v>
      </c>
      <c r="AI3221" s="358">
        <f t="shared" si="421"/>
        <v>0</v>
      </c>
      <c r="AJ3221" s="94">
        <f t="shared" si="422"/>
        <v>42185</v>
      </c>
    </row>
    <row r="3222" spans="1:36" ht="12.75" customHeight="1">
      <c r="A3222" s="94">
        <v>42216</v>
      </c>
      <c r="B3222" s="94" t="s">
        <v>188</v>
      </c>
      <c r="C3222" s="358" t="s">
        <v>343</v>
      </c>
      <c r="D3222" s="98">
        <v>529720.00819999992</v>
      </c>
      <c r="E3222" s="95">
        <f t="shared" si="423"/>
        <v>168827.62458669205</v>
      </c>
      <c r="F3222" s="98">
        <v>0.33700000000000002</v>
      </c>
      <c r="G3222" s="98">
        <v>0</v>
      </c>
      <c r="H3222" s="98">
        <v>0</v>
      </c>
      <c r="I3222" s="98">
        <v>-4212.5</v>
      </c>
      <c r="J3222" s="98"/>
      <c r="K3222" s="93">
        <v>3.1376382241757574</v>
      </c>
      <c r="L3222" s="93">
        <f t="shared" si="418"/>
        <v>-4212.5</v>
      </c>
      <c r="M3222" s="95">
        <f t="shared" ca="1" si="419"/>
        <v>-1342.5703344452988</v>
      </c>
      <c r="N3222" s="95">
        <f>IF(P3222="Hedge Fund",IF(A3222=Summary!$AD$3,M3222-E3222,M3222),IF(A3222=Summary!$AD$3,L3222-D3222,L3222))</f>
        <v>-4212.5</v>
      </c>
      <c r="O3222" s="95"/>
      <c r="P3222" s="107" t="s">
        <v>155</v>
      </c>
      <c r="Q3222" s="107">
        <v>0</v>
      </c>
      <c r="R3222" s="107">
        <v>0</v>
      </c>
      <c r="S3222" s="107">
        <v>0</v>
      </c>
      <c r="T3222" s="107">
        <v>0</v>
      </c>
      <c r="U3222" s="107"/>
      <c r="V3222" s="107"/>
      <c r="W3222" s="107"/>
      <c r="X3222" s="107"/>
      <c r="Y3222" s="107"/>
      <c r="Z3222" s="107"/>
      <c r="AA3222" s="107"/>
      <c r="AB3222" s="107"/>
      <c r="AC3222" s="355"/>
      <c r="AD3222" s="355"/>
      <c r="AE3222" s="355"/>
      <c r="AF3222" s="94">
        <f t="shared" si="420"/>
        <v>42216</v>
      </c>
      <c r="AG3222" s="185">
        <f t="shared" si="417"/>
        <v>-0.28317292454276177</v>
      </c>
      <c r="AH3222" s="339" t="str">
        <f>VLOOKUP(B3222,'MF PF'!A:B,2)</f>
        <v>FdMgt1</v>
      </c>
      <c r="AI3222" s="358">
        <f t="shared" si="421"/>
        <v>0</v>
      </c>
      <c r="AJ3222" s="94">
        <f t="shared" si="422"/>
        <v>42216</v>
      </c>
    </row>
    <row r="3223" spans="1:36" ht="12.75" customHeight="1">
      <c r="A3223" s="94">
        <v>42247</v>
      </c>
      <c r="B3223" s="94" t="s">
        <v>188</v>
      </c>
      <c r="C3223" s="358" t="s">
        <v>343</v>
      </c>
      <c r="D3223" s="98">
        <v>649985.87220000022</v>
      </c>
      <c r="E3223" s="95">
        <f t="shared" si="423"/>
        <v>207157.68541822516</v>
      </c>
      <c r="F3223" s="98">
        <v>0.33700000000000002</v>
      </c>
      <c r="G3223" s="98">
        <v>0</v>
      </c>
      <c r="H3223" s="98">
        <v>0</v>
      </c>
      <c r="I3223" s="98">
        <v>0</v>
      </c>
      <c r="J3223" s="98"/>
      <c r="K3223" s="93">
        <v>3.1376382241757574</v>
      </c>
      <c r="L3223" s="93">
        <f t="shared" si="418"/>
        <v>0</v>
      </c>
      <c r="M3223" s="95">
        <f t="shared" ca="1" si="419"/>
        <v>0</v>
      </c>
      <c r="N3223" s="95">
        <f>IF(P3223="Hedge Fund",IF(A3223=Summary!$AD$3,M3223-E3223,M3223),IF(A3223=Summary!$AD$3,L3223-D3223,L3223))</f>
        <v>0</v>
      </c>
      <c r="O3223" s="95"/>
      <c r="P3223" s="107" t="s">
        <v>155</v>
      </c>
      <c r="Q3223" s="107">
        <v>0</v>
      </c>
      <c r="R3223" s="107">
        <v>0</v>
      </c>
      <c r="S3223" s="107">
        <v>0</v>
      </c>
      <c r="T3223" s="107">
        <v>0</v>
      </c>
      <c r="U3223" s="107"/>
      <c r="V3223" s="107"/>
      <c r="W3223" s="107"/>
      <c r="X3223" s="107"/>
      <c r="Y3223" s="107"/>
      <c r="Z3223" s="107"/>
      <c r="AA3223" s="107"/>
      <c r="AB3223" s="107"/>
      <c r="AC3223" s="355"/>
      <c r="AD3223" s="355"/>
      <c r="AE3223" s="355"/>
      <c r="AF3223" s="94">
        <f t="shared" si="420"/>
        <v>42247</v>
      </c>
      <c r="AG3223" s="185">
        <f t="shared" si="417"/>
        <v>0.2270366649141049</v>
      </c>
      <c r="AH3223" s="339" t="str">
        <f>VLOOKUP(B3223,'MF PF'!A:B,2)</f>
        <v>FdMgt1</v>
      </c>
      <c r="AI3223" s="358">
        <f t="shared" si="421"/>
        <v>0</v>
      </c>
      <c r="AJ3223" s="94">
        <f t="shared" si="422"/>
        <v>42247</v>
      </c>
    </row>
    <row r="3224" spans="1:36" ht="12.75" customHeight="1">
      <c r="A3224" s="94">
        <v>42277</v>
      </c>
      <c r="B3224" s="94" t="s">
        <v>188</v>
      </c>
      <c r="C3224" s="358" t="s">
        <v>343</v>
      </c>
      <c r="D3224" s="98">
        <v>602848.56919999979</v>
      </c>
      <c r="E3224" s="95">
        <f t="shared" si="423"/>
        <v>192134.50567850767</v>
      </c>
      <c r="F3224" s="98">
        <v>0.33700000000000002</v>
      </c>
      <c r="G3224" s="98">
        <v>0</v>
      </c>
      <c r="H3224" s="98">
        <v>0</v>
      </c>
      <c r="I3224" s="98">
        <v>0</v>
      </c>
      <c r="J3224" s="98"/>
      <c r="K3224" s="93">
        <v>3.1376382241757574</v>
      </c>
      <c r="L3224" s="93">
        <f t="shared" si="418"/>
        <v>0</v>
      </c>
      <c r="M3224" s="95">
        <f t="shared" ca="1" si="419"/>
        <v>0</v>
      </c>
      <c r="N3224" s="95">
        <f>IF(P3224="Hedge Fund",IF(A3224=Summary!$AD$3,M3224-E3224,M3224),IF(A3224=Summary!$AD$3,L3224-D3224,L3224))</f>
        <v>0</v>
      </c>
      <c r="O3224" s="95"/>
      <c r="P3224" s="107" t="s">
        <v>155</v>
      </c>
      <c r="Q3224" s="107">
        <v>0</v>
      </c>
      <c r="R3224" s="107">
        <v>0</v>
      </c>
      <c r="S3224" s="107">
        <v>0</v>
      </c>
      <c r="T3224" s="107">
        <v>0</v>
      </c>
      <c r="U3224" s="107"/>
      <c r="V3224" s="107"/>
      <c r="W3224" s="107"/>
      <c r="X3224" s="107"/>
      <c r="Y3224" s="107"/>
      <c r="Z3224" s="107"/>
      <c r="AA3224" s="107"/>
      <c r="AB3224" s="107"/>
      <c r="AC3224" s="355"/>
      <c r="AD3224" s="355"/>
      <c r="AE3224" s="355"/>
      <c r="AF3224" s="94">
        <f t="shared" si="420"/>
        <v>42277</v>
      </c>
      <c r="AG3224" s="185">
        <f t="shared" si="417"/>
        <v>-7.2520503931039704E-2</v>
      </c>
      <c r="AH3224" s="339" t="str">
        <f>VLOOKUP(B3224,'MF PF'!A:B,2)</f>
        <v>FdMgt1</v>
      </c>
      <c r="AI3224" s="358">
        <f t="shared" si="421"/>
        <v>0</v>
      </c>
      <c r="AJ3224" s="94">
        <f t="shared" si="422"/>
        <v>42277</v>
      </c>
    </row>
    <row r="3225" spans="1:36" ht="12.75" customHeight="1">
      <c r="A3225" s="94">
        <v>42307</v>
      </c>
      <c r="B3225" s="94" t="s">
        <v>188</v>
      </c>
      <c r="C3225" s="358" t="s">
        <v>343</v>
      </c>
      <c r="D3225" s="98">
        <v>550361.43330000003</v>
      </c>
      <c r="E3225" s="95">
        <f t="shared" si="423"/>
        <v>175406.27503178042</v>
      </c>
      <c r="F3225" s="98">
        <v>0.33700000000000002</v>
      </c>
      <c r="G3225" s="98">
        <v>0</v>
      </c>
      <c r="H3225" s="98">
        <v>0</v>
      </c>
      <c r="I3225" s="98">
        <v>0</v>
      </c>
      <c r="J3225" s="98"/>
      <c r="K3225" s="93">
        <v>3.1376382241757574</v>
      </c>
      <c r="L3225" s="93">
        <f t="shared" si="418"/>
        <v>0</v>
      </c>
      <c r="M3225" s="95">
        <f t="shared" ca="1" si="419"/>
        <v>0</v>
      </c>
      <c r="N3225" s="95">
        <f>IF(P3225="Hedge Fund",IF(A3225=Summary!$AD$3,M3225-E3225,M3225),IF(A3225=Summary!$AD$3,L3225-D3225,L3225))</f>
        <v>0</v>
      </c>
      <c r="O3225" s="95"/>
      <c r="P3225" s="107" t="s">
        <v>155</v>
      </c>
      <c r="Q3225" s="107">
        <v>0</v>
      </c>
      <c r="R3225" s="107">
        <v>0</v>
      </c>
      <c r="S3225" s="107">
        <v>0</v>
      </c>
      <c r="T3225" s="107">
        <v>0</v>
      </c>
      <c r="U3225" s="107"/>
      <c r="V3225" s="107"/>
      <c r="W3225" s="107"/>
      <c r="X3225" s="107"/>
      <c r="Y3225" s="107"/>
      <c r="Z3225" s="107"/>
      <c r="AA3225" s="107"/>
      <c r="AB3225" s="107"/>
      <c r="AC3225" s="355"/>
      <c r="AD3225" s="355"/>
      <c r="AE3225" s="355"/>
      <c r="AF3225" s="94">
        <f t="shared" si="420"/>
        <v>42307</v>
      </c>
      <c r="AG3225" s="185">
        <f t="shared" si="417"/>
        <v>-8.7065207718170279E-2</v>
      </c>
      <c r="AH3225" s="339" t="str">
        <f>VLOOKUP(B3225,'MF PF'!A:B,2)</f>
        <v>FdMgt1</v>
      </c>
      <c r="AI3225" s="358">
        <f t="shared" si="421"/>
        <v>0</v>
      </c>
      <c r="AJ3225" s="94">
        <f t="shared" si="422"/>
        <v>42308</v>
      </c>
    </row>
    <row r="3226" spans="1:36" ht="12.75" customHeight="1">
      <c r="A3226" s="94">
        <v>42338</v>
      </c>
      <c r="B3226" s="94" t="s">
        <v>188</v>
      </c>
      <c r="C3226" s="358" t="s">
        <v>343</v>
      </c>
      <c r="D3226" s="98">
        <v>534455.69260000042</v>
      </c>
      <c r="E3226" s="95">
        <f t="shared" si="423"/>
        <v>170336.93957511606</v>
      </c>
      <c r="F3226" s="98">
        <v>0.33700000000000002</v>
      </c>
      <c r="G3226" s="98">
        <v>0</v>
      </c>
      <c r="H3226" s="98">
        <v>0</v>
      </c>
      <c r="I3226" s="98">
        <v>-4886.5</v>
      </c>
      <c r="J3226" s="98"/>
      <c r="K3226" s="93">
        <v>3.1376382241757574</v>
      </c>
      <c r="L3226" s="93">
        <f t="shared" si="418"/>
        <v>-4886.5</v>
      </c>
      <c r="M3226" s="95">
        <f t="shared" ca="1" si="419"/>
        <v>-1557.3815879565466</v>
      </c>
      <c r="N3226" s="95">
        <f>IF(P3226="Hedge Fund",IF(A3226=Summary!$AD$3,M3226-E3226,M3226),IF(A3226=Summary!$AD$3,L3226-D3226,L3226))</f>
        <v>-4886.5</v>
      </c>
      <c r="O3226" s="95"/>
      <c r="P3226" s="107" t="s">
        <v>155</v>
      </c>
      <c r="Q3226" s="107">
        <v>0</v>
      </c>
      <c r="R3226" s="107">
        <v>0</v>
      </c>
      <c r="S3226" s="107">
        <v>0</v>
      </c>
      <c r="T3226" s="107">
        <v>0</v>
      </c>
      <c r="U3226" s="107"/>
      <c r="V3226" s="107"/>
      <c r="W3226" s="107"/>
      <c r="X3226" s="107"/>
      <c r="Y3226" s="107"/>
      <c r="Z3226" s="107"/>
      <c r="AA3226" s="107"/>
      <c r="AB3226" s="107"/>
      <c r="AC3226" s="355"/>
      <c r="AD3226" s="355"/>
      <c r="AE3226" s="355"/>
      <c r="AF3226" s="94">
        <f t="shared" si="420"/>
        <v>42338</v>
      </c>
      <c r="AG3226" s="185">
        <f t="shared" si="417"/>
        <v>-2.0021825719014452E-2</v>
      </c>
      <c r="AH3226" s="339" t="str">
        <f>VLOOKUP(B3226,'MF PF'!A:B,2)</f>
        <v>FdMgt1</v>
      </c>
      <c r="AI3226" s="358">
        <f t="shared" si="421"/>
        <v>0</v>
      </c>
      <c r="AJ3226" s="94">
        <f t="shared" si="422"/>
        <v>42338</v>
      </c>
    </row>
    <row r="3227" spans="1:36" ht="12.75" customHeight="1">
      <c r="A3227" s="94">
        <v>42369</v>
      </c>
      <c r="B3227" s="94" t="s">
        <v>188</v>
      </c>
      <c r="C3227" s="358" t="s">
        <v>343</v>
      </c>
      <c r="D3227" s="98">
        <v>369057.6590000001</v>
      </c>
      <c r="E3227" s="9">
        <f t="shared" si="423"/>
        <v>117622.75719245797</v>
      </c>
      <c r="F3227" s="98">
        <v>0.33700000000000002</v>
      </c>
      <c r="G3227" s="98">
        <v>0</v>
      </c>
      <c r="H3227" s="98">
        <v>0</v>
      </c>
      <c r="I3227" s="98">
        <v>-6740</v>
      </c>
      <c r="J3227" s="98"/>
      <c r="K3227" s="93">
        <v>3.1376382241757574</v>
      </c>
      <c r="L3227" s="93">
        <f t="shared" si="418"/>
        <v>-6740</v>
      </c>
      <c r="M3227" s="95">
        <f t="shared" ca="1" si="419"/>
        <v>-2148.1125351124779</v>
      </c>
      <c r="N3227" s="95">
        <f>IF(P3227="Hedge Fund",IF(A3227=Summary!$AD$3,M3227-E3227,M3227),IF(A3227=Summary!$AD$3,L3227-D3227,L3227))</f>
        <v>-6740</v>
      </c>
      <c r="O3227" s="95"/>
      <c r="P3227" s="107" t="s">
        <v>155</v>
      </c>
      <c r="Q3227" s="107">
        <v>0</v>
      </c>
      <c r="R3227" s="107">
        <v>0</v>
      </c>
      <c r="S3227" s="107">
        <v>0</v>
      </c>
      <c r="T3227" s="107">
        <v>0</v>
      </c>
      <c r="U3227" s="107"/>
      <c r="V3227" s="107"/>
      <c r="W3227" s="107"/>
      <c r="X3227" s="107"/>
      <c r="Y3227" s="107"/>
      <c r="Z3227" s="107"/>
      <c r="AA3227" s="107"/>
      <c r="AB3227" s="107"/>
      <c r="AC3227" s="355"/>
      <c r="AD3227" s="355"/>
      <c r="AE3227" s="355"/>
      <c r="AF3227" s="94">
        <f t="shared" si="420"/>
        <v>42369</v>
      </c>
      <c r="AG3227" s="185">
        <f t="shared" si="417"/>
        <v>-0.29685909570570113</v>
      </c>
      <c r="AH3227" s="339" t="str">
        <f>VLOOKUP(B3227,'MF PF'!A:B,2)</f>
        <v>FdMgt1</v>
      </c>
      <c r="AI3227" s="358">
        <f t="shared" si="421"/>
        <v>0</v>
      </c>
      <c r="AJ3227" s="94">
        <f t="shared" si="422"/>
        <v>42369</v>
      </c>
    </row>
    <row r="3228" spans="1:36" ht="12.75" customHeight="1">
      <c r="A3228" s="94">
        <v>42398</v>
      </c>
      <c r="B3228" s="94" t="s">
        <v>188</v>
      </c>
      <c r="C3228" s="358" t="s">
        <v>343</v>
      </c>
      <c r="D3228" s="98">
        <v>278972.3073000001</v>
      </c>
      <c r="E3228" s="9">
        <f t="shared" si="423"/>
        <v>88911.559385813132</v>
      </c>
      <c r="F3228" s="98">
        <v>0.33700000000000002</v>
      </c>
      <c r="G3228" s="98">
        <v>0</v>
      </c>
      <c r="H3228" s="98">
        <v>0</v>
      </c>
      <c r="I3228" s="98">
        <v>0</v>
      </c>
      <c r="J3228" s="98"/>
      <c r="K3228" s="93">
        <v>3.1376382241757574</v>
      </c>
      <c r="L3228" s="93">
        <f t="shared" si="418"/>
        <v>0</v>
      </c>
      <c r="M3228" s="95">
        <f t="shared" ca="1" si="419"/>
        <v>0</v>
      </c>
      <c r="N3228" s="95">
        <f>IF(P3228="Hedge Fund",IF(A3228=Summary!$AD$3,M3228-E3228,M3228),IF(A3228=Summary!$AD$3,L3228-D3228,L3228))</f>
        <v>0</v>
      </c>
      <c r="O3228" s="95"/>
      <c r="P3228" s="107" t="s">
        <v>155</v>
      </c>
      <c r="Q3228" s="107">
        <v>0</v>
      </c>
      <c r="R3228" s="107">
        <v>0</v>
      </c>
      <c r="S3228" s="107">
        <v>0</v>
      </c>
      <c r="T3228" s="107">
        <v>0</v>
      </c>
      <c r="U3228" s="107"/>
      <c r="V3228" s="107"/>
      <c r="W3228" s="107"/>
      <c r="X3228" s="107"/>
      <c r="Y3228" s="107"/>
      <c r="Z3228" s="107"/>
      <c r="AA3228" s="107"/>
      <c r="AB3228" s="107"/>
      <c r="AC3228" s="355"/>
      <c r="AD3228" s="355"/>
      <c r="AE3228" s="355"/>
      <c r="AF3228" s="94">
        <f t="shared" si="420"/>
        <v>42398</v>
      </c>
      <c r="AG3228" s="185">
        <f t="shared" si="417"/>
        <v>-0.24409560268738384</v>
      </c>
      <c r="AH3228" s="339" t="str">
        <f>VLOOKUP(B3228,'MF PF'!A:B,2)</f>
        <v>FdMgt1</v>
      </c>
      <c r="AI3228" s="358">
        <f t="shared" si="421"/>
        <v>0</v>
      </c>
      <c r="AJ3228" s="94">
        <f t="shared" si="422"/>
        <v>42400</v>
      </c>
    </row>
    <row r="3229" spans="1:36" ht="12.75" customHeight="1">
      <c r="A3229" s="94">
        <v>42429</v>
      </c>
      <c r="B3229" s="94" t="s">
        <v>188</v>
      </c>
      <c r="C3229" s="358" t="s">
        <v>343</v>
      </c>
      <c r="D3229" s="98">
        <v>340868.86679999973</v>
      </c>
      <c r="E3229" s="9">
        <f t="shared" si="423"/>
        <v>108638.67738911943</v>
      </c>
      <c r="F3229" s="98">
        <v>0.33700000000000002</v>
      </c>
      <c r="G3229" s="98">
        <v>0</v>
      </c>
      <c r="H3229" s="98">
        <v>0</v>
      </c>
      <c r="I3229" s="98">
        <v>0</v>
      </c>
      <c r="J3229" s="98"/>
      <c r="K3229" s="93">
        <v>3.1376382241757574</v>
      </c>
      <c r="L3229" s="93">
        <f t="shared" si="418"/>
        <v>0</v>
      </c>
      <c r="M3229" s="95">
        <f t="shared" ca="1" si="419"/>
        <v>0</v>
      </c>
      <c r="N3229" s="95">
        <f>IF(P3229="Hedge Fund",IF(A3229=Summary!$AD$3,M3229-E3229,M3229),IF(A3229=Summary!$AD$3,L3229-D3229,L3229))</f>
        <v>0</v>
      </c>
      <c r="O3229" s="95"/>
      <c r="P3229" s="107" t="s">
        <v>155</v>
      </c>
      <c r="Q3229" s="107">
        <v>0</v>
      </c>
      <c r="R3229" s="107">
        <v>0</v>
      </c>
      <c r="S3229" s="107">
        <v>0</v>
      </c>
      <c r="T3229" s="107">
        <v>0</v>
      </c>
      <c r="U3229" s="107"/>
      <c r="V3229" s="107"/>
      <c r="W3229" s="107"/>
      <c r="X3229" s="107"/>
      <c r="Y3229" s="107"/>
      <c r="Z3229" s="107"/>
      <c r="AA3229" s="107"/>
      <c r="AB3229" s="107"/>
      <c r="AC3229" s="355"/>
      <c r="AD3229" s="355"/>
      <c r="AE3229" s="355"/>
      <c r="AF3229" s="94">
        <f t="shared" si="420"/>
        <v>42429</v>
      </c>
      <c r="AG3229" s="185">
        <f t="shared" si="417"/>
        <v>0.22187349023656866</v>
      </c>
      <c r="AH3229" s="339" t="str">
        <f>VLOOKUP(B3229,'MF PF'!A:B,2)</f>
        <v>FdMgt1</v>
      </c>
      <c r="AI3229" s="358">
        <f t="shared" si="421"/>
        <v>0</v>
      </c>
      <c r="AJ3229" s="94">
        <f t="shared" si="422"/>
        <v>42429</v>
      </c>
    </row>
    <row r="3230" spans="1:36" ht="12.75" customHeight="1">
      <c r="A3230" s="94">
        <v>42460</v>
      </c>
      <c r="B3230" s="94" t="s">
        <v>188</v>
      </c>
      <c r="C3230" s="358" t="s">
        <v>343</v>
      </c>
      <c r="D3230" s="98">
        <v>326620.88140000001</v>
      </c>
      <c r="E3230" s="95">
        <f t="shared" si="423"/>
        <v>104097.68687905431</v>
      </c>
      <c r="F3230" s="98">
        <v>0.33700000000000002</v>
      </c>
      <c r="G3230" s="98">
        <v>0</v>
      </c>
      <c r="H3230" s="98">
        <v>0</v>
      </c>
      <c r="I3230" s="98">
        <v>0</v>
      </c>
      <c r="J3230" s="98"/>
      <c r="K3230" s="93">
        <v>3.1376382241757574</v>
      </c>
      <c r="L3230" s="93">
        <f t="shared" si="418"/>
        <v>0</v>
      </c>
      <c r="M3230" s="95">
        <f t="shared" ca="1" si="419"/>
        <v>0</v>
      </c>
      <c r="N3230" s="95">
        <f>IF(P3230="Hedge Fund",IF(A3230=Summary!$AD$3,M3230-E3230,M3230),IF(A3230=Summary!$AD$3,L3230-D3230,L3230))</f>
        <v>0</v>
      </c>
      <c r="O3230" s="95"/>
      <c r="P3230" s="107" t="s">
        <v>155</v>
      </c>
      <c r="Q3230" s="107">
        <v>0</v>
      </c>
      <c r="R3230" s="107">
        <v>0</v>
      </c>
      <c r="S3230" s="107">
        <v>0</v>
      </c>
      <c r="T3230" s="107">
        <v>0</v>
      </c>
      <c r="U3230" s="107"/>
      <c r="V3230" s="107"/>
      <c r="W3230" s="107"/>
      <c r="X3230" s="107"/>
      <c r="Y3230" s="107"/>
      <c r="Z3230" s="107"/>
      <c r="AA3230" s="107"/>
      <c r="AB3230" s="107"/>
      <c r="AC3230" s="355"/>
      <c r="AD3230" s="355"/>
      <c r="AE3230" s="355"/>
      <c r="AF3230" s="94">
        <f t="shared" si="420"/>
        <v>42460</v>
      </c>
      <c r="AG3230" s="185">
        <f t="shared" si="417"/>
        <v>-4.1799022403414487E-2</v>
      </c>
      <c r="AH3230" s="339" t="str">
        <f>VLOOKUP(B3230,'MF PF'!A:B,2)</f>
        <v>FdMgt1</v>
      </c>
      <c r="AI3230" s="358">
        <f t="shared" si="421"/>
        <v>0</v>
      </c>
      <c r="AJ3230" s="94">
        <f t="shared" si="422"/>
        <v>42460</v>
      </c>
    </row>
    <row r="3231" spans="1:36" ht="12.75" customHeight="1">
      <c r="A3231" s="94">
        <v>42489</v>
      </c>
      <c r="B3231" s="94" t="s">
        <v>188</v>
      </c>
      <c r="C3231" s="358" t="s">
        <v>343</v>
      </c>
      <c r="D3231" s="98">
        <v>441118.7111999999</v>
      </c>
      <c r="E3231" s="9">
        <f t="shared" si="423"/>
        <v>140589.41142453722</v>
      </c>
      <c r="F3231" s="98">
        <v>0.33700000000000002</v>
      </c>
      <c r="G3231" s="98">
        <v>0</v>
      </c>
      <c r="H3231" s="98">
        <v>0</v>
      </c>
      <c r="I3231" s="98">
        <v>0</v>
      </c>
      <c r="J3231" s="98"/>
      <c r="K3231" s="93">
        <v>3.1376382241757574</v>
      </c>
      <c r="L3231" s="93">
        <f t="shared" si="418"/>
        <v>0</v>
      </c>
      <c r="M3231" s="95">
        <f t="shared" ca="1" si="419"/>
        <v>0</v>
      </c>
      <c r="N3231" s="95">
        <f>IF(P3231="Hedge Fund",IF(A3231=Summary!$AD$3,M3231-E3231,M3231),IF(A3231=Summary!$AD$3,L3231-D3231,L3231))</f>
        <v>0</v>
      </c>
      <c r="O3231" s="95"/>
      <c r="P3231" s="107" t="s">
        <v>155</v>
      </c>
      <c r="Q3231" s="107">
        <v>0</v>
      </c>
      <c r="R3231" s="107">
        <v>0</v>
      </c>
      <c r="S3231" s="107">
        <v>0</v>
      </c>
      <c r="T3231" s="107">
        <v>0</v>
      </c>
      <c r="U3231" s="107"/>
      <c r="V3231" s="107"/>
      <c r="W3231" s="107"/>
      <c r="X3231" s="107"/>
      <c r="Y3231" s="107"/>
      <c r="Z3231" s="107"/>
      <c r="AA3231" s="107"/>
      <c r="AB3231" s="107"/>
      <c r="AC3231" s="355"/>
      <c r="AD3231" s="355"/>
      <c r="AE3231" s="355"/>
      <c r="AF3231" s="94">
        <f t="shared" si="420"/>
        <v>42489</v>
      </c>
      <c r="AG3231" s="185">
        <f t="shared" si="417"/>
        <v>0.35055269372008957</v>
      </c>
      <c r="AH3231" s="339" t="str">
        <f>VLOOKUP(B3231,'MF PF'!A:B,2)</f>
        <v>FdMgt1</v>
      </c>
      <c r="AI3231" s="358">
        <f t="shared" si="421"/>
        <v>0</v>
      </c>
      <c r="AJ3231" s="94">
        <f t="shared" si="422"/>
        <v>42490</v>
      </c>
    </row>
    <row r="3232" spans="1:36" ht="12.75" customHeight="1">
      <c r="A3232" s="94">
        <v>42521</v>
      </c>
      <c r="B3232" s="94" t="s">
        <v>188</v>
      </c>
      <c r="C3232" s="358" t="s">
        <v>343</v>
      </c>
      <c r="D3232" s="98">
        <v>484726.99900000024</v>
      </c>
      <c r="E3232" s="9">
        <f t="shared" si="423"/>
        <v>154487.85499396946</v>
      </c>
      <c r="F3232" s="98">
        <v>0.33700000000000002</v>
      </c>
      <c r="G3232" s="98">
        <v>0</v>
      </c>
      <c r="H3232" s="98">
        <v>0</v>
      </c>
      <c r="I3232" s="98">
        <v>0</v>
      </c>
      <c r="J3232" s="98"/>
      <c r="K3232" s="93">
        <v>3.1376382241757574</v>
      </c>
      <c r="L3232" s="93">
        <f t="shared" si="418"/>
        <v>0</v>
      </c>
      <c r="M3232" s="95">
        <f t="shared" ca="1" si="419"/>
        <v>0</v>
      </c>
      <c r="N3232" s="95">
        <f>IF(P3232="Hedge Fund",IF(A3232=Summary!$AD$3,M3232-E3232,M3232),IF(A3232=Summary!$AD$3,L3232-D3232,L3232))</f>
        <v>0</v>
      </c>
      <c r="O3232" s="95"/>
      <c r="P3232" s="107" t="s">
        <v>155</v>
      </c>
      <c r="Q3232" s="107">
        <v>0</v>
      </c>
      <c r="R3232" s="107">
        <v>0</v>
      </c>
      <c r="S3232" s="107">
        <v>0</v>
      </c>
      <c r="T3232" s="107">
        <v>0</v>
      </c>
      <c r="U3232" s="107"/>
      <c r="V3232" s="107"/>
      <c r="W3232" s="107"/>
      <c r="X3232" s="107"/>
      <c r="Y3232" s="107"/>
      <c r="Z3232" s="107"/>
      <c r="AA3232" s="107"/>
      <c r="AB3232" s="107"/>
      <c r="AC3232" s="355"/>
      <c r="AD3232" s="355"/>
      <c r="AE3232" s="355"/>
      <c r="AF3232" s="94">
        <f t="shared" si="420"/>
        <v>42521</v>
      </c>
      <c r="AG3232" s="185">
        <f t="shared" si="417"/>
        <v>9.8858395014281397E-2</v>
      </c>
      <c r="AH3232" s="339" t="str">
        <f>VLOOKUP(B3232,'MF PF'!A:B,2)</f>
        <v>FdMgt1</v>
      </c>
      <c r="AI3232" s="358">
        <f t="shared" si="421"/>
        <v>0</v>
      </c>
      <c r="AJ3232" s="94">
        <f t="shared" si="422"/>
        <v>42521</v>
      </c>
    </row>
    <row r="3233" spans="1:36" ht="12.75" customHeight="1">
      <c r="A3233" s="94">
        <v>42551</v>
      </c>
      <c r="B3233" s="94" t="s">
        <v>188</v>
      </c>
      <c r="C3233" s="358" t="s">
        <v>343</v>
      </c>
      <c r="D3233" s="98">
        <v>593386.22410000011</v>
      </c>
      <c r="E3233" s="9">
        <f t="shared" si="423"/>
        <v>189118.75165463981</v>
      </c>
      <c r="F3233" s="98">
        <v>0.33700000000000002</v>
      </c>
      <c r="G3233" s="98">
        <v>0</v>
      </c>
      <c r="H3233" s="98">
        <v>0</v>
      </c>
      <c r="I3233" s="98">
        <v>0</v>
      </c>
      <c r="J3233" s="98"/>
      <c r="K3233" s="93">
        <v>3.1376382241757574</v>
      </c>
      <c r="L3233" s="93">
        <f t="shared" si="418"/>
        <v>0</v>
      </c>
      <c r="M3233" s="95">
        <f t="shared" ca="1" si="419"/>
        <v>0</v>
      </c>
      <c r="N3233" s="95">
        <f>IF(P3233="Hedge Fund",IF(A3233=Summary!$AD$3,M3233-E3233,M3233),IF(A3233=Summary!$AD$3,L3233-D3233,L3233))</f>
        <v>0</v>
      </c>
      <c r="O3233" s="95"/>
      <c r="P3233" s="107" t="s">
        <v>155</v>
      </c>
      <c r="Q3233" s="107">
        <v>0</v>
      </c>
      <c r="R3233" s="107">
        <v>0</v>
      </c>
      <c r="S3233" s="107">
        <v>0</v>
      </c>
      <c r="T3233" s="107">
        <v>0</v>
      </c>
      <c r="U3233" s="107"/>
      <c r="V3233" s="107"/>
      <c r="W3233" s="107"/>
      <c r="X3233" s="107"/>
      <c r="Y3233" s="107"/>
      <c r="Z3233" s="107"/>
      <c r="AA3233" s="107"/>
      <c r="AB3233" s="107"/>
      <c r="AC3233" s="355"/>
      <c r="AD3233" s="355"/>
      <c r="AE3233" s="355"/>
      <c r="AF3233" s="94">
        <f t="shared" si="420"/>
        <v>42551</v>
      </c>
      <c r="AG3233" s="185">
        <f t="shared" si="417"/>
        <v>0.22416581977931016</v>
      </c>
      <c r="AH3233" s="339" t="str">
        <f>VLOOKUP(B3233,'MF PF'!A:B,2)</f>
        <v>FdMgt1</v>
      </c>
      <c r="AI3233" s="358">
        <f t="shared" si="421"/>
        <v>0</v>
      </c>
      <c r="AJ3233" s="94">
        <f t="shared" si="422"/>
        <v>42551</v>
      </c>
    </row>
    <row r="3234" spans="1:36" ht="12.75" customHeight="1">
      <c r="A3234" s="94">
        <v>42580</v>
      </c>
      <c r="B3234" s="94" t="s">
        <v>188</v>
      </c>
      <c r="C3234" s="358" t="s">
        <v>343</v>
      </c>
      <c r="D3234" s="98">
        <v>932179.00909999991</v>
      </c>
      <c r="E3234" s="9">
        <f t="shared" ref="E3234:E3259" si="424">D3234/K3234</f>
        <v>297095.75881549536</v>
      </c>
      <c r="F3234" s="98">
        <v>0.33700000000000002</v>
      </c>
      <c r="G3234" s="98">
        <v>0</v>
      </c>
      <c r="H3234" s="98">
        <v>-1.1641532182693481E-10</v>
      </c>
      <c r="I3234" s="98">
        <v>0</v>
      </c>
      <c r="J3234" s="98"/>
      <c r="K3234" s="93">
        <v>3.1376382241757574</v>
      </c>
      <c r="L3234" s="93">
        <f t="shared" si="418"/>
        <v>-1.1641532182693481E-10</v>
      </c>
      <c r="M3234" s="95">
        <f t="shared" ca="1" si="419"/>
        <v>0</v>
      </c>
      <c r="N3234" s="95">
        <f>IF(P3234="Hedge Fund",IF(A3234=Summary!$AD$3,M3234-E3234,M3234),IF(A3234=Summary!$AD$3,L3234-D3234,L3234))</f>
        <v>-1.1641532182693481E-10</v>
      </c>
      <c r="O3234" s="95"/>
      <c r="P3234" s="107" t="s">
        <v>155</v>
      </c>
      <c r="Q3234" s="107">
        <v>0</v>
      </c>
      <c r="R3234" s="107">
        <v>0</v>
      </c>
      <c r="S3234" s="107">
        <v>0</v>
      </c>
      <c r="T3234" s="107">
        <v>0</v>
      </c>
      <c r="U3234" s="107"/>
      <c r="V3234" s="107"/>
      <c r="W3234" s="107"/>
      <c r="X3234" s="107"/>
      <c r="Y3234" s="107"/>
      <c r="Z3234" s="107"/>
      <c r="AA3234" s="107"/>
      <c r="AB3234" s="107"/>
      <c r="AC3234" s="355"/>
      <c r="AD3234" s="355"/>
      <c r="AE3234" s="355"/>
      <c r="AF3234" s="94">
        <f t="shared" si="420"/>
        <v>42580</v>
      </c>
      <c r="AG3234" s="185">
        <f t="shared" ref="AG3234:AG3297" si="425">IF(C3234&lt;&gt;C3233,D3234/G3234-1,(D3234-G3234-I3234-H3234)/(D3233)-1)</f>
        <v>0.57094818052753626</v>
      </c>
      <c r="AH3234" s="339" t="str">
        <f>VLOOKUP(B3234,'MF PF'!A:B,2)</f>
        <v>FdMgt1</v>
      </c>
      <c r="AI3234" s="358">
        <f t="shared" si="421"/>
        <v>0</v>
      </c>
      <c r="AJ3234" s="94">
        <f t="shared" si="422"/>
        <v>42582</v>
      </c>
    </row>
    <row r="3235" spans="1:36" ht="12.75" customHeight="1">
      <c r="A3235" s="94">
        <v>42613</v>
      </c>
      <c r="B3235" s="94" t="s">
        <v>188</v>
      </c>
      <c r="C3235" s="358" t="s">
        <v>343</v>
      </c>
      <c r="D3235" s="98">
        <v>1096118.6204000004</v>
      </c>
      <c r="E3235" s="9">
        <f t="shared" si="424"/>
        <v>349345.12588300247</v>
      </c>
      <c r="F3235" s="98">
        <v>0.33700000000000002</v>
      </c>
      <c r="G3235" s="98">
        <v>0</v>
      </c>
      <c r="H3235" s="98">
        <v>0</v>
      </c>
      <c r="I3235" s="98">
        <v>0</v>
      </c>
      <c r="J3235" s="98"/>
      <c r="K3235" s="93">
        <v>3.1376382241757574</v>
      </c>
      <c r="L3235" s="93">
        <f t="shared" si="418"/>
        <v>0</v>
      </c>
      <c r="M3235" s="95">
        <f t="shared" ca="1" si="419"/>
        <v>0</v>
      </c>
      <c r="N3235" s="95">
        <f>IF(P3235="Hedge Fund",IF(A3235=Summary!$AD$3,M3235-E3235,M3235),IF(A3235=Summary!$AD$3,L3235-D3235,L3235))</f>
        <v>0</v>
      </c>
      <c r="O3235" s="95"/>
      <c r="P3235" s="107" t="s">
        <v>155</v>
      </c>
      <c r="Q3235" s="107">
        <v>0</v>
      </c>
      <c r="R3235" s="107">
        <v>0</v>
      </c>
      <c r="S3235" s="107">
        <v>0</v>
      </c>
      <c r="T3235" s="107">
        <v>0</v>
      </c>
      <c r="U3235" s="107"/>
      <c r="V3235" s="107"/>
      <c r="W3235" s="107"/>
      <c r="X3235" s="107"/>
      <c r="Y3235" s="107"/>
      <c r="Z3235" s="107"/>
      <c r="AA3235" s="107"/>
      <c r="AB3235" s="107"/>
      <c r="AC3235" s="355"/>
      <c r="AD3235" s="355"/>
      <c r="AE3235" s="355"/>
      <c r="AF3235" s="94">
        <f t="shared" si="420"/>
        <v>42613</v>
      </c>
      <c r="AG3235" s="185">
        <f t="shared" si="425"/>
        <v>0.17586709172767234</v>
      </c>
      <c r="AH3235" s="339" t="str">
        <f>VLOOKUP(B3235,'MF PF'!A:B,2)</f>
        <v>FdMgt1</v>
      </c>
      <c r="AI3235" s="358">
        <f t="shared" si="421"/>
        <v>0</v>
      </c>
      <c r="AJ3235" s="94">
        <f t="shared" si="422"/>
        <v>42613</v>
      </c>
    </row>
    <row r="3236" spans="1:36" ht="12.75" customHeight="1">
      <c r="A3236" s="94">
        <v>42643</v>
      </c>
      <c r="B3236" s="94" t="s">
        <v>188</v>
      </c>
      <c r="C3236" s="358" t="s">
        <v>343</v>
      </c>
      <c r="D3236" s="98">
        <v>1372799.7185</v>
      </c>
      <c r="E3236" s="95">
        <f t="shared" si="424"/>
        <v>437526.45155915892</v>
      </c>
      <c r="F3236" s="98">
        <v>0.33700000000000002</v>
      </c>
      <c r="G3236" s="98">
        <v>0</v>
      </c>
      <c r="H3236" s="98">
        <v>0</v>
      </c>
      <c r="I3236" s="98">
        <v>0</v>
      </c>
      <c r="J3236" s="98"/>
      <c r="K3236" s="93">
        <v>3.1376382241757574</v>
      </c>
      <c r="L3236" s="93">
        <f t="shared" si="418"/>
        <v>0</v>
      </c>
      <c r="M3236" s="95">
        <f t="shared" ca="1" si="419"/>
        <v>0</v>
      </c>
      <c r="N3236" s="95">
        <f>IF(P3236="Hedge Fund",IF(A3236=Summary!$AD$3,M3236-E3236,M3236),IF(A3236=Summary!$AD$3,L3236-D3236,L3236))</f>
        <v>0</v>
      </c>
      <c r="O3236" s="95"/>
      <c r="P3236" s="107" t="s">
        <v>155</v>
      </c>
      <c r="Q3236" s="107">
        <v>0</v>
      </c>
      <c r="R3236" s="107">
        <v>0</v>
      </c>
      <c r="S3236" s="107">
        <v>0</v>
      </c>
      <c r="T3236" s="107">
        <v>0</v>
      </c>
      <c r="U3236" s="107"/>
      <c r="V3236" s="107"/>
      <c r="W3236" s="107"/>
      <c r="X3236" s="107"/>
      <c r="Y3236" s="107"/>
      <c r="Z3236" s="107"/>
      <c r="AA3236" s="107"/>
      <c r="AB3236" s="107"/>
      <c r="AC3236" s="355"/>
      <c r="AD3236" s="355"/>
      <c r="AE3236" s="355"/>
      <c r="AF3236" s="94">
        <f t="shared" si="420"/>
        <v>42643</v>
      </c>
      <c r="AG3236" s="185">
        <f t="shared" si="425"/>
        <v>0.25241893801515025</v>
      </c>
      <c r="AH3236" s="339" t="str">
        <f>VLOOKUP(B3236,'MF PF'!A:B,2)</f>
        <v>FdMgt1</v>
      </c>
      <c r="AI3236" s="358">
        <f t="shared" si="421"/>
        <v>0</v>
      </c>
      <c r="AJ3236" s="94">
        <f t="shared" si="422"/>
        <v>42643</v>
      </c>
    </row>
    <row r="3237" spans="1:36" ht="12.75" customHeight="1">
      <c r="A3237" s="94">
        <v>42674</v>
      </c>
      <c r="B3237" s="94" t="s">
        <v>188</v>
      </c>
      <c r="C3237" s="358" t="s">
        <v>343</v>
      </c>
      <c r="D3237" s="98">
        <v>1938426.5207000007</v>
      </c>
      <c r="E3237" s="9">
        <f t="shared" si="424"/>
        <v>617797.96847331442</v>
      </c>
      <c r="F3237" s="98">
        <v>0.33700000000000002</v>
      </c>
      <c r="G3237" s="98">
        <v>0</v>
      </c>
      <c r="H3237" s="98">
        <v>-2.3283064365386963E-10</v>
      </c>
      <c r="I3237" s="98">
        <v>0</v>
      </c>
      <c r="J3237" s="98"/>
      <c r="K3237" s="93">
        <v>3.1376382241757574</v>
      </c>
      <c r="L3237" s="93">
        <f t="shared" si="418"/>
        <v>-2.3283064365386963E-10</v>
      </c>
      <c r="M3237" s="95">
        <f t="shared" ca="1" si="419"/>
        <v>0</v>
      </c>
      <c r="N3237" s="95">
        <f>IF(P3237="Hedge Fund",IF(A3237=Summary!$AD$3,M3237-E3237,M3237),IF(A3237=Summary!$AD$3,L3237-D3237,L3237))</f>
        <v>-2.3283064365386963E-10</v>
      </c>
      <c r="O3237" s="95"/>
      <c r="P3237" s="107" t="s">
        <v>155</v>
      </c>
      <c r="Q3237" s="107">
        <v>0</v>
      </c>
      <c r="R3237" s="107">
        <v>0</v>
      </c>
      <c r="S3237" s="107">
        <v>0</v>
      </c>
      <c r="T3237" s="107">
        <v>0</v>
      </c>
      <c r="U3237" s="107"/>
      <c r="V3237" s="107"/>
      <c r="W3237" s="107"/>
      <c r="X3237" s="107"/>
      <c r="Y3237" s="107"/>
      <c r="Z3237" s="107"/>
      <c r="AA3237" s="107"/>
      <c r="AB3237" s="107"/>
      <c r="AC3237" s="355"/>
      <c r="AD3237" s="355"/>
      <c r="AE3237" s="355"/>
      <c r="AF3237" s="94">
        <f t="shared" si="420"/>
        <v>42674</v>
      </c>
      <c r="AG3237" s="185">
        <f t="shared" si="425"/>
        <v>0.41202427023953447</v>
      </c>
      <c r="AH3237" s="339" t="str">
        <f>VLOOKUP(B3237,'MF PF'!A:B,2)</f>
        <v>FdMgt1</v>
      </c>
      <c r="AI3237" s="358">
        <f t="shared" si="421"/>
        <v>0</v>
      </c>
      <c r="AJ3237" s="94">
        <f t="shared" si="422"/>
        <v>42674</v>
      </c>
    </row>
    <row r="3238" spans="1:36" ht="12.75" customHeight="1">
      <c r="A3238" s="94">
        <v>42704</v>
      </c>
      <c r="B3238" s="94" t="s">
        <v>188</v>
      </c>
      <c r="C3238" s="358" t="s">
        <v>343</v>
      </c>
      <c r="D3238" s="98">
        <v>1387431.7341000002</v>
      </c>
      <c r="E3238" s="9">
        <f t="shared" si="424"/>
        <v>442189.83674080909</v>
      </c>
      <c r="F3238" s="98">
        <v>0.33700000000000002</v>
      </c>
      <c r="G3238" s="98">
        <v>0</v>
      </c>
      <c r="H3238" s="98">
        <v>0</v>
      </c>
      <c r="I3238" s="98">
        <v>-5055</v>
      </c>
      <c r="J3238" s="98"/>
      <c r="K3238" s="93">
        <v>3.1376382241757574</v>
      </c>
      <c r="L3238" s="93">
        <f t="shared" si="418"/>
        <v>-5055</v>
      </c>
      <c r="M3238" s="95">
        <f t="shared" ca="1" si="419"/>
        <v>-1611.0844013343585</v>
      </c>
      <c r="N3238" s="95">
        <f>IF(P3238="Hedge Fund",IF(A3238=Summary!$AD$3,M3238-E3238,M3238),IF(A3238=Summary!$AD$3,L3238-D3238,L3238))</f>
        <v>-5055</v>
      </c>
      <c r="O3238" s="95"/>
      <c r="P3238" s="107" t="s">
        <v>155</v>
      </c>
      <c r="Q3238" s="107">
        <v>0</v>
      </c>
      <c r="R3238" s="107">
        <v>0</v>
      </c>
      <c r="S3238" s="107">
        <v>0</v>
      </c>
      <c r="T3238" s="107">
        <v>0</v>
      </c>
      <c r="U3238" s="107"/>
      <c r="V3238" s="107"/>
      <c r="W3238" s="107"/>
      <c r="X3238" s="107"/>
      <c r="Y3238" s="107"/>
      <c r="Z3238" s="107"/>
      <c r="AA3238" s="107"/>
      <c r="AB3238" s="107"/>
      <c r="AC3238" s="355"/>
      <c r="AD3238" s="355"/>
      <c r="AE3238" s="355"/>
      <c r="AF3238" s="94">
        <f t="shared" si="420"/>
        <v>42704</v>
      </c>
      <c r="AG3238" s="185">
        <f t="shared" si="425"/>
        <v>-0.28164069195816188</v>
      </c>
      <c r="AH3238" s="339" t="str">
        <f>VLOOKUP(B3238,'MF PF'!A:B,2)</f>
        <v>FdMgt1</v>
      </c>
      <c r="AI3238" s="358">
        <f t="shared" si="421"/>
        <v>0</v>
      </c>
      <c r="AJ3238" s="94">
        <f t="shared" si="422"/>
        <v>42704</v>
      </c>
    </row>
    <row r="3239" spans="1:36" ht="12.75" customHeight="1">
      <c r="A3239" s="94">
        <v>42734</v>
      </c>
      <c r="B3239" s="94" t="s">
        <v>188</v>
      </c>
      <c r="C3239" s="358" t="s">
        <v>343</v>
      </c>
      <c r="D3239" s="98">
        <v>1410571.2895</v>
      </c>
      <c r="E3239" s="9">
        <f t="shared" si="424"/>
        <v>449564.66893838608</v>
      </c>
      <c r="F3239" s="98">
        <v>0.33700000000000002</v>
      </c>
      <c r="G3239" s="98">
        <v>0</v>
      </c>
      <c r="H3239" s="98">
        <v>0</v>
      </c>
      <c r="I3239" s="98">
        <v>-8088</v>
      </c>
      <c r="J3239" s="98"/>
      <c r="K3239" s="93">
        <v>3.1376382241757574</v>
      </c>
      <c r="L3239" s="93">
        <f t="shared" si="418"/>
        <v>-8088</v>
      </c>
      <c r="M3239" s="95">
        <f t="shared" ca="1" si="419"/>
        <v>-2577.7350421349738</v>
      </c>
      <c r="N3239" s="95">
        <f>IF(P3239="Hedge Fund",IF(A3239=Summary!$AD$3,M3239-E3239,M3239),IF(A3239=Summary!$AD$3,L3239-D3239,L3239))</f>
        <v>-8088</v>
      </c>
      <c r="O3239" s="95"/>
      <c r="P3239" s="107" t="s">
        <v>155</v>
      </c>
      <c r="Q3239" s="107">
        <v>0</v>
      </c>
      <c r="R3239" s="107">
        <v>0</v>
      </c>
      <c r="S3239" s="107">
        <v>0</v>
      </c>
      <c r="T3239" s="107">
        <v>0</v>
      </c>
      <c r="U3239" s="107"/>
      <c r="V3239" s="107"/>
      <c r="W3239" s="107"/>
      <c r="X3239" s="107"/>
      <c r="Y3239" s="107"/>
      <c r="Z3239" s="107"/>
      <c r="AA3239" s="107"/>
      <c r="AB3239" s="107"/>
      <c r="AC3239" s="355"/>
      <c r="AD3239" s="355"/>
      <c r="AE3239" s="355"/>
      <c r="AF3239" s="94">
        <f t="shared" si="420"/>
        <v>42734</v>
      </c>
      <c r="AG3239" s="185">
        <f t="shared" si="425"/>
        <v>2.2507453615551398E-2</v>
      </c>
      <c r="AH3239" s="339" t="str">
        <f>VLOOKUP(B3239,'MF PF'!A:B,2)</f>
        <v>FdMgt1</v>
      </c>
      <c r="AI3239" s="358">
        <f t="shared" si="421"/>
        <v>0</v>
      </c>
      <c r="AJ3239" s="94">
        <f t="shared" si="422"/>
        <v>42735</v>
      </c>
    </row>
    <row r="3240" spans="1:36" ht="12.75" customHeight="1">
      <c r="A3240" s="94">
        <v>42762</v>
      </c>
      <c r="B3240" s="94" t="s">
        <v>188</v>
      </c>
      <c r="C3240" s="358" t="s">
        <v>343</v>
      </c>
      <c r="D3240" s="98">
        <v>1453456.0765000002</v>
      </c>
      <c r="E3240" s="9">
        <f t="shared" si="424"/>
        <v>463232.52480193641</v>
      </c>
      <c r="F3240" s="98">
        <v>0.33700000000000002</v>
      </c>
      <c r="G3240" s="98">
        <v>0</v>
      </c>
      <c r="H3240" s="98">
        <v>0</v>
      </c>
      <c r="I3240" s="98">
        <v>0</v>
      </c>
      <c r="J3240" s="98"/>
      <c r="K3240" s="93">
        <v>3.1376382241757574</v>
      </c>
      <c r="L3240" s="93">
        <f t="shared" si="418"/>
        <v>0</v>
      </c>
      <c r="M3240" s="95">
        <f t="shared" ca="1" si="419"/>
        <v>0</v>
      </c>
      <c r="N3240" s="95">
        <f>IF(P3240="Hedge Fund",IF(A3240=Summary!$AD$3,M3240-E3240,M3240),IF(A3240=Summary!$AD$3,L3240-D3240,L3240))</f>
        <v>0</v>
      </c>
      <c r="O3240" s="95"/>
      <c r="P3240" s="107" t="s">
        <v>155</v>
      </c>
      <c r="Q3240" s="107">
        <v>0</v>
      </c>
      <c r="R3240" s="107">
        <v>0</v>
      </c>
      <c r="S3240" s="107">
        <v>0</v>
      </c>
      <c r="T3240" s="107">
        <v>0</v>
      </c>
      <c r="U3240" s="107"/>
      <c r="V3240" s="107"/>
      <c r="W3240" s="107"/>
      <c r="X3240" s="107"/>
      <c r="Y3240" s="107"/>
      <c r="Z3240" s="107"/>
      <c r="AA3240" s="107"/>
      <c r="AB3240" s="107"/>
      <c r="AC3240" s="355"/>
      <c r="AD3240" s="355"/>
      <c r="AE3240" s="355"/>
      <c r="AF3240" s="94">
        <f t="shared" si="420"/>
        <v>42762</v>
      </c>
      <c r="AG3240" s="185">
        <f t="shared" si="425"/>
        <v>3.0402424407206974E-2</v>
      </c>
      <c r="AH3240" s="339" t="str">
        <f>VLOOKUP(B3240,'MF PF'!A:B,2)</f>
        <v>FdMgt1</v>
      </c>
      <c r="AI3240" s="358">
        <f t="shared" si="421"/>
        <v>0</v>
      </c>
      <c r="AJ3240" s="94">
        <f t="shared" si="422"/>
        <v>42766</v>
      </c>
    </row>
    <row r="3241" spans="1:36" ht="12.75" customHeight="1">
      <c r="A3241" s="94">
        <v>42794</v>
      </c>
      <c r="B3241" s="94" t="s">
        <v>188</v>
      </c>
      <c r="C3241" s="358" t="s">
        <v>343</v>
      </c>
      <c r="D3241" s="98">
        <v>1487086.4406999997</v>
      </c>
      <c r="E3241" s="9">
        <f t="shared" si="424"/>
        <v>473950.8937779626</v>
      </c>
      <c r="F3241" s="98">
        <v>0.33700000000000002</v>
      </c>
      <c r="G3241" s="98">
        <v>0</v>
      </c>
      <c r="H3241" s="98">
        <v>0</v>
      </c>
      <c r="I3241" s="98">
        <v>0</v>
      </c>
      <c r="J3241" s="98"/>
      <c r="K3241" s="93">
        <v>3.1376382241757574</v>
      </c>
      <c r="L3241" s="93">
        <f t="shared" si="418"/>
        <v>0</v>
      </c>
      <c r="M3241" s="95">
        <f t="shared" ca="1" si="419"/>
        <v>0</v>
      </c>
      <c r="N3241" s="95">
        <f>IF(P3241="Hedge Fund",IF(A3241=Summary!$AD$3,M3241-E3241,M3241),IF(A3241=Summary!$AD$3,L3241-D3241,L3241))</f>
        <v>0</v>
      </c>
      <c r="O3241" s="95"/>
      <c r="P3241" s="107" t="s">
        <v>155</v>
      </c>
      <c r="Q3241" s="107">
        <v>0</v>
      </c>
      <c r="R3241" s="107">
        <v>0</v>
      </c>
      <c r="S3241" s="107">
        <v>0</v>
      </c>
      <c r="T3241" s="107">
        <v>0</v>
      </c>
      <c r="U3241" s="107"/>
      <c r="V3241" s="107"/>
      <c r="W3241" s="107"/>
      <c r="X3241" s="107"/>
      <c r="Y3241" s="107"/>
      <c r="Z3241" s="107"/>
      <c r="AA3241" s="107"/>
      <c r="AB3241" s="107"/>
      <c r="AC3241" s="355"/>
      <c r="AD3241" s="355"/>
      <c r="AE3241" s="355"/>
      <c r="AF3241" s="94">
        <f t="shared" si="420"/>
        <v>42794</v>
      </c>
      <c r="AG3241" s="185">
        <f t="shared" si="425"/>
        <v>2.3138204685884345E-2</v>
      </c>
      <c r="AH3241" s="339" t="str">
        <f>VLOOKUP(B3241,'MF PF'!A:B,2)</f>
        <v>FdMgt1</v>
      </c>
      <c r="AI3241" s="358">
        <f t="shared" si="421"/>
        <v>0</v>
      </c>
      <c r="AJ3241" s="94">
        <f t="shared" si="422"/>
        <v>42794</v>
      </c>
    </row>
    <row r="3242" spans="1:36" ht="12.75" customHeight="1">
      <c r="A3242" s="94">
        <v>42825</v>
      </c>
      <c r="B3242" s="94" t="s">
        <v>188</v>
      </c>
      <c r="C3242" s="358" t="s">
        <v>343</v>
      </c>
      <c r="D3242" s="98">
        <v>1463682.2866</v>
      </c>
      <c r="E3242" s="9">
        <f t="shared" si="424"/>
        <v>466491.73104859859</v>
      </c>
      <c r="F3242" s="98">
        <v>0.33700000000000002</v>
      </c>
      <c r="G3242" s="98">
        <v>0</v>
      </c>
      <c r="H3242" s="98">
        <v>0</v>
      </c>
      <c r="I3242" s="98">
        <v>-5055</v>
      </c>
      <c r="J3242" s="98"/>
      <c r="K3242" s="93">
        <v>3.1376382241757574</v>
      </c>
      <c r="L3242" s="93">
        <f t="shared" si="418"/>
        <v>-5055</v>
      </c>
      <c r="M3242" s="95">
        <f t="shared" ca="1" si="419"/>
        <v>-1611.0844013343585</v>
      </c>
      <c r="N3242" s="95">
        <f>IF(P3242="Hedge Fund",IF(A3242=Summary!$AD$3,M3242-E3242,M3242),IF(A3242=Summary!$AD$3,L3242-D3242,L3242))</f>
        <v>-5055</v>
      </c>
      <c r="O3242" s="95"/>
      <c r="P3242" s="107" t="s">
        <v>155</v>
      </c>
      <c r="Q3242" s="107">
        <v>0</v>
      </c>
      <c r="R3242" s="107">
        <v>0</v>
      </c>
      <c r="S3242" s="107">
        <v>0</v>
      </c>
      <c r="T3242" s="107">
        <v>0</v>
      </c>
      <c r="U3242" s="107"/>
      <c r="V3242" s="107"/>
      <c r="W3242" s="107"/>
      <c r="X3242" s="107"/>
      <c r="Y3242" s="107"/>
      <c r="Z3242" s="107"/>
      <c r="AA3242" s="107"/>
      <c r="AB3242" s="107"/>
      <c r="AC3242" s="355"/>
      <c r="AD3242" s="355"/>
      <c r="AE3242" s="355"/>
      <c r="AF3242" s="94">
        <f t="shared" si="420"/>
        <v>42825</v>
      </c>
      <c r="AG3242" s="185">
        <f t="shared" si="425"/>
        <v>-1.2338996307008521E-2</v>
      </c>
      <c r="AH3242" s="339" t="str">
        <f>VLOOKUP(B3242,'MF PF'!A:B,2)</f>
        <v>FdMgt1</v>
      </c>
      <c r="AI3242" s="358">
        <f t="shared" si="421"/>
        <v>0</v>
      </c>
      <c r="AJ3242" s="94">
        <f t="shared" si="422"/>
        <v>42825</v>
      </c>
    </row>
    <row r="3243" spans="1:36" ht="12.75" customHeight="1">
      <c r="A3243" s="94">
        <v>42853</v>
      </c>
      <c r="B3243" s="94" t="s">
        <v>188</v>
      </c>
      <c r="C3243" s="358" t="s">
        <v>343</v>
      </c>
      <c r="D3243" s="98">
        <v>1461109.1350000002</v>
      </c>
      <c r="E3243" s="9">
        <f t="shared" si="424"/>
        <v>465671.63917816774</v>
      </c>
      <c r="F3243" s="98">
        <v>0.33700000000000002</v>
      </c>
      <c r="G3243" s="98">
        <v>0</v>
      </c>
      <c r="H3243" s="98">
        <v>0</v>
      </c>
      <c r="I3243" s="98">
        <v>0</v>
      </c>
      <c r="J3243" s="98"/>
      <c r="K3243" s="93">
        <v>3.1376382241757574</v>
      </c>
      <c r="L3243" s="93">
        <f t="shared" si="418"/>
        <v>0</v>
      </c>
      <c r="M3243" s="95">
        <f t="shared" ca="1" si="419"/>
        <v>0</v>
      </c>
      <c r="N3243" s="95">
        <f>IF(P3243="Hedge Fund",IF(A3243=Summary!$AD$3,M3243-E3243,M3243),IF(A3243=Summary!$AD$3,L3243-D3243,L3243))</f>
        <v>0</v>
      </c>
      <c r="O3243" s="95"/>
      <c r="P3243" s="107" t="s">
        <v>155</v>
      </c>
      <c r="Q3243" s="107">
        <v>0</v>
      </c>
      <c r="R3243" s="107">
        <v>0</v>
      </c>
      <c r="S3243" s="107">
        <v>0</v>
      </c>
      <c r="T3243" s="107">
        <v>0</v>
      </c>
      <c r="U3243" s="107"/>
      <c r="V3243" s="107"/>
      <c r="W3243" s="107"/>
      <c r="X3243" s="107"/>
      <c r="Y3243" s="107"/>
      <c r="Z3243" s="107"/>
      <c r="AA3243" s="107"/>
      <c r="AB3243" s="107"/>
      <c r="AC3243" s="355"/>
      <c r="AD3243" s="355"/>
      <c r="AE3243" s="355"/>
      <c r="AF3243" s="94">
        <f t="shared" si="420"/>
        <v>42853</v>
      </c>
      <c r="AG3243" s="185">
        <f t="shared" si="425"/>
        <v>-1.7579987293396826E-3</v>
      </c>
      <c r="AH3243" s="339" t="str">
        <f>VLOOKUP(B3243,'MF PF'!A:B,2)</f>
        <v>FdMgt1</v>
      </c>
      <c r="AI3243" s="358">
        <f t="shared" si="421"/>
        <v>0</v>
      </c>
      <c r="AJ3243" s="94">
        <f t="shared" si="422"/>
        <v>42855</v>
      </c>
    </row>
    <row r="3244" spans="1:36" ht="12.75" customHeight="1">
      <c r="A3244" s="94">
        <v>42886</v>
      </c>
      <c r="B3244" s="94" t="s">
        <v>188</v>
      </c>
      <c r="C3244" s="358" t="s">
        <v>343</v>
      </c>
      <c r="D3244" s="98">
        <v>1418602.9186000002</v>
      </c>
      <c r="E3244" s="9">
        <f t="shared" si="424"/>
        <v>452124.43795130664</v>
      </c>
      <c r="F3244" s="98">
        <v>0.33700000000000002</v>
      </c>
      <c r="G3244" s="98">
        <v>0</v>
      </c>
      <c r="H3244" s="98">
        <v>0</v>
      </c>
      <c r="I3244" s="98">
        <v>0</v>
      </c>
      <c r="J3244" s="98"/>
      <c r="K3244" s="93">
        <v>3.1376382241757574</v>
      </c>
      <c r="L3244" s="93">
        <f t="shared" si="418"/>
        <v>0</v>
      </c>
      <c r="M3244" s="95">
        <f t="shared" ca="1" si="419"/>
        <v>0</v>
      </c>
      <c r="N3244" s="95">
        <f>IF(P3244="Hedge Fund",IF(A3244=Summary!$AD$3,M3244-E3244,M3244),IF(A3244=Summary!$AD$3,L3244-D3244,L3244))</f>
        <v>0</v>
      </c>
      <c r="O3244" s="95"/>
      <c r="P3244" s="107" t="s">
        <v>155</v>
      </c>
      <c r="Q3244" s="107">
        <v>0</v>
      </c>
      <c r="R3244" s="107">
        <v>0</v>
      </c>
      <c r="S3244" s="107">
        <v>0</v>
      </c>
      <c r="T3244" s="107">
        <v>0</v>
      </c>
      <c r="U3244" s="107"/>
      <c r="V3244" s="107"/>
      <c r="W3244" s="107"/>
      <c r="X3244" s="107"/>
      <c r="Y3244" s="107"/>
      <c r="Z3244" s="107"/>
      <c r="AA3244" s="107"/>
      <c r="AB3244" s="107"/>
      <c r="AC3244" s="355"/>
      <c r="AD3244" s="355"/>
      <c r="AE3244" s="355"/>
      <c r="AF3244" s="94">
        <f t="shared" si="420"/>
        <v>42886</v>
      </c>
      <c r="AG3244" s="185">
        <f t="shared" si="425"/>
        <v>-2.9091746387582496E-2</v>
      </c>
      <c r="AH3244" s="339" t="str">
        <f>VLOOKUP(B3244,'MF PF'!A:B,2)</f>
        <v>FdMgt1</v>
      </c>
      <c r="AI3244" s="358">
        <f t="shared" si="421"/>
        <v>0</v>
      </c>
      <c r="AJ3244" s="94">
        <f t="shared" si="422"/>
        <v>42886</v>
      </c>
    </row>
    <row r="3245" spans="1:36" ht="12.75" customHeight="1">
      <c r="A3245" s="94">
        <v>42916</v>
      </c>
      <c r="B3245" s="94" t="s">
        <v>188</v>
      </c>
      <c r="C3245" s="358" t="s">
        <v>343</v>
      </c>
      <c r="D3245" s="98">
        <v>1418482.7183000003</v>
      </c>
      <c r="E3245" s="9">
        <f t="shared" si="424"/>
        <v>452086.12878644699</v>
      </c>
      <c r="F3245" s="98">
        <v>0.33700000000000002</v>
      </c>
      <c r="G3245" s="98">
        <v>0</v>
      </c>
      <c r="H3245" s="98">
        <v>0</v>
      </c>
      <c r="I3245" s="98">
        <v>0</v>
      </c>
      <c r="J3245" s="98"/>
      <c r="K3245" s="93">
        <v>3.1376382241757574</v>
      </c>
      <c r="L3245" s="93">
        <f t="shared" si="418"/>
        <v>0</v>
      </c>
      <c r="M3245" s="95">
        <f t="shared" ca="1" si="419"/>
        <v>0</v>
      </c>
      <c r="N3245" s="95">
        <f>IF(P3245="Hedge Fund",IF(A3245=Summary!$AD$3,M3245-E3245,M3245),IF(A3245=Summary!$AD$3,L3245-D3245,L3245))</f>
        <v>0</v>
      </c>
      <c r="O3245" s="95"/>
      <c r="P3245" s="107" t="s">
        <v>155</v>
      </c>
      <c r="Q3245" s="107">
        <v>0</v>
      </c>
      <c r="R3245" s="107">
        <v>0</v>
      </c>
      <c r="S3245" s="107">
        <v>0</v>
      </c>
      <c r="T3245" s="107">
        <v>0</v>
      </c>
      <c r="U3245" s="107"/>
      <c r="V3245" s="107"/>
      <c r="W3245" s="107"/>
      <c r="X3245" s="107"/>
      <c r="Y3245" s="107"/>
      <c r="Z3245" s="107"/>
      <c r="AA3245" s="107"/>
      <c r="AB3245" s="107"/>
      <c r="AC3245" s="355"/>
      <c r="AD3245" s="355"/>
      <c r="AE3245" s="355"/>
      <c r="AF3245" s="94">
        <f t="shared" si="420"/>
        <v>42916</v>
      </c>
      <c r="AG3245" s="185">
        <f t="shared" si="425"/>
        <v>-8.4731462500098331E-5</v>
      </c>
      <c r="AH3245" s="339" t="str">
        <f>VLOOKUP(B3245,'MF PF'!A:B,2)</f>
        <v>FdMgt1</v>
      </c>
      <c r="AI3245" s="358">
        <f t="shared" si="421"/>
        <v>0</v>
      </c>
      <c r="AJ3245" s="94">
        <f t="shared" si="422"/>
        <v>42916</v>
      </c>
    </row>
    <row r="3246" spans="1:36" ht="12.75" customHeight="1">
      <c r="A3246" s="94">
        <v>42947</v>
      </c>
      <c r="B3246" s="94" t="s">
        <v>188</v>
      </c>
      <c r="C3246" s="358" t="s">
        <v>343</v>
      </c>
      <c r="D3246" s="98">
        <v>1359115.6680000001</v>
      </c>
      <c r="E3246" s="9">
        <f t="shared" si="424"/>
        <v>433165.19333806663</v>
      </c>
      <c r="F3246" s="98">
        <v>0.33700000000000002</v>
      </c>
      <c r="G3246" s="98">
        <v>0</v>
      </c>
      <c r="H3246" s="98">
        <v>0</v>
      </c>
      <c r="I3246" s="98">
        <v>-7077</v>
      </c>
      <c r="J3246" s="98"/>
      <c r="K3246" s="93">
        <v>3.1376382241757574</v>
      </c>
      <c r="L3246" s="93">
        <f t="shared" si="418"/>
        <v>-7077</v>
      </c>
      <c r="M3246" s="95">
        <f t="shared" ca="1" si="419"/>
        <v>-2255.5181618681017</v>
      </c>
      <c r="N3246" s="95">
        <f>IF(P3246="Hedge Fund",IF(A3246=Summary!$AD$3,M3246-E3246,M3246),IF(A3246=Summary!$AD$3,L3246-D3246,L3246))</f>
        <v>-7077</v>
      </c>
      <c r="O3246" s="95"/>
      <c r="P3246" s="107" t="s">
        <v>155</v>
      </c>
      <c r="Q3246" s="107">
        <v>0</v>
      </c>
      <c r="R3246" s="107">
        <v>0</v>
      </c>
      <c r="S3246" s="107">
        <v>0</v>
      </c>
      <c r="T3246" s="107">
        <v>0</v>
      </c>
      <c r="U3246" s="107"/>
      <c r="V3246" s="107"/>
      <c r="W3246" s="107"/>
      <c r="X3246" s="107"/>
      <c r="Y3246" s="107"/>
      <c r="Z3246" s="107"/>
      <c r="AA3246" s="107"/>
      <c r="AB3246" s="107"/>
      <c r="AC3246" s="355"/>
      <c r="AD3246" s="355"/>
      <c r="AE3246" s="355"/>
      <c r="AF3246" s="94">
        <f t="shared" si="420"/>
        <v>42947</v>
      </c>
      <c r="AG3246" s="185">
        <f t="shared" si="425"/>
        <v>-3.6863367896838306E-2</v>
      </c>
      <c r="AH3246" s="339" t="str">
        <f>VLOOKUP(B3246,'MF PF'!A:B,2)</f>
        <v>FdMgt1</v>
      </c>
      <c r="AI3246" s="358">
        <f t="shared" si="421"/>
        <v>0</v>
      </c>
      <c r="AJ3246" s="94">
        <f t="shared" si="422"/>
        <v>42947</v>
      </c>
    </row>
    <row r="3247" spans="1:36" ht="12.75" customHeight="1">
      <c r="A3247" s="94">
        <v>42978</v>
      </c>
      <c r="B3247" s="94" t="s">
        <v>188</v>
      </c>
      <c r="C3247" s="358" t="s">
        <v>343</v>
      </c>
      <c r="D3247" s="98">
        <v>1380399.9999999998</v>
      </c>
      <c r="E3247" s="9">
        <f t="shared" si="424"/>
        <v>439948.7453218493</v>
      </c>
      <c r="F3247" s="98">
        <v>0.33700000000000002</v>
      </c>
      <c r="G3247" s="98">
        <v>0</v>
      </c>
      <c r="H3247" s="98">
        <v>0</v>
      </c>
      <c r="I3247" s="98">
        <v>0</v>
      </c>
      <c r="J3247" s="98"/>
      <c r="K3247" s="93">
        <v>3.1376382241757574</v>
      </c>
      <c r="L3247" s="93">
        <f t="shared" si="418"/>
        <v>0</v>
      </c>
      <c r="M3247" s="95">
        <f t="shared" ca="1" si="419"/>
        <v>0</v>
      </c>
      <c r="N3247" s="95">
        <f>IF(P3247="Hedge Fund",IF(A3247=Summary!$AD$3,M3247-E3247,M3247),IF(A3247=Summary!$AD$3,L3247-D3247,L3247))</f>
        <v>0</v>
      </c>
      <c r="O3247" s="95"/>
      <c r="P3247" s="107" t="s">
        <v>155</v>
      </c>
      <c r="Q3247" s="107">
        <v>0</v>
      </c>
      <c r="R3247" s="107">
        <v>0</v>
      </c>
      <c r="S3247" s="107">
        <v>0</v>
      </c>
      <c r="T3247" s="107">
        <v>0</v>
      </c>
      <c r="U3247" s="107"/>
      <c r="V3247" s="107"/>
      <c r="W3247" s="107"/>
      <c r="X3247" s="107"/>
      <c r="Y3247" s="107"/>
      <c r="Z3247" s="107"/>
      <c r="AA3247" s="107"/>
      <c r="AB3247" s="107"/>
      <c r="AC3247" s="355"/>
      <c r="AD3247" s="355"/>
      <c r="AE3247" s="355"/>
      <c r="AF3247" s="94">
        <f t="shared" si="420"/>
        <v>42978</v>
      </c>
      <c r="AG3247" s="185">
        <f t="shared" si="425"/>
        <v>1.566042721832539E-2</v>
      </c>
      <c r="AH3247" s="339" t="str">
        <f>VLOOKUP(B3247,'MF PF'!A:B,2)</f>
        <v>FdMgt1</v>
      </c>
      <c r="AI3247" s="358">
        <f t="shared" si="421"/>
        <v>0</v>
      </c>
      <c r="AJ3247" s="94">
        <f t="shared" si="422"/>
        <v>42978</v>
      </c>
    </row>
    <row r="3248" spans="1:36" ht="12.75" customHeight="1">
      <c r="A3248" s="94">
        <v>43007</v>
      </c>
      <c r="B3248" s="94" t="s">
        <v>188</v>
      </c>
      <c r="C3248" s="358" t="s">
        <v>343</v>
      </c>
      <c r="D3248" s="98">
        <v>1357100</v>
      </c>
      <c r="E3248" s="9">
        <f t="shared" si="424"/>
        <v>432522.7776559561</v>
      </c>
      <c r="F3248" s="98">
        <v>0.33700000000000002</v>
      </c>
      <c r="G3248" s="98">
        <v>0</v>
      </c>
      <c r="H3248" s="98">
        <v>0</v>
      </c>
      <c r="I3248" s="98">
        <v>0</v>
      </c>
      <c r="J3248" s="98"/>
      <c r="K3248" s="93">
        <v>3.1376382241757574</v>
      </c>
      <c r="L3248" s="93">
        <f t="shared" si="418"/>
        <v>0</v>
      </c>
      <c r="M3248" s="95">
        <f t="shared" ca="1" si="419"/>
        <v>0</v>
      </c>
      <c r="N3248" s="95">
        <f>IF(P3248="Hedge Fund",IF(A3248=Summary!$AD$3,M3248-E3248,M3248),IF(A3248=Summary!$AD$3,L3248-D3248,L3248))</f>
        <v>0</v>
      </c>
      <c r="O3248" s="95"/>
      <c r="P3248" s="107" t="s">
        <v>155</v>
      </c>
      <c r="Q3248" s="107">
        <v>0</v>
      </c>
      <c r="R3248" s="107">
        <v>0</v>
      </c>
      <c r="S3248" s="107">
        <v>0</v>
      </c>
      <c r="T3248" s="107">
        <v>0</v>
      </c>
      <c r="U3248" s="107"/>
      <c r="V3248" s="107"/>
      <c r="W3248" s="107"/>
      <c r="X3248" s="107"/>
      <c r="Y3248" s="107"/>
      <c r="Z3248" s="107"/>
      <c r="AA3248" s="107"/>
      <c r="AB3248" s="107"/>
      <c r="AC3248" s="355"/>
      <c r="AD3248" s="355"/>
      <c r="AE3248" s="355"/>
      <c r="AF3248" s="94">
        <f t="shared" si="420"/>
        <v>43007</v>
      </c>
      <c r="AG3248" s="185">
        <f t="shared" si="425"/>
        <v>-1.6879165459287027E-2</v>
      </c>
      <c r="AH3248" s="339" t="str">
        <f>VLOOKUP(B3248,'MF PF'!A:B,2)</f>
        <v>FdMgt1</v>
      </c>
      <c r="AI3248" s="358">
        <f t="shared" si="421"/>
        <v>0</v>
      </c>
      <c r="AJ3248" s="94">
        <f t="shared" si="422"/>
        <v>43008</v>
      </c>
    </row>
    <row r="3249" spans="1:36" ht="12.75" customHeight="1">
      <c r="A3249" s="94">
        <v>43039</v>
      </c>
      <c r="B3249" s="94" t="s">
        <v>188</v>
      </c>
      <c r="C3249" s="358" t="s">
        <v>343</v>
      </c>
      <c r="D3249" s="98">
        <v>2081907.77</v>
      </c>
      <c r="E3249" s="9">
        <f t="shared" si="424"/>
        <v>663527.02933012845</v>
      </c>
      <c r="F3249" s="98">
        <v>0.33700000000000002</v>
      </c>
      <c r="G3249" s="98">
        <v>0</v>
      </c>
      <c r="H3249" s="98">
        <v>0</v>
      </c>
      <c r="I3249" s="98">
        <v>0</v>
      </c>
      <c r="J3249" s="98"/>
      <c r="K3249" s="93">
        <v>3.1376382241757574</v>
      </c>
      <c r="L3249" s="93">
        <f t="shared" si="418"/>
        <v>0</v>
      </c>
      <c r="M3249" s="95">
        <f t="shared" ca="1" si="419"/>
        <v>0</v>
      </c>
      <c r="N3249" s="95">
        <f>IF(P3249="Hedge Fund",IF(A3249=Summary!$AD$3,M3249-E3249,M3249),IF(A3249=Summary!$AD$3,L3249-D3249,L3249))</f>
        <v>0</v>
      </c>
      <c r="O3249" s="95"/>
      <c r="P3249" s="107" t="s">
        <v>155</v>
      </c>
      <c r="Q3249" s="107">
        <v>0</v>
      </c>
      <c r="R3249" s="107">
        <v>0</v>
      </c>
      <c r="S3249" s="107">
        <v>0</v>
      </c>
      <c r="T3249" s="107">
        <v>0</v>
      </c>
      <c r="U3249" s="107"/>
      <c r="V3249" s="107"/>
      <c r="W3249" s="107"/>
      <c r="X3249" s="107"/>
      <c r="Y3249" s="107"/>
      <c r="Z3249" s="107"/>
      <c r="AA3249" s="107"/>
      <c r="AB3249" s="107"/>
      <c r="AC3249" s="355"/>
      <c r="AD3249" s="355"/>
      <c r="AE3249" s="355"/>
      <c r="AF3249" s="94">
        <f t="shared" si="420"/>
        <v>43039</v>
      </c>
      <c r="AG3249" s="185">
        <f t="shared" si="425"/>
        <v>0.53408574902365347</v>
      </c>
      <c r="AH3249" s="339" t="str">
        <f>VLOOKUP(B3249,'MF PF'!A:B,2)</f>
        <v>FdMgt1</v>
      </c>
      <c r="AI3249" s="358">
        <f t="shared" si="421"/>
        <v>0</v>
      </c>
      <c r="AJ3249" s="94">
        <f t="shared" si="422"/>
        <v>43039</v>
      </c>
    </row>
    <row r="3250" spans="1:36" ht="12.75" customHeight="1">
      <c r="A3250" s="94">
        <v>43069</v>
      </c>
      <c r="B3250" s="94" t="s">
        <v>188</v>
      </c>
      <c r="C3250" s="358" t="s">
        <v>343</v>
      </c>
      <c r="D3250" s="98">
        <v>2073200</v>
      </c>
      <c r="E3250" s="9">
        <f t="shared" si="424"/>
        <v>660751.76673519134</v>
      </c>
      <c r="F3250" s="98">
        <v>0.33700000000000002</v>
      </c>
      <c r="G3250" s="98">
        <v>0</v>
      </c>
      <c r="H3250" s="98">
        <v>0</v>
      </c>
      <c r="I3250" s="98">
        <v>0</v>
      </c>
      <c r="J3250" s="98"/>
      <c r="K3250" s="93">
        <v>3.1376382241757574</v>
      </c>
      <c r="L3250" s="93">
        <f t="shared" si="418"/>
        <v>0</v>
      </c>
      <c r="M3250" s="95">
        <f t="shared" ca="1" si="419"/>
        <v>0</v>
      </c>
      <c r="N3250" s="95">
        <f>IF(P3250="Hedge Fund",IF(A3250=Summary!$AD$3,M3250-E3250,M3250),IF(A3250=Summary!$AD$3,L3250-D3250,L3250))</f>
        <v>0</v>
      </c>
      <c r="O3250" s="95"/>
      <c r="P3250" s="107" t="s">
        <v>155</v>
      </c>
      <c r="Q3250" s="107">
        <v>0</v>
      </c>
      <c r="R3250" s="107">
        <v>0</v>
      </c>
      <c r="S3250" s="107">
        <v>0</v>
      </c>
      <c r="T3250" s="107">
        <v>0</v>
      </c>
      <c r="U3250" s="107"/>
      <c r="V3250" s="107"/>
      <c r="W3250" s="107"/>
      <c r="X3250" s="107"/>
      <c r="Y3250" s="107"/>
      <c r="Z3250" s="107"/>
      <c r="AA3250" s="107"/>
      <c r="AB3250" s="107"/>
      <c r="AC3250" s="355"/>
      <c r="AD3250" s="355"/>
      <c r="AE3250" s="355"/>
      <c r="AF3250" s="94">
        <f t="shared" si="420"/>
        <v>43069</v>
      </c>
      <c r="AG3250" s="185">
        <f t="shared" si="425"/>
        <v>-4.1825916236433169E-3</v>
      </c>
      <c r="AH3250" s="339" t="str">
        <f>VLOOKUP(B3250,'MF PF'!A:B,2)</f>
        <v>FdMgt1</v>
      </c>
      <c r="AI3250" s="358">
        <f t="shared" si="421"/>
        <v>0</v>
      </c>
      <c r="AJ3250" s="94">
        <f t="shared" si="422"/>
        <v>43069</v>
      </c>
    </row>
    <row r="3251" spans="1:36" ht="12.75" customHeight="1">
      <c r="A3251" s="94">
        <v>43098</v>
      </c>
      <c r="B3251" s="94" t="s">
        <v>188</v>
      </c>
      <c r="C3251" s="358" t="s">
        <v>343</v>
      </c>
      <c r="D3251" s="98">
        <v>1417399.01</v>
      </c>
      <c r="E3251" s="9">
        <f t="shared" si="424"/>
        <v>451740.7389669164</v>
      </c>
      <c r="F3251" s="98">
        <v>0.33700000000000002</v>
      </c>
      <c r="G3251" s="98">
        <v>0</v>
      </c>
      <c r="H3251" s="98">
        <v>0</v>
      </c>
      <c r="I3251" s="98">
        <v>-639091.62</v>
      </c>
      <c r="J3251" s="98"/>
      <c r="K3251" s="93">
        <v>3.1376382241757574</v>
      </c>
      <c r="L3251" s="93">
        <f t="shared" si="418"/>
        <v>-639091.62</v>
      </c>
      <c r="M3251" s="95">
        <f t="shared" ca="1" si="419"/>
        <v>-203685.56676666773</v>
      </c>
      <c r="N3251" s="95">
        <f>IF(P3251="Hedge Fund",IF(A3251=Summary!$AD$3,M3251-E3251,M3251),IF(A3251=Summary!$AD$3,L3251-D3251,L3251))</f>
        <v>-639091.62</v>
      </c>
      <c r="O3251" s="95"/>
      <c r="P3251" s="107" t="s">
        <v>155</v>
      </c>
      <c r="Q3251" s="107">
        <v>0</v>
      </c>
      <c r="R3251" s="107">
        <v>0</v>
      </c>
      <c r="S3251" s="107">
        <v>0</v>
      </c>
      <c r="T3251" s="107">
        <v>0</v>
      </c>
      <c r="U3251" s="107"/>
      <c r="V3251" s="107"/>
      <c r="W3251" s="107"/>
      <c r="X3251" s="107"/>
      <c r="Y3251" s="107"/>
      <c r="Z3251" s="107"/>
      <c r="AA3251" s="107"/>
      <c r="AB3251" s="107"/>
      <c r="AC3251" s="355"/>
      <c r="AD3251" s="355"/>
      <c r="AE3251" s="355"/>
      <c r="AF3251" s="94">
        <f t="shared" si="420"/>
        <v>43098</v>
      </c>
      <c r="AG3251" s="185">
        <f t="shared" si="425"/>
        <v>-8.0596999807062142E-3</v>
      </c>
      <c r="AH3251" s="339" t="str">
        <f>VLOOKUP(B3251,'MF PF'!A:B,2)</f>
        <v>FdMgt1</v>
      </c>
      <c r="AI3251" s="358">
        <f t="shared" si="421"/>
        <v>0</v>
      </c>
      <c r="AJ3251" s="94">
        <f t="shared" si="422"/>
        <v>43100</v>
      </c>
    </row>
    <row r="3252" spans="1:36" ht="12.75" customHeight="1">
      <c r="A3252" s="94">
        <v>43131</v>
      </c>
      <c r="B3252" s="94" t="s">
        <v>188</v>
      </c>
      <c r="C3252" s="358" t="s">
        <v>343</v>
      </c>
      <c r="D3252" s="98">
        <v>1400400.0000000002</v>
      </c>
      <c r="E3252" s="9">
        <f t="shared" si="424"/>
        <v>446322.96649429004</v>
      </c>
      <c r="F3252" s="98">
        <v>0.33700000000000002</v>
      </c>
      <c r="G3252" s="98">
        <v>0</v>
      </c>
      <c r="H3252" s="98">
        <v>0</v>
      </c>
      <c r="I3252" s="98">
        <v>0</v>
      </c>
      <c r="J3252" s="98"/>
      <c r="K3252" s="93">
        <v>3.1376382241757574</v>
      </c>
      <c r="L3252" s="93">
        <f t="shared" si="418"/>
        <v>0</v>
      </c>
      <c r="M3252" s="95">
        <f t="shared" ca="1" si="419"/>
        <v>0</v>
      </c>
      <c r="N3252" s="95">
        <f>IF(P3252="Hedge Fund",IF(A3252=Summary!$AD$3,M3252-E3252,M3252),IF(A3252=Summary!$AD$3,L3252-D3252,L3252))</f>
        <v>0</v>
      </c>
      <c r="O3252" s="95"/>
      <c r="P3252" s="107" t="s">
        <v>155</v>
      </c>
      <c r="Q3252" s="107">
        <v>0</v>
      </c>
      <c r="R3252" s="107">
        <v>0</v>
      </c>
      <c r="S3252" s="107">
        <v>0</v>
      </c>
      <c r="T3252" s="107">
        <v>0</v>
      </c>
      <c r="U3252" s="107"/>
      <c r="V3252" s="107"/>
      <c r="W3252" s="107"/>
      <c r="X3252" s="107"/>
      <c r="Y3252" s="107"/>
      <c r="Z3252" s="107"/>
      <c r="AA3252" s="107"/>
      <c r="AB3252" s="107"/>
      <c r="AC3252" s="355"/>
      <c r="AD3252" s="355"/>
      <c r="AE3252" s="355"/>
      <c r="AF3252" s="94">
        <f t="shared" si="420"/>
        <v>43131</v>
      </c>
      <c r="AG3252" s="185">
        <f t="shared" si="425"/>
        <v>-1.1993101363884651E-2</v>
      </c>
      <c r="AH3252" s="339" t="str">
        <f>VLOOKUP(B3252,'MF PF'!A:B,2)</f>
        <v>FdMgt1</v>
      </c>
      <c r="AI3252" s="358">
        <f t="shared" si="421"/>
        <v>0</v>
      </c>
      <c r="AJ3252" s="94">
        <f t="shared" si="422"/>
        <v>43131</v>
      </c>
    </row>
    <row r="3253" spans="1:36" ht="12.75" customHeight="1">
      <c r="A3253" s="94">
        <v>43159</v>
      </c>
      <c r="B3253" s="94" t="s">
        <v>188</v>
      </c>
      <c r="C3253" s="358" t="s">
        <v>343</v>
      </c>
      <c r="D3253" s="98">
        <v>1426000.0000000002</v>
      </c>
      <c r="E3253" s="9">
        <f t="shared" si="424"/>
        <v>454481.969595014</v>
      </c>
      <c r="F3253" s="98">
        <v>0.33700000000000002</v>
      </c>
      <c r="G3253" s="98">
        <v>0</v>
      </c>
      <c r="H3253" s="98">
        <v>0</v>
      </c>
      <c r="I3253" s="98">
        <v>0</v>
      </c>
      <c r="J3253" s="98"/>
      <c r="K3253" s="93">
        <v>3.1376382241757574</v>
      </c>
      <c r="L3253" s="93">
        <f t="shared" si="418"/>
        <v>0</v>
      </c>
      <c r="M3253" s="95">
        <f t="shared" ca="1" si="419"/>
        <v>0</v>
      </c>
      <c r="N3253" s="95">
        <f>IF(P3253="Hedge Fund",IF(A3253=Summary!$AD$3,M3253-E3253,M3253),IF(A3253=Summary!$AD$3,L3253-D3253,L3253))</f>
        <v>0</v>
      </c>
      <c r="O3253" s="95"/>
      <c r="P3253" s="107" t="s">
        <v>155</v>
      </c>
      <c r="Q3253" s="107">
        <v>0</v>
      </c>
      <c r="R3253" s="107">
        <v>0</v>
      </c>
      <c r="S3253" s="107">
        <v>0</v>
      </c>
      <c r="T3253" s="107">
        <v>0</v>
      </c>
      <c r="U3253" s="107"/>
      <c r="V3253" s="107"/>
      <c r="W3253" s="107"/>
      <c r="X3253" s="107"/>
      <c r="Y3253" s="107"/>
      <c r="Z3253" s="107"/>
      <c r="AA3253" s="107"/>
      <c r="AB3253" s="107"/>
      <c r="AC3253" s="355"/>
      <c r="AD3253" s="355"/>
      <c r="AE3253" s="355"/>
      <c r="AF3253" s="94">
        <f t="shared" si="420"/>
        <v>43159</v>
      </c>
      <c r="AG3253" s="185">
        <f t="shared" si="425"/>
        <v>1.8280491288203304E-2</v>
      </c>
      <c r="AH3253" s="339" t="str">
        <f>VLOOKUP(B3253,'MF PF'!A:B,2)</f>
        <v>FdMgt1</v>
      </c>
      <c r="AI3253" s="358">
        <f t="shared" si="421"/>
        <v>0</v>
      </c>
      <c r="AJ3253" s="94">
        <f t="shared" si="422"/>
        <v>43159</v>
      </c>
    </row>
    <row r="3254" spans="1:36" ht="12.75" customHeight="1">
      <c r="A3254" s="94">
        <v>43188</v>
      </c>
      <c r="B3254" s="94" t="s">
        <v>188</v>
      </c>
      <c r="C3254" s="358" t="s">
        <v>343</v>
      </c>
      <c r="D3254" s="110">
        <v>817929.08100000001</v>
      </c>
      <c r="E3254" s="9">
        <f t="shared" si="424"/>
        <v>260683.04328325362</v>
      </c>
      <c r="F3254" s="98">
        <v>0.33700000000000002</v>
      </c>
      <c r="G3254" s="98">
        <v>0</v>
      </c>
      <c r="H3254" s="98">
        <v>0</v>
      </c>
      <c r="I3254" s="110">
        <v>-604998.24</v>
      </c>
      <c r="J3254" s="110"/>
      <c r="K3254" s="93">
        <v>3.1376382241757574</v>
      </c>
      <c r="L3254" s="93">
        <f t="shared" si="418"/>
        <v>-604998.24</v>
      </c>
      <c r="M3254" s="95">
        <f t="shared" ca="1" si="419"/>
        <v>-192819.62953486459</v>
      </c>
      <c r="N3254" s="95">
        <f>IF(P3254="Hedge Fund",IF(A3254=Summary!$AD$3,M3254-E3254,M3254),IF(A3254=Summary!$AD$3,L3254-D3254,L3254))</f>
        <v>-604998.24</v>
      </c>
      <c r="O3254" s="95"/>
      <c r="P3254" s="107" t="s">
        <v>155</v>
      </c>
      <c r="Q3254" s="109">
        <v>0</v>
      </c>
      <c r="R3254" s="109">
        <v>0</v>
      </c>
      <c r="S3254" s="107">
        <v>0</v>
      </c>
      <c r="T3254" s="107">
        <v>0</v>
      </c>
      <c r="U3254" s="107"/>
      <c r="V3254" s="107"/>
      <c r="W3254" s="107"/>
      <c r="X3254" s="107"/>
      <c r="Y3254" s="107"/>
      <c r="Z3254" s="107"/>
      <c r="AA3254" s="107"/>
      <c r="AB3254" s="107"/>
      <c r="AC3254" s="355"/>
      <c r="AD3254" s="355"/>
      <c r="AE3254" s="355"/>
      <c r="AF3254" s="94">
        <f t="shared" si="420"/>
        <v>43188</v>
      </c>
      <c r="AG3254" s="185">
        <f t="shared" si="425"/>
        <v>-2.1547538569426372E-3</v>
      </c>
      <c r="AH3254" s="339" t="str">
        <f>VLOOKUP(B3254,'MF PF'!A:B,2)</f>
        <v>FdMgt1</v>
      </c>
      <c r="AI3254" s="358">
        <f t="shared" si="421"/>
        <v>0</v>
      </c>
      <c r="AJ3254" s="94">
        <f t="shared" si="422"/>
        <v>43190</v>
      </c>
    </row>
    <row r="3255" spans="1:36" ht="12.75" customHeight="1">
      <c r="A3255" s="94">
        <v>43220</v>
      </c>
      <c r="B3255" s="94" t="s">
        <v>188</v>
      </c>
      <c r="C3255" s="358" t="s">
        <v>343</v>
      </c>
      <c r="D3255" s="110">
        <v>824993.58349999995</v>
      </c>
      <c r="E3255" s="9">
        <f t="shared" si="424"/>
        <v>262934.57835366658</v>
      </c>
      <c r="F3255" s="98">
        <v>0.33700000000000002</v>
      </c>
      <c r="G3255" s="98">
        <v>0</v>
      </c>
      <c r="H3255" s="98">
        <v>0</v>
      </c>
      <c r="I3255" s="110"/>
      <c r="J3255" s="110"/>
      <c r="K3255" s="93">
        <v>3.1376382241757574</v>
      </c>
      <c r="L3255" s="93">
        <f t="shared" si="418"/>
        <v>0</v>
      </c>
      <c r="M3255" s="95">
        <f t="shared" ca="1" si="419"/>
        <v>0</v>
      </c>
      <c r="N3255" s="95">
        <f>IF(P3255="Hedge Fund",IF(A3255=Summary!$AD$3,M3255-E3255,M3255),IF(A3255=Summary!$AD$3,L3255-D3255,L3255))</f>
        <v>0</v>
      </c>
      <c r="O3255" s="95"/>
      <c r="P3255" s="107" t="s">
        <v>155</v>
      </c>
      <c r="Q3255" s="109">
        <v>0</v>
      </c>
      <c r="R3255" s="109">
        <v>0</v>
      </c>
      <c r="S3255" s="107">
        <v>0</v>
      </c>
      <c r="T3255" s="107">
        <v>0</v>
      </c>
      <c r="U3255" s="107"/>
      <c r="V3255" s="107"/>
      <c r="W3255" s="107"/>
      <c r="X3255" s="107"/>
      <c r="Y3255" s="107"/>
      <c r="Z3255" s="107"/>
      <c r="AA3255" s="107"/>
      <c r="AB3255" s="107"/>
      <c r="AC3255" s="355"/>
      <c r="AD3255" s="355"/>
      <c r="AE3255" s="355"/>
      <c r="AF3255" s="94">
        <f t="shared" si="420"/>
        <v>43220</v>
      </c>
      <c r="AG3255" s="185">
        <f t="shared" si="425"/>
        <v>8.6370599408971405E-3</v>
      </c>
      <c r="AH3255" s="339" t="str">
        <f>VLOOKUP(B3255,'MF PF'!A:B,2)</f>
        <v>FdMgt1</v>
      </c>
      <c r="AI3255" s="358">
        <f t="shared" si="421"/>
        <v>0</v>
      </c>
      <c r="AJ3255" s="94">
        <f t="shared" si="422"/>
        <v>43220</v>
      </c>
    </row>
    <row r="3256" spans="1:36" ht="12.75" customHeight="1">
      <c r="A3256" s="94">
        <v>43251</v>
      </c>
      <c r="B3256" s="358" t="s">
        <v>188</v>
      </c>
      <c r="C3256" s="94" t="s">
        <v>343</v>
      </c>
      <c r="D3256" s="110">
        <v>670093.52049999998</v>
      </c>
      <c r="E3256" s="9">
        <f t="shared" si="424"/>
        <v>213566.21529431755</v>
      </c>
      <c r="F3256" s="98">
        <v>0.33700000000000002</v>
      </c>
      <c r="G3256" s="98">
        <v>0</v>
      </c>
      <c r="H3256" s="98">
        <v>0</v>
      </c>
      <c r="I3256" s="98"/>
      <c r="J3256" s="98"/>
      <c r="K3256" s="93">
        <v>3.1376382241757574</v>
      </c>
      <c r="L3256" s="93">
        <f t="shared" si="418"/>
        <v>0</v>
      </c>
      <c r="M3256" s="95">
        <f t="shared" ca="1" si="419"/>
        <v>0</v>
      </c>
      <c r="N3256" s="95">
        <f>IF(P3256="Hedge Fund",IF(A3256=Summary!$AD$3,M3256-E3256,M3256),IF(A3256=Summary!$AD$3,L3256-D3256,L3256))</f>
        <v>0</v>
      </c>
      <c r="O3256" s="95"/>
      <c r="P3256" s="107" t="s">
        <v>155</v>
      </c>
      <c r="Q3256" s="107">
        <v>0</v>
      </c>
      <c r="R3256" s="107">
        <v>0</v>
      </c>
      <c r="S3256" s="107">
        <v>0</v>
      </c>
      <c r="T3256" s="107">
        <v>0</v>
      </c>
      <c r="U3256" s="107"/>
      <c r="V3256" s="107"/>
      <c r="W3256" s="107"/>
      <c r="X3256" s="107"/>
      <c r="Y3256" s="107"/>
      <c r="Z3256" s="107"/>
      <c r="AA3256" s="107"/>
      <c r="AB3256" s="107"/>
      <c r="AC3256" s="355"/>
      <c r="AD3256" s="355"/>
      <c r="AE3256" s="355"/>
      <c r="AF3256" s="94">
        <f t="shared" si="420"/>
        <v>43251</v>
      </c>
      <c r="AG3256" s="185">
        <f t="shared" si="425"/>
        <v>-0.18775911243193322</v>
      </c>
      <c r="AH3256" s="339" t="str">
        <f>VLOOKUP(B3256,'MF PF'!A:B,2)</f>
        <v>FdMgt1</v>
      </c>
      <c r="AI3256" s="358">
        <f t="shared" si="421"/>
        <v>0</v>
      </c>
      <c r="AJ3256" s="94">
        <f t="shared" si="422"/>
        <v>43251</v>
      </c>
    </row>
    <row r="3257" spans="1:36" ht="12.75" customHeight="1">
      <c r="A3257" s="94">
        <v>43280</v>
      </c>
      <c r="B3257" s="358" t="s">
        <v>188</v>
      </c>
      <c r="C3257" s="94" t="s">
        <v>343</v>
      </c>
      <c r="D3257" s="110">
        <v>668698.59250000003</v>
      </c>
      <c r="E3257" s="9">
        <f t="shared" si="424"/>
        <v>213121.63631473604</v>
      </c>
      <c r="F3257" s="98">
        <v>0.33700000000000002</v>
      </c>
      <c r="G3257" s="98">
        <v>0</v>
      </c>
      <c r="H3257" s="98">
        <v>0</v>
      </c>
      <c r="I3257" s="98"/>
      <c r="J3257" s="98"/>
      <c r="K3257" s="93">
        <v>3.1376382241757574</v>
      </c>
      <c r="L3257" s="93">
        <f t="shared" si="418"/>
        <v>0</v>
      </c>
      <c r="M3257" s="95">
        <f t="shared" ca="1" si="419"/>
        <v>0</v>
      </c>
      <c r="N3257" s="95">
        <f>IF(P3257="Hedge Fund",IF(A3257=Summary!$AD$3,M3257-E3257,M3257),IF(A3257=Summary!$AD$3,L3257-D3257,L3257))</f>
        <v>0</v>
      </c>
      <c r="O3257" s="95"/>
      <c r="P3257" s="107" t="s">
        <v>155</v>
      </c>
      <c r="Q3257" s="107">
        <v>0</v>
      </c>
      <c r="R3257" s="107">
        <v>0</v>
      </c>
      <c r="S3257" s="107">
        <v>0</v>
      </c>
      <c r="T3257" s="107">
        <v>0</v>
      </c>
      <c r="U3257" s="107"/>
      <c r="V3257" s="107"/>
      <c r="W3257" s="107"/>
      <c r="X3257" s="107"/>
      <c r="Y3257" s="107"/>
      <c r="Z3257" s="107"/>
      <c r="AA3257" s="107"/>
      <c r="AB3257" s="107"/>
      <c r="AC3257" s="355"/>
      <c r="AD3257" s="355"/>
      <c r="AE3257" s="355"/>
      <c r="AF3257" s="94">
        <f t="shared" si="420"/>
        <v>43280</v>
      </c>
      <c r="AG3257" s="185">
        <f t="shared" si="425"/>
        <v>-2.0816915211463449E-3</v>
      </c>
      <c r="AH3257" s="339" t="str">
        <f>VLOOKUP(B3257,'MF PF'!A:B,2)</f>
        <v>FdMgt1</v>
      </c>
      <c r="AI3257" s="358">
        <f t="shared" si="421"/>
        <v>0</v>
      </c>
      <c r="AJ3257" s="94">
        <f t="shared" si="422"/>
        <v>43281</v>
      </c>
    </row>
    <row r="3258" spans="1:36" ht="12.75" customHeight="1">
      <c r="A3258" s="94">
        <v>43312</v>
      </c>
      <c r="B3258" s="358" t="s">
        <v>188</v>
      </c>
      <c r="C3258" s="94" t="s">
        <v>343</v>
      </c>
      <c r="D3258" s="110">
        <v>671560.21440000006</v>
      </c>
      <c r="E3258" s="9">
        <f t="shared" si="424"/>
        <v>214033.66685986103</v>
      </c>
      <c r="F3258" s="98">
        <v>0.33700000000000002</v>
      </c>
      <c r="G3258" s="98">
        <v>0</v>
      </c>
      <c r="H3258" s="98">
        <v>0</v>
      </c>
      <c r="I3258" s="98"/>
      <c r="J3258" s="98"/>
      <c r="K3258" s="93">
        <v>3.1376382241757574</v>
      </c>
      <c r="L3258" s="93">
        <f t="shared" si="418"/>
        <v>0</v>
      </c>
      <c r="M3258" s="95">
        <f t="shared" ca="1" si="419"/>
        <v>0</v>
      </c>
      <c r="N3258" s="95">
        <f>IF(P3258="Hedge Fund",IF(A3258=Summary!$AD$3,M3258-E3258,M3258),IF(A3258=Summary!$AD$3,L3258-D3258,L3258))</f>
        <v>0</v>
      </c>
      <c r="O3258" s="95"/>
      <c r="P3258" s="107" t="s">
        <v>155</v>
      </c>
      <c r="Q3258" s="107">
        <v>0</v>
      </c>
      <c r="R3258" s="107">
        <v>0</v>
      </c>
      <c r="S3258" s="107">
        <v>0</v>
      </c>
      <c r="T3258" s="107">
        <v>0</v>
      </c>
      <c r="U3258" s="107"/>
      <c r="V3258" s="107"/>
      <c r="W3258" s="107"/>
      <c r="X3258" s="107"/>
      <c r="Y3258" s="107"/>
      <c r="Z3258" s="107"/>
      <c r="AA3258" s="107"/>
      <c r="AB3258" s="107"/>
      <c r="AC3258" s="355"/>
      <c r="AD3258" s="355"/>
      <c r="AE3258" s="355"/>
      <c r="AF3258" s="94">
        <f t="shared" si="420"/>
        <v>43312</v>
      </c>
      <c r="AG3258" s="185">
        <f t="shared" si="425"/>
        <v>4.2793897461359531E-3</v>
      </c>
      <c r="AH3258" s="339" t="str">
        <f>VLOOKUP(B3258,'MF PF'!A:B,2)</f>
        <v>FdMgt1</v>
      </c>
      <c r="AI3258" s="358">
        <f t="shared" si="421"/>
        <v>0</v>
      </c>
      <c r="AJ3258" s="94">
        <f t="shared" si="422"/>
        <v>43312</v>
      </c>
    </row>
    <row r="3259" spans="1:36" ht="12.75" customHeight="1">
      <c r="A3259" s="94">
        <v>43343</v>
      </c>
      <c r="B3259" s="358" t="s">
        <v>188</v>
      </c>
      <c r="C3259" s="94" t="s">
        <v>343</v>
      </c>
      <c r="D3259" s="110">
        <v>669177.91859999998</v>
      </c>
      <c r="E3259" s="95">
        <f t="shared" si="424"/>
        <v>213274.40284349219</v>
      </c>
      <c r="F3259" s="98">
        <v>0.33700000000000002</v>
      </c>
      <c r="G3259" s="98">
        <v>0</v>
      </c>
      <c r="H3259" s="98">
        <v>0</v>
      </c>
      <c r="I3259" s="98"/>
      <c r="J3259" s="98"/>
      <c r="K3259" s="93">
        <v>3.1376382241757574</v>
      </c>
      <c r="L3259" s="93">
        <f t="shared" si="418"/>
        <v>0</v>
      </c>
      <c r="M3259" s="95">
        <f t="shared" ca="1" si="419"/>
        <v>0</v>
      </c>
      <c r="N3259" s="95">
        <f>IF(P3259="Hedge Fund",IF(A3259=Summary!$AD$3,M3259-E3259,M3259),IF(A3259=Summary!$AD$3,L3259-D3259,L3259))</f>
        <v>0</v>
      </c>
      <c r="O3259" s="95"/>
      <c r="P3259" s="107" t="s">
        <v>155</v>
      </c>
      <c r="Q3259" s="107">
        <v>0</v>
      </c>
      <c r="R3259" s="107">
        <v>0</v>
      </c>
      <c r="S3259" s="107">
        <v>0</v>
      </c>
      <c r="T3259" s="107">
        <v>0</v>
      </c>
      <c r="U3259" s="107"/>
      <c r="V3259" s="107"/>
      <c r="W3259" s="107"/>
      <c r="X3259" s="107"/>
      <c r="Y3259" s="107"/>
      <c r="Z3259" s="107"/>
      <c r="AA3259" s="107"/>
      <c r="AB3259" s="107"/>
      <c r="AC3259" s="355"/>
      <c r="AD3259" s="355"/>
      <c r="AE3259" s="355"/>
      <c r="AF3259" s="94">
        <f t="shared" si="420"/>
        <v>43343</v>
      </c>
      <c r="AG3259" s="185">
        <f t="shared" si="425"/>
        <v>-3.5474046093223466E-3</v>
      </c>
      <c r="AH3259" s="339" t="str">
        <f>VLOOKUP(B3259,'MF PF'!A:B,2)</f>
        <v>FdMgt1</v>
      </c>
      <c r="AI3259" s="358">
        <f t="shared" si="421"/>
        <v>0</v>
      </c>
      <c r="AJ3259" s="94">
        <f t="shared" si="422"/>
        <v>43343</v>
      </c>
    </row>
    <row r="3260" spans="1:36" ht="12.75" customHeight="1">
      <c r="A3260" s="97">
        <v>43371</v>
      </c>
      <c r="B3260" s="358" t="s">
        <v>188</v>
      </c>
      <c r="C3260" s="96" t="s">
        <v>343</v>
      </c>
      <c r="D3260" s="350">
        <v>671043.35</v>
      </c>
      <c r="E3260" s="353"/>
      <c r="F3260" s="105">
        <v>0.33700000000000002</v>
      </c>
      <c r="G3260" s="98"/>
      <c r="H3260" s="354">
        <v>0</v>
      </c>
      <c r="I3260" s="354">
        <v>0</v>
      </c>
      <c r="J3260" s="354"/>
      <c r="K3260" s="354">
        <v>0</v>
      </c>
      <c r="L3260" s="93">
        <f t="shared" si="418"/>
        <v>0</v>
      </c>
      <c r="M3260" s="95" t="e">
        <f t="shared" ca="1" si="419"/>
        <v>#DIV/0!</v>
      </c>
      <c r="N3260" s="95">
        <f>IF(P3260="Hedge Fund",IF(A3260=Summary!$AD$3,M3260-E3260,M3260),IF(A3260=Summary!$AD$3,L3260-D3260,L3260))</f>
        <v>0</v>
      </c>
      <c r="O3260" s="95"/>
      <c r="P3260" s="353" t="s">
        <v>155</v>
      </c>
      <c r="Q3260" s="353">
        <v>0</v>
      </c>
      <c r="R3260" s="353"/>
      <c r="S3260" s="353"/>
      <c r="T3260" s="353"/>
      <c r="U3260" s="353"/>
      <c r="V3260" s="353"/>
      <c r="W3260" s="353"/>
      <c r="X3260" s="353"/>
      <c r="Y3260" s="353"/>
      <c r="Z3260" s="353"/>
      <c r="AA3260" s="353"/>
      <c r="AB3260" s="353"/>
      <c r="AC3260" s="355"/>
      <c r="AD3260" s="355"/>
      <c r="AE3260" s="355"/>
      <c r="AF3260" s="94">
        <f t="shared" si="420"/>
        <v>43371</v>
      </c>
      <c r="AG3260" s="185">
        <f t="shared" si="425"/>
        <v>2.7876463764715531E-3</v>
      </c>
      <c r="AH3260" s="339" t="str">
        <f>VLOOKUP(B3260,'MF PF'!A:B,2)</f>
        <v>FdMgt1</v>
      </c>
      <c r="AI3260" s="358">
        <f t="shared" si="421"/>
        <v>0</v>
      </c>
      <c r="AJ3260" s="94">
        <f t="shared" si="422"/>
        <v>43373</v>
      </c>
    </row>
    <row r="3261" spans="1:36" ht="12.75" customHeight="1">
      <c r="A3261" s="97">
        <v>43404</v>
      </c>
      <c r="B3261" s="358" t="s">
        <v>188</v>
      </c>
      <c r="C3261" s="96" t="s">
        <v>343</v>
      </c>
      <c r="D3261" s="350">
        <v>479302.12</v>
      </c>
      <c r="E3261" s="353"/>
      <c r="F3261" s="105">
        <v>0.33700000000000002</v>
      </c>
      <c r="G3261" s="98"/>
      <c r="H3261" s="354">
        <v>0</v>
      </c>
      <c r="I3261" s="354">
        <v>-191841.44</v>
      </c>
      <c r="J3261" s="354"/>
      <c r="K3261" s="354">
        <v>0</v>
      </c>
      <c r="L3261" s="93">
        <f t="shared" si="418"/>
        <v>-191841.44</v>
      </c>
      <c r="M3261" s="95" t="e">
        <f t="shared" ca="1" si="419"/>
        <v>#DIV/0!</v>
      </c>
      <c r="N3261" s="95">
        <f>IF(P3261="Hedge Fund",IF(A3261=Summary!$AD$3,M3261-E3261,M3261),IF(A3261=Summary!$AD$3,L3261-D3261,L3261))</f>
        <v>-191841.44</v>
      </c>
      <c r="O3261" s="95"/>
      <c r="P3261" s="353" t="s">
        <v>155</v>
      </c>
      <c r="Q3261" s="353">
        <v>0</v>
      </c>
      <c r="R3261" s="353"/>
      <c r="S3261" s="353"/>
      <c r="T3261" s="353"/>
      <c r="U3261" s="353"/>
      <c r="V3261" s="353"/>
      <c r="W3261" s="353"/>
      <c r="X3261" s="353"/>
      <c r="Y3261" s="353"/>
      <c r="Z3261" s="353"/>
      <c r="AA3261" s="353"/>
      <c r="AB3261" s="353"/>
      <c r="AC3261" s="355"/>
      <c r="AD3261" s="355"/>
      <c r="AE3261" s="355"/>
      <c r="AF3261" s="94">
        <f t="shared" si="420"/>
        <v>43404</v>
      </c>
      <c r="AG3261" s="185">
        <f t="shared" si="425"/>
        <v>1.4933461452248942E-4</v>
      </c>
      <c r="AH3261" s="339" t="str">
        <f>VLOOKUP(B3261,'MF PF'!A:B,2)</f>
        <v>FdMgt1</v>
      </c>
      <c r="AI3261" s="358">
        <f t="shared" si="421"/>
        <v>0</v>
      </c>
      <c r="AJ3261" s="94">
        <f t="shared" si="422"/>
        <v>43404</v>
      </c>
    </row>
    <row r="3262" spans="1:36" ht="12.75" customHeight="1">
      <c r="A3262" s="94">
        <v>43434</v>
      </c>
      <c r="B3262" s="358" t="s">
        <v>188</v>
      </c>
      <c r="C3262" s="358" t="s">
        <v>343</v>
      </c>
      <c r="D3262" s="93">
        <v>523249.65649999998</v>
      </c>
      <c r="F3262" s="105">
        <v>0.33700000000000002</v>
      </c>
      <c r="G3262" s="93"/>
      <c r="H3262" s="93">
        <v>0</v>
      </c>
      <c r="I3262" s="93">
        <v>0</v>
      </c>
      <c r="K3262" s="93">
        <v>0</v>
      </c>
      <c r="L3262" s="93">
        <f t="shared" si="418"/>
        <v>0</v>
      </c>
      <c r="M3262" s="95" t="e">
        <f t="shared" ca="1" si="419"/>
        <v>#DIV/0!</v>
      </c>
      <c r="N3262" s="95">
        <f>IF(P3262="Hedge Fund",IF(A3262=Summary!$AD$3,M3262-E3262,M3262),IF(A3262=Summary!$AD$3,L3262-D3262,L3262))</f>
        <v>0</v>
      </c>
      <c r="O3262" s="95"/>
      <c r="P3262" s="95" t="s">
        <v>155</v>
      </c>
      <c r="Q3262" s="95">
        <v>0</v>
      </c>
      <c r="R3262" s="95">
        <v>0</v>
      </c>
      <c r="S3262" s="95"/>
      <c r="T3262" s="95"/>
      <c r="U3262" s="95"/>
      <c r="V3262" s="95"/>
      <c r="W3262" s="95"/>
      <c r="X3262" s="95"/>
      <c r="Y3262" s="95"/>
      <c r="Z3262" s="95"/>
      <c r="AA3262" s="95"/>
      <c r="AB3262" s="95"/>
      <c r="AC3262" s="355"/>
      <c r="AD3262" s="355"/>
      <c r="AE3262" s="355"/>
      <c r="AF3262" s="94">
        <f t="shared" si="420"/>
        <v>43434</v>
      </c>
      <c r="AG3262" s="185">
        <f t="shared" si="425"/>
        <v>9.1690678313711693E-2</v>
      </c>
      <c r="AH3262" s="339" t="str">
        <f>VLOOKUP(B3262,'MF PF'!A:B,2)</f>
        <v>FdMgt1</v>
      </c>
      <c r="AI3262" s="358">
        <f t="shared" si="421"/>
        <v>0</v>
      </c>
      <c r="AJ3262" s="94">
        <f t="shared" si="422"/>
        <v>43434</v>
      </c>
    </row>
    <row r="3263" spans="1:36" ht="12.75" customHeight="1">
      <c r="A3263" s="94">
        <v>43465</v>
      </c>
      <c r="B3263" s="358" t="s">
        <v>188</v>
      </c>
      <c r="C3263" s="358" t="s">
        <v>343</v>
      </c>
      <c r="D3263" s="93">
        <v>452830.22350000002</v>
      </c>
      <c r="F3263" s="93">
        <v>0.34</v>
      </c>
      <c r="G3263" s="93"/>
      <c r="H3263" s="93">
        <v>0</v>
      </c>
      <c r="I3263" s="93">
        <v>0</v>
      </c>
      <c r="K3263" s="93">
        <v>0</v>
      </c>
      <c r="L3263" s="93">
        <f t="shared" si="418"/>
        <v>0</v>
      </c>
      <c r="M3263" s="95" t="e">
        <f t="shared" ca="1" si="419"/>
        <v>#DIV/0!</v>
      </c>
      <c r="N3263" s="95">
        <f>IF(P3263="Hedge Fund",IF(A3263=Summary!$AD$3,M3263-E3263,M3263),IF(A3263=Summary!$AD$3,L3263-D3263,L3263))</f>
        <v>0</v>
      </c>
      <c r="O3263" s="95"/>
      <c r="P3263" s="95" t="s">
        <v>155</v>
      </c>
      <c r="Q3263" s="95">
        <v>0</v>
      </c>
      <c r="R3263" s="95">
        <v>0</v>
      </c>
      <c r="S3263" s="95"/>
      <c r="T3263" s="95"/>
      <c r="U3263" s="95"/>
      <c r="V3263" s="95"/>
      <c r="W3263" s="95"/>
      <c r="X3263" s="95"/>
      <c r="Y3263" s="95"/>
      <c r="Z3263" s="95"/>
      <c r="AA3263" s="95"/>
      <c r="AB3263" s="95"/>
      <c r="AC3263" s="355"/>
      <c r="AD3263" s="355"/>
      <c r="AE3263" s="355"/>
      <c r="AF3263" s="94">
        <f t="shared" si="420"/>
        <v>43465</v>
      </c>
      <c r="AG3263" s="185">
        <f t="shared" si="425"/>
        <v>-0.13458094453617664</v>
      </c>
      <c r="AH3263" s="339" t="str">
        <f>VLOOKUP(B3263,'MF PF'!A:B,2)</f>
        <v>FdMgt1</v>
      </c>
      <c r="AI3263" s="358">
        <f t="shared" si="421"/>
        <v>0</v>
      </c>
      <c r="AJ3263" s="94">
        <f t="shared" si="422"/>
        <v>43465</v>
      </c>
    </row>
    <row r="3264" spans="1:36" ht="12.75" customHeight="1">
      <c r="A3264" s="94">
        <v>43496</v>
      </c>
      <c r="B3264" s="358" t="s">
        <v>188</v>
      </c>
      <c r="C3264" s="358" t="s">
        <v>343</v>
      </c>
      <c r="D3264" s="93">
        <v>0</v>
      </c>
      <c r="F3264" s="93">
        <v>0.34</v>
      </c>
      <c r="G3264" s="93"/>
      <c r="H3264" s="93">
        <v>0</v>
      </c>
      <c r="I3264" s="93">
        <v>-452830.22350000002</v>
      </c>
      <c r="K3264" s="93">
        <v>0</v>
      </c>
      <c r="L3264" s="93">
        <f t="shared" si="418"/>
        <v>-452830.22350000002</v>
      </c>
      <c r="M3264" s="95" t="e">
        <f t="shared" ca="1" si="419"/>
        <v>#DIV/0!</v>
      </c>
      <c r="N3264" s="95">
        <f>IF(P3264="Hedge Fund",IF(A3264=Summary!$AD$3,M3264-E3264,M3264),IF(A3264=Summary!$AD$3,L3264-D3264,L3264))</f>
        <v>-452830.22350000002</v>
      </c>
      <c r="O3264" s="95"/>
      <c r="P3264" s="95" t="s">
        <v>155</v>
      </c>
      <c r="Q3264" s="95">
        <v>0</v>
      </c>
      <c r="R3264" s="95">
        <v>0</v>
      </c>
      <c r="S3264" s="95"/>
      <c r="T3264" s="95"/>
      <c r="U3264" s="95"/>
      <c r="V3264" s="95"/>
      <c r="W3264" s="95"/>
      <c r="X3264" s="95"/>
      <c r="Y3264" s="95"/>
      <c r="Z3264" s="95"/>
      <c r="AA3264" s="95"/>
      <c r="AB3264" s="95"/>
      <c r="AC3264" s="355"/>
      <c r="AD3264" s="355"/>
      <c r="AE3264" s="355"/>
      <c r="AF3264" s="94">
        <f t="shared" si="420"/>
        <v>43496</v>
      </c>
      <c r="AG3264" s="185">
        <f t="shared" si="425"/>
        <v>0</v>
      </c>
      <c r="AH3264" s="339" t="str">
        <f>VLOOKUP(B3264,'MF PF'!A:B,2)</f>
        <v>FdMgt1</v>
      </c>
      <c r="AI3264" s="358">
        <f t="shared" si="421"/>
        <v>0</v>
      </c>
      <c r="AJ3264" s="94">
        <f t="shared" si="422"/>
        <v>43496</v>
      </c>
    </row>
    <row r="3265" spans="1:36" ht="12.75" customHeight="1">
      <c r="A3265" s="94">
        <v>40633</v>
      </c>
      <c r="B3265" s="94" t="s">
        <v>188</v>
      </c>
      <c r="C3265" s="358" t="s">
        <v>301</v>
      </c>
      <c r="D3265" s="98">
        <v>45455421.530000001</v>
      </c>
      <c r="E3265" s="9">
        <f t="shared" ref="E3265:E3296" si="426">D3265/K3265</f>
        <v>45426861.016401105</v>
      </c>
      <c r="F3265" s="98">
        <v>166</v>
      </c>
      <c r="G3265" s="98">
        <v>45484000</v>
      </c>
      <c r="H3265" s="98">
        <v>0</v>
      </c>
      <c r="I3265" s="98">
        <v>0</v>
      </c>
      <c r="J3265" s="98"/>
      <c r="K3265" s="93">
        <v>1.0006287142223758</v>
      </c>
      <c r="L3265" s="93">
        <f t="shared" ref="L3265:L3328" si="427">G3265+H3265+I3265</f>
        <v>45484000</v>
      </c>
      <c r="M3265" s="95">
        <f t="shared" ref="M3265:M3328" ca="1" si="428">IF(A3265&gt;INDIRECT("A"&amp;ROW()-1),I3265/K3265,E3265)</f>
        <v>45426861.016401105</v>
      </c>
      <c r="N3265" s="95">
        <f>IF(P3265="Hedge Fund",IF(A3265=Summary!$AD$3,M3265-E3265,M3265),IF(A3265=Summary!$AD$3,L3265-D3265,L3265))</f>
        <v>45484000</v>
      </c>
      <c r="O3265" s="95">
        <f t="shared" ref="O3265:O3328" si="429">N3265</f>
        <v>45484000</v>
      </c>
      <c r="P3265" s="107" t="s">
        <v>155</v>
      </c>
      <c r="Q3265" s="107">
        <v>0</v>
      </c>
      <c r="R3265" s="107">
        <v>0</v>
      </c>
      <c r="S3265" s="107">
        <v>1.5841000000000001E-2</v>
      </c>
      <c r="T3265" s="107">
        <v>0.129771</v>
      </c>
      <c r="U3265" s="107"/>
      <c r="V3265" s="107"/>
      <c r="W3265" s="107"/>
      <c r="X3265" s="107"/>
      <c r="Y3265" s="107"/>
      <c r="Z3265" s="107"/>
      <c r="AA3265" s="107"/>
      <c r="AB3265" s="107"/>
      <c r="AC3265" s="355"/>
      <c r="AD3265" s="355"/>
      <c r="AE3265" s="355"/>
      <c r="AF3265" s="94">
        <f t="shared" ref="AF3265:AF3328" si="430">A3265</f>
        <v>40633</v>
      </c>
      <c r="AG3265" s="185">
        <f t="shared" si="425"/>
        <v>-6.2831918916539387E-4</v>
      </c>
      <c r="AH3265" s="339" t="str">
        <f>VLOOKUP(B3265,'MF PF'!A:B,2)</f>
        <v>FdMgt1</v>
      </c>
      <c r="AI3265" s="358">
        <f t="shared" ref="AI3265:AI3328" si="431">AF3265-A3265</f>
        <v>0</v>
      </c>
      <c r="AJ3265" s="94">
        <f t="shared" ref="AJ3265:AJ3328" si="432">EOMONTH(A3265,0)</f>
        <v>40633</v>
      </c>
    </row>
    <row r="3266" spans="1:36" ht="12.75" customHeight="1">
      <c r="A3266" s="94">
        <v>40662</v>
      </c>
      <c r="B3266" s="94" t="s">
        <v>188</v>
      </c>
      <c r="C3266" s="358" t="s">
        <v>301</v>
      </c>
      <c r="D3266" s="98">
        <v>57966939.544166863</v>
      </c>
      <c r="E3266" s="95">
        <f t="shared" si="426"/>
        <v>45869611.21120733</v>
      </c>
      <c r="F3266" s="98">
        <v>166</v>
      </c>
      <c r="G3266" s="98">
        <v>11952000</v>
      </c>
      <c r="H3266" s="98">
        <v>0</v>
      </c>
      <c r="I3266" s="98">
        <v>0</v>
      </c>
      <c r="J3266" s="98"/>
      <c r="K3266" s="93">
        <v>1.2637329598730889</v>
      </c>
      <c r="L3266" s="93">
        <f t="shared" si="427"/>
        <v>11952000</v>
      </c>
      <c r="M3266" s="95">
        <f t="shared" ca="1" si="428"/>
        <v>0</v>
      </c>
      <c r="N3266" s="95">
        <f>IF(P3266="Hedge Fund",IF(A3266=Summary!$AD$3,M3266-E3266,M3266),IF(A3266=Summary!$AD$3,L3266-D3266,L3266))</f>
        <v>11952000</v>
      </c>
      <c r="O3266" s="95">
        <f t="shared" si="429"/>
        <v>11952000</v>
      </c>
      <c r="P3266" s="107" t="s">
        <v>155</v>
      </c>
      <c r="Q3266" s="107">
        <v>0</v>
      </c>
      <c r="R3266" s="107">
        <v>0</v>
      </c>
      <c r="S3266" s="107">
        <v>0</v>
      </c>
      <c r="T3266" s="107">
        <v>0</v>
      </c>
      <c r="U3266" s="107"/>
      <c r="V3266" s="107"/>
      <c r="W3266" s="107"/>
      <c r="X3266" s="107"/>
      <c r="Y3266" s="107"/>
      <c r="Z3266" s="107"/>
      <c r="AA3266" s="107"/>
      <c r="AB3266" s="107"/>
      <c r="AC3266" s="355"/>
      <c r="AD3266" s="355"/>
      <c r="AE3266" s="355"/>
      <c r="AF3266" s="94">
        <f t="shared" si="430"/>
        <v>40662</v>
      </c>
      <c r="AG3266" s="185">
        <f t="shared" si="425"/>
        <v>1.230915906912422E-2</v>
      </c>
      <c r="AH3266" s="339" t="str">
        <f>VLOOKUP(B3266,'MF PF'!A:B,2)</f>
        <v>FdMgt1</v>
      </c>
      <c r="AI3266" s="358">
        <f t="shared" si="431"/>
        <v>0</v>
      </c>
      <c r="AJ3266" s="94">
        <f t="shared" si="432"/>
        <v>40663</v>
      </c>
    </row>
    <row r="3267" spans="1:36" ht="12.75" customHeight="1">
      <c r="A3267" s="94">
        <v>40694</v>
      </c>
      <c r="B3267" s="94" t="s">
        <v>188</v>
      </c>
      <c r="C3267" s="358" t="s">
        <v>301</v>
      </c>
      <c r="D3267" s="98">
        <v>76705780.747440457</v>
      </c>
      <c r="E3267" s="95">
        <f t="shared" si="426"/>
        <v>45957589.818853274</v>
      </c>
      <c r="F3267" s="98">
        <v>166</v>
      </c>
      <c r="G3267" s="98">
        <v>18592000</v>
      </c>
      <c r="H3267" s="98">
        <v>0</v>
      </c>
      <c r="I3267" s="98">
        <v>0</v>
      </c>
      <c r="J3267" s="98"/>
      <c r="K3267" s="93">
        <v>1.6690557762011551</v>
      </c>
      <c r="L3267" s="93">
        <f t="shared" si="427"/>
        <v>18592000</v>
      </c>
      <c r="M3267" s="95">
        <f t="shared" ca="1" si="428"/>
        <v>0</v>
      </c>
      <c r="N3267" s="95">
        <f>IF(P3267="Hedge Fund",IF(A3267=Summary!$AD$3,M3267-E3267,M3267),IF(A3267=Summary!$AD$3,L3267-D3267,L3267))</f>
        <v>18592000</v>
      </c>
      <c r="O3267" s="95">
        <f t="shared" si="429"/>
        <v>18592000</v>
      </c>
      <c r="P3267" s="107" t="s">
        <v>155</v>
      </c>
      <c r="Q3267" s="107">
        <v>0</v>
      </c>
      <c r="R3267" s="107">
        <v>0</v>
      </c>
      <c r="S3267" s="107">
        <v>0</v>
      </c>
      <c r="T3267" s="107">
        <v>0</v>
      </c>
      <c r="U3267" s="107"/>
      <c r="V3267" s="107"/>
      <c r="W3267" s="107"/>
      <c r="X3267" s="107"/>
      <c r="Y3267" s="107"/>
      <c r="Z3267" s="107"/>
      <c r="AA3267" s="107"/>
      <c r="AB3267" s="107"/>
      <c r="AC3267" s="355"/>
      <c r="AD3267" s="355"/>
      <c r="AE3267" s="355"/>
      <c r="AF3267" s="94">
        <f t="shared" si="430"/>
        <v>40694</v>
      </c>
      <c r="AG3267" s="185">
        <f t="shared" si="425"/>
        <v>2.5331888215645026E-3</v>
      </c>
      <c r="AH3267" s="339" t="str">
        <f>VLOOKUP(B3267,'MF PF'!A:B,2)</f>
        <v>FdMgt1</v>
      </c>
      <c r="AI3267" s="358">
        <f t="shared" si="431"/>
        <v>0</v>
      </c>
      <c r="AJ3267" s="94">
        <f t="shared" si="432"/>
        <v>40694</v>
      </c>
    </row>
    <row r="3268" spans="1:36" ht="12.75" customHeight="1">
      <c r="A3268" s="94">
        <v>40724</v>
      </c>
      <c r="B3268" s="94" t="s">
        <v>188</v>
      </c>
      <c r="C3268" s="358" t="s">
        <v>301</v>
      </c>
      <c r="D3268" s="98">
        <v>75836477.478575513</v>
      </c>
      <c r="E3268" s="9">
        <f t="shared" si="426"/>
        <v>45436754.457171403</v>
      </c>
      <c r="F3268" s="98">
        <v>166</v>
      </c>
      <c r="G3268" s="98">
        <v>0</v>
      </c>
      <c r="H3268" s="98">
        <v>0</v>
      </c>
      <c r="I3268" s="98">
        <v>0</v>
      </c>
      <c r="J3268" s="98"/>
      <c r="K3268" s="93">
        <v>1.6690557762011551</v>
      </c>
      <c r="L3268" s="93">
        <f t="shared" si="427"/>
        <v>0</v>
      </c>
      <c r="M3268" s="95">
        <f t="shared" ca="1" si="428"/>
        <v>0</v>
      </c>
      <c r="N3268" s="95">
        <f>IF(P3268="Hedge Fund",IF(A3268=Summary!$AD$3,M3268-E3268,M3268),IF(A3268=Summary!$AD$3,L3268-D3268,L3268))</f>
        <v>0</v>
      </c>
      <c r="O3268" s="95">
        <f t="shared" si="429"/>
        <v>0</v>
      </c>
      <c r="P3268" s="107" t="s">
        <v>155</v>
      </c>
      <c r="Q3268" s="107">
        <v>0</v>
      </c>
      <c r="R3268" s="107">
        <v>0</v>
      </c>
      <c r="S3268" s="107">
        <v>0</v>
      </c>
      <c r="T3268" s="107">
        <v>0</v>
      </c>
      <c r="U3268" s="107"/>
      <c r="V3268" s="107"/>
      <c r="W3268" s="107"/>
      <c r="X3268" s="107"/>
      <c r="Y3268" s="107"/>
      <c r="Z3268" s="107"/>
      <c r="AA3268" s="107"/>
      <c r="AB3268" s="107"/>
      <c r="AC3268" s="355"/>
      <c r="AD3268" s="355"/>
      <c r="AE3268" s="355"/>
      <c r="AF3268" s="94">
        <f t="shared" si="430"/>
        <v>40724</v>
      </c>
      <c r="AG3268" s="185">
        <f t="shared" si="425"/>
        <v>-1.1332956400342153E-2</v>
      </c>
      <c r="AH3268" s="339" t="str">
        <f>VLOOKUP(B3268,'MF PF'!A:B,2)</f>
        <v>FdMgt1</v>
      </c>
      <c r="AI3268" s="358">
        <f t="shared" si="431"/>
        <v>0</v>
      </c>
      <c r="AJ3268" s="94">
        <f t="shared" si="432"/>
        <v>40724</v>
      </c>
    </row>
    <row r="3269" spans="1:36" ht="12.75" customHeight="1">
      <c r="A3269" s="94">
        <v>40753</v>
      </c>
      <c r="B3269" s="94" t="s">
        <v>188</v>
      </c>
      <c r="C3269" s="358" t="s">
        <v>301</v>
      </c>
      <c r="D3269" s="98">
        <v>91808650.171970159</v>
      </c>
      <c r="E3269" s="95">
        <f t="shared" si="426"/>
        <v>46136368.011183135</v>
      </c>
      <c r="F3269" s="98">
        <v>166</v>
      </c>
      <c r="G3269" s="98">
        <v>14579983</v>
      </c>
      <c r="H3269" s="98">
        <v>0</v>
      </c>
      <c r="I3269" s="98">
        <v>0</v>
      </c>
      <c r="J3269" s="98"/>
      <c r="K3269" s="93">
        <v>1.9899409972999258</v>
      </c>
      <c r="L3269" s="93">
        <f t="shared" si="427"/>
        <v>14579983</v>
      </c>
      <c r="M3269" s="95">
        <f t="shared" ca="1" si="428"/>
        <v>0</v>
      </c>
      <c r="N3269" s="95">
        <f>IF(P3269="Hedge Fund",IF(A3269=Summary!$AD$3,M3269-E3269,M3269),IF(A3269=Summary!$AD$3,L3269-D3269,L3269))</f>
        <v>14579983</v>
      </c>
      <c r="O3269" s="95">
        <f t="shared" si="429"/>
        <v>14579983</v>
      </c>
      <c r="P3269" s="107" t="s">
        <v>155</v>
      </c>
      <c r="Q3269" s="107">
        <v>0</v>
      </c>
      <c r="R3269" s="107">
        <v>0</v>
      </c>
      <c r="S3269" s="107">
        <v>0</v>
      </c>
      <c r="T3269" s="107">
        <v>0</v>
      </c>
      <c r="U3269" s="107"/>
      <c r="V3269" s="107"/>
      <c r="W3269" s="107"/>
      <c r="X3269" s="107"/>
      <c r="Y3269" s="107"/>
      <c r="Z3269" s="107"/>
      <c r="AA3269" s="107"/>
      <c r="AB3269" s="107"/>
      <c r="AC3269" s="355"/>
      <c r="AD3269" s="355"/>
      <c r="AE3269" s="355"/>
      <c r="AF3269" s="94">
        <f t="shared" si="430"/>
        <v>40753</v>
      </c>
      <c r="AG3269" s="185">
        <f t="shared" si="425"/>
        <v>1.8357784270609745E-2</v>
      </c>
      <c r="AH3269" s="339" t="str">
        <f>VLOOKUP(B3269,'MF PF'!A:B,2)</f>
        <v>FdMgt1</v>
      </c>
      <c r="AI3269" s="358">
        <f t="shared" si="431"/>
        <v>0</v>
      </c>
      <c r="AJ3269" s="94">
        <f t="shared" si="432"/>
        <v>40755</v>
      </c>
    </row>
    <row r="3270" spans="1:36" ht="12.75" customHeight="1">
      <c r="A3270" s="94">
        <v>40786</v>
      </c>
      <c r="B3270" s="94" t="s">
        <v>188</v>
      </c>
      <c r="C3270" s="358" t="s">
        <v>301</v>
      </c>
      <c r="D3270" s="98">
        <v>94759262.790074378</v>
      </c>
      <c r="E3270" s="9">
        <f t="shared" si="426"/>
        <v>45246618.808014639</v>
      </c>
      <c r="F3270" s="98">
        <v>166</v>
      </c>
      <c r="G3270" s="98">
        <v>4814000</v>
      </c>
      <c r="H3270" s="98">
        <v>0</v>
      </c>
      <c r="I3270" s="98">
        <v>0</v>
      </c>
      <c r="J3270" s="98"/>
      <c r="K3270" s="93">
        <v>2.0942838445486109</v>
      </c>
      <c r="L3270" s="93">
        <f t="shared" si="427"/>
        <v>4814000</v>
      </c>
      <c r="M3270" s="95">
        <f t="shared" ca="1" si="428"/>
        <v>0</v>
      </c>
      <c r="N3270" s="95">
        <f>IF(P3270="Hedge Fund",IF(A3270=Summary!$AD$3,M3270-E3270,M3270),IF(A3270=Summary!$AD$3,L3270-D3270,L3270))</f>
        <v>4814000</v>
      </c>
      <c r="O3270" s="95">
        <f t="shared" si="429"/>
        <v>4814000</v>
      </c>
      <c r="P3270" s="107" t="s">
        <v>155</v>
      </c>
      <c r="Q3270" s="107">
        <v>0</v>
      </c>
      <c r="R3270" s="107">
        <v>0</v>
      </c>
      <c r="S3270" s="107">
        <v>0</v>
      </c>
      <c r="T3270" s="107">
        <v>0</v>
      </c>
      <c r="U3270" s="107"/>
      <c r="V3270" s="107"/>
      <c r="W3270" s="107"/>
      <c r="X3270" s="107"/>
      <c r="Y3270" s="107"/>
      <c r="Z3270" s="107"/>
      <c r="AA3270" s="107"/>
      <c r="AB3270" s="107"/>
      <c r="AC3270" s="355"/>
      <c r="AD3270" s="355"/>
      <c r="AE3270" s="355"/>
      <c r="AF3270" s="94">
        <f t="shared" si="430"/>
        <v>40786</v>
      </c>
      <c r="AG3270" s="185">
        <f t="shared" si="425"/>
        <v>-2.0296424992693018E-2</v>
      </c>
      <c r="AH3270" s="339" t="str">
        <f>VLOOKUP(B3270,'MF PF'!A:B,2)</f>
        <v>FdMgt1</v>
      </c>
      <c r="AI3270" s="358">
        <f t="shared" si="431"/>
        <v>0</v>
      </c>
      <c r="AJ3270" s="94">
        <f t="shared" si="432"/>
        <v>40786</v>
      </c>
    </row>
    <row r="3271" spans="1:36" ht="12.75" customHeight="1">
      <c r="A3271" s="94">
        <v>40816</v>
      </c>
      <c r="B3271" s="94" t="s">
        <v>188</v>
      </c>
      <c r="C3271" s="358" t="s">
        <v>301</v>
      </c>
      <c r="D3271" s="98">
        <v>101240094.92325184</v>
      </c>
      <c r="E3271" s="9">
        <f t="shared" si="426"/>
        <v>44591589.989509508</v>
      </c>
      <c r="F3271" s="98">
        <v>166</v>
      </c>
      <c r="G3271" s="98">
        <v>7968000</v>
      </c>
      <c r="H3271" s="98">
        <v>0</v>
      </c>
      <c r="I3271" s="98">
        <v>0</v>
      </c>
      <c r="J3271" s="98"/>
      <c r="K3271" s="93">
        <v>2.2703854010827893</v>
      </c>
      <c r="L3271" s="93">
        <f t="shared" si="427"/>
        <v>7968000</v>
      </c>
      <c r="M3271" s="95">
        <f t="shared" ca="1" si="428"/>
        <v>0</v>
      </c>
      <c r="N3271" s="95">
        <f>IF(P3271="Hedge Fund",IF(A3271=Summary!$AD$3,M3271-E3271,M3271),IF(A3271=Summary!$AD$3,L3271-D3271,L3271))</f>
        <v>7968000</v>
      </c>
      <c r="O3271" s="95">
        <f t="shared" si="429"/>
        <v>7968000</v>
      </c>
      <c r="P3271" s="107" t="s">
        <v>155</v>
      </c>
      <c r="Q3271" s="107">
        <v>0</v>
      </c>
      <c r="R3271" s="107">
        <v>0</v>
      </c>
      <c r="S3271" s="107">
        <v>0</v>
      </c>
      <c r="T3271" s="107">
        <v>0</v>
      </c>
      <c r="U3271" s="107"/>
      <c r="V3271" s="107"/>
      <c r="W3271" s="107"/>
      <c r="X3271" s="107"/>
      <c r="Y3271" s="107"/>
      <c r="Z3271" s="107"/>
      <c r="AA3271" s="107"/>
      <c r="AB3271" s="107"/>
      <c r="AC3271" s="355"/>
      <c r="AD3271" s="355"/>
      <c r="AE3271" s="355"/>
      <c r="AF3271" s="94">
        <f t="shared" si="430"/>
        <v>40816</v>
      </c>
      <c r="AG3271" s="185">
        <f t="shared" si="425"/>
        <v>-1.5694168812996678E-2</v>
      </c>
      <c r="AH3271" s="339" t="str">
        <f>VLOOKUP(B3271,'MF PF'!A:B,2)</f>
        <v>FdMgt1</v>
      </c>
      <c r="AI3271" s="358">
        <f t="shared" si="431"/>
        <v>0</v>
      </c>
      <c r="AJ3271" s="94">
        <f t="shared" si="432"/>
        <v>40816</v>
      </c>
    </row>
    <row r="3272" spans="1:36" ht="12.75" customHeight="1">
      <c r="A3272" s="94">
        <v>40847</v>
      </c>
      <c r="B3272" s="94" t="s">
        <v>188</v>
      </c>
      <c r="C3272" s="358" t="s">
        <v>301</v>
      </c>
      <c r="D3272" s="98">
        <v>100052733.59144756</v>
      </c>
      <c r="E3272" s="95">
        <f t="shared" si="426"/>
        <v>44068612.114811227</v>
      </c>
      <c r="F3272" s="98">
        <v>166</v>
      </c>
      <c r="G3272" s="98">
        <v>0</v>
      </c>
      <c r="H3272" s="98">
        <v>0</v>
      </c>
      <c r="I3272" s="98">
        <v>0</v>
      </c>
      <c r="J3272" s="98"/>
      <c r="K3272" s="93">
        <v>2.2703854010827893</v>
      </c>
      <c r="L3272" s="93">
        <f t="shared" si="427"/>
        <v>0</v>
      </c>
      <c r="M3272" s="95">
        <f t="shared" ca="1" si="428"/>
        <v>0</v>
      </c>
      <c r="N3272" s="95">
        <f>IF(P3272="Hedge Fund",IF(A3272=Summary!$AD$3,M3272-E3272,M3272),IF(A3272=Summary!$AD$3,L3272-D3272,L3272))</f>
        <v>0</v>
      </c>
      <c r="O3272" s="95">
        <f t="shared" si="429"/>
        <v>0</v>
      </c>
      <c r="P3272" s="107" t="s">
        <v>155</v>
      </c>
      <c r="Q3272" s="107">
        <v>0</v>
      </c>
      <c r="R3272" s="107">
        <v>0</v>
      </c>
      <c r="S3272" s="107">
        <v>0</v>
      </c>
      <c r="T3272" s="107">
        <v>0</v>
      </c>
      <c r="U3272" s="107"/>
      <c r="V3272" s="107"/>
      <c r="W3272" s="107"/>
      <c r="X3272" s="107"/>
      <c r="Y3272" s="107"/>
      <c r="Z3272" s="107"/>
      <c r="AA3272" s="107"/>
      <c r="AB3272" s="107"/>
      <c r="AC3272" s="355"/>
      <c r="AD3272" s="355"/>
      <c r="AE3272" s="355"/>
      <c r="AF3272" s="94">
        <f t="shared" si="430"/>
        <v>40847</v>
      </c>
      <c r="AG3272" s="185">
        <f t="shared" si="425"/>
        <v>-1.172817284203842E-2</v>
      </c>
      <c r="AH3272" s="339" t="str">
        <f>VLOOKUP(B3272,'MF PF'!A:B,2)</f>
        <v>FdMgt1</v>
      </c>
      <c r="AI3272" s="358">
        <f t="shared" si="431"/>
        <v>0</v>
      </c>
      <c r="AJ3272" s="94">
        <f t="shared" si="432"/>
        <v>40847</v>
      </c>
    </row>
    <row r="3273" spans="1:36" ht="12.75" customHeight="1">
      <c r="A3273" s="94">
        <v>40877</v>
      </c>
      <c r="B3273" s="94" t="s">
        <v>188</v>
      </c>
      <c r="C3273" s="358" t="s">
        <v>301</v>
      </c>
      <c r="D3273" s="98">
        <v>110706569.4513956</v>
      </c>
      <c r="E3273" s="9">
        <f t="shared" si="426"/>
        <v>44888409.866782501</v>
      </c>
      <c r="F3273" s="98">
        <v>166</v>
      </c>
      <c r="G3273" s="98">
        <v>8632000</v>
      </c>
      <c r="H3273" s="98">
        <v>0</v>
      </c>
      <c r="I3273" s="98">
        <v>0</v>
      </c>
      <c r="J3273" s="98"/>
      <c r="K3273" s="93">
        <v>2.4662617762568293</v>
      </c>
      <c r="L3273" s="93">
        <f t="shared" si="427"/>
        <v>8632000</v>
      </c>
      <c r="M3273" s="95">
        <f t="shared" ca="1" si="428"/>
        <v>0</v>
      </c>
      <c r="N3273" s="95">
        <f>IF(P3273="Hedge Fund",IF(A3273=Summary!$AD$3,M3273-E3273,M3273),IF(A3273=Summary!$AD$3,L3273-D3273,L3273))</f>
        <v>8632000</v>
      </c>
      <c r="O3273" s="95">
        <f t="shared" si="429"/>
        <v>8632000</v>
      </c>
      <c r="P3273" s="107" t="s">
        <v>155</v>
      </c>
      <c r="Q3273" s="107">
        <v>0</v>
      </c>
      <c r="R3273" s="107">
        <v>0</v>
      </c>
      <c r="S3273" s="107">
        <v>0</v>
      </c>
      <c r="T3273" s="107">
        <v>0</v>
      </c>
      <c r="U3273" s="107"/>
      <c r="V3273" s="107"/>
      <c r="W3273" s="107"/>
      <c r="X3273" s="107"/>
      <c r="Y3273" s="107"/>
      <c r="Z3273" s="107"/>
      <c r="AA3273" s="107"/>
      <c r="AB3273" s="107"/>
      <c r="AC3273" s="355"/>
      <c r="AD3273" s="355"/>
      <c r="AE3273" s="355"/>
      <c r="AF3273" s="94">
        <f t="shared" si="430"/>
        <v>40877</v>
      </c>
      <c r="AG3273" s="185">
        <f t="shared" si="425"/>
        <v>2.0207702352281087E-2</v>
      </c>
      <c r="AH3273" s="339" t="str">
        <f>VLOOKUP(B3273,'MF PF'!A:B,2)</f>
        <v>FdMgt1</v>
      </c>
      <c r="AI3273" s="358">
        <f t="shared" si="431"/>
        <v>0</v>
      </c>
      <c r="AJ3273" s="94">
        <f t="shared" si="432"/>
        <v>40877</v>
      </c>
    </row>
    <row r="3274" spans="1:36" ht="12.75" customHeight="1">
      <c r="A3274" s="94">
        <v>40907</v>
      </c>
      <c r="B3274" s="94" t="s">
        <v>188</v>
      </c>
      <c r="C3274" s="358" t="s">
        <v>301</v>
      </c>
      <c r="D3274" s="98">
        <v>155809622.75436318</v>
      </c>
      <c r="E3274" s="9">
        <f t="shared" si="426"/>
        <v>45455268.368714377</v>
      </c>
      <c r="F3274" s="98">
        <v>166</v>
      </c>
      <c r="G3274" s="98">
        <v>43160000</v>
      </c>
      <c r="H3274" s="98">
        <v>0</v>
      </c>
      <c r="I3274" s="98">
        <v>0</v>
      </c>
      <c r="J3274" s="98"/>
      <c r="K3274" s="93">
        <v>3.4277571851627808</v>
      </c>
      <c r="L3274" s="93">
        <f t="shared" si="427"/>
        <v>43160000</v>
      </c>
      <c r="M3274" s="95">
        <f t="shared" ca="1" si="428"/>
        <v>0</v>
      </c>
      <c r="N3274" s="95">
        <f>IF(P3274="Hedge Fund",IF(A3274=Summary!$AD$3,M3274-E3274,M3274),IF(A3274=Summary!$AD$3,L3274-D3274,L3274))</f>
        <v>43160000</v>
      </c>
      <c r="O3274" s="95">
        <f t="shared" si="429"/>
        <v>43160000</v>
      </c>
      <c r="P3274" s="107" t="s">
        <v>155</v>
      </c>
      <c r="Q3274" s="107">
        <v>0</v>
      </c>
      <c r="R3274" s="107">
        <v>0</v>
      </c>
      <c r="S3274" s="107">
        <v>0</v>
      </c>
      <c r="T3274" s="107">
        <v>0</v>
      </c>
      <c r="U3274" s="107"/>
      <c r="V3274" s="107"/>
      <c r="W3274" s="107"/>
      <c r="X3274" s="107"/>
      <c r="Y3274" s="107"/>
      <c r="Z3274" s="107"/>
      <c r="AA3274" s="107"/>
      <c r="AB3274" s="107"/>
      <c r="AC3274" s="355"/>
      <c r="AD3274" s="355"/>
      <c r="AE3274" s="355"/>
      <c r="AF3274" s="94">
        <f t="shared" si="430"/>
        <v>40907</v>
      </c>
      <c r="AG3274" s="185">
        <f t="shared" si="425"/>
        <v>1.7551382113964342E-2</v>
      </c>
      <c r="AH3274" s="339" t="str">
        <f>VLOOKUP(B3274,'MF PF'!A:B,2)</f>
        <v>FdMgt1</v>
      </c>
      <c r="AI3274" s="358">
        <f t="shared" si="431"/>
        <v>0</v>
      </c>
      <c r="AJ3274" s="94">
        <f t="shared" si="432"/>
        <v>40908</v>
      </c>
    </row>
    <row r="3275" spans="1:36" ht="12.75" customHeight="1">
      <c r="A3275" s="94">
        <v>40939</v>
      </c>
      <c r="B3275" s="94" t="s">
        <v>188</v>
      </c>
      <c r="C3275" s="358" t="s">
        <v>301</v>
      </c>
      <c r="D3275" s="98">
        <v>155361118.26698914</v>
      </c>
      <c r="E3275" s="9">
        <f t="shared" si="426"/>
        <v>45324423.48585178</v>
      </c>
      <c r="F3275" s="98">
        <v>166</v>
      </c>
      <c r="G3275" s="98">
        <v>0</v>
      </c>
      <c r="H3275" s="98">
        <v>0</v>
      </c>
      <c r="I3275" s="98">
        <v>0</v>
      </c>
      <c r="J3275" s="98"/>
      <c r="K3275" s="93">
        <v>3.4277571851627808</v>
      </c>
      <c r="L3275" s="93">
        <f t="shared" si="427"/>
        <v>0</v>
      </c>
      <c r="M3275" s="95">
        <f t="shared" ca="1" si="428"/>
        <v>0</v>
      </c>
      <c r="N3275" s="95">
        <f>IF(P3275="Hedge Fund",IF(A3275=Summary!$AD$3,M3275-E3275,M3275),IF(A3275=Summary!$AD$3,L3275-D3275,L3275))</f>
        <v>0</v>
      </c>
      <c r="O3275" s="95">
        <f t="shared" si="429"/>
        <v>0</v>
      </c>
      <c r="P3275" s="107" t="s">
        <v>155</v>
      </c>
      <c r="Q3275" s="107">
        <v>0</v>
      </c>
      <c r="R3275" s="107">
        <v>0</v>
      </c>
      <c r="S3275" s="107">
        <v>0</v>
      </c>
      <c r="T3275" s="107">
        <v>0</v>
      </c>
      <c r="U3275" s="107"/>
      <c r="V3275" s="107"/>
      <c r="W3275" s="107"/>
      <c r="X3275" s="107"/>
      <c r="Y3275" s="107"/>
      <c r="Z3275" s="107"/>
      <c r="AA3275" s="107"/>
      <c r="AB3275" s="107"/>
      <c r="AC3275" s="355"/>
      <c r="AD3275" s="355"/>
      <c r="AE3275" s="355"/>
      <c r="AF3275" s="94">
        <f t="shared" si="430"/>
        <v>40939</v>
      </c>
      <c r="AG3275" s="185">
        <f t="shared" si="425"/>
        <v>-2.8785416423291466E-3</v>
      </c>
      <c r="AH3275" s="339" t="str">
        <f>VLOOKUP(B3275,'MF PF'!A:B,2)</f>
        <v>FdMgt1</v>
      </c>
      <c r="AI3275" s="358">
        <f t="shared" si="431"/>
        <v>0</v>
      </c>
      <c r="AJ3275" s="94">
        <f t="shared" si="432"/>
        <v>40939</v>
      </c>
    </row>
    <row r="3276" spans="1:36" ht="12.75" customHeight="1">
      <c r="A3276" s="94">
        <v>40968</v>
      </c>
      <c r="B3276" s="94" t="s">
        <v>188</v>
      </c>
      <c r="C3276" s="358" t="s">
        <v>301</v>
      </c>
      <c r="D3276" s="98">
        <v>167970974.18795109</v>
      </c>
      <c r="E3276" s="9">
        <f t="shared" si="426"/>
        <v>45813137.462739617</v>
      </c>
      <c r="F3276" s="98">
        <v>166</v>
      </c>
      <c r="G3276" s="98">
        <v>10818017</v>
      </c>
      <c r="H3276" s="98">
        <v>0</v>
      </c>
      <c r="I3276" s="98">
        <v>0</v>
      </c>
      <c r="J3276" s="98"/>
      <c r="K3276" s="93">
        <v>3.6664368233798426</v>
      </c>
      <c r="L3276" s="93">
        <f t="shared" si="427"/>
        <v>10818017</v>
      </c>
      <c r="M3276" s="95">
        <f t="shared" ca="1" si="428"/>
        <v>0</v>
      </c>
      <c r="N3276" s="95">
        <f>IF(P3276="Hedge Fund",IF(A3276=Summary!$AD$3,M3276-E3276,M3276),IF(A3276=Summary!$AD$3,L3276-D3276,L3276))</f>
        <v>10818017</v>
      </c>
      <c r="O3276" s="95">
        <f t="shared" si="429"/>
        <v>10818017</v>
      </c>
      <c r="P3276" s="107" t="s">
        <v>155</v>
      </c>
      <c r="Q3276" s="107">
        <v>0</v>
      </c>
      <c r="R3276" s="107">
        <v>0</v>
      </c>
      <c r="S3276" s="107">
        <v>0</v>
      </c>
      <c r="T3276" s="107">
        <v>0</v>
      </c>
      <c r="U3276" s="107"/>
      <c r="V3276" s="107"/>
      <c r="W3276" s="107"/>
      <c r="X3276" s="107"/>
      <c r="Y3276" s="107"/>
      <c r="Z3276" s="107"/>
      <c r="AA3276" s="107"/>
      <c r="AB3276" s="107"/>
      <c r="AC3276" s="355"/>
      <c r="AD3276" s="355"/>
      <c r="AE3276" s="355"/>
      <c r="AF3276" s="94">
        <f t="shared" si="430"/>
        <v>40968</v>
      </c>
      <c r="AG3276" s="185">
        <f t="shared" si="425"/>
        <v>1.1533380687197781E-2</v>
      </c>
      <c r="AH3276" s="339" t="str">
        <f>VLOOKUP(B3276,'MF PF'!A:B,2)</f>
        <v>FdMgt1</v>
      </c>
      <c r="AI3276" s="358">
        <f t="shared" si="431"/>
        <v>0</v>
      </c>
      <c r="AJ3276" s="94">
        <f t="shared" si="432"/>
        <v>40968</v>
      </c>
    </row>
    <row r="3277" spans="1:36" ht="12.75" customHeight="1">
      <c r="A3277" s="94">
        <v>40998</v>
      </c>
      <c r="B3277" s="94" t="s">
        <v>188</v>
      </c>
      <c r="C3277" s="358" t="s">
        <v>301</v>
      </c>
      <c r="D3277" s="98">
        <v>171505407.63952401</v>
      </c>
      <c r="E3277" s="9">
        <f t="shared" si="426"/>
        <v>46777134.286313616</v>
      </c>
      <c r="F3277" s="98">
        <v>166</v>
      </c>
      <c r="G3277" s="98">
        <v>0</v>
      </c>
      <c r="H3277" s="98">
        <v>0</v>
      </c>
      <c r="I3277" s="98">
        <v>0</v>
      </c>
      <c r="J3277" s="98"/>
      <c r="K3277" s="93">
        <v>3.6664368233798426</v>
      </c>
      <c r="L3277" s="93">
        <f t="shared" si="427"/>
        <v>0</v>
      </c>
      <c r="M3277" s="95">
        <f t="shared" ca="1" si="428"/>
        <v>0</v>
      </c>
      <c r="N3277" s="95">
        <f>IF(P3277="Hedge Fund",IF(A3277=Summary!$AD$3,M3277-E3277,M3277),IF(A3277=Summary!$AD$3,L3277-D3277,L3277))</f>
        <v>0</v>
      </c>
      <c r="O3277" s="95">
        <f t="shared" si="429"/>
        <v>0</v>
      </c>
      <c r="P3277" s="107" t="s">
        <v>155</v>
      </c>
      <c r="Q3277" s="107">
        <v>0</v>
      </c>
      <c r="R3277" s="107">
        <v>0</v>
      </c>
      <c r="S3277" s="107">
        <v>0</v>
      </c>
      <c r="T3277" s="107">
        <v>0</v>
      </c>
      <c r="U3277" s="107"/>
      <c r="V3277" s="107"/>
      <c r="W3277" s="107"/>
      <c r="X3277" s="107"/>
      <c r="Y3277" s="107"/>
      <c r="Z3277" s="107"/>
      <c r="AA3277" s="107"/>
      <c r="AB3277" s="107"/>
      <c r="AC3277" s="355"/>
      <c r="AD3277" s="355"/>
      <c r="AE3277" s="355"/>
      <c r="AF3277" s="94">
        <f t="shared" si="430"/>
        <v>40998</v>
      </c>
      <c r="AG3277" s="185">
        <f t="shared" si="425"/>
        <v>2.1041929825435624E-2</v>
      </c>
      <c r="AH3277" s="339" t="str">
        <f>VLOOKUP(B3277,'MF PF'!A:B,2)</f>
        <v>FdMgt1</v>
      </c>
      <c r="AI3277" s="358">
        <f t="shared" si="431"/>
        <v>0</v>
      </c>
      <c r="AJ3277" s="94">
        <f t="shared" si="432"/>
        <v>40999</v>
      </c>
    </row>
    <row r="3278" spans="1:36" ht="12.75" customHeight="1">
      <c r="A3278" s="94">
        <v>41029</v>
      </c>
      <c r="B3278" s="94" t="s">
        <v>188</v>
      </c>
      <c r="C3278" s="358" t="s">
        <v>301</v>
      </c>
      <c r="D3278" s="98">
        <v>175710406.576123</v>
      </c>
      <c r="E3278" s="9">
        <f t="shared" si="426"/>
        <v>47924024.070363589</v>
      </c>
      <c r="F3278" s="98">
        <v>166</v>
      </c>
      <c r="G3278" s="98">
        <v>0</v>
      </c>
      <c r="H3278" s="98">
        <v>0</v>
      </c>
      <c r="I3278" s="98">
        <v>0</v>
      </c>
      <c r="J3278" s="98"/>
      <c r="K3278" s="93">
        <v>3.6664368233798426</v>
      </c>
      <c r="L3278" s="93">
        <f t="shared" si="427"/>
        <v>0</v>
      </c>
      <c r="M3278" s="95">
        <f t="shared" ca="1" si="428"/>
        <v>0</v>
      </c>
      <c r="N3278" s="95">
        <f>IF(P3278="Hedge Fund",IF(A3278=Summary!$AD$3,M3278-E3278,M3278),IF(A3278=Summary!$AD$3,L3278-D3278,L3278))</f>
        <v>0</v>
      </c>
      <c r="O3278" s="95">
        <f t="shared" si="429"/>
        <v>0</v>
      </c>
      <c r="P3278" s="107" t="s">
        <v>155</v>
      </c>
      <c r="Q3278" s="107">
        <v>0</v>
      </c>
      <c r="R3278" s="107">
        <v>0</v>
      </c>
      <c r="S3278" s="107">
        <v>0</v>
      </c>
      <c r="T3278" s="107">
        <v>0</v>
      </c>
      <c r="U3278" s="107"/>
      <c r="V3278" s="107"/>
      <c r="W3278" s="107"/>
      <c r="X3278" s="107"/>
      <c r="Y3278" s="107"/>
      <c r="Z3278" s="107"/>
      <c r="AA3278" s="107"/>
      <c r="AB3278" s="107"/>
      <c r="AC3278" s="355"/>
      <c r="AD3278" s="355"/>
      <c r="AE3278" s="355"/>
      <c r="AF3278" s="94">
        <f t="shared" si="430"/>
        <v>41029</v>
      </c>
      <c r="AG3278" s="185">
        <f t="shared" si="425"/>
        <v>2.4518171143834699E-2</v>
      </c>
      <c r="AH3278" s="339" t="str">
        <f>VLOOKUP(B3278,'MF PF'!A:B,2)</f>
        <v>FdMgt1</v>
      </c>
      <c r="AI3278" s="358">
        <f t="shared" si="431"/>
        <v>0</v>
      </c>
      <c r="AJ3278" s="94">
        <f t="shared" si="432"/>
        <v>41029</v>
      </c>
    </row>
    <row r="3279" spans="1:36" ht="12.75" customHeight="1">
      <c r="A3279" s="94">
        <v>41060</v>
      </c>
      <c r="B3279" s="94" t="s">
        <v>188</v>
      </c>
      <c r="C3279" s="358" t="s">
        <v>301</v>
      </c>
      <c r="D3279" s="98">
        <v>176373895.738648</v>
      </c>
      <c r="E3279" s="9">
        <f t="shared" si="426"/>
        <v>48104987.00372006</v>
      </c>
      <c r="F3279" s="98">
        <v>166</v>
      </c>
      <c r="G3279" s="98">
        <v>0</v>
      </c>
      <c r="H3279" s="98">
        <v>0</v>
      </c>
      <c r="I3279" s="98">
        <v>0</v>
      </c>
      <c r="J3279" s="98"/>
      <c r="K3279" s="93">
        <v>3.6664368233798426</v>
      </c>
      <c r="L3279" s="93">
        <f t="shared" si="427"/>
        <v>0</v>
      </c>
      <c r="M3279" s="95">
        <f t="shared" ca="1" si="428"/>
        <v>0</v>
      </c>
      <c r="N3279" s="95">
        <f>IF(P3279="Hedge Fund",IF(A3279=Summary!$AD$3,M3279-E3279,M3279),IF(A3279=Summary!$AD$3,L3279-D3279,L3279))</f>
        <v>0</v>
      </c>
      <c r="O3279" s="95">
        <f t="shared" si="429"/>
        <v>0</v>
      </c>
      <c r="P3279" s="107" t="s">
        <v>155</v>
      </c>
      <c r="Q3279" s="107">
        <v>0</v>
      </c>
      <c r="R3279" s="107">
        <v>0</v>
      </c>
      <c r="S3279" s="107">
        <v>0</v>
      </c>
      <c r="T3279" s="107">
        <v>0</v>
      </c>
      <c r="U3279" s="107"/>
      <c r="V3279" s="107"/>
      <c r="W3279" s="107"/>
      <c r="X3279" s="107"/>
      <c r="Y3279" s="107"/>
      <c r="Z3279" s="107"/>
      <c r="AA3279" s="107"/>
      <c r="AB3279" s="107"/>
      <c r="AC3279" s="355"/>
      <c r="AD3279" s="355"/>
      <c r="AE3279" s="355"/>
      <c r="AF3279" s="94">
        <f t="shared" si="430"/>
        <v>41060</v>
      </c>
      <c r="AG3279" s="185">
        <f t="shared" si="425"/>
        <v>3.7760379447848713E-3</v>
      </c>
      <c r="AH3279" s="339" t="str">
        <f>VLOOKUP(B3279,'MF PF'!A:B,2)</f>
        <v>FdMgt1</v>
      </c>
      <c r="AI3279" s="358">
        <f t="shared" si="431"/>
        <v>0</v>
      </c>
      <c r="AJ3279" s="94">
        <f t="shared" si="432"/>
        <v>41060</v>
      </c>
    </row>
    <row r="3280" spans="1:36" ht="12.75" customHeight="1">
      <c r="A3280" s="94">
        <v>41089</v>
      </c>
      <c r="B3280" s="94" t="s">
        <v>188</v>
      </c>
      <c r="C3280" s="358" t="s">
        <v>301</v>
      </c>
      <c r="D3280" s="98">
        <v>132936435.45803101</v>
      </c>
      <c r="E3280" s="9">
        <f t="shared" si="426"/>
        <v>36257664.28329885</v>
      </c>
      <c r="F3280" s="98">
        <v>166</v>
      </c>
      <c r="G3280" s="98">
        <v>0</v>
      </c>
      <c r="H3280" s="98">
        <v>0</v>
      </c>
      <c r="I3280" s="98">
        <v>-42202654.469999999</v>
      </c>
      <c r="J3280" s="98"/>
      <c r="K3280" s="93">
        <v>3.6664368233798426</v>
      </c>
      <c r="L3280" s="93">
        <f t="shared" si="427"/>
        <v>-42202654.469999999</v>
      </c>
      <c r="M3280" s="95">
        <f t="shared" ca="1" si="428"/>
        <v>-11510536.388049964</v>
      </c>
      <c r="N3280" s="95">
        <f>IF(P3280="Hedge Fund",IF(A3280=Summary!$AD$3,M3280-E3280,M3280),IF(A3280=Summary!$AD$3,L3280-D3280,L3280))</f>
        <v>-42202654.469999999</v>
      </c>
      <c r="O3280" s="95">
        <f t="shared" si="429"/>
        <v>-42202654.469999999</v>
      </c>
      <c r="P3280" s="107" t="s">
        <v>155</v>
      </c>
      <c r="Q3280" s="107">
        <v>0</v>
      </c>
      <c r="R3280" s="107">
        <v>0</v>
      </c>
      <c r="S3280" s="107">
        <v>0</v>
      </c>
      <c r="T3280" s="107">
        <v>0</v>
      </c>
      <c r="U3280" s="107"/>
      <c r="V3280" s="107"/>
      <c r="W3280" s="107"/>
      <c r="X3280" s="107"/>
      <c r="Y3280" s="107"/>
      <c r="Z3280" s="107"/>
      <c r="AA3280" s="107"/>
      <c r="AB3280" s="107"/>
      <c r="AC3280" s="355"/>
      <c r="AD3280" s="355"/>
      <c r="AE3280" s="355"/>
      <c r="AF3280" s="94">
        <f t="shared" si="430"/>
        <v>41089</v>
      </c>
      <c r="AG3280" s="185">
        <f t="shared" si="425"/>
        <v>-7.0010689815839244E-3</v>
      </c>
      <c r="AH3280" s="339" t="str">
        <f>VLOOKUP(B3280,'MF PF'!A:B,2)</f>
        <v>FdMgt1</v>
      </c>
      <c r="AI3280" s="358">
        <f t="shared" si="431"/>
        <v>0</v>
      </c>
      <c r="AJ3280" s="94">
        <f t="shared" si="432"/>
        <v>41090</v>
      </c>
    </row>
    <row r="3281" spans="1:53" ht="12.75" customHeight="1">
      <c r="A3281" s="94">
        <v>41121</v>
      </c>
      <c r="B3281" s="94" t="s">
        <v>188</v>
      </c>
      <c r="C3281" s="358" t="s">
        <v>301</v>
      </c>
      <c r="D3281" s="98">
        <v>134749839.169386</v>
      </c>
      <c r="E3281" s="9">
        <f t="shared" si="426"/>
        <v>36752259.935347572</v>
      </c>
      <c r="F3281" s="98">
        <v>166</v>
      </c>
      <c r="G3281" s="98">
        <v>0</v>
      </c>
      <c r="H3281" s="98">
        <v>0</v>
      </c>
      <c r="I3281" s="98">
        <v>0</v>
      </c>
      <c r="J3281" s="98"/>
      <c r="K3281" s="93">
        <v>3.6664368233798426</v>
      </c>
      <c r="L3281" s="93">
        <f t="shared" si="427"/>
        <v>0</v>
      </c>
      <c r="M3281" s="95">
        <f t="shared" ca="1" si="428"/>
        <v>0</v>
      </c>
      <c r="N3281" s="95">
        <f>IF(P3281="Hedge Fund",IF(A3281=Summary!$AD$3,M3281-E3281,M3281),IF(A3281=Summary!$AD$3,L3281-D3281,L3281))</f>
        <v>0</v>
      </c>
      <c r="O3281" s="95">
        <f t="shared" si="429"/>
        <v>0</v>
      </c>
      <c r="P3281" s="107" t="s">
        <v>155</v>
      </c>
      <c r="Q3281" s="107">
        <v>0</v>
      </c>
      <c r="R3281" s="107">
        <v>0</v>
      </c>
      <c r="S3281" s="107">
        <v>0</v>
      </c>
      <c r="T3281" s="107">
        <v>0</v>
      </c>
      <c r="U3281" s="107"/>
      <c r="V3281" s="107"/>
      <c r="W3281" s="107"/>
      <c r="X3281" s="107"/>
      <c r="Y3281" s="107"/>
      <c r="Z3281" s="107"/>
      <c r="AA3281" s="107"/>
      <c r="AB3281" s="107"/>
      <c r="AC3281" s="355"/>
      <c r="AD3281" s="355"/>
      <c r="AE3281" s="355"/>
      <c r="AF3281" s="94">
        <f t="shared" si="430"/>
        <v>41121</v>
      </c>
      <c r="AG3281" s="185">
        <f t="shared" si="425"/>
        <v>1.3641133863014465E-2</v>
      </c>
      <c r="AH3281" s="339" t="str">
        <f>VLOOKUP(B3281,'MF PF'!A:B,2)</f>
        <v>FdMgt1</v>
      </c>
      <c r="AI3281" s="358">
        <f t="shared" si="431"/>
        <v>0</v>
      </c>
      <c r="AJ3281" s="94">
        <f t="shared" si="432"/>
        <v>41121</v>
      </c>
    </row>
    <row r="3282" spans="1:53" ht="12.75" customHeight="1">
      <c r="A3282" s="94">
        <v>41152</v>
      </c>
      <c r="B3282" s="94" t="s">
        <v>188</v>
      </c>
      <c r="C3282" s="358" t="s">
        <v>301</v>
      </c>
      <c r="D3282" s="98">
        <v>134946857.1805</v>
      </c>
      <c r="E3282" s="95">
        <f t="shared" si="426"/>
        <v>36805995.488584891</v>
      </c>
      <c r="F3282" s="98">
        <v>166</v>
      </c>
      <c r="G3282" s="98">
        <v>0</v>
      </c>
      <c r="H3282" s="98">
        <v>0</v>
      </c>
      <c r="I3282" s="98">
        <v>0</v>
      </c>
      <c r="J3282" s="98"/>
      <c r="K3282" s="93">
        <v>3.6664368233798426</v>
      </c>
      <c r="L3282" s="93">
        <f t="shared" si="427"/>
        <v>0</v>
      </c>
      <c r="M3282" s="95">
        <f t="shared" ca="1" si="428"/>
        <v>0</v>
      </c>
      <c r="N3282" s="95">
        <f>IF(P3282="Hedge Fund",IF(A3282=Summary!$AD$3,M3282-E3282,M3282),IF(A3282=Summary!$AD$3,L3282-D3282,L3282))</f>
        <v>0</v>
      </c>
      <c r="O3282" s="95">
        <f t="shared" si="429"/>
        <v>0</v>
      </c>
      <c r="P3282" s="107" t="s">
        <v>155</v>
      </c>
      <c r="Q3282" s="107">
        <v>0</v>
      </c>
      <c r="R3282" s="107">
        <v>0</v>
      </c>
      <c r="S3282" s="107">
        <v>0</v>
      </c>
      <c r="T3282" s="107">
        <v>0</v>
      </c>
      <c r="U3282" s="107"/>
      <c r="V3282" s="107"/>
      <c r="W3282" s="107"/>
      <c r="X3282" s="107"/>
      <c r="Y3282" s="107"/>
      <c r="Z3282" s="107"/>
      <c r="AA3282" s="107"/>
      <c r="AB3282" s="107"/>
      <c r="AC3282" s="355"/>
      <c r="AD3282" s="355"/>
      <c r="AE3282" s="355"/>
      <c r="AF3282" s="94">
        <f t="shared" si="430"/>
        <v>41152</v>
      </c>
      <c r="AG3282" s="185">
        <f t="shared" si="425"/>
        <v>1.462102013096489E-3</v>
      </c>
      <c r="AH3282" s="339" t="str">
        <f>VLOOKUP(B3282,'MF PF'!A:B,2)</f>
        <v>FdMgt1</v>
      </c>
      <c r="AI3282" s="358">
        <f t="shared" si="431"/>
        <v>0</v>
      </c>
      <c r="AJ3282" s="94">
        <f t="shared" si="432"/>
        <v>41152</v>
      </c>
    </row>
    <row r="3283" spans="1:53" ht="12.75" customHeight="1">
      <c r="A3283" s="94">
        <v>41180</v>
      </c>
      <c r="B3283" s="94" t="s">
        <v>188</v>
      </c>
      <c r="C3283" s="358" t="s">
        <v>301</v>
      </c>
      <c r="D3283" s="98">
        <v>133212483.83499999</v>
      </c>
      <c r="E3283" s="9">
        <f t="shared" si="426"/>
        <v>36332954.923849016</v>
      </c>
      <c r="F3283" s="98">
        <v>166</v>
      </c>
      <c r="G3283" s="98">
        <v>0</v>
      </c>
      <c r="H3283" s="98">
        <v>0</v>
      </c>
      <c r="I3283" s="98">
        <v>0</v>
      </c>
      <c r="J3283" s="98"/>
      <c r="K3283" s="93">
        <v>3.6664368233798426</v>
      </c>
      <c r="L3283" s="93">
        <f t="shared" si="427"/>
        <v>0</v>
      </c>
      <c r="M3283" s="95">
        <f t="shared" ca="1" si="428"/>
        <v>0</v>
      </c>
      <c r="N3283" s="95">
        <f>IF(P3283="Hedge Fund",IF(A3283=Summary!$AD$3,M3283-E3283,M3283),IF(A3283=Summary!$AD$3,L3283-D3283,L3283))</f>
        <v>0</v>
      </c>
      <c r="O3283" s="95">
        <f t="shared" si="429"/>
        <v>0</v>
      </c>
      <c r="P3283" s="107" t="s">
        <v>155</v>
      </c>
      <c r="Q3283" s="107">
        <v>0</v>
      </c>
      <c r="R3283" s="107">
        <v>0</v>
      </c>
      <c r="S3283" s="107">
        <v>0</v>
      </c>
      <c r="T3283" s="107">
        <v>0</v>
      </c>
      <c r="U3283" s="107"/>
      <c r="V3283" s="107"/>
      <c r="W3283" s="107"/>
      <c r="X3283" s="107"/>
      <c r="Y3283" s="107"/>
      <c r="Z3283" s="107"/>
      <c r="AA3283" s="107"/>
      <c r="AB3283" s="107"/>
      <c r="AC3283" s="355"/>
      <c r="AD3283" s="355"/>
      <c r="AE3283" s="355"/>
      <c r="AF3283" s="94">
        <f t="shared" si="430"/>
        <v>41180</v>
      </c>
      <c r="AG3283" s="185">
        <f t="shared" si="425"/>
        <v>-1.2852269269081007E-2</v>
      </c>
      <c r="AH3283" s="339" t="str">
        <f>VLOOKUP(B3283,'MF PF'!A:B,2)</f>
        <v>FdMgt1</v>
      </c>
      <c r="AI3283" s="358">
        <f t="shared" si="431"/>
        <v>0</v>
      </c>
      <c r="AJ3283" s="94">
        <f t="shared" si="432"/>
        <v>41182</v>
      </c>
    </row>
    <row r="3284" spans="1:53" ht="12.75" customHeight="1">
      <c r="A3284" s="94">
        <v>41213</v>
      </c>
      <c r="B3284" s="94" t="s">
        <v>188</v>
      </c>
      <c r="C3284" s="358" t="s">
        <v>301</v>
      </c>
      <c r="D3284" s="98">
        <v>116414686.05599999</v>
      </c>
      <c r="E3284" s="9">
        <f t="shared" si="426"/>
        <v>31751450.158272494</v>
      </c>
      <c r="F3284" s="98">
        <v>166</v>
      </c>
      <c r="G3284" s="98">
        <v>0</v>
      </c>
      <c r="H3284" s="98">
        <v>0</v>
      </c>
      <c r="I3284" s="98">
        <v>-18233427.600000001</v>
      </c>
      <c r="J3284" s="98"/>
      <c r="K3284" s="93">
        <v>3.6664368233798426</v>
      </c>
      <c r="L3284" s="93">
        <f t="shared" si="427"/>
        <v>-18233427.600000001</v>
      </c>
      <c r="M3284" s="95">
        <f t="shared" ca="1" si="428"/>
        <v>-4973064.7160563441</v>
      </c>
      <c r="N3284" s="95">
        <f>IF(P3284="Hedge Fund",IF(A3284=Summary!$AD$3,M3284-E3284,M3284),IF(A3284=Summary!$AD$3,L3284-D3284,L3284))</f>
        <v>-18233427.600000001</v>
      </c>
      <c r="O3284" s="95">
        <f t="shared" si="429"/>
        <v>-18233427.600000001</v>
      </c>
      <c r="P3284" s="107" t="s">
        <v>155</v>
      </c>
      <c r="Q3284" s="107">
        <v>0</v>
      </c>
      <c r="R3284" s="107">
        <v>0</v>
      </c>
      <c r="S3284" s="107">
        <v>0</v>
      </c>
      <c r="T3284" s="107">
        <v>0</v>
      </c>
      <c r="U3284" s="107"/>
      <c r="V3284" s="107"/>
      <c r="W3284" s="107"/>
      <c r="X3284" s="107"/>
      <c r="Y3284" s="107"/>
      <c r="Z3284" s="107"/>
      <c r="AA3284" s="107"/>
      <c r="AB3284" s="107"/>
      <c r="AC3284" s="355"/>
      <c r="AD3284" s="355"/>
      <c r="AE3284" s="355"/>
      <c r="AF3284" s="94">
        <f t="shared" si="430"/>
        <v>41213</v>
      </c>
      <c r="AG3284" s="185">
        <f t="shared" si="425"/>
        <v>1.0776991612724496E-2</v>
      </c>
      <c r="AH3284" s="339" t="str">
        <f>VLOOKUP(B3284,'MF PF'!A:B,2)</f>
        <v>FdMgt1</v>
      </c>
      <c r="AI3284" s="358">
        <f t="shared" si="431"/>
        <v>0</v>
      </c>
      <c r="AJ3284" s="94">
        <f t="shared" si="432"/>
        <v>41213</v>
      </c>
    </row>
    <row r="3285" spans="1:53" ht="12.75" customHeight="1">
      <c r="A3285" s="94">
        <v>41243</v>
      </c>
      <c r="B3285" s="94" t="s">
        <v>188</v>
      </c>
      <c r="C3285" s="358" t="s">
        <v>301</v>
      </c>
      <c r="D3285" s="98">
        <v>116801795.11300001</v>
      </c>
      <c r="E3285" s="9">
        <f t="shared" si="426"/>
        <v>31857031.973982919</v>
      </c>
      <c r="F3285" s="98">
        <v>166</v>
      </c>
      <c r="G3285" s="98">
        <v>0</v>
      </c>
      <c r="H3285" s="98">
        <v>0</v>
      </c>
      <c r="I3285" s="98">
        <v>0</v>
      </c>
      <c r="J3285" s="98"/>
      <c r="K3285" s="93">
        <v>3.6664368233798426</v>
      </c>
      <c r="L3285" s="93">
        <f t="shared" si="427"/>
        <v>0</v>
      </c>
      <c r="M3285" s="95">
        <f t="shared" ca="1" si="428"/>
        <v>0</v>
      </c>
      <c r="N3285" s="95">
        <f>IF(P3285="Hedge Fund",IF(A3285=Summary!$AD$3,M3285-E3285,M3285),IF(A3285=Summary!$AD$3,L3285-D3285,L3285))</f>
        <v>0</v>
      </c>
      <c r="O3285" s="95">
        <f t="shared" si="429"/>
        <v>0</v>
      </c>
      <c r="P3285" s="107" t="s">
        <v>155</v>
      </c>
      <c r="Q3285" s="107">
        <v>0</v>
      </c>
      <c r="R3285" s="107">
        <v>0</v>
      </c>
      <c r="S3285" s="107">
        <v>0</v>
      </c>
      <c r="T3285" s="107">
        <v>0</v>
      </c>
      <c r="U3285" s="107"/>
      <c r="V3285" s="107"/>
      <c r="W3285" s="107"/>
      <c r="X3285" s="107"/>
      <c r="Y3285" s="107"/>
      <c r="Z3285" s="107"/>
      <c r="AA3285" s="107"/>
      <c r="AB3285" s="107"/>
      <c r="AC3285" s="355"/>
      <c r="AD3285" s="355"/>
      <c r="AE3285" s="355"/>
      <c r="AF3285" s="94">
        <f t="shared" si="430"/>
        <v>41243</v>
      </c>
      <c r="AG3285" s="185">
        <f t="shared" si="425"/>
        <v>3.3252596396111667E-3</v>
      </c>
      <c r="AH3285" s="339" t="str">
        <f>VLOOKUP(B3285,'MF PF'!A:B,2)</f>
        <v>FdMgt1</v>
      </c>
      <c r="AI3285" s="358">
        <f t="shared" si="431"/>
        <v>0</v>
      </c>
      <c r="AJ3285" s="94">
        <f t="shared" si="432"/>
        <v>41243</v>
      </c>
    </row>
    <row r="3286" spans="1:53" ht="12.75" customHeight="1">
      <c r="A3286" s="94">
        <v>41274</v>
      </c>
      <c r="B3286" s="94" t="s">
        <v>188</v>
      </c>
      <c r="C3286" s="358" t="s">
        <v>301</v>
      </c>
      <c r="D3286" s="98">
        <v>119155354.69850001</v>
      </c>
      <c r="E3286" s="9">
        <f t="shared" si="426"/>
        <v>32498952.099400602</v>
      </c>
      <c r="F3286" s="98">
        <v>166</v>
      </c>
      <c r="G3286" s="98">
        <v>0</v>
      </c>
      <c r="H3286" s="98">
        <v>0</v>
      </c>
      <c r="I3286" s="98">
        <v>0</v>
      </c>
      <c r="J3286" s="98"/>
      <c r="K3286" s="93">
        <v>3.6664368233798426</v>
      </c>
      <c r="L3286" s="93">
        <f t="shared" si="427"/>
        <v>0</v>
      </c>
      <c r="M3286" s="95">
        <f t="shared" ca="1" si="428"/>
        <v>0</v>
      </c>
      <c r="N3286" s="95">
        <f>IF(P3286="Hedge Fund",IF(A3286=Summary!$AD$3,M3286-E3286,M3286),IF(A3286=Summary!$AD$3,L3286-D3286,L3286))</f>
        <v>0</v>
      </c>
      <c r="O3286" s="95">
        <f t="shared" si="429"/>
        <v>0</v>
      </c>
      <c r="P3286" s="107" t="s">
        <v>155</v>
      </c>
      <c r="Q3286" s="107">
        <v>0</v>
      </c>
      <c r="R3286" s="107">
        <v>0</v>
      </c>
      <c r="S3286" s="107">
        <v>0</v>
      </c>
      <c r="T3286" s="107">
        <v>0</v>
      </c>
      <c r="U3286" s="107"/>
      <c r="V3286" s="107"/>
      <c r="W3286" s="107"/>
      <c r="X3286" s="107"/>
      <c r="Y3286" s="107"/>
      <c r="Z3286" s="107"/>
      <c r="AA3286" s="107"/>
      <c r="AB3286" s="107"/>
      <c r="AC3286" s="355"/>
      <c r="AD3286" s="355"/>
      <c r="AE3286" s="355"/>
      <c r="AF3286" s="94">
        <f t="shared" si="430"/>
        <v>41274</v>
      </c>
      <c r="AG3286" s="185">
        <f t="shared" si="425"/>
        <v>2.0150029228772182E-2</v>
      </c>
      <c r="AH3286" s="339" t="str">
        <f>VLOOKUP(B3286,'MF PF'!A:B,2)</f>
        <v>FdMgt1</v>
      </c>
      <c r="AI3286" s="358">
        <f t="shared" si="431"/>
        <v>0</v>
      </c>
      <c r="AJ3286" s="94">
        <f t="shared" si="432"/>
        <v>41274</v>
      </c>
    </row>
    <row r="3287" spans="1:53" ht="12.75" customHeight="1">
      <c r="A3287" s="94">
        <v>41305</v>
      </c>
      <c r="B3287" s="94" t="s">
        <v>188</v>
      </c>
      <c r="C3287" s="358" t="s">
        <v>301</v>
      </c>
      <c r="D3287" s="98">
        <v>90893976.321999997</v>
      </c>
      <c r="E3287" s="9">
        <f t="shared" si="426"/>
        <v>24790820.270622019</v>
      </c>
      <c r="F3287" s="98">
        <v>166</v>
      </c>
      <c r="G3287" s="98">
        <v>0</v>
      </c>
      <c r="H3287" s="98">
        <v>0</v>
      </c>
      <c r="I3287" s="98">
        <v>-33131055.840000004</v>
      </c>
      <c r="J3287" s="98"/>
      <c r="K3287" s="93">
        <v>3.6664368233798426</v>
      </c>
      <c r="L3287" s="93">
        <f t="shared" si="427"/>
        <v>-33131055.840000004</v>
      </c>
      <c r="M3287" s="95">
        <f t="shared" ca="1" si="428"/>
        <v>-9036308.938621968</v>
      </c>
      <c r="N3287" s="95">
        <f>IF(P3287="Hedge Fund",IF(A3287=Summary!$AD$3,M3287-E3287,M3287),IF(A3287=Summary!$AD$3,L3287-D3287,L3287))</f>
        <v>-33131055.840000004</v>
      </c>
      <c r="O3287" s="95">
        <f t="shared" si="429"/>
        <v>-33131055.840000004</v>
      </c>
      <c r="P3287" s="107" t="s">
        <v>155</v>
      </c>
      <c r="Q3287" s="107">
        <v>0</v>
      </c>
      <c r="R3287" s="107">
        <v>0</v>
      </c>
      <c r="S3287" s="107">
        <v>0</v>
      </c>
      <c r="T3287" s="107">
        <v>0</v>
      </c>
      <c r="U3287" s="107"/>
      <c r="V3287" s="107"/>
      <c r="W3287" s="107"/>
      <c r="X3287" s="107"/>
      <c r="Y3287" s="107"/>
      <c r="Z3287" s="107"/>
      <c r="AA3287" s="107"/>
      <c r="AB3287" s="107"/>
      <c r="AC3287" s="355"/>
      <c r="AD3287" s="355"/>
      <c r="AE3287" s="355"/>
      <c r="AF3287" s="94">
        <f t="shared" si="430"/>
        <v>41305</v>
      </c>
      <c r="AG3287" s="185">
        <f t="shared" si="425"/>
        <v>4.0868305715859643E-2</v>
      </c>
      <c r="AH3287" s="339" t="str">
        <f>VLOOKUP(B3287,'MF PF'!A:B,2)</f>
        <v>FdMgt1</v>
      </c>
      <c r="AI3287" s="358">
        <f t="shared" si="431"/>
        <v>0</v>
      </c>
      <c r="AJ3287" s="94">
        <f t="shared" si="432"/>
        <v>41305</v>
      </c>
    </row>
    <row r="3288" spans="1:53" ht="12.75" customHeight="1">
      <c r="A3288" s="94">
        <v>41333</v>
      </c>
      <c r="B3288" s="94" t="s">
        <v>188</v>
      </c>
      <c r="C3288" s="358" t="s">
        <v>301</v>
      </c>
      <c r="D3288" s="98">
        <v>89760068.119499996</v>
      </c>
      <c r="E3288" s="9">
        <f t="shared" si="426"/>
        <v>24481553.192768831</v>
      </c>
      <c r="F3288" s="98">
        <v>166</v>
      </c>
      <c r="G3288" s="98">
        <v>0</v>
      </c>
      <c r="H3288" s="98">
        <v>0</v>
      </c>
      <c r="I3288" s="98">
        <v>0</v>
      </c>
      <c r="J3288" s="98"/>
      <c r="K3288" s="93">
        <v>3.6664368233798426</v>
      </c>
      <c r="L3288" s="93">
        <f t="shared" si="427"/>
        <v>0</v>
      </c>
      <c r="M3288" s="95">
        <f t="shared" ca="1" si="428"/>
        <v>0</v>
      </c>
      <c r="N3288" s="95">
        <f>IF(P3288="Hedge Fund",IF(A3288=Summary!$AD$3,M3288-E3288,M3288),IF(A3288=Summary!$AD$3,L3288-D3288,L3288))</f>
        <v>0</v>
      </c>
      <c r="O3288" s="95">
        <f t="shared" si="429"/>
        <v>0</v>
      </c>
      <c r="P3288" s="107" t="s">
        <v>155</v>
      </c>
      <c r="Q3288" s="107">
        <v>0</v>
      </c>
      <c r="R3288" s="107">
        <v>0</v>
      </c>
      <c r="S3288" s="107">
        <v>0</v>
      </c>
      <c r="T3288" s="107">
        <v>0</v>
      </c>
      <c r="U3288" s="107"/>
      <c r="V3288" s="107"/>
      <c r="W3288" s="107"/>
      <c r="X3288" s="107"/>
      <c r="Y3288" s="107"/>
      <c r="Z3288" s="107"/>
      <c r="AA3288" s="107"/>
      <c r="AB3288" s="107"/>
      <c r="AC3288" s="355"/>
      <c r="AD3288" s="355"/>
      <c r="AE3288" s="355"/>
      <c r="AF3288" s="94">
        <f t="shared" si="430"/>
        <v>41333</v>
      </c>
      <c r="AG3288" s="185">
        <f t="shared" si="425"/>
        <v>-1.2475064337410302E-2</v>
      </c>
      <c r="AH3288" s="339" t="str">
        <f>VLOOKUP(B3288,'MF PF'!A:B,2)</f>
        <v>FdMgt1</v>
      </c>
      <c r="AI3288" s="358">
        <f t="shared" si="431"/>
        <v>0</v>
      </c>
      <c r="AJ3288" s="94">
        <f t="shared" si="432"/>
        <v>41333</v>
      </c>
    </row>
    <row r="3289" spans="1:53" ht="12.75" customHeight="1">
      <c r="A3289" s="94">
        <v>41361</v>
      </c>
      <c r="B3289" s="94" t="s">
        <v>188</v>
      </c>
      <c r="C3289" s="358" t="s">
        <v>301</v>
      </c>
      <c r="D3289" s="98">
        <v>73911483.362000003</v>
      </c>
      <c r="E3289" s="95">
        <f t="shared" si="426"/>
        <v>20158940.934339065</v>
      </c>
      <c r="F3289" s="98">
        <v>166</v>
      </c>
      <c r="G3289" s="98">
        <v>0</v>
      </c>
      <c r="H3289" s="98">
        <v>0</v>
      </c>
      <c r="I3289" s="98">
        <v>-12281075.470000001</v>
      </c>
      <c r="J3289" s="98"/>
      <c r="K3289" s="93">
        <v>3.6664368233798426</v>
      </c>
      <c r="L3289" s="93">
        <f t="shared" si="427"/>
        <v>-12281075.470000001</v>
      </c>
      <c r="M3289" s="95">
        <f t="shared" ca="1" si="428"/>
        <v>-3349594.1868374809</v>
      </c>
      <c r="N3289" s="95">
        <f>IF(P3289="Hedge Fund",IF(A3289=Summary!$AD$3,M3289-E3289,M3289),IF(A3289=Summary!$AD$3,L3289-D3289,L3289))</f>
        <v>-12281075.470000001</v>
      </c>
      <c r="O3289" s="95">
        <f t="shared" si="429"/>
        <v>-12281075.470000001</v>
      </c>
      <c r="P3289" s="107" t="s">
        <v>155</v>
      </c>
      <c r="Q3289" s="107">
        <v>0</v>
      </c>
      <c r="R3289" s="107">
        <v>0</v>
      </c>
      <c r="S3289" s="107">
        <v>0</v>
      </c>
      <c r="T3289" s="107">
        <v>0</v>
      </c>
      <c r="U3289" s="107"/>
      <c r="V3289" s="107"/>
      <c r="W3289" s="107"/>
      <c r="X3289" s="107"/>
      <c r="Y3289" s="107"/>
      <c r="Z3289" s="107"/>
      <c r="AA3289" s="107"/>
      <c r="AB3289" s="107"/>
      <c r="AC3289" s="355"/>
      <c r="AD3289" s="355"/>
      <c r="AE3289" s="355"/>
      <c r="AF3289" s="94">
        <f t="shared" si="430"/>
        <v>41361</v>
      </c>
      <c r="AG3289" s="185">
        <f t="shared" si="425"/>
        <v>-3.9744948530458735E-2</v>
      </c>
      <c r="AH3289" s="339" t="str">
        <f>VLOOKUP(B3289,'MF PF'!A:B,2)</f>
        <v>FdMgt1</v>
      </c>
      <c r="AI3289" s="358">
        <f t="shared" si="431"/>
        <v>0</v>
      </c>
      <c r="AJ3289" s="94">
        <f t="shared" si="432"/>
        <v>41364</v>
      </c>
      <c r="AK3289" s="358"/>
      <c r="AL3289" s="358"/>
      <c r="AM3289" s="358"/>
      <c r="AN3289" s="358"/>
      <c r="AO3289" s="358"/>
      <c r="AP3289" s="358"/>
      <c r="AQ3289" s="358"/>
      <c r="AR3289" s="358"/>
      <c r="AS3289" s="358"/>
      <c r="AT3289" s="358"/>
      <c r="AU3289" s="358"/>
      <c r="AV3289" s="358"/>
      <c r="AW3289" s="358"/>
      <c r="AX3289" s="358"/>
      <c r="AY3289" s="358"/>
      <c r="AZ3289" s="358"/>
      <c r="BA3289" s="358"/>
    </row>
    <row r="3290" spans="1:53" ht="12.75" customHeight="1">
      <c r="A3290" s="94">
        <v>41394</v>
      </c>
      <c r="B3290" s="94" t="s">
        <v>188</v>
      </c>
      <c r="C3290" s="358" t="s">
        <v>301</v>
      </c>
      <c r="D3290" s="98">
        <v>71728085.667500004</v>
      </c>
      <c r="E3290" s="9">
        <f t="shared" si="426"/>
        <v>19563431.506608829</v>
      </c>
      <c r="F3290" s="98">
        <v>166</v>
      </c>
      <c r="G3290" s="98">
        <v>0</v>
      </c>
      <c r="H3290" s="98">
        <v>0</v>
      </c>
      <c r="I3290" s="98">
        <v>0</v>
      </c>
      <c r="J3290" s="98"/>
      <c r="K3290" s="93">
        <v>3.6664368233798426</v>
      </c>
      <c r="L3290" s="93">
        <f t="shared" si="427"/>
        <v>0</v>
      </c>
      <c r="M3290" s="95">
        <f t="shared" ca="1" si="428"/>
        <v>0</v>
      </c>
      <c r="N3290" s="95">
        <f>IF(P3290="Hedge Fund",IF(A3290=Summary!$AD$3,M3290-E3290,M3290),IF(A3290=Summary!$AD$3,L3290-D3290,L3290))</f>
        <v>0</v>
      </c>
      <c r="O3290" s="95">
        <f t="shared" si="429"/>
        <v>0</v>
      </c>
      <c r="P3290" s="107" t="s">
        <v>155</v>
      </c>
      <c r="Q3290" s="107">
        <v>0</v>
      </c>
      <c r="R3290" s="107">
        <v>0</v>
      </c>
      <c r="S3290" s="107">
        <v>0</v>
      </c>
      <c r="T3290" s="107">
        <v>0</v>
      </c>
      <c r="U3290" s="107"/>
      <c r="V3290" s="107"/>
      <c r="W3290" s="107"/>
      <c r="X3290" s="107"/>
      <c r="Y3290" s="107"/>
      <c r="Z3290" s="107"/>
      <c r="AA3290" s="107"/>
      <c r="AB3290" s="107"/>
      <c r="AC3290" s="355"/>
      <c r="AD3290" s="355"/>
      <c r="AE3290" s="355"/>
      <c r="AF3290" s="94">
        <f t="shared" si="430"/>
        <v>41394</v>
      </c>
      <c r="AG3290" s="185">
        <f t="shared" si="425"/>
        <v>-2.9540709984215319E-2</v>
      </c>
      <c r="AH3290" s="339" t="str">
        <f>VLOOKUP(B3290,'MF PF'!A:B,2)</f>
        <v>FdMgt1</v>
      </c>
      <c r="AI3290" s="358">
        <f t="shared" si="431"/>
        <v>0</v>
      </c>
      <c r="AJ3290" s="94">
        <f t="shared" si="432"/>
        <v>41394</v>
      </c>
      <c r="AK3290" s="358"/>
      <c r="AL3290" s="358"/>
      <c r="AM3290" s="358"/>
      <c r="AN3290" s="358"/>
      <c r="AO3290" s="358"/>
      <c r="AP3290" s="358"/>
      <c r="AQ3290" s="358"/>
      <c r="AR3290" s="358"/>
      <c r="AS3290" s="358"/>
      <c r="AT3290" s="358"/>
      <c r="AU3290" s="358"/>
      <c r="AV3290" s="358"/>
      <c r="AW3290" s="358"/>
      <c r="AX3290" s="358"/>
      <c r="AY3290" s="358"/>
      <c r="AZ3290" s="358"/>
      <c r="BA3290" s="358"/>
    </row>
    <row r="3291" spans="1:53" ht="12.75" customHeight="1">
      <c r="A3291" s="94">
        <v>41425</v>
      </c>
      <c r="B3291" s="94" t="s">
        <v>188</v>
      </c>
      <c r="C3291" s="358" t="s">
        <v>301</v>
      </c>
      <c r="D3291" s="98">
        <v>65026495.470299989</v>
      </c>
      <c r="E3291" s="9">
        <f t="shared" si="426"/>
        <v>17735610.513085678</v>
      </c>
      <c r="F3291" s="98">
        <v>166</v>
      </c>
      <c r="G3291" s="98">
        <v>0</v>
      </c>
      <c r="H3291" s="98">
        <v>-7.4505805969238281E-9</v>
      </c>
      <c r="I3291" s="98">
        <v>-7545743.6550000003</v>
      </c>
      <c r="J3291" s="98"/>
      <c r="K3291" s="93">
        <v>3.6664368233798426</v>
      </c>
      <c r="L3291" s="93">
        <f t="shared" si="427"/>
        <v>-7545743.6550000077</v>
      </c>
      <c r="M3291" s="95">
        <f t="shared" ca="1" si="428"/>
        <v>-2058059.0962001316</v>
      </c>
      <c r="N3291" s="95">
        <f>IF(P3291="Hedge Fund",IF(A3291=Summary!$AD$3,M3291-E3291,M3291),IF(A3291=Summary!$AD$3,L3291-D3291,L3291))</f>
        <v>-7545743.6550000077</v>
      </c>
      <c r="O3291" s="95">
        <f t="shared" si="429"/>
        <v>-7545743.6550000077</v>
      </c>
      <c r="P3291" s="107" t="s">
        <v>155</v>
      </c>
      <c r="Q3291" s="107">
        <v>0</v>
      </c>
      <c r="R3291" s="107">
        <v>0</v>
      </c>
      <c r="S3291" s="107">
        <v>0</v>
      </c>
      <c r="T3291" s="107">
        <v>0</v>
      </c>
      <c r="U3291" s="107"/>
      <c r="V3291" s="107"/>
      <c r="W3291" s="107"/>
      <c r="X3291" s="107"/>
      <c r="Y3291" s="107"/>
      <c r="Z3291" s="107"/>
      <c r="AA3291" s="107"/>
      <c r="AB3291" s="107"/>
      <c r="AC3291" s="355"/>
      <c r="AD3291" s="355"/>
      <c r="AE3291" s="355"/>
      <c r="AF3291" s="94">
        <f t="shared" si="430"/>
        <v>41425</v>
      </c>
      <c r="AG3291" s="185">
        <f t="shared" si="425"/>
        <v>1.1768799486899795E-2</v>
      </c>
      <c r="AH3291" s="339" t="str">
        <f>VLOOKUP(B3291,'MF PF'!A:B,2)</f>
        <v>FdMgt1</v>
      </c>
      <c r="AI3291" s="358">
        <f t="shared" si="431"/>
        <v>0</v>
      </c>
      <c r="AJ3291" s="94">
        <f t="shared" si="432"/>
        <v>41425</v>
      </c>
    </row>
    <row r="3292" spans="1:53" ht="12.75" customHeight="1">
      <c r="A3292" s="94">
        <v>41453</v>
      </c>
      <c r="B3292" s="94" t="s">
        <v>188</v>
      </c>
      <c r="C3292" s="358" t="s">
        <v>301</v>
      </c>
      <c r="D3292" s="98">
        <v>64977431.030800007</v>
      </c>
      <c r="E3292" s="9">
        <f t="shared" si="426"/>
        <v>17722228.463465426</v>
      </c>
      <c r="F3292" s="98">
        <v>166</v>
      </c>
      <c r="G3292" s="98">
        <v>0</v>
      </c>
      <c r="H3292" s="98">
        <v>0</v>
      </c>
      <c r="I3292" s="98">
        <v>0</v>
      </c>
      <c r="J3292" s="98"/>
      <c r="K3292" s="93">
        <v>3.6664368233798426</v>
      </c>
      <c r="L3292" s="93">
        <f t="shared" si="427"/>
        <v>0</v>
      </c>
      <c r="M3292" s="95">
        <f t="shared" ca="1" si="428"/>
        <v>0</v>
      </c>
      <c r="N3292" s="95">
        <f>IF(P3292="Hedge Fund",IF(A3292=Summary!$AD$3,M3292-E3292,M3292),IF(A3292=Summary!$AD$3,L3292-D3292,L3292))</f>
        <v>0</v>
      </c>
      <c r="O3292" s="95">
        <f t="shared" si="429"/>
        <v>0</v>
      </c>
      <c r="P3292" s="107" t="s">
        <v>155</v>
      </c>
      <c r="Q3292" s="107">
        <v>0</v>
      </c>
      <c r="R3292" s="107">
        <v>0</v>
      </c>
      <c r="S3292" s="107">
        <v>0</v>
      </c>
      <c r="T3292" s="107">
        <v>0</v>
      </c>
      <c r="U3292" s="107"/>
      <c r="V3292" s="107"/>
      <c r="W3292" s="107"/>
      <c r="X3292" s="107"/>
      <c r="Y3292" s="107"/>
      <c r="Z3292" s="107"/>
      <c r="AA3292" s="107"/>
      <c r="AB3292" s="107"/>
      <c r="AC3292" s="355"/>
      <c r="AD3292" s="355"/>
      <c r="AE3292" s="355"/>
      <c r="AF3292" s="94">
        <f t="shared" si="430"/>
        <v>41453</v>
      </c>
      <c r="AG3292" s="185">
        <f t="shared" si="425"/>
        <v>-7.545299672868655E-4</v>
      </c>
      <c r="AH3292" s="339" t="str">
        <f>VLOOKUP(B3292,'MF PF'!A:B,2)</f>
        <v>FdMgt1</v>
      </c>
      <c r="AI3292" s="358">
        <f t="shared" si="431"/>
        <v>0</v>
      </c>
      <c r="AJ3292" s="94">
        <f t="shared" si="432"/>
        <v>41455</v>
      </c>
      <c r="AK3292" s="358"/>
      <c r="AL3292" s="358"/>
      <c r="AM3292" s="358"/>
      <c r="AN3292" s="358"/>
      <c r="AO3292" s="358"/>
      <c r="AP3292" s="358"/>
      <c r="AQ3292" s="358"/>
      <c r="AR3292" s="358"/>
      <c r="AS3292" s="358"/>
      <c r="AT3292" s="358"/>
      <c r="AU3292" s="358"/>
      <c r="AV3292" s="358"/>
      <c r="AW3292" s="358"/>
      <c r="AX3292" s="358"/>
      <c r="AY3292" s="358"/>
      <c r="AZ3292" s="358"/>
      <c r="BA3292" s="358"/>
    </row>
    <row r="3293" spans="1:53" ht="12.75" customHeight="1">
      <c r="A3293" s="94">
        <v>41486</v>
      </c>
      <c r="B3293" s="94" t="s">
        <v>188</v>
      </c>
      <c r="C3293" s="358" t="s">
        <v>301</v>
      </c>
      <c r="D3293" s="98">
        <v>62539624.587800004</v>
      </c>
      <c r="E3293" s="95">
        <f t="shared" si="426"/>
        <v>17057330.482009754</v>
      </c>
      <c r="F3293" s="98">
        <v>166</v>
      </c>
      <c r="G3293" s="98">
        <v>0</v>
      </c>
      <c r="H3293" s="98">
        <v>0</v>
      </c>
      <c r="I3293" s="98">
        <v>0</v>
      </c>
      <c r="J3293" s="98"/>
      <c r="K3293" s="93">
        <v>3.6664368233798426</v>
      </c>
      <c r="L3293" s="93">
        <f t="shared" si="427"/>
        <v>0</v>
      </c>
      <c r="M3293" s="95">
        <f t="shared" ca="1" si="428"/>
        <v>0</v>
      </c>
      <c r="N3293" s="95">
        <f>IF(P3293="Hedge Fund",IF(A3293=Summary!$AD$3,M3293-E3293,M3293),IF(A3293=Summary!$AD$3,L3293-D3293,L3293))</f>
        <v>0</v>
      </c>
      <c r="O3293" s="95">
        <f t="shared" si="429"/>
        <v>0</v>
      </c>
      <c r="P3293" s="107" t="s">
        <v>155</v>
      </c>
      <c r="Q3293" s="107">
        <v>0</v>
      </c>
      <c r="R3293" s="107">
        <v>0</v>
      </c>
      <c r="S3293" s="107">
        <v>0</v>
      </c>
      <c r="T3293" s="107">
        <v>0</v>
      </c>
      <c r="U3293" s="107"/>
      <c r="V3293" s="107"/>
      <c r="W3293" s="107"/>
      <c r="X3293" s="107"/>
      <c r="Y3293" s="107"/>
      <c r="Z3293" s="107"/>
      <c r="AA3293" s="107"/>
      <c r="AB3293" s="107"/>
      <c r="AC3293" s="355"/>
      <c r="AD3293" s="355"/>
      <c r="AE3293" s="355"/>
      <c r="AF3293" s="94">
        <f t="shared" si="430"/>
        <v>41486</v>
      </c>
      <c r="AG3293" s="185">
        <f t="shared" si="425"/>
        <v>-3.7517741226864687E-2</v>
      </c>
      <c r="AH3293" s="339" t="str">
        <f>VLOOKUP(B3293,'MF PF'!A:B,2)</f>
        <v>FdMgt1</v>
      </c>
      <c r="AI3293" s="358">
        <f t="shared" si="431"/>
        <v>0</v>
      </c>
      <c r="AJ3293" s="94">
        <f t="shared" si="432"/>
        <v>41486</v>
      </c>
    </row>
    <row r="3294" spans="1:53" ht="12.75" customHeight="1">
      <c r="A3294" s="94">
        <v>41516</v>
      </c>
      <c r="B3294" s="94" t="s">
        <v>188</v>
      </c>
      <c r="C3294" s="358" t="s">
        <v>301</v>
      </c>
      <c r="D3294" s="98">
        <v>61010187.491800003</v>
      </c>
      <c r="E3294" s="95">
        <f t="shared" si="426"/>
        <v>16640185.125447981</v>
      </c>
      <c r="F3294" s="98">
        <v>166</v>
      </c>
      <c r="G3294" s="98">
        <v>0</v>
      </c>
      <c r="H3294" s="98">
        <v>0</v>
      </c>
      <c r="I3294" s="98">
        <v>0</v>
      </c>
      <c r="J3294" s="98"/>
      <c r="K3294" s="93">
        <v>3.6664368233798426</v>
      </c>
      <c r="L3294" s="93">
        <f t="shared" si="427"/>
        <v>0</v>
      </c>
      <c r="M3294" s="95">
        <f t="shared" ca="1" si="428"/>
        <v>0</v>
      </c>
      <c r="N3294" s="95">
        <f>IF(P3294="Hedge Fund",IF(A3294=Summary!$AD$3,M3294-E3294,M3294),IF(A3294=Summary!$AD$3,L3294-D3294,L3294))</f>
        <v>0</v>
      </c>
      <c r="O3294" s="95">
        <f t="shared" si="429"/>
        <v>0</v>
      </c>
      <c r="P3294" s="107" t="s">
        <v>155</v>
      </c>
      <c r="Q3294" s="107">
        <v>0</v>
      </c>
      <c r="R3294" s="107">
        <v>0</v>
      </c>
      <c r="S3294" s="107">
        <v>0</v>
      </c>
      <c r="T3294" s="107">
        <v>0</v>
      </c>
      <c r="U3294" s="107"/>
      <c r="V3294" s="107"/>
      <c r="W3294" s="107"/>
      <c r="X3294" s="107"/>
      <c r="Y3294" s="107"/>
      <c r="Z3294" s="107"/>
      <c r="AA3294" s="107"/>
      <c r="AB3294" s="107"/>
      <c r="AC3294" s="355"/>
      <c r="AD3294" s="355"/>
      <c r="AE3294" s="355"/>
      <c r="AF3294" s="94">
        <f t="shared" si="430"/>
        <v>41516</v>
      </c>
      <c r="AG3294" s="185">
        <f t="shared" si="425"/>
        <v>-2.4455488917315304E-2</v>
      </c>
      <c r="AH3294" s="339" t="str">
        <f>VLOOKUP(B3294,'MF PF'!A:B,2)</f>
        <v>FdMgt1</v>
      </c>
      <c r="AI3294" s="358">
        <f t="shared" si="431"/>
        <v>0</v>
      </c>
      <c r="AJ3294" s="94">
        <f t="shared" si="432"/>
        <v>41517</v>
      </c>
    </row>
    <row r="3295" spans="1:53" ht="12.75" customHeight="1">
      <c r="A3295" s="94">
        <v>41547</v>
      </c>
      <c r="B3295" s="94" t="s">
        <v>188</v>
      </c>
      <c r="C3295" s="358" t="s">
        <v>301</v>
      </c>
      <c r="D3295" s="98">
        <v>48764910.963299997</v>
      </c>
      <c r="E3295" s="95">
        <f t="shared" si="426"/>
        <v>13300354.89834157</v>
      </c>
      <c r="F3295" s="98">
        <v>166</v>
      </c>
      <c r="G3295" s="98">
        <v>0</v>
      </c>
      <c r="H3295" s="98">
        <v>0</v>
      </c>
      <c r="I3295" s="98">
        <v>-13015771.939999999</v>
      </c>
      <c r="J3295" s="98"/>
      <c r="K3295" s="93">
        <v>3.6664368233798426</v>
      </c>
      <c r="L3295" s="93">
        <f t="shared" si="427"/>
        <v>-13015771.939999999</v>
      </c>
      <c r="M3295" s="95">
        <f t="shared" ca="1" si="428"/>
        <v>-3549978.5123807564</v>
      </c>
      <c r="N3295" s="95">
        <f>IF(P3295="Hedge Fund",IF(A3295=Summary!$AD$3,M3295-E3295,M3295),IF(A3295=Summary!$AD$3,L3295-D3295,L3295))</f>
        <v>-13015771.939999999</v>
      </c>
      <c r="O3295" s="95">
        <f t="shared" si="429"/>
        <v>-13015771.939999999</v>
      </c>
      <c r="P3295" s="107" t="s">
        <v>155</v>
      </c>
      <c r="Q3295" s="107">
        <v>0</v>
      </c>
      <c r="R3295" s="107">
        <v>0</v>
      </c>
      <c r="S3295" s="107">
        <v>0</v>
      </c>
      <c r="T3295" s="107">
        <v>0</v>
      </c>
      <c r="U3295" s="107"/>
      <c r="V3295" s="107"/>
      <c r="W3295" s="107"/>
      <c r="X3295" s="107"/>
      <c r="Y3295" s="107"/>
      <c r="Z3295" s="107"/>
      <c r="AA3295" s="107"/>
      <c r="AB3295" s="107"/>
      <c r="AC3295" s="355"/>
      <c r="AD3295" s="355"/>
      <c r="AE3295" s="355"/>
      <c r="AF3295" s="94">
        <f t="shared" si="430"/>
        <v>41547</v>
      </c>
      <c r="AG3295" s="185">
        <f t="shared" si="425"/>
        <v>1.2628963181002373E-2</v>
      </c>
      <c r="AH3295" s="339" t="str">
        <f>VLOOKUP(B3295,'MF PF'!A:B,2)</f>
        <v>FdMgt1</v>
      </c>
      <c r="AI3295" s="358">
        <f t="shared" si="431"/>
        <v>0</v>
      </c>
      <c r="AJ3295" s="94">
        <f t="shared" si="432"/>
        <v>41547</v>
      </c>
      <c r="AK3295" s="358"/>
      <c r="AL3295" s="358"/>
      <c r="AM3295" s="358"/>
      <c r="AN3295" s="358"/>
      <c r="AO3295" s="358"/>
      <c r="AP3295" s="358"/>
      <c r="AQ3295" s="358"/>
      <c r="AR3295" s="358"/>
      <c r="AS3295" s="358"/>
      <c r="AT3295" s="358"/>
      <c r="AU3295" s="358"/>
      <c r="AV3295" s="358"/>
      <c r="AW3295" s="358"/>
      <c r="AX3295" s="358"/>
      <c r="AY3295" s="358"/>
      <c r="AZ3295" s="358"/>
      <c r="BA3295" s="358"/>
    </row>
    <row r="3296" spans="1:53" ht="12.75" customHeight="1">
      <c r="A3296" s="94">
        <v>41578</v>
      </c>
      <c r="B3296" s="94" t="s">
        <v>188</v>
      </c>
      <c r="C3296" s="358" t="s">
        <v>301</v>
      </c>
      <c r="D3296" s="98">
        <v>49296549.149800003</v>
      </c>
      <c r="E3296" s="95">
        <f t="shared" si="426"/>
        <v>13445356.220363513</v>
      </c>
      <c r="F3296" s="98">
        <v>166</v>
      </c>
      <c r="G3296" s="98">
        <v>0</v>
      </c>
      <c r="H3296" s="98">
        <v>0</v>
      </c>
      <c r="I3296" s="98">
        <v>0</v>
      </c>
      <c r="J3296" s="98"/>
      <c r="K3296" s="93">
        <v>3.6664368233798426</v>
      </c>
      <c r="L3296" s="93">
        <f t="shared" si="427"/>
        <v>0</v>
      </c>
      <c r="M3296" s="95">
        <f t="shared" ca="1" si="428"/>
        <v>0</v>
      </c>
      <c r="N3296" s="95">
        <f>IF(P3296="Hedge Fund",IF(A3296=Summary!$AD$3,M3296-E3296,M3296),IF(A3296=Summary!$AD$3,L3296-D3296,L3296))</f>
        <v>0</v>
      </c>
      <c r="O3296" s="95">
        <f t="shared" si="429"/>
        <v>0</v>
      </c>
      <c r="P3296" s="107" t="s">
        <v>155</v>
      </c>
      <c r="Q3296" s="107">
        <v>0</v>
      </c>
      <c r="R3296" s="107">
        <v>0</v>
      </c>
      <c r="S3296" s="107">
        <v>0</v>
      </c>
      <c r="T3296" s="107">
        <v>0</v>
      </c>
      <c r="U3296" s="107"/>
      <c r="V3296" s="107"/>
      <c r="W3296" s="107"/>
      <c r="X3296" s="107"/>
      <c r="Y3296" s="107"/>
      <c r="Z3296" s="107"/>
      <c r="AA3296" s="107"/>
      <c r="AB3296" s="107"/>
      <c r="AC3296" s="355"/>
      <c r="AD3296" s="355"/>
      <c r="AE3296" s="355"/>
      <c r="AF3296" s="94">
        <f t="shared" si="430"/>
        <v>41578</v>
      </c>
      <c r="AG3296" s="185">
        <f t="shared" si="425"/>
        <v>1.090206412762873E-2</v>
      </c>
      <c r="AH3296" s="339" t="str">
        <f>VLOOKUP(B3296,'MF PF'!A:B,2)</f>
        <v>FdMgt1</v>
      </c>
      <c r="AI3296" s="358">
        <f t="shared" si="431"/>
        <v>0</v>
      </c>
      <c r="AJ3296" s="94">
        <f t="shared" si="432"/>
        <v>41578</v>
      </c>
    </row>
    <row r="3297" spans="1:36" ht="12.75" customHeight="1">
      <c r="A3297" s="94">
        <v>41607</v>
      </c>
      <c r="B3297" s="94" t="s">
        <v>188</v>
      </c>
      <c r="C3297" s="358" t="s">
        <v>301</v>
      </c>
      <c r="D3297" s="98">
        <v>48251123.456799999</v>
      </c>
      <c r="E3297" s="95">
        <f t="shared" ref="E3297:E3328" si="433">D3297/K3297</f>
        <v>13160222.248782817</v>
      </c>
      <c r="F3297" s="98">
        <v>166</v>
      </c>
      <c r="G3297" s="98">
        <v>0</v>
      </c>
      <c r="H3297" s="98">
        <v>0</v>
      </c>
      <c r="I3297" s="98">
        <v>0</v>
      </c>
      <c r="J3297" s="98"/>
      <c r="K3297" s="93">
        <v>3.6664368233798426</v>
      </c>
      <c r="L3297" s="93">
        <f t="shared" si="427"/>
        <v>0</v>
      </c>
      <c r="M3297" s="95">
        <f t="shared" ca="1" si="428"/>
        <v>0</v>
      </c>
      <c r="N3297" s="95">
        <f>IF(P3297="Hedge Fund",IF(A3297=Summary!$AD$3,M3297-E3297,M3297),IF(A3297=Summary!$AD$3,L3297-D3297,L3297))</f>
        <v>0</v>
      </c>
      <c r="O3297" s="95">
        <f t="shared" si="429"/>
        <v>0</v>
      </c>
      <c r="P3297" s="107" t="s">
        <v>155</v>
      </c>
      <c r="Q3297" s="107">
        <v>0</v>
      </c>
      <c r="R3297" s="107">
        <v>0</v>
      </c>
      <c r="S3297" s="107">
        <v>0</v>
      </c>
      <c r="T3297" s="107">
        <v>0</v>
      </c>
      <c r="U3297" s="107"/>
      <c r="V3297" s="107"/>
      <c r="W3297" s="107"/>
      <c r="X3297" s="107"/>
      <c r="Y3297" s="107"/>
      <c r="Z3297" s="107"/>
      <c r="AA3297" s="107"/>
      <c r="AB3297" s="107"/>
      <c r="AC3297" s="355"/>
      <c r="AD3297" s="355"/>
      <c r="AE3297" s="355"/>
      <c r="AF3297" s="94">
        <f t="shared" si="430"/>
        <v>41607</v>
      </c>
      <c r="AG3297" s="185">
        <f t="shared" si="425"/>
        <v>-2.1206873727067865E-2</v>
      </c>
      <c r="AH3297" s="339" t="str">
        <f>VLOOKUP(B3297,'MF PF'!A:B,2)</f>
        <v>FdMgt1</v>
      </c>
      <c r="AI3297" s="358">
        <f t="shared" si="431"/>
        <v>0</v>
      </c>
      <c r="AJ3297" s="94">
        <f t="shared" si="432"/>
        <v>41608</v>
      </c>
    </row>
    <row r="3298" spans="1:36" ht="12.75" customHeight="1">
      <c r="A3298" s="94">
        <v>41639</v>
      </c>
      <c r="B3298" s="94" t="s">
        <v>188</v>
      </c>
      <c r="C3298" s="358" t="s">
        <v>301</v>
      </c>
      <c r="D3298" s="98">
        <v>48700587.553300001</v>
      </c>
      <c r="E3298" s="95">
        <f t="shared" si="433"/>
        <v>13282811.050431844</v>
      </c>
      <c r="F3298" s="98">
        <v>166</v>
      </c>
      <c r="G3298" s="98">
        <v>0</v>
      </c>
      <c r="H3298" s="98">
        <v>0</v>
      </c>
      <c r="I3298" s="98">
        <v>0</v>
      </c>
      <c r="J3298" s="98"/>
      <c r="K3298" s="93">
        <v>3.6664368233798426</v>
      </c>
      <c r="L3298" s="93">
        <f t="shared" si="427"/>
        <v>0</v>
      </c>
      <c r="M3298" s="95">
        <f t="shared" ca="1" si="428"/>
        <v>0</v>
      </c>
      <c r="N3298" s="95">
        <f>IF(P3298="Hedge Fund",IF(A3298=Summary!$AD$3,M3298-E3298,M3298),IF(A3298=Summary!$AD$3,L3298-D3298,L3298))</f>
        <v>0</v>
      </c>
      <c r="O3298" s="95">
        <f t="shared" si="429"/>
        <v>0</v>
      </c>
      <c r="P3298" s="107" t="s">
        <v>155</v>
      </c>
      <c r="Q3298" s="107">
        <v>0</v>
      </c>
      <c r="R3298" s="107">
        <v>0</v>
      </c>
      <c r="S3298" s="107">
        <v>0</v>
      </c>
      <c r="T3298" s="107">
        <v>0</v>
      </c>
      <c r="U3298" s="107"/>
      <c r="V3298" s="107"/>
      <c r="W3298" s="107"/>
      <c r="X3298" s="107"/>
      <c r="Y3298" s="107"/>
      <c r="Z3298" s="107"/>
      <c r="AA3298" s="107"/>
      <c r="AB3298" s="107"/>
      <c r="AC3298" s="355"/>
      <c r="AD3298" s="355"/>
      <c r="AE3298" s="355"/>
      <c r="AF3298" s="94">
        <f t="shared" si="430"/>
        <v>41639</v>
      </c>
      <c r="AG3298" s="185">
        <f t="shared" ref="AG3298:AG3361" si="434">IF(C3298&lt;&gt;C3297,D3298/G3298-1,(D3298-G3298-I3298-H3298)/(D3297)-1)</f>
        <v>9.3151011686269936E-3</v>
      </c>
      <c r="AH3298" s="339" t="str">
        <f>VLOOKUP(B3298,'MF PF'!A:B,2)</f>
        <v>FdMgt1</v>
      </c>
      <c r="AI3298" s="358">
        <f t="shared" si="431"/>
        <v>0</v>
      </c>
      <c r="AJ3298" s="94">
        <f t="shared" si="432"/>
        <v>41639</v>
      </c>
    </row>
    <row r="3299" spans="1:36" ht="12.75" customHeight="1">
      <c r="A3299" s="94">
        <v>41669</v>
      </c>
      <c r="B3299" s="94" t="s">
        <v>188</v>
      </c>
      <c r="C3299" s="358" t="s">
        <v>301</v>
      </c>
      <c r="D3299" s="98">
        <v>47680249.746299997</v>
      </c>
      <c r="E3299" s="95">
        <f t="shared" si="433"/>
        <v>13004519.658502329</v>
      </c>
      <c r="F3299" s="98">
        <v>166</v>
      </c>
      <c r="G3299" s="98">
        <v>0</v>
      </c>
      <c r="H3299" s="98">
        <v>0</v>
      </c>
      <c r="I3299" s="98">
        <v>0</v>
      </c>
      <c r="J3299" s="98"/>
      <c r="K3299" s="7">
        <v>3.6664368233798426</v>
      </c>
      <c r="L3299" s="93">
        <f t="shared" si="427"/>
        <v>0</v>
      </c>
      <c r="M3299" s="95">
        <f t="shared" ca="1" si="428"/>
        <v>0</v>
      </c>
      <c r="N3299" s="95">
        <f>IF(P3299="Hedge Fund",IF(A3299=Summary!$AD$3,M3299-E3299,M3299),IF(A3299=Summary!$AD$3,L3299-D3299,L3299))</f>
        <v>0</v>
      </c>
      <c r="O3299" s="95">
        <f t="shared" si="429"/>
        <v>0</v>
      </c>
      <c r="P3299" s="107" t="s">
        <v>155</v>
      </c>
      <c r="Q3299" s="107">
        <v>0</v>
      </c>
      <c r="R3299" s="107">
        <v>0</v>
      </c>
      <c r="S3299" s="107">
        <v>0</v>
      </c>
      <c r="T3299" s="107">
        <v>0</v>
      </c>
      <c r="U3299" s="107"/>
      <c r="V3299" s="107"/>
      <c r="W3299" s="107"/>
      <c r="X3299" s="107"/>
      <c r="Y3299" s="107"/>
      <c r="Z3299" s="107"/>
      <c r="AA3299" s="107"/>
      <c r="AB3299" s="107"/>
      <c r="AC3299" s="355"/>
      <c r="AD3299" s="355"/>
      <c r="AE3299" s="355"/>
      <c r="AF3299" s="94">
        <f t="shared" si="430"/>
        <v>41669</v>
      </c>
      <c r="AG3299" s="185">
        <f t="shared" si="434"/>
        <v>-2.0951242238777978E-2</v>
      </c>
      <c r="AH3299" s="339" t="str">
        <f>VLOOKUP(B3299,'MF PF'!A:B,2)</f>
        <v>FdMgt1</v>
      </c>
      <c r="AI3299" s="358">
        <f t="shared" si="431"/>
        <v>0</v>
      </c>
      <c r="AJ3299" s="94">
        <f t="shared" si="432"/>
        <v>41670</v>
      </c>
    </row>
    <row r="3300" spans="1:36" ht="12.75" customHeight="1">
      <c r="A3300" s="94">
        <v>41698</v>
      </c>
      <c r="B3300" s="94" t="s">
        <v>188</v>
      </c>
      <c r="C3300" s="358" t="s">
        <v>301</v>
      </c>
      <c r="D3300" s="98">
        <v>46255086.561800003</v>
      </c>
      <c r="E3300" s="95">
        <f t="shared" si="433"/>
        <v>12615814.424196335</v>
      </c>
      <c r="F3300" s="98">
        <v>166</v>
      </c>
      <c r="G3300" s="98">
        <v>0</v>
      </c>
      <c r="H3300" s="98">
        <v>0</v>
      </c>
      <c r="I3300" s="98">
        <v>0</v>
      </c>
      <c r="J3300" s="98"/>
      <c r="K3300" s="7">
        <v>3.6664368233798426</v>
      </c>
      <c r="L3300" s="93">
        <f t="shared" si="427"/>
        <v>0</v>
      </c>
      <c r="M3300" s="95">
        <f t="shared" ca="1" si="428"/>
        <v>0</v>
      </c>
      <c r="N3300" s="95">
        <f>IF(P3300="Hedge Fund",IF(A3300=Summary!$AD$3,M3300-E3300,M3300),IF(A3300=Summary!$AD$3,L3300-D3300,L3300))</f>
        <v>0</v>
      </c>
      <c r="O3300" s="95">
        <f t="shared" si="429"/>
        <v>0</v>
      </c>
      <c r="P3300" s="107" t="s">
        <v>155</v>
      </c>
      <c r="Q3300" s="107">
        <v>0</v>
      </c>
      <c r="R3300" s="107">
        <v>0</v>
      </c>
      <c r="S3300" s="107">
        <v>0</v>
      </c>
      <c r="T3300" s="107">
        <v>0</v>
      </c>
      <c r="U3300" s="107"/>
      <c r="V3300" s="107"/>
      <c r="W3300" s="107"/>
      <c r="X3300" s="107"/>
      <c r="Y3300" s="107"/>
      <c r="Z3300" s="107"/>
      <c r="AA3300" s="107"/>
      <c r="AB3300" s="107"/>
      <c r="AC3300" s="355"/>
      <c r="AD3300" s="355"/>
      <c r="AE3300" s="355"/>
      <c r="AF3300" s="94">
        <f t="shared" si="430"/>
        <v>41698</v>
      </c>
      <c r="AG3300" s="185">
        <f t="shared" si="434"/>
        <v>-2.9890010897239194E-2</v>
      </c>
      <c r="AH3300" s="339" t="str">
        <f>VLOOKUP(B3300,'MF PF'!A:B,2)</f>
        <v>FdMgt1</v>
      </c>
      <c r="AI3300" s="358">
        <f t="shared" si="431"/>
        <v>0</v>
      </c>
      <c r="AJ3300" s="94">
        <f t="shared" si="432"/>
        <v>41698</v>
      </c>
    </row>
    <row r="3301" spans="1:36" ht="12.75" customHeight="1">
      <c r="A3301" s="94">
        <v>41729</v>
      </c>
      <c r="B3301" s="94" t="s">
        <v>188</v>
      </c>
      <c r="C3301" s="358" t="s">
        <v>301</v>
      </c>
      <c r="D3301" s="98">
        <v>37483452.4168</v>
      </c>
      <c r="E3301" s="95">
        <f t="shared" si="433"/>
        <v>10223400.599126242</v>
      </c>
      <c r="F3301" s="98">
        <v>166</v>
      </c>
      <c r="G3301" s="98">
        <v>0</v>
      </c>
      <c r="H3301" s="98">
        <v>0</v>
      </c>
      <c r="I3301" s="98">
        <v>-8300000.0000000009</v>
      </c>
      <c r="J3301" s="98"/>
      <c r="K3301" s="93">
        <v>3.6664368233798426</v>
      </c>
      <c r="L3301" s="93">
        <f t="shared" si="427"/>
        <v>-8300000.0000000009</v>
      </c>
      <c r="M3301" s="95">
        <f t="shared" ca="1" si="428"/>
        <v>-2263778.2675193585</v>
      </c>
      <c r="N3301" s="95">
        <f>IF(P3301="Hedge Fund",IF(A3301=Summary!$AD$3,M3301-E3301,M3301),IF(A3301=Summary!$AD$3,L3301-D3301,L3301))</f>
        <v>-8300000.0000000009</v>
      </c>
      <c r="O3301" s="95">
        <f t="shared" si="429"/>
        <v>-8300000.0000000009</v>
      </c>
      <c r="P3301" s="107" t="s">
        <v>155</v>
      </c>
      <c r="Q3301" s="107">
        <v>0</v>
      </c>
      <c r="R3301" s="107">
        <v>0</v>
      </c>
      <c r="S3301" s="107">
        <v>0</v>
      </c>
      <c r="T3301" s="107">
        <v>0</v>
      </c>
      <c r="U3301" s="107"/>
      <c r="V3301" s="107"/>
      <c r="W3301" s="107"/>
      <c r="X3301" s="107"/>
      <c r="Y3301" s="107"/>
      <c r="Z3301" s="107"/>
      <c r="AA3301" s="107"/>
      <c r="AB3301" s="107"/>
      <c r="AC3301" s="355"/>
      <c r="AD3301" s="355"/>
      <c r="AE3301" s="355"/>
      <c r="AF3301" s="94">
        <f t="shared" si="430"/>
        <v>41729</v>
      </c>
      <c r="AG3301" s="185">
        <f t="shared" si="434"/>
        <v>-1.0196373632765043E-2</v>
      </c>
      <c r="AH3301" s="339" t="str">
        <f>VLOOKUP(B3301,'MF PF'!A:B,2)</f>
        <v>FdMgt1</v>
      </c>
      <c r="AI3301" s="358">
        <f t="shared" si="431"/>
        <v>0</v>
      </c>
      <c r="AJ3301" s="94">
        <f t="shared" si="432"/>
        <v>41729</v>
      </c>
    </row>
    <row r="3302" spans="1:36" ht="12.75" customHeight="1">
      <c r="A3302" s="94">
        <v>41759</v>
      </c>
      <c r="B3302" s="94" t="s">
        <v>188</v>
      </c>
      <c r="C3302" s="358" t="s">
        <v>301</v>
      </c>
      <c r="D3302" s="98">
        <v>37255948.658799998</v>
      </c>
      <c r="E3302" s="9">
        <f t="shared" si="433"/>
        <v>10161350.230073305</v>
      </c>
      <c r="F3302" s="98">
        <v>166</v>
      </c>
      <c r="G3302" s="98">
        <v>0</v>
      </c>
      <c r="H3302" s="98">
        <v>0</v>
      </c>
      <c r="I3302" s="98">
        <v>0</v>
      </c>
      <c r="J3302" s="98"/>
      <c r="K3302" s="93">
        <v>3.6664368233798426</v>
      </c>
      <c r="L3302" s="93">
        <f t="shared" si="427"/>
        <v>0</v>
      </c>
      <c r="M3302" s="95">
        <f t="shared" ca="1" si="428"/>
        <v>0</v>
      </c>
      <c r="N3302" s="95">
        <f>IF(P3302="Hedge Fund",IF(A3302=Summary!$AD$3,M3302-E3302,M3302),IF(A3302=Summary!$AD$3,L3302-D3302,L3302))</f>
        <v>0</v>
      </c>
      <c r="O3302" s="95">
        <f t="shared" si="429"/>
        <v>0</v>
      </c>
      <c r="P3302" s="107" t="s">
        <v>155</v>
      </c>
      <c r="Q3302" s="107">
        <v>0</v>
      </c>
      <c r="R3302" s="107">
        <v>0</v>
      </c>
      <c r="S3302" s="107">
        <v>0</v>
      </c>
      <c r="T3302" s="107">
        <v>0</v>
      </c>
      <c r="U3302" s="107"/>
      <c r="V3302" s="107"/>
      <c r="W3302" s="107"/>
      <c r="X3302" s="107"/>
      <c r="Y3302" s="107"/>
      <c r="Z3302" s="107"/>
      <c r="AA3302" s="107"/>
      <c r="AB3302" s="107"/>
      <c r="AC3302" s="355"/>
      <c r="AD3302" s="355"/>
      <c r="AE3302" s="355"/>
      <c r="AF3302" s="94">
        <f t="shared" si="430"/>
        <v>41759</v>
      </c>
      <c r="AG3302" s="185">
        <f t="shared" si="434"/>
        <v>-6.0694451372903524E-3</v>
      </c>
      <c r="AH3302" s="339" t="str">
        <f>VLOOKUP(B3302,'MF PF'!A:B,2)</f>
        <v>FdMgt1</v>
      </c>
      <c r="AI3302" s="358">
        <f t="shared" si="431"/>
        <v>0</v>
      </c>
      <c r="AJ3302" s="94">
        <f t="shared" si="432"/>
        <v>41759</v>
      </c>
    </row>
    <row r="3303" spans="1:36" ht="12.75" customHeight="1">
      <c r="A3303" s="94">
        <v>41789</v>
      </c>
      <c r="B3303" s="94" t="s">
        <v>188</v>
      </c>
      <c r="C3303" s="358" t="s">
        <v>301</v>
      </c>
      <c r="D3303" s="98">
        <v>32837970.873799995</v>
      </c>
      <c r="E3303" s="9">
        <f t="shared" si="433"/>
        <v>8956371.6642821822</v>
      </c>
      <c r="F3303" s="98">
        <v>166</v>
      </c>
      <c r="G3303" s="98">
        <v>0</v>
      </c>
      <c r="H3303" s="98">
        <v>-3.7252902984619141E-9</v>
      </c>
      <c r="I3303" s="98">
        <v>-3984000</v>
      </c>
      <c r="J3303" s="98"/>
      <c r="K3303" s="7">
        <v>3.6664368233798426</v>
      </c>
      <c r="L3303" s="93">
        <f t="shared" si="427"/>
        <v>-3984000.0000000037</v>
      </c>
      <c r="M3303" s="95">
        <f t="shared" ca="1" si="428"/>
        <v>-1086613.568409292</v>
      </c>
      <c r="N3303" s="95">
        <f>IF(P3303="Hedge Fund",IF(A3303=Summary!$AD$3,M3303-E3303,M3303),IF(A3303=Summary!$AD$3,L3303-D3303,L3303))</f>
        <v>-3984000.0000000037</v>
      </c>
      <c r="O3303" s="95">
        <f t="shared" si="429"/>
        <v>-3984000.0000000037</v>
      </c>
      <c r="P3303" s="107" t="s">
        <v>155</v>
      </c>
      <c r="Q3303" s="107">
        <v>0</v>
      </c>
      <c r="R3303" s="107">
        <v>0</v>
      </c>
      <c r="S3303" s="107">
        <v>0</v>
      </c>
      <c r="T3303" s="107">
        <v>0</v>
      </c>
      <c r="U3303" s="107"/>
      <c r="V3303" s="107"/>
      <c r="W3303" s="107"/>
      <c r="X3303" s="107"/>
      <c r="Y3303" s="107"/>
      <c r="Z3303" s="107"/>
      <c r="AA3303" s="107"/>
      <c r="AB3303" s="107"/>
      <c r="AC3303" s="355"/>
      <c r="AD3303" s="355"/>
      <c r="AE3303" s="355"/>
      <c r="AF3303" s="94">
        <f t="shared" si="430"/>
        <v>41789</v>
      </c>
      <c r="AG3303" s="185">
        <f t="shared" si="434"/>
        <v>-1.1648550114090162E-2</v>
      </c>
      <c r="AH3303" s="339" t="str">
        <f>VLOOKUP(B3303,'MF PF'!A:B,2)</f>
        <v>FdMgt1</v>
      </c>
      <c r="AI3303" s="358">
        <f t="shared" si="431"/>
        <v>0</v>
      </c>
      <c r="AJ3303" s="94">
        <f t="shared" si="432"/>
        <v>41790</v>
      </c>
    </row>
    <row r="3304" spans="1:36" ht="12.75" customHeight="1">
      <c r="A3304" s="94">
        <v>41820</v>
      </c>
      <c r="B3304" s="94" t="s">
        <v>188</v>
      </c>
      <c r="C3304" s="358" t="s">
        <v>301</v>
      </c>
      <c r="D3304" s="98">
        <v>32662030.8783</v>
      </c>
      <c r="E3304" s="9">
        <f t="shared" si="433"/>
        <v>8908385.0211255141</v>
      </c>
      <c r="F3304" s="98">
        <v>166</v>
      </c>
      <c r="G3304" s="98">
        <v>0</v>
      </c>
      <c r="H3304" s="98">
        <v>0</v>
      </c>
      <c r="I3304" s="98">
        <v>0</v>
      </c>
      <c r="J3304" s="98"/>
      <c r="K3304" s="7">
        <v>3.6664368233798426</v>
      </c>
      <c r="L3304" s="93">
        <f t="shared" si="427"/>
        <v>0</v>
      </c>
      <c r="M3304" s="95">
        <f t="shared" ca="1" si="428"/>
        <v>0</v>
      </c>
      <c r="N3304" s="95">
        <f>IF(P3304="Hedge Fund",IF(A3304=Summary!$AD$3,M3304-E3304,M3304),IF(A3304=Summary!$AD$3,L3304-D3304,L3304))</f>
        <v>0</v>
      </c>
      <c r="O3304" s="95">
        <f t="shared" si="429"/>
        <v>0</v>
      </c>
      <c r="P3304" s="107" t="s">
        <v>155</v>
      </c>
      <c r="Q3304" s="107">
        <v>0</v>
      </c>
      <c r="R3304" s="107">
        <v>0</v>
      </c>
      <c r="S3304" s="107">
        <v>0</v>
      </c>
      <c r="T3304" s="107">
        <v>0</v>
      </c>
      <c r="U3304" s="107"/>
      <c r="V3304" s="107"/>
      <c r="W3304" s="107"/>
      <c r="X3304" s="107"/>
      <c r="Y3304" s="107"/>
      <c r="Z3304" s="107"/>
      <c r="AA3304" s="107"/>
      <c r="AB3304" s="107"/>
      <c r="AC3304" s="355"/>
      <c r="AD3304" s="355"/>
      <c r="AE3304" s="355"/>
      <c r="AF3304" s="94">
        <f t="shared" si="430"/>
        <v>41820</v>
      </c>
      <c r="AG3304" s="185">
        <f t="shared" si="434"/>
        <v>-5.357821778213756E-3</v>
      </c>
      <c r="AH3304" s="339" t="str">
        <f>VLOOKUP(B3304,'MF PF'!A:B,2)</f>
        <v>FdMgt1</v>
      </c>
      <c r="AI3304" s="358">
        <f t="shared" si="431"/>
        <v>0</v>
      </c>
      <c r="AJ3304" s="94">
        <f t="shared" si="432"/>
        <v>41820</v>
      </c>
    </row>
    <row r="3305" spans="1:36" ht="12.75" customHeight="1">
      <c r="A3305" s="94">
        <v>41851</v>
      </c>
      <c r="B3305" s="94" t="s">
        <v>188</v>
      </c>
      <c r="C3305" s="358" t="s">
        <v>301</v>
      </c>
      <c r="D3305" s="98">
        <v>32458143.367300004</v>
      </c>
      <c r="E3305" s="9">
        <f t="shared" si="433"/>
        <v>8852775.8504724521</v>
      </c>
      <c r="F3305" s="98">
        <v>166</v>
      </c>
      <c r="G3305" s="98">
        <v>0</v>
      </c>
      <c r="H3305" s="98">
        <v>0</v>
      </c>
      <c r="I3305" s="98">
        <v>0</v>
      </c>
      <c r="J3305" s="98"/>
      <c r="K3305" s="7">
        <v>3.6664368233798426</v>
      </c>
      <c r="L3305" s="93">
        <f t="shared" si="427"/>
        <v>0</v>
      </c>
      <c r="M3305" s="95">
        <f t="shared" ca="1" si="428"/>
        <v>0</v>
      </c>
      <c r="N3305" s="95">
        <f>IF(P3305="Hedge Fund",IF(A3305=Summary!$AD$3,M3305-E3305,M3305),IF(A3305=Summary!$AD$3,L3305-D3305,L3305))</f>
        <v>0</v>
      </c>
      <c r="O3305" s="95">
        <f t="shared" si="429"/>
        <v>0</v>
      </c>
      <c r="P3305" s="107" t="s">
        <v>155</v>
      </c>
      <c r="Q3305" s="107">
        <v>0</v>
      </c>
      <c r="R3305" s="107">
        <v>0</v>
      </c>
      <c r="S3305" s="107">
        <v>0</v>
      </c>
      <c r="T3305" s="107">
        <v>0</v>
      </c>
      <c r="U3305" s="107"/>
      <c r="V3305" s="107"/>
      <c r="W3305" s="107"/>
      <c r="X3305" s="107"/>
      <c r="Y3305" s="107"/>
      <c r="Z3305" s="107"/>
      <c r="AA3305" s="107"/>
      <c r="AB3305" s="107"/>
      <c r="AC3305" s="355"/>
      <c r="AD3305" s="355"/>
      <c r="AE3305" s="355"/>
      <c r="AF3305" s="94">
        <f t="shared" si="430"/>
        <v>41851</v>
      </c>
      <c r="AG3305" s="185">
        <f t="shared" si="434"/>
        <v>-6.242340280666836E-3</v>
      </c>
      <c r="AH3305" s="339" t="str">
        <f>VLOOKUP(B3305,'MF PF'!A:B,2)</f>
        <v>FdMgt1</v>
      </c>
      <c r="AI3305" s="358">
        <f t="shared" si="431"/>
        <v>0</v>
      </c>
      <c r="AJ3305" s="94">
        <f t="shared" si="432"/>
        <v>41851</v>
      </c>
    </row>
    <row r="3306" spans="1:36" ht="12.75" customHeight="1">
      <c r="A3306" s="94">
        <v>41880</v>
      </c>
      <c r="B3306" s="94" t="s">
        <v>188</v>
      </c>
      <c r="C3306" s="358" t="s">
        <v>301</v>
      </c>
      <c r="D3306" s="98">
        <v>34065376.883299999</v>
      </c>
      <c r="E3306" s="9">
        <f t="shared" si="433"/>
        <v>9291139.7425627559</v>
      </c>
      <c r="F3306" s="98">
        <v>166</v>
      </c>
      <c r="G3306" s="98">
        <v>0</v>
      </c>
      <c r="H3306" s="98">
        <v>0</v>
      </c>
      <c r="I3306" s="98">
        <v>0</v>
      </c>
      <c r="J3306" s="98"/>
      <c r="K3306" s="7">
        <v>3.6664368233798426</v>
      </c>
      <c r="L3306" s="93">
        <f t="shared" si="427"/>
        <v>0</v>
      </c>
      <c r="M3306" s="95">
        <f t="shared" ca="1" si="428"/>
        <v>0</v>
      </c>
      <c r="N3306" s="95">
        <f>IF(P3306="Hedge Fund",IF(A3306=Summary!$AD$3,M3306-E3306,M3306),IF(A3306=Summary!$AD$3,L3306-D3306,L3306))</f>
        <v>0</v>
      </c>
      <c r="O3306" s="95">
        <f t="shared" si="429"/>
        <v>0</v>
      </c>
      <c r="P3306" s="107" t="s">
        <v>155</v>
      </c>
      <c r="Q3306" s="107">
        <v>0</v>
      </c>
      <c r="R3306" s="107">
        <v>0</v>
      </c>
      <c r="S3306" s="107">
        <v>0</v>
      </c>
      <c r="T3306" s="107">
        <v>0</v>
      </c>
      <c r="U3306" s="107"/>
      <c r="V3306" s="107"/>
      <c r="W3306" s="107"/>
      <c r="X3306" s="107"/>
      <c r="Y3306" s="107"/>
      <c r="Z3306" s="107"/>
      <c r="AA3306" s="107"/>
      <c r="AB3306" s="107"/>
      <c r="AC3306" s="355"/>
      <c r="AD3306" s="355"/>
      <c r="AE3306" s="355"/>
      <c r="AF3306" s="94">
        <f t="shared" si="430"/>
        <v>41880</v>
      </c>
      <c r="AG3306" s="185">
        <f t="shared" si="434"/>
        <v>4.9517111863496277E-2</v>
      </c>
      <c r="AH3306" s="339" t="str">
        <f>VLOOKUP(B3306,'MF PF'!A:B,2)</f>
        <v>FdMgt1</v>
      </c>
      <c r="AI3306" s="358">
        <f t="shared" si="431"/>
        <v>0</v>
      </c>
      <c r="AJ3306" s="94">
        <f t="shared" si="432"/>
        <v>41882</v>
      </c>
    </row>
    <row r="3307" spans="1:36" ht="12.75" customHeight="1">
      <c r="A3307" s="94">
        <v>41912</v>
      </c>
      <c r="B3307" s="94" t="s">
        <v>188</v>
      </c>
      <c r="C3307" s="358" t="s">
        <v>301</v>
      </c>
      <c r="D3307" s="98">
        <v>34132872.3913</v>
      </c>
      <c r="E3307" s="9">
        <f t="shared" si="433"/>
        <v>9309548.7623417415</v>
      </c>
      <c r="F3307" s="98">
        <v>166</v>
      </c>
      <c r="G3307" s="98">
        <v>0</v>
      </c>
      <c r="H3307" s="98">
        <v>0</v>
      </c>
      <c r="I3307" s="98">
        <v>0</v>
      </c>
      <c r="J3307" s="98"/>
      <c r="K3307" s="7">
        <v>3.6664368233798426</v>
      </c>
      <c r="L3307" s="93">
        <f t="shared" si="427"/>
        <v>0</v>
      </c>
      <c r="M3307" s="95">
        <f t="shared" ca="1" si="428"/>
        <v>0</v>
      </c>
      <c r="N3307" s="95">
        <f>IF(P3307="Hedge Fund",IF(A3307=Summary!$AD$3,M3307-E3307,M3307),IF(A3307=Summary!$AD$3,L3307-D3307,L3307))</f>
        <v>0</v>
      </c>
      <c r="O3307" s="95">
        <f t="shared" si="429"/>
        <v>0</v>
      </c>
      <c r="P3307" s="107" t="s">
        <v>155</v>
      </c>
      <c r="Q3307" s="107">
        <v>0</v>
      </c>
      <c r="R3307" s="107">
        <v>0</v>
      </c>
      <c r="S3307" s="107">
        <v>0</v>
      </c>
      <c r="T3307" s="107">
        <v>0</v>
      </c>
      <c r="U3307" s="107"/>
      <c r="V3307" s="107"/>
      <c r="W3307" s="107"/>
      <c r="X3307" s="107"/>
      <c r="Y3307" s="107"/>
      <c r="Z3307" s="107"/>
      <c r="AA3307" s="107"/>
      <c r="AB3307" s="107"/>
      <c r="AC3307" s="355"/>
      <c r="AD3307" s="355"/>
      <c r="AE3307" s="355"/>
      <c r="AF3307" s="94">
        <f t="shared" si="430"/>
        <v>41912</v>
      </c>
      <c r="AG3307" s="185">
        <f t="shared" si="434"/>
        <v>1.981352157976346E-3</v>
      </c>
      <c r="AH3307" s="339" t="str">
        <f>VLOOKUP(B3307,'MF PF'!A:B,2)</f>
        <v>FdMgt1</v>
      </c>
      <c r="AI3307" s="358">
        <f t="shared" si="431"/>
        <v>0</v>
      </c>
      <c r="AJ3307" s="94">
        <f t="shared" si="432"/>
        <v>41912</v>
      </c>
    </row>
    <row r="3308" spans="1:36" ht="12.75" customHeight="1">
      <c r="A3308" s="94">
        <v>41943</v>
      </c>
      <c r="B3308" s="94" t="s">
        <v>188</v>
      </c>
      <c r="C3308" s="358" t="s">
        <v>301</v>
      </c>
      <c r="D3308" s="98">
        <v>32660201.873799998</v>
      </c>
      <c r="E3308" s="9">
        <f t="shared" si="433"/>
        <v>8907886.1704462003</v>
      </c>
      <c r="F3308" s="98">
        <v>166</v>
      </c>
      <c r="G3308" s="98">
        <v>0</v>
      </c>
      <c r="H3308" s="98">
        <v>0</v>
      </c>
      <c r="I3308" s="98">
        <v>0</v>
      </c>
      <c r="J3308" s="98"/>
      <c r="K3308" s="7">
        <v>3.6664368233798426</v>
      </c>
      <c r="L3308" s="93">
        <f t="shared" si="427"/>
        <v>0</v>
      </c>
      <c r="M3308" s="95">
        <f t="shared" ca="1" si="428"/>
        <v>0</v>
      </c>
      <c r="N3308" s="95">
        <f>IF(P3308="Hedge Fund",IF(A3308=Summary!$AD$3,M3308-E3308,M3308),IF(A3308=Summary!$AD$3,L3308-D3308,L3308))</f>
        <v>0</v>
      </c>
      <c r="O3308" s="95">
        <f t="shared" si="429"/>
        <v>0</v>
      </c>
      <c r="P3308" s="107" t="s">
        <v>155</v>
      </c>
      <c r="Q3308" s="107">
        <v>0</v>
      </c>
      <c r="R3308" s="107">
        <v>0</v>
      </c>
      <c r="S3308" s="107">
        <v>0</v>
      </c>
      <c r="T3308" s="107">
        <v>0</v>
      </c>
      <c r="U3308" s="107"/>
      <c r="V3308" s="107"/>
      <c r="W3308" s="107"/>
      <c r="X3308" s="107"/>
      <c r="Y3308" s="107"/>
      <c r="Z3308" s="107"/>
      <c r="AA3308" s="107"/>
      <c r="AB3308" s="107"/>
      <c r="AC3308" s="355"/>
      <c r="AD3308" s="355"/>
      <c r="AE3308" s="355"/>
      <c r="AF3308" s="94">
        <f t="shared" si="430"/>
        <v>41943</v>
      </c>
      <c r="AG3308" s="185">
        <f t="shared" si="434"/>
        <v>-4.3145226707476447E-2</v>
      </c>
      <c r="AH3308" s="339" t="str">
        <f>VLOOKUP(B3308,'MF PF'!A:B,2)</f>
        <v>FdMgt1</v>
      </c>
      <c r="AI3308" s="358">
        <f t="shared" si="431"/>
        <v>0</v>
      </c>
      <c r="AJ3308" s="94">
        <f t="shared" si="432"/>
        <v>41943</v>
      </c>
    </row>
    <row r="3309" spans="1:36" ht="12.75" customHeight="1">
      <c r="A3309" s="94">
        <v>41971</v>
      </c>
      <c r="B3309" s="94" t="s">
        <v>188</v>
      </c>
      <c r="C3309" s="358" t="s">
        <v>301</v>
      </c>
      <c r="D3309" s="98">
        <v>30664346.4538</v>
      </c>
      <c r="E3309" s="9">
        <f t="shared" si="433"/>
        <v>8363527.8421441866</v>
      </c>
      <c r="F3309" s="98">
        <v>166</v>
      </c>
      <c r="G3309" s="98">
        <v>0</v>
      </c>
      <c r="H3309" s="98">
        <v>0</v>
      </c>
      <c r="I3309" s="98">
        <v>0</v>
      </c>
      <c r="J3309" s="98"/>
      <c r="K3309" s="7">
        <v>3.6664368233798426</v>
      </c>
      <c r="L3309" s="93">
        <f t="shared" si="427"/>
        <v>0</v>
      </c>
      <c r="M3309" s="95">
        <f t="shared" ca="1" si="428"/>
        <v>0</v>
      </c>
      <c r="N3309" s="95">
        <f>IF(P3309="Hedge Fund",IF(A3309=Summary!$AD$3,M3309-E3309,M3309),IF(A3309=Summary!$AD$3,L3309-D3309,L3309))</f>
        <v>0</v>
      </c>
      <c r="O3309" s="95">
        <f t="shared" si="429"/>
        <v>0</v>
      </c>
      <c r="P3309" s="107" t="s">
        <v>155</v>
      </c>
      <c r="Q3309" s="107">
        <v>0</v>
      </c>
      <c r="R3309" s="107">
        <v>0</v>
      </c>
      <c r="S3309" s="107">
        <v>0</v>
      </c>
      <c r="T3309" s="107">
        <v>0</v>
      </c>
      <c r="U3309" s="107"/>
      <c r="V3309" s="107"/>
      <c r="W3309" s="107"/>
      <c r="X3309" s="107"/>
      <c r="Y3309" s="107"/>
      <c r="Z3309" s="107"/>
      <c r="AA3309" s="107"/>
      <c r="AB3309" s="107"/>
      <c r="AC3309" s="355"/>
      <c r="AD3309" s="355"/>
      <c r="AE3309" s="355"/>
      <c r="AF3309" s="94">
        <f t="shared" si="430"/>
        <v>41971</v>
      </c>
      <c r="AG3309" s="185">
        <f t="shared" si="434"/>
        <v>-6.1109708620664449E-2</v>
      </c>
      <c r="AH3309" s="339" t="str">
        <f>VLOOKUP(B3309,'MF PF'!A:B,2)</f>
        <v>FdMgt1</v>
      </c>
      <c r="AI3309" s="358">
        <f t="shared" si="431"/>
        <v>0</v>
      </c>
      <c r="AJ3309" s="94">
        <f t="shared" si="432"/>
        <v>41973</v>
      </c>
    </row>
    <row r="3310" spans="1:36" ht="12.75" customHeight="1">
      <c r="A3310" s="94">
        <v>42004</v>
      </c>
      <c r="B3310" s="94" t="s">
        <v>188</v>
      </c>
      <c r="C3310" s="358" t="s">
        <v>301</v>
      </c>
      <c r="D3310" s="98">
        <v>26745883.417300001</v>
      </c>
      <c r="E3310" s="9">
        <f t="shared" si="433"/>
        <v>7294789.1115289321</v>
      </c>
      <c r="F3310" s="98">
        <v>166</v>
      </c>
      <c r="G3310" s="98">
        <v>0</v>
      </c>
      <c r="H3310" s="98">
        <v>0</v>
      </c>
      <c r="I3310" s="98">
        <v>-3984000</v>
      </c>
      <c r="J3310" s="98"/>
      <c r="K3310" s="7">
        <v>3.6664368233798426</v>
      </c>
      <c r="L3310" s="93">
        <f t="shared" si="427"/>
        <v>-3984000</v>
      </c>
      <c r="M3310" s="95">
        <f t="shared" ca="1" si="428"/>
        <v>-1086613.568409292</v>
      </c>
      <c r="N3310" s="95">
        <f>IF(P3310="Hedge Fund",IF(A3310=Summary!$AD$3,M3310-E3310,M3310),IF(A3310=Summary!$AD$3,L3310-D3310,L3310))</f>
        <v>-3984000</v>
      </c>
      <c r="O3310" s="95">
        <f t="shared" si="429"/>
        <v>-3984000</v>
      </c>
      <c r="P3310" s="107" t="s">
        <v>155</v>
      </c>
      <c r="Q3310" s="107">
        <v>0</v>
      </c>
      <c r="R3310" s="107">
        <v>0</v>
      </c>
      <c r="S3310" s="107">
        <v>0</v>
      </c>
      <c r="T3310" s="107">
        <v>0</v>
      </c>
      <c r="U3310" s="107"/>
      <c r="V3310" s="107"/>
      <c r="W3310" s="107"/>
      <c r="X3310" s="107"/>
      <c r="Y3310" s="107"/>
      <c r="Z3310" s="107"/>
      <c r="AA3310" s="107"/>
      <c r="AB3310" s="107"/>
      <c r="AC3310" s="355"/>
      <c r="AD3310" s="355"/>
      <c r="AE3310" s="355"/>
      <c r="AF3310" s="94">
        <f t="shared" si="430"/>
        <v>42004</v>
      </c>
      <c r="AG3310" s="185">
        <f t="shared" si="434"/>
        <v>2.1372365981691122E-3</v>
      </c>
      <c r="AH3310" s="339" t="str">
        <f>VLOOKUP(B3310,'MF PF'!A:B,2)</f>
        <v>FdMgt1</v>
      </c>
      <c r="AI3310" s="358">
        <f t="shared" si="431"/>
        <v>0</v>
      </c>
      <c r="AJ3310" s="94">
        <f t="shared" si="432"/>
        <v>42004</v>
      </c>
    </row>
    <row r="3311" spans="1:36" ht="12.75" customHeight="1">
      <c r="A3311" s="94">
        <v>42034</v>
      </c>
      <c r="B3311" s="94" t="s">
        <v>188</v>
      </c>
      <c r="C3311" s="358" t="s">
        <v>301</v>
      </c>
      <c r="D3311" s="98">
        <v>26494746.789799999</v>
      </c>
      <c r="E3311" s="9">
        <f t="shared" si="433"/>
        <v>7226293.0103828348</v>
      </c>
      <c r="F3311" s="98">
        <v>166</v>
      </c>
      <c r="G3311" s="98">
        <v>0</v>
      </c>
      <c r="H3311" s="98">
        <v>0</v>
      </c>
      <c r="I3311" s="98">
        <v>0</v>
      </c>
      <c r="J3311" s="98"/>
      <c r="K3311" s="7">
        <v>3.6664368233798426</v>
      </c>
      <c r="L3311" s="93">
        <f t="shared" si="427"/>
        <v>0</v>
      </c>
      <c r="M3311" s="95">
        <f t="shared" ca="1" si="428"/>
        <v>0</v>
      </c>
      <c r="N3311" s="95">
        <f>IF(P3311="Hedge Fund",IF(A3311=Summary!$AD$3,M3311-E3311,M3311),IF(A3311=Summary!$AD$3,L3311-D3311,L3311))</f>
        <v>0</v>
      </c>
      <c r="O3311" s="95">
        <f t="shared" si="429"/>
        <v>0</v>
      </c>
      <c r="P3311" s="107" t="s">
        <v>155</v>
      </c>
      <c r="Q3311" s="107">
        <v>0</v>
      </c>
      <c r="R3311" s="107">
        <v>0</v>
      </c>
      <c r="S3311" s="107">
        <v>0</v>
      </c>
      <c r="T3311" s="107">
        <v>0</v>
      </c>
      <c r="U3311" s="107"/>
      <c r="V3311" s="107"/>
      <c r="W3311" s="107"/>
      <c r="X3311" s="107"/>
      <c r="Y3311" s="107"/>
      <c r="Z3311" s="107"/>
      <c r="AA3311" s="107"/>
      <c r="AB3311" s="107"/>
      <c r="AC3311" s="355"/>
      <c r="AD3311" s="355"/>
      <c r="AE3311" s="355"/>
      <c r="AF3311" s="94">
        <f t="shared" si="430"/>
        <v>42034</v>
      </c>
      <c r="AG3311" s="185">
        <f t="shared" si="434"/>
        <v>-9.3897301346029804E-3</v>
      </c>
      <c r="AH3311" s="339" t="str">
        <f>VLOOKUP(B3311,'MF PF'!A:B,2)</f>
        <v>FdMgt1</v>
      </c>
      <c r="AI3311" s="358">
        <f t="shared" si="431"/>
        <v>0</v>
      </c>
      <c r="AJ3311" s="94">
        <f t="shared" si="432"/>
        <v>42035</v>
      </c>
    </row>
    <row r="3312" spans="1:36" ht="12.75" customHeight="1">
      <c r="A3312" s="94">
        <v>42062</v>
      </c>
      <c r="B3312" s="94" t="s">
        <v>188</v>
      </c>
      <c r="C3312" s="358" t="s">
        <v>301</v>
      </c>
      <c r="D3312" s="98">
        <v>27633170.992699999</v>
      </c>
      <c r="E3312" s="9">
        <f t="shared" si="433"/>
        <v>7536791.8019181443</v>
      </c>
      <c r="F3312" s="98">
        <v>166</v>
      </c>
      <c r="G3312" s="98">
        <v>0</v>
      </c>
      <c r="H3312" s="98">
        <v>0</v>
      </c>
      <c r="I3312" s="98">
        <v>0</v>
      </c>
      <c r="J3312" s="98"/>
      <c r="K3312" s="7">
        <v>3.6664368233798426</v>
      </c>
      <c r="L3312" s="93">
        <f t="shared" si="427"/>
        <v>0</v>
      </c>
      <c r="M3312" s="95">
        <f t="shared" ca="1" si="428"/>
        <v>0</v>
      </c>
      <c r="N3312" s="95">
        <f>IF(P3312="Hedge Fund",IF(A3312=Summary!$AD$3,M3312-E3312,M3312),IF(A3312=Summary!$AD$3,L3312-D3312,L3312))</f>
        <v>0</v>
      </c>
      <c r="O3312" s="95">
        <f t="shared" si="429"/>
        <v>0</v>
      </c>
      <c r="P3312" s="107" t="s">
        <v>155</v>
      </c>
      <c r="Q3312" s="107">
        <v>0</v>
      </c>
      <c r="R3312" s="107">
        <v>0</v>
      </c>
      <c r="S3312" s="107">
        <v>0</v>
      </c>
      <c r="T3312" s="107">
        <v>0</v>
      </c>
      <c r="U3312" s="107"/>
      <c r="V3312" s="107"/>
      <c r="W3312" s="107"/>
      <c r="X3312" s="107"/>
      <c r="Y3312" s="107"/>
      <c r="Z3312" s="107"/>
      <c r="AA3312" s="107"/>
      <c r="AB3312" s="107"/>
      <c r="AC3312" s="355"/>
      <c r="AD3312" s="355"/>
      <c r="AE3312" s="355"/>
      <c r="AF3312" s="94">
        <f t="shared" si="430"/>
        <v>42062</v>
      </c>
      <c r="AG3312" s="185">
        <f t="shared" si="434"/>
        <v>4.2967921600906678E-2</v>
      </c>
      <c r="AH3312" s="339" t="str">
        <f>VLOOKUP(B3312,'MF PF'!A:B,2)</f>
        <v>FdMgt1</v>
      </c>
      <c r="AI3312" s="358">
        <f t="shared" si="431"/>
        <v>0</v>
      </c>
      <c r="AJ3312" s="94">
        <f t="shared" si="432"/>
        <v>42063</v>
      </c>
    </row>
    <row r="3313" spans="1:36" ht="12.75" customHeight="1">
      <c r="A3313" s="94">
        <v>42094</v>
      </c>
      <c r="B3313" s="94" t="s">
        <v>188</v>
      </c>
      <c r="C3313" s="358" t="s">
        <v>301</v>
      </c>
      <c r="D3313" s="98">
        <v>23560229.002300002</v>
      </c>
      <c r="E3313" s="9">
        <f t="shared" si="433"/>
        <v>6425919.8064079564</v>
      </c>
      <c r="F3313" s="98">
        <v>166</v>
      </c>
      <c r="G3313" s="98">
        <v>0</v>
      </c>
      <c r="H3313" s="98">
        <v>0</v>
      </c>
      <c r="I3313" s="98">
        <v>-3901000</v>
      </c>
      <c r="J3313" s="98"/>
      <c r="K3313" s="7">
        <v>3.6664368233798426</v>
      </c>
      <c r="L3313" s="93">
        <f t="shared" si="427"/>
        <v>-3901000</v>
      </c>
      <c r="M3313" s="95">
        <f t="shared" ca="1" si="428"/>
        <v>-1063975.7857340984</v>
      </c>
      <c r="N3313" s="95">
        <f>IF(P3313="Hedge Fund",IF(A3313=Summary!$AD$3,M3313-E3313,M3313),IF(A3313=Summary!$AD$3,L3313-D3313,L3313))</f>
        <v>-3901000</v>
      </c>
      <c r="O3313" s="95">
        <f t="shared" si="429"/>
        <v>-3901000</v>
      </c>
      <c r="P3313" s="107" t="s">
        <v>155</v>
      </c>
      <c r="Q3313" s="107">
        <v>0</v>
      </c>
      <c r="R3313" s="107">
        <v>0</v>
      </c>
      <c r="S3313" s="107">
        <v>0</v>
      </c>
      <c r="T3313" s="107">
        <v>0</v>
      </c>
      <c r="U3313" s="107"/>
      <c r="V3313" s="107"/>
      <c r="W3313" s="107"/>
      <c r="X3313" s="107"/>
      <c r="Y3313" s="107"/>
      <c r="Z3313" s="107"/>
      <c r="AA3313" s="107"/>
      <c r="AB3313" s="107"/>
      <c r="AC3313" s="355"/>
      <c r="AD3313" s="355"/>
      <c r="AE3313" s="355"/>
      <c r="AF3313" s="94">
        <f t="shared" si="430"/>
        <v>42094</v>
      </c>
      <c r="AG3313" s="185">
        <f t="shared" si="434"/>
        <v>-6.2223039999795837E-3</v>
      </c>
      <c r="AH3313" s="339" t="str">
        <f>VLOOKUP(B3313,'MF PF'!A:B,2)</f>
        <v>FdMgt1</v>
      </c>
      <c r="AI3313" s="358">
        <f t="shared" si="431"/>
        <v>0</v>
      </c>
      <c r="AJ3313" s="94">
        <f t="shared" si="432"/>
        <v>42094</v>
      </c>
    </row>
    <row r="3314" spans="1:36" ht="12.75" customHeight="1">
      <c r="A3314" s="94">
        <v>42124</v>
      </c>
      <c r="B3314" s="94" t="s">
        <v>188</v>
      </c>
      <c r="C3314" s="358" t="s">
        <v>301</v>
      </c>
      <c r="D3314" s="98">
        <v>23959889.320900001</v>
      </c>
      <c r="E3314" s="9">
        <f t="shared" si="433"/>
        <v>6534924.9080509134</v>
      </c>
      <c r="F3314" s="98">
        <v>166</v>
      </c>
      <c r="G3314" s="98">
        <v>0</v>
      </c>
      <c r="H3314" s="98">
        <v>0</v>
      </c>
      <c r="I3314" s="98">
        <v>0</v>
      </c>
      <c r="J3314" s="98"/>
      <c r="K3314" s="7">
        <v>3.6664368233798426</v>
      </c>
      <c r="L3314" s="93">
        <f t="shared" si="427"/>
        <v>0</v>
      </c>
      <c r="M3314" s="95">
        <f t="shared" ca="1" si="428"/>
        <v>0</v>
      </c>
      <c r="N3314" s="95">
        <f>IF(P3314="Hedge Fund",IF(A3314=Summary!$AD$3,M3314-E3314,M3314),IF(A3314=Summary!$AD$3,L3314-D3314,L3314))</f>
        <v>0</v>
      </c>
      <c r="O3314" s="95">
        <f t="shared" si="429"/>
        <v>0</v>
      </c>
      <c r="P3314" s="107" t="s">
        <v>155</v>
      </c>
      <c r="Q3314" s="107">
        <v>0</v>
      </c>
      <c r="R3314" s="107">
        <v>0</v>
      </c>
      <c r="S3314" s="107">
        <v>0</v>
      </c>
      <c r="T3314" s="107">
        <v>0</v>
      </c>
      <c r="U3314" s="107"/>
      <c r="V3314" s="107"/>
      <c r="W3314" s="107"/>
      <c r="X3314" s="107"/>
      <c r="Y3314" s="107"/>
      <c r="Z3314" s="107"/>
      <c r="AA3314" s="107"/>
      <c r="AB3314" s="107"/>
      <c r="AC3314" s="355"/>
      <c r="AD3314" s="355"/>
      <c r="AE3314" s="355"/>
      <c r="AF3314" s="94">
        <f t="shared" si="430"/>
        <v>42124</v>
      </c>
      <c r="AG3314" s="185">
        <f t="shared" si="434"/>
        <v>1.6963346093154863E-2</v>
      </c>
      <c r="AH3314" s="339" t="str">
        <f>VLOOKUP(B3314,'MF PF'!A:B,2)</f>
        <v>FdMgt1</v>
      </c>
      <c r="AI3314" s="358">
        <f t="shared" si="431"/>
        <v>0</v>
      </c>
      <c r="AJ3314" s="94">
        <f t="shared" si="432"/>
        <v>42124</v>
      </c>
    </row>
    <row r="3315" spans="1:36" ht="12.75" customHeight="1">
      <c r="A3315" s="94">
        <v>42153</v>
      </c>
      <c r="B3315" s="94" t="s">
        <v>188</v>
      </c>
      <c r="C3315" s="358" t="s">
        <v>301</v>
      </c>
      <c r="D3315" s="98">
        <v>24108507.849199999</v>
      </c>
      <c r="E3315" s="9">
        <f t="shared" si="433"/>
        <v>6575459.7748600999</v>
      </c>
      <c r="F3315" s="98">
        <v>166</v>
      </c>
      <c r="G3315" s="98">
        <v>0</v>
      </c>
      <c r="H3315" s="98">
        <v>0</v>
      </c>
      <c r="I3315" s="98">
        <v>0</v>
      </c>
      <c r="J3315" s="98"/>
      <c r="K3315" s="7">
        <v>3.6664368233798426</v>
      </c>
      <c r="L3315" s="93">
        <f t="shared" si="427"/>
        <v>0</v>
      </c>
      <c r="M3315" s="95">
        <f t="shared" ca="1" si="428"/>
        <v>0</v>
      </c>
      <c r="N3315" s="95">
        <f>IF(P3315="Hedge Fund",IF(A3315=Summary!$AD$3,M3315-E3315,M3315),IF(A3315=Summary!$AD$3,L3315-D3315,L3315))</f>
        <v>0</v>
      </c>
      <c r="O3315" s="95">
        <f t="shared" si="429"/>
        <v>0</v>
      </c>
      <c r="P3315" s="107" t="s">
        <v>155</v>
      </c>
      <c r="Q3315" s="107">
        <v>0</v>
      </c>
      <c r="R3315" s="107">
        <v>0</v>
      </c>
      <c r="S3315" s="107">
        <v>0</v>
      </c>
      <c r="T3315" s="107">
        <v>0</v>
      </c>
      <c r="U3315" s="107"/>
      <c r="V3315" s="107"/>
      <c r="W3315" s="107"/>
      <c r="X3315" s="107"/>
      <c r="Y3315" s="107"/>
      <c r="Z3315" s="107"/>
      <c r="AA3315" s="107"/>
      <c r="AB3315" s="107"/>
      <c r="AC3315" s="355"/>
      <c r="AD3315" s="355"/>
      <c r="AE3315" s="355"/>
      <c r="AF3315" s="94">
        <f t="shared" si="430"/>
        <v>42153</v>
      </c>
      <c r="AG3315" s="185">
        <f t="shared" si="434"/>
        <v>6.2028052930260813E-3</v>
      </c>
      <c r="AH3315" s="339" t="str">
        <f>VLOOKUP(B3315,'MF PF'!A:B,2)</f>
        <v>FdMgt1</v>
      </c>
      <c r="AI3315" s="358">
        <f t="shared" si="431"/>
        <v>0</v>
      </c>
      <c r="AJ3315" s="94">
        <f t="shared" si="432"/>
        <v>42155</v>
      </c>
    </row>
    <row r="3316" spans="1:36" ht="12.75" customHeight="1">
      <c r="A3316" s="94">
        <v>42185</v>
      </c>
      <c r="B3316" s="94" t="s">
        <v>188</v>
      </c>
      <c r="C3316" s="358" t="s">
        <v>301</v>
      </c>
      <c r="D3316" s="98">
        <v>23813479.602899998</v>
      </c>
      <c r="E3316" s="9">
        <f t="shared" si="433"/>
        <v>6494992.4818145223</v>
      </c>
      <c r="F3316" s="98">
        <v>166</v>
      </c>
      <c r="G3316" s="98">
        <v>0</v>
      </c>
      <c r="H3316" s="98">
        <v>0</v>
      </c>
      <c r="I3316" s="98">
        <v>0</v>
      </c>
      <c r="J3316" s="98"/>
      <c r="K3316" s="7">
        <v>3.6664368233798426</v>
      </c>
      <c r="L3316" s="93">
        <f t="shared" si="427"/>
        <v>0</v>
      </c>
      <c r="M3316" s="95">
        <f t="shared" ca="1" si="428"/>
        <v>0</v>
      </c>
      <c r="N3316" s="95">
        <f>IF(P3316="Hedge Fund",IF(A3316=Summary!$AD$3,M3316-E3316,M3316),IF(A3316=Summary!$AD$3,L3316-D3316,L3316))</f>
        <v>0</v>
      </c>
      <c r="O3316" s="95">
        <f t="shared" si="429"/>
        <v>0</v>
      </c>
      <c r="P3316" s="107" t="s">
        <v>155</v>
      </c>
      <c r="Q3316" s="107">
        <v>0</v>
      </c>
      <c r="R3316" s="107">
        <v>0</v>
      </c>
      <c r="S3316" s="107">
        <v>0</v>
      </c>
      <c r="T3316" s="107">
        <v>0</v>
      </c>
      <c r="U3316" s="107"/>
      <c r="V3316" s="107"/>
      <c r="W3316" s="107"/>
      <c r="X3316" s="107"/>
      <c r="Y3316" s="107"/>
      <c r="Z3316" s="107"/>
      <c r="AA3316" s="107"/>
      <c r="AB3316" s="107"/>
      <c r="AC3316" s="355"/>
      <c r="AD3316" s="355"/>
      <c r="AE3316" s="355"/>
      <c r="AF3316" s="94">
        <f t="shared" si="430"/>
        <v>42185</v>
      </c>
      <c r="AG3316" s="185">
        <f t="shared" si="434"/>
        <v>-1.2237515824099043E-2</v>
      </c>
      <c r="AH3316" s="339" t="str">
        <f>VLOOKUP(B3316,'MF PF'!A:B,2)</f>
        <v>FdMgt1</v>
      </c>
      <c r="AI3316" s="358">
        <f t="shared" si="431"/>
        <v>0</v>
      </c>
      <c r="AJ3316" s="94">
        <f t="shared" si="432"/>
        <v>42185</v>
      </c>
    </row>
    <row r="3317" spans="1:36" ht="12.75" customHeight="1">
      <c r="A3317" s="94">
        <v>42216</v>
      </c>
      <c r="B3317" s="94" t="s">
        <v>188</v>
      </c>
      <c r="C3317" s="358" t="s">
        <v>301</v>
      </c>
      <c r="D3317" s="98">
        <v>20805701.559</v>
      </c>
      <c r="E3317" s="95">
        <f t="shared" si="433"/>
        <v>5674637.9553925106</v>
      </c>
      <c r="F3317" s="98">
        <v>166</v>
      </c>
      <c r="G3317" s="98">
        <v>0</v>
      </c>
      <c r="H3317" s="98">
        <v>0</v>
      </c>
      <c r="I3317" s="98">
        <v>-2075000.0000000002</v>
      </c>
      <c r="J3317" s="98"/>
      <c r="K3317" s="93">
        <v>3.6664368233798426</v>
      </c>
      <c r="L3317" s="93">
        <f t="shared" si="427"/>
        <v>-2075000.0000000002</v>
      </c>
      <c r="M3317" s="95">
        <f t="shared" ca="1" si="428"/>
        <v>-565944.56687983964</v>
      </c>
      <c r="N3317" s="95">
        <f>IF(P3317="Hedge Fund",IF(A3317=Summary!$AD$3,M3317-E3317,M3317),IF(A3317=Summary!$AD$3,L3317-D3317,L3317))</f>
        <v>-2075000.0000000002</v>
      </c>
      <c r="O3317" s="95">
        <f t="shared" si="429"/>
        <v>-2075000.0000000002</v>
      </c>
      <c r="P3317" s="107" t="s">
        <v>155</v>
      </c>
      <c r="Q3317" s="107">
        <v>0</v>
      </c>
      <c r="R3317" s="107">
        <v>0</v>
      </c>
      <c r="S3317" s="107">
        <v>0</v>
      </c>
      <c r="T3317" s="107">
        <v>0</v>
      </c>
      <c r="U3317" s="107"/>
      <c r="V3317" s="107"/>
      <c r="W3317" s="107"/>
      <c r="X3317" s="107"/>
      <c r="Y3317" s="107"/>
      <c r="Z3317" s="107"/>
      <c r="AA3317" s="107"/>
      <c r="AB3317" s="107"/>
      <c r="AC3317" s="355"/>
      <c r="AD3317" s="355"/>
      <c r="AE3317" s="355"/>
      <c r="AF3317" s="94">
        <f t="shared" si="430"/>
        <v>42216</v>
      </c>
      <c r="AG3317" s="185">
        <f t="shared" si="434"/>
        <v>-3.9170169981643688E-2</v>
      </c>
      <c r="AH3317" s="339" t="str">
        <f>VLOOKUP(B3317,'MF PF'!A:B,2)</f>
        <v>FdMgt1</v>
      </c>
      <c r="AI3317" s="358">
        <f t="shared" si="431"/>
        <v>0</v>
      </c>
      <c r="AJ3317" s="94">
        <f t="shared" si="432"/>
        <v>42216</v>
      </c>
    </row>
    <row r="3318" spans="1:36" ht="12.75" customHeight="1">
      <c r="A3318" s="94">
        <v>42247</v>
      </c>
      <c r="B3318" s="94" t="s">
        <v>188</v>
      </c>
      <c r="C3318" s="358" t="s">
        <v>301</v>
      </c>
      <c r="D3318" s="98">
        <v>21425847.437100001</v>
      </c>
      <c r="E3318" s="9">
        <f t="shared" si="433"/>
        <v>5843779.2519629309</v>
      </c>
      <c r="F3318" s="98">
        <v>166</v>
      </c>
      <c r="G3318" s="98">
        <v>0</v>
      </c>
      <c r="H3318" s="98">
        <v>0</v>
      </c>
      <c r="I3318" s="98">
        <v>0</v>
      </c>
      <c r="J3318" s="98"/>
      <c r="K3318" s="7">
        <v>3.6664368233798426</v>
      </c>
      <c r="L3318" s="93">
        <f t="shared" si="427"/>
        <v>0</v>
      </c>
      <c r="M3318" s="95">
        <f t="shared" ca="1" si="428"/>
        <v>0</v>
      </c>
      <c r="N3318" s="95">
        <f>IF(P3318="Hedge Fund",IF(A3318=Summary!$AD$3,M3318-E3318,M3318),IF(A3318=Summary!$AD$3,L3318-D3318,L3318))</f>
        <v>0</v>
      </c>
      <c r="O3318" s="95">
        <f t="shared" si="429"/>
        <v>0</v>
      </c>
      <c r="P3318" s="107" t="s">
        <v>155</v>
      </c>
      <c r="Q3318" s="107">
        <v>0</v>
      </c>
      <c r="R3318" s="107">
        <v>0</v>
      </c>
      <c r="S3318" s="107">
        <v>0</v>
      </c>
      <c r="T3318" s="107">
        <v>0</v>
      </c>
      <c r="U3318" s="107"/>
      <c r="V3318" s="107"/>
      <c r="W3318" s="107"/>
      <c r="X3318" s="107"/>
      <c r="Y3318" s="107"/>
      <c r="Z3318" s="107"/>
      <c r="AA3318" s="107"/>
      <c r="AB3318" s="107"/>
      <c r="AC3318" s="355"/>
      <c r="AD3318" s="355"/>
      <c r="AE3318" s="355"/>
      <c r="AF3318" s="94">
        <f t="shared" si="430"/>
        <v>42247</v>
      </c>
      <c r="AG3318" s="185">
        <f t="shared" si="434"/>
        <v>2.9806535306748261E-2</v>
      </c>
      <c r="AH3318" s="339" t="str">
        <f>VLOOKUP(B3318,'MF PF'!A:B,2)</f>
        <v>FdMgt1</v>
      </c>
      <c r="AI3318" s="358">
        <f t="shared" si="431"/>
        <v>0</v>
      </c>
      <c r="AJ3318" s="94">
        <f t="shared" si="432"/>
        <v>42247</v>
      </c>
    </row>
    <row r="3319" spans="1:36" ht="12.75" customHeight="1">
      <c r="A3319" s="94">
        <v>42277</v>
      </c>
      <c r="B3319" s="94" t="s">
        <v>188</v>
      </c>
      <c r="C3319" s="358" t="s">
        <v>301</v>
      </c>
      <c r="D3319" s="98">
        <v>21260417.132599998</v>
      </c>
      <c r="E3319" s="9">
        <f t="shared" si="433"/>
        <v>5798659.0678525437</v>
      </c>
      <c r="F3319" s="98">
        <v>166</v>
      </c>
      <c r="G3319" s="98">
        <v>0</v>
      </c>
      <c r="H3319" s="98">
        <v>0</v>
      </c>
      <c r="I3319" s="98">
        <v>0</v>
      </c>
      <c r="J3319" s="98"/>
      <c r="K3319" s="7">
        <v>3.6664368233798426</v>
      </c>
      <c r="L3319" s="93">
        <f t="shared" si="427"/>
        <v>0</v>
      </c>
      <c r="M3319" s="95">
        <f t="shared" ca="1" si="428"/>
        <v>0</v>
      </c>
      <c r="N3319" s="95">
        <f>IF(P3319="Hedge Fund",IF(A3319=Summary!$AD$3,M3319-E3319,M3319),IF(A3319=Summary!$AD$3,L3319-D3319,L3319))</f>
        <v>0</v>
      </c>
      <c r="O3319" s="95">
        <f t="shared" si="429"/>
        <v>0</v>
      </c>
      <c r="P3319" s="107" t="s">
        <v>155</v>
      </c>
      <c r="Q3319" s="107">
        <v>0</v>
      </c>
      <c r="R3319" s="107">
        <v>0</v>
      </c>
      <c r="S3319" s="107">
        <v>0</v>
      </c>
      <c r="T3319" s="107">
        <v>0</v>
      </c>
      <c r="U3319" s="107"/>
      <c r="V3319" s="107"/>
      <c r="W3319" s="107"/>
      <c r="X3319" s="107"/>
      <c r="Y3319" s="107"/>
      <c r="Z3319" s="107"/>
      <c r="AA3319" s="107"/>
      <c r="AB3319" s="107"/>
      <c r="AC3319" s="355"/>
      <c r="AD3319" s="355"/>
      <c r="AE3319" s="355"/>
      <c r="AF3319" s="94">
        <f t="shared" si="430"/>
        <v>42277</v>
      </c>
      <c r="AG3319" s="185">
        <f t="shared" si="434"/>
        <v>-7.7210623750428864E-3</v>
      </c>
      <c r="AH3319" s="339" t="str">
        <f>VLOOKUP(B3319,'MF PF'!A:B,2)</f>
        <v>FdMgt1</v>
      </c>
      <c r="AI3319" s="358">
        <f t="shared" si="431"/>
        <v>0</v>
      </c>
      <c r="AJ3319" s="94">
        <f t="shared" si="432"/>
        <v>42277</v>
      </c>
    </row>
    <row r="3320" spans="1:36" ht="12.75" customHeight="1">
      <c r="A3320" s="94">
        <v>42307</v>
      </c>
      <c r="B3320" s="94" t="s">
        <v>188</v>
      </c>
      <c r="C3320" s="358" t="s">
        <v>301</v>
      </c>
      <c r="D3320" s="98">
        <v>21073536.754999999</v>
      </c>
      <c r="E3320" s="9">
        <f t="shared" si="433"/>
        <v>5747688.4970770385</v>
      </c>
      <c r="F3320" s="98">
        <v>166</v>
      </c>
      <c r="G3320" s="98">
        <v>0</v>
      </c>
      <c r="H3320" s="98">
        <v>0</v>
      </c>
      <c r="I3320" s="98">
        <v>0</v>
      </c>
      <c r="J3320" s="98"/>
      <c r="K3320" s="7">
        <v>3.6664368233798426</v>
      </c>
      <c r="L3320" s="93">
        <f t="shared" si="427"/>
        <v>0</v>
      </c>
      <c r="M3320" s="95">
        <f t="shared" ca="1" si="428"/>
        <v>0</v>
      </c>
      <c r="N3320" s="95">
        <f>IF(P3320="Hedge Fund",IF(A3320=Summary!$AD$3,M3320-E3320,M3320),IF(A3320=Summary!$AD$3,L3320-D3320,L3320))</f>
        <v>0</v>
      </c>
      <c r="O3320" s="95">
        <f t="shared" si="429"/>
        <v>0</v>
      </c>
      <c r="P3320" s="107" t="s">
        <v>155</v>
      </c>
      <c r="Q3320" s="107">
        <v>0</v>
      </c>
      <c r="R3320" s="107">
        <v>0</v>
      </c>
      <c r="S3320" s="107">
        <v>0</v>
      </c>
      <c r="T3320" s="107">
        <v>0</v>
      </c>
      <c r="U3320" s="107"/>
      <c r="V3320" s="107"/>
      <c r="W3320" s="107"/>
      <c r="X3320" s="107"/>
      <c r="Y3320" s="107"/>
      <c r="Z3320" s="107"/>
      <c r="AA3320" s="107"/>
      <c r="AB3320" s="107"/>
      <c r="AC3320" s="355"/>
      <c r="AD3320" s="355"/>
      <c r="AE3320" s="355"/>
      <c r="AF3320" s="94">
        <f t="shared" si="430"/>
        <v>42307</v>
      </c>
      <c r="AG3320" s="185">
        <f t="shared" si="434"/>
        <v>-8.7900616640980145E-3</v>
      </c>
      <c r="AH3320" s="339" t="str">
        <f>VLOOKUP(B3320,'MF PF'!A:B,2)</f>
        <v>FdMgt1</v>
      </c>
      <c r="AI3320" s="358">
        <f t="shared" si="431"/>
        <v>0</v>
      </c>
      <c r="AJ3320" s="94">
        <f t="shared" si="432"/>
        <v>42308</v>
      </c>
    </row>
    <row r="3321" spans="1:36" ht="12.75" customHeight="1">
      <c r="A3321" s="94">
        <v>42338</v>
      </c>
      <c r="B3321" s="94" t="s">
        <v>188</v>
      </c>
      <c r="C3321" s="358" t="s">
        <v>301</v>
      </c>
      <c r="D3321" s="98">
        <v>18666487.9903</v>
      </c>
      <c r="E3321" s="9">
        <f t="shared" si="433"/>
        <v>5091179.4991990654</v>
      </c>
      <c r="F3321" s="98">
        <v>166</v>
      </c>
      <c r="G3321" s="98">
        <v>0</v>
      </c>
      <c r="H3321" s="98">
        <v>0</v>
      </c>
      <c r="I3321" s="98">
        <v>-2407000</v>
      </c>
      <c r="J3321" s="98"/>
      <c r="K3321" s="7">
        <v>3.6664368233798426</v>
      </c>
      <c r="L3321" s="93">
        <f t="shared" si="427"/>
        <v>-2407000</v>
      </c>
      <c r="M3321" s="95">
        <f t="shared" ca="1" si="428"/>
        <v>-656495.69758061389</v>
      </c>
      <c r="N3321" s="95">
        <f>IF(P3321="Hedge Fund",IF(A3321=Summary!$AD$3,M3321-E3321,M3321),IF(A3321=Summary!$AD$3,L3321-D3321,L3321))</f>
        <v>-2407000</v>
      </c>
      <c r="O3321" s="95">
        <f t="shared" si="429"/>
        <v>-2407000</v>
      </c>
      <c r="P3321" s="107" t="s">
        <v>155</v>
      </c>
      <c r="Q3321" s="107">
        <v>0</v>
      </c>
      <c r="R3321" s="107">
        <v>0</v>
      </c>
      <c r="S3321" s="107">
        <v>0</v>
      </c>
      <c r="T3321" s="107">
        <v>0</v>
      </c>
      <c r="U3321" s="107"/>
      <c r="V3321" s="107"/>
      <c r="W3321" s="107"/>
      <c r="X3321" s="107"/>
      <c r="Y3321" s="107"/>
      <c r="Z3321" s="107"/>
      <c r="AA3321" s="107"/>
      <c r="AB3321" s="107"/>
      <c r="AC3321" s="355"/>
      <c r="AD3321" s="355"/>
      <c r="AE3321" s="355"/>
      <c r="AF3321" s="94">
        <f t="shared" si="430"/>
        <v>42338</v>
      </c>
      <c r="AG3321" s="185">
        <f t="shared" si="434"/>
        <v>-2.314025432270661E-6</v>
      </c>
      <c r="AH3321" s="339" t="str">
        <f>VLOOKUP(B3321,'MF PF'!A:B,2)</f>
        <v>FdMgt1</v>
      </c>
      <c r="AI3321" s="358">
        <f t="shared" si="431"/>
        <v>0</v>
      </c>
      <c r="AJ3321" s="94">
        <f t="shared" si="432"/>
        <v>42338</v>
      </c>
    </row>
    <row r="3322" spans="1:36" ht="12.75" customHeight="1">
      <c r="A3322" s="94">
        <v>42369</v>
      </c>
      <c r="B3322" s="94" t="s">
        <v>188</v>
      </c>
      <c r="C3322" s="358" t="s">
        <v>301</v>
      </c>
      <c r="D3322" s="98">
        <v>14615185.301000001</v>
      </c>
      <c r="E3322" s="9">
        <f t="shared" si="433"/>
        <v>3986209.5012255632</v>
      </c>
      <c r="F3322" s="98">
        <v>166</v>
      </c>
      <c r="G3322" s="98">
        <v>0</v>
      </c>
      <c r="H3322" s="98">
        <v>0</v>
      </c>
      <c r="I3322" s="98">
        <v>-3320000</v>
      </c>
      <c r="J3322" s="98"/>
      <c r="K3322" s="7">
        <v>3.6664368233798426</v>
      </c>
      <c r="L3322" s="93">
        <f t="shared" si="427"/>
        <v>-3320000</v>
      </c>
      <c r="M3322" s="95">
        <f t="shared" ca="1" si="428"/>
        <v>-905511.30700774339</v>
      </c>
      <c r="N3322" s="95">
        <f>IF(P3322="Hedge Fund",IF(A3322=Summary!$AD$3,M3322-E3322,M3322),IF(A3322=Summary!$AD$3,L3322-D3322,L3322))</f>
        <v>-3320000</v>
      </c>
      <c r="O3322" s="95">
        <f t="shared" si="429"/>
        <v>-3320000</v>
      </c>
      <c r="P3322" s="107" t="s">
        <v>155</v>
      </c>
      <c r="Q3322" s="107">
        <v>0</v>
      </c>
      <c r="R3322" s="107">
        <v>0</v>
      </c>
      <c r="S3322" s="107">
        <v>0</v>
      </c>
      <c r="T3322" s="107">
        <v>0</v>
      </c>
      <c r="U3322" s="107"/>
      <c r="V3322" s="107"/>
      <c r="W3322" s="107"/>
      <c r="X3322" s="107"/>
      <c r="Y3322" s="107"/>
      <c r="Z3322" s="107"/>
      <c r="AA3322" s="107"/>
      <c r="AB3322" s="107"/>
      <c r="AC3322" s="355"/>
      <c r="AD3322" s="355"/>
      <c r="AE3322" s="355"/>
      <c r="AF3322" s="94">
        <f t="shared" si="430"/>
        <v>42369</v>
      </c>
      <c r="AG3322" s="185">
        <f t="shared" si="434"/>
        <v>-3.9177304787061162E-2</v>
      </c>
      <c r="AH3322" s="339" t="str">
        <f>VLOOKUP(B3322,'MF PF'!A:B,2)</f>
        <v>FdMgt1</v>
      </c>
      <c r="AI3322" s="358">
        <f t="shared" si="431"/>
        <v>0</v>
      </c>
      <c r="AJ3322" s="94">
        <f t="shared" si="432"/>
        <v>42369</v>
      </c>
    </row>
    <row r="3323" spans="1:36" ht="12.75" customHeight="1">
      <c r="A3323" s="94">
        <v>42398</v>
      </c>
      <c r="B3323" s="94" t="s">
        <v>188</v>
      </c>
      <c r="C3323" s="358" t="s">
        <v>301</v>
      </c>
      <c r="D3323" s="98">
        <v>14147926.432700001</v>
      </c>
      <c r="E3323" s="9">
        <f t="shared" si="433"/>
        <v>3858767.2757601137</v>
      </c>
      <c r="F3323" s="98">
        <v>166</v>
      </c>
      <c r="G3323" s="98">
        <v>0</v>
      </c>
      <c r="H3323" s="98">
        <v>0</v>
      </c>
      <c r="I3323" s="98">
        <v>0</v>
      </c>
      <c r="J3323" s="98"/>
      <c r="K3323" s="7">
        <v>3.6664368233798426</v>
      </c>
      <c r="L3323" s="93">
        <f t="shared" si="427"/>
        <v>0</v>
      </c>
      <c r="M3323" s="95">
        <f t="shared" ca="1" si="428"/>
        <v>0</v>
      </c>
      <c r="N3323" s="95">
        <f>IF(P3323="Hedge Fund",IF(A3323=Summary!$AD$3,M3323-E3323,M3323),IF(A3323=Summary!$AD$3,L3323-D3323,L3323))</f>
        <v>0</v>
      </c>
      <c r="O3323" s="95">
        <f t="shared" si="429"/>
        <v>0</v>
      </c>
      <c r="P3323" s="107" t="s">
        <v>155</v>
      </c>
      <c r="Q3323" s="107">
        <v>0</v>
      </c>
      <c r="R3323" s="107">
        <v>0</v>
      </c>
      <c r="S3323" s="107">
        <v>0</v>
      </c>
      <c r="T3323" s="107">
        <v>0</v>
      </c>
      <c r="U3323" s="107"/>
      <c r="V3323" s="107"/>
      <c r="W3323" s="107"/>
      <c r="X3323" s="107"/>
      <c r="Y3323" s="107"/>
      <c r="Z3323" s="107"/>
      <c r="AA3323" s="107"/>
      <c r="AB3323" s="107"/>
      <c r="AC3323" s="355"/>
      <c r="AD3323" s="355"/>
      <c r="AE3323" s="355"/>
      <c r="AF3323" s="94">
        <f t="shared" si="430"/>
        <v>42398</v>
      </c>
      <c r="AG3323" s="185">
        <f t="shared" si="434"/>
        <v>-3.1970779615639211E-2</v>
      </c>
      <c r="AH3323" s="339" t="str">
        <f>VLOOKUP(B3323,'MF PF'!A:B,2)</f>
        <v>FdMgt1</v>
      </c>
      <c r="AI3323" s="358">
        <f t="shared" si="431"/>
        <v>0</v>
      </c>
      <c r="AJ3323" s="94">
        <f t="shared" si="432"/>
        <v>42400</v>
      </c>
    </row>
    <row r="3324" spans="1:36" ht="12.75" customHeight="1">
      <c r="A3324" s="94">
        <v>42429</v>
      </c>
      <c r="B3324" s="94" t="s">
        <v>188</v>
      </c>
      <c r="C3324" s="358" t="s">
        <v>301</v>
      </c>
      <c r="D3324" s="98">
        <v>14532908.953199999</v>
      </c>
      <c r="E3324" s="9">
        <f t="shared" si="433"/>
        <v>3963769.0906134541</v>
      </c>
      <c r="F3324" s="98">
        <v>166</v>
      </c>
      <c r="G3324" s="98">
        <v>0</v>
      </c>
      <c r="H3324" s="98">
        <v>0</v>
      </c>
      <c r="I3324" s="98">
        <v>0</v>
      </c>
      <c r="J3324" s="98"/>
      <c r="K3324" s="7">
        <v>3.6664368233798426</v>
      </c>
      <c r="L3324" s="93">
        <f t="shared" si="427"/>
        <v>0</v>
      </c>
      <c r="M3324" s="95">
        <f t="shared" ca="1" si="428"/>
        <v>0</v>
      </c>
      <c r="N3324" s="95">
        <f>IF(P3324="Hedge Fund",IF(A3324=Summary!$AD$3,M3324-E3324,M3324),IF(A3324=Summary!$AD$3,L3324-D3324,L3324))</f>
        <v>0</v>
      </c>
      <c r="O3324" s="95">
        <f t="shared" si="429"/>
        <v>0</v>
      </c>
      <c r="P3324" s="107" t="s">
        <v>155</v>
      </c>
      <c r="Q3324" s="107">
        <v>0</v>
      </c>
      <c r="R3324" s="107">
        <v>0</v>
      </c>
      <c r="S3324" s="107">
        <v>0</v>
      </c>
      <c r="T3324" s="107">
        <v>0</v>
      </c>
      <c r="U3324" s="107"/>
      <c r="V3324" s="107"/>
      <c r="W3324" s="107"/>
      <c r="X3324" s="107"/>
      <c r="Y3324" s="107"/>
      <c r="Z3324" s="107"/>
      <c r="AA3324" s="107"/>
      <c r="AB3324" s="107"/>
      <c r="AC3324" s="355"/>
      <c r="AD3324" s="355"/>
      <c r="AE3324" s="355"/>
      <c r="AF3324" s="94">
        <f t="shared" si="430"/>
        <v>42429</v>
      </c>
      <c r="AG3324" s="185">
        <f t="shared" si="434"/>
        <v>2.7211232849655653E-2</v>
      </c>
      <c r="AH3324" s="339" t="str">
        <f>VLOOKUP(B3324,'MF PF'!A:B,2)</f>
        <v>FdMgt1</v>
      </c>
      <c r="AI3324" s="358">
        <f t="shared" si="431"/>
        <v>0</v>
      </c>
      <c r="AJ3324" s="94">
        <f t="shared" si="432"/>
        <v>42429</v>
      </c>
    </row>
    <row r="3325" spans="1:36" ht="12.75" customHeight="1">
      <c r="A3325" s="94">
        <v>42460</v>
      </c>
      <c r="B3325" s="94" t="s">
        <v>188</v>
      </c>
      <c r="C3325" s="358" t="s">
        <v>301</v>
      </c>
      <c r="D3325" s="98">
        <v>14492167.5286</v>
      </c>
      <c r="E3325" s="9">
        <f t="shared" si="433"/>
        <v>3952657.0964451097</v>
      </c>
      <c r="F3325" s="98">
        <v>166</v>
      </c>
      <c r="G3325" s="98">
        <v>0</v>
      </c>
      <c r="H3325" s="98">
        <v>0</v>
      </c>
      <c r="I3325" s="98">
        <v>0</v>
      </c>
      <c r="J3325" s="98"/>
      <c r="K3325" s="7">
        <v>3.6664368233798426</v>
      </c>
      <c r="L3325" s="93">
        <f t="shared" si="427"/>
        <v>0</v>
      </c>
      <c r="M3325" s="95">
        <f t="shared" ca="1" si="428"/>
        <v>0</v>
      </c>
      <c r="N3325" s="95">
        <f>IF(P3325="Hedge Fund",IF(A3325=Summary!$AD$3,M3325-E3325,M3325),IF(A3325=Summary!$AD$3,L3325-D3325,L3325))</f>
        <v>0</v>
      </c>
      <c r="O3325" s="95">
        <f t="shared" si="429"/>
        <v>0</v>
      </c>
      <c r="P3325" s="107" t="s">
        <v>155</v>
      </c>
      <c r="Q3325" s="107">
        <v>0</v>
      </c>
      <c r="R3325" s="107">
        <v>0</v>
      </c>
      <c r="S3325" s="107">
        <v>0</v>
      </c>
      <c r="T3325" s="107">
        <v>0</v>
      </c>
      <c r="U3325" s="107"/>
      <c r="V3325" s="107"/>
      <c r="W3325" s="107"/>
      <c r="X3325" s="107"/>
      <c r="Y3325" s="107"/>
      <c r="Z3325" s="107"/>
      <c r="AA3325" s="107"/>
      <c r="AB3325" s="107"/>
      <c r="AC3325" s="355"/>
      <c r="AD3325" s="355"/>
      <c r="AE3325" s="355"/>
      <c r="AF3325" s="94">
        <f t="shared" si="430"/>
        <v>42460</v>
      </c>
      <c r="AG3325" s="185">
        <f t="shared" si="434"/>
        <v>-2.8033908924357531E-3</v>
      </c>
      <c r="AH3325" s="339" t="str">
        <f>VLOOKUP(B3325,'MF PF'!A:B,2)</f>
        <v>FdMgt1</v>
      </c>
      <c r="AI3325" s="358">
        <f t="shared" si="431"/>
        <v>0</v>
      </c>
      <c r="AJ3325" s="94">
        <f t="shared" si="432"/>
        <v>42460</v>
      </c>
    </row>
    <row r="3326" spans="1:36" ht="12.75" customHeight="1">
      <c r="A3326" s="94">
        <v>42489</v>
      </c>
      <c r="B3326" s="94" t="s">
        <v>188</v>
      </c>
      <c r="C3326" s="358" t="s">
        <v>301</v>
      </c>
      <c r="D3326" s="98">
        <v>15131296.208799999</v>
      </c>
      <c r="E3326" s="9">
        <f t="shared" si="433"/>
        <v>4126975.8454071684</v>
      </c>
      <c r="F3326" s="98">
        <v>166</v>
      </c>
      <c r="G3326" s="98">
        <v>0</v>
      </c>
      <c r="H3326" s="98">
        <v>0</v>
      </c>
      <c r="I3326" s="98">
        <v>0</v>
      </c>
      <c r="J3326" s="98"/>
      <c r="K3326" s="7">
        <v>3.6664368233798426</v>
      </c>
      <c r="L3326" s="93">
        <f t="shared" si="427"/>
        <v>0</v>
      </c>
      <c r="M3326" s="95">
        <f t="shared" ca="1" si="428"/>
        <v>0</v>
      </c>
      <c r="N3326" s="95">
        <f>IF(P3326="Hedge Fund",IF(A3326=Summary!$AD$3,M3326-E3326,M3326),IF(A3326=Summary!$AD$3,L3326-D3326,L3326))</f>
        <v>0</v>
      </c>
      <c r="O3326" s="95">
        <f t="shared" si="429"/>
        <v>0</v>
      </c>
      <c r="P3326" s="107" t="s">
        <v>155</v>
      </c>
      <c r="Q3326" s="107">
        <v>0</v>
      </c>
      <c r="R3326" s="107">
        <v>0</v>
      </c>
      <c r="S3326" s="107">
        <v>0</v>
      </c>
      <c r="T3326" s="107">
        <v>0</v>
      </c>
      <c r="U3326" s="107"/>
      <c r="V3326" s="107"/>
      <c r="W3326" s="107"/>
      <c r="X3326" s="107"/>
      <c r="Y3326" s="107"/>
      <c r="Z3326" s="107"/>
      <c r="AA3326" s="107"/>
      <c r="AB3326" s="107"/>
      <c r="AC3326" s="355"/>
      <c r="AD3326" s="355"/>
      <c r="AE3326" s="355"/>
      <c r="AF3326" s="94">
        <f t="shared" si="430"/>
        <v>42489</v>
      </c>
      <c r="AG3326" s="185">
        <f t="shared" si="434"/>
        <v>4.4101662428252419E-2</v>
      </c>
      <c r="AH3326" s="339" t="str">
        <f>VLOOKUP(B3326,'MF PF'!A:B,2)</f>
        <v>FdMgt1</v>
      </c>
      <c r="AI3326" s="358">
        <f t="shared" si="431"/>
        <v>0</v>
      </c>
      <c r="AJ3326" s="94">
        <f t="shared" si="432"/>
        <v>42490</v>
      </c>
    </row>
    <row r="3327" spans="1:36" ht="12.75" customHeight="1">
      <c r="A3327" s="94">
        <v>42521</v>
      </c>
      <c r="B3327" s="94" t="s">
        <v>188</v>
      </c>
      <c r="C3327" s="358" t="s">
        <v>301</v>
      </c>
      <c r="D3327" s="98">
        <v>15375532.3751</v>
      </c>
      <c r="E3327" s="9">
        <f t="shared" si="433"/>
        <v>4193589.8846134557</v>
      </c>
      <c r="F3327" s="98">
        <v>166</v>
      </c>
      <c r="G3327" s="98">
        <v>0</v>
      </c>
      <c r="H3327" s="98">
        <v>0</v>
      </c>
      <c r="I3327" s="98">
        <v>0</v>
      </c>
      <c r="J3327" s="98"/>
      <c r="K3327" s="7">
        <v>3.6664368233798426</v>
      </c>
      <c r="L3327" s="93">
        <f t="shared" si="427"/>
        <v>0</v>
      </c>
      <c r="M3327" s="95">
        <f t="shared" ca="1" si="428"/>
        <v>0</v>
      </c>
      <c r="N3327" s="95">
        <f>IF(P3327="Hedge Fund",IF(A3327=Summary!$AD$3,M3327-E3327,M3327),IF(A3327=Summary!$AD$3,L3327-D3327,L3327))</f>
        <v>0</v>
      </c>
      <c r="O3327" s="95">
        <f t="shared" si="429"/>
        <v>0</v>
      </c>
      <c r="P3327" s="107" t="s">
        <v>155</v>
      </c>
      <c r="Q3327" s="107">
        <v>0</v>
      </c>
      <c r="R3327" s="107">
        <v>0</v>
      </c>
      <c r="S3327" s="107">
        <v>0</v>
      </c>
      <c r="T3327" s="107">
        <v>0</v>
      </c>
      <c r="U3327" s="107"/>
      <c r="V3327" s="107"/>
      <c r="W3327" s="107"/>
      <c r="X3327" s="107"/>
      <c r="Y3327" s="107"/>
      <c r="Z3327" s="107"/>
      <c r="AA3327" s="107"/>
      <c r="AB3327" s="107"/>
      <c r="AC3327" s="355"/>
      <c r="AD3327" s="355"/>
      <c r="AE3327" s="355"/>
      <c r="AF3327" s="94">
        <f t="shared" si="430"/>
        <v>42521</v>
      </c>
      <c r="AG3327" s="185">
        <f t="shared" si="434"/>
        <v>1.6141126505603509E-2</v>
      </c>
      <c r="AH3327" s="339" t="str">
        <f>VLOOKUP(B3327,'MF PF'!A:B,2)</f>
        <v>FdMgt1</v>
      </c>
      <c r="AI3327" s="358">
        <f t="shared" si="431"/>
        <v>0</v>
      </c>
      <c r="AJ3327" s="94">
        <f t="shared" si="432"/>
        <v>42521</v>
      </c>
    </row>
    <row r="3328" spans="1:36" ht="12.75" customHeight="1">
      <c r="A3328" s="94">
        <v>42551</v>
      </c>
      <c r="B3328" s="94" t="s">
        <v>188</v>
      </c>
      <c r="C3328" s="358" t="s">
        <v>301</v>
      </c>
      <c r="D3328" s="98">
        <v>15883809.908199999</v>
      </c>
      <c r="E3328" s="95">
        <f t="shared" si="433"/>
        <v>4332219.7199508213</v>
      </c>
      <c r="F3328" s="98">
        <v>166</v>
      </c>
      <c r="G3328" s="98">
        <v>0</v>
      </c>
      <c r="H3328" s="98">
        <v>0</v>
      </c>
      <c r="I3328" s="98">
        <v>0</v>
      </c>
      <c r="J3328" s="98"/>
      <c r="K3328" s="7">
        <v>3.6664368233798426</v>
      </c>
      <c r="L3328" s="93">
        <f t="shared" si="427"/>
        <v>0</v>
      </c>
      <c r="M3328" s="95">
        <f t="shared" ca="1" si="428"/>
        <v>0</v>
      </c>
      <c r="N3328" s="95">
        <f>IF(P3328="Hedge Fund",IF(A3328=Summary!$AD$3,M3328-E3328,M3328),IF(A3328=Summary!$AD$3,L3328-D3328,L3328))</f>
        <v>0</v>
      </c>
      <c r="O3328" s="95">
        <f t="shared" si="429"/>
        <v>0</v>
      </c>
      <c r="P3328" s="107" t="s">
        <v>155</v>
      </c>
      <c r="Q3328" s="107">
        <v>0</v>
      </c>
      <c r="R3328" s="107">
        <v>0</v>
      </c>
      <c r="S3328" s="107">
        <v>0</v>
      </c>
      <c r="T3328" s="107">
        <v>0</v>
      </c>
      <c r="U3328" s="107"/>
      <c r="V3328" s="107"/>
      <c r="W3328" s="107"/>
      <c r="X3328" s="107"/>
      <c r="Y3328" s="107"/>
      <c r="Z3328" s="107"/>
      <c r="AA3328" s="107"/>
      <c r="AB3328" s="107"/>
      <c r="AC3328" s="355"/>
      <c r="AD3328" s="355"/>
      <c r="AE3328" s="355"/>
      <c r="AF3328" s="94">
        <f t="shared" si="430"/>
        <v>42551</v>
      </c>
      <c r="AG3328" s="185">
        <f t="shared" si="434"/>
        <v>3.3057556688127043E-2</v>
      </c>
      <c r="AH3328" s="339" t="str">
        <f>VLOOKUP(B3328,'MF PF'!A:B,2)</f>
        <v>FdMgt1</v>
      </c>
      <c r="AI3328" s="358">
        <f t="shared" si="431"/>
        <v>0</v>
      </c>
      <c r="AJ3328" s="94">
        <f t="shared" si="432"/>
        <v>42551</v>
      </c>
    </row>
    <row r="3329" spans="1:36" ht="12.75" customHeight="1">
      <c r="A3329" s="94">
        <v>42580</v>
      </c>
      <c r="B3329" s="94" t="s">
        <v>188</v>
      </c>
      <c r="C3329" s="358" t="s">
        <v>301</v>
      </c>
      <c r="D3329" s="98">
        <v>17511862.707400002</v>
      </c>
      <c r="E3329" s="9">
        <f t="shared" ref="E3329:E3354" si="435">D3329/K3329</f>
        <v>4776261.9543126309</v>
      </c>
      <c r="F3329" s="98">
        <v>166</v>
      </c>
      <c r="G3329" s="98">
        <v>0</v>
      </c>
      <c r="H3329" s="98">
        <v>0</v>
      </c>
      <c r="I3329" s="98">
        <v>0</v>
      </c>
      <c r="J3329" s="98"/>
      <c r="K3329" s="7">
        <v>3.6664368233798426</v>
      </c>
      <c r="L3329" s="93">
        <f t="shared" ref="L3329:L3392" si="436">G3329+H3329+I3329</f>
        <v>0</v>
      </c>
      <c r="M3329" s="95">
        <f t="shared" ref="M3329:M3392" ca="1" si="437">IF(A3329&gt;INDIRECT("A"&amp;ROW()-1),I3329/K3329,E3329)</f>
        <v>0</v>
      </c>
      <c r="N3329" s="95">
        <f>IF(P3329="Hedge Fund",IF(A3329=Summary!$AD$3,M3329-E3329,M3329),IF(A3329=Summary!$AD$3,L3329-D3329,L3329))</f>
        <v>0</v>
      </c>
      <c r="O3329" s="95">
        <f t="shared" ref="O3329:O3392" si="438">N3329</f>
        <v>0</v>
      </c>
      <c r="P3329" s="107" t="s">
        <v>155</v>
      </c>
      <c r="Q3329" s="107">
        <v>0</v>
      </c>
      <c r="R3329" s="107">
        <v>0</v>
      </c>
      <c r="S3329" s="107">
        <v>0</v>
      </c>
      <c r="T3329" s="107">
        <v>0</v>
      </c>
      <c r="U3329" s="107"/>
      <c r="V3329" s="107"/>
      <c r="W3329" s="107"/>
      <c r="X3329" s="107"/>
      <c r="Y3329" s="107"/>
      <c r="Z3329" s="107"/>
      <c r="AA3329" s="107"/>
      <c r="AB3329" s="107"/>
      <c r="AC3329" s="355"/>
      <c r="AD3329" s="355"/>
      <c r="AE3329" s="355"/>
      <c r="AF3329" s="94">
        <f t="shared" ref="AF3329:AF3392" si="439">A3329</f>
        <v>42580</v>
      </c>
      <c r="AG3329" s="185">
        <f t="shared" si="434"/>
        <v>0.10249762548212837</v>
      </c>
      <c r="AH3329" s="339" t="str">
        <f>VLOOKUP(B3329,'MF PF'!A:B,2)</f>
        <v>FdMgt1</v>
      </c>
      <c r="AI3329" s="358">
        <f t="shared" ref="AI3329:AI3392" si="440">AF3329-A3329</f>
        <v>0</v>
      </c>
      <c r="AJ3329" s="94">
        <f t="shared" ref="AJ3329:AJ3392" si="441">EOMONTH(A3329,0)</f>
        <v>42582</v>
      </c>
    </row>
    <row r="3330" spans="1:36" ht="12.75" customHeight="1">
      <c r="A3330" s="94">
        <v>42613</v>
      </c>
      <c r="B3330" s="94" t="s">
        <v>188</v>
      </c>
      <c r="C3330" s="358" t="s">
        <v>301</v>
      </c>
      <c r="D3330" s="98">
        <v>18323958.088100001</v>
      </c>
      <c r="E3330" s="9">
        <f t="shared" si="435"/>
        <v>4997756.3969610073</v>
      </c>
      <c r="F3330" s="98">
        <v>166</v>
      </c>
      <c r="G3330" s="98">
        <v>0</v>
      </c>
      <c r="H3330" s="98">
        <v>0</v>
      </c>
      <c r="I3330" s="98">
        <v>0</v>
      </c>
      <c r="J3330" s="98"/>
      <c r="K3330" s="93">
        <v>3.6664368233798426</v>
      </c>
      <c r="L3330" s="93">
        <f t="shared" si="436"/>
        <v>0</v>
      </c>
      <c r="M3330" s="95">
        <f t="shared" ca="1" si="437"/>
        <v>0</v>
      </c>
      <c r="N3330" s="95">
        <f>IF(P3330="Hedge Fund",IF(A3330=Summary!$AD$3,M3330-E3330,M3330),IF(A3330=Summary!$AD$3,L3330-D3330,L3330))</f>
        <v>0</v>
      </c>
      <c r="O3330" s="95">
        <f t="shared" si="438"/>
        <v>0</v>
      </c>
      <c r="P3330" s="107" t="s">
        <v>155</v>
      </c>
      <c r="Q3330" s="107">
        <v>0</v>
      </c>
      <c r="R3330" s="107">
        <v>0</v>
      </c>
      <c r="S3330" s="107">
        <v>0</v>
      </c>
      <c r="T3330" s="107">
        <v>0</v>
      </c>
      <c r="U3330" s="107"/>
      <c r="V3330" s="107"/>
      <c r="W3330" s="107"/>
      <c r="X3330" s="107"/>
      <c r="Y3330" s="107"/>
      <c r="Z3330" s="107"/>
      <c r="AA3330" s="107"/>
      <c r="AB3330" s="107"/>
      <c r="AC3330" s="355"/>
      <c r="AD3330" s="355"/>
      <c r="AE3330" s="355"/>
      <c r="AF3330" s="94">
        <f t="shared" si="439"/>
        <v>42613</v>
      </c>
      <c r="AG3330" s="185">
        <f t="shared" si="434"/>
        <v>4.6374014818928E-2</v>
      </c>
      <c r="AH3330" s="339" t="str">
        <f>VLOOKUP(B3330,'MF PF'!A:B,2)</f>
        <v>FdMgt1</v>
      </c>
      <c r="AI3330" s="358">
        <f t="shared" si="440"/>
        <v>0</v>
      </c>
      <c r="AJ3330" s="94">
        <f t="shared" si="441"/>
        <v>42613</v>
      </c>
    </row>
    <row r="3331" spans="1:36" ht="12.75" customHeight="1">
      <c r="A3331" s="94">
        <v>42643</v>
      </c>
      <c r="B3331" s="94" t="s">
        <v>188</v>
      </c>
      <c r="C3331" s="358" t="s">
        <v>301</v>
      </c>
      <c r="D3331" s="98">
        <v>19641859.5502</v>
      </c>
      <c r="E3331" s="95">
        <f t="shared" si="435"/>
        <v>5357206.6004108824</v>
      </c>
      <c r="F3331" s="98">
        <v>166</v>
      </c>
      <c r="G3331" s="98">
        <v>0</v>
      </c>
      <c r="H3331" s="98">
        <v>0</v>
      </c>
      <c r="I3331" s="98">
        <v>0</v>
      </c>
      <c r="J3331" s="98"/>
      <c r="K3331" s="7">
        <v>3.6664368233798426</v>
      </c>
      <c r="L3331" s="93">
        <f t="shared" si="436"/>
        <v>0</v>
      </c>
      <c r="M3331" s="95">
        <f t="shared" ca="1" si="437"/>
        <v>0</v>
      </c>
      <c r="N3331" s="95">
        <f>IF(P3331="Hedge Fund",IF(A3331=Summary!$AD$3,M3331-E3331,M3331),IF(A3331=Summary!$AD$3,L3331-D3331,L3331))</f>
        <v>0</v>
      </c>
      <c r="O3331" s="95">
        <f t="shared" si="438"/>
        <v>0</v>
      </c>
      <c r="P3331" s="107" t="s">
        <v>155</v>
      </c>
      <c r="Q3331" s="107">
        <v>0</v>
      </c>
      <c r="R3331" s="107">
        <v>0</v>
      </c>
      <c r="S3331" s="107">
        <v>0</v>
      </c>
      <c r="T3331" s="107">
        <v>0</v>
      </c>
      <c r="U3331" s="107"/>
      <c r="V3331" s="107"/>
      <c r="W3331" s="107"/>
      <c r="X3331" s="107"/>
      <c r="Y3331" s="107"/>
      <c r="Z3331" s="107"/>
      <c r="AA3331" s="107"/>
      <c r="AB3331" s="107"/>
      <c r="AC3331" s="355"/>
      <c r="AD3331" s="355"/>
      <c r="AE3331" s="355"/>
      <c r="AF3331" s="94">
        <f t="shared" si="439"/>
        <v>42643</v>
      </c>
      <c r="AG3331" s="185">
        <f t="shared" si="434"/>
        <v>7.1922313714299246E-2</v>
      </c>
      <c r="AH3331" s="339" t="str">
        <f>VLOOKUP(B3331,'MF PF'!A:B,2)</f>
        <v>FdMgt1</v>
      </c>
      <c r="AI3331" s="358">
        <f t="shared" si="440"/>
        <v>0</v>
      </c>
      <c r="AJ3331" s="94">
        <f t="shared" si="441"/>
        <v>42643</v>
      </c>
    </row>
    <row r="3332" spans="1:36" ht="12.75" customHeight="1">
      <c r="A3332" s="94">
        <v>42674</v>
      </c>
      <c r="B3332" s="94" t="s">
        <v>188</v>
      </c>
      <c r="C3332" s="358" t="s">
        <v>301</v>
      </c>
      <c r="D3332" s="98">
        <v>21261530.336100001</v>
      </c>
      <c r="E3332" s="9">
        <f t="shared" si="435"/>
        <v>5798962.6878393665</v>
      </c>
      <c r="F3332" s="98">
        <v>166</v>
      </c>
      <c r="G3332" s="98">
        <v>0</v>
      </c>
      <c r="H3332" s="98">
        <v>0</v>
      </c>
      <c r="I3332" s="98">
        <v>0</v>
      </c>
      <c r="J3332" s="98"/>
      <c r="K3332" s="7">
        <v>3.6664368233798426</v>
      </c>
      <c r="L3332" s="93">
        <f t="shared" si="436"/>
        <v>0</v>
      </c>
      <c r="M3332" s="95">
        <f t="shared" ca="1" si="437"/>
        <v>0</v>
      </c>
      <c r="N3332" s="95">
        <f>IF(P3332="Hedge Fund",IF(A3332=Summary!$AD$3,M3332-E3332,M3332),IF(A3332=Summary!$AD$3,L3332-D3332,L3332))</f>
        <v>0</v>
      </c>
      <c r="O3332" s="95">
        <f t="shared" si="438"/>
        <v>0</v>
      </c>
      <c r="P3332" s="107" t="s">
        <v>155</v>
      </c>
      <c r="Q3332" s="107">
        <v>0</v>
      </c>
      <c r="R3332" s="107">
        <v>0</v>
      </c>
      <c r="S3332" s="107">
        <v>0</v>
      </c>
      <c r="T3332" s="107">
        <v>0</v>
      </c>
      <c r="U3332" s="107"/>
      <c r="V3332" s="107"/>
      <c r="W3332" s="107"/>
      <c r="X3332" s="107"/>
      <c r="Y3332" s="107"/>
      <c r="Z3332" s="107"/>
      <c r="AA3332" s="107"/>
      <c r="AB3332" s="107"/>
      <c r="AC3332" s="355"/>
      <c r="AD3332" s="355"/>
      <c r="AE3332" s="355"/>
      <c r="AF3332" s="94">
        <f t="shared" si="439"/>
        <v>42674</v>
      </c>
      <c r="AG3332" s="185">
        <f t="shared" si="434"/>
        <v>8.246015514775995E-2</v>
      </c>
      <c r="AH3332" s="339" t="str">
        <f>VLOOKUP(B3332,'MF PF'!A:B,2)</f>
        <v>FdMgt1</v>
      </c>
      <c r="AI3332" s="358">
        <f t="shared" si="440"/>
        <v>0</v>
      </c>
      <c r="AJ3332" s="94">
        <f t="shared" si="441"/>
        <v>42674</v>
      </c>
    </row>
    <row r="3333" spans="1:36" ht="12.75" customHeight="1">
      <c r="A3333" s="94">
        <v>42704</v>
      </c>
      <c r="B3333" s="94" t="s">
        <v>188</v>
      </c>
      <c r="C3333" s="358" t="s">
        <v>301</v>
      </c>
      <c r="D3333" s="98">
        <v>17312951.462000001</v>
      </c>
      <c r="E3333" s="9">
        <f t="shared" si="435"/>
        <v>4722010.0320835067</v>
      </c>
      <c r="F3333" s="98">
        <v>166</v>
      </c>
      <c r="G3333" s="98">
        <v>0</v>
      </c>
      <c r="H3333" s="98">
        <v>0</v>
      </c>
      <c r="I3333" s="98">
        <v>-2490000</v>
      </c>
      <c r="J3333" s="98"/>
      <c r="K3333" s="7">
        <v>3.6664368233798426</v>
      </c>
      <c r="L3333" s="93">
        <f t="shared" si="436"/>
        <v>-2490000</v>
      </c>
      <c r="M3333" s="95">
        <f t="shared" ca="1" si="437"/>
        <v>-679133.48025580752</v>
      </c>
      <c r="N3333" s="95">
        <f>IF(P3333="Hedge Fund",IF(A3333=Summary!$AD$3,M3333-E3333,M3333),IF(A3333=Summary!$AD$3,L3333-D3333,L3333))</f>
        <v>-2490000</v>
      </c>
      <c r="O3333" s="95">
        <f t="shared" si="438"/>
        <v>-2490000</v>
      </c>
      <c r="P3333" s="107" t="s">
        <v>155</v>
      </c>
      <c r="Q3333" s="107">
        <v>0</v>
      </c>
      <c r="R3333" s="107">
        <v>0</v>
      </c>
      <c r="S3333" s="107">
        <v>0</v>
      </c>
      <c r="T3333" s="107">
        <v>0</v>
      </c>
      <c r="U3333" s="107"/>
      <c r="V3333" s="107"/>
      <c r="W3333" s="107"/>
      <c r="X3333" s="107"/>
      <c r="Y3333" s="107"/>
      <c r="Z3333" s="107"/>
      <c r="AA3333" s="107"/>
      <c r="AB3333" s="107"/>
      <c r="AC3333" s="355"/>
      <c r="AD3333" s="355"/>
      <c r="AE3333" s="355"/>
      <c r="AF3333" s="94">
        <f t="shared" si="439"/>
        <v>42704</v>
      </c>
      <c r="AG3333" s="185">
        <f t="shared" si="434"/>
        <v>-6.8601782235001019E-2</v>
      </c>
      <c r="AH3333" s="339" t="str">
        <f>VLOOKUP(B3333,'MF PF'!A:B,2)</f>
        <v>FdMgt1</v>
      </c>
      <c r="AI3333" s="358">
        <f t="shared" si="440"/>
        <v>0</v>
      </c>
      <c r="AJ3333" s="94">
        <f t="shared" si="441"/>
        <v>42704</v>
      </c>
    </row>
    <row r="3334" spans="1:36" ht="12.75" customHeight="1">
      <c r="A3334" s="94">
        <v>42734</v>
      </c>
      <c r="B3334" s="94" t="s">
        <v>188</v>
      </c>
      <c r="C3334" s="358" t="s">
        <v>301</v>
      </c>
      <c r="D3334" s="98">
        <v>13494317.740700001</v>
      </c>
      <c r="E3334" s="9">
        <f t="shared" si="435"/>
        <v>3680499.1851081434</v>
      </c>
      <c r="F3334" s="98">
        <v>166</v>
      </c>
      <c r="G3334" s="98">
        <v>0</v>
      </c>
      <c r="H3334" s="98">
        <v>0</v>
      </c>
      <c r="I3334" s="98">
        <v>-3984000</v>
      </c>
      <c r="J3334" s="98"/>
      <c r="K3334" s="7">
        <v>3.6664368233798426</v>
      </c>
      <c r="L3334" s="93">
        <f t="shared" si="436"/>
        <v>-3984000</v>
      </c>
      <c r="M3334" s="95">
        <f t="shared" ca="1" si="437"/>
        <v>-1086613.568409292</v>
      </c>
      <c r="N3334" s="95">
        <f>IF(P3334="Hedge Fund",IF(A3334=Summary!$AD$3,M3334-E3334,M3334),IF(A3334=Summary!$AD$3,L3334-D3334,L3334))</f>
        <v>-3984000</v>
      </c>
      <c r="O3334" s="95">
        <f t="shared" si="438"/>
        <v>-3984000</v>
      </c>
      <c r="P3334" s="107" t="s">
        <v>155</v>
      </c>
      <c r="Q3334" s="107">
        <v>0</v>
      </c>
      <c r="R3334" s="107">
        <v>0</v>
      </c>
      <c r="S3334" s="107">
        <v>0</v>
      </c>
      <c r="T3334" s="107">
        <v>0</v>
      </c>
      <c r="U3334" s="107"/>
      <c r="V3334" s="107"/>
      <c r="W3334" s="107"/>
      <c r="X3334" s="107"/>
      <c r="Y3334" s="107"/>
      <c r="Z3334" s="107"/>
      <c r="AA3334" s="107"/>
      <c r="AB3334" s="107"/>
      <c r="AC3334" s="355"/>
      <c r="AD3334" s="355"/>
      <c r="AE3334" s="355"/>
      <c r="AF3334" s="94">
        <f t="shared" si="439"/>
        <v>42734</v>
      </c>
      <c r="AG3334" s="185">
        <f t="shared" si="434"/>
        <v>9.551593733914121E-3</v>
      </c>
      <c r="AH3334" s="339" t="str">
        <f>VLOOKUP(B3334,'MF PF'!A:B,2)</f>
        <v>FdMgt1</v>
      </c>
      <c r="AI3334" s="358">
        <f t="shared" si="440"/>
        <v>0</v>
      </c>
      <c r="AJ3334" s="94">
        <f t="shared" si="441"/>
        <v>42735</v>
      </c>
    </row>
    <row r="3335" spans="1:36" ht="12.75" customHeight="1">
      <c r="A3335" s="94">
        <v>42762</v>
      </c>
      <c r="B3335" s="94" t="s">
        <v>188</v>
      </c>
      <c r="C3335" s="358" t="s">
        <v>301</v>
      </c>
      <c r="D3335" s="98">
        <v>13711362.126399999</v>
      </c>
      <c r="E3335" s="9">
        <f t="shared" si="435"/>
        <v>3739696.8192569083</v>
      </c>
      <c r="F3335" s="98">
        <v>166</v>
      </c>
      <c r="G3335" s="98">
        <v>0</v>
      </c>
      <c r="H3335" s="98">
        <v>0</v>
      </c>
      <c r="I3335" s="98">
        <v>0</v>
      </c>
      <c r="J3335" s="98"/>
      <c r="K3335" s="7">
        <v>3.6664368233798426</v>
      </c>
      <c r="L3335" s="93">
        <f t="shared" si="436"/>
        <v>0</v>
      </c>
      <c r="M3335" s="95">
        <f t="shared" ca="1" si="437"/>
        <v>0</v>
      </c>
      <c r="N3335" s="95">
        <f>IF(P3335="Hedge Fund",IF(A3335=Summary!$AD$3,M3335-E3335,M3335),IF(A3335=Summary!$AD$3,L3335-D3335,L3335))</f>
        <v>0</v>
      </c>
      <c r="O3335" s="95">
        <f t="shared" si="438"/>
        <v>0</v>
      </c>
      <c r="P3335" s="107" t="s">
        <v>155</v>
      </c>
      <c r="Q3335" s="107">
        <v>0</v>
      </c>
      <c r="R3335" s="107">
        <v>0</v>
      </c>
      <c r="S3335" s="107">
        <v>0</v>
      </c>
      <c r="T3335" s="107">
        <v>0</v>
      </c>
      <c r="U3335" s="107"/>
      <c r="V3335" s="107"/>
      <c r="W3335" s="107"/>
      <c r="X3335" s="107"/>
      <c r="Y3335" s="107"/>
      <c r="Z3335" s="107"/>
      <c r="AA3335" s="107"/>
      <c r="AB3335" s="107"/>
      <c r="AC3335" s="355"/>
      <c r="AD3335" s="355"/>
      <c r="AE3335" s="355"/>
      <c r="AF3335" s="94">
        <f t="shared" si="439"/>
        <v>42762</v>
      </c>
      <c r="AG3335" s="185">
        <f t="shared" si="434"/>
        <v>1.6084131845019112E-2</v>
      </c>
      <c r="AH3335" s="339" t="str">
        <f>VLOOKUP(B3335,'MF PF'!A:B,2)</f>
        <v>FdMgt1</v>
      </c>
      <c r="AI3335" s="358">
        <f t="shared" si="440"/>
        <v>0</v>
      </c>
      <c r="AJ3335" s="94">
        <f t="shared" si="441"/>
        <v>42766</v>
      </c>
    </row>
    <row r="3336" spans="1:36" ht="12.75" customHeight="1">
      <c r="A3336" s="94">
        <v>42794</v>
      </c>
      <c r="B3336" s="94" t="s">
        <v>188</v>
      </c>
      <c r="C3336" s="358" t="s">
        <v>301</v>
      </c>
      <c r="D3336" s="98">
        <v>13889828.339500001</v>
      </c>
      <c r="E3336" s="9">
        <f t="shared" si="435"/>
        <v>3788372.4740403132</v>
      </c>
      <c r="F3336" s="98">
        <v>166</v>
      </c>
      <c r="G3336" s="98">
        <v>0</v>
      </c>
      <c r="H3336" s="98">
        <v>0</v>
      </c>
      <c r="I3336" s="98">
        <v>0</v>
      </c>
      <c r="J3336" s="98"/>
      <c r="K3336" s="93">
        <v>3.6664368233798426</v>
      </c>
      <c r="L3336" s="93">
        <f t="shared" si="436"/>
        <v>0</v>
      </c>
      <c r="M3336" s="95">
        <f t="shared" ca="1" si="437"/>
        <v>0</v>
      </c>
      <c r="N3336" s="95">
        <f>IF(P3336="Hedge Fund",IF(A3336=Summary!$AD$3,M3336-E3336,M3336),IF(A3336=Summary!$AD$3,L3336-D3336,L3336))</f>
        <v>0</v>
      </c>
      <c r="O3336" s="95">
        <f t="shared" si="438"/>
        <v>0</v>
      </c>
      <c r="P3336" s="107" t="s">
        <v>155</v>
      </c>
      <c r="Q3336" s="107">
        <v>0</v>
      </c>
      <c r="R3336" s="107">
        <v>0</v>
      </c>
      <c r="S3336" s="107">
        <v>0</v>
      </c>
      <c r="T3336" s="107">
        <v>0</v>
      </c>
      <c r="U3336" s="107"/>
      <c r="V3336" s="107"/>
      <c r="W3336" s="107"/>
      <c r="X3336" s="107"/>
      <c r="Y3336" s="107"/>
      <c r="Z3336" s="107"/>
      <c r="AA3336" s="107"/>
      <c r="AB3336" s="107"/>
      <c r="AC3336" s="355"/>
      <c r="AD3336" s="355"/>
      <c r="AE3336" s="355"/>
      <c r="AF3336" s="94">
        <f t="shared" si="439"/>
        <v>42794</v>
      </c>
      <c r="AG3336" s="185">
        <f t="shared" si="434"/>
        <v>1.3015936086786084E-2</v>
      </c>
      <c r="AH3336" s="339" t="str">
        <f>VLOOKUP(B3336,'MF PF'!A:B,2)</f>
        <v>FdMgt1</v>
      </c>
      <c r="AI3336" s="358">
        <f t="shared" si="440"/>
        <v>0</v>
      </c>
      <c r="AJ3336" s="94">
        <f t="shared" si="441"/>
        <v>42794</v>
      </c>
    </row>
    <row r="3337" spans="1:36" ht="12.75" customHeight="1">
      <c r="A3337" s="94">
        <v>42825</v>
      </c>
      <c r="B3337" s="94" t="s">
        <v>188</v>
      </c>
      <c r="C3337" s="358" t="s">
        <v>301</v>
      </c>
      <c r="D3337" s="98">
        <v>11326239.392999999</v>
      </c>
      <c r="E3337" s="95">
        <f t="shared" si="435"/>
        <v>3089168.0229632589</v>
      </c>
      <c r="F3337" s="98">
        <v>166</v>
      </c>
      <c r="G3337" s="98">
        <v>0</v>
      </c>
      <c r="H3337" s="98">
        <v>0</v>
      </c>
      <c r="I3337" s="98">
        <v>-2490000</v>
      </c>
      <c r="J3337" s="98"/>
      <c r="K3337" s="7">
        <v>3.6664368233798426</v>
      </c>
      <c r="L3337" s="93">
        <f t="shared" si="436"/>
        <v>-2490000</v>
      </c>
      <c r="M3337" s="95">
        <f t="shared" ca="1" si="437"/>
        <v>-679133.48025580752</v>
      </c>
      <c r="N3337" s="95">
        <f>IF(P3337="Hedge Fund",IF(A3337=Summary!$AD$3,M3337-E3337,M3337),IF(A3337=Summary!$AD$3,L3337-D3337,L3337))</f>
        <v>-2490000</v>
      </c>
      <c r="O3337" s="95">
        <f t="shared" si="438"/>
        <v>-2490000</v>
      </c>
      <c r="P3337" s="107" t="s">
        <v>155</v>
      </c>
      <c r="Q3337" s="107">
        <v>0</v>
      </c>
      <c r="R3337" s="107">
        <v>0</v>
      </c>
      <c r="S3337" s="107">
        <v>0</v>
      </c>
      <c r="T3337" s="107">
        <v>0</v>
      </c>
      <c r="U3337" s="107"/>
      <c r="V3337" s="107"/>
      <c r="W3337" s="107"/>
      <c r="X3337" s="107"/>
      <c r="Y3337" s="107"/>
      <c r="Z3337" s="107"/>
      <c r="AA3337" s="107"/>
      <c r="AB3337" s="107"/>
      <c r="AC3337" s="355"/>
      <c r="AD3337" s="355"/>
      <c r="AE3337" s="355"/>
      <c r="AF3337" s="94">
        <f t="shared" si="439"/>
        <v>42825</v>
      </c>
      <c r="AG3337" s="185">
        <f t="shared" si="434"/>
        <v>-5.2980457858308183E-3</v>
      </c>
      <c r="AH3337" s="339" t="str">
        <f>VLOOKUP(B3337,'MF PF'!A:B,2)</f>
        <v>FdMgt1</v>
      </c>
      <c r="AI3337" s="358">
        <f t="shared" si="440"/>
        <v>0</v>
      </c>
      <c r="AJ3337" s="94">
        <f t="shared" si="441"/>
        <v>42825</v>
      </c>
    </row>
    <row r="3338" spans="1:36" ht="12.75" customHeight="1">
      <c r="A3338" s="94">
        <v>42853</v>
      </c>
      <c r="B3338" s="94" t="s">
        <v>188</v>
      </c>
      <c r="C3338" s="358" t="s">
        <v>301</v>
      </c>
      <c r="D3338" s="98">
        <v>11323798.039999999</v>
      </c>
      <c r="E3338" s="9">
        <f t="shared" si="435"/>
        <v>3088502.1576783499</v>
      </c>
      <c r="F3338" s="98">
        <v>166</v>
      </c>
      <c r="G3338" s="98">
        <v>0</v>
      </c>
      <c r="H3338" s="98">
        <v>0</v>
      </c>
      <c r="I3338" s="98">
        <v>0</v>
      </c>
      <c r="J3338" s="98"/>
      <c r="K3338" s="7">
        <v>3.6664368233798426</v>
      </c>
      <c r="L3338" s="93">
        <f t="shared" si="436"/>
        <v>0</v>
      </c>
      <c r="M3338" s="95">
        <f t="shared" ca="1" si="437"/>
        <v>0</v>
      </c>
      <c r="N3338" s="95">
        <f>IF(P3338="Hedge Fund",IF(A3338=Summary!$AD$3,M3338-E3338,M3338),IF(A3338=Summary!$AD$3,L3338-D3338,L3338))</f>
        <v>0</v>
      </c>
      <c r="O3338" s="95">
        <f t="shared" si="438"/>
        <v>0</v>
      </c>
      <c r="P3338" s="107" t="s">
        <v>155</v>
      </c>
      <c r="Q3338" s="107">
        <v>0</v>
      </c>
      <c r="R3338" s="107">
        <v>0</v>
      </c>
      <c r="S3338" s="107">
        <v>0</v>
      </c>
      <c r="T3338" s="107">
        <v>0</v>
      </c>
      <c r="U3338" s="107"/>
      <c r="V3338" s="107"/>
      <c r="W3338" s="107"/>
      <c r="X3338" s="107"/>
      <c r="Y3338" s="107"/>
      <c r="Z3338" s="107"/>
      <c r="AA3338" s="107"/>
      <c r="AB3338" s="107"/>
      <c r="AC3338" s="355"/>
      <c r="AD3338" s="355"/>
      <c r="AE3338" s="355"/>
      <c r="AF3338" s="94">
        <f t="shared" si="439"/>
        <v>42853</v>
      </c>
      <c r="AG3338" s="185">
        <f t="shared" si="434"/>
        <v>-2.1554841949644743E-4</v>
      </c>
      <c r="AH3338" s="339" t="str">
        <f>VLOOKUP(B3338,'MF PF'!A:B,2)</f>
        <v>FdMgt1</v>
      </c>
      <c r="AI3338" s="358">
        <f t="shared" si="440"/>
        <v>0</v>
      </c>
      <c r="AJ3338" s="94">
        <f t="shared" si="441"/>
        <v>42855</v>
      </c>
    </row>
    <row r="3339" spans="1:36" ht="12.75" customHeight="1">
      <c r="A3339" s="94">
        <v>42886</v>
      </c>
      <c r="B3339" s="94" t="s">
        <v>188</v>
      </c>
      <c r="C3339" s="358" t="s">
        <v>301</v>
      </c>
      <c r="D3339" s="98">
        <v>11131427.014699999</v>
      </c>
      <c r="E3339" s="9">
        <f t="shared" si="435"/>
        <v>3036034.0436573192</v>
      </c>
      <c r="F3339" s="98">
        <v>166</v>
      </c>
      <c r="G3339" s="98">
        <v>0</v>
      </c>
      <c r="H3339" s="98">
        <v>0</v>
      </c>
      <c r="I3339" s="98">
        <v>0</v>
      </c>
      <c r="J3339" s="98"/>
      <c r="K3339" s="7">
        <v>3.6664368233798426</v>
      </c>
      <c r="L3339" s="93">
        <f t="shared" si="436"/>
        <v>0</v>
      </c>
      <c r="M3339" s="95">
        <f t="shared" ca="1" si="437"/>
        <v>0</v>
      </c>
      <c r="N3339" s="95">
        <f>IF(P3339="Hedge Fund",IF(A3339=Summary!$AD$3,M3339-E3339,M3339),IF(A3339=Summary!$AD$3,L3339-D3339,L3339))</f>
        <v>0</v>
      </c>
      <c r="O3339" s="95">
        <f t="shared" si="438"/>
        <v>0</v>
      </c>
      <c r="P3339" s="107" t="s">
        <v>155</v>
      </c>
      <c r="Q3339" s="107">
        <v>0</v>
      </c>
      <c r="R3339" s="107">
        <v>0</v>
      </c>
      <c r="S3339" s="107">
        <v>0</v>
      </c>
      <c r="T3339" s="107">
        <v>0</v>
      </c>
      <c r="U3339" s="107"/>
      <c r="V3339" s="107"/>
      <c r="W3339" s="107"/>
      <c r="X3339" s="107"/>
      <c r="Y3339" s="107"/>
      <c r="Z3339" s="107"/>
      <c r="AA3339" s="107"/>
      <c r="AB3339" s="107"/>
      <c r="AC3339" s="355"/>
      <c r="AD3339" s="355"/>
      <c r="AE3339" s="355"/>
      <c r="AF3339" s="94">
        <f t="shared" si="439"/>
        <v>42886</v>
      </c>
      <c r="AG3339" s="185">
        <f t="shared" si="434"/>
        <v>-1.6988207015037893E-2</v>
      </c>
      <c r="AH3339" s="339" t="str">
        <f>VLOOKUP(B3339,'MF PF'!A:B,2)</f>
        <v>FdMgt1</v>
      </c>
      <c r="AI3339" s="358">
        <f t="shared" si="440"/>
        <v>0</v>
      </c>
      <c r="AJ3339" s="94">
        <f t="shared" si="441"/>
        <v>42886</v>
      </c>
    </row>
    <row r="3340" spans="1:36" ht="12.75" customHeight="1">
      <c r="A3340" s="94">
        <v>42916</v>
      </c>
      <c r="B3340" s="94" t="s">
        <v>188</v>
      </c>
      <c r="C3340" s="358" t="s">
        <v>301</v>
      </c>
      <c r="D3340" s="98">
        <v>11136392.9254</v>
      </c>
      <c r="E3340" s="9">
        <f t="shared" si="435"/>
        <v>3037388.4678405845</v>
      </c>
      <c r="F3340" s="98">
        <v>166</v>
      </c>
      <c r="G3340" s="98">
        <v>0</v>
      </c>
      <c r="H3340" s="98">
        <v>0</v>
      </c>
      <c r="I3340" s="98">
        <v>0</v>
      </c>
      <c r="J3340" s="98"/>
      <c r="K3340" s="7">
        <v>3.6664368233798426</v>
      </c>
      <c r="L3340" s="93">
        <f t="shared" si="436"/>
        <v>0</v>
      </c>
      <c r="M3340" s="95">
        <f t="shared" ca="1" si="437"/>
        <v>0</v>
      </c>
      <c r="N3340" s="95">
        <f>IF(P3340="Hedge Fund",IF(A3340=Summary!$AD$3,M3340-E3340,M3340),IF(A3340=Summary!$AD$3,L3340-D3340,L3340))</f>
        <v>0</v>
      </c>
      <c r="O3340" s="95">
        <f t="shared" si="438"/>
        <v>0</v>
      </c>
      <c r="P3340" s="107" t="s">
        <v>155</v>
      </c>
      <c r="Q3340" s="107">
        <v>0</v>
      </c>
      <c r="R3340" s="107">
        <v>0</v>
      </c>
      <c r="S3340" s="107">
        <v>0</v>
      </c>
      <c r="T3340" s="107">
        <v>0</v>
      </c>
      <c r="U3340" s="107"/>
      <c r="V3340" s="107"/>
      <c r="W3340" s="107"/>
      <c r="X3340" s="107"/>
      <c r="Y3340" s="107"/>
      <c r="Z3340" s="107"/>
      <c r="AA3340" s="107"/>
      <c r="AB3340" s="107"/>
      <c r="AC3340" s="355"/>
      <c r="AD3340" s="355"/>
      <c r="AE3340" s="355"/>
      <c r="AF3340" s="94">
        <f t="shared" si="439"/>
        <v>42916</v>
      </c>
      <c r="AG3340" s="185">
        <f t="shared" si="434"/>
        <v>4.4611627003821042E-4</v>
      </c>
      <c r="AH3340" s="339" t="str">
        <f>VLOOKUP(B3340,'MF PF'!A:B,2)</f>
        <v>FdMgt1</v>
      </c>
      <c r="AI3340" s="358">
        <f t="shared" si="440"/>
        <v>0</v>
      </c>
      <c r="AJ3340" s="94">
        <f t="shared" si="441"/>
        <v>42916</v>
      </c>
    </row>
    <row r="3341" spans="1:36" ht="12.75" customHeight="1">
      <c r="A3341" s="94">
        <v>42947</v>
      </c>
      <c r="B3341" s="94" t="s">
        <v>188</v>
      </c>
      <c r="C3341" s="358" t="s">
        <v>301</v>
      </c>
      <c r="D3341" s="98">
        <v>7401068.1880000001</v>
      </c>
      <c r="E3341" s="9">
        <f t="shared" si="435"/>
        <v>2018599.6771594312</v>
      </c>
      <c r="F3341" s="98">
        <v>166</v>
      </c>
      <c r="G3341" s="98">
        <v>0</v>
      </c>
      <c r="H3341" s="98">
        <v>0</v>
      </c>
      <c r="I3341" s="98">
        <v>-3486000</v>
      </c>
      <c r="J3341" s="98"/>
      <c r="K3341" s="7">
        <v>3.6664368233798426</v>
      </c>
      <c r="L3341" s="93">
        <f t="shared" si="436"/>
        <v>-3486000</v>
      </c>
      <c r="M3341" s="95">
        <f t="shared" ca="1" si="437"/>
        <v>-950786.87235813052</v>
      </c>
      <c r="N3341" s="95">
        <f>IF(P3341="Hedge Fund",IF(A3341=Summary!$AD$3,M3341-E3341,M3341),IF(A3341=Summary!$AD$3,L3341-D3341,L3341))</f>
        <v>-3486000</v>
      </c>
      <c r="O3341" s="95">
        <f t="shared" si="438"/>
        <v>-3486000</v>
      </c>
      <c r="P3341" s="107" t="s">
        <v>155</v>
      </c>
      <c r="Q3341" s="107">
        <v>0</v>
      </c>
      <c r="R3341" s="107">
        <v>0</v>
      </c>
      <c r="S3341" s="107">
        <v>0</v>
      </c>
      <c r="T3341" s="107">
        <v>0</v>
      </c>
      <c r="U3341" s="107"/>
      <c r="V3341" s="107"/>
      <c r="W3341" s="107"/>
      <c r="X3341" s="107"/>
      <c r="Y3341" s="107"/>
      <c r="Z3341" s="107"/>
      <c r="AA3341" s="107"/>
      <c r="AB3341" s="107"/>
      <c r="AC3341" s="355"/>
      <c r="AD3341" s="355"/>
      <c r="AE3341" s="355"/>
      <c r="AF3341" s="94">
        <f t="shared" si="439"/>
        <v>42947</v>
      </c>
      <c r="AG3341" s="185">
        <f t="shared" si="434"/>
        <v>-2.2388284884537146E-2</v>
      </c>
      <c r="AH3341" s="339" t="str">
        <f>VLOOKUP(B3341,'MF PF'!A:B,2)</f>
        <v>FdMgt1</v>
      </c>
      <c r="AI3341" s="358">
        <f t="shared" si="440"/>
        <v>0</v>
      </c>
      <c r="AJ3341" s="94">
        <f t="shared" si="441"/>
        <v>42947</v>
      </c>
    </row>
    <row r="3342" spans="1:36" ht="12.75" customHeight="1">
      <c r="A3342" s="94">
        <v>42978</v>
      </c>
      <c r="B3342" s="94" t="s">
        <v>188</v>
      </c>
      <c r="C3342" s="358" t="s">
        <v>301</v>
      </c>
      <c r="D3342" s="98">
        <v>7505600</v>
      </c>
      <c r="E3342" s="9">
        <f t="shared" si="435"/>
        <v>2047110.1403244936</v>
      </c>
      <c r="F3342" s="98">
        <v>166</v>
      </c>
      <c r="G3342" s="98">
        <v>0</v>
      </c>
      <c r="H3342" s="98">
        <v>0</v>
      </c>
      <c r="I3342" s="98">
        <v>0</v>
      </c>
      <c r="J3342" s="98"/>
      <c r="K3342" s="7">
        <v>3.6664368233798426</v>
      </c>
      <c r="L3342" s="93">
        <f t="shared" si="436"/>
        <v>0</v>
      </c>
      <c r="M3342" s="95">
        <f t="shared" ca="1" si="437"/>
        <v>0</v>
      </c>
      <c r="N3342" s="95">
        <f>IF(P3342="Hedge Fund",IF(A3342=Summary!$AD$3,M3342-E3342,M3342),IF(A3342=Summary!$AD$3,L3342-D3342,L3342))</f>
        <v>0</v>
      </c>
      <c r="O3342" s="95">
        <f t="shared" si="438"/>
        <v>0</v>
      </c>
      <c r="P3342" s="107" t="s">
        <v>155</v>
      </c>
      <c r="Q3342" s="107">
        <v>0</v>
      </c>
      <c r="R3342" s="107">
        <v>0</v>
      </c>
      <c r="S3342" s="107">
        <v>0</v>
      </c>
      <c r="T3342" s="107">
        <v>0</v>
      </c>
      <c r="U3342" s="107"/>
      <c r="V3342" s="107"/>
      <c r="W3342" s="107"/>
      <c r="X3342" s="107"/>
      <c r="Y3342" s="107"/>
      <c r="Z3342" s="107"/>
      <c r="AA3342" s="107"/>
      <c r="AB3342" s="107"/>
      <c r="AC3342" s="355"/>
      <c r="AD3342" s="355"/>
      <c r="AE3342" s="355"/>
      <c r="AF3342" s="94">
        <f t="shared" si="439"/>
        <v>42978</v>
      </c>
      <c r="AG3342" s="185">
        <f t="shared" si="434"/>
        <v>1.4123881762025503E-2</v>
      </c>
      <c r="AH3342" s="339" t="str">
        <f>VLOOKUP(B3342,'MF PF'!A:B,2)</f>
        <v>FdMgt1</v>
      </c>
      <c r="AI3342" s="358">
        <f t="shared" si="440"/>
        <v>0</v>
      </c>
      <c r="AJ3342" s="94">
        <f t="shared" si="441"/>
        <v>42978</v>
      </c>
    </row>
    <row r="3343" spans="1:36" ht="12.75" customHeight="1">
      <c r="A3343" s="94">
        <v>43007</v>
      </c>
      <c r="B3343" s="94" t="s">
        <v>188</v>
      </c>
      <c r="C3343" s="358" t="s">
        <v>301</v>
      </c>
      <c r="D3343" s="98">
        <v>7342700</v>
      </c>
      <c r="E3343" s="9">
        <f t="shared" si="435"/>
        <v>2002680.0825198065</v>
      </c>
      <c r="F3343" s="98">
        <v>166</v>
      </c>
      <c r="G3343" s="98">
        <v>0</v>
      </c>
      <c r="H3343" s="98">
        <v>0</v>
      </c>
      <c r="I3343" s="98">
        <v>0</v>
      </c>
      <c r="J3343" s="98"/>
      <c r="K3343" s="7">
        <v>3.6664368233798426</v>
      </c>
      <c r="L3343" s="93">
        <f t="shared" si="436"/>
        <v>0</v>
      </c>
      <c r="M3343" s="95">
        <f t="shared" ca="1" si="437"/>
        <v>0</v>
      </c>
      <c r="N3343" s="95">
        <f>IF(P3343="Hedge Fund",IF(A3343=Summary!$AD$3,M3343-E3343,M3343),IF(A3343=Summary!$AD$3,L3343-D3343,L3343))</f>
        <v>0</v>
      </c>
      <c r="O3343" s="95">
        <f t="shared" si="438"/>
        <v>0</v>
      </c>
      <c r="P3343" s="107" t="s">
        <v>155</v>
      </c>
      <c r="Q3343" s="107">
        <v>0</v>
      </c>
      <c r="R3343" s="107">
        <v>0</v>
      </c>
      <c r="S3343" s="107">
        <v>0</v>
      </c>
      <c r="T3343" s="107">
        <v>0</v>
      </c>
      <c r="U3343" s="107"/>
      <c r="V3343" s="107"/>
      <c r="W3343" s="107"/>
      <c r="X3343" s="107"/>
      <c r="Y3343" s="107"/>
      <c r="Z3343" s="107"/>
      <c r="AA3343" s="107"/>
      <c r="AB3343" s="107"/>
      <c r="AC3343" s="355"/>
      <c r="AD3343" s="355"/>
      <c r="AE3343" s="355"/>
      <c r="AF3343" s="94">
        <f t="shared" si="439"/>
        <v>43007</v>
      </c>
      <c r="AG3343" s="185">
        <f t="shared" si="434"/>
        <v>-2.1703794500106621E-2</v>
      </c>
      <c r="AH3343" s="339" t="str">
        <f>VLOOKUP(B3343,'MF PF'!A:B,2)</f>
        <v>FdMgt1</v>
      </c>
      <c r="AI3343" s="358">
        <f t="shared" si="440"/>
        <v>0</v>
      </c>
      <c r="AJ3343" s="94">
        <f t="shared" si="441"/>
        <v>43008</v>
      </c>
    </row>
    <row r="3344" spans="1:36" ht="12.75" customHeight="1">
      <c r="A3344" s="94">
        <v>43039</v>
      </c>
      <c r="B3344" s="94" t="s">
        <v>188</v>
      </c>
      <c r="C3344" s="358" t="s">
        <v>301</v>
      </c>
      <c r="D3344" s="98">
        <v>11324900</v>
      </c>
      <c r="E3344" s="9">
        <f t="shared" si="435"/>
        <v>3088802.7110638535</v>
      </c>
      <c r="F3344" s="98">
        <v>166</v>
      </c>
      <c r="G3344" s="98">
        <v>0</v>
      </c>
      <c r="H3344" s="98">
        <v>0</v>
      </c>
      <c r="I3344" s="98">
        <v>0</v>
      </c>
      <c r="J3344" s="98"/>
      <c r="K3344" s="7">
        <v>3.6664368233798426</v>
      </c>
      <c r="L3344" s="93">
        <f t="shared" si="436"/>
        <v>0</v>
      </c>
      <c r="M3344" s="95">
        <f t="shared" ca="1" si="437"/>
        <v>0</v>
      </c>
      <c r="N3344" s="95">
        <f>IF(P3344="Hedge Fund",IF(A3344=Summary!$AD$3,M3344-E3344,M3344),IF(A3344=Summary!$AD$3,L3344-D3344,L3344))</f>
        <v>0</v>
      </c>
      <c r="O3344" s="95">
        <f t="shared" si="438"/>
        <v>0</v>
      </c>
      <c r="P3344" s="107" t="s">
        <v>155</v>
      </c>
      <c r="Q3344" s="107">
        <v>0</v>
      </c>
      <c r="R3344" s="107">
        <v>0</v>
      </c>
      <c r="S3344" s="107">
        <v>0</v>
      </c>
      <c r="T3344" s="107">
        <v>0</v>
      </c>
      <c r="U3344" s="107"/>
      <c r="V3344" s="107"/>
      <c r="W3344" s="107"/>
      <c r="X3344" s="107"/>
      <c r="Y3344" s="107"/>
      <c r="Z3344" s="107"/>
      <c r="AA3344" s="107"/>
      <c r="AB3344" s="107"/>
      <c r="AC3344" s="355"/>
      <c r="AD3344" s="355"/>
      <c r="AE3344" s="355"/>
      <c r="AF3344" s="94">
        <f t="shared" si="439"/>
        <v>43039</v>
      </c>
      <c r="AG3344" s="185">
        <f t="shared" si="434"/>
        <v>0.54233456358015442</v>
      </c>
      <c r="AH3344" s="339" t="str">
        <f>VLOOKUP(B3344,'MF PF'!A:B,2)</f>
        <v>FdMgt1</v>
      </c>
      <c r="AI3344" s="358">
        <f t="shared" si="440"/>
        <v>0</v>
      </c>
      <c r="AJ3344" s="94">
        <f t="shared" si="441"/>
        <v>43039</v>
      </c>
    </row>
    <row r="3345" spans="1:36" ht="12.75" customHeight="1">
      <c r="A3345" s="94">
        <v>43069</v>
      </c>
      <c r="B3345" s="94" t="s">
        <v>188</v>
      </c>
      <c r="C3345" s="358" t="s">
        <v>301</v>
      </c>
      <c r="D3345" s="98">
        <v>11286200</v>
      </c>
      <c r="E3345" s="9">
        <f t="shared" si="435"/>
        <v>3078247.5039610825</v>
      </c>
      <c r="F3345" s="98">
        <v>166</v>
      </c>
      <c r="G3345" s="98">
        <v>0</v>
      </c>
      <c r="H3345" s="98">
        <v>0</v>
      </c>
      <c r="I3345" s="98">
        <v>0</v>
      </c>
      <c r="J3345" s="98"/>
      <c r="K3345" s="7">
        <v>3.6664368233798426</v>
      </c>
      <c r="L3345" s="93">
        <f t="shared" si="436"/>
        <v>0</v>
      </c>
      <c r="M3345" s="95">
        <f t="shared" ca="1" si="437"/>
        <v>0</v>
      </c>
      <c r="N3345" s="95">
        <f>IF(P3345="Hedge Fund",IF(A3345=Summary!$AD$3,M3345-E3345,M3345),IF(A3345=Summary!$AD$3,L3345-D3345,L3345))</f>
        <v>0</v>
      </c>
      <c r="O3345" s="95">
        <f t="shared" si="438"/>
        <v>0</v>
      </c>
      <c r="P3345" s="107" t="s">
        <v>155</v>
      </c>
      <c r="Q3345" s="107">
        <v>0</v>
      </c>
      <c r="R3345" s="107">
        <v>0</v>
      </c>
      <c r="S3345" s="107">
        <v>0</v>
      </c>
      <c r="T3345" s="107">
        <v>0</v>
      </c>
      <c r="U3345" s="107"/>
      <c r="V3345" s="107"/>
      <c r="W3345" s="107"/>
      <c r="X3345" s="107"/>
      <c r="Y3345" s="107"/>
      <c r="Z3345" s="107"/>
      <c r="AA3345" s="107"/>
      <c r="AB3345" s="107"/>
      <c r="AC3345" s="355"/>
      <c r="AD3345" s="355"/>
      <c r="AE3345" s="355"/>
      <c r="AF3345" s="94">
        <f t="shared" si="439"/>
        <v>43069</v>
      </c>
      <c r="AG3345" s="185">
        <f t="shared" si="434"/>
        <v>-3.4172487174279897E-3</v>
      </c>
      <c r="AH3345" s="339" t="str">
        <f>VLOOKUP(B3345,'MF PF'!A:B,2)</f>
        <v>FdMgt1</v>
      </c>
      <c r="AI3345" s="358">
        <f t="shared" si="440"/>
        <v>0</v>
      </c>
      <c r="AJ3345" s="94">
        <f t="shared" si="441"/>
        <v>43069</v>
      </c>
    </row>
    <row r="3346" spans="1:36" ht="12.75" customHeight="1">
      <c r="A3346" s="94">
        <v>43098</v>
      </c>
      <c r="B3346" s="94" t="s">
        <v>188</v>
      </c>
      <c r="C3346" s="358" t="s">
        <v>301</v>
      </c>
      <c r="D3346" s="98">
        <v>6958600</v>
      </c>
      <c r="E3346" s="9">
        <f t="shared" si="435"/>
        <v>1897918.9701638804</v>
      </c>
      <c r="F3346" s="98">
        <v>166</v>
      </c>
      <c r="G3346" s="98">
        <v>0</v>
      </c>
      <c r="H3346" s="98">
        <v>0</v>
      </c>
      <c r="I3346" s="98">
        <v>-4245335.18</v>
      </c>
      <c r="J3346" s="98"/>
      <c r="K3346" s="7">
        <v>3.6664368233798426</v>
      </c>
      <c r="L3346" s="93">
        <f t="shared" si="436"/>
        <v>-4245335.18</v>
      </c>
      <c r="M3346" s="95">
        <f t="shared" ca="1" si="437"/>
        <v>-1157891.2673276365</v>
      </c>
      <c r="N3346" s="95">
        <f>IF(P3346="Hedge Fund",IF(A3346=Summary!$AD$3,M3346-E3346,M3346),IF(A3346=Summary!$AD$3,L3346-D3346,L3346))</f>
        <v>-4245335.18</v>
      </c>
      <c r="O3346" s="95">
        <f t="shared" si="438"/>
        <v>-4245335.18</v>
      </c>
      <c r="P3346" s="107" t="s">
        <v>155</v>
      </c>
      <c r="Q3346" s="107">
        <v>0</v>
      </c>
      <c r="R3346" s="107">
        <v>0</v>
      </c>
      <c r="S3346" s="107">
        <v>0</v>
      </c>
      <c r="T3346" s="107">
        <v>0</v>
      </c>
      <c r="U3346" s="107"/>
      <c r="V3346" s="107"/>
      <c r="W3346" s="107"/>
      <c r="X3346" s="107"/>
      <c r="Y3346" s="107"/>
      <c r="Z3346" s="107"/>
      <c r="AA3346" s="107"/>
      <c r="AB3346" s="107"/>
      <c r="AC3346" s="355"/>
      <c r="AD3346" s="355"/>
      <c r="AE3346" s="355"/>
      <c r="AF3346" s="94">
        <f t="shared" si="439"/>
        <v>43098</v>
      </c>
      <c r="AG3346" s="185">
        <f t="shared" si="434"/>
        <v>-7.2889741454165158E-3</v>
      </c>
      <c r="AH3346" s="339" t="str">
        <f>VLOOKUP(B3346,'MF PF'!A:B,2)</f>
        <v>FdMgt1</v>
      </c>
      <c r="AI3346" s="358">
        <f t="shared" si="440"/>
        <v>0</v>
      </c>
      <c r="AJ3346" s="94">
        <f t="shared" si="441"/>
        <v>43100</v>
      </c>
    </row>
    <row r="3347" spans="1:36" ht="12.75" customHeight="1">
      <c r="A3347" s="94">
        <v>43131</v>
      </c>
      <c r="B3347" s="94" t="s">
        <v>188</v>
      </c>
      <c r="C3347" s="358" t="s">
        <v>301</v>
      </c>
      <c r="D3347" s="98">
        <v>6879600</v>
      </c>
      <c r="E3347" s="9">
        <f t="shared" si="435"/>
        <v>1876372.1649670093</v>
      </c>
      <c r="F3347" s="98">
        <v>166</v>
      </c>
      <c r="G3347" s="98">
        <v>0</v>
      </c>
      <c r="H3347" s="98">
        <v>0</v>
      </c>
      <c r="I3347" s="98">
        <v>0</v>
      </c>
      <c r="J3347" s="98"/>
      <c r="K3347" s="7">
        <v>3.6664368233798426</v>
      </c>
      <c r="L3347" s="93">
        <f t="shared" si="436"/>
        <v>0</v>
      </c>
      <c r="M3347" s="95">
        <f t="shared" ca="1" si="437"/>
        <v>0</v>
      </c>
      <c r="N3347" s="95">
        <f>IF(P3347="Hedge Fund",IF(A3347=Summary!$AD$3,M3347-E3347,M3347),IF(A3347=Summary!$AD$3,L3347-D3347,L3347))</f>
        <v>0</v>
      </c>
      <c r="O3347" s="95">
        <f t="shared" si="438"/>
        <v>0</v>
      </c>
      <c r="P3347" s="107" t="s">
        <v>155</v>
      </c>
      <c r="Q3347" s="107">
        <v>0</v>
      </c>
      <c r="R3347" s="107">
        <v>1.214</v>
      </c>
      <c r="S3347" s="107"/>
      <c r="T3347" s="107">
        <v>0.06</v>
      </c>
      <c r="U3347" s="107"/>
      <c r="V3347" s="107"/>
      <c r="W3347" s="107"/>
      <c r="X3347" s="107"/>
      <c r="Y3347" s="107"/>
      <c r="Z3347" s="107"/>
      <c r="AA3347" s="107"/>
      <c r="AB3347" s="107"/>
      <c r="AC3347" s="355"/>
      <c r="AD3347" s="355"/>
      <c r="AE3347" s="355"/>
      <c r="AF3347" s="94">
        <f t="shared" si="439"/>
        <v>43131</v>
      </c>
      <c r="AG3347" s="185">
        <f t="shared" si="434"/>
        <v>-1.1352858333572802E-2</v>
      </c>
      <c r="AH3347" s="339" t="str">
        <f>VLOOKUP(B3347,'MF PF'!A:B,2)</f>
        <v>FdMgt1</v>
      </c>
      <c r="AI3347" s="358">
        <f t="shared" si="440"/>
        <v>0</v>
      </c>
      <c r="AJ3347" s="94">
        <f t="shared" si="441"/>
        <v>43131</v>
      </c>
    </row>
    <row r="3348" spans="1:36" ht="12.75" customHeight="1">
      <c r="A3348" s="94">
        <v>43159</v>
      </c>
      <c r="B3348" s="94" t="s">
        <v>188</v>
      </c>
      <c r="C3348" s="358" t="s">
        <v>301</v>
      </c>
      <c r="D3348" s="98">
        <v>6999000</v>
      </c>
      <c r="E3348" s="9">
        <f t="shared" si="435"/>
        <v>1908937.8426949384</v>
      </c>
      <c r="F3348" s="98">
        <v>166</v>
      </c>
      <c r="G3348" s="98">
        <v>0</v>
      </c>
      <c r="H3348" s="98">
        <v>0</v>
      </c>
      <c r="I3348" s="98">
        <v>0</v>
      </c>
      <c r="J3348" s="98"/>
      <c r="K3348" s="7">
        <v>3.6664368233798426</v>
      </c>
      <c r="L3348" s="93">
        <f t="shared" si="436"/>
        <v>0</v>
      </c>
      <c r="M3348" s="95">
        <f t="shared" ca="1" si="437"/>
        <v>0</v>
      </c>
      <c r="N3348" s="95">
        <f>IF(P3348="Hedge Fund",IF(A3348=Summary!$AD$3,M3348-E3348,M3348),IF(A3348=Summary!$AD$3,L3348-D3348,L3348))</f>
        <v>0</v>
      </c>
      <c r="O3348" s="95">
        <f t="shared" si="438"/>
        <v>0</v>
      </c>
      <c r="P3348" s="107" t="s">
        <v>155</v>
      </c>
      <c r="Q3348" s="107">
        <v>0</v>
      </c>
      <c r="R3348" s="107">
        <v>1.2351000000000001</v>
      </c>
      <c r="S3348" s="107"/>
      <c r="T3348" s="107">
        <v>0.06</v>
      </c>
      <c r="U3348" s="107"/>
      <c r="V3348" s="107"/>
      <c r="W3348" s="107"/>
      <c r="X3348" s="107"/>
      <c r="Y3348" s="107"/>
      <c r="Z3348" s="107"/>
      <c r="AA3348" s="107"/>
      <c r="AB3348" s="107"/>
      <c r="AC3348" s="355"/>
      <c r="AD3348" s="355"/>
      <c r="AE3348" s="355"/>
      <c r="AF3348" s="94">
        <f t="shared" si="439"/>
        <v>43159</v>
      </c>
      <c r="AG3348" s="185">
        <f t="shared" si="434"/>
        <v>1.7355660212803103E-2</v>
      </c>
      <c r="AH3348" s="339" t="str">
        <f>VLOOKUP(B3348,'MF PF'!A:B,2)</f>
        <v>FdMgt1</v>
      </c>
      <c r="AI3348" s="358">
        <f t="shared" si="440"/>
        <v>0</v>
      </c>
      <c r="AJ3348" s="94">
        <f t="shared" si="441"/>
        <v>43159</v>
      </c>
    </row>
    <row r="3349" spans="1:36" ht="12.75" customHeight="1">
      <c r="A3349" s="94">
        <v>43188</v>
      </c>
      <c r="B3349" s="94" t="s">
        <v>188</v>
      </c>
      <c r="C3349" s="358" t="s">
        <v>301</v>
      </c>
      <c r="D3349" s="110">
        <v>3873139.8689999999</v>
      </c>
      <c r="E3349" s="9">
        <f t="shared" si="435"/>
        <v>1056377.0918680693</v>
      </c>
      <c r="F3349" s="98">
        <v>166</v>
      </c>
      <c r="G3349" s="98">
        <v>0</v>
      </c>
      <c r="H3349" s="98">
        <v>0</v>
      </c>
      <c r="I3349" s="110">
        <v>-3111302.82</v>
      </c>
      <c r="J3349" s="110"/>
      <c r="K3349" s="7">
        <v>3.6664368233798426</v>
      </c>
      <c r="L3349" s="93">
        <f t="shared" si="436"/>
        <v>-3111302.82</v>
      </c>
      <c r="M3349" s="95">
        <f t="shared" ca="1" si="437"/>
        <v>-848590.32621538476</v>
      </c>
      <c r="N3349" s="95">
        <f>IF(P3349="Hedge Fund",IF(A3349=Summary!$AD$3,M3349-E3349,M3349),IF(A3349=Summary!$AD$3,L3349-D3349,L3349))</f>
        <v>-3111302.82</v>
      </c>
      <c r="O3349" s="95">
        <f t="shared" si="438"/>
        <v>-3111302.82</v>
      </c>
      <c r="P3349" s="107" t="s">
        <v>155</v>
      </c>
      <c r="Q3349" s="109">
        <v>0</v>
      </c>
      <c r="R3349" s="109">
        <v>0.6835</v>
      </c>
      <c r="S3349" s="107"/>
      <c r="T3349" s="107">
        <v>0.03</v>
      </c>
      <c r="U3349" s="107"/>
      <c r="V3349" s="107"/>
      <c r="W3349" s="107"/>
      <c r="X3349" s="107"/>
      <c r="Y3349" s="107"/>
      <c r="Z3349" s="107"/>
      <c r="AA3349" s="107"/>
      <c r="AB3349" s="107"/>
      <c r="AC3349" s="355"/>
      <c r="AD3349" s="355"/>
      <c r="AE3349" s="355"/>
      <c r="AF3349" s="94">
        <f t="shared" si="439"/>
        <v>43188</v>
      </c>
      <c r="AG3349" s="185">
        <f t="shared" si="434"/>
        <v>-2.0799129875697098E-3</v>
      </c>
      <c r="AH3349" s="339" t="str">
        <f>VLOOKUP(B3349,'MF PF'!A:B,2)</f>
        <v>FdMgt1</v>
      </c>
      <c r="AI3349" s="358">
        <f t="shared" si="440"/>
        <v>0</v>
      </c>
      <c r="AJ3349" s="94">
        <f t="shared" si="441"/>
        <v>43190</v>
      </c>
    </row>
    <row r="3350" spans="1:36" ht="12.75" customHeight="1">
      <c r="A3350" s="94">
        <v>43220</v>
      </c>
      <c r="B3350" s="94" t="s">
        <v>188</v>
      </c>
      <c r="C3350" s="358" t="s">
        <v>301</v>
      </c>
      <c r="D3350" s="110">
        <v>3906216.8964999998</v>
      </c>
      <c r="E3350" s="9">
        <f t="shared" si="435"/>
        <v>1065398.6648811584</v>
      </c>
      <c r="F3350" s="98">
        <v>166</v>
      </c>
      <c r="G3350" s="98">
        <v>0</v>
      </c>
      <c r="H3350" s="98">
        <v>0</v>
      </c>
      <c r="I3350" s="110"/>
      <c r="J3350" s="110"/>
      <c r="K3350" s="7">
        <v>3.6664368233798426</v>
      </c>
      <c r="L3350" s="93">
        <f t="shared" si="436"/>
        <v>0</v>
      </c>
      <c r="M3350" s="95">
        <f t="shared" ca="1" si="437"/>
        <v>0</v>
      </c>
      <c r="N3350" s="95">
        <f>IF(P3350="Hedge Fund",IF(A3350=Summary!$AD$3,M3350-E3350,M3350),IF(A3350=Summary!$AD$3,L3350-D3350,L3350))</f>
        <v>0</v>
      </c>
      <c r="O3350" s="95">
        <f t="shared" si="438"/>
        <v>0</v>
      </c>
      <c r="P3350" s="107" t="s">
        <v>155</v>
      </c>
      <c r="Q3350" s="109">
        <v>0</v>
      </c>
      <c r="R3350" s="109">
        <v>0.68930000000000002</v>
      </c>
      <c r="S3350" s="107"/>
      <c r="T3350" s="107">
        <v>0.03</v>
      </c>
      <c r="U3350" s="107"/>
      <c r="V3350" s="107"/>
      <c r="W3350" s="107"/>
      <c r="X3350" s="107"/>
      <c r="Y3350" s="107"/>
      <c r="Z3350" s="107"/>
      <c r="AA3350" s="107"/>
      <c r="AB3350" s="107"/>
      <c r="AC3350" s="355"/>
      <c r="AD3350" s="355"/>
      <c r="AE3350" s="355"/>
      <c r="AF3350" s="94">
        <f t="shared" si="439"/>
        <v>43220</v>
      </c>
      <c r="AG3350" s="185">
        <f t="shared" si="434"/>
        <v>8.5401066366703748E-3</v>
      </c>
      <c r="AH3350" s="339" t="str">
        <f>VLOOKUP(B3350,'MF PF'!A:B,2)</f>
        <v>FdMgt1</v>
      </c>
      <c r="AI3350" s="358">
        <f t="shared" si="440"/>
        <v>0</v>
      </c>
      <c r="AJ3350" s="94">
        <f t="shared" si="441"/>
        <v>43220</v>
      </c>
    </row>
    <row r="3351" spans="1:36" ht="12.75" customHeight="1">
      <c r="A3351" s="94">
        <v>43251</v>
      </c>
      <c r="B3351" s="358" t="s">
        <v>188</v>
      </c>
      <c r="C3351" s="94" t="s">
        <v>301</v>
      </c>
      <c r="D3351" s="110">
        <v>3054371.7335000001</v>
      </c>
      <c r="E3351" s="9">
        <f t="shared" si="435"/>
        <v>833062.69291840121</v>
      </c>
      <c r="F3351" s="98">
        <v>166</v>
      </c>
      <c r="G3351" s="98">
        <v>0</v>
      </c>
      <c r="H3351" s="98">
        <v>0</v>
      </c>
      <c r="I3351" s="98"/>
      <c r="J3351" s="98"/>
      <c r="K3351" s="7">
        <v>3.6664368233798426</v>
      </c>
      <c r="L3351" s="93">
        <f t="shared" si="436"/>
        <v>0</v>
      </c>
      <c r="M3351" s="95">
        <f t="shared" ca="1" si="437"/>
        <v>0</v>
      </c>
      <c r="N3351" s="95">
        <f>IF(P3351="Hedge Fund",IF(A3351=Summary!$AD$3,M3351-E3351,M3351),IF(A3351=Summary!$AD$3,L3351-D3351,L3351))</f>
        <v>0</v>
      </c>
      <c r="O3351" s="95">
        <f t="shared" si="438"/>
        <v>0</v>
      </c>
      <c r="P3351" s="107" t="s">
        <v>155</v>
      </c>
      <c r="Q3351" s="107">
        <v>0</v>
      </c>
      <c r="R3351" s="109">
        <v>0.53900000000000003</v>
      </c>
      <c r="S3351" s="107"/>
      <c r="T3351" s="107">
        <v>0.03</v>
      </c>
      <c r="U3351" s="107"/>
      <c r="V3351" s="107"/>
      <c r="W3351" s="107"/>
      <c r="X3351" s="107"/>
      <c r="Y3351" s="107"/>
      <c r="Z3351" s="107"/>
      <c r="AA3351" s="107"/>
      <c r="AB3351" s="107"/>
      <c r="AC3351" s="355"/>
      <c r="AD3351" s="355"/>
      <c r="AE3351" s="355"/>
      <c r="AF3351" s="94">
        <f t="shared" si="439"/>
        <v>43251</v>
      </c>
      <c r="AG3351" s="185">
        <f t="shared" si="434"/>
        <v>-0.21807420979701853</v>
      </c>
      <c r="AH3351" s="339" t="str">
        <f>VLOOKUP(B3351,'MF PF'!A:B,2)</f>
        <v>FdMgt1</v>
      </c>
      <c r="AI3351" s="358">
        <f t="shared" si="440"/>
        <v>0</v>
      </c>
      <c r="AJ3351" s="94">
        <f t="shared" si="441"/>
        <v>43251</v>
      </c>
    </row>
    <row r="3352" spans="1:36" ht="12.75" customHeight="1">
      <c r="A3352" s="94">
        <v>43280</v>
      </c>
      <c r="B3352" s="358" t="s">
        <v>188</v>
      </c>
      <c r="C3352" s="94" t="s">
        <v>301</v>
      </c>
      <c r="D3352" s="110">
        <v>3047941.5855</v>
      </c>
      <c r="E3352" s="9">
        <f t="shared" si="435"/>
        <v>831308.90625583089</v>
      </c>
      <c r="F3352" s="98">
        <v>166</v>
      </c>
      <c r="G3352" s="98">
        <v>0</v>
      </c>
      <c r="H3352" s="98">
        <v>0</v>
      </c>
      <c r="I3352" s="98"/>
      <c r="J3352" s="98"/>
      <c r="K3352" s="7">
        <v>3.6664368233798426</v>
      </c>
      <c r="L3352" s="93">
        <f t="shared" si="436"/>
        <v>0</v>
      </c>
      <c r="M3352" s="95">
        <f t="shared" ca="1" si="437"/>
        <v>0</v>
      </c>
      <c r="N3352" s="95">
        <f>IF(P3352="Hedge Fund",IF(A3352=Summary!$AD$3,M3352-E3352,M3352),IF(A3352=Summary!$AD$3,L3352-D3352,L3352))</f>
        <v>0</v>
      </c>
      <c r="O3352" s="95">
        <f t="shared" si="438"/>
        <v>0</v>
      </c>
      <c r="P3352" s="107" t="s">
        <v>155</v>
      </c>
      <c r="Q3352" s="107">
        <v>0</v>
      </c>
      <c r="R3352" s="109">
        <v>0.53790000000000004</v>
      </c>
      <c r="S3352" s="107"/>
      <c r="T3352" s="107">
        <v>0.03</v>
      </c>
      <c r="U3352" s="107"/>
      <c r="V3352" s="107"/>
      <c r="W3352" s="107"/>
      <c r="X3352" s="107"/>
      <c r="Y3352" s="107"/>
      <c r="Z3352" s="107"/>
      <c r="AA3352" s="107"/>
      <c r="AB3352" s="107"/>
      <c r="AC3352" s="355"/>
      <c r="AD3352" s="355"/>
      <c r="AE3352" s="355"/>
      <c r="AF3352" s="94">
        <f t="shared" si="439"/>
        <v>43280</v>
      </c>
      <c r="AG3352" s="185">
        <f t="shared" si="434"/>
        <v>-2.1052277067243885E-3</v>
      </c>
      <c r="AH3352" s="339" t="str">
        <f>VLOOKUP(B3352,'MF PF'!A:B,2)</f>
        <v>FdMgt1</v>
      </c>
      <c r="AI3352" s="358">
        <f t="shared" si="440"/>
        <v>0</v>
      </c>
      <c r="AJ3352" s="94">
        <f t="shared" si="441"/>
        <v>43281</v>
      </c>
    </row>
    <row r="3353" spans="1:36" ht="12.75" customHeight="1">
      <c r="A3353" s="94">
        <v>43312</v>
      </c>
      <c r="B3353" s="358" t="s">
        <v>188</v>
      </c>
      <c r="C3353" s="94" t="s">
        <v>301</v>
      </c>
      <c r="D3353" s="110">
        <v>3061488.2625000002</v>
      </c>
      <c r="E3353" s="9">
        <f t="shared" si="435"/>
        <v>835003.68613410858</v>
      </c>
      <c r="F3353" s="98">
        <v>166</v>
      </c>
      <c r="G3353" s="98">
        <v>0</v>
      </c>
      <c r="H3353" s="98">
        <v>0</v>
      </c>
      <c r="I3353" s="98"/>
      <c r="J3353" s="98"/>
      <c r="K3353" s="93">
        <v>3.6664368233798426</v>
      </c>
      <c r="L3353" s="93">
        <f t="shared" si="436"/>
        <v>0</v>
      </c>
      <c r="M3353" s="95">
        <f t="shared" ca="1" si="437"/>
        <v>0</v>
      </c>
      <c r="N3353" s="95">
        <f>IF(P3353="Hedge Fund",IF(A3353=Summary!$AD$3,M3353-E3353,M3353),IF(A3353=Summary!$AD$3,L3353-D3353,L3353))</f>
        <v>0</v>
      </c>
      <c r="O3353" s="95">
        <f t="shared" si="438"/>
        <v>0</v>
      </c>
      <c r="P3353" s="107" t="s">
        <v>155</v>
      </c>
      <c r="Q3353" s="107">
        <v>0</v>
      </c>
      <c r="R3353" s="109">
        <v>0.5403</v>
      </c>
      <c r="S3353" s="107"/>
      <c r="T3353" s="107">
        <v>0.03</v>
      </c>
      <c r="U3353" s="107"/>
      <c r="V3353" s="107"/>
      <c r="W3353" s="107"/>
      <c r="X3353" s="107"/>
      <c r="Y3353" s="107"/>
      <c r="Z3353" s="107"/>
      <c r="AA3353" s="107"/>
      <c r="AB3353" s="107"/>
      <c r="AC3353" s="355"/>
      <c r="AD3353" s="355"/>
      <c r="AE3353" s="355"/>
      <c r="AF3353" s="94">
        <f t="shared" si="439"/>
        <v>43312</v>
      </c>
      <c r="AG3353" s="185">
        <f t="shared" si="434"/>
        <v>4.4445330135085559E-3</v>
      </c>
      <c r="AH3353" s="339" t="str">
        <f>VLOOKUP(B3353,'MF PF'!A:B,2)</f>
        <v>FdMgt1</v>
      </c>
      <c r="AI3353" s="358">
        <f t="shared" si="440"/>
        <v>0</v>
      </c>
      <c r="AJ3353" s="94">
        <f t="shared" si="441"/>
        <v>43312</v>
      </c>
    </row>
    <row r="3354" spans="1:36" ht="12.75" customHeight="1">
      <c r="A3354" s="94">
        <v>43343</v>
      </c>
      <c r="B3354" s="358" t="s">
        <v>188</v>
      </c>
      <c r="C3354" s="94" t="s">
        <v>301</v>
      </c>
      <c r="D3354" s="110">
        <v>3049931.92</v>
      </c>
      <c r="E3354" s="9">
        <f t="shared" si="435"/>
        <v>831851.75878428796</v>
      </c>
      <c r="F3354" s="98">
        <v>166</v>
      </c>
      <c r="G3354" s="98">
        <v>0</v>
      </c>
      <c r="H3354" s="98">
        <v>0</v>
      </c>
      <c r="I3354" s="98"/>
      <c r="J3354" s="98"/>
      <c r="K3354" s="93">
        <v>3.6664368233798426</v>
      </c>
      <c r="L3354" s="93">
        <f t="shared" si="436"/>
        <v>0</v>
      </c>
      <c r="M3354" s="95">
        <f t="shared" ca="1" si="437"/>
        <v>0</v>
      </c>
      <c r="N3354" s="95">
        <f>IF(P3354="Hedge Fund",IF(A3354=Summary!$AD$3,M3354-E3354,M3354),IF(A3354=Summary!$AD$3,L3354-D3354,L3354))</f>
        <v>0</v>
      </c>
      <c r="O3354" s="95">
        <f t="shared" si="438"/>
        <v>0</v>
      </c>
      <c r="P3354" s="107" t="s">
        <v>155</v>
      </c>
      <c r="Q3354" s="107">
        <v>0</v>
      </c>
      <c r="R3354" s="109">
        <v>0.53820000000000001</v>
      </c>
      <c r="S3354" s="107"/>
      <c r="T3354" s="107">
        <v>0.03</v>
      </c>
      <c r="U3354" s="107"/>
      <c r="V3354" s="107"/>
      <c r="W3354" s="107"/>
      <c r="X3354" s="107"/>
      <c r="Y3354" s="107"/>
      <c r="Z3354" s="107"/>
      <c r="AA3354" s="107"/>
      <c r="AB3354" s="107"/>
      <c r="AC3354" s="355"/>
      <c r="AD3354" s="355"/>
      <c r="AE3354" s="355"/>
      <c r="AF3354" s="94">
        <f t="shared" si="439"/>
        <v>43343</v>
      </c>
      <c r="AG3354" s="185">
        <f t="shared" si="434"/>
        <v>-3.7747466294589804E-3</v>
      </c>
      <c r="AH3354" s="339" t="str">
        <f>VLOOKUP(B3354,'MF PF'!A:B,2)</f>
        <v>FdMgt1</v>
      </c>
      <c r="AI3354" s="358">
        <f t="shared" si="440"/>
        <v>0</v>
      </c>
      <c r="AJ3354" s="94">
        <f t="shared" si="441"/>
        <v>43343</v>
      </c>
    </row>
    <row r="3355" spans="1:36" ht="12.75" customHeight="1">
      <c r="A3355" s="94">
        <v>43371</v>
      </c>
      <c r="B3355" s="358" t="s">
        <v>188</v>
      </c>
      <c r="C3355" s="358" t="s">
        <v>301</v>
      </c>
      <c r="D3355" s="110">
        <v>3058580.4915</v>
      </c>
      <c r="F3355" s="98">
        <v>166</v>
      </c>
      <c r="G3355" s="98"/>
      <c r="H3355" s="93">
        <v>0</v>
      </c>
      <c r="I3355" s="93">
        <v>0</v>
      </c>
      <c r="K3355" s="7">
        <v>0</v>
      </c>
      <c r="L3355" s="93">
        <f t="shared" si="436"/>
        <v>0</v>
      </c>
      <c r="M3355" s="95" t="e">
        <f t="shared" ca="1" si="437"/>
        <v>#DIV/0!</v>
      </c>
      <c r="N3355" s="95">
        <f>IF(P3355="Hedge Fund",IF(A3355=Summary!$AD$3,M3355-E3355,M3355),IF(A3355=Summary!$AD$3,L3355-D3355,L3355))</f>
        <v>0</v>
      </c>
      <c r="O3355" s="95">
        <f t="shared" si="438"/>
        <v>0</v>
      </c>
      <c r="P3355" s="95" t="s">
        <v>155</v>
      </c>
      <c r="Q3355" s="95">
        <v>0</v>
      </c>
      <c r="R3355" s="95">
        <v>0.53969999999999996</v>
      </c>
      <c r="S3355" s="95"/>
      <c r="T3355" s="107">
        <v>0.03</v>
      </c>
      <c r="U3355" s="95"/>
      <c r="V3355" s="95"/>
      <c r="W3355" s="95"/>
      <c r="X3355" s="95"/>
      <c r="Y3355" s="95"/>
      <c r="Z3355" s="95"/>
      <c r="AA3355" s="95"/>
      <c r="AB3355" s="95"/>
      <c r="AC3355" s="355"/>
      <c r="AD3355" s="355"/>
      <c r="AE3355" s="355"/>
      <c r="AF3355" s="94">
        <f t="shared" si="439"/>
        <v>43371</v>
      </c>
      <c r="AG3355" s="185">
        <f t="shared" si="434"/>
        <v>2.835660508776261E-3</v>
      </c>
      <c r="AH3355" s="339" t="str">
        <f>VLOOKUP(B3355,'MF PF'!A:B,2)</f>
        <v>FdMgt1</v>
      </c>
      <c r="AI3355" s="358">
        <f t="shared" si="440"/>
        <v>0</v>
      </c>
      <c r="AJ3355" s="94">
        <f t="shared" si="441"/>
        <v>43373</v>
      </c>
    </row>
    <row r="3356" spans="1:36" ht="12.75" customHeight="1">
      <c r="A3356" s="94">
        <v>43404</v>
      </c>
      <c r="B3356" s="358" t="s">
        <v>188</v>
      </c>
      <c r="C3356" s="358" t="s">
        <v>301</v>
      </c>
      <c r="D3356" s="93">
        <v>2141580.0065000001</v>
      </c>
      <c r="F3356" s="98">
        <v>166</v>
      </c>
      <c r="G3356" s="93"/>
      <c r="H3356" s="93">
        <v>0</v>
      </c>
      <c r="I3356" s="93">
        <v>-916692.14</v>
      </c>
      <c r="J3356" s="93">
        <v>0</v>
      </c>
      <c r="K3356" s="93"/>
      <c r="L3356" s="93">
        <f t="shared" si="436"/>
        <v>-916692.14</v>
      </c>
      <c r="M3356" s="95" t="e">
        <f t="shared" ca="1" si="437"/>
        <v>#DIV/0!</v>
      </c>
      <c r="N3356" s="95">
        <f>IF(P3356="Hedge Fund",IF(A3356=Summary!$AD$3,M3356-E3356,M3356),IF(A3356=Summary!$AD$3,L3356-D3356,L3356))</f>
        <v>-916692.14</v>
      </c>
      <c r="O3356" s="95">
        <f t="shared" si="438"/>
        <v>-916692.14</v>
      </c>
      <c r="P3356" s="95" t="s">
        <v>155</v>
      </c>
      <c r="Q3356" s="95">
        <v>0</v>
      </c>
      <c r="R3356" s="95">
        <v>0.37790000000000001</v>
      </c>
      <c r="S3356" s="95"/>
      <c r="T3356" s="107">
        <v>0.02</v>
      </c>
      <c r="U3356" s="95"/>
      <c r="V3356" s="95"/>
      <c r="W3356" s="95"/>
      <c r="X3356" s="95"/>
      <c r="Y3356" s="95"/>
      <c r="Z3356" s="95"/>
      <c r="AA3356" s="95"/>
      <c r="AB3356" s="95"/>
      <c r="AC3356" s="355"/>
      <c r="AD3356" s="355"/>
      <c r="AE3356" s="355"/>
      <c r="AF3356" s="94">
        <f t="shared" si="439"/>
        <v>43404</v>
      </c>
      <c r="AG3356" s="185">
        <f t="shared" si="434"/>
        <v>-1.0081310622911399E-4</v>
      </c>
      <c r="AH3356" s="339" t="str">
        <f>VLOOKUP(B3356,'MF PF'!A:B,2)</f>
        <v>FdMgt1</v>
      </c>
      <c r="AI3356" s="358">
        <f t="shared" si="440"/>
        <v>0</v>
      </c>
      <c r="AJ3356" s="94">
        <f t="shared" si="441"/>
        <v>43404</v>
      </c>
    </row>
    <row r="3357" spans="1:36" ht="12.75" customHeight="1">
      <c r="A3357" s="94">
        <v>43434</v>
      </c>
      <c r="B3357" s="358" t="s">
        <v>188</v>
      </c>
      <c r="C3357" s="358" t="s">
        <v>301</v>
      </c>
      <c r="D3357" s="93">
        <v>2349682.0894999998</v>
      </c>
      <c r="F3357" s="98">
        <v>166</v>
      </c>
      <c r="G3357" s="93"/>
      <c r="H3357" s="93">
        <v>0</v>
      </c>
      <c r="I3357" s="93">
        <v>0</v>
      </c>
      <c r="K3357" s="7">
        <v>0</v>
      </c>
      <c r="L3357" s="93">
        <f t="shared" si="436"/>
        <v>0</v>
      </c>
      <c r="M3357" s="95" t="e">
        <f t="shared" ca="1" si="437"/>
        <v>#DIV/0!</v>
      </c>
      <c r="N3357" s="95">
        <f>IF(P3357="Hedge Fund",IF(A3357=Summary!$AD$3,M3357-E3357,M3357),IF(A3357=Summary!$AD$3,L3357-D3357,L3357))</f>
        <v>0</v>
      </c>
      <c r="O3357" s="95">
        <f t="shared" si="438"/>
        <v>0</v>
      </c>
      <c r="P3357" s="95" t="s">
        <v>155</v>
      </c>
      <c r="Q3357" s="95">
        <v>0</v>
      </c>
      <c r="R3357" s="95">
        <v>0.41464978050000001</v>
      </c>
      <c r="S3357" s="95"/>
      <c r="T3357" s="95">
        <f>20732.49/10^6</f>
        <v>2.0732490000000003E-2</v>
      </c>
      <c r="U3357" s="95"/>
      <c r="V3357" s="95"/>
      <c r="W3357" s="95"/>
      <c r="X3357" s="95"/>
      <c r="Y3357" s="95"/>
      <c r="Z3357" s="95"/>
      <c r="AA3357" s="95"/>
      <c r="AB3357" s="95"/>
      <c r="AC3357" s="355"/>
      <c r="AD3357" s="355"/>
      <c r="AE3357" s="355"/>
      <c r="AF3357" s="94">
        <f t="shared" si="439"/>
        <v>43434</v>
      </c>
      <c r="AG3357" s="185">
        <f t="shared" si="434"/>
        <v>9.7172219748214106E-2</v>
      </c>
      <c r="AH3357" s="339" t="str">
        <f>VLOOKUP(B3357,'MF PF'!A:B,2)</f>
        <v>FdMgt1</v>
      </c>
      <c r="AI3357" s="358">
        <f t="shared" si="440"/>
        <v>0</v>
      </c>
      <c r="AJ3357" s="94">
        <f t="shared" si="441"/>
        <v>43434</v>
      </c>
    </row>
    <row r="3358" spans="1:36" ht="12.75" customHeight="1">
      <c r="A3358" s="94">
        <v>43465</v>
      </c>
      <c r="B3358" s="358" t="s">
        <v>188</v>
      </c>
      <c r="C3358" s="358" t="s">
        <v>301</v>
      </c>
      <c r="D3358" s="93">
        <v>2016671.6905</v>
      </c>
      <c r="F3358" s="93">
        <v>166</v>
      </c>
      <c r="G3358" s="93"/>
      <c r="H3358" s="93">
        <v>0</v>
      </c>
      <c r="I3358" s="93">
        <v>0</v>
      </c>
      <c r="K3358" s="7">
        <v>0</v>
      </c>
      <c r="L3358" s="93">
        <f t="shared" si="436"/>
        <v>0</v>
      </c>
      <c r="M3358" s="95" t="e">
        <f t="shared" ca="1" si="437"/>
        <v>#DIV/0!</v>
      </c>
      <c r="N3358" s="95">
        <f>IF(P3358="Hedge Fund",IF(A3358=Summary!$AD$3,M3358-E3358,M3358),IF(A3358=Summary!$AD$3,L3358-D3358,L3358))</f>
        <v>0</v>
      </c>
      <c r="O3358" s="95">
        <f t="shared" si="438"/>
        <v>0</v>
      </c>
      <c r="P3358" s="95" t="s">
        <v>155</v>
      </c>
      <c r="Q3358" s="95">
        <v>0</v>
      </c>
      <c r="R3358" s="95">
        <v>0.3558832395</v>
      </c>
      <c r="S3358" s="95"/>
      <c r="T3358" s="95"/>
      <c r="U3358" s="95"/>
      <c r="V3358" s="95"/>
      <c r="W3358" s="95"/>
      <c r="X3358" s="95"/>
      <c r="Y3358" s="95"/>
      <c r="Z3358" s="95"/>
      <c r="AA3358" s="95"/>
      <c r="AB3358" s="95"/>
      <c r="AC3358" s="355"/>
      <c r="AD3358" s="355"/>
      <c r="AE3358" s="355"/>
      <c r="AF3358" s="94">
        <f t="shared" si="439"/>
        <v>43465</v>
      </c>
      <c r="AG3358" s="185">
        <f t="shared" si="434"/>
        <v>-0.14172572557288488</v>
      </c>
      <c r="AH3358" s="339" t="str">
        <f>VLOOKUP(B3358,'MF PF'!A:B,2)</f>
        <v>FdMgt1</v>
      </c>
      <c r="AI3358" s="358">
        <f t="shared" si="440"/>
        <v>0</v>
      </c>
      <c r="AJ3358" s="94">
        <f t="shared" si="441"/>
        <v>43465</v>
      </c>
    </row>
    <row r="3359" spans="1:36" ht="12.75" customHeight="1">
      <c r="A3359" s="94">
        <v>43496</v>
      </c>
      <c r="B3359" s="358" t="s">
        <v>188</v>
      </c>
      <c r="C3359" s="358" t="s">
        <v>301</v>
      </c>
      <c r="D3359" s="93">
        <v>0</v>
      </c>
      <c r="F3359" s="93">
        <v>166</v>
      </c>
      <c r="G3359" s="93"/>
      <c r="H3359" s="93">
        <v>0</v>
      </c>
      <c r="I3359" s="93">
        <v>-2016671.6905</v>
      </c>
      <c r="K3359" s="7">
        <v>0</v>
      </c>
      <c r="L3359" s="93">
        <f t="shared" si="436"/>
        <v>-2016671.6905</v>
      </c>
      <c r="M3359" s="95" t="e">
        <f t="shared" ca="1" si="437"/>
        <v>#DIV/0!</v>
      </c>
      <c r="N3359" s="95">
        <f>IF(P3359="Hedge Fund",IF(A3359=Summary!$AD$3,M3359-E3359,M3359),IF(A3359=Summary!$AD$3,L3359-D3359,L3359))</f>
        <v>-2016671.6905</v>
      </c>
      <c r="O3359" s="95">
        <f t="shared" si="438"/>
        <v>-2016671.6905</v>
      </c>
      <c r="P3359" s="95" t="s">
        <v>155</v>
      </c>
      <c r="Q3359" s="95">
        <v>0</v>
      </c>
      <c r="R3359" s="95">
        <v>0</v>
      </c>
      <c r="S3359" s="95"/>
      <c r="T3359" s="95"/>
      <c r="U3359" s="95"/>
      <c r="V3359" s="95"/>
      <c r="W3359" s="95"/>
      <c r="X3359" s="95"/>
      <c r="Y3359" s="95"/>
      <c r="Z3359" s="95"/>
      <c r="AA3359" s="95"/>
      <c r="AB3359" s="95"/>
      <c r="AC3359" s="355"/>
      <c r="AD3359" s="355"/>
      <c r="AE3359" s="355"/>
      <c r="AF3359" s="94">
        <f t="shared" si="439"/>
        <v>43496</v>
      </c>
      <c r="AG3359" s="185">
        <f t="shared" si="434"/>
        <v>0</v>
      </c>
      <c r="AH3359" s="339" t="str">
        <f>VLOOKUP(B3359,'MF PF'!A:B,2)</f>
        <v>FdMgt1</v>
      </c>
      <c r="AI3359" s="358">
        <f t="shared" si="440"/>
        <v>0</v>
      </c>
      <c r="AJ3359" s="94">
        <f t="shared" si="441"/>
        <v>43496</v>
      </c>
    </row>
    <row r="3360" spans="1:36" ht="12.75" customHeight="1">
      <c r="A3360" s="94">
        <v>40633</v>
      </c>
      <c r="B3360" s="94" t="s">
        <v>188</v>
      </c>
      <c r="C3360" s="358" t="s">
        <v>304</v>
      </c>
      <c r="D3360" s="98">
        <v>698494.09991152771</v>
      </c>
      <c r="E3360" s="9">
        <f t="shared" ref="E3360:E3391" si="442">D3360/K3360</f>
        <v>696991.43944459327</v>
      </c>
      <c r="F3360" s="98">
        <v>2.5</v>
      </c>
      <c r="G3360" s="98">
        <v>700000</v>
      </c>
      <c r="H3360" s="98">
        <v>0</v>
      </c>
      <c r="I3360" s="98">
        <v>0</v>
      </c>
      <c r="J3360" s="98"/>
      <c r="K3360" s="93">
        <v>1.0021559238491249</v>
      </c>
      <c r="L3360" s="93">
        <f t="shared" si="436"/>
        <v>700000</v>
      </c>
      <c r="M3360" s="95">
        <f t="shared" ca="1" si="437"/>
        <v>696991.43944459327</v>
      </c>
      <c r="N3360" s="95">
        <f>IF(P3360="Hedge Fund",IF(A3360=Summary!$AD$3,M3360-E3360,M3360),IF(A3360=Summary!$AD$3,L3360-D3360,L3360))</f>
        <v>700000</v>
      </c>
      <c r="O3360" s="95">
        <f t="shared" si="438"/>
        <v>700000</v>
      </c>
      <c r="P3360" s="107" t="s">
        <v>155</v>
      </c>
      <c r="Q3360" s="107">
        <v>0</v>
      </c>
      <c r="R3360" s="107">
        <v>0</v>
      </c>
      <c r="S3360" s="107">
        <v>0</v>
      </c>
      <c r="T3360" s="107">
        <v>0</v>
      </c>
      <c r="U3360" s="107"/>
      <c r="V3360" s="107"/>
      <c r="W3360" s="107"/>
      <c r="X3360" s="107"/>
      <c r="Y3360" s="107"/>
      <c r="Z3360" s="107"/>
      <c r="AA3360" s="107"/>
      <c r="AB3360" s="107"/>
      <c r="AC3360" s="355"/>
      <c r="AD3360" s="355"/>
      <c r="AE3360" s="355"/>
      <c r="AF3360" s="94">
        <f t="shared" si="439"/>
        <v>40633</v>
      </c>
      <c r="AG3360" s="185">
        <f t="shared" si="434"/>
        <v>-2.1512858406746993E-3</v>
      </c>
      <c r="AH3360" s="339" t="str">
        <f>VLOOKUP(B3360,'MF PF'!A:B,2)</f>
        <v>FdMgt1</v>
      </c>
      <c r="AI3360" s="358">
        <f t="shared" si="440"/>
        <v>0</v>
      </c>
      <c r="AJ3360" s="94">
        <f t="shared" si="441"/>
        <v>40633</v>
      </c>
    </row>
    <row r="3361" spans="1:36" ht="12.75" customHeight="1">
      <c r="A3361" s="94">
        <v>40662</v>
      </c>
      <c r="B3361" s="94" t="s">
        <v>188</v>
      </c>
      <c r="C3361" s="358" t="s">
        <v>304</v>
      </c>
      <c r="D3361" s="98">
        <v>885716.25064541516</v>
      </c>
      <c r="E3361" s="9">
        <f t="shared" si="442"/>
        <v>702721.44632387103</v>
      </c>
      <c r="F3361" s="98">
        <v>2.5</v>
      </c>
      <c r="G3361" s="98">
        <v>180000</v>
      </c>
      <c r="H3361" s="98">
        <v>0</v>
      </c>
      <c r="I3361" s="98">
        <v>0</v>
      </c>
      <c r="J3361" s="98"/>
      <c r="K3361" s="93">
        <v>1.2604087370306403</v>
      </c>
      <c r="L3361" s="93">
        <f t="shared" si="436"/>
        <v>180000</v>
      </c>
      <c r="M3361" s="95">
        <f t="shared" ca="1" si="437"/>
        <v>0</v>
      </c>
      <c r="N3361" s="95">
        <f>IF(P3361="Hedge Fund",IF(A3361=Summary!$AD$3,M3361-E3361,M3361),IF(A3361=Summary!$AD$3,L3361-D3361,L3361))</f>
        <v>180000</v>
      </c>
      <c r="O3361" s="95">
        <f t="shared" si="438"/>
        <v>180000</v>
      </c>
      <c r="P3361" s="107" t="s">
        <v>155</v>
      </c>
      <c r="Q3361" s="107">
        <v>0</v>
      </c>
      <c r="R3361" s="107">
        <v>0</v>
      </c>
      <c r="S3361" s="107">
        <v>0</v>
      </c>
      <c r="T3361" s="107">
        <v>0</v>
      </c>
      <c r="U3361" s="107"/>
      <c r="V3361" s="107"/>
      <c r="W3361" s="107"/>
      <c r="X3361" s="107"/>
      <c r="Y3361" s="107"/>
      <c r="Z3361" s="107"/>
      <c r="AA3361" s="107"/>
      <c r="AB3361" s="107"/>
      <c r="AC3361" s="355"/>
      <c r="AD3361" s="355"/>
      <c r="AE3361" s="355"/>
      <c r="AF3361" s="94">
        <f t="shared" si="439"/>
        <v>40662</v>
      </c>
      <c r="AG3361" s="185">
        <f t="shared" si="434"/>
        <v>1.0339601629852258E-2</v>
      </c>
      <c r="AH3361" s="339" t="str">
        <f>VLOOKUP(B3361,'MF PF'!A:B,2)</f>
        <v>FdMgt1</v>
      </c>
      <c r="AI3361" s="358">
        <f t="shared" si="440"/>
        <v>0</v>
      </c>
      <c r="AJ3361" s="94">
        <f t="shared" si="441"/>
        <v>40663</v>
      </c>
    </row>
    <row r="3362" spans="1:36" ht="12.75" customHeight="1">
      <c r="A3362" s="94">
        <v>40694</v>
      </c>
      <c r="B3362" s="94" t="s">
        <v>188</v>
      </c>
      <c r="C3362" s="358" t="s">
        <v>304</v>
      </c>
      <c r="D3362" s="98">
        <v>1166764.3727162105</v>
      </c>
      <c r="E3362" s="9">
        <f t="shared" si="442"/>
        <v>703353.27920524799</v>
      </c>
      <c r="F3362" s="98">
        <v>2.5</v>
      </c>
      <c r="G3362" s="98">
        <v>280000</v>
      </c>
      <c r="H3362" s="98">
        <v>0</v>
      </c>
      <c r="I3362" s="98">
        <v>0</v>
      </c>
      <c r="J3362" s="98"/>
      <c r="K3362" s="93">
        <v>1.6588596473661039</v>
      </c>
      <c r="L3362" s="93">
        <f t="shared" si="436"/>
        <v>280000</v>
      </c>
      <c r="M3362" s="95">
        <f t="shared" ca="1" si="437"/>
        <v>0</v>
      </c>
      <c r="N3362" s="95">
        <f>IF(P3362="Hedge Fund",IF(A3362=Summary!$AD$3,M3362-E3362,M3362),IF(A3362=Summary!$AD$3,L3362-D3362,L3362))</f>
        <v>280000</v>
      </c>
      <c r="O3362" s="95">
        <f t="shared" si="438"/>
        <v>280000</v>
      </c>
      <c r="P3362" s="107" t="s">
        <v>155</v>
      </c>
      <c r="Q3362" s="107">
        <v>0</v>
      </c>
      <c r="R3362" s="107">
        <v>0</v>
      </c>
      <c r="S3362" s="107">
        <v>0</v>
      </c>
      <c r="T3362" s="107">
        <v>0</v>
      </c>
      <c r="U3362" s="107"/>
      <c r="V3362" s="107"/>
      <c r="W3362" s="107"/>
      <c r="X3362" s="107"/>
      <c r="Y3362" s="107"/>
      <c r="Z3362" s="107"/>
      <c r="AA3362" s="107"/>
      <c r="AB3362" s="107"/>
      <c r="AC3362" s="355"/>
      <c r="AD3362" s="355"/>
      <c r="AE3362" s="355"/>
      <c r="AF3362" s="94">
        <f t="shared" si="439"/>
        <v>40694</v>
      </c>
      <c r="AG3362" s="185">
        <f t="shared" ref="AG3362:AG3425" si="443">IF(C3362&lt;&gt;C3361,D3362/G3362-1,(D3362-G3362-I3362-H3362)/(D3361)-1)</f>
        <v>1.1833610030658193E-3</v>
      </c>
      <c r="AH3362" s="339" t="str">
        <f>VLOOKUP(B3362,'MF PF'!A:B,2)</f>
        <v>FdMgt1</v>
      </c>
      <c r="AI3362" s="358">
        <f t="shared" si="440"/>
        <v>0</v>
      </c>
      <c r="AJ3362" s="94">
        <f t="shared" si="441"/>
        <v>40694</v>
      </c>
    </row>
    <row r="3363" spans="1:36" ht="12.75" customHeight="1">
      <c r="A3363" s="94">
        <v>40724</v>
      </c>
      <c r="B3363" s="94" t="s">
        <v>188</v>
      </c>
      <c r="C3363" s="358" t="s">
        <v>304</v>
      </c>
      <c r="D3363" s="98">
        <v>885716.25064541516</v>
      </c>
      <c r="E3363" s="95">
        <f t="shared" si="442"/>
        <v>533930.79520122963</v>
      </c>
      <c r="F3363" s="98">
        <v>2.5</v>
      </c>
      <c r="G3363" s="98">
        <v>0</v>
      </c>
      <c r="H3363" s="98">
        <v>-1.1641532182693481E-10</v>
      </c>
      <c r="I3363" s="98">
        <v>0</v>
      </c>
      <c r="J3363" s="98"/>
      <c r="K3363" s="93">
        <v>1.6588596473661039</v>
      </c>
      <c r="L3363" s="93">
        <f t="shared" si="436"/>
        <v>-1.1641532182693481E-10</v>
      </c>
      <c r="M3363" s="95">
        <f t="shared" ca="1" si="437"/>
        <v>0</v>
      </c>
      <c r="N3363" s="95">
        <f>IF(P3363="Hedge Fund",IF(A3363=Summary!$AD$3,M3363-E3363,M3363),IF(A3363=Summary!$AD$3,L3363-D3363,L3363))</f>
        <v>-1.1641532182693481E-10</v>
      </c>
      <c r="O3363" s="95">
        <f t="shared" si="438"/>
        <v>-1.1641532182693481E-10</v>
      </c>
      <c r="P3363" s="107" t="s">
        <v>155</v>
      </c>
      <c r="Q3363" s="107">
        <v>0</v>
      </c>
      <c r="R3363" s="107">
        <v>0</v>
      </c>
      <c r="S3363" s="107">
        <v>0</v>
      </c>
      <c r="T3363" s="107">
        <v>0</v>
      </c>
      <c r="U3363" s="107"/>
      <c r="V3363" s="107"/>
      <c r="W3363" s="107"/>
      <c r="X3363" s="107"/>
      <c r="Y3363" s="107"/>
      <c r="Z3363" s="107"/>
      <c r="AA3363" s="107"/>
      <c r="AB3363" s="107"/>
      <c r="AC3363" s="355"/>
      <c r="AD3363" s="355"/>
      <c r="AE3363" s="355"/>
      <c r="AF3363" s="94">
        <f t="shared" si="439"/>
        <v>40724</v>
      </c>
      <c r="AG3363" s="185">
        <f t="shared" si="443"/>
        <v>-0.24087821726722702</v>
      </c>
      <c r="AH3363" s="339" t="str">
        <f>VLOOKUP(B3363,'MF PF'!A:B,2)</f>
        <v>FdMgt1</v>
      </c>
      <c r="AI3363" s="358">
        <f t="shared" si="440"/>
        <v>0</v>
      </c>
      <c r="AJ3363" s="94">
        <f t="shared" si="441"/>
        <v>40724</v>
      </c>
    </row>
    <row r="3364" spans="1:36" ht="12.75" customHeight="1">
      <c r="A3364" s="94">
        <v>40753</v>
      </c>
      <c r="B3364" s="94" t="s">
        <v>188</v>
      </c>
      <c r="C3364" s="358" t="s">
        <v>304</v>
      </c>
      <c r="D3364" s="98">
        <v>1391806.9162973689</v>
      </c>
      <c r="E3364" s="9">
        <f t="shared" si="442"/>
        <v>672335.5098891448</v>
      </c>
      <c r="F3364" s="98">
        <v>2.5</v>
      </c>
      <c r="G3364" s="98">
        <v>219578</v>
      </c>
      <c r="H3364" s="98">
        <v>0</v>
      </c>
      <c r="I3364" s="98">
        <v>0</v>
      </c>
      <c r="J3364" s="98"/>
      <c r="K3364" s="93">
        <v>2.0701077004349377</v>
      </c>
      <c r="L3364" s="93">
        <f t="shared" si="436"/>
        <v>219578</v>
      </c>
      <c r="M3364" s="95">
        <f t="shared" ca="1" si="437"/>
        <v>0</v>
      </c>
      <c r="N3364" s="95">
        <f>IF(P3364="Hedge Fund",IF(A3364=Summary!$AD$3,M3364-E3364,M3364),IF(A3364=Summary!$AD$3,L3364-D3364,L3364))</f>
        <v>219578</v>
      </c>
      <c r="O3364" s="95">
        <f t="shared" si="438"/>
        <v>219578</v>
      </c>
      <c r="P3364" s="107" t="s">
        <v>155</v>
      </c>
      <c r="Q3364" s="107">
        <v>0</v>
      </c>
      <c r="R3364" s="107">
        <v>0</v>
      </c>
      <c r="S3364" s="107">
        <v>0</v>
      </c>
      <c r="T3364" s="107">
        <v>0</v>
      </c>
      <c r="U3364" s="107"/>
      <c r="V3364" s="107"/>
      <c r="W3364" s="107"/>
      <c r="X3364" s="107"/>
      <c r="Y3364" s="107"/>
      <c r="Z3364" s="107"/>
      <c r="AA3364" s="107"/>
      <c r="AB3364" s="107"/>
      <c r="AC3364" s="355"/>
      <c r="AD3364" s="355"/>
      <c r="AE3364" s="355"/>
      <c r="AF3364" s="94">
        <f t="shared" si="439"/>
        <v>40753</v>
      </c>
      <c r="AG3364" s="185">
        <f t="shared" si="443"/>
        <v>0.32348132423129194</v>
      </c>
      <c r="AH3364" s="339" t="str">
        <f>VLOOKUP(B3364,'MF PF'!A:B,2)</f>
        <v>FdMgt1</v>
      </c>
      <c r="AI3364" s="358">
        <f t="shared" si="440"/>
        <v>0</v>
      </c>
      <c r="AJ3364" s="94">
        <f t="shared" si="441"/>
        <v>40755</v>
      </c>
    </row>
    <row r="3365" spans="1:36" ht="12.75" customHeight="1">
      <c r="A3365" s="94">
        <v>40786</v>
      </c>
      <c r="B3365" s="94" t="s">
        <v>188</v>
      </c>
      <c r="C3365" s="358" t="s">
        <v>304</v>
      </c>
      <c r="D3365" s="98">
        <v>1434720.3104248999</v>
      </c>
      <c r="E3365" s="9">
        <f t="shared" si="442"/>
        <v>658750.84022477246</v>
      </c>
      <c r="F3365" s="98">
        <v>2.5</v>
      </c>
      <c r="G3365" s="98">
        <v>72500</v>
      </c>
      <c r="H3365" s="98">
        <v>0</v>
      </c>
      <c r="I3365" s="98">
        <v>0</v>
      </c>
      <c r="J3365" s="98"/>
      <c r="K3365" s="7">
        <v>2.1779407673094715</v>
      </c>
      <c r="L3365" s="93">
        <f t="shared" si="436"/>
        <v>72500</v>
      </c>
      <c r="M3365" s="95">
        <f t="shared" ca="1" si="437"/>
        <v>0</v>
      </c>
      <c r="N3365" s="95">
        <f>IF(P3365="Hedge Fund",IF(A3365=Summary!$AD$3,M3365-E3365,M3365),IF(A3365=Summary!$AD$3,L3365-D3365,L3365))</f>
        <v>72500</v>
      </c>
      <c r="O3365" s="95">
        <f t="shared" si="438"/>
        <v>72500</v>
      </c>
      <c r="P3365" s="107" t="s">
        <v>155</v>
      </c>
      <c r="Q3365" s="107">
        <v>0</v>
      </c>
      <c r="R3365" s="107">
        <v>0</v>
      </c>
      <c r="S3365" s="107">
        <v>0</v>
      </c>
      <c r="T3365" s="107">
        <v>0</v>
      </c>
      <c r="U3365" s="107"/>
      <c r="V3365" s="107"/>
      <c r="W3365" s="107"/>
      <c r="X3365" s="107"/>
      <c r="Y3365" s="107"/>
      <c r="Z3365" s="107"/>
      <c r="AA3365" s="107"/>
      <c r="AB3365" s="107"/>
      <c r="AC3365" s="355"/>
      <c r="AD3365" s="355"/>
      <c r="AE3365" s="355"/>
      <c r="AF3365" s="94">
        <f t="shared" si="439"/>
        <v>40786</v>
      </c>
      <c r="AG3365" s="185">
        <f t="shared" si="443"/>
        <v>-2.1257694243378533E-2</v>
      </c>
      <c r="AH3365" s="339" t="str">
        <f>VLOOKUP(B3365,'MF PF'!A:B,2)</f>
        <v>FdMgt1</v>
      </c>
      <c r="AI3365" s="358">
        <f t="shared" si="440"/>
        <v>0</v>
      </c>
      <c r="AJ3365" s="94">
        <f t="shared" si="441"/>
        <v>40786</v>
      </c>
    </row>
    <row r="3366" spans="1:36" ht="12.75" customHeight="1">
      <c r="A3366" s="94">
        <v>40816</v>
      </c>
      <c r="B3366" s="94" t="s">
        <v>188</v>
      </c>
      <c r="C3366" s="358" t="s">
        <v>304</v>
      </c>
      <c r="D3366" s="98">
        <v>1531054.6660233366</v>
      </c>
      <c r="E3366" s="9">
        <f t="shared" si="442"/>
        <v>648723.46550698159</v>
      </c>
      <c r="F3366" s="98">
        <v>2.5</v>
      </c>
      <c r="G3366" s="98">
        <v>120000</v>
      </c>
      <c r="H3366" s="98">
        <v>0</v>
      </c>
      <c r="I3366" s="98">
        <v>0</v>
      </c>
      <c r="J3366" s="98"/>
      <c r="K3366" s="93">
        <v>2.3601037228194102</v>
      </c>
      <c r="L3366" s="93">
        <f t="shared" si="436"/>
        <v>120000</v>
      </c>
      <c r="M3366" s="95">
        <f t="shared" ca="1" si="437"/>
        <v>0</v>
      </c>
      <c r="N3366" s="95">
        <f>IF(P3366="Hedge Fund",IF(A3366=Summary!$AD$3,M3366-E3366,M3366),IF(A3366=Summary!$AD$3,L3366-D3366,L3366))</f>
        <v>120000</v>
      </c>
      <c r="O3366" s="95">
        <f t="shared" si="438"/>
        <v>120000</v>
      </c>
      <c r="P3366" s="107" t="s">
        <v>155</v>
      </c>
      <c r="Q3366" s="107">
        <v>0</v>
      </c>
      <c r="R3366" s="107">
        <v>0</v>
      </c>
      <c r="S3366" s="107">
        <v>0</v>
      </c>
      <c r="T3366" s="107">
        <v>0</v>
      </c>
      <c r="U3366" s="107"/>
      <c r="V3366" s="107"/>
      <c r="W3366" s="107"/>
      <c r="X3366" s="107"/>
      <c r="Y3366" s="107"/>
      <c r="Z3366" s="107"/>
      <c r="AA3366" s="107"/>
      <c r="AB3366" s="107"/>
      <c r="AC3366" s="355"/>
      <c r="AD3366" s="355"/>
      <c r="AE3366" s="355"/>
      <c r="AF3366" s="94">
        <f t="shared" si="439"/>
        <v>40816</v>
      </c>
      <c r="AG3366" s="185">
        <f t="shared" si="443"/>
        <v>-1.6494953218132546E-2</v>
      </c>
      <c r="AH3366" s="339" t="str">
        <f>VLOOKUP(B3366,'MF PF'!A:B,2)</f>
        <v>FdMgt1</v>
      </c>
      <c r="AI3366" s="358">
        <f t="shared" si="440"/>
        <v>0</v>
      </c>
      <c r="AJ3366" s="94">
        <f t="shared" si="441"/>
        <v>40816</v>
      </c>
    </row>
    <row r="3367" spans="1:36" ht="12.75" customHeight="1">
      <c r="A3367" s="94">
        <v>40847</v>
      </c>
      <c r="B3367" s="94" t="s">
        <v>188</v>
      </c>
      <c r="C3367" s="358" t="s">
        <v>304</v>
      </c>
      <c r="D3367" s="98">
        <v>1511874.1302845422</v>
      </c>
      <c r="E3367" s="9">
        <f t="shared" si="442"/>
        <v>640596.47703891504</v>
      </c>
      <c r="F3367" s="98">
        <v>2.5</v>
      </c>
      <c r="G3367" s="98">
        <v>0</v>
      </c>
      <c r="H3367" s="98">
        <v>0</v>
      </c>
      <c r="I3367" s="98">
        <v>0</v>
      </c>
      <c r="J3367" s="98"/>
      <c r="K3367" s="93">
        <v>2.3601037228194102</v>
      </c>
      <c r="L3367" s="93">
        <f t="shared" si="436"/>
        <v>0</v>
      </c>
      <c r="M3367" s="95">
        <f t="shared" ca="1" si="437"/>
        <v>0</v>
      </c>
      <c r="N3367" s="95">
        <f>IF(P3367="Hedge Fund",IF(A3367=Summary!$AD$3,M3367-E3367,M3367),IF(A3367=Summary!$AD$3,L3367-D3367,L3367))</f>
        <v>0</v>
      </c>
      <c r="O3367" s="95">
        <f t="shared" si="438"/>
        <v>0</v>
      </c>
      <c r="P3367" s="107" t="s">
        <v>155</v>
      </c>
      <c r="Q3367" s="107">
        <v>0</v>
      </c>
      <c r="R3367" s="107">
        <v>0</v>
      </c>
      <c r="S3367" s="107">
        <v>0</v>
      </c>
      <c r="T3367" s="107">
        <v>0</v>
      </c>
      <c r="U3367" s="107"/>
      <c r="V3367" s="107"/>
      <c r="W3367" s="107"/>
      <c r="X3367" s="107"/>
      <c r="Y3367" s="107"/>
      <c r="Z3367" s="107"/>
      <c r="AA3367" s="107"/>
      <c r="AB3367" s="107"/>
      <c r="AC3367" s="355"/>
      <c r="AD3367" s="355"/>
      <c r="AE3367" s="355"/>
      <c r="AF3367" s="94">
        <f t="shared" si="439"/>
        <v>40847</v>
      </c>
      <c r="AG3367" s="185">
        <f t="shared" si="443"/>
        <v>-1.2527662247758031E-2</v>
      </c>
      <c r="AH3367" s="339" t="str">
        <f>VLOOKUP(B3367,'MF PF'!A:B,2)</f>
        <v>FdMgt1</v>
      </c>
      <c r="AI3367" s="358">
        <f t="shared" si="440"/>
        <v>0</v>
      </c>
      <c r="AJ3367" s="94">
        <f t="shared" si="441"/>
        <v>40847</v>
      </c>
    </row>
    <row r="3368" spans="1:36" ht="12.75" customHeight="1">
      <c r="A3368" s="94">
        <v>40877</v>
      </c>
      <c r="B3368" s="94" t="s">
        <v>188</v>
      </c>
      <c r="C3368" s="358" t="s">
        <v>304</v>
      </c>
      <c r="D3368" s="98">
        <v>1678523.2737329511</v>
      </c>
      <c r="E3368" s="9">
        <f t="shared" si="442"/>
        <v>651917.64320667309</v>
      </c>
      <c r="F3368" s="98">
        <v>2.5</v>
      </c>
      <c r="G3368" s="98">
        <v>137500</v>
      </c>
      <c r="H3368" s="98">
        <v>0</v>
      </c>
      <c r="I3368" s="98">
        <v>0</v>
      </c>
      <c r="J3368" s="98"/>
      <c r="K3368" s="7">
        <v>2.5747474258812475</v>
      </c>
      <c r="L3368" s="93">
        <f t="shared" si="436"/>
        <v>137500</v>
      </c>
      <c r="M3368" s="95">
        <f t="shared" ca="1" si="437"/>
        <v>0</v>
      </c>
      <c r="N3368" s="95">
        <f>IF(P3368="Hedge Fund",IF(A3368=Summary!$AD$3,M3368-E3368,M3368),IF(A3368=Summary!$AD$3,L3368-D3368,L3368))</f>
        <v>137500</v>
      </c>
      <c r="O3368" s="95">
        <f t="shared" si="438"/>
        <v>137500</v>
      </c>
      <c r="P3368" s="107" t="s">
        <v>155</v>
      </c>
      <c r="Q3368" s="107">
        <v>0</v>
      </c>
      <c r="R3368" s="107">
        <v>0</v>
      </c>
      <c r="S3368" s="107">
        <v>0</v>
      </c>
      <c r="T3368" s="107">
        <v>0</v>
      </c>
      <c r="U3368" s="107"/>
      <c r="V3368" s="107"/>
      <c r="W3368" s="107"/>
      <c r="X3368" s="107"/>
      <c r="Y3368" s="107"/>
      <c r="Z3368" s="107"/>
      <c r="AA3368" s="107"/>
      <c r="AB3368" s="107"/>
      <c r="AC3368" s="355"/>
      <c r="AD3368" s="355"/>
      <c r="AE3368" s="355"/>
      <c r="AF3368" s="94">
        <f t="shared" si="439"/>
        <v>40877</v>
      </c>
      <c r="AG3368" s="185">
        <f t="shared" si="443"/>
        <v>1.9280139043666988E-2</v>
      </c>
      <c r="AH3368" s="339" t="str">
        <f>VLOOKUP(B3368,'MF PF'!A:B,2)</f>
        <v>FdMgt1</v>
      </c>
      <c r="AI3368" s="358">
        <f t="shared" si="440"/>
        <v>0</v>
      </c>
      <c r="AJ3368" s="94">
        <f t="shared" si="441"/>
        <v>40877</v>
      </c>
    </row>
    <row r="3369" spans="1:36" ht="12.75" customHeight="1">
      <c r="A3369" s="94">
        <v>40907</v>
      </c>
      <c r="B3369" s="94" t="s">
        <v>188</v>
      </c>
      <c r="C3369" s="358" t="s">
        <v>304</v>
      </c>
      <c r="D3369" s="98">
        <v>2358030.7045429787</v>
      </c>
      <c r="E3369" s="95">
        <f t="shared" si="442"/>
        <v>660178.85105791281</v>
      </c>
      <c r="F3369" s="98">
        <v>2.5</v>
      </c>
      <c r="G3369" s="98">
        <v>650000</v>
      </c>
      <c r="H3369" s="98">
        <v>0</v>
      </c>
      <c r="I3369" s="98">
        <v>0</v>
      </c>
      <c r="J3369" s="98"/>
      <c r="K3369" s="93">
        <v>3.5718058837606192</v>
      </c>
      <c r="L3369" s="93">
        <f t="shared" si="436"/>
        <v>650000</v>
      </c>
      <c r="M3369" s="95">
        <f t="shared" ca="1" si="437"/>
        <v>0</v>
      </c>
      <c r="N3369" s="95">
        <f>IF(P3369="Hedge Fund",IF(A3369=Summary!$AD$3,M3369-E3369,M3369),IF(A3369=Summary!$AD$3,L3369-D3369,L3369))</f>
        <v>650000</v>
      </c>
      <c r="O3369" s="95">
        <f t="shared" si="438"/>
        <v>650000</v>
      </c>
      <c r="P3369" s="107" t="s">
        <v>155</v>
      </c>
      <c r="Q3369" s="107">
        <v>0</v>
      </c>
      <c r="R3369" s="107">
        <v>0</v>
      </c>
      <c r="S3369" s="107">
        <v>0</v>
      </c>
      <c r="T3369" s="107">
        <v>0</v>
      </c>
      <c r="U3369" s="107"/>
      <c r="V3369" s="107"/>
      <c r="W3369" s="107"/>
      <c r="X3369" s="107"/>
      <c r="Y3369" s="107"/>
      <c r="Z3369" s="107"/>
      <c r="AA3369" s="107"/>
      <c r="AB3369" s="107"/>
      <c r="AC3369" s="355"/>
      <c r="AD3369" s="355"/>
      <c r="AE3369" s="355"/>
      <c r="AF3369" s="94">
        <f t="shared" si="439"/>
        <v>40907</v>
      </c>
      <c r="AG3369" s="185">
        <f t="shared" si="443"/>
        <v>1.757939926826535E-2</v>
      </c>
      <c r="AH3369" s="339" t="str">
        <f>VLOOKUP(B3369,'MF PF'!A:B,2)</f>
        <v>FdMgt1</v>
      </c>
      <c r="AI3369" s="358">
        <f t="shared" si="440"/>
        <v>0</v>
      </c>
      <c r="AJ3369" s="94">
        <f t="shared" si="441"/>
        <v>40908</v>
      </c>
    </row>
    <row r="3370" spans="1:36" ht="12.75" customHeight="1">
      <c r="A3370" s="94">
        <v>40939</v>
      </c>
      <c r="B3370" s="94" t="s">
        <v>188</v>
      </c>
      <c r="C3370" s="358" t="s">
        <v>304</v>
      </c>
      <c r="D3370" s="98">
        <v>2348572.4309151429</v>
      </c>
      <c r="E3370" s="95">
        <f t="shared" si="442"/>
        <v>657530.81420046824</v>
      </c>
      <c r="F3370" s="98">
        <v>2.5</v>
      </c>
      <c r="G3370" s="98">
        <v>0</v>
      </c>
      <c r="H3370" s="98">
        <v>0</v>
      </c>
      <c r="I3370" s="98">
        <v>0</v>
      </c>
      <c r="J3370" s="98"/>
      <c r="K3370" s="93">
        <v>3.5718058837606192</v>
      </c>
      <c r="L3370" s="93">
        <f t="shared" si="436"/>
        <v>0</v>
      </c>
      <c r="M3370" s="95">
        <f t="shared" ca="1" si="437"/>
        <v>0</v>
      </c>
      <c r="N3370" s="95">
        <f>IF(P3370="Hedge Fund",IF(A3370=Summary!$AD$3,M3370-E3370,M3370),IF(A3370=Summary!$AD$3,L3370-D3370,L3370))</f>
        <v>0</v>
      </c>
      <c r="O3370" s="95">
        <f t="shared" si="438"/>
        <v>0</v>
      </c>
      <c r="P3370" s="107" t="s">
        <v>155</v>
      </c>
      <c r="Q3370" s="107">
        <v>0</v>
      </c>
      <c r="R3370" s="107">
        <v>0</v>
      </c>
      <c r="S3370" s="107">
        <v>0</v>
      </c>
      <c r="T3370" s="107">
        <v>0</v>
      </c>
      <c r="U3370" s="107"/>
      <c r="V3370" s="107"/>
      <c r="W3370" s="107"/>
      <c r="X3370" s="107"/>
      <c r="Y3370" s="107"/>
      <c r="Z3370" s="107"/>
      <c r="AA3370" s="107"/>
      <c r="AB3370" s="107"/>
      <c r="AC3370" s="355"/>
      <c r="AD3370" s="355"/>
      <c r="AE3370" s="355"/>
      <c r="AF3370" s="94">
        <f t="shared" si="439"/>
        <v>40939</v>
      </c>
      <c r="AG3370" s="185">
        <f t="shared" si="443"/>
        <v>-4.0110901056603643E-3</v>
      </c>
      <c r="AH3370" s="339" t="str">
        <f>VLOOKUP(B3370,'MF PF'!A:B,2)</f>
        <v>FdMgt1</v>
      </c>
      <c r="AI3370" s="358">
        <f t="shared" si="440"/>
        <v>0</v>
      </c>
      <c r="AJ3370" s="94">
        <f t="shared" si="441"/>
        <v>40939</v>
      </c>
    </row>
    <row r="3371" spans="1:36" ht="12.75" customHeight="1">
      <c r="A3371" s="94">
        <v>40968</v>
      </c>
      <c r="B3371" s="94" t="s">
        <v>188</v>
      </c>
      <c r="C3371" s="358" t="s">
        <v>304</v>
      </c>
      <c r="D3371" s="98">
        <v>2515481.670588511</v>
      </c>
      <c r="E3371" s="95">
        <f t="shared" si="442"/>
        <v>664528.08830121788</v>
      </c>
      <c r="F3371" s="98">
        <v>2.5</v>
      </c>
      <c r="G3371" s="98">
        <v>140422</v>
      </c>
      <c r="H3371" s="98">
        <v>0</v>
      </c>
      <c r="I3371" s="98">
        <v>0</v>
      </c>
      <c r="J3371" s="98"/>
      <c r="K3371" s="93">
        <v>3.7853654568898993</v>
      </c>
      <c r="L3371" s="93">
        <f t="shared" si="436"/>
        <v>140422</v>
      </c>
      <c r="M3371" s="95">
        <f t="shared" ca="1" si="437"/>
        <v>0</v>
      </c>
      <c r="N3371" s="95">
        <f>IF(P3371="Hedge Fund",IF(A3371=Summary!$AD$3,M3371-E3371,M3371),IF(A3371=Summary!$AD$3,L3371-D3371,L3371))</f>
        <v>140422</v>
      </c>
      <c r="O3371" s="95">
        <f t="shared" si="438"/>
        <v>140422</v>
      </c>
      <c r="P3371" s="107" t="s">
        <v>155</v>
      </c>
      <c r="Q3371" s="107">
        <v>0</v>
      </c>
      <c r="R3371" s="107">
        <v>0</v>
      </c>
      <c r="S3371" s="107">
        <v>0</v>
      </c>
      <c r="T3371" s="107">
        <v>0</v>
      </c>
      <c r="U3371" s="107"/>
      <c r="V3371" s="107"/>
      <c r="W3371" s="107"/>
      <c r="X3371" s="107"/>
      <c r="Y3371" s="107"/>
      <c r="Z3371" s="107"/>
      <c r="AA3371" s="107"/>
      <c r="AB3371" s="107"/>
      <c r="AC3371" s="355"/>
      <c r="AD3371" s="355"/>
      <c r="AE3371" s="355"/>
      <c r="AF3371" s="94">
        <f t="shared" si="439"/>
        <v>40968</v>
      </c>
      <c r="AG3371" s="185">
        <f t="shared" si="443"/>
        <v>1.1278016945403424E-2</v>
      </c>
      <c r="AH3371" s="339" t="str">
        <f>VLOOKUP(B3371,'MF PF'!A:B,2)</f>
        <v>FdMgt1</v>
      </c>
      <c r="AI3371" s="358">
        <f t="shared" si="440"/>
        <v>0</v>
      </c>
      <c r="AJ3371" s="94">
        <f t="shared" si="441"/>
        <v>40968</v>
      </c>
    </row>
    <row r="3372" spans="1:36" ht="12.75" customHeight="1">
      <c r="A3372" s="94">
        <v>40998</v>
      </c>
      <c r="B3372" s="94" t="s">
        <v>188</v>
      </c>
      <c r="C3372" s="358" t="s">
        <v>304</v>
      </c>
      <c r="D3372" s="98">
        <v>2564402.1641417602</v>
      </c>
      <c r="E3372" s="9">
        <f t="shared" si="442"/>
        <v>677451.67364862654</v>
      </c>
      <c r="F3372" s="98">
        <v>2.5</v>
      </c>
      <c r="G3372" s="98">
        <v>0</v>
      </c>
      <c r="H3372" s="98">
        <v>0</v>
      </c>
      <c r="I3372" s="98">
        <v>0</v>
      </c>
      <c r="J3372" s="98"/>
      <c r="K3372" s="93">
        <v>3.7853654568898993</v>
      </c>
      <c r="L3372" s="93">
        <f t="shared" si="436"/>
        <v>0</v>
      </c>
      <c r="M3372" s="95">
        <f t="shared" ca="1" si="437"/>
        <v>0</v>
      </c>
      <c r="N3372" s="95">
        <f>IF(P3372="Hedge Fund",IF(A3372=Summary!$AD$3,M3372-E3372,M3372),IF(A3372=Summary!$AD$3,L3372-D3372,L3372))</f>
        <v>0</v>
      </c>
      <c r="O3372" s="95">
        <f t="shared" si="438"/>
        <v>0</v>
      </c>
      <c r="P3372" s="107" t="s">
        <v>155</v>
      </c>
      <c r="Q3372" s="107">
        <v>0</v>
      </c>
      <c r="R3372" s="107">
        <v>0</v>
      </c>
      <c r="S3372" s="107">
        <v>0</v>
      </c>
      <c r="T3372" s="107">
        <v>0</v>
      </c>
      <c r="U3372" s="107"/>
      <c r="V3372" s="107"/>
      <c r="W3372" s="107"/>
      <c r="X3372" s="107"/>
      <c r="Y3372" s="107"/>
      <c r="Z3372" s="107"/>
      <c r="AA3372" s="107"/>
      <c r="AB3372" s="107"/>
      <c r="AC3372" s="355"/>
      <c r="AD3372" s="355"/>
      <c r="AE3372" s="355"/>
      <c r="AF3372" s="94">
        <f t="shared" si="439"/>
        <v>40998</v>
      </c>
      <c r="AG3372" s="185">
        <f t="shared" si="443"/>
        <v>1.9447763871721646E-2</v>
      </c>
      <c r="AH3372" s="339" t="str">
        <f>VLOOKUP(B3372,'MF PF'!A:B,2)</f>
        <v>FdMgt1</v>
      </c>
      <c r="AI3372" s="358">
        <f t="shared" si="440"/>
        <v>0</v>
      </c>
      <c r="AJ3372" s="94">
        <f t="shared" si="441"/>
        <v>40999</v>
      </c>
    </row>
    <row r="3373" spans="1:36" ht="12.75" customHeight="1">
      <c r="A3373" s="94">
        <v>41029</v>
      </c>
      <c r="B3373" s="94" t="s">
        <v>188</v>
      </c>
      <c r="C3373" s="358" t="s">
        <v>304</v>
      </c>
      <c r="D3373" s="98">
        <v>2622754.3313792697</v>
      </c>
      <c r="E3373" s="95">
        <f t="shared" si="442"/>
        <v>692866.87408358068</v>
      </c>
      <c r="F3373" s="98">
        <v>2.5</v>
      </c>
      <c r="G3373" s="98">
        <v>0</v>
      </c>
      <c r="H3373" s="98">
        <v>0</v>
      </c>
      <c r="I3373" s="98">
        <v>0</v>
      </c>
      <c r="J3373" s="98"/>
      <c r="K3373" s="93">
        <v>3.7853654568898993</v>
      </c>
      <c r="L3373" s="93">
        <f t="shared" si="436"/>
        <v>0</v>
      </c>
      <c r="M3373" s="95">
        <f t="shared" ca="1" si="437"/>
        <v>0</v>
      </c>
      <c r="N3373" s="95">
        <f>IF(P3373="Hedge Fund",IF(A3373=Summary!$AD$3,M3373-E3373,M3373),IF(A3373=Summary!$AD$3,L3373-D3373,L3373))</f>
        <v>0</v>
      </c>
      <c r="O3373" s="95">
        <f t="shared" si="438"/>
        <v>0</v>
      </c>
      <c r="P3373" s="107" t="s">
        <v>155</v>
      </c>
      <c r="Q3373" s="107">
        <v>0</v>
      </c>
      <c r="R3373" s="107">
        <v>0</v>
      </c>
      <c r="S3373" s="107">
        <v>0</v>
      </c>
      <c r="T3373" s="107">
        <v>0</v>
      </c>
      <c r="U3373" s="107"/>
      <c r="V3373" s="107"/>
      <c r="W3373" s="107"/>
      <c r="X3373" s="107"/>
      <c r="Y3373" s="107"/>
      <c r="Z3373" s="107"/>
      <c r="AA3373" s="107"/>
      <c r="AB3373" s="107"/>
      <c r="AC3373" s="355"/>
      <c r="AD3373" s="355"/>
      <c r="AE3373" s="355"/>
      <c r="AF3373" s="94">
        <f t="shared" si="439"/>
        <v>41029</v>
      </c>
      <c r="AG3373" s="185">
        <f t="shared" si="443"/>
        <v>2.2754686473694496E-2</v>
      </c>
      <c r="AH3373" s="339" t="str">
        <f>VLOOKUP(B3373,'MF PF'!A:B,2)</f>
        <v>FdMgt1</v>
      </c>
      <c r="AI3373" s="358">
        <f t="shared" si="440"/>
        <v>0</v>
      </c>
      <c r="AJ3373" s="94">
        <f t="shared" si="441"/>
        <v>41029</v>
      </c>
    </row>
    <row r="3374" spans="1:36" ht="12.75" customHeight="1">
      <c r="A3374" s="94">
        <v>41060</v>
      </c>
      <c r="B3374" s="94" t="s">
        <v>188</v>
      </c>
      <c r="C3374" s="358" t="s">
        <v>304</v>
      </c>
      <c r="D3374" s="98">
        <v>2630903.9288705401</v>
      </c>
      <c r="E3374" s="9">
        <f t="shared" si="442"/>
        <v>695019.79632691049</v>
      </c>
      <c r="F3374" s="98">
        <v>2.5</v>
      </c>
      <c r="G3374" s="98">
        <v>0</v>
      </c>
      <c r="H3374" s="98">
        <v>0</v>
      </c>
      <c r="I3374" s="98">
        <v>0</v>
      </c>
      <c r="J3374" s="98"/>
      <c r="K3374" s="93">
        <v>3.7853654568898993</v>
      </c>
      <c r="L3374" s="93">
        <f t="shared" si="436"/>
        <v>0</v>
      </c>
      <c r="M3374" s="95">
        <f t="shared" ca="1" si="437"/>
        <v>0</v>
      </c>
      <c r="N3374" s="95">
        <f>IF(P3374="Hedge Fund",IF(A3374=Summary!$AD$3,M3374-E3374,M3374),IF(A3374=Summary!$AD$3,L3374-D3374,L3374))</f>
        <v>0</v>
      </c>
      <c r="O3374" s="95">
        <f t="shared" si="438"/>
        <v>0</v>
      </c>
      <c r="P3374" s="107" t="s">
        <v>155</v>
      </c>
      <c r="Q3374" s="107">
        <v>0</v>
      </c>
      <c r="R3374" s="107">
        <v>0</v>
      </c>
      <c r="S3374" s="107">
        <v>0</v>
      </c>
      <c r="T3374" s="107">
        <v>0</v>
      </c>
      <c r="U3374" s="107"/>
      <c r="V3374" s="107"/>
      <c r="W3374" s="107"/>
      <c r="X3374" s="107"/>
      <c r="Y3374" s="107"/>
      <c r="Z3374" s="107"/>
      <c r="AA3374" s="107"/>
      <c r="AB3374" s="107"/>
      <c r="AC3374" s="355"/>
      <c r="AD3374" s="355"/>
      <c r="AE3374" s="355"/>
      <c r="AF3374" s="94">
        <f t="shared" si="439"/>
        <v>41060</v>
      </c>
      <c r="AG3374" s="185">
        <f t="shared" si="443"/>
        <v>3.1072668125133873E-3</v>
      </c>
      <c r="AH3374" s="339" t="str">
        <f>VLOOKUP(B3374,'MF PF'!A:B,2)</f>
        <v>FdMgt1</v>
      </c>
      <c r="AI3374" s="358">
        <f t="shared" si="440"/>
        <v>0</v>
      </c>
      <c r="AJ3374" s="94">
        <f t="shared" si="441"/>
        <v>41060</v>
      </c>
    </row>
    <row r="3375" spans="1:36" ht="12.75" customHeight="1">
      <c r="A3375" s="94">
        <v>41089</v>
      </c>
      <c r="B3375" s="94" t="s">
        <v>188</v>
      </c>
      <c r="C3375" s="358" t="s">
        <v>304</v>
      </c>
      <c r="D3375" s="98">
        <v>1976938.7068198901</v>
      </c>
      <c r="E3375" s="9">
        <f t="shared" si="442"/>
        <v>522258.3471356993</v>
      </c>
      <c r="F3375" s="98">
        <v>2.5</v>
      </c>
      <c r="G3375" s="98">
        <v>0</v>
      </c>
      <c r="H3375" s="98">
        <v>0</v>
      </c>
      <c r="I3375" s="98">
        <v>-635582.14999999991</v>
      </c>
      <c r="J3375" s="98"/>
      <c r="K3375" s="7">
        <v>3.7853654568898993</v>
      </c>
      <c r="L3375" s="93">
        <f t="shared" si="436"/>
        <v>-635582.14999999991</v>
      </c>
      <c r="M3375" s="95">
        <f t="shared" ca="1" si="437"/>
        <v>-167905.0958852997</v>
      </c>
      <c r="N3375" s="95">
        <f>IF(P3375="Hedge Fund",IF(A3375=Summary!$AD$3,M3375-E3375,M3375),IF(A3375=Summary!$AD$3,L3375-D3375,L3375))</f>
        <v>-635582.14999999991</v>
      </c>
      <c r="O3375" s="95">
        <f t="shared" si="438"/>
        <v>-635582.14999999991</v>
      </c>
      <c r="P3375" s="107" t="s">
        <v>155</v>
      </c>
      <c r="Q3375" s="107">
        <v>0</v>
      </c>
      <c r="R3375" s="107">
        <v>0</v>
      </c>
      <c r="S3375" s="107">
        <v>0</v>
      </c>
      <c r="T3375" s="107">
        <v>0</v>
      </c>
      <c r="U3375" s="107"/>
      <c r="V3375" s="107"/>
      <c r="W3375" s="107"/>
      <c r="X3375" s="107"/>
      <c r="Y3375" s="107"/>
      <c r="Z3375" s="107"/>
      <c r="AA3375" s="107"/>
      <c r="AB3375" s="107"/>
      <c r="AC3375" s="355"/>
      <c r="AD3375" s="355"/>
      <c r="AE3375" s="355"/>
      <c r="AF3375" s="94">
        <f t="shared" si="439"/>
        <v>41089</v>
      </c>
      <c r="AG3375" s="185">
        <f t="shared" si="443"/>
        <v>-6.9873596861220744E-3</v>
      </c>
      <c r="AH3375" s="339" t="str">
        <f>VLOOKUP(B3375,'MF PF'!A:B,2)</f>
        <v>FdMgt1</v>
      </c>
      <c r="AI3375" s="358">
        <f t="shared" si="440"/>
        <v>0</v>
      </c>
      <c r="AJ3375" s="94">
        <f t="shared" si="441"/>
        <v>41090</v>
      </c>
    </row>
    <row r="3376" spans="1:36" ht="12.75" customHeight="1">
      <c r="A3376" s="94">
        <v>41121</v>
      </c>
      <c r="B3376" s="94" t="s">
        <v>188</v>
      </c>
      <c r="C3376" s="358" t="s">
        <v>304</v>
      </c>
      <c r="D3376" s="98">
        <v>2001656.2666096399</v>
      </c>
      <c r="E3376" s="95">
        <f t="shared" si="442"/>
        <v>528788.1155480888</v>
      </c>
      <c r="F3376" s="98">
        <v>2.5</v>
      </c>
      <c r="G3376" s="98">
        <v>0</v>
      </c>
      <c r="H3376" s="98">
        <v>-2.3283064365386963E-10</v>
      </c>
      <c r="I3376" s="98">
        <v>0</v>
      </c>
      <c r="J3376" s="98"/>
      <c r="K3376" s="93">
        <v>3.7853654568898993</v>
      </c>
      <c r="L3376" s="93">
        <f t="shared" si="436"/>
        <v>-2.3283064365386963E-10</v>
      </c>
      <c r="M3376" s="95">
        <f t="shared" ca="1" si="437"/>
        <v>0</v>
      </c>
      <c r="N3376" s="95">
        <f>IF(P3376="Hedge Fund",IF(A3376=Summary!$AD$3,M3376-E3376,M3376),IF(A3376=Summary!$AD$3,L3376-D3376,L3376))</f>
        <v>-2.3283064365386963E-10</v>
      </c>
      <c r="O3376" s="95">
        <f t="shared" si="438"/>
        <v>-2.3283064365386963E-10</v>
      </c>
      <c r="P3376" s="107" t="s">
        <v>155</v>
      </c>
      <c r="Q3376" s="107">
        <v>0</v>
      </c>
      <c r="R3376" s="107">
        <v>0</v>
      </c>
      <c r="S3376" s="107">
        <v>0</v>
      </c>
      <c r="T3376" s="107">
        <v>0</v>
      </c>
      <c r="U3376" s="107"/>
      <c r="V3376" s="107"/>
      <c r="W3376" s="107"/>
      <c r="X3376" s="107"/>
      <c r="Y3376" s="107"/>
      <c r="Z3376" s="107"/>
      <c r="AA3376" s="107"/>
      <c r="AB3376" s="107"/>
      <c r="AC3376" s="355"/>
      <c r="AD3376" s="355"/>
      <c r="AE3376" s="355"/>
      <c r="AF3376" s="94">
        <f t="shared" si="439"/>
        <v>41121</v>
      </c>
      <c r="AG3376" s="185">
        <f t="shared" si="443"/>
        <v>1.2502946957577032E-2</v>
      </c>
      <c r="AH3376" s="339" t="str">
        <f>VLOOKUP(B3376,'MF PF'!A:B,2)</f>
        <v>FdMgt1</v>
      </c>
      <c r="AI3376" s="358">
        <f t="shared" si="440"/>
        <v>0</v>
      </c>
      <c r="AJ3376" s="94">
        <f t="shared" si="441"/>
        <v>41121</v>
      </c>
    </row>
    <row r="3377" spans="1:36" ht="12.75" customHeight="1">
      <c r="A3377" s="94">
        <v>41152</v>
      </c>
      <c r="B3377" s="94" t="s">
        <v>188</v>
      </c>
      <c r="C3377" s="358" t="s">
        <v>304</v>
      </c>
      <c r="D3377" s="98">
        <v>2003493.0580000002</v>
      </c>
      <c r="E3377" s="95">
        <f t="shared" si="442"/>
        <v>529273.35043789761</v>
      </c>
      <c r="F3377" s="98">
        <v>2.5</v>
      </c>
      <c r="G3377" s="98">
        <v>0</v>
      </c>
      <c r="H3377" s="98">
        <v>0</v>
      </c>
      <c r="I3377" s="98">
        <v>0</v>
      </c>
      <c r="J3377" s="98"/>
      <c r="K3377" s="93">
        <v>3.7853654568898993</v>
      </c>
      <c r="L3377" s="93">
        <f t="shared" si="436"/>
        <v>0</v>
      </c>
      <c r="M3377" s="95">
        <f t="shared" ca="1" si="437"/>
        <v>0</v>
      </c>
      <c r="N3377" s="95">
        <f>IF(P3377="Hedge Fund",IF(A3377=Summary!$AD$3,M3377-E3377,M3377),IF(A3377=Summary!$AD$3,L3377-D3377,L3377))</f>
        <v>0</v>
      </c>
      <c r="O3377" s="95">
        <f t="shared" si="438"/>
        <v>0</v>
      </c>
      <c r="P3377" s="107" t="s">
        <v>155</v>
      </c>
      <c r="Q3377" s="107">
        <v>0</v>
      </c>
      <c r="R3377" s="107">
        <v>0</v>
      </c>
      <c r="S3377" s="107">
        <v>0</v>
      </c>
      <c r="T3377" s="107">
        <v>0</v>
      </c>
      <c r="U3377" s="107"/>
      <c r="V3377" s="107"/>
      <c r="W3377" s="107"/>
      <c r="X3377" s="107"/>
      <c r="Y3377" s="107"/>
      <c r="Z3377" s="107"/>
      <c r="AA3377" s="107"/>
      <c r="AB3377" s="107"/>
      <c r="AC3377" s="355"/>
      <c r="AD3377" s="355"/>
      <c r="AE3377" s="355"/>
      <c r="AF3377" s="94">
        <f t="shared" si="439"/>
        <v>41152</v>
      </c>
      <c r="AG3377" s="185">
        <f t="shared" si="443"/>
        <v>9.1763577043701972E-4</v>
      </c>
      <c r="AH3377" s="339" t="str">
        <f>VLOOKUP(B3377,'MF PF'!A:B,2)</f>
        <v>FdMgt1</v>
      </c>
      <c r="AI3377" s="358">
        <f t="shared" si="440"/>
        <v>0</v>
      </c>
      <c r="AJ3377" s="94">
        <f t="shared" si="441"/>
        <v>41152</v>
      </c>
    </row>
    <row r="3378" spans="1:36" ht="12.75" customHeight="1">
      <c r="A3378" s="94">
        <v>41180</v>
      </c>
      <c r="B3378" s="94" t="s">
        <v>188</v>
      </c>
      <c r="C3378" s="358" t="s">
        <v>304</v>
      </c>
      <c r="D3378" s="98">
        <v>1978060.466</v>
      </c>
      <c r="E3378" s="9">
        <f t="shared" si="442"/>
        <v>522554.68818727945</v>
      </c>
      <c r="F3378" s="98">
        <v>2.5</v>
      </c>
      <c r="G3378" s="98">
        <v>0</v>
      </c>
      <c r="H3378" s="98">
        <v>0</v>
      </c>
      <c r="I3378" s="98">
        <v>0</v>
      </c>
      <c r="J3378" s="98"/>
      <c r="K3378" s="7">
        <v>3.7853654568898993</v>
      </c>
      <c r="L3378" s="93">
        <f t="shared" si="436"/>
        <v>0</v>
      </c>
      <c r="M3378" s="95">
        <f t="shared" ca="1" si="437"/>
        <v>0</v>
      </c>
      <c r="N3378" s="95">
        <f>IF(P3378="Hedge Fund",IF(A3378=Summary!$AD$3,M3378-E3378,M3378),IF(A3378=Summary!$AD$3,L3378-D3378,L3378))</f>
        <v>0</v>
      </c>
      <c r="O3378" s="95">
        <f t="shared" si="438"/>
        <v>0</v>
      </c>
      <c r="P3378" s="107" t="s">
        <v>155</v>
      </c>
      <c r="Q3378" s="107">
        <v>0</v>
      </c>
      <c r="R3378" s="107">
        <v>0</v>
      </c>
      <c r="S3378" s="107">
        <v>0</v>
      </c>
      <c r="T3378" s="107">
        <v>0</v>
      </c>
      <c r="U3378" s="107"/>
      <c r="V3378" s="107"/>
      <c r="W3378" s="107"/>
      <c r="X3378" s="107"/>
      <c r="Y3378" s="107"/>
      <c r="Z3378" s="107"/>
      <c r="AA3378" s="107"/>
      <c r="AB3378" s="107"/>
      <c r="AC3378" s="355"/>
      <c r="AD3378" s="355"/>
      <c r="AE3378" s="355"/>
      <c r="AF3378" s="94">
        <f t="shared" si="439"/>
        <v>41180</v>
      </c>
      <c r="AG3378" s="185">
        <f t="shared" si="443"/>
        <v>-1.2694125341960683E-2</v>
      </c>
      <c r="AH3378" s="339" t="str">
        <f>VLOOKUP(B3378,'MF PF'!A:B,2)</f>
        <v>FdMgt1</v>
      </c>
      <c r="AI3378" s="358">
        <f t="shared" si="440"/>
        <v>0</v>
      </c>
      <c r="AJ3378" s="94">
        <f t="shared" si="441"/>
        <v>41182</v>
      </c>
    </row>
    <row r="3379" spans="1:36" ht="12.75" customHeight="1">
      <c r="A3379" s="94">
        <v>41213</v>
      </c>
      <c r="B3379" s="94" t="s">
        <v>188</v>
      </c>
      <c r="C3379" s="358" t="s">
        <v>304</v>
      </c>
      <c r="D3379" s="98">
        <v>1722936.112</v>
      </c>
      <c r="E3379" s="95">
        <f t="shared" si="442"/>
        <v>455157.13915125764</v>
      </c>
      <c r="F3379" s="98">
        <v>2.5</v>
      </c>
      <c r="G3379" s="98">
        <v>0</v>
      </c>
      <c r="H3379" s="98">
        <v>0</v>
      </c>
      <c r="I3379" s="98">
        <v>-274599.81</v>
      </c>
      <c r="J3379" s="98"/>
      <c r="K3379" s="93">
        <v>3.7853654568898993</v>
      </c>
      <c r="L3379" s="93">
        <f t="shared" si="436"/>
        <v>-274599.81</v>
      </c>
      <c r="M3379" s="95">
        <f t="shared" ca="1" si="437"/>
        <v>-72542.48318354298</v>
      </c>
      <c r="N3379" s="95">
        <f>IF(P3379="Hedge Fund",IF(A3379=Summary!$AD$3,M3379-E3379,M3379),IF(A3379=Summary!$AD$3,L3379-D3379,L3379))</f>
        <v>-274599.81</v>
      </c>
      <c r="O3379" s="95">
        <f t="shared" si="438"/>
        <v>-274599.81</v>
      </c>
      <c r="P3379" s="107" t="s">
        <v>155</v>
      </c>
      <c r="Q3379" s="107">
        <v>0</v>
      </c>
      <c r="R3379" s="107">
        <v>0</v>
      </c>
      <c r="S3379" s="107">
        <v>0</v>
      </c>
      <c r="T3379" s="107">
        <v>0</v>
      </c>
      <c r="U3379" s="107"/>
      <c r="V3379" s="107"/>
      <c r="W3379" s="107"/>
      <c r="X3379" s="107"/>
      <c r="Y3379" s="107"/>
      <c r="Z3379" s="107"/>
      <c r="AA3379" s="107"/>
      <c r="AB3379" s="107"/>
      <c r="AC3379" s="355"/>
      <c r="AD3379" s="355"/>
      <c r="AE3379" s="355"/>
      <c r="AF3379" s="94">
        <f t="shared" si="439"/>
        <v>41213</v>
      </c>
      <c r="AG3379" s="185">
        <f t="shared" si="443"/>
        <v>9.8457334013570819E-3</v>
      </c>
      <c r="AH3379" s="339" t="str">
        <f>VLOOKUP(B3379,'MF PF'!A:B,2)</f>
        <v>FdMgt1</v>
      </c>
      <c r="AI3379" s="358">
        <f t="shared" si="440"/>
        <v>0</v>
      </c>
      <c r="AJ3379" s="94">
        <f t="shared" si="441"/>
        <v>41213</v>
      </c>
    </row>
    <row r="3380" spans="1:36" ht="12.75" customHeight="1">
      <c r="A3380" s="94">
        <v>41243</v>
      </c>
      <c r="B3380" s="94" t="s">
        <v>188</v>
      </c>
      <c r="C3380" s="358" t="s">
        <v>304</v>
      </c>
      <c r="D3380" s="98">
        <v>1727626.872</v>
      </c>
      <c r="E3380" s="9">
        <f t="shared" si="442"/>
        <v>456396.32201310317</v>
      </c>
      <c r="F3380" s="98">
        <v>2.5</v>
      </c>
      <c r="G3380" s="98">
        <v>0</v>
      </c>
      <c r="H3380" s="98">
        <v>0</v>
      </c>
      <c r="I3380" s="98">
        <v>0</v>
      </c>
      <c r="J3380" s="98"/>
      <c r="K3380" s="7">
        <v>3.7853654568898993</v>
      </c>
      <c r="L3380" s="93">
        <f t="shared" si="436"/>
        <v>0</v>
      </c>
      <c r="M3380" s="95">
        <f t="shared" ca="1" si="437"/>
        <v>0</v>
      </c>
      <c r="N3380" s="95">
        <f>IF(P3380="Hedge Fund",IF(A3380=Summary!$AD$3,M3380-E3380,M3380),IF(A3380=Summary!$AD$3,L3380-D3380,L3380))</f>
        <v>0</v>
      </c>
      <c r="O3380" s="95">
        <f t="shared" si="438"/>
        <v>0</v>
      </c>
      <c r="P3380" s="107" t="s">
        <v>155</v>
      </c>
      <c r="Q3380" s="107">
        <v>0</v>
      </c>
      <c r="R3380" s="107">
        <v>0</v>
      </c>
      <c r="S3380" s="107">
        <v>0</v>
      </c>
      <c r="T3380" s="107">
        <v>0</v>
      </c>
      <c r="U3380" s="107"/>
      <c r="V3380" s="107"/>
      <c r="W3380" s="107"/>
      <c r="X3380" s="107"/>
      <c r="Y3380" s="107"/>
      <c r="Z3380" s="107"/>
      <c r="AA3380" s="107"/>
      <c r="AB3380" s="107"/>
      <c r="AC3380" s="355"/>
      <c r="AD3380" s="355"/>
      <c r="AE3380" s="355"/>
      <c r="AF3380" s="94">
        <f t="shared" si="439"/>
        <v>41243</v>
      </c>
      <c r="AG3380" s="185">
        <f t="shared" si="443"/>
        <v>2.7225385592242191E-3</v>
      </c>
      <c r="AH3380" s="339" t="str">
        <f>VLOOKUP(B3380,'MF PF'!A:B,2)</f>
        <v>FdMgt1</v>
      </c>
      <c r="AI3380" s="358">
        <f t="shared" si="440"/>
        <v>0</v>
      </c>
      <c r="AJ3380" s="94">
        <f t="shared" si="441"/>
        <v>41243</v>
      </c>
    </row>
    <row r="3381" spans="1:36" ht="12.75" customHeight="1">
      <c r="A3381" s="94">
        <v>41274</v>
      </c>
      <c r="B3381" s="94" t="s">
        <v>188</v>
      </c>
      <c r="C3381" s="358" t="s">
        <v>304</v>
      </c>
      <c r="D3381" s="98">
        <v>1760145.44</v>
      </c>
      <c r="E3381" s="9">
        <f t="shared" si="442"/>
        <v>464986.92399601388</v>
      </c>
      <c r="F3381" s="98">
        <v>2.5</v>
      </c>
      <c r="G3381" s="98">
        <v>0</v>
      </c>
      <c r="H3381" s="98">
        <v>0</v>
      </c>
      <c r="I3381" s="98">
        <v>0</v>
      </c>
      <c r="J3381" s="98"/>
      <c r="K3381" s="7">
        <v>3.7853654568898993</v>
      </c>
      <c r="L3381" s="93">
        <f t="shared" si="436"/>
        <v>0</v>
      </c>
      <c r="M3381" s="95">
        <f t="shared" ca="1" si="437"/>
        <v>0</v>
      </c>
      <c r="N3381" s="95">
        <f>IF(P3381="Hedge Fund",IF(A3381=Summary!$AD$3,M3381-E3381,M3381),IF(A3381=Summary!$AD$3,L3381-D3381,L3381))</f>
        <v>0</v>
      </c>
      <c r="O3381" s="95">
        <f t="shared" si="438"/>
        <v>0</v>
      </c>
      <c r="P3381" s="107" t="s">
        <v>155</v>
      </c>
      <c r="Q3381" s="107">
        <v>0</v>
      </c>
      <c r="R3381" s="107">
        <v>0</v>
      </c>
      <c r="S3381" s="107">
        <v>0</v>
      </c>
      <c r="T3381" s="107">
        <v>0</v>
      </c>
      <c r="U3381" s="107"/>
      <c r="V3381" s="107"/>
      <c r="W3381" s="107"/>
      <c r="X3381" s="107"/>
      <c r="Y3381" s="107"/>
      <c r="Z3381" s="107"/>
      <c r="AA3381" s="107"/>
      <c r="AB3381" s="107"/>
      <c r="AC3381" s="355"/>
      <c r="AD3381" s="355"/>
      <c r="AE3381" s="355"/>
      <c r="AF3381" s="94">
        <f t="shared" si="439"/>
        <v>41274</v>
      </c>
      <c r="AG3381" s="185">
        <f t="shared" si="443"/>
        <v>1.8822680132518865E-2</v>
      </c>
      <c r="AH3381" s="339" t="str">
        <f>VLOOKUP(B3381,'MF PF'!A:B,2)</f>
        <v>FdMgt1</v>
      </c>
      <c r="AI3381" s="358">
        <f t="shared" si="440"/>
        <v>0</v>
      </c>
      <c r="AJ3381" s="94">
        <f t="shared" si="441"/>
        <v>41274</v>
      </c>
    </row>
    <row r="3382" spans="1:36" ht="12.75" customHeight="1">
      <c r="A3382" s="94">
        <v>41305</v>
      </c>
      <c r="B3382" s="94" t="s">
        <v>188</v>
      </c>
      <c r="C3382" s="358" t="s">
        <v>304</v>
      </c>
      <c r="D3382" s="98">
        <v>1329563.5919999999</v>
      </c>
      <c r="E3382" s="95">
        <f t="shared" si="442"/>
        <v>351237.84140313498</v>
      </c>
      <c r="F3382" s="98">
        <v>2.5</v>
      </c>
      <c r="G3382" s="98">
        <v>0</v>
      </c>
      <c r="H3382" s="98">
        <v>0</v>
      </c>
      <c r="I3382" s="98">
        <v>-498961.68</v>
      </c>
      <c r="J3382" s="98"/>
      <c r="K3382" s="93">
        <v>3.7853654568898993</v>
      </c>
      <c r="L3382" s="93">
        <f t="shared" si="436"/>
        <v>-498961.68</v>
      </c>
      <c r="M3382" s="95">
        <f t="shared" ca="1" si="437"/>
        <v>-131813.34422857885</v>
      </c>
      <c r="N3382" s="95">
        <f>IF(P3382="Hedge Fund",IF(A3382=Summary!$AD$3,M3382-E3382,M3382),IF(A3382=Summary!$AD$3,L3382-D3382,L3382))</f>
        <v>-498961.68</v>
      </c>
      <c r="O3382" s="95">
        <f t="shared" si="438"/>
        <v>-498961.68</v>
      </c>
      <c r="P3382" s="107" t="s">
        <v>155</v>
      </c>
      <c r="Q3382" s="107">
        <v>0</v>
      </c>
      <c r="R3382" s="107">
        <v>0</v>
      </c>
      <c r="S3382" s="107">
        <v>0</v>
      </c>
      <c r="T3382" s="107">
        <v>0</v>
      </c>
      <c r="U3382" s="107"/>
      <c r="V3382" s="107"/>
      <c r="W3382" s="107"/>
      <c r="X3382" s="107"/>
      <c r="Y3382" s="107"/>
      <c r="Z3382" s="107"/>
      <c r="AA3382" s="107"/>
      <c r="AB3382" s="107"/>
      <c r="AC3382" s="355"/>
      <c r="AD3382" s="355"/>
      <c r="AE3382" s="355"/>
      <c r="AF3382" s="94">
        <f t="shared" si="439"/>
        <v>41305</v>
      </c>
      <c r="AG3382" s="185">
        <f t="shared" si="443"/>
        <v>3.8848966935368656E-2</v>
      </c>
      <c r="AH3382" s="339" t="str">
        <f>VLOOKUP(B3382,'MF PF'!A:B,2)</f>
        <v>FdMgt1</v>
      </c>
      <c r="AI3382" s="358">
        <f t="shared" si="440"/>
        <v>0</v>
      </c>
      <c r="AJ3382" s="94">
        <f t="shared" si="441"/>
        <v>41305</v>
      </c>
    </row>
    <row r="3383" spans="1:36" ht="12.75" customHeight="1">
      <c r="A3383" s="94">
        <v>41333</v>
      </c>
      <c r="B3383" s="94" t="s">
        <v>188</v>
      </c>
      <c r="C3383" s="358" t="s">
        <v>304</v>
      </c>
      <c r="D3383" s="98">
        <v>1312918.304</v>
      </c>
      <c r="E3383" s="9">
        <f t="shared" si="442"/>
        <v>346840.56769480562</v>
      </c>
      <c r="F3383" s="98">
        <v>2.5</v>
      </c>
      <c r="G3383" s="98">
        <v>0</v>
      </c>
      <c r="H3383" s="98">
        <v>0</v>
      </c>
      <c r="I3383" s="98">
        <v>0</v>
      </c>
      <c r="J3383" s="98"/>
      <c r="K3383" s="7">
        <v>3.7853654568898993</v>
      </c>
      <c r="L3383" s="93">
        <f t="shared" si="436"/>
        <v>0</v>
      </c>
      <c r="M3383" s="95">
        <f t="shared" ca="1" si="437"/>
        <v>0</v>
      </c>
      <c r="N3383" s="95">
        <f>IF(P3383="Hedge Fund",IF(A3383=Summary!$AD$3,M3383-E3383,M3383),IF(A3383=Summary!$AD$3,L3383-D3383,L3383))</f>
        <v>0</v>
      </c>
      <c r="O3383" s="95">
        <f t="shared" si="438"/>
        <v>0</v>
      </c>
      <c r="P3383" s="107" t="s">
        <v>155</v>
      </c>
      <c r="Q3383" s="107">
        <v>0</v>
      </c>
      <c r="R3383" s="107">
        <v>0</v>
      </c>
      <c r="S3383" s="107">
        <v>0</v>
      </c>
      <c r="T3383" s="107">
        <v>0</v>
      </c>
      <c r="U3383" s="107"/>
      <c r="V3383" s="107"/>
      <c r="W3383" s="107"/>
      <c r="X3383" s="107"/>
      <c r="Y3383" s="107"/>
      <c r="Z3383" s="107"/>
      <c r="AA3383" s="107"/>
      <c r="AB3383" s="107"/>
      <c r="AC3383" s="355"/>
      <c r="AD3383" s="355"/>
      <c r="AE3383" s="355"/>
      <c r="AF3383" s="94">
        <f t="shared" si="439"/>
        <v>41333</v>
      </c>
      <c r="AG3383" s="185">
        <f t="shared" si="443"/>
        <v>-1.2519362067489492E-2</v>
      </c>
      <c r="AH3383" s="339" t="str">
        <f>VLOOKUP(B3383,'MF PF'!A:B,2)</f>
        <v>FdMgt1</v>
      </c>
      <c r="AI3383" s="358">
        <f t="shared" si="440"/>
        <v>0</v>
      </c>
      <c r="AJ3383" s="94">
        <f t="shared" si="441"/>
        <v>41333</v>
      </c>
    </row>
    <row r="3384" spans="1:36" ht="12.75" customHeight="1">
      <c r="A3384" s="94">
        <v>41361</v>
      </c>
      <c r="B3384" s="94" t="s">
        <v>188</v>
      </c>
      <c r="C3384" s="358" t="s">
        <v>304</v>
      </c>
      <c r="D3384" s="98">
        <v>1076928.1359999999</v>
      </c>
      <c r="E3384" s="9">
        <f t="shared" si="442"/>
        <v>284497.79770664911</v>
      </c>
      <c r="F3384" s="98">
        <v>2.5</v>
      </c>
      <c r="G3384" s="98">
        <v>0</v>
      </c>
      <c r="H3384" s="98">
        <v>0</v>
      </c>
      <c r="I3384" s="98">
        <v>-184955.96</v>
      </c>
      <c r="J3384" s="98"/>
      <c r="K3384" s="7">
        <v>3.7853654568898993</v>
      </c>
      <c r="L3384" s="93">
        <f t="shared" si="436"/>
        <v>-184955.96</v>
      </c>
      <c r="M3384" s="95">
        <f t="shared" ca="1" si="437"/>
        <v>-48860.793523477114</v>
      </c>
      <c r="N3384" s="95">
        <f>IF(P3384="Hedge Fund",IF(A3384=Summary!$AD$3,M3384-E3384,M3384),IF(A3384=Summary!$AD$3,L3384-D3384,L3384))</f>
        <v>-184955.96</v>
      </c>
      <c r="O3384" s="95">
        <f t="shared" si="438"/>
        <v>-184955.96</v>
      </c>
      <c r="P3384" s="107" t="s">
        <v>155</v>
      </c>
      <c r="Q3384" s="107">
        <v>0</v>
      </c>
      <c r="R3384" s="107">
        <v>0</v>
      </c>
      <c r="S3384" s="107">
        <v>0</v>
      </c>
      <c r="T3384" s="107">
        <v>0</v>
      </c>
      <c r="U3384" s="107"/>
      <c r="V3384" s="107"/>
      <c r="W3384" s="107"/>
      <c r="X3384" s="107"/>
      <c r="Y3384" s="107"/>
      <c r="Z3384" s="107"/>
      <c r="AA3384" s="107"/>
      <c r="AB3384" s="107"/>
      <c r="AC3384" s="355"/>
      <c r="AD3384" s="355"/>
      <c r="AE3384" s="355"/>
      <c r="AF3384" s="94">
        <f t="shared" si="439"/>
        <v>41361</v>
      </c>
      <c r="AG3384" s="185">
        <f t="shared" si="443"/>
        <v>-3.8870817662086665E-2</v>
      </c>
      <c r="AH3384" s="339" t="str">
        <f>VLOOKUP(B3384,'MF PF'!A:B,2)</f>
        <v>FdMgt1</v>
      </c>
      <c r="AI3384" s="358">
        <f t="shared" si="440"/>
        <v>0</v>
      </c>
      <c r="AJ3384" s="94">
        <f t="shared" si="441"/>
        <v>41364</v>
      </c>
    </row>
    <row r="3385" spans="1:36" ht="12.75" customHeight="1">
      <c r="A3385" s="94">
        <v>41394</v>
      </c>
      <c r="B3385" s="94" t="s">
        <v>188</v>
      </c>
      <c r="C3385" s="358" t="s">
        <v>304</v>
      </c>
      <c r="D3385" s="98">
        <v>1045449.552</v>
      </c>
      <c r="E3385" s="9">
        <f t="shared" si="442"/>
        <v>276181.93379377259</v>
      </c>
      <c r="F3385" s="98">
        <v>2.5</v>
      </c>
      <c r="G3385" s="98">
        <v>0</v>
      </c>
      <c r="H3385" s="98">
        <v>0</v>
      </c>
      <c r="I3385" s="98">
        <v>0</v>
      </c>
      <c r="J3385" s="98"/>
      <c r="K3385" s="7">
        <v>3.7853654568898993</v>
      </c>
      <c r="L3385" s="93">
        <f t="shared" si="436"/>
        <v>0</v>
      </c>
      <c r="M3385" s="95">
        <f t="shared" ca="1" si="437"/>
        <v>0</v>
      </c>
      <c r="N3385" s="95">
        <f>IF(P3385="Hedge Fund",IF(A3385=Summary!$AD$3,M3385-E3385,M3385),IF(A3385=Summary!$AD$3,L3385-D3385,L3385))</f>
        <v>0</v>
      </c>
      <c r="O3385" s="95">
        <f t="shared" si="438"/>
        <v>0</v>
      </c>
      <c r="P3385" s="107" t="s">
        <v>155</v>
      </c>
      <c r="Q3385" s="107">
        <v>0</v>
      </c>
      <c r="R3385" s="107">
        <v>0</v>
      </c>
      <c r="S3385" s="107">
        <v>0</v>
      </c>
      <c r="T3385" s="107">
        <v>0</v>
      </c>
      <c r="U3385" s="107"/>
      <c r="V3385" s="107"/>
      <c r="W3385" s="107"/>
      <c r="X3385" s="107"/>
      <c r="Y3385" s="107"/>
      <c r="Z3385" s="107"/>
      <c r="AA3385" s="107"/>
      <c r="AB3385" s="107"/>
      <c r="AC3385" s="355"/>
      <c r="AD3385" s="355"/>
      <c r="AE3385" s="355"/>
      <c r="AF3385" s="94">
        <f t="shared" si="439"/>
        <v>41394</v>
      </c>
      <c r="AG3385" s="185">
        <f t="shared" si="443"/>
        <v>-2.9229976400207969E-2</v>
      </c>
      <c r="AH3385" s="339" t="str">
        <f>VLOOKUP(B3385,'MF PF'!A:B,2)</f>
        <v>FdMgt1</v>
      </c>
      <c r="AI3385" s="358">
        <f t="shared" si="440"/>
        <v>0</v>
      </c>
      <c r="AJ3385" s="94">
        <f t="shared" si="441"/>
        <v>41394</v>
      </c>
    </row>
    <row r="3386" spans="1:36" ht="12.75" customHeight="1">
      <c r="A3386" s="94">
        <v>41425</v>
      </c>
      <c r="B3386" s="94" t="s">
        <v>188</v>
      </c>
      <c r="C3386" s="358" t="s">
        <v>304</v>
      </c>
      <c r="D3386" s="98">
        <v>943323.60800000001</v>
      </c>
      <c r="E3386" s="9">
        <f t="shared" si="442"/>
        <v>249202.78338859408</v>
      </c>
      <c r="F3386" s="98">
        <v>2.5</v>
      </c>
      <c r="G3386" s="98">
        <v>0</v>
      </c>
      <c r="H3386" s="98">
        <v>0</v>
      </c>
      <c r="I3386" s="98">
        <v>-113640.72</v>
      </c>
      <c r="J3386" s="98"/>
      <c r="K3386" s="7">
        <v>3.7853654568898993</v>
      </c>
      <c r="L3386" s="93">
        <f t="shared" si="436"/>
        <v>-113640.72</v>
      </c>
      <c r="M3386" s="95">
        <f t="shared" ca="1" si="437"/>
        <v>-30021.069641547518</v>
      </c>
      <c r="N3386" s="95">
        <f>IF(P3386="Hedge Fund",IF(A3386=Summary!$AD$3,M3386-E3386,M3386),IF(A3386=Summary!$AD$3,L3386-D3386,L3386))</f>
        <v>-113640.72</v>
      </c>
      <c r="O3386" s="95">
        <f t="shared" si="438"/>
        <v>-113640.72</v>
      </c>
      <c r="P3386" s="107" t="s">
        <v>155</v>
      </c>
      <c r="Q3386" s="107">
        <v>0</v>
      </c>
      <c r="R3386" s="107">
        <v>0</v>
      </c>
      <c r="S3386" s="107">
        <v>0</v>
      </c>
      <c r="T3386" s="107">
        <v>0</v>
      </c>
      <c r="U3386" s="107"/>
      <c r="V3386" s="107"/>
      <c r="W3386" s="107"/>
      <c r="X3386" s="107"/>
      <c r="Y3386" s="107"/>
      <c r="Z3386" s="107"/>
      <c r="AA3386" s="107"/>
      <c r="AB3386" s="107"/>
      <c r="AC3386" s="355"/>
      <c r="AD3386" s="355"/>
      <c r="AE3386" s="355"/>
      <c r="AF3386" s="94">
        <f t="shared" si="439"/>
        <v>41425</v>
      </c>
      <c r="AG3386" s="185">
        <f t="shared" si="443"/>
        <v>1.1014186172801477E-2</v>
      </c>
      <c r="AH3386" s="339" t="str">
        <f>VLOOKUP(B3386,'MF PF'!A:B,2)</f>
        <v>FdMgt1</v>
      </c>
      <c r="AI3386" s="358">
        <f t="shared" si="440"/>
        <v>0</v>
      </c>
      <c r="AJ3386" s="94">
        <f t="shared" si="441"/>
        <v>41425</v>
      </c>
    </row>
    <row r="3387" spans="1:36" ht="12.75" customHeight="1">
      <c r="A3387" s="94">
        <v>41453</v>
      </c>
      <c r="B3387" s="94" t="s">
        <v>188</v>
      </c>
      <c r="C3387" s="358" t="s">
        <v>304</v>
      </c>
      <c r="D3387" s="98">
        <v>942222.12800000003</v>
      </c>
      <c r="E3387" s="9">
        <f t="shared" si="442"/>
        <v>248911.79959520759</v>
      </c>
      <c r="F3387" s="98">
        <v>2.5</v>
      </c>
      <c r="G3387" s="98">
        <v>0</v>
      </c>
      <c r="H3387" s="98">
        <v>0</v>
      </c>
      <c r="I3387" s="98">
        <v>0</v>
      </c>
      <c r="J3387" s="98"/>
      <c r="K3387" s="7">
        <v>3.7853654568898993</v>
      </c>
      <c r="L3387" s="93">
        <f t="shared" si="436"/>
        <v>0</v>
      </c>
      <c r="M3387" s="95">
        <f t="shared" ca="1" si="437"/>
        <v>0</v>
      </c>
      <c r="N3387" s="95">
        <f>IF(P3387="Hedge Fund",IF(A3387=Summary!$AD$3,M3387-E3387,M3387),IF(A3387=Summary!$AD$3,L3387-D3387,L3387))</f>
        <v>0</v>
      </c>
      <c r="O3387" s="95">
        <f t="shared" si="438"/>
        <v>0</v>
      </c>
      <c r="P3387" s="107" t="s">
        <v>155</v>
      </c>
      <c r="Q3387" s="107">
        <v>0</v>
      </c>
      <c r="R3387" s="107">
        <v>0</v>
      </c>
      <c r="S3387" s="107">
        <v>0</v>
      </c>
      <c r="T3387" s="107">
        <v>0</v>
      </c>
      <c r="U3387" s="107"/>
      <c r="V3387" s="107"/>
      <c r="W3387" s="107"/>
      <c r="X3387" s="107"/>
      <c r="Y3387" s="107"/>
      <c r="Z3387" s="107"/>
      <c r="AA3387" s="107"/>
      <c r="AB3387" s="107"/>
      <c r="AC3387" s="355"/>
      <c r="AD3387" s="355"/>
      <c r="AE3387" s="355"/>
      <c r="AF3387" s="94">
        <f t="shared" si="439"/>
        <v>41453</v>
      </c>
      <c r="AG3387" s="185">
        <f t="shared" si="443"/>
        <v>-1.1676586811341094E-3</v>
      </c>
      <c r="AH3387" s="339" t="str">
        <f>VLOOKUP(B3387,'MF PF'!A:B,2)</f>
        <v>FdMgt1</v>
      </c>
      <c r="AI3387" s="358">
        <f t="shared" si="440"/>
        <v>0</v>
      </c>
      <c r="AJ3387" s="94">
        <f t="shared" si="441"/>
        <v>41455</v>
      </c>
    </row>
    <row r="3388" spans="1:36" ht="12.75" customHeight="1">
      <c r="A3388" s="94">
        <v>41486</v>
      </c>
      <c r="B3388" s="94" t="s">
        <v>188</v>
      </c>
      <c r="C3388" s="358" t="s">
        <v>304</v>
      </c>
      <c r="D3388" s="98">
        <v>907211.67200000002</v>
      </c>
      <c r="E3388" s="9">
        <f t="shared" si="442"/>
        <v>239662.90238865756</v>
      </c>
      <c r="F3388" s="98">
        <v>2.5</v>
      </c>
      <c r="G3388" s="98">
        <v>0</v>
      </c>
      <c r="H3388" s="98">
        <v>0</v>
      </c>
      <c r="I3388" s="98">
        <v>0</v>
      </c>
      <c r="J3388" s="98"/>
      <c r="K3388" s="7">
        <v>3.7853654568898993</v>
      </c>
      <c r="L3388" s="93">
        <f t="shared" si="436"/>
        <v>0</v>
      </c>
      <c r="M3388" s="95">
        <f t="shared" ca="1" si="437"/>
        <v>0</v>
      </c>
      <c r="N3388" s="95">
        <f>IF(P3388="Hedge Fund",IF(A3388=Summary!$AD$3,M3388-E3388,M3388),IF(A3388=Summary!$AD$3,L3388-D3388,L3388))</f>
        <v>0</v>
      </c>
      <c r="O3388" s="95">
        <f t="shared" si="438"/>
        <v>0</v>
      </c>
      <c r="P3388" s="107" t="s">
        <v>155</v>
      </c>
      <c r="Q3388" s="107">
        <v>0</v>
      </c>
      <c r="R3388" s="107">
        <v>0</v>
      </c>
      <c r="S3388" s="107">
        <v>0</v>
      </c>
      <c r="T3388" s="107">
        <v>0</v>
      </c>
      <c r="U3388" s="107"/>
      <c r="V3388" s="107"/>
      <c r="W3388" s="107"/>
      <c r="X3388" s="107"/>
      <c r="Y3388" s="107"/>
      <c r="Z3388" s="107"/>
      <c r="AA3388" s="107"/>
      <c r="AB3388" s="107"/>
      <c r="AC3388" s="355"/>
      <c r="AD3388" s="355"/>
      <c r="AE3388" s="355"/>
      <c r="AF3388" s="94">
        <f t="shared" si="439"/>
        <v>41486</v>
      </c>
      <c r="AG3388" s="185">
        <f t="shared" si="443"/>
        <v>-3.7157327300638365E-2</v>
      </c>
      <c r="AH3388" s="339" t="str">
        <f>VLOOKUP(B3388,'MF PF'!A:B,2)</f>
        <v>FdMgt1</v>
      </c>
      <c r="AI3388" s="358">
        <f t="shared" si="440"/>
        <v>0</v>
      </c>
      <c r="AJ3388" s="94">
        <f t="shared" si="441"/>
        <v>41486</v>
      </c>
    </row>
    <row r="3389" spans="1:36" ht="12.75" customHeight="1">
      <c r="A3389" s="94">
        <v>41516</v>
      </c>
      <c r="B3389" s="94" t="s">
        <v>188</v>
      </c>
      <c r="C3389" s="358" t="s">
        <v>304</v>
      </c>
      <c r="D3389" s="98">
        <v>885131.28799999994</v>
      </c>
      <c r="E3389" s="9">
        <f t="shared" si="442"/>
        <v>233829.81064323289</v>
      </c>
      <c r="F3389" s="98">
        <v>2.5</v>
      </c>
      <c r="G3389" s="98">
        <v>0</v>
      </c>
      <c r="H3389" s="98">
        <v>0</v>
      </c>
      <c r="I3389" s="98">
        <v>0</v>
      </c>
      <c r="J3389" s="98"/>
      <c r="K3389" s="7">
        <v>3.7853654568898993</v>
      </c>
      <c r="L3389" s="93">
        <f t="shared" si="436"/>
        <v>0</v>
      </c>
      <c r="M3389" s="95">
        <f t="shared" ca="1" si="437"/>
        <v>0</v>
      </c>
      <c r="N3389" s="95">
        <f>IF(P3389="Hedge Fund",IF(A3389=Summary!$AD$3,M3389-E3389,M3389),IF(A3389=Summary!$AD$3,L3389-D3389,L3389))</f>
        <v>0</v>
      </c>
      <c r="O3389" s="95">
        <f t="shared" si="438"/>
        <v>0</v>
      </c>
      <c r="P3389" s="107" t="s">
        <v>155</v>
      </c>
      <c r="Q3389" s="107">
        <v>0</v>
      </c>
      <c r="R3389" s="107">
        <v>0</v>
      </c>
      <c r="S3389" s="107">
        <v>0</v>
      </c>
      <c r="T3389" s="107">
        <v>0</v>
      </c>
      <c r="U3389" s="107"/>
      <c r="V3389" s="107"/>
      <c r="W3389" s="107"/>
      <c r="X3389" s="107"/>
      <c r="Y3389" s="107"/>
      <c r="Z3389" s="107"/>
      <c r="AA3389" s="107"/>
      <c r="AB3389" s="107"/>
      <c r="AC3389" s="355"/>
      <c r="AD3389" s="355"/>
      <c r="AE3389" s="355"/>
      <c r="AF3389" s="94">
        <f t="shared" si="439"/>
        <v>41516</v>
      </c>
      <c r="AG3389" s="185">
        <f t="shared" si="443"/>
        <v>-2.4338734477834301E-2</v>
      </c>
      <c r="AH3389" s="339" t="str">
        <f>VLOOKUP(B3389,'MF PF'!A:B,2)</f>
        <v>FdMgt1</v>
      </c>
      <c r="AI3389" s="358">
        <f t="shared" si="440"/>
        <v>0</v>
      </c>
      <c r="AJ3389" s="94">
        <f t="shared" si="441"/>
        <v>41517</v>
      </c>
    </row>
    <row r="3390" spans="1:36" ht="12.75" customHeight="1">
      <c r="A3390" s="94">
        <v>41547</v>
      </c>
      <c r="B3390" s="94" t="s">
        <v>188</v>
      </c>
      <c r="C3390" s="358" t="s">
        <v>304</v>
      </c>
      <c r="D3390" s="98">
        <v>699704.20400000003</v>
      </c>
      <c r="E3390" s="9">
        <f t="shared" si="442"/>
        <v>184844.5578025867</v>
      </c>
      <c r="F3390" s="98">
        <v>2.5</v>
      </c>
      <c r="G3390" s="98">
        <v>0</v>
      </c>
      <c r="H3390" s="98">
        <v>0</v>
      </c>
      <c r="I3390" s="98">
        <v>-196020.66</v>
      </c>
      <c r="J3390" s="98"/>
      <c r="K3390" s="7">
        <v>3.7853654568898993</v>
      </c>
      <c r="L3390" s="93">
        <f t="shared" si="436"/>
        <v>-196020.66</v>
      </c>
      <c r="M3390" s="95">
        <f t="shared" ca="1" si="437"/>
        <v>-51783.813804084552</v>
      </c>
      <c r="N3390" s="95">
        <f>IF(P3390="Hedge Fund",IF(A3390=Summary!$AD$3,M3390-E3390,M3390),IF(A3390=Summary!$AD$3,L3390-D3390,L3390))</f>
        <v>-196020.66</v>
      </c>
      <c r="O3390" s="95">
        <f t="shared" si="438"/>
        <v>-196020.66</v>
      </c>
      <c r="P3390" s="107" t="s">
        <v>155</v>
      </c>
      <c r="Q3390" s="107">
        <v>0</v>
      </c>
      <c r="R3390" s="107">
        <v>0</v>
      </c>
      <c r="S3390" s="107">
        <v>0</v>
      </c>
      <c r="T3390" s="107">
        <v>0</v>
      </c>
      <c r="U3390" s="107"/>
      <c r="V3390" s="107"/>
      <c r="W3390" s="107"/>
      <c r="X3390" s="107"/>
      <c r="Y3390" s="107"/>
      <c r="Z3390" s="107"/>
      <c r="AA3390" s="107"/>
      <c r="AB3390" s="107"/>
      <c r="AC3390" s="355"/>
      <c r="AD3390" s="355"/>
      <c r="AE3390" s="355"/>
      <c r="AF3390" s="94">
        <f t="shared" si="439"/>
        <v>41547</v>
      </c>
      <c r="AG3390" s="185">
        <f t="shared" si="443"/>
        <v>1.1968366889319793E-2</v>
      </c>
      <c r="AH3390" s="339" t="str">
        <f>VLOOKUP(B3390,'MF PF'!A:B,2)</f>
        <v>FdMgt1</v>
      </c>
      <c r="AI3390" s="358">
        <f t="shared" si="440"/>
        <v>0</v>
      </c>
      <c r="AJ3390" s="94">
        <f t="shared" si="441"/>
        <v>41547</v>
      </c>
    </row>
    <row r="3391" spans="1:36" ht="12.75" customHeight="1">
      <c r="A3391" s="94">
        <v>41578</v>
      </c>
      <c r="B3391" s="94" t="s">
        <v>188</v>
      </c>
      <c r="C3391" s="358" t="s">
        <v>304</v>
      </c>
      <c r="D3391" s="98">
        <v>706908.06</v>
      </c>
      <c r="E3391" s="9">
        <f t="shared" si="442"/>
        <v>186747.63851752481</v>
      </c>
      <c r="F3391" s="98">
        <v>2.5</v>
      </c>
      <c r="G3391" s="98">
        <v>0</v>
      </c>
      <c r="H3391" s="98">
        <v>0</v>
      </c>
      <c r="I3391" s="98">
        <v>0</v>
      </c>
      <c r="J3391" s="98"/>
      <c r="K3391" s="7">
        <v>3.7853654568898993</v>
      </c>
      <c r="L3391" s="93">
        <f t="shared" si="436"/>
        <v>0</v>
      </c>
      <c r="M3391" s="95">
        <f t="shared" ca="1" si="437"/>
        <v>0</v>
      </c>
      <c r="N3391" s="95">
        <f>IF(P3391="Hedge Fund",IF(A3391=Summary!$AD$3,M3391-E3391,M3391),IF(A3391=Summary!$AD$3,L3391-D3391,L3391))</f>
        <v>0</v>
      </c>
      <c r="O3391" s="95">
        <f t="shared" si="438"/>
        <v>0</v>
      </c>
      <c r="P3391" s="107" t="s">
        <v>155</v>
      </c>
      <c r="Q3391" s="107">
        <v>0</v>
      </c>
      <c r="R3391" s="107">
        <v>0</v>
      </c>
      <c r="S3391" s="107">
        <v>0</v>
      </c>
      <c r="T3391" s="107">
        <v>0</v>
      </c>
      <c r="U3391" s="107"/>
      <c r="V3391" s="107"/>
      <c r="W3391" s="107"/>
      <c r="X3391" s="107"/>
      <c r="Y3391" s="107"/>
      <c r="Z3391" s="107"/>
      <c r="AA3391" s="107"/>
      <c r="AB3391" s="107"/>
      <c r="AC3391" s="355"/>
      <c r="AD3391" s="355"/>
      <c r="AE3391" s="355"/>
      <c r="AF3391" s="94">
        <f t="shared" si="439"/>
        <v>41578</v>
      </c>
      <c r="AG3391" s="185">
        <f t="shared" si="443"/>
        <v>1.0295573413476422E-2</v>
      </c>
      <c r="AH3391" s="339" t="str">
        <f>VLOOKUP(B3391,'MF PF'!A:B,2)</f>
        <v>FdMgt1</v>
      </c>
      <c r="AI3391" s="358">
        <f t="shared" si="440"/>
        <v>0</v>
      </c>
      <c r="AJ3391" s="94">
        <f t="shared" si="441"/>
        <v>41578</v>
      </c>
    </row>
    <row r="3392" spans="1:36" ht="12.75" customHeight="1">
      <c r="A3392" s="94">
        <v>41607</v>
      </c>
      <c r="B3392" s="94" t="s">
        <v>188</v>
      </c>
      <c r="C3392" s="358" t="s">
        <v>304</v>
      </c>
      <c r="D3392" s="98">
        <v>691788.14</v>
      </c>
      <c r="E3392" s="9">
        <f t="shared" ref="E3392:E3423" si="444">D3392/K3392</f>
        <v>182753.32933596885</v>
      </c>
      <c r="F3392" s="98">
        <v>2.5</v>
      </c>
      <c r="G3392" s="98">
        <v>0</v>
      </c>
      <c r="H3392" s="98">
        <v>0</v>
      </c>
      <c r="I3392" s="98">
        <v>0</v>
      </c>
      <c r="J3392" s="98"/>
      <c r="K3392" s="7">
        <v>3.7853654568898993</v>
      </c>
      <c r="L3392" s="93">
        <f t="shared" si="436"/>
        <v>0</v>
      </c>
      <c r="M3392" s="95">
        <f t="shared" ca="1" si="437"/>
        <v>0</v>
      </c>
      <c r="N3392" s="95">
        <f>IF(P3392="Hedge Fund",IF(A3392=Summary!$AD$3,M3392-E3392,M3392),IF(A3392=Summary!$AD$3,L3392-D3392,L3392))</f>
        <v>0</v>
      </c>
      <c r="O3392" s="95">
        <f t="shared" si="438"/>
        <v>0</v>
      </c>
      <c r="P3392" s="107" t="s">
        <v>155</v>
      </c>
      <c r="Q3392" s="107">
        <v>0</v>
      </c>
      <c r="R3392" s="107">
        <v>0</v>
      </c>
      <c r="S3392" s="107">
        <v>0</v>
      </c>
      <c r="T3392" s="107">
        <v>0</v>
      </c>
      <c r="U3392" s="107"/>
      <c r="V3392" s="107"/>
      <c r="W3392" s="107"/>
      <c r="X3392" s="107"/>
      <c r="Y3392" s="107"/>
      <c r="Z3392" s="107"/>
      <c r="AA3392" s="107"/>
      <c r="AB3392" s="107"/>
      <c r="AC3392" s="355"/>
      <c r="AD3392" s="355"/>
      <c r="AE3392" s="355"/>
      <c r="AF3392" s="94">
        <f t="shared" si="439"/>
        <v>41607</v>
      </c>
      <c r="AG3392" s="185">
        <f t="shared" si="443"/>
        <v>-2.1388806912174707E-2</v>
      </c>
      <c r="AH3392" s="339" t="str">
        <f>VLOOKUP(B3392,'MF PF'!A:B,2)</f>
        <v>FdMgt1</v>
      </c>
      <c r="AI3392" s="358">
        <f t="shared" si="440"/>
        <v>0</v>
      </c>
      <c r="AJ3392" s="94">
        <f t="shared" si="441"/>
        <v>41608</v>
      </c>
    </row>
    <row r="3393" spans="1:36" ht="12.75" customHeight="1">
      <c r="A3393" s="94">
        <v>41639</v>
      </c>
      <c r="B3393" s="94" t="s">
        <v>188</v>
      </c>
      <c r="C3393" s="358" t="s">
        <v>304</v>
      </c>
      <c r="D3393" s="98">
        <v>697822.54799999995</v>
      </c>
      <c r="E3393" s="9">
        <f t="shared" si="444"/>
        <v>184347.4707917209</v>
      </c>
      <c r="F3393" s="98">
        <v>2.5</v>
      </c>
      <c r="G3393" s="98">
        <v>0</v>
      </c>
      <c r="H3393" s="98">
        <v>0</v>
      </c>
      <c r="I3393" s="98">
        <v>0</v>
      </c>
      <c r="J3393" s="98"/>
      <c r="K3393" s="7">
        <v>3.7853654568898993</v>
      </c>
      <c r="L3393" s="93">
        <f t="shared" ref="L3393:L3456" si="445">G3393+H3393+I3393</f>
        <v>0</v>
      </c>
      <c r="M3393" s="95">
        <f t="shared" ref="M3393:M3456" ca="1" si="446">IF(A3393&gt;INDIRECT("A"&amp;ROW()-1),I3393/K3393,E3393)</f>
        <v>0</v>
      </c>
      <c r="N3393" s="95">
        <f>IF(P3393="Hedge Fund",IF(A3393=Summary!$AD$3,M3393-E3393,M3393),IF(A3393=Summary!$AD$3,L3393-D3393,L3393))</f>
        <v>0</v>
      </c>
      <c r="O3393" s="95">
        <f t="shared" ref="O3393:O3456" si="447">N3393</f>
        <v>0</v>
      </c>
      <c r="P3393" s="107" t="s">
        <v>155</v>
      </c>
      <c r="Q3393" s="107">
        <v>0</v>
      </c>
      <c r="R3393" s="107">
        <v>0</v>
      </c>
      <c r="S3393" s="107">
        <v>0</v>
      </c>
      <c r="T3393" s="107">
        <v>0</v>
      </c>
      <c r="U3393" s="107"/>
      <c r="V3393" s="107"/>
      <c r="W3393" s="107"/>
      <c r="X3393" s="107"/>
      <c r="Y3393" s="107"/>
      <c r="Z3393" s="107"/>
      <c r="AA3393" s="107"/>
      <c r="AB3393" s="107"/>
      <c r="AC3393" s="355"/>
      <c r="AD3393" s="355"/>
      <c r="AE3393" s="355"/>
      <c r="AF3393" s="94">
        <f t="shared" ref="AF3393:AF3456" si="448">A3393</f>
        <v>41639</v>
      </c>
      <c r="AG3393" s="185">
        <f t="shared" si="443"/>
        <v>8.72291334743025E-3</v>
      </c>
      <c r="AH3393" s="339" t="str">
        <f>VLOOKUP(B3393,'MF PF'!A:B,2)</f>
        <v>FdMgt1</v>
      </c>
      <c r="AI3393" s="358">
        <f t="shared" ref="AI3393:AI3456" si="449">AF3393-A3393</f>
        <v>0</v>
      </c>
      <c r="AJ3393" s="94">
        <f t="shared" ref="AJ3393:AJ3456" si="450">EOMONTH(A3393,0)</f>
        <v>41639</v>
      </c>
    </row>
    <row r="3394" spans="1:36" ht="12.75" customHeight="1">
      <c r="A3394" s="94">
        <v>41669</v>
      </c>
      <c r="B3394" s="94" t="s">
        <v>188</v>
      </c>
      <c r="C3394" s="358" t="s">
        <v>304</v>
      </c>
      <c r="D3394" s="98">
        <v>683053.26</v>
      </c>
      <c r="E3394" s="9">
        <f t="shared" si="444"/>
        <v>180445.78991884302</v>
      </c>
      <c r="F3394" s="98">
        <v>2.5</v>
      </c>
      <c r="G3394" s="98">
        <v>0</v>
      </c>
      <c r="H3394" s="98">
        <v>0</v>
      </c>
      <c r="I3394" s="98">
        <v>0</v>
      </c>
      <c r="J3394" s="98"/>
      <c r="K3394" s="7">
        <v>3.7853654568898993</v>
      </c>
      <c r="L3394" s="93">
        <f t="shared" si="445"/>
        <v>0</v>
      </c>
      <c r="M3394" s="95">
        <f t="shared" ca="1" si="446"/>
        <v>0</v>
      </c>
      <c r="N3394" s="95">
        <f>IF(P3394="Hedge Fund",IF(A3394=Summary!$AD$3,M3394-E3394,M3394),IF(A3394=Summary!$AD$3,L3394-D3394,L3394))</f>
        <v>0</v>
      </c>
      <c r="O3394" s="95">
        <f t="shared" si="447"/>
        <v>0</v>
      </c>
      <c r="P3394" s="107" t="s">
        <v>155</v>
      </c>
      <c r="Q3394" s="107">
        <v>0</v>
      </c>
      <c r="R3394" s="107">
        <v>0</v>
      </c>
      <c r="S3394" s="107">
        <v>0</v>
      </c>
      <c r="T3394" s="107">
        <v>0</v>
      </c>
      <c r="U3394" s="107"/>
      <c r="V3394" s="107"/>
      <c r="W3394" s="107"/>
      <c r="X3394" s="107"/>
      <c r="Y3394" s="107"/>
      <c r="Z3394" s="107"/>
      <c r="AA3394" s="107"/>
      <c r="AB3394" s="107"/>
      <c r="AC3394" s="355"/>
      <c r="AD3394" s="355"/>
      <c r="AE3394" s="355"/>
      <c r="AF3394" s="94">
        <f t="shared" si="448"/>
        <v>41669</v>
      </c>
      <c r="AG3394" s="185">
        <f t="shared" si="443"/>
        <v>-2.1164819111004096E-2</v>
      </c>
      <c r="AH3394" s="339" t="str">
        <f>VLOOKUP(B3394,'MF PF'!A:B,2)</f>
        <v>FdMgt1</v>
      </c>
      <c r="AI3394" s="358">
        <f t="shared" si="449"/>
        <v>0</v>
      </c>
      <c r="AJ3394" s="94">
        <f t="shared" si="450"/>
        <v>41670</v>
      </c>
    </row>
    <row r="3395" spans="1:36" ht="12.75" customHeight="1">
      <c r="A3395" s="94">
        <v>41698</v>
      </c>
      <c r="B3395" s="94" t="s">
        <v>188</v>
      </c>
      <c r="C3395" s="358" t="s">
        <v>304</v>
      </c>
      <c r="D3395" s="98">
        <v>662567.67599999998</v>
      </c>
      <c r="E3395" s="9">
        <f t="shared" si="444"/>
        <v>175034.00491860919</v>
      </c>
      <c r="F3395" s="98">
        <v>2.5</v>
      </c>
      <c r="G3395" s="98">
        <v>0</v>
      </c>
      <c r="H3395" s="98">
        <v>0</v>
      </c>
      <c r="I3395" s="98">
        <v>0</v>
      </c>
      <c r="J3395" s="98"/>
      <c r="K3395" s="7">
        <v>3.7853654568898993</v>
      </c>
      <c r="L3395" s="93">
        <f t="shared" si="445"/>
        <v>0</v>
      </c>
      <c r="M3395" s="95">
        <f t="shared" ca="1" si="446"/>
        <v>0</v>
      </c>
      <c r="N3395" s="95">
        <f>IF(P3395="Hedge Fund",IF(A3395=Summary!$AD$3,M3395-E3395,M3395),IF(A3395=Summary!$AD$3,L3395-D3395,L3395))</f>
        <v>0</v>
      </c>
      <c r="O3395" s="95">
        <f t="shared" si="447"/>
        <v>0</v>
      </c>
      <c r="P3395" s="107" t="s">
        <v>155</v>
      </c>
      <c r="Q3395" s="107">
        <v>0</v>
      </c>
      <c r="R3395" s="107">
        <v>0</v>
      </c>
      <c r="S3395" s="107">
        <v>0</v>
      </c>
      <c r="T3395" s="107">
        <v>0</v>
      </c>
      <c r="U3395" s="107"/>
      <c r="V3395" s="107"/>
      <c r="W3395" s="107"/>
      <c r="X3395" s="107"/>
      <c r="Y3395" s="107"/>
      <c r="Z3395" s="107"/>
      <c r="AA3395" s="107"/>
      <c r="AB3395" s="107"/>
      <c r="AC3395" s="355"/>
      <c r="AD3395" s="355"/>
      <c r="AE3395" s="355"/>
      <c r="AF3395" s="94">
        <f t="shared" si="448"/>
        <v>41698</v>
      </c>
      <c r="AG3395" s="185">
        <f t="shared" si="443"/>
        <v>-2.9991195708516272E-2</v>
      </c>
      <c r="AH3395" s="339" t="str">
        <f>VLOOKUP(B3395,'MF PF'!A:B,2)</f>
        <v>FdMgt1</v>
      </c>
      <c r="AI3395" s="358">
        <f t="shared" si="449"/>
        <v>0</v>
      </c>
      <c r="AJ3395" s="94">
        <f t="shared" si="450"/>
        <v>41698</v>
      </c>
    </row>
    <row r="3396" spans="1:36" ht="12.75" customHeight="1">
      <c r="A3396" s="94">
        <v>41729</v>
      </c>
      <c r="B3396" s="94" t="s">
        <v>188</v>
      </c>
      <c r="C3396" s="358" t="s">
        <v>304</v>
      </c>
      <c r="D3396" s="98">
        <v>530641.91599999997</v>
      </c>
      <c r="E3396" s="9">
        <f t="shared" si="444"/>
        <v>140182.47961611126</v>
      </c>
      <c r="F3396" s="98">
        <v>2.5</v>
      </c>
      <c r="G3396" s="98">
        <v>0</v>
      </c>
      <c r="H3396" s="98">
        <v>0</v>
      </c>
      <c r="I3396" s="98">
        <v>-125000</v>
      </c>
      <c r="J3396" s="98"/>
      <c r="K3396" s="7">
        <v>3.7853654568898993</v>
      </c>
      <c r="L3396" s="93">
        <f t="shared" si="445"/>
        <v>-125000</v>
      </c>
      <c r="M3396" s="95">
        <f t="shared" ca="1" si="446"/>
        <v>-33021.91067773453</v>
      </c>
      <c r="N3396" s="95">
        <f>IF(P3396="Hedge Fund",IF(A3396=Summary!$AD$3,M3396-E3396,M3396),IF(A3396=Summary!$AD$3,L3396-D3396,L3396))</f>
        <v>-125000</v>
      </c>
      <c r="O3396" s="95">
        <f t="shared" si="447"/>
        <v>-125000</v>
      </c>
      <c r="P3396" s="107" t="s">
        <v>155</v>
      </c>
      <c r="Q3396" s="107">
        <v>0</v>
      </c>
      <c r="R3396" s="107">
        <v>0</v>
      </c>
      <c r="S3396" s="107">
        <v>0</v>
      </c>
      <c r="T3396" s="107">
        <v>0</v>
      </c>
      <c r="U3396" s="107"/>
      <c r="V3396" s="107"/>
      <c r="W3396" s="107"/>
      <c r="X3396" s="107"/>
      <c r="Y3396" s="107"/>
      <c r="Z3396" s="107"/>
      <c r="AA3396" s="107"/>
      <c r="AB3396" s="107"/>
      <c r="AC3396" s="355"/>
      <c r="AD3396" s="355"/>
      <c r="AE3396" s="355"/>
      <c r="AF3396" s="94">
        <f t="shared" si="448"/>
        <v>41729</v>
      </c>
      <c r="AG3396" s="185">
        <f t="shared" si="443"/>
        <v>-1.0452909568138935E-2</v>
      </c>
      <c r="AH3396" s="339" t="str">
        <f>VLOOKUP(B3396,'MF PF'!A:B,2)</f>
        <v>FdMgt1</v>
      </c>
      <c r="AI3396" s="358">
        <f t="shared" si="449"/>
        <v>0</v>
      </c>
      <c r="AJ3396" s="94">
        <f t="shared" si="450"/>
        <v>41729</v>
      </c>
    </row>
    <row r="3397" spans="1:36" ht="12.75" customHeight="1">
      <c r="A3397" s="94">
        <v>41759</v>
      </c>
      <c r="B3397" s="94" t="s">
        <v>188</v>
      </c>
      <c r="C3397" s="358" t="s">
        <v>304</v>
      </c>
      <c r="D3397" s="98">
        <v>527186.46</v>
      </c>
      <c r="E3397" s="9">
        <f t="shared" si="444"/>
        <v>139269.6335410485</v>
      </c>
      <c r="F3397" s="98">
        <v>2.5</v>
      </c>
      <c r="G3397" s="98">
        <v>0</v>
      </c>
      <c r="H3397" s="98">
        <v>0</v>
      </c>
      <c r="I3397" s="98">
        <v>0</v>
      </c>
      <c r="J3397" s="98"/>
      <c r="K3397" s="7">
        <v>3.7853654568898993</v>
      </c>
      <c r="L3397" s="93">
        <f t="shared" si="445"/>
        <v>0</v>
      </c>
      <c r="M3397" s="95">
        <f t="shared" ca="1" si="446"/>
        <v>0</v>
      </c>
      <c r="N3397" s="95">
        <f>IF(P3397="Hedge Fund",IF(A3397=Summary!$AD$3,M3397-E3397,M3397),IF(A3397=Summary!$AD$3,L3397-D3397,L3397))</f>
        <v>0</v>
      </c>
      <c r="O3397" s="95">
        <f t="shared" si="447"/>
        <v>0</v>
      </c>
      <c r="P3397" s="107" t="s">
        <v>155</v>
      </c>
      <c r="Q3397" s="107">
        <v>0</v>
      </c>
      <c r="R3397" s="107">
        <v>0</v>
      </c>
      <c r="S3397" s="107">
        <v>0</v>
      </c>
      <c r="T3397" s="107">
        <v>0</v>
      </c>
      <c r="U3397" s="107"/>
      <c r="V3397" s="107"/>
      <c r="W3397" s="107"/>
      <c r="X3397" s="107"/>
      <c r="Y3397" s="107"/>
      <c r="Z3397" s="107"/>
      <c r="AA3397" s="107"/>
      <c r="AB3397" s="107"/>
      <c r="AC3397" s="355"/>
      <c r="AD3397" s="355"/>
      <c r="AE3397" s="355"/>
      <c r="AF3397" s="94">
        <f t="shared" si="448"/>
        <v>41759</v>
      </c>
      <c r="AG3397" s="185">
        <f t="shared" si="443"/>
        <v>-6.5118414053065843E-3</v>
      </c>
      <c r="AH3397" s="339" t="str">
        <f>VLOOKUP(B3397,'MF PF'!A:B,2)</f>
        <v>FdMgt1</v>
      </c>
      <c r="AI3397" s="358">
        <f t="shared" si="449"/>
        <v>0</v>
      </c>
      <c r="AJ3397" s="94">
        <f t="shared" si="450"/>
        <v>41759</v>
      </c>
    </row>
    <row r="3398" spans="1:36" ht="12.75" customHeight="1">
      <c r="A3398" s="94">
        <v>41789</v>
      </c>
      <c r="B3398" s="94" t="s">
        <v>188</v>
      </c>
      <c r="C3398" s="358" t="s">
        <v>304</v>
      </c>
      <c r="D3398" s="98">
        <v>470825.98</v>
      </c>
      <c r="E3398" s="95">
        <f t="shared" si="444"/>
        <v>124380.58765053458</v>
      </c>
      <c r="F3398" s="98">
        <v>2.5</v>
      </c>
      <c r="G3398" s="98">
        <v>0</v>
      </c>
      <c r="H3398" s="98">
        <v>0</v>
      </c>
      <c r="I3398" s="98">
        <v>-50000</v>
      </c>
      <c r="J3398" s="98"/>
      <c r="K3398" s="93">
        <v>3.7853654568898993</v>
      </c>
      <c r="L3398" s="93">
        <f t="shared" si="445"/>
        <v>-50000</v>
      </c>
      <c r="M3398" s="95">
        <f t="shared" ca="1" si="446"/>
        <v>-13208.764271093811</v>
      </c>
      <c r="N3398" s="95">
        <f>IF(P3398="Hedge Fund",IF(A3398=Summary!$AD$3,M3398-E3398,M3398),IF(A3398=Summary!$AD$3,L3398-D3398,L3398))</f>
        <v>-50000</v>
      </c>
      <c r="O3398" s="95">
        <f t="shared" si="447"/>
        <v>-50000</v>
      </c>
      <c r="P3398" s="107" t="s">
        <v>155</v>
      </c>
      <c r="Q3398" s="107">
        <v>0</v>
      </c>
      <c r="R3398" s="107">
        <v>0</v>
      </c>
      <c r="S3398" s="107">
        <v>0</v>
      </c>
      <c r="T3398" s="107">
        <v>0</v>
      </c>
      <c r="U3398" s="107"/>
      <c r="V3398" s="107"/>
      <c r="W3398" s="107"/>
      <c r="X3398" s="107"/>
      <c r="Y3398" s="107"/>
      <c r="Z3398" s="107"/>
      <c r="AA3398" s="107"/>
      <c r="AB3398" s="107"/>
      <c r="AC3398" s="355"/>
      <c r="AD3398" s="355"/>
      <c r="AE3398" s="355"/>
      <c r="AF3398" s="94">
        <f t="shared" si="448"/>
        <v>41789</v>
      </c>
      <c r="AG3398" s="185">
        <f t="shared" si="443"/>
        <v>-1.2064953261508249E-2</v>
      </c>
      <c r="AH3398" s="339" t="str">
        <f>VLOOKUP(B3398,'MF PF'!A:B,2)</f>
        <v>FdMgt1</v>
      </c>
      <c r="AI3398" s="358">
        <f t="shared" si="449"/>
        <v>0</v>
      </c>
      <c r="AJ3398" s="94">
        <f t="shared" si="450"/>
        <v>41790</v>
      </c>
    </row>
    <row r="3399" spans="1:36" ht="12.75" customHeight="1">
      <c r="A3399" s="94">
        <v>41820</v>
      </c>
      <c r="B3399" s="94" t="s">
        <v>188</v>
      </c>
      <c r="C3399" s="358" t="s">
        <v>304</v>
      </c>
      <c r="D3399" s="98">
        <v>468117.78</v>
      </c>
      <c r="E3399" s="9">
        <f t="shared" si="444"/>
        <v>123665.14814255506</v>
      </c>
      <c r="F3399" s="98">
        <v>2.5</v>
      </c>
      <c r="G3399" s="98">
        <v>0</v>
      </c>
      <c r="H3399" s="98">
        <v>0</v>
      </c>
      <c r="I3399" s="98">
        <v>0</v>
      </c>
      <c r="J3399" s="98"/>
      <c r="K3399" s="7">
        <v>3.7853654568898993</v>
      </c>
      <c r="L3399" s="93">
        <f t="shared" si="445"/>
        <v>0</v>
      </c>
      <c r="M3399" s="95">
        <f t="shared" ca="1" si="446"/>
        <v>0</v>
      </c>
      <c r="N3399" s="95">
        <f>IF(P3399="Hedge Fund",IF(A3399=Summary!$AD$3,M3399-E3399,M3399),IF(A3399=Summary!$AD$3,L3399-D3399,L3399))</f>
        <v>0</v>
      </c>
      <c r="O3399" s="95">
        <f t="shared" si="447"/>
        <v>0</v>
      </c>
      <c r="P3399" s="107" t="s">
        <v>155</v>
      </c>
      <c r="Q3399" s="107">
        <v>0</v>
      </c>
      <c r="R3399" s="107">
        <v>0</v>
      </c>
      <c r="S3399" s="107">
        <v>0</v>
      </c>
      <c r="T3399" s="107">
        <v>0</v>
      </c>
      <c r="U3399" s="107"/>
      <c r="V3399" s="107"/>
      <c r="W3399" s="107"/>
      <c r="X3399" s="107"/>
      <c r="Y3399" s="107"/>
      <c r="Z3399" s="107"/>
      <c r="AA3399" s="107"/>
      <c r="AB3399" s="107"/>
      <c r="AC3399" s="355"/>
      <c r="AD3399" s="355"/>
      <c r="AE3399" s="355"/>
      <c r="AF3399" s="94">
        <f t="shared" si="448"/>
        <v>41820</v>
      </c>
      <c r="AG3399" s="185">
        <f t="shared" si="443"/>
        <v>-5.7520190368423041E-3</v>
      </c>
      <c r="AH3399" s="339" t="str">
        <f>VLOOKUP(B3399,'MF PF'!A:B,2)</f>
        <v>FdMgt1</v>
      </c>
      <c r="AI3399" s="358">
        <f t="shared" si="449"/>
        <v>0</v>
      </c>
      <c r="AJ3399" s="94">
        <f t="shared" si="450"/>
        <v>41820</v>
      </c>
    </row>
    <row r="3400" spans="1:36" ht="12.75" customHeight="1">
      <c r="A3400" s="94">
        <v>41851</v>
      </c>
      <c r="B3400" s="94" t="s">
        <v>188</v>
      </c>
      <c r="C3400" s="358" t="s">
        <v>304</v>
      </c>
      <c r="D3400" s="98">
        <v>465015.43599999999</v>
      </c>
      <c r="E3400" s="9">
        <f t="shared" si="444"/>
        <v>122845.5855308782</v>
      </c>
      <c r="F3400" s="98">
        <v>2.5</v>
      </c>
      <c r="G3400" s="98">
        <v>0</v>
      </c>
      <c r="H3400" s="98">
        <v>0</v>
      </c>
      <c r="I3400" s="98">
        <v>0</v>
      </c>
      <c r="J3400" s="98"/>
      <c r="K3400" s="7">
        <v>3.7853654568898993</v>
      </c>
      <c r="L3400" s="93">
        <f t="shared" si="445"/>
        <v>0</v>
      </c>
      <c r="M3400" s="95">
        <f t="shared" ca="1" si="446"/>
        <v>0</v>
      </c>
      <c r="N3400" s="95">
        <f>IF(P3400="Hedge Fund",IF(A3400=Summary!$AD$3,M3400-E3400,M3400),IF(A3400=Summary!$AD$3,L3400-D3400,L3400))</f>
        <v>0</v>
      </c>
      <c r="O3400" s="95">
        <f t="shared" si="447"/>
        <v>0</v>
      </c>
      <c r="P3400" s="107" t="s">
        <v>155</v>
      </c>
      <c r="Q3400" s="107">
        <v>0</v>
      </c>
      <c r="R3400" s="107">
        <v>0</v>
      </c>
      <c r="S3400" s="107">
        <v>0</v>
      </c>
      <c r="T3400" s="107">
        <v>0</v>
      </c>
      <c r="U3400" s="107"/>
      <c r="V3400" s="107"/>
      <c r="W3400" s="107"/>
      <c r="X3400" s="107"/>
      <c r="Y3400" s="107"/>
      <c r="Z3400" s="107"/>
      <c r="AA3400" s="107"/>
      <c r="AB3400" s="107"/>
      <c r="AC3400" s="355"/>
      <c r="AD3400" s="355"/>
      <c r="AE3400" s="355"/>
      <c r="AF3400" s="94">
        <f t="shared" si="448"/>
        <v>41851</v>
      </c>
      <c r="AG3400" s="185">
        <f t="shared" si="443"/>
        <v>-6.6272723074095596E-3</v>
      </c>
      <c r="AH3400" s="339" t="str">
        <f>VLOOKUP(B3400,'MF PF'!A:B,2)</f>
        <v>FdMgt1</v>
      </c>
      <c r="AI3400" s="358">
        <f t="shared" si="449"/>
        <v>0</v>
      </c>
      <c r="AJ3400" s="94">
        <f t="shared" si="450"/>
        <v>41851</v>
      </c>
    </row>
    <row r="3401" spans="1:36" ht="12.75" customHeight="1">
      <c r="A3401" s="94">
        <v>41880</v>
      </c>
      <c r="B3401" s="94" t="s">
        <v>188</v>
      </c>
      <c r="C3401" s="358" t="s">
        <v>304</v>
      </c>
      <c r="D3401" s="98">
        <v>487585.83600000001</v>
      </c>
      <c r="E3401" s="9">
        <f t="shared" si="444"/>
        <v>128808.12739296413</v>
      </c>
      <c r="F3401" s="98">
        <v>2.5</v>
      </c>
      <c r="G3401" s="98">
        <v>0</v>
      </c>
      <c r="H3401" s="98">
        <v>0</v>
      </c>
      <c r="I3401" s="98">
        <v>0</v>
      </c>
      <c r="J3401" s="98"/>
      <c r="K3401" s="7">
        <v>3.7853654568898993</v>
      </c>
      <c r="L3401" s="93">
        <f t="shared" si="445"/>
        <v>0</v>
      </c>
      <c r="M3401" s="95">
        <f t="shared" ca="1" si="446"/>
        <v>0</v>
      </c>
      <c r="N3401" s="95">
        <f>IF(P3401="Hedge Fund",IF(A3401=Summary!$AD$3,M3401-E3401,M3401),IF(A3401=Summary!$AD$3,L3401-D3401,L3401))</f>
        <v>0</v>
      </c>
      <c r="O3401" s="95">
        <f t="shared" si="447"/>
        <v>0</v>
      </c>
      <c r="P3401" s="107" t="s">
        <v>155</v>
      </c>
      <c r="Q3401" s="107">
        <v>0</v>
      </c>
      <c r="R3401" s="107">
        <v>0</v>
      </c>
      <c r="S3401" s="107">
        <v>0</v>
      </c>
      <c r="T3401" s="107">
        <v>0</v>
      </c>
      <c r="U3401" s="107"/>
      <c r="V3401" s="107"/>
      <c r="W3401" s="107"/>
      <c r="X3401" s="107"/>
      <c r="Y3401" s="107"/>
      <c r="Z3401" s="107"/>
      <c r="AA3401" s="107"/>
      <c r="AB3401" s="107"/>
      <c r="AC3401" s="355"/>
      <c r="AD3401" s="355"/>
      <c r="AE3401" s="355"/>
      <c r="AF3401" s="94">
        <f t="shared" si="448"/>
        <v>41880</v>
      </c>
      <c r="AG3401" s="185">
        <f t="shared" si="443"/>
        <v>4.8536883407887643E-2</v>
      </c>
      <c r="AH3401" s="339" t="str">
        <f>VLOOKUP(B3401,'MF PF'!A:B,2)</f>
        <v>FdMgt1</v>
      </c>
      <c r="AI3401" s="358">
        <f t="shared" si="449"/>
        <v>0</v>
      </c>
      <c r="AJ3401" s="94">
        <f t="shared" si="450"/>
        <v>41882</v>
      </c>
    </row>
    <row r="3402" spans="1:36" ht="12.75" customHeight="1">
      <c r="A3402" s="94">
        <v>41912</v>
      </c>
      <c r="B3402" s="94" t="s">
        <v>188</v>
      </c>
      <c r="C3402" s="358" t="s">
        <v>304</v>
      </c>
      <c r="D3402" s="98">
        <v>488484.26</v>
      </c>
      <c r="E3402" s="9">
        <f t="shared" si="444"/>
        <v>129045.46880959399</v>
      </c>
      <c r="F3402" s="98">
        <v>2.5</v>
      </c>
      <c r="G3402" s="98">
        <v>0</v>
      </c>
      <c r="H3402" s="98">
        <v>0</v>
      </c>
      <c r="I3402" s="98">
        <v>0</v>
      </c>
      <c r="J3402" s="98"/>
      <c r="K3402" s="7">
        <v>3.7853654568898993</v>
      </c>
      <c r="L3402" s="93">
        <f t="shared" si="445"/>
        <v>0</v>
      </c>
      <c r="M3402" s="95">
        <f t="shared" ca="1" si="446"/>
        <v>0</v>
      </c>
      <c r="N3402" s="95">
        <f>IF(P3402="Hedge Fund",IF(A3402=Summary!$AD$3,M3402-E3402,M3402),IF(A3402=Summary!$AD$3,L3402-D3402,L3402))</f>
        <v>0</v>
      </c>
      <c r="O3402" s="95">
        <f t="shared" si="447"/>
        <v>0</v>
      </c>
      <c r="P3402" s="107" t="s">
        <v>155</v>
      </c>
      <c r="Q3402" s="107">
        <v>0</v>
      </c>
      <c r="R3402" s="107">
        <v>0</v>
      </c>
      <c r="S3402" s="107">
        <v>0</v>
      </c>
      <c r="T3402" s="107">
        <v>0</v>
      </c>
      <c r="U3402" s="107"/>
      <c r="V3402" s="107"/>
      <c r="W3402" s="107"/>
      <c r="X3402" s="107"/>
      <c r="Y3402" s="107"/>
      <c r="Z3402" s="107"/>
      <c r="AA3402" s="107"/>
      <c r="AB3402" s="107"/>
      <c r="AC3402" s="355"/>
      <c r="AD3402" s="355"/>
      <c r="AE3402" s="355"/>
      <c r="AF3402" s="94">
        <f t="shared" si="448"/>
        <v>41912</v>
      </c>
      <c r="AG3402" s="185">
        <f t="shared" si="443"/>
        <v>1.8425965925721322E-3</v>
      </c>
      <c r="AH3402" s="339" t="str">
        <f>VLOOKUP(B3402,'MF PF'!A:B,2)</f>
        <v>FdMgt1</v>
      </c>
      <c r="AI3402" s="358">
        <f t="shared" si="449"/>
        <v>0</v>
      </c>
      <c r="AJ3402" s="94">
        <f t="shared" si="450"/>
        <v>41912</v>
      </c>
    </row>
    <row r="3403" spans="1:36" ht="12.75" customHeight="1">
      <c r="A3403" s="94">
        <v>41943</v>
      </c>
      <c r="B3403" s="94" t="s">
        <v>188</v>
      </c>
      <c r="C3403" s="358" t="s">
        <v>304</v>
      </c>
      <c r="D3403" s="98">
        <v>467610.12400000001</v>
      </c>
      <c r="E3403" s="9">
        <f t="shared" si="444"/>
        <v>123531.03797385893</v>
      </c>
      <c r="F3403" s="98">
        <v>2.5</v>
      </c>
      <c r="G3403" s="98">
        <v>0</v>
      </c>
      <c r="H3403" s="98">
        <v>0</v>
      </c>
      <c r="I3403" s="98">
        <v>0</v>
      </c>
      <c r="J3403" s="98"/>
      <c r="K3403" s="7">
        <v>3.7853654568898993</v>
      </c>
      <c r="L3403" s="93">
        <f t="shared" si="445"/>
        <v>0</v>
      </c>
      <c r="M3403" s="95">
        <f t="shared" ca="1" si="446"/>
        <v>0</v>
      </c>
      <c r="N3403" s="95">
        <f>IF(P3403="Hedge Fund",IF(A3403=Summary!$AD$3,M3403-E3403,M3403),IF(A3403=Summary!$AD$3,L3403-D3403,L3403))</f>
        <v>0</v>
      </c>
      <c r="O3403" s="95">
        <f t="shared" si="447"/>
        <v>0</v>
      </c>
      <c r="P3403" s="107" t="s">
        <v>155</v>
      </c>
      <c r="Q3403" s="107">
        <v>0</v>
      </c>
      <c r="R3403" s="107">
        <v>0</v>
      </c>
      <c r="S3403" s="107">
        <v>0</v>
      </c>
      <c r="T3403" s="107">
        <v>0</v>
      </c>
      <c r="U3403" s="107"/>
      <c r="V3403" s="107"/>
      <c r="W3403" s="107"/>
      <c r="X3403" s="107"/>
      <c r="Y3403" s="107"/>
      <c r="Z3403" s="107"/>
      <c r="AA3403" s="107"/>
      <c r="AB3403" s="107"/>
      <c r="AC3403" s="355"/>
      <c r="AD3403" s="355"/>
      <c r="AE3403" s="355"/>
      <c r="AF3403" s="94">
        <f t="shared" si="448"/>
        <v>41943</v>
      </c>
      <c r="AG3403" s="185">
        <f t="shared" si="443"/>
        <v>-4.2732463887372729E-2</v>
      </c>
      <c r="AH3403" s="339" t="str">
        <f>VLOOKUP(B3403,'MF PF'!A:B,2)</f>
        <v>FdMgt1</v>
      </c>
      <c r="AI3403" s="358">
        <f t="shared" si="449"/>
        <v>0</v>
      </c>
      <c r="AJ3403" s="94">
        <f t="shared" si="450"/>
        <v>41943</v>
      </c>
    </row>
    <row r="3404" spans="1:36" ht="12.75" customHeight="1">
      <c r="A3404" s="94">
        <v>41971</v>
      </c>
      <c r="B3404" s="94" t="s">
        <v>188</v>
      </c>
      <c r="C3404" s="358" t="s">
        <v>304</v>
      </c>
      <c r="D3404" s="98">
        <v>439319.804</v>
      </c>
      <c r="E3404" s="9">
        <f t="shared" si="444"/>
        <v>116057.43461318272</v>
      </c>
      <c r="F3404" s="98">
        <v>2.5</v>
      </c>
      <c r="G3404" s="98">
        <v>0</v>
      </c>
      <c r="H3404" s="98">
        <v>0</v>
      </c>
      <c r="I3404" s="98">
        <v>0</v>
      </c>
      <c r="J3404" s="98"/>
      <c r="K3404" s="7">
        <v>3.7853654568898993</v>
      </c>
      <c r="L3404" s="93">
        <f t="shared" si="445"/>
        <v>0</v>
      </c>
      <c r="M3404" s="95">
        <f t="shared" ca="1" si="446"/>
        <v>0</v>
      </c>
      <c r="N3404" s="95">
        <f>IF(P3404="Hedge Fund",IF(A3404=Summary!$AD$3,M3404-E3404,M3404),IF(A3404=Summary!$AD$3,L3404-D3404,L3404))</f>
        <v>0</v>
      </c>
      <c r="O3404" s="95">
        <f t="shared" si="447"/>
        <v>0</v>
      </c>
      <c r="P3404" s="107" t="s">
        <v>155</v>
      </c>
      <c r="Q3404" s="107">
        <v>0</v>
      </c>
      <c r="R3404" s="107">
        <v>0</v>
      </c>
      <c r="S3404" s="107">
        <v>0</v>
      </c>
      <c r="T3404" s="107">
        <v>0</v>
      </c>
      <c r="U3404" s="107"/>
      <c r="V3404" s="107"/>
      <c r="W3404" s="107"/>
      <c r="X3404" s="107"/>
      <c r="Y3404" s="107"/>
      <c r="Z3404" s="107"/>
      <c r="AA3404" s="107"/>
      <c r="AB3404" s="107"/>
      <c r="AC3404" s="355"/>
      <c r="AD3404" s="355"/>
      <c r="AE3404" s="355"/>
      <c r="AF3404" s="94">
        <f t="shared" si="448"/>
        <v>41971</v>
      </c>
      <c r="AG3404" s="185">
        <f t="shared" si="443"/>
        <v>-6.049980218135742E-2</v>
      </c>
      <c r="AH3404" s="339" t="str">
        <f>VLOOKUP(B3404,'MF PF'!A:B,2)</f>
        <v>FdMgt1</v>
      </c>
      <c r="AI3404" s="358">
        <f t="shared" si="449"/>
        <v>0</v>
      </c>
      <c r="AJ3404" s="94">
        <f t="shared" si="450"/>
        <v>41973</v>
      </c>
    </row>
    <row r="3405" spans="1:36" s="355" customFormat="1" ht="12.75" customHeight="1">
      <c r="A3405" s="94">
        <v>42004</v>
      </c>
      <c r="B3405" s="94" t="s">
        <v>188</v>
      </c>
      <c r="C3405" s="358" t="s">
        <v>304</v>
      </c>
      <c r="D3405" s="98">
        <v>380249.12400000001</v>
      </c>
      <c r="E3405" s="95">
        <f t="shared" si="444"/>
        <v>100452.42086411841</v>
      </c>
      <c r="F3405" s="98">
        <v>2.5</v>
      </c>
      <c r="G3405" s="98">
        <v>0</v>
      </c>
      <c r="H3405" s="98">
        <v>0</v>
      </c>
      <c r="I3405" s="98">
        <v>-60000</v>
      </c>
      <c r="J3405" s="98"/>
      <c r="K3405" s="93">
        <v>3.7853654568898993</v>
      </c>
      <c r="L3405" s="93">
        <f t="shared" si="445"/>
        <v>-60000</v>
      </c>
      <c r="M3405" s="95">
        <f t="shared" ca="1" si="446"/>
        <v>-15850.517125312572</v>
      </c>
      <c r="N3405" s="95">
        <f>IF(P3405="Hedge Fund",IF(A3405=Summary!$AD$3,M3405-E3405,M3405),IF(A3405=Summary!$AD$3,L3405-D3405,L3405))</f>
        <v>-60000</v>
      </c>
      <c r="O3405" s="95">
        <f t="shared" si="447"/>
        <v>-60000</v>
      </c>
      <c r="P3405" s="107" t="s">
        <v>155</v>
      </c>
      <c r="Q3405" s="107">
        <v>0</v>
      </c>
      <c r="R3405" s="107">
        <v>0</v>
      </c>
      <c r="S3405" s="107">
        <v>0</v>
      </c>
      <c r="T3405" s="107">
        <v>0</v>
      </c>
      <c r="U3405" s="107"/>
      <c r="V3405" s="107"/>
      <c r="W3405" s="107"/>
      <c r="X3405" s="107"/>
      <c r="Y3405" s="107"/>
      <c r="Z3405" s="107"/>
      <c r="AA3405" s="107"/>
      <c r="AB3405" s="107"/>
      <c r="AF3405" s="94">
        <f t="shared" si="448"/>
        <v>42004</v>
      </c>
      <c r="AG3405" s="185">
        <f t="shared" si="443"/>
        <v>2.115361045731623E-3</v>
      </c>
      <c r="AH3405" s="339" t="str">
        <f>VLOOKUP(B3405,'MF PF'!A:B,2)</f>
        <v>FdMgt1</v>
      </c>
      <c r="AI3405" s="358">
        <f t="shared" si="449"/>
        <v>0</v>
      </c>
      <c r="AJ3405" s="94">
        <f t="shared" si="450"/>
        <v>42004</v>
      </c>
    </row>
    <row r="3406" spans="1:36" ht="12.75" customHeight="1">
      <c r="A3406" s="94">
        <v>42034</v>
      </c>
      <c r="B3406" s="94" t="s">
        <v>188</v>
      </c>
      <c r="C3406" s="358" t="s">
        <v>304</v>
      </c>
      <c r="D3406" s="98">
        <v>377084.1115</v>
      </c>
      <c r="E3406" s="9">
        <f t="shared" si="444"/>
        <v>99616.302783567095</v>
      </c>
      <c r="F3406" s="98">
        <v>2.5</v>
      </c>
      <c r="G3406" s="98">
        <v>0</v>
      </c>
      <c r="H3406" s="98">
        <v>0</v>
      </c>
      <c r="I3406" s="98">
        <v>0</v>
      </c>
      <c r="J3406" s="98"/>
      <c r="K3406" s="7">
        <v>3.7853654568898993</v>
      </c>
      <c r="L3406" s="93">
        <f t="shared" si="445"/>
        <v>0</v>
      </c>
      <c r="M3406" s="95">
        <f t="shared" ca="1" si="446"/>
        <v>0</v>
      </c>
      <c r="N3406" s="95">
        <f>IF(P3406="Hedge Fund",IF(A3406=Summary!$AD$3,M3406-E3406,M3406),IF(A3406=Summary!$AD$3,L3406-D3406,L3406))</f>
        <v>0</v>
      </c>
      <c r="O3406" s="95">
        <f t="shared" si="447"/>
        <v>0</v>
      </c>
      <c r="P3406" s="107" t="s">
        <v>155</v>
      </c>
      <c r="Q3406" s="107">
        <v>0</v>
      </c>
      <c r="R3406" s="107">
        <v>0</v>
      </c>
      <c r="S3406" s="107">
        <v>0</v>
      </c>
      <c r="T3406" s="107">
        <v>0</v>
      </c>
      <c r="U3406" s="107"/>
      <c r="V3406" s="107"/>
      <c r="W3406" s="107"/>
      <c r="X3406" s="107"/>
      <c r="Y3406" s="107"/>
      <c r="Z3406" s="107"/>
      <c r="AA3406" s="107"/>
      <c r="AB3406" s="107"/>
      <c r="AC3406" s="355"/>
      <c r="AD3406" s="355"/>
      <c r="AE3406" s="355"/>
      <c r="AF3406" s="94">
        <f t="shared" si="448"/>
        <v>42034</v>
      </c>
      <c r="AG3406" s="185">
        <f t="shared" si="443"/>
        <v>-8.3235234488009402E-3</v>
      </c>
      <c r="AH3406" s="339" t="str">
        <f>VLOOKUP(B3406,'MF PF'!A:B,2)</f>
        <v>FdMgt1</v>
      </c>
      <c r="AI3406" s="358">
        <f t="shared" si="449"/>
        <v>0</v>
      </c>
      <c r="AJ3406" s="94">
        <f t="shared" si="450"/>
        <v>42035</v>
      </c>
    </row>
    <row r="3407" spans="1:36" ht="12.75" customHeight="1">
      <c r="A3407" s="94">
        <v>42062</v>
      </c>
      <c r="B3407" s="94" t="s">
        <v>188</v>
      </c>
      <c r="C3407" s="358" t="s">
        <v>304</v>
      </c>
      <c r="D3407" s="98">
        <v>393289.81140000001</v>
      </c>
      <c r="E3407" s="9">
        <f t="shared" si="444"/>
        <v>103897.44818011086</v>
      </c>
      <c r="F3407" s="98">
        <v>2.5</v>
      </c>
      <c r="G3407" s="98">
        <v>0</v>
      </c>
      <c r="H3407" s="98">
        <v>0</v>
      </c>
      <c r="I3407" s="98">
        <v>0</v>
      </c>
      <c r="J3407" s="98"/>
      <c r="K3407" s="7">
        <v>3.7853654568898993</v>
      </c>
      <c r="L3407" s="93">
        <f t="shared" si="445"/>
        <v>0</v>
      </c>
      <c r="M3407" s="95">
        <f t="shared" ca="1" si="446"/>
        <v>0</v>
      </c>
      <c r="N3407" s="95">
        <f>IF(P3407="Hedge Fund",IF(A3407=Summary!$AD$3,M3407-E3407,M3407),IF(A3407=Summary!$AD$3,L3407-D3407,L3407))</f>
        <v>0</v>
      </c>
      <c r="O3407" s="95">
        <f t="shared" si="447"/>
        <v>0</v>
      </c>
      <c r="P3407" s="107" t="s">
        <v>155</v>
      </c>
      <c r="Q3407" s="107">
        <v>0</v>
      </c>
      <c r="R3407" s="107">
        <v>0</v>
      </c>
      <c r="S3407" s="107">
        <v>0</v>
      </c>
      <c r="T3407" s="107">
        <v>0</v>
      </c>
      <c r="U3407" s="107"/>
      <c r="V3407" s="107"/>
      <c r="W3407" s="107"/>
      <c r="X3407" s="107"/>
      <c r="Y3407" s="107"/>
      <c r="Z3407" s="107"/>
      <c r="AA3407" s="107"/>
      <c r="AB3407" s="107"/>
      <c r="AC3407" s="355"/>
      <c r="AD3407" s="355"/>
      <c r="AE3407" s="355"/>
      <c r="AF3407" s="94">
        <f t="shared" si="448"/>
        <v>42062</v>
      </c>
      <c r="AG3407" s="185">
        <f t="shared" si="443"/>
        <v>4.2976353035760306E-2</v>
      </c>
      <c r="AH3407" s="339" t="str">
        <f>VLOOKUP(B3407,'MF PF'!A:B,2)</f>
        <v>FdMgt1</v>
      </c>
      <c r="AI3407" s="358">
        <f t="shared" si="449"/>
        <v>0</v>
      </c>
      <c r="AJ3407" s="94">
        <f t="shared" si="450"/>
        <v>42063</v>
      </c>
    </row>
    <row r="3408" spans="1:36" ht="12.75" customHeight="1">
      <c r="A3408" s="94">
        <v>42094</v>
      </c>
      <c r="B3408" s="94" t="s">
        <v>188</v>
      </c>
      <c r="C3408" s="358" t="s">
        <v>304</v>
      </c>
      <c r="D3408" s="98">
        <v>332170.0001</v>
      </c>
      <c r="E3408" s="9">
        <f t="shared" si="444"/>
        <v>87751.104585002147</v>
      </c>
      <c r="F3408" s="98">
        <v>2.5</v>
      </c>
      <c r="G3408" s="98">
        <v>0</v>
      </c>
      <c r="H3408" s="98">
        <v>0</v>
      </c>
      <c r="I3408" s="98">
        <v>-58750</v>
      </c>
      <c r="J3408" s="98"/>
      <c r="K3408" s="7">
        <v>3.7853654568898993</v>
      </c>
      <c r="L3408" s="93">
        <f t="shared" si="445"/>
        <v>-58750</v>
      </c>
      <c r="M3408" s="95">
        <f t="shared" ca="1" si="446"/>
        <v>-15520.298018535228</v>
      </c>
      <c r="N3408" s="95">
        <f>IF(P3408="Hedge Fund",IF(A3408=Summary!$AD$3,M3408-E3408,M3408),IF(A3408=Summary!$AD$3,L3408-D3408,L3408))</f>
        <v>-58750</v>
      </c>
      <c r="O3408" s="95">
        <f t="shared" si="447"/>
        <v>-58750</v>
      </c>
      <c r="P3408" s="107" t="s">
        <v>155</v>
      </c>
      <c r="Q3408" s="107">
        <v>0</v>
      </c>
      <c r="R3408" s="107">
        <v>0</v>
      </c>
      <c r="S3408" s="107">
        <v>0</v>
      </c>
      <c r="T3408" s="107">
        <v>0</v>
      </c>
      <c r="U3408" s="107"/>
      <c r="V3408" s="107"/>
      <c r="W3408" s="107"/>
      <c r="X3408" s="107"/>
      <c r="Y3408" s="107"/>
      <c r="Z3408" s="107"/>
      <c r="AA3408" s="107"/>
      <c r="AB3408" s="107"/>
      <c r="AC3408" s="355"/>
      <c r="AD3408" s="355"/>
      <c r="AE3408" s="355"/>
      <c r="AF3408" s="94">
        <f t="shared" si="448"/>
        <v>42094</v>
      </c>
      <c r="AG3408" s="185">
        <f t="shared" si="443"/>
        <v>-6.0256107107482526E-3</v>
      </c>
      <c r="AH3408" s="339" t="str">
        <f>VLOOKUP(B3408,'MF PF'!A:B,2)</f>
        <v>FdMgt1</v>
      </c>
      <c r="AI3408" s="358">
        <f t="shared" si="449"/>
        <v>0</v>
      </c>
      <c r="AJ3408" s="94">
        <f t="shared" si="450"/>
        <v>42094</v>
      </c>
    </row>
    <row r="3409" spans="1:36" ht="12.75" customHeight="1">
      <c r="A3409" s="94">
        <v>42124</v>
      </c>
      <c r="B3409" s="94" t="s">
        <v>188</v>
      </c>
      <c r="C3409" s="358" t="s">
        <v>304</v>
      </c>
      <c r="D3409" s="98">
        <v>337898.42499999999</v>
      </c>
      <c r="E3409" s="9">
        <f t="shared" si="444"/>
        <v>89264.412867977429</v>
      </c>
      <c r="F3409" s="98">
        <v>2.5</v>
      </c>
      <c r="G3409" s="98">
        <v>0</v>
      </c>
      <c r="H3409" s="98">
        <v>0</v>
      </c>
      <c r="I3409" s="98">
        <v>0</v>
      </c>
      <c r="J3409" s="98"/>
      <c r="K3409" s="7">
        <v>3.7853654568898993</v>
      </c>
      <c r="L3409" s="93">
        <f t="shared" si="445"/>
        <v>0</v>
      </c>
      <c r="M3409" s="95">
        <f t="shared" ca="1" si="446"/>
        <v>0</v>
      </c>
      <c r="N3409" s="95">
        <f>IF(P3409="Hedge Fund",IF(A3409=Summary!$AD$3,M3409-E3409,M3409),IF(A3409=Summary!$AD$3,L3409-D3409,L3409))</f>
        <v>0</v>
      </c>
      <c r="O3409" s="95">
        <f t="shared" si="447"/>
        <v>0</v>
      </c>
      <c r="P3409" s="107" t="s">
        <v>155</v>
      </c>
      <c r="Q3409" s="107">
        <v>0</v>
      </c>
      <c r="R3409" s="107">
        <v>0</v>
      </c>
      <c r="S3409" s="107">
        <v>0</v>
      </c>
      <c r="T3409" s="107">
        <v>0</v>
      </c>
      <c r="U3409" s="107"/>
      <c r="V3409" s="107"/>
      <c r="W3409" s="107"/>
      <c r="X3409" s="107"/>
      <c r="Y3409" s="107"/>
      <c r="Z3409" s="107"/>
      <c r="AA3409" s="107"/>
      <c r="AB3409" s="107"/>
      <c r="AC3409" s="355"/>
      <c r="AD3409" s="355"/>
      <c r="AE3409" s="355"/>
      <c r="AF3409" s="94">
        <f t="shared" si="448"/>
        <v>42124</v>
      </c>
      <c r="AG3409" s="185">
        <f t="shared" si="443"/>
        <v>1.7245461354955083E-2</v>
      </c>
      <c r="AH3409" s="339" t="str">
        <f>VLOOKUP(B3409,'MF PF'!A:B,2)</f>
        <v>FdMgt1</v>
      </c>
      <c r="AI3409" s="358">
        <f t="shared" si="449"/>
        <v>0</v>
      </c>
      <c r="AJ3409" s="94">
        <f t="shared" si="450"/>
        <v>42124</v>
      </c>
    </row>
    <row r="3410" spans="1:36" ht="12.75" customHeight="1">
      <c r="A3410" s="94">
        <v>42153</v>
      </c>
      <c r="B3410" s="94" t="s">
        <v>188</v>
      </c>
      <c r="C3410" s="358" t="s">
        <v>304</v>
      </c>
      <c r="D3410" s="98">
        <v>340065.67599999998</v>
      </c>
      <c r="E3410" s="9">
        <f t="shared" si="444"/>
        <v>89836.947019483268</v>
      </c>
      <c r="F3410" s="98">
        <v>2.5</v>
      </c>
      <c r="G3410" s="98">
        <v>0</v>
      </c>
      <c r="H3410" s="98">
        <v>0</v>
      </c>
      <c r="I3410" s="98">
        <v>0</v>
      </c>
      <c r="J3410" s="98"/>
      <c r="K3410" s="7">
        <v>3.7853654568898993</v>
      </c>
      <c r="L3410" s="93">
        <f t="shared" si="445"/>
        <v>0</v>
      </c>
      <c r="M3410" s="95">
        <f t="shared" ca="1" si="446"/>
        <v>0</v>
      </c>
      <c r="N3410" s="95">
        <f>IF(P3410="Hedge Fund",IF(A3410=Summary!$AD$3,M3410-E3410,M3410),IF(A3410=Summary!$AD$3,L3410-D3410,L3410))</f>
        <v>0</v>
      </c>
      <c r="O3410" s="95">
        <f t="shared" si="447"/>
        <v>0</v>
      </c>
      <c r="P3410" s="107" t="s">
        <v>155</v>
      </c>
      <c r="Q3410" s="107">
        <v>0</v>
      </c>
      <c r="R3410" s="107">
        <v>0</v>
      </c>
      <c r="S3410" s="107">
        <v>0</v>
      </c>
      <c r="T3410" s="107">
        <v>0</v>
      </c>
      <c r="U3410" s="107"/>
      <c r="V3410" s="107"/>
      <c r="W3410" s="107"/>
      <c r="X3410" s="107"/>
      <c r="Y3410" s="107"/>
      <c r="Z3410" s="107"/>
      <c r="AA3410" s="107"/>
      <c r="AB3410" s="107"/>
      <c r="AC3410" s="355"/>
      <c r="AD3410" s="355"/>
      <c r="AE3410" s="355"/>
      <c r="AF3410" s="94">
        <f t="shared" si="448"/>
        <v>42153</v>
      </c>
      <c r="AG3410" s="185">
        <f t="shared" si="443"/>
        <v>6.4139127017237563E-3</v>
      </c>
      <c r="AH3410" s="339" t="str">
        <f>VLOOKUP(B3410,'MF PF'!A:B,2)</f>
        <v>FdMgt1</v>
      </c>
      <c r="AI3410" s="358">
        <f t="shared" si="449"/>
        <v>0</v>
      </c>
      <c r="AJ3410" s="94">
        <f t="shared" si="450"/>
        <v>42155</v>
      </c>
    </row>
    <row r="3411" spans="1:36" ht="12.75" customHeight="1">
      <c r="A3411" s="94">
        <v>42185</v>
      </c>
      <c r="B3411" s="94" t="s">
        <v>188</v>
      </c>
      <c r="C3411" s="358" t="s">
        <v>304</v>
      </c>
      <c r="D3411" s="98">
        <v>335951.05670000002</v>
      </c>
      <c r="E3411" s="9">
        <f t="shared" si="444"/>
        <v>88749.966291503428</v>
      </c>
      <c r="F3411" s="98">
        <v>2.5</v>
      </c>
      <c r="G3411" s="98">
        <v>0</v>
      </c>
      <c r="H3411" s="98">
        <v>0</v>
      </c>
      <c r="I3411" s="98">
        <v>0</v>
      </c>
      <c r="J3411" s="98"/>
      <c r="K3411" s="7">
        <v>3.7853654568898993</v>
      </c>
      <c r="L3411" s="93">
        <f t="shared" si="445"/>
        <v>0</v>
      </c>
      <c r="M3411" s="95">
        <f t="shared" ca="1" si="446"/>
        <v>0</v>
      </c>
      <c r="N3411" s="95">
        <f>IF(P3411="Hedge Fund",IF(A3411=Summary!$AD$3,M3411-E3411,M3411),IF(A3411=Summary!$AD$3,L3411-D3411,L3411))</f>
        <v>0</v>
      </c>
      <c r="O3411" s="95">
        <f t="shared" si="447"/>
        <v>0</v>
      </c>
      <c r="P3411" s="107" t="s">
        <v>155</v>
      </c>
      <c r="Q3411" s="107">
        <v>0</v>
      </c>
      <c r="R3411" s="107">
        <v>0</v>
      </c>
      <c r="S3411" s="107">
        <v>0</v>
      </c>
      <c r="T3411" s="107">
        <v>0</v>
      </c>
      <c r="U3411" s="107"/>
      <c r="V3411" s="107"/>
      <c r="W3411" s="107"/>
      <c r="X3411" s="107"/>
      <c r="Y3411" s="107"/>
      <c r="Z3411" s="107"/>
      <c r="AA3411" s="107"/>
      <c r="AB3411" s="107"/>
      <c r="AC3411" s="355"/>
      <c r="AD3411" s="355"/>
      <c r="AE3411" s="355"/>
      <c r="AF3411" s="94">
        <f t="shared" si="448"/>
        <v>42185</v>
      </c>
      <c r="AG3411" s="185">
        <f t="shared" si="443"/>
        <v>-1.209948427726637E-2</v>
      </c>
      <c r="AH3411" s="339" t="str">
        <f>VLOOKUP(B3411,'MF PF'!A:B,2)</f>
        <v>FdMgt1</v>
      </c>
      <c r="AI3411" s="358">
        <f t="shared" si="449"/>
        <v>0</v>
      </c>
      <c r="AJ3411" s="94">
        <f t="shared" si="450"/>
        <v>42185</v>
      </c>
    </row>
    <row r="3412" spans="1:36" ht="12.75" customHeight="1">
      <c r="A3412" s="94">
        <v>42216</v>
      </c>
      <c r="B3412" s="94" t="s">
        <v>188</v>
      </c>
      <c r="C3412" s="358" t="s">
        <v>304</v>
      </c>
      <c r="D3412" s="98">
        <v>291538.7746</v>
      </c>
      <c r="E3412" s="9">
        <f t="shared" si="444"/>
        <v>77017.33899149904</v>
      </c>
      <c r="F3412" s="98">
        <v>2.5</v>
      </c>
      <c r="G3412" s="98">
        <v>0</v>
      </c>
      <c r="H3412" s="98">
        <v>0</v>
      </c>
      <c r="I3412" s="98">
        <v>-31250</v>
      </c>
      <c r="J3412" s="98"/>
      <c r="K3412" s="7">
        <v>3.7853654568898993</v>
      </c>
      <c r="L3412" s="93">
        <f t="shared" si="445"/>
        <v>-31250</v>
      </c>
      <c r="M3412" s="95">
        <f t="shared" ca="1" si="446"/>
        <v>-8255.4776694336324</v>
      </c>
      <c r="N3412" s="95">
        <f>IF(P3412="Hedge Fund",IF(A3412=Summary!$AD$3,M3412-E3412,M3412),IF(A3412=Summary!$AD$3,L3412-D3412,L3412))</f>
        <v>-31250</v>
      </c>
      <c r="O3412" s="95">
        <f t="shared" si="447"/>
        <v>-31250</v>
      </c>
      <c r="P3412" s="107" t="s">
        <v>155</v>
      </c>
      <c r="Q3412" s="107">
        <v>0</v>
      </c>
      <c r="R3412" s="107">
        <v>0</v>
      </c>
      <c r="S3412" s="107">
        <v>0</v>
      </c>
      <c r="T3412" s="107">
        <v>0</v>
      </c>
      <c r="U3412" s="107"/>
      <c r="V3412" s="107"/>
      <c r="W3412" s="107"/>
      <c r="X3412" s="107"/>
      <c r="Y3412" s="107"/>
      <c r="Z3412" s="107"/>
      <c r="AA3412" s="107"/>
      <c r="AB3412" s="107"/>
      <c r="AC3412" s="355"/>
      <c r="AD3412" s="355"/>
      <c r="AE3412" s="355"/>
      <c r="AF3412" s="94">
        <f t="shared" si="448"/>
        <v>42216</v>
      </c>
      <c r="AG3412" s="185">
        <f t="shared" si="443"/>
        <v>-3.9179165647791891E-2</v>
      </c>
      <c r="AH3412" s="339" t="str">
        <f>VLOOKUP(B3412,'MF PF'!A:B,2)</f>
        <v>FdMgt1</v>
      </c>
      <c r="AI3412" s="358">
        <f t="shared" si="449"/>
        <v>0</v>
      </c>
      <c r="AJ3412" s="94">
        <f t="shared" si="450"/>
        <v>42216</v>
      </c>
    </row>
    <row r="3413" spans="1:36" ht="12.75" customHeight="1">
      <c r="A3413" s="94">
        <v>42247</v>
      </c>
      <c r="B3413" s="94" t="s">
        <v>188</v>
      </c>
      <c r="C3413" s="358" t="s">
        <v>304</v>
      </c>
      <c r="D3413" s="98">
        <v>300387.94050000003</v>
      </c>
      <c r="E3413" s="9">
        <f t="shared" si="444"/>
        <v>79355.069918877081</v>
      </c>
      <c r="F3413" s="98">
        <v>2.5</v>
      </c>
      <c r="G3413" s="98">
        <v>0</v>
      </c>
      <c r="H3413" s="98">
        <v>0</v>
      </c>
      <c r="I3413" s="98">
        <v>0</v>
      </c>
      <c r="J3413" s="98"/>
      <c r="K3413" s="7">
        <v>3.7853654568898993</v>
      </c>
      <c r="L3413" s="93">
        <f t="shared" si="445"/>
        <v>0</v>
      </c>
      <c r="M3413" s="95">
        <f t="shared" ca="1" si="446"/>
        <v>0</v>
      </c>
      <c r="N3413" s="95">
        <f>IF(P3413="Hedge Fund",IF(A3413=Summary!$AD$3,M3413-E3413,M3413),IF(A3413=Summary!$AD$3,L3413-D3413,L3413))</f>
        <v>0</v>
      </c>
      <c r="O3413" s="95">
        <f t="shared" si="447"/>
        <v>0</v>
      </c>
      <c r="P3413" s="107" t="s">
        <v>155</v>
      </c>
      <c r="Q3413" s="107">
        <v>0</v>
      </c>
      <c r="R3413" s="107">
        <v>0</v>
      </c>
      <c r="S3413" s="107">
        <v>0</v>
      </c>
      <c r="T3413" s="107">
        <v>0</v>
      </c>
      <c r="U3413" s="107"/>
      <c r="V3413" s="107"/>
      <c r="W3413" s="107"/>
      <c r="X3413" s="107"/>
      <c r="Y3413" s="107"/>
      <c r="Z3413" s="107"/>
      <c r="AA3413" s="107"/>
      <c r="AB3413" s="107"/>
      <c r="AC3413" s="355"/>
      <c r="AD3413" s="355"/>
      <c r="AE3413" s="355"/>
      <c r="AF3413" s="94">
        <f t="shared" si="448"/>
        <v>42247</v>
      </c>
      <c r="AG3413" s="185">
        <f t="shared" si="443"/>
        <v>3.0353306904514987E-2</v>
      </c>
      <c r="AH3413" s="339" t="str">
        <f>VLOOKUP(B3413,'MF PF'!A:B,2)</f>
        <v>FdMgt1</v>
      </c>
      <c r="AI3413" s="358">
        <f t="shared" si="449"/>
        <v>0</v>
      </c>
      <c r="AJ3413" s="94">
        <f t="shared" si="450"/>
        <v>42247</v>
      </c>
    </row>
    <row r="3414" spans="1:36" ht="12.75" customHeight="1">
      <c r="A3414" s="94">
        <v>42277</v>
      </c>
      <c r="B3414" s="94" t="s">
        <v>188</v>
      </c>
      <c r="C3414" s="358" t="s">
        <v>304</v>
      </c>
      <c r="D3414" s="98">
        <v>298100.16950000002</v>
      </c>
      <c r="E3414" s="9">
        <f t="shared" si="444"/>
        <v>78750.697361972183</v>
      </c>
      <c r="F3414" s="98">
        <v>2.5</v>
      </c>
      <c r="G3414" s="98">
        <v>0</v>
      </c>
      <c r="H3414" s="98">
        <v>0</v>
      </c>
      <c r="I3414" s="98">
        <v>0</v>
      </c>
      <c r="J3414" s="98"/>
      <c r="K3414" s="7">
        <v>3.7853654568898993</v>
      </c>
      <c r="L3414" s="93">
        <f t="shared" si="445"/>
        <v>0</v>
      </c>
      <c r="M3414" s="95">
        <f t="shared" ca="1" si="446"/>
        <v>0</v>
      </c>
      <c r="N3414" s="95">
        <f>IF(P3414="Hedge Fund",IF(A3414=Summary!$AD$3,M3414-E3414,M3414),IF(A3414=Summary!$AD$3,L3414-D3414,L3414))</f>
        <v>0</v>
      </c>
      <c r="O3414" s="95">
        <f t="shared" si="447"/>
        <v>0</v>
      </c>
      <c r="P3414" s="107" t="s">
        <v>155</v>
      </c>
      <c r="Q3414" s="107">
        <v>0</v>
      </c>
      <c r="R3414" s="107">
        <v>0</v>
      </c>
      <c r="S3414" s="107">
        <v>0</v>
      </c>
      <c r="T3414" s="107">
        <v>0</v>
      </c>
      <c r="U3414" s="107"/>
      <c r="V3414" s="107"/>
      <c r="W3414" s="107"/>
      <c r="X3414" s="107"/>
      <c r="Y3414" s="107"/>
      <c r="Z3414" s="107"/>
      <c r="AA3414" s="107"/>
      <c r="AB3414" s="107"/>
      <c r="AC3414" s="355"/>
      <c r="AD3414" s="355"/>
      <c r="AE3414" s="355"/>
      <c r="AF3414" s="94">
        <f t="shared" si="448"/>
        <v>42277</v>
      </c>
      <c r="AG3414" s="185">
        <f t="shared" si="443"/>
        <v>-7.6160547463789419E-3</v>
      </c>
      <c r="AH3414" s="339" t="str">
        <f>VLOOKUP(B3414,'MF PF'!A:B,2)</f>
        <v>FdMgt1</v>
      </c>
      <c r="AI3414" s="358">
        <f t="shared" si="449"/>
        <v>0</v>
      </c>
      <c r="AJ3414" s="94">
        <f t="shared" si="450"/>
        <v>42277</v>
      </c>
    </row>
    <row r="3415" spans="1:36" ht="12.75" customHeight="1">
      <c r="A3415" s="94">
        <v>42307</v>
      </c>
      <c r="B3415" s="94" t="s">
        <v>188</v>
      </c>
      <c r="C3415" s="358" t="s">
        <v>304</v>
      </c>
      <c r="D3415" s="98">
        <v>295508.35840000003</v>
      </c>
      <c r="E3415" s="9">
        <f t="shared" si="444"/>
        <v>78066.004924870096</v>
      </c>
      <c r="F3415" s="98">
        <v>2.5</v>
      </c>
      <c r="G3415" s="98">
        <v>0</v>
      </c>
      <c r="H3415" s="98">
        <v>0</v>
      </c>
      <c r="I3415" s="98">
        <v>0</v>
      </c>
      <c r="J3415" s="98"/>
      <c r="K3415" s="7">
        <v>3.7853654568898993</v>
      </c>
      <c r="L3415" s="93">
        <f t="shared" si="445"/>
        <v>0</v>
      </c>
      <c r="M3415" s="95">
        <f t="shared" ca="1" si="446"/>
        <v>0</v>
      </c>
      <c r="N3415" s="95">
        <f>IF(P3415="Hedge Fund",IF(A3415=Summary!$AD$3,M3415-E3415,M3415),IF(A3415=Summary!$AD$3,L3415-D3415,L3415))</f>
        <v>0</v>
      </c>
      <c r="O3415" s="95">
        <f t="shared" si="447"/>
        <v>0</v>
      </c>
      <c r="P3415" s="107" t="s">
        <v>155</v>
      </c>
      <c r="Q3415" s="107">
        <v>0</v>
      </c>
      <c r="R3415" s="107">
        <v>0</v>
      </c>
      <c r="S3415" s="107">
        <v>0</v>
      </c>
      <c r="T3415" s="107">
        <v>0</v>
      </c>
      <c r="U3415" s="107"/>
      <c r="V3415" s="107"/>
      <c r="W3415" s="107"/>
      <c r="X3415" s="107"/>
      <c r="Y3415" s="107"/>
      <c r="Z3415" s="107"/>
      <c r="AA3415" s="107"/>
      <c r="AB3415" s="107"/>
      <c r="AC3415" s="355"/>
      <c r="AD3415" s="355"/>
      <c r="AE3415" s="355"/>
      <c r="AF3415" s="94">
        <f t="shared" si="448"/>
        <v>42307</v>
      </c>
      <c r="AG3415" s="185">
        <f t="shared" si="443"/>
        <v>-8.6944301452334116E-3</v>
      </c>
      <c r="AH3415" s="339" t="str">
        <f>VLOOKUP(B3415,'MF PF'!A:B,2)</f>
        <v>FdMgt1</v>
      </c>
      <c r="AI3415" s="358">
        <f t="shared" si="449"/>
        <v>0</v>
      </c>
      <c r="AJ3415" s="94">
        <f t="shared" si="450"/>
        <v>42308</v>
      </c>
    </row>
    <row r="3416" spans="1:36" ht="12.75" customHeight="1">
      <c r="A3416" s="94">
        <v>42338</v>
      </c>
      <c r="B3416" s="94" t="s">
        <v>188</v>
      </c>
      <c r="C3416" s="358" t="s">
        <v>304</v>
      </c>
      <c r="D3416" s="98">
        <v>259309.42220000003</v>
      </c>
      <c r="E3416" s="9">
        <f t="shared" si="444"/>
        <v>68503.140622266816</v>
      </c>
      <c r="F3416" s="98">
        <v>2.5</v>
      </c>
      <c r="G3416" s="98">
        <v>0</v>
      </c>
      <c r="H3416" s="98">
        <v>-2.9103830456733704E-11</v>
      </c>
      <c r="I3416" s="98">
        <v>-36250</v>
      </c>
      <c r="J3416" s="98"/>
      <c r="K3416" s="7">
        <v>3.7853654568898993</v>
      </c>
      <c r="L3416" s="93">
        <f t="shared" si="445"/>
        <v>-36250.000000000029</v>
      </c>
      <c r="M3416" s="95">
        <f t="shared" ca="1" si="446"/>
        <v>-9576.3540965430129</v>
      </c>
      <c r="N3416" s="95">
        <f>IF(P3416="Hedge Fund",IF(A3416=Summary!$AD$3,M3416-E3416,M3416),IF(A3416=Summary!$AD$3,L3416-D3416,L3416))</f>
        <v>-36250.000000000029</v>
      </c>
      <c r="O3416" s="95">
        <f t="shared" si="447"/>
        <v>-36250.000000000029</v>
      </c>
      <c r="P3416" s="107" t="s">
        <v>155</v>
      </c>
      <c r="Q3416" s="107">
        <v>0</v>
      </c>
      <c r="R3416" s="107">
        <v>0</v>
      </c>
      <c r="S3416" s="107">
        <v>0</v>
      </c>
      <c r="T3416" s="107">
        <v>0</v>
      </c>
      <c r="U3416" s="107"/>
      <c r="V3416" s="107"/>
      <c r="W3416" s="107"/>
      <c r="X3416" s="107"/>
      <c r="Y3416" s="107"/>
      <c r="Z3416" s="107"/>
      <c r="AA3416" s="107"/>
      <c r="AB3416" s="107"/>
      <c r="AC3416" s="355"/>
      <c r="AD3416" s="355"/>
      <c r="AE3416" s="355"/>
      <c r="AF3416" s="94">
        <f t="shared" si="448"/>
        <v>42338</v>
      </c>
      <c r="AG3416" s="185">
        <f t="shared" si="443"/>
        <v>1.7279984998208597E-4</v>
      </c>
      <c r="AH3416" s="339" t="str">
        <f>VLOOKUP(B3416,'MF PF'!A:B,2)</f>
        <v>FdMgt1</v>
      </c>
      <c r="AI3416" s="358">
        <f t="shared" si="449"/>
        <v>0</v>
      </c>
      <c r="AJ3416" s="94">
        <f t="shared" si="450"/>
        <v>42338</v>
      </c>
    </row>
    <row r="3417" spans="1:36" ht="12.75" customHeight="1">
      <c r="A3417" s="94">
        <v>42369</v>
      </c>
      <c r="B3417" s="94" t="s">
        <v>188</v>
      </c>
      <c r="C3417" s="358" t="s">
        <v>304</v>
      </c>
      <c r="D3417" s="98">
        <v>198343.4</v>
      </c>
      <c r="E3417" s="9">
        <f t="shared" si="444"/>
        <v>52397.424306545363</v>
      </c>
      <c r="F3417" s="98">
        <v>2.5</v>
      </c>
      <c r="G3417" s="98">
        <v>0</v>
      </c>
      <c r="H3417" s="98">
        <v>0</v>
      </c>
      <c r="I3417" s="98">
        <v>-50000</v>
      </c>
      <c r="J3417" s="98"/>
      <c r="K3417" s="7">
        <v>3.7853654568898993</v>
      </c>
      <c r="L3417" s="93">
        <f t="shared" si="445"/>
        <v>-50000</v>
      </c>
      <c r="M3417" s="95">
        <f t="shared" ca="1" si="446"/>
        <v>-13208.764271093811</v>
      </c>
      <c r="N3417" s="95">
        <f>IF(P3417="Hedge Fund",IF(A3417=Summary!$AD$3,M3417-E3417,M3417),IF(A3417=Summary!$AD$3,L3417-D3417,L3417))</f>
        <v>-50000</v>
      </c>
      <c r="O3417" s="95">
        <f t="shared" si="447"/>
        <v>-50000</v>
      </c>
      <c r="P3417" s="107" t="s">
        <v>155</v>
      </c>
      <c r="Q3417" s="107">
        <v>0</v>
      </c>
      <c r="R3417" s="107">
        <v>0</v>
      </c>
      <c r="S3417" s="107">
        <v>0</v>
      </c>
      <c r="T3417" s="107">
        <v>0</v>
      </c>
      <c r="U3417" s="107"/>
      <c r="V3417" s="107"/>
      <c r="W3417" s="107"/>
      <c r="X3417" s="107"/>
      <c r="Y3417" s="107"/>
      <c r="Z3417" s="107"/>
      <c r="AA3417" s="107"/>
      <c r="AB3417" s="107"/>
      <c r="AC3417" s="355"/>
      <c r="AD3417" s="355"/>
      <c r="AE3417" s="355"/>
      <c r="AF3417" s="94">
        <f t="shared" si="448"/>
        <v>42369</v>
      </c>
      <c r="AG3417" s="185">
        <f t="shared" si="443"/>
        <v>-4.2289331822050635E-2</v>
      </c>
      <c r="AH3417" s="339" t="str">
        <f>VLOOKUP(B3417,'MF PF'!A:B,2)</f>
        <v>FdMgt1</v>
      </c>
      <c r="AI3417" s="358">
        <f t="shared" si="449"/>
        <v>0</v>
      </c>
      <c r="AJ3417" s="94">
        <f t="shared" si="450"/>
        <v>42369</v>
      </c>
    </row>
    <row r="3418" spans="1:36" ht="12.75" customHeight="1">
      <c r="A3418" s="94">
        <v>42398</v>
      </c>
      <c r="B3418" s="94" t="s">
        <v>188</v>
      </c>
      <c r="C3418" s="358" t="s">
        <v>304</v>
      </c>
      <c r="D3418" s="98">
        <v>189966.67</v>
      </c>
      <c r="E3418" s="9">
        <f t="shared" si="444"/>
        <v>50184.49926789337</v>
      </c>
      <c r="F3418" s="98">
        <v>2.5</v>
      </c>
      <c r="G3418" s="98">
        <v>0</v>
      </c>
      <c r="H3418" s="98">
        <v>0</v>
      </c>
      <c r="I3418" s="98">
        <v>0</v>
      </c>
      <c r="J3418" s="98"/>
      <c r="K3418" s="7">
        <v>3.7853654568898993</v>
      </c>
      <c r="L3418" s="93">
        <f t="shared" si="445"/>
        <v>0</v>
      </c>
      <c r="M3418" s="95">
        <f t="shared" ca="1" si="446"/>
        <v>0</v>
      </c>
      <c r="N3418" s="95">
        <f>IF(P3418="Hedge Fund",IF(A3418=Summary!$AD$3,M3418-E3418,M3418),IF(A3418=Summary!$AD$3,L3418-D3418,L3418))</f>
        <v>0</v>
      </c>
      <c r="O3418" s="95">
        <f t="shared" si="447"/>
        <v>0</v>
      </c>
      <c r="P3418" s="107" t="s">
        <v>155</v>
      </c>
      <c r="Q3418" s="107">
        <v>0</v>
      </c>
      <c r="R3418" s="107">
        <v>0</v>
      </c>
      <c r="S3418" s="107">
        <v>0</v>
      </c>
      <c r="T3418" s="107">
        <v>0</v>
      </c>
      <c r="U3418" s="107"/>
      <c r="V3418" s="107"/>
      <c r="W3418" s="107"/>
      <c r="X3418" s="107"/>
      <c r="Y3418" s="107"/>
      <c r="Z3418" s="107"/>
      <c r="AA3418" s="107"/>
      <c r="AB3418" s="107"/>
      <c r="AC3418" s="355"/>
      <c r="AD3418" s="355"/>
      <c r="AE3418" s="355"/>
      <c r="AF3418" s="94">
        <f t="shared" si="448"/>
        <v>42398</v>
      </c>
      <c r="AG3418" s="185">
        <f t="shared" si="443"/>
        <v>-4.2233469830606829E-2</v>
      </c>
      <c r="AH3418" s="339" t="str">
        <f>VLOOKUP(B3418,'MF PF'!A:B,2)</f>
        <v>FdMgt1</v>
      </c>
      <c r="AI3418" s="358">
        <f t="shared" si="449"/>
        <v>0</v>
      </c>
      <c r="AJ3418" s="94">
        <f t="shared" si="450"/>
        <v>42400</v>
      </c>
    </row>
    <row r="3419" spans="1:36" ht="12.75" customHeight="1">
      <c r="A3419" s="94">
        <v>42429</v>
      </c>
      <c r="B3419" s="94" t="s">
        <v>188</v>
      </c>
      <c r="C3419" s="358" t="s">
        <v>304</v>
      </c>
      <c r="D3419" s="98">
        <v>196683.14</v>
      </c>
      <c r="E3419" s="9">
        <f t="shared" si="444"/>
        <v>51958.824647170841</v>
      </c>
      <c r="F3419" s="98">
        <v>2.5</v>
      </c>
      <c r="G3419" s="98">
        <v>0</v>
      </c>
      <c r="H3419" s="98">
        <v>0</v>
      </c>
      <c r="I3419" s="98">
        <v>0</v>
      </c>
      <c r="J3419" s="98"/>
      <c r="K3419" s="7">
        <v>3.7853654568898993</v>
      </c>
      <c r="L3419" s="93">
        <f t="shared" si="445"/>
        <v>0</v>
      </c>
      <c r="M3419" s="95">
        <f t="shared" ca="1" si="446"/>
        <v>0</v>
      </c>
      <c r="N3419" s="95">
        <f>IF(P3419="Hedge Fund",IF(A3419=Summary!$AD$3,M3419-E3419,M3419),IF(A3419=Summary!$AD$3,L3419-D3419,L3419))</f>
        <v>0</v>
      </c>
      <c r="O3419" s="95">
        <f t="shared" si="447"/>
        <v>0</v>
      </c>
      <c r="P3419" s="107" t="s">
        <v>155</v>
      </c>
      <c r="Q3419" s="107">
        <v>0</v>
      </c>
      <c r="R3419" s="107">
        <v>0</v>
      </c>
      <c r="S3419" s="107">
        <v>0</v>
      </c>
      <c r="T3419" s="107">
        <v>0</v>
      </c>
      <c r="U3419" s="107"/>
      <c r="V3419" s="107"/>
      <c r="W3419" s="107"/>
      <c r="X3419" s="107"/>
      <c r="Y3419" s="107"/>
      <c r="Z3419" s="107"/>
      <c r="AA3419" s="107"/>
      <c r="AB3419" s="107"/>
      <c r="AC3419" s="355"/>
      <c r="AD3419" s="355"/>
      <c r="AE3419" s="355"/>
      <c r="AF3419" s="94">
        <f t="shared" si="448"/>
        <v>42429</v>
      </c>
      <c r="AG3419" s="185">
        <f t="shared" si="443"/>
        <v>3.5356044299771128E-2</v>
      </c>
      <c r="AH3419" s="339" t="str">
        <f>VLOOKUP(B3419,'MF PF'!A:B,2)</f>
        <v>FdMgt1</v>
      </c>
      <c r="AI3419" s="358">
        <f t="shared" si="449"/>
        <v>0</v>
      </c>
      <c r="AJ3419" s="94">
        <f t="shared" si="450"/>
        <v>42429</v>
      </c>
    </row>
    <row r="3420" spans="1:36" ht="12.75" customHeight="1">
      <c r="A3420" s="94">
        <v>42460</v>
      </c>
      <c r="B3420" s="94" t="s">
        <v>188</v>
      </c>
      <c r="C3420" s="358" t="s">
        <v>304</v>
      </c>
      <c r="D3420" s="98">
        <v>195856.66</v>
      </c>
      <c r="E3420" s="9">
        <f t="shared" si="444"/>
        <v>51740.489057275365</v>
      </c>
      <c r="F3420" s="98">
        <v>2.5</v>
      </c>
      <c r="G3420" s="98">
        <v>0</v>
      </c>
      <c r="H3420" s="98">
        <v>0</v>
      </c>
      <c r="I3420" s="98">
        <v>0</v>
      </c>
      <c r="J3420" s="98"/>
      <c r="K3420" s="7">
        <v>3.7853654568898993</v>
      </c>
      <c r="L3420" s="93">
        <f t="shared" si="445"/>
        <v>0</v>
      </c>
      <c r="M3420" s="95">
        <f t="shared" ca="1" si="446"/>
        <v>0</v>
      </c>
      <c r="N3420" s="95">
        <f>IF(P3420="Hedge Fund",IF(A3420=Summary!$AD$3,M3420-E3420,M3420),IF(A3420=Summary!$AD$3,L3420-D3420,L3420))</f>
        <v>0</v>
      </c>
      <c r="O3420" s="95">
        <f t="shared" si="447"/>
        <v>0</v>
      </c>
      <c r="P3420" s="107" t="s">
        <v>155</v>
      </c>
      <c r="Q3420" s="107">
        <v>0</v>
      </c>
      <c r="R3420" s="107">
        <v>0</v>
      </c>
      <c r="S3420" s="107">
        <v>0</v>
      </c>
      <c r="T3420" s="107">
        <v>0</v>
      </c>
      <c r="U3420" s="107"/>
      <c r="V3420" s="107"/>
      <c r="W3420" s="107"/>
      <c r="X3420" s="107"/>
      <c r="Y3420" s="107"/>
      <c r="Z3420" s="107"/>
      <c r="AA3420" s="107"/>
      <c r="AB3420" s="107"/>
      <c r="AC3420" s="355"/>
      <c r="AD3420" s="355"/>
      <c r="AE3420" s="355"/>
      <c r="AF3420" s="94">
        <f t="shared" si="448"/>
        <v>42460</v>
      </c>
      <c r="AG3420" s="185">
        <f t="shared" si="443"/>
        <v>-4.2020886996211315E-3</v>
      </c>
      <c r="AH3420" s="339" t="str">
        <f>VLOOKUP(B3420,'MF PF'!A:B,2)</f>
        <v>FdMgt1</v>
      </c>
      <c r="AI3420" s="358">
        <f t="shared" si="449"/>
        <v>0</v>
      </c>
      <c r="AJ3420" s="94">
        <f t="shared" si="450"/>
        <v>42460</v>
      </c>
    </row>
    <row r="3421" spans="1:36" ht="12.75" customHeight="1">
      <c r="A3421" s="94">
        <v>42489</v>
      </c>
      <c r="B3421" s="94" t="s">
        <v>188</v>
      </c>
      <c r="C3421" s="358" t="s">
        <v>304</v>
      </c>
      <c r="D3421" s="98">
        <v>206462.21040000001</v>
      </c>
      <c r="E3421" s="9">
        <f t="shared" si="444"/>
        <v>54542.213361251459</v>
      </c>
      <c r="F3421" s="98">
        <v>2.5</v>
      </c>
      <c r="G3421" s="98">
        <v>0</v>
      </c>
      <c r="H3421" s="98">
        <v>0</v>
      </c>
      <c r="I3421" s="98">
        <v>0</v>
      </c>
      <c r="J3421" s="98"/>
      <c r="K3421" s="7">
        <v>3.7853654568898993</v>
      </c>
      <c r="L3421" s="93">
        <f t="shared" si="445"/>
        <v>0</v>
      </c>
      <c r="M3421" s="95">
        <f t="shared" ca="1" si="446"/>
        <v>0</v>
      </c>
      <c r="N3421" s="95">
        <f>IF(P3421="Hedge Fund",IF(A3421=Summary!$AD$3,M3421-E3421,M3421),IF(A3421=Summary!$AD$3,L3421-D3421,L3421))</f>
        <v>0</v>
      </c>
      <c r="O3421" s="95">
        <f t="shared" si="447"/>
        <v>0</v>
      </c>
      <c r="P3421" s="107" t="s">
        <v>155</v>
      </c>
      <c r="Q3421" s="107">
        <v>0</v>
      </c>
      <c r="R3421" s="107">
        <v>0</v>
      </c>
      <c r="S3421" s="107">
        <v>0</v>
      </c>
      <c r="T3421" s="107">
        <v>0</v>
      </c>
      <c r="U3421" s="107"/>
      <c r="V3421" s="107"/>
      <c r="W3421" s="107"/>
      <c r="X3421" s="107"/>
      <c r="Y3421" s="107"/>
      <c r="Z3421" s="107"/>
      <c r="AA3421" s="107"/>
      <c r="AB3421" s="107"/>
      <c r="AC3421" s="355"/>
      <c r="AD3421" s="355"/>
      <c r="AE3421" s="355"/>
      <c r="AF3421" s="94">
        <f t="shared" si="448"/>
        <v>42489</v>
      </c>
      <c r="AG3421" s="185">
        <f t="shared" si="443"/>
        <v>5.4149552024424397E-2</v>
      </c>
      <c r="AH3421" s="339" t="str">
        <f>VLOOKUP(B3421,'MF PF'!A:B,2)</f>
        <v>FdMgt1</v>
      </c>
      <c r="AI3421" s="358">
        <f t="shared" si="449"/>
        <v>0</v>
      </c>
      <c r="AJ3421" s="94">
        <f t="shared" si="450"/>
        <v>42490</v>
      </c>
    </row>
    <row r="3422" spans="1:36" ht="12.75" customHeight="1">
      <c r="A3422" s="94">
        <v>42521</v>
      </c>
      <c r="B3422" s="94" t="s">
        <v>188</v>
      </c>
      <c r="C3422" s="358" t="s">
        <v>304</v>
      </c>
      <c r="D3422" s="98">
        <v>209967.08970000001</v>
      </c>
      <c r="E3422" s="9">
        <f t="shared" si="444"/>
        <v>55468.115850698188</v>
      </c>
      <c r="F3422" s="98">
        <v>2.5</v>
      </c>
      <c r="G3422" s="98">
        <v>0</v>
      </c>
      <c r="H3422" s="98">
        <v>0</v>
      </c>
      <c r="I3422" s="98">
        <v>0</v>
      </c>
      <c r="J3422" s="98"/>
      <c r="K3422" s="7">
        <v>3.7853654568898993</v>
      </c>
      <c r="L3422" s="93">
        <f t="shared" si="445"/>
        <v>0</v>
      </c>
      <c r="M3422" s="95">
        <f t="shared" ca="1" si="446"/>
        <v>0</v>
      </c>
      <c r="N3422" s="95">
        <f>IF(P3422="Hedge Fund",IF(A3422=Summary!$AD$3,M3422-E3422,M3422),IF(A3422=Summary!$AD$3,L3422-D3422,L3422))</f>
        <v>0</v>
      </c>
      <c r="O3422" s="95">
        <f t="shared" si="447"/>
        <v>0</v>
      </c>
      <c r="P3422" s="107" t="s">
        <v>155</v>
      </c>
      <c r="Q3422" s="107">
        <v>0</v>
      </c>
      <c r="R3422" s="107">
        <v>0</v>
      </c>
      <c r="S3422" s="107">
        <v>0</v>
      </c>
      <c r="T3422" s="107">
        <v>0</v>
      </c>
      <c r="U3422" s="107"/>
      <c r="V3422" s="107"/>
      <c r="W3422" s="107"/>
      <c r="X3422" s="107"/>
      <c r="Y3422" s="107"/>
      <c r="Z3422" s="107"/>
      <c r="AA3422" s="107"/>
      <c r="AB3422" s="107"/>
      <c r="AC3422" s="355"/>
      <c r="AD3422" s="355"/>
      <c r="AE3422" s="355"/>
      <c r="AF3422" s="94">
        <f t="shared" si="448"/>
        <v>42521</v>
      </c>
      <c r="AG3422" s="185">
        <f t="shared" si="443"/>
        <v>1.6975887709473003E-2</v>
      </c>
      <c r="AH3422" s="339" t="str">
        <f>VLOOKUP(B3422,'MF PF'!A:B,2)</f>
        <v>FdMgt1</v>
      </c>
      <c r="AI3422" s="358">
        <f t="shared" si="449"/>
        <v>0</v>
      </c>
      <c r="AJ3422" s="94">
        <f t="shared" si="450"/>
        <v>42521</v>
      </c>
    </row>
    <row r="3423" spans="1:36" ht="12.75" customHeight="1">
      <c r="A3423" s="94">
        <v>42551</v>
      </c>
      <c r="B3423" s="94" t="s">
        <v>188</v>
      </c>
      <c r="C3423" s="358" t="s">
        <v>304</v>
      </c>
      <c r="D3423" s="98">
        <v>217211.89790000001</v>
      </c>
      <c r="E3423" s="9">
        <f t="shared" si="444"/>
        <v>57382.015124759935</v>
      </c>
      <c r="F3423" s="98">
        <v>2.5</v>
      </c>
      <c r="G3423" s="98">
        <v>0</v>
      </c>
      <c r="H3423" s="98">
        <v>0</v>
      </c>
      <c r="I3423" s="98">
        <v>0</v>
      </c>
      <c r="J3423" s="98"/>
      <c r="K3423" s="7">
        <v>3.7853654568898993</v>
      </c>
      <c r="L3423" s="93">
        <f t="shared" si="445"/>
        <v>0</v>
      </c>
      <c r="M3423" s="95">
        <f t="shared" ca="1" si="446"/>
        <v>0</v>
      </c>
      <c r="N3423" s="95">
        <f>IF(P3423="Hedge Fund",IF(A3423=Summary!$AD$3,M3423-E3423,M3423),IF(A3423=Summary!$AD$3,L3423-D3423,L3423))</f>
        <v>0</v>
      </c>
      <c r="O3423" s="95">
        <f t="shared" si="447"/>
        <v>0</v>
      </c>
      <c r="P3423" s="107" t="s">
        <v>155</v>
      </c>
      <c r="Q3423" s="107">
        <v>0</v>
      </c>
      <c r="R3423" s="107">
        <v>0</v>
      </c>
      <c r="S3423" s="107">
        <v>0</v>
      </c>
      <c r="T3423" s="107">
        <v>0</v>
      </c>
      <c r="U3423" s="107"/>
      <c r="V3423" s="107"/>
      <c r="W3423" s="107"/>
      <c r="X3423" s="107"/>
      <c r="Y3423" s="107"/>
      <c r="Z3423" s="107"/>
      <c r="AA3423" s="107"/>
      <c r="AB3423" s="107"/>
      <c r="AC3423" s="355"/>
      <c r="AD3423" s="355"/>
      <c r="AE3423" s="355"/>
      <c r="AF3423" s="94">
        <f t="shared" si="448"/>
        <v>42551</v>
      </c>
      <c r="AG3423" s="185">
        <f t="shared" si="443"/>
        <v>3.4504494063099855E-2</v>
      </c>
      <c r="AH3423" s="339" t="str">
        <f>VLOOKUP(B3423,'MF PF'!A:B,2)</f>
        <v>FdMgt1</v>
      </c>
      <c r="AI3423" s="358">
        <f t="shared" si="449"/>
        <v>0</v>
      </c>
      <c r="AJ3423" s="94">
        <f t="shared" si="450"/>
        <v>42551</v>
      </c>
    </row>
    <row r="3424" spans="1:36" ht="12.75" customHeight="1">
      <c r="A3424" s="94">
        <v>42580</v>
      </c>
      <c r="B3424" s="94" t="s">
        <v>188</v>
      </c>
      <c r="C3424" s="358" t="s">
        <v>304</v>
      </c>
      <c r="D3424" s="98">
        <v>240327.4387</v>
      </c>
      <c r="E3424" s="9">
        <f t="shared" ref="E3424:E3449" si="451">D3424/K3424</f>
        <v>63488.569713280958</v>
      </c>
      <c r="F3424" s="98">
        <v>2.5</v>
      </c>
      <c r="G3424" s="98">
        <v>0</v>
      </c>
      <c r="H3424" s="98">
        <v>0</v>
      </c>
      <c r="I3424" s="98">
        <v>0</v>
      </c>
      <c r="J3424" s="98"/>
      <c r="K3424" s="7">
        <v>3.7853654568898993</v>
      </c>
      <c r="L3424" s="93">
        <f t="shared" si="445"/>
        <v>0</v>
      </c>
      <c r="M3424" s="95">
        <f t="shared" ca="1" si="446"/>
        <v>0</v>
      </c>
      <c r="N3424" s="95">
        <f>IF(P3424="Hedge Fund",IF(A3424=Summary!$AD$3,M3424-E3424,M3424),IF(A3424=Summary!$AD$3,L3424-D3424,L3424))</f>
        <v>0</v>
      </c>
      <c r="O3424" s="95">
        <f t="shared" si="447"/>
        <v>0</v>
      </c>
      <c r="P3424" s="107" t="s">
        <v>155</v>
      </c>
      <c r="Q3424" s="107">
        <v>0</v>
      </c>
      <c r="R3424" s="107">
        <v>0</v>
      </c>
      <c r="S3424" s="107">
        <v>0</v>
      </c>
      <c r="T3424" s="107">
        <v>0</v>
      </c>
      <c r="U3424" s="107"/>
      <c r="V3424" s="107"/>
      <c r="W3424" s="107"/>
      <c r="X3424" s="107"/>
      <c r="Y3424" s="107"/>
      <c r="Z3424" s="107"/>
      <c r="AA3424" s="107"/>
      <c r="AB3424" s="107"/>
      <c r="AC3424" s="355"/>
      <c r="AD3424" s="355"/>
      <c r="AE3424" s="355"/>
      <c r="AF3424" s="94">
        <f t="shared" si="448"/>
        <v>42580</v>
      </c>
      <c r="AG3424" s="185">
        <f t="shared" si="443"/>
        <v>0.10641931230968726</v>
      </c>
      <c r="AH3424" s="339" t="str">
        <f>VLOOKUP(B3424,'MF PF'!A:B,2)</f>
        <v>FdMgt1</v>
      </c>
      <c r="AI3424" s="358">
        <f t="shared" si="449"/>
        <v>0</v>
      </c>
      <c r="AJ3424" s="94">
        <f t="shared" si="450"/>
        <v>42582</v>
      </c>
    </row>
    <row r="3425" spans="1:36" ht="12.75" customHeight="1">
      <c r="A3425" s="94">
        <v>42613</v>
      </c>
      <c r="B3425" s="94" t="s">
        <v>188</v>
      </c>
      <c r="C3425" s="358" t="s">
        <v>304</v>
      </c>
      <c r="D3425" s="98">
        <v>251882.35339999999</v>
      </c>
      <c r="E3425" s="9">
        <f t="shared" si="451"/>
        <v>66541.092602178891</v>
      </c>
      <c r="F3425" s="98">
        <v>2.5</v>
      </c>
      <c r="G3425" s="98">
        <v>0</v>
      </c>
      <c r="H3425" s="98">
        <v>0</v>
      </c>
      <c r="I3425" s="98">
        <v>0</v>
      </c>
      <c r="J3425" s="98"/>
      <c r="K3425" s="7">
        <v>3.7853654568898993</v>
      </c>
      <c r="L3425" s="93">
        <f t="shared" si="445"/>
        <v>0</v>
      </c>
      <c r="M3425" s="95">
        <f t="shared" ca="1" si="446"/>
        <v>0</v>
      </c>
      <c r="N3425" s="95">
        <f>IF(P3425="Hedge Fund",IF(A3425=Summary!$AD$3,M3425-E3425,M3425),IF(A3425=Summary!$AD$3,L3425-D3425,L3425))</f>
        <v>0</v>
      </c>
      <c r="O3425" s="95">
        <f t="shared" si="447"/>
        <v>0</v>
      </c>
      <c r="P3425" s="107" t="s">
        <v>155</v>
      </c>
      <c r="Q3425" s="107">
        <v>0</v>
      </c>
      <c r="R3425" s="107">
        <v>0</v>
      </c>
      <c r="S3425" s="107">
        <v>0</v>
      </c>
      <c r="T3425" s="107">
        <v>0</v>
      </c>
      <c r="U3425" s="107"/>
      <c r="V3425" s="107"/>
      <c r="W3425" s="107"/>
      <c r="X3425" s="107"/>
      <c r="Y3425" s="107"/>
      <c r="Z3425" s="107"/>
      <c r="AA3425" s="107"/>
      <c r="AB3425" s="107"/>
      <c r="AC3425" s="355"/>
      <c r="AD3425" s="355"/>
      <c r="AE3425" s="355"/>
      <c r="AF3425" s="94">
        <f t="shared" si="448"/>
        <v>42613</v>
      </c>
      <c r="AG3425" s="185">
        <f t="shared" si="443"/>
        <v>4.8079881192525598E-2</v>
      </c>
      <c r="AH3425" s="339" t="str">
        <f>VLOOKUP(B3425,'MF PF'!A:B,2)</f>
        <v>FdMgt1</v>
      </c>
      <c r="AI3425" s="358">
        <f t="shared" si="449"/>
        <v>0</v>
      </c>
      <c r="AJ3425" s="94">
        <f t="shared" si="450"/>
        <v>42613</v>
      </c>
    </row>
    <row r="3426" spans="1:36" ht="12.75" customHeight="1">
      <c r="A3426" s="94">
        <v>42643</v>
      </c>
      <c r="B3426" s="94" t="s">
        <v>188</v>
      </c>
      <c r="C3426" s="358" t="s">
        <v>304</v>
      </c>
      <c r="D3426" s="98">
        <v>270603.0417</v>
      </c>
      <c r="E3426" s="9">
        <f t="shared" si="451"/>
        <v>71486.635777125368</v>
      </c>
      <c r="F3426" s="98">
        <v>2.5</v>
      </c>
      <c r="G3426" s="98">
        <v>0</v>
      </c>
      <c r="H3426" s="98">
        <v>0</v>
      </c>
      <c r="I3426" s="98">
        <v>0</v>
      </c>
      <c r="J3426" s="98"/>
      <c r="K3426" s="7">
        <v>3.7853654568898993</v>
      </c>
      <c r="L3426" s="93">
        <f t="shared" si="445"/>
        <v>0</v>
      </c>
      <c r="M3426" s="95">
        <f t="shared" ca="1" si="446"/>
        <v>0</v>
      </c>
      <c r="N3426" s="95">
        <f>IF(P3426="Hedge Fund",IF(A3426=Summary!$AD$3,M3426-E3426,M3426),IF(A3426=Summary!$AD$3,L3426-D3426,L3426))</f>
        <v>0</v>
      </c>
      <c r="O3426" s="95">
        <f t="shared" si="447"/>
        <v>0</v>
      </c>
      <c r="P3426" s="107" t="s">
        <v>155</v>
      </c>
      <c r="Q3426" s="107">
        <v>0</v>
      </c>
      <c r="R3426" s="107">
        <v>0</v>
      </c>
      <c r="S3426" s="107">
        <v>0</v>
      </c>
      <c r="T3426" s="107">
        <v>0</v>
      </c>
      <c r="U3426" s="107"/>
      <c r="V3426" s="107"/>
      <c r="W3426" s="107"/>
      <c r="X3426" s="107"/>
      <c r="Y3426" s="107"/>
      <c r="Z3426" s="107"/>
      <c r="AA3426" s="107"/>
      <c r="AB3426" s="107"/>
      <c r="AC3426" s="355"/>
      <c r="AD3426" s="355"/>
      <c r="AE3426" s="355"/>
      <c r="AF3426" s="94">
        <f t="shared" si="448"/>
        <v>42643</v>
      </c>
      <c r="AG3426" s="185">
        <f t="shared" ref="AG3426:AG3489" si="452">IF(C3426&lt;&gt;C3425,D3426/G3426-1,(D3426-G3426-I3426-H3426)/(D3425)-1)</f>
        <v>7.4323143512442735E-2</v>
      </c>
      <c r="AH3426" s="339" t="str">
        <f>VLOOKUP(B3426,'MF PF'!A:B,2)</f>
        <v>FdMgt1</v>
      </c>
      <c r="AI3426" s="358">
        <f t="shared" si="449"/>
        <v>0</v>
      </c>
      <c r="AJ3426" s="94">
        <f t="shared" si="450"/>
        <v>42643</v>
      </c>
    </row>
    <row r="3427" spans="1:36" ht="12.75" customHeight="1">
      <c r="A3427" s="94">
        <v>42674</v>
      </c>
      <c r="B3427" s="94" t="s">
        <v>188</v>
      </c>
      <c r="C3427" s="358" t="s">
        <v>304</v>
      </c>
      <c r="D3427" s="98">
        <v>293602.46950000001</v>
      </c>
      <c r="E3427" s="9">
        <f t="shared" si="451"/>
        <v>77562.516180730207</v>
      </c>
      <c r="F3427" s="98">
        <v>2.5</v>
      </c>
      <c r="G3427" s="98">
        <v>0</v>
      </c>
      <c r="H3427" s="98">
        <v>0</v>
      </c>
      <c r="I3427" s="98">
        <v>0</v>
      </c>
      <c r="J3427" s="98"/>
      <c r="K3427" s="7">
        <v>3.7853654568898993</v>
      </c>
      <c r="L3427" s="93">
        <f t="shared" si="445"/>
        <v>0</v>
      </c>
      <c r="M3427" s="95">
        <f t="shared" ca="1" si="446"/>
        <v>0</v>
      </c>
      <c r="N3427" s="95">
        <f>IF(P3427="Hedge Fund",IF(A3427=Summary!$AD$3,M3427-E3427,M3427),IF(A3427=Summary!$AD$3,L3427-D3427,L3427))</f>
        <v>0</v>
      </c>
      <c r="O3427" s="95">
        <f t="shared" si="447"/>
        <v>0</v>
      </c>
      <c r="P3427" s="107" t="s">
        <v>155</v>
      </c>
      <c r="Q3427" s="107">
        <v>0</v>
      </c>
      <c r="R3427" s="107">
        <v>0</v>
      </c>
      <c r="S3427" s="107">
        <v>0</v>
      </c>
      <c r="T3427" s="107">
        <v>0</v>
      </c>
      <c r="U3427" s="107"/>
      <c r="V3427" s="107"/>
      <c r="W3427" s="107"/>
      <c r="X3427" s="107"/>
      <c r="Y3427" s="107"/>
      <c r="Z3427" s="107"/>
      <c r="AA3427" s="107"/>
      <c r="AB3427" s="107"/>
      <c r="AC3427" s="355"/>
      <c r="AD3427" s="355"/>
      <c r="AE3427" s="355"/>
      <c r="AF3427" s="94">
        <f t="shared" si="448"/>
        <v>42674</v>
      </c>
      <c r="AG3427" s="185">
        <f t="shared" si="452"/>
        <v>8.4993234575308163E-2</v>
      </c>
      <c r="AH3427" s="339" t="str">
        <f>VLOOKUP(B3427,'MF PF'!A:B,2)</f>
        <v>FdMgt1</v>
      </c>
      <c r="AI3427" s="358">
        <f t="shared" si="449"/>
        <v>0</v>
      </c>
      <c r="AJ3427" s="94">
        <f t="shared" si="450"/>
        <v>42674</v>
      </c>
    </row>
    <row r="3428" spans="1:36" ht="12.75" customHeight="1">
      <c r="A3428" s="94">
        <v>42704</v>
      </c>
      <c r="B3428" s="94" t="s">
        <v>188</v>
      </c>
      <c r="C3428" s="358" t="s">
        <v>304</v>
      </c>
      <c r="D3428" s="98">
        <v>235461.14360000001</v>
      </c>
      <c r="E3428" s="9">
        <f t="shared" si="451"/>
        <v>62203.014816291383</v>
      </c>
      <c r="F3428" s="98">
        <v>2.5</v>
      </c>
      <c r="G3428" s="98">
        <v>0</v>
      </c>
      <c r="H3428" s="98">
        <v>0</v>
      </c>
      <c r="I3428" s="98">
        <v>-37500</v>
      </c>
      <c r="J3428" s="98"/>
      <c r="K3428" s="7">
        <v>3.7853654568898993</v>
      </c>
      <c r="L3428" s="93">
        <f t="shared" si="445"/>
        <v>-37500</v>
      </c>
      <c r="M3428" s="95">
        <f t="shared" ca="1" si="446"/>
        <v>-9906.5732033203585</v>
      </c>
      <c r="N3428" s="95">
        <f>IF(P3428="Hedge Fund",IF(A3428=Summary!$AD$3,M3428-E3428,M3428),IF(A3428=Summary!$AD$3,L3428-D3428,L3428))</f>
        <v>-37500</v>
      </c>
      <c r="O3428" s="95">
        <f t="shared" si="447"/>
        <v>-37500</v>
      </c>
      <c r="P3428" s="107" t="s">
        <v>155</v>
      </c>
      <c r="Q3428" s="107">
        <v>0</v>
      </c>
      <c r="R3428" s="107">
        <v>0</v>
      </c>
      <c r="S3428" s="107">
        <v>0</v>
      </c>
      <c r="T3428" s="107">
        <v>0</v>
      </c>
      <c r="U3428" s="107"/>
      <c r="V3428" s="107"/>
      <c r="W3428" s="107"/>
      <c r="X3428" s="107"/>
      <c r="Y3428" s="107"/>
      <c r="Z3428" s="107"/>
      <c r="AA3428" s="107"/>
      <c r="AB3428" s="107"/>
      <c r="AC3428" s="355"/>
      <c r="AD3428" s="355"/>
      <c r="AE3428" s="355"/>
      <c r="AF3428" s="94">
        <f t="shared" si="448"/>
        <v>42704</v>
      </c>
      <c r="AG3428" s="185">
        <f t="shared" si="452"/>
        <v>-7.0303652197312272E-2</v>
      </c>
      <c r="AH3428" s="339" t="str">
        <f>VLOOKUP(B3428,'MF PF'!A:B,2)</f>
        <v>FdMgt1</v>
      </c>
      <c r="AI3428" s="358">
        <f t="shared" si="449"/>
        <v>0</v>
      </c>
      <c r="AJ3428" s="94">
        <f t="shared" si="450"/>
        <v>42704</v>
      </c>
    </row>
    <row r="3429" spans="1:36" ht="12.75" customHeight="1">
      <c r="A3429" s="94">
        <v>42734</v>
      </c>
      <c r="B3429" s="94" t="s">
        <v>188</v>
      </c>
      <c r="C3429" s="358" t="s">
        <v>304</v>
      </c>
      <c r="D3429" s="98">
        <v>177826.60140000001</v>
      </c>
      <c r="E3429" s="9">
        <f t="shared" si="451"/>
        <v>46977.393180447216</v>
      </c>
      <c r="F3429" s="98">
        <v>2.5</v>
      </c>
      <c r="G3429" s="98">
        <v>0</v>
      </c>
      <c r="H3429" s="98">
        <v>0</v>
      </c>
      <c r="I3429" s="98">
        <v>-60000</v>
      </c>
      <c r="J3429" s="98"/>
      <c r="K3429" s="7">
        <v>3.7853654568898993</v>
      </c>
      <c r="L3429" s="93">
        <f t="shared" si="445"/>
        <v>-60000</v>
      </c>
      <c r="M3429" s="95">
        <f t="shared" ca="1" si="446"/>
        <v>-15850.517125312572</v>
      </c>
      <c r="N3429" s="95">
        <f>IF(P3429="Hedge Fund",IF(A3429=Summary!$AD$3,M3429-E3429,M3429),IF(A3429=Summary!$AD$3,L3429-D3429,L3429))</f>
        <v>-60000</v>
      </c>
      <c r="O3429" s="95">
        <f t="shared" si="447"/>
        <v>-60000</v>
      </c>
      <c r="P3429" s="107" t="s">
        <v>155</v>
      </c>
      <c r="Q3429" s="107">
        <v>0</v>
      </c>
      <c r="R3429" s="107">
        <v>0</v>
      </c>
      <c r="S3429" s="107">
        <v>0</v>
      </c>
      <c r="T3429" s="107">
        <v>0</v>
      </c>
      <c r="U3429" s="107"/>
      <c r="V3429" s="107"/>
      <c r="W3429" s="107"/>
      <c r="X3429" s="107"/>
      <c r="Y3429" s="107"/>
      <c r="Z3429" s="107"/>
      <c r="AA3429" s="107"/>
      <c r="AB3429" s="107"/>
      <c r="AC3429" s="355"/>
      <c r="AD3429" s="355"/>
      <c r="AE3429" s="355"/>
      <c r="AF3429" s="94">
        <f t="shared" si="448"/>
        <v>42734</v>
      </c>
      <c r="AG3429" s="185">
        <f t="shared" si="452"/>
        <v>1.004606434774824E-2</v>
      </c>
      <c r="AH3429" s="339" t="str">
        <f>VLOOKUP(B3429,'MF PF'!A:B,2)</f>
        <v>FdMgt1</v>
      </c>
      <c r="AI3429" s="358">
        <f t="shared" si="449"/>
        <v>0</v>
      </c>
      <c r="AJ3429" s="94">
        <f t="shared" si="450"/>
        <v>42735</v>
      </c>
    </row>
    <row r="3430" spans="1:36" ht="12.75" customHeight="1">
      <c r="A3430" s="94">
        <v>42762</v>
      </c>
      <c r="B3430" s="94" t="s">
        <v>188</v>
      </c>
      <c r="C3430" s="358" t="s">
        <v>304</v>
      </c>
      <c r="D3430" s="98">
        <v>180923.18410000001</v>
      </c>
      <c r="E3430" s="9">
        <f t="shared" si="451"/>
        <v>47795.43379905216</v>
      </c>
      <c r="F3430" s="98">
        <v>2.5</v>
      </c>
      <c r="G3430" s="98">
        <v>0</v>
      </c>
      <c r="H3430" s="98">
        <v>0</v>
      </c>
      <c r="I3430" s="98">
        <v>0</v>
      </c>
      <c r="J3430" s="98"/>
      <c r="K3430" s="7">
        <v>3.7853654568898993</v>
      </c>
      <c r="L3430" s="93">
        <f t="shared" si="445"/>
        <v>0</v>
      </c>
      <c r="M3430" s="95">
        <f t="shared" ca="1" si="446"/>
        <v>0</v>
      </c>
      <c r="N3430" s="95">
        <f>IF(P3430="Hedge Fund",IF(A3430=Summary!$AD$3,M3430-E3430,M3430),IF(A3430=Summary!$AD$3,L3430-D3430,L3430))</f>
        <v>0</v>
      </c>
      <c r="O3430" s="95">
        <f t="shared" si="447"/>
        <v>0</v>
      </c>
      <c r="P3430" s="107" t="s">
        <v>155</v>
      </c>
      <c r="Q3430" s="107">
        <v>0</v>
      </c>
      <c r="R3430" s="107">
        <v>0</v>
      </c>
      <c r="S3430" s="107">
        <v>0</v>
      </c>
      <c r="T3430" s="107">
        <v>0</v>
      </c>
      <c r="U3430" s="107"/>
      <c r="V3430" s="107"/>
      <c r="W3430" s="107"/>
      <c r="X3430" s="107"/>
      <c r="Y3430" s="107"/>
      <c r="Z3430" s="107"/>
      <c r="AA3430" s="107"/>
      <c r="AB3430" s="107"/>
      <c r="AC3430" s="355"/>
      <c r="AD3430" s="355"/>
      <c r="AE3430" s="355"/>
      <c r="AF3430" s="94">
        <f t="shared" si="448"/>
        <v>42762</v>
      </c>
      <c r="AG3430" s="185">
        <f t="shared" si="452"/>
        <v>1.7413495369202892E-2</v>
      </c>
      <c r="AH3430" s="339" t="str">
        <f>VLOOKUP(B3430,'MF PF'!A:B,2)</f>
        <v>FdMgt1</v>
      </c>
      <c r="AI3430" s="358">
        <f t="shared" si="449"/>
        <v>0</v>
      </c>
      <c r="AJ3430" s="94">
        <f t="shared" si="450"/>
        <v>42766</v>
      </c>
    </row>
    <row r="3431" spans="1:36" ht="12.75" customHeight="1">
      <c r="A3431" s="94">
        <v>42794</v>
      </c>
      <c r="B3431" s="94" t="s">
        <v>188</v>
      </c>
      <c r="C3431" s="358" t="s">
        <v>304</v>
      </c>
      <c r="D3431" s="98">
        <v>183475.82620000001</v>
      </c>
      <c r="E3431" s="9">
        <f t="shared" si="451"/>
        <v>48469.778754399558</v>
      </c>
      <c r="F3431" s="98">
        <v>2.5</v>
      </c>
      <c r="G3431" s="98">
        <v>0</v>
      </c>
      <c r="H3431" s="98">
        <v>0</v>
      </c>
      <c r="I3431" s="98">
        <v>0</v>
      </c>
      <c r="J3431" s="98"/>
      <c r="K3431" s="7">
        <v>3.7853654568898993</v>
      </c>
      <c r="L3431" s="93">
        <f t="shared" si="445"/>
        <v>0</v>
      </c>
      <c r="M3431" s="95">
        <f t="shared" ca="1" si="446"/>
        <v>0</v>
      </c>
      <c r="N3431" s="95">
        <f>IF(P3431="Hedge Fund",IF(A3431=Summary!$AD$3,M3431-E3431,M3431),IF(A3431=Summary!$AD$3,L3431-D3431,L3431))</f>
        <v>0</v>
      </c>
      <c r="O3431" s="95">
        <f t="shared" si="447"/>
        <v>0</v>
      </c>
      <c r="P3431" s="107" t="s">
        <v>155</v>
      </c>
      <c r="Q3431" s="107">
        <v>0</v>
      </c>
      <c r="R3431" s="107">
        <v>0</v>
      </c>
      <c r="S3431" s="107">
        <v>0</v>
      </c>
      <c r="T3431" s="107">
        <v>0</v>
      </c>
      <c r="U3431" s="107"/>
      <c r="V3431" s="107"/>
      <c r="W3431" s="107"/>
      <c r="X3431" s="107"/>
      <c r="Y3431" s="107"/>
      <c r="Z3431" s="107"/>
      <c r="AA3431" s="107"/>
      <c r="AB3431" s="107"/>
      <c r="AC3431" s="355"/>
      <c r="AD3431" s="355"/>
      <c r="AE3431" s="355"/>
      <c r="AF3431" s="94">
        <f t="shared" si="448"/>
        <v>42794</v>
      </c>
      <c r="AG3431" s="185">
        <f t="shared" si="452"/>
        <v>1.4108982840966844E-2</v>
      </c>
      <c r="AH3431" s="339" t="str">
        <f>VLOOKUP(B3431,'MF PF'!A:B,2)</f>
        <v>FdMgt1</v>
      </c>
      <c r="AI3431" s="358">
        <f t="shared" si="449"/>
        <v>0</v>
      </c>
      <c r="AJ3431" s="94">
        <f t="shared" si="450"/>
        <v>42794</v>
      </c>
    </row>
    <row r="3432" spans="1:36" ht="12.75" customHeight="1">
      <c r="A3432" s="94">
        <v>42825</v>
      </c>
      <c r="B3432" s="94" t="s">
        <v>188</v>
      </c>
      <c r="C3432" s="358" t="s">
        <v>304</v>
      </c>
      <c r="D3432" s="98">
        <v>144947.53539999999</v>
      </c>
      <c r="E3432" s="9">
        <f t="shared" si="451"/>
        <v>38291.556535492506</v>
      </c>
      <c r="F3432" s="98">
        <v>2.5</v>
      </c>
      <c r="G3432" s="98">
        <v>0</v>
      </c>
      <c r="H3432" s="98">
        <v>0</v>
      </c>
      <c r="I3432" s="98">
        <v>-37500</v>
      </c>
      <c r="J3432" s="98"/>
      <c r="K3432" s="7">
        <v>3.7853654568898993</v>
      </c>
      <c r="L3432" s="93">
        <f t="shared" si="445"/>
        <v>-37500</v>
      </c>
      <c r="M3432" s="95">
        <f t="shared" ca="1" si="446"/>
        <v>-9906.5732033203585</v>
      </c>
      <c r="N3432" s="95">
        <f>IF(P3432="Hedge Fund",IF(A3432=Summary!$AD$3,M3432-E3432,M3432),IF(A3432=Summary!$AD$3,L3432-D3432,L3432))</f>
        <v>-37500</v>
      </c>
      <c r="O3432" s="95">
        <f t="shared" si="447"/>
        <v>-37500</v>
      </c>
      <c r="P3432" s="107" t="s">
        <v>155</v>
      </c>
      <c r="Q3432" s="107">
        <v>0</v>
      </c>
      <c r="R3432" s="107">
        <v>0</v>
      </c>
      <c r="S3432" s="107">
        <v>0</v>
      </c>
      <c r="T3432" s="107">
        <v>0</v>
      </c>
      <c r="U3432" s="107"/>
      <c r="V3432" s="107"/>
      <c r="W3432" s="107"/>
      <c r="X3432" s="107"/>
      <c r="Y3432" s="107"/>
      <c r="Z3432" s="107"/>
      <c r="AA3432" s="107"/>
      <c r="AB3432" s="107"/>
      <c r="AC3432" s="355"/>
      <c r="AD3432" s="355"/>
      <c r="AE3432" s="355"/>
      <c r="AF3432" s="94">
        <f t="shared" si="448"/>
        <v>42825</v>
      </c>
      <c r="AG3432" s="185">
        <f t="shared" si="452"/>
        <v>-5.6045028999031077E-3</v>
      </c>
      <c r="AH3432" s="339" t="str">
        <f>VLOOKUP(B3432,'MF PF'!A:B,2)</f>
        <v>FdMgt1</v>
      </c>
      <c r="AI3432" s="358">
        <f t="shared" si="449"/>
        <v>0</v>
      </c>
      <c r="AJ3432" s="94">
        <f t="shared" si="450"/>
        <v>42825</v>
      </c>
    </row>
    <row r="3433" spans="1:36" ht="12.75" customHeight="1">
      <c r="A3433" s="94">
        <v>42853</v>
      </c>
      <c r="B3433" s="94" t="s">
        <v>188</v>
      </c>
      <c r="C3433" s="358" t="s">
        <v>304</v>
      </c>
      <c r="D3433" s="98">
        <v>144926.28599999999</v>
      </c>
      <c r="E3433" s="9">
        <f t="shared" si="451"/>
        <v>38285.942969182463</v>
      </c>
      <c r="F3433" s="98">
        <v>2.5</v>
      </c>
      <c r="G3433" s="98">
        <v>0</v>
      </c>
      <c r="H3433" s="98">
        <v>0</v>
      </c>
      <c r="I3433" s="98">
        <v>0</v>
      </c>
      <c r="J3433" s="98"/>
      <c r="K3433" s="7">
        <v>3.7853654568898993</v>
      </c>
      <c r="L3433" s="93">
        <f t="shared" si="445"/>
        <v>0</v>
      </c>
      <c r="M3433" s="95">
        <f t="shared" ca="1" si="446"/>
        <v>0</v>
      </c>
      <c r="N3433" s="95">
        <f>IF(P3433="Hedge Fund",IF(A3433=Summary!$AD$3,M3433-E3433,M3433),IF(A3433=Summary!$AD$3,L3433-D3433,L3433))</f>
        <v>0</v>
      </c>
      <c r="O3433" s="95">
        <f t="shared" si="447"/>
        <v>0</v>
      </c>
      <c r="P3433" s="107" t="s">
        <v>155</v>
      </c>
      <c r="Q3433" s="107">
        <v>0</v>
      </c>
      <c r="R3433" s="107">
        <v>0</v>
      </c>
      <c r="S3433" s="107">
        <v>0</v>
      </c>
      <c r="T3433" s="107">
        <v>0</v>
      </c>
      <c r="U3433" s="107"/>
      <c r="V3433" s="107"/>
      <c r="W3433" s="107"/>
      <c r="X3433" s="107"/>
      <c r="Y3433" s="107"/>
      <c r="Z3433" s="107"/>
      <c r="AA3433" s="107"/>
      <c r="AB3433" s="107"/>
      <c r="AC3433" s="355"/>
      <c r="AD3433" s="355"/>
      <c r="AE3433" s="355"/>
      <c r="AF3433" s="94">
        <f t="shared" si="448"/>
        <v>42853</v>
      </c>
      <c r="AG3433" s="185">
        <f t="shared" si="452"/>
        <v>-1.4660062995452972E-4</v>
      </c>
      <c r="AH3433" s="339" t="str">
        <f>VLOOKUP(B3433,'MF PF'!A:B,2)</f>
        <v>FdMgt1</v>
      </c>
      <c r="AI3433" s="358">
        <f t="shared" si="449"/>
        <v>0</v>
      </c>
      <c r="AJ3433" s="94">
        <f t="shared" si="450"/>
        <v>42855</v>
      </c>
    </row>
    <row r="3434" spans="1:36" ht="12.75" customHeight="1">
      <c r="A3434" s="94">
        <v>42886</v>
      </c>
      <c r="B3434" s="94" t="s">
        <v>188</v>
      </c>
      <c r="C3434" s="358" t="s">
        <v>304</v>
      </c>
      <c r="D3434" s="98">
        <v>142215.29800000001</v>
      </c>
      <c r="E3434" s="9">
        <f t="shared" si="451"/>
        <v>37569.766940507187</v>
      </c>
      <c r="F3434" s="98">
        <v>2.5</v>
      </c>
      <c r="G3434" s="98">
        <v>0</v>
      </c>
      <c r="H3434" s="98">
        <v>0</v>
      </c>
      <c r="I3434" s="98">
        <v>0</v>
      </c>
      <c r="J3434" s="98"/>
      <c r="K3434" s="93">
        <v>3.7853654568898993</v>
      </c>
      <c r="L3434" s="93">
        <f t="shared" si="445"/>
        <v>0</v>
      </c>
      <c r="M3434" s="95">
        <f t="shared" ca="1" si="446"/>
        <v>0</v>
      </c>
      <c r="N3434" s="95">
        <f>IF(P3434="Hedge Fund",IF(A3434=Summary!$AD$3,M3434-E3434,M3434),IF(A3434=Summary!$AD$3,L3434-D3434,L3434))</f>
        <v>0</v>
      </c>
      <c r="O3434" s="95">
        <f t="shared" si="447"/>
        <v>0</v>
      </c>
      <c r="P3434" s="107" t="s">
        <v>155</v>
      </c>
      <c r="Q3434" s="107">
        <v>0</v>
      </c>
      <c r="R3434" s="107">
        <v>0</v>
      </c>
      <c r="S3434" s="107">
        <v>0</v>
      </c>
      <c r="T3434" s="107">
        <v>0</v>
      </c>
      <c r="U3434" s="107"/>
      <c r="V3434" s="107"/>
      <c r="W3434" s="107"/>
      <c r="X3434" s="107"/>
      <c r="Y3434" s="107"/>
      <c r="Z3434" s="107"/>
      <c r="AA3434" s="107"/>
      <c r="AB3434" s="107"/>
      <c r="AC3434" s="355"/>
      <c r="AD3434" s="355"/>
      <c r="AE3434" s="355"/>
      <c r="AF3434" s="94">
        <f t="shared" si="448"/>
        <v>42886</v>
      </c>
      <c r="AG3434" s="185">
        <f t="shared" si="452"/>
        <v>-1.8705978568994586E-2</v>
      </c>
      <c r="AH3434" s="339" t="str">
        <f>VLOOKUP(B3434,'MF PF'!A:B,2)</f>
        <v>FdMgt1</v>
      </c>
      <c r="AI3434" s="358">
        <f t="shared" si="449"/>
        <v>0</v>
      </c>
      <c r="AJ3434" s="94">
        <f t="shared" si="450"/>
        <v>42886</v>
      </c>
    </row>
    <row r="3435" spans="1:36" ht="12.75" customHeight="1">
      <c r="A3435" s="94">
        <v>42916</v>
      </c>
      <c r="B3435" s="94" t="s">
        <v>188</v>
      </c>
      <c r="C3435" s="358" t="s">
        <v>304</v>
      </c>
      <c r="D3435" s="98">
        <v>142299.9915</v>
      </c>
      <c r="E3435" s="9">
        <f t="shared" si="451"/>
        <v>37592.140870043062</v>
      </c>
      <c r="F3435" s="98">
        <v>2.5</v>
      </c>
      <c r="G3435" s="98">
        <v>0</v>
      </c>
      <c r="H3435" s="98">
        <v>0</v>
      </c>
      <c r="I3435" s="98">
        <v>0</v>
      </c>
      <c r="J3435" s="98"/>
      <c r="K3435" s="93">
        <v>3.7853654568898993</v>
      </c>
      <c r="L3435" s="93">
        <f t="shared" si="445"/>
        <v>0</v>
      </c>
      <c r="M3435" s="95">
        <f t="shared" ca="1" si="446"/>
        <v>0</v>
      </c>
      <c r="N3435" s="95">
        <f>IF(P3435="Hedge Fund",IF(A3435=Summary!$AD$3,M3435-E3435,M3435),IF(A3435=Summary!$AD$3,L3435-D3435,L3435))</f>
        <v>0</v>
      </c>
      <c r="O3435" s="95">
        <f t="shared" si="447"/>
        <v>0</v>
      </c>
      <c r="P3435" s="107" t="s">
        <v>155</v>
      </c>
      <c r="Q3435" s="107">
        <v>0</v>
      </c>
      <c r="R3435" s="107">
        <v>0</v>
      </c>
      <c r="S3435" s="107">
        <v>0</v>
      </c>
      <c r="T3435" s="107">
        <v>0</v>
      </c>
      <c r="U3435" s="107"/>
      <c r="V3435" s="107"/>
      <c r="W3435" s="107"/>
      <c r="X3435" s="107"/>
      <c r="Y3435" s="107"/>
      <c r="Z3435" s="107"/>
      <c r="AA3435" s="107"/>
      <c r="AB3435" s="107"/>
      <c r="AC3435" s="355"/>
      <c r="AD3435" s="355"/>
      <c r="AE3435" s="355"/>
      <c r="AF3435" s="94">
        <f t="shared" si="448"/>
        <v>42916</v>
      </c>
      <c r="AG3435" s="185">
        <f t="shared" si="452"/>
        <v>5.9553016581936902E-4</v>
      </c>
      <c r="AH3435" s="339" t="str">
        <f>VLOOKUP(B3435,'MF PF'!A:B,2)</f>
        <v>FdMgt1</v>
      </c>
      <c r="AI3435" s="358">
        <f t="shared" si="449"/>
        <v>0</v>
      </c>
      <c r="AJ3435" s="94">
        <f t="shared" si="450"/>
        <v>42916</v>
      </c>
    </row>
    <row r="3436" spans="1:36" ht="12.75" customHeight="1">
      <c r="A3436" s="94">
        <v>42947</v>
      </c>
      <c r="B3436" s="94" t="s">
        <v>188</v>
      </c>
      <c r="C3436" s="358" t="s">
        <v>304</v>
      </c>
      <c r="D3436" s="98">
        <v>86270.338000000003</v>
      </c>
      <c r="E3436" s="9">
        <f t="shared" si="451"/>
        <v>22790.491164591735</v>
      </c>
      <c r="F3436" s="98">
        <v>2.5</v>
      </c>
      <c r="G3436" s="98">
        <v>0</v>
      </c>
      <c r="H3436" s="98">
        <v>0</v>
      </c>
      <c r="I3436" s="98">
        <v>-52500</v>
      </c>
      <c r="J3436" s="98"/>
      <c r="K3436" s="7">
        <v>3.7853654568898993</v>
      </c>
      <c r="L3436" s="93">
        <f t="shared" si="445"/>
        <v>-52500</v>
      </c>
      <c r="M3436" s="95">
        <f t="shared" ca="1" si="446"/>
        <v>-13869.2024846485</v>
      </c>
      <c r="N3436" s="95">
        <f>IF(P3436="Hedge Fund",IF(A3436=Summary!$AD$3,M3436-E3436,M3436),IF(A3436=Summary!$AD$3,L3436-D3436,L3436))</f>
        <v>-52500</v>
      </c>
      <c r="O3436" s="95">
        <f t="shared" si="447"/>
        <v>-52500</v>
      </c>
      <c r="P3436" s="107" t="s">
        <v>155</v>
      </c>
      <c r="Q3436" s="107">
        <v>0</v>
      </c>
      <c r="R3436" s="107">
        <v>0</v>
      </c>
      <c r="S3436" s="107">
        <v>0</v>
      </c>
      <c r="T3436" s="107">
        <v>0</v>
      </c>
      <c r="U3436" s="107"/>
      <c r="V3436" s="107"/>
      <c r="W3436" s="107"/>
      <c r="X3436" s="107"/>
      <c r="Y3436" s="107"/>
      <c r="Z3436" s="107"/>
      <c r="AA3436" s="107"/>
      <c r="AB3436" s="107"/>
      <c r="AC3436" s="355"/>
      <c r="AD3436" s="355"/>
      <c r="AE3436" s="355"/>
      <c r="AF3436" s="94">
        <f t="shared" si="448"/>
        <v>42947</v>
      </c>
      <c r="AG3436" s="185">
        <f t="shared" si="452"/>
        <v>-2.4804312795760231E-2</v>
      </c>
      <c r="AH3436" s="339" t="str">
        <f>VLOOKUP(B3436,'MF PF'!A:B,2)</f>
        <v>FdMgt1</v>
      </c>
      <c r="AI3436" s="358">
        <f t="shared" si="449"/>
        <v>0</v>
      </c>
      <c r="AJ3436" s="94">
        <f t="shared" si="450"/>
        <v>42947</v>
      </c>
    </row>
    <row r="3437" spans="1:36" ht="12.75" customHeight="1">
      <c r="A3437" s="94">
        <v>42978</v>
      </c>
      <c r="B3437" s="94" t="s">
        <v>188</v>
      </c>
      <c r="C3437" s="358" t="s">
        <v>304</v>
      </c>
      <c r="D3437" s="98">
        <v>87700</v>
      </c>
      <c r="E3437" s="95">
        <f t="shared" si="451"/>
        <v>23168.172531498545</v>
      </c>
      <c r="F3437" s="98">
        <v>2.5</v>
      </c>
      <c r="G3437" s="98">
        <v>0</v>
      </c>
      <c r="H3437" s="98">
        <v>0</v>
      </c>
      <c r="I3437" s="98">
        <v>0</v>
      </c>
      <c r="J3437" s="98"/>
      <c r="K3437" s="93">
        <v>3.7853654568898993</v>
      </c>
      <c r="L3437" s="93">
        <f t="shared" si="445"/>
        <v>0</v>
      </c>
      <c r="M3437" s="95">
        <f t="shared" ca="1" si="446"/>
        <v>0</v>
      </c>
      <c r="N3437" s="95">
        <f>IF(P3437="Hedge Fund",IF(A3437=Summary!$AD$3,M3437-E3437,M3437),IF(A3437=Summary!$AD$3,L3437-D3437,L3437))</f>
        <v>0</v>
      </c>
      <c r="O3437" s="95">
        <f t="shared" si="447"/>
        <v>0</v>
      </c>
      <c r="P3437" s="107" t="s">
        <v>155</v>
      </c>
      <c r="Q3437" s="107">
        <v>0</v>
      </c>
      <c r="R3437" s="107">
        <v>0</v>
      </c>
      <c r="S3437" s="107">
        <v>0</v>
      </c>
      <c r="T3437" s="107">
        <v>0</v>
      </c>
      <c r="U3437" s="107"/>
      <c r="V3437" s="107"/>
      <c r="W3437" s="107"/>
      <c r="X3437" s="107"/>
      <c r="Y3437" s="107"/>
      <c r="Z3437" s="107"/>
      <c r="AA3437" s="107"/>
      <c r="AB3437" s="107"/>
      <c r="AC3437" s="355"/>
      <c r="AD3437" s="355"/>
      <c r="AE3437" s="355"/>
      <c r="AF3437" s="94">
        <f t="shared" si="448"/>
        <v>42978</v>
      </c>
      <c r="AG3437" s="185">
        <f t="shared" si="452"/>
        <v>1.6571883606159021E-2</v>
      </c>
      <c r="AH3437" s="339" t="str">
        <f>VLOOKUP(B3437,'MF PF'!A:B,2)</f>
        <v>FdMgt1</v>
      </c>
      <c r="AI3437" s="358">
        <f t="shared" si="449"/>
        <v>0</v>
      </c>
      <c r="AJ3437" s="94">
        <f t="shared" si="450"/>
        <v>42978</v>
      </c>
    </row>
    <row r="3438" spans="1:36" ht="12.75" customHeight="1">
      <c r="A3438" s="94">
        <v>43007</v>
      </c>
      <c r="B3438" s="94" t="s">
        <v>188</v>
      </c>
      <c r="C3438" s="358" t="s">
        <v>304</v>
      </c>
      <c r="D3438" s="98">
        <v>85400</v>
      </c>
      <c r="E3438" s="9">
        <f t="shared" si="451"/>
        <v>22560.56937502823</v>
      </c>
      <c r="F3438" s="98">
        <v>2.5</v>
      </c>
      <c r="G3438" s="98">
        <v>0</v>
      </c>
      <c r="H3438" s="98">
        <v>0</v>
      </c>
      <c r="I3438" s="98">
        <v>0</v>
      </c>
      <c r="J3438" s="98"/>
      <c r="K3438" s="7">
        <v>3.7853654568898993</v>
      </c>
      <c r="L3438" s="93">
        <f t="shared" si="445"/>
        <v>0</v>
      </c>
      <c r="M3438" s="95">
        <f t="shared" ca="1" si="446"/>
        <v>0</v>
      </c>
      <c r="N3438" s="95">
        <f>IF(P3438="Hedge Fund",IF(A3438=Summary!$AD$3,M3438-E3438,M3438),IF(A3438=Summary!$AD$3,L3438-D3438,L3438))</f>
        <v>0</v>
      </c>
      <c r="O3438" s="95">
        <f t="shared" si="447"/>
        <v>0</v>
      </c>
      <c r="P3438" s="107" t="s">
        <v>155</v>
      </c>
      <c r="Q3438" s="107">
        <v>0</v>
      </c>
      <c r="R3438" s="107">
        <v>0</v>
      </c>
      <c r="S3438" s="107">
        <v>0</v>
      </c>
      <c r="T3438" s="107">
        <v>0</v>
      </c>
      <c r="U3438" s="107"/>
      <c r="V3438" s="107"/>
      <c r="W3438" s="107"/>
      <c r="X3438" s="107"/>
      <c r="Y3438" s="107"/>
      <c r="Z3438" s="107"/>
      <c r="AA3438" s="107"/>
      <c r="AB3438" s="107"/>
      <c r="AC3438" s="355"/>
      <c r="AD3438" s="355"/>
      <c r="AE3438" s="355"/>
      <c r="AF3438" s="94">
        <f t="shared" si="448"/>
        <v>43007</v>
      </c>
      <c r="AG3438" s="185">
        <f t="shared" si="452"/>
        <v>-2.6225769669327215E-2</v>
      </c>
      <c r="AH3438" s="339" t="str">
        <f>VLOOKUP(B3438,'MF PF'!A:B,2)</f>
        <v>FdMgt1</v>
      </c>
      <c r="AI3438" s="358">
        <f t="shared" si="449"/>
        <v>0</v>
      </c>
      <c r="AJ3438" s="94">
        <f t="shared" si="450"/>
        <v>43008</v>
      </c>
    </row>
    <row r="3439" spans="1:36" ht="12.75" customHeight="1">
      <c r="A3439" s="94">
        <v>43039</v>
      </c>
      <c r="B3439" s="94" t="s">
        <v>188</v>
      </c>
      <c r="C3439" s="358" t="s">
        <v>304</v>
      </c>
      <c r="D3439" s="98">
        <v>141900</v>
      </c>
      <c r="E3439" s="9">
        <f t="shared" si="451"/>
        <v>37486.473001364233</v>
      </c>
      <c r="F3439" s="98">
        <v>2.5</v>
      </c>
      <c r="G3439" s="98">
        <v>0</v>
      </c>
      <c r="H3439" s="98">
        <v>0</v>
      </c>
      <c r="I3439" s="98">
        <v>0</v>
      </c>
      <c r="J3439" s="98"/>
      <c r="K3439" s="7">
        <v>3.7853654568898993</v>
      </c>
      <c r="L3439" s="93">
        <f t="shared" si="445"/>
        <v>0</v>
      </c>
      <c r="M3439" s="95">
        <f t="shared" ca="1" si="446"/>
        <v>0</v>
      </c>
      <c r="N3439" s="95">
        <f>IF(P3439="Hedge Fund",IF(A3439=Summary!$AD$3,M3439-E3439,M3439),IF(A3439=Summary!$AD$3,L3439-D3439,L3439))</f>
        <v>0</v>
      </c>
      <c r="O3439" s="95">
        <f t="shared" si="447"/>
        <v>0</v>
      </c>
      <c r="P3439" s="107" t="s">
        <v>155</v>
      </c>
      <c r="Q3439" s="107">
        <v>0</v>
      </c>
      <c r="R3439" s="107">
        <v>0</v>
      </c>
      <c r="S3439" s="107">
        <v>0</v>
      </c>
      <c r="T3439" s="107">
        <v>0</v>
      </c>
      <c r="U3439" s="107"/>
      <c r="V3439" s="107"/>
      <c r="W3439" s="107"/>
      <c r="X3439" s="107"/>
      <c r="Y3439" s="107"/>
      <c r="Z3439" s="107"/>
      <c r="AA3439" s="107"/>
      <c r="AB3439" s="107"/>
      <c r="AC3439" s="355"/>
      <c r="AD3439" s="355"/>
      <c r="AE3439" s="355"/>
      <c r="AF3439" s="94">
        <f t="shared" si="448"/>
        <v>43039</v>
      </c>
      <c r="AG3439" s="185">
        <f t="shared" si="452"/>
        <v>0.66159250585480089</v>
      </c>
      <c r="AH3439" s="339" t="str">
        <f>VLOOKUP(B3439,'MF PF'!A:B,2)</f>
        <v>FdMgt1</v>
      </c>
      <c r="AI3439" s="358">
        <f t="shared" si="449"/>
        <v>0</v>
      </c>
      <c r="AJ3439" s="94">
        <f t="shared" si="450"/>
        <v>43039</v>
      </c>
    </row>
    <row r="3440" spans="1:36" ht="12.75" customHeight="1">
      <c r="A3440" s="94">
        <v>43069</v>
      </c>
      <c r="B3440" s="94" t="s">
        <v>188</v>
      </c>
      <c r="C3440" s="358" t="s">
        <v>304</v>
      </c>
      <c r="D3440" s="98">
        <v>141300</v>
      </c>
      <c r="E3440" s="9">
        <f t="shared" si="451"/>
        <v>37327.967830111105</v>
      </c>
      <c r="F3440" s="98">
        <v>2.5</v>
      </c>
      <c r="G3440" s="98">
        <v>0</v>
      </c>
      <c r="H3440" s="98">
        <v>0</v>
      </c>
      <c r="I3440" s="98">
        <v>0</v>
      </c>
      <c r="J3440" s="98"/>
      <c r="K3440" s="7">
        <v>3.7853654568898993</v>
      </c>
      <c r="L3440" s="93">
        <f t="shared" si="445"/>
        <v>0</v>
      </c>
      <c r="M3440" s="95">
        <f t="shared" ca="1" si="446"/>
        <v>0</v>
      </c>
      <c r="N3440" s="95">
        <f>IF(P3440="Hedge Fund",IF(A3440=Summary!$AD$3,M3440-E3440,M3440),IF(A3440=Summary!$AD$3,L3440-D3440,L3440))</f>
        <v>0</v>
      </c>
      <c r="O3440" s="95">
        <f t="shared" si="447"/>
        <v>0</v>
      </c>
      <c r="P3440" s="107" t="s">
        <v>155</v>
      </c>
      <c r="Q3440" s="107">
        <v>0</v>
      </c>
      <c r="R3440" s="107">
        <v>0</v>
      </c>
      <c r="S3440" s="107">
        <v>0</v>
      </c>
      <c r="T3440" s="107">
        <v>0</v>
      </c>
      <c r="U3440" s="107"/>
      <c r="V3440" s="107"/>
      <c r="W3440" s="107"/>
      <c r="X3440" s="107"/>
      <c r="Y3440" s="107"/>
      <c r="Z3440" s="107"/>
      <c r="AA3440" s="107"/>
      <c r="AB3440" s="107"/>
      <c r="AC3440" s="355"/>
      <c r="AD3440" s="355"/>
      <c r="AE3440" s="355"/>
      <c r="AF3440" s="94">
        <f t="shared" si="448"/>
        <v>43069</v>
      </c>
      <c r="AG3440" s="185">
        <f t="shared" si="452"/>
        <v>-4.2283298097252064E-3</v>
      </c>
      <c r="AH3440" s="339" t="str">
        <f>VLOOKUP(B3440,'MF PF'!A:B,2)</f>
        <v>FdMgt1</v>
      </c>
      <c r="AI3440" s="358">
        <f t="shared" si="449"/>
        <v>0</v>
      </c>
      <c r="AJ3440" s="94">
        <f t="shared" si="450"/>
        <v>43069</v>
      </c>
    </row>
    <row r="3441" spans="1:36" ht="12.75" customHeight="1">
      <c r="A3441" s="94">
        <v>43098</v>
      </c>
      <c r="B3441" s="94" t="s">
        <v>188</v>
      </c>
      <c r="C3441" s="358" t="s">
        <v>304</v>
      </c>
      <c r="D3441" s="98">
        <v>77100</v>
      </c>
      <c r="E3441" s="9">
        <f t="shared" si="451"/>
        <v>20367.914506026656</v>
      </c>
      <c r="F3441" s="98">
        <v>2.5</v>
      </c>
      <c r="G3441" s="98">
        <v>0</v>
      </c>
      <c r="H3441" s="98">
        <v>0</v>
      </c>
      <c r="I3441" s="98">
        <v>-63053.37999999999</v>
      </c>
      <c r="J3441" s="98"/>
      <c r="K3441" s="93">
        <v>3.7853654568898993</v>
      </c>
      <c r="L3441" s="93">
        <f t="shared" si="445"/>
        <v>-63053.37999999999</v>
      </c>
      <c r="M3441" s="95">
        <f t="shared" ca="1" si="446"/>
        <v>-16657.144658314017</v>
      </c>
      <c r="N3441" s="95">
        <f>IF(P3441="Hedge Fund",IF(A3441=Summary!$AD$3,M3441-E3441,M3441),IF(A3441=Summary!$AD$3,L3441-D3441,L3441))</f>
        <v>-63053.37999999999</v>
      </c>
      <c r="O3441" s="95">
        <f t="shared" si="447"/>
        <v>-63053.37999999999</v>
      </c>
      <c r="P3441" s="107" t="s">
        <v>155</v>
      </c>
      <c r="Q3441" s="107">
        <v>0</v>
      </c>
      <c r="R3441" s="107">
        <v>0</v>
      </c>
      <c r="S3441" s="107">
        <v>0</v>
      </c>
      <c r="T3441" s="107">
        <v>0</v>
      </c>
      <c r="U3441" s="107"/>
      <c r="V3441" s="107"/>
      <c r="W3441" s="107"/>
      <c r="X3441" s="107"/>
      <c r="Y3441" s="107"/>
      <c r="Z3441" s="107"/>
      <c r="AA3441" s="107"/>
      <c r="AB3441" s="107"/>
      <c r="AC3441" s="355"/>
      <c r="AD3441" s="355"/>
      <c r="AE3441" s="355"/>
      <c r="AF3441" s="94">
        <f t="shared" si="448"/>
        <v>43098</v>
      </c>
      <c r="AG3441" s="185">
        <f t="shared" si="452"/>
        <v>-8.1147912243453302E-3</v>
      </c>
      <c r="AH3441" s="339" t="str">
        <f>VLOOKUP(B3441,'MF PF'!A:B,2)</f>
        <v>FdMgt1</v>
      </c>
      <c r="AI3441" s="358">
        <f t="shared" si="449"/>
        <v>0</v>
      </c>
      <c r="AJ3441" s="94">
        <f t="shared" si="450"/>
        <v>43100</v>
      </c>
    </row>
    <row r="3442" spans="1:36" ht="12.75" customHeight="1">
      <c r="A3442" s="94">
        <v>43131</v>
      </c>
      <c r="B3442" s="94" t="s">
        <v>188</v>
      </c>
      <c r="C3442" s="358" t="s">
        <v>304</v>
      </c>
      <c r="D3442" s="98">
        <v>76000</v>
      </c>
      <c r="E3442" s="9">
        <f t="shared" si="451"/>
        <v>20077.321692062593</v>
      </c>
      <c r="F3442" s="98">
        <v>2.5</v>
      </c>
      <c r="G3442" s="98">
        <v>0</v>
      </c>
      <c r="H3442" s="98">
        <v>0</v>
      </c>
      <c r="I3442" s="98">
        <v>0</v>
      </c>
      <c r="J3442" s="98"/>
      <c r="K3442" s="93">
        <v>3.7853654568898993</v>
      </c>
      <c r="L3442" s="93">
        <f t="shared" si="445"/>
        <v>0</v>
      </c>
      <c r="M3442" s="95">
        <f t="shared" ca="1" si="446"/>
        <v>0</v>
      </c>
      <c r="N3442" s="95">
        <f>IF(P3442="Hedge Fund",IF(A3442=Summary!$AD$3,M3442-E3442,M3442),IF(A3442=Summary!$AD$3,L3442-D3442,L3442))</f>
        <v>0</v>
      </c>
      <c r="O3442" s="95">
        <f t="shared" si="447"/>
        <v>0</v>
      </c>
      <c r="P3442" s="107" t="s">
        <v>155</v>
      </c>
      <c r="Q3442" s="107">
        <v>0</v>
      </c>
      <c r="R3442" s="107">
        <v>1.9E-2</v>
      </c>
      <c r="S3442" s="107"/>
      <c r="T3442" s="107">
        <v>0.01</v>
      </c>
      <c r="U3442" s="107"/>
      <c r="V3442" s="107"/>
      <c r="W3442" s="107"/>
      <c r="X3442" s="107"/>
      <c r="Y3442" s="107"/>
      <c r="Z3442" s="107"/>
      <c r="AA3442" s="107"/>
      <c r="AB3442" s="107"/>
      <c r="AC3442" s="355"/>
      <c r="AD3442" s="355"/>
      <c r="AE3442" s="355"/>
      <c r="AF3442" s="94">
        <f t="shared" si="448"/>
        <v>43131</v>
      </c>
      <c r="AG3442" s="185">
        <f t="shared" si="452"/>
        <v>-1.4267185473411104E-2</v>
      </c>
      <c r="AH3442" s="339" t="str">
        <f>VLOOKUP(B3442,'MF PF'!A:B,2)</f>
        <v>FdMgt1</v>
      </c>
      <c r="AI3442" s="358">
        <f t="shared" si="449"/>
        <v>0</v>
      </c>
      <c r="AJ3442" s="94">
        <f t="shared" si="450"/>
        <v>43131</v>
      </c>
    </row>
    <row r="3443" spans="1:36" ht="12.75" customHeight="1">
      <c r="A3443" s="94">
        <v>43159</v>
      </c>
      <c r="B3443" s="94" t="s">
        <v>188</v>
      </c>
      <c r="C3443" s="358" t="s">
        <v>304</v>
      </c>
      <c r="D3443" s="98">
        <v>77700</v>
      </c>
      <c r="E3443" s="9">
        <f t="shared" si="451"/>
        <v>20526.41967727978</v>
      </c>
      <c r="F3443" s="98">
        <v>2.5</v>
      </c>
      <c r="G3443" s="98">
        <v>0</v>
      </c>
      <c r="H3443" s="98">
        <v>0</v>
      </c>
      <c r="I3443" s="98">
        <v>0</v>
      </c>
      <c r="J3443" s="98"/>
      <c r="K3443" s="93">
        <v>3.7853654568898993</v>
      </c>
      <c r="L3443" s="93">
        <f t="shared" si="445"/>
        <v>0</v>
      </c>
      <c r="M3443" s="95">
        <f t="shared" ca="1" si="446"/>
        <v>0</v>
      </c>
      <c r="N3443" s="95">
        <f>IF(P3443="Hedge Fund",IF(A3443=Summary!$AD$3,M3443-E3443,M3443),IF(A3443=Summary!$AD$3,L3443-D3443,L3443))</f>
        <v>0</v>
      </c>
      <c r="O3443" s="95">
        <f t="shared" si="447"/>
        <v>0</v>
      </c>
      <c r="P3443" s="107" t="s">
        <v>155</v>
      </c>
      <c r="Q3443" s="107">
        <v>0</v>
      </c>
      <c r="R3443" s="107">
        <v>1.9400000000000001E-2</v>
      </c>
      <c r="S3443" s="107"/>
      <c r="T3443" s="107">
        <v>0.01</v>
      </c>
      <c r="U3443" s="107"/>
      <c r="V3443" s="107"/>
      <c r="W3443" s="107"/>
      <c r="X3443" s="107"/>
      <c r="Y3443" s="107"/>
      <c r="Z3443" s="107"/>
      <c r="AA3443" s="107"/>
      <c r="AB3443" s="107"/>
      <c r="AC3443" s="355"/>
      <c r="AD3443" s="355"/>
      <c r="AE3443" s="355"/>
      <c r="AF3443" s="94">
        <f t="shared" si="448"/>
        <v>43159</v>
      </c>
      <c r="AG3443" s="185">
        <f t="shared" si="452"/>
        <v>2.2368421052631593E-2</v>
      </c>
      <c r="AH3443" s="339" t="str">
        <f>VLOOKUP(B3443,'MF PF'!A:B,2)</f>
        <v>FdMgt1</v>
      </c>
      <c r="AI3443" s="358">
        <f t="shared" si="449"/>
        <v>0</v>
      </c>
      <c r="AJ3443" s="94">
        <f t="shared" si="450"/>
        <v>43159</v>
      </c>
    </row>
    <row r="3444" spans="1:36" ht="12.75" customHeight="1">
      <c r="A3444" s="94">
        <v>43188</v>
      </c>
      <c r="B3444" s="94" t="s">
        <v>188</v>
      </c>
      <c r="C3444" s="358" t="s">
        <v>304</v>
      </c>
      <c r="D3444" s="110">
        <v>33381.375999999997</v>
      </c>
      <c r="E3444" s="95">
        <f t="shared" si="451"/>
        <v>8818.5345325749677</v>
      </c>
      <c r="F3444" s="98">
        <v>2.5</v>
      </c>
      <c r="G3444" s="98">
        <v>0</v>
      </c>
      <c r="H3444" s="98">
        <v>0</v>
      </c>
      <c r="I3444" s="110">
        <v>-44100.67</v>
      </c>
      <c r="J3444" s="110"/>
      <c r="K3444" s="93">
        <v>3.7853654568898993</v>
      </c>
      <c r="L3444" s="93">
        <f t="shared" si="445"/>
        <v>-44100.67</v>
      </c>
      <c r="M3444" s="95">
        <f t="shared" ca="1" si="446"/>
        <v>-11650.307084545973</v>
      </c>
      <c r="N3444" s="95">
        <f>IF(P3444="Hedge Fund",IF(A3444=Summary!$AD$3,M3444-E3444,M3444),IF(A3444=Summary!$AD$3,L3444-D3444,L3444))</f>
        <v>-44100.67</v>
      </c>
      <c r="O3444" s="95">
        <f t="shared" si="447"/>
        <v>-44100.67</v>
      </c>
      <c r="P3444" s="107" t="s">
        <v>155</v>
      </c>
      <c r="Q3444" s="109">
        <v>0</v>
      </c>
      <c r="R3444" s="109">
        <v>8.3000000000000001E-3</v>
      </c>
      <c r="S3444" s="107"/>
      <c r="T3444" s="107">
        <v>0</v>
      </c>
      <c r="U3444" s="107"/>
      <c r="V3444" s="107"/>
      <c r="W3444" s="107"/>
      <c r="X3444" s="107"/>
      <c r="Y3444" s="107"/>
      <c r="Z3444" s="107"/>
      <c r="AA3444" s="107"/>
      <c r="AB3444" s="107"/>
      <c r="AC3444" s="355"/>
      <c r="AD3444" s="355"/>
      <c r="AE3444" s="355"/>
      <c r="AF3444" s="94">
        <f t="shared" si="448"/>
        <v>43188</v>
      </c>
      <c r="AG3444" s="185">
        <f t="shared" si="452"/>
        <v>-2.8050707850707512E-3</v>
      </c>
      <c r="AH3444" s="339" t="str">
        <f>VLOOKUP(B3444,'MF PF'!A:B,2)</f>
        <v>FdMgt1</v>
      </c>
      <c r="AI3444" s="358">
        <f t="shared" si="449"/>
        <v>0</v>
      </c>
      <c r="AJ3444" s="94">
        <f t="shared" si="450"/>
        <v>43190</v>
      </c>
    </row>
    <row r="3445" spans="1:36" ht="12.75" customHeight="1">
      <c r="A3445" s="94">
        <v>43220</v>
      </c>
      <c r="B3445" s="94" t="s">
        <v>188</v>
      </c>
      <c r="C3445" s="358" t="s">
        <v>304</v>
      </c>
      <c r="D3445" s="110">
        <v>33850.224000000002</v>
      </c>
      <c r="E3445" s="95">
        <f t="shared" si="451"/>
        <v>8942.3925867944454</v>
      </c>
      <c r="F3445" s="98">
        <v>2.5</v>
      </c>
      <c r="G3445" s="98">
        <v>0</v>
      </c>
      <c r="H3445" s="98">
        <v>0</v>
      </c>
      <c r="I3445" s="110"/>
      <c r="J3445" s="110"/>
      <c r="K3445" s="93">
        <v>3.7853654568898993</v>
      </c>
      <c r="L3445" s="93">
        <f t="shared" si="445"/>
        <v>0</v>
      </c>
      <c r="M3445" s="95">
        <f t="shared" ca="1" si="446"/>
        <v>0</v>
      </c>
      <c r="N3445" s="95">
        <f>IF(P3445="Hedge Fund",IF(A3445=Summary!$AD$3,M3445-E3445,M3445),IF(A3445=Summary!$AD$3,L3445-D3445,L3445))</f>
        <v>0</v>
      </c>
      <c r="O3445" s="95">
        <f t="shared" si="447"/>
        <v>0</v>
      </c>
      <c r="P3445" s="107" t="s">
        <v>155</v>
      </c>
      <c r="Q3445" s="109">
        <v>0</v>
      </c>
      <c r="R3445" s="109">
        <v>8.5000000000000006E-3</v>
      </c>
      <c r="S3445" s="107"/>
      <c r="T3445" s="107">
        <v>0</v>
      </c>
      <c r="U3445" s="107"/>
      <c r="V3445" s="107"/>
      <c r="W3445" s="107"/>
      <c r="X3445" s="107"/>
      <c r="Y3445" s="107"/>
      <c r="Z3445" s="107"/>
      <c r="AA3445" s="107"/>
      <c r="AB3445" s="107"/>
      <c r="AC3445" s="355"/>
      <c r="AD3445" s="355"/>
      <c r="AE3445" s="355"/>
      <c r="AF3445" s="94">
        <f t="shared" si="448"/>
        <v>43220</v>
      </c>
      <c r="AG3445" s="185">
        <f t="shared" si="452"/>
        <v>1.4045196938556659E-2</v>
      </c>
      <c r="AH3445" s="339" t="str">
        <f>VLOOKUP(B3445,'MF PF'!A:B,2)</f>
        <v>FdMgt1</v>
      </c>
      <c r="AI3445" s="358">
        <f t="shared" si="449"/>
        <v>0</v>
      </c>
      <c r="AJ3445" s="94">
        <f t="shared" si="450"/>
        <v>43220</v>
      </c>
    </row>
    <row r="3446" spans="1:36" ht="12.75" customHeight="1">
      <c r="A3446" s="94">
        <v>43251</v>
      </c>
      <c r="B3446" s="358" t="s">
        <v>188</v>
      </c>
      <c r="C3446" s="94" t="s">
        <v>304</v>
      </c>
      <c r="D3446" s="110">
        <v>21775.88</v>
      </c>
      <c r="E3446" s="9">
        <f t="shared" si="451"/>
        <v>5752.6493143125263</v>
      </c>
      <c r="F3446" s="98">
        <v>2.5</v>
      </c>
      <c r="G3446" s="98">
        <v>0</v>
      </c>
      <c r="H3446" s="98">
        <v>0</v>
      </c>
      <c r="I3446" s="98"/>
      <c r="J3446" s="98"/>
      <c r="K3446" s="7">
        <v>3.7853654568898993</v>
      </c>
      <c r="L3446" s="93">
        <f t="shared" si="445"/>
        <v>0</v>
      </c>
      <c r="M3446" s="95">
        <f t="shared" ca="1" si="446"/>
        <v>0</v>
      </c>
      <c r="N3446" s="95">
        <f>IF(P3446="Hedge Fund",IF(A3446=Summary!$AD$3,M3446-E3446,M3446),IF(A3446=Summary!$AD$3,L3446-D3446,L3446))</f>
        <v>0</v>
      </c>
      <c r="O3446" s="95">
        <f t="shared" si="447"/>
        <v>0</v>
      </c>
      <c r="P3446" s="107" t="s">
        <v>155</v>
      </c>
      <c r="Q3446" s="107">
        <v>0</v>
      </c>
      <c r="R3446" s="109">
        <v>5.4000000000000003E-3</v>
      </c>
      <c r="S3446" s="107"/>
      <c r="T3446" s="107">
        <v>0</v>
      </c>
      <c r="U3446" s="107"/>
      <c r="V3446" s="107"/>
      <c r="W3446" s="107"/>
      <c r="X3446" s="107"/>
      <c r="Y3446" s="107"/>
      <c r="Z3446" s="107"/>
      <c r="AA3446" s="107"/>
      <c r="AB3446" s="107"/>
      <c r="AC3446" s="355"/>
      <c r="AD3446" s="355"/>
      <c r="AE3446" s="355"/>
      <c r="AF3446" s="94">
        <f t="shared" si="448"/>
        <v>43251</v>
      </c>
      <c r="AG3446" s="185">
        <f t="shared" si="452"/>
        <v>-0.35669908713159482</v>
      </c>
      <c r="AH3446" s="339" t="str">
        <f>VLOOKUP(B3446,'MF PF'!A:B,2)</f>
        <v>FdMgt1</v>
      </c>
      <c r="AI3446" s="358">
        <f t="shared" si="449"/>
        <v>0</v>
      </c>
      <c r="AJ3446" s="94">
        <f t="shared" si="450"/>
        <v>43251</v>
      </c>
    </row>
    <row r="3447" spans="1:36" ht="12.75" customHeight="1">
      <c r="A3447" s="8">
        <v>43280</v>
      </c>
      <c r="B3447" s="358" t="s">
        <v>188</v>
      </c>
      <c r="C3447" s="94" t="s">
        <v>304</v>
      </c>
      <c r="D3447" s="110">
        <v>21684.736000000001</v>
      </c>
      <c r="E3447" s="95">
        <f t="shared" si="451"/>
        <v>5728.5713220980342</v>
      </c>
      <c r="F3447" s="98">
        <v>2.5</v>
      </c>
      <c r="G3447" s="98">
        <v>0</v>
      </c>
      <c r="H3447" s="98">
        <v>0</v>
      </c>
      <c r="I3447" s="98"/>
      <c r="J3447" s="98"/>
      <c r="K3447" s="93">
        <v>3.7853654568898993</v>
      </c>
      <c r="L3447" s="93">
        <f t="shared" si="445"/>
        <v>0</v>
      </c>
      <c r="M3447" s="95">
        <f t="shared" ca="1" si="446"/>
        <v>0</v>
      </c>
      <c r="N3447" s="95">
        <f>IF(P3447="Hedge Fund",IF(A3447=Summary!$AD$3,M3447-E3447,M3447),IF(A3447=Summary!$AD$3,L3447-D3447,L3447))</f>
        <v>0</v>
      </c>
      <c r="O3447" s="95">
        <f t="shared" si="447"/>
        <v>0</v>
      </c>
      <c r="P3447" s="107" t="s">
        <v>155</v>
      </c>
      <c r="Q3447" s="107">
        <v>0</v>
      </c>
      <c r="R3447" s="109">
        <v>5.4000000000000003E-3</v>
      </c>
      <c r="S3447" s="107"/>
      <c r="T3447" s="107">
        <v>0</v>
      </c>
      <c r="U3447" s="107"/>
      <c r="V3447" s="107"/>
      <c r="W3447" s="107"/>
      <c r="X3447" s="107"/>
      <c r="Y3447" s="107"/>
      <c r="Z3447" s="107"/>
      <c r="AA3447" s="107"/>
      <c r="AB3447" s="107"/>
      <c r="AC3447" s="355"/>
      <c r="AD3447" s="355"/>
      <c r="AE3447" s="355"/>
      <c r="AF3447" s="94">
        <f t="shared" si="448"/>
        <v>43280</v>
      </c>
      <c r="AG3447" s="185">
        <f t="shared" si="452"/>
        <v>-4.1855484141168908E-3</v>
      </c>
      <c r="AH3447" s="339" t="str">
        <f>VLOOKUP(B3447,'MF PF'!A:B,2)</f>
        <v>FdMgt1</v>
      </c>
      <c r="AI3447" s="358">
        <f t="shared" si="449"/>
        <v>0</v>
      </c>
      <c r="AJ3447" s="94">
        <f t="shared" si="450"/>
        <v>43281</v>
      </c>
    </row>
    <row r="3448" spans="1:36" ht="12.75" customHeight="1">
      <c r="A3448" s="8">
        <v>43312</v>
      </c>
      <c r="B3448" s="358" t="s">
        <v>188</v>
      </c>
      <c r="C3448" s="94" t="s">
        <v>304</v>
      </c>
      <c r="D3448" s="110">
        <v>21876.749599999999</v>
      </c>
      <c r="E3448" s="9">
        <f t="shared" si="451"/>
        <v>5779.296569682916</v>
      </c>
      <c r="F3448" s="98">
        <v>2.5</v>
      </c>
      <c r="G3448" s="98">
        <v>0</v>
      </c>
      <c r="H3448" s="98">
        <v>0</v>
      </c>
      <c r="I3448" s="98"/>
      <c r="J3448" s="98"/>
      <c r="K3448" s="93">
        <v>3.7853654568898993</v>
      </c>
      <c r="L3448" s="93">
        <f t="shared" si="445"/>
        <v>0</v>
      </c>
      <c r="M3448" s="95">
        <f t="shared" ca="1" si="446"/>
        <v>0</v>
      </c>
      <c r="N3448" s="95">
        <f>IF(P3448="Hedge Fund",IF(A3448=Summary!$AD$3,M3448-E3448,M3448),IF(A3448=Summary!$AD$3,L3448-D3448,L3448))</f>
        <v>0</v>
      </c>
      <c r="O3448" s="95">
        <f t="shared" si="447"/>
        <v>0</v>
      </c>
      <c r="P3448" s="107" t="s">
        <v>155</v>
      </c>
      <c r="Q3448" s="107">
        <v>0</v>
      </c>
      <c r="R3448" s="109">
        <v>5.4999999999999997E-3</v>
      </c>
      <c r="S3448" s="107"/>
      <c r="T3448" s="107">
        <v>0</v>
      </c>
      <c r="U3448" s="107"/>
      <c r="V3448" s="107"/>
      <c r="W3448" s="107"/>
      <c r="X3448" s="107"/>
      <c r="Y3448" s="107"/>
      <c r="Z3448" s="107"/>
      <c r="AA3448" s="107"/>
      <c r="AB3448" s="107"/>
      <c r="AC3448" s="355"/>
      <c r="AD3448" s="355"/>
      <c r="AE3448" s="355"/>
      <c r="AF3448" s="94">
        <f t="shared" si="448"/>
        <v>43312</v>
      </c>
      <c r="AG3448" s="185">
        <f t="shared" si="452"/>
        <v>8.8547815384978357E-3</v>
      </c>
      <c r="AH3448" s="339" t="str">
        <f>VLOOKUP(B3448,'MF PF'!A:B,2)</f>
        <v>FdMgt1</v>
      </c>
      <c r="AI3448" s="358">
        <f t="shared" si="449"/>
        <v>0</v>
      </c>
      <c r="AJ3448" s="94">
        <f t="shared" si="450"/>
        <v>43312</v>
      </c>
    </row>
    <row r="3449" spans="1:36" ht="12.75" customHeight="1">
      <c r="A3449" s="8">
        <v>43343</v>
      </c>
      <c r="B3449" s="358" t="s">
        <v>188</v>
      </c>
      <c r="C3449" s="94" t="s">
        <v>304</v>
      </c>
      <c r="D3449" s="110">
        <v>21712.946400000001</v>
      </c>
      <c r="E3449" s="9">
        <f t="shared" si="451"/>
        <v>5736.0238125698997</v>
      </c>
      <c r="F3449" s="98">
        <v>2.5</v>
      </c>
      <c r="G3449" s="98">
        <v>0</v>
      </c>
      <c r="H3449" s="98">
        <v>0</v>
      </c>
      <c r="I3449" s="98"/>
      <c r="J3449" s="98"/>
      <c r="K3449" s="7">
        <v>3.7853654568898993</v>
      </c>
      <c r="L3449" s="93">
        <f t="shared" si="445"/>
        <v>0</v>
      </c>
      <c r="M3449" s="95">
        <f t="shared" ca="1" si="446"/>
        <v>0</v>
      </c>
      <c r="N3449" s="95">
        <f>IF(P3449="Hedge Fund",IF(A3449=Summary!$AD$3,M3449-E3449,M3449),IF(A3449=Summary!$AD$3,L3449-D3449,L3449))</f>
        <v>0</v>
      </c>
      <c r="O3449" s="95">
        <f t="shared" si="447"/>
        <v>0</v>
      </c>
      <c r="P3449" s="107" t="s">
        <v>155</v>
      </c>
      <c r="Q3449" s="107">
        <v>0</v>
      </c>
      <c r="R3449" s="109">
        <v>5.4000000000000003E-3</v>
      </c>
      <c r="S3449" s="107"/>
      <c r="T3449" s="107">
        <v>0</v>
      </c>
      <c r="U3449" s="107"/>
      <c r="V3449" s="107"/>
      <c r="W3449" s="107"/>
      <c r="X3449" s="107"/>
      <c r="Y3449" s="107"/>
      <c r="Z3449" s="107"/>
      <c r="AA3449" s="107"/>
      <c r="AB3449" s="107"/>
      <c r="AC3449" s="355"/>
      <c r="AD3449" s="355"/>
      <c r="AE3449" s="355"/>
      <c r="AF3449" s="94">
        <f t="shared" si="448"/>
        <v>43343</v>
      </c>
      <c r="AG3449" s="185">
        <f t="shared" si="452"/>
        <v>-7.4875474188358382E-3</v>
      </c>
      <c r="AH3449" s="339" t="str">
        <f>VLOOKUP(B3449,'MF PF'!A:B,2)</f>
        <v>FdMgt1</v>
      </c>
      <c r="AI3449" s="358">
        <f t="shared" si="449"/>
        <v>0</v>
      </c>
      <c r="AJ3449" s="94">
        <f t="shared" si="450"/>
        <v>43343</v>
      </c>
    </row>
    <row r="3450" spans="1:36" ht="12.75" customHeight="1">
      <c r="A3450" s="8">
        <v>43371</v>
      </c>
      <c r="B3450" s="358" t="s">
        <v>188</v>
      </c>
      <c r="C3450" s="358" t="s">
        <v>304</v>
      </c>
      <c r="D3450" s="110">
        <v>21835.534</v>
      </c>
      <c r="E3450" s="95"/>
      <c r="F3450" s="98">
        <v>2.5</v>
      </c>
      <c r="G3450" s="98"/>
      <c r="H3450" s="93">
        <v>0</v>
      </c>
      <c r="I3450" s="93">
        <v>0</v>
      </c>
      <c r="K3450" s="93">
        <v>0</v>
      </c>
      <c r="L3450" s="93">
        <f t="shared" si="445"/>
        <v>0</v>
      </c>
      <c r="M3450" s="95" t="e">
        <f t="shared" ca="1" si="446"/>
        <v>#DIV/0!</v>
      </c>
      <c r="N3450" s="95">
        <f>IF(P3450="Hedge Fund",IF(A3450=Summary!$AD$3,M3450-E3450,M3450),IF(A3450=Summary!$AD$3,L3450-D3450,L3450))</f>
        <v>0</v>
      </c>
      <c r="O3450" s="95">
        <f t="shared" si="447"/>
        <v>0</v>
      </c>
      <c r="P3450" s="95" t="s">
        <v>155</v>
      </c>
      <c r="Q3450" s="95">
        <v>0</v>
      </c>
      <c r="R3450" s="95">
        <v>5.4999999999999997E-3</v>
      </c>
      <c r="S3450" s="95"/>
      <c r="T3450" s="95">
        <v>0</v>
      </c>
      <c r="U3450" s="95"/>
      <c r="V3450" s="95"/>
      <c r="W3450" s="95"/>
      <c r="X3450" s="95"/>
      <c r="Y3450" s="95"/>
      <c r="Z3450" s="95"/>
      <c r="AA3450" s="95"/>
      <c r="AB3450" s="95"/>
      <c r="AC3450" s="355"/>
      <c r="AD3450" s="355"/>
      <c r="AE3450" s="355"/>
      <c r="AF3450" s="94">
        <f t="shared" si="448"/>
        <v>43371</v>
      </c>
      <c r="AG3450" s="185">
        <f t="shared" si="452"/>
        <v>5.6458298077868285E-3</v>
      </c>
      <c r="AH3450" s="339" t="str">
        <f>VLOOKUP(B3450,'MF PF'!A:B,2)</f>
        <v>FdMgt1</v>
      </c>
      <c r="AI3450" s="358">
        <f t="shared" si="449"/>
        <v>0</v>
      </c>
      <c r="AJ3450" s="94">
        <f t="shared" si="450"/>
        <v>43373</v>
      </c>
    </row>
    <row r="3451" spans="1:36" ht="12.75" customHeight="1">
      <c r="A3451" s="94">
        <v>43404</v>
      </c>
      <c r="B3451" s="358" t="s">
        <v>188</v>
      </c>
      <c r="C3451" s="358" t="s">
        <v>304</v>
      </c>
      <c r="D3451" s="93">
        <v>8837.6479999999992</v>
      </c>
      <c r="E3451" s="95"/>
      <c r="F3451" s="98">
        <v>2.5</v>
      </c>
      <c r="G3451" s="93"/>
      <c r="H3451" s="93">
        <v>0</v>
      </c>
      <c r="I3451" s="93">
        <v>-12993.51</v>
      </c>
      <c r="J3451" s="93">
        <v>0</v>
      </c>
      <c r="K3451" s="93"/>
      <c r="L3451" s="93">
        <f t="shared" si="445"/>
        <v>-12993.51</v>
      </c>
      <c r="M3451" s="95" t="e">
        <f t="shared" ca="1" si="446"/>
        <v>#DIV/0!</v>
      </c>
      <c r="N3451" s="95">
        <f>IF(P3451="Hedge Fund",IF(A3451=Summary!$AD$3,M3451-E3451,M3451),IF(A3451=Summary!$AD$3,L3451-D3451,L3451))</f>
        <v>-12993.51</v>
      </c>
      <c r="O3451" s="95">
        <f t="shared" si="447"/>
        <v>-12993.51</v>
      </c>
      <c r="P3451" s="95" t="s">
        <v>155</v>
      </c>
      <c r="Q3451" s="95">
        <v>0</v>
      </c>
      <c r="R3451" s="95">
        <v>2.2000000000000001E-3</v>
      </c>
      <c r="S3451" s="95"/>
      <c r="T3451" s="95">
        <f>1104.71/10^6</f>
        <v>1.1047100000000001E-3</v>
      </c>
      <c r="U3451" s="95"/>
      <c r="V3451" s="95"/>
      <c r="W3451" s="95"/>
      <c r="X3451" s="95"/>
      <c r="Y3451" s="95"/>
      <c r="Z3451" s="95"/>
      <c r="AA3451" s="95"/>
      <c r="AB3451" s="95"/>
      <c r="AC3451" s="355"/>
      <c r="AD3451" s="355"/>
      <c r="AE3451" s="355"/>
      <c r="AF3451" s="94">
        <f t="shared" si="448"/>
        <v>43404</v>
      </c>
      <c r="AG3451" s="185">
        <f t="shared" si="452"/>
        <v>-2.0040728108594585E-4</v>
      </c>
      <c r="AH3451" s="339" t="str">
        <f>VLOOKUP(B3451,'MF PF'!A:B,2)</f>
        <v>FdMgt1</v>
      </c>
      <c r="AI3451" s="358">
        <f t="shared" si="449"/>
        <v>0</v>
      </c>
      <c r="AJ3451" s="94">
        <f t="shared" si="450"/>
        <v>43404</v>
      </c>
    </row>
    <row r="3452" spans="1:36" ht="12.75" customHeight="1">
      <c r="A3452" s="94">
        <v>43434</v>
      </c>
      <c r="B3452" s="358" t="s">
        <v>188</v>
      </c>
      <c r="C3452" s="358" t="s">
        <v>304</v>
      </c>
      <c r="D3452" s="93">
        <v>11787.36</v>
      </c>
      <c r="E3452" s="95"/>
      <c r="F3452" s="98">
        <v>2.5</v>
      </c>
      <c r="G3452" s="93"/>
      <c r="H3452" s="93">
        <v>0</v>
      </c>
      <c r="I3452" s="93">
        <v>0</v>
      </c>
      <c r="K3452" s="93">
        <v>0</v>
      </c>
      <c r="L3452" s="93">
        <f t="shared" si="445"/>
        <v>0</v>
      </c>
      <c r="M3452" s="95" t="e">
        <f t="shared" ca="1" si="446"/>
        <v>#DIV/0!</v>
      </c>
      <c r="N3452" s="95">
        <f>IF(P3452="Hedge Fund",IF(A3452=Summary!$AD$3,M3452-E3452,M3452),IF(A3452=Summary!$AD$3,L3452-D3452,L3452))</f>
        <v>0</v>
      </c>
      <c r="O3452" s="95">
        <f t="shared" si="447"/>
        <v>0</v>
      </c>
      <c r="P3452" s="95" t="s">
        <v>155</v>
      </c>
      <c r="Q3452" s="95">
        <v>0</v>
      </c>
      <c r="R3452" s="95">
        <v>2.94684E-3</v>
      </c>
      <c r="S3452" s="95"/>
      <c r="T3452" s="95">
        <f>1473.42/10^6</f>
        <v>1.47342E-3</v>
      </c>
      <c r="U3452" s="95"/>
      <c r="V3452" s="95"/>
      <c r="W3452" s="95"/>
      <c r="X3452" s="95"/>
      <c r="Y3452" s="95"/>
      <c r="Z3452" s="95"/>
      <c r="AA3452" s="95"/>
      <c r="AB3452" s="95"/>
      <c r="AC3452" s="355"/>
      <c r="AD3452" s="355"/>
      <c r="AE3452" s="355"/>
      <c r="AF3452" s="94">
        <f t="shared" si="448"/>
        <v>43434</v>
      </c>
      <c r="AG3452" s="185">
        <f t="shared" si="452"/>
        <v>0.33376663112176463</v>
      </c>
      <c r="AH3452" s="339" t="str">
        <f>VLOOKUP(B3452,'MF PF'!A:B,2)</f>
        <v>FdMgt1</v>
      </c>
      <c r="AI3452" s="358">
        <f t="shared" si="449"/>
        <v>0</v>
      </c>
      <c r="AJ3452" s="94">
        <f t="shared" si="450"/>
        <v>43434</v>
      </c>
    </row>
    <row r="3453" spans="1:36" ht="12.75" customHeight="1">
      <c r="A3453" s="8">
        <v>43465</v>
      </c>
      <c r="B3453" s="358" t="s">
        <v>188</v>
      </c>
      <c r="C3453" s="6" t="s">
        <v>304</v>
      </c>
      <c r="D3453" s="93">
        <v>7067.16</v>
      </c>
      <c r="E3453" s="95"/>
      <c r="F3453" s="93">
        <v>2.5</v>
      </c>
      <c r="G3453" s="93"/>
      <c r="H3453" s="93">
        <v>0</v>
      </c>
      <c r="I3453" s="93">
        <v>0</v>
      </c>
      <c r="K3453" s="93">
        <v>0</v>
      </c>
      <c r="L3453" s="93">
        <f t="shared" si="445"/>
        <v>0</v>
      </c>
      <c r="M3453" s="95" t="e">
        <f t="shared" ca="1" si="446"/>
        <v>#DIV/0!</v>
      </c>
      <c r="N3453" s="95">
        <f>IF(P3453="Hedge Fund",IF(A3453=Summary!$AD$3,M3453-E3453,M3453),IF(A3453=Summary!$AD$3,L3453-D3453,L3453))</f>
        <v>0</v>
      </c>
      <c r="O3453" s="95">
        <f t="shared" si="447"/>
        <v>0</v>
      </c>
      <c r="P3453" s="95" t="s">
        <v>155</v>
      </c>
      <c r="Q3453" s="95">
        <v>0</v>
      </c>
      <c r="R3453" s="95">
        <v>1.7667900000000003E-3</v>
      </c>
      <c r="S3453" s="95"/>
      <c r="T3453" s="95"/>
      <c r="U3453" s="95"/>
      <c r="V3453" s="95"/>
      <c r="W3453" s="95"/>
      <c r="X3453" s="95"/>
      <c r="Y3453" s="95"/>
      <c r="Z3453" s="95"/>
      <c r="AA3453" s="95"/>
      <c r="AB3453" s="95"/>
      <c r="AC3453" s="355"/>
      <c r="AD3453" s="355"/>
      <c r="AE3453" s="355"/>
      <c r="AF3453" s="94">
        <f t="shared" si="448"/>
        <v>43465</v>
      </c>
      <c r="AG3453" s="185">
        <f t="shared" si="452"/>
        <v>-0.4004459013723175</v>
      </c>
      <c r="AH3453" s="339" t="str">
        <f>VLOOKUP(B3453,'MF PF'!A:B,2)</f>
        <v>FdMgt1</v>
      </c>
      <c r="AI3453" s="358">
        <f t="shared" si="449"/>
        <v>0</v>
      </c>
      <c r="AJ3453" s="94">
        <f t="shared" si="450"/>
        <v>43465</v>
      </c>
    </row>
    <row r="3454" spans="1:36" ht="12.75" customHeight="1">
      <c r="A3454" s="94">
        <v>43496</v>
      </c>
      <c r="B3454" s="358" t="s">
        <v>188</v>
      </c>
      <c r="C3454" s="6" t="s">
        <v>304</v>
      </c>
      <c r="D3454" s="93">
        <v>0</v>
      </c>
      <c r="E3454" s="95"/>
      <c r="F3454" s="93">
        <v>2.5</v>
      </c>
      <c r="G3454" s="93"/>
      <c r="H3454" s="93">
        <v>0</v>
      </c>
      <c r="I3454" s="93">
        <v>-7067.16</v>
      </c>
      <c r="K3454" s="93">
        <v>0</v>
      </c>
      <c r="L3454" s="93">
        <f t="shared" si="445"/>
        <v>-7067.16</v>
      </c>
      <c r="M3454" s="95" t="e">
        <f t="shared" ca="1" si="446"/>
        <v>#DIV/0!</v>
      </c>
      <c r="N3454" s="95">
        <f>IF(P3454="Hedge Fund",IF(A3454=Summary!$AD$3,M3454-E3454,M3454),IF(A3454=Summary!$AD$3,L3454-D3454,L3454))</f>
        <v>-7067.16</v>
      </c>
      <c r="O3454" s="95">
        <f t="shared" si="447"/>
        <v>-7067.16</v>
      </c>
      <c r="P3454" s="95" t="s">
        <v>155</v>
      </c>
      <c r="Q3454" s="95">
        <v>0</v>
      </c>
      <c r="R3454" s="95">
        <v>0</v>
      </c>
      <c r="S3454" s="95"/>
      <c r="T3454" s="95"/>
      <c r="U3454" s="95"/>
      <c r="V3454" s="95"/>
      <c r="W3454" s="95"/>
      <c r="X3454" s="95"/>
      <c r="Y3454" s="95"/>
      <c r="Z3454" s="95"/>
      <c r="AA3454" s="95"/>
      <c r="AB3454" s="95"/>
      <c r="AC3454" s="355"/>
      <c r="AD3454" s="355"/>
      <c r="AE3454" s="355"/>
      <c r="AF3454" s="94">
        <f t="shared" si="448"/>
        <v>43496</v>
      </c>
      <c r="AG3454" s="185">
        <f t="shared" si="452"/>
        <v>0</v>
      </c>
      <c r="AH3454" s="339" t="str">
        <f>VLOOKUP(B3454,'MF PF'!A:B,2)</f>
        <v>FdMgt1</v>
      </c>
      <c r="AI3454" s="358">
        <f t="shared" si="449"/>
        <v>0</v>
      </c>
      <c r="AJ3454" s="94">
        <f t="shared" si="450"/>
        <v>43496</v>
      </c>
    </row>
    <row r="3455" spans="1:36" ht="12.75" customHeight="1">
      <c r="A3455" s="8">
        <v>40662</v>
      </c>
      <c r="B3455" s="94" t="s">
        <v>188</v>
      </c>
      <c r="C3455" s="6" t="s">
        <v>305</v>
      </c>
      <c r="D3455" s="98">
        <v>5881830.4138641013</v>
      </c>
      <c r="E3455" s="95">
        <f t="shared" ref="E3455:E3486" si="453">D3455/K3455</f>
        <v>5932086.5942141199</v>
      </c>
      <c r="F3455" s="98">
        <v>21.6</v>
      </c>
      <c r="G3455" s="98">
        <v>5832000</v>
      </c>
      <c r="H3455" s="98">
        <v>0</v>
      </c>
      <c r="I3455" s="98">
        <v>0</v>
      </c>
      <c r="J3455" s="98"/>
      <c r="K3455" s="93">
        <v>0.99152807708521384</v>
      </c>
      <c r="L3455" s="93">
        <f t="shared" si="445"/>
        <v>5832000</v>
      </c>
      <c r="M3455" s="95">
        <f t="shared" ca="1" si="446"/>
        <v>5932086.5942141199</v>
      </c>
      <c r="N3455" s="95">
        <f>IF(P3455="Hedge Fund",IF(A3455=Summary!$AD$3,M3455-E3455,M3455),IF(A3455=Summary!$AD$3,L3455-D3455,L3455))</f>
        <v>5832000</v>
      </c>
      <c r="O3455" s="95">
        <f t="shared" si="447"/>
        <v>5832000</v>
      </c>
      <c r="P3455" s="107" t="s">
        <v>155</v>
      </c>
      <c r="Q3455" s="107">
        <v>0</v>
      </c>
      <c r="R3455" s="107">
        <v>0</v>
      </c>
      <c r="S3455" s="107">
        <v>0</v>
      </c>
      <c r="T3455" s="107">
        <v>0</v>
      </c>
      <c r="U3455" s="107"/>
      <c r="V3455" s="107"/>
      <c r="W3455" s="107"/>
      <c r="X3455" s="107"/>
      <c r="Y3455" s="107"/>
      <c r="Z3455" s="107"/>
      <c r="AA3455" s="107"/>
      <c r="AB3455" s="107"/>
      <c r="AC3455" s="355"/>
      <c r="AD3455" s="355"/>
      <c r="AE3455" s="355"/>
      <c r="AF3455" s="94">
        <f t="shared" si="448"/>
        <v>40662</v>
      </c>
      <c r="AG3455" s="185">
        <f t="shared" si="452"/>
        <v>8.5443096474795421E-3</v>
      </c>
      <c r="AH3455" s="339" t="str">
        <f>VLOOKUP(B3455,'MF PF'!A:B,2)</f>
        <v>FdMgt1</v>
      </c>
      <c r="AI3455" s="358">
        <f t="shared" si="449"/>
        <v>0</v>
      </c>
      <c r="AJ3455" s="94">
        <f t="shared" si="450"/>
        <v>40663</v>
      </c>
    </row>
    <row r="3456" spans="1:36" ht="12.75" customHeight="1">
      <c r="A3456" s="94">
        <v>40694</v>
      </c>
      <c r="B3456" s="94" t="s">
        <v>188</v>
      </c>
      <c r="C3456" s="358" t="s">
        <v>305</v>
      </c>
      <c r="D3456" s="98">
        <v>8303999.8597596977</v>
      </c>
      <c r="E3456" s="9">
        <f t="shared" si="453"/>
        <v>5934208.6211567139</v>
      </c>
      <c r="F3456" s="98">
        <v>21.6</v>
      </c>
      <c r="G3456" s="98">
        <v>2419200</v>
      </c>
      <c r="H3456" s="98">
        <v>0</v>
      </c>
      <c r="I3456" s="98">
        <v>0</v>
      </c>
      <c r="J3456" s="98"/>
      <c r="K3456" s="7">
        <v>1.3993441063319167</v>
      </c>
      <c r="L3456" s="93">
        <f t="shared" si="445"/>
        <v>2419200</v>
      </c>
      <c r="M3456" s="95">
        <f t="shared" ca="1" si="446"/>
        <v>0</v>
      </c>
      <c r="N3456" s="95">
        <f>IF(P3456="Hedge Fund",IF(A3456=Summary!$AD$3,M3456-E3456,M3456),IF(A3456=Summary!$AD$3,L3456-D3456,L3456))</f>
        <v>2419200</v>
      </c>
      <c r="O3456" s="95">
        <f t="shared" si="447"/>
        <v>2419200</v>
      </c>
      <c r="P3456" s="107" t="s">
        <v>155</v>
      </c>
      <c r="Q3456" s="107">
        <v>0</v>
      </c>
      <c r="R3456" s="107">
        <v>0</v>
      </c>
      <c r="S3456" s="107">
        <v>0</v>
      </c>
      <c r="T3456" s="107">
        <v>0</v>
      </c>
      <c r="U3456" s="107"/>
      <c r="V3456" s="107"/>
      <c r="W3456" s="107"/>
      <c r="X3456" s="107"/>
      <c r="Y3456" s="107"/>
      <c r="Z3456" s="107"/>
      <c r="AA3456" s="107"/>
      <c r="AB3456" s="107"/>
      <c r="AC3456" s="355"/>
      <c r="AD3456" s="355"/>
      <c r="AE3456" s="355"/>
      <c r="AF3456" s="94">
        <f t="shared" si="448"/>
        <v>40694</v>
      </c>
      <c r="AG3456" s="185">
        <f t="shared" si="452"/>
        <v>5.0485064795435797E-4</v>
      </c>
      <c r="AH3456" s="339" t="str">
        <f>VLOOKUP(B3456,'MF PF'!A:B,2)</f>
        <v>FdMgt1</v>
      </c>
      <c r="AI3456" s="358">
        <f t="shared" si="449"/>
        <v>0</v>
      </c>
      <c r="AJ3456" s="94">
        <f t="shared" si="450"/>
        <v>40694</v>
      </c>
    </row>
    <row r="3457" spans="1:36" ht="12.75" customHeight="1">
      <c r="A3457" s="94">
        <v>40724</v>
      </c>
      <c r="B3457" s="94" t="s">
        <v>188</v>
      </c>
      <c r="C3457" s="358" t="s">
        <v>305</v>
      </c>
      <c r="D3457" s="98">
        <v>8197024.5573718296</v>
      </c>
      <c r="E3457" s="95">
        <f t="shared" si="453"/>
        <v>5857761.8759252774</v>
      </c>
      <c r="F3457" s="98">
        <v>21.6</v>
      </c>
      <c r="G3457" s="98">
        <v>0</v>
      </c>
      <c r="H3457" s="98">
        <v>0</v>
      </c>
      <c r="I3457" s="98">
        <v>0</v>
      </c>
      <c r="J3457" s="98"/>
      <c r="K3457" s="93">
        <v>1.3993441063319167</v>
      </c>
      <c r="L3457" s="93">
        <f t="shared" ref="L3457:L3520" si="454">G3457+H3457+I3457</f>
        <v>0</v>
      </c>
      <c r="M3457" s="95">
        <f t="shared" ref="M3457:M3520" ca="1" si="455">IF(A3457&gt;INDIRECT("A"&amp;ROW()-1),I3457/K3457,E3457)</f>
        <v>0</v>
      </c>
      <c r="N3457" s="95">
        <f>IF(P3457="Hedge Fund",IF(A3457=Summary!$AD$3,M3457-E3457,M3457),IF(A3457=Summary!$AD$3,L3457-D3457,L3457))</f>
        <v>0</v>
      </c>
      <c r="O3457" s="95">
        <f t="shared" ref="O3457:O3520" si="456">N3457</f>
        <v>0</v>
      </c>
      <c r="P3457" s="107" t="s">
        <v>155</v>
      </c>
      <c r="Q3457" s="107">
        <v>0</v>
      </c>
      <c r="R3457" s="107">
        <v>0</v>
      </c>
      <c r="S3457" s="107">
        <v>0</v>
      </c>
      <c r="T3457" s="107">
        <v>0</v>
      </c>
      <c r="U3457" s="107"/>
      <c r="V3457" s="107"/>
      <c r="W3457" s="107"/>
      <c r="X3457" s="107"/>
      <c r="Y3457" s="107"/>
      <c r="Z3457" s="107"/>
      <c r="AA3457" s="107"/>
      <c r="AB3457" s="107"/>
      <c r="AC3457" s="355"/>
      <c r="AD3457" s="355"/>
      <c r="AE3457" s="355"/>
      <c r="AF3457" s="94">
        <f t="shared" ref="AF3457:AF3520" si="457">A3457</f>
        <v>40724</v>
      </c>
      <c r="AG3457" s="185">
        <f t="shared" si="452"/>
        <v>-1.2882382489703414E-2</v>
      </c>
      <c r="AH3457" s="339" t="str">
        <f>VLOOKUP(B3457,'MF PF'!A:B,2)</f>
        <v>FdMgt1</v>
      </c>
      <c r="AI3457" s="358">
        <f t="shared" ref="AI3457:AI3520" si="458">AF3457-A3457</f>
        <v>0</v>
      </c>
      <c r="AJ3457" s="94">
        <f t="shared" ref="AJ3457:AJ3520" si="459">EOMONTH(A3457,0)</f>
        <v>40724</v>
      </c>
    </row>
    <row r="3458" spans="1:36" ht="12.75" customHeight="1">
      <c r="A3458" s="94">
        <v>40753</v>
      </c>
      <c r="B3458" s="94" t="s">
        <v>188</v>
      </c>
      <c r="C3458" s="358" t="s">
        <v>305</v>
      </c>
      <c r="D3458" s="98">
        <v>10689839.874732964</v>
      </c>
      <c r="E3458" s="95">
        <f t="shared" si="453"/>
        <v>5946778.7081141779</v>
      </c>
      <c r="F3458" s="98">
        <v>21.6</v>
      </c>
      <c r="G3458" s="98">
        <v>2332800</v>
      </c>
      <c r="H3458" s="98">
        <v>0</v>
      </c>
      <c r="I3458" s="98">
        <v>0</v>
      </c>
      <c r="J3458" s="98"/>
      <c r="K3458" s="93">
        <v>1.7975849446267504</v>
      </c>
      <c r="L3458" s="93">
        <f t="shared" si="454"/>
        <v>2332800</v>
      </c>
      <c r="M3458" s="95">
        <f t="shared" ca="1" si="455"/>
        <v>0</v>
      </c>
      <c r="N3458" s="95">
        <f>IF(P3458="Hedge Fund",IF(A3458=Summary!$AD$3,M3458-E3458,M3458),IF(A3458=Summary!$AD$3,L3458-D3458,L3458))</f>
        <v>2332800</v>
      </c>
      <c r="O3458" s="95">
        <f t="shared" si="456"/>
        <v>2332800</v>
      </c>
      <c r="P3458" s="107" t="s">
        <v>155</v>
      </c>
      <c r="Q3458" s="107">
        <v>0</v>
      </c>
      <c r="R3458" s="107">
        <v>0</v>
      </c>
      <c r="S3458" s="107">
        <v>0</v>
      </c>
      <c r="T3458" s="107">
        <v>0</v>
      </c>
      <c r="U3458" s="107"/>
      <c r="V3458" s="107"/>
      <c r="W3458" s="107"/>
      <c r="X3458" s="107"/>
      <c r="Y3458" s="107"/>
      <c r="Z3458" s="107"/>
      <c r="AA3458" s="107"/>
      <c r="AB3458" s="107"/>
      <c r="AC3458" s="355"/>
      <c r="AD3458" s="355"/>
      <c r="AE3458" s="355"/>
      <c r="AF3458" s="94">
        <f t="shared" si="457"/>
        <v>40753</v>
      </c>
      <c r="AG3458" s="185">
        <f t="shared" si="452"/>
        <v>1.9521146513734378E-2</v>
      </c>
      <c r="AH3458" s="339" t="str">
        <f>VLOOKUP(B3458,'MF PF'!A:B,2)</f>
        <v>FdMgt1</v>
      </c>
      <c r="AI3458" s="358">
        <f t="shared" si="458"/>
        <v>0</v>
      </c>
      <c r="AJ3458" s="94">
        <f t="shared" si="459"/>
        <v>40755</v>
      </c>
    </row>
    <row r="3459" spans="1:36" ht="12.75" customHeight="1">
      <c r="A3459" s="94">
        <v>40786</v>
      </c>
      <c r="B3459" s="94" t="s">
        <v>188</v>
      </c>
      <c r="C3459" s="358" t="s">
        <v>305</v>
      </c>
      <c r="D3459" s="98">
        <v>11060972.135927849</v>
      </c>
      <c r="E3459" s="9">
        <f t="shared" si="453"/>
        <v>5812633.3762019267</v>
      </c>
      <c r="F3459" s="98">
        <v>21.6</v>
      </c>
      <c r="G3459" s="98">
        <v>626400</v>
      </c>
      <c r="H3459" s="98">
        <v>0</v>
      </c>
      <c r="I3459" s="98">
        <v>0</v>
      </c>
      <c r="J3459" s="98"/>
      <c r="K3459" s="7">
        <v>1.9029192828871095</v>
      </c>
      <c r="L3459" s="93">
        <f t="shared" si="454"/>
        <v>626400</v>
      </c>
      <c r="M3459" s="95">
        <f t="shared" ca="1" si="455"/>
        <v>0</v>
      </c>
      <c r="N3459" s="95">
        <f>IF(P3459="Hedge Fund",IF(A3459=Summary!$AD$3,M3459-E3459,M3459),IF(A3459=Summary!$AD$3,L3459-D3459,L3459))</f>
        <v>626400</v>
      </c>
      <c r="O3459" s="95">
        <f t="shared" si="456"/>
        <v>626400</v>
      </c>
      <c r="P3459" s="107" t="s">
        <v>155</v>
      </c>
      <c r="Q3459" s="107">
        <v>0</v>
      </c>
      <c r="R3459" s="107">
        <v>0</v>
      </c>
      <c r="S3459" s="107">
        <v>0</v>
      </c>
      <c r="T3459" s="107">
        <v>0</v>
      </c>
      <c r="U3459" s="107"/>
      <c r="V3459" s="107"/>
      <c r="W3459" s="107"/>
      <c r="X3459" s="107"/>
      <c r="Y3459" s="107"/>
      <c r="Z3459" s="107"/>
      <c r="AA3459" s="107"/>
      <c r="AB3459" s="107"/>
      <c r="AC3459" s="355"/>
      <c r="AD3459" s="355"/>
      <c r="AE3459" s="355"/>
      <c r="AF3459" s="94">
        <f t="shared" si="457"/>
        <v>40786</v>
      </c>
      <c r="AG3459" s="185">
        <f t="shared" si="452"/>
        <v>-2.3879472639106503E-2</v>
      </c>
      <c r="AH3459" s="339" t="str">
        <f>VLOOKUP(B3459,'MF PF'!A:B,2)</f>
        <v>FdMgt1</v>
      </c>
      <c r="AI3459" s="358">
        <f t="shared" si="458"/>
        <v>0</v>
      </c>
      <c r="AJ3459" s="94">
        <f t="shared" si="459"/>
        <v>40786</v>
      </c>
    </row>
    <row r="3460" spans="1:36" ht="12.75" customHeight="1">
      <c r="A3460" s="94">
        <v>40816</v>
      </c>
      <c r="B3460" s="94" t="s">
        <v>188</v>
      </c>
      <c r="C3460" s="358" t="s">
        <v>305</v>
      </c>
      <c r="D3460" s="98">
        <v>11936365.475471746</v>
      </c>
      <c r="E3460" s="95">
        <f t="shared" si="453"/>
        <v>5735082.093935485</v>
      </c>
      <c r="F3460" s="98">
        <v>21.6</v>
      </c>
      <c r="G3460" s="98">
        <v>1036800</v>
      </c>
      <c r="H3460" s="98">
        <v>0</v>
      </c>
      <c r="I3460" s="98">
        <v>0</v>
      </c>
      <c r="J3460" s="98"/>
      <c r="K3460" s="93">
        <v>2.0812893834760895</v>
      </c>
      <c r="L3460" s="93">
        <f t="shared" si="454"/>
        <v>1036800</v>
      </c>
      <c r="M3460" s="95">
        <f t="shared" ca="1" si="455"/>
        <v>0</v>
      </c>
      <c r="N3460" s="95">
        <f>IF(P3460="Hedge Fund",IF(A3460=Summary!$AD$3,M3460-E3460,M3460),IF(A3460=Summary!$AD$3,L3460-D3460,L3460))</f>
        <v>1036800</v>
      </c>
      <c r="O3460" s="95">
        <f t="shared" si="456"/>
        <v>1036800</v>
      </c>
      <c r="P3460" s="107" t="s">
        <v>155</v>
      </c>
      <c r="Q3460" s="107">
        <v>0</v>
      </c>
      <c r="R3460" s="107">
        <v>0</v>
      </c>
      <c r="S3460" s="107">
        <v>0</v>
      </c>
      <c r="T3460" s="107">
        <v>0</v>
      </c>
      <c r="U3460" s="107"/>
      <c r="V3460" s="107"/>
      <c r="W3460" s="107"/>
      <c r="X3460" s="107"/>
      <c r="Y3460" s="107"/>
      <c r="Z3460" s="107"/>
      <c r="AA3460" s="107"/>
      <c r="AB3460" s="107"/>
      <c r="AC3460" s="355"/>
      <c r="AD3460" s="355"/>
      <c r="AE3460" s="355"/>
      <c r="AF3460" s="94">
        <f t="shared" si="457"/>
        <v>40816</v>
      </c>
      <c r="AG3460" s="185">
        <f t="shared" si="452"/>
        <v>-1.4592447975872447E-2</v>
      </c>
      <c r="AH3460" s="339" t="str">
        <f>VLOOKUP(B3460,'MF PF'!A:B,2)</f>
        <v>FdMgt1</v>
      </c>
      <c r="AI3460" s="358">
        <f t="shared" si="458"/>
        <v>0</v>
      </c>
      <c r="AJ3460" s="94">
        <f t="shared" si="459"/>
        <v>40816</v>
      </c>
    </row>
    <row r="3461" spans="1:36" ht="12.75" customHeight="1">
      <c r="A3461" s="94">
        <v>40847</v>
      </c>
      <c r="B3461" s="94" t="s">
        <v>188</v>
      </c>
      <c r="C3461" s="358" t="s">
        <v>305</v>
      </c>
      <c r="D3461" s="98">
        <v>11761832.851621341</v>
      </c>
      <c r="E3461" s="9">
        <f t="shared" si="453"/>
        <v>5651224.1618112614</v>
      </c>
      <c r="F3461" s="98">
        <v>21.6</v>
      </c>
      <c r="G3461" s="98">
        <v>0</v>
      </c>
      <c r="H3461" s="98">
        <v>0</v>
      </c>
      <c r="I3461" s="98">
        <v>0</v>
      </c>
      <c r="J3461" s="98"/>
      <c r="K3461" s="7">
        <v>2.0812893834760895</v>
      </c>
      <c r="L3461" s="93">
        <f t="shared" si="454"/>
        <v>0</v>
      </c>
      <c r="M3461" s="95">
        <f t="shared" ca="1" si="455"/>
        <v>0</v>
      </c>
      <c r="N3461" s="95">
        <f>IF(P3461="Hedge Fund",IF(A3461=Summary!$AD$3,M3461-E3461,M3461),IF(A3461=Summary!$AD$3,L3461-D3461,L3461))</f>
        <v>0</v>
      </c>
      <c r="O3461" s="95">
        <f t="shared" si="456"/>
        <v>0</v>
      </c>
      <c r="P3461" s="107" t="s">
        <v>155</v>
      </c>
      <c r="Q3461" s="107">
        <v>0</v>
      </c>
      <c r="R3461" s="107">
        <v>0</v>
      </c>
      <c r="S3461" s="107">
        <v>0</v>
      </c>
      <c r="T3461" s="107">
        <v>0</v>
      </c>
      <c r="U3461" s="107"/>
      <c r="V3461" s="107"/>
      <c r="W3461" s="107"/>
      <c r="X3461" s="107"/>
      <c r="Y3461" s="107"/>
      <c r="Z3461" s="107"/>
      <c r="AA3461" s="107"/>
      <c r="AB3461" s="107"/>
      <c r="AC3461" s="355"/>
      <c r="AD3461" s="355"/>
      <c r="AE3461" s="355"/>
      <c r="AF3461" s="94">
        <f t="shared" si="457"/>
        <v>40847</v>
      </c>
      <c r="AG3461" s="185">
        <f t="shared" si="452"/>
        <v>-1.4621923583779006E-2</v>
      </c>
      <c r="AH3461" s="339" t="str">
        <f>VLOOKUP(B3461,'MF PF'!A:B,2)</f>
        <v>FdMgt1</v>
      </c>
      <c r="AI3461" s="358">
        <f t="shared" si="458"/>
        <v>0</v>
      </c>
      <c r="AJ3461" s="94">
        <f t="shared" si="459"/>
        <v>40847</v>
      </c>
    </row>
    <row r="3462" spans="1:36" ht="12.75" customHeight="1">
      <c r="A3462" s="94">
        <v>40877</v>
      </c>
      <c r="B3462" s="94" t="s">
        <v>188</v>
      </c>
      <c r="C3462" s="358" t="s">
        <v>305</v>
      </c>
      <c r="D3462" s="98">
        <v>13174938.9966515</v>
      </c>
      <c r="E3462" s="9">
        <f t="shared" si="453"/>
        <v>5759065.0201608147</v>
      </c>
      <c r="F3462" s="98">
        <v>21.6</v>
      </c>
      <c r="G3462" s="98">
        <v>1166400</v>
      </c>
      <c r="H3462" s="98">
        <v>0</v>
      </c>
      <c r="I3462" s="98">
        <v>0</v>
      </c>
      <c r="J3462" s="98"/>
      <c r="K3462" s="7">
        <v>2.2876871420152165</v>
      </c>
      <c r="L3462" s="93">
        <f t="shared" si="454"/>
        <v>1166400</v>
      </c>
      <c r="M3462" s="95">
        <f t="shared" ca="1" si="455"/>
        <v>0</v>
      </c>
      <c r="N3462" s="95">
        <f>IF(P3462="Hedge Fund",IF(A3462=Summary!$AD$3,M3462-E3462,M3462),IF(A3462=Summary!$AD$3,L3462-D3462,L3462))</f>
        <v>1166400</v>
      </c>
      <c r="O3462" s="95">
        <f t="shared" si="456"/>
        <v>1166400</v>
      </c>
      <c r="P3462" s="107" t="s">
        <v>155</v>
      </c>
      <c r="Q3462" s="107">
        <v>0</v>
      </c>
      <c r="R3462" s="107">
        <v>0</v>
      </c>
      <c r="S3462" s="107">
        <v>0</v>
      </c>
      <c r="T3462" s="107">
        <v>0</v>
      </c>
      <c r="U3462" s="107"/>
      <c r="V3462" s="107"/>
      <c r="W3462" s="107"/>
      <c r="X3462" s="107"/>
      <c r="Y3462" s="107"/>
      <c r="Z3462" s="107"/>
      <c r="AA3462" s="107"/>
      <c r="AB3462" s="107"/>
      <c r="AC3462" s="355"/>
      <c r="AD3462" s="355"/>
      <c r="AE3462" s="355"/>
      <c r="AF3462" s="94">
        <f t="shared" si="457"/>
        <v>40877</v>
      </c>
      <c r="AG3462" s="185">
        <f t="shared" si="452"/>
        <v>2.0975144617545904E-2</v>
      </c>
      <c r="AH3462" s="339" t="str">
        <f>VLOOKUP(B3462,'MF PF'!A:B,2)</f>
        <v>FdMgt1</v>
      </c>
      <c r="AI3462" s="358">
        <f t="shared" si="458"/>
        <v>0</v>
      </c>
      <c r="AJ3462" s="94">
        <f t="shared" si="459"/>
        <v>40877</v>
      </c>
    </row>
    <row r="3463" spans="1:36" ht="12.75" customHeight="1">
      <c r="A3463" s="94">
        <v>40907</v>
      </c>
      <c r="B3463" s="94" t="s">
        <v>188</v>
      </c>
      <c r="C3463" s="358" t="s">
        <v>305</v>
      </c>
      <c r="D3463" s="98">
        <v>19070372.654865604</v>
      </c>
      <c r="E3463" s="95">
        <f t="shared" si="453"/>
        <v>5844706.1159444368</v>
      </c>
      <c r="F3463" s="98">
        <v>21.6</v>
      </c>
      <c r="G3463" s="98">
        <v>5616000</v>
      </c>
      <c r="H3463" s="98">
        <v>0</v>
      </c>
      <c r="I3463" s="98">
        <v>0</v>
      </c>
      <c r="J3463" s="98"/>
      <c r="K3463" s="93">
        <v>3.2628454325259182</v>
      </c>
      <c r="L3463" s="93">
        <f t="shared" si="454"/>
        <v>5616000</v>
      </c>
      <c r="M3463" s="95">
        <f t="shared" ca="1" si="455"/>
        <v>0</v>
      </c>
      <c r="N3463" s="95">
        <f>IF(P3463="Hedge Fund",IF(A3463=Summary!$AD$3,M3463-E3463,M3463),IF(A3463=Summary!$AD$3,L3463-D3463,L3463))</f>
        <v>5616000</v>
      </c>
      <c r="O3463" s="95">
        <f t="shared" si="456"/>
        <v>5616000</v>
      </c>
      <c r="P3463" s="107" t="s">
        <v>155</v>
      </c>
      <c r="Q3463" s="107">
        <v>0</v>
      </c>
      <c r="R3463" s="107">
        <v>0</v>
      </c>
      <c r="S3463" s="107">
        <v>0</v>
      </c>
      <c r="T3463" s="107">
        <v>0</v>
      </c>
      <c r="U3463" s="107"/>
      <c r="V3463" s="107"/>
      <c r="W3463" s="107"/>
      <c r="X3463" s="107"/>
      <c r="Y3463" s="107"/>
      <c r="Z3463" s="107"/>
      <c r="AA3463" s="107"/>
      <c r="AB3463" s="107"/>
      <c r="AC3463" s="355"/>
      <c r="AD3463" s="355"/>
      <c r="AE3463" s="355"/>
      <c r="AF3463" s="94">
        <f t="shared" si="457"/>
        <v>40907</v>
      </c>
      <c r="AG3463" s="185">
        <f t="shared" si="452"/>
        <v>2.1209484027601366E-2</v>
      </c>
      <c r="AH3463" s="339" t="str">
        <f>VLOOKUP(B3463,'MF PF'!A:B,2)</f>
        <v>FdMgt1</v>
      </c>
      <c r="AI3463" s="358">
        <f t="shared" si="458"/>
        <v>0</v>
      </c>
      <c r="AJ3463" s="94">
        <f t="shared" si="459"/>
        <v>40908</v>
      </c>
    </row>
    <row r="3464" spans="1:36" ht="12.75" customHeight="1">
      <c r="A3464" s="94">
        <v>40939</v>
      </c>
      <c r="B3464" s="94" t="s">
        <v>188</v>
      </c>
      <c r="C3464" s="358" t="s">
        <v>305</v>
      </c>
      <c r="D3464" s="98">
        <v>18987162.529326625</v>
      </c>
      <c r="E3464" s="9">
        <f t="shared" si="453"/>
        <v>5819203.7968000807</v>
      </c>
      <c r="F3464" s="98">
        <v>21.6</v>
      </c>
      <c r="G3464" s="98">
        <v>0</v>
      </c>
      <c r="H3464" s="98">
        <v>0</v>
      </c>
      <c r="I3464" s="98">
        <v>0</v>
      </c>
      <c r="J3464" s="98"/>
      <c r="K3464" s="7">
        <v>3.2628454325259182</v>
      </c>
      <c r="L3464" s="93">
        <f t="shared" si="454"/>
        <v>0</v>
      </c>
      <c r="M3464" s="95">
        <f t="shared" ca="1" si="455"/>
        <v>0</v>
      </c>
      <c r="N3464" s="95">
        <f>IF(P3464="Hedge Fund",IF(A3464=Summary!$AD$3,M3464-E3464,M3464),IF(A3464=Summary!$AD$3,L3464-D3464,L3464))</f>
        <v>0</v>
      </c>
      <c r="O3464" s="95">
        <f t="shared" si="456"/>
        <v>0</v>
      </c>
      <c r="P3464" s="107" t="s">
        <v>155</v>
      </c>
      <c r="Q3464" s="107">
        <v>0</v>
      </c>
      <c r="R3464" s="107">
        <v>0</v>
      </c>
      <c r="S3464" s="107">
        <v>0</v>
      </c>
      <c r="T3464" s="107">
        <v>0</v>
      </c>
      <c r="U3464" s="107"/>
      <c r="V3464" s="107"/>
      <c r="W3464" s="107"/>
      <c r="X3464" s="107"/>
      <c r="Y3464" s="107"/>
      <c r="Z3464" s="107"/>
      <c r="AA3464" s="107"/>
      <c r="AB3464" s="107"/>
      <c r="AC3464" s="355"/>
      <c r="AD3464" s="355"/>
      <c r="AE3464" s="355"/>
      <c r="AF3464" s="94">
        <f t="shared" si="457"/>
        <v>40939</v>
      </c>
      <c r="AG3464" s="185">
        <f t="shared" si="452"/>
        <v>-4.3633193249502655E-3</v>
      </c>
      <c r="AH3464" s="339" t="str">
        <f>VLOOKUP(B3464,'MF PF'!A:B,2)</f>
        <v>FdMgt1</v>
      </c>
      <c r="AI3464" s="358">
        <f t="shared" si="458"/>
        <v>0</v>
      </c>
      <c r="AJ3464" s="94">
        <f t="shared" si="459"/>
        <v>40939</v>
      </c>
    </row>
    <row r="3465" spans="1:36" ht="12.75" customHeight="1">
      <c r="A3465" s="94">
        <v>40968</v>
      </c>
      <c r="B3465" s="94" t="s">
        <v>188</v>
      </c>
      <c r="C3465" s="358" t="s">
        <v>305</v>
      </c>
      <c r="D3465" s="98">
        <v>21773988.077221259</v>
      </c>
      <c r="E3465" s="9">
        <f t="shared" si="453"/>
        <v>5877625.2611154309</v>
      </c>
      <c r="F3465" s="98">
        <v>21.6</v>
      </c>
      <c r="G3465" s="98">
        <v>2570400</v>
      </c>
      <c r="H3465" s="98">
        <v>0</v>
      </c>
      <c r="I3465" s="98">
        <v>0</v>
      </c>
      <c r="J3465" s="98"/>
      <c r="K3465" s="7">
        <v>3.7045553450423756</v>
      </c>
      <c r="L3465" s="93">
        <f t="shared" si="454"/>
        <v>2570400</v>
      </c>
      <c r="M3465" s="95">
        <f t="shared" ca="1" si="455"/>
        <v>0</v>
      </c>
      <c r="N3465" s="95">
        <f>IF(P3465="Hedge Fund",IF(A3465=Summary!$AD$3,M3465-E3465,M3465),IF(A3465=Summary!$AD$3,L3465-D3465,L3465))</f>
        <v>2570400</v>
      </c>
      <c r="O3465" s="95">
        <f t="shared" si="456"/>
        <v>2570400</v>
      </c>
      <c r="P3465" s="107" t="s">
        <v>155</v>
      </c>
      <c r="Q3465" s="107">
        <v>0</v>
      </c>
      <c r="R3465" s="107">
        <v>0</v>
      </c>
      <c r="S3465" s="107">
        <v>0</v>
      </c>
      <c r="T3465" s="107">
        <v>0</v>
      </c>
      <c r="U3465" s="107"/>
      <c r="V3465" s="107"/>
      <c r="W3465" s="107"/>
      <c r="X3465" s="107"/>
      <c r="Y3465" s="107"/>
      <c r="Z3465" s="107"/>
      <c r="AA3465" s="107"/>
      <c r="AB3465" s="107"/>
      <c r="AC3465" s="355"/>
      <c r="AD3465" s="355"/>
      <c r="AE3465" s="355"/>
      <c r="AF3465" s="94">
        <f t="shared" si="457"/>
        <v>40968</v>
      </c>
      <c r="AG3465" s="185">
        <f t="shared" si="452"/>
        <v>1.1398519792536366E-2</v>
      </c>
      <c r="AH3465" s="339" t="str">
        <f>VLOOKUP(B3465,'MF PF'!A:B,2)</f>
        <v>FdMgt1</v>
      </c>
      <c r="AI3465" s="358">
        <f t="shared" si="458"/>
        <v>0</v>
      </c>
      <c r="AJ3465" s="94">
        <f t="shared" si="459"/>
        <v>40968</v>
      </c>
    </row>
    <row r="3466" spans="1:36" ht="12.75" customHeight="1">
      <c r="A3466" s="94">
        <v>40998</v>
      </c>
      <c r="B3466" s="94" t="s">
        <v>188</v>
      </c>
      <c r="C3466" s="358" t="s">
        <v>305</v>
      </c>
      <c r="D3466" s="98">
        <v>22206005.1703123</v>
      </c>
      <c r="E3466" s="9">
        <f t="shared" si="453"/>
        <v>5994243.0607844759</v>
      </c>
      <c r="F3466" s="98">
        <v>21.6</v>
      </c>
      <c r="G3466" s="98">
        <v>0</v>
      </c>
      <c r="H3466" s="98">
        <v>0</v>
      </c>
      <c r="I3466" s="98">
        <v>0</v>
      </c>
      <c r="J3466" s="98"/>
      <c r="K3466" s="7">
        <v>3.7045553450423756</v>
      </c>
      <c r="L3466" s="93">
        <f t="shared" si="454"/>
        <v>0</v>
      </c>
      <c r="M3466" s="95">
        <f t="shared" ca="1" si="455"/>
        <v>0</v>
      </c>
      <c r="N3466" s="95">
        <f>IF(P3466="Hedge Fund",IF(A3466=Summary!$AD$3,M3466-E3466,M3466),IF(A3466=Summary!$AD$3,L3466-D3466,L3466))</f>
        <v>0</v>
      </c>
      <c r="O3466" s="95">
        <f t="shared" si="456"/>
        <v>0</v>
      </c>
      <c r="P3466" s="107" t="s">
        <v>155</v>
      </c>
      <c r="Q3466" s="107">
        <v>0</v>
      </c>
      <c r="R3466" s="107">
        <v>0</v>
      </c>
      <c r="S3466" s="107">
        <v>0</v>
      </c>
      <c r="T3466" s="107">
        <v>0</v>
      </c>
      <c r="U3466" s="107"/>
      <c r="V3466" s="107"/>
      <c r="W3466" s="107"/>
      <c r="X3466" s="107"/>
      <c r="Y3466" s="107"/>
      <c r="Z3466" s="107"/>
      <c r="AA3466" s="107"/>
      <c r="AB3466" s="107"/>
      <c r="AC3466" s="355"/>
      <c r="AD3466" s="355"/>
      <c r="AE3466" s="355"/>
      <c r="AF3466" s="94">
        <f t="shared" si="457"/>
        <v>40998</v>
      </c>
      <c r="AG3466" s="185">
        <f t="shared" si="452"/>
        <v>1.9840972244445698E-2</v>
      </c>
      <c r="AH3466" s="339" t="str">
        <f>VLOOKUP(B3466,'MF PF'!A:B,2)</f>
        <v>FdMgt1</v>
      </c>
      <c r="AI3466" s="358">
        <f t="shared" si="458"/>
        <v>0</v>
      </c>
      <c r="AJ3466" s="94">
        <f t="shared" si="459"/>
        <v>40999</v>
      </c>
    </row>
    <row r="3467" spans="1:36" ht="12.75" customHeight="1">
      <c r="A3467" s="94">
        <v>41029</v>
      </c>
      <c r="B3467" s="94" t="s">
        <v>188</v>
      </c>
      <c r="C3467" s="358" t="s">
        <v>305</v>
      </c>
      <c r="D3467" s="98">
        <v>22709731.070482198</v>
      </c>
      <c r="E3467" s="9">
        <f t="shared" si="453"/>
        <v>6130217.7873718413</v>
      </c>
      <c r="F3467" s="98">
        <v>21.6</v>
      </c>
      <c r="G3467" s="98">
        <v>0</v>
      </c>
      <c r="H3467" s="98">
        <v>0</v>
      </c>
      <c r="I3467" s="98">
        <v>0</v>
      </c>
      <c r="J3467" s="98"/>
      <c r="K3467" s="7">
        <v>3.7045553450423756</v>
      </c>
      <c r="L3467" s="93">
        <f t="shared" si="454"/>
        <v>0</v>
      </c>
      <c r="M3467" s="95">
        <f t="shared" ca="1" si="455"/>
        <v>0</v>
      </c>
      <c r="N3467" s="95">
        <f>IF(P3467="Hedge Fund",IF(A3467=Summary!$AD$3,M3467-E3467,M3467),IF(A3467=Summary!$AD$3,L3467-D3467,L3467))</f>
        <v>0</v>
      </c>
      <c r="O3467" s="95">
        <f t="shared" si="456"/>
        <v>0</v>
      </c>
      <c r="P3467" s="107" t="s">
        <v>155</v>
      </c>
      <c r="Q3467" s="107">
        <v>0</v>
      </c>
      <c r="R3467" s="107">
        <v>0</v>
      </c>
      <c r="S3467" s="107">
        <v>0</v>
      </c>
      <c r="T3467" s="107">
        <v>0</v>
      </c>
      <c r="U3467" s="107"/>
      <c r="V3467" s="107"/>
      <c r="W3467" s="107"/>
      <c r="X3467" s="107"/>
      <c r="Y3467" s="107"/>
      <c r="Z3467" s="107"/>
      <c r="AA3467" s="107"/>
      <c r="AB3467" s="107"/>
      <c r="AC3467" s="355"/>
      <c r="AD3467" s="355"/>
      <c r="AE3467" s="355"/>
      <c r="AF3467" s="94">
        <f t="shared" si="457"/>
        <v>41029</v>
      </c>
      <c r="AG3467" s="185">
        <f t="shared" si="452"/>
        <v>2.2684219710231268E-2</v>
      </c>
      <c r="AH3467" s="339" t="str">
        <f>VLOOKUP(B3467,'MF PF'!A:B,2)</f>
        <v>FdMgt1</v>
      </c>
      <c r="AI3467" s="358">
        <f t="shared" si="458"/>
        <v>0</v>
      </c>
      <c r="AJ3467" s="94">
        <f t="shared" si="459"/>
        <v>41029</v>
      </c>
    </row>
    <row r="3468" spans="1:36" ht="12.75" customHeight="1">
      <c r="A3468" s="94">
        <v>41060</v>
      </c>
      <c r="B3468" s="94" t="s">
        <v>188</v>
      </c>
      <c r="C3468" s="358" t="s">
        <v>305</v>
      </c>
      <c r="D3468" s="98">
        <v>22793766.635628801</v>
      </c>
      <c r="E3468" s="9">
        <f t="shared" si="453"/>
        <v>6152902.1738418834</v>
      </c>
      <c r="F3468" s="98">
        <v>21.6</v>
      </c>
      <c r="G3468" s="98">
        <v>0</v>
      </c>
      <c r="H3468" s="98">
        <v>0</v>
      </c>
      <c r="I3468" s="98">
        <v>0</v>
      </c>
      <c r="J3468" s="98"/>
      <c r="K3468" s="7">
        <v>3.7045553450423756</v>
      </c>
      <c r="L3468" s="93">
        <f t="shared" si="454"/>
        <v>0</v>
      </c>
      <c r="M3468" s="95">
        <f t="shared" ca="1" si="455"/>
        <v>0</v>
      </c>
      <c r="N3468" s="95">
        <f>IF(P3468="Hedge Fund",IF(A3468=Summary!$AD$3,M3468-E3468,M3468),IF(A3468=Summary!$AD$3,L3468-D3468,L3468))</f>
        <v>0</v>
      </c>
      <c r="O3468" s="95">
        <f t="shared" si="456"/>
        <v>0</v>
      </c>
      <c r="P3468" s="107" t="s">
        <v>155</v>
      </c>
      <c r="Q3468" s="107">
        <v>0</v>
      </c>
      <c r="R3468" s="107">
        <v>0</v>
      </c>
      <c r="S3468" s="107">
        <v>0</v>
      </c>
      <c r="T3468" s="107">
        <v>0</v>
      </c>
      <c r="U3468" s="107"/>
      <c r="V3468" s="107"/>
      <c r="W3468" s="107"/>
      <c r="X3468" s="107"/>
      <c r="Y3468" s="107"/>
      <c r="Z3468" s="107"/>
      <c r="AA3468" s="107"/>
      <c r="AB3468" s="107"/>
      <c r="AC3468" s="355"/>
      <c r="AD3468" s="355"/>
      <c r="AE3468" s="355"/>
      <c r="AF3468" s="94">
        <f t="shared" si="457"/>
        <v>41060</v>
      </c>
      <c r="AG3468" s="185">
        <f t="shared" si="452"/>
        <v>3.7004209730968629E-3</v>
      </c>
      <c r="AH3468" s="339" t="str">
        <f>VLOOKUP(B3468,'MF PF'!A:B,2)</f>
        <v>FdMgt1</v>
      </c>
      <c r="AI3468" s="358">
        <f t="shared" si="458"/>
        <v>0</v>
      </c>
      <c r="AJ3468" s="94">
        <f t="shared" si="459"/>
        <v>41060</v>
      </c>
    </row>
    <row r="3469" spans="1:36" ht="12.75" customHeight="1">
      <c r="A3469" s="94">
        <v>41089</v>
      </c>
      <c r="B3469" s="94" t="s">
        <v>188</v>
      </c>
      <c r="C3469" s="358" t="s">
        <v>305</v>
      </c>
      <c r="D3469" s="98">
        <v>17140938.4730247</v>
      </c>
      <c r="E3469" s="9">
        <f t="shared" si="453"/>
        <v>4626989.4431361584</v>
      </c>
      <c r="F3469" s="98">
        <v>21.6</v>
      </c>
      <c r="G3469" s="98">
        <v>0</v>
      </c>
      <c r="H3469" s="98">
        <v>0</v>
      </c>
      <c r="I3469" s="98">
        <v>-5491429.75</v>
      </c>
      <c r="J3469" s="98"/>
      <c r="K3469" s="7">
        <v>3.7045553450423756</v>
      </c>
      <c r="L3469" s="93">
        <f t="shared" si="454"/>
        <v>-5491429.75</v>
      </c>
      <c r="M3469" s="95">
        <f t="shared" ca="1" si="455"/>
        <v>-1482345.1773635696</v>
      </c>
      <c r="N3469" s="95">
        <f>IF(P3469="Hedge Fund",IF(A3469=Summary!$AD$3,M3469-E3469,M3469),IF(A3469=Summary!$AD$3,L3469-D3469,L3469))</f>
        <v>-5491429.75</v>
      </c>
      <c r="O3469" s="95">
        <f t="shared" si="456"/>
        <v>-5491429.75</v>
      </c>
      <c r="P3469" s="107" t="s">
        <v>155</v>
      </c>
      <c r="Q3469" s="107">
        <v>0</v>
      </c>
      <c r="R3469" s="107">
        <v>0</v>
      </c>
      <c r="S3469" s="107">
        <v>0</v>
      </c>
      <c r="T3469" s="107">
        <v>0</v>
      </c>
      <c r="U3469" s="107"/>
      <c r="V3469" s="107"/>
      <c r="W3469" s="107"/>
      <c r="X3469" s="107"/>
      <c r="Y3469" s="107"/>
      <c r="Z3469" s="107"/>
      <c r="AA3469" s="107"/>
      <c r="AB3469" s="107"/>
      <c r="AC3469" s="355"/>
      <c r="AD3469" s="355"/>
      <c r="AE3469" s="355"/>
      <c r="AF3469" s="94">
        <f t="shared" si="457"/>
        <v>41089</v>
      </c>
      <c r="AG3469" s="185">
        <f t="shared" si="452"/>
        <v>-7.0808135918974946E-3</v>
      </c>
      <c r="AH3469" s="339" t="str">
        <f>VLOOKUP(B3469,'MF PF'!A:B,2)</f>
        <v>FdMgt1</v>
      </c>
      <c r="AI3469" s="358">
        <f t="shared" si="458"/>
        <v>0</v>
      </c>
      <c r="AJ3469" s="94">
        <f t="shared" si="459"/>
        <v>41090</v>
      </c>
    </row>
    <row r="3470" spans="1:36" ht="12.75" customHeight="1">
      <c r="A3470" s="94">
        <v>41121</v>
      </c>
      <c r="B3470" s="94" t="s">
        <v>188</v>
      </c>
      <c r="C3470" s="358" t="s">
        <v>305</v>
      </c>
      <c r="D3470" s="98">
        <v>17390320.8747258</v>
      </c>
      <c r="E3470" s="9">
        <f t="shared" si="453"/>
        <v>4694307.2123347847</v>
      </c>
      <c r="F3470" s="98">
        <v>21.6</v>
      </c>
      <c r="G3470" s="98">
        <v>0</v>
      </c>
      <c r="H3470" s="98">
        <v>0</v>
      </c>
      <c r="I3470" s="98">
        <v>0</v>
      </c>
      <c r="J3470" s="98"/>
      <c r="K3470" s="7">
        <v>3.7045553450423756</v>
      </c>
      <c r="L3470" s="93">
        <f t="shared" si="454"/>
        <v>0</v>
      </c>
      <c r="M3470" s="95">
        <f t="shared" ca="1" si="455"/>
        <v>0</v>
      </c>
      <c r="N3470" s="95">
        <f>IF(P3470="Hedge Fund",IF(A3470=Summary!$AD$3,M3470-E3470,M3470),IF(A3470=Summary!$AD$3,L3470-D3470,L3470))</f>
        <v>0</v>
      </c>
      <c r="O3470" s="95">
        <f t="shared" si="456"/>
        <v>0</v>
      </c>
      <c r="P3470" s="107" t="s">
        <v>155</v>
      </c>
      <c r="Q3470" s="107">
        <v>0</v>
      </c>
      <c r="R3470" s="107">
        <v>0</v>
      </c>
      <c r="S3470" s="107">
        <v>0</v>
      </c>
      <c r="T3470" s="107">
        <v>0</v>
      </c>
      <c r="U3470" s="107"/>
      <c r="V3470" s="107"/>
      <c r="W3470" s="107"/>
      <c r="X3470" s="107"/>
      <c r="Y3470" s="107"/>
      <c r="Z3470" s="107"/>
      <c r="AA3470" s="107"/>
      <c r="AB3470" s="107"/>
      <c r="AC3470" s="355"/>
      <c r="AD3470" s="355"/>
      <c r="AE3470" s="355"/>
      <c r="AF3470" s="94">
        <f t="shared" si="457"/>
        <v>41121</v>
      </c>
      <c r="AG3470" s="185">
        <f t="shared" si="452"/>
        <v>1.4548935117733697E-2</v>
      </c>
      <c r="AH3470" s="339" t="str">
        <f>VLOOKUP(B3470,'MF PF'!A:B,2)</f>
        <v>FdMgt1</v>
      </c>
      <c r="AI3470" s="358">
        <f t="shared" si="458"/>
        <v>0</v>
      </c>
      <c r="AJ3470" s="94">
        <f t="shared" si="459"/>
        <v>41121</v>
      </c>
    </row>
    <row r="3471" spans="1:36" ht="12.75" customHeight="1">
      <c r="A3471" s="94">
        <v>41152</v>
      </c>
      <c r="B3471" s="94" t="s">
        <v>188</v>
      </c>
      <c r="C3471" s="358" t="s">
        <v>305</v>
      </c>
      <c r="D3471" s="98">
        <v>17407868.377999999</v>
      </c>
      <c r="E3471" s="9">
        <f t="shared" si="453"/>
        <v>4699043.9490386052</v>
      </c>
      <c r="F3471" s="98">
        <v>21.6</v>
      </c>
      <c r="G3471" s="98">
        <v>0</v>
      </c>
      <c r="H3471" s="98">
        <v>0</v>
      </c>
      <c r="I3471" s="98">
        <v>0</v>
      </c>
      <c r="J3471" s="98"/>
      <c r="K3471" s="7">
        <v>3.7045553450423756</v>
      </c>
      <c r="L3471" s="93">
        <f t="shared" si="454"/>
        <v>0</v>
      </c>
      <c r="M3471" s="95">
        <f t="shared" ca="1" si="455"/>
        <v>0</v>
      </c>
      <c r="N3471" s="95">
        <f>IF(P3471="Hedge Fund",IF(A3471=Summary!$AD$3,M3471-E3471,M3471),IF(A3471=Summary!$AD$3,L3471-D3471,L3471))</f>
        <v>0</v>
      </c>
      <c r="O3471" s="95">
        <f t="shared" si="456"/>
        <v>0</v>
      </c>
      <c r="P3471" s="107" t="s">
        <v>155</v>
      </c>
      <c r="Q3471" s="107">
        <v>0</v>
      </c>
      <c r="R3471" s="107">
        <v>0</v>
      </c>
      <c r="S3471" s="107">
        <v>0</v>
      </c>
      <c r="T3471" s="107">
        <v>0</v>
      </c>
      <c r="U3471" s="107"/>
      <c r="V3471" s="107"/>
      <c r="W3471" s="107"/>
      <c r="X3471" s="107"/>
      <c r="Y3471" s="107"/>
      <c r="Z3471" s="107"/>
      <c r="AA3471" s="107"/>
      <c r="AB3471" s="107"/>
      <c r="AC3471" s="355"/>
      <c r="AD3471" s="355"/>
      <c r="AE3471" s="355"/>
      <c r="AF3471" s="94">
        <f t="shared" si="457"/>
        <v>41152</v>
      </c>
      <c r="AG3471" s="185">
        <f t="shared" si="452"/>
        <v>1.0090384990941725E-3</v>
      </c>
      <c r="AH3471" s="339" t="str">
        <f>VLOOKUP(B3471,'MF PF'!A:B,2)</f>
        <v>FdMgt1</v>
      </c>
      <c r="AI3471" s="358">
        <f t="shared" si="458"/>
        <v>0</v>
      </c>
      <c r="AJ3471" s="94">
        <f t="shared" si="459"/>
        <v>41152</v>
      </c>
    </row>
    <row r="3472" spans="1:36" ht="12.75" customHeight="1">
      <c r="A3472" s="94">
        <v>41180</v>
      </c>
      <c r="B3472" s="94" t="s">
        <v>188</v>
      </c>
      <c r="C3472" s="358" t="s">
        <v>305</v>
      </c>
      <c r="D3472" s="98">
        <v>17178589.282000002</v>
      </c>
      <c r="E3472" s="9">
        <f t="shared" si="453"/>
        <v>4637152.8245594343</v>
      </c>
      <c r="F3472" s="98">
        <v>21.6</v>
      </c>
      <c r="G3472" s="98">
        <v>0</v>
      </c>
      <c r="H3472" s="98">
        <v>0</v>
      </c>
      <c r="I3472" s="98">
        <v>0</v>
      </c>
      <c r="J3472" s="98"/>
      <c r="K3472" s="7">
        <v>3.7045553450423756</v>
      </c>
      <c r="L3472" s="93">
        <f t="shared" si="454"/>
        <v>0</v>
      </c>
      <c r="M3472" s="95">
        <f t="shared" ca="1" si="455"/>
        <v>0</v>
      </c>
      <c r="N3472" s="95">
        <f>IF(P3472="Hedge Fund",IF(A3472=Summary!$AD$3,M3472-E3472,M3472),IF(A3472=Summary!$AD$3,L3472-D3472,L3472))</f>
        <v>0</v>
      </c>
      <c r="O3472" s="95">
        <f t="shared" si="456"/>
        <v>0</v>
      </c>
      <c r="P3472" s="107" t="s">
        <v>155</v>
      </c>
      <c r="Q3472" s="107">
        <v>0</v>
      </c>
      <c r="R3472" s="107">
        <v>0</v>
      </c>
      <c r="S3472" s="107">
        <v>0</v>
      </c>
      <c r="T3472" s="107">
        <v>0</v>
      </c>
      <c r="U3472" s="107"/>
      <c r="V3472" s="107"/>
      <c r="W3472" s="107"/>
      <c r="X3472" s="107"/>
      <c r="Y3472" s="107"/>
      <c r="Z3472" s="107"/>
      <c r="AA3472" s="107"/>
      <c r="AB3472" s="107"/>
      <c r="AC3472" s="355"/>
      <c r="AD3472" s="355"/>
      <c r="AE3472" s="355"/>
      <c r="AF3472" s="94">
        <f t="shared" si="457"/>
        <v>41180</v>
      </c>
      <c r="AG3472" s="185">
        <f t="shared" si="452"/>
        <v>-1.3171003538248183E-2</v>
      </c>
      <c r="AH3472" s="339" t="str">
        <f>VLOOKUP(B3472,'MF PF'!A:B,2)</f>
        <v>FdMgt1</v>
      </c>
      <c r="AI3472" s="358">
        <f t="shared" si="458"/>
        <v>0</v>
      </c>
      <c r="AJ3472" s="94">
        <f t="shared" si="459"/>
        <v>41182</v>
      </c>
    </row>
    <row r="3473" spans="1:36" ht="12.75" customHeight="1">
      <c r="A3473" s="94">
        <v>41213</v>
      </c>
      <c r="B3473" s="94" t="s">
        <v>188</v>
      </c>
      <c r="C3473" s="358" t="s">
        <v>305</v>
      </c>
      <c r="D3473" s="98">
        <v>15083813.619999999</v>
      </c>
      <c r="E3473" s="9">
        <f t="shared" si="453"/>
        <v>4071693.4193427358</v>
      </c>
      <c r="F3473" s="98">
        <v>21.6</v>
      </c>
      <c r="G3473" s="98">
        <v>0</v>
      </c>
      <c r="H3473" s="98">
        <v>0</v>
      </c>
      <c r="I3473" s="98">
        <v>-2258158.0299999998</v>
      </c>
      <c r="J3473" s="98"/>
      <c r="K3473" s="7">
        <v>3.7045553450423756</v>
      </c>
      <c r="L3473" s="93">
        <f t="shared" si="454"/>
        <v>-2258158.0299999998</v>
      </c>
      <c r="M3473" s="95">
        <f t="shared" ca="1" si="455"/>
        <v>-609562.50337087875</v>
      </c>
      <c r="N3473" s="95">
        <f>IF(P3473="Hedge Fund",IF(A3473=Summary!$AD$3,M3473-E3473,M3473),IF(A3473=Summary!$AD$3,L3473-D3473,L3473))</f>
        <v>-2258158.0299999998</v>
      </c>
      <c r="O3473" s="95">
        <f t="shared" si="456"/>
        <v>-2258158.0299999998</v>
      </c>
      <c r="P3473" s="107" t="s">
        <v>155</v>
      </c>
      <c r="Q3473" s="107">
        <v>0</v>
      </c>
      <c r="R3473" s="107">
        <v>0</v>
      </c>
      <c r="S3473" s="107">
        <v>0</v>
      </c>
      <c r="T3473" s="107">
        <v>0</v>
      </c>
      <c r="U3473" s="107"/>
      <c r="V3473" s="107"/>
      <c r="W3473" s="107"/>
      <c r="X3473" s="107"/>
      <c r="Y3473" s="107"/>
      <c r="Z3473" s="107"/>
      <c r="AA3473" s="107"/>
      <c r="AB3473" s="107"/>
      <c r="AC3473" s="355"/>
      <c r="AD3473" s="355"/>
      <c r="AE3473" s="355"/>
      <c r="AF3473" s="94">
        <f t="shared" si="457"/>
        <v>41213</v>
      </c>
      <c r="AG3473" s="185">
        <f t="shared" si="452"/>
        <v>9.5108140323949542E-3</v>
      </c>
      <c r="AH3473" s="339" t="str">
        <f>VLOOKUP(B3473,'MF PF'!A:B,2)</f>
        <v>FdMgt1</v>
      </c>
      <c r="AI3473" s="358">
        <f t="shared" si="458"/>
        <v>0</v>
      </c>
      <c r="AJ3473" s="94">
        <f t="shared" si="459"/>
        <v>41213</v>
      </c>
    </row>
    <row r="3474" spans="1:36" ht="12.75" customHeight="1">
      <c r="A3474" s="94">
        <v>41243</v>
      </c>
      <c r="B3474" s="94" t="s">
        <v>188</v>
      </c>
      <c r="C3474" s="358" t="s">
        <v>305</v>
      </c>
      <c r="D3474" s="98">
        <v>15119541.995999999</v>
      </c>
      <c r="E3474" s="9">
        <f t="shared" si="453"/>
        <v>4081337.8631888279</v>
      </c>
      <c r="F3474" s="98">
        <v>21.6</v>
      </c>
      <c r="G3474" s="98">
        <v>0</v>
      </c>
      <c r="H3474" s="98">
        <v>0</v>
      </c>
      <c r="I3474" s="98">
        <v>0</v>
      </c>
      <c r="J3474" s="98"/>
      <c r="K3474" s="7">
        <v>3.7045553450423756</v>
      </c>
      <c r="L3474" s="93">
        <f t="shared" si="454"/>
        <v>0</v>
      </c>
      <c r="M3474" s="95">
        <f t="shared" ca="1" si="455"/>
        <v>0</v>
      </c>
      <c r="N3474" s="95">
        <f>IF(P3474="Hedge Fund",IF(A3474=Summary!$AD$3,M3474-E3474,M3474),IF(A3474=Summary!$AD$3,L3474-D3474,L3474))</f>
        <v>0</v>
      </c>
      <c r="O3474" s="95">
        <f t="shared" si="456"/>
        <v>0</v>
      </c>
      <c r="P3474" s="107" t="s">
        <v>155</v>
      </c>
      <c r="Q3474" s="107">
        <v>0</v>
      </c>
      <c r="R3474" s="107">
        <v>0</v>
      </c>
      <c r="S3474" s="107">
        <v>0</v>
      </c>
      <c r="T3474" s="107">
        <v>0</v>
      </c>
      <c r="U3474" s="107"/>
      <c r="V3474" s="107"/>
      <c r="W3474" s="107"/>
      <c r="X3474" s="107"/>
      <c r="Y3474" s="107"/>
      <c r="Z3474" s="107"/>
      <c r="AA3474" s="107"/>
      <c r="AB3474" s="107"/>
      <c r="AC3474" s="355"/>
      <c r="AD3474" s="355"/>
      <c r="AE3474" s="355"/>
      <c r="AF3474" s="94">
        <f t="shared" si="457"/>
        <v>41243</v>
      </c>
      <c r="AG3474" s="185">
        <f t="shared" si="452"/>
        <v>2.3686566872336279E-3</v>
      </c>
      <c r="AH3474" s="339" t="str">
        <f>VLOOKUP(B3474,'MF PF'!A:B,2)</f>
        <v>FdMgt1</v>
      </c>
      <c r="AI3474" s="358">
        <f t="shared" si="458"/>
        <v>0</v>
      </c>
      <c r="AJ3474" s="94">
        <f t="shared" si="459"/>
        <v>41243</v>
      </c>
    </row>
    <row r="3475" spans="1:36" ht="12.75" customHeight="1">
      <c r="A3475" s="94">
        <v>41274</v>
      </c>
      <c r="B3475" s="94" t="s">
        <v>188</v>
      </c>
      <c r="C3475" s="358" t="s">
        <v>305</v>
      </c>
      <c r="D3475" s="98">
        <v>15350965.075999999</v>
      </c>
      <c r="E3475" s="9">
        <f t="shared" si="453"/>
        <v>4143807.7302700961</v>
      </c>
      <c r="F3475" s="98">
        <v>21.6</v>
      </c>
      <c r="G3475" s="98">
        <v>0</v>
      </c>
      <c r="H3475" s="98">
        <v>0</v>
      </c>
      <c r="I3475" s="98">
        <v>0</v>
      </c>
      <c r="J3475" s="98"/>
      <c r="K3475" s="7">
        <v>3.7045553450423756</v>
      </c>
      <c r="L3475" s="93">
        <f t="shared" si="454"/>
        <v>0</v>
      </c>
      <c r="M3475" s="95">
        <f t="shared" ca="1" si="455"/>
        <v>0</v>
      </c>
      <c r="N3475" s="95">
        <f>IF(P3475="Hedge Fund",IF(A3475=Summary!$AD$3,M3475-E3475,M3475),IF(A3475=Summary!$AD$3,L3475-D3475,L3475))</f>
        <v>0</v>
      </c>
      <c r="O3475" s="95">
        <f t="shared" si="456"/>
        <v>0</v>
      </c>
      <c r="P3475" s="107" t="s">
        <v>155</v>
      </c>
      <c r="Q3475" s="107">
        <v>0</v>
      </c>
      <c r="R3475" s="107">
        <v>0</v>
      </c>
      <c r="S3475" s="107">
        <v>0</v>
      </c>
      <c r="T3475" s="107">
        <v>0</v>
      </c>
      <c r="U3475" s="107"/>
      <c r="V3475" s="107"/>
      <c r="W3475" s="107"/>
      <c r="X3475" s="107"/>
      <c r="Y3475" s="107"/>
      <c r="Z3475" s="107"/>
      <c r="AA3475" s="107"/>
      <c r="AB3475" s="107"/>
      <c r="AC3475" s="355"/>
      <c r="AD3475" s="355"/>
      <c r="AE3475" s="355"/>
      <c r="AF3475" s="94">
        <f t="shared" si="457"/>
        <v>41274</v>
      </c>
      <c r="AG3475" s="185">
        <f t="shared" si="452"/>
        <v>1.5306222904187594E-2</v>
      </c>
      <c r="AH3475" s="339" t="str">
        <f>VLOOKUP(B3475,'MF PF'!A:B,2)</f>
        <v>FdMgt1</v>
      </c>
      <c r="AI3475" s="358">
        <f t="shared" si="458"/>
        <v>0</v>
      </c>
      <c r="AJ3475" s="94">
        <f t="shared" si="459"/>
        <v>41274</v>
      </c>
    </row>
    <row r="3476" spans="1:36" ht="12.75" customHeight="1">
      <c r="A3476" s="94">
        <v>41305</v>
      </c>
      <c r="B3476" s="94" t="s">
        <v>188</v>
      </c>
      <c r="C3476" s="358" t="s">
        <v>305</v>
      </c>
      <c r="D3476" s="98">
        <v>11622636.412</v>
      </c>
      <c r="E3476" s="9">
        <f t="shared" si="453"/>
        <v>3137390.4097705013</v>
      </c>
      <c r="F3476" s="98">
        <v>21.6</v>
      </c>
      <c r="G3476" s="98">
        <v>0</v>
      </c>
      <c r="H3476" s="98">
        <v>0</v>
      </c>
      <c r="I3476" s="98">
        <v>-4311028.96</v>
      </c>
      <c r="J3476" s="98"/>
      <c r="K3476" s="7">
        <v>3.7045553450423756</v>
      </c>
      <c r="L3476" s="93">
        <f t="shared" si="454"/>
        <v>-4311028.96</v>
      </c>
      <c r="M3476" s="95">
        <f t="shared" ca="1" si="455"/>
        <v>-1163710.2319902545</v>
      </c>
      <c r="N3476" s="95">
        <f>IF(P3476="Hedge Fund",IF(A3476=Summary!$AD$3,M3476-E3476,M3476),IF(A3476=Summary!$AD$3,L3476-D3476,L3476))</f>
        <v>-4311028.96</v>
      </c>
      <c r="O3476" s="95">
        <f t="shared" si="456"/>
        <v>-4311028.96</v>
      </c>
      <c r="P3476" s="107" t="s">
        <v>155</v>
      </c>
      <c r="Q3476" s="107">
        <v>0</v>
      </c>
      <c r="R3476" s="107">
        <v>0</v>
      </c>
      <c r="S3476" s="107">
        <v>0</v>
      </c>
      <c r="T3476" s="107">
        <v>0</v>
      </c>
      <c r="U3476" s="107"/>
      <c r="V3476" s="107"/>
      <c r="W3476" s="107"/>
      <c r="X3476" s="107"/>
      <c r="Y3476" s="107"/>
      <c r="Z3476" s="107"/>
      <c r="AA3476" s="107"/>
      <c r="AB3476" s="107"/>
      <c r="AC3476" s="355"/>
      <c r="AD3476" s="355"/>
      <c r="AE3476" s="355"/>
      <c r="AF3476" s="94">
        <f t="shared" si="457"/>
        <v>41305</v>
      </c>
      <c r="AG3476" s="185">
        <f t="shared" si="452"/>
        <v>3.795854482862504E-2</v>
      </c>
      <c r="AH3476" s="339" t="str">
        <f>VLOOKUP(B3476,'MF PF'!A:B,2)</f>
        <v>FdMgt1</v>
      </c>
      <c r="AI3476" s="358">
        <f t="shared" si="458"/>
        <v>0</v>
      </c>
      <c r="AJ3476" s="94">
        <f t="shared" si="459"/>
        <v>41305</v>
      </c>
    </row>
    <row r="3477" spans="1:36" ht="12.75" customHeight="1">
      <c r="A3477" s="94">
        <v>41333</v>
      </c>
      <c r="B3477" s="94" t="s">
        <v>188</v>
      </c>
      <c r="C3477" s="358" t="s">
        <v>305</v>
      </c>
      <c r="D3477" s="98">
        <v>11478019.98</v>
      </c>
      <c r="E3477" s="9">
        <f t="shared" si="453"/>
        <v>3098352.9495275244</v>
      </c>
      <c r="F3477" s="98">
        <v>21.6</v>
      </c>
      <c r="G3477" s="98">
        <v>0</v>
      </c>
      <c r="H3477" s="98">
        <v>0</v>
      </c>
      <c r="I3477" s="98">
        <v>0</v>
      </c>
      <c r="J3477" s="98"/>
      <c r="K3477" s="7">
        <v>3.7045553450423756</v>
      </c>
      <c r="L3477" s="93">
        <f t="shared" si="454"/>
        <v>0</v>
      </c>
      <c r="M3477" s="95">
        <f t="shared" ca="1" si="455"/>
        <v>0</v>
      </c>
      <c r="N3477" s="95">
        <f>IF(P3477="Hedge Fund",IF(A3477=Summary!$AD$3,M3477-E3477,M3477),IF(A3477=Summary!$AD$3,L3477-D3477,L3477))</f>
        <v>0</v>
      </c>
      <c r="O3477" s="95">
        <f t="shared" si="456"/>
        <v>0</v>
      </c>
      <c r="P3477" s="107" t="s">
        <v>155</v>
      </c>
      <c r="Q3477" s="107">
        <v>0</v>
      </c>
      <c r="R3477" s="107">
        <v>0</v>
      </c>
      <c r="S3477" s="107">
        <v>0</v>
      </c>
      <c r="T3477" s="107">
        <v>0</v>
      </c>
      <c r="U3477" s="107"/>
      <c r="V3477" s="107"/>
      <c r="W3477" s="107"/>
      <c r="X3477" s="107"/>
      <c r="Y3477" s="107"/>
      <c r="Z3477" s="107"/>
      <c r="AA3477" s="107"/>
      <c r="AB3477" s="107"/>
      <c r="AC3477" s="355"/>
      <c r="AD3477" s="355"/>
      <c r="AE3477" s="355"/>
      <c r="AF3477" s="94">
        <f t="shared" si="457"/>
        <v>41333</v>
      </c>
      <c r="AG3477" s="185">
        <f t="shared" si="452"/>
        <v>-1.2442653015514504E-2</v>
      </c>
      <c r="AH3477" s="339" t="str">
        <f>VLOOKUP(B3477,'MF PF'!A:B,2)</f>
        <v>FdMgt1</v>
      </c>
      <c r="AI3477" s="358">
        <f t="shared" si="458"/>
        <v>0</v>
      </c>
      <c r="AJ3477" s="94">
        <f t="shared" si="459"/>
        <v>41333</v>
      </c>
    </row>
    <row r="3478" spans="1:36" ht="12.75" customHeight="1">
      <c r="A3478" s="94">
        <v>41361</v>
      </c>
      <c r="B3478" s="94" t="s">
        <v>188</v>
      </c>
      <c r="C3478" s="358" t="s">
        <v>305</v>
      </c>
      <c r="D3478" s="98">
        <v>9507131.5940000005</v>
      </c>
      <c r="E3478" s="9">
        <f t="shared" si="453"/>
        <v>2566335.4191004131</v>
      </c>
      <c r="F3478" s="98">
        <v>21.6</v>
      </c>
      <c r="G3478" s="98">
        <v>0</v>
      </c>
      <c r="H3478" s="98">
        <v>0</v>
      </c>
      <c r="I3478" s="98">
        <v>-1529388.85</v>
      </c>
      <c r="J3478" s="98"/>
      <c r="K3478" s="7">
        <v>3.7045553450423756</v>
      </c>
      <c r="L3478" s="93">
        <f t="shared" si="454"/>
        <v>-1529388.85</v>
      </c>
      <c r="M3478" s="95">
        <f t="shared" ca="1" si="455"/>
        <v>-412840.05975149112</v>
      </c>
      <c r="N3478" s="95">
        <f>IF(P3478="Hedge Fund",IF(A3478=Summary!$AD$3,M3478-E3478,M3478),IF(A3478=Summary!$AD$3,L3478-D3478,L3478))</f>
        <v>-1529388.85</v>
      </c>
      <c r="O3478" s="95">
        <f t="shared" si="456"/>
        <v>-1529388.85</v>
      </c>
      <c r="P3478" s="107" t="s">
        <v>155</v>
      </c>
      <c r="Q3478" s="107">
        <v>0</v>
      </c>
      <c r="R3478" s="107">
        <v>0</v>
      </c>
      <c r="S3478" s="107">
        <v>0</v>
      </c>
      <c r="T3478" s="107">
        <v>0</v>
      </c>
      <c r="U3478" s="107"/>
      <c r="V3478" s="107"/>
      <c r="W3478" s="107"/>
      <c r="X3478" s="107"/>
      <c r="Y3478" s="107"/>
      <c r="Z3478" s="107"/>
      <c r="AA3478" s="107"/>
      <c r="AB3478" s="107"/>
      <c r="AC3478" s="355"/>
      <c r="AD3478" s="355"/>
      <c r="AE3478" s="355"/>
      <c r="AF3478" s="94">
        <f t="shared" si="457"/>
        <v>41361</v>
      </c>
      <c r="AG3478" s="185">
        <f t="shared" si="452"/>
        <v>-3.8464781971916384E-2</v>
      </c>
      <c r="AH3478" s="339" t="str">
        <f>VLOOKUP(B3478,'MF PF'!A:B,2)</f>
        <v>FdMgt1</v>
      </c>
      <c r="AI3478" s="358">
        <f t="shared" si="458"/>
        <v>0</v>
      </c>
      <c r="AJ3478" s="94">
        <f t="shared" si="459"/>
        <v>41364</v>
      </c>
    </row>
    <row r="3479" spans="1:36" ht="12.75" customHeight="1">
      <c r="A3479" s="94">
        <v>41394</v>
      </c>
      <c r="B3479" s="94" t="s">
        <v>188</v>
      </c>
      <c r="C3479" s="358" t="s">
        <v>305</v>
      </c>
      <c r="D3479" s="98">
        <v>9232811.9539999999</v>
      </c>
      <c r="E3479" s="9">
        <f t="shared" si="453"/>
        <v>2492286.143424964</v>
      </c>
      <c r="F3479" s="98">
        <v>21.6</v>
      </c>
      <c r="G3479" s="98">
        <v>0</v>
      </c>
      <c r="H3479" s="98">
        <v>0</v>
      </c>
      <c r="I3479" s="98">
        <v>0</v>
      </c>
      <c r="J3479" s="98"/>
      <c r="K3479" s="7">
        <v>3.7045553450423756</v>
      </c>
      <c r="L3479" s="93">
        <f t="shared" si="454"/>
        <v>0</v>
      </c>
      <c r="M3479" s="95">
        <f t="shared" ca="1" si="455"/>
        <v>0</v>
      </c>
      <c r="N3479" s="95">
        <f>IF(P3479="Hedge Fund",IF(A3479=Summary!$AD$3,M3479-E3479,M3479),IF(A3479=Summary!$AD$3,L3479-D3479,L3479))</f>
        <v>0</v>
      </c>
      <c r="O3479" s="95">
        <f t="shared" si="456"/>
        <v>0</v>
      </c>
      <c r="P3479" s="107" t="s">
        <v>155</v>
      </c>
      <c r="Q3479" s="107">
        <v>0</v>
      </c>
      <c r="R3479" s="107">
        <v>0</v>
      </c>
      <c r="S3479" s="107">
        <v>0</v>
      </c>
      <c r="T3479" s="107">
        <v>0</v>
      </c>
      <c r="U3479" s="107"/>
      <c r="V3479" s="107"/>
      <c r="W3479" s="107"/>
      <c r="X3479" s="107"/>
      <c r="Y3479" s="107"/>
      <c r="Z3479" s="107"/>
      <c r="AA3479" s="107"/>
      <c r="AB3479" s="107"/>
      <c r="AC3479" s="355"/>
      <c r="AD3479" s="355"/>
      <c r="AE3479" s="355"/>
      <c r="AF3479" s="94">
        <f t="shared" si="457"/>
        <v>41394</v>
      </c>
      <c r="AG3479" s="185">
        <f t="shared" si="452"/>
        <v>-2.8854090982933789E-2</v>
      </c>
      <c r="AH3479" s="339" t="str">
        <f>VLOOKUP(B3479,'MF PF'!A:B,2)</f>
        <v>FdMgt1</v>
      </c>
      <c r="AI3479" s="358">
        <f t="shared" si="458"/>
        <v>0</v>
      </c>
      <c r="AJ3479" s="94">
        <f t="shared" si="459"/>
        <v>41394</v>
      </c>
    </row>
    <row r="3480" spans="1:36" ht="12.75" customHeight="1">
      <c r="A3480" s="94">
        <v>41425</v>
      </c>
      <c r="B3480" s="94" t="s">
        <v>188</v>
      </c>
      <c r="C3480" s="358" t="s">
        <v>305</v>
      </c>
      <c r="D3480" s="98">
        <v>8314489.0260000005</v>
      </c>
      <c r="E3480" s="9">
        <f t="shared" si="453"/>
        <v>2244395.9535189215</v>
      </c>
      <c r="F3480" s="98">
        <v>21.6</v>
      </c>
      <c r="G3480" s="98">
        <v>0</v>
      </c>
      <c r="H3480" s="98">
        <v>0</v>
      </c>
      <c r="I3480" s="98">
        <v>-1016171.1200000001</v>
      </c>
      <c r="J3480" s="98"/>
      <c r="K3480" s="7">
        <v>3.7045553450423756</v>
      </c>
      <c r="L3480" s="93">
        <f t="shared" si="454"/>
        <v>-1016171.1200000001</v>
      </c>
      <c r="M3480" s="95">
        <f t="shared" ca="1" si="455"/>
        <v>-274303.12827149202</v>
      </c>
      <c r="N3480" s="95">
        <f>IF(P3480="Hedge Fund",IF(A3480=Summary!$AD$3,M3480-E3480,M3480),IF(A3480=Summary!$AD$3,L3480-D3480,L3480))</f>
        <v>-1016171.1200000001</v>
      </c>
      <c r="O3480" s="95">
        <f t="shared" si="456"/>
        <v>-1016171.1200000001</v>
      </c>
      <c r="P3480" s="107" t="s">
        <v>155</v>
      </c>
      <c r="Q3480" s="107">
        <v>0</v>
      </c>
      <c r="R3480" s="107">
        <v>0</v>
      </c>
      <c r="S3480" s="107">
        <v>0</v>
      </c>
      <c r="T3480" s="107">
        <v>0</v>
      </c>
      <c r="U3480" s="107"/>
      <c r="V3480" s="107"/>
      <c r="W3480" s="107"/>
      <c r="X3480" s="107"/>
      <c r="Y3480" s="107"/>
      <c r="Z3480" s="107"/>
      <c r="AA3480" s="107"/>
      <c r="AB3480" s="107"/>
      <c r="AC3480" s="355"/>
      <c r="AD3480" s="355"/>
      <c r="AE3480" s="355"/>
      <c r="AF3480" s="94">
        <f t="shared" si="457"/>
        <v>41425</v>
      </c>
      <c r="AG3480" s="185">
        <f t="shared" si="452"/>
        <v>1.0597875542955215E-2</v>
      </c>
      <c r="AH3480" s="339" t="str">
        <f>VLOOKUP(B3480,'MF PF'!A:B,2)</f>
        <v>FdMgt1</v>
      </c>
      <c r="AI3480" s="358">
        <f t="shared" si="458"/>
        <v>0</v>
      </c>
      <c r="AJ3480" s="94">
        <f t="shared" si="459"/>
        <v>41425</v>
      </c>
    </row>
    <row r="3481" spans="1:36" ht="12.75" customHeight="1">
      <c r="A3481" s="94">
        <v>41453</v>
      </c>
      <c r="B3481" s="94" t="s">
        <v>188</v>
      </c>
      <c r="C3481" s="358" t="s">
        <v>305</v>
      </c>
      <c r="D3481" s="98">
        <v>8309051.898</v>
      </c>
      <c r="E3481" s="9">
        <f t="shared" si="453"/>
        <v>2242928.2664435278</v>
      </c>
      <c r="F3481" s="98">
        <v>21.6</v>
      </c>
      <c r="G3481" s="98">
        <v>0</v>
      </c>
      <c r="H3481" s="98">
        <v>0</v>
      </c>
      <c r="I3481" s="98">
        <v>0</v>
      </c>
      <c r="J3481" s="98"/>
      <c r="K3481" s="7">
        <v>3.7045553450423756</v>
      </c>
      <c r="L3481" s="93">
        <f t="shared" si="454"/>
        <v>0</v>
      </c>
      <c r="M3481" s="95">
        <f t="shared" ca="1" si="455"/>
        <v>0</v>
      </c>
      <c r="N3481" s="95">
        <f>IF(P3481="Hedge Fund",IF(A3481=Summary!$AD$3,M3481-E3481,M3481),IF(A3481=Summary!$AD$3,L3481-D3481,L3481))</f>
        <v>0</v>
      </c>
      <c r="O3481" s="95">
        <f t="shared" si="456"/>
        <v>0</v>
      </c>
      <c r="P3481" s="107" t="s">
        <v>155</v>
      </c>
      <c r="Q3481" s="107">
        <v>0</v>
      </c>
      <c r="R3481" s="107">
        <v>0</v>
      </c>
      <c r="S3481" s="107">
        <v>0</v>
      </c>
      <c r="T3481" s="107">
        <v>0</v>
      </c>
      <c r="U3481" s="107"/>
      <c r="V3481" s="107"/>
      <c r="W3481" s="107"/>
      <c r="X3481" s="107"/>
      <c r="Y3481" s="107"/>
      <c r="Z3481" s="107"/>
      <c r="AA3481" s="107"/>
      <c r="AB3481" s="107"/>
      <c r="AC3481" s="355"/>
      <c r="AD3481" s="355"/>
      <c r="AE3481" s="355"/>
      <c r="AF3481" s="94">
        <f t="shared" si="457"/>
        <v>41453</v>
      </c>
      <c r="AG3481" s="185">
        <f t="shared" si="452"/>
        <v>-6.5393411224645703E-4</v>
      </c>
      <c r="AH3481" s="339" t="str">
        <f>VLOOKUP(B3481,'MF PF'!A:B,2)</f>
        <v>FdMgt1</v>
      </c>
      <c r="AI3481" s="358">
        <f t="shared" si="458"/>
        <v>0</v>
      </c>
      <c r="AJ3481" s="94">
        <f t="shared" si="459"/>
        <v>41455</v>
      </c>
    </row>
    <row r="3482" spans="1:36" ht="12.75" customHeight="1">
      <c r="A3482" s="94">
        <v>41486</v>
      </c>
      <c r="B3482" s="94" t="s">
        <v>188</v>
      </c>
      <c r="C3482" s="358" t="s">
        <v>305</v>
      </c>
      <c r="D3482" s="98">
        <v>8006385.7860000012</v>
      </c>
      <c r="E3482" s="9">
        <f t="shared" si="453"/>
        <v>2161227.2028043945</v>
      </c>
      <c r="F3482" s="98">
        <v>21.6</v>
      </c>
      <c r="G3482" s="98">
        <v>0</v>
      </c>
      <c r="H3482" s="98">
        <v>-9.3132257461547852E-10</v>
      </c>
      <c r="I3482" s="98">
        <v>0</v>
      </c>
      <c r="J3482" s="98"/>
      <c r="K3482" s="7">
        <v>3.7045553450423756</v>
      </c>
      <c r="L3482" s="93">
        <f t="shared" si="454"/>
        <v>-9.3132257461547852E-10</v>
      </c>
      <c r="M3482" s="95">
        <f t="shared" ca="1" si="455"/>
        <v>0</v>
      </c>
      <c r="N3482" s="95">
        <f>IF(P3482="Hedge Fund",IF(A3482=Summary!$AD$3,M3482-E3482,M3482),IF(A3482=Summary!$AD$3,L3482-D3482,L3482))</f>
        <v>-9.3132257461547852E-10</v>
      </c>
      <c r="O3482" s="95">
        <f t="shared" si="456"/>
        <v>-9.3132257461547852E-10</v>
      </c>
      <c r="P3482" s="107" t="s">
        <v>155</v>
      </c>
      <c r="Q3482" s="107">
        <v>0</v>
      </c>
      <c r="R3482" s="107">
        <v>0</v>
      </c>
      <c r="S3482" s="107">
        <v>0</v>
      </c>
      <c r="T3482" s="107">
        <v>0</v>
      </c>
      <c r="U3482" s="107"/>
      <c r="V3482" s="107"/>
      <c r="W3482" s="107"/>
      <c r="X3482" s="107"/>
      <c r="Y3482" s="107"/>
      <c r="Z3482" s="107"/>
      <c r="AA3482" s="107"/>
      <c r="AB3482" s="107"/>
      <c r="AC3482" s="355"/>
      <c r="AD3482" s="355"/>
      <c r="AE3482" s="355"/>
      <c r="AF3482" s="94">
        <f t="shared" si="457"/>
        <v>41486</v>
      </c>
      <c r="AG3482" s="185">
        <f t="shared" si="452"/>
        <v>-3.6426070713657444E-2</v>
      </c>
      <c r="AH3482" s="339" t="str">
        <f>VLOOKUP(B3482,'MF PF'!A:B,2)</f>
        <v>FdMgt1</v>
      </c>
      <c r="AI3482" s="358">
        <f t="shared" si="458"/>
        <v>0</v>
      </c>
      <c r="AJ3482" s="94">
        <f t="shared" si="459"/>
        <v>41486</v>
      </c>
    </row>
    <row r="3483" spans="1:36" ht="12.75" customHeight="1">
      <c r="A3483" s="94">
        <v>41516</v>
      </c>
      <c r="B3483" s="94" t="s">
        <v>188</v>
      </c>
      <c r="C3483" s="358" t="s">
        <v>305</v>
      </c>
      <c r="D3483" s="98">
        <v>7816696.9539999999</v>
      </c>
      <c r="E3483" s="9">
        <f t="shared" si="453"/>
        <v>2110022.9922224544</v>
      </c>
      <c r="F3483" s="98">
        <v>21.6</v>
      </c>
      <c r="G3483" s="98">
        <v>0</v>
      </c>
      <c r="H3483" s="98">
        <v>0</v>
      </c>
      <c r="I3483" s="98">
        <v>0</v>
      </c>
      <c r="J3483" s="98"/>
      <c r="K3483" s="7">
        <v>3.7045553450423756</v>
      </c>
      <c r="L3483" s="93">
        <f t="shared" si="454"/>
        <v>0</v>
      </c>
      <c r="M3483" s="95">
        <f t="shared" ca="1" si="455"/>
        <v>0</v>
      </c>
      <c r="N3483" s="95">
        <f>IF(P3483="Hedge Fund",IF(A3483=Summary!$AD$3,M3483-E3483,M3483),IF(A3483=Summary!$AD$3,L3483-D3483,L3483))</f>
        <v>0</v>
      </c>
      <c r="O3483" s="95">
        <f t="shared" si="456"/>
        <v>0</v>
      </c>
      <c r="P3483" s="107" t="s">
        <v>155</v>
      </c>
      <c r="Q3483" s="107">
        <v>0</v>
      </c>
      <c r="R3483" s="107">
        <v>0</v>
      </c>
      <c r="S3483" s="107">
        <v>0</v>
      </c>
      <c r="T3483" s="107">
        <v>0</v>
      </c>
      <c r="U3483" s="107"/>
      <c r="V3483" s="107"/>
      <c r="W3483" s="107"/>
      <c r="X3483" s="107"/>
      <c r="Y3483" s="107"/>
      <c r="Z3483" s="107"/>
      <c r="AA3483" s="107"/>
      <c r="AB3483" s="107"/>
      <c r="AC3483" s="355"/>
      <c r="AD3483" s="355"/>
      <c r="AE3483" s="355"/>
      <c r="AF3483" s="94">
        <f t="shared" si="457"/>
        <v>41516</v>
      </c>
      <c r="AG3483" s="185">
        <f t="shared" si="452"/>
        <v>-2.3692192341229878E-2</v>
      </c>
      <c r="AH3483" s="339" t="str">
        <f>VLOOKUP(B3483,'MF PF'!A:B,2)</f>
        <v>FdMgt1</v>
      </c>
      <c r="AI3483" s="358">
        <f t="shared" si="458"/>
        <v>0</v>
      </c>
      <c r="AJ3483" s="94">
        <f t="shared" si="459"/>
        <v>41517</v>
      </c>
    </row>
    <row r="3484" spans="1:36" ht="12.75" customHeight="1">
      <c r="A3484" s="94">
        <v>41547</v>
      </c>
      <c r="B3484" s="94" t="s">
        <v>188</v>
      </c>
      <c r="C3484" s="358" t="s">
        <v>305</v>
      </c>
      <c r="D3484" s="98">
        <v>6214611.7300000004</v>
      </c>
      <c r="E3484" s="9">
        <f t="shared" si="453"/>
        <v>1677559.4237825896</v>
      </c>
      <c r="F3484" s="98">
        <v>21.6</v>
      </c>
      <c r="G3484" s="98">
        <v>0</v>
      </c>
      <c r="H3484" s="98">
        <v>0</v>
      </c>
      <c r="I3484" s="98">
        <v>-1693618.52</v>
      </c>
      <c r="J3484" s="98"/>
      <c r="K3484" s="7">
        <v>3.7045553450423756</v>
      </c>
      <c r="L3484" s="93">
        <f t="shared" si="454"/>
        <v>-1693618.52</v>
      </c>
      <c r="M3484" s="95">
        <f t="shared" ca="1" si="455"/>
        <v>-457171.87685331423</v>
      </c>
      <c r="N3484" s="95">
        <f>IF(P3484="Hedge Fund",IF(A3484=Summary!$AD$3,M3484-E3484,M3484),IF(A3484=Summary!$AD$3,L3484-D3484,L3484))</f>
        <v>-1693618.52</v>
      </c>
      <c r="O3484" s="95">
        <f t="shared" si="456"/>
        <v>-1693618.52</v>
      </c>
      <c r="P3484" s="107" t="s">
        <v>155</v>
      </c>
      <c r="Q3484" s="107">
        <v>0</v>
      </c>
      <c r="R3484" s="107">
        <v>0</v>
      </c>
      <c r="S3484" s="107">
        <v>0</v>
      </c>
      <c r="T3484" s="107">
        <v>0</v>
      </c>
      <c r="U3484" s="107"/>
      <c r="V3484" s="107"/>
      <c r="W3484" s="107"/>
      <c r="X3484" s="107"/>
      <c r="Y3484" s="107"/>
      <c r="Z3484" s="107"/>
      <c r="AA3484" s="107"/>
      <c r="AB3484" s="107"/>
      <c r="AC3484" s="355"/>
      <c r="AD3484" s="355"/>
      <c r="AE3484" s="355"/>
      <c r="AF3484" s="94">
        <f t="shared" si="457"/>
        <v>41547</v>
      </c>
      <c r="AG3484" s="185">
        <f t="shared" si="452"/>
        <v>1.1709971173074596E-2</v>
      </c>
      <c r="AH3484" s="339" t="str">
        <f>VLOOKUP(B3484,'MF PF'!A:B,2)</f>
        <v>FdMgt1</v>
      </c>
      <c r="AI3484" s="358">
        <f t="shared" si="458"/>
        <v>0</v>
      </c>
      <c r="AJ3484" s="94">
        <f t="shared" si="459"/>
        <v>41547</v>
      </c>
    </row>
    <row r="3485" spans="1:36" ht="12.75" customHeight="1">
      <c r="A3485" s="94">
        <v>41578</v>
      </c>
      <c r="B3485" s="94" t="s">
        <v>188</v>
      </c>
      <c r="C3485" s="358" t="s">
        <v>305</v>
      </c>
      <c r="D3485" s="98">
        <v>6273667.7139999997</v>
      </c>
      <c r="E3485" s="9">
        <f t="shared" si="453"/>
        <v>1693500.8738351665</v>
      </c>
      <c r="F3485" s="98">
        <v>21.6</v>
      </c>
      <c r="G3485" s="98">
        <v>0</v>
      </c>
      <c r="H3485" s="98">
        <v>0</v>
      </c>
      <c r="I3485" s="98">
        <v>0</v>
      </c>
      <c r="J3485" s="98"/>
      <c r="K3485" s="7">
        <v>3.7045553450423756</v>
      </c>
      <c r="L3485" s="93">
        <f t="shared" si="454"/>
        <v>0</v>
      </c>
      <c r="M3485" s="95">
        <f t="shared" ca="1" si="455"/>
        <v>0</v>
      </c>
      <c r="N3485" s="95">
        <f>IF(P3485="Hedge Fund",IF(A3485=Summary!$AD$3,M3485-E3485,M3485),IF(A3485=Summary!$AD$3,L3485-D3485,L3485))</f>
        <v>0</v>
      </c>
      <c r="O3485" s="95">
        <f t="shared" si="456"/>
        <v>0</v>
      </c>
      <c r="P3485" s="107" t="s">
        <v>155</v>
      </c>
      <c r="Q3485" s="107">
        <v>0</v>
      </c>
      <c r="R3485" s="107">
        <v>0</v>
      </c>
      <c r="S3485" s="107">
        <v>0</v>
      </c>
      <c r="T3485" s="107">
        <v>0</v>
      </c>
      <c r="U3485" s="107"/>
      <c r="V3485" s="107"/>
      <c r="W3485" s="107"/>
      <c r="X3485" s="107"/>
      <c r="Y3485" s="107"/>
      <c r="Z3485" s="107"/>
      <c r="AA3485" s="107"/>
      <c r="AB3485" s="107"/>
      <c r="AC3485" s="355"/>
      <c r="AD3485" s="355"/>
      <c r="AE3485" s="355"/>
      <c r="AF3485" s="94">
        <f t="shared" si="457"/>
        <v>41578</v>
      </c>
      <c r="AG3485" s="185">
        <f t="shared" si="452"/>
        <v>9.5027632562973974E-3</v>
      </c>
      <c r="AH3485" s="339" t="str">
        <f>VLOOKUP(B3485,'MF PF'!A:B,2)</f>
        <v>FdMgt1</v>
      </c>
      <c r="AI3485" s="358">
        <f t="shared" si="458"/>
        <v>0</v>
      </c>
      <c r="AJ3485" s="94">
        <f t="shared" si="459"/>
        <v>41578</v>
      </c>
    </row>
    <row r="3486" spans="1:36" ht="12.75" customHeight="1">
      <c r="A3486" s="94">
        <v>41607</v>
      </c>
      <c r="B3486" s="94" t="s">
        <v>188</v>
      </c>
      <c r="C3486" s="358" t="s">
        <v>305</v>
      </c>
      <c r="D3486" s="98">
        <v>6143947.6579999998</v>
      </c>
      <c r="E3486" s="9">
        <f t="shared" si="453"/>
        <v>1658484.5104884566</v>
      </c>
      <c r="F3486" s="98">
        <v>21.6</v>
      </c>
      <c r="G3486" s="98">
        <v>0</v>
      </c>
      <c r="H3486" s="98">
        <v>0</v>
      </c>
      <c r="I3486" s="98">
        <v>0</v>
      </c>
      <c r="J3486" s="98"/>
      <c r="K3486" s="7">
        <v>3.7045553450423756</v>
      </c>
      <c r="L3486" s="93">
        <f t="shared" si="454"/>
        <v>0</v>
      </c>
      <c r="M3486" s="95">
        <f t="shared" ca="1" si="455"/>
        <v>0</v>
      </c>
      <c r="N3486" s="95">
        <f>IF(P3486="Hedge Fund",IF(A3486=Summary!$AD$3,M3486-E3486,M3486),IF(A3486=Summary!$AD$3,L3486-D3486,L3486))</f>
        <v>0</v>
      </c>
      <c r="O3486" s="95">
        <f t="shared" si="456"/>
        <v>0</v>
      </c>
      <c r="P3486" s="107" t="s">
        <v>155</v>
      </c>
      <c r="Q3486" s="107">
        <v>0</v>
      </c>
      <c r="R3486" s="107">
        <v>0</v>
      </c>
      <c r="S3486" s="107">
        <v>0</v>
      </c>
      <c r="T3486" s="107">
        <v>0</v>
      </c>
      <c r="U3486" s="107"/>
      <c r="V3486" s="107"/>
      <c r="W3486" s="107"/>
      <c r="X3486" s="107"/>
      <c r="Y3486" s="107"/>
      <c r="Z3486" s="107"/>
      <c r="AA3486" s="107"/>
      <c r="AB3486" s="107"/>
      <c r="AC3486" s="355"/>
      <c r="AD3486" s="355"/>
      <c r="AE3486" s="355"/>
      <c r="AF3486" s="94">
        <f t="shared" si="457"/>
        <v>41607</v>
      </c>
      <c r="AG3486" s="185">
        <f t="shared" si="452"/>
        <v>-2.0676908933274118E-2</v>
      </c>
      <c r="AH3486" s="339" t="str">
        <f>VLOOKUP(B3486,'MF PF'!A:B,2)</f>
        <v>FdMgt1</v>
      </c>
      <c r="AI3486" s="358">
        <f t="shared" si="458"/>
        <v>0</v>
      </c>
      <c r="AJ3486" s="94">
        <f t="shared" si="459"/>
        <v>41608</v>
      </c>
    </row>
    <row r="3487" spans="1:36" ht="12.75" customHeight="1">
      <c r="A3487" s="94">
        <v>41639</v>
      </c>
      <c r="B3487" s="94" t="s">
        <v>188</v>
      </c>
      <c r="C3487" s="358" t="s">
        <v>305</v>
      </c>
      <c r="D3487" s="98">
        <v>6173033.9780000001</v>
      </c>
      <c r="E3487" s="9">
        <f t="shared" ref="E3487:E3518" si="460">D3487/K3487</f>
        <v>1666336.0114894945</v>
      </c>
      <c r="F3487" s="98">
        <v>21.6</v>
      </c>
      <c r="G3487" s="98">
        <v>0</v>
      </c>
      <c r="H3487" s="98">
        <v>0</v>
      </c>
      <c r="I3487" s="98">
        <v>0</v>
      </c>
      <c r="J3487" s="98"/>
      <c r="K3487" s="7">
        <v>3.7045553450423756</v>
      </c>
      <c r="L3487" s="93">
        <f t="shared" si="454"/>
        <v>0</v>
      </c>
      <c r="M3487" s="95">
        <f t="shared" ca="1" si="455"/>
        <v>0</v>
      </c>
      <c r="N3487" s="95">
        <f>IF(P3487="Hedge Fund",IF(A3487=Summary!$AD$3,M3487-E3487,M3487),IF(A3487=Summary!$AD$3,L3487-D3487,L3487))</f>
        <v>0</v>
      </c>
      <c r="O3487" s="95">
        <f t="shared" si="456"/>
        <v>0</v>
      </c>
      <c r="P3487" s="107" t="s">
        <v>155</v>
      </c>
      <c r="Q3487" s="107">
        <v>0</v>
      </c>
      <c r="R3487" s="107">
        <v>0</v>
      </c>
      <c r="S3487" s="107">
        <v>0</v>
      </c>
      <c r="T3487" s="107">
        <v>0</v>
      </c>
      <c r="U3487" s="107"/>
      <c r="V3487" s="107"/>
      <c r="W3487" s="107"/>
      <c r="X3487" s="107"/>
      <c r="Y3487" s="107"/>
      <c r="Z3487" s="107"/>
      <c r="AA3487" s="107"/>
      <c r="AB3487" s="107"/>
      <c r="AC3487" s="355"/>
      <c r="AD3487" s="355"/>
      <c r="AE3487" s="355"/>
      <c r="AF3487" s="94">
        <f t="shared" si="457"/>
        <v>41639</v>
      </c>
      <c r="AG3487" s="185">
        <f t="shared" si="452"/>
        <v>4.7341418936288626E-3</v>
      </c>
      <c r="AH3487" s="339" t="str">
        <f>VLOOKUP(B3487,'MF PF'!A:B,2)</f>
        <v>FdMgt1</v>
      </c>
      <c r="AI3487" s="358">
        <f t="shared" si="458"/>
        <v>0</v>
      </c>
      <c r="AJ3487" s="94">
        <f t="shared" si="459"/>
        <v>41639</v>
      </c>
    </row>
    <row r="3488" spans="1:36" ht="12.75" customHeight="1">
      <c r="A3488" s="94">
        <v>41669</v>
      </c>
      <c r="B3488" s="94" t="s">
        <v>188</v>
      </c>
      <c r="C3488" s="358" t="s">
        <v>305</v>
      </c>
      <c r="D3488" s="98">
        <v>6044729.7539999997</v>
      </c>
      <c r="E3488" s="9">
        <f t="shared" si="460"/>
        <v>1631701.8349015529</v>
      </c>
      <c r="F3488" s="98">
        <v>21.6</v>
      </c>
      <c r="G3488" s="98">
        <v>0</v>
      </c>
      <c r="H3488" s="98">
        <v>0</v>
      </c>
      <c r="I3488" s="98">
        <v>0</v>
      </c>
      <c r="J3488" s="98"/>
      <c r="K3488" s="7">
        <v>3.7045553450423756</v>
      </c>
      <c r="L3488" s="93">
        <f t="shared" si="454"/>
        <v>0</v>
      </c>
      <c r="M3488" s="95">
        <f t="shared" ca="1" si="455"/>
        <v>0</v>
      </c>
      <c r="N3488" s="95">
        <f>IF(P3488="Hedge Fund",IF(A3488=Summary!$AD$3,M3488-E3488,M3488),IF(A3488=Summary!$AD$3,L3488-D3488,L3488))</f>
        <v>0</v>
      </c>
      <c r="O3488" s="95">
        <f t="shared" si="456"/>
        <v>0</v>
      </c>
      <c r="P3488" s="107" t="s">
        <v>155</v>
      </c>
      <c r="Q3488" s="107">
        <v>0</v>
      </c>
      <c r="R3488" s="107">
        <v>0</v>
      </c>
      <c r="S3488" s="107">
        <v>0</v>
      </c>
      <c r="T3488" s="107">
        <v>0</v>
      </c>
      <c r="U3488" s="107"/>
      <c r="V3488" s="107"/>
      <c r="W3488" s="107"/>
      <c r="X3488" s="107"/>
      <c r="Y3488" s="107"/>
      <c r="Z3488" s="107"/>
      <c r="AA3488" s="107"/>
      <c r="AB3488" s="107"/>
      <c r="AC3488" s="355"/>
      <c r="AD3488" s="355"/>
      <c r="AE3488" s="355"/>
      <c r="AF3488" s="94">
        <f t="shared" si="457"/>
        <v>41669</v>
      </c>
      <c r="AG3488" s="185">
        <f t="shared" si="452"/>
        <v>-2.078462947997084E-2</v>
      </c>
      <c r="AH3488" s="339" t="str">
        <f>VLOOKUP(B3488,'MF PF'!A:B,2)</f>
        <v>FdMgt1</v>
      </c>
      <c r="AI3488" s="358">
        <f t="shared" si="458"/>
        <v>0</v>
      </c>
      <c r="AJ3488" s="94">
        <f t="shared" si="459"/>
        <v>41670</v>
      </c>
    </row>
    <row r="3489" spans="1:36" ht="12.75" customHeight="1">
      <c r="A3489" s="94">
        <v>41698</v>
      </c>
      <c r="B3489" s="94" t="s">
        <v>188</v>
      </c>
      <c r="C3489" s="358" t="s">
        <v>305</v>
      </c>
      <c r="D3489" s="98">
        <v>5865255.25</v>
      </c>
      <c r="E3489" s="9">
        <f t="shared" si="460"/>
        <v>1583254.8588723834</v>
      </c>
      <c r="F3489" s="98">
        <v>21.6</v>
      </c>
      <c r="G3489" s="98">
        <v>0</v>
      </c>
      <c r="H3489" s="98">
        <v>0</v>
      </c>
      <c r="I3489" s="98">
        <v>0</v>
      </c>
      <c r="J3489" s="98"/>
      <c r="K3489" s="7">
        <v>3.7045553450423756</v>
      </c>
      <c r="L3489" s="93">
        <f t="shared" si="454"/>
        <v>0</v>
      </c>
      <c r="M3489" s="95">
        <f t="shared" ca="1" si="455"/>
        <v>0</v>
      </c>
      <c r="N3489" s="95">
        <f>IF(P3489="Hedge Fund",IF(A3489=Summary!$AD$3,M3489-E3489,M3489),IF(A3489=Summary!$AD$3,L3489-D3489,L3489))</f>
        <v>0</v>
      </c>
      <c r="O3489" s="95">
        <f t="shared" si="456"/>
        <v>0</v>
      </c>
      <c r="P3489" s="107" t="s">
        <v>155</v>
      </c>
      <c r="Q3489" s="107">
        <v>0</v>
      </c>
      <c r="R3489" s="107">
        <v>0</v>
      </c>
      <c r="S3489" s="107">
        <v>0</v>
      </c>
      <c r="T3489" s="107">
        <v>0</v>
      </c>
      <c r="U3489" s="107"/>
      <c r="V3489" s="107"/>
      <c r="W3489" s="107"/>
      <c r="X3489" s="107"/>
      <c r="Y3489" s="107"/>
      <c r="Z3489" s="107"/>
      <c r="AA3489" s="107"/>
      <c r="AB3489" s="107"/>
      <c r="AC3489" s="355"/>
      <c r="AD3489" s="355"/>
      <c r="AE3489" s="355"/>
      <c r="AF3489" s="94">
        <f t="shared" si="457"/>
        <v>41698</v>
      </c>
      <c r="AG3489" s="185">
        <f t="shared" si="452"/>
        <v>-2.969107161180129E-2</v>
      </c>
      <c r="AH3489" s="339" t="str">
        <f>VLOOKUP(B3489,'MF PF'!A:B,2)</f>
        <v>FdMgt1</v>
      </c>
      <c r="AI3489" s="358">
        <f t="shared" si="458"/>
        <v>0</v>
      </c>
      <c r="AJ3489" s="94">
        <f t="shared" si="459"/>
        <v>41698</v>
      </c>
    </row>
    <row r="3490" spans="1:36" ht="12.75" customHeight="1">
      <c r="A3490" s="94">
        <v>41729</v>
      </c>
      <c r="B3490" s="94" t="s">
        <v>188</v>
      </c>
      <c r="C3490" s="358" t="s">
        <v>305</v>
      </c>
      <c r="D3490" s="98">
        <v>4726009.898</v>
      </c>
      <c r="E3490" s="9">
        <f t="shared" si="460"/>
        <v>1275729.3272253543</v>
      </c>
      <c r="F3490" s="98">
        <v>21.6</v>
      </c>
      <c r="G3490" s="98">
        <v>0</v>
      </c>
      <c r="H3490" s="98">
        <v>0</v>
      </c>
      <c r="I3490" s="98">
        <v>-1080000</v>
      </c>
      <c r="J3490" s="98"/>
      <c r="K3490" s="7">
        <v>3.7045553450423756</v>
      </c>
      <c r="L3490" s="93">
        <f t="shared" si="454"/>
        <v>-1080000</v>
      </c>
      <c r="M3490" s="95">
        <f t="shared" ca="1" si="455"/>
        <v>-291532.96398859605</v>
      </c>
      <c r="N3490" s="95">
        <f>IF(P3490="Hedge Fund",IF(A3490=Summary!$AD$3,M3490-E3490,M3490),IF(A3490=Summary!$AD$3,L3490-D3490,L3490))</f>
        <v>-1080000</v>
      </c>
      <c r="O3490" s="95">
        <f t="shared" si="456"/>
        <v>-1080000</v>
      </c>
      <c r="P3490" s="107" t="s">
        <v>155</v>
      </c>
      <c r="Q3490" s="107">
        <v>0</v>
      </c>
      <c r="R3490" s="107">
        <v>0</v>
      </c>
      <c r="S3490" s="107">
        <v>0</v>
      </c>
      <c r="T3490" s="107">
        <v>0</v>
      </c>
      <c r="U3490" s="107"/>
      <c r="V3490" s="107"/>
      <c r="W3490" s="107"/>
      <c r="X3490" s="107"/>
      <c r="Y3490" s="107"/>
      <c r="Z3490" s="107"/>
      <c r="AA3490" s="107"/>
      <c r="AB3490" s="107"/>
      <c r="AC3490" s="355"/>
      <c r="AD3490" s="355"/>
      <c r="AE3490" s="355"/>
      <c r="AF3490" s="94">
        <f t="shared" si="457"/>
        <v>41729</v>
      </c>
      <c r="AG3490" s="185">
        <f t="shared" ref="AG3490:AG3553" si="461">IF(C3490&lt;&gt;C3489,D3490/G3490-1,(D3490-G3490-I3490-H3490)/(D3489)-1)</f>
        <v>-1.0101069684904207E-2</v>
      </c>
      <c r="AH3490" s="339" t="str">
        <f>VLOOKUP(B3490,'MF PF'!A:B,2)</f>
        <v>FdMgt1</v>
      </c>
      <c r="AI3490" s="358">
        <f t="shared" si="458"/>
        <v>0</v>
      </c>
      <c r="AJ3490" s="94">
        <f t="shared" si="459"/>
        <v>41729</v>
      </c>
    </row>
    <row r="3491" spans="1:36" ht="12.75" customHeight="1">
      <c r="A3491" s="94">
        <v>41759</v>
      </c>
      <c r="B3491" s="94" t="s">
        <v>188</v>
      </c>
      <c r="C3491" s="358" t="s">
        <v>305</v>
      </c>
      <c r="D3491" s="98">
        <v>4696329.7060000002</v>
      </c>
      <c r="E3491" s="9">
        <f t="shared" si="460"/>
        <v>1267717.5176461779</v>
      </c>
      <c r="F3491" s="98">
        <v>21.6</v>
      </c>
      <c r="G3491" s="98">
        <v>0</v>
      </c>
      <c r="H3491" s="98">
        <v>0</v>
      </c>
      <c r="I3491" s="98">
        <v>0</v>
      </c>
      <c r="J3491" s="98"/>
      <c r="K3491" s="7">
        <v>3.7045553450423756</v>
      </c>
      <c r="L3491" s="93">
        <f t="shared" si="454"/>
        <v>0</v>
      </c>
      <c r="M3491" s="95">
        <f t="shared" ca="1" si="455"/>
        <v>0</v>
      </c>
      <c r="N3491" s="95">
        <f>IF(P3491="Hedge Fund",IF(A3491=Summary!$AD$3,M3491-E3491,M3491),IF(A3491=Summary!$AD$3,L3491-D3491,L3491))</f>
        <v>0</v>
      </c>
      <c r="O3491" s="95">
        <f t="shared" si="456"/>
        <v>0</v>
      </c>
      <c r="P3491" s="107" t="s">
        <v>155</v>
      </c>
      <c r="Q3491" s="107">
        <v>0</v>
      </c>
      <c r="R3491" s="107">
        <v>0</v>
      </c>
      <c r="S3491" s="107">
        <v>0</v>
      </c>
      <c r="T3491" s="107">
        <v>0</v>
      </c>
      <c r="U3491" s="107"/>
      <c r="V3491" s="107"/>
      <c r="W3491" s="107"/>
      <c r="X3491" s="107"/>
      <c r="Y3491" s="107"/>
      <c r="Z3491" s="107"/>
      <c r="AA3491" s="107"/>
      <c r="AB3491" s="107"/>
      <c r="AC3491" s="355"/>
      <c r="AD3491" s="355"/>
      <c r="AE3491" s="355"/>
      <c r="AF3491" s="94">
        <f t="shared" si="457"/>
        <v>41759</v>
      </c>
      <c r="AG3491" s="185">
        <f t="shared" si="461"/>
        <v>-6.2801798220016858E-3</v>
      </c>
      <c r="AH3491" s="339" t="str">
        <f>VLOOKUP(B3491,'MF PF'!A:B,2)</f>
        <v>FdMgt1</v>
      </c>
      <c r="AI3491" s="358">
        <f t="shared" si="458"/>
        <v>0</v>
      </c>
      <c r="AJ3491" s="94">
        <f t="shared" si="459"/>
        <v>41759</v>
      </c>
    </row>
    <row r="3492" spans="1:36" ht="12.75" customHeight="1">
      <c r="A3492" s="94">
        <v>41789</v>
      </c>
      <c r="B3492" s="94" t="s">
        <v>188</v>
      </c>
      <c r="C3492" s="358" t="s">
        <v>305</v>
      </c>
      <c r="D3492" s="98">
        <v>3991671.29</v>
      </c>
      <c r="E3492" s="95">
        <f t="shared" si="460"/>
        <v>1077503.4837424841</v>
      </c>
      <c r="F3492" s="98">
        <v>21.6</v>
      </c>
      <c r="G3492" s="98">
        <v>0</v>
      </c>
      <c r="H3492" s="98">
        <v>0</v>
      </c>
      <c r="I3492" s="98">
        <v>-648000</v>
      </c>
      <c r="J3492" s="98"/>
      <c r="K3492" s="93">
        <v>3.7045553450423756</v>
      </c>
      <c r="L3492" s="93">
        <f t="shared" si="454"/>
        <v>-648000</v>
      </c>
      <c r="M3492" s="95">
        <f t="shared" ca="1" si="455"/>
        <v>-174919.77839315764</v>
      </c>
      <c r="N3492" s="95">
        <f>IF(P3492="Hedge Fund",IF(A3492=Summary!$AD$3,M3492-E3492,M3492),IF(A3492=Summary!$AD$3,L3492-D3492,L3492))</f>
        <v>-648000</v>
      </c>
      <c r="O3492" s="95">
        <f t="shared" si="456"/>
        <v>-648000</v>
      </c>
      <c r="P3492" s="107" t="s">
        <v>155</v>
      </c>
      <c r="Q3492" s="107">
        <v>0</v>
      </c>
      <c r="R3492" s="107">
        <v>0</v>
      </c>
      <c r="S3492" s="107">
        <v>0</v>
      </c>
      <c r="T3492" s="107">
        <v>0</v>
      </c>
      <c r="U3492" s="107"/>
      <c r="V3492" s="107"/>
      <c r="W3492" s="107"/>
      <c r="X3492" s="107"/>
      <c r="Y3492" s="107"/>
      <c r="Z3492" s="107"/>
      <c r="AA3492" s="107"/>
      <c r="AB3492" s="107"/>
      <c r="AC3492" s="355"/>
      <c r="AD3492" s="355"/>
      <c r="AE3492" s="355"/>
      <c r="AF3492" s="94">
        <f t="shared" si="457"/>
        <v>41789</v>
      </c>
      <c r="AG3492" s="185">
        <f t="shared" si="461"/>
        <v>-1.2064403384543843E-2</v>
      </c>
      <c r="AH3492" s="339" t="str">
        <f>VLOOKUP(B3492,'MF PF'!A:B,2)</f>
        <v>FdMgt1</v>
      </c>
      <c r="AI3492" s="358">
        <f t="shared" si="458"/>
        <v>0</v>
      </c>
      <c r="AJ3492" s="94">
        <f t="shared" si="459"/>
        <v>41790</v>
      </c>
    </row>
    <row r="3493" spans="1:36" ht="12.75" customHeight="1">
      <c r="A3493" s="94">
        <v>41820</v>
      </c>
      <c r="B3493" s="94" t="s">
        <v>188</v>
      </c>
      <c r="C3493" s="358" t="s">
        <v>305</v>
      </c>
      <c r="D3493" s="98">
        <v>3968333.57</v>
      </c>
      <c r="E3493" s="9">
        <f t="shared" si="460"/>
        <v>1071203.7479236545</v>
      </c>
      <c r="F3493" s="98">
        <v>21.6</v>
      </c>
      <c r="G3493" s="98">
        <v>0</v>
      </c>
      <c r="H3493" s="98">
        <v>0</v>
      </c>
      <c r="I3493" s="98">
        <v>0</v>
      </c>
      <c r="J3493" s="98"/>
      <c r="K3493" s="93">
        <v>3.7045553450423756</v>
      </c>
      <c r="L3493" s="93">
        <f t="shared" si="454"/>
        <v>0</v>
      </c>
      <c r="M3493" s="95">
        <f t="shared" ca="1" si="455"/>
        <v>0</v>
      </c>
      <c r="N3493" s="95">
        <f>IF(P3493="Hedge Fund",IF(A3493=Summary!$AD$3,M3493-E3493,M3493),IF(A3493=Summary!$AD$3,L3493-D3493,L3493))</f>
        <v>0</v>
      </c>
      <c r="O3493" s="95">
        <f t="shared" si="456"/>
        <v>0</v>
      </c>
      <c r="P3493" s="107" t="s">
        <v>155</v>
      </c>
      <c r="Q3493" s="107">
        <v>0</v>
      </c>
      <c r="R3493" s="107">
        <v>0</v>
      </c>
      <c r="S3493" s="107">
        <v>0</v>
      </c>
      <c r="T3493" s="107">
        <v>0</v>
      </c>
      <c r="U3493" s="107"/>
      <c r="V3493" s="107"/>
      <c r="W3493" s="107"/>
      <c r="X3493" s="107"/>
      <c r="Y3493" s="107"/>
      <c r="Z3493" s="107"/>
      <c r="AA3493" s="107"/>
      <c r="AB3493" s="107"/>
      <c r="AC3493" s="355"/>
      <c r="AD3493" s="355"/>
      <c r="AE3493" s="355"/>
      <c r="AF3493" s="94">
        <f t="shared" si="457"/>
        <v>41820</v>
      </c>
      <c r="AG3493" s="185">
        <f t="shared" si="461"/>
        <v>-5.8466036666060539E-3</v>
      </c>
      <c r="AH3493" s="339" t="str">
        <f>VLOOKUP(B3493,'MF PF'!A:B,2)</f>
        <v>FdMgt1</v>
      </c>
      <c r="AI3493" s="358">
        <f t="shared" si="458"/>
        <v>0</v>
      </c>
      <c r="AJ3493" s="94">
        <f t="shared" si="459"/>
        <v>41820</v>
      </c>
    </row>
    <row r="3494" spans="1:36" ht="12.75" customHeight="1">
      <c r="A3494" s="94">
        <v>41851</v>
      </c>
      <c r="B3494" s="94" t="s">
        <v>188</v>
      </c>
      <c r="C3494" s="358" t="s">
        <v>305</v>
      </c>
      <c r="D3494" s="98">
        <v>3941840.466</v>
      </c>
      <c r="E3494" s="9">
        <f t="shared" si="460"/>
        <v>1064052.2542807118</v>
      </c>
      <c r="F3494" s="98">
        <v>21.6</v>
      </c>
      <c r="G3494" s="98">
        <v>0</v>
      </c>
      <c r="H3494" s="98">
        <v>0</v>
      </c>
      <c r="I3494" s="98">
        <v>0</v>
      </c>
      <c r="J3494" s="98"/>
      <c r="K3494" s="7">
        <v>3.7045553450423756</v>
      </c>
      <c r="L3494" s="93">
        <f t="shared" si="454"/>
        <v>0</v>
      </c>
      <c r="M3494" s="95">
        <f t="shared" ca="1" si="455"/>
        <v>0</v>
      </c>
      <c r="N3494" s="95">
        <f>IF(P3494="Hedge Fund",IF(A3494=Summary!$AD$3,M3494-E3494,M3494),IF(A3494=Summary!$AD$3,L3494-D3494,L3494))</f>
        <v>0</v>
      </c>
      <c r="O3494" s="95">
        <f t="shared" si="456"/>
        <v>0</v>
      </c>
      <c r="P3494" s="107" t="s">
        <v>155</v>
      </c>
      <c r="Q3494" s="107">
        <v>0</v>
      </c>
      <c r="R3494" s="107">
        <v>0</v>
      </c>
      <c r="S3494" s="107">
        <v>0</v>
      </c>
      <c r="T3494" s="107">
        <v>0</v>
      </c>
      <c r="U3494" s="107"/>
      <c r="V3494" s="107"/>
      <c r="W3494" s="107"/>
      <c r="X3494" s="107"/>
      <c r="Y3494" s="107"/>
      <c r="Z3494" s="107"/>
      <c r="AA3494" s="107"/>
      <c r="AB3494" s="107"/>
      <c r="AC3494" s="355"/>
      <c r="AD3494" s="355"/>
      <c r="AE3494" s="355"/>
      <c r="AF3494" s="94">
        <f t="shared" si="457"/>
        <v>41851</v>
      </c>
      <c r="AG3494" s="185">
        <f t="shared" si="461"/>
        <v>-6.6761282872699335E-3</v>
      </c>
      <c r="AH3494" s="339" t="str">
        <f>VLOOKUP(B3494,'MF PF'!A:B,2)</f>
        <v>FdMgt1</v>
      </c>
      <c r="AI3494" s="358">
        <f t="shared" si="458"/>
        <v>0</v>
      </c>
      <c r="AJ3494" s="94">
        <f t="shared" si="459"/>
        <v>41851</v>
      </c>
    </row>
    <row r="3495" spans="1:36" ht="12.75" customHeight="1">
      <c r="A3495" s="94">
        <v>41880</v>
      </c>
      <c r="B3495" s="94" t="s">
        <v>188</v>
      </c>
      <c r="C3495" s="358" t="s">
        <v>305</v>
      </c>
      <c r="D3495" s="98">
        <v>4137659.6260000006</v>
      </c>
      <c r="E3495" s="95">
        <f t="shared" si="460"/>
        <v>1116911.2729108576</v>
      </c>
      <c r="F3495" s="98">
        <v>21.6</v>
      </c>
      <c r="G3495" s="98">
        <v>0</v>
      </c>
      <c r="H3495" s="98">
        <v>-4.6566128730773926E-10</v>
      </c>
      <c r="I3495" s="98">
        <v>0</v>
      </c>
      <c r="J3495" s="98"/>
      <c r="K3495" s="93">
        <v>3.7045553450423756</v>
      </c>
      <c r="L3495" s="93">
        <f t="shared" si="454"/>
        <v>-4.6566128730773926E-10</v>
      </c>
      <c r="M3495" s="95">
        <f t="shared" ca="1" si="455"/>
        <v>0</v>
      </c>
      <c r="N3495" s="95">
        <f>IF(P3495="Hedge Fund",IF(A3495=Summary!$AD$3,M3495-E3495,M3495),IF(A3495=Summary!$AD$3,L3495-D3495,L3495))</f>
        <v>-4.6566128730773926E-10</v>
      </c>
      <c r="O3495" s="95">
        <f t="shared" si="456"/>
        <v>-4.6566128730773926E-10</v>
      </c>
      <c r="P3495" s="107" t="s">
        <v>155</v>
      </c>
      <c r="Q3495" s="107">
        <v>0</v>
      </c>
      <c r="R3495" s="107">
        <v>0</v>
      </c>
      <c r="S3495" s="107">
        <v>0</v>
      </c>
      <c r="T3495" s="107">
        <v>0</v>
      </c>
      <c r="U3495" s="107"/>
      <c r="V3495" s="107"/>
      <c r="W3495" s="107"/>
      <c r="X3495" s="107"/>
      <c r="Y3495" s="107"/>
      <c r="Z3495" s="107"/>
      <c r="AA3495" s="107"/>
      <c r="AB3495" s="107"/>
      <c r="AC3495" s="355"/>
      <c r="AD3495" s="355"/>
      <c r="AE3495" s="355"/>
      <c r="AF3495" s="94">
        <f t="shared" si="457"/>
        <v>41880</v>
      </c>
      <c r="AG3495" s="185">
        <f t="shared" si="461"/>
        <v>4.9677089087958315E-2</v>
      </c>
      <c r="AH3495" s="339" t="str">
        <f>VLOOKUP(B3495,'MF PF'!A:B,2)</f>
        <v>FdMgt1</v>
      </c>
      <c r="AI3495" s="358">
        <f t="shared" si="458"/>
        <v>0</v>
      </c>
      <c r="AJ3495" s="94">
        <f t="shared" si="459"/>
        <v>41882</v>
      </c>
    </row>
    <row r="3496" spans="1:36" ht="12.75" customHeight="1">
      <c r="A3496" s="94">
        <v>41912</v>
      </c>
      <c r="B3496" s="94" t="s">
        <v>188</v>
      </c>
      <c r="C3496" s="358" t="s">
        <v>305</v>
      </c>
      <c r="D3496" s="98">
        <v>4143770.6900000004</v>
      </c>
      <c r="E3496" s="9">
        <f t="shared" si="460"/>
        <v>1118560.880874787</v>
      </c>
      <c r="F3496" s="98">
        <v>21.6</v>
      </c>
      <c r="G3496" s="98">
        <v>0</v>
      </c>
      <c r="H3496" s="98">
        <v>0</v>
      </c>
      <c r="I3496" s="98">
        <v>0</v>
      </c>
      <c r="J3496" s="98"/>
      <c r="K3496" s="7">
        <v>3.7045553450423756</v>
      </c>
      <c r="L3496" s="93">
        <f t="shared" si="454"/>
        <v>0</v>
      </c>
      <c r="M3496" s="95">
        <f t="shared" ca="1" si="455"/>
        <v>0</v>
      </c>
      <c r="N3496" s="95">
        <f>IF(P3496="Hedge Fund",IF(A3496=Summary!$AD$3,M3496-E3496,M3496),IF(A3496=Summary!$AD$3,L3496-D3496,L3496))</f>
        <v>0</v>
      </c>
      <c r="O3496" s="95">
        <f t="shared" si="456"/>
        <v>0</v>
      </c>
      <c r="P3496" s="107" t="s">
        <v>155</v>
      </c>
      <c r="Q3496" s="107">
        <v>0</v>
      </c>
      <c r="R3496" s="107">
        <v>0</v>
      </c>
      <c r="S3496" s="107">
        <v>0</v>
      </c>
      <c r="T3496" s="107">
        <v>0</v>
      </c>
      <c r="U3496" s="107"/>
      <c r="V3496" s="107"/>
      <c r="W3496" s="107"/>
      <c r="X3496" s="107"/>
      <c r="Y3496" s="107"/>
      <c r="Z3496" s="107"/>
      <c r="AA3496" s="107"/>
      <c r="AB3496" s="107"/>
      <c r="AC3496" s="355"/>
      <c r="AD3496" s="355"/>
      <c r="AE3496" s="355"/>
      <c r="AF3496" s="94">
        <f t="shared" si="457"/>
        <v>41912</v>
      </c>
      <c r="AG3496" s="185">
        <f t="shared" si="461"/>
        <v>1.4769373395528973E-3</v>
      </c>
      <c r="AH3496" s="339" t="str">
        <f>VLOOKUP(B3496,'MF PF'!A:B,2)</f>
        <v>FdMgt1</v>
      </c>
      <c r="AI3496" s="358">
        <f t="shared" si="458"/>
        <v>0</v>
      </c>
      <c r="AJ3496" s="94">
        <f t="shared" si="459"/>
        <v>41912</v>
      </c>
    </row>
    <row r="3497" spans="1:36" ht="12.75" customHeight="1">
      <c r="A3497" s="94">
        <v>41943</v>
      </c>
      <c r="B3497" s="94" t="s">
        <v>188</v>
      </c>
      <c r="C3497" s="358" t="s">
        <v>305</v>
      </c>
      <c r="D3497" s="98">
        <v>3962028.122</v>
      </c>
      <c r="E3497" s="9">
        <f t="shared" si="460"/>
        <v>1069501.6683452139</v>
      </c>
      <c r="F3497" s="98">
        <v>21.6</v>
      </c>
      <c r="G3497" s="98">
        <v>0</v>
      </c>
      <c r="H3497" s="98">
        <v>0</v>
      </c>
      <c r="I3497" s="98">
        <v>0</v>
      </c>
      <c r="J3497" s="98"/>
      <c r="K3497" s="7">
        <v>3.7045553450423756</v>
      </c>
      <c r="L3497" s="93">
        <f t="shared" si="454"/>
        <v>0</v>
      </c>
      <c r="M3497" s="95">
        <f t="shared" ca="1" si="455"/>
        <v>0</v>
      </c>
      <c r="N3497" s="95">
        <f>IF(P3497="Hedge Fund",IF(A3497=Summary!$AD$3,M3497-E3497,M3497),IF(A3497=Summary!$AD$3,L3497-D3497,L3497))</f>
        <v>0</v>
      </c>
      <c r="O3497" s="95">
        <f t="shared" si="456"/>
        <v>0</v>
      </c>
      <c r="P3497" s="107" t="s">
        <v>155</v>
      </c>
      <c r="Q3497" s="107">
        <v>0</v>
      </c>
      <c r="R3497" s="107">
        <v>0</v>
      </c>
      <c r="S3497" s="107">
        <v>0</v>
      </c>
      <c r="T3497" s="107">
        <v>0</v>
      </c>
      <c r="U3497" s="107"/>
      <c r="V3497" s="107"/>
      <c r="W3497" s="107"/>
      <c r="X3497" s="107"/>
      <c r="Y3497" s="107"/>
      <c r="Z3497" s="107"/>
      <c r="AA3497" s="107"/>
      <c r="AB3497" s="107"/>
      <c r="AC3497" s="355"/>
      <c r="AD3497" s="355"/>
      <c r="AE3497" s="355"/>
      <c r="AF3497" s="94">
        <f t="shared" si="457"/>
        <v>41943</v>
      </c>
      <c r="AG3497" s="185">
        <f t="shared" si="461"/>
        <v>-4.3859224266099672E-2</v>
      </c>
      <c r="AH3497" s="339" t="str">
        <f>VLOOKUP(B3497,'MF PF'!A:B,2)</f>
        <v>FdMgt1</v>
      </c>
      <c r="AI3497" s="358">
        <f t="shared" si="458"/>
        <v>0</v>
      </c>
      <c r="AJ3497" s="94">
        <f t="shared" si="459"/>
        <v>41943</v>
      </c>
    </row>
    <row r="3498" spans="1:36" ht="12.75" customHeight="1">
      <c r="A3498" s="94">
        <v>41971</v>
      </c>
      <c r="B3498" s="94" t="s">
        <v>188</v>
      </c>
      <c r="C3498" s="358" t="s">
        <v>305</v>
      </c>
      <c r="D3498" s="98">
        <v>3717759.3539999998</v>
      </c>
      <c r="E3498" s="9">
        <f t="shared" si="460"/>
        <v>1003564.2628406928</v>
      </c>
      <c r="F3498" s="98">
        <v>21.6</v>
      </c>
      <c r="G3498" s="98">
        <v>0</v>
      </c>
      <c r="H3498" s="98">
        <v>0</v>
      </c>
      <c r="I3498" s="98">
        <v>0</v>
      </c>
      <c r="J3498" s="98"/>
      <c r="K3498" s="7">
        <v>3.7045553450423756</v>
      </c>
      <c r="L3498" s="93">
        <f t="shared" si="454"/>
        <v>0</v>
      </c>
      <c r="M3498" s="95">
        <f t="shared" ca="1" si="455"/>
        <v>0</v>
      </c>
      <c r="N3498" s="95">
        <f>IF(P3498="Hedge Fund",IF(A3498=Summary!$AD$3,M3498-E3498,M3498),IF(A3498=Summary!$AD$3,L3498-D3498,L3498))</f>
        <v>0</v>
      </c>
      <c r="O3498" s="95">
        <f t="shared" si="456"/>
        <v>0</v>
      </c>
      <c r="P3498" s="107" t="s">
        <v>155</v>
      </c>
      <c r="Q3498" s="107">
        <v>0</v>
      </c>
      <c r="R3498" s="107">
        <v>0</v>
      </c>
      <c r="S3498" s="107">
        <v>0</v>
      </c>
      <c r="T3498" s="107">
        <v>0</v>
      </c>
      <c r="U3498" s="107"/>
      <c r="V3498" s="107"/>
      <c r="W3498" s="107"/>
      <c r="X3498" s="107"/>
      <c r="Y3498" s="107"/>
      <c r="Z3498" s="107"/>
      <c r="AA3498" s="107"/>
      <c r="AB3498" s="107"/>
      <c r="AC3498" s="355"/>
      <c r="AD3498" s="355"/>
      <c r="AE3498" s="355"/>
      <c r="AF3498" s="94">
        <f t="shared" si="457"/>
        <v>41971</v>
      </c>
      <c r="AG3498" s="185">
        <f t="shared" si="461"/>
        <v>-6.1652456892884233E-2</v>
      </c>
      <c r="AH3498" s="339" t="str">
        <f>VLOOKUP(B3498,'MF PF'!A:B,2)</f>
        <v>FdMgt1</v>
      </c>
      <c r="AI3498" s="358">
        <f t="shared" si="458"/>
        <v>0</v>
      </c>
      <c r="AJ3498" s="94">
        <f t="shared" si="459"/>
        <v>41973</v>
      </c>
    </row>
    <row r="3499" spans="1:36" ht="12.75" customHeight="1">
      <c r="A3499" s="94">
        <v>42004</v>
      </c>
      <c r="B3499" s="94" t="s">
        <v>188</v>
      </c>
      <c r="C3499" s="358" t="s">
        <v>305</v>
      </c>
      <c r="D3499" s="98">
        <v>3209316.37</v>
      </c>
      <c r="E3499" s="95">
        <f t="shared" si="460"/>
        <v>866316.21641039068</v>
      </c>
      <c r="F3499" s="98">
        <v>21.6</v>
      </c>
      <c r="G3499" s="98">
        <v>0</v>
      </c>
      <c r="H3499" s="98">
        <v>0</v>
      </c>
      <c r="I3499" s="98">
        <v>-518400</v>
      </c>
      <c r="J3499" s="98"/>
      <c r="K3499" s="93">
        <v>3.7045553450423756</v>
      </c>
      <c r="L3499" s="93">
        <f t="shared" si="454"/>
        <v>-518400</v>
      </c>
      <c r="M3499" s="95">
        <f t="shared" ca="1" si="455"/>
        <v>-139935.82271452612</v>
      </c>
      <c r="N3499" s="95">
        <f>IF(P3499="Hedge Fund",IF(A3499=Summary!$AD$3,M3499-E3499,M3499),IF(A3499=Summary!$AD$3,L3499-D3499,L3499))</f>
        <v>-518400</v>
      </c>
      <c r="O3499" s="95">
        <f t="shared" si="456"/>
        <v>-518400</v>
      </c>
      <c r="P3499" s="107" t="s">
        <v>155</v>
      </c>
      <c r="Q3499" s="107">
        <v>0</v>
      </c>
      <c r="R3499" s="107">
        <v>0</v>
      </c>
      <c r="S3499" s="107">
        <v>0</v>
      </c>
      <c r="T3499" s="107">
        <v>0</v>
      </c>
      <c r="U3499" s="107"/>
      <c r="V3499" s="107"/>
      <c r="W3499" s="107"/>
      <c r="X3499" s="107"/>
      <c r="Y3499" s="107"/>
      <c r="Z3499" s="107"/>
      <c r="AA3499" s="107"/>
      <c r="AB3499" s="107"/>
      <c r="AC3499" s="355"/>
      <c r="AD3499" s="355"/>
      <c r="AE3499" s="355"/>
      <c r="AF3499" s="94">
        <f t="shared" si="457"/>
        <v>42004</v>
      </c>
      <c r="AG3499" s="185">
        <f t="shared" si="461"/>
        <v>2.6782303672472363E-3</v>
      </c>
      <c r="AH3499" s="339" t="str">
        <f>VLOOKUP(B3499,'MF PF'!A:B,2)</f>
        <v>FdMgt1</v>
      </c>
      <c r="AI3499" s="358">
        <f t="shared" si="458"/>
        <v>0</v>
      </c>
      <c r="AJ3499" s="94">
        <f t="shared" si="459"/>
        <v>42004</v>
      </c>
    </row>
    <row r="3500" spans="1:36" ht="12.75" customHeight="1">
      <c r="A3500" s="94">
        <v>42034</v>
      </c>
      <c r="B3500" s="94" t="s">
        <v>188</v>
      </c>
      <c r="C3500" s="358" t="s">
        <v>305</v>
      </c>
      <c r="D3500" s="98">
        <v>3179390.8892999999</v>
      </c>
      <c r="E3500" s="95">
        <f t="shared" si="460"/>
        <v>858238.1941073772</v>
      </c>
      <c r="F3500" s="98">
        <v>21.6</v>
      </c>
      <c r="G3500" s="98">
        <v>0</v>
      </c>
      <c r="H3500" s="98">
        <v>0</v>
      </c>
      <c r="I3500" s="98">
        <v>0</v>
      </c>
      <c r="J3500" s="98"/>
      <c r="K3500" s="93">
        <v>3.7045553450423756</v>
      </c>
      <c r="L3500" s="93">
        <f t="shared" si="454"/>
        <v>0</v>
      </c>
      <c r="M3500" s="95">
        <f t="shared" ca="1" si="455"/>
        <v>0</v>
      </c>
      <c r="N3500" s="95">
        <f>IF(P3500="Hedge Fund",IF(A3500=Summary!$AD$3,M3500-E3500,M3500),IF(A3500=Summary!$AD$3,L3500-D3500,L3500))</f>
        <v>0</v>
      </c>
      <c r="O3500" s="95">
        <f t="shared" si="456"/>
        <v>0</v>
      </c>
      <c r="P3500" s="107" t="s">
        <v>155</v>
      </c>
      <c r="Q3500" s="107">
        <v>0</v>
      </c>
      <c r="R3500" s="107">
        <v>0</v>
      </c>
      <c r="S3500" s="107">
        <v>0</v>
      </c>
      <c r="T3500" s="107">
        <v>0</v>
      </c>
      <c r="U3500" s="107"/>
      <c r="V3500" s="107"/>
      <c r="W3500" s="107"/>
      <c r="X3500" s="107"/>
      <c r="Y3500" s="107"/>
      <c r="Z3500" s="107"/>
      <c r="AA3500" s="107"/>
      <c r="AB3500" s="107"/>
      <c r="AC3500" s="355"/>
      <c r="AD3500" s="355"/>
      <c r="AE3500" s="355"/>
      <c r="AF3500" s="94">
        <f t="shared" si="457"/>
        <v>42034</v>
      </c>
      <c r="AG3500" s="185">
        <f t="shared" si="461"/>
        <v>-9.3245654992873961E-3</v>
      </c>
      <c r="AH3500" s="339" t="str">
        <f>VLOOKUP(B3500,'MF PF'!A:B,2)</f>
        <v>FdMgt1</v>
      </c>
      <c r="AI3500" s="358">
        <f t="shared" si="458"/>
        <v>0</v>
      </c>
      <c r="AJ3500" s="94">
        <f t="shared" si="459"/>
        <v>42035</v>
      </c>
    </row>
    <row r="3501" spans="1:36" ht="12.75" customHeight="1">
      <c r="A3501" s="94">
        <v>42062</v>
      </c>
      <c r="B3501" s="94" t="s">
        <v>188</v>
      </c>
      <c r="C3501" s="358" t="s">
        <v>305</v>
      </c>
      <c r="D3501" s="98">
        <v>3319515.1650999999</v>
      </c>
      <c r="E3501" s="9">
        <f t="shared" si="460"/>
        <v>896063.05100620072</v>
      </c>
      <c r="F3501" s="98">
        <v>21.6</v>
      </c>
      <c r="G3501" s="98">
        <v>0</v>
      </c>
      <c r="H3501" s="98">
        <v>0</v>
      </c>
      <c r="I3501" s="98">
        <v>0</v>
      </c>
      <c r="J3501" s="98"/>
      <c r="K3501" s="93">
        <v>3.7045553450423756</v>
      </c>
      <c r="L3501" s="93">
        <f t="shared" si="454"/>
        <v>0</v>
      </c>
      <c r="M3501" s="95">
        <f t="shared" ca="1" si="455"/>
        <v>0</v>
      </c>
      <c r="N3501" s="95">
        <f>IF(P3501="Hedge Fund",IF(A3501=Summary!$AD$3,M3501-E3501,M3501),IF(A3501=Summary!$AD$3,L3501-D3501,L3501))</f>
        <v>0</v>
      </c>
      <c r="O3501" s="95">
        <f t="shared" si="456"/>
        <v>0</v>
      </c>
      <c r="P3501" s="107" t="s">
        <v>155</v>
      </c>
      <c r="Q3501" s="107">
        <v>0</v>
      </c>
      <c r="R3501" s="107">
        <v>0</v>
      </c>
      <c r="S3501" s="107">
        <v>0</v>
      </c>
      <c r="T3501" s="107">
        <v>0</v>
      </c>
      <c r="U3501" s="107"/>
      <c r="V3501" s="107"/>
      <c r="W3501" s="107"/>
      <c r="X3501" s="107"/>
      <c r="Y3501" s="107"/>
      <c r="Z3501" s="107"/>
      <c r="AA3501" s="107"/>
      <c r="AB3501" s="107"/>
      <c r="AC3501" s="355"/>
      <c r="AD3501" s="355"/>
      <c r="AE3501" s="355"/>
      <c r="AF3501" s="94">
        <f t="shared" si="457"/>
        <v>42062</v>
      </c>
      <c r="AG3501" s="185">
        <f t="shared" si="461"/>
        <v>4.4072679541096171E-2</v>
      </c>
      <c r="AH3501" s="339" t="str">
        <f>VLOOKUP(B3501,'MF PF'!A:B,2)</f>
        <v>FdMgt1</v>
      </c>
      <c r="AI3501" s="358">
        <f t="shared" si="458"/>
        <v>0</v>
      </c>
      <c r="AJ3501" s="94">
        <f t="shared" si="459"/>
        <v>42063</v>
      </c>
    </row>
    <row r="3502" spans="1:36" ht="12.75" customHeight="1">
      <c r="A3502" s="94">
        <v>42094</v>
      </c>
      <c r="B3502" s="94" t="s">
        <v>188</v>
      </c>
      <c r="C3502" s="358" t="s">
        <v>305</v>
      </c>
      <c r="D3502" s="98">
        <v>2790645.7563999998</v>
      </c>
      <c r="E3502" s="95">
        <f t="shared" si="460"/>
        <v>753301.13778286078</v>
      </c>
      <c r="F3502" s="98">
        <v>21.6</v>
      </c>
      <c r="G3502" s="98">
        <v>0</v>
      </c>
      <c r="H3502" s="98">
        <v>0</v>
      </c>
      <c r="I3502" s="98">
        <v>-507600.00000000006</v>
      </c>
      <c r="J3502" s="98"/>
      <c r="K3502" s="93">
        <v>3.7045553450423756</v>
      </c>
      <c r="L3502" s="93">
        <f t="shared" si="454"/>
        <v>-507600.00000000006</v>
      </c>
      <c r="M3502" s="95">
        <f t="shared" ca="1" si="455"/>
        <v>-137020.49307464017</v>
      </c>
      <c r="N3502" s="95">
        <f>IF(P3502="Hedge Fund",IF(A3502=Summary!$AD$3,M3502-E3502,M3502),IF(A3502=Summary!$AD$3,L3502-D3502,L3502))</f>
        <v>-507600.00000000006</v>
      </c>
      <c r="O3502" s="95">
        <f t="shared" si="456"/>
        <v>-507600.00000000006</v>
      </c>
      <c r="P3502" s="107" t="s">
        <v>155</v>
      </c>
      <c r="Q3502" s="107">
        <v>0</v>
      </c>
      <c r="R3502" s="107">
        <v>0</v>
      </c>
      <c r="S3502" s="107">
        <v>0</v>
      </c>
      <c r="T3502" s="107">
        <v>0</v>
      </c>
      <c r="U3502" s="107"/>
      <c r="V3502" s="107"/>
      <c r="W3502" s="107"/>
      <c r="X3502" s="107"/>
      <c r="Y3502" s="107"/>
      <c r="Z3502" s="107"/>
      <c r="AA3502" s="107"/>
      <c r="AB3502" s="107"/>
      <c r="AC3502" s="355"/>
      <c r="AD3502" s="355"/>
      <c r="AE3502" s="355"/>
      <c r="AF3502" s="94">
        <f t="shared" si="457"/>
        <v>42094</v>
      </c>
      <c r="AG3502" s="185">
        <f t="shared" si="461"/>
        <v>-6.4073841034431034E-3</v>
      </c>
      <c r="AH3502" s="339" t="str">
        <f>VLOOKUP(B3502,'MF PF'!A:B,2)</f>
        <v>FdMgt1</v>
      </c>
      <c r="AI3502" s="358">
        <f t="shared" si="458"/>
        <v>0</v>
      </c>
      <c r="AJ3502" s="94">
        <f t="shared" si="459"/>
        <v>42094</v>
      </c>
    </row>
    <row r="3503" spans="1:36" ht="12.75" customHeight="1">
      <c r="A3503" s="94">
        <v>42124</v>
      </c>
      <c r="B3503" s="94" t="s">
        <v>188</v>
      </c>
      <c r="C3503" s="358" t="s">
        <v>305</v>
      </c>
      <c r="D3503" s="98">
        <v>2838513.8612000002</v>
      </c>
      <c r="E3503" s="95">
        <f t="shared" si="460"/>
        <v>766222.55488736148</v>
      </c>
      <c r="F3503" s="98">
        <v>21.6</v>
      </c>
      <c r="G3503" s="98">
        <v>0</v>
      </c>
      <c r="H3503" s="98">
        <v>0</v>
      </c>
      <c r="I3503" s="98">
        <v>0</v>
      </c>
      <c r="J3503" s="98"/>
      <c r="K3503" s="93">
        <v>3.7045553450423756</v>
      </c>
      <c r="L3503" s="93">
        <f t="shared" si="454"/>
        <v>0</v>
      </c>
      <c r="M3503" s="95">
        <f t="shared" ca="1" si="455"/>
        <v>0</v>
      </c>
      <c r="N3503" s="95">
        <f>IF(P3503="Hedge Fund",IF(A3503=Summary!$AD$3,M3503-E3503,M3503),IF(A3503=Summary!$AD$3,L3503-D3503,L3503))</f>
        <v>0</v>
      </c>
      <c r="O3503" s="95">
        <f t="shared" si="456"/>
        <v>0</v>
      </c>
      <c r="P3503" s="107" t="s">
        <v>155</v>
      </c>
      <c r="Q3503" s="107">
        <v>0</v>
      </c>
      <c r="R3503" s="107">
        <v>0</v>
      </c>
      <c r="S3503" s="107">
        <v>0</v>
      </c>
      <c r="T3503" s="107">
        <v>0</v>
      </c>
      <c r="U3503" s="107"/>
      <c r="V3503" s="107"/>
      <c r="W3503" s="107"/>
      <c r="X3503" s="107"/>
      <c r="Y3503" s="107"/>
      <c r="Z3503" s="107"/>
      <c r="AA3503" s="107"/>
      <c r="AB3503" s="107"/>
      <c r="AC3503" s="355"/>
      <c r="AD3503" s="355"/>
      <c r="AE3503" s="355"/>
      <c r="AF3503" s="94">
        <f t="shared" si="457"/>
        <v>42124</v>
      </c>
      <c r="AG3503" s="185">
        <f t="shared" si="461"/>
        <v>1.7153056668056443E-2</v>
      </c>
      <c r="AH3503" s="339" t="str">
        <f>VLOOKUP(B3503,'MF PF'!A:B,2)</f>
        <v>FdMgt1</v>
      </c>
      <c r="AI3503" s="358">
        <f t="shared" si="458"/>
        <v>0</v>
      </c>
      <c r="AJ3503" s="94">
        <f t="shared" si="459"/>
        <v>42124</v>
      </c>
    </row>
    <row r="3504" spans="1:36" ht="12.75" customHeight="1">
      <c r="A3504" s="94">
        <v>42153</v>
      </c>
      <c r="B3504" s="94" t="s">
        <v>188</v>
      </c>
      <c r="C3504" s="358" t="s">
        <v>305</v>
      </c>
      <c r="D3504" s="98">
        <v>2857554.9268</v>
      </c>
      <c r="E3504" s="9">
        <f t="shared" si="460"/>
        <v>771362.46071316639</v>
      </c>
      <c r="F3504" s="98">
        <v>21.6</v>
      </c>
      <c r="G3504" s="98">
        <v>0</v>
      </c>
      <c r="H3504" s="98">
        <v>0</v>
      </c>
      <c r="I3504" s="98">
        <v>0</v>
      </c>
      <c r="J3504" s="98"/>
      <c r="K3504" s="7">
        <v>3.7045553450423756</v>
      </c>
      <c r="L3504" s="93">
        <f t="shared" si="454"/>
        <v>0</v>
      </c>
      <c r="M3504" s="95">
        <f t="shared" ca="1" si="455"/>
        <v>0</v>
      </c>
      <c r="N3504" s="95">
        <f>IF(P3504="Hedge Fund",IF(A3504=Summary!$AD$3,M3504-E3504,M3504),IF(A3504=Summary!$AD$3,L3504-D3504,L3504))</f>
        <v>0</v>
      </c>
      <c r="O3504" s="95">
        <f t="shared" si="456"/>
        <v>0</v>
      </c>
      <c r="P3504" s="107" t="s">
        <v>155</v>
      </c>
      <c r="Q3504" s="107">
        <v>0</v>
      </c>
      <c r="R3504" s="107">
        <v>0</v>
      </c>
      <c r="S3504" s="107">
        <v>0</v>
      </c>
      <c r="T3504" s="107">
        <v>0</v>
      </c>
      <c r="U3504" s="107"/>
      <c r="V3504" s="107"/>
      <c r="W3504" s="107"/>
      <c r="X3504" s="107"/>
      <c r="Y3504" s="107"/>
      <c r="Z3504" s="107"/>
      <c r="AA3504" s="107"/>
      <c r="AB3504" s="107"/>
      <c r="AC3504" s="355"/>
      <c r="AD3504" s="355"/>
      <c r="AE3504" s="355"/>
      <c r="AF3504" s="94">
        <f t="shared" si="457"/>
        <v>42153</v>
      </c>
      <c r="AG3504" s="185">
        <f t="shared" si="461"/>
        <v>6.7081108393636235E-3</v>
      </c>
      <c r="AH3504" s="339" t="str">
        <f>VLOOKUP(B3504,'MF PF'!A:B,2)</f>
        <v>FdMgt1</v>
      </c>
      <c r="AI3504" s="358">
        <f t="shared" si="458"/>
        <v>0</v>
      </c>
      <c r="AJ3504" s="94">
        <f t="shared" si="459"/>
        <v>42155</v>
      </c>
    </row>
    <row r="3505" spans="1:36" ht="12.75" customHeight="1">
      <c r="A3505" s="94">
        <v>42185</v>
      </c>
      <c r="B3505" s="94" t="s">
        <v>188</v>
      </c>
      <c r="C3505" s="358" t="s">
        <v>305</v>
      </c>
      <c r="D3505" s="98">
        <v>2822405.6140999999</v>
      </c>
      <c r="E3505" s="95">
        <f t="shared" si="460"/>
        <v>761874.32801539509</v>
      </c>
      <c r="F3505" s="98">
        <v>21.6</v>
      </c>
      <c r="G3505" s="98">
        <v>0</v>
      </c>
      <c r="H3505" s="98">
        <v>0</v>
      </c>
      <c r="I3505" s="98">
        <v>0</v>
      </c>
      <c r="J3505" s="98"/>
      <c r="K3505" s="93">
        <v>3.7045553450423756</v>
      </c>
      <c r="L3505" s="93">
        <f t="shared" si="454"/>
        <v>0</v>
      </c>
      <c r="M3505" s="95">
        <f t="shared" ca="1" si="455"/>
        <v>0</v>
      </c>
      <c r="N3505" s="95">
        <f>IF(P3505="Hedge Fund",IF(A3505=Summary!$AD$3,M3505-E3505,M3505),IF(A3505=Summary!$AD$3,L3505-D3505,L3505))</f>
        <v>0</v>
      </c>
      <c r="O3505" s="95">
        <f t="shared" si="456"/>
        <v>0</v>
      </c>
      <c r="P3505" s="107" t="s">
        <v>155</v>
      </c>
      <c r="Q3505" s="107">
        <v>0</v>
      </c>
      <c r="R3505" s="107">
        <v>0</v>
      </c>
      <c r="S3505" s="107">
        <v>0</v>
      </c>
      <c r="T3505" s="107">
        <v>0</v>
      </c>
      <c r="U3505" s="107"/>
      <c r="V3505" s="107"/>
      <c r="W3505" s="107"/>
      <c r="X3505" s="107"/>
      <c r="Y3505" s="107"/>
      <c r="Z3505" s="107"/>
      <c r="AA3505" s="107"/>
      <c r="AB3505" s="107"/>
      <c r="AC3505" s="355"/>
      <c r="AD3505" s="355"/>
      <c r="AE3505" s="355"/>
      <c r="AF3505" s="94">
        <f t="shared" si="457"/>
        <v>42185</v>
      </c>
      <c r="AG3505" s="185">
        <f t="shared" si="461"/>
        <v>-1.2300485415117302E-2</v>
      </c>
      <c r="AH3505" s="339" t="str">
        <f>VLOOKUP(B3505,'MF PF'!A:B,2)</f>
        <v>FdMgt1</v>
      </c>
      <c r="AI3505" s="358">
        <f t="shared" si="458"/>
        <v>0</v>
      </c>
      <c r="AJ3505" s="94">
        <f t="shared" si="459"/>
        <v>42185</v>
      </c>
    </row>
    <row r="3506" spans="1:36" ht="12.75" customHeight="1">
      <c r="A3506" s="94">
        <v>42216</v>
      </c>
      <c r="B3506" s="94" t="s">
        <v>188</v>
      </c>
      <c r="C3506" s="358" t="s">
        <v>305</v>
      </c>
      <c r="D3506" s="98">
        <v>2439555.3780999999</v>
      </c>
      <c r="E3506" s="9">
        <f t="shared" si="460"/>
        <v>658528.5279553826</v>
      </c>
      <c r="F3506" s="98">
        <v>21.6</v>
      </c>
      <c r="G3506" s="98">
        <v>0</v>
      </c>
      <c r="H3506" s="98">
        <v>0</v>
      </c>
      <c r="I3506" s="98">
        <v>-270000</v>
      </c>
      <c r="J3506" s="98"/>
      <c r="K3506" s="93">
        <v>3.7045553450423756</v>
      </c>
      <c r="L3506" s="93">
        <f t="shared" si="454"/>
        <v>-270000</v>
      </c>
      <c r="M3506" s="95">
        <f t="shared" ca="1" si="455"/>
        <v>-72883.240997149012</v>
      </c>
      <c r="N3506" s="95">
        <f>IF(P3506="Hedge Fund",IF(A3506=Summary!$AD$3,M3506-E3506,M3506),IF(A3506=Summary!$AD$3,L3506-D3506,L3506))</f>
        <v>-270000</v>
      </c>
      <c r="O3506" s="95">
        <f t="shared" si="456"/>
        <v>-270000</v>
      </c>
      <c r="P3506" s="107" t="s">
        <v>155</v>
      </c>
      <c r="Q3506" s="107">
        <v>0</v>
      </c>
      <c r="R3506" s="107">
        <v>0</v>
      </c>
      <c r="S3506" s="107">
        <v>0</v>
      </c>
      <c r="T3506" s="107">
        <v>0</v>
      </c>
      <c r="U3506" s="107"/>
      <c r="V3506" s="107"/>
      <c r="W3506" s="107"/>
      <c r="X3506" s="107"/>
      <c r="Y3506" s="107"/>
      <c r="Z3506" s="107"/>
      <c r="AA3506" s="107"/>
      <c r="AB3506" s="107"/>
      <c r="AC3506" s="355"/>
      <c r="AD3506" s="355"/>
      <c r="AE3506" s="355"/>
      <c r="AF3506" s="94">
        <f t="shared" si="457"/>
        <v>42216</v>
      </c>
      <c r="AG3506" s="185">
        <f t="shared" si="461"/>
        <v>-3.998370589834066E-2</v>
      </c>
      <c r="AH3506" s="339" t="str">
        <f>VLOOKUP(B3506,'MF PF'!A:B,2)</f>
        <v>FdMgt1</v>
      </c>
      <c r="AI3506" s="358">
        <f t="shared" si="458"/>
        <v>0</v>
      </c>
      <c r="AJ3506" s="94">
        <f t="shared" si="459"/>
        <v>42216</v>
      </c>
    </row>
    <row r="3507" spans="1:36" ht="12.75" customHeight="1">
      <c r="A3507" s="94">
        <v>42247</v>
      </c>
      <c r="B3507" s="94" t="s">
        <v>188</v>
      </c>
      <c r="C3507" s="358" t="s">
        <v>305</v>
      </c>
      <c r="D3507" s="98">
        <v>2518431.3502000002</v>
      </c>
      <c r="E3507" s="9">
        <f t="shared" si="460"/>
        <v>679820.14456074825</v>
      </c>
      <c r="F3507" s="98">
        <v>21.6</v>
      </c>
      <c r="G3507" s="98">
        <v>0</v>
      </c>
      <c r="H3507" s="98">
        <v>0</v>
      </c>
      <c r="I3507" s="98">
        <v>0</v>
      </c>
      <c r="J3507" s="98"/>
      <c r="K3507" s="7">
        <v>3.7045553450423756</v>
      </c>
      <c r="L3507" s="93">
        <f t="shared" si="454"/>
        <v>0</v>
      </c>
      <c r="M3507" s="95">
        <f t="shared" ca="1" si="455"/>
        <v>0</v>
      </c>
      <c r="N3507" s="95">
        <f>IF(P3507="Hedge Fund",IF(A3507=Summary!$AD$3,M3507-E3507,M3507),IF(A3507=Summary!$AD$3,L3507-D3507,L3507))</f>
        <v>0</v>
      </c>
      <c r="O3507" s="95">
        <f t="shared" si="456"/>
        <v>0</v>
      </c>
      <c r="P3507" s="107" t="s">
        <v>155</v>
      </c>
      <c r="Q3507" s="107">
        <v>0</v>
      </c>
      <c r="R3507" s="107">
        <v>0</v>
      </c>
      <c r="S3507" s="107">
        <v>0</v>
      </c>
      <c r="T3507" s="107">
        <v>0</v>
      </c>
      <c r="U3507" s="107"/>
      <c r="V3507" s="107"/>
      <c r="W3507" s="107"/>
      <c r="X3507" s="107"/>
      <c r="Y3507" s="107"/>
      <c r="Z3507" s="107"/>
      <c r="AA3507" s="107"/>
      <c r="AB3507" s="107"/>
      <c r="AC3507" s="355"/>
      <c r="AD3507" s="355"/>
      <c r="AE3507" s="355"/>
      <c r="AF3507" s="94">
        <f t="shared" si="457"/>
        <v>42247</v>
      </c>
      <c r="AG3507" s="185">
        <f t="shared" si="461"/>
        <v>3.2332109698379297E-2</v>
      </c>
      <c r="AH3507" s="339" t="str">
        <f>VLOOKUP(B3507,'MF PF'!A:B,2)</f>
        <v>FdMgt1</v>
      </c>
      <c r="AI3507" s="358">
        <f t="shared" si="458"/>
        <v>0</v>
      </c>
      <c r="AJ3507" s="94">
        <f t="shared" si="459"/>
        <v>42247</v>
      </c>
    </row>
    <row r="3508" spans="1:36" ht="12.75" customHeight="1">
      <c r="A3508" s="94">
        <v>42277</v>
      </c>
      <c r="B3508" s="94" t="s">
        <v>188</v>
      </c>
      <c r="C3508" s="358" t="s">
        <v>305</v>
      </c>
      <c r="D3508" s="98">
        <v>2499237.2086999998</v>
      </c>
      <c r="E3508" s="95">
        <f t="shared" si="460"/>
        <v>674638.91774342267</v>
      </c>
      <c r="F3508" s="98">
        <v>21.6</v>
      </c>
      <c r="G3508" s="98">
        <v>0</v>
      </c>
      <c r="H3508" s="98">
        <v>0</v>
      </c>
      <c r="I3508" s="98">
        <v>0</v>
      </c>
      <c r="J3508" s="98"/>
      <c r="K3508" s="93">
        <v>3.7045553450423756</v>
      </c>
      <c r="L3508" s="93">
        <f t="shared" si="454"/>
        <v>0</v>
      </c>
      <c r="M3508" s="95">
        <f t="shared" ca="1" si="455"/>
        <v>0</v>
      </c>
      <c r="N3508" s="95">
        <f>IF(P3508="Hedge Fund",IF(A3508=Summary!$AD$3,M3508-E3508,M3508),IF(A3508=Summary!$AD$3,L3508-D3508,L3508))</f>
        <v>0</v>
      </c>
      <c r="O3508" s="95">
        <f t="shared" si="456"/>
        <v>0</v>
      </c>
      <c r="P3508" s="107" t="s">
        <v>155</v>
      </c>
      <c r="Q3508" s="107">
        <v>0</v>
      </c>
      <c r="R3508" s="107">
        <v>0</v>
      </c>
      <c r="S3508" s="107">
        <v>0</v>
      </c>
      <c r="T3508" s="107">
        <v>0</v>
      </c>
      <c r="U3508" s="107"/>
      <c r="V3508" s="107"/>
      <c r="W3508" s="107"/>
      <c r="X3508" s="107"/>
      <c r="Y3508" s="107"/>
      <c r="Z3508" s="107"/>
      <c r="AA3508" s="107"/>
      <c r="AB3508" s="107"/>
      <c r="AC3508" s="355"/>
      <c r="AD3508" s="355"/>
      <c r="AE3508" s="355"/>
      <c r="AF3508" s="94">
        <f t="shared" si="457"/>
        <v>42277</v>
      </c>
      <c r="AG3508" s="185">
        <f t="shared" si="461"/>
        <v>-7.6214670288614617E-3</v>
      </c>
      <c r="AH3508" s="339" t="str">
        <f>VLOOKUP(B3508,'MF PF'!A:B,2)</f>
        <v>FdMgt1</v>
      </c>
      <c r="AI3508" s="358">
        <f t="shared" si="458"/>
        <v>0</v>
      </c>
      <c r="AJ3508" s="94">
        <f t="shared" si="459"/>
        <v>42277</v>
      </c>
    </row>
    <row r="3509" spans="1:36" ht="12.75" customHeight="1">
      <c r="A3509" s="94">
        <v>42307</v>
      </c>
      <c r="B3509" s="94" t="s">
        <v>188</v>
      </c>
      <c r="C3509" s="358" t="s">
        <v>305</v>
      </c>
      <c r="D3509" s="98">
        <v>2474293.9232999999</v>
      </c>
      <c r="E3509" s="95">
        <f t="shared" si="460"/>
        <v>667905.778924649</v>
      </c>
      <c r="F3509" s="98">
        <v>21.6</v>
      </c>
      <c r="G3509" s="98">
        <v>0</v>
      </c>
      <c r="H3509" s="98">
        <v>0</v>
      </c>
      <c r="I3509" s="98">
        <v>0</v>
      </c>
      <c r="J3509" s="98"/>
      <c r="K3509" s="93">
        <v>3.7045553450423756</v>
      </c>
      <c r="L3509" s="93">
        <f t="shared" si="454"/>
        <v>0</v>
      </c>
      <c r="M3509" s="95">
        <f t="shared" ca="1" si="455"/>
        <v>0</v>
      </c>
      <c r="N3509" s="95">
        <f>IF(P3509="Hedge Fund",IF(A3509=Summary!$AD$3,M3509-E3509,M3509),IF(A3509=Summary!$AD$3,L3509-D3509,L3509))</f>
        <v>0</v>
      </c>
      <c r="O3509" s="95">
        <f t="shared" si="456"/>
        <v>0</v>
      </c>
      <c r="P3509" s="107" t="s">
        <v>155</v>
      </c>
      <c r="Q3509" s="107">
        <v>0</v>
      </c>
      <c r="R3509" s="107">
        <v>0</v>
      </c>
      <c r="S3509" s="107">
        <v>0</v>
      </c>
      <c r="T3509" s="107">
        <v>0</v>
      </c>
      <c r="U3509" s="107"/>
      <c r="V3509" s="107"/>
      <c r="W3509" s="107"/>
      <c r="X3509" s="107"/>
      <c r="Y3509" s="107"/>
      <c r="Z3509" s="107"/>
      <c r="AA3509" s="107"/>
      <c r="AB3509" s="107"/>
      <c r="AC3509" s="355"/>
      <c r="AD3509" s="355"/>
      <c r="AE3509" s="355"/>
      <c r="AF3509" s="94">
        <f t="shared" si="457"/>
        <v>42307</v>
      </c>
      <c r="AG3509" s="185">
        <f t="shared" si="461"/>
        <v>-9.9803593325078488E-3</v>
      </c>
      <c r="AH3509" s="339" t="str">
        <f>VLOOKUP(B3509,'MF PF'!A:B,2)</f>
        <v>FdMgt1</v>
      </c>
      <c r="AI3509" s="358">
        <f t="shared" si="458"/>
        <v>0</v>
      </c>
      <c r="AJ3509" s="94">
        <f t="shared" si="459"/>
        <v>42308</v>
      </c>
    </row>
    <row r="3510" spans="1:36" ht="12.75" customHeight="1">
      <c r="A3510" s="94">
        <v>42338</v>
      </c>
      <c r="B3510" s="94" t="s">
        <v>188</v>
      </c>
      <c r="C3510" s="358" t="s">
        <v>305</v>
      </c>
      <c r="D3510" s="98">
        <v>2160366.0350000001</v>
      </c>
      <c r="E3510" s="95">
        <f t="shared" si="460"/>
        <v>583164.73470726027</v>
      </c>
      <c r="F3510" s="98">
        <v>21.6</v>
      </c>
      <c r="G3510" s="98">
        <v>0</v>
      </c>
      <c r="H3510" s="98">
        <v>0</v>
      </c>
      <c r="I3510" s="98">
        <v>-313200</v>
      </c>
      <c r="J3510" s="98"/>
      <c r="K3510" s="93">
        <v>3.7045553450423756</v>
      </c>
      <c r="L3510" s="93">
        <f t="shared" si="454"/>
        <v>-313200</v>
      </c>
      <c r="M3510" s="95">
        <f t="shared" ca="1" si="455"/>
        <v>-84544.559556692868</v>
      </c>
      <c r="N3510" s="95">
        <f>IF(P3510="Hedge Fund",IF(A3510=Summary!$AD$3,M3510-E3510,M3510),IF(A3510=Summary!$AD$3,L3510-D3510,L3510))</f>
        <v>-313200</v>
      </c>
      <c r="O3510" s="95">
        <f t="shared" si="456"/>
        <v>-313200</v>
      </c>
      <c r="P3510" s="107" t="s">
        <v>155</v>
      </c>
      <c r="Q3510" s="107">
        <v>0</v>
      </c>
      <c r="R3510" s="107">
        <v>0</v>
      </c>
      <c r="S3510" s="107">
        <v>0</v>
      </c>
      <c r="T3510" s="107">
        <v>0</v>
      </c>
      <c r="U3510" s="107"/>
      <c r="V3510" s="107"/>
      <c r="W3510" s="107"/>
      <c r="X3510" s="107"/>
      <c r="Y3510" s="107"/>
      <c r="Z3510" s="107"/>
      <c r="AA3510" s="107"/>
      <c r="AB3510" s="107"/>
      <c r="AC3510" s="355"/>
      <c r="AD3510" s="355"/>
      <c r="AE3510" s="355"/>
      <c r="AF3510" s="94">
        <f t="shared" si="457"/>
        <v>42338</v>
      </c>
      <c r="AG3510" s="185">
        <f t="shared" si="461"/>
        <v>-2.9418020759186536E-4</v>
      </c>
      <c r="AH3510" s="339" t="str">
        <f>VLOOKUP(B3510,'MF PF'!A:B,2)</f>
        <v>FdMgt1</v>
      </c>
      <c r="AI3510" s="358">
        <f t="shared" si="458"/>
        <v>0</v>
      </c>
      <c r="AJ3510" s="94">
        <f t="shared" si="459"/>
        <v>42338</v>
      </c>
    </row>
    <row r="3511" spans="1:36" ht="12.75" customHeight="1">
      <c r="A3511" s="94">
        <v>42369</v>
      </c>
      <c r="B3511" s="94" t="s">
        <v>188</v>
      </c>
      <c r="C3511" s="358" t="s">
        <v>305</v>
      </c>
      <c r="D3511" s="98">
        <v>1634391.7</v>
      </c>
      <c r="E3511" s="95">
        <f t="shared" si="460"/>
        <v>441184.31168459286</v>
      </c>
      <c r="F3511" s="98">
        <v>21.6</v>
      </c>
      <c r="G3511" s="98">
        <v>0</v>
      </c>
      <c r="H3511" s="98">
        <v>0</v>
      </c>
      <c r="I3511" s="98">
        <v>-432000</v>
      </c>
      <c r="J3511" s="98"/>
      <c r="K3511" s="93">
        <v>3.7045553450423756</v>
      </c>
      <c r="L3511" s="93">
        <f t="shared" si="454"/>
        <v>-432000</v>
      </c>
      <c r="M3511" s="95">
        <f t="shared" ca="1" si="455"/>
        <v>-116613.18559543844</v>
      </c>
      <c r="N3511" s="95">
        <f>IF(P3511="Hedge Fund",IF(A3511=Summary!$AD$3,M3511-E3511,M3511),IF(A3511=Summary!$AD$3,L3511-D3511,L3511))</f>
        <v>-432000</v>
      </c>
      <c r="O3511" s="95">
        <f t="shared" si="456"/>
        <v>-432000</v>
      </c>
      <c r="P3511" s="107" t="s">
        <v>155</v>
      </c>
      <c r="Q3511" s="107">
        <v>0</v>
      </c>
      <c r="R3511" s="107">
        <v>0</v>
      </c>
      <c r="S3511" s="107">
        <v>0</v>
      </c>
      <c r="T3511" s="107">
        <v>0</v>
      </c>
      <c r="U3511" s="107"/>
      <c r="V3511" s="107"/>
      <c r="W3511" s="107"/>
      <c r="X3511" s="107"/>
      <c r="Y3511" s="107"/>
      <c r="Z3511" s="107"/>
      <c r="AA3511" s="107"/>
      <c r="AB3511" s="107"/>
      <c r="AC3511" s="355"/>
      <c r="AD3511" s="355"/>
      <c r="AE3511" s="355"/>
      <c r="AF3511" s="94">
        <f t="shared" si="457"/>
        <v>42369</v>
      </c>
      <c r="AG3511" s="185">
        <f t="shared" si="461"/>
        <v>-4.3499265160406142E-2</v>
      </c>
      <c r="AH3511" s="339" t="str">
        <f>VLOOKUP(B3511,'MF PF'!A:B,2)</f>
        <v>FdMgt1</v>
      </c>
      <c r="AI3511" s="358">
        <f t="shared" si="458"/>
        <v>0</v>
      </c>
      <c r="AJ3511" s="94">
        <f t="shared" si="459"/>
        <v>42369</v>
      </c>
    </row>
    <row r="3512" spans="1:36" ht="12.75" customHeight="1">
      <c r="A3512" s="94">
        <v>42398</v>
      </c>
      <c r="B3512" s="94" t="s">
        <v>188</v>
      </c>
      <c r="C3512" s="358" t="s">
        <v>305</v>
      </c>
      <c r="D3512" s="98">
        <v>1566116.28</v>
      </c>
      <c r="E3512" s="95">
        <f t="shared" si="460"/>
        <v>422754.1861659204</v>
      </c>
      <c r="F3512" s="98">
        <v>21.6</v>
      </c>
      <c r="G3512" s="98">
        <v>0</v>
      </c>
      <c r="H3512" s="98">
        <v>0</v>
      </c>
      <c r="I3512" s="98">
        <v>0</v>
      </c>
      <c r="J3512" s="98"/>
      <c r="K3512" s="93">
        <v>3.7045553450423756</v>
      </c>
      <c r="L3512" s="93">
        <f t="shared" si="454"/>
        <v>0</v>
      </c>
      <c r="M3512" s="95">
        <f t="shared" ca="1" si="455"/>
        <v>0</v>
      </c>
      <c r="N3512" s="95">
        <f>IF(P3512="Hedge Fund",IF(A3512=Summary!$AD$3,M3512-E3512,M3512),IF(A3512=Summary!$AD$3,L3512-D3512,L3512))</f>
        <v>0</v>
      </c>
      <c r="O3512" s="95">
        <f t="shared" si="456"/>
        <v>0</v>
      </c>
      <c r="P3512" s="107" t="s">
        <v>155</v>
      </c>
      <c r="Q3512" s="107">
        <v>0</v>
      </c>
      <c r="R3512" s="107">
        <v>0</v>
      </c>
      <c r="S3512" s="107">
        <v>0</v>
      </c>
      <c r="T3512" s="107">
        <v>0</v>
      </c>
      <c r="U3512" s="107"/>
      <c r="V3512" s="107"/>
      <c r="W3512" s="107"/>
      <c r="X3512" s="107"/>
      <c r="Y3512" s="107"/>
      <c r="Z3512" s="107"/>
      <c r="AA3512" s="107"/>
      <c r="AB3512" s="107"/>
      <c r="AC3512" s="355"/>
      <c r="AD3512" s="355"/>
      <c r="AE3512" s="355"/>
      <c r="AF3512" s="94">
        <f t="shared" si="457"/>
        <v>42398</v>
      </c>
      <c r="AG3512" s="185">
        <f t="shared" si="461"/>
        <v>-4.1774208716307104E-2</v>
      </c>
      <c r="AH3512" s="339" t="str">
        <f>VLOOKUP(B3512,'MF PF'!A:B,2)</f>
        <v>FdMgt1</v>
      </c>
      <c r="AI3512" s="358">
        <f t="shared" si="458"/>
        <v>0</v>
      </c>
      <c r="AJ3512" s="94">
        <f t="shared" si="459"/>
        <v>42400</v>
      </c>
    </row>
    <row r="3513" spans="1:36" ht="12.75" customHeight="1">
      <c r="A3513" s="94">
        <v>42429</v>
      </c>
      <c r="B3513" s="94" t="s">
        <v>188</v>
      </c>
      <c r="C3513" s="358" t="s">
        <v>305</v>
      </c>
      <c r="D3513" s="98">
        <v>1622956.34</v>
      </c>
      <c r="E3513" s="95">
        <f t="shared" si="460"/>
        <v>438097.47428174416</v>
      </c>
      <c r="F3513" s="98">
        <v>21.6</v>
      </c>
      <c r="G3513" s="98">
        <v>0</v>
      </c>
      <c r="H3513" s="98">
        <v>0</v>
      </c>
      <c r="I3513" s="98">
        <v>0</v>
      </c>
      <c r="J3513" s="98"/>
      <c r="K3513" s="93">
        <v>3.7045553450423756</v>
      </c>
      <c r="L3513" s="93">
        <f t="shared" si="454"/>
        <v>0</v>
      </c>
      <c r="M3513" s="95">
        <f t="shared" ca="1" si="455"/>
        <v>0</v>
      </c>
      <c r="N3513" s="95">
        <f>IF(P3513="Hedge Fund",IF(A3513=Summary!$AD$3,M3513-E3513,M3513),IF(A3513=Summary!$AD$3,L3513-D3513,L3513))</f>
        <v>0</v>
      </c>
      <c r="O3513" s="95">
        <f t="shared" si="456"/>
        <v>0</v>
      </c>
      <c r="P3513" s="107" t="s">
        <v>155</v>
      </c>
      <c r="Q3513" s="107">
        <v>0</v>
      </c>
      <c r="R3513" s="107">
        <v>0</v>
      </c>
      <c r="S3513" s="107">
        <v>0</v>
      </c>
      <c r="T3513" s="107">
        <v>0</v>
      </c>
      <c r="U3513" s="107"/>
      <c r="V3513" s="107"/>
      <c r="W3513" s="107"/>
      <c r="X3513" s="107"/>
      <c r="Y3513" s="107"/>
      <c r="Z3513" s="107"/>
      <c r="AA3513" s="107"/>
      <c r="AB3513" s="107"/>
      <c r="AC3513" s="355"/>
      <c r="AD3513" s="355"/>
      <c r="AE3513" s="355"/>
      <c r="AF3513" s="94">
        <f t="shared" si="457"/>
        <v>42429</v>
      </c>
      <c r="AG3513" s="185">
        <f t="shared" si="461"/>
        <v>3.6293639703432579E-2</v>
      </c>
      <c r="AH3513" s="339" t="str">
        <f>VLOOKUP(B3513,'MF PF'!A:B,2)</f>
        <v>FdMgt1</v>
      </c>
      <c r="AI3513" s="358">
        <f t="shared" si="458"/>
        <v>0</v>
      </c>
      <c r="AJ3513" s="94">
        <f t="shared" si="459"/>
        <v>42429</v>
      </c>
    </row>
    <row r="3514" spans="1:36" ht="12.75" customHeight="1">
      <c r="A3514" s="94">
        <v>42460</v>
      </c>
      <c r="B3514" s="94" t="s">
        <v>188</v>
      </c>
      <c r="C3514" s="358" t="s">
        <v>305</v>
      </c>
      <c r="D3514" s="98">
        <v>1612981.51</v>
      </c>
      <c r="E3514" s="9">
        <f t="shared" si="460"/>
        <v>435404.88932324195</v>
      </c>
      <c r="F3514" s="98">
        <v>21.6</v>
      </c>
      <c r="G3514" s="98">
        <v>0</v>
      </c>
      <c r="H3514" s="98">
        <v>0</v>
      </c>
      <c r="I3514" s="98">
        <v>0</v>
      </c>
      <c r="J3514" s="98"/>
      <c r="K3514" s="7">
        <v>3.7045553450423756</v>
      </c>
      <c r="L3514" s="93">
        <f t="shared" si="454"/>
        <v>0</v>
      </c>
      <c r="M3514" s="95">
        <f t="shared" ca="1" si="455"/>
        <v>0</v>
      </c>
      <c r="N3514" s="95">
        <f>IF(P3514="Hedge Fund",IF(A3514=Summary!$AD$3,M3514-E3514,M3514),IF(A3514=Summary!$AD$3,L3514-D3514,L3514))</f>
        <v>0</v>
      </c>
      <c r="O3514" s="95">
        <f t="shared" si="456"/>
        <v>0</v>
      </c>
      <c r="P3514" s="107" t="s">
        <v>155</v>
      </c>
      <c r="Q3514" s="107">
        <v>0</v>
      </c>
      <c r="R3514" s="107">
        <v>0</v>
      </c>
      <c r="S3514" s="107">
        <v>0</v>
      </c>
      <c r="T3514" s="107">
        <v>0</v>
      </c>
      <c r="U3514" s="107"/>
      <c r="V3514" s="107"/>
      <c r="W3514" s="107"/>
      <c r="X3514" s="107"/>
      <c r="Y3514" s="107"/>
      <c r="Z3514" s="107"/>
      <c r="AA3514" s="107"/>
      <c r="AB3514" s="107"/>
      <c r="AC3514" s="355"/>
      <c r="AD3514" s="355"/>
      <c r="AE3514" s="355"/>
      <c r="AF3514" s="94">
        <f t="shared" si="457"/>
        <v>42460</v>
      </c>
      <c r="AG3514" s="185">
        <f t="shared" si="461"/>
        <v>-6.1460864683520189E-3</v>
      </c>
      <c r="AH3514" s="339" t="str">
        <f>VLOOKUP(B3514,'MF PF'!A:B,2)</f>
        <v>FdMgt1</v>
      </c>
      <c r="AI3514" s="358">
        <f t="shared" si="458"/>
        <v>0</v>
      </c>
      <c r="AJ3514" s="94">
        <f t="shared" si="459"/>
        <v>42460</v>
      </c>
    </row>
    <row r="3515" spans="1:36" ht="12.75" customHeight="1">
      <c r="A3515" s="94">
        <v>42489</v>
      </c>
      <c r="B3515" s="94" t="s">
        <v>188</v>
      </c>
      <c r="C3515" s="358" t="s">
        <v>305</v>
      </c>
      <c r="D3515" s="98">
        <v>1702819.5495</v>
      </c>
      <c r="E3515" s="95">
        <f t="shared" si="460"/>
        <v>459655.58370690822</v>
      </c>
      <c r="F3515" s="98">
        <v>21.6</v>
      </c>
      <c r="G3515" s="98">
        <v>0</v>
      </c>
      <c r="H3515" s="98">
        <v>0</v>
      </c>
      <c r="I3515" s="98">
        <v>0</v>
      </c>
      <c r="J3515" s="98"/>
      <c r="K3515" s="93">
        <v>3.7045553450423756</v>
      </c>
      <c r="L3515" s="93">
        <f t="shared" si="454"/>
        <v>0</v>
      </c>
      <c r="M3515" s="95">
        <f t="shared" ca="1" si="455"/>
        <v>0</v>
      </c>
      <c r="N3515" s="95">
        <f>IF(P3515="Hedge Fund",IF(A3515=Summary!$AD$3,M3515-E3515,M3515),IF(A3515=Summary!$AD$3,L3515-D3515,L3515))</f>
        <v>0</v>
      </c>
      <c r="O3515" s="95">
        <f t="shared" si="456"/>
        <v>0</v>
      </c>
      <c r="P3515" s="107" t="s">
        <v>155</v>
      </c>
      <c r="Q3515" s="107">
        <v>0</v>
      </c>
      <c r="R3515" s="107">
        <v>0</v>
      </c>
      <c r="S3515" s="107">
        <v>0</v>
      </c>
      <c r="T3515" s="107">
        <v>0</v>
      </c>
      <c r="U3515" s="107"/>
      <c r="V3515" s="107"/>
      <c r="W3515" s="107"/>
      <c r="X3515" s="107"/>
      <c r="Y3515" s="107"/>
      <c r="Z3515" s="107"/>
      <c r="AA3515" s="107"/>
      <c r="AB3515" s="107"/>
      <c r="AC3515" s="355"/>
      <c r="AD3515" s="355"/>
      <c r="AE3515" s="355"/>
      <c r="AF3515" s="94">
        <f t="shared" si="457"/>
        <v>42489</v>
      </c>
      <c r="AG3515" s="185">
        <f t="shared" si="461"/>
        <v>5.5696881175035795E-2</v>
      </c>
      <c r="AH3515" s="339" t="str">
        <f>VLOOKUP(B3515,'MF PF'!A:B,2)</f>
        <v>FdMgt1</v>
      </c>
      <c r="AI3515" s="358">
        <f t="shared" si="458"/>
        <v>0</v>
      </c>
      <c r="AJ3515" s="94">
        <f t="shared" si="459"/>
        <v>42490</v>
      </c>
    </row>
    <row r="3516" spans="1:36" ht="12.75" customHeight="1">
      <c r="A3516" s="94">
        <v>42521</v>
      </c>
      <c r="B3516" s="94" t="s">
        <v>188</v>
      </c>
      <c r="C3516" s="358" t="s">
        <v>305</v>
      </c>
      <c r="D3516" s="98">
        <v>1733756.0562</v>
      </c>
      <c r="E3516" s="95">
        <f t="shared" si="460"/>
        <v>468006.52027515275</v>
      </c>
      <c r="F3516" s="98">
        <v>21.6</v>
      </c>
      <c r="G3516" s="98">
        <v>0</v>
      </c>
      <c r="H3516" s="98">
        <v>0</v>
      </c>
      <c r="I3516" s="98">
        <v>0</v>
      </c>
      <c r="J3516" s="98"/>
      <c r="K3516" s="93">
        <v>3.7045553450423756</v>
      </c>
      <c r="L3516" s="93">
        <f t="shared" si="454"/>
        <v>0</v>
      </c>
      <c r="M3516" s="95">
        <f t="shared" ca="1" si="455"/>
        <v>0</v>
      </c>
      <c r="N3516" s="95">
        <f>IF(P3516="Hedge Fund",IF(A3516=Summary!$AD$3,M3516-E3516,M3516),IF(A3516=Summary!$AD$3,L3516-D3516,L3516))</f>
        <v>0</v>
      </c>
      <c r="O3516" s="95">
        <f t="shared" si="456"/>
        <v>0</v>
      </c>
      <c r="P3516" s="107" t="s">
        <v>155</v>
      </c>
      <c r="Q3516" s="107">
        <v>0</v>
      </c>
      <c r="R3516" s="107">
        <v>0</v>
      </c>
      <c r="S3516" s="107">
        <v>0</v>
      </c>
      <c r="T3516" s="107">
        <v>0</v>
      </c>
      <c r="U3516" s="107"/>
      <c r="V3516" s="107"/>
      <c r="W3516" s="107"/>
      <c r="X3516" s="107"/>
      <c r="Y3516" s="107"/>
      <c r="Z3516" s="107"/>
      <c r="AA3516" s="107"/>
      <c r="AB3516" s="107"/>
      <c r="AC3516" s="355"/>
      <c r="AD3516" s="355"/>
      <c r="AE3516" s="355"/>
      <c r="AF3516" s="94">
        <f t="shared" si="457"/>
        <v>42521</v>
      </c>
      <c r="AG3516" s="185">
        <f t="shared" si="461"/>
        <v>1.8167812736871625E-2</v>
      </c>
      <c r="AH3516" s="339" t="str">
        <f>VLOOKUP(B3516,'MF PF'!A:B,2)</f>
        <v>FdMgt1</v>
      </c>
      <c r="AI3516" s="358">
        <f t="shared" si="458"/>
        <v>0</v>
      </c>
      <c r="AJ3516" s="94">
        <f t="shared" si="459"/>
        <v>42521</v>
      </c>
    </row>
    <row r="3517" spans="1:36" ht="12.75" customHeight="1">
      <c r="A3517" s="94">
        <v>42551</v>
      </c>
      <c r="B3517" s="94" t="s">
        <v>188</v>
      </c>
      <c r="C3517" s="358" t="s">
        <v>305</v>
      </c>
      <c r="D3517" s="98">
        <v>1830080.2498000001</v>
      </c>
      <c r="E3517" s="9">
        <f t="shared" si="460"/>
        <v>494008.07366776327</v>
      </c>
      <c r="F3517" s="98">
        <v>21.6</v>
      </c>
      <c r="G3517" s="98">
        <v>0</v>
      </c>
      <c r="H3517" s="98">
        <v>0</v>
      </c>
      <c r="I3517" s="98">
        <v>0</v>
      </c>
      <c r="J3517" s="98"/>
      <c r="K3517" s="7">
        <v>3.7045553450423756</v>
      </c>
      <c r="L3517" s="93">
        <f t="shared" si="454"/>
        <v>0</v>
      </c>
      <c r="M3517" s="95">
        <f t="shared" ca="1" si="455"/>
        <v>0</v>
      </c>
      <c r="N3517" s="95">
        <f>IF(P3517="Hedge Fund",IF(A3517=Summary!$AD$3,M3517-E3517,M3517),IF(A3517=Summary!$AD$3,L3517-D3517,L3517))</f>
        <v>0</v>
      </c>
      <c r="O3517" s="95">
        <f t="shared" si="456"/>
        <v>0</v>
      </c>
      <c r="P3517" s="107" t="s">
        <v>155</v>
      </c>
      <c r="Q3517" s="107">
        <v>0</v>
      </c>
      <c r="R3517" s="107">
        <v>0</v>
      </c>
      <c r="S3517" s="107">
        <v>0</v>
      </c>
      <c r="T3517" s="107">
        <v>0</v>
      </c>
      <c r="U3517" s="107"/>
      <c r="V3517" s="107"/>
      <c r="W3517" s="107"/>
      <c r="X3517" s="107"/>
      <c r="Y3517" s="107"/>
      <c r="Z3517" s="107"/>
      <c r="AA3517" s="107"/>
      <c r="AB3517" s="107"/>
      <c r="AC3517" s="355"/>
      <c r="AD3517" s="355"/>
      <c r="AE3517" s="355"/>
      <c r="AF3517" s="94">
        <f t="shared" si="457"/>
        <v>42551</v>
      </c>
      <c r="AG3517" s="185">
        <f t="shared" si="461"/>
        <v>5.5558100723305248E-2</v>
      </c>
      <c r="AH3517" s="339" t="str">
        <f>VLOOKUP(B3517,'MF PF'!A:B,2)</f>
        <v>FdMgt1</v>
      </c>
      <c r="AI3517" s="358">
        <f t="shared" si="458"/>
        <v>0</v>
      </c>
      <c r="AJ3517" s="94">
        <f t="shared" si="459"/>
        <v>42551</v>
      </c>
    </row>
    <row r="3518" spans="1:36" ht="12.75" customHeight="1">
      <c r="A3518" s="94">
        <v>42580</v>
      </c>
      <c r="B3518" s="94" t="s">
        <v>188</v>
      </c>
      <c r="C3518" s="358" t="s">
        <v>305</v>
      </c>
      <c r="D3518" s="98">
        <v>2028854.8348000001</v>
      </c>
      <c r="E3518" s="9">
        <f t="shared" si="460"/>
        <v>547664.87360355316</v>
      </c>
      <c r="F3518" s="98">
        <v>21.6</v>
      </c>
      <c r="G3518" s="98">
        <v>0</v>
      </c>
      <c r="H3518" s="98">
        <v>0</v>
      </c>
      <c r="I3518" s="98">
        <v>0</v>
      </c>
      <c r="J3518" s="98"/>
      <c r="K3518" s="7">
        <v>3.7045553450423756</v>
      </c>
      <c r="L3518" s="93">
        <f t="shared" si="454"/>
        <v>0</v>
      </c>
      <c r="M3518" s="95">
        <f t="shared" ca="1" si="455"/>
        <v>0</v>
      </c>
      <c r="N3518" s="95">
        <f>IF(P3518="Hedge Fund",IF(A3518=Summary!$AD$3,M3518-E3518,M3518),IF(A3518=Summary!$AD$3,L3518-D3518,L3518))</f>
        <v>0</v>
      </c>
      <c r="O3518" s="95">
        <f t="shared" si="456"/>
        <v>0</v>
      </c>
      <c r="P3518" s="107" t="s">
        <v>155</v>
      </c>
      <c r="Q3518" s="107">
        <v>0</v>
      </c>
      <c r="R3518" s="107">
        <v>0</v>
      </c>
      <c r="S3518" s="107">
        <v>0</v>
      </c>
      <c r="T3518" s="107">
        <v>0</v>
      </c>
      <c r="U3518" s="107"/>
      <c r="V3518" s="107"/>
      <c r="W3518" s="107"/>
      <c r="X3518" s="107"/>
      <c r="Y3518" s="107"/>
      <c r="Z3518" s="107"/>
      <c r="AA3518" s="107"/>
      <c r="AB3518" s="107"/>
      <c r="AC3518" s="355"/>
      <c r="AD3518" s="355"/>
      <c r="AE3518" s="355"/>
      <c r="AF3518" s="94">
        <f t="shared" si="457"/>
        <v>42580</v>
      </c>
      <c r="AG3518" s="185">
        <f t="shared" si="461"/>
        <v>0.10861522877028107</v>
      </c>
      <c r="AH3518" s="339" t="str">
        <f>VLOOKUP(B3518,'MF PF'!A:B,2)</f>
        <v>FdMgt1</v>
      </c>
      <c r="AI3518" s="358">
        <f t="shared" si="458"/>
        <v>0</v>
      </c>
      <c r="AJ3518" s="94">
        <f t="shared" si="459"/>
        <v>42582</v>
      </c>
    </row>
    <row r="3519" spans="1:36" ht="12.75" customHeight="1">
      <c r="A3519" s="94">
        <v>42613</v>
      </c>
      <c r="B3519" s="94" t="s">
        <v>188</v>
      </c>
      <c r="C3519" s="358" t="s">
        <v>305</v>
      </c>
      <c r="D3519" s="98">
        <v>2127885.7980999998</v>
      </c>
      <c r="E3519" s="9">
        <f t="shared" ref="E3519:E3543" si="462">D3519/K3519</f>
        <v>574397.08680493722</v>
      </c>
      <c r="F3519" s="98">
        <v>21.6</v>
      </c>
      <c r="G3519" s="98">
        <v>0</v>
      </c>
      <c r="H3519" s="98">
        <v>0</v>
      </c>
      <c r="I3519" s="98">
        <v>0</v>
      </c>
      <c r="J3519" s="98"/>
      <c r="K3519" s="7">
        <v>3.7045553450423756</v>
      </c>
      <c r="L3519" s="93">
        <f t="shared" si="454"/>
        <v>0</v>
      </c>
      <c r="M3519" s="95">
        <f t="shared" ca="1" si="455"/>
        <v>0</v>
      </c>
      <c r="N3519" s="95">
        <f>IF(P3519="Hedge Fund",IF(A3519=Summary!$AD$3,M3519-E3519,M3519),IF(A3519=Summary!$AD$3,L3519-D3519,L3519))</f>
        <v>0</v>
      </c>
      <c r="O3519" s="95">
        <f t="shared" si="456"/>
        <v>0</v>
      </c>
      <c r="P3519" s="107" t="s">
        <v>155</v>
      </c>
      <c r="Q3519" s="107">
        <v>0</v>
      </c>
      <c r="R3519" s="107">
        <v>0</v>
      </c>
      <c r="S3519" s="107">
        <v>0</v>
      </c>
      <c r="T3519" s="107">
        <v>0</v>
      </c>
      <c r="U3519" s="107"/>
      <c r="V3519" s="107"/>
      <c r="W3519" s="107"/>
      <c r="X3519" s="107"/>
      <c r="Y3519" s="107"/>
      <c r="Z3519" s="107"/>
      <c r="AA3519" s="107"/>
      <c r="AB3519" s="107"/>
      <c r="AC3519" s="355"/>
      <c r="AD3519" s="355"/>
      <c r="AE3519" s="355"/>
      <c r="AF3519" s="94">
        <f t="shared" si="457"/>
        <v>42613</v>
      </c>
      <c r="AG3519" s="185">
        <f t="shared" si="461"/>
        <v>4.8811261210692791E-2</v>
      </c>
      <c r="AH3519" s="339" t="str">
        <f>VLOOKUP(B3519,'MF PF'!A:B,2)</f>
        <v>FdMgt1</v>
      </c>
      <c r="AI3519" s="358">
        <f t="shared" si="458"/>
        <v>0</v>
      </c>
      <c r="AJ3519" s="94">
        <f t="shared" si="459"/>
        <v>42613</v>
      </c>
    </row>
    <row r="3520" spans="1:36" ht="12.75" customHeight="1">
      <c r="A3520" s="94">
        <v>42643</v>
      </c>
      <c r="B3520" s="94" t="s">
        <v>188</v>
      </c>
      <c r="C3520" s="358" t="s">
        <v>305</v>
      </c>
      <c r="D3520" s="98">
        <v>2305587.6395999999</v>
      </c>
      <c r="E3520" s="9">
        <f t="shared" si="462"/>
        <v>622365.55398894346</v>
      </c>
      <c r="F3520" s="98">
        <v>21.6</v>
      </c>
      <c r="G3520" s="98">
        <v>0</v>
      </c>
      <c r="H3520" s="98">
        <v>0</v>
      </c>
      <c r="I3520" s="98">
        <v>0</v>
      </c>
      <c r="J3520" s="98"/>
      <c r="K3520" s="93">
        <v>3.7045553450423756</v>
      </c>
      <c r="L3520" s="93">
        <f t="shared" si="454"/>
        <v>0</v>
      </c>
      <c r="M3520" s="95">
        <f t="shared" ca="1" si="455"/>
        <v>0</v>
      </c>
      <c r="N3520" s="95">
        <f>IF(P3520="Hedge Fund",IF(A3520=Summary!$AD$3,M3520-E3520,M3520),IF(A3520=Summary!$AD$3,L3520-D3520,L3520))</f>
        <v>0</v>
      </c>
      <c r="O3520" s="95">
        <f t="shared" si="456"/>
        <v>0</v>
      </c>
      <c r="P3520" s="107" t="s">
        <v>155</v>
      </c>
      <c r="Q3520" s="107">
        <v>0</v>
      </c>
      <c r="R3520" s="107">
        <v>0</v>
      </c>
      <c r="S3520" s="107">
        <v>0</v>
      </c>
      <c r="T3520" s="107">
        <v>0</v>
      </c>
      <c r="U3520" s="107"/>
      <c r="V3520" s="107"/>
      <c r="W3520" s="107"/>
      <c r="X3520" s="107"/>
      <c r="Y3520" s="107"/>
      <c r="Z3520" s="107"/>
      <c r="AA3520" s="107"/>
      <c r="AB3520" s="107"/>
      <c r="AC3520" s="355"/>
      <c r="AD3520" s="355"/>
      <c r="AE3520" s="355"/>
      <c r="AF3520" s="94">
        <f t="shared" si="457"/>
        <v>42643</v>
      </c>
      <c r="AG3520" s="185">
        <f t="shared" si="461"/>
        <v>8.3510986190457714E-2</v>
      </c>
      <c r="AH3520" s="339" t="str">
        <f>VLOOKUP(B3520,'MF PF'!A:B,2)</f>
        <v>FdMgt1</v>
      </c>
      <c r="AI3520" s="358">
        <f t="shared" si="458"/>
        <v>0</v>
      </c>
      <c r="AJ3520" s="94">
        <f t="shared" si="459"/>
        <v>42643</v>
      </c>
    </row>
    <row r="3521" spans="1:36" ht="12.75" customHeight="1">
      <c r="A3521" s="94">
        <v>42674</v>
      </c>
      <c r="B3521" s="94" t="s">
        <v>188</v>
      </c>
      <c r="C3521" s="358" t="s">
        <v>305</v>
      </c>
      <c r="D3521" s="98">
        <v>2505019.7538000001</v>
      </c>
      <c r="E3521" s="9">
        <f t="shared" si="462"/>
        <v>676199.84599564562</v>
      </c>
      <c r="F3521" s="98">
        <v>21.6</v>
      </c>
      <c r="G3521" s="98">
        <v>0</v>
      </c>
      <c r="H3521" s="98">
        <v>0</v>
      </c>
      <c r="I3521" s="98">
        <v>0</v>
      </c>
      <c r="J3521" s="98"/>
      <c r="K3521" s="93">
        <v>3.7045553450423756</v>
      </c>
      <c r="L3521" s="93">
        <f t="shared" ref="L3521:L3584" si="463">G3521+H3521+I3521</f>
        <v>0</v>
      </c>
      <c r="M3521" s="95">
        <f t="shared" ref="M3521:M3584" ca="1" si="464">IF(A3521&gt;INDIRECT("A"&amp;ROW()-1),I3521/K3521,E3521)</f>
        <v>0</v>
      </c>
      <c r="N3521" s="95">
        <f>IF(P3521="Hedge Fund",IF(A3521=Summary!$AD$3,M3521-E3521,M3521),IF(A3521=Summary!$AD$3,L3521-D3521,L3521))</f>
        <v>0</v>
      </c>
      <c r="O3521" s="95">
        <f t="shared" ref="O3521:O3584" si="465">N3521</f>
        <v>0</v>
      </c>
      <c r="P3521" s="107" t="s">
        <v>155</v>
      </c>
      <c r="Q3521" s="107">
        <v>0</v>
      </c>
      <c r="R3521" s="107">
        <v>0</v>
      </c>
      <c r="S3521" s="107">
        <v>0</v>
      </c>
      <c r="T3521" s="107">
        <v>0</v>
      </c>
      <c r="U3521" s="107"/>
      <c r="V3521" s="107"/>
      <c r="W3521" s="107"/>
      <c r="X3521" s="107"/>
      <c r="Y3521" s="107"/>
      <c r="Z3521" s="107"/>
      <c r="AA3521" s="107"/>
      <c r="AB3521" s="107"/>
      <c r="AC3521" s="355"/>
      <c r="AD3521" s="355"/>
      <c r="AE3521" s="355"/>
      <c r="AF3521" s="94">
        <f t="shared" ref="AF3521:AF3584" si="466">A3521</f>
        <v>42674</v>
      </c>
      <c r="AG3521" s="185">
        <f t="shared" si="461"/>
        <v>8.6499472314398806E-2</v>
      </c>
      <c r="AH3521" s="339" t="str">
        <f>VLOOKUP(B3521,'MF PF'!A:B,2)</f>
        <v>FdMgt1</v>
      </c>
      <c r="AI3521" s="358">
        <f t="shared" ref="AI3521:AI3584" si="467">AF3521-A3521</f>
        <v>0</v>
      </c>
      <c r="AJ3521" s="94">
        <f t="shared" ref="AJ3521:AJ3584" si="468">EOMONTH(A3521,0)</f>
        <v>42674</v>
      </c>
    </row>
    <row r="3522" spans="1:36" ht="12.75" customHeight="1">
      <c r="A3522" s="94">
        <v>42704</v>
      </c>
      <c r="B3522" s="94" t="s">
        <v>188</v>
      </c>
      <c r="C3522" s="358" t="s">
        <v>305</v>
      </c>
      <c r="D3522" s="98">
        <v>2001996.8402999998</v>
      </c>
      <c r="E3522" s="9">
        <f t="shared" si="462"/>
        <v>540414.88217450271</v>
      </c>
      <c r="F3522" s="98">
        <v>21.6</v>
      </c>
      <c r="G3522" s="98">
        <v>0</v>
      </c>
      <c r="H3522" s="98">
        <v>0</v>
      </c>
      <c r="I3522" s="98">
        <v>-324000</v>
      </c>
      <c r="J3522" s="98"/>
      <c r="K3522" s="93">
        <v>3.7045553450423756</v>
      </c>
      <c r="L3522" s="93">
        <f t="shared" si="463"/>
        <v>-324000</v>
      </c>
      <c r="M3522" s="95">
        <f t="shared" ca="1" si="464"/>
        <v>-87459.889196578821</v>
      </c>
      <c r="N3522" s="95">
        <f>IF(P3522="Hedge Fund",IF(A3522=Summary!$AD$3,M3522-E3522,M3522),IF(A3522=Summary!$AD$3,L3522-D3522,L3522))</f>
        <v>-324000</v>
      </c>
      <c r="O3522" s="95">
        <f t="shared" si="465"/>
        <v>-324000</v>
      </c>
      <c r="P3522" s="107" t="s">
        <v>155</v>
      </c>
      <c r="Q3522" s="107">
        <v>0</v>
      </c>
      <c r="R3522" s="107">
        <v>0</v>
      </c>
      <c r="S3522" s="107">
        <v>0</v>
      </c>
      <c r="T3522" s="107">
        <v>0</v>
      </c>
      <c r="U3522" s="107"/>
      <c r="V3522" s="107"/>
      <c r="W3522" s="107"/>
      <c r="X3522" s="107"/>
      <c r="Y3522" s="107"/>
      <c r="Z3522" s="107"/>
      <c r="AA3522" s="107"/>
      <c r="AB3522" s="107"/>
      <c r="AC3522" s="355"/>
      <c r="AD3522" s="355"/>
      <c r="AE3522" s="355"/>
      <c r="AF3522" s="94">
        <f t="shared" si="466"/>
        <v>42704</v>
      </c>
      <c r="AG3522" s="185">
        <f t="shared" si="461"/>
        <v>-7.1465669373836582E-2</v>
      </c>
      <c r="AH3522" s="339" t="str">
        <f>VLOOKUP(B3522,'MF PF'!A:B,2)</f>
        <v>FdMgt1</v>
      </c>
      <c r="AI3522" s="358">
        <f t="shared" si="467"/>
        <v>0</v>
      </c>
      <c r="AJ3522" s="94">
        <f t="shared" si="468"/>
        <v>42704</v>
      </c>
    </row>
    <row r="3523" spans="1:36" ht="12.75" customHeight="1">
      <c r="A3523" s="94">
        <v>42734</v>
      </c>
      <c r="B3523" s="94" t="s">
        <v>188</v>
      </c>
      <c r="C3523" s="358" t="s">
        <v>305</v>
      </c>
      <c r="D3523" s="98">
        <v>1502309.4084000001</v>
      </c>
      <c r="E3523" s="9">
        <f t="shared" si="462"/>
        <v>405530.29135074659</v>
      </c>
      <c r="F3523" s="98">
        <v>21.6</v>
      </c>
      <c r="G3523" s="98">
        <v>0</v>
      </c>
      <c r="H3523" s="98">
        <v>0</v>
      </c>
      <c r="I3523" s="98">
        <v>-518400</v>
      </c>
      <c r="J3523" s="98"/>
      <c r="K3523" s="93">
        <v>3.7045553450423756</v>
      </c>
      <c r="L3523" s="93">
        <f t="shared" si="463"/>
        <v>-518400</v>
      </c>
      <c r="M3523" s="95">
        <f t="shared" ca="1" si="464"/>
        <v>-139935.82271452612</v>
      </c>
      <c r="N3523" s="95">
        <f>IF(P3523="Hedge Fund",IF(A3523=Summary!$AD$3,M3523-E3523,M3523),IF(A3523=Summary!$AD$3,L3523-D3523,L3523))</f>
        <v>-518400</v>
      </c>
      <c r="O3523" s="95">
        <f t="shared" si="465"/>
        <v>-518400</v>
      </c>
      <c r="P3523" s="107" t="s">
        <v>155</v>
      </c>
      <c r="Q3523" s="107">
        <v>0</v>
      </c>
      <c r="R3523" s="107">
        <v>0</v>
      </c>
      <c r="S3523" s="107">
        <v>0</v>
      </c>
      <c r="T3523" s="107">
        <v>0</v>
      </c>
      <c r="U3523" s="107"/>
      <c r="V3523" s="107"/>
      <c r="W3523" s="107"/>
      <c r="X3523" s="107"/>
      <c r="Y3523" s="107"/>
      <c r="Z3523" s="107"/>
      <c r="AA3523" s="107"/>
      <c r="AB3523" s="107"/>
      <c r="AC3523" s="355"/>
      <c r="AD3523" s="355"/>
      <c r="AE3523" s="355"/>
      <c r="AF3523" s="94">
        <f t="shared" si="466"/>
        <v>42734</v>
      </c>
      <c r="AG3523" s="185">
        <f t="shared" si="461"/>
        <v>9.3469518649171857E-3</v>
      </c>
      <c r="AH3523" s="339" t="str">
        <f>VLOOKUP(B3523,'MF PF'!A:B,2)</f>
        <v>FdMgt1</v>
      </c>
      <c r="AI3523" s="358">
        <f t="shared" si="467"/>
        <v>0</v>
      </c>
      <c r="AJ3523" s="94">
        <f t="shared" si="468"/>
        <v>42735</v>
      </c>
    </row>
    <row r="3524" spans="1:36" ht="12.75" customHeight="1">
      <c r="A3524" s="94">
        <v>42762</v>
      </c>
      <c r="B3524" s="94" t="s">
        <v>188</v>
      </c>
      <c r="C3524" s="358" t="s">
        <v>305</v>
      </c>
      <c r="D3524" s="98">
        <v>1529018.003</v>
      </c>
      <c r="E3524" s="9">
        <f t="shared" si="462"/>
        <v>412739.95408010564</v>
      </c>
      <c r="F3524" s="98">
        <v>21.6</v>
      </c>
      <c r="G3524" s="98">
        <v>0</v>
      </c>
      <c r="H3524" s="98">
        <v>0</v>
      </c>
      <c r="I3524" s="98">
        <v>0</v>
      </c>
      <c r="J3524" s="98"/>
      <c r="K3524" s="93">
        <v>3.7045553450423756</v>
      </c>
      <c r="L3524" s="93">
        <f t="shared" si="463"/>
        <v>0</v>
      </c>
      <c r="M3524" s="95">
        <f t="shared" ca="1" si="464"/>
        <v>0</v>
      </c>
      <c r="N3524" s="95">
        <f>IF(P3524="Hedge Fund",IF(A3524=Summary!$AD$3,M3524-E3524,M3524),IF(A3524=Summary!$AD$3,L3524-D3524,L3524))</f>
        <v>0</v>
      </c>
      <c r="O3524" s="95">
        <f t="shared" si="465"/>
        <v>0</v>
      </c>
      <c r="P3524" s="107" t="s">
        <v>155</v>
      </c>
      <c r="Q3524" s="107">
        <v>0</v>
      </c>
      <c r="R3524" s="107">
        <v>0</v>
      </c>
      <c r="S3524" s="107">
        <v>0</v>
      </c>
      <c r="T3524" s="107">
        <v>0</v>
      </c>
      <c r="U3524" s="107"/>
      <c r="V3524" s="107"/>
      <c r="W3524" s="107"/>
      <c r="X3524" s="107"/>
      <c r="Y3524" s="107"/>
      <c r="Z3524" s="107"/>
      <c r="AA3524" s="107"/>
      <c r="AB3524" s="107"/>
      <c r="AC3524" s="355"/>
      <c r="AD3524" s="355"/>
      <c r="AE3524" s="355"/>
      <c r="AF3524" s="94">
        <f t="shared" si="466"/>
        <v>42762</v>
      </c>
      <c r="AG3524" s="185">
        <f t="shared" si="461"/>
        <v>1.7778358073684331E-2</v>
      </c>
      <c r="AH3524" s="339" t="str">
        <f>VLOOKUP(B3524,'MF PF'!A:B,2)</f>
        <v>FdMgt1</v>
      </c>
      <c r="AI3524" s="358">
        <f t="shared" si="467"/>
        <v>0</v>
      </c>
      <c r="AJ3524" s="94">
        <f t="shared" si="468"/>
        <v>42766</v>
      </c>
    </row>
    <row r="3525" spans="1:36" ht="12.75" customHeight="1">
      <c r="A3525" s="94">
        <v>42794</v>
      </c>
      <c r="B3525" s="94" t="s">
        <v>188</v>
      </c>
      <c r="C3525" s="358" t="s">
        <v>305</v>
      </c>
      <c r="D3525" s="98">
        <v>1548789.9136000001</v>
      </c>
      <c r="E3525" s="9">
        <f t="shared" si="462"/>
        <v>418077.14269208303</v>
      </c>
      <c r="F3525" s="98">
        <v>21.6</v>
      </c>
      <c r="G3525" s="98">
        <v>0</v>
      </c>
      <c r="H3525" s="98">
        <v>0</v>
      </c>
      <c r="I3525" s="98">
        <v>0</v>
      </c>
      <c r="J3525" s="98"/>
      <c r="K3525" s="93">
        <v>3.7045553450423756</v>
      </c>
      <c r="L3525" s="93">
        <f t="shared" si="463"/>
        <v>0</v>
      </c>
      <c r="M3525" s="95">
        <f t="shared" ca="1" si="464"/>
        <v>0</v>
      </c>
      <c r="N3525" s="95">
        <f>IF(P3525="Hedge Fund",IF(A3525=Summary!$AD$3,M3525-E3525,M3525),IF(A3525=Summary!$AD$3,L3525-D3525,L3525))</f>
        <v>0</v>
      </c>
      <c r="O3525" s="95">
        <f t="shared" si="465"/>
        <v>0</v>
      </c>
      <c r="P3525" s="107" t="s">
        <v>155</v>
      </c>
      <c r="Q3525" s="107">
        <v>0</v>
      </c>
      <c r="R3525" s="107">
        <v>0</v>
      </c>
      <c r="S3525" s="107">
        <v>0</v>
      </c>
      <c r="T3525" s="107">
        <v>0</v>
      </c>
      <c r="U3525" s="107"/>
      <c r="V3525" s="107"/>
      <c r="W3525" s="107"/>
      <c r="X3525" s="107"/>
      <c r="Y3525" s="107"/>
      <c r="Z3525" s="107"/>
      <c r="AA3525" s="107"/>
      <c r="AB3525" s="107"/>
      <c r="AC3525" s="355"/>
      <c r="AD3525" s="355"/>
      <c r="AE3525" s="355"/>
      <c r="AF3525" s="94">
        <f t="shared" si="466"/>
        <v>42794</v>
      </c>
      <c r="AG3525" s="185">
        <f t="shared" si="461"/>
        <v>1.2931116939896459E-2</v>
      </c>
      <c r="AH3525" s="339" t="str">
        <f>VLOOKUP(B3525,'MF PF'!A:B,2)</f>
        <v>FdMgt1</v>
      </c>
      <c r="AI3525" s="358">
        <f t="shared" si="467"/>
        <v>0</v>
      </c>
      <c r="AJ3525" s="94">
        <f t="shared" si="468"/>
        <v>42794</v>
      </c>
    </row>
    <row r="3526" spans="1:36" ht="12.75" customHeight="1">
      <c r="A3526" s="94">
        <v>42825</v>
      </c>
      <c r="B3526" s="94" t="s">
        <v>188</v>
      </c>
      <c r="C3526" s="358" t="s">
        <v>305</v>
      </c>
      <c r="D3526" s="98">
        <v>1212858.6850999999</v>
      </c>
      <c r="E3526" s="9">
        <f t="shared" si="462"/>
        <v>327396.56237640209</v>
      </c>
      <c r="F3526" s="98">
        <v>21.6</v>
      </c>
      <c r="G3526" s="98">
        <v>0</v>
      </c>
      <c r="H3526" s="98">
        <v>0</v>
      </c>
      <c r="I3526" s="98">
        <v>-324000</v>
      </c>
      <c r="J3526" s="98"/>
      <c r="K3526" s="93">
        <v>3.7045553450423756</v>
      </c>
      <c r="L3526" s="93">
        <f t="shared" si="463"/>
        <v>-324000</v>
      </c>
      <c r="M3526" s="95">
        <f t="shared" ca="1" si="464"/>
        <v>-87459.889196578821</v>
      </c>
      <c r="N3526" s="95">
        <f>IF(P3526="Hedge Fund",IF(A3526=Summary!$AD$3,M3526-E3526,M3526),IF(A3526=Summary!$AD$3,L3526-D3526,L3526))</f>
        <v>-324000</v>
      </c>
      <c r="O3526" s="95">
        <f t="shared" si="465"/>
        <v>-324000</v>
      </c>
      <c r="P3526" s="107" t="s">
        <v>155</v>
      </c>
      <c r="Q3526" s="107">
        <v>0</v>
      </c>
      <c r="R3526" s="107">
        <v>0</v>
      </c>
      <c r="S3526" s="107">
        <v>0</v>
      </c>
      <c r="T3526" s="107">
        <v>0</v>
      </c>
      <c r="U3526" s="107"/>
      <c r="V3526" s="107"/>
      <c r="W3526" s="107"/>
      <c r="X3526" s="107"/>
      <c r="Y3526" s="107"/>
      <c r="Z3526" s="107"/>
      <c r="AA3526" s="107"/>
      <c r="AB3526" s="107"/>
      <c r="AC3526" s="355"/>
      <c r="AD3526" s="355"/>
      <c r="AE3526" s="355"/>
      <c r="AF3526" s="94">
        <f t="shared" si="466"/>
        <v>42825</v>
      </c>
      <c r="AG3526" s="185">
        <f t="shared" si="461"/>
        <v>-7.7035809668125621E-3</v>
      </c>
      <c r="AH3526" s="339" t="str">
        <f>VLOOKUP(B3526,'MF PF'!A:B,2)</f>
        <v>FdMgt1</v>
      </c>
      <c r="AI3526" s="358">
        <f t="shared" si="467"/>
        <v>0</v>
      </c>
      <c r="AJ3526" s="94">
        <f t="shared" si="468"/>
        <v>42825</v>
      </c>
    </row>
    <row r="3527" spans="1:36" ht="12.75" customHeight="1">
      <c r="A3527" s="94">
        <v>42853</v>
      </c>
      <c r="B3527" s="94" t="s">
        <v>188</v>
      </c>
      <c r="C3527" s="358" t="s">
        <v>305</v>
      </c>
      <c r="D3527" s="98">
        <v>1211369.1230000001</v>
      </c>
      <c r="E3527" s="9">
        <f t="shared" si="462"/>
        <v>326994.4730670891</v>
      </c>
      <c r="F3527" s="98">
        <v>21.6</v>
      </c>
      <c r="G3527" s="98">
        <v>0</v>
      </c>
      <c r="H3527" s="98">
        <v>0</v>
      </c>
      <c r="I3527" s="98">
        <v>0</v>
      </c>
      <c r="J3527" s="98"/>
      <c r="K3527" s="93">
        <v>3.7045553450423756</v>
      </c>
      <c r="L3527" s="93">
        <f t="shared" si="463"/>
        <v>0</v>
      </c>
      <c r="M3527" s="95">
        <f t="shared" ca="1" si="464"/>
        <v>0</v>
      </c>
      <c r="N3527" s="95">
        <f>IF(P3527="Hedge Fund",IF(A3527=Summary!$AD$3,M3527-E3527,M3527),IF(A3527=Summary!$AD$3,L3527-D3527,L3527))</f>
        <v>0</v>
      </c>
      <c r="O3527" s="95">
        <f t="shared" si="465"/>
        <v>0</v>
      </c>
      <c r="P3527" s="107" t="s">
        <v>155</v>
      </c>
      <c r="Q3527" s="107">
        <v>0</v>
      </c>
      <c r="R3527" s="107">
        <v>0</v>
      </c>
      <c r="S3527" s="107">
        <v>0</v>
      </c>
      <c r="T3527" s="107">
        <v>0</v>
      </c>
      <c r="U3527" s="107"/>
      <c r="V3527" s="107"/>
      <c r="W3527" s="107"/>
      <c r="X3527" s="107"/>
      <c r="Y3527" s="107"/>
      <c r="Z3527" s="107"/>
      <c r="AA3527" s="107"/>
      <c r="AB3527" s="107"/>
      <c r="AC3527" s="355"/>
      <c r="AD3527" s="355"/>
      <c r="AE3527" s="355"/>
      <c r="AF3527" s="94">
        <f t="shared" si="466"/>
        <v>42853</v>
      </c>
      <c r="AG3527" s="185">
        <f t="shared" si="461"/>
        <v>-1.2281415125265926E-3</v>
      </c>
      <c r="AH3527" s="339" t="str">
        <f>VLOOKUP(B3527,'MF PF'!A:B,2)</f>
        <v>FdMgt1</v>
      </c>
      <c r="AI3527" s="358">
        <f t="shared" si="467"/>
        <v>0</v>
      </c>
      <c r="AJ3527" s="94">
        <f t="shared" si="468"/>
        <v>42855</v>
      </c>
    </row>
    <row r="3528" spans="1:36" ht="12.75" customHeight="1">
      <c r="A3528" s="94">
        <v>42886</v>
      </c>
      <c r="B3528" s="94" t="s">
        <v>188</v>
      </c>
      <c r="C3528" s="358" t="s">
        <v>305</v>
      </c>
      <c r="D3528" s="98">
        <v>1189975.8287</v>
      </c>
      <c r="E3528" s="9">
        <f t="shared" si="462"/>
        <v>321219.61149601563</v>
      </c>
      <c r="F3528" s="98">
        <v>21.6</v>
      </c>
      <c r="G3528" s="98">
        <v>0</v>
      </c>
      <c r="H3528" s="98">
        <v>0</v>
      </c>
      <c r="I3528" s="98">
        <v>0</v>
      </c>
      <c r="J3528" s="98"/>
      <c r="K3528" s="93">
        <v>3.7045553450423756</v>
      </c>
      <c r="L3528" s="93">
        <f t="shared" si="463"/>
        <v>0</v>
      </c>
      <c r="M3528" s="95">
        <f t="shared" ca="1" si="464"/>
        <v>0</v>
      </c>
      <c r="N3528" s="95">
        <f>IF(P3528="Hedge Fund",IF(A3528=Summary!$AD$3,M3528-E3528,M3528),IF(A3528=Summary!$AD$3,L3528-D3528,L3528))</f>
        <v>0</v>
      </c>
      <c r="O3528" s="95">
        <f t="shared" si="465"/>
        <v>0</v>
      </c>
      <c r="P3528" s="107" t="s">
        <v>155</v>
      </c>
      <c r="Q3528" s="107">
        <v>0</v>
      </c>
      <c r="R3528" s="107">
        <v>0</v>
      </c>
      <c r="S3528" s="107">
        <v>0</v>
      </c>
      <c r="T3528" s="107">
        <v>0</v>
      </c>
      <c r="U3528" s="107"/>
      <c r="V3528" s="107"/>
      <c r="W3528" s="107"/>
      <c r="X3528" s="107"/>
      <c r="Y3528" s="107"/>
      <c r="Z3528" s="107"/>
      <c r="AA3528" s="107"/>
      <c r="AB3528" s="107"/>
      <c r="AC3528" s="355"/>
      <c r="AD3528" s="355"/>
      <c r="AE3528" s="355"/>
      <c r="AF3528" s="94">
        <f t="shared" si="466"/>
        <v>42886</v>
      </c>
      <c r="AG3528" s="185">
        <f t="shared" si="461"/>
        <v>-1.7660425624040132E-2</v>
      </c>
      <c r="AH3528" s="339" t="str">
        <f>VLOOKUP(B3528,'MF PF'!A:B,2)</f>
        <v>FdMgt1</v>
      </c>
      <c r="AI3528" s="358">
        <f t="shared" si="467"/>
        <v>0</v>
      </c>
      <c r="AJ3528" s="94">
        <f t="shared" si="468"/>
        <v>42886</v>
      </c>
    </row>
    <row r="3529" spans="1:36" ht="12.75" customHeight="1">
      <c r="A3529" s="94">
        <v>42916</v>
      </c>
      <c r="B3529" s="94" t="s">
        <v>188</v>
      </c>
      <c r="C3529" s="358" t="s">
        <v>305</v>
      </c>
      <c r="D3529" s="98">
        <v>1193395.1847999999</v>
      </c>
      <c r="E3529" s="9">
        <f t="shared" si="462"/>
        <v>322142.62540227995</v>
      </c>
      <c r="F3529" s="98">
        <v>21.6</v>
      </c>
      <c r="G3529" s="98">
        <v>0</v>
      </c>
      <c r="H3529" s="98">
        <v>0</v>
      </c>
      <c r="I3529" s="98">
        <v>0</v>
      </c>
      <c r="J3529" s="98"/>
      <c r="K3529" s="93">
        <v>3.7045553450423756</v>
      </c>
      <c r="L3529" s="93">
        <f t="shared" si="463"/>
        <v>0</v>
      </c>
      <c r="M3529" s="95">
        <f t="shared" ca="1" si="464"/>
        <v>0</v>
      </c>
      <c r="N3529" s="95">
        <f>IF(P3529="Hedge Fund",IF(A3529=Summary!$AD$3,M3529-E3529,M3529),IF(A3529=Summary!$AD$3,L3529-D3529,L3529))</f>
        <v>0</v>
      </c>
      <c r="O3529" s="95">
        <f t="shared" si="465"/>
        <v>0</v>
      </c>
      <c r="P3529" s="107" t="s">
        <v>155</v>
      </c>
      <c r="Q3529" s="107">
        <v>0</v>
      </c>
      <c r="R3529" s="107">
        <v>0</v>
      </c>
      <c r="S3529" s="107">
        <v>0</v>
      </c>
      <c r="T3529" s="107">
        <v>0</v>
      </c>
      <c r="U3529" s="107"/>
      <c r="V3529" s="107"/>
      <c r="W3529" s="107"/>
      <c r="X3529" s="107"/>
      <c r="Y3529" s="107"/>
      <c r="Z3529" s="107"/>
      <c r="AA3529" s="107"/>
      <c r="AB3529" s="107"/>
      <c r="AC3529" s="355"/>
      <c r="AD3529" s="355"/>
      <c r="AE3529" s="355"/>
      <c r="AF3529" s="94">
        <f t="shared" si="466"/>
        <v>42916</v>
      </c>
      <c r="AG3529" s="185">
        <f t="shared" si="461"/>
        <v>2.8734668533019203E-3</v>
      </c>
      <c r="AH3529" s="339" t="str">
        <f>VLOOKUP(B3529,'MF PF'!A:B,2)</f>
        <v>FdMgt1</v>
      </c>
      <c r="AI3529" s="358">
        <f t="shared" si="467"/>
        <v>0</v>
      </c>
      <c r="AJ3529" s="94">
        <f t="shared" si="468"/>
        <v>42916</v>
      </c>
    </row>
    <row r="3530" spans="1:36" ht="12.75" customHeight="1">
      <c r="A3530" s="94">
        <v>42947</v>
      </c>
      <c r="B3530" s="94" t="s">
        <v>188</v>
      </c>
      <c r="C3530" s="358" t="s">
        <v>305</v>
      </c>
      <c r="D3530" s="98">
        <v>710196.65600000008</v>
      </c>
      <c r="E3530" s="9">
        <f t="shared" si="462"/>
        <v>191709.0149430272</v>
      </c>
      <c r="F3530" s="98">
        <v>21.6</v>
      </c>
      <c r="G3530" s="98">
        <v>0</v>
      </c>
      <c r="H3530" s="98">
        <v>0</v>
      </c>
      <c r="I3530" s="98">
        <v>-453600</v>
      </c>
      <c r="J3530" s="98"/>
      <c r="K3530" s="93">
        <v>3.7045553450423756</v>
      </c>
      <c r="L3530" s="93">
        <f t="shared" si="463"/>
        <v>-453600</v>
      </c>
      <c r="M3530" s="95">
        <f t="shared" ca="1" si="464"/>
        <v>-122443.84487521036</v>
      </c>
      <c r="N3530" s="95">
        <f>IF(P3530="Hedge Fund",IF(A3530=Summary!$AD$3,M3530-E3530,M3530),IF(A3530=Summary!$AD$3,L3530-D3530,L3530))</f>
        <v>-453600</v>
      </c>
      <c r="O3530" s="95">
        <f t="shared" si="465"/>
        <v>-453600</v>
      </c>
      <c r="P3530" s="107" t="s">
        <v>155</v>
      </c>
      <c r="Q3530" s="107">
        <v>0</v>
      </c>
      <c r="R3530" s="107">
        <v>0</v>
      </c>
      <c r="S3530" s="107">
        <v>0</v>
      </c>
      <c r="T3530" s="107">
        <v>0</v>
      </c>
      <c r="U3530" s="107"/>
      <c r="V3530" s="107"/>
      <c r="W3530" s="107"/>
      <c r="X3530" s="107"/>
      <c r="Y3530" s="107"/>
      <c r="Z3530" s="107"/>
      <c r="AA3530" s="107"/>
      <c r="AB3530" s="107"/>
      <c r="AC3530" s="355"/>
      <c r="AD3530" s="355"/>
      <c r="AE3530" s="355"/>
      <c r="AF3530" s="94">
        <f t="shared" si="466"/>
        <v>42947</v>
      </c>
      <c r="AG3530" s="185">
        <f t="shared" si="461"/>
        <v>-2.4801950918681093E-2</v>
      </c>
      <c r="AH3530" s="339" t="str">
        <f>VLOOKUP(B3530,'MF PF'!A:B,2)</f>
        <v>FdMgt1</v>
      </c>
      <c r="AI3530" s="358">
        <f t="shared" si="467"/>
        <v>0</v>
      </c>
      <c r="AJ3530" s="94">
        <f t="shared" si="468"/>
        <v>42947</v>
      </c>
    </row>
    <row r="3531" spans="1:36" ht="12.75" customHeight="1">
      <c r="A3531" s="94">
        <v>42978</v>
      </c>
      <c r="B3531" s="94" t="s">
        <v>188</v>
      </c>
      <c r="C3531" s="358" t="s">
        <v>305</v>
      </c>
      <c r="D3531" s="98">
        <v>721500</v>
      </c>
      <c r="E3531" s="95">
        <f t="shared" si="462"/>
        <v>194760.21622015932</v>
      </c>
      <c r="F3531" s="98">
        <v>21.6</v>
      </c>
      <c r="G3531" s="98">
        <v>0</v>
      </c>
      <c r="H3531" s="98">
        <v>0</v>
      </c>
      <c r="I3531" s="98">
        <v>0</v>
      </c>
      <c r="J3531" s="98"/>
      <c r="K3531" s="93">
        <v>3.7045553450423756</v>
      </c>
      <c r="L3531" s="93">
        <f t="shared" si="463"/>
        <v>0</v>
      </c>
      <c r="M3531" s="95">
        <f t="shared" ca="1" si="464"/>
        <v>0</v>
      </c>
      <c r="N3531" s="95">
        <f>IF(P3531="Hedge Fund",IF(A3531=Summary!$AD$3,M3531-E3531,M3531),IF(A3531=Summary!$AD$3,L3531-D3531,L3531))</f>
        <v>0</v>
      </c>
      <c r="O3531" s="95">
        <f t="shared" si="465"/>
        <v>0</v>
      </c>
      <c r="P3531" s="107" t="s">
        <v>155</v>
      </c>
      <c r="Q3531" s="107">
        <v>0</v>
      </c>
      <c r="R3531" s="107">
        <v>0</v>
      </c>
      <c r="S3531" s="107">
        <v>0</v>
      </c>
      <c r="T3531" s="107">
        <v>0</v>
      </c>
      <c r="U3531" s="107"/>
      <c r="V3531" s="107"/>
      <c r="W3531" s="107"/>
      <c r="X3531" s="107"/>
      <c r="Y3531" s="107"/>
      <c r="Z3531" s="107"/>
      <c r="AA3531" s="107"/>
      <c r="AB3531" s="107"/>
      <c r="AC3531" s="355"/>
      <c r="AD3531" s="355"/>
      <c r="AE3531" s="355"/>
      <c r="AF3531" s="94">
        <f t="shared" si="466"/>
        <v>42978</v>
      </c>
      <c r="AG3531" s="185">
        <f t="shared" si="461"/>
        <v>1.5915794455669596E-2</v>
      </c>
      <c r="AH3531" s="339" t="str">
        <f>VLOOKUP(B3531,'MF PF'!A:B,2)</f>
        <v>FdMgt1</v>
      </c>
      <c r="AI3531" s="358">
        <f t="shared" si="467"/>
        <v>0</v>
      </c>
      <c r="AJ3531" s="94">
        <f t="shared" si="468"/>
        <v>42978</v>
      </c>
    </row>
    <row r="3532" spans="1:36" ht="12.75" customHeight="1">
      <c r="A3532" s="94">
        <v>43007</v>
      </c>
      <c r="B3532" s="94" t="s">
        <v>188</v>
      </c>
      <c r="C3532" s="358" t="s">
        <v>305</v>
      </c>
      <c r="D3532" s="98">
        <v>700700</v>
      </c>
      <c r="E3532" s="9">
        <f t="shared" si="462"/>
        <v>189145.50728408265</v>
      </c>
      <c r="F3532" s="98">
        <v>21.6</v>
      </c>
      <c r="G3532" s="98">
        <v>0</v>
      </c>
      <c r="H3532" s="98">
        <v>0</v>
      </c>
      <c r="I3532" s="98">
        <v>0</v>
      </c>
      <c r="J3532" s="98"/>
      <c r="K3532" s="93">
        <v>3.7045553450423756</v>
      </c>
      <c r="L3532" s="93">
        <f t="shared" si="463"/>
        <v>0</v>
      </c>
      <c r="M3532" s="95">
        <f t="shared" ca="1" si="464"/>
        <v>0</v>
      </c>
      <c r="N3532" s="95">
        <f>IF(P3532="Hedge Fund",IF(A3532=Summary!$AD$3,M3532-E3532,M3532),IF(A3532=Summary!$AD$3,L3532-D3532,L3532))</f>
        <v>0</v>
      </c>
      <c r="O3532" s="95">
        <f t="shared" si="465"/>
        <v>0</v>
      </c>
      <c r="P3532" s="107" t="s">
        <v>155</v>
      </c>
      <c r="Q3532" s="107">
        <v>0</v>
      </c>
      <c r="R3532" s="107">
        <v>0</v>
      </c>
      <c r="S3532" s="107">
        <v>0</v>
      </c>
      <c r="T3532" s="107">
        <v>0</v>
      </c>
      <c r="U3532" s="107"/>
      <c r="V3532" s="107"/>
      <c r="W3532" s="107"/>
      <c r="X3532" s="107"/>
      <c r="Y3532" s="107"/>
      <c r="Z3532" s="107"/>
      <c r="AA3532" s="107"/>
      <c r="AB3532" s="107"/>
      <c r="AC3532" s="355"/>
      <c r="AD3532" s="355"/>
      <c r="AE3532" s="355"/>
      <c r="AF3532" s="94">
        <f t="shared" si="466"/>
        <v>43007</v>
      </c>
      <c r="AG3532" s="185">
        <f t="shared" si="461"/>
        <v>-2.8828828828828867E-2</v>
      </c>
      <c r="AH3532" s="339" t="str">
        <f>VLOOKUP(B3532,'MF PF'!A:B,2)</f>
        <v>FdMgt1</v>
      </c>
      <c r="AI3532" s="358">
        <f t="shared" si="467"/>
        <v>0</v>
      </c>
      <c r="AJ3532" s="94">
        <f t="shared" si="468"/>
        <v>43008</v>
      </c>
    </row>
    <row r="3533" spans="1:36" ht="12.75" customHeight="1">
      <c r="A3533" s="94">
        <v>43039</v>
      </c>
      <c r="B3533" s="94" t="s">
        <v>188</v>
      </c>
      <c r="C3533" s="358" t="s">
        <v>305</v>
      </c>
      <c r="D3533" s="98">
        <v>731700</v>
      </c>
      <c r="E3533" s="9">
        <f t="shared" si="462"/>
        <v>197513.58310227384</v>
      </c>
      <c r="F3533" s="98">
        <v>21.6</v>
      </c>
      <c r="G3533" s="98">
        <v>0</v>
      </c>
      <c r="H3533" s="98">
        <v>0</v>
      </c>
      <c r="I3533" s="98">
        <v>0</v>
      </c>
      <c r="J3533" s="98"/>
      <c r="K3533" s="93">
        <v>3.7045553450423756</v>
      </c>
      <c r="L3533" s="93">
        <f t="shared" si="463"/>
        <v>0</v>
      </c>
      <c r="M3533" s="95">
        <f t="shared" ca="1" si="464"/>
        <v>0</v>
      </c>
      <c r="N3533" s="95">
        <f>IF(P3533="Hedge Fund",IF(A3533=Summary!$AD$3,M3533-E3533,M3533),IF(A3533=Summary!$AD$3,L3533-D3533,L3533))</f>
        <v>0</v>
      </c>
      <c r="O3533" s="95">
        <f t="shared" si="465"/>
        <v>0</v>
      </c>
      <c r="P3533" s="107" t="s">
        <v>155</v>
      </c>
      <c r="Q3533" s="107">
        <v>0</v>
      </c>
      <c r="R3533" s="107">
        <v>0</v>
      </c>
      <c r="S3533" s="107">
        <v>0</v>
      </c>
      <c r="T3533" s="107">
        <v>0</v>
      </c>
      <c r="U3533" s="107"/>
      <c r="V3533" s="107"/>
      <c r="W3533" s="107"/>
      <c r="X3533" s="107"/>
      <c r="Y3533" s="107"/>
      <c r="Z3533" s="107"/>
      <c r="AA3533" s="107"/>
      <c r="AB3533" s="107"/>
      <c r="AC3533" s="355"/>
      <c r="AD3533" s="355"/>
      <c r="AE3533" s="355"/>
      <c r="AF3533" s="94">
        <f t="shared" si="466"/>
        <v>43039</v>
      </c>
      <c r="AG3533" s="185">
        <f t="shared" si="461"/>
        <v>4.4241472812901472E-2</v>
      </c>
      <c r="AH3533" s="339" t="str">
        <f>VLOOKUP(B3533,'MF PF'!A:B,2)</f>
        <v>FdMgt1</v>
      </c>
      <c r="AI3533" s="358">
        <f t="shared" si="467"/>
        <v>0</v>
      </c>
      <c r="AJ3533" s="94">
        <f t="shared" si="468"/>
        <v>43039</v>
      </c>
    </row>
    <row r="3534" spans="1:36" ht="12.75" customHeight="1">
      <c r="A3534" s="94">
        <v>43069</v>
      </c>
      <c r="B3534" s="94" t="s">
        <v>188</v>
      </c>
      <c r="C3534" s="358" t="s">
        <v>305</v>
      </c>
      <c r="D3534" s="98">
        <v>734100</v>
      </c>
      <c r="E3534" s="9">
        <f t="shared" si="462"/>
        <v>198161.43413335961</v>
      </c>
      <c r="F3534" s="98">
        <v>21.6</v>
      </c>
      <c r="G3534" s="98">
        <v>0</v>
      </c>
      <c r="H3534" s="98">
        <v>0</v>
      </c>
      <c r="I3534" s="98">
        <v>0</v>
      </c>
      <c r="J3534" s="98"/>
      <c r="K3534" s="93">
        <v>3.7045553450423756</v>
      </c>
      <c r="L3534" s="93">
        <f t="shared" si="463"/>
        <v>0</v>
      </c>
      <c r="M3534" s="95">
        <f t="shared" ca="1" si="464"/>
        <v>0</v>
      </c>
      <c r="N3534" s="95">
        <f>IF(P3534="Hedge Fund",IF(A3534=Summary!$AD$3,M3534-E3534,M3534),IF(A3534=Summary!$AD$3,L3534-D3534,L3534))</f>
        <v>0</v>
      </c>
      <c r="O3534" s="95">
        <f t="shared" si="465"/>
        <v>0</v>
      </c>
      <c r="P3534" s="107" t="s">
        <v>155</v>
      </c>
      <c r="Q3534" s="107">
        <v>0</v>
      </c>
      <c r="R3534" s="107">
        <v>0</v>
      </c>
      <c r="S3534" s="107">
        <v>0</v>
      </c>
      <c r="T3534" s="107">
        <v>0</v>
      </c>
      <c r="U3534" s="107"/>
      <c r="V3534" s="107"/>
      <c r="W3534" s="107"/>
      <c r="X3534" s="107"/>
      <c r="Y3534" s="107"/>
      <c r="Z3534" s="107"/>
      <c r="AA3534" s="107"/>
      <c r="AB3534" s="107"/>
      <c r="AC3534" s="355"/>
      <c r="AD3534" s="355"/>
      <c r="AE3534" s="355"/>
      <c r="AF3534" s="94">
        <f t="shared" si="466"/>
        <v>43069</v>
      </c>
      <c r="AG3534" s="185">
        <f t="shared" si="461"/>
        <v>3.2800328003279589E-3</v>
      </c>
      <c r="AH3534" s="339" t="str">
        <f>VLOOKUP(B3534,'MF PF'!A:B,2)</f>
        <v>FdMgt1</v>
      </c>
      <c r="AI3534" s="358">
        <f t="shared" si="467"/>
        <v>0</v>
      </c>
      <c r="AJ3534" s="94">
        <f t="shared" si="468"/>
        <v>43069</v>
      </c>
    </row>
    <row r="3535" spans="1:36" ht="12.75" customHeight="1">
      <c r="A3535" s="94">
        <v>43098</v>
      </c>
      <c r="B3535" s="94" t="s">
        <v>188</v>
      </c>
      <c r="C3535" s="358" t="s">
        <v>305</v>
      </c>
      <c r="D3535" s="98">
        <v>671000</v>
      </c>
      <c r="E3535" s="9">
        <f t="shared" si="462"/>
        <v>181128.35077439627</v>
      </c>
      <c r="F3535" s="98">
        <v>21.6</v>
      </c>
      <c r="G3535" s="98">
        <v>0</v>
      </c>
      <c r="H3535" s="98">
        <v>0</v>
      </c>
      <c r="I3535" s="98">
        <v>-56453.95</v>
      </c>
      <c r="J3535" s="98"/>
      <c r="K3535" s="93">
        <v>3.7045553450423756</v>
      </c>
      <c r="L3535" s="93">
        <f t="shared" si="463"/>
        <v>-56453.95</v>
      </c>
      <c r="M3535" s="95">
        <f t="shared" ca="1" si="464"/>
        <v>-15239.062381818521</v>
      </c>
      <c r="N3535" s="95">
        <f>IF(P3535="Hedge Fund",IF(A3535=Summary!$AD$3,M3535-E3535,M3535),IF(A3535=Summary!$AD$3,L3535-D3535,L3535))</f>
        <v>-56453.95</v>
      </c>
      <c r="O3535" s="95">
        <f t="shared" si="465"/>
        <v>-56453.95</v>
      </c>
      <c r="P3535" s="107" t="s">
        <v>155</v>
      </c>
      <c r="Q3535" s="107">
        <v>0</v>
      </c>
      <c r="R3535" s="107">
        <v>0</v>
      </c>
      <c r="S3535" s="107">
        <v>0</v>
      </c>
      <c r="T3535" s="107">
        <v>0</v>
      </c>
      <c r="U3535" s="107"/>
      <c r="V3535" s="107"/>
      <c r="W3535" s="107"/>
      <c r="X3535" s="107"/>
      <c r="Y3535" s="107"/>
      <c r="Z3535" s="107"/>
      <c r="AA3535" s="107"/>
      <c r="AB3535" s="107"/>
      <c r="AC3535" s="355"/>
      <c r="AD3535" s="355"/>
      <c r="AE3535" s="355"/>
      <c r="AF3535" s="94">
        <f t="shared" si="466"/>
        <v>43098</v>
      </c>
      <c r="AG3535" s="185">
        <f t="shared" si="461"/>
        <v>-9.0533306089088939E-3</v>
      </c>
      <c r="AH3535" s="339" t="str">
        <f>VLOOKUP(B3535,'MF PF'!A:B,2)</f>
        <v>FdMgt1</v>
      </c>
      <c r="AI3535" s="358">
        <f t="shared" si="467"/>
        <v>0</v>
      </c>
      <c r="AJ3535" s="94">
        <f t="shared" si="468"/>
        <v>43100</v>
      </c>
    </row>
    <row r="3536" spans="1:36" ht="12.75" customHeight="1">
      <c r="A3536" s="94">
        <v>43131</v>
      </c>
      <c r="B3536" s="94" t="s">
        <v>188</v>
      </c>
      <c r="C3536" s="358" t="s">
        <v>305</v>
      </c>
      <c r="D3536" s="98">
        <v>660700</v>
      </c>
      <c r="E3536" s="9">
        <f t="shared" si="462"/>
        <v>178347.99009931984</v>
      </c>
      <c r="F3536" s="98">
        <v>21.6</v>
      </c>
      <c r="G3536" s="98">
        <v>0</v>
      </c>
      <c r="H3536" s="98">
        <v>0</v>
      </c>
      <c r="I3536" s="98">
        <v>0</v>
      </c>
      <c r="J3536" s="98"/>
      <c r="K3536" s="93">
        <v>3.7045553450423756</v>
      </c>
      <c r="L3536" s="93">
        <f t="shared" si="463"/>
        <v>0</v>
      </c>
      <c r="M3536" s="95">
        <f t="shared" ca="1" si="464"/>
        <v>0</v>
      </c>
      <c r="N3536" s="95">
        <f>IF(P3536="Hedge Fund",IF(A3536=Summary!$AD$3,M3536-E3536,M3536),IF(A3536=Summary!$AD$3,L3536-D3536,L3536))</f>
        <v>0</v>
      </c>
      <c r="O3536" s="95">
        <f t="shared" si="465"/>
        <v>0</v>
      </c>
      <c r="P3536" s="107" t="s">
        <v>155</v>
      </c>
      <c r="Q3536" s="107">
        <v>0</v>
      </c>
      <c r="R3536" s="107">
        <v>0.153</v>
      </c>
      <c r="S3536" s="107"/>
      <c r="T3536" s="107">
        <v>0.01</v>
      </c>
      <c r="U3536" s="107"/>
      <c r="V3536" s="107"/>
      <c r="W3536" s="107"/>
      <c r="X3536" s="107"/>
      <c r="Y3536" s="107"/>
      <c r="Z3536" s="107"/>
      <c r="AA3536" s="107"/>
      <c r="AB3536" s="107"/>
      <c r="AC3536" s="355"/>
      <c r="AD3536" s="355"/>
      <c r="AE3536" s="355"/>
      <c r="AF3536" s="94">
        <f t="shared" si="466"/>
        <v>43131</v>
      </c>
      <c r="AG3536" s="185">
        <f t="shared" si="461"/>
        <v>-1.5350223546944819E-2</v>
      </c>
      <c r="AH3536" s="339" t="str">
        <f>VLOOKUP(B3536,'MF PF'!A:B,2)</f>
        <v>FdMgt1</v>
      </c>
      <c r="AI3536" s="358">
        <f t="shared" si="467"/>
        <v>0</v>
      </c>
      <c r="AJ3536" s="94">
        <f t="shared" si="468"/>
        <v>43131</v>
      </c>
    </row>
    <row r="3537" spans="1:36" ht="12.75" customHeight="1">
      <c r="A3537" s="94">
        <v>43159</v>
      </c>
      <c r="B3537" s="94" t="s">
        <v>188</v>
      </c>
      <c r="C3537" s="358" t="s">
        <v>305</v>
      </c>
      <c r="D3537" s="98">
        <v>675400</v>
      </c>
      <c r="E3537" s="9">
        <f t="shared" si="462"/>
        <v>182316.07766472019</v>
      </c>
      <c r="F3537" s="98">
        <v>21.6</v>
      </c>
      <c r="G3537" s="98">
        <v>0</v>
      </c>
      <c r="H3537" s="98">
        <v>0</v>
      </c>
      <c r="I3537" s="98">
        <v>0</v>
      </c>
      <c r="J3537" s="98"/>
      <c r="K3537" s="93">
        <v>3.7045553450423756</v>
      </c>
      <c r="L3537" s="93">
        <f t="shared" si="463"/>
        <v>0</v>
      </c>
      <c r="M3537" s="95">
        <f t="shared" ca="1" si="464"/>
        <v>0</v>
      </c>
      <c r="N3537" s="95">
        <f>IF(P3537="Hedge Fund",IF(A3537=Summary!$AD$3,M3537-E3537,M3537),IF(A3537=Summary!$AD$3,L3537-D3537,L3537))</f>
        <v>0</v>
      </c>
      <c r="O3537" s="95">
        <f t="shared" si="465"/>
        <v>0</v>
      </c>
      <c r="P3537" s="107" t="s">
        <v>155</v>
      </c>
      <c r="Q3537" s="107">
        <v>0</v>
      </c>
      <c r="R3537" s="107">
        <v>0.15670000000000001</v>
      </c>
      <c r="S3537" s="107"/>
      <c r="T3537" s="107">
        <v>0.01</v>
      </c>
      <c r="U3537" s="107"/>
      <c r="V3537" s="107"/>
      <c r="W3537" s="107"/>
      <c r="X3537" s="107"/>
      <c r="Y3537" s="107"/>
      <c r="Z3537" s="107"/>
      <c r="AA3537" s="107"/>
      <c r="AB3537" s="107"/>
      <c r="AC3537" s="355"/>
      <c r="AD3537" s="355"/>
      <c r="AE3537" s="355"/>
      <c r="AF3537" s="94">
        <f t="shared" si="466"/>
        <v>43159</v>
      </c>
      <c r="AG3537" s="185">
        <f t="shared" si="461"/>
        <v>2.2249129710912641E-2</v>
      </c>
      <c r="AH3537" s="339" t="str">
        <f>VLOOKUP(B3537,'MF PF'!A:B,2)</f>
        <v>FdMgt1</v>
      </c>
      <c r="AI3537" s="358">
        <f t="shared" si="467"/>
        <v>0</v>
      </c>
      <c r="AJ3537" s="94">
        <f t="shared" si="468"/>
        <v>43159</v>
      </c>
    </row>
    <row r="3538" spans="1:36" ht="12.75" customHeight="1">
      <c r="A3538" s="94">
        <v>43188</v>
      </c>
      <c r="B3538" s="94" t="s">
        <v>188</v>
      </c>
      <c r="C3538" s="358" t="s">
        <v>305</v>
      </c>
      <c r="D3538" s="110">
        <v>475645.864</v>
      </c>
      <c r="E3538" s="9">
        <f t="shared" si="462"/>
        <v>128394.85976003396</v>
      </c>
      <c r="F3538" s="98">
        <v>21.6</v>
      </c>
      <c r="G3538" s="98">
        <v>0</v>
      </c>
      <c r="H3538" s="98">
        <v>0</v>
      </c>
      <c r="I3538" s="110">
        <v>-198591.5</v>
      </c>
      <c r="J3538" s="110"/>
      <c r="K3538" s="93">
        <v>3.7045553450423756</v>
      </c>
      <c r="L3538" s="93">
        <f t="shared" si="463"/>
        <v>-198591.5</v>
      </c>
      <c r="M3538" s="95">
        <f t="shared" ca="1" si="464"/>
        <v>-53607.378349945626</v>
      </c>
      <c r="N3538" s="95">
        <f>IF(P3538="Hedge Fund",IF(A3538=Summary!$AD$3,M3538-E3538,M3538),IF(A3538=Summary!$AD$3,L3538-D3538,L3538))</f>
        <v>-198591.5</v>
      </c>
      <c r="O3538" s="95">
        <f t="shared" si="465"/>
        <v>-198591.5</v>
      </c>
      <c r="P3538" s="107" t="s">
        <v>155</v>
      </c>
      <c r="Q3538" s="109">
        <v>0</v>
      </c>
      <c r="R3538" s="109">
        <v>0.11890000000000001</v>
      </c>
      <c r="S3538" s="107"/>
      <c r="T3538" s="107">
        <v>0.01</v>
      </c>
      <c r="U3538" s="107"/>
      <c r="V3538" s="107"/>
      <c r="W3538" s="107"/>
      <c r="X3538" s="107"/>
      <c r="Y3538" s="107"/>
      <c r="Z3538" s="107"/>
      <c r="AA3538" s="107"/>
      <c r="AB3538" s="107"/>
      <c r="AC3538" s="355"/>
      <c r="AD3538" s="355"/>
      <c r="AE3538" s="355"/>
      <c r="AF3538" s="94">
        <f t="shared" si="466"/>
        <v>43188</v>
      </c>
      <c r="AG3538" s="185">
        <f t="shared" si="461"/>
        <v>-1.7214036126739218E-3</v>
      </c>
      <c r="AH3538" s="339" t="str">
        <f>VLOOKUP(B3538,'MF PF'!A:B,2)</f>
        <v>FdMgt1</v>
      </c>
      <c r="AI3538" s="358">
        <f t="shared" si="467"/>
        <v>0</v>
      </c>
      <c r="AJ3538" s="94">
        <f t="shared" si="468"/>
        <v>43190</v>
      </c>
    </row>
    <row r="3539" spans="1:36" ht="12.75" customHeight="1">
      <c r="A3539" s="94">
        <v>43220</v>
      </c>
      <c r="B3539" s="94" t="s">
        <v>188</v>
      </c>
      <c r="C3539" s="358" t="s">
        <v>305</v>
      </c>
      <c r="D3539" s="110">
        <v>479771.576</v>
      </c>
      <c r="E3539" s="95">
        <f t="shared" si="462"/>
        <v>129508.54591551851</v>
      </c>
      <c r="F3539" s="98">
        <v>21.6</v>
      </c>
      <c r="G3539" s="98">
        <v>0</v>
      </c>
      <c r="H3539" s="98">
        <v>0</v>
      </c>
      <c r="I3539" s="110"/>
      <c r="J3539" s="110"/>
      <c r="K3539" s="93">
        <v>3.7045553450423756</v>
      </c>
      <c r="L3539" s="93">
        <f t="shared" si="463"/>
        <v>0</v>
      </c>
      <c r="M3539" s="95">
        <f t="shared" ca="1" si="464"/>
        <v>0</v>
      </c>
      <c r="N3539" s="95">
        <f>IF(P3539="Hedge Fund",IF(A3539=Summary!$AD$3,M3539-E3539,M3539),IF(A3539=Summary!$AD$3,L3539-D3539,L3539))</f>
        <v>0</v>
      </c>
      <c r="O3539" s="95">
        <f t="shared" si="465"/>
        <v>0</v>
      </c>
      <c r="P3539" s="107" t="s">
        <v>155</v>
      </c>
      <c r="Q3539" s="109">
        <v>0</v>
      </c>
      <c r="R3539" s="109">
        <v>0.11990000000000001</v>
      </c>
      <c r="S3539" s="107"/>
      <c r="T3539" s="107">
        <v>0.01</v>
      </c>
      <c r="U3539" s="107"/>
      <c r="V3539" s="107"/>
      <c r="W3539" s="107"/>
      <c r="X3539" s="107"/>
      <c r="Y3539" s="107"/>
      <c r="Z3539" s="107"/>
      <c r="AA3539" s="107"/>
      <c r="AB3539" s="107"/>
      <c r="AC3539" s="355"/>
      <c r="AD3539" s="355"/>
      <c r="AE3539" s="355"/>
      <c r="AF3539" s="94">
        <f t="shared" si="466"/>
        <v>43220</v>
      </c>
      <c r="AG3539" s="185">
        <f t="shared" si="461"/>
        <v>8.6739154321753276E-3</v>
      </c>
      <c r="AH3539" s="339" t="str">
        <f>VLOOKUP(B3539,'MF PF'!A:B,2)</f>
        <v>FdMgt1</v>
      </c>
      <c r="AI3539" s="358">
        <f t="shared" si="467"/>
        <v>0</v>
      </c>
      <c r="AJ3539" s="94">
        <f t="shared" si="468"/>
        <v>43220</v>
      </c>
    </row>
    <row r="3540" spans="1:36" ht="12.75" customHeight="1">
      <c r="A3540" s="94">
        <v>43251</v>
      </c>
      <c r="B3540" s="358" t="s">
        <v>188</v>
      </c>
      <c r="C3540" s="94" t="s">
        <v>305</v>
      </c>
      <c r="D3540" s="110">
        <v>481686.25599999999</v>
      </c>
      <c r="E3540" s="95">
        <f t="shared" si="462"/>
        <v>130025.39067060154</v>
      </c>
      <c r="F3540" s="98">
        <v>21.6</v>
      </c>
      <c r="G3540" s="98">
        <v>0</v>
      </c>
      <c r="H3540" s="98">
        <v>0</v>
      </c>
      <c r="I3540" s="98"/>
      <c r="J3540" s="98"/>
      <c r="K3540" s="93">
        <v>3.7045553450423756</v>
      </c>
      <c r="L3540" s="93">
        <f t="shared" si="463"/>
        <v>0</v>
      </c>
      <c r="M3540" s="95">
        <f t="shared" ca="1" si="464"/>
        <v>0</v>
      </c>
      <c r="N3540" s="95">
        <f>IF(P3540="Hedge Fund",IF(A3540=Summary!$AD$3,M3540-E3540,M3540),IF(A3540=Summary!$AD$3,L3540-D3540,L3540))</f>
        <v>0</v>
      </c>
      <c r="O3540" s="95">
        <f t="shared" si="465"/>
        <v>0</v>
      </c>
      <c r="P3540" s="107" t="s">
        <v>155</v>
      </c>
      <c r="Q3540" s="107">
        <v>0</v>
      </c>
      <c r="R3540" s="109">
        <v>0.12039999999999999</v>
      </c>
      <c r="S3540" s="107"/>
      <c r="T3540" s="107">
        <v>0.01</v>
      </c>
      <c r="U3540" s="107"/>
      <c r="V3540" s="107"/>
      <c r="W3540" s="107"/>
      <c r="X3540" s="107"/>
      <c r="Y3540" s="107"/>
      <c r="Z3540" s="107"/>
      <c r="AA3540" s="107"/>
      <c r="AB3540" s="107"/>
      <c r="AC3540" s="355"/>
      <c r="AD3540" s="355"/>
      <c r="AE3540" s="355"/>
      <c r="AF3540" s="94">
        <f t="shared" si="466"/>
        <v>43251</v>
      </c>
      <c r="AG3540" s="185">
        <f t="shared" si="461"/>
        <v>3.9908158294061913E-3</v>
      </c>
      <c r="AH3540" s="339" t="str">
        <f>VLOOKUP(B3540,'MF PF'!A:B,2)</f>
        <v>FdMgt1</v>
      </c>
      <c r="AI3540" s="358">
        <f t="shared" si="467"/>
        <v>0</v>
      </c>
      <c r="AJ3540" s="94">
        <f t="shared" si="468"/>
        <v>43251</v>
      </c>
    </row>
    <row r="3541" spans="1:36" ht="12.75" customHeight="1">
      <c r="A3541" s="94">
        <v>43280</v>
      </c>
      <c r="B3541" s="358" t="s">
        <v>188</v>
      </c>
      <c r="C3541" s="94" t="s">
        <v>305</v>
      </c>
      <c r="D3541" s="110">
        <v>480798.05599999998</v>
      </c>
      <c r="E3541" s="95">
        <f t="shared" si="462"/>
        <v>129785.63180151388</v>
      </c>
      <c r="F3541" s="98">
        <v>21.6</v>
      </c>
      <c r="G3541" s="98">
        <v>0</v>
      </c>
      <c r="H3541" s="98">
        <v>0</v>
      </c>
      <c r="I3541" s="98"/>
      <c r="J3541" s="98"/>
      <c r="K3541" s="93">
        <v>3.7045553450423756</v>
      </c>
      <c r="L3541" s="93">
        <f t="shared" si="463"/>
        <v>0</v>
      </c>
      <c r="M3541" s="95">
        <f t="shared" ca="1" si="464"/>
        <v>0</v>
      </c>
      <c r="N3541" s="95">
        <f>IF(P3541="Hedge Fund",IF(A3541=Summary!$AD$3,M3541-E3541,M3541),IF(A3541=Summary!$AD$3,L3541-D3541,L3541))</f>
        <v>0</v>
      </c>
      <c r="O3541" s="95">
        <f t="shared" si="465"/>
        <v>0</v>
      </c>
      <c r="P3541" s="107" t="s">
        <v>155</v>
      </c>
      <c r="Q3541" s="107">
        <v>0</v>
      </c>
      <c r="R3541" s="109">
        <v>0.1202</v>
      </c>
      <c r="S3541" s="107"/>
      <c r="T3541" s="107">
        <v>0.01</v>
      </c>
      <c r="U3541" s="107"/>
      <c r="V3541" s="107"/>
      <c r="W3541" s="107"/>
      <c r="X3541" s="107"/>
      <c r="Y3541" s="107"/>
      <c r="Z3541" s="107"/>
      <c r="AA3541" s="107"/>
      <c r="AB3541" s="107"/>
      <c r="AC3541" s="355"/>
      <c r="AD3541" s="355"/>
      <c r="AE3541" s="355"/>
      <c r="AF3541" s="94">
        <f t="shared" si="466"/>
        <v>43280</v>
      </c>
      <c r="AG3541" s="185">
        <f t="shared" si="461"/>
        <v>-1.8439388480289143E-3</v>
      </c>
      <c r="AH3541" s="339" t="str">
        <f>VLOOKUP(B3541,'MF PF'!A:B,2)</f>
        <v>FdMgt1</v>
      </c>
      <c r="AI3541" s="358">
        <f t="shared" si="467"/>
        <v>0</v>
      </c>
      <c r="AJ3541" s="94">
        <f t="shared" si="468"/>
        <v>43281</v>
      </c>
    </row>
    <row r="3542" spans="1:36" ht="12.75" customHeight="1">
      <c r="A3542" s="94">
        <v>43312</v>
      </c>
      <c r="B3542" s="358" t="s">
        <v>188</v>
      </c>
      <c r="C3542" s="94" t="s">
        <v>305</v>
      </c>
      <c r="D3542" s="110">
        <v>482360.74560000002</v>
      </c>
      <c r="E3542" s="9">
        <f t="shared" si="462"/>
        <v>130207.46099677515</v>
      </c>
      <c r="F3542" s="98">
        <v>21.6</v>
      </c>
      <c r="G3542" s="98">
        <v>0</v>
      </c>
      <c r="H3542" s="98">
        <v>0</v>
      </c>
      <c r="I3542" s="98"/>
      <c r="J3542" s="98"/>
      <c r="K3542" s="93">
        <v>3.7045553450423756</v>
      </c>
      <c r="L3542" s="93">
        <f t="shared" si="463"/>
        <v>0</v>
      </c>
      <c r="M3542" s="95">
        <f t="shared" ca="1" si="464"/>
        <v>0</v>
      </c>
      <c r="N3542" s="95">
        <f>IF(P3542="Hedge Fund",IF(A3542=Summary!$AD$3,M3542-E3542,M3542),IF(A3542=Summary!$AD$3,L3542-D3542,L3542))</f>
        <v>0</v>
      </c>
      <c r="O3542" s="95">
        <f t="shared" si="465"/>
        <v>0</v>
      </c>
      <c r="P3542" s="107" t="s">
        <v>155</v>
      </c>
      <c r="Q3542" s="107">
        <v>0</v>
      </c>
      <c r="R3542" s="109">
        <v>0.1206</v>
      </c>
      <c r="S3542" s="107"/>
      <c r="T3542" s="107">
        <v>0.01</v>
      </c>
      <c r="U3542" s="107"/>
      <c r="V3542" s="107"/>
      <c r="W3542" s="107"/>
      <c r="X3542" s="107"/>
      <c r="Y3542" s="107"/>
      <c r="Z3542" s="107"/>
      <c r="AA3542" s="107"/>
      <c r="AB3542" s="107"/>
      <c r="AC3542" s="355"/>
      <c r="AD3542" s="355"/>
      <c r="AE3542" s="355"/>
      <c r="AF3542" s="94">
        <f t="shared" si="466"/>
        <v>43312</v>
      </c>
      <c r="AG3542" s="185">
        <f t="shared" si="461"/>
        <v>3.2501994974789561E-3</v>
      </c>
      <c r="AH3542" s="339" t="str">
        <f>VLOOKUP(B3542,'MF PF'!A:B,2)</f>
        <v>FdMgt1</v>
      </c>
      <c r="AI3542" s="358">
        <f t="shared" si="467"/>
        <v>0</v>
      </c>
      <c r="AJ3542" s="94">
        <f t="shared" si="468"/>
        <v>43312</v>
      </c>
    </row>
    <row r="3543" spans="1:36" ht="12.75" customHeight="1">
      <c r="A3543" s="94">
        <v>43343</v>
      </c>
      <c r="B3543" s="358" t="s">
        <v>188</v>
      </c>
      <c r="C3543" s="94" t="s">
        <v>305</v>
      </c>
      <c r="D3543" s="110">
        <v>481263.20799999998</v>
      </c>
      <c r="E3543" s="9">
        <f t="shared" si="462"/>
        <v>129911.19396935205</v>
      </c>
      <c r="F3543" s="98">
        <v>21.6</v>
      </c>
      <c r="G3543" s="98">
        <v>0</v>
      </c>
      <c r="H3543" s="98">
        <v>0</v>
      </c>
      <c r="I3543" s="98"/>
      <c r="J3543" s="98"/>
      <c r="K3543" s="93">
        <v>3.7045553450423756</v>
      </c>
      <c r="L3543" s="93">
        <f t="shared" si="463"/>
        <v>0</v>
      </c>
      <c r="M3543" s="95">
        <f t="shared" ca="1" si="464"/>
        <v>0</v>
      </c>
      <c r="N3543" s="95">
        <f>IF(P3543="Hedge Fund",IF(A3543=Summary!$AD$3,M3543-E3543,M3543),IF(A3543=Summary!$AD$3,L3543-D3543,L3543))</f>
        <v>0</v>
      </c>
      <c r="O3543" s="95">
        <f t="shared" si="465"/>
        <v>0</v>
      </c>
      <c r="P3543" s="107" t="s">
        <v>155</v>
      </c>
      <c r="Q3543" s="107">
        <v>0</v>
      </c>
      <c r="R3543" s="109">
        <v>0.1203</v>
      </c>
      <c r="S3543" s="107"/>
      <c r="T3543" s="107">
        <v>0.01</v>
      </c>
      <c r="U3543" s="107"/>
      <c r="V3543" s="107"/>
      <c r="W3543" s="107"/>
      <c r="X3543" s="107"/>
      <c r="Y3543" s="107"/>
      <c r="Z3543" s="107"/>
      <c r="AA3543" s="107"/>
      <c r="AB3543" s="107"/>
      <c r="AC3543" s="355"/>
      <c r="AD3543" s="355"/>
      <c r="AE3543" s="355"/>
      <c r="AF3543" s="94">
        <f t="shared" si="466"/>
        <v>43343</v>
      </c>
      <c r="AG3543" s="185">
        <f t="shared" si="461"/>
        <v>-2.2753460143918325E-3</v>
      </c>
      <c r="AH3543" s="339" t="str">
        <f>VLOOKUP(B3543,'MF PF'!A:B,2)</f>
        <v>FdMgt1</v>
      </c>
      <c r="AI3543" s="358">
        <f t="shared" si="467"/>
        <v>0</v>
      </c>
      <c r="AJ3543" s="94">
        <f t="shared" si="468"/>
        <v>43343</v>
      </c>
    </row>
    <row r="3544" spans="1:36" ht="12.75" customHeight="1">
      <c r="A3544" s="94">
        <v>43371</v>
      </c>
      <c r="B3544" s="358" t="s">
        <v>188</v>
      </c>
      <c r="C3544" s="358" t="s">
        <v>305</v>
      </c>
      <c r="D3544" s="110">
        <v>482414.83199999999</v>
      </c>
      <c r="E3544" s="95"/>
      <c r="F3544" s="98">
        <v>21.6</v>
      </c>
      <c r="G3544" s="98"/>
      <c r="H3544" s="93">
        <v>0</v>
      </c>
      <c r="I3544" s="93">
        <v>0</v>
      </c>
      <c r="K3544" s="93">
        <v>0</v>
      </c>
      <c r="L3544" s="93">
        <f t="shared" si="463"/>
        <v>0</v>
      </c>
      <c r="M3544" s="95" t="e">
        <f t="shared" ca="1" si="464"/>
        <v>#DIV/0!</v>
      </c>
      <c r="N3544" s="95">
        <f>IF(P3544="Hedge Fund",IF(A3544=Summary!$AD$3,M3544-E3544,M3544),IF(A3544=Summary!$AD$3,L3544-D3544,L3544))</f>
        <v>0</v>
      </c>
      <c r="O3544" s="95">
        <f t="shared" si="465"/>
        <v>0</v>
      </c>
      <c r="P3544" s="95" t="s">
        <v>155</v>
      </c>
      <c r="Q3544" s="95">
        <v>0</v>
      </c>
      <c r="R3544" s="95">
        <v>0.1206</v>
      </c>
      <c r="S3544" s="95"/>
      <c r="T3544" s="95">
        <v>0.01</v>
      </c>
      <c r="U3544" s="95"/>
      <c r="V3544" s="95"/>
      <c r="W3544" s="95"/>
      <c r="X3544" s="95"/>
      <c r="Y3544" s="95"/>
      <c r="Z3544" s="95"/>
      <c r="AA3544" s="95"/>
      <c r="AB3544" s="95"/>
      <c r="AC3544" s="355"/>
      <c r="AD3544" s="355"/>
      <c r="AE3544" s="355"/>
      <c r="AF3544" s="94">
        <f t="shared" si="466"/>
        <v>43371</v>
      </c>
      <c r="AG3544" s="185">
        <f t="shared" si="461"/>
        <v>2.3929192609297711E-3</v>
      </c>
      <c r="AH3544" s="339" t="str">
        <f>VLOOKUP(B3544,'MF PF'!A:B,2)</f>
        <v>FdMgt1</v>
      </c>
      <c r="AI3544" s="358">
        <f t="shared" si="467"/>
        <v>0</v>
      </c>
      <c r="AJ3544" s="94">
        <f t="shared" si="468"/>
        <v>43373</v>
      </c>
    </row>
    <row r="3545" spans="1:36" ht="12.75" customHeight="1">
      <c r="A3545" s="94">
        <v>43404</v>
      </c>
      <c r="B3545" s="358" t="s">
        <v>188</v>
      </c>
      <c r="C3545" s="358" t="s">
        <v>305</v>
      </c>
      <c r="D3545" s="93">
        <v>384502.76</v>
      </c>
      <c r="F3545" s="98">
        <v>21.6</v>
      </c>
      <c r="G3545" s="93"/>
      <c r="H3545" s="93">
        <v>0</v>
      </c>
      <c r="I3545" s="93">
        <v>-98537.8</v>
      </c>
      <c r="J3545" s="93">
        <v>0</v>
      </c>
      <c r="K3545" s="93"/>
      <c r="L3545" s="93">
        <f t="shared" si="463"/>
        <v>-98537.8</v>
      </c>
      <c r="M3545" s="95" t="e">
        <f t="shared" ca="1" si="464"/>
        <v>#DIV/0!</v>
      </c>
      <c r="N3545" s="95">
        <f>IF(P3545="Hedge Fund",IF(A3545=Summary!$AD$3,M3545-E3545,M3545),IF(A3545=Summary!$AD$3,L3545-D3545,L3545))</f>
        <v>-98537.8</v>
      </c>
      <c r="O3545" s="95">
        <f t="shared" si="465"/>
        <v>-98537.8</v>
      </c>
      <c r="P3545" s="95" t="s">
        <v>155</v>
      </c>
      <c r="Q3545" s="95">
        <v>0</v>
      </c>
      <c r="R3545" s="95">
        <v>9.6100000000000005E-2</v>
      </c>
      <c r="S3545" s="95"/>
      <c r="T3545" s="95">
        <v>0.01</v>
      </c>
      <c r="U3545" s="95"/>
      <c r="V3545" s="95"/>
      <c r="W3545" s="95"/>
      <c r="X3545" s="95"/>
      <c r="Y3545" s="95"/>
      <c r="Z3545" s="95"/>
      <c r="AA3545" s="95"/>
      <c r="AB3545" s="95"/>
      <c r="AC3545" s="355"/>
      <c r="AD3545" s="355"/>
      <c r="AE3545" s="355"/>
      <c r="AF3545" s="94">
        <f t="shared" si="466"/>
        <v>43404</v>
      </c>
      <c r="AG3545" s="185">
        <f t="shared" si="461"/>
        <v>1.2970745476581502E-3</v>
      </c>
      <c r="AH3545" s="339" t="str">
        <f>VLOOKUP(B3545,'MF PF'!A:B,2)</f>
        <v>FdMgt1</v>
      </c>
      <c r="AI3545" s="358">
        <f t="shared" si="467"/>
        <v>0</v>
      </c>
      <c r="AJ3545" s="94">
        <f t="shared" si="468"/>
        <v>43404</v>
      </c>
    </row>
    <row r="3546" spans="1:36" ht="12.75" customHeight="1">
      <c r="A3546" s="94">
        <v>43434</v>
      </c>
      <c r="B3546" s="358" t="s">
        <v>188</v>
      </c>
      <c r="C3546" s="358" t="s">
        <v>305</v>
      </c>
      <c r="D3546" s="93">
        <v>408459.50400000002</v>
      </c>
      <c r="F3546" s="98">
        <v>21.6</v>
      </c>
      <c r="G3546" s="93"/>
      <c r="H3546" s="93">
        <v>0</v>
      </c>
      <c r="I3546" s="93">
        <v>0</v>
      </c>
      <c r="K3546" s="93">
        <v>0</v>
      </c>
      <c r="L3546" s="93">
        <f t="shared" si="463"/>
        <v>0</v>
      </c>
      <c r="M3546" s="95" t="e">
        <f t="shared" ca="1" si="464"/>
        <v>#DIV/0!</v>
      </c>
      <c r="N3546" s="95">
        <f>IF(P3546="Hedge Fund",IF(A3546=Summary!$AD$3,M3546-E3546,M3546),IF(A3546=Summary!$AD$3,L3546-D3546,L3546))</f>
        <v>0</v>
      </c>
      <c r="O3546" s="95">
        <f t="shared" si="465"/>
        <v>0</v>
      </c>
      <c r="P3546" s="95" t="s">
        <v>155</v>
      </c>
      <c r="Q3546" s="95">
        <v>0</v>
      </c>
      <c r="R3546" s="95">
        <v>0.10211487600000001</v>
      </c>
      <c r="S3546" s="95"/>
      <c r="T3546" s="95">
        <f>6784.02/10^6</f>
        <v>6.7840200000000008E-3</v>
      </c>
      <c r="U3546" s="95"/>
      <c r="V3546" s="95"/>
      <c r="W3546" s="95"/>
      <c r="X3546" s="95"/>
      <c r="Y3546" s="95"/>
      <c r="Z3546" s="95"/>
      <c r="AA3546" s="95"/>
      <c r="AB3546" s="95"/>
      <c r="AC3546" s="355"/>
      <c r="AD3546" s="355"/>
      <c r="AE3546" s="355"/>
      <c r="AF3546" s="94">
        <f t="shared" si="466"/>
        <v>43434</v>
      </c>
      <c r="AG3546" s="185">
        <f t="shared" si="461"/>
        <v>6.2305779027437946E-2</v>
      </c>
      <c r="AH3546" s="339" t="str">
        <f>VLOOKUP(B3546,'MF PF'!A:B,2)</f>
        <v>FdMgt1</v>
      </c>
      <c r="AI3546" s="358">
        <f t="shared" si="467"/>
        <v>0</v>
      </c>
      <c r="AJ3546" s="94">
        <f t="shared" si="468"/>
        <v>43434</v>
      </c>
    </row>
    <row r="3547" spans="1:36" ht="12.75" customHeight="1">
      <c r="A3547" s="94">
        <v>43465</v>
      </c>
      <c r="B3547" s="358" t="s">
        <v>188</v>
      </c>
      <c r="C3547" s="358" t="s">
        <v>305</v>
      </c>
      <c r="D3547" s="93">
        <v>369749.53600000002</v>
      </c>
      <c r="F3547" s="93">
        <v>21.6</v>
      </c>
      <c r="G3547" s="93"/>
      <c r="H3547" s="93">
        <v>0</v>
      </c>
      <c r="I3547" s="93">
        <v>0</v>
      </c>
      <c r="K3547" s="93">
        <v>0</v>
      </c>
      <c r="L3547" s="93">
        <f t="shared" si="463"/>
        <v>0</v>
      </c>
      <c r="M3547" s="95" t="e">
        <f t="shared" ca="1" si="464"/>
        <v>#DIV/0!</v>
      </c>
      <c r="N3547" s="95">
        <f>IF(P3547="Hedge Fund",IF(A3547=Summary!$AD$3,M3547-E3547,M3547),IF(A3547=Summary!$AD$3,L3547-D3547,L3547))</f>
        <v>0</v>
      </c>
      <c r="O3547" s="95">
        <f t="shared" si="465"/>
        <v>0</v>
      </c>
      <c r="P3547" s="95" t="s">
        <v>155</v>
      </c>
      <c r="Q3547" s="95">
        <v>0</v>
      </c>
      <c r="R3547" s="95">
        <v>9.2437384000000011E-2</v>
      </c>
      <c r="S3547" s="95"/>
      <c r="T3547" s="95"/>
      <c r="U3547" s="95"/>
      <c r="V3547" s="95"/>
      <c r="W3547" s="95"/>
      <c r="X3547" s="95"/>
      <c r="Y3547" s="95"/>
      <c r="Z3547" s="95"/>
      <c r="AA3547" s="95"/>
      <c r="AB3547" s="95"/>
      <c r="AC3547" s="355"/>
      <c r="AD3547" s="355"/>
      <c r="AE3547" s="355"/>
      <c r="AF3547" s="94">
        <f t="shared" si="466"/>
        <v>43465</v>
      </c>
      <c r="AG3547" s="185">
        <f t="shared" si="461"/>
        <v>-9.4770638511082361E-2</v>
      </c>
      <c r="AH3547" s="339" t="str">
        <f>VLOOKUP(B3547,'MF PF'!A:B,2)</f>
        <v>FdMgt1</v>
      </c>
      <c r="AI3547" s="358">
        <f t="shared" si="467"/>
        <v>0</v>
      </c>
      <c r="AJ3547" s="94">
        <f t="shared" si="468"/>
        <v>43465</v>
      </c>
    </row>
    <row r="3548" spans="1:36" ht="12.75" customHeight="1">
      <c r="A3548" s="94">
        <v>43496</v>
      </c>
      <c r="B3548" s="358" t="s">
        <v>188</v>
      </c>
      <c r="C3548" s="358" t="s">
        <v>305</v>
      </c>
      <c r="D3548" s="93">
        <v>0</v>
      </c>
      <c r="F3548" s="93">
        <v>21.6</v>
      </c>
      <c r="G3548" s="93"/>
      <c r="H3548" s="93">
        <v>0</v>
      </c>
      <c r="I3548" s="93">
        <v>-369749.53600000002</v>
      </c>
      <c r="K3548" s="93">
        <v>0</v>
      </c>
      <c r="L3548" s="93">
        <f t="shared" si="463"/>
        <v>-369749.53600000002</v>
      </c>
      <c r="M3548" s="95" t="e">
        <f t="shared" ca="1" si="464"/>
        <v>#DIV/0!</v>
      </c>
      <c r="N3548" s="95">
        <f>IF(P3548="Hedge Fund",IF(A3548=Summary!$AD$3,M3548-E3548,M3548),IF(A3548=Summary!$AD$3,L3548-D3548,L3548))</f>
        <v>-369749.53600000002</v>
      </c>
      <c r="O3548" s="95">
        <f t="shared" si="465"/>
        <v>-369749.53600000002</v>
      </c>
      <c r="P3548" s="95" t="s">
        <v>155</v>
      </c>
      <c r="Q3548" s="95">
        <v>0</v>
      </c>
      <c r="R3548" s="95">
        <v>0</v>
      </c>
      <c r="S3548" s="95"/>
      <c r="T3548" s="95"/>
      <c r="U3548" s="95"/>
      <c r="V3548" s="95"/>
      <c r="W3548" s="95"/>
      <c r="X3548" s="95"/>
      <c r="Y3548" s="95"/>
      <c r="Z3548" s="95"/>
      <c r="AA3548" s="95"/>
      <c r="AB3548" s="95"/>
      <c r="AC3548" s="355"/>
      <c r="AD3548" s="355"/>
      <c r="AE3548" s="355"/>
      <c r="AF3548" s="94">
        <f t="shared" si="466"/>
        <v>43496</v>
      </c>
      <c r="AG3548" s="185">
        <f t="shared" si="461"/>
        <v>0</v>
      </c>
      <c r="AH3548" s="339" t="str">
        <f>VLOOKUP(B3548,'MF PF'!A:B,2)</f>
        <v>FdMgt1</v>
      </c>
      <c r="AI3548" s="358">
        <f t="shared" si="467"/>
        <v>0</v>
      </c>
      <c r="AJ3548" s="94">
        <f t="shared" si="468"/>
        <v>43496</v>
      </c>
    </row>
    <row r="3549" spans="1:36" ht="12.75" customHeight="1">
      <c r="A3549" s="97">
        <v>41089</v>
      </c>
      <c r="B3549" s="94" t="s">
        <v>189</v>
      </c>
      <c r="C3549" s="96" t="s">
        <v>298</v>
      </c>
      <c r="D3549" s="98">
        <v>4029878.06</v>
      </c>
      <c r="E3549" s="9">
        <f t="shared" ref="E3549:E3580" si="469">D3549/K3549</f>
        <v>4138951.2565498538</v>
      </c>
      <c r="F3549" s="98">
        <v>20</v>
      </c>
      <c r="G3549" s="98">
        <v>4000000</v>
      </c>
      <c r="H3549" s="98">
        <v>0</v>
      </c>
      <c r="I3549" s="98">
        <v>0</v>
      </c>
      <c r="J3549" s="98"/>
      <c r="K3549" s="93">
        <v>0.97364714156098209</v>
      </c>
      <c r="L3549" s="93">
        <f t="shared" si="463"/>
        <v>4000000</v>
      </c>
      <c r="M3549" s="95">
        <f t="shared" ca="1" si="464"/>
        <v>4138951.2565498538</v>
      </c>
      <c r="N3549" s="95">
        <f>IF(P3549="Hedge Fund",IF(A3549=Summary!$AD$3,M3549-E3549,M3549),IF(A3549=Summary!$AD$3,L3549-D3549,L3549))</f>
        <v>4000000</v>
      </c>
      <c r="O3549" s="95">
        <f t="shared" si="465"/>
        <v>4000000</v>
      </c>
      <c r="P3549" s="107" t="s">
        <v>155</v>
      </c>
      <c r="Q3549" s="107">
        <v>0</v>
      </c>
      <c r="R3549" s="107">
        <v>0</v>
      </c>
      <c r="S3549" s="107">
        <v>6.8459550000000014E-4</v>
      </c>
      <c r="T3549" s="107">
        <v>1.0984095000000002E-3</v>
      </c>
      <c r="U3549" s="107" t="s">
        <v>0</v>
      </c>
      <c r="V3549" s="107">
        <v>2.0149390299999999</v>
      </c>
      <c r="W3549" s="107" t="s">
        <v>15</v>
      </c>
      <c r="X3549" s="107">
        <v>2.0149390299999999</v>
      </c>
      <c r="Y3549" s="107"/>
      <c r="Z3549" s="107"/>
      <c r="AA3549" s="107"/>
      <c r="AB3549" s="107"/>
      <c r="AC3549" s="355"/>
      <c r="AD3549" s="355"/>
      <c r="AE3549" s="355"/>
      <c r="AF3549" s="94">
        <f t="shared" si="466"/>
        <v>41089</v>
      </c>
      <c r="AG3549" s="185">
        <f t="shared" si="461"/>
        <v>7.4695149999999266E-3</v>
      </c>
      <c r="AH3549" s="339" t="str">
        <f>VLOOKUP(B3549,'MF PF'!A:B,2)</f>
        <v>FdMgt1</v>
      </c>
      <c r="AI3549" s="358">
        <f t="shared" si="467"/>
        <v>0</v>
      </c>
      <c r="AJ3549" s="94">
        <f t="shared" si="468"/>
        <v>41090</v>
      </c>
    </row>
    <row r="3550" spans="1:36" ht="12.75" customHeight="1">
      <c r="A3550" s="97">
        <v>41121</v>
      </c>
      <c r="B3550" s="94" t="s">
        <v>189</v>
      </c>
      <c r="C3550" s="96" t="s">
        <v>298</v>
      </c>
      <c r="D3550" s="98">
        <v>4010930.6934421007</v>
      </c>
      <c r="E3550" s="9">
        <f t="shared" si="469"/>
        <v>4119491.058138012</v>
      </c>
      <c r="F3550" s="98">
        <v>20</v>
      </c>
      <c r="G3550" s="98">
        <v>0</v>
      </c>
      <c r="H3550" s="98">
        <v>0</v>
      </c>
      <c r="I3550" s="98">
        <v>0</v>
      </c>
      <c r="J3550" s="98"/>
      <c r="K3550" s="93">
        <v>0.97364714156098209</v>
      </c>
      <c r="L3550" s="93">
        <f t="shared" si="463"/>
        <v>0</v>
      </c>
      <c r="M3550" s="95">
        <f t="shared" ca="1" si="464"/>
        <v>0</v>
      </c>
      <c r="N3550" s="95">
        <f>IF(P3550="Hedge Fund",IF(A3550=Summary!$AD$3,M3550-E3550,M3550),IF(A3550=Summary!$AD$3,L3550-D3550,L3550))</f>
        <v>0</v>
      </c>
      <c r="O3550" s="95">
        <f t="shared" si="465"/>
        <v>0</v>
      </c>
      <c r="P3550" s="107" t="s">
        <v>155</v>
      </c>
      <c r="Q3550" s="107">
        <v>0</v>
      </c>
      <c r="R3550" s="107">
        <v>0</v>
      </c>
      <c r="S3550" s="107">
        <v>7.5138400000000012E-4</v>
      </c>
      <c r="T3550" s="107">
        <v>2.2401649999999999E-4</v>
      </c>
      <c r="U3550" s="107" t="s">
        <v>0</v>
      </c>
      <c r="V3550" s="107">
        <v>2.0054653467210501</v>
      </c>
      <c r="W3550" s="107" t="s">
        <v>15</v>
      </c>
      <c r="X3550" s="107">
        <v>2.0054653467210501</v>
      </c>
      <c r="Y3550" s="107"/>
      <c r="Z3550" s="107"/>
      <c r="AA3550" s="107"/>
      <c r="AB3550" s="107"/>
      <c r="AC3550" s="355"/>
      <c r="AD3550" s="355"/>
      <c r="AE3550" s="355"/>
      <c r="AF3550" s="94">
        <f t="shared" si="466"/>
        <v>41121</v>
      </c>
      <c r="AG3550" s="185">
        <f t="shared" si="461"/>
        <v>-4.7017220560513495E-3</v>
      </c>
      <c r="AH3550" s="339" t="str">
        <f>VLOOKUP(B3550,'MF PF'!A:B,2)</f>
        <v>FdMgt1</v>
      </c>
      <c r="AI3550" s="358">
        <f t="shared" si="467"/>
        <v>0</v>
      </c>
      <c r="AJ3550" s="94">
        <f t="shared" si="468"/>
        <v>41121</v>
      </c>
    </row>
    <row r="3551" spans="1:36" ht="12.75" customHeight="1">
      <c r="A3551" s="97">
        <v>41152</v>
      </c>
      <c r="B3551" s="94" t="s">
        <v>189</v>
      </c>
      <c r="C3551" s="96" t="s">
        <v>298</v>
      </c>
      <c r="D3551" s="98">
        <v>6354230</v>
      </c>
      <c r="E3551" s="9">
        <f t="shared" si="469"/>
        <v>4170388.8988385224</v>
      </c>
      <c r="F3551" s="98">
        <v>20</v>
      </c>
      <c r="G3551" s="98">
        <v>2300000</v>
      </c>
      <c r="H3551" s="98">
        <v>0</v>
      </c>
      <c r="I3551" s="98">
        <v>0</v>
      </c>
      <c r="J3551" s="98"/>
      <c r="K3551" s="93">
        <v>1.5236540653965605</v>
      </c>
      <c r="L3551" s="93">
        <f t="shared" si="463"/>
        <v>2300000</v>
      </c>
      <c r="M3551" s="95">
        <f t="shared" ca="1" si="464"/>
        <v>0</v>
      </c>
      <c r="N3551" s="95">
        <f>IF(P3551="Hedge Fund",IF(A3551=Summary!$AD$3,M3551-E3551,M3551),IF(A3551=Summary!$AD$3,L3551-D3551,L3551))</f>
        <v>2300000</v>
      </c>
      <c r="O3551" s="95">
        <f t="shared" si="465"/>
        <v>2300000</v>
      </c>
      <c r="P3551" s="107" t="s">
        <v>155</v>
      </c>
      <c r="Q3551" s="107">
        <v>0</v>
      </c>
      <c r="R3551" s="107">
        <v>0</v>
      </c>
      <c r="S3551" s="107">
        <v>2.810686122916667E-3</v>
      </c>
      <c r="T3551" s="107">
        <v>1.8767730000000004E-3</v>
      </c>
      <c r="U3551" s="107" t="s">
        <v>0</v>
      </c>
      <c r="V3551" s="107">
        <v>3.1771150000000001</v>
      </c>
      <c r="W3551" s="107" t="s">
        <v>15</v>
      </c>
      <c r="X3551" s="107">
        <v>3.1771150000000001</v>
      </c>
      <c r="Y3551" s="107"/>
      <c r="Z3551" s="107"/>
      <c r="AA3551" s="107"/>
      <c r="AB3551" s="107"/>
      <c r="AC3551" s="355"/>
      <c r="AD3551" s="355"/>
      <c r="AE3551" s="355"/>
      <c r="AF3551" s="94">
        <f t="shared" si="466"/>
        <v>41152</v>
      </c>
      <c r="AG3551" s="185">
        <f t="shared" si="461"/>
        <v>1.079532653822568E-2</v>
      </c>
      <c r="AH3551" s="339" t="str">
        <f>VLOOKUP(B3551,'MF PF'!A:B,2)</f>
        <v>FdMgt1</v>
      </c>
      <c r="AI3551" s="358">
        <f t="shared" si="467"/>
        <v>0</v>
      </c>
      <c r="AJ3551" s="94">
        <f t="shared" si="468"/>
        <v>41152</v>
      </c>
    </row>
    <row r="3552" spans="1:36" ht="12.75" customHeight="1">
      <c r="A3552" s="97">
        <v>41180</v>
      </c>
      <c r="B3552" s="94" t="s">
        <v>189</v>
      </c>
      <c r="C3552" s="96" t="s">
        <v>298</v>
      </c>
      <c r="D3552" s="98">
        <v>7483423.5</v>
      </c>
      <c r="E3552" s="9">
        <f t="shared" si="469"/>
        <v>4133646.6856795652</v>
      </c>
      <c r="F3552" s="98">
        <v>20</v>
      </c>
      <c r="G3552" s="98">
        <v>1220000</v>
      </c>
      <c r="H3552" s="98">
        <v>0</v>
      </c>
      <c r="I3552" s="98">
        <v>0</v>
      </c>
      <c r="J3552" s="98"/>
      <c r="K3552" s="93">
        <v>1.8103684395488524</v>
      </c>
      <c r="L3552" s="93">
        <f t="shared" si="463"/>
        <v>1220000</v>
      </c>
      <c r="M3552" s="95">
        <f t="shared" ca="1" si="464"/>
        <v>0</v>
      </c>
      <c r="N3552" s="95">
        <f>IF(P3552="Hedge Fund",IF(A3552=Summary!$AD$3,M3552-E3552,M3552),IF(A3552=Summary!$AD$3,L3552-D3552,L3552))</f>
        <v>1220000</v>
      </c>
      <c r="O3552" s="95">
        <f t="shared" si="465"/>
        <v>1220000</v>
      </c>
      <c r="P3552" s="107" t="s">
        <v>155</v>
      </c>
      <c r="Q3552" s="107">
        <v>4.44350107782438E-2</v>
      </c>
      <c r="R3552" s="107">
        <v>0</v>
      </c>
      <c r="S3552" s="107">
        <v>2.9385898500000002E-3</v>
      </c>
      <c r="T3552" s="107">
        <v>0</v>
      </c>
      <c r="U3552" s="107" t="s">
        <v>0</v>
      </c>
      <c r="V3552" s="107">
        <v>3.7417117499999999</v>
      </c>
      <c r="W3552" s="107" t="s">
        <v>15</v>
      </c>
      <c r="X3552" s="107">
        <v>3.7417117499999999</v>
      </c>
      <c r="Y3552" s="107"/>
      <c r="Z3552" s="107"/>
      <c r="AA3552" s="107"/>
      <c r="AB3552" s="107"/>
      <c r="AC3552" s="355"/>
      <c r="AD3552" s="355"/>
      <c r="AE3552" s="355"/>
      <c r="AF3552" s="94">
        <f t="shared" si="466"/>
        <v>41180</v>
      </c>
      <c r="AG3552" s="185">
        <f t="shared" si="461"/>
        <v>-1.4290716577775697E-2</v>
      </c>
      <c r="AH3552" s="339" t="str">
        <f>VLOOKUP(B3552,'MF PF'!A:B,2)</f>
        <v>FdMgt1</v>
      </c>
      <c r="AI3552" s="358">
        <f t="shared" si="467"/>
        <v>0</v>
      </c>
      <c r="AJ3552" s="94">
        <f t="shared" si="468"/>
        <v>41182</v>
      </c>
    </row>
    <row r="3553" spans="1:36" ht="12.75" customHeight="1">
      <c r="A3553" s="97">
        <v>41213</v>
      </c>
      <c r="B3553" s="94" t="s">
        <v>189</v>
      </c>
      <c r="C3553" s="96" t="s">
        <v>298</v>
      </c>
      <c r="D3553" s="98">
        <v>7518596.9400000004</v>
      </c>
      <c r="E3553" s="9">
        <f t="shared" si="469"/>
        <v>4153075.5705582509</v>
      </c>
      <c r="F3553" s="98">
        <v>20</v>
      </c>
      <c r="G3553" s="98">
        <v>0</v>
      </c>
      <c r="H3553" s="98">
        <v>-9.3132257461547852E-10</v>
      </c>
      <c r="I3553" s="98">
        <v>0</v>
      </c>
      <c r="J3553" s="98"/>
      <c r="K3553" s="93">
        <v>1.8103684395488524</v>
      </c>
      <c r="L3553" s="93">
        <f t="shared" si="463"/>
        <v>-9.3132257461547852E-10</v>
      </c>
      <c r="M3553" s="95">
        <f t="shared" ca="1" si="464"/>
        <v>0</v>
      </c>
      <c r="N3553" s="95">
        <f>IF(P3553="Hedge Fund",IF(A3553=Summary!$AD$3,M3553-E3553,M3553),IF(A3553=Summary!$AD$3,L3553-D3553,L3553))</f>
        <v>-9.3132257461547852E-10</v>
      </c>
      <c r="O3553" s="95">
        <f t="shared" si="465"/>
        <v>-9.3132257461547852E-10</v>
      </c>
      <c r="P3553" s="107" t="s">
        <v>155</v>
      </c>
      <c r="Q3553" s="107">
        <v>5.2980052493631101E-2</v>
      </c>
      <c r="R3553" s="107">
        <v>7.4905757500000114E-2</v>
      </c>
      <c r="S3553" s="107">
        <v>3.4935929770833329E-3</v>
      </c>
      <c r="T3553" s="107">
        <v>2.6837677770833335E-3</v>
      </c>
      <c r="U3553" s="107" t="s">
        <v>0</v>
      </c>
      <c r="V3553" s="107">
        <v>3.7592984700000001</v>
      </c>
      <c r="W3553" s="107" t="s">
        <v>15</v>
      </c>
      <c r="X3553" s="107">
        <v>3.7592984700000001</v>
      </c>
      <c r="Y3553" s="107"/>
      <c r="Z3553" s="107"/>
      <c r="AA3553" s="107"/>
      <c r="AB3553" s="107"/>
      <c r="AC3553" s="355"/>
      <c r="AD3553" s="355"/>
      <c r="AE3553" s="355"/>
      <c r="AF3553" s="94">
        <f t="shared" si="466"/>
        <v>41213</v>
      </c>
      <c r="AG3553" s="185">
        <f t="shared" si="461"/>
        <v>4.7001803385844365E-3</v>
      </c>
      <c r="AH3553" s="339" t="str">
        <f>VLOOKUP(B3553,'MF PF'!A:B,2)</f>
        <v>FdMgt1</v>
      </c>
      <c r="AI3553" s="358">
        <f t="shared" si="467"/>
        <v>0</v>
      </c>
      <c r="AJ3553" s="94">
        <f t="shared" si="468"/>
        <v>41213</v>
      </c>
    </row>
    <row r="3554" spans="1:36" ht="12.75" customHeight="1">
      <c r="A3554" s="97">
        <v>41243</v>
      </c>
      <c r="B3554" s="94" t="s">
        <v>189</v>
      </c>
      <c r="C3554" s="96" t="s">
        <v>298</v>
      </c>
      <c r="D3554" s="98">
        <v>12245659.699999999</v>
      </c>
      <c r="E3554" s="9">
        <f t="shared" si="469"/>
        <v>4179855.2652301537</v>
      </c>
      <c r="F3554" s="98">
        <v>20</v>
      </c>
      <c r="G3554" s="98">
        <v>4760000</v>
      </c>
      <c r="H3554" s="98">
        <v>0</v>
      </c>
      <c r="I3554" s="98">
        <v>0</v>
      </c>
      <c r="J3554" s="98"/>
      <c r="K3554" s="93">
        <v>2.9296851022246391</v>
      </c>
      <c r="L3554" s="93">
        <f t="shared" si="463"/>
        <v>4760000</v>
      </c>
      <c r="M3554" s="95">
        <f t="shared" ca="1" si="464"/>
        <v>0</v>
      </c>
      <c r="N3554" s="95">
        <f>IF(P3554="Hedge Fund",IF(A3554=Summary!$AD$3,M3554-E3554,M3554),IF(A3554=Summary!$AD$3,L3554-D3554,L3554))</f>
        <v>4760000</v>
      </c>
      <c r="O3554" s="95">
        <f t="shared" si="465"/>
        <v>4760000</v>
      </c>
      <c r="P3554" s="107" t="s">
        <v>155</v>
      </c>
      <c r="Q3554" s="107">
        <v>8.6749536822355797E-2</v>
      </c>
      <c r="R3554" s="107">
        <v>0.10311649599999971</v>
      </c>
      <c r="S3554" s="107">
        <v>4.9409078374999995E-3</v>
      </c>
      <c r="T3554" s="107">
        <v>3.7053753874999999E-3</v>
      </c>
      <c r="U3554" s="107" t="s">
        <v>0</v>
      </c>
      <c r="V3554" s="107">
        <v>6.1228298499999996</v>
      </c>
      <c r="W3554" s="107" t="s">
        <v>15</v>
      </c>
      <c r="X3554" s="107">
        <v>6.1228298499999996</v>
      </c>
      <c r="Y3554" s="107"/>
      <c r="Z3554" s="107"/>
      <c r="AA3554" s="107"/>
      <c r="AB3554" s="107"/>
      <c r="AC3554" s="355"/>
      <c r="AD3554" s="355"/>
      <c r="AE3554" s="355"/>
      <c r="AF3554" s="94">
        <f t="shared" si="466"/>
        <v>41243</v>
      </c>
      <c r="AG3554" s="185">
        <f t="shared" ref="AG3554:AG3617" si="470">IF(C3554&lt;&gt;C3553,D3554/G3554-1,(D3554-G3554-I3554-H3554)/(D3553)-1)</f>
        <v>-4.3807694790460872E-3</v>
      </c>
      <c r="AH3554" s="339" t="str">
        <f>VLOOKUP(B3554,'MF PF'!A:B,2)</f>
        <v>FdMgt1</v>
      </c>
      <c r="AI3554" s="358">
        <f t="shared" si="467"/>
        <v>0</v>
      </c>
      <c r="AJ3554" s="94">
        <f t="shared" si="468"/>
        <v>41243</v>
      </c>
    </row>
    <row r="3555" spans="1:36" ht="12.75" customHeight="1">
      <c r="A3555" s="97">
        <v>41274</v>
      </c>
      <c r="B3555" s="94" t="s">
        <v>189</v>
      </c>
      <c r="C3555" s="96" t="s">
        <v>298</v>
      </c>
      <c r="D3555" s="98">
        <v>13875515.779999997</v>
      </c>
      <c r="E3555" s="9">
        <f t="shared" si="469"/>
        <v>4205467.1665304592</v>
      </c>
      <c r="F3555" s="98">
        <v>20</v>
      </c>
      <c r="G3555" s="98">
        <v>1580000</v>
      </c>
      <c r="H3555" s="98">
        <v>0</v>
      </c>
      <c r="I3555" s="98">
        <v>0</v>
      </c>
      <c r="J3555" s="98"/>
      <c r="K3555" s="93">
        <v>3.2993993843132055</v>
      </c>
      <c r="L3555" s="93">
        <f t="shared" si="463"/>
        <v>1580000</v>
      </c>
      <c r="M3555" s="95">
        <f t="shared" ca="1" si="464"/>
        <v>0</v>
      </c>
      <c r="N3555" s="95">
        <f>IF(P3555="Hedge Fund",IF(A3555=Summary!$AD$3,M3555-E3555,M3555),IF(A3555=Summary!$AD$3,L3555-D3555,L3555))</f>
        <v>1580000</v>
      </c>
      <c r="O3555" s="95">
        <f t="shared" si="465"/>
        <v>1580000</v>
      </c>
      <c r="P3555" s="107" t="s">
        <v>155</v>
      </c>
      <c r="Q3555" s="107">
        <v>0.103769811635849</v>
      </c>
      <c r="R3555" s="107">
        <v>0.25944480800000036</v>
      </c>
      <c r="S3555" s="107">
        <v>5.7562168500000007E-3</v>
      </c>
      <c r="T3555" s="107">
        <v>1.0330484822916668E-2</v>
      </c>
      <c r="U3555" s="107" t="s">
        <v>0</v>
      </c>
      <c r="V3555" s="107">
        <v>6.9377578899999994</v>
      </c>
      <c r="W3555" s="107" t="s">
        <v>15</v>
      </c>
      <c r="X3555" s="107">
        <v>6.9377578899999994</v>
      </c>
      <c r="Y3555" s="107"/>
      <c r="Z3555" s="107"/>
      <c r="AA3555" s="107"/>
      <c r="AB3555" s="107"/>
      <c r="AC3555" s="355"/>
      <c r="AD3555" s="355"/>
      <c r="AE3555" s="355"/>
      <c r="AF3555" s="94">
        <f t="shared" si="466"/>
        <v>41274</v>
      </c>
      <c r="AG3555" s="185">
        <f t="shared" si="470"/>
        <v>4.071326594188962E-3</v>
      </c>
      <c r="AH3555" s="339" t="str">
        <f>VLOOKUP(B3555,'MF PF'!A:B,2)</f>
        <v>FdMgt1</v>
      </c>
      <c r="AI3555" s="358">
        <f t="shared" si="467"/>
        <v>0</v>
      </c>
      <c r="AJ3555" s="94">
        <f t="shared" si="468"/>
        <v>41274</v>
      </c>
    </row>
    <row r="3556" spans="1:36" ht="12.75" customHeight="1">
      <c r="A3556" s="97">
        <v>41305</v>
      </c>
      <c r="B3556" s="94" t="s">
        <v>189</v>
      </c>
      <c r="C3556" s="96" t="s">
        <v>298</v>
      </c>
      <c r="D3556" s="98">
        <v>13703525.24</v>
      </c>
      <c r="E3556" s="9">
        <f t="shared" si="469"/>
        <v>4153339.3335625208</v>
      </c>
      <c r="F3556" s="98">
        <v>20</v>
      </c>
      <c r="G3556" s="98">
        <v>0</v>
      </c>
      <c r="H3556" s="98">
        <v>-1.862645149230957E-9</v>
      </c>
      <c r="I3556" s="98">
        <v>0</v>
      </c>
      <c r="J3556" s="98"/>
      <c r="K3556" s="93">
        <v>3.2993993843132055</v>
      </c>
      <c r="L3556" s="93">
        <f t="shared" si="463"/>
        <v>-1.862645149230957E-9</v>
      </c>
      <c r="M3556" s="95">
        <f t="shared" ca="1" si="464"/>
        <v>0</v>
      </c>
      <c r="N3556" s="95">
        <f>IF(P3556="Hedge Fund",IF(A3556=Summary!$AD$3,M3556-E3556,M3556),IF(A3556=Summary!$AD$3,L3556-D3556,L3556))</f>
        <v>-1.862645149230957E-9</v>
      </c>
      <c r="O3556" s="95">
        <f t="shared" si="465"/>
        <v>-1.862645149230957E-9</v>
      </c>
      <c r="P3556" s="107" t="s">
        <v>155</v>
      </c>
      <c r="Q3556" s="107">
        <v>0.10308979524162801</v>
      </c>
      <c r="R3556" s="107">
        <v>0.255766039</v>
      </c>
      <c r="S3556" s="107">
        <v>5.7208678151277797E-3</v>
      </c>
      <c r="T3556" s="107">
        <v>9.9390453983333356E-3</v>
      </c>
      <c r="U3556" s="107" t="s">
        <v>0</v>
      </c>
      <c r="V3556" s="107">
        <v>6.8517626199999997</v>
      </c>
      <c r="W3556" s="107" t="s">
        <v>15</v>
      </c>
      <c r="X3556" s="107">
        <v>6.8517626199999997</v>
      </c>
      <c r="Y3556" s="107"/>
      <c r="Z3556" s="107"/>
      <c r="AA3556" s="107"/>
      <c r="AB3556" s="107"/>
      <c r="AC3556" s="355"/>
      <c r="AD3556" s="355"/>
      <c r="AE3556" s="355"/>
      <c r="AF3556" s="94">
        <f t="shared" si="466"/>
        <v>41305</v>
      </c>
      <c r="AG3556" s="185">
        <f t="shared" si="470"/>
        <v>-1.2395253821692154E-2</v>
      </c>
      <c r="AH3556" s="339" t="str">
        <f>VLOOKUP(B3556,'MF PF'!A:B,2)</f>
        <v>FdMgt1</v>
      </c>
      <c r="AI3556" s="358">
        <f t="shared" si="467"/>
        <v>0</v>
      </c>
      <c r="AJ3556" s="94">
        <f t="shared" si="468"/>
        <v>41305</v>
      </c>
    </row>
    <row r="3557" spans="1:36" ht="12.75" customHeight="1">
      <c r="A3557" s="97">
        <v>41333</v>
      </c>
      <c r="B3557" s="94" t="s">
        <v>189</v>
      </c>
      <c r="C3557" s="96" t="s">
        <v>298</v>
      </c>
      <c r="D3557" s="98">
        <v>15562001.039999999</v>
      </c>
      <c r="E3557" s="9">
        <f t="shared" si="469"/>
        <v>4221422.2649204005</v>
      </c>
      <c r="F3557" s="98">
        <v>20</v>
      </c>
      <c r="G3557" s="98">
        <v>1660000</v>
      </c>
      <c r="H3557" s="98">
        <v>0</v>
      </c>
      <c r="I3557" s="98">
        <v>0</v>
      </c>
      <c r="J3557" s="98"/>
      <c r="K3557" s="93">
        <v>3.6864355336633059</v>
      </c>
      <c r="L3557" s="93">
        <f t="shared" si="463"/>
        <v>1660000</v>
      </c>
      <c r="M3557" s="95">
        <f t="shared" ca="1" si="464"/>
        <v>0</v>
      </c>
      <c r="N3557" s="95">
        <f>IF(P3557="Hedge Fund",IF(A3557=Summary!$AD$3,M3557-E3557,M3557),IF(A3557=Summary!$AD$3,L3557-D3557,L3557))</f>
        <v>1660000</v>
      </c>
      <c r="O3557" s="95">
        <f t="shared" si="465"/>
        <v>1660000</v>
      </c>
      <c r="P3557" s="107" t="s">
        <v>155</v>
      </c>
      <c r="Q3557" s="107">
        <v>0.107276674580859</v>
      </c>
      <c r="R3557" s="107">
        <v>0.338444199</v>
      </c>
      <c r="S3557" s="107">
        <v>5.8240889251275256E-3</v>
      </c>
      <c r="T3557" s="107">
        <v>1.334926036124998E-2</v>
      </c>
      <c r="U3557" s="107" t="s">
        <v>0</v>
      </c>
      <c r="V3557" s="107">
        <v>7.7810005199999992</v>
      </c>
      <c r="W3557" s="107" t="s">
        <v>15</v>
      </c>
      <c r="X3557" s="107">
        <v>7.7810005199999992</v>
      </c>
      <c r="Y3557" s="107"/>
      <c r="Z3557" s="107"/>
      <c r="AA3557" s="107"/>
      <c r="AB3557" s="107"/>
      <c r="AC3557" s="355"/>
      <c r="AD3557" s="355"/>
      <c r="AE3557" s="355"/>
      <c r="AF3557" s="94">
        <f t="shared" si="466"/>
        <v>41333</v>
      </c>
      <c r="AG3557" s="185">
        <f t="shared" si="470"/>
        <v>1.448355780895394E-2</v>
      </c>
      <c r="AH3557" s="339" t="str">
        <f>VLOOKUP(B3557,'MF PF'!A:B,2)</f>
        <v>FdMgt1</v>
      </c>
      <c r="AI3557" s="358">
        <f t="shared" si="467"/>
        <v>0</v>
      </c>
      <c r="AJ3557" s="94">
        <f t="shared" si="468"/>
        <v>41333</v>
      </c>
    </row>
    <row r="3558" spans="1:36" ht="12.75" customHeight="1">
      <c r="A3558" s="97">
        <v>41361</v>
      </c>
      <c r="B3558" s="94" t="s">
        <v>189</v>
      </c>
      <c r="C3558" s="96" t="s">
        <v>298</v>
      </c>
      <c r="D3558" s="98">
        <v>16739315.179999996</v>
      </c>
      <c r="E3558" s="9">
        <f t="shared" si="469"/>
        <v>4231037.5286431285</v>
      </c>
      <c r="F3558" s="98">
        <v>20</v>
      </c>
      <c r="G3558" s="98">
        <v>1180000</v>
      </c>
      <c r="H3558" s="98">
        <v>0</v>
      </c>
      <c r="I3558" s="98">
        <v>0</v>
      </c>
      <c r="J3558" s="98"/>
      <c r="K3558" s="93">
        <v>3.9563145130901747</v>
      </c>
      <c r="L3558" s="93">
        <f t="shared" si="463"/>
        <v>1180000</v>
      </c>
      <c r="M3558" s="95">
        <f t="shared" ca="1" si="464"/>
        <v>0</v>
      </c>
      <c r="N3558" s="95">
        <f>IF(P3558="Hedge Fund",IF(A3558=Summary!$AD$3,M3558-E3558,M3558),IF(A3558=Summary!$AD$3,L3558-D3558,L3558))</f>
        <v>1180000</v>
      </c>
      <c r="O3558" s="95">
        <f t="shared" si="465"/>
        <v>1180000</v>
      </c>
      <c r="P3558" s="107" t="s">
        <v>155</v>
      </c>
      <c r="Q3558" s="107">
        <v>0.11615643422216899</v>
      </c>
      <c r="R3558" s="107">
        <v>0.2622608974999992</v>
      </c>
      <c r="S3558" s="107">
        <v>6.2295760000000006E-3</v>
      </c>
      <c r="T3558" s="107">
        <v>9.7893083583333353E-3</v>
      </c>
      <c r="U3558" s="107" t="s">
        <v>0</v>
      </c>
      <c r="V3558" s="107">
        <v>8.3696575899999992</v>
      </c>
      <c r="W3558" s="107" t="s">
        <v>15</v>
      </c>
      <c r="X3558" s="107">
        <v>8.3696575899999992</v>
      </c>
      <c r="Y3558" s="107"/>
      <c r="Z3558" s="107"/>
      <c r="AA3558" s="107"/>
      <c r="AB3558" s="107"/>
      <c r="AC3558" s="355"/>
      <c r="AD3558" s="355"/>
      <c r="AE3558" s="355"/>
      <c r="AF3558" s="94">
        <f t="shared" si="466"/>
        <v>41361</v>
      </c>
      <c r="AG3558" s="185">
        <f t="shared" si="470"/>
        <v>-1.7259091508214919E-4</v>
      </c>
      <c r="AH3558" s="339" t="str">
        <f>VLOOKUP(B3558,'MF PF'!A:B,2)</f>
        <v>FdMgt1</v>
      </c>
      <c r="AI3558" s="358">
        <f t="shared" si="467"/>
        <v>0</v>
      </c>
      <c r="AJ3558" s="94">
        <f t="shared" si="468"/>
        <v>41364</v>
      </c>
    </row>
    <row r="3559" spans="1:36" ht="12.75" customHeight="1">
      <c r="A3559" s="97">
        <v>41394</v>
      </c>
      <c r="B3559" s="94" t="s">
        <v>189</v>
      </c>
      <c r="C3559" s="96" t="s">
        <v>298</v>
      </c>
      <c r="D3559" s="98">
        <v>17189065.48</v>
      </c>
      <c r="E3559" s="9">
        <f t="shared" si="469"/>
        <v>4187066.9176211073</v>
      </c>
      <c r="F3559" s="98">
        <v>20</v>
      </c>
      <c r="G3559" s="98">
        <v>648960</v>
      </c>
      <c r="H3559" s="98">
        <v>0</v>
      </c>
      <c r="I3559" s="98">
        <v>0</v>
      </c>
      <c r="J3559" s="98"/>
      <c r="K3559" s="93">
        <v>4.1052760364685099</v>
      </c>
      <c r="L3559" s="93">
        <f t="shared" si="463"/>
        <v>648960</v>
      </c>
      <c r="M3559" s="95">
        <f t="shared" ca="1" si="464"/>
        <v>0</v>
      </c>
      <c r="N3559" s="95">
        <f>IF(P3559="Hedge Fund",IF(A3559=Summary!$AD$3,M3559-E3559,M3559),IF(A3559=Summary!$AD$3,L3559-D3559,L3559))</f>
        <v>648960</v>
      </c>
      <c r="O3559" s="95">
        <f t="shared" si="465"/>
        <v>648960</v>
      </c>
      <c r="P3559" s="107" t="s">
        <v>155</v>
      </c>
      <c r="Q3559" s="107">
        <v>0.14087869872832201</v>
      </c>
      <c r="R3559" s="107">
        <v>7.0979914500001101E-2</v>
      </c>
      <c r="S3559" s="107">
        <v>7.513362983333334E-3</v>
      </c>
      <c r="T3559" s="107">
        <v>1.4195982000000003E-3</v>
      </c>
      <c r="U3559" s="107" t="s">
        <v>0</v>
      </c>
      <c r="V3559" s="107">
        <v>8.59453274</v>
      </c>
      <c r="W3559" s="107" t="s">
        <v>15</v>
      </c>
      <c r="X3559" s="107">
        <v>8.59453274</v>
      </c>
      <c r="Y3559" s="107"/>
      <c r="Z3559" s="107"/>
      <c r="AA3559" s="107"/>
      <c r="AB3559" s="107"/>
      <c r="AC3559" s="355"/>
      <c r="AD3559" s="355"/>
      <c r="AE3559" s="355"/>
      <c r="AF3559" s="94">
        <f t="shared" si="466"/>
        <v>41394</v>
      </c>
      <c r="AG3559" s="185">
        <f t="shared" si="470"/>
        <v>-1.1900707875911798E-2</v>
      </c>
      <c r="AH3559" s="339" t="str">
        <f>VLOOKUP(B3559,'MF PF'!A:B,2)</f>
        <v>FdMgt1</v>
      </c>
      <c r="AI3559" s="358">
        <f t="shared" si="467"/>
        <v>0</v>
      </c>
      <c r="AJ3559" s="94">
        <f t="shared" si="468"/>
        <v>41394</v>
      </c>
    </row>
    <row r="3560" spans="1:36" ht="12.75" customHeight="1">
      <c r="A3560" s="97">
        <v>41425</v>
      </c>
      <c r="B3560" s="94" t="s">
        <v>189</v>
      </c>
      <c r="C3560" s="96" t="s">
        <v>298</v>
      </c>
      <c r="D3560" s="98">
        <v>17284523.859999999</v>
      </c>
      <c r="E3560" s="9">
        <f t="shared" si="469"/>
        <v>4210319.5269833067</v>
      </c>
      <c r="F3560" s="98">
        <v>20</v>
      </c>
      <c r="G3560" s="98">
        <v>0</v>
      </c>
      <c r="H3560" s="98">
        <v>0</v>
      </c>
      <c r="I3560" s="98">
        <v>0</v>
      </c>
      <c r="J3560" s="98"/>
      <c r="K3560" s="93">
        <v>4.1052760364685099</v>
      </c>
      <c r="L3560" s="93">
        <f t="shared" si="463"/>
        <v>0</v>
      </c>
      <c r="M3560" s="95">
        <f t="shared" ca="1" si="464"/>
        <v>0</v>
      </c>
      <c r="N3560" s="95">
        <f>IF(P3560="Hedge Fund",IF(A3560=Summary!$AD$3,M3560-E3560,M3560),IF(A3560=Summary!$AD$3,L3560-D3560,L3560))</f>
        <v>0</v>
      </c>
      <c r="O3560" s="95">
        <f t="shared" si="465"/>
        <v>0</v>
      </c>
      <c r="P3560" s="107" t="s">
        <v>155</v>
      </c>
      <c r="Q3560" s="107">
        <v>0.13342731951925699</v>
      </c>
      <c r="R3560" s="107">
        <v>0.23611917049999909</v>
      </c>
      <c r="S3560" s="107">
        <v>7.1123933583333325E-3</v>
      </c>
      <c r="T3560" s="107">
        <v>8.1409090333333326E-3</v>
      </c>
      <c r="U3560" s="107" t="s">
        <v>0</v>
      </c>
      <c r="V3560" s="107">
        <v>8.6422619300000001</v>
      </c>
      <c r="W3560" s="107" t="s">
        <v>15</v>
      </c>
      <c r="X3560" s="107">
        <v>8.6422619300000001</v>
      </c>
      <c r="Y3560" s="107"/>
      <c r="Z3560" s="107"/>
      <c r="AA3560" s="107"/>
      <c r="AB3560" s="107"/>
      <c r="AC3560" s="355"/>
      <c r="AD3560" s="355"/>
      <c r="AE3560" s="355"/>
      <c r="AF3560" s="94">
        <f t="shared" si="466"/>
        <v>41425</v>
      </c>
      <c r="AG3560" s="185">
        <f t="shared" si="470"/>
        <v>5.5534362883815636E-3</v>
      </c>
      <c r="AH3560" s="339" t="str">
        <f>VLOOKUP(B3560,'MF PF'!A:B,2)</f>
        <v>FdMgt1</v>
      </c>
      <c r="AI3560" s="358">
        <f t="shared" si="467"/>
        <v>0</v>
      </c>
      <c r="AJ3560" s="94">
        <f t="shared" si="468"/>
        <v>41425</v>
      </c>
    </row>
    <row r="3561" spans="1:36" ht="12.75" customHeight="1">
      <c r="A3561" s="97">
        <v>41453</v>
      </c>
      <c r="B3561" s="94" t="s">
        <v>189</v>
      </c>
      <c r="C3561" s="96" t="s">
        <v>298</v>
      </c>
      <c r="D3561" s="98">
        <v>17464276.260000002</v>
      </c>
      <c r="E3561" s="9">
        <f t="shared" si="469"/>
        <v>4254105.2306493213</v>
      </c>
      <c r="F3561" s="98">
        <v>20</v>
      </c>
      <c r="G3561" s="98">
        <v>0</v>
      </c>
      <c r="H3561" s="98">
        <v>0</v>
      </c>
      <c r="I3561" s="98">
        <v>0</v>
      </c>
      <c r="J3561" s="98"/>
      <c r="K3561" s="93">
        <v>4.1052760364685099</v>
      </c>
      <c r="L3561" s="93">
        <f t="shared" si="463"/>
        <v>0</v>
      </c>
      <c r="M3561" s="95">
        <f t="shared" ca="1" si="464"/>
        <v>0</v>
      </c>
      <c r="N3561" s="95">
        <f>IF(P3561="Hedge Fund",IF(A3561=Summary!$AD$3,M3561-E3561,M3561),IF(A3561=Summary!$AD$3,L3561-D3561,L3561))</f>
        <v>0</v>
      </c>
      <c r="O3561" s="95">
        <f t="shared" si="465"/>
        <v>0</v>
      </c>
      <c r="P3561" s="107" t="s">
        <v>155</v>
      </c>
      <c r="Q3561" s="107">
        <v>0.121003450645939</v>
      </c>
      <c r="R3561" s="107">
        <v>0.24113119200000002</v>
      </c>
      <c r="S3561" s="107">
        <v>6.4470436291666671E-3</v>
      </c>
      <c r="T3561" s="107">
        <v>8.254087508333334E-3</v>
      </c>
      <c r="U3561" s="107" t="s">
        <v>0</v>
      </c>
      <c r="V3561" s="107">
        <v>8.7321381300000009</v>
      </c>
      <c r="W3561" s="107" t="s">
        <v>15</v>
      </c>
      <c r="X3561" s="107">
        <v>8.7321381300000009</v>
      </c>
      <c r="Y3561" s="107"/>
      <c r="Z3561" s="107"/>
      <c r="AA3561" s="107"/>
      <c r="AB3561" s="107"/>
      <c r="AC3561" s="355"/>
      <c r="AD3561" s="355"/>
      <c r="AE3561" s="355"/>
      <c r="AF3561" s="94">
        <f t="shared" si="466"/>
        <v>41453</v>
      </c>
      <c r="AG3561" s="185">
        <f t="shared" si="470"/>
        <v>1.0399615370139781E-2</v>
      </c>
      <c r="AH3561" s="339" t="str">
        <f>VLOOKUP(B3561,'MF PF'!A:B,2)</f>
        <v>FdMgt1</v>
      </c>
      <c r="AI3561" s="358">
        <f t="shared" si="467"/>
        <v>0</v>
      </c>
      <c r="AJ3561" s="94">
        <f t="shared" si="468"/>
        <v>41455</v>
      </c>
    </row>
    <row r="3562" spans="1:36" ht="12.75" customHeight="1">
      <c r="A3562" s="97">
        <v>41486</v>
      </c>
      <c r="B3562" s="94" t="s">
        <v>189</v>
      </c>
      <c r="C3562" s="96" t="s">
        <v>298</v>
      </c>
      <c r="D3562" s="98">
        <v>16949422.66</v>
      </c>
      <c r="E3562" s="9">
        <f t="shared" si="469"/>
        <v>4128692.567669685</v>
      </c>
      <c r="F3562" s="98">
        <v>20</v>
      </c>
      <c r="G3562" s="98">
        <v>0</v>
      </c>
      <c r="H3562" s="98">
        <v>0</v>
      </c>
      <c r="I3562" s="98">
        <v>0</v>
      </c>
      <c r="J3562" s="98"/>
      <c r="K3562" s="93">
        <v>4.1052760364685099</v>
      </c>
      <c r="L3562" s="93">
        <f t="shared" si="463"/>
        <v>0</v>
      </c>
      <c r="M3562" s="95">
        <f t="shared" ca="1" si="464"/>
        <v>0</v>
      </c>
      <c r="N3562" s="95">
        <f>IF(P3562="Hedge Fund",IF(A3562=Summary!$AD$3,M3562-E3562,M3562),IF(A3562=Summary!$AD$3,L3562-D3562,L3562))</f>
        <v>0</v>
      </c>
      <c r="O3562" s="95">
        <f t="shared" si="465"/>
        <v>0</v>
      </c>
      <c r="P3562" s="107" t="s">
        <v>155</v>
      </c>
      <c r="Q3562" s="107">
        <v>0.13853193730990199</v>
      </c>
      <c r="R3562" s="107">
        <v>0</v>
      </c>
      <c r="S3562" s="107">
        <v>7.3886962000000002E-3</v>
      </c>
      <c r="T3562" s="107">
        <v>0</v>
      </c>
      <c r="U3562" s="107" t="s">
        <v>0</v>
      </c>
      <c r="V3562" s="107">
        <v>8.4747113299999999</v>
      </c>
      <c r="W3562" s="107" t="s">
        <v>15</v>
      </c>
      <c r="X3562" s="107">
        <v>8.4747113299999999</v>
      </c>
      <c r="Y3562" s="107"/>
      <c r="Z3562" s="107"/>
      <c r="AA3562" s="107"/>
      <c r="AB3562" s="107"/>
      <c r="AC3562" s="355"/>
      <c r="AD3562" s="355"/>
      <c r="AE3562" s="355"/>
      <c r="AF3562" s="94">
        <f t="shared" si="466"/>
        <v>41486</v>
      </c>
      <c r="AG3562" s="185">
        <f t="shared" si="470"/>
        <v>-2.9480385693349209E-2</v>
      </c>
      <c r="AH3562" s="339" t="str">
        <f>VLOOKUP(B3562,'MF PF'!A:B,2)</f>
        <v>FdMgt1</v>
      </c>
      <c r="AI3562" s="358">
        <f t="shared" si="467"/>
        <v>0</v>
      </c>
      <c r="AJ3562" s="94">
        <f t="shared" si="468"/>
        <v>41486</v>
      </c>
    </row>
    <row r="3563" spans="1:36" ht="12.75" customHeight="1">
      <c r="A3563" s="97">
        <v>41516</v>
      </c>
      <c r="B3563" s="94" t="s">
        <v>189</v>
      </c>
      <c r="C3563" s="96" t="s">
        <v>298</v>
      </c>
      <c r="D3563" s="98">
        <v>16655431.660000002</v>
      </c>
      <c r="E3563" s="9">
        <f t="shared" si="469"/>
        <v>4057079.6000182093</v>
      </c>
      <c r="F3563" s="98">
        <v>20</v>
      </c>
      <c r="G3563" s="98">
        <v>0</v>
      </c>
      <c r="H3563" s="98">
        <v>0</v>
      </c>
      <c r="I3563" s="98">
        <v>0</v>
      </c>
      <c r="J3563" s="98"/>
      <c r="K3563" s="93">
        <v>4.1052760364685099</v>
      </c>
      <c r="L3563" s="93">
        <f t="shared" si="463"/>
        <v>0</v>
      </c>
      <c r="M3563" s="95">
        <f t="shared" ca="1" si="464"/>
        <v>0</v>
      </c>
      <c r="N3563" s="95">
        <f>IF(P3563="Hedge Fund",IF(A3563=Summary!$AD$3,M3563-E3563,M3563),IF(A3563=Summary!$AD$3,L3563-D3563,L3563))</f>
        <v>0</v>
      </c>
      <c r="O3563" s="95">
        <f t="shared" si="465"/>
        <v>0</v>
      </c>
      <c r="P3563" s="107" t="s">
        <v>155</v>
      </c>
      <c r="Q3563" s="107">
        <v>0.12398072844547101</v>
      </c>
      <c r="R3563" s="107">
        <v>0</v>
      </c>
      <c r="S3563" s="107">
        <v>6.6158181325960295E-3</v>
      </c>
      <c r="T3563" s="107">
        <v>0</v>
      </c>
      <c r="U3563" s="107" t="s">
        <v>0</v>
      </c>
      <c r="V3563" s="107">
        <v>8.3277158300000007</v>
      </c>
      <c r="W3563" s="107" t="s">
        <v>15</v>
      </c>
      <c r="X3563" s="107">
        <v>8.3277158300000007</v>
      </c>
      <c r="Y3563" s="107"/>
      <c r="Z3563" s="107"/>
      <c r="AA3563" s="107"/>
      <c r="AB3563" s="107"/>
      <c r="AC3563" s="355"/>
      <c r="AD3563" s="355"/>
      <c r="AE3563" s="355"/>
      <c r="AF3563" s="94">
        <f t="shared" si="466"/>
        <v>41516</v>
      </c>
      <c r="AG3563" s="185">
        <f t="shared" si="470"/>
        <v>-1.7345192570706547E-2</v>
      </c>
      <c r="AH3563" s="339" t="str">
        <f>VLOOKUP(B3563,'MF PF'!A:B,2)</f>
        <v>FdMgt1</v>
      </c>
      <c r="AI3563" s="358">
        <f t="shared" si="467"/>
        <v>0</v>
      </c>
      <c r="AJ3563" s="94">
        <f t="shared" si="468"/>
        <v>41517</v>
      </c>
    </row>
    <row r="3564" spans="1:36" ht="12.75" customHeight="1">
      <c r="A3564" s="97">
        <v>41547</v>
      </c>
      <c r="B3564" s="94" t="s">
        <v>189</v>
      </c>
      <c r="C3564" s="96" t="s">
        <v>298</v>
      </c>
      <c r="D3564" s="98">
        <v>19326548.100000001</v>
      </c>
      <c r="E3564" s="9">
        <f t="shared" si="469"/>
        <v>4067147.6995531274</v>
      </c>
      <c r="F3564" s="98">
        <v>20</v>
      </c>
      <c r="G3564" s="98">
        <v>2660000</v>
      </c>
      <c r="H3564" s="98">
        <v>0</v>
      </c>
      <c r="I3564" s="98">
        <v>0</v>
      </c>
      <c r="J3564" s="98"/>
      <c r="K3564" s="93">
        <v>4.7518677775393998</v>
      </c>
      <c r="L3564" s="93">
        <f t="shared" si="463"/>
        <v>2660000</v>
      </c>
      <c r="M3564" s="95">
        <f t="shared" ca="1" si="464"/>
        <v>0</v>
      </c>
      <c r="N3564" s="95">
        <f>IF(P3564="Hedge Fund",IF(A3564=Summary!$AD$3,M3564-E3564,M3564),IF(A3564=Summary!$AD$3,L3564-D3564,L3564))</f>
        <v>2660000</v>
      </c>
      <c r="O3564" s="95">
        <f t="shared" si="465"/>
        <v>2660000</v>
      </c>
      <c r="P3564" s="107" t="s">
        <v>155</v>
      </c>
      <c r="Q3564" s="107">
        <v>0.169472467734434</v>
      </c>
      <c r="R3564" s="107">
        <v>0</v>
      </c>
      <c r="S3564" s="107">
        <v>8.6614820471078904E-3</v>
      </c>
      <c r="T3564" s="107">
        <v>0</v>
      </c>
      <c r="U3564" s="107" t="s">
        <v>0</v>
      </c>
      <c r="V3564" s="107">
        <v>9.6632740500000001</v>
      </c>
      <c r="W3564" s="107" t="s">
        <v>15</v>
      </c>
      <c r="X3564" s="107">
        <v>9.6632740500000001</v>
      </c>
      <c r="Y3564" s="107"/>
      <c r="Z3564" s="107"/>
      <c r="AA3564" s="107"/>
      <c r="AB3564" s="107"/>
      <c r="AC3564" s="355"/>
      <c r="AD3564" s="355"/>
      <c r="AE3564" s="355"/>
      <c r="AF3564" s="94">
        <f t="shared" si="466"/>
        <v>41547</v>
      </c>
      <c r="AG3564" s="185">
        <f t="shared" si="470"/>
        <v>6.6743631908972034E-4</v>
      </c>
      <c r="AH3564" s="339" t="str">
        <f>VLOOKUP(B3564,'MF PF'!A:B,2)</f>
        <v>FdMgt1</v>
      </c>
      <c r="AI3564" s="358">
        <f t="shared" si="467"/>
        <v>0</v>
      </c>
      <c r="AJ3564" s="94">
        <f t="shared" si="468"/>
        <v>41547</v>
      </c>
    </row>
    <row r="3565" spans="1:36" ht="12.75" customHeight="1">
      <c r="A3565" s="97">
        <v>41578</v>
      </c>
      <c r="B3565" s="94" t="s">
        <v>189</v>
      </c>
      <c r="C3565" s="96" t="s">
        <v>298</v>
      </c>
      <c r="D3565" s="98">
        <v>16417722.399999999</v>
      </c>
      <c r="E3565" s="9">
        <f t="shared" si="469"/>
        <v>3455004.0465354407</v>
      </c>
      <c r="F3565" s="98">
        <v>20</v>
      </c>
      <c r="G3565" s="98">
        <v>0</v>
      </c>
      <c r="H3565" s="98">
        <v>0</v>
      </c>
      <c r="I3565" s="98">
        <v>-3224867.42</v>
      </c>
      <c r="J3565" s="98"/>
      <c r="K3565" s="93">
        <v>4.7518677775393998</v>
      </c>
      <c r="L3565" s="93">
        <f t="shared" si="463"/>
        <v>-3224867.42</v>
      </c>
      <c r="M3565" s="95">
        <f t="shared" ca="1" si="464"/>
        <v>-678652.59956157545</v>
      </c>
      <c r="N3565" s="95">
        <f>IF(P3565="Hedge Fund",IF(A3565=Summary!$AD$3,M3565-E3565,M3565),IF(A3565=Summary!$AD$3,L3565-D3565,L3565))</f>
        <v>-3224867.42</v>
      </c>
      <c r="O3565" s="95">
        <f t="shared" si="465"/>
        <v>-3224867.42</v>
      </c>
      <c r="P3565" s="107" t="s">
        <v>155</v>
      </c>
      <c r="Q3565" s="107">
        <v>0.14767777177191402</v>
      </c>
      <c r="R3565" s="107">
        <v>0.22893597500000112</v>
      </c>
      <c r="S3565" s="107">
        <v>7.5469736604166669E-3</v>
      </c>
      <c r="T3565" s="107">
        <v>6.605525027083334E-3</v>
      </c>
      <c r="U3565" s="107" t="s">
        <v>0</v>
      </c>
      <c r="V3565" s="107">
        <v>8.2088611999999994</v>
      </c>
      <c r="W3565" s="107" t="s">
        <v>15</v>
      </c>
      <c r="X3565" s="107">
        <v>8.2088611999999994</v>
      </c>
      <c r="Y3565" s="107"/>
      <c r="Z3565" s="107"/>
      <c r="AA3565" s="107"/>
      <c r="AB3565" s="107"/>
      <c r="AC3565" s="355"/>
      <c r="AD3565" s="355"/>
      <c r="AE3565" s="355"/>
      <c r="AF3565" s="94">
        <f t="shared" si="466"/>
        <v>41578</v>
      </c>
      <c r="AG3565" s="185">
        <f t="shared" si="470"/>
        <v>1.6352724675132269E-2</v>
      </c>
      <c r="AH3565" s="339" t="str">
        <f>VLOOKUP(B3565,'MF PF'!A:B,2)</f>
        <v>FdMgt1</v>
      </c>
      <c r="AI3565" s="358">
        <f t="shared" si="467"/>
        <v>0</v>
      </c>
      <c r="AJ3565" s="94">
        <f t="shared" si="468"/>
        <v>41578</v>
      </c>
    </row>
    <row r="3566" spans="1:36" ht="12.75" customHeight="1">
      <c r="A3566" s="97">
        <v>41607</v>
      </c>
      <c r="B3566" s="94" t="s">
        <v>189</v>
      </c>
      <c r="C3566" s="96" t="s">
        <v>298</v>
      </c>
      <c r="D3566" s="98">
        <v>16367553.960000001</v>
      </c>
      <c r="E3566" s="9">
        <f t="shared" si="469"/>
        <v>3444446.4211239913</v>
      </c>
      <c r="F3566" s="98">
        <v>20</v>
      </c>
      <c r="G3566" s="98">
        <v>0</v>
      </c>
      <c r="H3566" s="98">
        <v>0</v>
      </c>
      <c r="I3566" s="98">
        <v>0</v>
      </c>
      <c r="J3566" s="98"/>
      <c r="K3566" s="93">
        <v>4.7518677775393998</v>
      </c>
      <c r="L3566" s="93">
        <f t="shared" si="463"/>
        <v>0</v>
      </c>
      <c r="M3566" s="95">
        <f t="shared" ca="1" si="464"/>
        <v>0</v>
      </c>
      <c r="N3566" s="95">
        <f>IF(P3566="Hedge Fund",IF(A3566=Summary!$AD$3,M3566-E3566,M3566),IF(A3566=Summary!$AD$3,L3566-D3566,L3566))</f>
        <v>0</v>
      </c>
      <c r="O3566" s="95">
        <f t="shared" si="465"/>
        <v>0</v>
      </c>
      <c r="P3566" s="107" t="s">
        <v>155</v>
      </c>
      <c r="Q3566" s="107">
        <v>0.13805853620390901</v>
      </c>
      <c r="R3566" s="107">
        <v>0.25754727300000002</v>
      </c>
      <c r="S3566" s="107">
        <v>7.0542959854166679E-3</v>
      </c>
      <c r="T3566" s="107">
        <v>7.6213894083333343E-3</v>
      </c>
      <c r="U3566" s="107" t="s">
        <v>0</v>
      </c>
      <c r="V3566" s="107">
        <v>8.1837769800000011</v>
      </c>
      <c r="W3566" s="107" t="s">
        <v>15</v>
      </c>
      <c r="X3566" s="107">
        <v>8.1837769800000011</v>
      </c>
      <c r="Y3566" s="107"/>
      <c r="Z3566" s="107"/>
      <c r="AA3566" s="107"/>
      <c r="AB3566" s="107"/>
      <c r="AC3566" s="355"/>
      <c r="AD3566" s="355"/>
      <c r="AE3566" s="355"/>
      <c r="AF3566" s="94">
        <f t="shared" si="466"/>
        <v>41607</v>
      </c>
      <c r="AG3566" s="185">
        <f t="shared" si="470"/>
        <v>-3.0557490727214365E-3</v>
      </c>
      <c r="AH3566" s="339" t="str">
        <f>VLOOKUP(B3566,'MF PF'!A:B,2)</f>
        <v>FdMgt1</v>
      </c>
      <c r="AI3566" s="358">
        <f t="shared" si="467"/>
        <v>0</v>
      </c>
      <c r="AJ3566" s="94">
        <f t="shared" si="468"/>
        <v>41608</v>
      </c>
    </row>
    <row r="3567" spans="1:36" ht="12.75" customHeight="1">
      <c r="A3567" s="97">
        <v>41639</v>
      </c>
      <c r="B3567" s="94" t="s">
        <v>189</v>
      </c>
      <c r="C3567" s="96" t="s">
        <v>298</v>
      </c>
      <c r="D3567" s="98">
        <v>16639720.48</v>
      </c>
      <c r="E3567" s="9">
        <f t="shared" si="469"/>
        <v>3501722.1141233728</v>
      </c>
      <c r="F3567" s="98">
        <v>20</v>
      </c>
      <c r="G3567" s="98">
        <v>0</v>
      </c>
      <c r="H3567" s="98">
        <v>0</v>
      </c>
      <c r="I3567" s="98">
        <v>0</v>
      </c>
      <c r="J3567" s="98"/>
      <c r="K3567" s="93">
        <v>4.7518677775393998</v>
      </c>
      <c r="L3567" s="93">
        <f t="shared" si="463"/>
        <v>0</v>
      </c>
      <c r="M3567" s="95">
        <f t="shared" ca="1" si="464"/>
        <v>0</v>
      </c>
      <c r="N3567" s="95">
        <f>IF(P3567="Hedge Fund",IF(A3567=Summary!$AD$3,M3567-E3567,M3567),IF(A3567=Summary!$AD$3,L3567-D3567,L3567))</f>
        <v>0</v>
      </c>
      <c r="O3567" s="95">
        <f t="shared" si="465"/>
        <v>0</v>
      </c>
      <c r="P3567" s="107" t="s">
        <v>155</v>
      </c>
      <c r="Q3567" s="107">
        <v>0.15521295352099571</v>
      </c>
      <c r="R3567" s="107">
        <v>0.64462153002730549</v>
      </c>
      <c r="S3567" s="107">
        <v>7.9298758840632803E-3</v>
      </c>
      <c r="T3567" s="107">
        <v>2.4295049900000299E-2</v>
      </c>
      <c r="U3567" s="107" t="s">
        <v>0</v>
      </c>
      <c r="V3567" s="107">
        <v>8.3198602400000006</v>
      </c>
      <c r="W3567" s="107" t="s">
        <v>15</v>
      </c>
      <c r="X3567" s="107">
        <v>8.3198602400000006</v>
      </c>
      <c r="Y3567" s="107"/>
      <c r="Z3567" s="107"/>
      <c r="AA3567" s="107"/>
      <c r="AB3567" s="107"/>
      <c r="AC3567" s="355"/>
      <c r="AD3567" s="355"/>
      <c r="AE3567" s="355"/>
      <c r="AF3567" s="94">
        <f t="shared" si="466"/>
        <v>41639</v>
      </c>
      <c r="AG3567" s="185">
        <f t="shared" si="470"/>
        <v>1.6628417457192235E-2</v>
      </c>
      <c r="AH3567" s="339" t="str">
        <f>VLOOKUP(B3567,'MF PF'!A:B,2)</f>
        <v>FdMgt1</v>
      </c>
      <c r="AI3567" s="358">
        <f t="shared" si="467"/>
        <v>0</v>
      </c>
      <c r="AJ3567" s="94">
        <f t="shared" si="468"/>
        <v>41639</v>
      </c>
    </row>
    <row r="3568" spans="1:36" ht="12.75" customHeight="1">
      <c r="A3568" s="97">
        <v>41669</v>
      </c>
      <c r="B3568" s="94" t="s">
        <v>189</v>
      </c>
      <c r="C3568" s="96" t="s">
        <v>298</v>
      </c>
      <c r="D3568" s="98">
        <v>16905601.559999999</v>
      </c>
      <c r="E3568" s="9">
        <f t="shared" si="469"/>
        <v>3557675.0767156268</v>
      </c>
      <c r="F3568" s="98">
        <v>20</v>
      </c>
      <c r="G3568" s="98">
        <v>0</v>
      </c>
      <c r="H3568" s="98">
        <v>0</v>
      </c>
      <c r="I3568" s="98">
        <v>0</v>
      </c>
      <c r="J3568" s="98"/>
      <c r="K3568" s="93">
        <v>4.7518677775393998</v>
      </c>
      <c r="L3568" s="93">
        <f t="shared" si="463"/>
        <v>0</v>
      </c>
      <c r="M3568" s="95">
        <f t="shared" ca="1" si="464"/>
        <v>0</v>
      </c>
      <c r="N3568" s="95">
        <f>IF(P3568="Hedge Fund",IF(A3568=Summary!$AD$3,M3568-E3568,M3568),IF(A3568=Summary!$AD$3,L3568-D3568,L3568))</f>
        <v>0</v>
      </c>
      <c r="O3568" s="95">
        <f t="shared" si="465"/>
        <v>0</v>
      </c>
      <c r="P3568" s="107" t="s">
        <v>155</v>
      </c>
      <c r="Q3568" s="107">
        <v>0.14777942514555001</v>
      </c>
      <c r="R3568" s="107">
        <v>0.94586041050000047</v>
      </c>
      <c r="S3568" s="107">
        <v>7.5488678017476994E-3</v>
      </c>
      <c r="T3568" s="107">
        <v>3.7246241853750001E-2</v>
      </c>
      <c r="U3568" s="107" t="s">
        <v>0</v>
      </c>
      <c r="V3568" s="107">
        <v>8.4528007799999987</v>
      </c>
      <c r="W3568" s="107" t="s">
        <v>15</v>
      </c>
      <c r="X3568" s="107">
        <v>8.4528007799999987</v>
      </c>
      <c r="Y3568" s="107"/>
      <c r="Z3568" s="107"/>
      <c r="AA3568" s="107"/>
      <c r="AB3568" s="107"/>
      <c r="AC3568" s="355"/>
      <c r="AD3568" s="355"/>
      <c r="AE3568" s="355"/>
      <c r="AF3568" s="94">
        <f t="shared" si="466"/>
        <v>41669</v>
      </c>
      <c r="AG3568" s="185">
        <f t="shared" si="470"/>
        <v>1.5978698699871341E-2</v>
      </c>
      <c r="AH3568" s="339" t="str">
        <f>VLOOKUP(B3568,'MF PF'!A:B,2)</f>
        <v>FdMgt1</v>
      </c>
      <c r="AI3568" s="358">
        <f t="shared" si="467"/>
        <v>0</v>
      </c>
      <c r="AJ3568" s="94">
        <f t="shared" si="468"/>
        <v>41670</v>
      </c>
    </row>
    <row r="3569" spans="1:36" ht="12.75" customHeight="1">
      <c r="A3569" s="97">
        <v>41698</v>
      </c>
      <c r="B3569" s="94" t="s">
        <v>189</v>
      </c>
      <c r="C3569" s="96" t="s">
        <v>298</v>
      </c>
      <c r="D3569" s="98">
        <v>17002095.659999996</v>
      </c>
      <c r="E3569" s="9">
        <f t="shared" si="469"/>
        <v>3577981.6392121874</v>
      </c>
      <c r="F3569" s="98">
        <v>20</v>
      </c>
      <c r="G3569" s="98">
        <v>0</v>
      </c>
      <c r="H3569" s="98">
        <v>0</v>
      </c>
      <c r="I3569" s="98">
        <v>0</v>
      </c>
      <c r="J3569" s="98"/>
      <c r="K3569" s="93">
        <v>4.7518677775393998</v>
      </c>
      <c r="L3569" s="93">
        <f t="shared" si="463"/>
        <v>0</v>
      </c>
      <c r="M3569" s="95">
        <f t="shared" ca="1" si="464"/>
        <v>0</v>
      </c>
      <c r="N3569" s="95">
        <f>IF(P3569="Hedge Fund",IF(A3569=Summary!$AD$3,M3569-E3569,M3569),IF(A3569=Summary!$AD$3,L3569-D3569,L3569))</f>
        <v>0</v>
      </c>
      <c r="O3569" s="95">
        <f t="shared" si="465"/>
        <v>0</v>
      </c>
      <c r="P3569" s="107" t="s">
        <v>155</v>
      </c>
      <c r="Q3569" s="107">
        <v>0.14378600872052799</v>
      </c>
      <c r="R3569" s="107">
        <v>1.0921174825</v>
      </c>
      <c r="S3569" s="107">
        <v>7.3437693641430699E-3</v>
      </c>
      <c r="T3569" s="107">
        <v>4.3415455349583305E-2</v>
      </c>
      <c r="U3569" s="107" t="s">
        <v>0</v>
      </c>
      <c r="V3569" s="107">
        <v>8.5010478299999992</v>
      </c>
      <c r="W3569" s="107" t="s">
        <v>15</v>
      </c>
      <c r="X3569" s="107">
        <v>8.5010478299999992</v>
      </c>
      <c r="Y3569" s="107"/>
      <c r="Z3569" s="107"/>
      <c r="AA3569" s="107"/>
      <c r="AB3569" s="107"/>
      <c r="AC3569" s="355"/>
      <c r="AD3569" s="355"/>
      <c r="AE3569" s="355"/>
      <c r="AF3569" s="94">
        <f t="shared" si="466"/>
        <v>41698</v>
      </c>
      <c r="AG3569" s="185">
        <f t="shared" si="470"/>
        <v>5.707818184258473E-3</v>
      </c>
      <c r="AH3569" s="339" t="str">
        <f>VLOOKUP(B3569,'MF PF'!A:B,2)</f>
        <v>FdMgt1</v>
      </c>
      <c r="AI3569" s="358">
        <f t="shared" si="467"/>
        <v>0</v>
      </c>
      <c r="AJ3569" s="94">
        <f t="shared" si="468"/>
        <v>41698</v>
      </c>
    </row>
    <row r="3570" spans="1:36" ht="12.75" customHeight="1">
      <c r="A3570" s="97">
        <v>41729</v>
      </c>
      <c r="B3570" s="94" t="s">
        <v>189</v>
      </c>
      <c r="C3570" s="96" t="s">
        <v>298</v>
      </c>
      <c r="D3570" s="98">
        <v>16321037.359999999</v>
      </c>
      <c r="E3570" s="9">
        <f t="shared" si="469"/>
        <v>3434657.3019443983</v>
      </c>
      <c r="F3570" s="98">
        <v>20</v>
      </c>
      <c r="G3570" s="98">
        <v>0</v>
      </c>
      <c r="H3570" s="98">
        <v>0</v>
      </c>
      <c r="I3570" s="98">
        <v>-875800</v>
      </c>
      <c r="J3570" s="98"/>
      <c r="K3570" s="93">
        <v>4.7518677775393998</v>
      </c>
      <c r="L3570" s="93">
        <f t="shared" si="463"/>
        <v>-875800</v>
      </c>
      <c r="M3570" s="95">
        <f t="shared" ca="1" si="464"/>
        <v>-184306.4750537955</v>
      </c>
      <c r="N3570" s="95">
        <f>IF(P3570="Hedge Fund",IF(A3570=Summary!$AD$3,M3570-E3570,M3570),IF(A3570=Summary!$AD$3,L3570-D3570,L3570))</f>
        <v>-875800</v>
      </c>
      <c r="O3570" s="95">
        <f t="shared" si="465"/>
        <v>-875800</v>
      </c>
      <c r="P3570" s="107" t="s">
        <v>155</v>
      </c>
      <c r="Q3570" s="107">
        <v>0.147148692856092</v>
      </c>
      <c r="R3570" s="107">
        <v>1.2494029125000008</v>
      </c>
      <c r="S3570" s="107">
        <v>7.5156186244553598E-3</v>
      </c>
      <c r="T3570" s="107">
        <v>5.08554830398006E-2</v>
      </c>
      <c r="U3570" s="107" t="s">
        <v>0</v>
      </c>
      <c r="V3570" s="107">
        <v>8.1605186799999991</v>
      </c>
      <c r="W3570" s="107" t="s">
        <v>15</v>
      </c>
      <c r="X3570" s="107">
        <v>8.1605186799999991</v>
      </c>
      <c r="Y3570" s="107"/>
      <c r="Z3570" s="107"/>
      <c r="AA3570" s="107"/>
      <c r="AB3570" s="107"/>
      <c r="AC3570" s="355"/>
      <c r="AD3570" s="355"/>
      <c r="AE3570" s="355"/>
      <c r="AF3570" s="94">
        <f t="shared" si="466"/>
        <v>41729</v>
      </c>
      <c r="AG3570" s="185">
        <f t="shared" si="470"/>
        <v>1.1453982138105667E-2</v>
      </c>
      <c r="AH3570" s="339" t="str">
        <f>VLOOKUP(B3570,'MF PF'!A:B,2)</f>
        <v>FdMgt1</v>
      </c>
      <c r="AI3570" s="358">
        <f t="shared" si="467"/>
        <v>0</v>
      </c>
      <c r="AJ3570" s="94">
        <f t="shared" si="468"/>
        <v>41729</v>
      </c>
    </row>
    <row r="3571" spans="1:36" ht="12.75" customHeight="1">
      <c r="A3571" s="97">
        <v>41759</v>
      </c>
      <c r="B3571" s="94" t="s">
        <v>189</v>
      </c>
      <c r="C3571" s="96" t="s">
        <v>298</v>
      </c>
      <c r="D3571" s="98">
        <v>16135483.119999999</v>
      </c>
      <c r="E3571" s="9">
        <f t="shared" si="469"/>
        <v>3395608.6060027611</v>
      </c>
      <c r="F3571" s="98">
        <v>20</v>
      </c>
      <c r="G3571" s="98">
        <v>0</v>
      </c>
      <c r="H3571" s="98">
        <v>0</v>
      </c>
      <c r="I3571" s="98">
        <v>0</v>
      </c>
      <c r="J3571" s="98"/>
      <c r="K3571" s="93">
        <v>4.7518677775393998</v>
      </c>
      <c r="L3571" s="93">
        <f t="shared" si="463"/>
        <v>0</v>
      </c>
      <c r="M3571" s="95">
        <f t="shared" ca="1" si="464"/>
        <v>0</v>
      </c>
      <c r="N3571" s="95">
        <f>IF(P3571="Hedge Fund",IF(A3571=Summary!$AD$3,M3571-E3571,M3571),IF(A3571=Summary!$AD$3,L3571-D3571,L3571))</f>
        <v>0</v>
      </c>
      <c r="O3571" s="95">
        <f t="shared" si="465"/>
        <v>0</v>
      </c>
      <c r="P3571" s="107" t="s">
        <v>155</v>
      </c>
      <c r="Q3571" s="107">
        <v>0.14032298364026</v>
      </c>
      <c r="R3571" s="107">
        <v>0.81754584250000006</v>
      </c>
      <c r="S3571" s="107">
        <v>7.1648134461411404E-3</v>
      </c>
      <c r="T3571" s="107">
        <v>3.08508617921157E-2</v>
      </c>
      <c r="U3571" s="107" t="s">
        <v>0</v>
      </c>
      <c r="V3571" s="107">
        <v>8.06774156</v>
      </c>
      <c r="W3571" s="107" t="s">
        <v>15</v>
      </c>
      <c r="X3571" s="107">
        <v>8.06774156</v>
      </c>
      <c r="Y3571" s="107"/>
      <c r="Z3571" s="107"/>
      <c r="AA3571" s="107"/>
      <c r="AB3571" s="107"/>
      <c r="AC3571" s="355"/>
      <c r="AD3571" s="355"/>
      <c r="AE3571" s="355"/>
      <c r="AF3571" s="94">
        <f t="shared" si="466"/>
        <v>41759</v>
      </c>
      <c r="AG3571" s="185">
        <f t="shared" si="470"/>
        <v>-1.1369022440617771E-2</v>
      </c>
      <c r="AH3571" s="339" t="str">
        <f>VLOOKUP(B3571,'MF PF'!A:B,2)</f>
        <v>FdMgt1</v>
      </c>
      <c r="AI3571" s="358">
        <f t="shared" si="467"/>
        <v>0</v>
      </c>
      <c r="AJ3571" s="94">
        <f t="shared" si="468"/>
        <v>41759</v>
      </c>
    </row>
    <row r="3572" spans="1:36" ht="12.75" customHeight="1">
      <c r="A3572" s="97">
        <v>41789</v>
      </c>
      <c r="B3572" s="94" t="s">
        <v>189</v>
      </c>
      <c r="C3572" s="96" t="s">
        <v>298</v>
      </c>
      <c r="D3572" s="98">
        <v>16210826.539999997</v>
      </c>
      <c r="E3572" s="9">
        <f t="shared" si="469"/>
        <v>3411464.1439779806</v>
      </c>
      <c r="F3572" s="98">
        <v>20</v>
      </c>
      <c r="G3572" s="98">
        <v>0</v>
      </c>
      <c r="H3572" s="98">
        <v>0</v>
      </c>
      <c r="I3572" s="98">
        <v>0</v>
      </c>
      <c r="J3572" s="98"/>
      <c r="K3572" s="93">
        <v>4.7518677775393998</v>
      </c>
      <c r="L3572" s="93">
        <f t="shared" si="463"/>
        <v>0</v>
      </c>
      <c r="M3572" s="95">
        <f t="shared" ca="1" si="464"/>
        <v>0</v>
      </c>
      <c r="N3572" s="95">
        <f>IF(P3572="Hedge Fund",IF(A3572=Summary!$AD$3,M3572-E3572,M3572),IF(A3572=Summary!$AD$3,L3572-D3572,L3572))</f>
        <v>0</v>
      </c>
      <c r="O3572" s="95">
        <f t="shared" si="465"/>
        <v>0</v>
      </c>
      <c r="P3572" s="107" t="s">
        <v>155</v>
      </c>
      <c r="Q3572" s="107">
        <v>0.14114654423049899</v>
      </c>
      <c r="R3572" s="107">
        <v>0.97272864950000293</v>
      </c>
      <c r="S3572" s="107">
        <v>7.2057648970529397E-3</v>
      </c>
      <c r="T3572" s="107">
        <v>3.7552869527191501E-2</v>
      </c>
      <c r="U3572" s="107" t="s">
        <v>0</v>
      </c>
      <c r="V3572" s="107">
        <v>8.1054132699999997</v>
      </c>
      <c r="W3572" s="107" t="s">
        <v>15</v>
      </c>
      <c r="X3572" s="107">
        <v>8.1054132699999997</v>
      </c>
      <c r="Y3572" s="107"/>
      <c r="Z3572" s="107"/>
      <c r="AA3572" s="107"/>
      <c r="AB3572" s="107"/>
      <c r="AC3572" s="355"/>
      <c r="AD3572" s="355"/>
      <c r="AE3572" s="355"/>
      <c r="AF3572" s="94">
        <f t="shared" si="466"/>
        <v>41789</v>
      </c>
      <c r="AG3572" s="185">
        <f t="shared" si="470"/>
        <v>4.6694244876133162E-3</v>
      </c>
      <c r="AH3572" s="339" t="str">
        <f>VLOOKUP(B3572,'MF PF'!A:B,2)</f>
        <v>FdMgt1</v>
      </c>
      <c r="AI3572" s="358">
        <f t="shared" si="467"/>
        <v>0</v>
      </c>
      <c r="AJ3572" s="94">
        <f t="shared" si="468"/>
        <v>41790</v>
      </c>
    </row>
    <row r="3573" spans="1:36" ht="12.75" customHeight="1">
      <c r="A3573" s="97">
        <v>41820</v>
      </c>
      <c r="B3573" s="94" t="s">
        <v>189</v>
      </c>
      <c r="C3573" s="96" t="s">
        <v>298</v>
      </c>
      <c r="D3573" s="98">
        <v>16242340.66</v>
      </c>
      <c r="E3573" s="9">
        <f t="shared" si="469"/>
        <v>3418096.0877683698</v>
      </c>
      <c r="F3573" s="98">
        <v>20</v>
      </c>
      <c r="G3573" s="98">
        <v>0</v>
      </c>
      <c r="H3573" s="98">
        <v>0</v>
      </c>
      <c r="I3573" s="98">
        <v>0</v>
      </c>
      <c r="J3573" s="98"/>
      <c r="K3573" s="93">
        <v>4.7518677775393998</v>
      </c>
      <c r="L3573" s="93">
        <f t="shared" si="463"/>
        <v>0</v>
      </c>
      <c r="M3573" s="95">
        <f t="shared" ca="1" si="464"/>
        <v>0</v>
      </c>
      <c r="N3573" s="95">
        <f>IF(P3573="Hedge Fund",IF(A3573=Summary!$AD$3,M3573-E3573,M3573),IF(A3573=Summary!$AD$3,L3573-D3573,L3573))</f>
        <v>0</v>
      </c>
      <c r="O3573" s="95">
        <f t="shared" si="465"/>
        <v>0</v>
      </c>
      <c r="P3573" s="107" t="s">
        <v>155</v>
      </c>
      <c r="Q3573" s="107">
        <v>0.14621847501648799</v>
      </c>
      <c r="R3573" s="107">
        <v>1.0505556085000012</v>
      </c>
      <c r="S3573" s="107">
        <v>7.4634923585856607E-3</v>
      </c>
      <c r="T3573" s="107">
        <v>4.0822879810959001E-2</v>
      </c>
      <c r="U3573" s="107" t="s">
        <v>0</v>
      </c>
      <c r="V3573" s="107">
        <v>8.12117033</v>
      </c>
      <c r="W3573" s="107" t="s">
        <v>15</v>
      </c>
      <c r="X3573" s="107">
        <v>8.12117033</v>
      </c>
      <c r="Y3573" s="107"/>
      <c r="Z3573" s="107"/>
      <c r="AA3573" s="107"/>
      <c r="AB3573" s="107"/>
      <c r="AC3573" s="355"/>
      <c r="AD3573" s="355"/>
      <c r="AE3573" s="355"/>
      <c r="AF3573" s="94">
        <f t="shared" si="466"/>
        <v>41820</v>
      </c>
      <c r="AG3573" s="185">
        <f t="shared" si="470"/>
        <v>1.9440168533197966E-3</v>
      </c>
      <c r="AH3573" s="339" t="str">
        <f>VLOOKUP(B3573,'MF PF'!A:B,2)</f>
        <v>FdMgt1</v>
      </c>
      <c r="AI3573" s="358">
        <f t="shared" si="467"/>
        <v>0</v>
      </c>
      <c r="AJ3573" s="94">
        <f t="shared" si="468"/>
        <v>41820</v>
      </c>
    </row>
    <row r="3574" spans="1:36" ht="12.75" customHeight="1">
      <c r="A3574" s="97">
        <v>41851</v>
      </c>
      <c r="B3574" s="94" t="s">
        <v>189</v>
      </c>
      <c r="C3574" s="96" t="s">
        <v>298</v>
      </c>
      <c r="D3574" s="98">
        <v>14945471.82</v>
      </c>
      <c r="E3574" s="9">
        <f t="shared" si="469"/>
        <v>3145178.3845170513</v>
      </c>
      <c r="F3574" s="98">
        <v>20</v>
      </c>
      <c r="G3574" s="98">
        <v>0</v>
      </c>
      <c r="H3574" s="98">
        <v>0</v>
      </c>
      <c r="I3574" s="98">
        <v>-1313200</v>
      </c>
      <c r="J3574" s="98"/>
      <c r="K3574" s="93">
        <v>4.7518677775393998</v>
      </c>
      <c r="L3574" s="93">
        <f t="shared" si="463"/>
        <v>-1313200</v>
      </c>
      <c r="M3574" s="95">
        <f t="shared" ca="1" si="464"/>
        <v>-276354.4907977212</v>
      </c>
      <c r="N3574" s="95">
        <f>IF(P3574="Hedge Fund",IF(A3574=Summary!$AD$3,M3574-E3574,M3574),IF(A3574=Summary!$AD$3,L3574-D3574,L3574))</f>
        <v>-1313200</v>
      </c>
      <c r="O3574" s="95">
        <f t="shared" si="465"/>
        <v>-1313200</v>
      </c>
      <c r="P3574" s="107" t="s">
        <v>155</v>
      </c>
      <c r="Q3574" s="107">
        <v>0.13546904561441001</v>
      </c>
      <c r="R3574" s="107">
        <v>1.2167070935000006</v>
      </c>
      <c r="S3574" s="107">
        <v>6.9125370253875201E-3</v>
      </c>
      <c r="T3574" s="107">
        <v>4.7887210469560605E-2</v>
      </c>
      <c r="U3574" s="107" t="s">
        <v>0</v>
      </c>
      <c r="V3574" s="107">
        <v>7.4727359099999999</v>
      </c>
      <c r="W3574" s="107" t="s">
        <v>15</v>
      </c>
      <c r="X3574" s="107">
        <v>7.4727359099999999</v>
      </c>
      <c r="Y3574" s="107"/>
      <c r="Z3574" s="107"/>
      <c r="AA3574" s="107"/>
      <c r="AB3574" s="107"/>
      <c r="AC3574" s="355"/>
      <c r="AD3574" s="355"/>
      <c r="AE3574" s="355"/>
      <c r="AF3574" s="94">
        <f t="shared" si="466"/>
        <v>41851</v>
      </c>
      <c r="AG3574" s="185">
        <f t="shared" si="470"/>
        <v>1.0054683830280631E-3</v>
      </c>
      <c r="AH3574" s="339" t="str">
        <f>VLOOKUP(B3574,'MF PF'!A:B,2)</f>
        <v>FdMgt1</v>
      </c>
      <c r="AI3574" s="358">
        <f t="shared" si="467"/>
        <v>0</v>
      </c>
      <c r="AJ3574" s="94">
        <f t="shared" si="468"/>
        <v>41851</v>
      </c>
    </row>
    <row r="3575" spans="1:36" ht="12.75" customHeight="1">
      <c r="A3575" s="97">
        <v>41880</v>
      </c>
      <c r="B3575" s="94" t="s">
        <v>189</v>
      </c>
      <c r="C3575" s="96" t="s">
        <v>298</v>
      </c>
      <c r="D3575" s="98">
        <v>11552124.52</v>
      </c>
      <c r="E3575" s="9">
        <f t="shared" si="469"/>
        <v>2431070.2782184505</v>
      </c>
      <c r="F3575" s="98">
        <v>20</v>
      </c>
      <c r="G3575" s="98">
        <v>0</v>
      </c>
      <c r="H3575" s="98">
        <v>0</v>
      </c>
      <c r="I3575" s="98">
        <v>-3764982</v>
      </c>
      <c r="J3575" s="98"/>
      <c r="K3575" s="93">
        <v>4.7518677775393998</v>
      </c>
      <c r="L3575" s="93">
        <f t="shared" si="463"/>
        <v>-3764982</v>
      </c>
      <c r="M3575" s="95">
        <f t="shared" ca="1" si="464"/>
        <v>-792316.23779514618</v>
      </c>
      <c r="N3575" s="95">
        <f>IF(P3575="Hedge Fund",IF(A3575=Summary!$AD$3,M3575-E3575,M3575),IF(A3575=Summary!$AD$3,L3575-D3575,L3575))</f>
        <v>-3764982</v>
      </c>
      <c r="O3575" s="95">
        <f t="shared" si="465"/>
        <v>-3764982</v>
      </c>
      <c r="P3575" s="107" t="s">
        <v>155</v>
      </c>
      <c r="Q3575" s="107">
        <v>9.4121948225675503E-2</v>
      </c>
      <c r="R3575" s="107">
        <v>1.6051740220000006</v>
      </c>
      <c r="S3575" s="107">
        <v>4.8033587656965198E-3</v>
      </c>
      <c r="T3575" s="107">
        <v>6.6305085238277994E-2</v>
      </c>
      <c r="U3575" s="107" t="s">
        <v>0</v>
      </c>
      <c r="V3575" s="107">
        <v>5.7760622599999998</v>
      </c>
      <c r="W3575" s="107" t="s">
        <v>15</v>
      </c>
      <c r="X3575" s="107">
        <v>5.7760622599999998</v>
      </c>
      <c r="Y3575" s="107"/>
      <c r="Z3575" s="107"/>
      <c r="AA3575" s="107"/>
      <c r="AB3575" s="107"/>
      <c r="AC3575" s="355"/>
      <c r="AD3575" s="355"/>
      <c r="AE3575" s="355"/>
      <c r="AF3575" s="94">
        <f t="shared" si="466"/>
        <v>41880</v>
      </c>
      <c r="AG3575" s="185">
        <f t="shared" si="470"/>
        <v>2.4866039993644007E-2</v>
      </c>
      <c r="AH3575" s="339" t="str">
        <f>VLOOKUP(B3575,'MF PF'!A:B,2)</f>
        <v>FdMgt1</v>
      </c>
      <c r="AI3575" s="358">
        <f t="shared" si="467"/>
        <v>0</v>
      </c>
      <c r="AJ3575" s="94">
        <f t="shared" si="468"/>
        <v>41882</v>
      </c>
    </row>
    <row r="3576" spans="1:36" ht="12.75" customHeight="1">
      <c r="A3576" s="97">
        <v>41912</v>
      </c>
      <c r="B3576" s="94" t="s">
        <v>189</v>
      </c>
      <c r="C3576" s="96" t="s">
        <v>298</v>
      </c>
      <c r="D3576" s="98">
        <v>11923276.52</v>
      </c>
      <c r="E3576" s="9">
        <f t="shared" si="469"/>
        <v>2509176.8286057152</v>
      </c>
      <c r="F3576" s="98">
        <v>20</v>
      </c>
      <c r="G3576" s="98">
        <v>0</v>
      </c>
      <c r="H3576" s="98">
        <v>0</v>
      </c>
      <c r="I3576" s="98">
        <v>0</v>
      </c>
      <c r="J3576" s="98"/>
      <c r="K3576" s="93">
        <v>4.7518677775393998</v>
      </c>
      <c r="L3576" s="93">
        <f t="shared" si="463"/>
        <v>0</v>
      </c>
      <c r="M3576" s="95">
        <f t="shared" ca="1" si="464"/>
        <v>0</v>
      </c>
      <c r="N3576" s="95">
        <f>IF(P3576="Hedge Fund",IF(A3576=Summary!$AD$3,M3576-E3576,M3576),IF(A3576=Summary!$AD$3,L3576-D3576,L3576))</f>
        <v>0</v>
      </c>
      <c r="O3576" s="95">
        <f t="shared" si="465"/>
        <v>0</v>
      </c>
      <c r="P3576" s="107" t="s">
        <v>155</v>
      </c>
      <c r="Q3576" s="107">
        <v>0.105620045962263</v>
      </c>
      <c r="R3576" s="107">
        <v>1.976654841</v>
      </c>
      <c r="S3576" s="107">
        <v>5.3881984562632393E-3</v>
      </c>
      <c r="T3576" s="107">
        <v>8.42219228821732E-2</v>
      </c>
      <c r="U3576" s="107" t="s">
        <v>0</v>
      </c>
      <c r="V3576" s="107">
        <v>5.96163826</v>
      </c>
      <c r="W3576" s="107" t="s">
        <v>15</v>
      </c>
      <c r="X3576" s="107">
        <v>5.96163826</v>
      </c>
      <c r="Y3576" s="107"/>
      <c r="Z3576" s="107"/>
      <c r="AA3576" s="107"/>
      <c r="AB3576" s="107"/>
      <c r="AC3576" s="355"/>
      <c r="AD3576" s="355"/>
      <c r="AE3576" s="355"/>
      <c r="AF3576" s="94">
        <f t="shared" si="466"/>
        <v>41912</v>
      </c>
      <c r="AG3576" s="185">
        <f t="shared" si="470"/>
        <v>3.2128462548809189E-2</v>
      </c>
      <c r="AH3576" s="339" t="str">
        <f>VLOOKUP(B3576,'MF PF'!A:B,2)</f>
        <v>FdMgt1</v>
      </c>
      <c r="AI3576" s="358">
        <f t="shared" si="467"/>
        <v>0</v>
      </c>
      <c r="AJ3576" s="94">
        <f t="shared" si="468"/>
        <v>41912</v>
      </c>
    </row>
    <row r="3577" spans="1:36" ht="12.75" customHeight="1">
      <c r="A3577" s="97">
        <v>41943</v>
      </c>
      <c r="B3577" s="94" t="s">
        <v>189</v>
      </c>
      <c r="C3577" s="96" t="s">
        <v>298</v>
      </c>
      <c r="D3577" s="98">
        <v>9620670.4800000004</v>
      </c>
      <c r="E3577" s="9">
        <f t="shared" si="469"/>
        <v>2024608.2025838168</v>
      </c>
      <c r="F3577" s="98">
        <v>20</v>
      </c>
      <c r="G3577" s="98">
        <v>0</v>
      </c>
      <c r="H3577" s="98">
        <v>0</v>
      </c>
      <c r="I3577" s="98">
        <v>-1865000</v>
      </c>
      <c r="J3577" s="98"/>
      <c r="K3577" s="93">
        <v>4.7518677775393998</v>
      </c>
      <c r="L3577" s="93">
        <f t="shared" si="463"/>
        <v>-1865000</v>
      </c>
      <c r="M3577" s="95">
        <f t="shared" ca="1" si="464"/>
        <v>-392477.25048564578</v>
      </c>
      <c r="N3577" s="95">
        <f>IF(P3577="Hedge Fund",IF(A3577=Summary!$AD$3,M3577-E3577,M3577),IF(A3577=Summary!$AD$3,L3577-D3577,L3577))</f>
        <v>-1865000</v>
      </c>
      <c r="O3577" s="95">
        <f t="shared" si="465"/>
        <v>-1865000</v>
      </c>
      <c r="P3577" s="107" t="s">
        <v>155</v>
      </c>
      <c r="Q3577" s="107">
        <v>8.1228541406217006E-2</v>
      </c>
      <c r="R3577" s="107">
        <v>1.3497602735000012</v>
      </c>
      <c r="S3577" s="107">
        <v>4.14401592994291E-3</v>
      </c>
      <c r="T3577" s="107">
        <v>5.4445728805858198E-2</v>
      </c>
      <c r="U3577" s="107" t="s">
        <v>0</v>
      </c>
      <c r="V3577" s="107">
        <v>4.8103352400000006</v>
      </c>
      <c r="W3577" s="107" t="s">
        <v>15</v>
      </c>
      <c r="X3577" s="107">
        <v>4.8103352400000006</v>
      </c>
      <c r="Y3577" s="107"/>
      <c r="Z3577" s="107"/>
      <c r="AA3577" s="107"/>
      <c r="AB3577" s="107"/>
      <c r="AC3577" s="355"/>
      <c r="AD3577" s="355"/>
      <c r="AE3577" s="355"/>
      <c r="AF3577" s="94">
        <f t="shared" si="466"/>
        <v>41943</v>
      </c>
      <c r="AG3577" s="185">
        <f t="shared" si="470"/>
        <v>-3.6701827661713815E-2</v>
      </c>
      <c r="AH3577" s="339" t="str">
        <f>VLOOKUP(B3577,'MF PF'!A:B,2)</f>
        <v>FdMgt1</v>
      </c>
      <c r="AI3577" s="358">
        <f t="shared" si="467"/>
        <v>0</v>
      </c>
      <c r="AJ3577" s="94">
        <f t="shared" si="468"/>
        <v>41943</v>
      </c>
    </row>
    <row r="3578" spans="1:36" ht="12.75" customHeight="1">
      <c r="A3578" s="97">
        <v>41971</v>
      </c>
      <c r="B3578" s="94" t="s">
        <v>189</v>
      </c>
      <c r="C3578" s="96" t="s">
        <v>298</v>
      </c>
      <c r="D3578" s="98">
        <v>9242642.5599999987</v>
      </c>
      <c r="E3578" s="9">
        <f t="shared" si="469"/>
        <v>1945054.6590726059</v>
      </c>
      <c r="F3578" s="98">
        <v>20</v>
      </c>
      <c r="G3578" s="98">
        <v>0</v>
      </c>
      <c r="H3578" s="98">
        <v>0</v>
      </c>
      <c r="I3578" s="98">
        <v>0</v>
      </c>
      <c r="J3578" s="98"/>
      <c r="K3578" s="93">
        <v>4.7518677775393998</v>
      </c>
      <c r="L3578" s="93">
        <f t="shared" si="463"/>
        <v>0</v>
      </c>
      <c r="M3578" s="95">
        <f t="shared" ca="1" si="464"/>
        <v>0</v>
      </c>
      <c r="N3578" s="95">
        <f>IF(P3578="Hedge Fund",IF(A3578=Summary!$AD$3,M3578-E3578,M3578),IF(A3578=Summary!$AD$3,L3578-D3578,L3578))</f>
        <v>0</v>
      </c>
      <c r="O3578" s="95">
        <f t="shared" si="465"/>
        <v>0</v>
      </c>
      <c r="P3578" s="107" t="s">
        <v>155</v>
      </c>
      <c r="Q3578" s="107">
        <v>7.0647337428247095E-2</v>
      </c>
      <c r="R3578" s="107">
        <v>0.78179146950000034</v>
      </c>
      <c r="S3578" s="107">
        <v>3.6032118983682498E-3</v>
      </c>
      <c r="T3578" s="107">
        <v>2.8006063743124702E-2</v>
      </c>
      <c r="U3578" s="107" t="s">
        <v>0</v>
      </c>
      <c r="V3578" s="107">
        <v>4.6213212800000001</v>
      </c>
      <c r="W3578" s="107" t="s">
        <v>15</v>
      </c>
      <c r="X3578" s="107">
        <v>4.6213212800000001</v>
      </c>
      <c r="Y3578" s="107"/>
      <c r="Z3578" s="107"/>
      <c r="AA3578" s="107"/>
      <c r="AB3578" s="107"/>
      <c r="AC3578" s="355"/>
      <c r="AD3578" s="355"/>
      <c r="AE3578" s="355"/>
      <c r="AF3578" s="94">
        <f t="shared" si="466"/>
        <v>41971</v>
      </c>
      <c r="AG3578" s="185">
        <f t="shared" si="470"/>
        <v>-3.9293302975698774E-2</v>
      </c>
      <c r="AH3578" s="339" t="str">
        <f>VLOOKUP(B3578,'MF PF'!A:B,2)</f>
        <v>FdMgt1</v>
      </c>
      <c r="AI3578" s="358">
        <f t="shared" si="467"/>
        <v>0</v>
      </c>
      <c r="AJ3578" s="94">
        <f t="shared" si="468"/>
        <v>41973</v>
      </c>
    </row>
    <row r="3579" spans="1:36" ht="12.75" customHeight="1">
      <c r="A3579" s="97">
        <v>42004</v>
      </c>
      <c r="B3579" s="94" t="s">
        <v>189</v>
      </c>
      <c r="C3579" s="96" t="s">
        <v>298</v>
      </c>
      <c r="D3579" s="98">
        <v>8103036.0800000001</v>
      </c>
      <c r="E3579" s="9">
        <f t="shared" si="469"/>
        <v>1705231.8076484641</v>
      </c>
      <c r="F3579" s="98">
        <v>20</v>
      </c>
      <c r="G3579" s="98">
        <v>0</v>
      </c>
      <c r="H3579" s="98">
        <v>0</v>
      </c>
      <c r="I3579" s="98">
        <v>-1150000</v>
      </c>
      <c r="J3579" s="98"/>
      <c r="K3579" s="93">
        <v>4.7518677775393998</v>
      </c>
      <c r="L3579" s="93">
        <f t="shared" si="463"/>
        <v>-1150000</v>
      </c>
      <c r="M3579" s="95">
        <f t="shared" ca="1" si="464"/>
        <v>-242010.10083565291</v>
      </c>
      <c r="N3579" s="95">
        <f>IF(P3579="Hedge Fund",IF(A3579=Summary!$AD$3,M3579-E3579,M3579),IF(A3579=Summary!$AD$3,L3579-D3579,L3579))</f>
        <v>-1150000</v>
      </c>
      <c r="O3579" s="95">
        <f t="shared" si="465"/>
        <v>-1150000</v>
      </c>
      <c r="P3579" s="107" t="s">
        <v>155</v>
      </c>
      <c r="Q3579" s="107">
        <v>7.1964093250969696E-2</v>
      </c>
      <c r="R3579" s="107">
        <v>0.637980934</v>
      </c>
      <c r="S3579" s="107">
        <v>3.6668947213499099E-3</v>
      </c>
      <c r="T3579" s="107">
        <v>2.1601157457595801E-2</v>
      </c>
      <c r="U3579" s="107" t="s">
        <v>0</v>
      </c>
      <c r="V3579" s="107">
        <v>4.0515180400000004</v>
      </c>
      <c r="W3579" s="107" t="s">
        <v>15</v>
      </c>
      <c r="X3579" s="107">
        <v>4.0515180400000004</v>
      </c>
      <c r="Y3579" s="107"/>
      <c r="Z3579" s="107"/>
      <c r="AA3579" s="107"/>
      <c r="AB3579" s="107"/>
      <c r="AC3579" s="355"/>
      <c r="AD3579" s="355"/>
      <c r="AE3579" s="355"/>
      <c r="AF3579" s="94">
        <f t="shared" si="466"/>
        <v>42004</v>
      </c>
      <c r="AG3579" s="185">
        <f t="shared" si="470"/>
        <v>1.1245182243639906E-3</v>
      </c>
      <c r="AH3579" s="339" t="str">
        <f>VLOOKUP(B3579,'MF PF'!A:B,2)</f>
        <v>FdMgt1</v>
      </c>
      <c r="AI3579" s="358">
        <f t="shared" si="467"/>
        <v>0</v>
      </c>
      <c r="AJ3579" s="94">
        <f t="shared" si="468"/>
        <v>42004</v>
      </c>
    </row>
    <row r="3580" spans="1:36" ht="12.75" customHeight="1">
      <c r="A3580" s="97">
        <v>42034</v>
      </c>
      <c r="B3580" s="94" t="s">
        <v>189</v>
      </c>
      <c r="C3580" s="96" t="s">
        <v>298</v>
      </c>
      <c r="D3580" s="98">
        <v>8294624.1799999988</v>
      </c>
      <c r="E3580" s="9">
        <f t="shared" si="469"/>
        <v>1745550.2906049083</v>
      </c>
      <c r="F3580" s="98">
        <v>20</v>
      </c>
      <c r="G3580" s="98">
        <v>0</v>
      </c>
      <c r="H3580" s="98">
        <v>0</v>
      </c>
      <c r="I3580" s="98">
        <v>0</v>
      </c>
      <c r="J3580" s="98"/>
      <c r="K3580" s="93">
        <v>4.7518677775393998</v>
      </c>
      <c r="L3580" s="93">
        <f t="shared" si="463"/>
        <v>0</v>
      </c>
      <c r="M3580" s="95">
        <f t="shared" ca="1" si="464"/>
        <v>0</v>
      </c>
      <c r="N3580" s="95">
        <f>IF(P3580="Hedge Fund",IF(A3580=Summary!$AD$3,M3580-E3580,M3580),IF(A3580=Summary!$AD$3,L3580-D3580,L3580))</f>
        <v>0</v>
      </c>
      <c r="O3580" s="95">
        <f t="shared" si="465"/>
        <v>0</v>
      </c>
      <c r="P3580" s="107" t="s">
        <v>155</v>
      </c>
      <c r="Q3580" s="107">
        <v>6.6656517904930906E-2</v>
      </c>
      <c r="R3580" s="107">
        <v>0.83939367900000073</v>
      </c>
      <c r="S3580" s="107">
        <v>3.3964498489093844E-3</v>
      </c>
      <c r="T3580" s="107">
        <v>2.8420716141635733E-2</v>
      </c>
      <c r="U3580" s="107" t="s">
        <v>0</v>
      </c>
      <c r="V3580" s="107">
        <v>4.1473120899999998</v>
      </c>
      <c r="W3580" s="107" t="s">
        <v>15</v>
      </c>
      <c r="X3580" s="107">
        <v>4.1473120899999998</v>
      </c>
      <c r="Y3580" s="107"/>
      <c r="Z3580" s="107"/>
      <c r="AA3580" s="107"/>
      <c r="AB3580" s="107"/>
      <c r="AC3580" s="355"/>
      <c r="AD3580" s="355"/>
      <c r="AE3580" s="355"/>
      <c r="AF3580" s="94">
        <f t="shared" si="466"/>
        <v>42034</v>
      </c>
      <c r="AG3580" s="185">
        <f t="shared" si="470"/>
        <v>2.3643989500784501E-2</v>
      </c>
      <c r="AH3580" s="339" t="str">
        <f>VLOOKUP(B3580,'MF PF'!A:B,2)</f>
        <v>FdMgt1</v>
      </c>
      <c r="AI3580" s="358">
        <f t="shared" si="467"/>
        <v>0</v>
      </c>
      <c r="AJ3580" s="94">
        <f t="shared" si="468"/>
        <v>42035</v>
      </c>
    </row>
    <row r="3581" spans="1:36" ht="12.75" customHeight="1">
      <c r="A3581" s="97">
        <v>42062</v>
      </c>
      <c r="B3581" s="94" t="s">
        <v>189</v>
      </c>
      <c r="C3581" s="96" t="s">
        <v>298</v>
      </c>
      <c r="D3581" s="98">
        <v>8502524.2799999993</v>
      </c>
      <c r="E3581" s="9">
        <f t="shared" ref="E3581:E3612" si="471">D3581/K3581</f>
        <v>1789301.5290090321</v>
      </c>
      <c r="F3581" s="98">
        <v>20</v>
      </c>
      <c r="G3581" s="98">
        <v>0</v>
      </c>
      <c r="H3581" s="98">
        <v>0</v>
      </c>
      <c r="I3581" s="98">
        <v>0</v>
      </c>
      <c r="J3581" s="98"/>
      <c r="K3581" s="93">
        <v>4.7518677775393998</v>
      </c>
      <c r="L3581" s="93">
        <f t="shared" si="463"/>
        <v>0</v>
      </c>
      <c r="M3581" s="95">
        <f t="shared" ca="1" si="464"/>
        <v>0</v>
      </c>
      <c r="N3581" s="95">
        <f>IF(P3581="Hedge Fund",IF(A3581=Summary!$AD$3,M3581-E3581,M3581),IF(A3581=Summary!$AD$3,L3581-D3581,L3581))</f>
        <v>0</v>
      </c>
      <c r="O3581" s="95">
        <f t="shared" si="465"/>
        <v>0</v>
      </c>
      <c r="P3581" s="107" t="s">
        <v>155</v>
      </c>
      <c r="Q3581" s="107">
        <v>6.3682696399051303E-2</v>
      </c>
      <c r="R3581" s="107">
        <v>1.1906586805000003</v>
      </c>
      <c r="S3581" s="107">
        <v>3.2449202472771173E-3</v>
      </c>
      <c r="T3581" s="107">
        <v>4.0314066244076435E-2</v>
      </c>
      <c r="U3581" s="107" t="s">
        <v>0</v>
      </c>
      <c r="V3581" s="107">
        <v>4.2512621399999997</v>
      </c>
      <c r="W3581" s="107" t="s">
        <v>15</v>
      </c>
      <c r="X3581" s="107">
        <v>4.2512621399999997</v>
      </c>
      <c r="Y3581" s="107"/>
      <c r="Z3581" s="107"/>
      <c r="AA3581" s="107"/>
      <c r="AB3581" s="107"/>
      <c r="AC3581" s="355"/>
      <c r="AD3581" s="355"/>
      <c r="AE3581" s="355"/>
      <c r="AF3581" s="94">
        <f t="shared" si="466"/>
        <v>42062</v>
      </c>
      <c r="AG3581" s="185">
        <f t="shared" si="470"/>
        <v>2.5064438784494936E-2</v>
      </c>
      <c r="AH3581" s="339" t="str">
        <f>VLOOKUP(B3581,'MF PF'!A:B,2)</f>
        <v>FdMgt1</v>
      </c>
      <c r="AI3581" s="358">
        <f t="shared" si="467"/>
        <v>0</v>
      </c>
      <c r="AJ3581" s="94">
        <f t="shared" si="468"/>
        <v>42063</v>
      </c>
    </row>
    <row r="3582" spans="1:36" ht="12.75" customHeight="1">
      <c r="A3582" s="97">
        <v>42094</v>
      </c>
      <c r="B3582" s="94" t="s">
        <v>189</v>
      </c>
      <c r="C3582" s="96" t="s">
        <v>298</v>
      </c>
      <c r="D3582" s="98">
        <v>8525943.6600000001</v>
      </c>
      <c r="E3582" s="9">
        <f t="shared" si="471"/>
        <v>1794229.9868484309</v>
      </c>
      <c r="F3582" s="98">
        <v>20</v>
      </c>
      <c r="G3582" s="98">
        <v>0</v>
      </c>
      <c r="H3582" s="98">
        <v>0</v>
      </c>
      <c r="I3582" s="98">
        <v>0</v>
      </c>
      <c r="J3582" s="98"/>
      <c r="K3582" s="93">
        <v>4.7518677775393998</v>
      </c>
      <c r="L3582" s="93">
        <f t="shared" si="463"/>
        <v>0</v>
      </c>
      <c r="M3582" s="95">
        <f t="shared" ca="1" si="464"/>
        <v>0</v>
      </c>
      <c r="N3582" s="95">
        <f>IF(P3582="Hedge Fund",IF(A3582=Summary!$AD$3,M3582-E3582,M3582),IF(A3582=Summary!$AD$3,L3582-D3582,L3582))</f>
        <v>0</v>
      </c>
      <c r="O3582" s="95">
        <f t="shared" si="465"/>
        <v>0</v>
      </c>
      <c r="P3582" s="107" t="s">
        <v>155</v>
      </c>
      <c r="Q3582" s="107">
        <v>7.25169592266727E-2</v>
      </c>
      <c r="R3582" s="107">
        <v>1.1362937885000004</v>
      </c>
      <c r="S3582" s="107">
        <v>3.6930120238448799E-3</v>
      </c>
      <c r="T3582" s="107">
        <v>4.4687830897109503E-2</v>
      </c>
      <c r="U3582" s="107" t="s">
        <v>0</v>
      </c>
      <c r="V3582" s="107">
        <v>4.2629718299999997</v>
      </c>
      <c r="W3582" s="107" t="s">
        <v>15</v>
      </c>
      <c r="X3582" s="107">
        <v>4.2629718299999997</v>
      </c>
      <c r="Y3582" s="107"/>
      <c r="Z3582" s="107"/>
      <c r="AA3582" s="107"/>
      <c r="AB3582" s="107"/>
      <c r="AC3582" s="355"/>
      <c r="AD3582" s="355"/>
      <c r="AE3582" s="355"/>
      <c r="AF3582" s="94">
        <f t="shared" si="466"/>
        <v>42094</v>
      </c>
      <c r="AG3582" s="185">
        <f t="shared" si="470"/>
        <v>2.7544031900137433E-3</v>
      </c>
      <c r="AH3582" s="339" t="str">
        <f>VLOOKUP(B3582,'MF PF'!A:B,2)</f>
        <v>FdMgt1</v>
      </c>
      <c r="AI3582" s="358">
        <f t="shared" si="467"/>
        <v>0</v>
      </c>
      <c r="AJ3582" s="94">
        <f t="shared" si="468"/>
        <v>42094</v>
      </c>
    </row>
    <row r="3583" spans="1:36" ht="12.75" customHeight="1">
      <c r="A3583" s="97">
        <v>42124</v>
      </c>
      <c r="B3583" s="94" t="s">
        <v>189</v>
      </c>
      <c r="C3583" s="96" t="s">
        <v>298</v>
      </c>
      <c r="D3583" s="98">
        <v>8036124.9600000009</v>
      </c>
      <c r="E3583" s="9">
        <f t="shared" si="471"/>
        <v>1691150.7929543543</v>
      </c>
      <c r="F3583" s="98">
        <v>20</v>
      </c>
      <c r="G3583" s="98">
        <v>0</v>
      </c>
      <c r="H3583" s="98">
        <v>0</v>
      </c>
      <c r="I3583" s="98">
        <v>-643000</v>
      </c>
      <c r="J3583" s="98"/>
      <c r="K3583" s="93">
        <v>4.7518677775393998</v>
      </c>
      <c r="L3583" s="93">
        <f t="shared" si="463"/>
        <v>-643000</v>
      </c>
      <c r="M3583" s="95">
        <f t="shared" ca="1" si="464"/>
        <v>-135315.21290202157</v>
      </c>
      <c r="N3583" s="95">
        <f>IF(P3583="Hedge Fund",IF(A3583=Summary!$AD$3,M3583-E3583,M3583),IF(A3583=Summary!$AD$3,L3583-D3583,L3583))</f>
        <v>-643000</v>
      </c>
      <c r="O3583" s="95">
        <f t="shared" si="465"/>
        <v>-643000</v>
      </c>
      <c r="P3583" s="107" t="s">
        <v>155</v>
      </c>
      <c r="Q3583" s="107">
        <v>6.3952573684911806E-2</v>
      </c>
      <c r="R3583" s="107">
        <v>1.5239453505000014</v>
      </c>
      <c r="S3583" s="107">
        <v>3.2563482381166302E-3</v>
      </c>
      <c r="T3583" s="107">
        <v>6.2321826256616704E-2</v>
      </c>
      <c r="U3583" s="107" t="s">
        <v>0</v>
      </c>
      <c r="V3583" s="107">
        <v>4.0180624800000002</v>
      </c>
      <c r="W3583" s="107" t="s">
        <v>15</v>
      </c>
      <c r="X3583" s="107">
        <v>4.0180624800000002</v>
      </c>
      <c r="Y3583" s="107"/>
      <c r="Z3583" s="107"/>
      <c r="AA3583" s="107"/>
      <c r="AB3583" s="107"/>
      <c r="AC3583" s="355"/>
      <c r="AD3583" s="355"/>
      <c r="AE3583" s="355"/>
      <c r="AF3583" s="94">
        <f t="shared" si="466"/>
        <v>42124</v>
      </c>
      <c r="AG3583" s="185">
        <f t="shared" si="470"/>
        <v>1.7966492168915105E-2</v>
      </c>
      <c r="AH3583" s="339" t="str">
        <f>VLOOKUP(B3583,'MF PF'!A:B,2)</f>
        <v>FdMgt1</v>
      </c>
      <c r="AI3583" s="358">
        <f t="shared" si="467"/>
        <v>0</v>
      </c>
      <c r="AJ3583" s="94">
        <f t="shared" si="468"/>
        <v>42124</v>
      </c>
    </row>
    <row r="3584" spans="1:36" ht="12.75" customHeight="1">
      <c r="A3584" s="97">
        <v>42153</v>
      </c>
      <c r="B3584" s="94" t="s">
        <v>189</v>
      </c>
      <c r="C3584" s="96" t="s">
        <v>298</v>
      </c>
      <c r="D3584" s="98">
        <v>8083008.6200000001</v>
      </c>
      <c r="E3584" s="9">
        <f t="shared" si="471"/>
        <v>1701017.1575492623</v>
      </c>
      <c r="F3584" s="98">
        <v>20</v>
      </c>
      <c r="G3584" s="98">
        <v>0</v>
      </c>
      <c r="H3584" s="98">
        <v>0</v>
      </c>
      <c r="I3584" s="98">
        <v>0</v>
      </c>
      <c r="J3584" s="98"/>
      <c r="K3584" s="93">
        <v>4.7518677775393998</v>
      </c>
      <c r="L3584" s="93">
        <f t="shared" si="463"/>
        <v>0</v>
      </c>
      <c r="M3584" s="95">
        <f t="shared" ca="1" si="464"/>
        <v>0</v>
      </c>
      <c r="N3584" s="95">
        <f>IF(P3584="Hedge Fund",IF(A3584=Summary!$AD$3,M3584-E3584,M3584),IF(A3584=Summary!$AD$3,L3584-D3584,L3584))</f>
        <v>0</v>
      </c>
      <c r="O3584" s="95">
        <f t="shared" si="465"/>
        <v>0</v>
      </c>
      <c r="P3584" s="107" t="s">
        <v>155</v>
      </c>
      <c r="Q3584" s="107">
        <v>6.2049934270313203E-2</v>
      </c>
      <c r="R3584" s="107">
        <v>1.5775730350000001</v>
      </c>
      <c r="S3584" s="107">
        <v>3.159469314431325E-3</v>
      </c>
      <c r="T3584" s="107">
        <v>6.4514933269841965E-2</v>
      </c>
      <c r="U3584" s="107" t="s">
        <v>0</v>
      </c>
      <c r="V3584" s="107">
        <v>4.0415043099999997</v>
      </c>
      <c r="W3584" s="107" t="s">
        <v>15</v>
      </c>
      <c r="X3584" s="107">
        <v>4.0415043099999997</v>
      </c>
      <c r="Y3584" s="107"/>
      <c r="Z3584" s="107"/>
      <c r="AA3584" s="107"/>
      <c r="AB3584" s="107"/>
      <c r="AC3584" s="355"/>
      <c r="AD3584" s="355"/>
      <c r="AE3584" s="355"/>
      <c r="AF3584" s="94">
        <f t="shared" si="466"/>
        <v>42153</v>
      </c>
      <c r="AG3584" s="185">
        <f t="shared" si="470"/>
        <v>5.8341128632721784E-3</v>
      </c>
      <c r="AH3584" s="339" t="str">
        <f>VLOOKUP(B3584,'MF PF'!A:B,2)</f>
        <v>FdMgt1</v>
      </c>
      <c r="AI3584" s="358">
        <f t="shared" si="467"/>
        <v>0</v>
      </c>
      <c r="AJ3584" s="94">
        <f t="shared" si="468"/>
        <v>42155</v>
      </c>
    </row>
    <row r="3585" spans="1:36" ht="12.75" customHeight="1">
      <c r="A3585" s="97">
        <v>42185</v>
      </c>
      <c r="B3585" s="94" t="s">
        <v>189</v>
      </c>
      <c r="C3585" s="96" t="s">
        <v>298</v>
      </c>
      <c r="D3585" s="98">
        <v>8309419.8800000008</v>
      </c>
      <c r="E3585" s="9">
        <f t="shared" si="471"/>
        <v>1748663.950473547</v>
      </c>
      <c r="F3585" s="98">
        <v>20</v>
      </c>
      <c r="G3585" s="98">
        <v>0</v>
      </c>
      <c r="H3585" s="98">
        <v>0</v>
      </c>
      <c r="I3585" s="98">
        <v>0</v>
      </c>
      <c r="J3585" s="98"/>
      <c r="K3585" s="93">
        <v>4.7518677775393998</v>
      </c>
      <c r="L3585" s="93">
        <f t="shared" ref="L3585:L3648" si="472">G3585+H3585+I3585</f>
        <v>0</v>
      </c>
      <c r="M3585" s="95">
        <f t="shared" ref="M3585:M3648" ca="1" si="473">IF(A3585&gt;INDIRECT("A"&amp;ROW()-1),I3585/K3585,E3585)</f>
        <v>0</v>
      </c>
      <c r="N3585" s="95">
        <f>IF(P3585="Hedge Fund",IF(A3585=Summary!$AD$3,M3585-E3585,M3585),IF(A3585=Summary!$AD$3,L3585-D3585,L3585))</f>
        <v>0</v>
      </c>
      <c r="O3585" s="95">
        <f t="shared" ref="O3585:O3628" si="474">N3585</f>
        <v>0</v>
      </c>
      <c r="P3585" s="107" t="s">
        <v>155</v>
      </c>
      <c r="Q3585" s="107">
        <v>6.2049934270313203E-2</v>
      </c>
      <c r="R3585" s="107">
        <v>1.5775730350000001</v>
      </c>
      <c r="S3585" s="107">
        <v>3.159469314431325E-3</v>
      </c>
      <c r="T3585" s="107">
        <v>6.4514933269841965E-2</v>
      </c>
      <c r="U3585" s="107" t="s">
        <v>0</v>
      </c>
      <c r="V3585" s="107">
        <v>4.15470994</v>
      </c>
      <c r="W3585" s="107" t="s">
        <v>15</v>
      </c>
      <c r="X3585" s="107">
        <v>4.15470994</v>
      </c>
      <c r="Y3585" s="107"/>
      <c r="Z3585" s="107"/>
      <c r="AA3585" s="107"/>
      <c r="AB3585" s="107"/>
      <c r="AC3585" s="355"/>
      <c r="AD3585" s="355"/>
      <c r="AE3585" s="355"/>
      <c r="AF3585" s="94">
        <f t="shared" ref="AF3585:AF3648" si="475">A3585</f>
        <v>42185</v>
      </c>
      <c r="AG3585" s="185">
        <f t="shared" si="470"/>
        <v>2.8010765625040346E-2</v>
      </c>
      <c r="AH3585" s="339" t="str">
        <f>VLOOKUP(B3585,'MF PF'!A:B,2)</f>
        <v>FdMgt1</v>
      </c>
      <c r="AI3585" s="358">
        <f t="shared" ref="AI3585:AI3648" si="476">AF3585-A3585</f>
        <v>0</v>
      </c>
      <c r="AJ3585" s="94">
        <f t="shared" ref="AJ3585:AJ3648" si="477">EOMONTH(A3585,0)</f>
        <v>42185</v>
      </c>
    </row>
    <row r="3586" spans="1:36" ht="12.75" customHeight="1">
      <c r="A3586" s="97">
        <v>42216</v>
      </c>
      <c r="B3586" s="94" t="s">
        <v>189</v>
      </c>
      <c r="C3586" s="96" t="s">
        <v>298</v>
      </c>
      <c r="D3586" s="98">
        <v>7106513.879999999</v>
      </c>
      <c r="E3586" s="9">
        <f t="shared" si="471"/>
        <v>1495520.122338058</v>
      </c>
      <c r="F3586" s="98">
        <v>20</v>
      </c>
      <c r="G3586" s="98">
        <v>0</v>
      </c>
      <c r="H3586" s="98">
        <v>0</v>
      </c>
      <c r="I3586" s="98">
        <v>-906600</v>
      </c>
      <c r="J3586" s="98"/>
      <c r="K3586" s="93">
        <v>4.7518677775393998</v>
      </c>
      <c r="L3586" s="93">
        <f t="shared" si="472"/>
        <v>-906600</v>
      </c>
      <c r="M3586" s="95">
        <f t="shared" ca="1" si="473"/>
        <v>-190788.1368848721</v>
      </c>
      <c r="N3586" s="95">
        <f>IF(P3586="Hedge Fund",IF(A3586=Summary!$AD$3,M3586-E3586,M3586),IF(A3586=Summary!$AD$3,L3586-D3586,L3586))</f>
        <v>-906600</v>
      </c>
      <c r="O3586" s="95">
        <f t="shared" si="474"/>
        <v>-906600</v>
      </c>
      <c r="P3586" s="107" t="s">
        <v>155</v>
      </c>
      <c r="Q3586" s="107">
        <v>5.8155294263264601E-2</v>
      </c>
      <c r="R3586" s="107">
        <v>1.3647535125000005</v>
      </c>
      <c r="S3586" s="107">
        <v>2.9576832493149498E-3</v>
      </c>
      <c r="T3586" s="107">
        <v>5.4875959512572597E-2</v>
      </c>
      <c r="U3586" s="107" t="s">
        <v>0</v>
      </c>
      <c r="V3586" s="107">
        <v>3.5532569399999998</v>
      </c>
      <c r="W3586" s="107" t="s">
        <v>15</v>
      </c>
      <c r="X3586" s="107">
        <v>3.5532569399999998</v>
      </c>
      <c r="Y3586" s="107"/>
      <c r="Z3586" s="107"/>
      <c r="AA3586" s="107"/>
      <c r="AB3586" s="107"/>
      <c r="AC3586" s="355"/>
      <c r="AD3586" s="355"/>
      <c r="AE3586" s="355"/>
      <c r="AF3586" s="94">
        <f t="shared" si="475"/>
        <v>42216</v>
      </c>
      <c r="AG3586" s="185">
        <f t="shared" si="470"/>
        <v>-3.5659047716818715E-2</v>
      </c>
      <c r="AH3586" s="339" t="str">
        <f>VLOOKUP(B3586,'MF PF'!A:B,2)</f>
        <v>FdMgt1</v>
      </c>
      <c r="AI3586" s="358">
        <f t="shared" si="476"/>
        <v>0</v>
      </c>
      <c r="AJ3586" s="94">
        <f t="shared" si="477"/>
        <v>42216</v>
      </c>
    </row>
    <row r="3587" spans="1:36" ht="12.75" customHeight="1">
      <c r="A3587" s="97">
        <v>42247</v>
      </c>
      <c r="B3587" s="94" t="s">
        <v>189</v>
      </c>
      <c r="C3587" s="96" t="s">
        <v>298</v>
      </c>
      <c r="D3587" s="98">
        <v>7156824.0999999996</v>
      </c>
      <c r="E3587" s="9">
        <f t="shared" si="471"/>
        <v>1506107.5844382877</v>
      </c>
      <c r="F3587" s="98">
        <v>20</v>
      </c>
      <c r="G3587" s="98">
        <v>0</v>
      </c>
      <c r="H3587" s="98">
        <v>0</v>
      </c>
      <c r="I3587" s="98">
        <v>0</v>
      </c>
      <c r="J3587" s="98"/>
      <c r="K3587" s="93">
        <v>4.7518677775393998</v>
      </c>
      <c r="L3587" s="93">
        <f t="shared" si="472"/>
        <v>0</v>
      </c>
      <c r="M3587" s="95">
        <f t="shared" ca="1" si="473"/>
        <v>0</v>
      </c>
      <c r="N3587" s="95">
        <f>IF(P3587="Hedge Fund",IF(A3587=Summary!$AD$3,M3587-E3587,M3587),IF(A3587=Summary!$AD$3,L3587-D3587,L3587))</f>
        <v>0</v>
      </c>
      <c r="O3587" s="95">
        <f t="shared" si="474"/>
        <v>0</v>
      </c>
      <c r="P3587" s="107" t="s">
        <v>155</v>
      </c>
      <c r="Q3587" s="107">
        <v>5.7309681474404801E-2</v>
      </c>
      <c r="R3587" s="107">
        <v>1.1882007185000005</v>
      </c>
      <c r="S3587" s="107">
        <v>2.9128083672966799E-3</v>
      </c>
      <c r="T3587" s="107">
        <v>4.7278616678979597E-2</v>
      </c>
      <c r="U3587" s="107" t="s">
        <v>0</v>
      </c>
      <c r="V3587" s="107">
        <v>3.5784120499999998</v>
      </c>
      <c r="W3587" s="107" t="s">
        <v>15</v>
      </c>
      <c r="X3587" s="107">
        <v>3.5784120499999998</v>
      </c>
      <c r="Y3587" s="107"/>
      <c r="Z3587" s="107"/>
      <c r="AA3587" s="107"/>
      <c r="AB3587" s="107"/>
      <c r="AC3587" s="355"/>
      <c r="AD3587" s="355"/>
      <c r="AE3587" s="355"/>
      <c r="AF3587" s="94">
        <f t="shared" si="475"/>
        <v>42247</v>
      </c>
      <c r="AG3587" s="185">
        <f t="shared" si="470"/>
        <v>7.0794514510961193E-3</v>
      </c>
      <c r="AH3587" s="339" t="str">
        <f>VLOOKUP(B3587,'MF PF'!A:B,2)</f>
        <v>FdMgt1</v>
      </c>
      <c r="AI3587" s="358">
        <f t="shared" si="476"/>
        <v>0</v>
      </c>
      <c r="AJ3587" s="94">
        <f t="shared" si="477"/>
        <v>42247</v>
      </c>
    </row>
    <row r="3588" spans="1:36" ht="12.75" customHeight="1">
      <c r="A3588" s="97">
        <v>42277</v>
      </c>
      <c r="B3588" s="94" t="s">
        <v>189</v>
      </c>
      <c r="C3588" s="96" t="s">
        <v>298</v>
      </c>
      <c r="D3588" s="98">
        <v>6574095.5800000001</v>
      </c>
      <c r="E3588" s="9">
        <f t="shared" si="471"/>
        <v>1383476.1167121914</v>
      </c>
      <c r="F3588" s="98">
        <v>20</v>
      </c>
      <c r="G3588" s="98">
        <v>0</v>
      </c>
      <c r="H3588" s="98">
        <v>0</v>
      </c>
      <c r="I3588" s="98">
        <v>-569178.48</v>
      </c>
      <c r="J3588" s="98"/>
      <c r="K3588" s="93">
        <v>4.7518677775393998</v>
      </c>
      <c r="L3588" s="93">
        <f t="shared" si="472"/>
        <v>-569178.48</v>
      </c>
      <c r="M3588" s="95">
        <f t="shared" ca="1" si="473"/>
        <v>-119779.94898981186</v>
      </c>
      <c r="N3588" s="95">
        <f>IF(P3588="Hedge Fund",IF(A3588=Summary!$AD$3,M3588-E3588,M3588),IF(A3588=Summary!$AD$3,L3588-D3588,L3588))</f>
        <v>-569178.48</v>
      </c>
      <c r="O3588" s="95">
        <f t="shared" si="474"/>
        <v>-569178.48</v>
      </c>
      <c r="P3588" s="107" t="s">
        <v>155</v>
      </c>
      <c r="Q3588" s="107">
        <v>5.1776235041536098E-2</v>
      </c>
      <c r="R3588" s="107">
        <v>1.0430580290000013</v>
      </c>
      <c r="S3588" s="107">
        <v>2.6308200000000003E-3</v>
      </c>
      <c r="T3588" s="107">
        <v>4.0707752595644402E-2</v>
      </c>
      <c r="U3588" s="107" t="s">
        <v>0</v>
      </c>
      <c r="V3588" s="107">
        <v>3.2870477899999999</v>
      </c>
      <c r="W3588" s="107" t="s">
        <v>15</v>
      </c>
      <c r="X3588" s="107">
        <v>3.2870477899999999</v>
      </c>
      <c r="Y3588" s="107"/>
      <c r="Z3588" s="107"/>
      <c r="AA3588" s="107"/>
      <c r="AB3588" s="107"/>
      <c r="AC3588" s="355"/>
      <c r="AD3588" s="355"/>
      <c r="AE3588" s="355"/>
      <c r="AF3588" s="94">
        <f t="shared" si="475"/>
        <v>42277</v>
      </c>
      <c r="AG3588" s="185">
        <f t="shared" si="470"/>
        <v>-1.8933034835939555E-3</v>
      </c>
      <c r="AH3588" s="339" t="str">
        <f>VLOOKUP(B3588,'MF PF'!A:B,2)</f>
        <v>FdMgt1</v>
      </c>
      <c r="AI3588" s="358">
        <f t="shared" si="476"/>
        <v>0</v>
      </c>
      <c r="AJ3588" s="94">
        <f t="shared" si="477"/>
        <v>42277</v>
      </c>
    </row>
    <row r="3589" spans="1:36" ht="12.75" customHeight="1">
      <c r="A3589" s="97">
        <v>42307</v>
      </c>
      <c r="B3589" s="94" t="s">
        <v>189</v>
      </c>
      <c r="C3589" s="96" t="s">
        <v>298</v>
      </c>
      <c r="D3589" s="98">
        <v>6539175.9199999999</v>
      </c>
      <c r="E3589" s="9">
        <f t="shared" si="471"/>
        <v>1376127.4989402376</v>
      </c>
      <c r="F3589" s="98">
        <v>20</v>
      </c>
      <c r="G3589" s="98">
        <v>0</v>
      </c>
      <c r="H3589" s="98">
        <v>0</v>
      </c>
      <c r="I3589" s="98">
        <v>0</v>
      </c>
      <c r="J3589" s="98"/>
      <c r="K3589" s="93">
        <v>4.7518677775393998</v>
      </c>
      <c r="L3589" s="93">
        <f t="shared" si="472"/>
        <v>0</v>
      </c>
      <c r="M3589" s="95">
        <f t="shared" ca="1" si="473"/>
        <v>0</v>
      </c>
      <c r="N3589" s="95">
        <f>IF(P3589="Hedge Fund",IF(A3589=Summary!$AD$3,M3589-E3589,M3589),IF(A3589=Summary!$AD$3,L3589-D3589,L3589))</f>
        <v>0</v>
      </c>
      <c r="O3589" s="95">
        <f t="shared" si="474"/>
        <v>0</v>
      </c>
      <c r="P3589" s="107" t="s">
        <v>155</v>
      </c>
      <c r="Q3589" s="107">
        <v>5.2137021220164295E-2</v>
      </c>
      <c r="R3589" s="107">
        <v>1.1204263632040079</v>
      </c>
      <c r="S3589" s="107">
        <v>2.6494600000000002E-3</v>
      </c>
      <c r="T3589" s="107">
        <v>4.38330789809998E-2</v>
      </c>
      <c r="U3589" s="107" t="s">
        <v>0</v>
      </c>
      <c r="V3589" s="107">
        <v>3.26958796</v>
      </c>
      <c r="W3589" s="107" t="s">
        <v>15</v>
      </c>
      <c r="X3589" s="107">
        <v>3.26958796</v>
      </c>
      <c r="Y3589" s="107"/>
      <c r="Z3589" s="107"/>
      <c r="AA3589" s="107"/>
      <c r="AB3589" s="107"/>
      <c r="AC3589" s="355"/>
      <c r="AD3589" s="355"/>
      <c r="AE3589" s="355"/>
      <c r="AF3589" s="94">
        <f t="shared" si="475"/>
        <v>42307</v>
      </c>
      <c r="AG3589" s="185">
        <f t="shared" si="470"/>
        <v>-5.3117055532678759E-3</v>
      </c>
      <c r="AH3589" s="339" t="str">
        <f>VLOOKUP(B3589,'MF PF'!A:B,2)</f>
        <v>FdMgt1</v>
      </c>
      <c r="AI3589" s="358">
        <f t="shared" si="476"/>
        <v>0</v>
      </c>
      <c r="AJ3589" s="94">
        <f t="shared" si="477"/>
        <v>42308</v>
      </c>
    </row>
    <row r="3590" spans="1:36" ht="12.75" customHeight="1">
      <c r="A3590" s="97">
        <v>42338</v>
      </c>
      <c r="B3590" s="94" t="s">
        <v>189</v>
      </c>
      <c r="C3590" s="96" t="s">
        <v>298</v>
      </c>
      <c r="D3590" s="98">
        <v>6521329.5</v>
      </c>
      <c r="E3590" s="9">
        <f t="shared" si="471"/>
        <v>1372371.8346761025</v>
      </c>
      <c r="F3590" s="98">
        <v>20</v>
      </c>
      <c r="G3590" s="98">
        <v>0</v>
      </c>
      <c r="H3590" s="98">
        <v>-9.3132257461547852E-10</v>
      </c>
      <c r="I3590" s="98">
        <v>0</v>
      </c>
      <c r="J3590" s="98"/>
      <c r="K3590" s="93">
        <v>4.7518677775393998</v>
      </c>
      <c r="L3590" s="93">
        <f t="shared" si="472"/>
        <v>-9.3132257461547852E-10</v>
      </c>
      <c r="M3590" s="95">
        <f t="shared" ca="1" si="473"/>
        <v>0</v>
      </c>
      <c r="N3590" s="95">
        <f>IF(P3590="Hedge Fund",IF(A3590=Summary!$AD$3,M3590-E3590,M3590),IF(A3590=Summary!$AD$3,L3590-D3590,L3590))</f>
        <v>-9.3132257461547852E-10</v>
      </c>
      <c r="O3590" s="95">
        <f t="shared" si="474"/>
        <v>-9.3132257461547852E-10</v>
      </c>
      <c r="P3590" s="107" t="s">
        <v>155</v>
      </c>
      <c r="Q3590" s="107">
        <v>5.3311669123790949E-2</v>
      </c>
      <c r="R3590" s="107">
        <v>1.0007359425328697</v>
      </c>
      <c r="S3590" s="107">
        <v>2.7081700000000002E-3</v>
      </c>
      <c r="T3590" s="107">
        <v>3.8400695408189002E-2</v>
      </c>
      <c r="U3590" s="107" t="s">
        <v>0</v>
      </c>
      <c r="V3590" s="107">
        <v>3.2606647500000001</v>
      </c>
      <c r="W3590" s="107" t="s">
        <v>15</v>
      </c>
      <c r="X3590" s="107">
        <v>3.2606647500000001</v>
      </c>
      <c r="Y3590" s="107"/>
      <c r="Z3590" s="107"/>
      <c r="AA3590" s="107"/>
      <c r="AB3590" s="107"/>
      <c r="AC3590" s="355"/>
      <c r="AD3590" s="355"/>
      <c r="AE3590" s="355"/>
      <c r="AF3590" s="94">
        <f t="shared" si="475"/>
        <v>42338</v>
      </c>
      <c r="AG3590" s="185">
        <f t="shared" si="470"/>
        <v>-2.72915428768572E-3</v>
      </c>
      <c r="AH3590" s="339" t="str">
        <f>VLOOKUP(B3590,'MF PF'!A:B,2)</f>
        <v>FdMgt1</v>
      </c>
      <c r="AI3590" s="358">
        <f t="shared" si="476"/>
        <v>0</v>
      </c>
      <c r="AJ3590" s="94">
        <f t="shared" si="477"/>
        <v>42338</v>
      </c>
    </row>
    <row r="3591" spans="1:36" ht="12.75" customHeight="1">
      <c r="A3591" s="97">
        <v>42369</v>
      </c>
      <c r="B3591" s="94" t="s">
        <v>189</v>
      </c>
      <c r="C3591" s="96" t="s">
        <v>298</v>
      </c>
      <c r="D3591" s="98">
        <v>4694623.7800000012</v>
      </c>
      <c r="E3591" s="9">
        <f t="shared" si="471"/>
        <v>987953.36902891682</v>
      </c>
      <c r="F3591" s="98">
        <v>20</v>
      </c>
      <c r="G3591" s="98">
        <v>0</v>
      </c>
      <c r="H3591" s="98">
        <v>0</v>
      </c>
      <c r="I3591" s="98">
        <v>-1277640</v>
      </c>
      <c r="J3591" s="98"/>
      <c r="K3591" s="93">
        <v>4.7518677775393998</v>
      </c>
      <c r="L3591" s="93">
        <f t="shared" si="472"/>
        <v>-1277640</v>
      </c>
      <c r="M3591" s="95">
        <f t="shared" ca="1" si="473"/>
        <v>-268871.11759275093</v>
      </c>
      <c r="N3591" s="95">
        <f>IF(P3591="Hedge Fund",IF(A3591=Summary!$AD$3,M3591-E3591,M3591),IF(A3591=Summary!$AD$3,L3591-D3591,L3591))</f>
        <v>-1277640</v>
      </c>
      <c r="O3591" s="95">
        <f t="shared" si="474"/>
        <v>-1277640</v>
      </c>
      <c r="P3591" s="107" t="s">
        <v>155</v>
      </c>
      <c r="Q3591" s="107">
        <v>2.5074186134815601E-2</v>
      </c>
      <c r="R3591" s="107">
        <v>0.14746175550000015</v>
      </c>
      <c r="S3591" s="107">
        <v>1.2789000000000001E-3</v>
      </c>
      <c r="T3591" s="107">
        <v>2.9492351689660011E-3</v>
      </c>
      <c r="U3591" s="107" t="s">
        <v>0</v>
      </c>
      <c r="V3591" s="107">
        <v>2.3473118900000003</v>
      </c>
      <c r="W3591" s="107" t="s">
        <v>15</v>
      </c>
      <c r="X3591" s="107">
        <v>2.3473118900000003</v>
      </c>
      <c r="Y3591" s="107"/>
      <c r="Z3591" s="107"/>
      <c r="AA3591" s="107"/>
      <c r="AB3591" s="107"/>
      <c r="AC3591" s="355"/>
      <c r="AD3591" s="355"/>
      <c r="AE3591" s="355"/>
      <c r="AF3591" s="94">
        <f t="shared" si="475"/>
        <v>42369</v>
      </c>
      <c r="AG3591" s="185">
        <f t="shared" si="470"/>
        <v>-8.4195365377565889E-2</v>
      </c>
      <c r="AH3591" s="339" t="str">
        <f>VLOOKUP(B3591,'MF PF'!A:B,2)</f>
        <v>FdMgt1</v>
      </c>
      <c r="AI3591" s="358">
        <f t="shared" si="476"/>
        <v>0</v>
      </c>
      <c r="AJ3591" s="94">
        <f t="shared" si="477"/>
        <v>42369</v>
      </c>
    </row>
    <row r="3592" spans="1:36" ht="12.75" customHeight="1">
      <c r="A3592" s="97">
        <v>42398</v>
      </c>
      <c r="B3592" s="94" t="s">
        <v>189</v>
      </c>
      <c r="C3592" s="96" t="s">
        <v>298</v>
      </c>
      <c r="D3592" s="98">
        <v>4577805.9000000004</v>
      </c>
      <c r="E3592" s="9">
        <f t="shared" si="471"/>
        <v>963369.79779569292</v>
      </c>
      <c r="F3592" s="98">
        <v>20</v>
      </c>
      <c r="G3592" s="98">
        <v>0</v>
      </c>
      <c r="H3592" s="98">
        <v>0</v>
      </c>
      <c r="I3592" s="98">
        <v>0</v>
      </c>
      <c r="J3592" s="98"/>
      <c r="K3592" s="93">
        <v>4.7518677775393998</v>
      </c>
      <c r="L3592" s="93">
        <f t="shared" si="472"/>
        <v>0</v>
      </c>
      <c r="M3592" s="95">
        <f t="shared" ca="1" si="473"/>
        <v>0</v>
      </c>
      <c r="N3592" s="95">
        <f>IF(P3592="Hedge Fund",IF(A3592=Summary!$AD$3,M3592-E3592,M3592),IF(A3592=Summary!$AD$3,L3592-D3592,L3592))</f>
        <v>0</v>
      </c>
      <c r="O3592" s="95">
        <f t="shared" si="474"/>
        <v>0</v>
      </c>
      <c r="P3592" s="107" t="s">
        <v>155</v>
      </c>
      <c r="Q3592" s="107">
        <v>1.9757121539852599E-2</v>
      </c>
      <c r="R3592" s="107">
        <v>1.8735705716780154E-2</v>
      </c>
      <c r="S3592" s="107">
        <v>1.0097288277658601E-3</v>
      </c>
      <c r="T3592" s="107">
        <v>3.7471411433560316E-4</v>
      </c>
      <c r="U3592" s="107" t="s">
        <v>0</v>
      </c>
      <c r="V3592" s="107">
        <v>2.2889029500000002</v>
      </c>
      <c r="W3592" s="107" t="s">
        <v>15</v>
      </c>
      <c r="X3592" s="107">
        <v>2.2889029500000002</v>
      </c>
      <c r="Y3592" s="107"/>
      <c r="Z3592" s="107"/>
      <c r="AA3592" s="107"/>
      <c r="AB3592" s="107"/>
      <c r="AC3592" s="355"/>
      <c r="AD3592" s="355"/>
      <c r="AE3592" s="355"/>
      <c r="AF3592" s="94">
        <f t="shared" si="475"/>
        <v>42398</v>
      </c>
      <c r="AG3592" s="185">
        <f t="shared" si="470"/>
        <v>-2.4883331545685783E-2</v>
      </c>
      <c r="AH3592" s="339" t="str">
        <f>VLOOKUP(B3592,'MF PF'!A:B,2)</f>
        <v>FdMgt1</v>
      </c>
      <c r="AI3592" s="358">
        <f t="shared" si="476"/>
        <v>0</v>
      </c>
      <c r="AJ3592" s="94">
        <f t="shared" si="477"/>
        <v>42400</v>
      </c>
    </row>
    <row r="3593" spans="1:36" ht="12.75" customHeight="1">
      <c r="A3593" s="97">
        <v>42429</v>
      </c>
      <c r="B3593" s="94" t="s">
        <v>189</v>
      </c>
      <c r="C3593" s="96" t="s">
        <v>298</v>
      </c>
      <c r="D3593" s="98">
        <v>4623394.4999999991</v>
      </c>
      <c r="E3593" s="9">
        <f t="shared" si="471"/>
        <v>972963.62534608936</v>
      </c>
      <c r="F3593" s="98">
        <v>20</v>
      </c>
      <c r="G3593" s="98">
        <v>0</v>
      </c>
      <c r="H3593" s="98">
        <v>0</v>
      </c>
      <c r="I3593" s="98">
        <v>0</v>
      </c>
      <c r="J3593" s="98"/>
      <c r="K3593" s="93">
        <v>4.7518677775393998</v>
      </c>
      <c r="L3593" s="93">
        <f t="shared" si="472"/>
        <v>0</v>
      </c>
      <c r="M3593" s="95">
        <f t="shared" ca="1" si="473"/>
        <v>0</v>
      </c>
      <c r="N3593" s="95">
        <f>IF(P3593="Hedge Fund",IF(A3593=Summary!$AD$3,M3593-E3593,M3593),IF(A3593=Summary!$AD$3,L3593-D3593,L3593))</f>
        <v>0</v>
      </c>
      <c r="O3593" s="95">
        <f t="shared" si="474"/>
        <v>0</v>
      </c>
      <c r="P3593" s="107" t="s">
        <v>155</v>
      </c>
      <c r="Q3593" s="107">
        <v>2.3619030146024402E-3</v>
      </c>
      <c r="R3593" s="107">
        <v>7.7928940575246505E-2</v>
      </c>
      <c r="S3593" s="107">
        <v>1.4168339043671199E-4</v>
      </c>
      <c r="T3593" s="107">
        <v>1.5585788498134019E-3</v>
      </c>
      <c r="U3593" s="107" t="s">
        <v>0</v>
      </c>
      <c r="V3593" s="107">
        <v>2.3116972499999999</v>
      </c>
      <c r="W3593" s="107" t="s">
        <v>15</v>
      </c>
      <c r="X3593" s="107">
        <v>2.3116972499999999</v>
      </c>
      <c r="Y3593" s="107"/>
      <c r="Z3593" s="107"/>
      <c r="AA3593" s="107"/>
      <c r="AB3593" s="107"/>
      <c r="AC3593" s="355"/>
      <c r="AD3593" s="355"/>
      <c r="AE3593" s="355"/>
      <c r="AF3593" s="94">
        <f t="shared" si="475"/>
        <v>42429</v>
      </c>
      <c r="AG3593" s="185">
        <f t="shared" si="470"/>
        <v>9.9586135794875741E-3</v>
      </c>
      <c r="AH3593" s="339" t="str">
        <f>VLOOKUP(B3593,'MF PF'!A:B,2)</f>
        <v>FdMgt1</v>
      </c>
      <c r="AI3593" s="358">
        <f t="shared" si="476"/>
        <v>0</v>
      </c>
      <c r="AJ3593" s="94">
        <f t="shared" si="477"/>
        <v>42429</v>
      </c>
    </row>
    <row r="3594" spans="1:36" ht="12.75" customHeight="1">
      <c r="A3594" s="97">
        <v>42460</v>
      </c>
      <c r="B3594" s="94" t="s">
        <v>189</v>
      </c>
      <c r="C3594" s="96" t="s">
        <v>298</v>
      </c>
      <c r="D3594" s="98">
        <v>4623394.5</v>
      </c>
      <c r="E3594" s="9">
        <f t="shared" si="471"/>
        <v>972963.6253460896</v>
      </c>
      <c r="F3594" s="98">
        <v>20</v>
      </c>
      <c r="G3594" s="98">
        <v>0</v>
      </c>
      <c r="H3594" s="98">
        <v>0</v>
      </c>
      <c r="I3594" s="98">
        <v>0</v>
      </c>
      <c r="J3594" s="98"/>
      <c r="K3594" s="93">
        <v>4.7518677775393998</v>
      </c>
      <c r="L3594" s="93">
        <f t="shared" si="472"/>
        <v>0</v>
      </c>
      <c r="M3594" s="95">
        <f t="shared" ca="1" si="473"/>
        <v>0</v>
      </c>
      <c r="N3594" s="95">
        <f>IF(P3594="Hedge Fund",IF(A3594=Summary!$AD$3,M3594-E3594,M3594),IF(A3594=Summary!$AD$3,L3594-D3594,L3594))</f>
        <v>0</v>
      </c>
      <c r="O3594" s="95">
        <f t="shared" si="474"/>
        <v>0</v>
      </c>
      <c r="P3594" s="107" t="s">
        <v>155</v>
      </c>
      <c r="Q3594" s="107">
        <v>0</v>
      </c>
      <c r="R3594" s="107">
        <v>0.20326950866163968</v>
      </c>
      <c r="S3594" s="107">
        <v>0</v>
      </c>
      <c r="T3594" s="107">
        <v>4.0653902352410379E-3</v>
      </c>
      <c r="U3594" s="107" t="s">
        <v>0</v>
      </c>
      <c r="V3594" s="107">
        <v>2.3116972499999999</v>
      </c>
      <c r="W3594" s="107" t="s">
        <v>15</v>
      </c>
      <c r="X3594" s="107">
        <v>2.3116972499999999</v>
      </c>
      <c r="Y3594" s="107"/>
      <c r="Z3594" s="107"/>
      <c r="AA3594" s="107"/>
      <c r="AB3594" s="107"/>
      <c r="AC3594" s="355"/>
      <c r="AD3594" s="355"/>
      <c r="AE3594" s="355"/>
      <c r="AF3594" s="94">
        <f t="shared" si="475"/>
        <v>42460</v>
      </c>
      <c r="AG3594" s="185">
        <f t="shared" si="470"/>
        <v>2.2204460492503131E-16</v>
      </c>
      <c r="AH3594" s="339" t="str">
        <f>VLOOKUP(B3594,'MF PF'!A:B,2)</f>
        <v>FdMgt1</v>
      </c>
      <c r="AI3594" s="358">
        <f t="shared" si="476"/>
        <v>0</v>
      </c>
      <c r="AJ3594" s="94">
        <f t="shared" si="477"/>
        <v>42460</v>
      </c>
    </row>
    <row r="3595" spans="1:36" ht="12.75" customHeight="1">
      <c r="A3595" s="97">
        <v>42489</v>
      </c>
      <c r="B3595" s="94" t="s">
        <v>189</v>
      </c>
      <c r="C3595" s="96" t="s">
        <v>298</v>
      </c>
      <c r="D3595" s="98">
        <v>4841242.1399999997</v>
      </c>
      <c r="E3595" s="9">
        <f t="shared" si="471"/>
        <v>1018808.2595401843</v>
      </c>
      <c r="F3595" s="98">
        <v>20</v>
      </c>
      <c r="G3595" s="98">
        <v>0</v>
      </c>
      <c r="H3595" s="98">
        <v>0</v>
      </c>
      <c r="I3595" s="98">
        <v>0</v>
      </c>
      <c r="J3595" s="98"/>
      <c r="K3595" s="93">
        <v>4.7518677775393998</v>
      </c>
      <c r="L3595" s="93">
        <f t="shared" si="472"/>
        <v>0</v>
      </c>
      <c r="M3595" s="95">
        <f t="shared" ca="1" si="473"/>
        <v>0</v>
      </c>
      <c r="N3595" s="95">
        <f>IF(P3595="Hedge Fund",IF(A3595=Summary!$AD$3,M3595-E3595,M3595),IF(A3595=Summary!$AD$3,L3595-D3595,L3595))</f>
        <v>0</v>
      </c>
      <c r="O3595" s="95">
        <f t="shared" si="474"/>
        <v>0</v>
      </c>
      <c r="P3595" s="107" t="s">
        <v>155</v>
      </c>
      <c r="Q3595" s="107">
        <v>0</v>
      </c>
      <c r="R3595" s="107">
        <v>0.27563152974245902</v>
      </c>
      <c r="S3595" s="107">
        <v>0</v>
      </c>
      <c r="T3595" s="107">
        <v>5.5126306423399383E-3</v>
      </c>
      <c r="U3595" s="107" t="s">
        <v>0</v>
      </c>
      <c r="V3595" s="107">
        <v>2.4206210699999997</v>
      </c>
      <c r="W3595" s="107" t="s">
        <v>15</v>
      </c>
      <c r="X3595" s="107">
        <v>2.4206210699999997</v>
      </c>
      <c r="Y3595" s="107"/>
      <c r="Z3595" s="107"/>
      <c r="AA3595" s="107"/>
      <c r="AB3595" s="107"/>
      <c r="AC3595" s="355"/>
      <c r="AD3595" s="355"/>
      <c r="AE3595" s="355"/>
      <c r="AF3595" s="94">
        <f t="shared" si="475"/>
        <v>42489</v>
      </c>
      <c r="AG3595" s="185">
        <f t="shared" si="470"/>
        <v>4.7118548936284643E-2</v>
      </c>
      <c r="AH3595" s="339" t="str">
        <f>VLOOKUP(B3595,'MF PF'!A:B,2)</f>
        <v>FdMgt1</v>
      </c>
      <c r="AI3595" s="358">
        <f t="shared" si="476"/>
        <v>0</v>
      </c>
      <c r="AJ3595" s="94">
        <f t="shared" si="477"/>
        <v>42490</v>
      </c>
    </row>
    <row r="3596" spans="1:36" ht="12.75" customHeight="1">
      <c r="A3596" s="97">
        <v>42521</v>
      </c>
      <c r="B3596" s="94" t="s">
        <v>189</v>
      </c>
      <c r="C3596" s="96" t="s">
        <v>298</v>
      </c>
      <c r="D3596" s="98">
        <v>4810791.78</v>
      </c>
      <c r="E3596" s="95">
        <f t="shared" si="471"/>
        <v>1012400.1771975046</v>
      </c>
      <c r="F3596" s="98">
        <v>20</v>
      </c>
      <c r="G3596" s="98">
        <v>0</v>
      </c>
      <c r="H3596" s="98">
        <v>-9.3132257461547852E-10</v>
      </c>
      <c r="I3596" s="98">
        <v>0</v>
      </c>
      <c r="J3596" s="98"/>
      <c r="K3596" s="93">
        <v>4.7518677775393998</v>
      </c>
      <c r="L3596" s="93">
        <f t="shared" si="472"/>
        <v>-9.3132257461547852E-10</v>
      </c>
      <c r="M3596" s="95">
        <f t="shared" ca="1" si="473"/>
        <v>0</v>
      </c>
      <c r="N3596" s="95">
        <f>IF(P3596="Hedge Fund",IF(A3596=Summary!$AD$3,M3596-E3596,M3596),IF(A3596=Summary!$AD$3,L3596-D3596,L3596))</f>
        <v>-9.3132257461547852E-10</v>
      </c>
      <c r="O3596" s="95">
        <f t="shared" si="474"/>
        <v>-9.3132257461547852E-10</v>
      </c>
      <c r="P3596" s="107" t="s">
        <v>155</v>
      </c>
      <c r="Q3596" s="107">
        <v>0</v>
      </c>
      <c r="R3596" s="107">
        <v>0.22840141583163867</v>
      </c>
      <c r="S3596" s="107">
        <v>0</v>
      </c>
      <c r="T3596" s="107">
        <v>4.5680299999999998E-3</v>
      </c>
      <c r="U3596" s="107" t="s">
        <v>0</v>
      </c>
      <c r="V3596" s="107">
        <v>2.4053958900000003</v>
      </c>
      <c r="W3596" s="107" t="s">
        <v>15</v>
      </c>
      <c r="X3596" s="107">
        <v>2.4053958900000003</v>
      </c>
      <c r="Y3596" s="107"/>
      <c r="Z3596" s="107"/>
      <c r="AA3596" s="107"/>
      <c r="AB3596" s="107"/>
      <c r="AC3596" s="355"/>
      <c r="AD3596" s="355"/>
      <c r="AE3596" s="355"/>
      <c r="AF3596" s="94">
        <f t="shared" si="475"/>
        <v>42521</v>
      </c>
      <c r="AG3596" s="185">
        <f t="shared" si="470"/>
        <v>-6.2897824813196168E-3</v>
      </c>
      <c r="AH3596" s="339" t="str">
        <f>VLOOKUP(B3596,'MF PF'!A:B,2)</f>
        <v>FdMgt1</v>
      </c>
      <c r="AI3596" s="358">
        <f t="shared" si="476"/>
        <v>0</v>
      </c>
      <c r="AJ3596" s="94">
        <f t="shared" si="477"/>
        <v>42521</v>
      </c>
    </row>
    <row r="3597" spans="1:36" ht="12.75" customHeight="1">
      <c r="A3597" s="97">
        <v>42551</v>
      </c>
      <c r="B3597" s="94" t="s">
        <v>189</v>
      </c>
      <c r="C3597" s="96" t="s">
        <v>298</v>
      </c>
      <c r="D3597" s="98">
        <v>4871895.0999999996</v>
      </c>
      <c r="E3597" s="9">
        <f t="shared" si="471"/>
        <v>1025258.9777493245</v>
      </c>
      <c r="F3597" s="98">
        <v>20</v>
      </c>
      <c r="G3597" s="98">
        <v>0</v>
      </c>
      <c r="H3597" s="98">
        <v>0</v>
      </c>
      <c r="I3597" s="98">
        <v>0</v>
      </c>
      <c r="J3597" s="98"/>
      <c r="K3597" s="93">
        <v>4.7518677775393998</v>
      </c>
      <c r="L3597" s="93">
        <f t="shared" si="472"/>
        <v>0</v>
      </c>
      <c r="M3597" s="95">
        <f t="shared" ca="1" si="473"/>
        <v>0</v>
      </c>
      <c r="N3597" s="95">
        <f>IF(P3597="Hedge Fund",IF(A3597=Summary!$AD$3,M3597-E3597,M3597),IF(A3597=Summary!$AD$3,L3597-D3597,L3597))</f>
        <v>0</v>
      </c>
      <c r="O3597" s="95">
        <f t="shared" si="474"/>
        <v>0</v>
      </c>
      <c r="P3597" s="107" t="s">
        <v>155</v>
      </c>
      <c r="Q3597" s="107">
        <v>0</v>
      </c>
      <c r="R3597" s="107">
        <v>0.235709396971858</v>
      </c>
      <c r="S3597" s="107">
        <v>0</v>
      </c>
      <c r="T3597" s="107">
        <v>4.7141879394371495E-3</v>
      </c>
      <c r="U3597" s="107" t="s">
        <v>0</v>
      </c>
      <c r="V3597" s="107">
        <v>2.4359475499999999</v>
      </c>
      <c r="W3597" s="107" t="s">
        <v>15</v>
      </c>
      <c r="X3597" s="107">
        <v>2.4359475499999999</v>
      </c>
      <c r="Y3597" s="107"/>
      <c r="Z3597" s="107"/>
      <c r="AA3597" s="107"/>
      <c r="AB3597" s="107"/>
      <c r="AC3597" s="355"/>
      <c r="AD3597" s="355"/>
      <c r="AE3597" s="355"/>
      <c r="AF3597" s="94">
        <f t="shared" si="475"/>
        <v>42551</v>
      </c>
      <c r="AG3597" s="185">
        <f t="shared" si="470"/>
        <v>1.2701302154465521E-2</v>
      </c>
      <c r="AH3597" s="339" t="str">
        <f>VLOOKUP(B3597,'MF PF'!A:B,2)</f>
        <v>FdMgt1</v>
      </c>
      <c r="AI3597" s="358">
        <f t="shared" si="476"/>
        <v>0</v>
      </c>
      <c r="AJ3597" s="94">
        <f t="shared" si="477"/>
        <v>42551</v>
      </c>
    </row>
    <row r="3598" spans="1:36" ht="12.75" customHeight="1">
      <c r="A3598" s="97">
        <v>42580</v>
      </c>
      <c r="B3598" s="94" t="s">
        <v>189</v>
      </c>
      <c r="C3598" s="96" t="s">
        <v>298</v>
      </c>
      <c r="D3598" s="98">
        <v>4940436.7</v>
      </c>
      <c r="E3598" s="9">
        <f t="shared" si="471"/>
        <v>1039683.116468835</v>
      </c>
      <c r="F3598" s="98">
        <v>20</v>
      </c>
      <c r="G3598" s="98">
        <v>0</v>
      </c>
      <c r="H3598" s="98">
        <v>0</v>
      </c>
      <c r="I3598" s="98">
        <v>0</v>
      </c>
      <c r="J3598" s="98"/>
      <c r="K3598" s="93">
        <v>4.7518677775393998</v>
      </c>
      <c r="L3598" s="93">
        <f t="shared" si="472"/>
        <v>0</v>
      </c>
      <c r="M3598" s="95">
        <f t="shared" ca="1" si="473"/>
        <v>0</v>
      </c>
      <c r="N3598" s="95">
        <f>IF(P3598="Hedge Fund",IF(A3598=Summary!$AD$3,M3598-E3598,M3598),IF(A3598=Summary!$AD$3,L3598-D3598,L3598))</f>
        <v>0</v>
      </c>
      <c r="O3598" s="95">
        <f t="shared" si="474"/>
        <v>0</v>
      </c>
      <c r="P3598" s="107" t="s">
        <v>155</v>
      </c>
      <c r="Q3598" s="107">
        <v>0</v>
      </c>
      <c r="R3598" s="107">
        <v>0.32778970647002798</v>
      </c>
      <c r="S3598" s="107">
        <v>0</v>
      </c>
      <c r="T3598" s="107">
        <v>6.57198491655369E-3</v>
      </c>
      <c r="U3598" s="107" t="s">
        <v>0</v>
      </c>
      <c r="V3598" s="107">
        <v>2.4702183500000001</v>
      </c>
      <c r="W3598" s="107" t="s">
        <v>15</v>
      </c>
      <c r="X3598" s="107">
        <v>2.4702183500000001</v>
      </c>
      <c r="Y3598" s="107"/>
      <c r="Z3598" s="107"/>
      <c r="AA3598" s="107"/>
      <c r="AB3598" s="107"/>
      <c r="AC3598" s="355"/>
      <c r="AD3598" s="355"/>
      <c r="AE3598" s="355"/>
      <c r="AF3598" s="94">
        <f t="shared" si="475"/>
        <v>42580</v>
      </c>
      <c r="AG3598" s="185">
        <f t="shared" si="470"/>
        <v>1.406877582401167E-2</v>
      </c>
      <c r="AH3598" s="339" t="str">
        <f>VLOOKUP(B3598,'MF PF'!A:B,2)</f>
        <v>FdMgt1</v>
      </c>
      <c r="AI3598" s="358">
        <f t="shared" si="476"/>
        <v>0</v>
      </c>
      <c r="AJ3598" s="94">
        <f t="shared" si="477"/>
        <v>42582</v>
      </c>
    </row>
    <row r="3599" spans="1:36" ht="12.75" customHeight="1">
      <c r="A3599" s="97">
        <v>42613</v>
      </c>
      <c r="B3599" s="94" t="s">
        <v>189</v>
      </c>
      <c r="C3599" s="96" t="s">
        <v>298</v>
      </c>
      <c r="D3599" s="98">
        <v>4972437.1999999993</v>
      </c>
      <c r="E3599" s="95">
        <f t="shared" si="471"/>
        <v>1046417.4158008273</v>
      </c>
      <c r="F3599" s="98">
        <v>20</v>
      </c>
      <c r="G3599" s="98">
        <v>0</v>
      </c>
      <c r="H3599" s="98">
        <v>0</v>
      </c>
      <c r="I3599" s="98">
        <v>0</v>
      </c>
      <c r="J3599" s="98"/>
      <c r="K3599" s="93">
        <v>4.7518677775393998</v>
      </c>
      <c r="L3599" s="93">
        <f t="shared" si="472"/>
        <v>0</v>
      </c>
      <c r="M3599" s="95">
        <f t="shared" ca="1" si="473"/>
        <v>0</v>
      </c>
      <c r="N3599" s="95">
        <f>IF(P3599="Hedge Fund",IF(A3599=Summary!$AD$3,M3599-E3599,M3599),IF(A3599=Summary!$AD$3,L3599-D3599,L3599))</f>
        <v>0</v>
      </c>
      <c r="O3599" s="95">
        <f t="shared" si="474"/>
        <v>0</v>
      </c>
      <c r="P3599" s="107" t="s">
        <v>155</v>
      </c>
      <c r="Q3599" s="107">
        <v>0</v>
      </c>
      <c r="R3599" s="107">
        <v>0.34303404273277799</v>
      </c>
      <c r="S3599" s="107">
        <v>0</v>
      </c>
      <c r="T3599" s="107">
        <v>6.8972350759166304E-3</v>
      </c>
      <c r="U3599" s="107" t="s">
        <v>0</v>
      </c>
      <c r="V3599" s="107">
        <v>2.4862185999999999</v>
      </c>
      <c r="W3599" s="107" t="s">
        <v>15</v>
      </c>
      <c r="X3599" s="107">
        <v>2.4862185999999999</v>
      </c>
      <c r="Y3599" s="107"/>
      <c r="Z3599" s="107"/>
      <c r="AA3599" s="107"/>
      <c r="AB3599" s="107"/>
      <c r="AC3599" s="355"/>
      <c r="AD3599" s="355"/>
      <c r="AE3599" s="355"/>
      <c r="AF3599" s="94">
        <f t="shared" si="475"/>
        <v>42613</v>
      </c>
      <c r="AG3599" s="185">
        <f t="shared" si="470"/>
        <v>6.4772614129433581E-3</v>
      </c>
      <c r="AH3599" s="339" t="str">
        <f>VLOOKUP(B3599,'MF PF'!A:B,2)</f>
        <v>FdMgt1</v>
      </c>
      <c r="AI3599" s="358">
        <f t="shared" si="476"/>
        <v>0</v>
      </c>
      <c r="AJ3599" s="94">
        <f t="shared" si="477"/>
        <v>42613</v>
      </c>
    </row>
    <row r="3600" spans="1:36" ht="12.75" customHeight="1">
      <c r="A3600" s="97">
        <v>42643</v>
      </c>
      <c r="B3600" s="94" t="s">
        <v>189</v>
      </c>
      <c r="C3600" s="96" t="s">
        <v>298</v>
      </c>
      <c r="D3600" s="98">
        <v>4912843.74</v>
      </c>
      <c r="E3600" s="9">
        <f t="shared" si="471"/>
        <v>1033876.3555714836</v>
      </c>
      <c r="F3600" s="98">
        <v>20</v>
      </c>
      <c r="G3600" s="98">
        <v>0</v>
      </c>
      <c r="H3600" s="98">
        <v>0</v>
      </c>
      <c r="I3600" s="98">
        <v>0</v>
      </c>
      <c r="J3600" s="98"/>
      <c r="K3600" s="93">
        <v>4.7518677775393998</v>
      </c>
      <c r="L3600" s="93">
        <f t="shared" si="472"/>
        <v>0</v>
      </c>
      <c r="M3600" s="95">
        <f t="shared" ca="1" si="473"/>
        <v>0</v>
      </c>
      <c r="N3600" s="95">
        <f>IF(P3600="Hedge Fund",IF(A3600=Summary!$AD$3,M3600-E3600,M3600),IF(A3600=Summary!$AD$3,L3600-D3600,L3600))</f>
        <v>0</v>
      </c>
      <c r="O3600" s="95">
        <f t="shared" si="474"/>
        <v>0</v>
      </c>
      <c r="P3600" s="107" t="s">
        <v>155</v>
      </c>
      <c r="Q3600" s="107">
        <v>0</v>
      </c>
      <c r="R3600" s="107">
        <v>0.328460409579725</v>
      </c>
      <c r="S3600" s="107">
        <v>0</v>
      </c>
      <c r="T3600" s="107">
        <v>6.5848066656387302E-3</v>
      </c>
      <c r="U3600" s="107" t="s">
        <v>0</v>
      </c>
      <c r="V3600" s="107">
        <v>2.4564218700000002</v>
      </c>
      <c r="W3600" s="107" t="s">
        <v>15</v>
      </c>
      <c r="X3600" s="107">
        <v>2.4564218700000002</v>
      </c>
      <c r="Y3600" s="107"/>
      <c r="Z3600" s="107"/>
      <c r="AA3600" s="107"/>
      <c r="AB3600" s="107"/>
      <c r="AC3600" s="355"/>
      <c r="AD3600" s="355"/>
      <c r="AE3600" s="355"/>
      <c r="AF3600" s="94">
        <f t="shared" si="475"/>
        <v>42643</v>
      </c>
      <c r="AG3600" s="185">
        <f t="shared" si="470"/>
        <v>-1.1984758701426901E-2</v>
      </c>
      <c r="AH3600" s="339" t="str">
        <f>VLOOKUP(B3600,'MF PF'!A:B,2)</f>
        <v>FdMgt1</v>
      </c>
      <c r="AI3600" s="358">
        <f t="shared" si="476"/>
        <v>0</v>
      </c>
      <c r="AJ3600" s="94">
        <f t="shared" si="477"/>
        <v>42643</v>
      </c>
    </row>
    <row r="3601" spans="1:36" ht="12.75" customHeight="1">
      <c r="A3601" s="97">
        <v>42674</v>
      </c>
      <c r="B3601" s="94" t="s">
        <v>189</v>
      </c>
      <c r="C3601" s="96" t="s">
        <v>298</v>
      </c>
      <c r="D3601" s="98">
        <v>4912843.74</v>
      </c>
      <c r="E3601" s="9">
        <f t="shared" si="471"/>
        <v>1033876.3555714836</v>
      </c>
      <c r="F3601" s="98">
        <v>20</v>
      </c>
      <c r="G3601" s="98">
        <v>0</v>
      </c>
      <c r="H3601" s="98">
        <v>0</v>
      </c>
      <c r="I3601" s="98">
        <v>0</v>
      </c>
      <c r="J3601" s="98"/>
      <c r="K3601" s="93">
        <v>4.7518677775393998</v>
      </c>
      <c r="L3601" s="93">
        <f t="shared" si="472"/>
        <v>0</v>
      </c>
      <c r="M3601" s="95">
        <f t="shared" ca="1" si="473"/>
        <v>0</v>
      </c>
      <c r="N3601" s="95">
        <f>IF(P3601="Hedge Fund",IF(A3601=Summary!$AD$3,M3601-E3601,M3601),IF(A3601=Summary!$AD$3,L3601-D3601,L3601))</f>
        <v>0</v>
      </c>
      <c r="O3601" s="95">
        <f t="shared" si="474"/>
        <v>0</v>
      </c>
      <c r="P3601" s="107" t="s">
        <v>155</v>
      </c>
      <c r="Q3601" s="107">
        <v>0</v>
      </c>
      <c r="R3601" s="107">
        <v>0.38204331660802399</v>
      </c>
      <c r="S3601" s="107">
        <v>0</v>
      </c>
      <c r="T3601" s="107">
        <v>7.7303357210628705E-3</v>
      </c>
      <c r="U3601" s="107" t="s">
        <v>0</v>
      </c>
      <c r="V3601" s="107">
        <v>2.4564218700000002</v>
      </c>
      <c r="W3601" s="107" t="s">
        <v>15</v>
      </c>
      <c r="X3601" s="107">
        <v>2.4564218700000002</v>
      </c>
      <c r="Y3601" s="107"/>
      <c r="Z3601" s="107"/>
      <c r="AA3601" s="107"/>
      <c r="AB3601" s="107"/>
      <c r="AC3601" s="355"/>
      <c r="AD3601" s="355"/>
      <c r="AE3601" s="355"/>
      <c r="AF3601" s="94">
        <f t="shared" si="475"/>
        <v>42674</v>
      </c>
      <c r="AG3601" s="185">
        <f t="shared" si="470"/>
        <v>0</v>
      </c>
      <c r="AH3601" s="339" t="str">
        <f>VLOOKUP(B3601,'MF PF'!A:B,2)</f>
        <v>FdMgt1</v>
      </c>
      <c r="AI3601" s="358">
        <f t="shared" si="476"/>
        <v>0</v>
      </c>
      <c r="AJ3601" s="94">
        <f t="shared" si="477"/>
        <v>42674</v>
      </c>
    </row>
    <row r="3602" spans="1:36" ht="12.75" customHeight="1">
      <c r="A3602" s="97">
        <v>42704</v>
      </c>
      <c r="B3602" s="94" t="s">
        <v>189</v>
      </c>
      <c r="C3602" s="96" t="s">
        <v>298</v>
      </c>
      <c r="D3602" s="98">
        <v>4125000.2600000002</v>
      </c>
      <c r="E3602" s="9">
        <f t="shared" si="471"/>
        <v>868079.764234517</v>
      </c>
      <c r="F3602" s="98">
        <v>20</v>
      </c>
      <c r="G3602" s="98">
        <v>0</v>
      </c>
      <c r="H3602" s="98">
        <v>0</v>
      </c>
      <c r="I3602" s="98">
        <v>-305055</v>
      </c>
      <c r="J3602" s="98"/>
      <c r="K3602" s="93">
        <v>4.7518677775393998</v>
      </c>
      <c r="L3602" s="93">
        <f t="shared" si="472"/>
        <v>-305055</v>
      </c>
      <c r="M3602" s="95">
        <f t="shared" ca="1" si="473"/>
        <v>-64196.862009060955</v>
      </c>
      <c r="N3602" s="95">
        <f>IF(P3602="Hedge Fund",IF(A3602=Summary!$AD$3,M3602-E3602,M3602),IF(A3602=Summary!$AD$3,L3602-D3602,L3602))</f>
        <v>-305055</v>
      </c>
      <c r="O3602" s="95">
        <f t="shared" si="474"/>
        <v>-305055</v>
      </c>
      <c r="P3602" s="107" t="s">
        <v>155</v>
      </c>
      <c r="Q3602" s="107">
        <v>0</v>
      </c>
      <c r="R3602" s="107">
        <v>0.38419360006556502</v>
      </c>
      <c r="S3602" s="107">
        <v>0</v>
      </c>
      <c r="T3602" s="107">
        <v>7.7756936371825508E-3</v>
      </c>
      <c r="U3602" s="107" t="s">
        <v>0</v>
      </c>
      <c r="V3602" s="107">
        <v>2.0625001300000001</v>
      </c>
      <c r="W3602" s="107" t="s">
        <v>15</v>
      </c>
      <c r="X3602" s="107">
        <v>2.0625001300000001</v>
      </c>
      <c r="Y3602" s="107"/>
      <c r="Z3602" s="107"/>
      <c r="AA3602" s="107"/>
      <c r="AB3602" s="107"/>
      <c r="AC3602" s="355"/>
      <c r="AD3602" s="355"/>
      <c r="AE3602" s="355"/>
      <c r="AF3602" s="94">
        <f t="shared" si="475"/>
        <v>42704</v>
      </c>
      <c r="AG3602" s="185">
        <f t="shared" si="470"/>
        <v>-9.8270676933844503E-2</v>
      </c>
      <c r="AH3602" s="339" t="str">
        <f>VLOOKUP(B3602,'MF PF'!A:B,2)</f>
        <v>FdMgt1</v>
      </c>
      <c r="AI3602" s="358">
        <f t="shared" si="476"/>
        <v>0</v>
      </c>
      <c r="AJ3602" s="94">
        <f t="shared" si="477"/>
        <v>42704</v>
      </c>
    </row>
    <row r="3603" spans="1:36" ht="12.75" customHeight="1">
      <c r="A3603" s="97">
        <v>42734</v>
      </c>
      <c r="B3603" s="94" t="s">
        <v>189</v>
      </c>
      <c r="C3603" s="96" t="s">
        <v>298</v>
      </c>
      <c r="D3603" s="98">
        <v>3810004.94</v>
      </c>
      <c r="E3603" s="9">
        <f t="shared" si="471"/>
        <v>801791.02583803097</v>
      </c>
      <c r="F3603" s="98">
        <v>20</v>
      </c>
      <c r="G3603" s="98">
        <v>0</v>
      </c>
      <c r="H3603" s="98">
        <v>0</v>
      </c>
      <c r="I3603" s="98">
        <v>-154128</v>
      </c>
      <c r="J3603" s="98"/>
      <c r="K3603" s="93">
        <v>4.7518677775393998</v>
      </c>
      <c r="L3603" s="93">
        <f t="shared" si="472"/>
        <v>-154128</v>
      </c>
      <c r="M3603" s="95">
        <f t="shared" ca="1" si="473"/>
        <v>-32435.245931823923</v>
      </c>
      <c r="N3603" s="95">
        <f>IF(P3603="Hedge Fund",IF(A3603=Summary!$AD$3,M3603-E3603,M3603),IF(A3603=Summary!$AD$3,L3603-D3603,L3603))</f>
        <v>-154128</v>
      </c>
      <c r="O3603" s="95">
        <f t="shared" si="474"/>
        <v>-154128</v>
      </c>
      <c r="P3603" s="107" t="s">
        <v>155</v>
      </c>
      <c r="Q3603" s="107">
        <v>0</v>
      </c>
      <c r="R3603" s="107">
        <v>0.48146872826252096</v>
      </c>
      <c r="S3603" s="107">
        <v>0</v>
      </c>
      <c r="T3603" s="107">
        <v>2.9923272456474801E-3</v>
      </c>
      <c r="U3603" s="107" t="s">
        <v>0</v>
      </c>
      <c r="V3603" s="107">
        <v>1.9050024699999999</v>
      </c>
      <c r="W3603" s="107" t="s">
        <v>15</v>
      </c>
      <c r="X3603" s="107">
        <v>1.9050024699999999</v>
      </c>
      <c r="Y3603" s="107"/>
      <c r="Z3603" s="107"/>
      <c r="AA3603" s="107"/>
      <c r="AB3603" s="107"/>
      <c r="AC3603" s="355"/>
      <c r="AD3603" s="355"/>
      <c r="AE3603" s="355"/>
      <c r="AF3603" s="94">
        <f t="shared" si="475"/>
        <v>42734</v>
      </c>
      <c r="AG3603" s="185">
        <f t="shared" si="470"/>
        <v>-3.8998135723753991E-2</v>
      </c>
      <c r="AH3603" s="339" t="str">
        <f>VLOOKUP(B3603,'MF PF'!A:B,2)</f>
        <v>FdMgt1</v>
      </c>
      <c r="AI3603" s="358">
        <f t="shared" si="476"/>
        <v>0</v>
      </c>
      <c r="AJ3603" s="94">
        <f t="shared" si="477"/>
        <v>42735</v>
      </c>
    </row>
    <row r="3604" spans="1:36" ht="12.75" customHeight="1">
      <c r="A3604" s="97">
        <v>42762</v>
      </c>
      <c r="B3604" s="94" t="s">
        <v>189</v>
      </c>
      <c r="C3604" s="96" t="s">
        <v>298</v>
      </c>
      <c r="D3604" s="98">
        <v>3579466.7500999998</v>
      </c>
      <c r="E3604" s="95">
        <f t="shared" si="471"/>
        <v>753275.74706918932</v>
      </c>
      <c r="F3604" s="98">
        <v>20</v>
      </c>
      <c r="G3604" s="98">
        <v>0</v>
      </c>
      <c r="H3604" s="98">
        <v>0</v>
      </c>
      <c r="I3604" s="98">
        <v>0</v>
      </c>
      <c r="J3604" s="98"/>
      <c r="K3604" s="93">
        <v>4.7518677775393998</v>
      </c>
      <c r="L3604" s="93">
        <f t="shared" si="472"/>
        <v>0</v>
      </c>
      <c r="M3604" s="95">
        <f t="shared" ca="1" si="473"/>
        <v>0</v>
      </c>
      <c r="N3604" s="95">
        <f>IF(P3604="Hedge Fund",IF(A3604=Summary!$AD$3,M3604-E3604,M3604),IF(A3604=Summary!$AD$3,L3604-D3604,L3604))</f>
        <v>0</v>
      </c>
      <c r="O3604" s="95">
        <f t="shared" si="474"/>
        <v>0</v>
      </c>
      <c r="P3604" s="107" t="s">
        <v>155</v>
      </c>
      <c r="Q3604" s="107">
        <v>0</v>
      </c>
      <c r="R3604" s="107">
        <v>0.15701027424990099</v>
      </c>
      <c r="S3604" s="107">
        <v>0</v>
      </c>
      <c r="T3604" s="107">
        <v>3.1402054849980201E-3</v>
      </c>
      <c r="U3604" s="107" t="s">
        <v>0</v>
      </c>
      <c r="V3604" s="107">
        <v>1.8912115900000002</v>
      </c>
      <c r="W3604" s="107" t="s">
        <v>15</v>
      </c>
      <c r="X3604" s="107">
        <v>1.8912115900000002</v>
      </c>
      <c r="Y3604" s="107"/>
      <c r="Z3604" s="107"/>
      <c r="AA3604" s="107"/>
      <c r="AB3604" s="107"/>
      <c r="AC3604" s="355"/>
      <c r="AD3604" s="355"/>
      <c r="AE3604" s="355"/>
      <c r="AF3604" s="94">
        <f t="shared" si="475"/>
        <v>42762</v>
      </c>
      <c r="AG3604" s="185">
        <f t="shared" si="470"/>
        <v>-6.0508632805079787E-2</v>
      </c>
      <c r="AH3604" s="339" t="str">
        <f>VLOOKUP(B3604,'MF PF'!A:B,2)</f>
        <v>FdMgt1</v>
      </c>
      <c r="AI3604" s="358">
        <f t="shared" si="476"/>
        <v>0</v>
      </c>
      <c r="AJ3604" s="94">
        <f t="shared" si="477"/>
        <v>42766</v>
      </c>
    </row>
    <row r="3605" spans="1:36" ht="12.75" customHeight="1">
      <c r="A3605" s="97">
        <v>42794</v>
      </c>
      <c r="B3605" s="94" t="s">
        <v>189</v>
      </c>
      <c r="C3605" s="96" t="s">
        <v>298</v>
      </c>
      <c r="D3605" s="98">
        <v>3639399.0500999996</v>
      </c>
      <c r="E3605" s="95">
        <f t="shared" si="471"/>
        <v>765888.11399641761</v>
      </c>
      <c r="F3605" s="98">
        <v>20</v>
      </c>
      <c r="G3605" s="98">
        <v>0</v>
      </c>
      <c r="H3605" s="98">
        <v>0</v>
      </c>
      <c r="I3605" s="98">
        <v>0</v>
      </c>
      <c r="J3605" s="98"/>
      <c r="K3605" s="93">
        <v>4.7518677775393998</v>
      </c>
      <c r="L3605" s="93">
        <f t="shared" si="472"/>
        <v>0</v>
      </c>
      <c r="M3605" s="95">
        <f t="shared" ca="1" si="473"/>
        <v>0</v>
      </c>
      <c r="N3605" s="95">
        <f>IF(P3605="Hedge Fund",IF(A3605=Summary!$AD$3,M3605-E3605,M3605),IF(A3605=Summary!$AD$3,L3605-D3605,L3605))</f>
        <v>0</v>
      </c>
      <c r="O3605" s="95">
        <f t="shared" si="474"/>
        <v>0</v>
      </c>
      <c r="P3605" s="107" t="s">
        <v>155</v>
      </c>
      <c r="Q3605" s="107">
        <v>0</v>
      </c>
      <c r="R3605" s="107">
        <v>0.20652973699842933</v>
      </c>
      <c r="S3605" s="107">
        <v>0</v>
      </c>
      <c r="T3605" s="107">
        <v>4.1305947941001004E-3</v>
      </c>
      <c r="U3605" s="107" t="s">
        <v>0</v>
      </c>
      <c r="V3605" s="107">
        <v>1.9211777400000001</v>
      </c>
      <c r="W3605" s="107" t="s">
        <v>15</v>
      </c>
      <c r="X3605" s="107">
        <v>1.9211777400000001</v>
      </c>
      <c r="Y3605" s="107"/>
      <c r="Z3605" s="107"/>
      <c r="AA3605" s="107"/>
      <c r="AB3605" s="107"/>
      <c r="AC3605" s="355"/>
      <c r="AD3605" s="355"/>
      <c r="AE3605" s="355"/>
      <c r="AF3605" s="94">
        <f t="shared" si="475"/>
        <v>42794</v>
      </c>
      <c r="AG3605" s="185">
        <f t="shared" si="470"/>
        <v>1.6743359886867371E-2</v>
      </c>
      <c r="AH3605" s="339" t="str">
        <f>VLOOKUP(B3605,'MF PF'!A:B,2)</f>
        <v>FdMgt1</v>
      </c>
      <c r="AI3605" s="358">
        <f t="shared" si="476"/>
        <v>0</v>
      </c>
      <c r="AJ3605" s="94">
        <f t="shared" si="477"/>
        <v>42794</v>
      </c>
    </row>
    <row r="3606" spans="1:36" ht="12.75" customHeight="1">
      <c r="A3606" s="97">
        <v>42825</v>
      </c>
      <c r="B3606" s="94" t="s">
        <v>189</v>
      </c>
      <c r="C3606" s="96" t="s">
        <v>298</v>
      </c>
      <c r="D3606" s="98">
        <v>3753024.1199999996</v>
      </c>
      <c r="E3606" s="95">
        <f t="shared" si="471"/>
        <v>789799.77888681518</v>
      </c>
      <c r="F3606" s="98">
        <v>20</v>
      </c>
      <c r="G3606" s="98">
        <v>0</v>
      </c>
      <c r="H3606" s="98">
        <v>0</v>
      </c>
      <c r="I3606" s="98">
        <v>-243360</v>
      </c>
      <c r="J3606" s="98"/>
      <c r="K3606" s="93">
        <v>4.7518677775393998</v>
      </c>
      <c r="L3606" s="93">
        <f t="shared" si="472"/>
        <v>-243360</v>
      </c>
      <c r="M3606" s="95">
        <f t="shared" ca="1" si="473"/>
        <v>-51213.546208143038</v>
      </c>
      <c r="N3606" s="95">
        <f>IF(P3606="Hedge Fund",IF(A3606=Summary!$AD$3,M3606-E3606,M3606),IF(A3606=Summary!$AD$3,L3606-D3606,L3606))</f>
        <v>-243360</v>
      </c>
      <c r="O3606" s="95">
        <f t="shared" si="474"/>
        <v>-243360</v>
      </c>
      <c r="P3606" s="107" t="s">
        <v>155</v>
      </c>
      <c r="Q3606" s="107">
        <v>0</v>
      </c>
      <c r="R3606" s="107">
        <v>0.40978891000000001</v>
      </c>
      <c r="S3606" s="107">
        <v>0</v>
      </c>
      <c r="T3606" s="107">
        <v>8.3263768999999998E-3</v>
      </c>
      <c r="U3606" s="107" t="s">
        <v>0</v>
      </c>
      <c r="V3606" s="107">
        <v>1.87651206</v>
      </c>
      <c r="W3606" s="107" t="s">
        <v>15</v>
      </c>
      <c r="X3606" s="107">
        <v>1.87651206</v>
      </c>
      <c r="Y3606" s="107"/>
      <c r="Z3606" s="107"/>
      <c r="AA3606" s="107"/>
      <c r="AB3606" s="107"/>
      <c r="AC3606" s="355"/>
      <c r="AD3606" s="355"/>
      <c r="AE3606" s="355"/>
      <c r="AF3606" s="94">
        <f t="shared" si="475"/>
        <v>42825</v>
      </c>
      <c r="AG3606" s="185">
        <f t="shared" si="470"/>
        <v>9.8089015517600631E-2</v>
      </c>
      <c r="AH3606" s="339" t="str">
        <f>VLOOKUP(B3606,'MF PF'!A:B,2)</f>
        <v>FdMgt1</v>
      </c>
      <c r="AI3606" s="358">
        <f t="shared" si="476"/>
        <v>0</v>
      </c>
      <c r="AJ3606" s="94">
        <f t="shared" si="477"/>
        <v>42825</v>
      </c>
    </row>
    <row r="3607" spans="1:36" ht="12.75" customHeight="1">
      <c r="A3607" s="97">
        <v>42853</v>
      </c>
      <c r="B3607" s="94" t="s">
        <v>189</v>
      </c>
      <c r="C3607" s="96" t="s">
        <v>298</v>
      </c>
      <c r="D3607" s="98">
        <v>3578185.12</v>
      </c>
      <c r="E3607" s="95">
        <f t="shared" si="471"/>
        <v>753006.03626072418</v>
      </c>
      <c r="F3607" s="98">
        <v>20</v>
      </c>
      <c r="G3607" s="98">
        <v>0</v>
      </c>
      <c r="H3607" s="98">
        <v>0</v>
      </c>
      <c r="I3607" s="98">
        <v>-233220</v>
      </c>
      <c r="J3607" s="98"/>
      <c r="K3607" s="93">
        <v>4.7518677775393998</v>
      </c>
      <c r="L3607" s="93">
        <f t="shared" si="472"/>
        <v>-233220</v>
      </c>
      <c r="M3607" s="95">
        <f t="shared" ca="1" si="473"/>
        <v>-49079.648449470405</v>
      </c>
      <c r="N3607" s="95">
        <f>IF(P3607="Hedge Fund",IF(A3607=Summary!$AD$3,M3607-E3607,M3607),IF(A3607=Summary!$AD$3,L3607-D3607,L3607))</f>
        <v>-233220</v>
      </c>
      <c r="O3607" s="95">
        <f t="shared" si="474"/>
        <v>-233220</v>
      </c>
      <c r="P3607" s="107" t="s">
        <v>155</v>
      </c>
      <c r="Q3607" s="107">
        <v>0</v>
      </c>
      <c r="R3607" s="107">
        <v>0.46452662</v>
      </c>
      <c r="S3607" s="107">
        <v>0</v>
      </c>
      <c r="T3607" s="107">
        <v>9.4909299999999999E-3</v>
      </c>
      <c r="U3607" s="107" t="s">
        <v>0</v>
      </c>
      <c r="V3607" s="107">
        <v>1.7890925600000001</v>
      </c>
      <c r="W3607" s="107" t="s">
        <v>15</v>
      </c>
      <c r="X3607" s="107">
        <v>1.7890925600000001</v>
      </c>
      <c r="Y3607" s="107"/>
      <c r="Z3607" s="107"/>
      <c r="AA3607" s="107"/>
      <c r="AB3607" s="107"/>
      <c r="AC3607" s="355"/>
      <c r="AD3607" s="355"/>
      <c r="AE3607" s="355"/>
      <c r="AF3607" s="94">
        <f t="shared" si="475"/>
        <v>42853</v>
      </c>
      <c r="AG3607" s="185">
        <f t="shared" si="470"/>
        <v>1.5555722034634956E-2</v>
      </c>
      <c r="AH3607" s="339" t="str">
        <f>VLOOKUP(B3607,'MF PF'!A:B,2)</f>
        <v>FdMgt1</v>
      </c>
      <c r="AI3607" s="358">
        <f t="shared" si="476"/>
        <v>0</v>
      </c>
      <c r="AJ3607" s="94">
        <f t="shared" si="477"/>
        <v>42855</v>
      </c>
    </row>
    <row r="3608" spans="1:36" ht="12.75" customHeight="1">
      <c r="A3608" s="97">
        <v>42886</v>
      </c>
      <c r="B3608" s="94" t="s">
        <v>189</v>
      </c>
      <c r="C3608" s="96" t="s">
        <v>298</v>
      </c>
      <c r="D3608" s="98">
        <v>3361422.84</v>
      </c>
      <c r="E3608" s="95">
        <f t="shared" si="471"/>
        <v>707389.80909536232</v>
      </c>
      <c r="F3608" s="98">
        <v>20</v>
      </c>
      <c r="G3608" s="98">
        <v>0</v>
      </c>
      <c r="H3608" s="98">
        <v>0</v>
      </c>
      <c r="I3608" s="98">
        <v>0</v>
      </c>
      <c r="J3608" s="98"/>
      <c r="K3608" s="93">
        <v>4.7518677775393998</v>
      </c>
      <c r="L3608" s="93">
        <f t="shared" si="472"/>
        <v>0</v>
      </c>
      <c r="M3608" s="95">
        <f t="shared" ca="1" si="473"/>
        <v>0</v>
      </c>
      <c r="N3608" s="95">
        <f>IF(P3608="Hedge Fund",IF(A3608=Summary!$AD$3,M3608-E3608,M3608),IF(A3608=Summary!$AD$3,L3608-D3608,L3608))</f>
        <v>0</v>
      </c>
      <c r="O3608" s="95">
        <f t="shared" si="474"/>
        <v>0</v>
      </c>
      <c r="P3608" s="107" t="s">
        <v>155</v>
      </c>
      <c r="Q3608" s="107">
        <v>0</v>
      </c>
      <c r="R3608" s="107">
        <v>0.25281222614730697</v>
      </c>
      <c r="S3608" s="107">
        <v>0</v>
      </c>
      <c r="T3608" s="107">
        <v>5.05624E-3</v>
      </c>
      <c r="U3608" s="107" t="s">
        <v>0</v>
      </c>
      <c r="V3608" s="107">
        <v>1.68071142</v>
      </c>
      <c r="W3608" s="107" t="s">
        <v>15</v>
      </c>
      <c r="X3608" s="107">
        <v>1.68071142</v>
      </c>
      <c r="Y3608" s="107"/>
      <c r="Z3608" s="107"/>
      <c r="AA3608" s="107"/>
      <c r="AB3608" s="107"/>
      <c r="AC3608" s="355"/>
      <c r="AD3608" s="355"/>
      <c r="AE3608" s="355"/>
      <c r="AF3608" s="94">
        <f t="shared" si="475"/>
        <v>42886</v>
      </c>
      <c r="AG3608" s="185">
        <f t="shared" si="470"/>
        <v>-6.0578833327662007E-2</v>
      </c>
      <c r="AH3608" s="339" t="str">
        <f>VLOOKUP(B3608,'MF PF'!A:B,2)</f>
        <v>FdMgt1</v>
      </c>
      <c r="AI3608" s="358">
        <f t="shared" si="476"/>
        <v>0</v>
      </c>
      <c r="AJ3608" s="94">
        <f t="shared" si="477"/>
        <v>42886</v>
      </c>
    </row>
    <row r="3609" spans="1:36" ht="12.75" customHeight="1">
      <c r="A3609" s="97">
        <v>42916</v>
      </c>
      <c r="B3609" s="94" t="s">
        <v>189</v>
      </c>
      <c r="C3609" s="96" t="s">
        <v>298</v>
      </c>
      <c r="D3609" s="98">
        <v>3238242.12</v>
      </c>
      <c r="E3609" s="95">
        <f t="shared" si="471"/>
        <v>681467.21912300738</v>
      </c>
      <c r="F3609" s="98">
        <v>20</v>
      </c>
      <c r="G3609" s="98">
        <v>0</v>
      </c>
      <c r="H3609" s="98">
        <v>0</v>
      </c>
      <c r="I3609" s="98">
        <v>0</v>
      </c>
      <c r="J3609" s="98"/>
      <c r="K3609" s="93">
        <v>4.7518677775393998</v>
      </c>
      <c r="L3609" s="93">
        <f t="shared" si="472"/>
        <v>0</v>
      </c>
      <c r="M3609" s="95">
        <f t="shared" ca="1" si="473"/>
        <v>0</v>
      </c>
      <c r="N3609" s="95">
        <f>IF(P3609="Hedge Fund",IF(A3609=Summary!$AD$3,M3609-E3609,M3609),IF(A3609=Summary!$AD$3,L3609-D3609,L3609))</f>
        <v>0</v>
      </c>
      <c r="O3609" s="95">
        <f t="shared" si="474"/>
        <v>0</v>
      </c>
      <c r="P3609" s="107" t="s">
        <v>155</v>
      </c>
      <c r="Q3609" s="107">
        <v>0</v>
      </c>
      <c r="R3609" s="107">
        <v>0.15160545</v>
      </c>
      <c r="S3609" s="107">
        <v>0</v>
      </c>
      <c r="T3609" s="107">
        <v>3.0321100000000002E-3</v>
      </c>
      <c r="U3609" s="107" t="s">
        <v>0</v>
      </c>
      <c r="V3609" s="107">
        <v>1.6191210600000001</v>
      </c>
      <c r="W3609" s="107" t="s">
        <v>15</v>
      </c>
      <c r="X3609" s="107">
        <v>1.6191210600000001</v>
      </c>
      <c r="Y3609" s="107"/>
      <c r="Z3609" s="107"/>
      <c r="AA3609" s="107"/>
      <c r="AB3609" s="107"/>
      <c r="AC3609" s="355"/>
      <c r="AD3609" s="355"/>
      <c r="AE3609" s="355"/>
      <c r="AF3609" s="94">
        <f t="shared" si="475"/>
        <v>42916</v>
      </c>
      <c r="AG3609" s="185">
        <f t="shared" si="470"/>
        <v>-3.6645410548825752E-2</v>
      </c>
      <c r="AH3609" s="339" t="str">
        <f>VLOOKUP(B3609,'MF PF'!A:B,2)</f>
        <v>FdMgt1</v>
      </c>
      <c r="AI3609" s="358">
        <f t="shared" si="476"/>
        <v>0</v>
      </c>
      <c r="AJ3609" s="94">
        <f t="shared" si="477"/>
        <v>42916</v>
      </c>
    </row>
    <row r="3610" spans="1:36" ht="12.75" customHeight="1">
      <c r="A3610" s="97">
        <v>42947</v>
      </c>
      <c r="B3610" s="94" t="s">
        <v>189</v>
      </c>
      <c r="C3610" s="96" t="s">
        <v>298</v>
      </c>
      <c r="D3610" s="98">
        <v>3391980.0000000005</v>
      </c>
      <c r="E3610" s="9">
        <f t="shared" si="471"/>
        <v>713820.36681088526</v>
      </c>
      <c r="F3610" s="98">
        <v>20</v>
      </c>
      <c r="G3610" s="98">
        <v>0</v>
      </c>
      <c r="H3610" s="98">
        <v>0</v>
      </c>
      <c r="I3610" s="98">
        <v>0</v>
      </c>
      <c r="J3610" s="98"/>
      <c r="K3610" s="93">
        <v>4.7518677775393998</v>
      </c>
      <c r="L3610" s="93">
        <f t="shared" si="472"/>
        <v>0</v>
      </c>
      <c r="M3610" s="95">
        <f t="shared" ca="1" si="473"/>
        <v>0</v>
      </c>
      <c r="N3610" s="95">
        <f>IF(P3610="Hedge Fund",IF(A3610=Summary!$AD$3,M3610-E3610,M3610),IF(A3610=Summary!$AD$3,L3610-D3610,L3610))</f>
        <v>0</v>
      </c>
      <c r="O3610" s="95">
        <f t="shared" si="474"/>
        <v>0</v>
      </c>
      <c r="P3610" s="107" t="s">
        <v>155</v>
      </c>
      <c r="Q3610" s="107">
        <v>0</v>
      </c>
      <c r="R3610" s="107">
        <v>0.30406337</v>
      </c>
      <c r="S3610" s="107">
        <v>0</v>
      </c>
      <c r="T3610" s="107">
        <v>6.0812674279999996E-3</v>
      </c>
      <c r="U3610" s="107" t="s">
        <v>0</v>
      </c>
      <c r="V3610" s="107">
        <v>1.6959900000000001</v>
      </c>
      <c r="W3610" s="107" t="s">
        <v>15</v>
      </c>
      <c r="X3610" s="107">
        <v>1.6959900000000001</v>
      </c>
      <c r="Y3610" s="107"/>
      <c r="Z3610" s="107"/>
      <c r="AA3610" s="107"/>
      <c r="AB3610" s="107"/>
      <c r="AC3610" s="355"/>
      <c r="AD3610" s="355"/>
      <c r="AE3610" s="355"/>
      <c r="AF3610" s="94">
        <f t="shared" si="475"/>
        <v>42947</v>
      </c>
      <c r="AG3610" s="185">
        <f t="shared" si="470"/>
        <v>4.7475721179242925E-2</v>
      </c>
      <c r="AH3610" s="339" t="str">
        <f>VLOOKUP(B3610,'MF PF'!A:B,2)</f>
        <v>FdMgt1</v>
      </c>
      <c r="AI3610" s="358">
        <f t="shared" si="476"/>
        <v>0</v>
      </c>
      <c r="AJ3610" s="94">
        <f t="shared" si="477"/>
        <v>42947</v>
      </c>
    </row>
    <row r="3611" spans="1:36" ht="12.75" customHeight="1">
      <c r="A3611" s="97">
        <v>42978</v>
      </c>
      <c r="B3611" s="94" t="s">
        <v>189</v>
      </c>
      <c r="C3611" s="96" t="s">
        <v>298</v>
      </c>
      <c r="D3611" s="98">
        <v>3767000</v>
      </c>
      <c r="E3611" s="9">
        <f t="shared" si="471"/>
        <v>792740.91291122127</v>
      </c>
      <c r="F3611" s="98">
        <v>20</v>
      </c>
      <c r="G3611" s="98">
        <v>0</v>
      </c>
      <c r="H3611" s="98">
        <v>0</v>
      </c>
      <c r="I3611" s="98">
        <v>0</v>
      </c>
      <c r="J3611" s="98"/>
      <c r="K3611" s="93">
        <v>4.7518677775393998</v>
      </c>
      <c r="L3611" s="93">
        <f t="shared" si="472"/>
        <v>0</v>
      </c>
      <c r="M3611" s="95">
        <f t="shared" ca="1" si="473"/>
        <v>0</v>
      </c>
      <c r="N3611" s="95">
        <f>IF(P3611="Hedge Fund",IF(A3611=Summary!$AD$3,M3611-E3611,M3611),IF(A3611=Summary!$AD$3,L3611-D3611,L3611))</f>
        <v>0</v>
      </c>
      <c r="O3611" s="95">
        <f t="shared" si="474"/>
        <v>0</v>
      </c>
      <c r="P3611" s="107" t="s">
        <v>155</v>
      </c>
      <c r="Q3611" s="107">
        <v>0</v>
      </c>
      <c r="R3611" s="107">
        <v>0.69355655689999995</v>
      </c>
      <c r="S3611" s="107">
        <v>0</v>
      </c>
      <c r="T3611" s="107">
        <v>2.2694526154999999E-2</v>
      </c>
      <c r="U3611" s="107" t="s">
        <v>0</v>
      </c>
      <c r="V3611" s="107">
        <v>1.8835</v>
      </c>
      <c r="W3611" s="107" t="s">
        <v>15</v>
      </c>
      <c r="X3611" s="107">
        <v>1.8835</v>
      </c>
      <c r="Y3611" s="107"/>
      <c r="Z3611" s="107"/>
      <c r="AA3611" s="107"/>
      <c r="AB3611" s="107"/>
      <c r="AC3611" s="355"/>
      <c r="AD3611" s="355"/>
      <c r="AE3611" s="355"/>
      <c r="AF3611" s="94">
        <f t="shared" si="475"/>
        <v>42978</v>
      </c>
      <c r="AG3611" s="185">
        <f t="shared" si="470"/>
        <v>0.1105607934009043</v>
      </c>
      <c r="AH3611" s="339" t="str">
        <f>VLOOKUP(B3611,'MF PF'!A:B,2)</f>
        <v>FdMgt1</v>
      </c>
      <c r="AI3611" s="358">
        <f t="shared" si="476"/>
        <v>0</v>
      </c>
      <c r="AJ3611" s="94">
        <f t="shared" si="477"/>
        <v>42978</v>
      </c>
    </row>
    <row r="3612" spans="1:36" ht="12.75" customHeight="1">
      <c r="A3612" s="97">
        <v>43007</v>
      </c>
      <c r="B3612" s="94" t="s">
        <v>189</v>
      </c>
      <c r="C3612" s="96" t="s">
        <v>298</v>
      </c>
      <c r="D3612" s="98">
        <v>3702500</v>
      </c>
      <c r="E3612" s="95">
        <f t="shared" si="471"/>
        <v>779167.30290783034</v>
      </c>
      <c r="F3612" s="98">
        <v>20</v>
      </c>
      <c r="G3612" s="98">
        <v>0</v>
      </c>
      <c r="H3612" s="98">
        <v>0</v>
      </c>
      <c r="I3612" s="98">
        <v>0</v>
      </c>
      <c r="J3612" s="98"/>
      <c r="K3612" s="93">
        <v>4.7518677775393998</v>
      </c>
      <c r="L3612" s="93">
        <f t="shared" si="472"/>
        <v>0</v>
      </c>
      <c r="M3612" s="95">
        <f t="shared" ca="1" si="473"/>
        <v>0</v>
      </c>
      <c r="N3612" s="95">
        <f>IF(P3612="Hedge Fund",IF(A3612=Summary!$AD$3,M3612-E3612,M3612),IF(A3612=Summary!$AD$3,L3612-D3612,L3612))</f>
        <v>0</v>
      </c>
      <c r="O3612" s="95">
        <f t="shared" si="474"/>
        <v>0</v>
      </c>
      <c r="P3612" s="107" t="s">
        <v>155</v>
      </c>
      <c r="Q3612" s="107">
        <v>0</v>
      </c>
      <c r="R3612" s="107">
        <v>0.67648516000000003</v>
      </c>
      <c r="S3612" s="107">
        <v>0</v>
      </c>
      <c r="T3612" s="107">
        <v>2.193272877E-2</v>
      </c>
      <c r="U3612" s="107" t="s">
        <v>0</v>
      </c>
      <c r="V3612" s="107">
        <v>1.8512999999999999</v>
      </c>
      <c r="W3612" s="107" t="s">
        <v>15</v>
      </c>
      <c r="X3612" s="107">
        <v>1.8512999999999999</v>
      </c>
      <c r="Y3612" s="107"/>
      <c r="Z3612" s="107"/>
      <c r="AA3612" s="107"/>
      <c r="AB3612" s="107"/>
      <c r="AC3612" s="355"/>
      <c r="AD3612" s="355"/>
      <c r="AE3612" s="355"/>
      <c r="AF3612" s="94">
        <f t="shared" si="475"/>
        <v>43007</v>
      </c>
      <c r="AG3612" s="185">
        <f t="shared" si="470"/>
        <v>-1.7122378550570749E-2</v>
      </c>
      <c r="AH3612" s="339" t="str">
        <f>VLOOKUP(B3612,'MF PF'!A:B,2)</f>
        <v>FdMgt1</v>
      </c>
      <c r="AI3612" s="358">
        <f t="shared" si="476"/>
        <v>0</v>
      </c>
      <c r="AJ3612" s="94">
        <f t="shared" si="477"/>
        <v>43008</v>
      </c>
    </row>
    <row r="3613" spans="1:36" ht="12.75" customHeight="1">
      <c r="A3613" s="97">
        <v>43039</v>
      </c>
      <c r="B3613" s="94" t="s">
        <v>189</v>
      </c>
      <c r="C3613" s="96" t="s">
        <v>298</v>
      </c>
      <c r="D3613" s="98">
        <v>3694786.12</v>
      </c>
      <c r="E3613" s="9">
        <f t="shared" ref="E3613:E3623" si="478">D3613/K3613</f>
        <v>777543.96649336594</v>
      </c>
      <c r="F3613" s="98">
        <v>20</v>
      </c>
      <c r="G3613" s="98">
        <v>0</v>
      </c>
      <c r="H3613" s="98">
        <v>0</v>
      </c>
      <c r="I3613" s="98">
        <v>0</v>
      </c>
      <c r="J3613" s="98"/>
      <c r="K3613" s="93">
        <v>4.7518677775393998</v>
      </c>
      <c r="L3613" s="93">
        <f t="shared" si="472"/>
        <v>0</v>
      </c>
      <c r="M3613" s="95">
        <f t="shared" ca="1" si="473"/>
        <v>0</v>
      </c>
      <c r="N3613" s="95">
        <f>IF(P3613="Hedge Fund",IF(A3613=Summary!$AD$3,M3613-E3613,M3613),IF(A3613=Summary!$AD$3,L3613-D3613,L3613))</f>
        <v>0</v>
      </c>
      <c r="O3613" s="95">
        <f t="shared" si="474"/>
        <v>0</v>
      </c>
      <c r="P3613" s="107" t="s">
        <v>155</v>
      </c>
      <c r="Q3613" s="107">
        <v>0</v>
      </c>
      <c r="R3613" s="107">
        <v>0.64568718000000003</v>
      </c>
      <c r="S3613" s="107">
        <v>0</v>
      </c>
      <c r="T3613" s="107">
        <v>2.0568019699999999E-2</v>
      </c>
      <c r="U3613" s="107" t="s">
        <v>0</v>
      </c>
      <c r="V3613" s="107">
        <v>1.84738264</v>
      </c>
      <c r="W3613" s="107" t="s">
        <v>15</v>
      </c>
      <c r="X3613" s="107">
        <v>1.84738264</v>
      </c>
      <c r="Y3613" s="107"/>
      <c r="Z3613" s="107"/>
      <c r="AA3613" s="107"/>
      <c r="AB3613" s="107"/>
      <c r="AC3613" s="355"/>
      <c r="AD3613" s="355"/>
      <c r="AE3613" s="355"/>
      <c r="AF3613" s="94">
        <f t="shared" si="475"/>
        <v>43039</v>
      </c>
      <c r="AG3613" s="185">
        <f t="shared" si="470"/>
        <v>-2.0834247130316896E-3</v>
      </c>
      <c r="AH3613" s="339" t="str">
        <f>VLOOKUP(B3613,'MF PF'!A:B,2)</f>
        <v>FdMgt1</v>
      </c>
      <c r="AI3613" s="358">
        <f t="shared" si="476"/>
        <v>0</v>
      </c>
      <c r="AJ3613" s="94">
        <f t="shared" si="477"/>
        <v>43039</v>
      </c>
    </row>
    <row r="3614" spans="1:36" ht="12.75" customHeight="1">
      <c r="A3614" s="97">
        <v>43069</v>
      </c>
      <c r="B3614" s="94" t="s">
        <v>189</v>
      </c>
      <c r="C3614" s="96" t="s">
        <v>298</v>
      </c>
      <c r="D3614" s="98">
        <v>2714442.85</v>
      </c>
      <c r="E3614" s="95">
        <f t="shared" si="478"/>
        <v>571237.03290531924</v>
      </c>
      <c r="F3614" s="98">
        <v>20</v>
      </c>
      <c r="G3614" s="98">
        <v>0</v>
      </c>
      <c r="H3614" s="98">
        <v>0</v>
      </c>
      <c r="I3614" s="98">
        <v>-877134.23</v>
      </c>
      <c r="J3614" s="98"/>
      <c r="K3614" s="93">
        <v>4.7518677775393998</v>
      </c>
      <c r="L3614" s="93">
        <f t="shared" si="472"/>
        <v>-877134.23</v>
      </c>
      <c r="M3614" s="95">
        <f t="shared" ca="1" si="473"/>
        <v>-184587.25517278502</v>
      </c>
      <c r="N3614" s="95">
        <f>IF(P3614="Hedge Fund",IF(A3614=Summary!$AD$3,M3614-E3614,M3614),IF(A3614=Summary!$AD$3,L3614-D3614,L3614))</f>
        <v>-877134.23</v>
      </c>
      <c r="O3614" s="95">
        <f t="shared" si="474"/>
        <v>-877134.23</v>
      </c>
      <c r="P3614" s="107" t="s">
        <v>155</v>
      </c>
      <c r="Q3614" s="107">
        <v>0</v>
      </c>
      <c r="R3614" s="107">
        <v>0.51595460999999998</v>
      </c>
      <c r="S3614" s="107">
        <v>0</v>
      </c>
      <c r="T3614" s="107">
        <v>1.4867321559999999E-2</v>
      </c>
      <c r="U3614" s="107" t="s">
        <v>0</v>
      </c>
      <c r="V3614" s="107">
        <v>1.3572</v>
      </c>
      <c r="W3614" s="107" t="s">
        <v>15</v>
      </c>
      <c r="X3614" s="107">
        <v>1.3572</v>
      </c>
      <c r="Y3614" s="107"/>
      <c r="Z3614" s="107"/>
      <c r="AA3614" s="107"/>
      <c r="AB3614" s="107"/>
      <c r="AC3614" s="355"/>
      <c r="AD3614" s="355"/>
      <c r="AE3614" s="355"/>
      <c r="AF3614" s="94">
        <f t="shared" si="475"/>
        <v>43069</v>
      </c>
      <c r="AG3614" s="185">
        <f t="shared" si="470"/>
        <v>-2.7933698094546267E-2</v>
      </c>
      <c r="AH3614" s="339" t="str">
        <f>VLOOKUP(B3614,'MF PF'!A:B,2)</f>
        <v>FdMgt1</v>
      </c>
      <c r="AI3614" s="358">
        <f t="shared" si="476"/>
        <v>0</v>
      </c>
      <c r="AJ3614" s="94">
        <f t="shared" si="477"/>
        <v>43069</v>
      </c>
    </row>
    <row r="3615" spans="1:36" ht="12.75" customHeight="1">
      <c r="A3615" s="97">
        <v>43098</v>
      </c>
      <c r="B3615" s="94" t="s">
        <v>189</v>
      </c>
      <c r="C3615" s="96" t="s">
        <v>298</v>
      </c>
      <c r="D3615" s="98">
        <v>2742757.56</v>
      </c>
      <c r="E3615" s="95">
        <f t="shared" si="478"/>
        <v>577195.68144639069</v>
      </c>
      <c r="F3615" s="98">
        <v>20</v>
      </c>
      <c r="G3615" s="98">
        <v>0</v>
      </c>
      <c r="H3615" s="98">
        <v>0</v>
      </c>
      <c r="I3615" s="98">
        <v>0</v>
      </c>
      <c r="J3615" s="98"/>
      <c r="K3615" s="93">
        <v>4.7518677775393998</v>
      </c>
      <c r="L3615" s="93">
        <f t="shared" si="472"/>
        <v>0</v>
      </c>
      <c r="M3615" s="95">
        <f t="shared" ca="1" si="473"/>
        <v>0</v>
      </c>
      <c r="N3615" s="95">
        <f>IF(P3615="Hedge Fund",IF(A3615=Summary!$AD$3,M3615-E3615,M3615),IF(A3615=Summary!$AD$3,L3615-D3615,L3615))</f>
        <v>0</v>
      </c>
      <c r="O3615" s="95">
        <f t="shared" si="474"/>
        <v>0</v>
      </c>
      <c r="P3615" s="107" t="s">
        <v>155</v>
      </c>
      <c r="Q3615" s="107">
        <v>0</v>
      </c>
      <c r="R3615" s="107">
        <v>0.53864325000000002</v>
      </c>
      <c r="S3615" s="107">
        <v>0</v>
      </c>
      <c r="T3615" s="107">
        <v>1.106977051E-2</v>
      </c>
      <c r="U3615" s="107" t="s">
        <v>0</v>
      </c>
      <c r="V3615" s="107">
        <v>1.3572</v>
      </c>
      <c r="W3615" s="107" t="s">
        <v>15</v>
      </c>
      <c r="X3615" s="107">
        <v>1.3572</v>
      </c>
      <c r="Y3615" s="107"/>
      <c r="Z3615" s="107"/>
      <c r="AA3615" s="107"/>
      <c r="AB3615" s="107"/>
      <c r="AC3615" s="355"/>
      <c r="AD3615" s="355"/>
      <c r="AE3615" s="355"/>
      <c r="AF3615" s="94">
        <f t="shared" si="475"/>
        <v>43098</v>
      </c>
      <c r="AG3615" s="185">
        <f t="shared" si="470"/>
        <v>1.043113138300189E-2</v>
      </c>
      <c r="AH3615" s="339" t="str">
        <f>VLOOKUP(B3615,'MF PF'!A:B,2)</f>
        <v>FdMgt1</v>
      </c>
      <c r="AI3615" s="358">
        <f t="shared" si="476"/>
        <v>0</v>
      </c>
      <c r="AJ3615" s="94">
        <f t="shared" si="477"/>
        <v>43100</v>
      </c>
    </row>
    <row r="3616" spans="1:36" ht="12.75" customHeight="1">
      <c r="A3616" s="97">
        <v>43131</v>
      </c>
      <c r="B3616" s="94" t="s">
        <v>189</v>
      </c>
      <c r="C3616" s="96" t="s">
        <v>298</v>
      </c>
      <c r="D3616" s="98">
        <v>2800656.2</v>
      </c>
      <c r="E3616" s="95">
        <f t="shared" si="478"/>
        <v>589380.07771130127</v>
      </c>
      <c r="F3616" s="98">
        <v>20</v>
      </c>
      <c r="G3616" s="98">
        <v>0</v>
      </c>
      <c r="H3616" s="98">
        <v>0</v>
      </c>
      <c r="I3616" s="98">
        <v>0</v>
      </c>
      <c r="J3616" s="98"/>
      <c r="K3616" s="93">
        <v>4.7518677775393998</v>
      </c>
      <c r="L3616" s="93">
        <f t="shared" si="472"/>
        <v>0</v>
      </c>
      <c r="M3616" s="95">
        <f t="shared" ca="1" si="473"/>
        <v>0</v>
      </c>
      <c r="N3616" s="95">
        <f>IF(P3616="Hedge Fund",IF(A3616=Summary!$AD$3,M3616-E3616,M3616),IF(A3616=Summary!$AD$3,L3616-D3616,L3616))</f>
        <v>0</v>
      </c>
      <c r="O3616" s="95">
        <f t="shared" si="474"/>
        <v>0</v>
      </c>
      <c r="P3616" s="107" t="s">
        <v>155</v>
      </c>
      <c r="Q3616" s="107">
        <v>0</v>
      </c>
      <c r="R3616" s="107"/>
      <c r="S3616" s="107">
        <v>0</v>
      </c>
      <c r="T3616" s="107"/>
      <c r="U3616" s="107" t="s">
        <v>0</v>
      </c>
      <c r="V3616" s="107">
        <v>1.4003000000000001</v>
      </c>
      <c r="W3616" s="107" t="s">
        <v>15</v>
      </c>
      <c r="X3616" s="107">
        <v>1.4003000000000001</v>
      </c>
      <c r="Y3616" s="107"/>
      <c r="Z3616" s="107"/>
      <c r="AA3616" s="107"/>
      <c r="AB3616" s="107"/>
      <c r="AC3616" s="355"/>
      <c r="AD3616" s="355"/>
      <c r="AE3616" s="355"/>
      <c r="AF3616" s="94">
        <f t="shared" si="475"/>
        <v>43131</v>
      </c>
      <c r="AG3616" s="185">
        <f t="shared" si="470"/>
        <v>2.1109645578736513E-2</v>
      </c>
      <c r="AH3616" s="339" t="str">
        <f>VLOOKUP(B3616,'MF PF'!A:B,2)</f>
        <v>FdMgt1</v>
      </c>
      <c r="AI3616" s="358">
        <f t="shared" si="476"/>
        <v>0</v>
      </c>
      <c r="AJ3616" s="94">
        <f t="shared" si="477"/>
        <v>43131</v>
      </c>
    </row>
    <row r="3617" spans="1:36" ht="12.75" customHeight="1">
      <c r="A3617" s="97">
        <v>43159</v>
      </c>
      <c r="B3617" s="94" t="s">
        <v>189</v>
      </c>
      <c r="C3617" s="96" t="s">
        <v>298</v>
      </c>
      <c r="D3617" s="98">
        <v>2712600</v>
      </c>
      <c r="E3617" s="95">
        <f t="shared" si="478"/>
        <v>570849.21697981923</v>
      </c>
      <c r="F3617" s="98">
        <v>20</v>
      </c>
      <c r="G3617" s="98">
        <v>0</v>
      </c>
      <c r="H3617" s="98">
        <v>0</v>
      </c>
      <c r="I3617" s="98">
        <v>0</v>
      </c>
      <c r="J3617" s="98"/>
      <c r="K3617" s="93">
        <v>4.7518677775393998</v>
      </c>
      <c r="L3617" s="93">
        <f t="shared" si="472"/>
        <v>0</v>
      </c>
      <c r="M3617" s="95">
        <f t="shared" ca="1" si="473"/>
        <v>0</v>
      </c>
      <c r="N3617" s="95">
        <f>IF(P3617="Hedge Fund",IF(A3617=Summary!$AD$3,M3617-E3617,M3617),IF(A3617=Summary!$AD$3,L3617-D3617,L3617))</f>
        <v>0</v>
      </c>
      <c r="O3617" s="95">
        <f t="shared" si="474"/>
        <v>0</v>
      </c>
      <c r="P3617" s="107" t="s">
        <v>155</v>
      </c>
      <c r="Q3617" s="107">
        <v>0</v>
      </c>
      <c r="R3617" s="107"/>
      <c r="S3617" s="107">
        <v>0</v>
      </c>
      <c r="T3617" s="107"/>
      <c r="U3617" s="107" t="s">
        <v>0</v>
      </c>
      <c r="V3617" s="107">
        <v>1.3563000000000001</v>
      </c>
      <c r="W3617" s="107" t="s">
        <v>15</v>
      </c>
      <c r="X3617" s="107">
        <v>1.3563000000000001</v>
      </c>
      <c r="Y3617" s="107"/>
      <c r="Z3617" s="107"/>
      <c r="AA3617" s="107"/>
      <c r="AB3617" s="107"/>
      <c r="AC3617" s="355"/>
      <c r="AD3617" s="355"/>
      <c r="AE3617" s="355"/>
      <c r="AF3617" s="94">
        <f t="shared" si="475"/>
        <v>43159</v>
      </c>
      <c r="AG3617" s="185">
        <f t="shared" si="470"/>
        <v>-3.1441274369913841E-2</v>
      </c>
      <c r="AH3617" s="339" t="str">
        <f>VLOOKUP(B3617,'MF PF'!A:B,2)</f>
        <v>FdMgt1</v>
      </c>
      <c r="AI3617" s="358">
        <f t="shared" si="476"/>
        <v>0</v>
      </c>
      <c r="AJ3617" s="94">
        <f t="shared" si="477"/>
        <v>43159</v>
      </c>
    </row>
    <row r="3618" spans="1:36" ht="12.75" customHeight="1">
      <c r="A3618" s="97">
        <v>43188</v>
      </c>
      <c r="B3618" s="94" t="s">
        <v>189</v>
      </c>
      <c r="C3618" s="96" t="s">
        <v>298</v>
      </c>
      <c r="D3618" s="110">
        <v>2727708.7</v>
      </c>
      <c r="E3618" s="9">
        <f t="shared" si="478"/>
        <v>574028.74568459799</v>
      </c>
      <c r="F3618" s="98">
        <v>20</v>
      </c>
      <c r="G3618" s="98">
        <v>0</v>
      </c>
      <c r="H3618" s="98">
        <v>0</v>
      </c>
      <c r="I3618" s="98">
        <v>0</v>
      </c>
      <c r="J3618" s="98"/>
      <c r="K3618" s="93">
        <v>4.7518677775393998</v>
      </c>
      <c r="L3618" s="93">
        <f t="shared" si="472"/>
        <v>0</v>
      </c>
      <c r="M3618" s="95">
        <f t="shared" ca="1" si="473"/>
        <v>0</v>
      </c>
      <c r="N3618" s="95">
        <f>IF(P3618="Hedge Fund",IF(A3618=Summary!$AD$3,M3618-E3618,M3618),IF(A3618=Summary!$AD$3,L3618-D3618,L3618))</f>
        <v>0</v>
      </c>
      <c r="O3618" s="95">
        <f t="shared" si="474"/>
        <v>0</v>
      </c>
      <c r="P3618" s="107" t="s">
        <v>155</v>
      </c>
      <c r="Q3618" s="109">
        <v>0</v>
      </c>
      <c r="R3618" s="109">
        <v>0</v>
      </c>
      <c r="S3618" s="107">
        <v>0</v>
      </c>
      <c r="T3618" s="107">
        <v>0</v>
      </c>
      <c r="U3618" s="107" t="s">
        <v>0</v>
      </c>
      <c r="V3618" s="109">
        <f>1363854.35/10^6</f>
        <v>1.36385435</v>
      </c>
      <c r="W3618" s="107" t="s">
        <v>15</v>
      </c>
      <c r="X3618" s="109">
        <f>1363854.35/10^6</f>
        <v>1.36385435</v>
      </c>
      <c r="Y3618" s="107"/>
      <c r="Z3618" s="107"/>
      <c r="AA3618" s="107"/>
      <c r="AB3618" s="107"/>
      <c r="AC3618" s="355"/>
      <c r="AD3618" s="355"/>
      <c r="AE3618" s="355"/>
      <c r="AF3618" s="94">
        <f t="shared" si="475"/>
        <v>43188</v>
      </c>
      <c r="AG3618" s="185">
        <f t="shared" ref="AG3618:AG3681" si="479">IF(C3618&lt;&gt;C3617,D3618/G3618-1,(D3618-G3618-I3618-H3618)/(D3617)-1)</f>
        <v>5.569822310698358E-3</v>
      </c>
      <c r="AH3618" s="339" t="str">
        <f>VLOOKUP(B3618,'MF PF'!A:B,2)</f>
        <v>FdMgt1</v>
      </c>
      <c r="AI3618" s="358">
        <f t="shared" si="476"/>
        <v>0</v>
      </c>
      <c r="AJ3618" s="94">
        <f t="shared" si="477"/>
        <v>43190</v>
      </c>
    </row>
    <row r="3619" spans="1:36" ht="12.75" customHeight="1">
      <c r="A3619" s="97">
        <v>43220</v>
      </c>
      <c r="B3619" s="94" t="s">
        <v>189</v>
      </c>
      <c r="C3619" s="96" t="s">
        <v>298</v>
      </c>
      <c r="D3619" s="110">
        <v>1615122.42</v>
      </c>
      <c r="E3619" s="95">
        <f t="shared" si="478"/>
        <v>339892.12150097714</v>
      </c>
      <c r="F3619" s="98">
        <v>20</v>
      </c>
      <c r="G3619" s="98">
        <v>0</v>
      </c>
      <c r="H3619" s="98">
        <v>0</v>
      </c>
      <c r="I3619" s="98">
        <f>569357.17*-2</f>
        <v>-1138714.3400000001</v>
      </c>
      <c r="J3619" s="98"/>
      <c r="K3619" s="93">
        <v>4.7518677775393998</v>
      </c>
      <c r="L3619" s="93">
        <f t="shared" si="472"/>
        <v>-1138714.3400000001</v>
      </c>
      <c r="M3619" s="95">
        <f t="shared" ca="1" si="473"/>
        <v>-239635.10630122083</v>
      </c>
      <c r="N3619" s="95">
        <f>IF(P3619="Hedge Fund",IF(A3619=Summary!$AD$3,M3619-E3619,M3619),IF(A3619=Summary!$AD$3,L3619-D3619,L3619))</f>
        <v>-1138714.3400000001</v>
      </c>
      <c r="O3619" s="95">
        <f t="shared" si="474"/>
        <v>-1138714.3400000001</v>
      </c>
      <c r="P3619" s="107" t="s">
        <v>155</v>
      </c>
      <c r="Q3619" s="109">
        <v>0</v>
      </c>
      <c r="R3619" s="109">
        <v>0</v>
      </c>
      <c r="S3619" s="107">
        <v>0</v>
      </c>
      <c r="T3619" s="107">
        <v>0</v>
      </c>
      <c r="U3619" s="107" t="s">
        <v>0</v>
      </c>
      <c r="V3619" s="109">
        <v>0.80759999999999998</v>
      </c>
      <c r="W3619" s="107" t="s">
        <v>15</v>
      </c>
      <c r="X3619" s="109">
        <v>0.80759999999999998</v>
      </c>
      <c r="Y3619" s="107"/>
      <c r="Z3619" s="107"/>
      <c r="AA3619" s="107"/>
      <c r="AB3619" s="107"/>
      <c r="AC3619" s="355"/>
      <c r="AD3619" s="355"/>
      <c r="AE3619" s="355"/>
      <c r="AF3619" s="94">
        <f t="shared" si="475"/>
        <v>43220</v>
      </c>
      <c r="AG3619" s="185">
        <f t="shared" si="479"/>
        <v>9.5787574384316176E-3</v>
      </c>
      <c r="AH3619" s="339" t="str">
        <f>VLOOKUP(B3619,'MF PF'!A:B,2)</f>
        <v>FdMgt1</v>
      </c>
      <c r="AI3619" s="358">
        <f t="shared" si="476"/>
        <v>0</v>
      </c>
      <c r="AJ3619" s="94">
        <f t="shared" si="477"/>
        <v>43220</v>
      </c>
    </row>
    <row r="3620" spans="1:36" ht="12.75" customHeight="1">
      <c r="A3620" s="8">
        <v>43251</v>
      </c>
      <c r="B3620" s="358" t="s">
        <v>189</v>
      </c>
      <c r="C3620" s="94" t="s">
        <v>298</v>
      </c>
      <c r="D3620" s="110">
        <v>1546340.62</v>
      </c>
      <c r="E3620" s="95">
        <f t="shared" si="478"/>
        <v>325417.43423692702</v>
      </c>
      <c r="F3620" s="98">
        <v>20</v>
      </c>
      <c r="G3620" s="98">
        <v>0</v>
      </c>
      <c r="H3620" s="98">
        <v>0</v>
      </c>
      <c r="I3620" s="98">
        <v>0</v>
      </c>
      <c r="J3620" s="98"/>
      <c r="K3620" s="93">
        <v>4.7518677775393998</v>
      </c>
      <c r="L3620" s="93">
        <f t="shared" si="472"/>
        <v>0</v>
      </c>
      <c r="M3620" s="95">
        <f t="shared" ca="1" si="473"/>
        <v>0</v>
      </c>
      <c r="N3620" s="95">
        <f>IF(P3620="Hedge Fund",IF(A3620=Summary!$AD$3,M3620-E3620,M3620),IF(A3620=Summary!$AD$3,L3620-D3620,L3620))</f>
        <v>0</v>
      </c>
      <c r="O3620" s="95">
        <f t="shared" si="474"/>
        <v>0</v>
      </c>
      <c r="P3620" s="107" t="s">
        <v>155</v>
      </c>
      <c r="Q3620" s="107">
        <v>0</v>
      </c>
      <c r="R3620" s="107">
        <v>0</v>
      </c>
      <c r="S3620" s="107">
        <v>0</v>
      </c>
      <c r="T3620" s="107">
        <v>0</v>
      </c>
      <c r="U3620" s="107" t="s">
        <v>0</v>
      </c>
      <c r="V3620" s="109">
        <v>0.7732</v>
      </c>
      <c r="W3620" s="107" t="s">
        <v>15</v>
      </c>
      <c r="X3620" s="109">
        <v>0.7732</v>
      </c>
      <c r="Y3620" s="107"/>
      <c r="Z3620" s="107"/>
      <c r="AA3620" s="107"/>
      <c r="AB3620" s="107"/>
      <c r="AC3620" s="355"/>
      <c r="AD3620" s="355"/>
      <c r="AE3620" s="355"/>
      <c r="AF3620" s="94">
        <f t="shared" si="475"/>
        <v>43251</v>
      </c>
      <c r="AG3620" s="185">
        <f t="shared" si="479"/>
        <v>-4.2586121738066085E-2</v>
      </c>
      <c r="AH3620" s="339" t="str">
        <f>VLOOKUP(B3620,'MF PF'!A:B,2)</f>
        <v>FdMgt1</v>
      </c>
      <c r="AI3620" s="358">
        <f t="shared" si="476"/>
        <v>0</v>
      </c>
      <c r="AJ3620" s="94">
        <f t="shared" si="477"/>
        <v>43251</v>
      </c>
    </row>
    <row r="3621" spans="1:36" ht="12.75" customHeight="1">
      <c r="A3621" s="8">
        <v>43280</v>
      </c>
      <c r="B3621" s="358" t="s">
        <v>189</v>
      </c>
      <c r="C3621" s="94" t="s">
        <v>298</v>
      </c>
      <c r="D3621" s="110">
        <v>1491615.34</v>
      </c>
      <c r="E3621" s="95">
        <f t="shared" si="478"/>
        <v>313900.85116644064</v>
      </c>
      <c r="F3621" s="98">
        <v>20</v>
      </c>
      <c r="G3621" s="98">
        <v>0</v>
      </c>
      <c r="H3621" s="98">
        <v>0</v>
      </c>
      <c r="I3621" s="98">
        <v>0</v>
      </c>
      <c r="J3621" s="98"/>
      <c r="K3621" s="93">
        <v>4.7518677775393998</v>
      </c>
      <c r="L3621" s="93">
        <f t="shared" si="472"/>
        <v>0</v>
      </c>
      <c r="M3621" s="95">
        <f t="shared" ca="1" si="473"/>
        <v>0</v>
      </c>
      <c r="N3621" s="95">
        <f>IF(P3621="Hedge Fund",IF(A3621=Summary!$AD$3,M3621-E3621,M3621),IF(A3621=Summary!$AD$3,L3621-D3621,L3621))</f>
        <v>0</v>
      </c>
      <c r="O3621" s="95">
        <f t="shared" si="474"/>
        <v>0</v>
      </c>
      <c r="P3621" s="107" t="s">
        <v>155</v>
      </c>
      <c r="Q3621" s="107">
        <v>0</v>
      </c>
      <c r="R3621" s="107">
        <v>0</v>
      </c>
      <c r="S3621" s="107">
        <v>0</v>
      </c>
      <c r="T3621" s="107">
        <v>0</v>
      </c>
      <c r="U3621" s="107" t="s">
        <v>0</v>
      </c>
      <c r="V3621" s="109">
        <f>10^-6* 745807.67</f>
        <v>0.74580767000000003</v>
      </c>
      <c r="W3621" s="107" t="s">
        <v>15</v>
      </c>
      <c r="X3621" s="109">
        <f>10^-6* 745807.67</f>
        <v>0.74580767000000003</v>
      </c>
      <c r="Y3621" s="107"/>
      <c r="Z3621" s="107"/>
      <c r="AA3621" s="107"/>
      <c r="AB3621" s="107"/>
      <c r="AC3621" s="355"/>
      <c r="AD3621" s="355"/>
      <c r="AE3621" s="355"/>
      <c r="AF3621" s="94">
        <f t="shared" si="475"/>
        <v>43280</v>
      </c>
      <c r="AG3621" s="185">
        <f t="shared" si="479"/>
        <v>-3.5390184602406727E-2</v>
      </c>
      <c r="AH3621" s="339" t="str">
        <f>VLOOKUP(B3621,'MF PF'!A:B,2)</f>
        <v>FdMgt1</v>
      </c>
      <c r="AI3621" s="358">
        <f t="shared" si="476"/>
        <v>0</v>
      </c>
      <c r="AJ3621" s="94">
        <f t="shared" si="477"/>
        <v>43281</v>
      </c>
    </row>
    <row r="3622" spans="1:36" ht="12.75" customHeight="1">
      <c r="A3622" s="8">
        <v>43312</v>
      </c>
      <c r="B3622" s="358" t="s">
        <v>189</v>
      </c>
      <c r="C3622" s="94" t="s">
        <v>298</v>
      </c>
      <c r="D3622" s="110">
        <v>1484989.844</v>
      </c>
      <c r="E3622" s="95">
        <f t="shared" si="478"/>
        <v>312506.55816205259</v>
      </c>
      <c r="F3622" s="98">
        <v>20</v>
      </c>
      <c r="G3622" s="98">
        <v>0</v>
      </c>
      <c r="H3622" s="98">
        <v>0</v>
      </c>
      <c r="I3622" s="98">
        <v>0</v>
      </c>
      <c r="J3622" s="98"/>
      <c r="K3622" s="93">
        <v>4.7518677775393998</v>
      </c>
      <c r="L3622" s="93">
        <f t="shared" si="472"/>
        <v>0</v>
      </c>
      <c r="M3622" s="95">
        <f t="shared" ca="1" si="473"/>
        <v>0</v>
      </c>
      <c r="N3622" s="95">
        <f>IF(P3622="Hedge Fund",IF(A3622=Summary!$AD$3,M3622-E3622,M3622),IF(A3622=Summary!$AD$3,L3622-D3622,L3622))</f>
        <v>0</v>
      </c>
      <c r="O3622" s="95">
        <f t="shared" si="474"/>
        <v>0</v>
      </c>
      <c r="P3622" s="107" t="s">
        <v>155</v>
      </c>
      <c r="Q3622" s="107">
        <v>0</v>
      </c>
      <c r="R3622" s="107">
        <v>0</v>
      </c>
      <c r="S3622" s="107">
        <v>0</v>
      </c>
      <c r="T3622" s="107">
        <v>0</v>
      </c>
      <c r="U3622" s="107" t="s">
        <v>0</v>
      </c>
      <c r="V3622" s="109">
        <f>10^-6*742494.922</f>
        <v>0.742494922</v>
      </c>
      <c r="W3622" s="107" t="s">
        <v>15</v>
      </c>
      <c r="X3622" s="109">
        <f>10^-6*742494.922</f>
        <v>0.742494922</v>
      </c>
      <c r="Y3622" s="107"/>
      <c r="Z3622" s="107"/>
      <c r="AA3622" s="107"/>
      <c r="AB3622" s="107"/>
      <c r="AC3622" s="355"/>
      <c r="AD3622" s="355"/>
      <c r="AE3622" s="355"/>
      <c r="AF3622" s="94">
        <f t="shared" si="475"/>
        <v>43312</v>
      </c>
      <c r="AG3622" s="185">
        <f t="shared" si="479"/>
        <v>-4.4418261346119703E-3</v>
      </c>
      <c r="AH3622" s="339" t="str">
        <f>VLOOKUP(B3622,'MF PF'!A:B,2)</f>
        <v>FdMgt1</v>
      </c>
      <c r="AI3622" s="358">
        <f t="shared" si="476"/>
        <v>0</v>
      </c>
      <c r="AJ3622" s="94">
        <f t="shared" si="477"/>
        <v>43312</v>
      </c>
    </row>
    <row r="3623" spans="1:36" ht="12.75" customHeight="1">
      <c r="A3623" s="8">
        <v>43343</v>
      </c>
      <c r="B3623" s="358" t="s">
        <v>189</v>
      </c>
      <c r="C3623" s="94" t="s">
        <v>298</v>
      </c>
      <c r="D3623" s="110">
        <v>1479671.04</v>
      </c>
      <c r="E3623" s="9">
        <f t="shared" si="478"/>
        <v>311387.25008173514</v>
      </c>
      <c r="F3623" s="98">
        <v>20</v>
      </c>
      <c r="G3623" s="98">
        <v>0</v>
      </c>
      <c r="H3623" s="98">
        <v>0</v>
      </c>
      <c r="I3623" s="98">
        <v>0</v>
      </c>
      <c r="J3623" s="98"/>
      <c r="K3623" s="93">
        <v>4.7518677775393998</v>
      </c>
      <c r="L3623" s="93">
        <f t="shared" si="472"/>
        <v>0</v>
      </c>
      <c r="M3623" s="95">
        <f t="shared" ca="1" si="473"/>
        <v>0</v>
      </c>
      <c r="N3623" s="95">
        <f>IF(P3623="Hedge Fund",IF(A3623=Summary!$AD$3,M3623-E3623,M3623),IF(A3623=Summary!$AD$3,L3623-D3623,L3623))</f>
        <v>0</v>
      </c>
      <c r="O3623" s="95">
        <f t="shared" si="474"/>
        <v>0</v>
      </c>
      <c r="P3623" s="107" t="s">
        <v>155</v>
      </c>
      <c r="Q3623" s="107">
        <v>0</v>
      </c>
      <c r="R3623" s="107">
        <v>0</v>
      </c>
      <c r="S3623" s="107">
        <v>0</v>
      </c>
      <c r="T3623" s="107">
        <v>0</v>
      </c>
      <c r="U3623" s="107" t="s">
        <v>0</v>
      </c>
      <c r="V3623" s="109">
        <f>739835.52/10^6</f>
        <v>0.73983551999999997</v>
      </c>
      <c r="W3623" s="107" t="s">
        <v>15</v>
      </c>
      <c r="X3623" s="109">
        <f>739835.52/10^6</f>
        <v>0.73983551999999997</v>
      </c>
      <c r="Y3623" s="107"/>
      <c r="Z3623" s="107"/>
      <c r="AA3623" s="107"/>
      <c r="AB3623" s="107"/>
      <c r="AC3623" s="355"/>
      <c r="AD3623" s="355"/>
      <c r="AE3623" s="355"/>
      <c r="AF3623" s="94">
        <f t="shared" si="475"/>
        <v>43343</v>
      </c>
      <c r="AG3623" s="185">
        <f t="shared" si="479"/>
        <v>-3.5817106908105911E-3</v>
      </c>
      <c r="AH3623" s="339" t="str">
        <f>VLOOKUP(B3623,'MF PF'!A:B,2)</f>
        <v>FdMgt1</v>
      </c>
      <c r="AI3623" s="358">
        <f t="shared" si="476"/>
        <v>0</v>
      </c>
      <c r="AJ3623" s="94">
        <f t="shared" si="477"/>
        <v>43343</v>
      </c>
    </row>
    <row r="3624" spans="1:36" ht="12.75" customHeight="1">
      <c r="A3624" s="8">
        <v>43371</v>
      </c>
      <c r="B3624" s="358" t="s">
        <v>189</v>
      </c>
      <c r="C3624" s="358" t="s">
        <v>298</v>
      </c>
      <c r="D3624" s="110">
        <f>1742840.4045-325627.6</f>
        <v>1417212.8045000001</v>
      </c>
      <c r="F3624" s="98">
        <f>20.28-0.28</f>
        <v>20</v>
      </c>
      <c r="G3624" s="98"/>
      <c r="H3624" s="93">
        <v>0</v>
      </c>
      <c r="I3624" s="93">
        <v>0</v>
      </c>
      <c r="K3624" s="93">
        <v>0</v>
      </c>
      <c r="L3624" s="93">
        <f t="shared" si="472"/>
        <v>0</v>
      </c>
      <c r="M3624" s="95" t="e">
        <f t="shared" ca="1" si="473"/>
        <v>#DIV/0!</v>
      </c>
      <c r="N3624" s="95">
        <f>IF(P3624="Hedge Fund",IF(A3624=Summary!$AD$3,M3624-E3624,M3624),IF(A3624=Summary!$AD$3,L3624-D3624,L3624))</f>
        <v>0</v>
      </c>
      <c r="O3624" s="95">
        <f t="shared" si="474"/>
        <v>0</v>
      </c>
      <c r="P3624" s="95" t="s">
        <v>155</v>
      </c>
      <c r="Q3624" s="95">
        <v>0</v>
      </c>
      <c r="R3624" s="95"/>
      <c r="S3624" s="95"/>
      <c r="T3624" s="95"/>
      <c r="U3624" s="107" t="s">
        <v>0</v>
      </c>
      <c r="V3624" s="109">
        <f>708606.4/10^6</f>
        <v>0.70860639999999997</v>
      </c>
      <c r="W3624" s="107" t="s">
        <v>15</v>
      </c>
      <c r="X3624" s="109">
        <f>708606.4/10^6</f>
        <v>0.70860639999999997</v>
      </c>
      <c r="Y3624" s="95"/>
      <c r="Z3624" s="95"/>
      <c r="AA3624" s="95"/>
      <c r="AB3624" s="95"/>
      <c r="AC3624" s="355"/>
      <c r="AD3624" s="355"/>
      <c r="AE3624" s="355"/>
      <c r="AF3624" s="94">
        <f t="shared" si="475"/>
        <v>43371</v>
      </c>
      <c r="AG3624" s="185">
        <f t="shared" si="479"/>
        <v>-4.2210892699501623E-2</v>
      </c>
      <c r="AH3624" s="339" t="str">
        <f>VLOOKUP(B3624,'MF PF'!A:B,2)</f>
        <v>FdMgt1</v>
      </c>
      <c r="AI3624" s="358">
        <f t="shared" si="476"/>
        <v>0</v>
      </c>
      <c r="AJ3624" s="94">
        <f t="shared" si="477"/>
        <v>43373</v>
      </c>
    </row>
    <row r="3625" spans="1:36" ht="12.75" customHeight="1">
      <c r="A3625" s="8">
        <v>43404</v>
      </c>
      <c r="B3625" s="358" t="s">
        <v>189</v>
      </c>
      <c r="C3625" s="358" t="s">
        <v>298</v>
      </c>
      <c r="D3625" s="93">
        <v>1326919.82</v>
      </c>
      <c r="E3625" s="95"/>
      <c r="F3625" s="98">
        <f>20.28-0.28</f>
        <v>20</v>
      </c>
      <c r="G3625" s="93"/>
      <c r="H3625" s="93">
        <v>0</v>
      </c>
      <c r="I3625" s="93">
        <v>-80416.759999999995</v>
      </c>
      <c r="J3625" s="93">
        <v>0</v>
      </c>
      <c r="K3625" s="93"/>
      <c r="L3625" s="93">
        <f t="shared" si="472"/>
        <v>-80416.759999999995</v>
      </c>
      <c r="M3625" s="95" t="e">
        <f t="shared" ca="1" si="473"/>
        <v>#DIV/0!</v>
      </c>
      <c r="N3625" s="95">
        <f>IF(P3625="Hedge Fund",IF(A3625=Summary!$AD$3,M3625-E3625,M3625),IF(A3625=Summary!$AD$3,L3625-D3625,L3625))</f>
        <v>-80416.759999999995</v>
      </c>
      <c r="O3625" s="95">
        <f t="shared" si="474"/>
        <v>-80416.759999999995</v>
      </c>
      <c r="P3625" s="95" t="s">
        <v>155</v>
      </c>
      <c r="Q3625" s="95">
        <v>0</v>
      </c>
      <c r="R3625" s="95"/>
      <c r="S3625" s="95"/>
      <c r="T3625" s="95"/>
      <c r="U3625" s="107" t="s">
        <v>0</v>
      </c>
      <c r="V3625" s="109">
        <f>663459.91/10^6</f>
        <v>0.66345991000000004</v>
      </c>
      <c r="W3625" s="107" t="s">
        <v>15</v>
      </c>
      <c r="X3625" s="109">
        <f>663459.91/10^6</f>
        <v>0.66345991000000004</v>
      </c>
      <c r="Y3625" s="95"/>
      <c r="Z3625" s="95"/>
      <c r="AA3625" s="95"/>
      <c r="AB3625" s="95"/>
      <c r="AC3625" s="355"/>
      <c r="AD3625" s="355"/>
      <c r="AE3625" s="355"/>
      <c r="AF3625" s="94">
        <f t="shared" si="475"/>
        <v>43404</v>
      </c>
      <c r="AG3625" s="185">
        <f t="shared" si="479"/>
        <v>-6.9687660657881123E-3</v>
      </c>
      <c r="AH3625" s="339" t="str">
        <f>VLOOKUP(B3625,'MF PF'!A:B,2)</f>
        <v>FdMgt1</v>
      </c>
      <c r="AI3625" s="358">
        <f t="shared" si="476"/>
        <v>0</v>
      </c>
      <c r="AJ3625" s="94">
        <f t="shared" si="477"/>
        <v>43404</v>
      </c>
    </row>
    <row r="3626" spans="1:36" ht="12.75" customHeight="1">
      <c r="A3626" s="8">
        <v>43434</v>
      </c>
      <c r="B3626" s="358" t="s">
        <v>189</v>
      </c>
      <c r="C3626" s="358" t="s">
        <v>298</v>
      </c>
      <c r="D3626" s="93">
        <v>1314688.42</v>
      </c>
      <c r="F3626" s="98">
        <f>20.28-0.28</f>
        <v>20</v>
      </c>
      <c r="G3626" s="93"/>
      <c r="H3626" s="93">
        <v>0</v>
      </c>
      <c r="I3626" s="93">
        <v>0</v>
      </c>
      <c r="K3626" s="93">
        <v>0</v>
      </c>
      <c r="L3626" s="93">
        <f t="shared" si="472"/>
        <v>0</v>
      </c>
      <c r="M3626" s="95" t="e">
        <f t="shared" ca="1" si="473"/>
        <v>#DIV/0!</v>
      </c>
      <c r="N3626" s="95">
        <f>IF(P3626="Hedge Fund",IF(A3626=Summary!$AD$3,M3626-E3626,M3626),IF(A3626=Summary!$AD$3,L3626-D3626,L3626))</f>
        <v>0</v>
      </c>
      <c r="O3626" s="95">
        <f t="shared" si="474"/>
        <v>0</v>
      </c>
      <c r="P3626" s="95" t="s">
        <v>155</v>
      </c>
      <c r="Q3626" s="95">
        <v>0</v>
      </c>
      <c r="R3626" s="95">
        <v>0</v>
      </c>
      <c r="S3626" s="95"/>
      <c r="T3626" s="95"/>
      <c r="U3626" s="107" t="s">
        <v>0</v>
      </c>
      <c r="V3626" s="109">
        <f>657344.21/10^6</f>
        <v>0.65734420999999998</v>
      </c>
      <c r="W3626" s="107" t="s">
        <v>15</v>
      </c>
      <c r="X3626" s="109">
        <f>657344.21/10^6</f>
        <v>0.65734420999999998</v>
      </c>
      <c r="Y3626" s="95"/>
      <c r="Z3626" s="95"/>
      <c r="AA3626" s="95"/>
      <c r="AB3626" s="95"/>
      <c r="AC3626" s="355"/>
      <c r="AD3626" s="355"/>
      <c r="AE3626" s="355"/>
      <c r="AF3626" s="94">
        <f t="shared" si="475"/>
        <v>43434</v>
      </c>
      <c r="AG3626" s="185">
        <f t="shared" si="479"/>
        <v>-9.2178892919092537E-3</v>
      </c>
      <c r="AH3626" s="339" t="str">
        <f>VLOOKUP(B3626,'MF PF'!A:B,2)</f>
        <v>FdMgt1</v>
      </c>
      <c r="AI3626" s="358">
        <f t="shared" si="476"/>
        <v>0</v>
      </c>
      <c r="AJ3626" s="94">
        <f t="shared" si="477"/>
        <v>43434</v>
      </c>
    </row>
    <row r="3627" spans="1:36" ht="12.75" customHeight="1">
      <c r="A3627" s="8">
        <v>43465</v>
      </c>
      <c r="B3627" s="358" t="s">
        <v>189</v>
      </c>
      <c r="C3627" s="358" t="s">
        <v>298</v>
      </c>
      <c r="D3627" s="93">
        <v>1090261.04</v>
      </c>
      <c r="F3627" s="93">
        <v>20</v>
      </c>
      <c r="G3627" s="93"/>
      <c r="H3627" s="93">
        <v>0</v>
      </c>
      <c r="I3627" s="93">
        <v>0</v>
      </c>
      <c r="K3627" s="93">
        <v>0</v>
      </c>
      <c r="L3627" s="93">
        <f t="shared" si="472"/>
        <v>0</v>
      </c>
      <c r="M3627" s="95" t="e">
        <f t="shared" ca="1" si="473"/>
        <v>#DIV/0!</v>
      </c>
      <c r="N3627" s="95">
        <f>IF(P3627="Hedge Fund",IF(A3627=Summary!$AD$3,M3627-E3627,M3627),IF(A3627=Summary!$AD$3,L3627-D3627,L3627))</f>
        <v>0</v>
      </c>
      <c r="O3627" s="95">
        <f t="shared" si="474"/>
        <v>0</v>
      </c>
      <c r="P3627" s="95" t="s">
        <v>155</v>
      </c>
      <c r="Q3627" s="95">
        <v>0</v>
      </c>
      <c r="R3627" s="95">
        <v>0</v>
      </c>
      <c r="S3627" s="95"/>
      <c r="T3627" s="95"/>
      <c r="U3627" s="107" t="s">
        <v>0</v>
      </c>
      <c r="V3627" s="109">
        <f>545130.52/10^6</f>
        <v>0.54513052000000006</v>
      </c>
      <c r="W3627" s="107" t="s">
        <v>15</v>
      </c>
      <c r="X3627" s="109">
        <f>545130.52/10^6</f>
        <v>0.54513052000000006</v>
      </c>
      <c r="Y3627" s="95"/>
      <c r="Z3627" s="95"/>
      <c r="AA3627" s="95"/>
      <c r="AB3627" s="95"/>
      <c r="AC3627" s="355"/>
      <c r="AD3627" s="355"/>
      <c r="AE3627" s="355"/>
      <c r="AF3627" s="94">
        <f t="shared" si="475"/>
        <v>43465</v>
      </c>
      <c r="AG3627" s="185">
        <f t="shared" si="479"/>
        <v>-0.17070765710403069</v>
      </c>
      <c r="AH3627" s="339" t="str">
        <f>VLOOKUP(B3627,'MF PF'!A:B,2)</f>
        <v>FdMgt1</v>
      </c>
      <c r="AI3627" s="358">
        <f t="shared" si="476"/>
        <v>0</v>
      </c>
      <c r="AJ3627" s="94">
        <f t="shared" si="477"/>
        <v>43465</v>
      </c>
    </row>
    <row r="3628" spans="1:36" ht="12.75" customHeight="1">
      <c r="A3628" s="8">
        <v>43496</v>
      </c>
      <c r="B3628" s="358" t="s">
        <v>189</v>
      </c>
      <c r="C3628" s="358" t="s">
        <v>298</v>
      </c>
      <c r="D3628" s="93">
        <v>1146185.22</v>
      </c>
      <c r="F3628" s="93">
        <v>20</v>
      </c>
      <c r="G3628" s="93"/>
      <c r="H3628" s="93">
        <v>0</v>
      </c>
      <c r="I3628" s="93">
        <v>0</v>
      </c>
      <c r="K3628" s="93">
        <v>0</v>
      </c>
      <c r="L3628" s="93">
        <f t="shared" si="472"/>
        <v>0</v>
      </c>
      <c r="M3628" s="95" t="e">
        <f t="shared" ca="1" si="473"/>
        <v>#DIV/0!</v>
      </c>
      <c r="N3628" s="95">
        <f>IF(P3628="Hedge Fund",IF(A3628=Summary!$AD$3,M3628-E3628,M3628),IF(A3628=Summary!$AD$3,L3628-D3628,L3628))</f>
        <v>-1146185.22</v>
      </c>
      <c r="O3628" s="95">
        <f t="shared" si="474"/>
        <v>-1146185.22</v>
      </c>
      <c r="P3628" s="95" t="s">
        <v>155</v>
      </c>
      <c r="Q3628" s="95">
        <v>0</v>
      </c>
      <c r="R3628" s="95">
        <v>0</v>
      </c>
      <c r="S3628" s="95"/>
      <c r="T3628" s="95"/>
      <c r="U3628" s="107" t="s">
        <v>0</v>
      </c>
      <c r="V3628" s="109">
        <v>0.57309261</v>
      </c>
      <c r="W3628" s="107" t="s">
        <v>15</v>
      </c>
      <c r="X3628" s="109">
        <v>0.57309261</v>
      </c>
      <c r="Y3628" s="95"/>
      <c r="Z3628" s="95"/>
      <c r="AA3628" s="95"/>
      <c r="AB3628" s="95"/>
      <c r="AC3628" s="355"/>
      <c r="AD3628" s="355"/>
      <c r="AE3628" s="355"/>
      <c r="AF3628" s="94">
        <f t="shared" si="475"/>
        <v>43496</v>
      </c>
      <c r="AG3628" s="185">
        <f t="shared" si="479"/>
        <v>5.1294302876309317E-2</v>
      </c>
      <c r="AH3628" s="339" t="str">
        <f>VLOOKUP(B3628,'MF PF'!A:B,2)</f>
        <v>FdMgt1</v>
      </c>
      <c r="AI3628" s="358">
        <f t="shared" si="476"/>
        <v>0</v>
      </c>
      <c r="AJ3628" s="94">
        <f t="shared" si="477"/>
        <v>43496</v>
      </c>
    </row>
    <row r="3629" spans="1:36" ht="12.75" customHeight="1">
      <c r="A3629" s="8">
        <v>41089</v>
      </c>
      <c r="B3629" s="94" t="s">
        <v>189</v>
      </c>
      <c r="C3629" s="358" t="s">
        <v>343</v>
      </c>
      <c r="D3629" s="98">
        <v>78386.453144950079</v>
      </c>
      <c r="E3629" s="95">
        <f t="shared" ref="E3629:E3660" si="480">D3629/K3629</f>
        <v>109722.07208295455</v>
      </c>
      <c r="F3629" s="98">
        <v>0.28000000000000003</v>
      </c>
      <c r="G3629" s="98">
        <v>56000</v>
      </c>
      <c r="H3629" s="98">
        <v>0</v>
      </c>
      <c r="I3629" s="98">
        <v>0</v>
      </c>
      <c r="J3629" s="98"/>
      <c r="K3629" s="93">
        <v>0.71440915812897332</v>
      </c>
      <c r="L3629" s="93">
        <f t="shared" si="472"/>
        <v>56000</v>
      </c>
      <c r="M3629" s="95">
        <f t="shared" ca="1" si="473"/>
        <v>109722.07208295455</v>
      </c>
      <c r="N3629" s="95">
        <f>IF(P3629="Hedge Fund",IF(A3629=Summary!$AD$3,M3629-E3629,M3629),IF(A3629=Summary!$AD$3,L3629-D3629,L3629))</f>
        <v>56000</v>
      </c>
      <c r="O3629" s="95"/>
      <c r="P3629" s="107" t="s">
        <v>155</v>
      </c>
      <c r="Q3629" s="107">
        <v>0</v>
      </c>
      <c r="R3629" s="107">
        <v>0</v>
      </c>
      <c r="S3629" s="107">
        <v>0</v>
      </c>
      <c r="T3629" s="107">
        <v>0</v>
      </c>
      <c r="U3629" s="107" t="s">
        <v>0</v>
      </c>
      <c r="V3629" s="107">
        <v>2.0149390299999999</v>
      </c>
      <c r="W3629" s="107" t="s">
        <v>15</v>
      </c>
      <c r="X3629" s="107">
        <v>2.0149390299999999</v>
      </c>
      <c r="Y3629" s="107"/>
      <c r="Z3629" s="107"/>
      <c r="AA3629" s="107"/>
      <c r="AB3629" s="107"/>
      <c r="AC3629" s="355"/>
      <c r="AD3629" s="355"/>
      <c r="AE3629" s="355"/>
      <c r="AF3629" s="94">
        <f t="shared" si="475"/>
        <v>41089</v>
      </c>
      <c r="AG3629" s="185">
        <f t="shared" si="479"/>
        <v>0.3997580918741086</v>
      </c>
      <c r="AH3629" s="339" t="str">
        <f>VLOOKUP(B3629,'MF PF'!A:B,2)</f>
        <v>FdMgt1</v>
      </c>
      <c r="AI3629" s="358">
        <f t="shared" si="476"/>
        <v>0</v>
      </c>
      <c r="AJ3629" s="94">
        <f t="shared" si="477"/>
        <v>41090</v>
      </c>
    </row>
    <row r="3630" spans="1:36" ht="12.75" customHeight="1">
      <c r="A3630" s="8">
        <v>41121</v>
      </c>
      <c r="B3630" s="94" t="s">
        <v>189</v>
      </c>
      <c r="C3630" s="358" t="s">
        <v>343</v>
      </c>
      <c r="D3630" s="98">
        <v>60633.369739969465</v>
      </c>
      <c r="E3630" s="95">
        <f t="shared" si="480"/>
        <v>84872.04993111697</v>
      </c>
      <c r="F3630" s="98">
        <v>0.28000000000000003</v>
      </c>
      <c r="G3630" s="98">
        <v>0</v>
      </c>
      <c r="H3630" s="98">
        <v>0</v>
      </c>
      <c r="I3630" s="98">
        <v>0</v>
      </c>
      <c r="J3630" s="98"/>
      <c r="K3630" s="93">
        <v>0.71440915812897332</v>
      </c>
      <c r="L3630" s="93">
        <f t="shared" si="472"/>
        <v>0</v>
      </c>
      <c r="M3630" s="95">
        <f t="shared" ca="1" si="473"/>
        <v>0</v>
      </c>
      <c r="N3630" s="95">
        <f>IF(P3630="Hedge Fund",IF(A3630=Summary!$AD$3,M3630-E3630,M3630),IF(A3630=Summary!$AD$3,L3630-D3630,L3630))</f>
        <v>0</v>
      </c>
      <c r="O3630" s="95"/>
      <c r="P3630" s="107" t="s">
        <v>155</v>
      </c>
      <c r="Q3630" s="107">
        <v>0</v>
      </c>
      <c r="R3630" s="107">
        <v>0</v>
      </c>
      <c r="S3630" s="107">
        <v>0</v>
      </c>
      <c r="T3630" s="107">
        <v>0</v>
      </c>
      <c r="U3630" s="107" t="s">
        <v>0</v>
      </c>
      <c r="V3630" s="107">
        <v>2.0054653467210501</v>
      </c>
      <c r="W3630" s="107" t="s">
        <v>15</v>
      </c>
      <c r="X3630" s="107">
        <v>2.0054653467210501</v>
      </c>
      <c r="Y3630" s="107"/>
      <c r="Z3630" s="107"/>
      <c r="AA3630" s="107"/>
      <c r="AB3630" s="107"/>
      <c r="AC3630" s="355"/>
      <c r="AD3630" s="355"/>
      <c r="AE3630" s="355"/>
      <c r="AF3630" s="94">
        <f t="shared" si="475"/>
        <v>41121</v>
      </c>
      <c r="AG3630" s="185">
        <f t="shared" si="479"/>
        <v>-0.22648152445617231</v>
      </c>
      <c r="AH3630" s="339" t="str">
        <f>VLOOKUP(B3630,'MF PF'!A:B,2)</f>
        <v>FdMgt1</v>
      </c>
      <c r="AI3630" s="358">
        <f t="shared" si="476"/>
        <v>0</v>
      </c>
      <c r="AJ3630" s="94">
        <f t="shared" si="477"/>
        <v>41121</v>
      </c>
    </row>
    <row r="3631" spans="1:36" ht="12.75" customHeight="1">
      <c r="A3631" s="8">
        <v>41152</v>
      </c>
      <c r="B3631" s="94" t="s">
        <v>189</v>
      </c>
      <c r="C3631" s="358" t="s">
        <v>343</v>
      </c>
      <c r="D3631" s="98">
        <v>129079.27000000008</v>
      </c>
      <c r="E3631" s="95">
        <f t="shared" si="480"/>
        <v>118009.52910788672</v>
      </c>
      <c r="F3631" s="98">
        <v>0.28000000000000003</v>
      </c>
      <c r="G3631" s="98">
        <v>32200</v>
      </c>
      <c r="H3631" s="98">
        <v>0</v>
      </c>
      <c r="I3631" s="98">
        <v>0</v>
      </c>
      <c r="J3631" s="98"/>
      <c r="K3631" s="93">
        <v>1.0938037883533387</v>
      </c>
      <c r="L3631" s="93">
        <f t="shared" si="472"/>
        <v>32200</v>
      </c>
      <c r="M3631" s="95">
        <f t="shared" ca="1" si="473"/>
        <v>0</v>
      </c>
      <c r="N3631" s="95">
        <f>IF(P3631="Hedge Fund",IF(A3631=Summary!$AD$3,M3631-E3631,M3631),IF(A3631=Summary!$AD$3,L3631-D3631,L3631))</f>
        <v>32200</v>
      </c>
      <c r="O3631" s="95"/>
      <c r="P3631" s="107" t="s">
        <v>155</v>
      </c>
      <c r="Q3631" s="107">
        <v>0</v>
      </c>
      <c r="R3631" s="107">
        <v>0</v>
      </c>
      <c r="S3631" s="107">
        <v>0</v>
      </c>
      <c r="T3631" s="107">
        <v>0</v>
      </c>
      <c r="U3631" s="107" t="s">
        <v>0</v>
      </c>
      <c r="V3631" s="107">
        <v>3.1771150000000001</v>
      </c>
      <c r="W3631" s="107" t="s">
        <v>15</v>
      </c>
      <c r="X3631" s="107">
        <v>3.1771150000000001</v>
      </c>
      <c r="Y3631" s="107"/>
      <c r="Z3631" s="107"/>
      <c r="AA3631" s="107"/>
      <c r="AB3631" s="107"/>
      <c r="AC3631" s="355"/>
      <c r="AD3631" s="355"/>
      <c r="AE3631" s="355"/>
      <c r="AF3631" s="94">
        <f t="shared" si="475"/>
        <v>41152</v>
      </c>
      <c r="AG3631" s="185">
        <f t="shared" si="479"/>
        <v>0.5977879905978134</v>
      </c>
      <c r="AH3631" s="339" t="str">
        <f>VLOOKUP(B3631,'MF PF'!A:B,2)</f>
        <v>FdMgt1</v>
      </c>
      <c r="AI3631" s="358">
        <f t="shared" si="476"/>
        <v>0</v>
      </c>
      <c r="AJ3631" s="94">
        <f t="shared" si="477"/>
        <v>41152</v>
      </c>
    </row>
    <row r="3632" spans="1:36" ht="12.75" customHeight="1">
      <c r="A3632" s="8">
        <v>41180</v>
      </c>
      <c r="B3632" s="94" t="s">
        <v>189</v>
      </c>
      <c r="C3632" s="358" t="s">
        <v>343</v>
      </c>
      <c r="D3632" s="98">
        <v>104767.9300000004</v>
      </c>
      <c r="E3632" s="95">
        <f t="shared" si="480"/>
        <v>84590.009822217078</v>
      </c>
      <c r="F3632" s="98">
        <v>0.28000000000000003</v>
      </c>
      <c r="G3632" s="98">
        <v>17080</v>
      </c>
      <c r="H3632" s="98">
        <v>0</v>
      </c>
      <c r="I3632" s="98">
        <v>0</v>
      </c>
      <c r="J3632" s="98"/>
      <c r="K3632" s="93">
        <v>1.2385378630430623</v>
      </c>
      <c r="L3632" s="93">
        <f t="shared" si="472"/>
        <v>17080</v>
      </c>
      <c r="M3632" s="95">
        <f t="shared" ca="1" si="473"/>
        <v>0</v>
      </c>
      <c r="N3632" s="95">
        <f>IF(P3632="Hedge Fund",IF(A3632=Summary!$AD$3,M3632-E3632,M3632),IF(A3632=Summary!$AD$3,L3632-D3632,L3632))</f>
        <v>17080</v>
      </c>
      <c r="O3632" s="95"/>
      <c r="P3632" s="107" t="s">
        <v>155</v>
      </c>
      <c r="Q3632" s="107">
        <v>0</v>
      </c>
      <c r="R3632" s="107">
        <v>0</v>
      </c>
      <c r="S3632" s="107">
        <v>0</v>
      </c>
      <c r="T3632" s="107">
        <v>0</v>
      </c>
      <c r="U3632" s="107" t="s">
        <v>0</v>
      </c>
      <c r="V3632" s="107">
        <v>3.7417117499999999</v>
      </c>
      <c r="W3632" s="107" t="s">
        <v>15</v>
      </c>
      <c r="X3632" s="107">
        <v>3.7417117499999999</v>
      </c>
      <c r="Y3632" s="107"/>
      <c r="Z3632" s="107"/>
      <c r="AA3632" s="107"/>
      <c r="AB3632" s="107"/>
      <c r="AC3632" s="355"/>
      <c r="AD3632" s="355"/>
      <c r="AE3632" s="355"/>
      <c r="AF3632" s="94">
        <f t="shared" si="475"/>
        <v>41180</v>
      </c>
      <c r="AG3632" s="185">
        <f t="shared" si="479"/>
        <v>-0.32066605272868098</v>
      </c>
      <c r="AH3632" s="339" t="str">
        <f>VLOOKUP(B3632,'MF PF'!A:B,2)</f>
        <v>FdMgt1</v>
      </c>
      <c r="AI3632" s="358">
        <f t="shared" si="476"/>
        <v>0</v>
      </c>
      <c r="AJ3632" s="94">
        <f t="shared" si="477"/>
        <v>41182</v>
      </c>
    </row>
    <row r="3633" spans="1:36" ht="12.75" customHeight="1">
      <c r="A3633" s="8">
        <v>41213</v>
      </c>
      <c r="B3633" s="94" t="s">
        <v>189</v>
      </c>
      <c r="C3633" s="358" t="s">
        <v>343</v>
      </c>
      <c r="D3633" s="98">
        <v>180166.11750000066</v>
      </c>
      <c r="E3633" s="95">
        <f t="shared" si="480"/>
        <v>145466.78214369336</v>
      </c>
      <c r="F3633" s="98">
        <v>0.28000000000000003</v>
      </c>
      <c r="G3633" s="98">
        <v>0</v>
      </c>
      <c r="H3633" s="98">
        <v>0</v>
      </c>
      <c r="I3633" s="98">
        <v>0</v>
      </c>
      <c r="J3633" s="98"/>
      <c r="K3633" s="93">
        <v>1.2385378630430623</v>
      </c>
      <c r="L3633" s="93">
        <f t="shared" si="472"/>
        <v>0</v>
      </c>
      <c r="M3633" s="95">
        <f t="shared" ca="1" si="473"/>
        <v>0</v>
      </c>
      <c r="N3633" s="95">
        <f>IF(P3633="Hedge Fund",IF(A3633=Summary!$AD$3,M3633-E3633,M3633),IF(A3633=Summary!$AD$3,L3633-D3633,L3633))</f>
        <v>0</v>
      </c>
      <c r="O3633" s="95"/>
      <c r="P3633" s="107" t="s">
        <v>155</v>
      </c>
      <c r="Q3633" s="107">
        <v>0</v>
      </c>
      <c r="R3633" s="107">
        <v>0</v>
      </c>
      <c r="S3633" s="107">
        <v>0</v>
      </c>
      <c r="T3633" s="107">
        <v>0</v>
      </c>
      <c r="U3633" s="107" t="s">
        <v>0</v>
      </c>
      <c r="V3633" s="107">
        <v>3.7592984700000001</v>
      </c>
      <c r="W3633" s="107" t="s">
        <v>15</v>
      </c>
      <c r="X3633" s="107">
        <v>3.7592984700000001</v>
      </c>
      <c r="Y3633" s="107"/>
      <c r="Z3633" s="107"/>
      <c r="AA3633" s="107"/>
      <c r="AB3633" s="107"/>
      <c r="AC3633" s="355"/>
      <c r="AD3633" s="355"/>
      <c r="AE3633" s="355"/>
      <c r="AF3633" s="94">
        <f t="shared" si="475"/>
        <v>41213</v>
      </c>
      <c r="AG3633" s="185">
        <f t="shared" si="479"/>
        <v>0.71966858083384833</v>
      </c>
      <c r="AH3633" s="339" t="str">
        <f>VLOOKUP(B3633,'MF PF'!A:B,2)</f>
        <v>FdMgt1</v>
      </c>
      <c r="AI3633" s="358">
        <f t="shared" si="476"/>
        <v>0</v>
      </c>
      <c r="AJ3633" s="94">
        <f t="shared" si="477"/>
        <v>41213</v>
      </c>
    </row>
    <row r="3634" spans="1:36" ht="12.75" customHeight="1">
      <c r="A3634" s="8">
        <v>41243</v>
      </c>
      <c r="B3634" s="94" t="s">
        <v>189</v>
      </c>
      <c r="C3634" s="358" t="s">
        <v>343</v>
      </c>
      <c r="D3634" s="98">
        <v>274555.73599999992</v>
      </c>
      <c r="E3634" s="95">
        <f t="shared" si="480"/>
        <v>161822.32369103763</v>
      </c>
      <c r="F3634" s="98">
        <v>0.28000000000000003</v>
      </c>
      <c r="G3634" s="98">
        <v>66640</v>
      </c>
      <c r="H3634" s="98">
        <v>0</v>
      </c>
      <c r="I3634" s="98">
        <v>0</v>
      </c>
      <c r="J3634" s="98"/>
      <c r="K3634" s="93">
        <v>1.6966493233912567</v>
      </c>
      <c r="L3634" s="93">
        <f t="shared" si="472"/>
        <v>66640</v>
      </c>
      <c r="M3634" s="95">
        <f t="shared" ca="1" si="473"/>
        <v>0</v>
      </c>
      <c r="N3634" s="95">
        <f>IF(P3634="Hedge Fund",IF(A3634=Summary!$AD$3,M3634-E3634,M3634),IF(A3634=Summary!$AD$3,L3634-D3634,L3634))</f>
        <v>66640</v>
      </c>
      <c r="O3634" s="95"/>
      <c r="P3634" s="107" t="s">
        <v>155</v>
      </c>
      <c r="Q3634" s="107">
        <v>0</v>
      </c>
      <c r="R3634" s="107">
        <v>0</v>
      </c>
      <c r="S3634" s="107">
        <v>0</v>
      </c>
      <c r="T3634" s="107">
        <v>0</v>
      </c>
      <c r="U3634" s="107" t="s">
        <v>0</v>
      </c>
      <c r="V3634" s="107">
        <v>6.1228298499999996</v>
      </c>
      <c r="W3634" s="107" t="s">
        <v>15</v>
      </c>
      <c r="X3634" s="107">
        <v>6.1228298499999996</v>
      </c>
      <c r="Y3634" s="107"/>
      <c r="Z3634" s="107"/>
      <c r="AA3634" s="107"/>
      <c r="AB3634" s="107"/>
      <c r="AC3634" s="355"/>
      <c r="AD3634" s="355"/>
      <c r="AE3634" s="355"/>
      <c r="AF3634" s="94">
        <f t="shared" si="475"/>
        <v>41243</v>
      </c>
      <c r="AG3634" s="185">
        <f t="shared" si="479"/>
        <v>0.15402240379631404</v>
      </c>
      <c r="AH3634" s="339" t="str">
        <f>VLOOKUP(B3634,'MF PF'!A:B,2)</f>
        <v>FdMgt1</v>
      </c>
      <c r="AI3634" s="358">
        <f t="shared" si="476"/>
        <v>0</v>
      </c>
      <c r="AJ3634" s="94">
        <f t="shared" si="477"/>
        <v>41243</v>
      </c>
    </row>
    <row r="3635" spans="1:36" ht="12.75" customHeight="1">
      <c r="A3635" s="8">
        <v>41274</v>
      </c>
      <c r="B3635" s="94" t="s">
        <v>189</v>
      </c>
      <c r="C3635" s="358" t="s">
        <v>343</v>
      </c>
      <c r="D3635" s="98">
        <v>453702.02800000214</v>
      </c>
      <c r="E3635" s="95">
        <f t="shared" si="480"/>
        <v>247472.60232396147</v>
      </c>
      <c r="F3635" s="98">
        <v>0.28000000000000003</v>
      </c>
      <c r="G3635" s="98">
        <v>22120</v>
      </c>
      <c r="H3635" s="98">
        <v>0</v>
      </c>
      <c r="I3635" s="98">
        <v>0</v>
      </c>
      <c r="J3635" s="98"/>
      <c r="K3635" s="93">
        <v>1.833342453828767</v>
      </c>
      <c r="L3635" s="93">
        <f t="shared" si="472"/>
        <v>22120</v>
      </c>
      <c r="M3635" s="95">
        <f t="shared" ca="1" si="473"/>
        <v>0</v>
      </c>
      <c r="N3635" s="95">
        <f>IF(P3635="Hedge Fund",IF(A3635=Summary!$AD$3,M3635-E3635,M3635),IF(A3635=Summary!$AD$3,L3635-D3635,L3635))</f>
        <v>22120</v>
      </c>
      <c r="O3635" s="95"/>
      <c r="P3635" s="107" t="s">
        <v>155</v>
      </c>
      <c r="Q3635" s="107">
        <v>0</v>
      </c>
      <c r="R3635" s="107">
        <v>0</v>
      </c>
      <c r="S3635" s="107">
        <v>0</v>
      </c>
      <c r="T3635" s="107">
        <v>0</v>
      </c>
      <c r="U3635" s="107" t="s">
        <v>0</v>
      </c>
      <c r="V3635" s="107">
        <v>6.9377578899999994</v>
      </c>
      <c r="W3635" s="107" t="s">
        <v>15</v>
      </c>
      <c r="X3635" s="107">
        <v>6.9377578899999994</v>
      </c>
      <c r="Y3635" s="107"/>
      <c r="Z3635" s="107"/>
      <c r="AA3635" s="107"/>
      <c r="AB3635" s="107"/>
      <c r="AC3635" s="355"/>
      <c r="AD3635" s="355"/>
      <c r="AE3635" s="355"/>
      <c r="AF3635" s="94">
        <f t="shared" si="475"/>
        <v>41274</v>
      </c>
      <c r="AG3635" s="185">
        <f t="shared" si="479"/>
        <v>0.57192865203880605</v>
      </c>
      <c r="AH3635" s="339" t="str">
        <f>VLOOKUP(B3635,'MF PF'!A:B,2)</f>
        <v>FdMgt1</v>
      </c>
      <c r="AI3635" s="358">
        <f t="shared" si="476"/>
        <v>0</v>
      </c>
      <c r="AJ3635" s="94">
        <f t="shared" si="477"/>
        <v>41274</v>
      </c>
    </row>
    <row r="3636" spans="1:36" ht="12.75" customHeight="1">
      <c r="A3636" s="8">
        <v>41305</v>
      </c>
      <c r="B3636" s="94" t="s">
        <v>189</v>
      </c>
      <c r="C3636" s="358" t="s">
        <v>343</v>
      </c>
      <c r="D3636" s="98">
        <v>447615.38900000096</v>
      </c>
      <c r="E3636" s="9">
        <f t="shared" si="480"/>
        <v>244152.63393110075</v>
      </c>
      <c r="F3636" s="98">
        <v>0.28000000000000003</v>
      </c>
      <c r="G3636" s="98">
        <v>0</v>
      </c>
      <c r="H3636" s="98">
        <v>0</v>
      </c>
      <c r="I3636" s="98">
        <v>0</v>
      </c>
      <c r="J3636" s="98"/>
      <c r="K3636" s="93">
        <v>1.833342453828767</v>
      </c>
      <c r="L3636" s="93">
        <f t="shared" si="472"/>
        <v>0</v>
      </c>
      <c r="M3636" s="95">
        <f t="shared" ca="1" si="473"/>
        <v>0</v>
      </c>
      <c r="N3636" s="95">
        <f>IF(P3636="Hedge Fund",IF(A3636=Summary!$AD$3,M3636-E3636,M3636),IF(A3636=Summary!$AD$3,L3636-D3636,L3636))</f>
        <v>0</v>
      </c>
      <c r="O3636" s="95"/>
      <c r="P3636" s="107" t="s">
        <v>155</v>
      </c>
      <c r="Q3636" s="107">
        <v>0</v>
      </c>
      <c r="R3636" s="107">
        <v>0</v>
      </c>
      <c r="S3636" s="107">
        <v>0</v>
      </c>
      <c r="T3636" s="107">
        <v>0</v>
      </c>
      <c r="U3636" s="107" t="s">
        <v>0</v>
      </c>
      <c r="V3636" s="107">
        <v>6.8517626199999997</v>
      </c>
      <c r="W3636" s="107" t="s">
        <v>15</v>
      </c>
      <c r="X3636" s="107">
        <v>6.8517626199999997</v>
      </c>
      <c r="Y3636" s="107"/>
      <c r="Z3636" s="107"/>
      <c r="AA3636" s="107"/>
      <c r="AB3636" s="107"/>
      <c r="AC3636" s="355"/>
      <c r="AD3636" s="355"/>
      <c r="AE3636" s="355"/>
      <c r="AF3636" s="94">
        <f t="shared" si="475"/>
        <v>41305</v>
      </c>
      <c r="AG3636" s="185">
        <f t="shared" si="479"/>
        <v>-1.3415498773131196E-2</v>
      </c>
      <c r="AH3636" s="339" t="str">
        <f>VLOOKUP(B3636,'MF PF'!A:B,2)</f>
        <v>FdMgt1</v>
      </c>
      <c r="AI3636" s="358">
        <f t="shared" si="476"/>
        <v>0</v>
      </c>
      <c r="AJ3636" s="94">
        <f t="shared" si="477"/>
        <v>41305</v>
      </c>
    </row>
    <row r="3637" spans="1:36" ht="12.75" customHeight="1">
      <c r="A3637" s="8">
        <v>41333</v>
      </c>
      <c r="B3637" s="94" t="s">
        <v>189</v>
      </c>
      <c r="C3637" s="358" t="s">
        <v>343</v>
      </c>
      <c r="D3637" s="98">
        <v>556312.20900000143</v>
      </c>
      <c r="E3637" s="9">
        <f t="shared" si="480"/>
        <v>288464.55682251754</v>
      </c>
      <c r="F3637" s="98">
        <v>0.28000000000000003</v>
      </c>
      <c r="G3637" s="98">
        <v>23240</v>
      </c>
      <c r="H3637" s="98">
        <v>0</v>
      </c>
      <c r="I3637" s="98">
        <v>0</v>
      </c>
      <c r="J3637" s="98"/>
      <c r="K3637" s="93">
        <v>1.9285288117468153</v>
      </c>
      <c r="L3637" s="93">
        <f t="shared" si="472"/>
        <v>23240</v>
      </c>
      <c r="M3637" s="95">
        <f t="shared" ca="1" si="473"/>
        <v>0</v>
      </c>
      <c r="N3637" s="95">
        <f>IF(P3637="Hedge Fund",IF(A3637=Summary!$AD$3,M3637-E3637,M3637),IF(A3637=Summary!$AD$3,L3637-D3637,L3637))</f>
        <v>23240</v>
      </c>
      <c r="O3637" s="95"/>
      <c r="P3637" s="107" t="s">
        <v>155</v>
      </c>
      <c r="Q3637" s="107">
        <v>0</v>
      </c>
      <c r="R3637" s="107">
        <v>0</v>
      </c>
      <c r="S3637" s="107">
        <v>0</v>
      </c>
      <c r="T3637" s="107">
        <v>0</v>
      </c>
      <c r="U3637" s="107" t="s">
        <v>0</v>
      </c>
      <c r="V3637" s="107">
        <v>7.7810005199999992</v>
      </c>
      <c r="W3637" s="107" t="s">
        <v>15</v>
      </c>
      <c r="X3637" s="107">
        <v>7.7810005199999992</v>
      </c>
      <c r="Y3637" s="107"/>
      <c r="Z3637" s="107"/>
      <c r="AA3637" s="107"/>
      <c r="AB3637" s="107"/>
      <c r="AC3637" s="355"/>
      <c r="AD3637" s="355"/>
      <c r="AE3637" s="355"/>
      <c r="AF3637" s="94">
        <f t="shared" si="475"/>
        <v>41333</v>
      </c>
      <c r="AG3637" s="185">
        <f t="shared" si="479"/>
        <v>0.19091573279219909</v>
      </c>
      <c r="AH3637" s="339" t="str">
        <f>VLOOKUP(B3637,'MF PF'!A:B,2)</f>
        <v>FdMgt1</v>
      </c>
      <c r="AI3637" s="358">
        <f t="shared" si="476"/>
        <v>0</v>
      </c>
      <c r="AJ3637" s="94">
        <f t="shared" si="477"/>
        <v>41333</v>
      </c>
    </row>
    <row r="3638" spans="1:36" ht="12.75" customHeight="1">
      <c r="A3638" s="8">
        <v>41361</v>
      </c>
      <c r="B3638" s="94" t="s">
        <v>189</v>
      </c>
      <c r="C3638" s="358" t="s">
        <v>343</v>
      </c>
      <c r="D3638" s="98">
        <v>496611.30750000384</v>
      </c>
      <c r="E3638" s="9">
        <f t="shared" si="480"/>
        <v>250081.53955085864</v>
      </c>
      <c r="F3638" s="98">
        <v>0.28000000000000003</v>
      </c>
      <c r="G3638" s="98">
        <v>16520</v>
      </c>
      <c r="H3638" s="98">
        <v>0</v>
      </c>
      <c r="I3638" s="98">
        <v>0</v>
      </c>
      <c r="J3638" s="98"/>
      <c r="K3638" s="93">
        <v>1.9857975458400794</v>
      </c>
      <c r="L3638" s="93">
        <f t="shared" si="472"/>
        <v>16520</v>
      </c>
      <c r="M3638" s="95">
        <f t="shared" ca="1" si="473"/>
        <v>0</v>
      </c>
      <c r="N3638" s="95">
        <f>IF(P3638="Hedge Fund",IF(A3638=Summary!$AD$3,M3638-E3638,M3638),IF(A3638=Summary!$AD$3,L3638-D3638,L3638))</f>
        <v>16520</v>
      </c>
      <c r="O3638" s="95"/>
      <c r="P3638" s="107" t="s">
        <v>155</v>
      </c>
      <c r="Q3638" s="107">
        <v>0</v>
      </c>
      <c r="R3638" s="107">
        <v>0</v>
      </c>
      <c r="S3638" s="107">
        <v>0</v>
      </c>
      <c r="T3638" s="107">
        <v>0</v>
      </c>
      <c r="U3638" s="107" t="s">
        <v>0</v>
      </c>
      <c r="V3638" s="107">
        <v>8.3696575899999992</v>
      </c>
      <c r="W3638" s="107" t="s">
        <v>15</v>
      </c>
      <c r="X3638" s="107">
        <v>8.3696575899999992</v>
      </c>
      <c r="Y3638" s="107"/>
      <c r="Z3638" s="107"/>
      <c r="AA3638" s="107"/>
      <c r="AB3638" s="107"/>
      <c r="AC3638" s="355"/>
      <c r="AD3638" s="355"/>
      <c r="AE3638" s="355"/>
      <c r="AF3638" s="94">
        <f t="shared" si="475"/>
        <v>41361</v>
      </c>
      <c r="AG3638" s="185">
        <f t="shared" si="479"/>
        <v>-0.13701101695576379</v>
      </c>
      <c r="AH3638" s="339" t="str">
        <f>VLOOKUP(B3638,'MF PF'!A:B,2)</f>
        <v>FdMgt1</v>
      </c>
      <c r="AI3638" s="358">
        <f t="shared" si="476"/>
        <v>0</v>
      </c>
      <c r="AJ3638" s="94">
        <f t="shared" si="477"/>
        <v>41364</v>
      </c>
    </row>
    <row r="3639" spans="1:36" ht="12.75" customHeight="1">
      <c r="A3639" s="8">
        <v>41394</v>
      </c>
      <c r="B3639" s="94" t="s">
        <v>189</v>
      </c>
      <c r="C3639" s="358" t="s">
        <v>343</v>
      </c>
      <c r="D3639" s="98">
        <v>311626.83450000017</v>
      </c>
      <c r="E3639" s="9">
        <f t="shared" si="480"/>
        <v>154146.64040664549</v>
      </c>
      <c r="F3639" s="98">
        <v>0.28000000000000003</v>
      </c>
      <c r="G3639" s="98">
        <v>8960</v>
      </c>
      <c r="H3639" s="98">
        <v>0</v>
      </c>
      <c r="I3639" s="98">
        <v>0</v>
      </c>
      <c r="J3639" s="98"/>
      <c r="K3639" s="93">
        <v>2.0216258601414547</v>
      </c>
      <c r="L3639" s="93">
        <f t="shared" si="472"/>
        <v>8960</v>
      </c>
      <c r="M3639" s="95">
        <f t="shared" ca="1" si="473"/>
        <v>0</v>
      </c>
      <c r="N3639" s="95">
        <f>IF(P3639="Hedge Fund",IF(A3639=Summary!$AD$3,M3639-E3639,M3639),IF(A3639=Summary!$AD$3,L3639-D3639,L3639))</f>
        <v>8960</v>
      </c>
      <c r="O3639" s="95"/>
      <c r="P3639" s="107" t="s">
        <v>155</v>
      </c>
      <c r="Q3639" s="107">
        <v>0</v>
      </c>
      <c r="R3639" s="107">
        <v>0</v>
      </c>
      <c r="S3639" s="107">
        <v>0</v>
      </c>
      <c r="T3639" s="107">
        <v>0</v>
      </c>
      <c r="U3639" s="107" t="s">
        <v>0</v>
      </c>
      <c r="V3639" s="107">
        <v>8.59453274</v>
      </c>
      <c r="W3639" s="107" t="s">
        <v>15</v>
      </c>
      <c r="X3639" s="107">
        <v>8.59453274</v>
      </c>
      <c r="Y3639" s="107"/>
      <c r="Z3639" s="107"/>
      <c r="AA3639" s="107"/>
      <c r="AB3639" s="107"/>
      <c r="AC3639" s="355"/>
      <c r="AD3639" s="355"/>
      <c r="AE3639" s="355"/>
      <c r="AF3639" s="94">
        <f t="shared" si="475"/>
        <v>41394</v>
      </c>
      <c r="AG3639" s="185">
        <f t="shared" si="479"/>
        <v>-0.39053575718269795</v>
      </c>
      <c r="AH3639" s="339" t="str">
        <f>VLOOKUP(B3639,'MF PF'!A:B,2)</f>
        <v>FdMgt1</v>
      </c>
      <c r="AI3639" s="358">
        <f t="shared" si="476"/>
        <v>0</v>
      </c>
      <c r="AJ3639" s="94">
        <f t="shared" si="477"/>
        <v>41394</v>
      </c>
    </row>
    <row r="3640" spans="1:36" ht="12.75" customHeight="1">
      <c r="A3640" s="8">
        <v>41425</v>
      </c>
      <c r="B3640" s="94" t="s">
        <v>189</v>
      </c>
      <c r="C3640" s="358" t="s">
        <v>343</v>
      </c>
      <c r="D3640" s="98">
        <v>478102.50050000037</v>
      </c>
      <c r="E3640" s="9">
        <f t="shared" si="480"/>
        <v>236494.05655433552</v>
      </c>
      <c r="F3640" s="98">
        <v>0.28000000000000003</v>
      </c>
      <c r="G3640" s="98">
        <v>0</v>
      </c>
      <c r="H3640" s="98">
        <v>0</v>
      </c>
      <c r="I3640" s="98">
        <v>0</v>
      </c>
      <c r="J3640" s="98"/>
      <c r="K3640" s="93">
        <v>2.0216258601414547</v>
      </c>
      <c r="L3640" s="93">
        <f t="shared" si="472"/>
        <v>0</v>
      </c>
      <c r="M3640" s="95">
        <f t="shared" ca="1" si="473"/>
        <v>0</v>
      </c>
      <c r="N3640" s="95">
        <f>IF(P3640="Hedge Fund",IF(A3640=Summary!$AD$3,M3640-E3640,M3640),IF(A3640=Summary!$AD$3,L3640-D3640,L3640))</f>
        <v>0</v>
      </c>
      <c r="O3640" s="95"/>
      <c r="P3640" s="107" t="s">
        <v>155</v>
      </c>
      <c r="Q3640" s="107">
        <v>0</v>
      </c>
      <c r="R3640" s="107">
        <v>0</v>
      </c>
      <c r="S3640" s="107">
        <v>0</v>
      </c>
      <c r="T3640" s="107">
        <v>0</v>
      </c>
      <c r="U3640" s="107" t="s">
        <v>0</v>
      </c>
      <c r="V3640" s="107">
        <v>8.6422619300000001</v>
      </c>
      <c r="W3640" s="107" t="s">
        <v>15</v>
      </c>
      <c r="X3640" s="107">
        <v>8.6422619300000001</v>
      </c>
      <c r="Y3640" s="107"/>
      <c r="Z3640" s="107"/>
      <c r="AA3640" s="107"/>
      <c r="AB3640" s="107"/>
      <c r="AC3640" s="355"/>
      <c r="AD3640" s="355"/>
      <c r="AE3640" s="355"/>
      <c r="AF3640" s="94">
        <f t="shared" si="475"/>
        <v>41425</v>
      </c>
      <c r="AG3640" s="185">
        <f t="shared" si="479"/>
        <v>0.53421479657587101</v>
      </c>
      <c r="AH3640" s="339" t="str">
        <f>VLOOKUP(B3640,'MF PF'!A:B,2)</f>
        <v>FdMgt1</v>
      </c>
      <c r="AI3640" s="358">
        <f t="shared" si="476"/>
        <v>0</v>
      </c>
      <c r="AJ3640" s="94">
        <f t="shared" si="477"/>
        <v>41425</v>
      </c>
    </row>
    <row r="3641" spans="1:36" ht="12.75" customHeight="1">
      <c r="A3641" s="8">
        <v>41453</v>
      </c>
      <c r="B3641" s="94" t="s">
        <v>189</v>
      </c>
      <c r="C3641" s="358" t="s">
        <v>343</v>
      </c>
      <c r="D3641" s="98">
        <v>485631.06199999951</v>
      </c>
      <c r="E3641" s="9">
        <f t="shared" si="480"/>
        <v>240218.06980942533</v>
      </c>
      <c r="F3641" s="98">
        <v>0.28000000000000003</v>
      </c>
      <c r="G3641" s="98">
        <v>0</v>
      </c>
      <c r="H3641" s="98">
        <v>0</v>
      </c>
      <c r="I3641" s="98">
        <v>0</v>
      </c>
      <c r="J3641" s="98"/>
      <c r="K3641" s="93">
        <v>2.0216258601414547</v>
      </c>
      <c r="L3641" s="93">
        <f t="shared" si="472"/>
        <v>0</v>
      </c>
      <c r="M3641" s="95">
        <f t="shared" ca="1" si="473"/>
        <v>0</v>
      </c>
      <c r="N3641" s="95">
        <f>IF(P3641="Hedge Fund",IF(A3641=Summary!$AD$3,M3641-E3641,M3641),IF(A3641=Summary!$AD$3,L3641-D3641,L3641))</f>
        <v>0</v>
      </c>
      <c r="O3641" s="95"/>
      <c r="P3641" s="107" t="s">
        <v>155</v>
      </c>
      <c r="Q3641" s="107">
        <v>0</v>
      </c>
      <c r="R3641" s="107">
        <v>0</v>
      </c>
      <c r="S3641" s="107">
        <v>0</v>
      </c>
      <c r="T3641" s="107">
        <v>0</v>
      </c>
      <c r="U3641" s="107" t="s">
        <v>0</v>
      </c>
      <c r="V3641" s="107">
        <v>8.7321381300000009</v>
      </c>
      <c r="W3641" s="107" t="s">
        <v>15</v>
      </c>
      <c r="X3641" s="107">
        <v>8.7321381300000009</v>
      </c>
      <c r="Y3641" s="107"/>
      <c r="Z3641" s="107"/>
      <c r="AA3641" s="107"/>
      <c r="AB3641" s="107"/>
      <c r="AC3641" s="355"/>
      <c r="AD3641" s="355"/>
      <c r="AE3641" s="355"/>
      <c r="AF3641" s="94">
        <f t="shared" si="475"/>
        <v>41453</v>
      </c>
      <c r="AG3641" s="185">
        <f t="shared" si="479"/>
        <v>1.5746751987546048E-2</v>
      </c>
      <c r="AH3641" s="339" t="str">
        <f>VLOOKUP(B3641,'MF PF'!A:B,2)</f>
        <v>FdMgt1</v>
      </c>
      <c r="AI3641" s="358">
        <f t="shared" si="476"/>
        <v>0</v>
      </c>
      <c r="AJ3641" s="94">
        <f t="shared" si="477"/>
        <v>41455</v>
      </c>
    </row>
    <row r="3642" spans="1:36" ht="12.75" customHeight="1">
      <c r="A3642" s="8">
        <v>41486</v>
      </c>
      <c r="B3642" s="94" t="s">
        <v>189</v>
      </c>
      <c r="C3642" s="358" t="s">
        <v>343</v>
      </c>
      <c r="D3642" s="98">
        <v>237291.91999999699</v>
      </c>
      <c r="E3642" s="9">
        <f t="shared" si="480"/>
        <v>117376.77315989294</v>
      </c>
      <c r="F3642" s="98">
        <v>0.28000000000000003</v>
      </c>
      <c r="G3642" s="98">
        <v>0</v>
      </c>
      <c r="H3642" s="98">
        <v>0</v>
      </c>
      <c r="I3642" s="98">
        <v>0</v>
      </c>
      <c r="J3642" s="98"/>
      <c r="K3642" s="93">
        <v>2.0216258601414547</v>
      </c>
      <c r="L3642" s="93">
        <f t="shared" si="472"/>
        <v>0</v>
      </c>
      <c r="M3642" s="95">
        <f t="shared" ca="1" si="473"/>
        <v>0</v>
      </c>
      <c r="N3642" s="95">
        <f>IF(P3642="Hedge Fund",IF(A3642=Summary!$AD$3,M3642-E3642,M3642),IF(A3642=Summary!$AD$3,L3642-D3642,L3642))</f>
        <v>0</v>
      </c>
      <c r="O3642" s="95"/>
      <c r="P3642" s="107" t="s">
        <v>155</v>
      </c>
      <c r="Q3642" s="107">
        <v>0</v>
      </c>
      <c r="R3642" s="107">
        <v>0</v>
      </c>
      <c r="S3642" s="107">
        <v>0</v>
      </c>
      <c r="T3642" s="107">
        <v>0</v>
      </c>
      <c r="U3642" s="107" t="s">
        <v>0</v>
      </c>
      <c r="V3642" s="107">
        <v>8.4747113299999999</v>
      </c>
      <c r="W3642" s="107" t="s">
        <v>15</v>
      </c>
      <c r="X3642" s="107">
        <v>8.4747113299999999</v>
      </c>
      <c r="Y3642" s="107"/>
      <c r="Z3642" s="107"/>
      <c r="AA3642" s="107"/>
      <c r="AB3642" s="107"/>
      <c r="AC3642" s="355"/>
      <c r="AD3642" s="355"/>
      <c r="AE3642" s="355"/>
      <c r="AF3642" s="94">
        <f t="shared" si="475"/>
        <v>41486</v>
      </c>
      <c r="AG3642" s="185">
        <f t="shared" si="479"/>
        <v>-0.51137408916401395</v>
      </c>
      <c r="AH3642" s="339" t="str">
        <f>VLOOKUP(B3642,'MF PF'!A:B,2)</f>
        <v>FdMgt1</v>
      </c>
      <c r="AI3642" s="358">
        <f t="shared" si="476"/>
        <v>0</v>
      </c>
      <c r="AJ3642" s="94">
        <f t="shared" si="477"/>
        <v>41486</v>
      </c>
    </row>
    <row r="3643" spans="1:36" ht="12.75" customHeight="1">
      <c r="A3643" s="8">
        <v>41516</v>
      </c>
      <c r="B3643" s="94" t="s">
        <v>189</v>
      </c>
      <c r="C3643" s="358" t="s">
        <v>343</v>
      </c>
      <c r="D3643" s="98">
        <v>233176.03999999649</v>
      </c>
      <c r="E3643" s="9">
        <f t="shared" si="480"/>
        <v>115340.84748187826</v>
      </c>
      <c r="F3643" s="98">
        <v>0.28000000000000003</v>
      </c>
      <c r="G3643" s="98">
        <v>0</v>
      </c>
      <c r="H3643" s="98">
        <v>0</v>
      </c>
      <c r="I3643" s="98">
        <v>0</v>
      </c>
      <c r="J3643" s="98"/>
      <c r="K3643" s="93">
        <v>2.0216258601414547</v>
      </c>
      <c r="L3643" s="93">
        <f t="shared" si="472"/>
        <v>0</v>
      </c>
      <c r="M3643" s="95">
        <f t="shared" ca="1" si="473"/>
        <v>0</v>
      </c>
      <c r="N3643" s="95">
        <f>IF(P3643="Hedge Fund",IF(A3643=Summary!$AD$3,M3643-E3643,M3643),IF(A3643=Summary!$AD$3,L3643-D3643,L3643))</f>
        <v>0</v>
      </c>
      <c r="O3643" s="95"/>
      <c r="P3643" s="107" t="s">
        <v>155</v>
      </c>
      <c r="Q3643" s="107">
        <v>0</v>
      </c>
      <c r="R3643" s="107">
        <v>0</v>
      </c>
      <c r="S3643" s="107">
        <v>0</v>
      </c>
      <c r="T3643" s="107">
        <v>0</v>
      </c>
      <c r="U3643" s="107" t="s">
        <v>0</v>
      </c>
      <c r="V3643" s="107">
        <v>8.3277158300000007</v>
      </c>
      <c r="W3643" s="107" t="s">
        <v>15</v>
      </c>
      <c r="X3643" s="107">
        <v>8.3277158300000007</v>
      </c>
      <c r="Y3643" s="107"/>
      <c r="Z3643" s="107"/>
      <c r="AA3643" s="107"/>
      <c r="AB3643" s="107"/>
      <c r="AC3643" s="355"/>
      <c r="AD3643" s="355"/>
      <c r="AE3643" s="355"/>
      <c r="AF3643" s="94">
        <f t="shared" si="475"/>
        <v>41516</v>
      </c>
      <c r="AG3643" s="185">
        <f t="shared" si="479"/>
        <v>-1.7345217654273881E-2</v>
      </c>
      <c r="AH3643" s="339" t="str">
        <f>VLOOKUP(B3643,'MF PF'!A:B,2)</f>
        <v>FdMgt1</v>
      </c>
      <c r="AI3643" s="358">
        <f t="shared" si="476"/>
        <v>0</v>
      </c>
      <c r="AJ3643" s="94">
        <f t="shared" si="477"/>
        <v>41517</v>
      </c>
    </row>
    <row r="3644" spans="1:36" ht="12.75" customHeight="1">
      <c r="A3644" s="8">
        <v>41547</v>
      </c>
      <c r="B3644" s="94" t="s">
        <v>189</v>
      </c>
      <c r="C3644" s="358" t="s">
        <v>343</v>
      </c>
      <c r="D3644" s="98">
        <v>270571.66999999894</v>
      </c>
      <c r="E3644" s="9">
        <f t="shared" si="480"/>
        <v>115407.22851494822</v>
      </c>
      <c r="F3644" s="98">
        <v>0.28000000000000003</v>
      </c>
      <c r="G3644" s="98">
        <v>37240</v>
      </c>
      <c r="H3644" s="98">
        <v>0</v>
      </c>
      <c r="I3644" s="98">
        <v>0</v>
      </c>
      <c r="J3644" s="98"/>
      <c r="K3644" s="93">
        <v>2.3444949981183623</v>
      </c>
      <c r="L3644" s="93">
        <f t="shared" si="472"/>
        <v>37240</v>
      </c>
      <c r="M3644" s="95">
        <f t="shared" ca="1" si="473"/>
        <v>0</v>
      </c>
      <c r="N3644" s="95">
        <f>IF(P3644="Hedge Fund",IF(A3644=Summary!$AD$3,M3644-E3644,M3644),IF(A3644=Summary!$AD$3,L3644-D3644,L3644))</f>
        <v>37240</v>
      </c>
      <c r="O3644" s="95"/>
      <c r="P3644" s="107" t="s">
        <v>155</v>
      </c>
      <c r="Q3644" s="107">
        <v>0</v>
      </c>
      <c r="R3644" s="107">
        <v>0</v>
      </c>
      <c r="S3644" s="107">
        <v>0</v>
      </c>
      <c r="T3644" s="107">
        <v>0</v>
      </c>
      <c r="U3644" s="107" t="s">
        <v>0</v>
      </c>
      <c r="V3644" s="107">
        <v>9.6632740500000001</v>
      </c>
      <c r="W3644" s="107" t="s">
        <v>15</v>
      </c>
      <c r="X3644" s="107">
        <v>9.6632740500000001</v>
      </c>
      <c r="Y3644" s="107"/>
      <c r="Z3644" s="107"/>
      <c r="AA3644" s="107"/>
      <c r="AB3644" s="107"/>
      <c r="AC3644" s="355"/>
      <c r="AD3644" s="355"/>
      <c r="AE3644" s="355"/>
      <c r="AF3644" s="94">
        <f t="shared" si="475"/>
        <v>41547</v>
      </c>
      <c r="AG3644" s="185">
        <f t="shared" si="479"/>
        <v>6.6743564219740037E-4</v>
      </c>
      <c r="AH3644" s="339" t="str">
        <f>VLOOKUP(B3644,'MF PF'!A:B,2)</f>
        <v>FdMgt1</v>
      </c>
      <c r="AI3644" s="358">
        <f t="shared" si="476"/>
        <v>0</v>
      </c>
      <c r="AJ3644" s="94">
        <f t="shared" si="477"/>
        <v>41547</v>
      </c>
    </row>
    <row r="3645" spans="1:36" ht="12.75" customHeight="1">
      <c r="A3645" s="8">
        <v>41578</v>
      </c>
      <c r="B3645" s="94" t="s">
        <v>189</v>
      </c>
      <c r="C3645" s="358" t="s">
        <v>343</v>
      </c>
      <c r="D3645" s="98">
        <v>458784.08500000136</v>
      </c>
      <c r="E3645" s="9">
        <f t="shared" si="480"/>
        <v>195685.67447071156</v>
      </c>
      <c r="F3645" s="98">
        <v>0.28000000000000003</v>
      </c>
      <c r="G3645" s="98">
        <v>0</v>
      </c>
      <c r="H3645" s="98">
        <v>0</v>
      </c>
      <c r="I3645" s="98">
        <v>-44524.800000000003</v>
      </c>
      <c r="J3645" s="98"/>
      <c r="K3645" s="93">
        <v>2.3444949981183623</v>
      </c>
      <c r="L3645" s="93">
        <f t="shared" si="472"/>
        <v>-44524.800000000003</v>
      </c>
      <c r="M3645" s="95">
        <f t="shared" ca="1" si="473"/>
        <v>-18991.211342201448</v>
      </c>
      <c r="N3645" s="95">
        <f>IF(P3645="Hedge Fund",IF(A3645=Summary!$AD$3,M3645-E3645,M3645),IF(A3645=Summary!$AD$3,L3645-D3645,L3645))</f>
        <v>-44524.800000000003</v>
      </c>
      <c r="O3645" s="95"/>
      <c r="P3645" s="107" t="s">
        <v>155</v>
      </c>
      <c r="Q3645" s="107">
        <v>0</v>
      </c>
      <c r="R3645" s="107">
        <v>0</v>
      </c>
      <c r="S3645" s="107">
        <v>0</v>
      </c>
      <c r="T3645" s="107">
        <v>0</v>
      </c>
      <c r="U3645" s="107" t="s">
        <v>0</v>
      </c>
      <c r="V3645" s="107">
        <v>8.2088611999999994</v>
      </c>
      <c r="W3645" s="107" t="s">
        <v>15</v>
      </c>
      <c r="X3645" s="107">
        <v>8.2088611999999994</v>
      </c>
      <c r="Y3645" s="107"/>
      <c r="Z3645" s="107"/>
      <c r="AA3645" s="107"/>
      <c r="AB3645" s="107"/>
      <c r="AC3645" s="355"/>
      <c r="AD3645" s="355"/>
      <c r="AE3645" s="355"/>
      <c r="AF3645" s="94">
        <f t="shared" si="475"/>
        <v>41578</v>
      </c>
      <c r="AG3645" s="185">
        <f t="shared" si="479"/>
        <v>0.8601684537039791</v>
      </c>
      <c r="AH3645" s="339" t="str">
        <f>VLOOKUP(B3645,'MF PF'!A:B,2)</f>
        <v>FdMgt1</v>
      </c>
      <c r="AI3645" s="358">
        <f t="shared" si="476"/>
        <v>0</v>
      </c>
      <c r="AJ3645" s="94">
        <f t="shared" si="477"/>
        <v>41578</v>
      </c>
    </row>
    <row r="3646" spans="1:36" ht="12.75" customHeight="1">
      <c r="A3646" s="8">
        <v>41607</v>
      </c>
      <c r="B3646" s="94" t="s">
        <v>189</v>
      </c>
      <c r="C3646" s="358" t="s">
        <v>343</v>
      </c>
      <c r="D3646" s="98">
        <v>486693.02299999731</v>
      </c>
      <c r="E3646" s="9">
        <f t="shared" si="480"/>
        <v>207589.70413270488</v>
      </c>
      <c r="F3646" s="98">
        <v>0.28000000000000003</v>
      </c>
      <c r="G3646" s="98">
        <v>0</v>
      </c>
      <c r="H3646" s="98">
        <v>0</v>
      </c>
      <c r="I3646" s="98">
        <v>0</v>
      </c>
      <c r="J3646" s="98"/>
      <c r="K3646" s="93">
        <v>2.3444949981183623</v>
      </c>
      <c r="L3646" s="93">
        <f t="shared" si="472"/>
        <v>0</v>
      </c>
      <c r="M3646" s="95">
        <f t="shared" ca="1" si="473"/>
        <v>0</v>
      </c>
      <c r="N3646" s="95">
        <f>IF(P3646="Hedge Fund",IF(A3646=Summary!$AD$3,M3646-E3646,M3646),IF(A3646=Summary!$AD$3,L3646-D3646,L3646))</f>
        <v>0</v>
      </c>
      <c r="O3646" s="95"/>
      <c r="P3646" s="107" t="s">
        <v>155</v>
      </c>
      <c r="Q3646" s="107">
        <v>0</v>
      </c>
      <c r="R3646" s="107">
        <v>0</v>
      </c>
      <c r="S3646" s="107">
        <v>0</v>
      </c>
      <c r="T3646" s="107">
        <v>0</v>
      </c>
      <c r="U3646" s="107" t="s">
        <v>0</v>
      </c>
      <c r="V3646" s="107">
        <v>8.1837769800000011</v>
      </c>
      <c r="W3646" s="107" t="s">
        <v>15</v>
      </c>
      <c r="X3646" s="107">
        <v>8.1837769800000011</v>
      </c>
      <c r="Y3646" s="107"/>
      <c r="Z3646" s="107"/>
      <c r="AA3646" s="107"/>
      <c r="AB3646" s="107"/>
      <c r="AC3646" s="355"/>
      <c r="AD3646" s="355"/>
      <c r="AE3646" s="355"/>
      <c r="AF3646" s="94">
        <f t="shared" si="475"/>
        <v>41607</v>
      </c>
      <c r="AG3646" s="185">
        <f t="shared" si="479"/>
        <v>6.0832402239924921E-2</v>
      </c>
      <c r="AH3646" s="339" t="str">
        <f>VLOOKUP(B3646,'MF PF'!A:B,2)</f>
        <v>FdMgt1</v>
      </c>
      <c r="AI3646" s="358">
        <f t="shared" si="476"/>
        <v>0</v>
      </c>
      <c r="AJ3646" s="94">
        <f t="shared" si="477"/>
        <v>41608</v>
      </c>
    </row>
    <row r="3647" spans="1:36" ht="12.75" customHeight="1">
      <c r="A3647" s="8">
        <v>41639</v>
      </c>
      <c r="B3647" s="94" t="s">
        <v>189</v>
      </c>
      <c r="C3647" s="358" t="s">
        <v>343</v>
      </c>
      <c r="D3647" s="98">
        <v>877577.61050000123</v>
      </c>
      <c r="E3647" s="9">
        <f t="shared" si="480"/>
        <v>374314.13212837937</v>
      </c>
      <c r="F3647" s="98">
        <v>0.28000000000000003</v>
      </c>
      <c r="G3647" s="98">
        <v>0</v>
      </c>
      <c r="H3647" s="98">
        <v>0</v>
      </c>
      <c r="I3647" s="98">
        <v>0</v>
      </c>
      <c r="J3647" s="98"/>
      <c r="K3647" s="93">
        <v>2.3444949981183623</v>
      </c>
      <c r="L3647" s="93">
        <f t="shared" si="472"/>
        <v>0</v>
      </c>
      <c r="M3647" s="95">
        <f t="shared" ca="1" si="473"/>
        <v>0</v>
      </c>
      <c r="N3647" s="95">
        <f>IF(P3647="Hedge Fund",IF(A3647=Summary!$AD$3,M3647-E3647,M3647),IF(A3647=Summary!$AD$3,L3647-D3647,L3647))</f>
        <v>0</v>
      </c>
      <c r="O3647" s="95"/>
      <c r="P3647" s="107" t="s">
        <v>155</v>
      </c>
      <c r="Q3647" s="107">
        <v>0</v>
      </c>
      <c r="R3647" s="107">
        <v>0</v>
      </c>
      <c r="S3647" s="107">
        <v>0</v>
      </c>
      <c r="T3647" s="107">
        <v>0</v>
      </c>
      <c r="U3647" s="107" t="s">
        <v>0</v>
      </c>
      <c r="V3647" s="107">
        <v>8.3198602400000006</v>
      </c>
      <c r="W3647" s="107" t="s">
        <v>15</v>
      </c>
      <c r="X3647" s="107">
        <v>8.3198602400000006</v>
      </c>
      <c r="Y3647" s="107"/>
      <c r="Z3647" s="107"/>
      <c r="AA3647" s="107"/>
      <c r="AB3647" s="107"/>
      <c r="AC3647" s="355"/>
      <c r="AD3647" s="355"/>
      <c r="AE3647" s="355"/>
      <c r="AF3647" s="94">
        <f t="shared" si="475"/>
        <v>41639</v>
      </c>
      <c r="AG3647" s="185">
        <f t="shared" si="479"/>
        <v>0.80314401281237613</v>
      </c>
      <c r="AH3647" s="339" t="str">
        <f>VLOOKUP(B3647,'MF PF'!A:B,2)</f>
        <v>FdMgt1</v>
      </c>
      <c r="AI3647" s="358">
        <f t="shared" si="476"/>
        <v>0</v>
      </c>
      <c r="AJ3647" s="94">
        <f t="shared" si="477"/>
        <v>41639</v>
      </c>
    </row>
    <row r="3648" spans="1:36" ht="12.75" customHeight="1">
      <c r="A3648" s="8">
        <v>41669</v>
      </c>
      <c r="B3648" s="94" t="s">
        <v>189</v>
      </c>
      <c r="C3648" s="358" t="s">
        <v>343</v>
      </c>
      <c r="D3648" s="98">
        <v>1182538.8305000039</v>
      </c>
      <c r="E3648" s="9">
        <f t="shared" si="480"/>
        <v>504389.57278607221</v>
      </c>
      <c r="F3648" s="98">
        <v>0.28000000000000003</v>
      </c>
      <c r="G3648" s="98">
        <v>0</v>
      </c>
      <c r="H3648" s="98">
        <v>0</v>
      </c>
      <c r="I3648" s="98">
        <v>0</v>
      </c>
      <c r="J3648" s="98"/>
      <c r="K3648" s="93">
        <v>2.3444949981183623</v>
      </c>
      <c r="L3648" s="93">
        <f t="shared" si="472"/>
        <v>0</v>
      </c>
      <c r="M3648" s="95">
        <f t="shared" ca="1" si="473"/>
        <v>0</v>
      </c>
      <c r="N3648" s="95">
        <f>IF(P3648="Hedge Fund",IF(A3648=Summary!$AD$3,M3648-E3648,M3648),IF(A3648=Summary!$AD$3,L3648-D3648,L3648))</f>
        <v>0</v>
      </c>
      <c r="O3648" s="95"/>
      <c r="P3648" s="107" t="s">
        <v>155</v>
      </c>
      <c r="Q3648" s="107">
        <v>0</v>
      </c>
      <c r="R3648" s="107">
        <v>0</v>
      </c>
      <c r="S3648" s="107">
        <v>0</v>
      </c>
      <c r="T3648" s="107">
        <v>0</v>
      </c>
      <c r="U3648" s="107" t="s">
        <v>0</v>
      </c>
      <c r="V3648" s="107">
        <v>8.4528007799999987</v>
      </c>
      <c r="W3648" s="107" t="s">
        <v>15</v>
      </c>
      <c r="X3648" s="107">
        <v>8.4528007799999987</v>
      </c>
      <c r="Y3648" s="107"/>
      <c r="Z3648" s="107"/>
      <c r="AA3648" s="107"/>
      <c r="AB3648" s="107"/>
      <c r="AC3648" s="355"/>
      <c r="AD3648" s="355"/>
      <c r="AE3648" s="355"/>
      <c r="AF3648" s="94">
        <f t="shared" si="475"/>
        <v>41669</v>
      </c>
      <c r="AG3648" s="185">
        <f t="shared" si="479"/>
        <v>0.34750341890132153</v>
      </c>
      <c r="AH3648" s="339" t="str">
        <f>VLOOKUP(B3648,'MF PF'!A:B,2)</f>
        <v>FdMgt1</v>
      </c>
      <c r="AI3648" s="358">
        <f t="shared" si="476"/>
        <v>0</v>
      </c>
      <c r="AJ3648" s="94">
        <f t="shared" si="477"/>
        <v>41670</v>
      </c>
    </row>
    <row r="3649" spans="1:36" ht="12.75" customHeight="1">
      <c r="A3649" s="8">
        <v>41698</v>
      </c>
      <c r="B3649" s="94" t="s">
        <v>189</v>
      </c>
      <c r="C3649" s="358" t="s">
        <v>343</v>
      </c>
      <c r="D3649" s="98">
        <v>1330146.8225000051</v>
      </c>
      <c r="E3649" s="95">
        <f t="shared" si="480"/>
        <v>567348.97006287088</v>
      </c>
      <c r="F3649" s="98">
        <v>0.28000000000000003</v>
      </c>
      <c r="G3649" s="98">
        <v>0</v>
      </c>
      <c r="H3649" s="98">
        <v>0</v>
      </c>
      <c r="I3649" s="98">
        <v>0</v>
      </c>
      <c r="J3649" s="98"/>
      <c r="K3649" s="93">
        <v>2.3444949981183623</v>
      </c>
      <c r="L3649" s="93">
        <f t="shared" ref="L3649:L3712" si="481">G3649+H3649+I3649</f>
        <v>0</v>
      </c>
      <c r="M3649" s="95">
        <f t="shared" ref="M3649:M3712" ca="1" si="482">IF(A3649&gt;INDIRECT("A"&amp;ROW()-1),I3649/K3649,E3649)</f>
        <v>0</v>
      </c>
      <c r="N3649" s="95">
        <f>IF(P3649="Hedge Fund",IF(A3649=Summary!$AD$3,M3649-E3649,M3649),IF(A3649=Summary!$AD$3,L3649-D3649,L3649))</f>
        <v>0</v>
      </c>
      <c r="O3649" s="95"/>
      <c r="P3649" s="107" t="s">
        <v>155</v>
      </c>
      <c r="Q3649" s="107">
        <v>0</v>
      </c>
      <c r="R3649" s="107">
        <v>0</v>
      </c>
      <c r="S3649" s="107">
        <v>0</v>
      </c>
      <c r="T3649" s="107">
        <v>0</v>
      </c>
      <c r="U3649" s="107" t="s">
        <v>0</v>
      </c>
      <c r="V3649" s="107">
        <v>8.5010478299999992</v>
      </c>
      <c r="W3649" s="107" t="s">
        <v>15</v>
      </c>
      <c r="X3649" s="107">
        <v>8.5010478299999992</v>
      </c>
      <c r="Y3649" s="107"/>
      <c r="Z3649" s="107"/>
      <c r="AA3649" s="107"/>
      <c r="AB3649" s="107"/>
      <c r="AC3649" s="355"/>
      <c r="AD3649" s="355"/>
      <c r="AE3649" s="355"/>
      <c r="AF3649" s="94">
        <f t="shared" ref="AF3649:AF3712" si="483">A3649</f>
        <v>41698</v>
      </c>
      <c r="AG3649" s="185">
        <f t="shared" si="479"/>
        <v>0.12482295565515544</v>
      </c>
      <c r="AH3649" s="339" t="str">
        <f>VLOOKUP(B3649,'MF PF'!A:B,2)</f>
        <v>FdMgt1</v>
      </c>
      <c r="AI3649" s="358">
        <f t="shared" ref="AI3649:AI3712" si="484">AF3649-A3649</f>
        <v>0</v>
      </c>
      <c r="AJ3649" s="94">
        <f t="shared" ref="AJ3649:AJ3712" si="485">EOMONTH(A3649,0)</f>
        <v>41698</v>
      </c>
    </row>
    <row r="3650" spans="1:36" ht="12.75" customHeight="1">
      <c r="A3650" s="8">
        <v>41729</v>
      </c>
      <c r="B3650" s="94" t="s">
        <v>189</v>
      </c>
      <c r="C3650" s="358" t="s">
        <v>343</v>
      </c>
      <c r="D3650" s="98">
        <v>1477897.4325000008</v>
      </c>
      <c r="E3650" s="95">
        <f t="shared" si="480"/>
        <v>630369.19835023209</v>
      </c>
      <c r="F3650" s="98">
        <v>0.28000000000000003</v>
      </c>
      <c r="G3650" s="98">
        <v>0</v>
      </c>
      <c r="H3650" s="98">
        <v>0</v>
      </c>
      <c r="I3650" s="98">
        <v>-12261.2</v>
      </c>
      <c r="J3650" s="98"/>
      <c r="K3650" s="93">
        <v>2.3444949981183623</v>
      </c>
      <c r="L3650" s="93">
        <f t="shared" si="481"/>
        <v>-12261.2</v>
      </c>
      <c r="M3650" s="95">
        <f t="shared" ca="1" si="482"/>
        <v>-5229.7829638538606</v>
      </c>
      <c r="N3650" s="95">
        <f>IF(P3650="Hedge Fund",IF(A3650=Summary!$AD$3,M3650-E3650,M3650),IF(A3650=Summary!$AD$3,L3650-D3650,L3650))</f>
        <v>-12261.2</v>
      </c>
      <c r="O3650" s="95"/>
      <c r="P3650" s="107" t="s">
        <v>155</v>
      </c>
      <c r="Q3650" s="107">
        <v>0</v>
      </c>
      <c r="R3650" s="107">
        <v>0</v>
      </c>
      <c r="S3650" s="107">
        <v>0</v>
      </c>
      <c r="T3650" s="107">
        <v>0</v>
      </c>
      <c r="U3650" s="107" t="s">
        <v>0</v>
      </c>
      <c r="V3650" s="107">
        <v>8.1605186799999991</v>
      </c>
      <c r="W3650" s="107" t="s">
        <v>15</v>
      </c>
      <c r="X3650" s="107">
        <v>8.1605186799999991</v>
      </c>
      <c r="Y3650" s="107"/>
      <c r="Z3650" s="107"/>
      <c r="AA3650" s="107"/>
      <c r="AB3650" s="107"/>
      <c r="AC3650" s="355"/>
      <c r="AD3650" s="355"/>
      <c r="AE3650" s="355"/>
      <c r="AF3650" s="94">
        <f t="shared" si="483"/>
        <v>41729</v>
      </c>
      <c r="AG3650" s="185">
        <f t="shared" si="479"/>
        <v>0.12029635172097319</v>
      </c>
      <c r="AH3650" s="339" t="str">
        <f>VLOOKUP(B3650,'MF PF'!A:B,2)</f>
        <v>FdMgt1</v>
      </c>
      <c r="AI3650" s="358">
        <f t="shared" si="484"/>
        <v>0</v>
      </c>
      <c r="AJ3650" s="94">
        <f t="shared" si="485"/>
        <v>41729</v>
      </c>
    </row>
    <row r="3651" spans="1:36" ht="12.75" customHeight="1">
      <c r="A3651" s="8">
        <v>41759</v>
      </c>
      <c r="B3651" s="94" t="s">
        <v>189</v>
      </c>
      <c r="C3651" s="358" t="s">
        <v>343</v>
      </c>
      <c r="D3651" s="98">
        <v>1043442.6025000007</v>
      </c>
      <c r="E3651" s="95">
        <f t="shared" si="480"/>
        <v>445060.70746043127</v>
      </c>
      <c r="F3651" s="98">
        <v>0.28000000000000003</v>
      </c>
      <c r="G3651" s="98">
        <v>0</v>
      </c>
      <c r="H3651" s="98">
        <v>0</v>
      </c>
      <c r="I3651" s="98">
        <v>0</v>
      </c>
      <c r="J3651" s="98"/>
      <c r="K3651" s="93">
        <v>2.3444949981183623</v>
      </c>
      <c r="L3651" s="93">
        <f t="shared" si="481"/>
        <v>0</v>
      </c>
      <c r="M3651" s="95">
        <f t="shared" ca="1" si="482"/>
        <v>0</v>
      </c>
      <c r="N3651" s="95">
        <f>IF(P3651="Hedge Fund",IF(A3651=Summary!$AD$3,M3651-E3651,M3651),IF(A3651=Summary!$AD$3,L3651-D3651,L3651))</f>
        <v>0</v>
      </c>
      <c r="O3651" s="95"/>
      <c r="P3651" s="107" t="s">
        <v>155</v>
      </c>
      <c r="Q3651" s="107">
        <v>0</v>
      </c>
      <c r="R3651" s="107">
        <v>0</v>
      </c>
      <c r="S3651" s="107">
        <v>0</v>
      </c>
      <c r="T3651" s="107">
        <v>0</v>
      </c>
      <c r="U3651" s="107" t="s">
        <v>0</v>
      </c>
      <c r="V3651" s="107">
        <v>8.06774156</v>
      </c>
      <c r="W3651" s="107" t="s">
        <v>15</v>
      </c>
      <c r="X3651" s="107">
        <v>8.06774156</v>
      </c>
      <c r="Y3651" s="107"/>
      <c r="Z3651" s="107"/>
      <c r="AA3651" s="107"/>
      <c r="AB3651" s="107"/>
      <c r="AC3651" s="355"/>
      <c r="AD3651" s="355"/>
      <c r="AE3651" s="355"/>
      <c r="AF3651" s="94">
        <f t="shared" si="483"/>
        <v>41759</v>
      </c>
      <c r="AG3651" s="185">
        <f t="shared" si="479"/>
        <v>-0.29396818780927125</v>
      </c>
      <c r="AH3651" s="339" t="str">
        <f>VLOOKUP(B3651,'MF PF'!A:B,2)</f>
        <v>FdMgt1</v>
      </c>
      <c r="AI3651" s="358">
        <f t="shared" si="484"/>
        <v>0</v>
      </c>
      <c r="AJ3651" s="94">
        <f t="shared" si="485"/>
        <v>41759</v>
      </c>
    </row>
    <row r="3652" spans="1:36" ht="12.75" customHeight="1">
      <c r="A3652" s="8">
        <v>41789</v>
      </c>
      <c r="B3652" s="94" t="s">
        <v>189</v>
      </c>
      <c r="C3652" s="358" t="s">
        <v>343</v>
      </c>
      <c r="D3652" s="98">
        <v>1199680.2195000029</v>
      </c>
      <c r="E3652" s="95">
        <f t="shared" si="480"/>
        <v>511700.908068833</v>
      </c>
      <c r="F3652" s="98">
        <v>0.28000000000000003</v>
      </c>
      <c r="G3652" s="98">
        <v>0</v>
      </c>
      <c r="H3652" s="98">
        <v>0</v>
      </c>
      <c r="I3652" s="98">
        <v>0</v>
      </c>
      <c r="J3652" s="98"/>
      <c r="K3652" s="93">
        <v>2.3444949981183623</v>
      </c>
      <c r="L3652" s="93">
        <f t="shared" si="481"/>
        <v>0</v>
      </c>
      <c r="M3652" s="95">
        <f t="shared" ca="1" si="482"/>
        <v>0</v>
      </c>
      <c r="N3652" s="95">
        <f>IF(P3652="Hedge Fund",IF(A3652=Summary!$AD$3,M3652-E3652,M3652),IF(A3652=Summary!$AD$3,L3652-D3652,L3652))</f>
        <v>0</v>
      </c>
      <c r="O3652" s="95"/>
      <c r="P3652" s="107" t="s">
        <v>155</v>
      </c>
      <c r="Q3652" s="107">
        <v>0</v>
      </c>
      <c r="R3652" s="107">
        <v>0</v>
      </c>
      <c r="S3652" s="107">
        <v>0</v>
      </c>
      <c r="T3652" s="107">
        <v>0</v>
      </c>
      <c r="U3652" s="107" t="s">
        <v>0</v>
      </c>
      <c r="V3652" s="107">
        <v>8.1054132699999997</v>
      </c>
      <c r="W3652" s="107" t="s">
        <v>15</v>
      </c>
      <c r="X3652" s="107">
        <v>8.1054132699999997</v>
      </c>
      <c r="Y3652" s="107"/>
      <c r="Z3652" s="107"/>
      <c r="AA3652" s="107"/>
      <c r="AB3652" s="107"/>
      <c r="AC3652" s="355"/>
      <c r="AD3652" s="355"/>
      <c r="AE3652" s="355"/>
      <c r="AF3652" s="94">
        <f t="shared" si="483"/>
        <v>41789</v>
      </c>
      <c r="AG3652" s="185">
        <f t="shared" si="479"/>
        <v>0.1497328330525034</v>
      </c>
      <c r="AH3652" s="339" t="str">
        <f>VLOOKUP(B3652,'MF PF'!A:B,2)</f>
        <v>FdMgt1</v>
      </c>
      <c r="AI3652" s="358">
        <f t="shared" si="484"/>
        <v>0</v>
      </c>
      <c r="AJ3652" s="94">
        <f t="shared" si="485"/>
        <v>41790</v>
      </c>
    </row>
    <row r="3653" spans="1:36" ht="12.75" customHeight="1">
      <c r="A3653" s="8">
        <v>41820</v>
      </c>
      <c r="B3653" s="94" t="s">
        <v>189</v>
      </c>
      <c r="C3653" s="358" t="s">
        <v>343</v>
      </c>
      <c r="D3653" s="98">
        <v>1277948.3784999996</v>
      </c>
      <c r="E3653" s="95">
        <f t="shared" si="480"/>
        <v>545084.7110041402</v>
      </c>
      <c r="F3653" s="98">
        <v>0.28000000000000003</v>
      </c>
      <c r="G3653" s="98">
        <v>0</v>
      </c>
      <c r="H3653" s="98">
        <v>0</v>
      </c>
      <c r="I3653" s="98">
        <v>0</v>
      </c>
      <c r="J3653" s="98"/>
      <c r="K3653" s="93">
        <v>2.3444949981183623</v>
      </c>
      <c r="L3653" s="93">
        <f t="shared" si="481"/>
        <v>0</v>
      </c>
      <c r="M3653" s="95">
        <f t="shared" ca="1" si="482"/>
        <v>0</v>
      </c>
      <c r="N3653" s="95">
        <f>IF(P3653="Hedge Fund",IF(A3653=Summary!$AD$3,M3653-E3653,M3653),IF(A3653=Summary!$AD$3,L3653-D3653,L3653))</f>
        <v>0</v>
      </c>
      <c r="O3653" s="95"/>
      <c r="P3653" s="107" t="s">
        <v>155</v>
      </c>
      <c r="Q3653" s="107">
        <v>0</v>
      </c>
      <c r="R3653" s="107">
        <v>0</v>
      </c>
      <c r="S3653" s="107">
        <v>0</v>
      </c>
      <c r="T3653" s="107">
        <v>0</v>
      </c>
      <c r="U3653" s="107" t="s">
        <v>0</v>
      </c>
      <c r="V3653" s="107">
        <v>8.12117033</v>
      </c>
      <c r="W3653" s="107" t="s">
        <v>15</v>
      </c>
      <c r="X3653" s="107">
        <v>8.12117033</v>
      </c>
      <c r="Y3653" s="107"/>
      <c r="Z3653" s="107"/>
      <c r="AA3653" s="107"/>
      <c r="AB3653" s="107"/>
      <c r="AC3653" s="355"/>
      <c r="AD3653" s="355"/>
      <c r="AE3653" s="355"/>
      <c r="AF3653" s="94">
        <f t="shared" si="483"/>
        <v>41820</v>
      </c>
      <c r="AG3653" s="185">
        <f t="shared" si="479"/>
        <v>6.5240851460080629E-2</v>
      </c>
      <c r="AH3653" s="339" t="str">
        <f>VLOOKUP(B3653,'MF PF'!A:B,2)</f>
        <v>FdMgt1</v>
      </c>
      <c r="AI3653" s="358">
        <f t="shared" si="484"/>
        <v>0</v>
      </c>
      <c r="AJ3653" s="94">
        <f t="shared" si="485"/>
        <v>41820</v>
      </c>
    </row>
    <row r="3654" spans="1:36" ht="12.75" customHeight="1">
      <c r="A3654" s="8">
        <v>41851</v>
      </c>
      <c r="B3654" s="94" t="s">
        <v>189</v>
      </c>
      <c r="C3654" s="358" t="s">
        <v>343</v>
      </c>
      <c r="D3654" s="98">
        <v>1425943.6935000008</v>
      </c>
      <c r="E3654" s="95">
        <f t="shared" si="480"/>
        <v>608209.31358114665</v>
      </c>
      <c r="F3654" s="98">
        <v>0.28000000000000003</v>
      </c>
      <c r="G3654" s="98">
        <v>0</v>
      </c>
      <c r="H3654" s="98">
        <v>0</v>
      </c>
      <c r="I3654" s="98">
        <v>-18384.8</v>
      </c>
      <c r="J3654" s="98"/>
      <c r="K3654" s="93">
        <v>2.3444949981183623</v>
      </c>
      <c r="L3654" s="93">
        <f t="shared" si="481"/>
        <v>-18384.8</v>
      </c>
      <c r="M3654" s="95">
        <f t="shared" ca="1" si="482"/>
        <v>-7841.6887281718309</v>
      </c>
      <c r="N3654" s="95">
        <f>IF(P3654="Hedge Fund",IF(A3654=Summary!$AD$3,M3654-E3654,M3654),IF(A3654=Summary!$AD$3,L3654-D3654,L3654))</f>
        <v>-18384.8</v>
      </c>
      <c r="O3654" s="95"/>
      <c r="P3654" s="107" t="s">
        <v>155</v>
      </c>
      <c r="Q3654" s="107">
        <v>0</v>
      </c>
      <c r="R3654" s="107">
        <v>0</v>
      </c>
      <c r="S3654" s="107">
        <v>0</v>
      </c>
      <c r="T3654" s="107">
        <v>0</v>
      </c>
      <c r="U3654" s="107" t="s">
        <v>0</v>
      </c>
      <c r="V3654" s="107">
        <v>7.4727359099999999</v>
      </c>
      <c r="W3654" s="107" t="s">
        <v>15</v>
      </c>
      <c r="X3654" s="107">
        <v>7.4727359099999999</v>
      </c>
      <c r="Y3654" s="107"/>
      <c r="Z3654" s="107"/>
      <c r="AA3654" s="107"/>
      <c r="AB3654" s="107"/>
      <c r="AC3654" s="355"/>
      <c r="AD3654" s="355"/>
      <c r="AE3654" s="355"/>
      <c r="AF3654" s="94">
        <f t="shared" si="483"/>
        <v>41851</v>
      </c>
      <c r="AG3654" s="185">
        <f t="shared" si="479"/>
        <v>0.13019314222636358</v>
      </c>
      <c r="AH3654" s="339" t="str">
        <f>VLOOKUP(B3654,'MF PF'!A:B,2)</f>
        <v>FdMgt1</v>
      </c>
      <c r="AI3654" s="358">
        <f t="shared" si="484"/>
        <v>0</v>
      </c>
      <c r="AJ3654" s="94">
        <f t="shared" si="485"/>
        <v>41851</v>
      </c>
    </row>
    <row r="3655" spans="1:36" s="358" customFormat="1" ht="12.75" customHeight="1">
      <c r="A3655" s="94">
        <v>41880</v>
      </c>
      <c r="B3655" s="94" t="s">
        <v>189</v>
      </c>
      <c r="C3655" s="358" t="s">
        <v>343</v>
      </c>
      <c r="D3655" s="98">
        <v>1766903.7620000001</v>
      </c>
      <c r="E3655" s="95">
        <f t="shared" si="480"/>
        <v>753639.3822200842</v>
      </c>
      <c r="F3655" s="98">
        <v>0.28000000000000003</v>
      </c>
      <c r="G3655" s="98">
        <v>0</v>
      </c>
      <c r="H3655" s="98">
        <v>0</v>
      </c>
      <c r="I3655" s="98">
        <v>-51982</v>
      </c>
      <c r="J3655" s="98"/>
      <c r="K3655" s="93">
        <v>2.3444949981183623</v>
      </c>
      <c r="L3655" s="93">
        <f t="shared" si="481"/>
        <v>-51982</v>
      </c>
      <c r="M3655" s="95">
        <f t="shared" ca="1" si="482"/>
        <v>-22171.938964134944</v>
      </c>
      <c r="N3655" s="95">
        <f>IF(P3655="Hedge Fund",IF(A3655=Summary!$AD$3,M3655-E3655,M3655),IF(A3655=Summary!$AD$3,L3655-D3655,L3655))</f>
        <v>-51982</v>
      </c>
      <c r="O3655" s="95"/>
      <c r="P3655" s="107" t="s">
        <v>155</v>
      </c>
      <c r="Q3655" s="107">
        <v>0</v>
      </c>
      <c r="R3655" s="107">
        <v>0</v>
      </c>
      <c r="S3655" s="107">
        <v>0</v>
      </c>
      <c r="T3655" s="107">
        <v>0</v>
      </c>
      <c r="U3655" s="107" t="s">
        <v>0</v>
      </c>
      <c r="V3655" s="107">
        <v>5.7760622599999998</v>
      </c>
      <c r="W3655" s="107" t="s">
        <v>15</v>
      </c>
      <c r="X3655" s="107">
        <v>5.7760622599999998</v>
      </c>
      <c r="Y3655" s="107"/>
      <c r="Z3655" s="107"/>
      <c r="AA3655" s="107"/>
      <c r="AB3655" s="107"/>
      <c r="AF3655" s="94">
        <f t="shared" si="483"/>
        <v>41880</v>
      </c>
      <c r="AG3655" s="185">
        <f t="shared" si="479"/>
        <v>0.27556632866443476</v>
      </c>
      <c r="AH3655" s="339" t="str">
        <f>VLOOKUP(B3655,'MF PF'!A:B,2)</f>
        <v>FdMgt1</v>
      </c>
      <c r="AI3655" s="358">
        <f t="shared" si="484"/>
        <v>0</v>
      </c>
      <c r="AJ3655" s="94">
        <f t="shared" si="485"/>
        <v>41882</v>
      </c>
    </row>
    <row r="3656" spans="1:36" ht="12.75" customHeight="1">
      <c r="A3656" s="8">
        <v>41912</v>
      </c>
      <c r="B3656" s="94" t="s">
        <v>189</v>
      </c>
      <c r="C3656" s="6" t="s">
        <v>343</v>
      </c>
      <c r="D3656" s="98">
        <v>2143580.7110000001</v>
      </c>
      <c r="E3656" s="9">
        <f t="shared" si="480"/>
        <v>914303.81072273082</v>
      </c>
      <c r="F3656" s="98">
        <v>0.28000000000000003</v>
      </c>
      <c r="G3656" s="98">
        <v>0</v>
      </c>
      <c r="H3656" s="98">
        <v>0</v>
      </c>
      <c r="I3656" s="98">
        <v>0</v>
      </c>
      <c r="J3656" s="98"/>
      <c r="K3656" s="93">
        <v>2.3444949981183623</v>
      </c>
      <c r="L3656" s="93">
        <f t="shared" si="481"/>
        <v>0</v>
      </c>
      <c r="M3656" s="95">
        <f t="shared" ca="1" si="482"/>
        <v>0</v>
      </c>
      <c r="N3656" s="95">
        <f>IF(P3656="Hedge Fund",IF(A3656=Summary!$AD$3,M3656-E3656,M3656),IF(A3656=Summary!$AD$3,L3656-D3656,L3656))</f>
        <v>0</v>
      </c>
      <c r="O3656" s="95"/>
      <c r="P3656" s="107" t="s">
        <v>155</v>
      </c>
      <c r="Q3656" s="107">
        <v>0</v>
      </c>
      <c r="R3656" s="107">
        <v>0</v>
      </c>
      <c r="S3656" s="107">
        <v>0</v>
      </c>
      <c r="T3656" s="107">
        <v>0</v>
      </c>
      <c r="U3656" s="107" t="s">
        <v>0</v>
      </c>
      <c r="V3656" s="107">
        <v>5.96163826</v>
      </c>
      <c r="W3656" s="107" t="s">
        <v>15</v>
      </c>
      <c r="X3656" s="107">
        <v>5.96163826</v>
      </c>
      <c r="Y3656" s="107"/>
      <c r="Z3656" s="107"/>
      <c r="AA3656" s="107"/>
      <c r="AB3656" s="107"/>
      <c r="AC3656" s="355"/>
      <c r="AD3656" s="355"/>
      <c r="AE3656" s="355"/>
      <c r="AF3656" s="94">
        <f t="shared" si="483"/>
        <v>41912</v>
      </c>
      <c r="AG3656" s="185">
        <f t="shared" si="479"/>
        <v>0.21318475691830008</v>
      </c>
      <c r="AH3656" s="339" t="str">
        <f>VLOOKUP(B3656,'MF PF'!A:B,2)</f>
        <v>FdMgt1</v>
      </c>
      <c r="AI3656" s="358">
        <f t="shared" si="484"/>
        <v>0</v>
      </c>
      <c r="AJ3656" s="94">
        <f t="shared" si="485"/>
        <v>41912</v>
      </c>
    </row>
    <row r="3657" spans="1:36" ht="12.75" customHeight="1">
      <c r="A3657" s="8">
        <v>41943</v>
      </c>
      <c r="B3657" s="94" t="s">
        <v>189</v>
      </c>
      <c r="C3657" s="6" t="s">
        <v>343</v>
      </c>
      <c r="D3657" s="98">
        <v>1484449.6634999996</v>
      </c>
      <c r="E3657" s="9">
        <f t="shared" si="480"/>
        <v>633163.92856089887</v>
      </c>
      <c r="F3657" s="98">
        <v>0.28000000000000003</v>
      </c>
      <c r="G3657" s="98">
        <v>0</v>
      </c>
      <c r="H3657" s="98">
        <v>0</v>
      </c>
      <c r="I3657" s="98">
        <v>-26110</v>
      </c>
      <c r="J3657" s="98"/>
      <c r="K3657" s="93">
        <v>2.3444949981183623</v>
      </c>
      <c r="L3657" s="93">
        <f t="shared" si="481"/>
        <v>-26110</v>
      </c>
      <c r="M3657" s="95">
        <f t="shared" ca="1" si="482"/>
        <v>-11136.726681419788</v>
      </c>
      <c r="N3657" s="95">
        <f>IF(P3657="Hedge Fund",IF(A3657=Summary!$AD$3,M3657-E3657,M3657),IF(A3657=Summary!$AD$3,L3657-D3657,L3657))</f>
        <v>-26110</v>
      </c>
      <c r="O3657" s="95"/>
      <c r="P3657" s="107" t="s">
        <v>155</v>
      </c>
      <c r="Q3657" s="107">
        <v>0</v>
      </c>
      <c r="R3657" s="107">
        <v>0</v>
      </c>
      <c r="S3657" s="107">
        <v>0</v>
      </c>
      <c r="T3657" s="107">
        <v>0</v>
      </c>
      <c r="U3657" s="107" t="s">
        <v>0</v>
      </c>
      <c r="V3657" s="107">
        <v>4.8103352400000006</v>
      </c>
      <c r="W3657" s="107" t="s">
        <v>15</v>
      </c>
      <c r="X3657" s="107">
        <v>4.8103352400000006</v>
      </c>
      <c r="Y3657" s="107"/>
      <c r="Z3657" s="107"/>
      <c r="AA3657" s="107"/>
      <c r="AB3657" s="107"/>
      <c r="AC3657" s="355"/>
      <c r="AD3657" s="355"/>
      <c r="AE3657" s="355"/>
      <c r="AF3657" s="94">
        <f t="shared" si="483"/>
        <v>41943</v>
      </c>
      <c r="AG3657" s="185">
        <f t="shared" si="479"/>
        <v>-0.29531010624026865</v>
      </c>
      <c r="AH3657" s="339" t="str">
        <f>VLOOKUP(B3657,'MF PF'!A:B,2)</f>
        <v>FdMgt1</v>
      </c>
      <c r="AI3657" s="358">
        <f t="shared" si="484"/>
        <v>0</v>
      </c>
      <c r="AJ3657" s="94">
        <f t="shared" si="485"/>
        <v>41943</v>
      </c>
    </row>
    <row r="3658" spans="1:36" ht="12.75" customHeight="1">
      <c r="A3658" s="8">
        <v>41971</v>
      </c>
      <c r="B3658" s="94" t="s">
        <v>189</v>
      </c>
      <c r="C3658" s="6" t="s">
        <v>343</v>
      </c>
      <c r="D3658" s="98">
        <v>911188.46950000082</v>
      </c>
      <c r="E3658" s="9">
        <f t="shared" si="480"/>
        <v>388650.20835245959</v>
      </c>
      <c r="F3658" s="98">
        <v>0.28000000000000003</v>
      </c>
      <c r="G3658" s="98">
        <v>0</v>
      </c>
      <c r="H3658" s="98">
        <v>0</v>
      </c>
      <c r="I3658" s="98">
        <v>0</v>
      </c>
      <c r="J3658" s="98"/>
      <c r="K3658" s="93">
        <v>2.3444949981183623</v>
      </c>
      <c r="L3658" s="93">
        <f t="shared" si="481"/>
        <v>0</v>
      </c>
      <c r="M3658" s="95">
        <f t="shared" ca="1" si="482"/>
        <v>0</v>
      </c>
      <c r="N3658" s="95">
        <f>IF(P3658="Hedge Fund",IF(A3658=Summary!$AD$3,M3658-E3658,M3658),IF(A3658=Summary!$AD$3,L3658-D3658,L3658))</f>
        <v>0</v>
      </c>
      <c r="O3658" s="95"/>
      <c r="P3658" s="107" t="s">
        <v>155</v>
      </c>
      <c r="Q3658" s="107">
        <v>0</v>
      </c>
      <c r="R3658" s="107">
        <v>0</v>
      </c>
      <c r="S3658" s="107">
        <v>0</v>
      </c>
      <c r="T3658" s="107">
        <v>0</v>
      </c>
      <c r="U3658" s="107" t="s">
        <v>0</v>
      </c>
      <c r="V3658" s="107">
        <v>4.6213212800000001</v>
      </c>
      <c r="W3658" s="107" t="s">
        <v>15</v>
      </c>
      <c r="X3658" s="107">
        <v>4.6213212800000001</v>
      </c>
      <c r="Y3658" s="107"/>
      <c r="Z3658" s="107"/>
      <c r="AA3658" s="107"/>
      <c r="AB3658" s="107"/>
      <c r="AC3658" s="355"/>
      <c r="AD3658" s="355"/>
      <c r="AE3658" s="355"/>
      <c r="AF3658" s="94">
        <f t="shared" si="483"/>
        <v>41971</v>
      </c>
      <c r="AG3658" s="185">
        <f t="shared" si="479"/>
        <v>-0.38617759031881038</v>
      </c>
      <c r="AH3658" s="339" t="str">
        <f>VLOOKUP(B3658,'MF PF'!A:B,2)</f>
        <v>FdMgt1</v>
      </c>
      <c r="AI3658" s="358">
        <f t="shared" si="484"/>
        <v>0</v>
      </c>
      <c r="AJ3658" s="94">
        <f t="shared" si="485"/>
        <v>41973</v>
      </c>
    </row>
    <row r="3659" spans="1:36" ht="12.75" customHeight="1">
      <c r="A3659" s="8">
        <v>42004</v>
      </c>
      <c r="B3659" s="94" t="s">
        <v>189</v>
      </c>
      <c r="C3659" s="6" t="s">
        <v>343</v>
      </c>
      <c r="D3659" s="98">
        <v>751423.44400000025</v>
      </c>
      <c r="E3659" s="95">
        <f t="shared" si="480"/>
        <v>320505.45836228074</v>
      </c>
      <c r="F3659" s="98">
        <v>0.28000000000000003</v>
      </c>
      <c r="G3659" s="98">
        <v>0</v>
      </c>
      <c r="H3659" s="98">
        <v>0</v>
      </c>
      <c r="I3659" s="98">
        <v>-16100</v>
      </c>
      <c r="J3659" s="98"/>
      <c r="K3659" s="93">
        <v>2.3444949981183623</v>
      </c>
      <c r="L3659" s="93">
        <f t="shared" si="481"/>
        <v>-16100</v>
      </c>
      <c r="M3659" s="95">
        <f t="shared" ca="1" si="482"/>
        <v>-6867.1505006073758</v>
      </c>
      <c r="N3659" s="95">
        <f>IF(P3659="Hedge Fund",IF(A3659=Summary!$AD$3,M3659-E3659,M3659),IF(A3659=Summary!$AD$3,L3659-D3659,L3659))</f>
        <v>-16100</v>
      </c>
      <c r="O3659" s="95"/>
      <c r="P3659" s="107" t="s">
        <v>155</v>
      </c>
      <c r="Q3659" s="107">
        <v>0</v>
      </c>
      <c r="R3659" s="107">
        <v>0</v>
      </c>
      <c r="S3659" s="107">
        <v>0</v>
      </c>
      <c r="T3659" s="107">
        <v>0</v>
      </c>
      <c r="U3659" s="107" t="s">
        <v>0</v>
      </c>
      <c r="V3659" s="107">
        <v>4.0515180400000004</v>
      </c>
      <c r="W3659" s="107" t="s">
        <v>15</v>
      </c>
      <c r="X3659" s="107">
        <v>4.0515180400000004</v>
      </c>
      <c r="Y3659" s="107"/>
      <c r="Z3659" s="107"/>
      <c r="AA3659" s="107"/>
      <c r="AB3659" s="107"/>
      <c r="AC3659" s="355"/>
      <c r="AD3659" s="355"/>
      <c r="AE3659" s="355"/>
      <c r="AF3659" s="94">
        <f t="shared" si="483"/>
        <v>42004</v>
      </c>
      <c r="AG3659" s="185">
        <f t="shared" si="479"/>
        <v>-0.15766773868290307</v>
      </c>
      <c r="AH3659" s="339" t="str">
        <f>VLOOKUP(B3659,'MF PF'!A:B,2)</f>
        <v>FdMgt1</v>
      </c>
      <c r="AI3659" s="358">
        <f t="shared" si="484"/>
        <v>0</v>
      </c>
      <c r="AJ3659" s="94">
        <f t="shared" si="485"/>
        <v>42004</v>
      </c>
    </row>
    <row r="3660" spans="1:36" ht="12.75" customHeight="1">
      <c r="A3660" s="8">
        <v>42034</v>
      </c>
      <c r="B3660" s="94" t="s">
        <v>189</v>
      </c>
      <c r="C3660" s="6" t="s">
        <v>343</v>
      </c>
      <c r="D3660" s="98">
        <v>955518.41900000058</v>
      </c>
      <c r="E3660" s="95">
        <f t="shared" si="480"/>
        <v>407558.30989909457</v>
      </c>
      <c r="F3660" s="98">
        <v>0.28000000000000003</v>
      </c>
      <c r="G3660" s="98">
        <v>0</v>
      </c>
      <c r="H3660" s="98">
        <v>0</v>
      </c>
      <c r="I3660" s="98">
        <v>0</v>
      </c>
      <c r="J3660" s="98"/>
      <c r="K3660" s="93">
        <v>2.3444949981183623</v>
      </c>
      <c r="L3660" s="93">
        <f t="shared" si="481"/>
        <v>0</v>
      </c>
      <c r="M3660" s="95">
        <f t="shared" ca="1" si="482"/>
        <v>0</v>
      </c>
      <c r="N3660" s="95">
        <f>IF(P3660="Hedge Fund",IF(A3660=Summary!$AD$3,M3660-E3660,M3660),IF(A3660=Summary!$AD$3,L3660-D3660,L3660))</f>
        <v>0</v>
      </c>
      <c r="O3660" s="95"/>
      <c r="P3660" s="107" t="s">
        <v>155</v>
      </c>
      <c r="Q3660" s="107">
        <v>0</v>
      </c>
      <c r="R3660" s="107">
        <v>0</v>
      </c>
      <c r="S3660" s="107">
        <v>0</v>
      </c>
      <c r="T3660" s="107">
        <v>0</v>
      </c>
      <c r="U3660" s="107" t="s">
        <v>0</v>
      </c>
      <c r="V3660" s="107">
        <v>4.1473120899999998</v>
      </c>
      <c r="W3660" s="107" t="s">
        <v>15</v>
      </c>
      <c r="X3660" s="107">
        <v>4.1473120899999998</v>
      </c>
      <c r="Y3660" s="107"/>
      <c r="Z3660" s="107"/>
      <c r="AA3660" s="107"/>
      <c r="AB3660" s="107"/>
      <c r="AC3660" s="355"/>
      <c r="AD3660" s="355"/>
      <c r="AE3660" s="355"/>
      <c r="AF3660" s="94">
        <f t="shared" si="483"/>
        <v>42034</v>
      </c>
      <c r="AG3660" s="185">
        <f t="shared" si="479"/>
        <v>0.27161113567811479</v>
      </c>
      <c r="AH3660" s="339" t="str">
        <f>VLOOKUP(B3660,'MF PF'!A:B,2)</f>
        <v>FdMgt1</v>
      </c>
      <c r="AI3660" s="358">
        <f t="shared" si="484"/>
        <v>0</v>
      </c>
      <c r="AJ3660" s="94">
        <f t="shared" si="485"/>
        <v>42035</v>
      </c>
    </row>
    <row r="3661" spans="1:36" ht="12.75" customHeight="1">
      <c r="A3661" s="8">
        <v>42062</v>
      </c>
      <c r="B3661" s="94" t="s">
        <v>189</v>
      </c>
      <c r="C3661" s="6" t="s">
        <v>343</v>
      </c>
      <c r="D3661" s="98">
        <v>1309694.0205000003</v>
      </c>
      <c r="E3661" s="95">
        <f t="shared" ref="E3661:E3692" si="486">D3661/K3661</f>
        <v>558625.21419373073</v>
      </c>
      <c r="F3661" s="98">
        <v>0.28000000000000003</v>
      </c>
      <c r="G3661" s="98">
        <v>0</v>
      </c>
      <c r="H3661" s="98">
        <v>0</v>
      </c>
      <c r="I3661" s="98">
        <v>0</v>
      </c>
      <c r="J3661" s="98"/>
      <c r="K3661" s="93">
        <v>2.3444949981183623</v>
      </c>
      <c r="L3661" s="93">
        <f t="shared" si="481"/>
        <v>0</v>
      </c>
      <c r="M3661" s="95">
        <f t="shared" ca="1" si="482"/>
        <v>0</v>
      </c>
      <c r="N3661" s="95">
        <f>IF(P3661="Hedge Fund",IF(A3661=Summary!$AD$3,M3661-E3661,M3661),IF(A3661=Summary!$AD$3,L3661-D3661,L3661))</f>
        <v>0</v>
      </c>
      <c r="O3661" s="95"/>
      <c r="P3661" s="107" t="s">
        <v>155</v>
      </c>
      <c r="Q3661" s="107">
        <v>0</v>
      </c>
      <c r="R3661" s="107">
        <v>0</v>
      </c>
      <c r="S3661" s="107">
        <v>0</v>
      </c>
      <c r="T3661" s="107">
        <v>0</v>
      </c>
      <c r="U3661" s="107" t="s">
        <v>0</v>
      </c>
      <c r="V3661" s="107">
        <v>4.2512621399999997</v>
      </c>
      <c r="W3661" s="107" t="s">
        <v>15</v>
      </c>
      <c r="X3661" s="107">
        <v>4.2512621399999997</v>
      </c>
      <c r="Y3661" s="107"/>
      <c r="Z3661" s="107"/>
      <c r="AA3661" s="107"/>
      <c r="AB3661" s="107"/>
      <c r="AC3661" s="355"/>
      <c r="AD3661" s="355"/>
      <c r="AE3661" s="355"/>
      <c r="AF3661" s="94">
        <f t="shared" si="483"/>
        <v>42062</v>
      </c>
      <c r="AG3661" s="185">
        <f t="shared" si="479"/>
        <v>0.37066329068848591</v>
      </c>
      <c r="AH3661" s="339" t="str">
        <f>VLOOKUP(B3661,'MF PF'!A:B,2)</f>
        <v>FdMgt1</v>
      </c>
      <c r="AI3661" s="358">
        <f t="shared" si="484"/>
        <v>0</v>
      </c>
      <c r="AJ3661" s="94">
        <f t="shared" si="485"/>
        <v>42063</v>
      </c>
    </row>
    <row r="3662" spans="1:36" ht="12.75" customHeight="1">
      <c r="A3662" s="8">
        <v>42094</v>
      </c>
      <c r="B3662" s="94" t="s">
        <v>189</v>
      </c>
      <c r="C3662" s="6" t="s">
        <v>343</v>
      </c>
      <c r="D3662" s="98">
        <v>1255656.9985000009</v>
      </c>
      <c r="E3662" s="95">
        <f t="shared" si="486"/>
        <v>535576.74446213886</v>
      </c>
      <c r="F3662" s="98">
        <v>0.28000000000000003</v>
      </c>
      <c r="G3662" s="98">
        <v>0</v>
      </c>
      <c r="H3662" s="98">
        <v>0</v>
      </c>
      <c r="I3662" s="98">
        <v>0</v>
      </c>
      <c r="J3662" s="98"/>
      <c r="K3662" s="93">
        <v>2.3444949981183623</v>
      </c>
      <c r="L3662" s="93">
        <f t="shared" si="481"/>
        <v>0</v>
      </c>
      <c r="M3662" s="95">
        <f t="shared" ca="1" si="482"/>
        <v>0</v>
      </c>
      <c r="N3662" s="95">
        <f>IF(P3662="Hedge Fund",IF(A3662=Summary!$AD$3,M3662-E3662,M3662),IF(A3662=Summary!$AD$3,L3662-D3662,L3662))</f>
        <v>0</v>
      </c>
      <c r="O3662" s="95"/>
      <c r="P3662" s="107" t="s">
        <v>155</v>
      </c>
      <c r="Q3662" s="107">
        <v>0</v>
      </c>
      <c r="R3662" s="107">
        <v>0</v>
      </c>
      <c r="S3662" s="107">
        <v>0</v>
      </c>
      <c r="T3662" s="107">
        <v>0</v>
      </c>
      <c r="U3662" s="107" t="s">
        <v>0</v>
      </c>
      <c r="V3662" s="107">
        <v>4.2629718299999997</v>
      </c>
      <c r="W3662" s="107" t="s">
        <v>15</v>
      </c>
      <c r="X3662" s="107">
        <v>4.2629718299999997</v>
      </c>
      <c r="Y3662" s="107"/>
      <c r="Z3662" s="107"/>
      <c r="AA3662" s="107"/>
      <c r="AB3662" s="107"/>
      <c r="AC3662" s="355"/>
      <c r="AD3662" s="355"/>
      <c r="AE3662" s="355"/>
      <c r="AF3662" s="94">
        <f t="shared" si="483"/>
        <v>42094</v>
      </c>
      <c r="AG3662" s="185">
        <f t="shared" si="479"/>
        <v>-4.1259272130882763E-2</v>
      </c>
      <c r="AH3662" s="339" t="str">
        <f>VLOOKUP(B3662,'MF PF'!A:B,2)</f>
        <v>FdMgt1</v>
      </c>
      <c r="AI3662" s="358">
        <f t="shared" si="484"/>
        <v>0</v>
      </c>
      <c r="AJ3662" s="94">
        <f t="shared" si="485"/>
        <v>42094</v>
      </c>
    </row>
    <row r="3663" spans="1:36" ht="12.75" customHeight="1">
      <c r="A3663" s="8">
        <v>42124</v>
      </c>
      <c r="B3663" s="94" t="s">
        <v>189</v>
      </c>
      <c r="C3663" s="6" t="s">
        <v>343</v>
      </c>
      <c r="D3663" s="98">
        <v>1636451.1004999985</v>
      </c>
      <c r="E3663" s="95">
        <f t="shared" si="486"/>
        <v>697997.26670919603</v>
      </c>
      <c r="F3663" s="98">
        <v>0.28000000000000003</v>
      </c>
      <c r="G3663" s="98">
        <v>0</v>
      </c>
      <c r="H3663" s="98">
        <v>0</v>
      </c>
      <c r="I3663" s="98">
        <v>-9002</v>
      </c>
      <c r="J3663" s="98"/>
      <c r="K3663" s="93">
        <v>2.3444949981183623</v>
      </c>
      <c r="L3663" s="93">
        <f t="shared" si="481"/>
        <v>-9002</v>
      </c>
      <c r="M3663" s="95">
        <f t="shared" ca="1" si="482"/>
        <v>-3839.6328451222112</v>
      </c>
      <c r="N3663" s="95">
        <f>IF(P3663="Hedge Fund",IF(A3663=Summary!$AD$3,M3663-E3663,M3663),IF(A3663=Summary!$AD$3,L3663-D3663,L3663))</f>
        <v>-9002</v>
      </c>
      <c r="O3663" s="95"/>
      <c r="P3663" s="107" t="s">
        <v>155</v>
      </c>
      <c r="Q3663" s="107">
        <v>0</v>
      </c>
      <c r="R3663" s="107">
        <v>0</v>
      </c>
      <c r="S3663" s="107">
        <v>0</v>
      </c>
      <c r="T3663" s="107">
        <v>0</v>
      </c>
      <c r="U3663" s="107" t="s">
        <v>0</v>
      </c>
      <c r="V3663" s="107">
        <v>4.0180624800000002</v>
      </c>
      <c r="W3663" s="107" t="s">
        <v>15</v>
      </c>
      <c r="X3663" s="107">
        <v>4.0180624800000002</v>
      </c>
      <c r="Y3663" s="107"/>
      <c r="Z3663" s="107"/>
      <c r="AA3663" s="107"/>
      <c r="AB3663" s="107"/>
      <c r="AC3663" s="355"/>
      <c r="AD3663" s="355"/>
      <c r="AE3663" s="355"/>
      <c r="AF3663" s="94">
        <f t="shared" si="483"/>
        <v>42124</v>
      </c>
      <c r="AG3663" s="185">
        <f t="shared" si="479"/>
        <v>0.31043199095425367</v>
      </c>
      <c r="AH3663" s="339" t="str">
        <f>VLOOKUP(B3663,'MF PF'!A:B,2)</f>
        <v>FdMgt1</v>
      </c>
      <c r="AI3663" s="358">
        <f t="shared" si="484"/>
        <v>0</v>
      </c>
      <c r="AJ3663" s="94">
        <f t="shared" si="485"/>
        <v>42124</v>
      </c>
    </row>
    <row r="3664" spans="1:36" ht="12.75" customHeight="1">
      <c r="A3664" s="8">
        <v>42153</v>
      </c>
      <c r="B3664" s="94" t="s">
        <v>189</v>
      </c>
      <c r="C3664" s="6" t="s">
        <v>343</v>
      </c>
      <c r="D3664" s="98">
        <v>1690735.1550000005</v>
      </c>
      <c r="E3664" s="95">
        <f t="shared" si="486"/>
        <v>721151.10348153685</v>
      </c>
      <c r="F3664" s="98">
        <v>0.28000000000000003</v>
      </c>
      <c r="G3664" s="98">
        <v>0</v>
      </c>
      <c r="H3664" s="98">
        <v>0</v>
      </c>
      <c r="I3664" s="98">
        <v>0</v>
      </c>
      <c r="J3664" s="98"/>
      <c r="K3664" s="93">
        <v>2.3444949981183623</v>
      </c>
      <c r="L3664" s="93">
        <f t="shared" si="481"/>
        <v>0</v>
      </c>
      <c r="M3664" s="95">
        <f t="shared" ca="1" si="482"/>
        <v>0</v>
      </c>
      <c r="N3664" s="95">
        <f>IF(P3664="Hedge Fund",IF(A3664=Summary!$AD$3,M3664-E3664,M3664),IF(A3664=Summary!$AD$3,L3664-D3664,L3664))</f>
        <v>0</v>
      </c>
      <c r="O3664" s="95"/>
      <c r="P3664" s="107" t="s">
        <v>155</v>
      </c>
      <c r="Q3664" s="107">
        <v>0</v>
      </c>
      <c r="R3664" s="107">
        <v>0</v>
      </c>
      <c r="S3664" s="107">
        <v>0</v>
      </c>
      <c r="T3664" s="107">
        <v>0</v>
      </c>
      <c r="U3664" s="107" t="s">
        <v>0</v>
      </c>
      <c r="V3664" s="107">
        <v>4.0415043099999997</v>
      </c>
      <c r="W3664" s="107" t="s">
        <v>15</v>
      </c>
      <c r="X3664" s="107">
        <v>4.0415043099999997</v>
      </c>
      <c r="Y3664" s="107"/>
      <c r="Z3664" s="107"/>
      <c r="AA3664" s="107"/>
      <c r="AB3664" s="107"/>
      <c r="AC3664" s="355"/>
      <c r="AD3664" s="355"/>
      <c r="AE3664" s="355"/>
      <c r="AF3664" s="94">
        <f t="shared" si="483"/>
        <v>42153</v>
      </c>
      <c r="AG3664" s="185">
        <f t="shared" si="479"/>
        <v>3.3171815817421013E-2</v>
      </c>
      <c r="AH3664" s="339" t="str">
        <f>VLOOKUP(B3664,'MF PF'!A:B,2)</f>
        <v>FdMgt1</v>
      </c>
      <c r="AI3664" s="358">
        <f t="shared" si="484"/>
        <v>0</v>
      </c>
      <c r="AJ3664" s="94">
        <f t="shared" si="485"/>
        <v>42155</v>
      </c>
    </row>
    <row r="3665" spans="1:36" ht="12.75" customHeight="1">
      <c r="A3665" s="8">
        <v>42185</v>
      </c>
      <c r="B3665" s="94" t="s">
        <v>189</v>
      </c>
      <c r="C3665" s="6" t="s">
        <v>343</v>
      </c>
      <c r="D3665" s="98">
        <v>1974023.0004999989</v>
      </c>
      <c r="E3665" s="95">
        <f t="shared" si="486"/>
        <v>841982.17615490942</v>
      </c>
      <c r="F3665" s="98">
        <v>0.28000000000000003</v>
      </c>
      <c r="G3665" s="98">
        <v>0</v>
      </c>
      <c r="H3665" s="98">
        <v>0</v>
      </c>
      <c r="I3665" s="98">
        <v>0</v>
      </c>
      <c r="J3665" s="98"/>
      <c r="K3665" s="93">
        <v>2.3444949981183623</v>
      </c>
      <c r="L3665" s="93">
        <f t="shared" si="481"/>
        <v>0</v>
      </c>
      <c r="M3665" s="95">
        <f t="shared" ca="1" si="482"/>
        <v>0</v>
      </c>
      <c r="N3665" s="95">
        <f>IF(P3665="Hedge Fund",IF(A3665=Summary!$AD$3,M3665-E3665,M3665),IF(A3665=Summary!$AD$3,L3665-D3665,L3665))</f>
        <v>0</v>
      </c>
      <c r="O3665" s="95"/>
      <c r="P3665" s="107" t="s">
        <v>155</v>
      </c>
      <c r="Q3665" s="107">
        <v>0</v>
      </c>
      <c r="R3665" s="107">
        <v>0</v>
      </c>
      <c r="S3665" s="107">
        <v>0</v>
      </c>
      <c r="T3665" s="107">
        <v>0</v>
      </c>
      <c r="U3665" s="107" t="s">
        <v>0</v>
      </c>
      <c r="V3665" s="107">
        <v>4.15470994</v>
      </c>
      <c r="W3665" s="107" t="s">
        <v>15</v>
      </c>
      <c r="X3665" s="107">
        <v>4.15470994</v>
      </c>
      <c r="Y3665" s="107"/>
      <c r="Z3665" s="107"/>
      <c r="AA3665" s="107"/>
      <c r="AB3665" s="107"/>
      <c r="AC3665" s="355"/>
      <c r="AD3665" s="355"/>
      <c r="AE3665" s="355"/>
      <c r="AF3665" s="94">
        <f t="shared" si="483"/>
        <v>42185</v>
      </c>
      <c r="AG3665" s="185">
        <f t="shared" si="479"/>
        <v>0.16755305800688713</v>
      </c>
      <c r="AH3665" s="339" t="str">
        <f>VLOOKUP(B3665,'MF PF'!A:B,2)</f>
        <v>FdMgt1</v>
      </c>
      <c r="AI3665" s="358">
        <f t="shared" si="484"/>
        <v>0</v>
      </c>
      <c r="AJ3665" s="94">
        <f t="shared" si="485"/>
        <v>42185</v>
      </c>
    </row>
    <row r="3666" spans="1:36" ht="12.75" customHeight="1">
      <c r="A3666" s="8">
        <v>42216</v>
      </c>
      <c r="B3666" s="94" t="s">
        <v>189</v>
      </c>
      <c r="C3666" s="358" t="s">
        <v>343</v>
      </c>
      <c r="D3666" s="98">
        <v>1464244.7025000004</v>
      </c>
      <c r="E3666" s="9">
        <f t="shared" si="486"/>
        <v>624545.88458289288</v>
      </c>
      <c r="F3666" s="98">
        <v>0.28000000000000003</v>
      </c>
      <c r="G3666" s="98">
        <v>0</v>
      </c>
      <c r="H3666" s="98">
        <v>0</v>
      </c>
      <c r="I3666" s="98">
        <v>-12692.4</v>
      </c>
      <c r="J3666" s="98"/>
      <c r="K3666" s="93">
        <v>2.3444949981183623</v>
      </c>
      <c r="L3666" s="93">
        <f t="shared" si="481"/>
        <v>-12692.4</v>
      </c>
      <c r="M3666" s="95">
        <f t="shared" ca="1" si="482"/>
        <v>-5413.7031685657794</v>
      </c>
      <c r="N3666" s="95">
        <f>IF(P3666="Hedge Fund",IF(A3666=Summary!$AD$3,M3666-E3666,M3666),IF(A3666=Summary!$AD$3,L3666-D3666,L3666))</f>
        <v>-12692.4</v>
      </c>
      <c r="O3666" s="95"/>
      <c r="P3666" s="107" t="s">
        <v>155</v>
      </c>
      <c r="Q3666" s="107">
        <v>0</v>
      </c>
      <c r="R3666" s="107">
        <v>0</v>
      </c>
      <c r="S3666" s="107">
        <v>0</v>
      </c>
      <c r="T3666" s="107">
        <v>0</v>
      </c>
      <c r="U3666" s="107" t="s">
        <v>0</v>
      </c>
      <c r="V3666" s="107">
        <v>3.5532569399999998</v>
      </c>
      <c r="W3666" s="107" t="s">
        <v>15</v>
      </c>
      <c r="X3666" s="107">
        <v>3.5532569399999998</v>
      </c>
      <c r="Y3666" s="107"/>
      <c r="Z3666" s="107"/>
      <c r="AA3666" s="107"/>
      <c r="AB3666" s="107"/>
      <c r="AC3666" s="355"/>
      <c r="AD3666" s="355"/>
      <c r="AE3666" s="355"/>
      <c r="AF3666" s="94">
        <f t="shared" si="483"/>
        <v>42216</v>
      </c>
      <c r="AG3666" s="185">
        <f t="shared" si="479"/>
        <v>-0.25181363027385806</v>
      </c>
      <c r="AH3666" s="339" t="str">
        <f>VLOOKUP(B3666,'MF PF'!A:B,2)</f>
        <v>FdMgt1</v>
      </c>
      <c r="AI3666" s="358">
        <f t="shared" si="484"/>
        <v>0</v>
      </c>
      <c r="AJ3666" s="94">
        <f t="shared" si="485"/>
        <v>42216</v>
      </c>
    </row>
    <row r="3667" spans="1:36" ht="12.75" customHeight="1">
      <c r="A3667" s="8">
        <v>42247</v>
      </c>
      <c r="B3667" s="94" t="s">
        <v>189</v>
      </c>
      <c r="C3667" s="358" t="s">
        <v>343</v>
      </c>
      <c r="D3667" s="98">
        <v>1288396.2585000007</v>
      </c>
      <c r="E3667" s="9">
        <f t="shared" si="486"/>
        <v>549541.0566173261</v>
      </c>
      <c r="F3667" s="98">
        <v>0.28000000000000003</v>
      </c>
      <c r="G3667" s="98">
        <v>0</v>
      </c>
      <c r="H3667" s="98">
        <v>0</v>
      </c>
      <c r="I3667" s="98">
        <v>0</v>
      </c>
      <c r="J3667" s="98"/>
      <c r="K3667" s="93">
        <v>2.3444949981183623</v>
      </c>
      <c r="L3667" s="93">
        <f t="shared" si="481"/>
        <v>0</v>
      </c>
      <c r="M3667" s="95">
        <f t="shared" ca="1" si="482"/>
        <v>0</v>
      </c>
      <c r="N3667" s="95">
        <f>IF(P3667="Hedge Fund",IF(A3667=Summary!$AD$3,M3667-E3667,M3667),IF(A3667=Summary!$AD$3,L3667-D3667,L3667))</f>
        <v>0</v>
      </c>
      <c r="O3667" s="95"/>
      <c r="P3667" s="107" t="s">
        <v>155</v>
      </c>
      <c r="Q3667" s="107">
        <v>0</v>
      </c>
      <c r="R3667" s="107">
        <v>0</v>
      </c>
      <c r="S3667" s="107">
        <v>0</v>
      </c>
      <c r="T3667" s="107">
        <v>0</v>
      </c>
      <c r="U3667" s="107" t="s">
        <v>0</v>
      </c>
      <c r="V3667" s="107">
        <v>3.5784120499999998</v>
      </c>
      <c r="W3667" s="107" t="s">
        <v>15</v>
      </c>
      <c r="X3667" s="107">
        <v>3.5784120499999998</v>
      </c>
      <c r="Y3667" s="107"/>
      <c r="Z3667" s="107"/>
      <c r="AA3667" s="107"/>
      <c r="AB3667" s="107"/>
      <c r="AC3667" s="355"/>
      <c r="AD3667" s="355"/>
      <c r="AE3667" s="355"/>
      <c r="AF3667" s="94">
        <f t="shared" si="483"/>
        <v>42247</v>
      </c>
      <c r="AG3667" s="185">
        <f t="shared" si="479"/>
        <v>-0.12009498391885054</v>
      </c>
      <c r="AH3667" s="339" t="str">
        <f>VLOOKUP(B3667,'MF PF'!A:B,2)</f>
        <v>FdMgt1</v>
      </c>
      <c r="AI3667" s="358">
        <f t="shared" si="484"/>
        <v>0</v>
      </c>
      <c r="AJ3667" s="94">
        <f t="shared" si="485"/>
        <v>42247</v>
      </c>
    </row>
    <row r="3668" spans="1:36" ht="12.75" customHeight="1">
      <c r="A3668" s="8">
        <v>42277</v>
      </c>
      <c r="B3668" s="94" t="s">
        <v>189</v>
      </c>
      <c r="C3668" s="358" t="s">
        <v>343</v>
      </c>
      <c r="D3668" s="98">
        <v>1135095.3690000002</v>
      </c>
      <c r="E3668" s="9">
        <f t="shared" si="486"/>
        <v>484153.46158170589</v>
      </c>
      <c r="F3668" s="98">
        <v>0.28000000000000003</v>
      </c>
      <c r="G3668" s="98">
        <v>0</v>
      </c>
      <c r="H3668" s="98">
        <v>0</v>
      </c>
      <c r="I3668" s="98">
        <v>-7858.48</v>
      </c>
      <c r="J3668" s="98"/>
      <c r="K3668" s="93">
        <v>2.3444949981183623</v>
      </c>
      <c r="L3668" s="93">
        <f t="shared" si="481"/>
        <v>-7858.48</v>
      </c>
      <c r="M3668" s="95">
        <f t="shared" ca="1" si="482"/>
        <v>-3351.8860165225497</v>
      </c>
      <c r="N3668" s="95">
        <f>IF(P3668="Hedge Fund",IF(A3668=Summary!$AD$3,M3668-E3668,M3668),IF(A3668=Summary!$AD$3,L3668-D3668,L3668))</f>
        <v>-7858.48</v>
      </c>
      <c r="O3668" s="95"/>
      <c r="P3668" s="107" t="s">
        <v>155</v>
      </c>
      <c r="Q3668" s="107">
        <v>0</v>
      </c>
      <c r="R3668" s="107">
        <v>0</v>
      </c>
      <c r="S3668" s="107">
        <v>0</v>
      </c>
      <c r="T3668" s="107">
        <v>0</v>
      </c>
      <c r="U3668" s="107" t="s">
        <v>0</v>
      </c>
      <c r="V3668" s="107">
        <v>3.2870477899999999</v>
      </c>
      <c r="W3668" s="107" t="s">
        <v>15</v>
      </c>
      <c r="X3668" s="107">
        <v>3.2870477899999999</v>
      </c>
      <c r="Y3668" s="107"/>
      <c r="Z3668" s="107"/>
      <c r="AA3668" s="107"/>
      <c r="AB3668" s="107"/>
      <c r="AC3668" s="355"/>
      <c r="AD3668" s="355"/>
      <c r="AE3668" s="355"/>
      <c r="AF3668" s="94">
        <f t="shared" si="483"/>
        <v>42277</v>
      </c>
      <c r="AG3668" s="185">
        <f t="shared" si="479"/>
        <v>-0.11288639542412993</v>
      </c>
      <c r="AH3668" s="339" t="str">
        <f>VLOOKUP(B3668,'MF PF'!A:B,2)</f>
        <v>FdMgt1</v>
      </c>
      <c r="AI3668" s="358">
        <f t="shared" si="484"/>
        <v>0</v>
      </c>
      <c r="AJ3668" s="94">
        <f t="shared" si="485"/>
        <v>42277</v>
      </c>
    </row>
    <row r="3669" spans="1:36" ht="12.75" customHeight="1">
      <c r="A3669" s="8">
        <v>42307</v>
      </c>
      <c r="B3669" s="94" t="s">
        <v>189</v>
      </c>
      <c r="C3669" s="358" t="s">
        <v>343</v>
      </c>
      <c r="D3669" s="98">
        <v>1211974.8235000004</v>
      </c>
      <c r="E3669" s="9">
        <f t="shared" si="486"/>
        <v>516944.93887711578</v>
      </c>
      <c r="F3669" s="98">
        <v>0.28000000000000003</v>
      </c>
      <c r="G3669" s="98">
        <v>0</v>
      </c>
      <c r="H3669" s="98">
        <v>0</v>
      </c>
      <c r="I3669" s="98">
        <v>0</v>
      </c>
      <c r="J3669" s="98"/>
      <c r="K3669" s="93">
        <v>2.3444949981183623</v>
      </c>
      <c r="L3669" s="93">
        <f t="shared" si="481"/>
        <v>0</v>
      </c>
      <c r="M3669" s="95">
        <f t="shared" ca="1" si="482"/>
        <v>0</v>
      </c>
      <c r="N3669" s="95">
        <f>IF(P3669="Hedge Fund",IF(A3669=Summary!$AD$3,M3669-E3669,M3669),IF(A3669=Summary!$AD$3,L3669-D3669,L3669))</f>
        <v>0</v>
      </c>
      <c r="O3669" s="95"/>
      <c r="P3669" s="107" t="s">
        <v>155</v>
      </c>
      <c r="Q3669" s="107">
        <v>0</v>
      </c>
      <c r="R3669" s="107">
        <v>0</v>
      </c>
      <c r="S3669" s="107">
        <v>0</v>
      </c>
      <c r="T3669" s="107">
        <v>0</v>
      </c>
      <c r="U3669" s="107" t="s">
        <v>0</v>
      </c>
      <c r="V3669" s="107">
        <v>3.26958796</v>
      </c>
      <c r="W3669" s="107" t="s">
        <v>15</v>
      </c>
      <c r="X3669" s="107">
        <v>3.26958796</v>
      </c>
      <c r="Y3669" s="107"/>
      <c r="Z3669" s="107"/>
      <c r="AA3669" s="107"/>
      <c r="AB3669" s="107"/>
      <c r="AC3669" s="355"/>
      <c r="AD3669" s="355"/>
      <c r="AE3669" s="355"/>
      <c r="AF3669" s="94">
        <f t="shared" si="483"/>
        <v>42307</v>
      </c>
      <c r="AG3669" s="185">
        <f t="shared" si="479"/>
        <v>6.7729511193169278E-2</v>
      </c>
      <c r="AH3669" s="339" t="str">
        <f>VLOOKUP(B3669,'MF PF'!A:B,2)</f>
        <v>FdMgt1</v>
      </c>
      <c r="AI3669" s="358">
        <f t="shared" si="484"/>
        <v>0</v>
      </c>
      <c r="AJ3669" s="94">
        <f t="shared" si="485"/>
        <v>42308</v>
      </c>
    </row>
    <row r="3670" spans="1:36" ht="12.75" customHeight="1">
      <c r="A3670" s="8">
        <v>42338</v>
      </c>
      <c r="B3670" s="94" t="s">
        <v>189</v>
      </c>
      <c r="C3670" s="358" t="s">
        <v>343</v>
      </c>
      <c r="D3670" s="98">
        <v>1092034.5519999994</v>
      </c>
      <c r="E3670" s="9">
        <f t="shared" si="486"/>
        <v>465786.68449983525</v>
      </c>
      <c r="F3670" s="98">
        <v>0.28000000000000003</v>
      </c>
      <c r="G3670" s="98">
        <v>0</v>
      </c>
      <c r="H3670" s="98">
        <v>0</v>
      </c>
      <c r="I3670" s="98">
        <v>0</v>
      </c>
      <c r="J3670" s="98"/>
      <c r="K3670" s="93">
        <v>2.3444949981183623</v>
      </c>
      <c r="L3670" s="93">
        <f t="shared" si="481"/>
        <v>0</v>
      </c>
      <c r="M3670" s="95">
        <f t="shared" ca="1" si="482"/>
        <v>0</v>
      </c>
      <c r="N3670" s="95">
        <f>IF(P3670="Hedge Fund",IF(A3670=Summary!$AD$3,M3670-E3670,M3670),IF(A3670=Summary!$AD$3,L3670-D3670,L3670))</f>
        <v>0</v>
      </c>
      <c r="O3670" s="95"/>
      <c r="P3670" s="107" t="s">
        <v>155</v>
      </c>
      <c r="Q3670" s="107">
        <v>0</v>
      </c>
      <c r="R3670" s="107">
        <v>0</v>
      </c>
      <c r="S3670" s="107">
        <v>0</v>
      </c>
      <c r="T3670" s="107">
        <v>0</v>
      </c>
      <c r="U3670" s="107" t="s">
        <v>0</v>
      </c>
      <c r="V3670" s="107">
        <v>3.2606647500000001</v>
      </c>
      <c r="W3670" s="107" t="s">
        <v>15</v>
      </c>
      <c r="X3670" s="107">
        <v>3.2606647500000001</v>
      </c>
      <c r="Y3670" s="107"/>
      <c r="Z3670" s="107"/>
      <c r="AA3670" s="107"/>
      <c r="AB3670" s="107"/>
      <c r="AC3670" s="355"/>
      <c r="AD3670" s="355"/>
      <c r="AE3670" s="355"/>
      <c r="AF3670" s="94">
        <f t="shared" si="483"/>
        <v>42338</v>
      </c>
      <c r="AG3670" s="185">
        <f t="shared" si="479"/>
        <v>-9.8962675770468245E-2</v>
      </c>
      <c r="AH3670" s="339" t="str">
        <f>VLOOKUP(B3670,'MF PF'!A:B,2)</f>
        <v>FdMgt1</v>
      </c>
      <c r="AI3670" s="358">
        <f t="shared" si="484"/>
        <v>0</v>
      </c>
      <c r="AJ3670" s="94">
        <f t="shared" si="485"/>
        <v>42338</v>
      </c>
    </row>
    <row r="3671" spans="1:36" ht="12.75" customHeight="1">
      <c r="A3671" s="8">
        <v>42369</v>
      </c>
      <c r="B3671" s="94" t="s">
        <v>189</v>
      </c>
      <c r="C3671" s="358" t="s">
        <v>343</v>
      </c>
      <c r="D3671" s="98">
        <v>213186.48549999963</v>
      </c>
      <c r="E3671" s="9">
        <f t="shared" si="486"/>
        <v>90930.663392798102</v>
      </c>
      <c r="F3671" s="98">
        <v>0.28000000000000003</v>
      </c>
      <c r="G3671" s="98">
        <v>0</v>
      </c>
      <c r="H3671" s="98">
        <v>0</v>
      </c>
      <c r="I3671" s="98">
        <v>-17640</v>
      </c>
      <c r="J3671" s="98"/>
      <c r="K3671" s="93">
        <v>2.3444949981183623</v>
      </c>
      <c r="L3671" s="93">
        <f t="shared" si="481"/>
        <v>-17640</v>
      </c>
      <c r="M3671" s="95">
        <f t="shared" ca="1" si="482"/>
        <v>-7524.0083745785159</v>
      </c>
      <c r="N3671" s="95">
        <f>IF(P3671="Hedge Fund",IF(A3671=Summary!$AD$3,M3671-E3671,M3671),IF(A3671=Summary!$AD$3,L3671-D3671,L3671))</f>
        <v>-17640</v>
      </c>
      <c r="O3671" s="95"/>
      <c r="P3671" s="107" t="s">
        <v>155</v>
      </c>
      <c r="Q3671" s="107">
        <v>0</v>
      </c>
      <c r="R3671" s="107">
        <v>0</v>
      </c>
      <c r="S3671" s="107">
        <v>0</v>
      </c>
      <c r="T3671" s="107">
        <v>0</v>
      </c>
      <c r="U3671" s="107" t="s">
        <v>0</v>
      </c>
      <c r="V3671" s="107">
        <v>2.3473118900000003</v>
      </c>
      <c r="W3671" s="107" t="s">
        <v>15</v>
      </c>
      <c r="X3671" s="107">
        <v>2.3473118900000003</v>
      </c>
      <c r="Y3671" s="107"/>
      <c r="Z3671" s="107"/>
      <c r="AA3671" s="107"/>
      <c r="AB3671" s="107"/>
      <c r="AC3671" s="355"/>
      <c r="AD3671" s="355"/>
      <c r="AE3671" s="355"/>
      <c r="AF3671" s="94">
        <f t="shared" si="483"/>
        <v>42369</v>
      </c>
      <c r="AG3671" s="185">
        <f t="shared" si="479"/>
        <v>-0.78862712257844403</v>
      </c>
      <c r="AH3671" s="339" t="str">
        <f>VLOOKUP(B3671,'MF PF'!A:B,2)</f>
        <v>FdMgt1</v>
      </c>
      <c r="AI3671" s="358">
        <f t="shared" si="484"/>
        <v>0</v>
      </c>
      <c r="AJ3671" s="94">
        <f t="shared" si="485"/>
        <v>42369</v>
      </c>
    </row>
    <row r="3672" spans="1:36" ht="12.75" customHeight="1">
      <c r="A3672" s="8">
        <v>42398</v>
      </c>
      <c r="B3672" s="94" t="s">
        <v>189</v>
      </c>
      <c r="C3672" s="358" t="s">
        <v>343</v>
      </c>
      <c r="D3672" s="98">
        <v>82824.983499999231</v>
      </c>
      <c r="E3672" s="9">
        <f t="shared" si="486"/>
        <v>35327.430242535236</v>
      </c>
      <c r="F3672" s="98">
        <v>0.28000000000000003</v>
      </c>
      <c r="G3672" s="98">
        <v>0</v>
      </c>
      <c r="H3672" s="98">
        <v>0</v>
      </c>
      <c r="I3672" s="98">
        <v>0</v>
      </c>
      <c r="J3672" s="98"/>
      <c r="K3672" s="93">
        <v>2.3444949981183623</v>
      </c>
      <c r="L3672" s="93">
        <f t="shared" si="481"/>
        <v>0</v>
      </c>
      <c r="M3672" s="95">
        <f t="shared" ca="1" si="482"/>
        <v>0</v>
      </c>
      <c r="N3672" s="95">
        <f>IF(P3672="Hedge Fund",IF(A3672=Summary!$AD$3,M3672-E3672,M3672),IF(A3672=Summary!$AD$3,L3672-D3672,L3672))</f>
        <v>0</v>
      </c>
      <c r="O3672" s="95"/>
      <c r="P3672" s="107" t="s">
        <v>155</v>
      </c>
      <c r="Q3672" s="107">
        <v>0</v>
      </c>
      <c r="R3672" s="107">
        <v>0</v>
      </c>
      <c r="S3672" s="107">
        <v>0</v>
      </c>
      <c r="T3672" s="107">
        <v>0</v>
      </c>
      <c r="U3672" s="107" t="s">
        <v>0</v>
      </c>
      <c r="V3672" s="107">
        <v>2.2889029500000002</v>
      </c>
      <c r="W3672" s="107" t="s">
        <v>15</v>
      </c>
      <c r="X3672" s="107">
        <v>2.2889029500000002</v>
      </c>
      <c r="Y3672" s="107"/>
      <c r="Z3672" s="107"/>
      <c r="AA3672" s="107"/>
      <c r="AB3672" s="107"/>
      <c r="AC3672" s="355"/>
      <c r="AD3672" s="355"/>
      <c r="AE3672" s="355"/>
      <c r="AF3672" s="94">
        <f t="shared" si="483"/>
        <v>42398</v>
      </c>
      <c r="AG3672" s="185">
        <f t="shared" si="479"/>
        <v>-0.61149045960514514</v>
      </c>
      <c r="AH3672" s="339" t="str">
        <f>VLOOKUP(B3672,'MF PF'!A:B,2)</f>
        <v>FdMgt1</v>
      </c>
      <c r="AI3672" s="358">
        <f t="shared" si="484"/>
        <v>0</v>
      </c>
      <c r="AJ3672" s="94">
        <f t="shared" si="485"/>
        <v>42400</v>
      </c>
    </row>
    <row r="3673" spans="1:36" ht="12.75" customHeight="1">
      <c r="A3673" s="8">
        <v>42429</v>
      </c>
      <c r="B3673" s="94" t="s">
        <v>189</v>
      </c>
      <c r="C3673" s="358" t="s">
        <v>343</v>
      </c>
      <c r="D3673" s="98">
        <v>142656.46060000049</v>
      </c>
      <c r="E3673" s="9">
        <f t="shared" si="486"/>
        <v>60847.41520647017</v>
      </c>
      <c r="F3673" s="98">
        <v>0.28000000000000003</v>
      </c>
      <c r="G3673" s="98">
        <v>0</v>
      </c>
      <c r="H3673" s="98">
        <v>0</v>
      </c>
      <c r="I3673" s="98">
        <v>0</v>
      </c>
      <c r="J3673" s="98"/>
      <c r="K3673" s="93">
        <v>2.3444949981183623</v>
      </c>
      <c r="L3673" s="93">
        <f t="shared" si="481"/>
        <v>0</v>
      </c>
      <c r="M3673" s="95">
        <f t="shared" ca="1" si="482"/>
        <v>0</v>
      </c>
      <c r="N3673" s="95">
        <f>IF(P3673="Hedge Fund",IF(A3673=Summary!$AD$3,M3673-E3673,M3673),IF(A3673=Summary!$AD$3,L3673-D3673,L3673))</f>
        <v>0</v>
      </c>
      <c r="O3673" s="95"/>
      <c r="P3673" s="107" t="s">
        <v>155</v>
      </c>
      <c r="Q3673" s="107">
        <v>0</v>
      </c>
      <c r="R3673" s="107">
        <v>0</v>
      </c>
      <c r="S3673" s="107">
        <v>0</v>
      </c>
      <c r="T3673" s="107">
        <v>0</v>
      </c>
      <c r="U3673" s="107" t="s">
        <v>0</v>
      </c>
      <c r="V3673" s="107">
        <v>2.3116972499999999</v>
      </c>
      <c r="W3673" s="107" t="s">
        <v>15</v>
      </c>
      <c r="X3673" s="107">
        <v>2.3116972499999999</v>
      </c>
      <c r="Y3673" s="107"/>
      <c r="Z3673" s="107"/>
      <c r="AA3673" s="107"/>
      <c r="AB3673" s="107"/>
      <c r="AC3673" s="355"/>
      <c r="AD3673" s="355"/>
      <c r="AE3673" s="355"/>
      <c r="AF3673" s="94">
        <f t="shared" si="483"/>
        <v>42429</v>
      </c>
      <c r="AG3673" s="185">
        <f t="shared" si="479"/>
        <v>0.7223844131523649</v>
      </c>
      <c r="AH3673" s="339" t="str">
        <f>VLOOKUP(B3673,'MF PF'!A:B,2)</f>
        <v>FdMgt1</v>
      </c>
      <c r="AI3673" s="358">
        <f t="shared" si="484"/>
        <v>0</v>
      </c>
      <c r="AJ3673" s="94">
        <f t="shared" si="485"/>
        <v>42429</v>
      </c>
    </row>
    <row r="3674" spans="1:36" ht="12.75" customHeight="1">
      <c r="A3674" s="8">
        <v>42460</v>
      </c>
      <c r="B3674" s="94" t="s">
        <v>189</v>
      </c>
      <c r="C3674" s="358" t="s">
        <v>343</v>
      </c>
      <c r="D3674" s="98">
        <v>86203.86000000035</v>
      </c>
      <c r="E3674" s="9">
        <f t="shared" si="486"/>
        <v>36768.626108900033</v>
      </c>
      <c r="F3674" s="98">
        <v>0.28000000000000003</v>
      </c>
      <c r="G3674" s="98">
        <v>0</v>
      </c>
      <c r="H3674" s="98">
        <v>0</v>
      </c>
      <c r="I3674" s="98">
        <v>0</v>
      </c>
      <c r="J3674" s="98"/>
      <c r="K3674" s="93">
        <v>2.3444949981183623</v>
      </c>
      <c r="L3674" s="93">
        <f t="shared" si="481"/>
        <v>0</v>
      </c>
      <c r="M3674" s="95">
        <f t="shared" ca="1" si="482"/>
        <v>0</v>
      </c>
      <c r="N3674" s="95">
        <f>IF(P3674="Hedge Fund",IF(A3674=Summary!$AD$3,M3674-E3674,M3674),IF(A3674=Summary!$AD$3,L3674-D3674,L3674))</f>
        <v>0</v>
      </c>
      <c r="O3674" s="95"/>
      <c r="P3674" s="107" t="s">
        <v>155</v>
      </c>
      <c r="Q3674" s="107">
        <v>0</v>
      </c>
      <c r="R3674" s="107">
        <v>0</v>
      </c>
      <c r="S3674" s="107">
        <v>0</v>
      </c>
      <c r="T3674" s="107">
        <v>0</v>
      </c>
      <c r="U3674" s="107" t="s">
        <v>0</v>
      </c>
      <c r="V3674" s="107">
        <v>2.3116972499999999</v>
      </c>
      <c r="W3674" s="107" t="s">
        <v>15</v>
      </c>
      <c r="X3674" s="107">
        <v>2.3116972499999999</v>
      </c>
      <c r="Y3674" s="107"/>
      <c r="Z3674" s="107"/>
      <c r="AA3674" s="107"/>
      <c r="AB3674" s="107"/>
      <c r="AC3674" s="355"/>
      <c r="AD3674" s="355"/>
      <c r="AE3674" s="355"/>
      <c r="AF3674" s="94">
        <f t="shared" si="483"/>
        <v>42460</v>
      </c>
      <c r="AG3674" s="185">
        <f t="shared" si="479"/>
        <v>-0.39572410785018408</v>
      </c>
      <c r="AH3674" s="339" t="str">
        <f>VLOOKUP(B3674,'MF PF'!A:B,2)</f>
        <v>FdMgt1</v>
      </c>
      <c r="AI3674" s="358">
        <f t="shared" si="484"/>
        <v>0</v>
      </c>
      <c r="AJ3674" s="94">
        <f t="shared" si="485"/>
        <v>42460</v>
      </c>
    </row>
    <row r="3675" spans="1:36" ht="12.75" customHeight="1">
      <c r="A3675" s="8">
        <v>42489</v>
      </c>
      <c r="B3675" s="94" t="s">
        <v>189</v>
      </c>
      <c r="C3675" s="358" t="s">
        <v>343</v>
      </c>
      <c r="D3675" s="98">
        <v>343408.91970000078</v>
      </c>
      <c r="E3675" s="9">
        <f t="shared" si="486"/>
        <v>146474.57980316141</v>
      </c>
      <c r="F3675" s="98">
        <v>0.28000000000000003</v>
      </c>
      <c r="G3675" s="98">
        <v>0</v>
      </c>
      <c r="H3675" s="98">
        <v>-5.8207660913467407E-11</v>
      </c>
      <c r="I3675" s="98">
        <v>0</v>
      </c>
      <c r="J3675" s="98"/>
      <c r="K3675" s="93">
        <v>2.3444949981183623</v>
      </c>
      <c r="L3675" s="93">
        <f t="shared" si="481"/>
        <v>-5.8207660913467407E-11</v>
      </c>
      <c r="M3675" s="95">
        <f t="shared" ca="1" si="482"/>
        <v>0</v>
      </c>
      <c r="N3675" s="95">
        <f>IF(P3675="Hedge Fund",IF(A3675=Summary!$AD$3,M3675-E3675,M3675),IF(A3675=Summary!$AD$3,L3675-D3675,L3675))</f>
        <v>-5.8207660913467407E-11</v>
      </c>
      <c r="O3675" s="95"/>
      <c r="P3675" s="107" t="s">
        <v>155</v>
      </c>
      <c r="Q3675" s="107">
        <v>0</v>
      </c>
      <c r="R3675" s="107">
        <v>0</v>
      </c>
      <c r="S3675" s="107">
        <v>0</v>
      </c>
      <c r="T3675" s="107">
        <v>0</v>
      </c>
      <c r="U3675" s="107" t="s">
        <v>0</v>
      </c>
      <c r="V3675" s="107">
        <v>2.4206210699999997</v>
      </c>
      <c r="W3675" s="107" t="s">
        <v>15</v>
      </c>
      <c r="X3675" s="107">
        <v>2.4206210699999997</v>
      </c>
      <c r="Y3675" s="107"/>
      <c r="Z3675" s="107"/>
      <c r="AA3675" s="107"/>
      <c r="AB3675" s="107"/>
      <c r="AC3675" s="355"/>
      <c r="AD3675" s="355"/>
      <c r="AE3675" s="355"/>
      <c r="AF3675" s="94">
        <f t="shared" si="483"/>
        <v>42489</v>
      </c>
      <c r="AG3675" s="185">
        <f t="shared" si="479"/>
        <v>2.9836837897978055</v>
      </c>
      <c r="AH3675" s="339" t="str">
        <f>VLOOKUP(B3675,'MF PF'!A:B,2)</f>
        <v>FdMgt1</v>
      </c>
      <c r="AI3675" s="358">
        <f t="shared" si="484"/>
        <v>0</v>
      </c>
      <c r="AJ3675" s="94">
        <f t="shared" si="485"/>
        <v>42490</v>
      </c>
    </row>
    <row r="3676" spans="1:36" ht="12.75" customHeight="1">
      <c r="A3676" s="8">
        <v>42521</v>
      </c>
      <c r="B3676" s="94" t="s">
        <v>189</v>
      </c>
      <c r="C3676" s="358" t="s">
        <v>343</v>
      </c>
      <c r="D3676" s="98">
        <v>295752.50579999946</v>
      </c>
      <c r="E3676" s="9">
        <f t="shared" si="486"/>
        <v>126147.63778014609</v>
      </c>
      <c r="F3676" s="98">
        <v>0.28000000000000003</v>
      </c>
      <c r="G3676" s="98">
        <v>0</v>
      </c>
      <c r="H3676" s="98">
        <v>0</v>
      </c>
      <c r="I3676" s="98">
        <v>0</v>
      </c>
      <c r="J3676" s="98"/>
      <c r="K3676" s="93">
        <v>2.3444949981183623</v>
      </c>
      <c r="L3676" s="93">
        <f t="shared" si="481"/>
        <v>0</v>
      </c>
      <c r="M3676" s="95">
        <f t="shared" ca="1" si="482"/>
        <v>0</v>
      </c>
      <c r="N3676" s="95">
        <f>IF(P3676="Hedge Fund",IF(A3676=Summary!$AD$3,M3676-E3676,M3676),IF(A3676=Summary!$AD$3,L3676-D3676,L3676))</f>
        <v>0</v>
      </c>
      <c r="O3676" s="95"/>
      <c r="P3676" s="107" t="s">
        <v>155</v>
      </c>
      <c r="Q3676" s="107">
        <v>0</v>
      </c>
      <c r="R3676" s="107">
        <v>0</v>
      </c>
      <c r="S3676" s="107">
        <v>0</v>
      </c>
      <c r="T3676" s="107">
        <v>0</v>
      </c>
      <c r="U3676" s="107" t="s">
        <v>0</v>
      </c>
      <c r="V3676" s="107">
        <v>2.4053958900000003</v>
      </c>
      <c r="W3676" s="107" t="s">
        <v>15</v>
      </c>
      <c r="X3676" s="107">
        <v>2.4053958900000003</v>
      </c>
      <c r="Y3676" s="107"/>
      <c r="Z3676" s="107"/>
      <c r="AA3676" s="107"/>
      <c r="AB3676" s="107"/>
      <c r="AC3676" s="355"/>
      <c r="AD3676" s="355"/>
      <c r="AE3676" s="355"/>
      <c r="AF3676" s="94">
        <f t="shared" si="483"/>
        <v>42521</v>
      </c>
      <c r="AG3676" s="185">
        <f t="shared" si="479"/>
        <v>-0.13877453719499655</v>
      </c>
      <c r="AH3676" s="339" t="str">
        <f>VLOOKUP(B3676,'MF PF'!A:B,2)</f>
        <v>FdMgt1</v>
      </c>
      <c r="AI3676" s="358">
        <f t="shared" si="484"/>
        <v>0</v>
      </c>
      <c r="AJ3676" s="94">
        <f t="shared" si="485"/>
        <v>42521</v>
      </c>
    </row>
    <row r="3677" spans="1:36" ht="12.75" customHeight="1">
      <c r="A3677" s="8">
        <v>42551</v>
      </c>
      <c r="B3677" s="94" t="s">
        <v>189</v>
      </c>
      <c r="C3677" s="358" t="s">
        <v>343</v>
      </c>
      <c r="D3677" s="98">
        <v>303915.9249000001</v>
      </c>
      <c r="E3677" s="95">
        <f t="shared" si="486"/>
        <v>129629.58980245897</v>
      </c>
      <c r="F3677" s="98">
        <v>0.28000000000000003</v>
      </c>
      <c r="G3677" s="98">
        <v>0</v>
      </c>
      <c r="H3677" s="98">
        <v>0</v>
      </c>
      <c r="I3677" s="98">
        <v>0</v>
      </c>
      <c r="J3677" s="98"/>
      <c r="K3677" s="93">
        <v>2.3444949981183623</v>
      </c>
      <c r="L3677" s="93">
        <f t="shared" si="481"/>
        <v>0</v>
      </c>
      <c r="M3677" s="95">
        <f t="shared" ca="1" si="482"/>
        <v>0</v>
      </c>
      <c r="N3677" s="95">
        <f>IF(P3677="Hedge Fund",IF(A3677=Summary!$AD$3,M3677-E3677,M3677),IF(A3677=Summary!$AD$3,L3677-D3677,L3677))</f>
        <v>0</v>
      </c>
      <c r="O3677" s="95"/>
      <c r="P3677" s="107" t="s">
        <v>155</v>
      </c>
      <c r="Q3677" s="107">
        <v>0</v>
      </c>
      <c r="R3677" s="107">
        <v>0</v>
      </c>
      <c r="S3677" s="107">
        <v>0</v>
      </c>
      <c r="T3677" s="107">
        <v>0</v>
      </c>
      <c r="U3677" s="107" t="s">
        <v>0</v>
      </c>
      <c r="V3677" s="107">
        <v>2.4359475499999999</v>
      </c>
      <c r="W3677" s="107" t="s">
        <v>15</v>
      </c>
      <c r="X3677" s="107">
        <v>2.4359475499999999</v>
      </c>
      <c r="Y3677" s="107"/>
      <c r="Z3677" s="107"/>
      <c r="AA3677" s="107"/>
      <c r="AB3677" s="107"/>
      <c r="AC3677" s="355"/>
      <c r="AD3677" s="355"/>
      <c r="AE3677" s="355"/>
      <c r="AF3677" s="94">
        <f t="shared" si="483"/>
        <v>42551</v>
      </c>
      <c r="AG3677" s="185">
        <f t="shared" si="479"/>
        <v>2.7602197580436139E-2</v>
      </c>
      <c r="AH3677" s="339" t="str">
        <f>VLOOKUP(B3677,'MF PF'!A:B,2)</f>
        <v>FdMgt1</v>
      </c>
      <c r="AI3677" s="358">
        <f t="shared" si="484"/>
        <v>0</v>
      </c>
      <c r="AJ3677" s="94">
        <f t="shared" si="485"/>
        <v>42551</v>
      </c>
    </row>
    <row r="3678" spans="1:36" ht="12.75" customHeight="1">
      <c r="A3678" s="8">
        <v>42580</v>
      </c>
      <c r="B3678" s="94" t="s">
        <v>189</v>
      </c>
      <c r="C3678" s="358" t="s">
        <v>343</v>
      </c>
      <c r="D3678" s="98">
        <v>396955.81309999997</v>
      </c>
      <c r="E3678" s="9">
        <f t="shared" si="486"/>
        <v>169313.99445022811</v>
      </c>
      <c r="F3678" s="98">
        <v>0.28000000000000003</v>
      </c>
      <c r="G3678" s="98">
        <v>0</v>
      </c>
      <c r="H3678" s="98">
        <v>0</v>
      </c>
      <c r="I3678" s="98">
        <v>0</v>
      </c>
      <c r="J3678" s="98"/>
      <c r="K3678" s="93">
        <v>2.3444949981183623</v>
      </c>
      <c r="L3678" s="93">
        <f t="shared" si="481"/>
        <v>0</v>
      </c>
      <c r="M3678" s="95">
        <f t="shared" ca="1" si="482"/>
        <v>0</v>
      </c>
      <c r="N3678" s="95">
        <f>IF(P3678="Hedge Fund",IF(A3678=Summary!$AD$3,M3678-E3678,M3678),IF(A3678=Summary!$AD$3,L3678-D3678,L3678))</f>
        <v>0</v>
      </c>
      <c r="O3678" s="95"/>
      <c r="P3678" s="107" t="s">
        <v>155</v>
      </c>
      <c r="Q3678" s="107">
        <v>0</v>
      </c>
      <c r="R3678" s="107">
        <v>0</v>
      </c>
      <c r="S3678" s="107">
        <v>0</v>
      </c>
      <c r="T3678" s="107">
        <v>0</v>
      </c>
      <c r="U3678" s="107" t="s">
        <v>0</v>
      </c>
      <c r="V3678" s="107">
        <v>2.4702183500000001</v>
      </c>
      <c r="W3678" s="107" t="s">
        <v>15</v>
      </c>
      <c r="X3678" s="107">
        <v>2.4702183500000001</v>
      </c>
      <c r="Y3678" s="107"/>
      <c r="Z3678" s="107"/>
      <c r="AA3678" s="107"/>
      <c r="AB3678" s="107"/>
      <c r="AC3678" s="355"/>
      <c r="AD3678" s="355"/>
      <c r="AE3678" s="355"/>
      <c r="AF3678" s="94">
        <f t="shared" si="483"/>
        <v>42580</v>
      </c>
      <c r="AG3678" s="185">
        <f t="shared" si="479"/>
        <v>0.30613692991117047</v>
      </c>
      <c r="AH3678" s="339" t="str">
        <f>VLOOKUP(B3678,'MF PF'!A:B,2)</f>
        <v>FdMgt1</v>
      </c>
      <c r="AI3678" s="358">
        <f t="shared" si="484"/>
        <v>0</v>
      </c>
      <c r="AJ3678" s="94">
        <f t="shared" si="485"/>
        <v>42582</v>
      </c>
    </row>
    <row r="3679" spans="1:36" ht="12.75" customHeight="1">
      <c r="A3679" s="8">
        <v>42613</v>
      </c>
      <c r="B3679" s="94" t="s">
        <v>189</v>
      </c>
      <c r="C3679" s="358" t="s">
        <v>343</v>
      </c>
      <c r="D3679" s="98">
        <v>412648.15890000062</v>
      </c>
      <c r="E3679" s="9">
        <f t="shared" si="486"/>
        <v>176007.267761792</v>
      </c>
      <c r="F3679" s="98">
        <v>0.28000000000000003</v>
      </c>
      <c r="G3679" s="98">
        <v>0</v>
      </c>
      <c r="H3679" s="98">
        <v>0</v>
      </c>
      <c r="I3679" s="98">
        <v>0</v>
      </c>
      <c r="J3679" s="98"/>
      <c r="K3679" s="93">
        <v>2.3444949981183623</v>
      </c>
      <c r="L3679" s="93">
        <f t="shared" si="481"/>
        <v>0</v>
      </c>
      <c r="M3679" s="95">
        <f t="shared" ca="1" si="482"/>
        <v>0</v>
      </c>
      <c r="N3679" s="95">
        <f>IF(P3679="Hedge Fund",IF(A3679=Summary!$AD$3,M3679-E3679,M3679),IF(A3679=Summary!$AD$3,L3679-D3679,L3679))</f>
        <v>0</v>
      </c>
      <c r="O3679" s="95"/>
      <c r="P3679" s="107" t="s">
        <v>155</v>
      </c>
      <c r="Q3679" s="107">
        <v>0</v>
      </c>
      <c r="R3679" s="107">
        <v>0</v>
      </c>
      <c r="S3679" s="107">
        <v>0</v>
      </c>
      <c r="T3679" s="107">
        <v>0</v>
      </c>
      <c r="U3679" s="107" t="s">
        <v>0</v>
      </c>
      <c r="V3679" s="107">
        <v>2.4862185999999999</v>
      </c>
      <c r="W3679" s="107" t="s">
        <v>15</v>
      </c>
      <c r="X3679" s="107">
        <v>2.4862185999999999</v>
      </c>
      <c r="Y3679" s="107"/>
      <c r="Z3679" s="107"/>
      <c r="AA3679" s="107"/>
      <c r="AB3679" s="107"/>
      <c r="AC3679" s="355"/>
      <c r="AD3679" s="355"/>
      <c r="AE3679" s="355"/>
      <c r="AF3679" s="94">
        <f t="shared" si="483"/>
        <v>42613</v>
      </c>
      <c r="AG3679" s="185">
        <f t="shared" si="479"/>
        <v>3.9531719355492712E-2</v>
      </c>
      <c r="AH3679" s="339" t="str">
        <f>VLOOKUP(B3679,'MF PF'!A:B,2)</f>
        <v>FdMgt1</v>
      </c>
      <c r="AI3679" s="358">
        <f t="shared" si="484"/>
        <v>0</v>
      </c>
      <c r="AJ3679" s="94">
        <f t="shared" si="485"/>
        <v>42613</v>
      </c>
    </row>
    <row r="3680" spans="1:36" ht="12.75" customHeight="1">
      <c r="A3680" s="8">
        <v>42643</v>
      </c>
      <c r="B3680" s="94" t="s">
        <v>189</v>
      </c>
      <c r="C3680" s="358" t="s">
        <v>343</v>
      </c>
      <c r="D3680" s="98">
        <v>397240.21729999938</v>
      </c>
      <c r="E3680" s="95">
        <f t="shared" si="486"/>
        <v>169435.30168279959</v>
      </c>
      <c r="F3680" s="98">
        <v>0.28000000000000003</v>
      </c>
      <c r="G3680" s="98">
        <v>0</v>
      </c>
      <c r="H3680" s="98">
        <v>0</v>
      </c>
      <c r="I3680" s="98">
        <v>0</v>
      </c>
      <c r="J3680" s="98"/>
      <c r="K3680" s="93">
        <v>2.3444949981183623</v>
      </c>
      <c r="L3680" s="93">
        <f t="shared" si="481"/>
        <v>0</v>
      </c>
      <c r="M3680" s="95">
        <f t="shared" ca="1" si="482"/>
        <v>0</v>
      </c>
      <c r="N3680" s="95">
        <f>IF(P3680="Hedge Fund",IF(A3680=Summary!$AD$3,M3680-E3680,M3680),IF(A3680=Summary!$AD$3,L3680-D3680,L3680))</f>
        <v>0</v>
      </c>
      <c r="O3680" s="95"/>
      <c r="P3680" s="107" t="s">
        <v>155</v>
      </c>
      <c r="Q3680" s="107">
        <v>0</v>
      </c>
      <c r="R3680" s="107">
        <v>0</v>
      </c>
      <c r="S3680" s="107">
        <v>0</v>
      </c>
      <c r="T3680" s="107">
        <v>0</v>
      </c>
      <c r="U3680" s="107" t="s">
        <v>0</v>
      </c>
      <c r="V3680" s="107">
        <v>2.4564218700000002</v>
      </c>
      <c r="W3680" s="107" t="s">
        <v>15</v>
      </c>
      <c r="X3680" s="107">
        <v>2.4564218700000002</v>
      </c>
      <c r="Y3680" s="107"/>
      <c r="Z3680" s="107"/>
      <c r="AA3680" s="107"/>
      <c r="AB3680" s="107"/>
      <c r="AC3680" s="355"/>
      <c r="AD3680" s="355"/>
      <c r="AE3680" s="355"/>
      <c r="AF3680" s="94">
        <f t="shared" si="483"/>
        <v>42643</v>
      </c>
      <c r="AG3680" s="185">
        <f t="shared" si="479"/>
        <v>-3.7339174470266134E-2</v>
      </c>
      <c r="AH3680" s="339" t="str">
        <f>VLOOKUP(B3680,'MF PF'!A:B,2)</f>
        <v>FdMgt1</v>
      </c>
      <c r="AI3680" s="358">
        <f t="shared" si="484"/>
        <v>0</v>
      </c>
      <c r="AJ3680" s="94">
        <f t="shared" si="485"/>
        <v>42643</v>
      </c>
    </row>
    <row r="3681" spans="1:36" ht="12.75" customHeight="1">
      <c r="A3681" s="8">
        <v>42674</v>
      </c>
      <c r="B3681" s="94" t="s">
        <v>189</v>
      </c>
      <c r="C3681" s="358" t="s">
        <v>343</v>
      </c>
      <c r="D3681" s="98">
        <v>482780.89309999929</v>
      </c>
      <c r="E3681" s="9">
        <f t="shared" si="486"/>
        <v>205921.05911399605</v>
      </c>
      <c r="F3681" s="98">
        <v>0.28000000000000003</v>
      </c>
      <c r="G3681" s="98">
        <v>0</v>
      </c>
      <c r="H3681" s="98">
        <v>-5.8207660913467407E-11</v>
      </c>
      <c r="I3681" s="98">
        <v>0</v>
      </c>
      <c r="J3681" s="98"/>
      <c r="K3681" s="93">
        <v>2.3444949981183623</v>
      </c>
      <c r="L3681" s="93">
        <f t="shared" si="481"/>
        <v>-5.8207660913467407E-11</v>
      </c>
      <c r="M3681" s="95">
        <f t="shared" ca="1" si="482"/>
        <v>0</v>
      </c>
      <c r="N3681" s="95">
        <f>IF(P3681="Hedge Fund",IF(A3681=Summary!$AD$3,M3681-E3681,M3681),IF(A3681=Summary!$AD$3,L3681-D3681,L3681))</f>
        <v>-5.8207660913467407E-11</v>
      </c>
      <c r="O3681" s="95"/>
      <c r="P3681" s="107" t="s">
        <v>155</v>
      </c>
      <c r="Q3681" s="107">
        <v>0</v>
      </c>
      <c r="R3681" s="107">
        <v>0</v>
      </c>
      <c r="S3681" s="107">
        <v>0</v>
      </c>
      <c r="T3681" s="107">
        <v>0</v>
      </c>
      <c r="U3681" s="107" t="s">
        <v>0</v>
      </c>
      <c r="V3681" s="107">
        <v>2.4564218700000002</v>
      </c>
      <c r="W3681" s="107" t="s">
        <v>15</v>
      </c>
      <c r="X3681" s="107">
        <v>2.4564218700000002</v>
      </c>
      <c r="Y3681" s="107"/>
      <c r="Z3681" s="107"/>
      <c r="AA3681" s="107"/>
      <c r="AB3681" s="107"/>
      <c r="AC3681" s="355"/>
      <c r="AD3681" s="355"/>
      <c r="AE3681" s="355"/>
      <c r="AF3681" s="94">
        <f t="shared" si="483"/>
        <v>42674</v>
      </c>
      <c r="AG3681" s="185">
        <f t="shared" si="479"/>
        <v>0.21533740058197304</v>
      </c>
      <c r="AH3681" s="339" t="str">
        <f>VLOOKUP(B3681,'MF PF'!A:B,2)</f>
        <v>FdMgt1</v>
      </c>
      <c r="AI3681" s="358">
        <f t="shared" si="484"/>
        <v>0</v>
      </c>
      <c r="AJ3681" s="94">
        <f t="shared" si="485"/>
        <v>42674</v>
      </c>
    </row>
    <row r="3682" spans="1:36" ht="12.75" customHeight="1">
      <c r="A3682" s="8">
        <v>42704</v>
      </c>
      <c r="B3682" s="94" t="s">
        <v>189</v>
      </c>
      <c r="C3682" s="358" t="s">
        <v>343</v>
      </c>
      <c r="D3682" s="98">
        <v>441943.6001000001</v>
      </c>
      <c r="E3682" s="9">
        <f t="shared" si="486"/>
        <v>188502.68414080382</v>
      </c>
      <c r="F3682" s="98">
        <v>0.28000000000000003</v>
      </c>
      <c r="G3682" s="98">
        <v>0</v>
      </c>
      <c r="H3682" s="98">
        <v>0</v>
      </c>
      <c r="I3682" s="98">
        <v>-10470.879999999999</v>
      </c>
      <c r="J3682" s="98"/>
      <c r="K3682" s="93">
        <v>2.3444949981183623</v>
      </c>
      <c r="L3682" s="93">
        <f t="shared" si="481"/>
        <v>-10470.879999999999</v>
      </c>
      <c r="M3682" s="95">
        <f t="shared" ca="1" si="482"/>
        <v>-4466.1558281863199</v>
      </c>
      <c r="N3682" s="95">
        <f>IF(P3682="Hedge Fund",IF(A3682=Summary!$AD$3,M3682-E3682,M3682),IF(A3682=Summary!$AD$3,L3682-D3682,L3682))</f>
        <v>-10470.879999999999</v>
      </c>
      <c r="O3682" s="95"/>
      <c r="P3682" s="107" t="s">
        <v>155</v>
      </c>
      <c r="Q3682" s="107">
        <v>0</v>
      </c>
      <c r="R3682" s="107">
        <v>0</v>
      </c>
      <c r="S3682" s="107">
        <v>0</v>
      </c>
      <c r="T3682" s="107">
        <v>0</v>
      </c>
      <c r="U3682" s="107" t="s">
        <v>0</v>
      </c>
      <c r="V3682" s="107">
        <v>2.0625001300000001</v>
      </c>
      <c r="W3682" s="107" t="s">
        <v>15</v>
      </c>
      <c r="X3682" s="107">
        <v>2.0625001300000001</v>
      </c>
      <c r="Y3682" s="107"/>
      <c r="Z3682" s="107"/>
      <c r="AA3682" s="107"/>
      <c r="AB3682" s="107"/>
      <c r="AC3682" s="355"/>
      <c r="AD3682" s="355"/>
      <c r="AE3682" s="355"/>
      <c r="AF3682" s="94">
        <f t="shared" si="483"/>
        <v>42704</v>
      </c>
      <c r="AG3682" s="185">
        <f t="shared" ref="AG3682:AG3745" si="487">IF(C3682&lt;&gt;C3681,D3682/G3682-1,(D3682-G3682-I3682-H3682)/(D3681)-1)</f>
        <v>-6.2898953612294917E-2</v>
      </c>
      <c r="AH3682" s="339" t="str">
        <f>VLOOKUP(B3682,'MF PF'!A:B,2)</f>
        <v>FdMgt1</v>
      </c>
      <c r="AI3682" s="358">
        <f t="shared" si="484"/>
        <v>0</v>
      </c>
      <c r="AJ3682" s="94">
        <f t="shared" si="485"/>
        <v>42704</v>
      </c>
    </row>
    <row r="3683" spans="1:36" ht="12.75" customHeight="1">
      <c r="A3683" s="8">
        <v>42734</v>
      </c>
      <c r="B3683" s="94" t="s">
        <v>189</v>
      </c>
      <c r="C3683" s="358" t="s">
        <v>343</v>
      </c>
      <c r="D3683" s="98">
        <v>202956.4299000004</v>
      </c>
      <c r="E3683" s="9">
        <f t="shared" si="486"/>
        <v>86567.226657718857</v>
      </c>
      <c r="F3683" s="98">
        <v>0.28000000000000003</v>
      </c>
      <c r="G3683" s="98">
        <v>0</v>
      </c>
      <c r="H3683" s="98">
        <v>0</v>
      </c>
      <c r="I3683" s="98">
        <v>-2128</v>
      </c>
      <c r="J3683" s="98"/>
      <c r="K3683" s="93">
        <v>2.3444949981183623</v>
      </c>
      <c r="L3683" s="93">
        <f t="shared" si="481"/>
        <v>-2128</v>
      </c>
      <c r="M3683" s="95">
        <f t="shared" ca="1" si="482"/>
        <v>-907.65815312375753</v>
      </c>
      <c r="N3683" s="95">
        <f>IF(P3683="Hedge Fund",IF(A3683=Summary!$AD$3,M3683-E3683,M3683),IF(A3683=Summary!$AD$3,L3683-D3683,L3683))</f>
        <v>-2128</v>
      </c>
      <c r="O3683" s="95"/>
      <c r="P3683" s="107" t="s">
        <v>155</v>
      </c>
      <c r="Q3683" s="107">
        <v>0</v>
      </c>
      <c r="R3683" s="107">
        <v>0</v>
      </c>
      <c r="S3683" s="107">
        <v>0</v>
      </c>
      <c r="T3683" s="107">
        <v>0</v>
      </c>
      <c r="U3683" s="107" t="s">
        <v>0</v>
      </c>
      <c r="V3683" s="107">
        <v>1.9050024699999999</v>
      </c>
      <c r="W3683" s="107" t="s">
        <v>15</v>
      </c>
      <c r="X3683" s="107">
        <v>1.9050024699999999</v>
      </c>
      <c r="Y3683" s="107"/>
      <c r="Z3683" s="107"/>
      <c r="AA3683" s="107"/>
      <c r="AB3683" s="107"/>
      <c r="AC3683" s="355"/>
      <c r="AD3683" s="355"/>
      <c r="AE3683" s="355"/>
      <c r="AF3683" s="94">
        <f t="shared" si="483"/>
        <v>42734</v>
      </c>
      <c r="AG3683" s="185">
        <f t="shared" si="487"/>
        <v>-0.53594886348937909</v>
      </c>
      <c r="AH3683" s="339" t="str">
        <f>VLOOKUP(B3683,'MF PF'!A:B,2)</f>
        <v>FdMgt1</v>
      </c>
      <c r="AI3683" s="358">
        <f t="shared" si="484"/>
        <v>0</v>
      </c>
      <c r="AJ3683" s="94">
        <f t="shared" si="485"/>
        <v>42735</v>
      </c>
    </row>
    <row r="3684" spans="1:36" ht="12.75" customHeight="1">
      <c r="A3684" s="8">
        <v>42762</v>
      </c>
      <c r="B3684" s="94" t="s">
        <v>189</v>
      </c>
      <c r="C3684" s="358" t="s">
        <v>343</v>
      </c>
      <c r="D3684" s="102">
        <v>202956.4299000004</v>
      </c>
      <c r="E3684" s="9">
        <f t="shared" si="486"/>
        <v>86567.226657718857</v>
      </c>
      <c r="F3684" s="98">
        <v>0.28000000000000003</v>
      </c>
      <c r="G3684" s="98">
        <v>0</v>
      </c>
      <c r="H3684" s="98">
        <v>0</v>
      </c>
      <c r="I3684" s="98">
        <v>0</v>
      </c>
      <c r="J3684" s="98"/>
      <c r="K3684" s="93">
        <v>2.3444949981183623</v>
      </c>
      <c r="L3684" s="93">
        <f t="shared" si="481"/>
        <v>0</v>
      </c>
      <c r="M3684" s="95">
        <f t="shared" ca="1" si="482"/>
        <v>0</v>
      </c>
      <c r="N3684" s="95">
        <f>IF(P3684="Hedge Fund",IF(A3684=Summary!$AD$3,M3684-E3684,M3684),IF(A3684=Summary!$AD$3,L3684-D3684,L3684))</f>
        <v>0</v>
      </c>
      <c r="O3684" s="95"/>
      <c r="P3684" s="107" t="s">
        <v>155</v>
      </c>
      <c r="Q3684" s="107">
        <v>0</v>
      </c>
      <c r="R3684" s="107">
        <v>0</v>
      </c>
      <c r="S3684" s="107">
        <v>0</v>
      </c>
      <c r="T3684" s="107">
        <v>0</v>
      </c>
      <c r="U3684" s="107" t="s">
        <v>0</v>
      </c>
      <c r="V3684" s="107">
        <v>1.8912115900000002</v>
      </c>
      <c r="W3684" s="107" t="s">
        <v>15</v>
      </c>
      <c r="X3684" s="107">
        <v>1.8912115900000002</v>
      </c>
      <c r="Y3684" s="107"/>
      <c r="Z3684" s="107"/>
      <c r="AA3684" s="107"/>
      <c r="AB3684" s="107"/>
      <c r="AC3684" s="355"/>
      <c r="AD3684" s="355"/>
      <c r="AE3684" s="355"/>
      <c r="AF3684" s="94">
        <f t="shared" si="483"/>
        <v>42762</v>
      </c>
      <c r="AG3684" s="185">
        <f t="shared" si="487"/>
        <v>0</v>
      </c>
      <c r="AH3684" s="339" t="str">
        <f>VLOOKUP(B3684,'MF PF'!A:B,2)</f>
        <v>FdMgt1</v>
      </c>
      <c r="AI3684" s="358">
        <f t="shared" si="484"/>
        <v>0</v>
      </c>
      <c r="AJ3684" s="94">
        <f t="shared" si="485"/>
        <v>42766</v>
      </c>
    </row>
    <row r="3685" spans="1:36" ht="12.75" customHeight="1">
      <c r="A3685" s="8">
        <v>42794</v>
      </c>
      <c r="B3685" s="94" t="s">
        <v>189</v>
      </c>
      <c r="C3685" s="358" t="s">
        <v>343</v>
      </c>
      <c r="D3685" s="102">
        <v>202956.4299000004</v>
      </c>
      <c r="E3685" s="95">
        <f t="shared" si="486"/>
        <v>86567.226657718857</v>
      </c>
      <c r="F3685" s="98">
        <v>0.28000000000000003</v>
      </c>
      <c r="G3685" s="98">
        <v>0</v>
      </c>
      <c r="H3685" s="98">
        <v>0</v>
      </c>
      <c r="I3685" s="98">
        <v>0</v>
      </c>
      <c r="J3685" s="98"/>
      <c r="K3685" s="93">
        <v>2.3444949981183623</v>
      </c>
      <c r="L3685" s="93">
        <f t="shared" si="481"/>
        <v>0</v>
      </c>
      <c r="M3685" s="95">
        <f t="shared" ca="1" si="482"/>
        <v>0</v>
      </c>
      <c r="N3685" s="95">
        <f>IF(P3685="Hedge Fund",IF(A3685=Summary!$AD$3,M3685-E3685,M3685),IF(A3685=Summary!$AD$3,L3685-D3685,L3685))</f>
        <v>0</v>
      </c>
      <c r="O3685" s="95"/>
      <c r="P3685" s="107" t="s">
        <v>155</v>
      </c>
      <c r="Q3685" s="107">
        <v>0</v>
      </c>
      <c r="R3685" s="107">
        <v>0</v>
      </c>
      <c r="S3685" s="107">
        <v>0</v>
      </c>
      <c r="T3685" s="107">
        <v>0</v>
      </c>
      <c r="U3685" s="107" t="s">
        <v>0</v>
      </c>
      <c r="V3685" s="107">
        <v>1.9211777400000001</v>
      </c>
      <c r="W3685" s="107" t="s">
        <v>15</v>
      </c>
      <c r="X3685" s="107">
        <v>1.9211777400000001</v>
      </c>
      <c r="Y3685" s="107"/>
      <c r="Z3685" s="107"/>
      <c r="AA3685" s="107"/>
      <c r="AB3685" s="107"/>
      <c r="AC3685" s="355"/>
      <c r="AD3685" s="355"/>
      <c r="AE3685" s="355"/>
      <c r="AF3685" s="94">
        <f t="shared" si="483"/>
        <v>42794</v>
      </c>
      <c r="AG3685" s="185">
        <f t="shared" si="487"/>
        <v>0</v>
      </c>
      <c r="AH3685" s="339" t="str">
        <f>VLOOKUP(B3685,'MF PF'!A:B,2)</f>
        <v>FdMgt1</v>
      </c>
      <c r="AI3685" s="358">
        <f t="shared" si="484"/>
        <v>0</v>
      </c>
      <c r="AJ3685" s="94">
        <f t="shared" si="485"/>
        <v>42794</v>
      </c>
    </row>
    <row r="3686" spans="1:36" ht="12.75" customHeight="1">
      <c r="A3686" s="8">
        <v>42825</v>
      </c>
      <c r="B3686" s="94" t="s">
        <v>189</v>
      </c>
      <c r="C3686" s="358" t="s">
        <v>343</v>
      </c>
      <c r="D3686" s="98">
        <v>462331.24970000004</v>
      </c>
      <c r="E3686" s="95">
        <f t="shared" si="486"/>
        <v>197198.65048594962</v>
      </c>
      <c r="F3686" s="98">
        <v>0.28000000000000003</v>
      </c>
      <c r="G3686" s="98">
        <v>0</v>
      </c>
      <c r="H3686" s="98">
        <v>0</v>
      </c>
      <c r="I3686" s="98">
        <v>-3360</v>
      </c>
      <c r="J3686" s="98"/>
      <c r="K3686" s="93">
        <v>2.3444949981183623</v>
      </c>
      <c r="L3686" s="93">
        <f t="shared" si="481"/>
        <v>-3360</v>
      </c>
      <c r="M3686" s="95">
        <f t="shared" ca="1" si="482"/>
        <v>-1433.1444523006696</v>
      </c>
      <c r="N3686" s="95">
        <f>IF(P3686="Hedge Fund",IF(A3686=Summary!$AD$3,M3686-E3686,M3686),IF(A3686=Summary!$AD$3,L3686-D3686,L3686))</f>
        <v>-3360</v>
      </c>
      <c r="O3686" s="95"/>
      <c r="P3686" s="107" t="s">
        <v>155</v>
      </c>
      <c r="Q3686" s="107">
        <v>0</v>
      </c>
      <c r="R3686" s="107">
        <v>0</v>
      </c>
      <c r="S3686" s="107">
        <v>0</v>
      </c>
      <c r="T3686" s="107">
        <v>0</v>
      </c>
      <c r="U3686" s="107" t="s">
        <v>0</v>
      </c>
      <c r="V3686" s="107">
        <v>1.87651206</v>
      </c>
      <c r="W3686" s="107" t="s">
        <v>15</v>
      </c>
      <c r="X3686" s="107">
        <v>1.87651206</v>
      </c>
      <c r="Y3686" s="107"/>
      <c r="Z3686" s="107"/>
      <c r="AA3686" s="107"/>
      <c r="AB3686" s="107"/>
      <c r="AC3686" s="355"/>
      <c r="AD3686" s="355"/>
      <c r="AE3686" s="355"/>
      <c r="AF3686" s="94">
        <f t="shared" si="483"/>
        <v>42825</v>
      </c>
      <c r="AG3686" s="185">
        <f t="shared" si="487"/>
        <v>1.2945380440986911</v>
      </c>
      <c r="AH3686" s="339" t="str">
        <f>VLOOKUP(B3686,'MF PF'!A:B,2)</f>
        <v>FdMgt1</v>
      </c>
      <c r="AI3686" s="358">
        <f t="shared" si="484"/>
        <v>0</v>
      </c>
      <c r="AJ3686" s="94">
        <f t="shared" si="485"/>
        <v>42825</v>
      </c>
    </row>
    <row r="3687" spans="1:36" ht="12.75" customHeight="1">
      <c r="A3687" s="8">
        <v>42853</v>
      </c>
      <c r="B3687" s="94" t="s">
        <v>189</v>
      </c>
      <c r="C3687" s="358" t="s">
        <v>343</v>
      </c>
      <c r="D3687" s="98">
        <v>514621.20499999961</v>
      </c>
      <c r="E3687" s="95">
        <f t="shared" si="486"/>
        <v>219501.94195893902</v>
      </c>
      <c r="F3687" s="98">
        <v>0.28000000000000003</v>
      </c>
      <c r="G3687" s="98">
        <v>0</v>
      </c>
      <c r="H3687" s="98">
        <v>0</v>
      </c>
      <c r="I3687" s="98">
        <v>-3220</v>
      </c>
      <c r="J3687" s="98"/>
      <c r="K3687" s="93">
        <v>2.3444949981183623</v>
      </c>
      <c r="L3687" s="93">
        <f t="shared" si="481"/>
        <v>-3220</v>
      </c>
      <c r="M3687" s="95">
        <f t="shared" ca="1" si="482"/>
        <v>-1373.4301001214751</v>
      </c>
      <c r="N3687" s="95">
        <f>IF(P3687="Hedge Fund",IF(A3687=Summary!$AD$3,M3687-E3687,M3687),IF(A3687=Summary!$AD$3,L3687-D3687,L3687))</f>
        <v>-3220</v>
      </c>
      <c r="O3687" s="95"/>
      <c r="P3687" s="107" t="s">
        <v>155</v>
      </c>
      <c r="Q3687" s="107">
        <v>0</v>
      </c>
      <c r="R3687" s="107">
        <v>0</v>
      </c>
      <c r="S3687" s="107">
        <v>0</v>
      </c>
      <c r="T3687" s="107">
        <v>0</v>
      </c>
      <c r="U3687" s="107" t="s">
        <v>0</v>
      </c>
      <c r="V3687" s="107">
        <v>1.7890925600000001</v>
      </c>
      <c r="W3687" s="107" t="s">
        <v>15</v>
      </c>
      <c r="X3687" s="107">
        <v>1.7890925600000001</v>
      </c>
      <c r="Y3687" s="107"/>
      <c r="Z3687" s="107"/>
      <c r="AA3687" s="107"/>
      <c r="AB3687" s="107"/>
      <c r="AC3687" s="355"/>
      <c r="AD3687" s="355"/>
      <c r="AE3687" s="355"/>
      <c r="AF3687" s="94">
        <f t="shared" si="483"/>
        <v>42853</v>
      </c>
      <c r="AG3687" s="185">
        <f t="shared" si="487"/>
        <v>0.12006533267223274</v>
      </c>
      <c r="AH3687" s="339" t="str">
        <f>VLOOKUP(B3687,'MF PF'!A:B,2)</f>
        <v>FdMgt1</v>
      </c>
      <c r="AI3687" s="358">
        <f t="shared" si="484"/>
        <v>0</v>
      </c>
      <c r="AJ3687" s="94">
        <f t="shared" si="485"/>
        <v>42855</v>
      </c>
    </row>
    <row r="3688" spans="1:36" ht="12.75" customHeight="1">
      <c r="A3688" s="8">
        <v>42886</v>
      </c>
      <c r="B3688" s="94" t="s">
        <v>189</v>
      </c>
      <c r="C3688" s="358" t="s">
        <v>343</v>
      </c>
      <c r="D3688" s="98">
        <v>299872.14609999978</v>
      </c>
      <c r="E3688" s="95">
        <f t="shared" si="486"/>
        <v>127904.79243533054</v>
      </c>
      <c r="F3688" s="98">
        <v>0.28000000000000003</v>
      </c>
      <c r="G3688" s="98">
        <v>0</v>
      </c>
      <c r="H3688" s="98">
        <v>0</v>
      </c>
      <c r="I3688" s="98">
        <v>0</v>
      </c>
      <c r="J3688" s="98"/>
      <c r="K3688" s="93">
        <v>2.3444949981183623</v>
      </c>
      <c r="L3688" s="93">
        <f t="shared" si="481"/>
        <v>0</v>
      </c>
      <c r="M3688" s="95">
        <f t="shared" ca="1" si="482"/>
        <v>0</v>
      </c>
      <c r="N3688" s="95">
        <f>IF(P3688="Hedge Fund",IF(A3688=Summary!$AD$3,M3688-E3688,M3688),IF(A3688=Summary!$AD$3,L3688-D3688,L3688))</f>
        <v>0</v>
      </c>
      <c r="O3688" s="95"/>
      <c r="P3688" s="107" t="s">
        <v>155</v>
      </c>
      <c r="Q3688" s="107">
        <v>0</v>
      </c>
      <c r="R3688" s="107">
        <v>0</v>
      </c>
      <c r="S3688" s="107">
        <v>0</v>
      </c>
      <c r="T3688" s="107">
        <v>0</v>
      </c>
      <c r="U3688" s="107" t="s">
        <v>0</v>
      </c>
      <c r="V3688" s="107">
        <v>1.68071142</v>
      </c>
      <c r="W3688" s="107" t="s">
        <v>15</v>
      </c>
      <c r="X3688" s="107">
        <v>1.68071142</v>
      </c>
      <c r="Y3688" s="107"/>
      <c r="Z3688" s="107"/>
      <c r="AA3688" s="107"/>
      <c r="AB3688" s="107"/>
      <c r="AC3688" s="355"/>
      <c r="AD3688" s="355"/>
      <c r="AE3688" s="355"/>
      <c r="AF3688" s="94">
        <f t="shared" si="483"/>
        <v>42886</v>
      </c>
      <c r="AG3688" s="185">
        <f t="shared" si="487"/>
        <v>-0.41729539477488109</v>
      </c>
      <c r="AH3688" s="339" t="str">
        <f>VLOOKUP(B3688,'MF PF'!A:B,2)</f>
        <v>FdMgt1</v>
      </c>
      <c r="AI3688" s="358">
        <f t="shared" si="484"/>
        <v>0</v>
      </c>
      <c r="AJ3688" s="94">
        <f t="shared" si="485"/>
        <v>42886</v>
      </c>
    </row>
    <row r="3689" spans="1:36" ht="12.75" customHeight="1">
      <c r="A3689" s="8">
        <v>42916</v>
      </c>
      <c r="B3689" s="94" t="s">
        <v>189</v>
      </c>
      <c r="C3689" s="358" t="s">
        <v>343</v>
      </c>
      <c r="D3689" s="98">
        <v>196940.84079999995</v>
      </c>
      <c r="E3689" s="95">
        <f t="shared" si="486"/>
        <v>84001.390899984923</v>
      </c>
      <c r="F3689" s="98">
        <v>0.28000000000000003</v>
      </c>
      <c r="G3689" s="98">
        <v>0</v>
      </c>
      <c r="H3689" s="98">
        <v>-2.9103830456733704E-11</v>
      </c>
      <c r="I3689" s="98">
        <v>0</v>
      </c>
      <c r="J3689" s="98"/>
      <c r="K3689" s="93">
        <v>2.3444949981183623</v>
      </c>
      <c r="L3689" s="93">
        <f t="shared" si="481"/>
        <v>-2.9103830456733704E-11</v>
      </c>
      <c r="M3689" s="95">
        <f t="shared" ca="1" si="482"/>
        <v>0</v>
      </c>
      <c r="N3689" s="95">
        <f>IF(P3689="Hedge Fund",IF(A3689=Summary!$AD$3,M3689-E3689,M3689),IF(A3689=Summary!$AD$3,L3689-D3689,L3689))</f>
        <v>-2.9103830456733704E-11</v>
      </c>
      <c r="O3689" s="95"/>
      <c r="P3689" s="107" t="s">
        <v>155</v>
      </c>
      <c r="Q3689" s="107">
        <v>0</v>
      </c>
      <c r="R3689" s="107">
        <v>0</v>
      </c>
      <c r="S3689" s="107">
        <v>0</v>
      </c>
      <c r="T3689" s="107">
        <v>0</v>
      </c>
      <c r="U3689" s="107" t="s">
        <v>0</v>
      </c>
      <c r="V3689" s="107">
        <v>1.6191210600000001</v>
      </c>
      <c r="W3689" s="107" t="s">
        <v>15</v>
      </c>
      <c r="X3689" s="107">
        <v>1.6191210600000001</v>
      </c>
      <c r="Y3689" s="107"/>
      <c r="Z3689" s="107"/>
      <c r="AA3689" s="107"/>
      <c r="AB3689" s="107"/>
      <c r="AC3689" s="355"/>
      <c r="AD3689" s="355"/>
      <c r="AE3689" s="355"/>
      <c r="AF3689" s="94">
        <f t="shared" si="483"/>
        <v>42916</v>
      </c>
      <c r="AG3689" s="185">
        <f t="shared" si="487"/>
        <v>-0.34325063744224782</v>
      </c>
      <c r="AH3689" s="339" t="str">
        <f>VLOOKUP(B3689,'MF PF'!A:B,2)</f>
        <v>FdMgt1</v>
      </c>
      <c r="AI3689" s="358">
        <f t="shared" si="484"/>
        <v>0</v>
      </c>
      <c r="AJ3689" s="94">
        <f t="shared" si="485"/>
        <v>42916</v>
      </c>
    </row>
    <row r="3690" spans="1:36" ht="12.75" customHeight="1">
      <c r="A3690" s="8">
        <v>42947</v>
      </c>
      <c r="B3690" s="94" t="s">
        <v>189</v>
      </c>
      <c r="C3690" s="358" t="s">
        <v>343</v>
      </c>
      <c r="D3690" s="98">
        <v>351551.09100000013</v>
      </c>
      <c r="E3690" s="95">
        <f t="shared" si="486"/>
        <v>149947.46897824347</v>
      </c>
      <c r="F3690" s="98">
        <v>0.28000000000000003</v>
      </c>
      <c r="G3690" s="98">
        <v>0</v>
      </c>
      <c r="H3690" s="98">
        <v>0</v>
      </c>
      <c r="I3690" s="98">
        <v>0</v>
      </c>
      <c r="J3690" s="98"/>
      <c r="K3690" s="93">
        <v>2.3444949981183623</v>
      </c>
      <c r="L3690" s="93">
        <f t="shared" si="481"/>
        <v>0</v>
      </c>
      <c r="M3690" s="95">
        <f t="shared" ca="1" si="482"/>
        <v>0</v>
      </c>
      <c r="N3690" s="95">
        <f>IF(P3690="Hedge Fund",IF(A3690=Summary!$AD$3,M3690-E3690,M3690),IF(A3690=Summary!$AD$3,L3690-D3690,L3690))</f>
        <v>0</v>
      </c>
      <c r="O3690" s="95"/>
      <c r="P3690" s="107" t="s">
        <v>155</v>
      </c>
      <c r="Q3690" s="107">
        <v>0</v>
      </c>
      <c r="R3690" s="107">
        <v>0</v>
      </c>
      <c r="S3690" s="107">
        <v>0</v>
      </c>
      <c r="T3690" s="107">
        <v>0</v>
      </c>
      <c r="U3690" s="107" t="s">
        <v>0</v>
      </c>
      <c r="V3690" s="107">
        <v>1.6959900000000001</v>
      </c>
      <c r="W3690" s="107" t="s">
        <v>15</v>
      </c>
      <c r="X3690" s="107">
        <v>1.6959900000000001</v>
      </c>
      <c r="Y3690" s="107"/>
      <c r="Z3690" s="107"/>
      <c r="AA3690" s="107"/>
      <c r="AB3690" s="107"/>
      <c r="AC3690" s="355"/>
      <c r="AD3690" s="355"/>
      <c r="AE3690" s="355"/>
      <c r="AF3690" s="94">
        <f t="shared" si="483"/>
        <v>42947</v>
      </c>
      <c r="AG3690" s="185">
        <f t="shared" si="487"/>
        <v>0.78505935880009825</v>
      </c>
      <c r="AH3690" s="339" t="str">
        <f>VLOOKUP(B3690,'MF PF'!A:B,2)</f>
        <v>FdMgt1</v>
      </c>
      <c r="AI3690" s="358">
        <f t="shared" si="484"/>
        <v>0</v>
      </c>
      <c r="AJ3690" s="94">
        <f t="shared" si="485"/>
        <v>42947</v>
      </c>
    </row>
    <row r="3691" spans="1:36" ht="12.75" customHeight="1">
      <c r="A3691" s="8">
        <v>42978</v>
      </c>
      <c r="B3691" s="94" t="s">
        <v>189</v>
      </c>
      <c r="C3691" s="6" t="s">
        <v>343</v>
      </c>
      <c r="D3691" s="98">
        <v>746300.00000000023</v>
      </c>
      <c r="E3691" s="95">
        <f t="shared" si="486"/>
        <v>318320.15022380662</v>
      </c>
      <c r="F3691" s="98">
        <v>0.28000000000000003</v>
      </c>
      <c r="G3691" s="98">
        <v>0</v>
      </c>
      <c r="H3691" s="98">
        <v>0</v>
      </c>
      <c r="I3691" s="98">
        <v>0</v>
      </c>
      <c r="J3691" s="98"/>
      <c r="K3691" s="93">
        <v>2.3444949981183623</v>
      </c>
      <c r="L3691" s="93">
        <f t="shared" si="481"/>
        <v>0</v>
      </c>
      <c r="M3691" s="95">
        <f t="shared" ca="1" si="482"/>
        <v>0</v>
      </c>
      <c r="N3691" s="95">
        <f>IF(P3691="Hedge Fund",IF(A3691=Summary!$AD$3,M3691-E3691,M3691),IF(A3691=Summary!$AD$3,L3691-D3691,L3691))</f>
        <v>0</v>
      </c>
      <c r="O3691" s="95"/>
      <c r="P3691" s="107" t="s">
        <v>155</v>
      </c>
      <c r="Q3691" s="107">
        <v>0</v>
      </c>
      <c r="R3691" s="107">
        <v>0</v>
      </c>
      <c r="S3691" s="107">
        <v>0</v>
      </c>
      <c r="T3691" s="107">
        <v>0</v>
      </c>
      <c r="U3691" s="107" t="s">
        <v>0</v>
      </c>
      <c r="V3691" s="107">
        <v>1.8835</v>
      </c>
      <c r="W3691" s="107" t="s">
        <v>15</v>
      </c>
      <c r="X3691" s="107">
        <v>1.8835</v>
      </c>
      <c r="Y3691" s="107"/>
      <c r="Z3691" s="107"/>
      <c r="AA3691" s="107"/>
      <c r="AB3691" s="107"/>
      <c r="AC3691" s="355"/>
      <c r="AD3691" s="355"/>
      <c r="AE3691" s="355"/>
      <c r="AF3691" s="94">
        <f t="shared" si="483"/>
        <v>42978</v>
      </c>
      <c r="AG3691" s="185">
        <f t="shared" si="487"/>
        <v>1.1228777810847412</v>
      </c>
      <c r="AH3691" s="339" t="str">
        <f>VLOOKUP(B3691,'MF PF'!A:B,2)</f>
        <v>FdMgt1</v>
      </c>
      <c r="AI3691" s="358">
        <f t="shared" si="484"/>
        <v>0</v>
      </c>
      <c r="AJ3691" s="94">
        <f t="shared" si="485"/>
        <v>42978</v>
      </c>
    </row>
    <row r="3692" spans="1:36" ht="12.75" customHeight="1">
      <c r="A3692" s="8">
        <v>43007</v>
      </c>
      <c r="B3692" s="94" t="s">
        <v>189</v>
      </c>
      <c r="C3692" s="6" t="s">
        <v>343</v>
      </c>
      <c r="D3692" s="98">
        <v>728300</v>
      </c>
      <c r="E3692" s="95">
        <f t="shared" si="486"/>
        <v>310642.59065791004</v>
      </c>
      <c r="F3692" s="98">
        <v>0.28000000000000003</v>
      </c>
      <c r="G3692" s="98">
        <v>0</v>
      </c>
      <c r="H3692" s="98">
        <v>0</v>
      </c>
      <c r="I3692" s="98">
        <v>0</v>
      </c>
      <c r="J3692" s="98"/>
      <c r="K3692" s="93">
        <v>2.3444949981183623</v>
      </c>
      <c r="L3692" s="93">
        <f t="shared" si="481"/>
        <v>0</v>
      </c>
      <c r="M3692" s="95">
        <f t="shared" ca="1" si="482"/>
        <v>0</v>
      </c>
      <c r="N3692" s="95">
        <f>IF(P3692="Hedge Fund",IF(A3692=Summary!$AD$3,M3692-E3692,M3692),IF(A3692=Summary!$AD$3,L3692-D3692,L3692))</f>
        <v>0</v>
      </c>
      <c r="O3692" s="95"/>
      <c r="P3692" s="107" t="s">
        <v>155</v>
      </c>
      <c r="Q3692" s="107">
        <v>0</v>
      </c>
      <c r="R3692" s="107">
        <v>0</v>
      </c>
      <c r="S3692" s="107">
        <v>0</v>
      </c>
      <c r="T3692" s="107">
        <v>0</v>
      </c>
      <c r="U3692" s="107" t="s">
        <v>0</v>
      </c>
      <c r="V3692" s="107">
        <v>1.8512999999999999</v>
      </c>
      <c r="W3692" s="107" t="s">
        <v>15</v>
      </c>
      <c r="X3692" s="107">
        <v>1.8512999999999999</v>
      </c>
      <c r="Y3692" s="107"/>
      <c r="Z3692" s="107"/>
      <c r="AA3692" s="107"/>
      <c r="AB3692" s="107"/>
      <c r="AC3692" s="355"/>
      <c r="AD3692" s="355"/>
      <c r="AE3692" s="355"/>
      <c r="AF3692" s="94">
        <f t="shared" si="483"/>
        <v>43007</v>
      </c>
      <c r="AG3692" s="185">
        <f t="shared" si="487"/>
        <v>-2.4118987002546222E-2</v>
      </c>
      <c r="AH3692" s="339" t="str">
        <f>VLOOKUP(B3692,'MF PF'!A:B,2)</f>
        <v>FdMgt1</v>
      </c>
      <c r="AI3692" s="358">
        <f t="shared" si="484"/>
        <v>0</v>
      </c>
      <c r="AJ3692" s="94">
        <f t="shared" si="485"/>
        <v>43008</v>
      </c>
    </row>
    <row r="3693" spans="1:36" ht="12.75" customHeight="1">
      <c r="A3693" s="8">
        <v>43039</v>
      </c>
      <c r="B3693" s="94" t="s">
        <v>189</v>
      </c>
      <c r="C3693" s="6" t="s">
        <v>343</v>
      </c>
      <c r="D3693" s="98">
        <v>697413.88</v>
      </c>
      <c r="E3693" s="95">
        <f t="shared" ref="E3693:E3703" si="488">D3693/K3693</f>
        <v>297468.70032127528</v>
      </c>
      <c r="F3693" s="98">
        <v>0.28000000000000003</v>
      </c>
      <c r="G3693" s="98">
        <v>0</v>
      </c>
      <c r="H3693" s="98">
        <v>0</v>
      </c>
      <c r="I3693" s="98">
        <v>0</v>
      </c>
      <c r="J3693" s="98"/>
      <c r="K3693" s="93">
        <v>2.3444949981183623</v>
      </c>
      <c r="L3693" s="93">
        <f t="shared" si="481"/>
        <v>0</v>
      </c>
      <c r="M3693" s="95">
        <f t="shared" ca="1" si="482"/>
        <v>0</v>
      </c>
      <c r="N3693" s="95">
        <f>IF(P3693="Hedge Fund",IF(A3693=Summary!$AD$3,M3693-E3693,M3693),IF(A3693=Summary!$AD$3,L3693-D3693,L3693))</f>
        <v>0</v>
      </c>
      <c r="O3693" s="95"/>
      <c r="P3693" s="107" t="s">
        <v>155</v>
      </c>
      <c r="Q3693" s="107">
        <v>0</v>
      </c>
      <c r="R3693" s="107">
        <v>0</v>
      </c>
      <c r="S3693" s="107">
        <v>0</v>
      </c>
      <c r="T3693" s="107">
        <v>0</v>
      </c>
      <c r="U3693" s="107" t="s">
        <v>0</v>
      </c>
      <c r="V3693" s="107">
        <v>1.84738264</v>
      </c>
      <c r="W3693" s="107" t="s">
        <v>15</v>
      </c>
      <c r="X3693" s="107">
        <v>1.84738264</v>
      </c>
      <c r="Y3693" s="107"/>
      <c r="Z3693" s="107"/>
      <c r="AA3693" s="107"/>
      <c r="AB3693" s="107"/>
      <c r="AC3693" s="355"/>
      <c r="AD3693" s="355"/>
      <c r="AE3693" s="355"/>
      <c r="AF3693" s="94">
        <f t="shared" si="483"/>
        <v>43039</v>
      </c>
      <c r="AG3693" s="185">
        <f t="shared" si="487"/>
        <v>-4.2408512975422252E-2</v>
      </c>
      <c r="AH3693" s="339" t="str">
        <f>VLOOKUP(B3693,'MF PF'!A:B,2)</f>
        <v>FdMgt1</v>
      </c>
      <c r="AI3693" s="358">
        <f t="shared" si="484"/>
        <v>0</v>
      </c>
      <c r="AJ3693" s="94">
        <f t="shared" si="485"/>
        <v>43039</v>
      </c>
    </row>
    <row r="3694" spans="1:36" ht="12.75" customHeight="1">
      <c r="A3694" s="8">
        <v>43069</v>
      </c>
      <c r="B3694" s="94" t="s">
        <v>189</v>
      </c>
      <c r="C3694" s="6" t="s">
        <v>343</v>
      </c>
      <c r="D3694" s="98">
        <v>553957.15</v>
      </c>
      <c r="E3694" s="95">
        <f t="shared" si="488"/>
        <v>236279.94533773512</v>
      </c>
      <c r="F3694" s="98">
        <v>0.28000000000000003</v>
      </c>
      <c r="G3694" s="98">
        <v>0</v>
      </c>
      <c r="H3694" s="98">
        <v>0</v>
      </c>
      <c r="I3694" s="98">
        <v>-12110.33</v>
      </c>
      <c r="J3694" s="98"/>
      <c r="K3694" s="93">
        <v>2.3444949981183623</v>
      </c>
      <c r="L3694" s="93">
        <f t="shared" si="481"/>
        <v>-12110.33</v>
      </c>
      <c r="M3694" s="95">
        <f t="shared" ca="1" si="482"/>
        <v>-5165.4322187590387</v>
      </c>
      <c r="N3694" s="95">
        <f>IF(P3694="Hedge Fund",IF(A3694=Summary!$AD$3,M3694-E3694,M3694),IF(A3694=Summary!$AD$3,L3694-D3694,L3694))</f>
        <v>-12110.33</v>
      </c>
      <c r="O3694" s="95"/>
      <c r="P3694" s="107" t="s">
        <v>155</v>
      </c>
      <c r="Q3694" s="107">
        <v>0</v>
      </c>
      <c r="R3694" s="107">
        <v>0</v>
      </c>
      <c r="S3694" s="107">
        <v>0</v>
      </c>
      <c r="T3694" s="107">
        <v>0</v>
      </c>
      <c r="U3694" s="107" t="s">
        <v>0</v>
      </c>
      <c r="V3694" s="107">
        <v>1.3572</v>
      </c>
      <c r="W3694" s="107" t="s">
        <v>15</v>
      </c>
      <c r="X3694" s="107">
        <v>1.3572</v>
      </c>
      <c r="Y3694" s="107"/>
      <c r="Z3694" s="107"/>
      <c r="AA3694" s="107"/>
      <c r="AB3694" s="107"/>
      <c r="AC3694" s="355"/>
      <c r="AD3694" s="355"/>
      <c r="AE3694" s="355"/>
      <c r="AF3694" s="94">
        <f t="shared" si="483"/>
        <v>43069</v>
      </c>
      <c r="AG3694" s="185">
        <f t="shared" si="487"/>
        <v>-0.18833350434608498</v>
      </c>
      <c r="AH3694" s="339" t="str">
        <f>VLOOKUP(B3694,'MF PF'!A:B,2)</f>
        <v>FdMgt1</v>
      </c>
      <c r="AI3694" s="358">
        <f t="shared" si="484"/>
        <v>0</v>
      </c>
      <c r="AJ3694" s="94">
        <f t="shared" si="485"/>
        <v>43069</v>
      </c>
    </row>
    <row r="3695" spans="1:36" ht="12.75" customHeight="1">
      <c r="A3695" s="8">
        <v>43098</v>
      </c>
      <c r="B3695" s="94" t="s">
        <v>189</v>
      </c>
      <c r="C3695" s="6" t="s">
        <v>343</v>
      </c>
      <c r="D3695" s="98">
        <v>577042.43999999994</v>
      </c>
      <c r="E3695" s="95">
        <f t="shared" si="488"/>
        <v>246126.5391750125</v>
      </c>
      <c r="F3695" s="98">
        <v>0.28000000000000003</v>
      </c>
      <c r="G3695" s="98">
        <v>0</v>
      </c>
      <c r="H3695" s="98">
        <v>0</v>
      </c>
      <c r="I3695" s="98">
        <v>0</v>
      </c>
      <c r="J3695" s="98"/>
      <c r="K3695" s="93">
        <v>2.3444949981183623</v>
      </c>
      <c r="L3695" s="93">
        <f t="shared" si="481"/>
        <v>0</v>
      </c>
      <c r="M3695" s="95">
        <f t="shared" ca="1" si="482"/>
        <v>0</v>
      </c>
      <c r="N3695" s="95">
        <f>IF(P3695="Hedge Fund",IF(A3695=Summary!$AD$3,M3695-E3695,M3695),IF(A3695=Summary!$AD$3,L3695-D3695,L3695))</f>
        <v>0</v>
      </c>
      <c r="O3695" s="95"/>
      <c r="P3695" s="107" t="s">
        <v>155</v>
      </c>
      <c r="Q3695" s="107">
        <v>0</v>
      </c>
      <c r="R3695" s="107">
        <v>0</v>
      </c>
      <c r="S3695" s="107">
        <v>0</v>
      </c>
      <c r="T3695" s="107">
        <v>0</v>
      </c>
      <c r="U3695" s="107" t="s">
        <v>0</v>
      </c>
      <c r="V3695" s="107">
        <v>1.3572</v>
      </c>
      <c r="W3695" s="107" t="s">
        <v>15</v>
      </c>
      <c r="X3695" s="107">
        <v>1.3572</v>
      </c>
      <c r="Y3695" s="107"/>
      <c r="Z3695" s="107"/>
      <c r="AA3695" s="107"/>
      <c r="AB3695" s="107"/>
      <c r="AC3695" s="355"/>
      <c r="AD3695" s="355"/>
      <c r="AE3695" s="355"/>
      <c r="AF3695" s="94">
        <f t="shared" si="483"/>
        <v>43098</v>
      </c>
      <c r="AG3695" s="185">
        <f t="shared" si="487"/>
        <v>4.1673421852213455E-2</v>
      </c>
      <c r="AH3695" s="339" t="str">
        <f>VLOOKUP(B3695,'MF PF'!A:B,2)</f>
        <v>FdMgt1</v>
      </c>
      <c r="AI3695" s="358">
        <f t="shared" si="484"/>
        <v>0</v>
      </c>
      <c r="AJ3695" s="94">
        <f t="shared" si="485"/>
        <v>43100</v>
      </c>
    </row>
    <row r="3696" spans="1:36" ht="12.75" customHeight="1">
      <c r="A3696" s="8">
        <v>43131</v>
      </c>
      <c r="B3696" s="94" t="s">
        <v>189</v>
      </c>
      <c r="C3696" s="6" t="s">
        <v>343</v>
      </c>
      <c r="D3696" s="98">
        <v>631743.80000000005</v>
      </c>
      <c r="E3696" s="95">
        <f t="shared" si="488"/>
        <v>269458.36971587618</v>
      </c>
      <c r="F3696" s="98">
        <v>0.28000000000000003</v>
      </c>
      <c r="G3696" s="98">
        <v>0</v>
      </c>
      <c r="H3696" s="98">
        <v>0</v>
      </c>
      <c r="I3696" s="98">
        <v>0</v>
      </c>
      <c r="J3696" s="98"/>
      <c r="K3696" s="93">
        <v>2.3444949981183623</v>
      </c>
      <c r="L3696" s="93">
        <f t="shared" si="481"/>
        <v>0</v>
      </c>
      <c r="M3696" s="95">
        <f t="shared" ca="1" si="482"/>
        <v>0</v>
      </c>
      <c r="N3696" s="95">
        <f>IF(P3696="Hedge Fund",IF(A3696=Summary!$AD$3,M3696-E3696,M3696),IF(A3696=Summary!$AD$3,L3696-D3696,L3696))</f>
        <v>0</v>
      </c>
      <c r="O3696" s="95"/>
      <c r="P3696" s="107" t="s">
        <v>155</v>
      </c>
      <c r="Q3696" s="107">
        <v>0</v>
      </c>
      <c r="R3696" s="107">
        <v>0</v>
      </c>
      <c r="S3696" s="107">
        <v>0</v>
      </c>
      <c r="T3696" s="107">
        <v>0</v>
      </c>
      <c r="U3696" s="107" t="s">
        <v>0</v>
      </c>
      <c r="V3696" s="107">
        <v>1.4003000000000001</v>
      </c>
      <c r="W3696" s="107" t="s">
        <v>15</v>
      </c>
      <c r="X3696" s="107">
        <v>1.4003000000000001</v>
      </c>
      <c r="Y3696" s="107"/>
      <c r="Z3696" s="107"/>
      <c r="AA3696" s="107"/>
      <c r="AB3696" s="107"/>
      <c r="AC3696" s="355"/>
      <c r="AD3696" s="355"/>
      <c r="AE3696" s="355"/>
      <c r="AF3696" s="94">
        <f t="shared" si="483"/>
        <v>43131</v>
      </c>
      <c r="AG3696" s="185">
        <f t="shared" si="487"/>
        <v>9.4796077737367312E-2</v>
      </c>
      <c r="AH3696" s="339" t="str">
        <f>VLOOKUP(B3696,'MF PF'!A:B,2)</f>
        <v>FdMgt1</v>
      </c>
      <c r="AI3696" s="358">
        <f t="shared" si="484"/>
        <v>0</v>
      </c>
      <c r="AJ3696" s="94">
        <f t="shared" si="485"/>
        <v>43131</v>
      </c>
    </row>
    <row r="3697" spans="1:36" ht="12.75" customHeight="1">
      <c r="A3697" s="8">
        <v>43159</v>
      </c>
      <c r="B3697" s="94" t="s">
        <v>189</v>
      </c>
      <c r="C3697" s="6" t="s">
        <v>343</v>
      </c>
      <c r="D3697" s="98">
        <v>530800</v>
      </c>
      <c r="E3697" s="95">
        <f t="shared" si="488"/>
        <v>226402.70097654627</v>
      </c>
      <c r="F3697" s="98">
        <v>0.28000000000000003</v>
      </c>
      <c r="G3697" s="98">
        <v>0</v>
      </c>
      <c r="H3697" s="98">
        <v>0</v>
      </c>
      <c r="I3697" s="98">
        <v>0</v>
      </c>
      <c r="J3697" s="98"/>
      <c r="K3697" s="93">
        <v>2.3444949981183623</v>
      </c>
      <c r="L3697" s="93">
        <f t="shared" si="481"/>
        <v>0</v>
      </c>
      <c r="M3697" s="95">
        <f t="shared" ca="1" si="482"/>
        <v>0</v>
      </c>
      <c r="N3697" s="95">
        <f>IF(P3697="Hedge Fund",IF(A3697=Summary!$AD$3,M3697-E3697,M3697),IF(A3697=Summary!$AD$3,L3697-D3697,L3697))</f>
        <v>0</v>
      </c>
      <c r="O3697" s="95"/>
      <c r="P3697" s="107" t="s">
        <v>155</v>
      </c>
      <c r="Q3697" s="107">
        <v>0</v>
      </c>
      <c r="R3697" s="107">
        <v>0</v>
      </c>
      <c r="S3697" s="107">
        <v>0</v>
      </c>
      <c r="T3697" s="107">
        <v>0</v>
      </c>
      <c r="U3697" s="107" t="s">
        <v>0</v>
      </c>
      <c r="V3697" s="107">
        <v>1.3563000000000001</v>
      </c>
      <c r="W3697" s="107" t="s">
        <v>15</v>
      </c>
      <c r="X3697" s="107">
        <v>1.3563000000000001</v>
      </c>
      <c r="Y3697" s="107"/>
      <c r="Z3697" s="107"/>
      <c r="AA3697" s="107"/>
      <c r="AB3697" s="107"/>
      <c r="AC3697" s="355"/>
      <c r="AD3697" s="355"/>
      <c r="AE3697" s="355"/>
      <c r="AF3697" s="94">
        <f t="shared" si="483"/>
        <v>43159</v>
      </c>
      <c r="AG3697" s="185">
        <f t="shared" si="487"/>
        <v>-0.15978597653035931</v>
      </c>
      <c r="AH3697" s="339" t="str">
        <f>VLOOKUP(B3697,'MF PF'!A:B,2)</f>
        <v>FdMgt1</v>
      </c>
      <c r="AI3697" s="358">
        <f t="shared" si="484"/>
        <v>0</v>
      </c>
      <c r="AJ3697" s="94">
        <f t="shared" si="485"/>
        <v>43159</v>
      </c>
    </row>
    <row r="3698" spans="1:36" ht="12.75" customHeight="1">
      <c r="A3698" s="8">
        <v>43188</v>
      </c>
      <c r="B3698" s="94" t="s">
        <v>189</v>
      </c>
      <c r="C3698" s="6" t="s">
        <v>343</v>
      </c>
      <c r="D3698" s="110">
        <v>540117.25379999995</v>
      </c>
      <c r="E3698" s="95">
        <f t="shared" si="488"/>
        <v>230376.79936766153</v>
      </c>
      <c r="F3698" s="98">
        <v>0.28000000000000003</v>
      </c>
      <c r="G3698" s="98">
        <v>0</v>
      </c>
      <c r="H3698" s="98">
        <v>0</v>
      </c>
      <c r="I3698" s="98">
        <v>0</v>
      </c>
      <c r="J3698" s="98"/>
      <c r="K3698" s="93">
        <v>2.3444949981183623</v>
      </c>
      <c r="L3698" s="93">
        <f t="shared" si="481"/>
        <v>0</v>
      </c>
      <c r="M3698" s="95">
        <f t="shared" ca="1" si="482"/>
        <v>0</v>
      </c>
      <c r="N3698" s="95">
        <f>IF(P3698="Hedge Fund",IF(A3698=Summary!$AD$3,M3698-E3698,M3698),IF(A3698=Summary!$AD$3,L3698-D3698,L3698))</f>
        <v>0</v>
      </c>
      <c r="O3698" s="95"/>
      <c r="P3698" s="107" t="s">
        <v>155</v>
      </c>
      <c r="Q3698" s="109">
        <v>0</v>
      </c>
      <c r="R3698" s="109">
        <v>0</v>
      </c>
      <c r="S3698" s="107">
        <v>0</v>
      </c>
      <c r="T3698" s="107">
        <v>0</v>
      </c>
      <c r="U3698" s="107"/>
      <c r="V3698" s="107"/>
      <c r="W3698" s="107"/>
      <c r="X3698" s="107"/>
      <c r="Y3698" s="107"/>
      <c r="Z3698" s="107"/>
      <c r="AA3698" s="107"/>
      <c r="AB3698" s="107"/>
      <c r="AC3698" s="355"/>
      <c r="AD3698" s="355"/>
      <c r="AE3698" s="355"/>
      <c r="AF3698" s="94">
        <f t="shared" si="483"/>
        <v>43188</v>
      </c>
      <c r="AG3698" s="185">
        <f t="shared" si="487"/>
        <v>1.7553228711378877E-2</v>
      </c>
      <c r="AH3698" s="339" t="str">
        <f>VLOOKUP(B3698,'MF PF'!A:B,2)</f>
        <v>FdMgt1</v>
      </c>
      <c r="AI3698" s="358">
        <f t="shared" si="484"/>
        <v>0</v>
      </c>
      <c r="AJ3698" s="94">
        <f t="shared" si="485"/>
        <v>43190</v>
      </c>
    </row>
    <row r="3699" spans="1:36" ht="12.75" customHeight="1">
      <c r="A3699" s="8">
        <v>43220</v>
      </c>
      <c r="B3699" s="94" t="s">
        <v>189</v>
      </c>
      <c r="C3699" s="6" t="s">
        <v>343</v>
      </c>
      <c r="D3699" s="110">
        <v>549072.00800000003</v>
      </c>
      <c r="E3699" s="9">
        <f t="shared" si="488"/>
        <v>234196.28041035388</v>
      </c>
      <c r="F3699" s="98">
        <v>0.28000000000000003</v>
      </c>
      <c r="G3699" s="98">
        <v>0</v>
      </c>
      <c r="H3699" s="98">
        <v>0</v>
      </c>
      <c r="I3699" s="98">
        <v>-15941.98</v>
      </c>
      <c r="J3699" s="98"/>
      <c r="K3699" s="93">
        <v>2.3444949981183623</v>
      </c>
      <c r="L3699" s="93">
        <f t="shared" si="481"/>
        <v>-15941.98</v>
      </c>
      <c r="M3699" s="95">
        <f t="shared" ca="1" si="482"/>
        <v>-6799.7500582405446</v>
      </c>
      <c r="N3699" s="95">
        <f>IF(P3699="Hedge Fund",IF(A3699=Summary!$AD$3,M3699-E3699,M3699),IF(A3699=Summary!$AD$3,L3699-D3699,L3699))</f>
        <v>-15941.98</v>
      </c>
      <c r="O3699" s="95"/>
      <c r="P3699" s="107" t="s">
        <v>155</v>
      </c>
      <c r="Q3699" s="109">
        <v>0</v>
      </c>
      <c r="R3699" s="109">
        <v>0</v>
      </c>
      <c r="S3699" s="107">
        <v>0</v>
      </c>
      <c r="T3699" s="107">
        <v>0</v>
      </c>
      <c r="U3699" s="107"/>
      <c r="V3699" s="107"/>
      <c r="W3699" s="107"/>
      <c r="X3699" s="107"/>
      <c r="Y3699" s="107"/>
      <c r="Z3699" s="107"/>
      <c r="AA3699" s="107"/>
      <c r="AB3699" s="107"/>
      <c r="AC3699" s="355"/>
      <c r="AD3699" s="355"/>
      <c r="AE3699" s="355"/>
      <c r="AF3699" s="94">
        <f t="shared" si="483"/>
        <v>43220</v>
      </c>
      <c r="AG3699" s="185">
        <f t="shared" si="487"/>
        <v>4.6095054406869673E-2</v>
      </c>
      <c r="AH3699" s="339" t="str">
        <f>VLOOKUP(B3699,'MF PF'!A:B,2)</f>
        <v>FdMgt1</v>
      </c>
      <c r="AI3699" s="358">
        <f t="shared" si="484"/>
        <v>0</v>
      </c>
      <c r="AJ3699" s="94">
        <f t="shared" si="485"/>
        <v>43220</v>
      </c>
    </row>
    <row r="3700" spans="1:36" ht="12.75" customHeight="1">
      <c r="A3700" s="8">
        <v>43251</v>
      </c>
      <c r="B3700" s="358" t="s">
        <v>189</v>
      </c>
      <c r="C3700" s="94" t="s">
        <v>343</v>
      </c>
      <c r="D3700" s="110">
        <v>472435.87329999998</v>
      </c>
      <c r="E3700" s="9">
        <f t="shared" si="488"/>
        <v>201508.5865737253</v>
      </c>
      <c r="F3700" s="98">
        <v>0.28000000000000003</v>
      </c>
      <c r="G3700" s="98">
        <v>0</v>
      </c>
      <c r="H3700" s="98">
        <v>0</v>
      </c>
      <c r="I3700" s="98">
        <v>0</v>
      </c>
      <c r="J3700" s="98"/>
      <c r="K3700" s="93">
        <v>2.3444949981183623</v>
      </c>
      <c r="L3700" s="93">
        <f t="shared" si="481"/>
        <v>0</v>
      </c>
      <c r="M3700" s="95">
        <f t="shared" ca="1" si="482"/>
        <v>0</v>
      </c>
      <c r="N3700" s="95">
        <f>IF(P3700="Hedge Fund",IF(A3700=Summary!$AD$3,M3700-E3700,M3700),IF(A3700=Summary!$AD$3,L3700-D3700,L3700))</f>
        <v>0</v>
      </c>
      <c r="O3700" s="95"/>
      <c r="P3700" s="107" t="s">
        <v>155</v>
      </c>
      <c r="Q3700" s="107">
        <v>0</v>
      </c>
      <c r="R3700" s="107">
        <v>0</v>
      </c>
      <c r="S3700" s="107">
        <v>0</v>
      </c>
      <c r="T3700" s="107">
        <v>0</v>
      </c>
      <c r="U3700" s="107"/>
      <c r="V3700" s="107"/>
      <c r="W3700" s="107"/>
      <c r="X3700" s="107"/>
      <c r="Y3700" s="107"/>
      <c r="Z3700" s="107"/>
      <c r="AA3700" s="107"/>
      <c r="AB3700" s="107"/>
      <c r="AC3700" s="355"/>
      <c r="AD3700" s="355"/>
      <c r="AE3700" s="355"/>
      <c r="AF3700" s="94">
        <f t="shared" si="483"/>
        <v>43251</v>
      </c>
      <c r="AG3700" s="185">
        <f t="shared" si="487"/>
        <v>-0.13957392397246382</v>
      </c>
      <c r="AH3700" s="339" t="str">
        <f>VLOOKUP(B3700,'MF PF'!A:B,2)</f>
        <v>FdMgt1</v>
      </c>
      <c r="AI3700" s="358">
        <f t="shared" si="484"/>
        <v>0</v>
      </c>
      <c r="AJ3700" s="94">
        <f t="shared" si="485"/>
        <v>43251</v>
      </c>
    </row>
    <row r="3701" spans="1:36" ht="12.75" customHeight="1">
      <c r="A3701" s="8">
        <v>43280</v>
      </c>
      <c r="B3701" s="358" t="s">
        <v>189</v>
      </c>
      <c r="C3701" s="94" t="s">
        <v>343</v>
      </c>
      <c r="D3701" s="110">
        <v>410937.93</v>
      </c>
      <c r="E3701" s="95">
        <f t="shared" si="488"/>
        <v>175277.80197006575</v>
      </c>
      <c r="F3701" s="98">
        <v>0.28000000000000003</v>
      </c>
      <c r="G3701" s="98">
        <v>0</v>
      </c>
      <c r="H3701" s="98">
        <v>0</v>
      </c>
      <c r="I3701" s="98">
        <v>0</v>
      </c>
      <c r="J3701" s="98"/>
      <c r="K3701" s="93">
        <v>2.3444949981183623</v>
      </c>
      <c r="L3701" s="93">
        <f t="shared" si="481"/>
        <v>0</v>
      </c>
      <c r="M3701" s="95">
        <f t="shared" ca="1" si="482"/>
        <v>0</v>
      </c>
      <c r="N3701" s="95">
        <f>IF(P3701="Hedge Fund",IF(A3701=Summary!$AD$3,M3701-E3701,M3701),IF(A3701=Summary!$AD$3,L3701-D3701,L3701))</f>
        <v>0</v>
      </c>
      <c r="O3701" s="95"/>
      <c r="P3701" s="107" t="s">
        <v>155</v>
      </c>
      <c r="Q3701" s="107">
        <v>0</v>
      </c>
      <c r="R3701" s="107">
        <v>0</v>
      </c>
      <c r="S3701" s="107">
        <v>0</v>
      </c>
      <c r="T3701" s="107">
        <v>0</v>
      </c>
      <c r="U3701" s="107"/>
      <c r="V3701" s="107"/>
      <c r="W3701" s="107"/>
      <c r="X3701" s="107"/>
      <c r="Y3701" s="107"/>
      <c r="Z3701" s="107"/>
      <c r="AA3701" s="107"/>
      <c r="AB3701" s="107"/>
      <c r="AC3701" s="355"/>
      <c r="AD3701" s="355"/>
      <c r="AE3701" s="355"/>
      <c r="AF3701" s="94">
        <f t="shared" si="483"/>
        <v>43280</v>
      </c>
      <c r="AG3701" s="185">
        <f t="shared" si="487"/>
        <v>-0.13017204402881655</v>
      </c>
      <c r="AH3701" s="339" t="str">
        <f>VLOOKUP(B3701,'MF PF'!A:B,2)</f>
        <v>FdMgt1</v>
      </c>
      <c r="AI3701" s="358">
        <f t="shared" si="484"/>
        <v>0</v>
      </c>
      <c r="AJ3701" s="94">
        <f t="shared" si="485"/>
        <v>43281</v>
      </c>
    </row>
    <row r="3702" spans="1:36" ht="12.75" customHeight="1">
      <c r="A3702" s="8">
        <v>43312</v>
      </c>
      <c r="B3702" s="358" t="s">
        <v>189</v>
      </c>
      <c r="C3702" s="94" t="s">
        <v>343</v>
      </c>
      <c r="D3702" s="110">
        <v>400774.04690000002</v>
      </c>
      <c r="E3702" s="9">
        <f t="shared" si="488"/>
        <v>170942.58986334031</v>
      </c>
      <c r="F3702" s="98">
        <v>0.28000000000000003</v>
      </c>
      <c r="G3702" s="98">
        <v>0</v>
      </c>
      <c r="H3702" s="98">
        <v>0</v>
      </c>
      <c r="I3702" s="98">
        <v>0</v>
      </c>
      <c r="J3702" s="98"/>
      <c r="K3702" s="93">
        <v>2.3444949981183623</v>
      </c>
      <c r="L3702" s="93">
        <f t="shared" si="481"/>
        <v>0</v>
      </c>
      <c r="M3702" s="95">
        <f t="shared" ca="1" si="482"/>
        <v>0</v>
      </c>
      <c r="N3702" s="95">
        <f>IF(P3702="Hedge Fund",IF(A3702=Summary!$AD$3,M3702-E3702,M3702),IF(A3702=Summary!$AD$3,L3702-D3702,L3702))</f>
        <v>0</v>
      </c>
      <c r="O3702" s="95"/>
      <c r="P3702" s="107" t="s">
        <v>155</v>
      </c>
      <c r="Q3702" s="107">
        <v>0</v>
      </c>
      <c r="R3702" s="107">
        <v>0</v>
      </c>
      <c r="S3702" s="107">
        <v>0</v>
      </c>
      <c r="T3702" s="107">
        <v>0</v>
      </c>
      <c r="U3702" s="107"/>
      <c r="V3702" s="107"/>
      <c r="W3702" s="107"/>
      <c r="X3702" s="107"/>
      <c r="Y3702" s="107"/>
      <c r="Z3702" s="107"/>
      <c r="AA3702" s="107"/>
      <c r="AB3702" s="107"/>
      <c r="AC3702" s="355"/>
      <c r="AD3702" s="355"/>
      <c r="AE3702" s="355"/>
      <c r="AF3702" s="94">
        <f t="shared" si="483"/>
        <v>43312</v>
      </c>
      <c r="AG3702" s="185">
        <f t="shared" si="487"/>
        <v>-2.4733377860739147E-2</v>
      </c>
      <c r="AH3702" s="339" t="str">
        <f>VLOOKUP(B3702,'MF PF'!A:B,2)</f>
        <v>FdMgt1</v>
      </c>
      <c r="AI3702" s="358">
        <f t="shared" si="484"/>
        <v>0</v>
      </c>
      <c r="AJ3702" s="94">
        <f t="shared" si="485"/>
        <v>43312</v>
      </c>
    </row>
    <row r="3703" spans="1:36" ht="12.75" customHeight="1">
      <c r="A3703" s="8">
        <v>43343</v>
      </c>
      <c r="B3703" s="358" t="s">
        <v>189</v>
      </c>
      <c r="C3703" s="94" t="s">
        <v>343</v>
      </c>
      <c r="D3703" s="110">
        <v>392029.68790000002</v>
      </c>
      <c r="E3703" s="9">
        <f t="shared" si="488"/>
        <v>167212.84891400239</v>
      </c>
      <c r="F3703" s="98">
        <v>0.28000000000000003</v>
      </c>
      <c r="G3703" s="98">
        <v>0</v>
      </c>
      <c r="H3703" s="98">
        <v>0</v>
      </c>
      <c r="I3703" s="98">
        <v>0</v>
      </c>
      <c r="J3703" s="98"/>
      <c r="K3703" s="93">
        <v>2.3444949981183623</v>
      </c>
      <c r="L3703" s="93">
        <f t="shared" si="481"/>
        <v>0</v>
      </c>
      <c r="M3703" s="95">
        <f t="shared" ca="1" si="482"/>
        <v>0</v>
      </c>
      <c r="N3703" s="95">
        <f>IF(P3703="Hedge Fund",IF(A3703=Summary!$AD$3,M3703-E3703,M3703),IF(A3703=Summary!$AD$3,L3703-D3703,L3703))</f>
        <v>0</v>
      </c>
      <c r="O3703" s="95"/>
      <c r="P3703" s="107" t="s">
        <v>155</v>
      </c>
      <c r="Q3703" s="107">
        <v>0</v>
      </c>
      <c r="R3703" s="107">
        <v>0</v>
      </c>
      <c r="S3703" s="107">
        <v>0</v>
      </c>
      <c r="T3703" s="107">
        <v>0</v>
      </c>
      <c r="U3703" s="107"/>
      <c r="V3703" s="107"/>
      <c r="W3703" s="107"/>
      <c r="X3703" s="107"/>
      <c r="Y3703" s="107"/>
      <c r="Z3703" s="107"/>
      <c r="AA3703" s="107"/>
      <c r="AB3703" s="107"/>
      <c r="AC3703" s="355"/>
      <c r="AD3703" s="355"/>
      <c r="AE3703" s="355"/>
      <c r="AF3703" s="94">
        <f t="shared" si="483"/>
        <v>43343</v>
      </c>
      <c r="AG3703" s="185">
        <f t="shared" si="487"/>
        <v>-2.1818675804079368E-2</v>
      </c>
      <c r="AH3703" s="339" t="str">
        <f>VLOOKUP(B3703,'MF PF'!A:B,2)</f>
        <v>FdMgt1</v>
      </c>
      <c r="AI3703" s="358">
        <f t="shared" si="484"/>
        <v>0</v>
      </c>
      <c r="AJ3703" s="94">
        <f t="shared" si="485"/>
        <v>43343</v>
      </c>
    </row>
    <row r="3704" spans="1:36" s="358" customFormat="1" ht="12.75" customHeight="1">
      <c r="A3704" s="94">
        <v>43371</v>
      </c>
      <c r="B3704" s="358" t="s">
        <v>189</v>
      </c>
      <c r="C3704" s="358" t="s">
        <v>343</v>
      </c>
      <c r="D3704" s="110">
        <v>325627.59999999998</v>
      </c>
      <c r="E3704" s="95"/>
      <c r="F3704" s="98">
        <f>0.28</f>
        <v>0.28000000000000003</v>
      </c>
      <c r="G3704" s="98"/>
      <c r="H3704" s="93">
        <v>0</v>
      </c>
      <c r="I3704" s="93">
        <v>0</v>
      </c>
      <c r="J3704" s="93"/>
      <c r="K3704" s="93">
        <v>0</v>
      </c>
      <c r="L3704" s="93">
        <f t="shared" si="481"/>
        <v>0</v>
      </c>
      <c r="M3704" s="95" t="e">
        <f t="shared" ca="1" si="482"/>
        <v>#DIV/0!</v>
      </c>
      <c r="N3704" s="95">
        <f>IF(P3704="Hedge Fund",IF(A3704=Summary!$AD$3,M3704-E3704,M3704),IF(A3704=Summary!$AD$3,L3704-D3704,L3704))</f>
        <v>0</v>
      </c>
      <c r="O3704" s="95"/>
      <c r="P3704" s="95" t="s">
        <v>155</v>
      </c>
      <c r="Q3704" s="95">
        <v>0</v>
      </c>
      <c r="R3704" s="95"/>
      <c r="S3704" s="95"/>
      <c r="T3704" s="95"/>
      <c r="U3704" s="95"/>
      <c r="V3704" s="95"/>
      <c r="W3704" s="95"/>
      <c r="X3704" s="95"/>
      <c r="Y3704" s="95"/>
      <c r="Z3704" s="95"/>
      <c r="AA3704" s="95"/>
      <c r="AB3704" s="95"/>
      <c r="AF3704" s="94">
        <f t="shared" si="483"/>
        <v>43371</v>
      </c>
      <c r="AG3704" s="185">
        <f t="shared" si="487"/>
        <v>-0.16938025345911578</v>
      </c>
      <c r="AH3704" s="339" t="str">
        <f>VLOOKUP(B3704,'MF PF'!A:B,2)</f>
        <v>FdMgt1</v>
      </c>
      <c r="AI3704" s="358">
        <f t="shared" si="484"/>
        <v>0</v>
      </c>
      <c r="AJ3704" s="94">
        <f t="shared" si="485"/>
        <v>43373</v>
      </c>
    </row>
    <row r="3705" spans="1:36" s="358" customFormat="1" ht="12.75" customHeight="1">
      <c r="A3705" s="94">
        <v>43404</v>
      </c>
      <c r="B3705" s="358" t="s">
        <v>189</v>
      </c>
      <c r="C3705" s="358" t="s">
        <v>343</v>
      </c>
      <c r="D3705" s="110">
        <v>312582.31</v>
      </c>
      <c r="E3705" s="95"/>
      <c r="F3705" s="98">
        <f>0.28</f>
        <v>0.28000000000000003</v>
      </c>
      <c r="G3705" s="98"/>
      <c r="H3705" s="93">
        <v>0</v>
      </c>
      <c r="I3705" s="93">
        <v>-1125.83</v>
      </c>
      <c r="J3705" s="93"/>
      <c r="K3705" s="93">
        <v>0</v>
      </c>
      <c r="L3705" s="93">
        <f t="shared" si="481"/>
        <v>-1125.83</v>
      </c>
      <c r="M3705" s="95" t="e">
        <f t="shared" ca="1" si="482"/>
        <v>#DIV/0!</v>
      </c>
      <c r="N3705" s="95">
        <f>IF(P3705="Hedge Fund",IF(A3705=Summary!$AD$3,M3705-E3705,M3705),IF(A3705=Summary!$AD$3,L3705-D3705,L3705))</f>
        <v>-1125.83</v>
      </c>
      <c r="O3705" s="95"/>
      <c r="P3705" s="95" t="s">
        <v>155</v>
      </c>
      <c r="Q3705" s="95">
        <v>0</v>
      </c>
      <c r="R3705" s="95"/>
      <c r="S3705" s="95"/>
      <c r="T3705" s="95"/>
      <c r="U3705" s="95"/>
      <c r="V3705" s="95"/>
      <c r="W3705" s="95"/>
      <c r="X3705" s="95"/>
      <c r="Y3705" s="95"/>
      <c r="Z3705" s="95"/>
      <c r="AA3705" s="95"/>
      <c r="AB3705" s="95"/>
      <c r="AF3705" s="94">
        <f t="shared" si="483"/>
        <v>43404</v>
      </c>
      <c r="AG3705" s="185">
        <f t="shared" si="487"/>
        <v>-3.6604575287843999E-2</v>
      </c>
      <c r="AH3705" s="339" t="str">
        <f>VLOOKUP(B3705,'MF PF'!A:B,2)</f>
        <v>FdMgt1</v>
      </c>
      <c r="AI3705" s="358">
        <f t="shared" si="484"/>
        <v>0</v>
      </c>
      <c r="AJ3705" s="94">
        <f t="shared" si="485"/>
        <v>43404</v>
      </c>
    </row>
    <row r="3706" spans="1:36" ht="12.75" customHeight="1">
      <c r="A3706" s="8">
        <v>43434</v>
      </c>
      <c r="B3706" s="358" t="s">
        <v>189</v>
      </c>
      <c r="C3706" s="6" t="s">
        <v>343</v>
      </c>
      <c r="D3706" s="93">
        <v>298823.51429999998</v>
      </c>
      <c r="F3706" s="98">
        <f>0.28</f>
        <v>0.28000000000000003</v>
      </c>
      <c r="G3706" s="93"/>
      <c r="H3706" s="93">
        <v>0</v>
      </c>
      <c r="I3706" s="93">
        <v>0</v>
      </c>
      <c r="K3706" s="93">
        <v>0</v>
      </c>
      <c r="L3706" s="93">
        <f t="shared" si="481"/>
        <v>0</v>
      </c>
      <c r="M3706" s="95" t="e">
        <f t="shared" ca="1" si="482"/>
        <v>#DIV/0!</v>
      </c>
      <c r="N3706" s="95">
        <f>IF(P3706="Hedge Fund",IF(A3706=Summary!$AD$3,M3706-E3706,M3706),IF(A3706=Summary!$AD$3,L3706-D3706,L3706))</f>
        <v>0</v>
      </c>
      <c r="O3706" s="95"/>
      <c r="P3706" s="95" t="s">
        <v>155</v>
      </c>
      <c r="Q3706" s="95">
        <v>0</v>
      </c>
      <c r="R3706" s="95">
        <v>0</v>
      </c>
      <c r="S3706" s="95"/>
      <c r="T3706" s="95"/>
      <c r="U3706" s="95"/>
      <c r="V3706" s="95"/>
      <c r="W3706" s="95"/>
      <c r="X3706" s="95"/>
      <c r="Y3706" s="95"/>
      <c r="Z3706" s="95"/>
      <c r="AA3706" s="95"/>
      <c r="AB3706" s="95"/>
      <c r="AC3706" s="355"/>
      <c r="AD3706" s="355"/>
      <c r="AE3706" s="355"/>
      <c r="AF3706" s="94">
        <f t="shared" si="483"/>
        <v>43434</v>
      </c>
      <c r="AG3706" s="185">
        <f t="shared" si="487"/>
        <v>-4.4016552632169192E-2</v>
      </c>
      <c r="AH3706" s="339" t="str">
        <f>VLOOKUP(B3706,'MF PF'!A:B,2)</f>
        <v>FdMgt1</v>
      </c>
      <c r="AI3706" s="358">
        <f t="shared" si="484"/>
        <v>0</v>
      </c>
      <c r="AJ3706" s="94">
        <f t="shared" si="485"/>
        <v>43434</v>
      </c>
    </row>
    <row r="3707" spans="1:36" ht="12.75" customHeight="1">
      <c r="A3707" s="8">
        <v>43465</v>
      </c>
      <c r="B3707" s="358" t="s">
        <v>189</v>
      </c>
      <c r="C3707" s="6" t="s">
        <v>343</v>
      </c>
      <c r="D3707" s="93">
        <v>80797.190300000002</v>
      </c>
      <c r="F3707" s="93">
        <v>0.28000000000000003</v>
      </c>
      <c r="G3707" s="93"/>
      <c r="H3707" s="93">
        <v>0</v>
      </c>
      <c r="I3707" s="93">
        <v>0</v>
      </c>
      <c r="K3707" s="93">
        <v>0</v>
      </c>
      <c r="L3707" s="93">
        <f t="shared" si="481"/>
        <v>0</v>
      </c>
      <c r="M3707" s="95" t="e">
        <f t="shared" ca="1" si="482"/>
        <v>#DIV/0!</v>
      </c>
      <c r="N3707" s="95">
        <f>IF(P3707="Hedge Fund",IF(A3707=Summary!$AD$3,M3707-E3707,M3707),IF(A3707=Summary!$AD$3,L3707-D3707,L3707))</f>
        <v>0</v>
      </c>
      <c r="O3707" s="95"/>
      <c r="P3707" s="95" t="s">
        <v>155</v>
      </c>
      <c r="Q3707" s="95">
        <v>0</v>
      </c>
      <c r="R3707" s="95">
        <v>0</v>
      </c>
      <c r="S3707" s="95"/>
      <c r="T3707" s="95"/>
      <c r="U3707" s="95"/>
      <c r="V3707" s="95"/>
      <c r="W3707" s="95"/>
      <c r="X3707" s="95"/>
      <c r="Y3707" s="95"/>
      <c r="Z3707" s="95"/>
      <c r="AA3707" s="95"/>
      <c r="AB3707" s="95"/>
      <c r="AC3707" s="355"/>
      <c r="AD3707" s="355"/>
      <c r="AE3707" s="355"/>
      <c r="AF3707" s="94">
        <f t="shared" si="483"/>
        <v>43465</v>
      </c>
      <c r="AG3707" s="185">
        <f t="shared" si="487"/>
        <v>-0.72961568807839972</v>
      </c>
      <c r="AH3707" s="339" t="str">
        <f>VLOOKUP(B3707,'MF PF'!A:B,2)</f>
        <v>FdMgt1</v>
      </c>
      <c r="AI3707" s="358">
        <f t="shared" si="484"/>
        <v>0</v>
      </c>
      <c r="AJ3707" s="94">
        <f t="shared" si="485"/>
        <v>43465</v>
      </c>
    </row>
    <row r="3708" spans="1:36" ht="12.75" customHeight="1">
      <c r="A3708" s="8">
        <v>43496</v>
      </c>
      <c r="B3708" s="358" t="s">
        <v>189</v>
      </c>
      <c r="C3708" s="6" t="s">
        <v>343</v>
      </c>
      <c r="D3708" s="93">
        <v>131693.54610000001</v>
      </c>
      <c r="F3708" s="93">
        <v>0.28000000000000003</v>
      </c>
      <c r="G3708" s="93"/>
      <c r="H3708" s="93">
        <v>0</v>
      </c>
      <c r="I3708" s="93">
        <v>0</v>
      </c>
      <c r="K3708" s="93">
        <v>0</v>
      </c>
      <c r="L3708" s="93">
        <f t="shared" si="481"/>
        <v>0</v>
      </c>
      <c r="M3708" s="95" t="e">
        <f t="shared" ca="1" si="482"/>
        <v>#DIV/0!</v>
      </c>
      <c r="N3708" s="95">
        <f>IF(P3708="Hedge Fund",IF(A3708=Summary!$AD$3,M3708-E3708,M3708),IF(A3708=Summary!$AD$3,L3708-D3708,L3708))</f>
        <v>-131693.54610000001</v>
      </c>
      <c r="O3708" s="95">
        <f t="shared" ref="O3708:O3771" si="489">N3708</f>
        <v>-131693.54610000001</v>
      </c>
      <c r="P3708" s="95" t="s">
        <v>155</v>
      </c>
      <c r="Q3708" s="95">
        <v>0</v>
      </c>
      <c r="R3708" s="95">
        <v>0</v>
      </c>
      <c r="S3708" s="95"/>
      <c r="T3708" s="95"/>
      <c r="U3708" s="95"/>
      <c r="V3708" s="95"/>
      <c r="W3708" s="95"/>
      <c r="X3708" s="95"/>
      <c r="Y3708" s="95"/>
      <c r="Z3708" s="95"/>
      <c r="AA3708" s="95"/>
      <c r="AB3708" s="95"/>
      <c r="AC3708" s="355"/>
      <c r="AD3708" s="355"/>
      <c r="AE3708" s="355"/>
      <c r="AF3708" s="94">
        <f t="shared" si="483"/>
        <v>43496</v>
      </c>
      <c r="AG3708" s="185">
        <f t="shared" si="487"/>
        <v>0.629927298350621</v>
      </c>
      <c r="AH3708" s="339" t="str">
        <f>VLOOKUP(B3708,'MF PF'!A:B,2)</f>
        <v>FdMgt1</v>
      </c>
      <c r="AI3708" s="358">
        <f t="shared" si="484"/>
        <v>0</v>
      </c>
      <c r="AJ3708" s="94">
        <f t="shared" si="485"/>
        <v>43496</v>
      </c>
    </row>
    <row r="3709" spans="1:36" ht="12.75" customHeight="1">
      <c r="A3709" s="8">
        <v>41089</v>
      </c>
      <c r="B3709" s="94" t="s">
        <v>189</v>
      </c>
      <c r="C3709" s="6" t="s">
        <v>301</v>
      </c>
      <c r="D3709" s="98">
        <v>21564486.290804401</v>
      </c>
      <c r="E3709" s="9">
        <f t="shared" ref="E3709:E3740" si="490">D3709/K3709</f>
        <v>21689695.381823272</v>
      </c>
      <c r="F3709" s="98">
        <v>107.2</v>
      </c>
      <c r="G3709" s="98">
        <v>21440000</v>
      </c>
      <c r="H3709" s="98">
        <v>0</v>
      </c>
      <c r="I3709" s="98">
        <v>0</v>
      </c>
      <c r="J3709" s="98"/>
      <c r="K3709" s="93">
        <v>0.99422725451811556</v>
      </c>
      <c r="L3709" s="93">
        <f t="shared" si="481"/>
        <v>21440000</v>
      </c>
      <c r="M3709" s="95">
        <f t="shared" ca="1" si="482"/>
        <v>21689695.381823272</v>
      </c>
      <c r="N3709" s="95">
        <f>IF(P3709="Hedge Fund",IF(A3709=Summary!$AD$3,M3709-E3709,M3709),IF(A3709=Summary!$AD$3,L3709-D3709,L3709))</f>
        <v>21440000</v>
      </c>
      <c r="O3709" s="95">
        <f t="shared" si="489"/>
        <v>21440000</v>
      </c>
      <c r="P3709" s="107" t="s">
        <v>155</v>
      </c>
      <c r="Q3709" s="107">
        <v>0</v>
      </c>
      <c r="R3709" s="107">
        <v>0</v>
      </c>
      <c r="S3709" s="107">
        <v>0</v>
      </c>
      <c r="T3709" s="107">
        <v>0</v>
      </c>
      <c r="U3709" s="107"/>
      <c r="V3709" s="107"/>
      <c r="W3709" s="107"/>
      <c r="X3709" s="107"/>
      <c r="Y3709" s="107"/>
      <c r="Z3709" s="107"/>
      <c r="AA3709" s="107"/>
      <c r="AB3709" s="107"/>
      <c r="AC3709" s="355"/>
      <c r="AD3709" s="355"/>
      <c r="AE3709" s="355"/>
      <c r="AF3709" s="94">
        <f t="shared" si="483"/>
        <v>41089</v>
      </c>
      <c r="AG3709" s="185">
        <f t="shared" si="487"/>
        <v>5.8062635636380033E-3</v>
      </c>
      <c r="AH3709" s="339" t="str">
        <f>VLOOKUP(B3709,'MF PF'!A:B,2)</f>
        <v>FdMgt1</v>
      </c>
      <c r="AI3709" s="358">
        <f t="shared" si="484"/>
        <v>0</v>
      </c>
      <c r="AJ3709" s="94">
        <f t="shared" si="485"/>
        <v>41090</v>
      </c>
    </row>
    <row r="3710" spans="1:36" ht="12.75" customHeight="1">
      <c r="A3710" s="8">
        <v>41121</v>
      </c>
      <c r="B3710" s="94" t="s">
        <v>189</v>
      </c>
      <c r="C3710" s="6" t="s">
        <v>301</v>
      </c>
      <c r="D3710" s="98">
        <v>21465388.593513399</v>
      </c>
      <c r="E3710" s="9">
        <f t="shared" si="490"/>
        <v>21590022.297183249</v>
      </c>
      <c r="F3710" s="98">
        <v>107.2</v>
      </c>
      <c r="G3710" s="98">
        <v>0</v>
      </c>
      <c r="H3710" s="98">
        <v>0</v>
      </c>
      <c r="I3710" s="98">
        <v>0</v>
      </c>
      <c r="J3710" s="98"/>
      <c r="K3710" s="93">
        <v>0.99422725451811556</v>
      </c>
      <c r="L3710" s="93">
        <f t="shared" si="481"/>
        <v>0</v>
      </c>
      <c r="M3710" s="95">
        <f t="shared" ca="1" si="482"/>
        <v>0</v>
      </c>
      <c r="N3710" s="95">
        <f>IF(P3710="Hedge Fund",IF(A3710=Summary!$AD$3,M3710-E3710,M3710),IF(A3710=Summary!$AD$3,L3710-D3710,L3710))</f>
        <v>0</v>
      </c>
      <c r="O3710" s="95">
        <f t="shared" si="489"/>
        <v>0</v>
      </c>
      <c r="P3710" s="107" t="s">
        <v>155</v>
      </c>
      <c r="Q3710" s="107">
        <v>0</v>
      </c>
      <c r="R3710" s="107">
        <v>0</v>
      </c>
      <c r="S3710" s="107">
        <v>0</v>
      </c>
      <c r="T3710" s="107">
        <v>0</v>
      </c>
      <c r="U3710" s="107"/>
      <c r="V3710" s="107"/>
      <c r="W3710" s="107"/>
      <c r="X3710" s="107"/>
      <c r="Y3710" s="107"/>
      <c r="Z3710" s="107"/>
      <c r="AA3710" s="107"/>
      <c r="AB3710" s="107"/>
      <c r="AC3710" s="355"/>
      <c r="AD3710" s="355"/>
      <c r="AE3710" s="355"/>
      <c r="AF3710" s="94">
        <f t="shared" si="483"/>
        <v>41121</v>
      </c>
      <c r="AG3710" s="185">
        <f t="shared" si="487"/>
        <v>-4.5954119172900709E-3</v>
      </c>
      <c r="AH3710" s="339" t="str">
        <f>VLOOKUP(B3710,'MF PF'!A:B,2)</f>
        <v>FdMgt1</v>
      </c>
      <c r="AI3710" s="358">
        <f t="shared" si="484"/>
        <v>0</v>
      </c>
      <c r="AJ3710" s="94">
        <f t="shared" si="485"/>
        <v>41121</v>
      </c>
    </row>
    <row r="3711" spans="1:36" ht="12.75" customHeight="1">
      <c r="A3711" s="8">
        <v>41152</v>
      </c>
      <c r="B3711" s="94" t="s">
        <v>189</v>
      </c>
      <c r="C3711" s="6" t="s">
        <v>301</v>
      </c>
      <c r="D3711" s="98">
        <v>34185331.941</v>
      </c>
      <c r="E3711" s="9">
        <f t="shared" si="490"/>
        <v>21702736.619092535</v>
      </c>
      <c r="F3711" s="98">
        <v>107.2</v>
      </c>
      <c r="G3711" s="98">
        <v>12542400</v>
      </c>
      <c r="H3711" s="98">
        <v>0</v>
      </c>
      <c r="I3711" s="98">
        <v>0</v>
      </c>
      <c r="J3711" s="98"/>
      <c r="K3711" s="93">
        <v>1.5751622728963204</v>
      </c>
      <c r="L3711" s="93">
        <f t="shared" si="481"/>
        <v>12542400</v>
      </c>
      <c r="M3711" s="95">
        <f t="shared" ca="1" si="482"/>
        <v>0</v>
      </c>
      <c r="N3711" s="95">
        <f>IF(P3711="Hedge Fund",IF(A3711=Summary!$AD$3,M3711-E3711,M3711),IF(A3711=Summary!$AD$3,L3711-D3711,L3711))</f>
        <v>12542400</v>
      </c>
      <c r="O3711" s="95">
        <f t="shared" si="489"/>
        <v>12542400</v>
      </c>
      <c r="P3711" s="107" t="s">
        <v>155</v>
      </c>
      <c r="Q3711" s="107">
        <v>0</v>
      </c>
      <c r="R3711" s="107">
        <v>0</v>
      </c>
      <c r="S3711" s="107">
        <v>0</v>
      </c>
      <c r="T3711" s="107">
        <v>0</v>
      </c>
      <c r="U3711" s="107"/>
      <c r="V3711" s="107"/>
      <c r="W3711" s="107"/>
      <c r="X3711" s="107"/>
      <c r="Y3711" s="107"/>
      <c r="Z3711" s="107"/>
      <c r="AA3711" s="107"/>
      <c r="AB3711" s="107"/>
      <c r="AC3711" s="355"/>
      <c r="AD3711" s="355"/>
      <c r="AE3711" s="355"/>
      <c r="AF3711" s="94">
        <f t="shared" si="483"/>
        <v>41152</v>
      </c>
      <c r="AG3711" s="185">
        <f t="shared" si="487"/>
        <v>8.2711452771113692E-3</v>
      </c>
      <c r="AH3711" s="339" t="str">
        <f>VLOOKUP(B3711,'MF PF'!A:B,2)</f>
        <v>FdMgt1</v>
      </c>
      <c r="AI3711" s="358">
        <f t="shared" si="484"/>
        <v>0</v>
      </c>
      <c r="AJ3711" s="94">
        <f t="shared" si="485"/>
        <v>41152</v>
      </c>
    </row>
    <row r="3712" spans="1:36" ht="12.75" customHeight="1">
      <c r="A3712" s="8">
        <v>41180</v>
      </c>
      <c r="B3712" s="94" t="s">
        <v>189</v>
      </c>
      <c r="C3712" s="6" t="s">
        <v>301</v>
      </c>
      <c r="D3712" s="98">
        <v>40248978.190000005</v>
      </c>
      <c r="E3712" s="9">
        <f t="shared" si="490"/>
        <v>21449306.627039418</v>
      </c>
      <c r="F3712" s="98">
        <v>107.2</v>
      </c>
      <c r="G3712" s="98">
        <v>6539200</v>
      </c>
      <c r="H3712" s="98">
        <v>0</v>
      </c>
      <c r="I3712" s="98">
        <v>0</v>
      </c>
      <c r="J3712" s="98"/>
      <c r="K3712" s="93">
        <v>1.8764698966660931</v>
      </c>
      <c r="L3712" s="93">
        <f t="shared" si="481"/>
        <v>6539200</v>
      </c>
      <c r="M3712" s="95">
        <f t="shared" ca="1" si="482"/>
        <v>0</v>
      </c>
      <c r="N3712" s="95">
        <f>IF(P3712="Hedge Fund",IF(A3712=Summary!$AD$3,M3712-E3712,M3712),IF(A3712=Summary!$AD$3,L3712-D3712,L3712))</f>
        <v>6539200</v>
      </c>
      <c r="O3712" s="95">
        <f t="shared" si="489"/>
        <v>6539200</v>
      </c>
      <c r="P3712" s="107" t="s">
        <v>155</v>
      </c>
      <c r="Q3712" s="107">
        <v>0</v>
      </c>
      <c r="R3712" s="107">
        <v>0</v>
      </c>
      <c r="S3712" s="107">
        <v>0</v>
      </c>
      <c r="T3712" s="107">
        <v>0</v>
      </c>
      <c r="U3712" s="107"/>
      <c r="V3712" s="107"/>
      <c r="W3712" s="107"/>
      <c r="X3712" s="107"/>
      <c r="Y3712" s="107"/>
      <c r="Z3712" s="107"/>
      <c r="AA3712" s="107"/>
      <c r="AB3712" s="107"/>
      <c r="AC3712" s="355"/>
      <c r="AD3712" s="355"/>
      <c r="AE3712" s="355"/>
      <c r="AF3712" s="94">
        <f t="shared" si="483"/>
        <v>41180</v>
      </c>
      <c r="AG3712" s="185">
        <f t="shared" si="487"/>
        <v>-1.3911046755981427E-2</v>
      </c>
      <c r="AH3712" s="339" t="str">
        <f>VLOOKUP(B3712,'MF PF'!A:B,2)</f>
        <v>FdMgt1</v>
      </c>
      <c r="AI3712" s="358">
        <f t="shared" si="484"/>
        <v>0</v>
      </c>
      <c r="AJ3712" s="94">
        <f t="shared" si="485"/>
        <v>41182</v>
      </c>
    </row>
    <row r="3713" spans="1:36" ht="12.75" customHeight="1">
      <c r="A3713" s="8">
        <v>41213</v>
      </c>
      <c r="B3713" s="94" t="s">
        <v>189</v>
      </c>
      <c r="C3713" s="6" t="s">
        <v>301</v>
      </c>
      <c r="D3713" s="98">
        <v>40408338.159999996</v>
      </c>
      <c r="E3713" s="95">
        <f t="shared" si="490"/>
        <v>21534232.03420056</v>
      </c>
      <c r="F3713" s="98">
        <v>107.2</v>
      </c>
      <c r="G3713" s="98">
        <v>0</v>
      </c>
      <c r="H3713" s="98">
        <v>0</v>
      </c>
      <c r="I3713" s="98">
        <v>0</v>
      </c>
      <c r="J3713" s="98"/>
      <c r="K3713" s="93">
        <v>1.8764698966660931</v>
      </c>
      <c r="L3713" s="93">
        <f t="shared" ref="L3713:L3776" si="491">G3713+H3713+I3713</f>
        <v>0</v>
      </c>
      <c r="M3713" s="95">
        <f t="shared" ref="M3713:M3776" ca="1" si="492">IF(A3713&gt;INDIRECT("A"&amp;ROW()-1),I3713/K3713,E3713)</f>
        <v>0</v>
      </c>
      <c r="N3713" s="95">
        <f>IF(P3713="Hedge Fund",IF(A3713=Summary!$AD$3,M3713-E3713,M3713),IF(A3713=Summary!$AD$3,L3713-D3713,L3713))</f>
        <v>0</v>
      </c>
      <c r="O3713" s="95">
        <f t="shared" si="489"/>
        <v>0</v>
      </c>
      <c r="P3713" s="107" t="s">
        <v>155</v>
      </c>
      <c r="Q3713" s="107">
        <v>0</v>
      </c>
      <c r="R3713" s="107">
        <v>0</v>
      </c>
      <c r="S3713" s="107">
        <v>0</v>
      </c>
      <c r="T3713" s="107">
        <v>0</v>
      </c>
      <c r="U3713" s="107"/>
      <c r="V3713" s="107"/>
      <c r="W3713" s="107"/>
      <c r="X3713" s="107"/>
      <c r="Y3713" s="107"/>
      <c r="Z3713" s="107"/>
      <c r="AA3713" s="107"/>
      <c r="AB3713" s="107"/>
      <c r="AC3713" s="355"/>
      <c r="AD3713" s="355"/>
      <c r="AE3713" s="355"/>
      <c r="AF3713" s="94">
        <f t="shared" ref="AF3713:AF3776" si="493">A3713</f>
        <v>41213</v>
      </c>
      <c r="AG3713" s="185">
        <f t="shared" si="487"/>
        <v>3.9593544275264847E-3</v>
      </c>
      <c r="AH3713" s="339" t="str">
        <f>VLOOKUP(B3713,'MF PF'!A:B,2)</f>
        <v>FdMgt1</v>
      </c>
      <c r="AI3713" s="358">
        <f t="shared" ref="AI3713:AI3776" si="494">AF3713-A3713</f>
        <v>0</v>
      </c>
      <c r="AJ3713" s="94">
        <f t="shared" ref="AJ3713:AJ3776" si="495">EOMONTH(A3713,0)</f>
        <v>41213</v>
      </c>
    </row>
    <row r="3714" spans="1:36" ht="12.75" customHeight="1">
      <c r="A3714" s="8">
        <v>41243</v>
      </c>
      <c r="B3714" s="94" t="s">
        <v>189</v>
      </c>
      <c r="C3714" s="358" t="s">
        <v>301</v>
      </c>
      <c r="D3714" s="98">
        <v>65702283.609999992</v>
      </c>
      <c r="E3714" s="9">
        <f t="shared" si="490"/>
        <v>21462479.106736753</v>
      </c>
      <c r="F3714" s="98">
        <v>107.2</v>
      </c>
      <c r="G3714" s="98">
        <v>25513600</v>
      </c>
      <c r="H3714" s="98">
        <v>0</v>
      </c>
      <c r="I3714" s="98">
        <v>0</v>
      </c>
      <c r="J3714" s="98"/>
      <c r="K3714" s="93">
        <v>3.061262554211504</v>
      </c>
      <c r="L3714" s="93">
        <f t="shared" si="491"/>
        <v>25513600</v>
      </c>
      <c r="M3714" s="95">
        <f t="shared" ca="1" si="492"/>
        <v>0</v>
      </c>
      <c r="N3714" s="95">
        <f>IF(P3714="Hedge Fund",IF(A3714=Summary!$AD$3,M3714-E3714,M3714),IF(A3714=Summary!$AD$3,L3714-D3714,L3714))</f>
        <v>25513600</v>
      </c>
      <c r="O3714" s="95">
        <f t="shared" si="489"/>
        <v>25513600</v>
      </c>
      <c r="P3714" s="107" t="s">
        <v>155</v>
      </c>
      <c r="Q3714" s="107">
        <v>0</v>
      </c>
      <c r="R3714" s="107">
        <v>0</v>
      </c>
      <c r="S3714" s="107">
        <v>0</v>
      </c>
      <c r="T3714" s="107">
        <v>0</v>
      </c>
      <c r="U3714" s="107"/>
      <c r="V3714" s="107"/>
      <c r="W3714" s="107"/>
      <c r="X3714" s="107"/>
      <c r="Y3714" s="107"/>
      <c r="Z3714" s="107"/>
      <c r="AA3714" s="107"/>
      <c r="AB3714" s="107"/>
      <c r="AC3714" s="355"/>
      <c r="AD3714" s="355"/>
      <c r="AE3714" s="355"/>
      <c r="AF3714" s="94">
        <f t="shared" si="493"/>
        <v>41243</v>
      </c>
      <c r="AG3714" s="185">
        <f t="shared" si="487"/>
        <v>-5.4358719017413293E-3</v>
      </c>
      <c r="AH3714" s="339" t="str">
        <f>VLOOKUP(B3714,'MF PF'!A:B,2)</f>
        <v>FdMgt1</v>
      </c>
      <c r="AI3714" s="358">
        <f t="shared" si="494"/>
        <v>0</v>
      </c>
      <c r="AJ3714" s="94">
        <f t="shared" si="495"/>
        <v>41243</v>
      </c>
    </row>
    <row r="3715" spans="1:36" ht="12.75" customHeight="1">
      <c r="A3715" s="8">
        <v>41274</v>
      </c>
      <c r="B3715" s="94" t="s">
        <v>189</v>
      </c>
      <c r="C3715" s="358" t="s">
        <v>301</v>
      </c>
      <c r="D3715" s="98">
        <v>74387873.519999996</v>
      </c>
      <c r="E3715" s="9">
        <f t="shared" si="490"/>
        <v>21525210.412354339</v>
      </c>
      <c r="F3715" s="98">
        <v>107.2</v>
      </c>
      <c r="G3715" s="98">
        <v>8468800</v>
      </c>
      <c r="H3715" s="98">
        <v>0</v>
      </c>
      <c r="I3715" s="98">
        <v>0</v>
      </c>
      <c r="J3715" s="98"/>
      <c r="K3715" s="93">
        <v>3.4558488439818116</v>
      </c>
      <c r="L3715" s="93">
        <f t="shared" si="491"/>
        <v>8468800</v>
      </c>
      <c r="M3715" s="95">
        <f t="shared" ca="1" si="492"/>
        <v>0</v>
      </c>
      <c r="N3715" s="95">
        <f>IF(P3715="Hedge Fund",IF(A3715=Summary!$AD$3,M3715-E3715,M3715),IF(A3715=Summary!$AD$3,L3715-D3715,L3715))</f>
        <v>8468800</v>
      </c>
      <c r="O3715" s="95">
        <f t="shared" si="489"/>
        <v>8468800</v>
      </c>
      <c r="P3715" s="107" t="s">
        <v>155</v>
      </c>
      <c r="Q3715" s="107">
        <v>0</v>
      </c>
      <c r="R3715" s="107">
        <v>0</v>
      </c>
      <c r="S3715" s="107">
        <v>0</v>
      </c>
      <c r="T3715" s="107">
        <v>0</v>
      </c>
      <c r="U3715" s="107"/>
      <c r="V3715" s="107"/>
      <c r="W3715" s="107"/>
      <c r="X3715" s="107"/>
      <c r="Y3715" s="107"/>
      <c r="Z3715" s="107"/>
      <c r="AA3715" s="107"/>
      <c r="AB3715" s="107"/>
      <c r="AC3715" s="355"/>
      <c r="AD3715" s="355"/>
      <c r="AE3715" s="355"/>
      <c r="AF3715" s="94">
        <f t="shared" si="493"/>
        <v>41274</v>
      </c>
      <c r="AG3715" s="185">
        <f t="shared" si="487"/>
        <v>3.2995795288766061E-3</v>
      </c>
      <c r="AH3715" s="339" t="str">
        <f>VLOOKUP(B3715,'MF PF'!A:B,2)</f>
        <v>FdMgt1</v>
      </c>
      <c r="AI3715" s="358">
        <f t="shared" si="494"/>
        <v>0</v>
      </c>
      <c r="AJ3715" s="94">
        <f t="shared" si="495"/>
        <v>41274</v>
      </c>
    </row>
    <row r="3716" spans="1:36" ht="12.75" customHeight="1">
      <c r="A3716" s="8">
        <v>41305</v>
      </c>
      <c r="B3716" s="94" t="s">
        <v>189</v>
      </c>
      <c r="C3716" s="358" t="s">
        <v>301</v>
      </c>
      <c r="D3716" s="98">
        <v>73416224.450000003</v>
      </c>
      <c r="E3716" s="9">
        <f t="shared" si="490"/>
        <v>21244049.657394797</v>
      </c>
      <c r="F3716" s="98">
        <v>107.2</v>
      </c>
      <c r="G3716" s="98">
        <v>0</v>
      </c>
      <c r="H3716" s="98">
        <v>0</v>
      </c>
      <c r="I3716" s="98">
        <v>0</v>
      </c>
      <c r="J3716" s="98"/>
      <c r="K3716" s="93">
        <v>3.4558488439818116</v>
      </c>
      <c r="L3716" s="93">
        <f t="shared" si="491"/>
        <v>0</v>
      </c>
      <c r="M3716" s="95">
        <f t="shared" ca="1" si="492"/>
        <v>0</v>
      </c>
      <c r="N3716" s="95">
        <f>IF(P3716="Hedge Fund",IF(A3716=Summary!$AD$3,M3716-E3716,M3716),IF(A3716=Summary!$AD$3,L3716-D3716,L3716))</f>
        <v>0</v>
      </c>
      <c r="O3716" s="95">
        <f t="shared" si="489"/>
        <v>0</v>
      </c>
      <c r="P3716" s="107" t="s">
        <v>155</v>
      </c>
      <c r="Q3716" s="107">
        <v>0</v>
      </c>
      <c r="R3716" s="107">
        <v>0</v>
      </c>
      <c r="S3716" s="107">
        <v>0</v>
      </c>
      <c r="T3716" s="107">
        <v>0</v>
      </c>
      <c r="U3716" s="107"/>
      <c r="V3716" s="107"/>
      <c r="W3716" s="107"/>
      <c r="X3716" s="107"/>
      <c r="Y3716" s="107"/>
      <c r="Z3716" s="107"/>
      <c r="AA3716" s="107"/>
      <c r="AB3716" s="107"/>
      <c r="AC3716" s="355"/>
      <c r="AD3716" s="355"/>
      <c r="AE3716" s="355"/>
      <c r="AF3716" s="94">
        <f t="shared" si="493"/>
        <v>41305</v>
      </c>
      <c r="AG3716" s="185">
        <f t="shared" si="487"/>
        <v>-1.306192829586339E-2</v>
      </c>
      <c r="AH3716" s="339" t="str">
        <f>VLOOKUP(B3716,'MF PF'!A:B,2)</f>
        <v>FdMgt1</v>
      </c>
      <c r="AI3716" s="358">
        <f t="shared" si="494"/>
        <v>0</v>
      </c>
      <c r="AJ3716" s="94">
        <f t="shared" si="495"/>
        <v>41305</v>
      </c>
    </row>
    <row r="3717" spans="1:36" ht="12.75" customHeight="1">
      <c r="A3717" s="8">
        <v>41333</v>
      </c>
      <c r="B3717" s="94" t="s">
        <v>189</v>
      </c>
      <c r="C3717" s="358" t="s">
        <v>301</v>
      </c>
      <c r="D3717" s="98">
        <v>83755163.390000001</v>
      </c>
      <c r="E3717" s="9">
        <f t="shared" si="490"/>
        <v>21504017.571929634</v>
      </c>
      <c r="F3717" s="98">
        <v>107.2</v>
      </c>
      <c r="G3717" s="98">
        <v>9326400</v>
      </c>
      <c r="H3717" s="98">
        <v>0</v>
      </c>
      <c r="I3717" s="98">
        <v>0</v>
      </c>
      <c r="J3717" s="98"/>
      <c r="K3717" s="93">
        <v>3.8948611862803806</v>
      </c>
      <c r="L3717" s="93">
        <f t="shared" si="491"/>
        <v>9326400</v>
      </c>
      <c r="M3717" s="95">
        <f t="shared" ca="1" si="492"/>
        <v>0</v>
      </c>
      <c r="N3717" s="95">
        <f>IF(P3717="Hedge Fund",IF(A3717=Summary!$AD$3,M3717-E3717,M3717),IF(A3717=Summary!$AD$3,L3717-D3717,L3717))</f>
        <v>9326400</v>
      </c>
      <c r="O3717" s="95">
        <f t="shared" si="489"/>
        <v>9326400</v>
      </c>
      <c r="P3717" s="107" t="s">
        <v>155</v>
      </c>
      <c r="Q3717" s="107">
        <v>0</v>
      </c>
      <c r="R3717" s="107">
        <v>0</v>
      </c>
      <c r="S3717" s="107">
        <v>0</v>
      </c>
      <c r="T3717" s="107">
        <v>0</v>
      </c>
      <c r="U3717" s="107"/>
      <c r="V3717" s="107"/>
      <c r="W3717" s="107"/>
      <c r="X3717" s="107"/>
      <c r="Y3717" s="107"/>
      <c r="Z3717" s="107"/>
      <c r="AA3717" s="107"/>
      <c r="AB3717" s="107"/>
      <c r="AC3717" s="355"/>
      <c r="AD3717" s="355"/>
      <c r="AE3717" s="355"/>
      <c r="AF3717" s="94">
        <f t="shared" si="493"/>
        <v>41333</v>
      </c>
      <c r="AG3717" s="185">
        <f t="shared" si="487"/>
        <v>1.379175989483894E-2</v>
      </c>
      <c r="AH3717" s="339" t="str">
        <f>VLOOKUP(B3717,'MF PF'!A:B,2)</f>
        <v>FdMgt1</v>
      </c>
      <c r="AI3717" s="358">
        <f t="shared" si="494"/>
        <v>0</v>
      </c>
      <c r="AJ3717" s="94">
        <f t="shared" si="495"/>
        <v>41333</v>
      </c>
    </row>
    <row r="3718" spans="1:36" ht="12.75" customHeight="1">
      <c r="A3718" s="8">
        <v>41361</v>
      </c>
      <c r="B3718" s="94" t="s">
        <v>189</v>
      </c>
      <c r="C3718" s="358" t="s">
        <v>301</v>
      </c>
      <c r="D3718" s="98">
        <v>90010294</v>
      </c>
      <c r="E3718" s="9">
        <f t="shared" si="490"/>
        <v>21487385.995601173</v>
      </c>
      <c r="F3718" s="98">
        <v>107.2</v>
      </c>
      <c r="G3718" s="98">
        <v>6324800</v>
      </c>
      <c r="H3718" s="98">
        <v>0</v>
      </c>
      <c r="I3718" s="98">
        <v>0</v>
      </c>
      <c r="J3718" s="98"/>
      <c r="K3718" s="93">
        <v>4.1889829697491638</v>
      </c>
      <c r="L3718" s="93">
        <f t="shared" si="491"/>
        <v>6324800</v>
      </c>
      <c r="M3718" s="95">
        <f t="shared" ca="1" si="492"/>
        <v>0</v>
      </c>
      <c r="N3718" s="95">
        <f>IF(P3718="Hedge Fund",IF(A3718=Summary!$AD$3,M3718-E3718,M3718),IF(A3718=Summary!$AD$3,L3718-D3718,L3718))</f>
        <v>6324800</v>
      </c>
      <c r="O3718" s="95">
        <f t="shared" si="489"/>
        <v>6324800</v>
      </c>
      <c r="P3718" s="107" t="s">
        <v>155</v>
      </c>
      <c r="Q3718" s="107">
        <v>0</v>
      </c>
      <c r="R3718" s="107">
        <v>0</v>
      </c>
      <c r="S3718" s="107">
        <v>0</v>
      </c>
      <c r="T3718" s="107">
        <v>0</v>
      </c>
      <c r="U3718" s="107"/>
      <c r="V3718" s="107"/>
      <c r="W3718" s="107"/>
      <c r="X3718" s="107"/>
      <c r="Y3718" s="107"/>
      <c r="Z3718" s="107"/>
      <c r="AA3718" s="107"/>
      <c r="AB3718" s="107"/>
      <c r="AC3718" s="355"/>
      <c r="AD3718" s="355"/>
      <c r="AE3718" s="355"/>
      <c r="AF3718" s="94">
        <f t="shared" si="493"/>
        <v>41361</v>
      </c>
      <c r="AG3718" s="185">
        <f t="shared" si="487"/>
        <v>-8.3182202959342089E-4</v>
      </c>
      <c r="AH3718" s="339" t="str">
        <f>VLOOKUP(B3718,'MF PF'!A:B,2)</f>
        <v>FdMgt1</v>
      </c>
      <c r="AI3718" s="358">
        <f t="shared" si="494"/>
        <v>0</v>
      </c>
      <c r="AJ3718" s="94">
        <f t="shared" si="495"/>
        <v>41364</v>
      </c>
    </row>
    <row r="3719" spans="1:36" ht="12.75" customHeight="1">
      <c r="A3719" s="8">
        <v>41394</v>
      </c>
      <c r="B3719" s="94" t="s">
        <v>189</v>
      </c>
      <c r="C3719" s="358" t="s">
        <v>301</v>
      </c>
      <c r="D3719" s="98">
        <v>92354108.739999995</v>
      </c>
      <c r="E3719" s="9">
        <f t="shared" si="490"/>
        <v>21237517.593524121</v>
      </c>
      <c r="F3719" s="98">
        <v>107.2</v>
      </c>
      <c r="G3719" s="98">
        <v>3430400</v>
      </c>
      <c r="H3719" s="98">
        <v>0</v>
      </c>
      <c r="I3719" s="98">
        <v>0</v>
      </c>
      <c r="J3719" s="98"/>
      <c r="K3719" s="93">
        <v>4.3486301227673234</v>
      </c>
      <c r="L3719" s="93">
        <f t="shared" si="491"/>
        <v>3430400</v>
      </c>
      <c r="M3719" s="95">
        <f t="shared" ca="1" si="492"/>
        <v>0</v>
      </c>
      <c r="N3719" s="95">
        <f>IF(P3719="Hedge Fund",IF(A3719=Summary!$AD$3,M3719-E3719,M3719),IF(A3719=Summary!$AD$3,L3719-D3719,L3719))</f>
        <v>3430400</v>
      </c>
      <c r="O3719" s="95">
        <f t="shared" si="489"/>
        <v>3430400</v>
      </c>
      <c r="P3719" s="107" t="s">
        <v>155</v>
      </c>
      <c r="Q3719" s="107">
        <v>0</v>
      </c>
      <c r="R3719" s="107">
        <v>0</v>
      </c>
      <c r="S3719" s="107">
        <v>0</v>
      </c>
      <c r="T3719" s="107">
        <v>0</v>
      </c>
      <c r="U3719" s="107"/>
      <c r="V3719" s="107"/>
      <c r="W3719" s="107"/>
      <c r="X3719" s="107"/>
      <c r="Y3719" s="107"/>
      <c r="Z3719" s="107"/>
      <c r="AA3719" s="107"/>
      <c r="AB3719" s="107"/>
      <c r="AC3719" s="355"/>
      <c r="AD3719" s="355"/>
      <c r="AE3719" s="355"/>
      <c r="AF3719" s="94">
        <f t="shared" si="493"/>
        <v>41394</v>
      </c>
      <c r="AG3719" s="185">
        <f t="shared" si="487"/>
        <v>-1.2071788811177542E-2</v>
      </c>
      <c r="AH3719" s="339" t="str">
        <f>VLOOKUP(B3719,'MF PF'!A:B,2)</f>
        <v>FdMgt1</v>
      </c>
      <c r="AI3719" s="358">
        <f t="shared" si="494"/>
        <v>0</v>
      </c>
      <c r="AJ3719" s="94">
        <f t="shared" si="495"/>
        <v>41394</v>
      </c>
    </row>
    <row r="3720" spans="1:36" ht="12.75" customHeight="1">
      <c r="A3720" s="8">
        <v>41425</v>
      </c>
      <c r="B3720" s="94" t="s">
        <v>189</v>
      </c>
      <c r="C3720" s="358" t="s">
        <v>301</v>
      </c>
      <c r="D3720" s="98">
        <v>92802667.760000005</v>
      </c>
      <c r="E3720" s="9">
        <f t="shared" si="490"/>
        <v>21340667.092869118</v>
      </c>
      <c r="F3720" s="98">
        <v>107.2</v>
      </c>
      <c r="G3720" s="98">
        <v>0</v>
      </c>
      <c r="H3720" s="98">
        <v>0</v>
      </c>
      <c r="I3720" s="98">
        <v>0</v>
      </c>
      <c r="J3720" s="98"/>
      <c r="K3720" s="93">
        <v>4.3486301227673234</v>
      </c>
      <c r="L3720" s="93">
        <f t="shared" si="491"/>
        <v>0</v>
      </c>
      <c r="M3720" s="95">
        <f t="shared" ca="1" si="492"/>
        <v>0</v>
      </c>
      <c r="N3720" s="95">
        <f>IF(P3720="Hedge Fund",IF(A3720=Summary!$AD$3,M3720-E3720,M3720),IF(A3720=Summary!$AD$3,L3720-D3720,L3720))</f>
        <v>0</v>
      </c>
      <c r="O3720" s="95">
        <f t="shared" si="489"/>
        <v>0</v>
      </c>
      <c r="P3720" s="107" t="s">
        <v>155</v>
      </c>
      <c r="Q3720" s="107">
        <v>0</v>
      </c>
      <c r="R3720" s="107">
        <v>0</v>
      </c>
      <c r="S3720" s="107">
        <v>0</v>
      </c>
      <c r="T3720" s="107">
        <v>0</v>
      </c>
      <c r="U3720" s="107"/>
      <c r="V3720" s="107"/>
      <c r="W3720" s="107"/>
      <c r="X3720" s="107"/>
      <c r="Y3720" s="107"/>
      <c r="Z3720" s="107"/>
      <c r="AA3720" s="107"/>
      <c r="AB3720" s="107"/>
      <c r="AC3720" s="355"/>
      <c r="AD3720" s="355"/>
      <c r="AE3720" s="355"/>
      <c r="AF3720" s="94">
        <f t="shared" si="493"/>
        <v>41425</v>
      </c>
      <c r="AG3720" s="185">
        <f t="shared" si="487"/>
        <v>4.8569470933104153E-3</v>
      </c>
      <c r="AH3720" s="339" t="str">
        <f>VLOOKUP(B3720,'MF PF'!A:B,2)</f>
        <v>FdMgt1</v>
      </c>
      <c r="AI3720" s="358">
        <f t="shared" si="494"/>
        <v>0</v>
      </c>
      <c r="AJ3720" s="94">
        <f t="shared" si="495"/>
        <v>41425</v>
      </c>
    </row>
    <row r="3721" spans="1:36" ht="12.75" customHeight="1">
      <c r="A3721" s="8">
        <v>41453</v>
      </c>
      <c r="B3721" s="94" t="s">
        <v>189</v>
      </c>
      <c r="C3721" s="358" t="s">
        <v>301</v>
      </c>
      <c r="D3721" s="98">
        <v>93690147.041999996</v>
      </c>
      <c r="E3721" s="95">
        <f t="shared" si="490"/>
        <v>21544749.587113358</v>
      </c>
      <c r="F3721" s="98">
        <v>107.2</v>
      </c>
      <c r="G3721" s="98">
        <v>0</v>
      </c>
      <c r="H3721" s="98">
        <v>0</v>
      </c>
      <c r="I3721" s="98">
        <v>0</v>
      </c>
      <c r="J3721" s="98"/>
      <c r="K3721" s="93">
        <v>4.3486301227673234</v>
      </c>
      <c r="L3721" s="93">
        <f t="shared" si="491"/>
        <v>0</v>
      </c>
      <c r="M3721" s="95">
        <f t="shared" ca="1" si="492"/>
        <v>0</v>
      </c>
      <c r="N3721" s="95">
        <f>IF(P3721="Hedge Fund",IF(A3721=Summary!$AD$3,M3721-E3721,M3721),IF(A3721=Summary!$AD$3,L3721-D3721,L3721))</f>
        <v>0</v>
      </c>
      <c r="O3721" s="95">
        <f t="shared" si="489"/>
        <v>0</v>
      </c>
      <c r="P3721" s="107" t="s">
        <v>155</v>
      </c>
      <c r="Q3721" s="107">
        <v>0</v>
      </c>
      <c r="R3721" s="107">
        <v>0</v>
      </c>
      <c r="S3721" s="107">
        <v>0</v>
      </c>
      <c r="T3721" s="107">
        <v>0</v>
      </c>
      <c r="U3721" s="107"/>
      <c r="V3721" s="107"/>
      <c r="W3721" s="107"/>
      <c r="X3721" s="107"/>
      <c r="Y3721" s="107"/>
      <c r="Z3721" s="107"/>
      <c r="AA3721" s="107"/>
      <c r="AB3721" s="107"/>
      <c r="AC3721" s="355"/>
      <c r="AD3721" s="355"/>
      <c r="AE3721" s="355"/>
      <c r="AF3721" s="94">
        <f t="shared" si="493"/>
        <v>41453</v>
      </c>
      <c r="AG3721" s="185">
        <f t="shared" si="487"/>
        <v>9.5630794180951995E-3</v>
      </c>
      <c r="AH3721" s="339" t="str">
        <f>VLOOKUP(B3721,'MF PF'!A:B,2)</f>
        <v>FdMgt1</v>
      </c>
      <c r="AI3721" s="358">
        <f t="shared" si="494"/>
        <v>0</v>
      </c>
      <c r="AJ3721" s="94">
        <f t="shared" si="495"/>
        <v>41455</v>
      </c>
    </row>
    <row r="3722" spans="1:36" ht="12.75" customHeight="1">
      <c r="A3722" s="8">
        <v>41486</v>
      </c>
      <c r="B3722" s="94" t="s">
        <v>189</v>
      </c>
      <c r="C3722" s="358" t="s">
        <v>301</v>
      </c>
      <c r="D3722" s="98">
        <v>90883198.959999993</v>
      </c>
      <c r="E3722" s="95">
        <f t="shared" si="490"/>
        <v>20899270.895489488</v>
      </c>
      <c r="F3722" s="98">
        <v>107.2</v>
      </c>
      <c r="G3722" s="98">
        <v>0</v>
      </c>
      <c r="H3722" s="98">
        <v>0</v>
      </c>
      <c r="I3722" s="98">
        <v>0</v>
      </c>
      <c r="J3722" s="98"/>
      <c r="K3722" s="93">
        <v>4.3486301227673234</v>
      </c>
      <c r="L3722" s="93">
        <f t="shared" si="491"/>
        <v>0</v>
      </c>
      <c r="M3722" s="95">
        <f t="shared" ca="1" si="492"/>
        <v>0</v>
      </c>
      <c r="N3722" s="95">
        <f>IF(P3722="Hedge Fund",IF(A3722=Summary!$AD$3,M3722-E3722,M3722),IF(A3722=Summary!$AD$3,L3722-D3722,L3722))</f>
        <v>0</v>
      </c>
      <c r="O3722" s="95">
        <f t="shared" si="489"/>
        <v>0</v>
      </c>
      <c r="P3722" s="107" t="s">
        <v>155</v>
      </c>
      <c r="Q3722" s="107">
        <v>0</v>
      </c>
      <c r="R3722" s="107">
        <v>0</v>
      </c>
      <c r="S3722" s="107">
        <v>0</v>
      </c>
      <c r="T3722" s="107">
        <v>0</v>
      </c>
      <c r="U3722" s="107"/>
      <c r="V3722" s="107"/>
      <c r="W3722" s="107"/>
      <c r="X3722" s="107"/>
      <c r="Y3722" s="107"/>
      <c r="Z3722" s="107"/>
      <c r="AA3722" s="107"/>
      <c r="AB3722" s="107"/>
      <c r="AC3722" s="355"/>
      <c r="AD3722" s="355"/>
      <c r="AE3722" s="355"/>
      <c r="AF3722" s="94">
        <f t="shared" si="493"/>
        <v>41486</v>
      </c>
      <c r="AG3722" s="185">
        <f t="shared" si="487"/>
        <v>-2.995990689118766E-2</v>
      </c>
      <c r="AH3722" s="339" t="str">
        <f>VLOOKUP(B3722,'MF PF'!A:B,2)</f>
        <v>FdMgt1</v>
      </c>
      <c r="AI3722" s="358">
        <f t="shared" si="494"/>
        <v>0</v>
      </c>
      <c r="AJ3722" s="94">
        <f t="shared" si="495"/>
        <v>41486</v>
      </c>
    </row>
    <row r="3723" spans="1:36" ht="12.75" customHeight="1">
      <c r="A3723" s="8">
        <v>41516</v>
      </c>
      <c r="B3723" s="94" t="s">
        <v>189</v>
      </c>
      <c r="C3723" s="358" t="s">
        <v>301</v>
      </c>
      <c r="D3723" s="98">
        <v>89248684.510000005</v>
      </c>
      <c r="E3723" s="95">
        <f t="shared" si="490"/>
        <v>20523402.08074655</v>
      </c>
      <c r="F3723" s="98">
        <v>107.2</v>
      </c>
      <c r="G3723" s="98">
        <v>0</v>
      </c>
      <c r="H3723" s="98">
        <v>0</v>
      </c>
      <c r="I3723" s="98">
        <v>0</v>
      </c>
      <c r="J3723" s="98"/>
      <c r="K3723" s="93">
        <v>4.3486301227673234</v>
      </c>
      <c r="L3723" s="93">
        <f t="shared" si="491"/>
        <v>0</v>
      </c>
      <c r="M3723" s="95">
        <f t="shared" ca="1" si="492"/>
        <v>0</v>
      </c>
      <c r="N3723" s="95">
        <f>IF(P3723="Hedge Fund",IF(A3723=Summary!$AD$3,M3723-E3723,M3723),IF(A3723=Summary!$AD$3,L3723-D3723,L3723))</f>
        <v>0</v>
      </c>
      <c r="O3723" s="95">
        <f t="shared" si="489"/>
        <v>0</v>
      </c>
      <c r="P3723" s="107" t="s">
        <v>155</v>
      </c>
      <c r="Q3723" s="107">
        <v>0</v>
      </c>
      <c r="R3723" s="107">
        <v>0</v>
      </c>
      <c r="S3723" s="107">
        <v>0</v>
      </c>
      <c r="T3723" s="107">
        <v>0</v>
      </c>
      <c r="U3723" s="107"/>
      <c r="V3723" s="107"/>
      <c r="W3723" s="107"/>
      <c r="X3723" s="107"/>
      <c r="Y3723" s="107"/>
      <c r="Z3723" s="107"/>
      <c r="AA3723" s="107"/>
      <c r="AB3723" s="107"/>
      <c r="AC3723" s="355"/>
      <c r="AD3723" s="355"/>
      <c r="AE3723" s="355"/>
      <c r="AF3723" s="94">
        <f t="shared" si="493"/>
        <v>41516</v>
      </c>
      <c r="AG3723" s="185">
        <f t="shared" si="487"/>
        <v>-1.7984781221437651E-2</v>
      </c>
      <c r="AH3723" s="339" t="str">
        <f>VLOOKUP(B3723,'MF PF'!A:B,2)</f>
        <v>FdMgt1</v>
      </c>
      <c r="AI3723" s="358">
        <f t="shared" si="494"/>
        <v>0</v>
      </c>
      <c r="AJ3723" s="94">
        <f t="shared" si="495"/>
        <v>41517</v>
      </c>
    </row>
    <row r="3724" spans="1:36" ht="12.75" customHeight="1">
      <c r="A3724" s="8">
        <v>41547</v>
      </c>
      <c r="B3724" s="94" t="s">
        <v>189</v>
      </c>
      <c r="C3724" s="358" t="s">
        <v>301</v>
      </c>
      <c r="D3724" s="98">
        <v>102852261.5</v>
      </c>
      <c r="E3724" s="9">
        <f t="shared" si="490"/>
        <v>20521242.657013416</v>
      </c>
      <c r="F3724" s="98">
        <v>107.2</v>
      </c>
      <c r="G3724" s="98">
        <v>13614400</v>
      </c>
      <c r="H3724" s="98">
        <v>0</v>
      </c>
      <c r="I3724" s="98">
        <v>0</v>
      </c>
      <c r="J3724" s="98"/>
      <c r="K3724" s="93">
        <v>5.0119899276591235</v>
      </c>
      <c r="L3724" s="93">
        <f t="shared" si="491"/>
        <v>13614400</v>
      </c>
      <c r="M3724" s="95">
        <f t="shared" ca="1" si="492"/>
        <v>0</v>
      </c>
      <c r="N3724" s="95">
        <f>IF(P3724="Hedge Fund",IF(A3724=Summary!$AD$3,M3724-E3724,M3724),IF(A3724=Summary!$AD$3,L3724-D3724,L3724))</f>
        <v>13614400</v>
      </c>
      <c r="O3724" s="95">
        <f t="shared" si="489"/>
        <v>13614400</v>
      </c>
      <c r="P3724" s="107" t="s">
        <v>155</v>
      </c>
      <c r="Q3724" s="107">
        <v>0</v>
      </c>
      <c r="R3724" s="107">
        <v>0</v>
      </c>
      <c r="S3724" s="107">
        <v>0</v>
      </c>
      <c r="T3724" s="107">
        <v>0</v>
      </c>
      <c r="U3724" s="107"/>
      <c r="V3724" s="107"/>
      <c r="W3724" s="107"/>
      <c r="X3724" s="107"/>
      <c r="Y3724" s="107"/>
      <c r="Z3724" s="107"/>
      <c r="AA3724" s="107"/>
      <c r="AB3724" s="107"/>
      <c r="AC3724" s="355"/>
      <c r="AD3724" s="355"/>
      <c r="AE3724" s="355"/>
      <c r="AF3724" s="94">
        <f t="shared" si="493"/>
        <v>41547</v>
      </c>
      <c r="AG3724" s="185">
        <f t="shared" si="487"/>
        <v>-1.2126800590317455E-4</v>
      </c>
      <c r="AH3724" s="339" t="str">
        <f>VLOOKUP(B3724,'MF PF'!A:B,2)</f>
        <v>FdMgt1</v>
      </c>
      <c r="AI3724" s="358">
        <f t="shared" si="494"/>
        <v>0</v>
      </c>
      <c r="AJ3724" s="94">
        <f t="shared" si="495"/>
        <v>41547</v>
      </c>
    </row>
    <row r="3725" spans="1:36" ht="12.75" customHeight="1">
      <c r="A3725" s="8">
        <v>41578</v>
      </c>
      <c r="B3725" s="94" t="s">
        <v>189</v>
      </c>
      <c r="C3725" s="358" t="s">
        <v>301</v>
      </c>
      <c r="D3725" s="98">
        <v>87194844.069999993</v>
      </c>
      <c r="E3725" s="9">
        <f t="shared" si="490"/>
        <v>17397250.459105533</v>
      </c>
      <c r="F3725" s="98">
        <v>107.2</v>
      </c>
      <c r="G3725" s="98">
        <v>0</v>
      </c>
      <c r="H3725" s="98">
        <v>0</v>
      </c>
      <c r="I3725" s="98">
        <v>-17046636.449999999</v>
      </c>
      <c r="J3725" s="98"/>
      <c r="K3725" s="93">
        <v>5.0119899276591235</v>
      </c>
      <c r="L3725" s="93">
        <f t="shared" si="491"/>
        <v>-17046636.449999999</v>
      </c>
      <c r="M3725" s="95">
        <f t="shared" ca="1" si="492"/>
        <v>-3401171.330358543</v>
      </c>
      <c r="N3725" s="95">
        <f>IF(P3725="Hedge Fund",IF(A3725=Summary!$AD$3,M3725-E3725,M3725),IF(A3725=Summary!$AD$3,L3725-D3725,L3725))</f>
        <v>-17046636.449999999</v>
      </c>
      <c r="O3725" s="95">
        <f t="shared" si="489"/>
        <v>-17046636.449999999</v>
      </c>
      <c r="P3725" s="107" t="s">
        <v>155</v>
      </c>
      <c r="Q3725" s="107">
        <v>0</v>
      </c>
      <c r="R3725" s="107">
        <v>0</v>
      </c>
      <c r="S3725" s="107">
        <v>0</v>
      </c>
      <c r="T3725" s="107">
        <v>0</v>
      </c>
      <c r="U3725" s="107"/>
      <c r="V3725" s="107"/>
      <c r="W3725" s="107"/>
      <c r="X3725" s="107"/>
      <c r="Y3725" s="107"/>
      <c r="Z3725" s="107"/>
      <c r="AA3725" s="107"/>
      <c r="AB3725" s="107"/>
      <c r="AC3725" s="355"/>
      <c r="AD3725" s="355"/>
      <c r="AE3725" s="355"/>
      <c r="AF3725" s="94">
        <f t="shared" si="493"/>
        <v>41578</v>
      </c>
      <c r="AG3725" s="185">
        <f t="shared" si="487"/>
        <v>1.3506937035117961E-2</v>
      </c>
      <c r="AH3725" s="339" t="str">
        <f>VLOOKUP(B3725,'MF PF'!A:B,2)</f>
        <v>FdMgt1</v>
      </c>
      <c r="AI3725" s="358">
        <f t="shared" si="494"/>
        <v>0</v>
      </c>
      <c r="AJ3725" s="94">
        <f t="shared" si="495"/>
        <v>41578</v>
      </c>
    </row>
    <row r="3726" spans="1:36" ht="12.75" customHeight="1">
      <c r="A3726" s="8">
        <v>41607</v>
      </c>
      <c r="B3726" s="94" t="s">
        <v>189</v>
      </c>
      <c r="C3726" s="358" t="s">
        <v>301</v>
      </c>
      <c r="D3726" s="98">
        <v>86864580.400000006</v>
      </c>
      <c r="E3726" s="95">
        <f t="shared" si="490"/>
        <v>17331355.73968932</v>
      </c>
      <c r="F3726" s="98">
        <v>107.2</v>
      </c>
      <c r="G3726" s="98">
        <v>0</v>
      </c>
      <c r="H3726" s="98">
        <v>0</v>
      </c>
      <c r="I3726" s="98">
        <v>0</v>
      </c>
      <c r="J3726" s="98"/>
      <c r="K3726" s="93">
        <v>5.0119899276591235</v>
      </c>
      <c r="L3726" s="93">
        <f t="shared" si="491"/>
        <v>0</v>
      </c>
      <c r="M3726" s="95">
        <f t="shared" ca="1" si="492"/>
        <v>0</v>
      </c>
      <c r="N3726" s="95">
        <f>IF(P3726="Hedge Fund",IF(A3726=Summary!$AD$3,M3726-E3726,M3726),IF(A3726=Summary!$AD$3,L3726-D3726,L3726))</f>
        <v>0</v>
      </c>
      <c r="O3726" s="95">
        <f t="shared" si="489"/>
        <v>0</v>
      </c>
      <c r="P3726" s="107" t="s">
        <v>155</v>
      </c>
      <c r="Q3726" s="107">
        <v>0</v>
      </c>
      <c r="R3726" s="107">
        <v>0</v>
      </c>
      <c r="S3726" s="107">
        <v>0</v>
      </c>
      <c r="T3726" s="107">
        <v>0</v>
      </c>
      <c r="U3726" s="107"/>
      <c r="V3726" s="107"/>
      <c r="W3726" s="107"/>
      <c r="X3726" s="107"/>
      <c r="Y3726" s="107"/>
      <c r="Z3726" s="107"/>
      <c r="AA3726" s="107"/>
      <c r="AB3726" s="107"/>
      <c r="AC3726" s="355"/>
      <c r="AD3726" s="355"/>
      <c r="AE3726" s="355"/>
      <c r="AF3726" s="94">
        <f t="shared" si="493"/>
        <v>41607</v>
      </c>
      <c r="AG3726" s="185">
        <f t="shared" si="487"/>
        <v>-3.7876513631339703E-3</v>
      </c>
      <c r="AH3726" s="339" t="str">
        <f>VLOOKUP(B3726,'MF PF'!A:B,2)</f>
        <v>FdMgt1</v>
      </c>
      <c r="AI3726" s="358">
        <f t="shared" si="494"/>
        <v>0</v>
      </c>
      <c r="AJ3726" s="94">
        <f t="shared" si="495"/>
        <v>41608</v>
      </c>
    </row>
    <row r="3727" spans="1:36" ht="12.75" customHeight="1">
      <c r="A3727" s="8">
        <v>41639</v>
      </c>
      <c r="B3727" s="94" t="s">
        <v>189</v>
      </c>
      <c r="C3727" s="358" t="s">
        <v>301</v>
      </c>
      <c r="D3727" s="98">
        <v>88246023.480000004</v>
      </c>
      <c r="E3727" s="9">
        <f t="shared" si="490"/>
        <v>17606983.404536843</v>
      </c>
      <c r="F3727" s="98">
        <v>107.2</v>
      </c>
      <c r="G3727" s="98">
        <v>0</v>
      </c>
      <c r="H3727" s="98">
        <v>0</v>
      </c>
      <c r="I3727" s="98">
        <v>0</v>
      </c>
      <c r="J3727" s="98"/>
      <c r="K3727" s="93">
        <v>5.0119899276591235</v>
      </c>
      <c r="L3727" s="93">
        <f t="shared" si="491"/>
        <v>0</v>
      </c>
      <c r="M3727" s="95">
        <f t="shared" ca="1" si="492"/>
        <v>0</v>
      </c>
      <c r="N3727" s="95">
        <f>IF(P3727="Hedge Fund",IF(A3727=Summary!$AD$3,M3727-E3727,M3727),IF(A3727=Summary!$AD$3,L3727-D3727,L3727))</f>
        <v>0</v>
      </c>
      <c r="O3727" s="95">
        <f t="shared" si="489"/>
        <v>0</v>
      </c>
      <c r="P3727" s="107" t="s">
        <v>155</v>
      </c>
      <c r="Q3727" s="107">
        <v>0</v>
      </c>
      <c r="R3727" s="107">
        <v>0</v>
      </c>
      <c r="S3727" s="107">
        <v>0</v>
      </c>
      <c r="T3727" s="107">
        <v>0</v>
      </c>
      <c r="U3727" s="107"/>
      <c r="V3727" s="107"/>
      <c r="W3727" s="107"/>
      <c r="X3727" s="107"/>
      <c r="Y3727" s="107"/>
      <c r="Z3727" s="107"/>
      <c r="AA3727" s="107"/>
      <c r="AB3727" s="107"/>
      <c r="AC3727" s="355"/>
      <c r="AD3727" s="355"/>
      <c r="AE3727" s="355"/>
      <c r="AF3727" s="94">
        <f t="shared" si="493"/>
        <v>41639</v>
      </c>
      <c r="AG3727" s="185">
        <f t="shared" si="487"/>
        <v>1.5903410499868098E-2</v>
      </c>
      <c r="AH3727" s="339" t="str">
        <f>VLOOKUP(B3727,'MF PF'!A:B,2)</f>
        <v>FdMgt1</v>
      </c>
      <c r="AI3727" s="358">
        <f t="shared" si="494"/>
        <v>0</v>
      </c>
      <c r="AJ3727" s="94">
        <f t="shared" si="495"/>
        <v>41639</v>
      </c>
    </row>
    <row r="3728" spans="1:36" ht="12.75" customHeight="1">
      <c r="A3728" s="8">
        <v>41669</v>
      </c>
      <c r="B3728" s="94" t="s">
        <v>189</v>
      </c>
      <c r="C3728" s="358" t="s">
        <v>301</v>
      </c>
      <c r="D3728" s="98">
        <v>89604709.474648759</v>
      </c>
      <c r="E3728" s="9">
        <f t="shared" si="490"/>
        <v>17878070.540436842</v>
      </c>
      <c r="F3728" s="98">
        <v>107.2</v>
      </c>
      <c r="G3728" s="98">
        <v>0</v>
      </c>
      <c r="H3728" s="98">
        <v>0</v>
      </c>
      <c r="I3728" s="98">
        <v>0</v>
      </c>
      <c r="J3728" s="98"/>
      <c r="K3728" s="93">
        <v>5.0119899276591235</v>
      </c>
      <c r="L3728" s="93">
        <f t="shared" si="491"/>
        <v>0</v>
      </c>
      <c r="M3728" s="95">
        <f t="shared" ca="1" si="492"/>
        <v>0</v>
      </c>
      <c r="N3728" s="95">
        <f>IF(P3728="Hedge Fund",IF(A3728=Summary!$AD$3,M3728-E3728,M3728),IF(A3728=Summary!$AD$3,L3728-D3728,L3728))</f>
        <v>0</v>
      </c>
      <c r="O3728" s="95">
        <f t="shared" si="489"/>
        <v>0</v>
      </c>
      <c r="P3728" s="107" t="s">
        <v>155</v>
      </c>
      <c r="Q3728" s="107">
        <v>0</v>
      </c>
      <c r="R3728" s="107">
        <v>0</v>
      </c>
      <c r="S3728" s="107">
        <v>0</v>
      </c>
      <c r="T3728" s="107">
        <v>0</v>
      </c>
      <c r="U3728" s="107"/>
      <c r="V3728" s="107"/>
      <c r="W3728" s="107"/>
      <c r="X3728" s="107"/>
      <c r="Y3728" s="107"/>
      <c r="Z3728" s="107"/>
      <c r="AA3728" s="107"/>
      <c r="AB3728" s="107"/>
      <c r="AC3728" s="355"/>
      <c r="AD3728" s="355"/>
      <c r="AE3728" s="355"/>
      <c r="AF3728" s="94">
        <f t="shared" si="493"/>
        <v>41669</v>
      </c>
      <c r="AG3728" s="185">
        <f t="shared" si="487"/>
        <v>1.5396569058510501E-2</v>
      </c>
      <c r="AH3728" s="339" t="str">
        <f>VLOOKUP(B3728,'MF PF'!A:B,2)</f>
        <v>FdMgt1</v>
      </c>
      <c r="AI3728" s="358">
        <f t="shared" si="494"/>
        <v>0</v>
      </c>
      <c r="AJ3728" s="94">
        <f t="shared" si="495"/>
        <v>41670</v>
      </c>
    </row>
    <row r="3729" spans="1:36" ht="12.75" customHeight="1">
      <c r="A3729" s="8">
        <v>41698</v>
      </c>
      <c r="B3729" s="94" t="s">
        <v>189</v>
      </c>
      <c r="C3729" s="358" t="s">
        <v>301</v>
      </c>
      <c r="D3729" s="98">
        <v>90059351.859999999</v>
      </c>
      <c r="E3729" s="9">
        <f t="shared" si="490"/>
        <v>17968781.493952982</v>
      </c>
      <c r="F3729" s="98">
        <v>107.2</v>
      </c>
      <c r="G3729" s="98">
        <v>0</v>
      </c>
      <c r="H3729" s="98">
        <v>0</v>
      </c>
      <c r="I3729" s="98">
        <v>0</v>
      </c>
      <c r="J3729" s="98"/>
      <c r="K3729" s="93">
        <v>5.0119899276591235</v>
      </c>
      <c r="L3729" s="93">
        <f t="shared" si="491"/>
        <v>0</v>
      </c>
      <c r="M3729" s="95">
        <f t="shared" ca="1" si="492"/>
        <v>0</v>
      </c>
      <c r="N3729" s="95">
        <f>IF(P3729="Hedge Fund",IF(A3729=Summary!$AD$3,M3729-E3729,M3729),IF(A3729=Summary!$AD$3,L3729-D3729,L3729))</f>
        <v>0</v>
      </c>
      <c r="O3729" s="95">
        <f t="shared" si="489"/>
        <v>0</v>
      </c>
      <c r="P3729" s="107" t="s">
        <v>155</v>
      </c>
      <c r="Q3729" s="107">
        <v>0</v>
      </c>
      <c r="R3729" s="107">
        <v>0</v>
      </c>
      <c r="S3729" s="107">
        <v>0</v>
      </c>
      <c r="T3729" s="107">
        <v>0</v>
      </c>
      <c r="U3729" s="107"/>
      <c r="V3729" s="107"/>
      <c r="W3729" s="107"/>
      <c r="X3729" s="107"/>
      <c r="Y3729" s="107"/>
      <c r="Z3729" s="107"/>
      <c r="AA3729" s="107"/>
      <c r="AB3729" s="107"/>
      <c r="AC3729" s="355"/>
      <c r="AD3729" s="355"/>
      <c r="AE3729" s="355"/>
      <c r="AF3729" s="94">
        <f t="shared" si="493"/>
        <v>41698</v>
      </c>
      <c r="AG3729" s="185">
        <f t="shared" si="487"/>
        <v>5.0738670770409389E-3</v>
      </c>
      <c r="AH3729" s="339" t="str">
        <f>VLOOKUP(B3729,'MF PF'!A:B,2)</f>
        <v>FdMgt1</v>
      </c>
      <c r="AI3729" s="358">
        <f t="shared" si="494"/>
        <v>0</v>
      </c>
      <c r="AJ3729" s="94">
        <f t="shared" si="495"/>
        <v>41698</v>
      </c>
    </row>
    <row r="3730" spans="1:36" ht="12.75" customHeight="1">
      <c r="A3730" s="8">
        <v>41729</v>
      </c>
      <c r="B3730" s="94" t="s">
        <v>189</v>
      </c>
      <c r="C3730" s="358" t="s">
        <v>301</v>
      </c>
      <c r="D3730" s="98">
        <v>86346832.568000004</v>
      </c>
      <c r="E3730" s="9">
        <f t="shared" si="490"/>
        <v>17228053.889631167</v>
      </c>
      <c r="F3730" s="98">
        <v>107.2</v>
      </c>
      <c r="G3730" s="98">
        <v>0</v>
      </c>
      <c r="H3730" s="98">
        <v>0</v>
      </c>
      <c r="I3730" s="98">
        <v>-4554928</v>
      </c>
      <c r="J3730" s="98"/>
      <c r="K3730" s="93">
        <v>5.0119899276591235</v>
      </c>
      <c r="L3730" s="93">
        <f t="shared" si="491"/>
        <v>-4554928</v>
      </c>
      <c r="M3730" s="95">
        <f t="shared" ca="1" si="492"/>
        <v>-908806.29565179581</v>
      </c>
      <c r="N3730" s="95">
        <f>IF(P3730="Hedge Fund",IF(A3730=Summary!$AD$3,M3730-E3730,M3730),IF(A3730=Summary!$AD$3,L3730-D3730,L3730))</f>
        <v>-4554928</v>
      </c>
      <c r="O3730" s="95">
        <f t="shared" si="489"/>
        <v>-4554928</v>
      </c>
      <c r="P3730" s="107" t="s">
        <v>155</v>
      </c>
      <c r="Q3730" s="107">
        <v>0</v>
      </c>
      <c r="R3730" s="107">
        <v>0</v>
      </c>
      <c r="S3730" s="107">
        <v>0</v>
      </c>
      <c r="T3730" s="107">
        <v>0</v>
      </c>
      <c r="U3730" s="107"/>
      <c r="V3730" s="107"/>
      <c r="W3730" s="107"/>
      <c r="X3730" s="107"/>
      <c r="Y3730" s="107"/>
      <c r="Z3730" s="107"/>
      <c r="AA3730" s="107"/>
      <c r="AB3730" s="107"/>
      <c r="AC3730" s="355"/>
      <c r="AD3730" s="355"/>
      <c r="AE3730" s="355"/>
      <c r="AF3730" s="94">
        <f t="shared" si="493"/>
        <v>41729</v>
      </c>
      <c r="AG3730" s="185">
        <f t="shared" si="487"/>
        <v>9.3539281662780027E-3</v>
      </c>
      <c r="AH3730" s="339" t="str">
        <f>VLOOKUP(B3730,'MF PF'!A:B,2)</f>
        <v>FdMgt1</v>
      </c>
      <c r="AI3730" s="358">
        <f t="shared" si="494"/>
        <v>0</v>
      </c>
      <c r="AJ3730" s="94">
        <f t="shared" si="495"/>
        <v>41729</v>
      </c>
    </row>
    <row r="3731" spans="1:36" ht="12.75" customHeight="1">
      <c r="A3731" s="8">
        <v>41759</v>
      </c>
      <c r="B3731" s="94" t="s">
        <v>189</v>
      </c>
      <c r="C3731" s="358" t="s">
        <v>301</v>
      </c>
      <c r="D3731" s="98">
        <v>85418509.659999996</v>
      </c>
      <c r="E3731" s="9">
        <f t="shared" si="490"/>
        <v>17042833.46393219</v>
      </c>
      <c r="F3731" s="98">
        <v>107.2</v>
      </c>
      <c r="G3731" s="98">
        <v>0</v>
      </c>
      <c r="H3731" s="98">
        <v>0</v>
      </c>
      <c r="I3731" s="98">
        <v>0</v>
      </c>
      <c r="J3731" s="98"/>
      <c r="K3731" s="93">
        <v>5.0119899276591235</v>
      </c>
      <c r="L3731" s="93">
        <f t="shared" si="491"/>
        <v>0</v>
      </c>
      <c r="M3731" s="95">
        <f t="shared" ca="1" si="492"/>
        <v>0</v>
      </c>
      <c r="N3731" s="95">
        <f>IF(P3731="Hedge Fund",IF(A3731=Summary!$AD$3,M3731-E3731,M3731),IF(A3731=Summary!$AD$3,L3731-D3731,L3731))</f>
        <v>0</v>
      </c>
      <c r="O3731" s="95">
        <f t="shared" si="489"/>
        <v>0</v>
      </c>
      <c r="P3731" s="107" t="s">
        <v>155</v>
      </c>
      <c r="Q3731" s="107">
        <v>0</v>
      </c>
      <c r="R3731" s="107">
        <v>0</v>
      </c>
      <c r="S3731" s="107">
        <v>0</v>
      </c>
      <c r="T3731" s="107">
        <v>0</v>
      </c>
      <c r="U3731" s="107"/>
      <c r="V3731" s="107"/>
      <c r="W3731" s="107"/>
      <c r="X3731" s="107"/>
      <c r="Y3731" s="107"/>
      <c r="Z3731" s="107"/>
      <c r="AA3731" s="107"/>
      <c r="AB3731" s="107"/>
      <c r="AC3731" s="355"/>
      <c r="AD3731" s="355"/>
      <c r="AE3731" s="355"/>
      <c r="AF3731" s="94">
        <f t="shared" si="493"/>
        <v>41759</v>
      </c>
      <c r="AG3731" s="185">
        <f t="shared" si="487"/>
        <v>-1.0751093935830625E-2</v>
      </c>
      <c r="AH3731" s="339" t="str">
        <f>VLOOKUP(B3731,'MF PF'!A:B,2)</f>
        <v>FdMgt1</v>
      </c>
      <c r="AI3731" s="358">
        <f t="shared" si="494"/>
        <v>0</v>
      </c>
      <c r="AJ3731" s="94">
        <f t="shared" si="495"/>
        <v>41759</v>
      </c>
    </row>
    <row r="3732" spans="1:36" ht="12.75" customHeight="1">
      <c r="A3732" s="8">
        <v>41789</v>
      </c>
      <c r="B3732" s="94" t="s">
        <v>189</v>
      </c>
      <c r="C3732" s="358" t="s">
        <v>301</v>
      </c>
      <c r="D3732" s="98">
        <v>85733877.635499999</v>
      </c>
      <c r="E3732" s="9">
        <f t="shared" si="490"/>
        <v>17105756.171290323</v>
      </c>
      <c r="F3732" s="98">
        <v>107.2</v>
      </c>
      <c r="G3732" s="98">
        <v>0</v>
      </c>
      <c r="H3732" s="98">
        <v>0</v>
      </c>
      <c r="I3732" s="98">
        <v>0</v>
      </c>
      <c r="J3732" s="98"/>
      <c r="K3732" s="93">
        <v>5.0119899276591235</v>
      </c>
      <c r="L3732" s="93">
        <f t="shared" si="491"/>
        <v>0</v>
      </c>
      <c r="M3732" s="95">
        <f t="shared" ca="1" si="492"/>
        <v>0</v>
      </c>
      <c r="N3732" s="95">
        <f>IF(P3732="Hedge Fund",IF(A3732=Summary!$AD$3,M3732-E3732,M3732),IF(A3732=Summary!$AD$3,L3732-D3732,L3732))</f>
        <v>0</v>
      </c>
      <c r="O3732" s="95">
        <f t="shared" si="489"/>
        <v>0</v>
      </c>
      <c r="P3732" s="107" t="s">
        <v>155</v>
      </c>
      <c r="Q3732" s="107">
        <v>0</v>
      </c>
      <c r="R3732" s="107">
        <v>0</v>
      </c>
      <c r="S3732" s="107">
        <v>0</v>
      </c>
      <c r="T3732" s="107">
        <v>0</v>
      </c>
      <c r="U3732" s="107"/>
      <c r="V3732" s="107"/>
      <c r="W3732" s="107"/>
      <c r="X3732" s="107"/>
      <c r="Y3732" s="107"/>
      <c r="Z3732" s="107"/>
      <c r="AA3732" s="107"/>
      <c r="AB3732" s="107"/>
      <c r="AC3732" s="355"/>
      <c r="AD3732" s="355"/>
      <c r="AE3732" s="355"/>
      <c r="AF3732" s="94">
        <f t="shared" si="493"/>
        <v>41789</v>
      </c>
      <c r="AG3732" s="185">
        <f t="shared" si="487"/>
        <v>3.6920332227206032E-3</v>
      </c>
      <c r="AH3732" s="339" t="str">
        <f>VLOOKUP(B3732,'MF PF'!A:B,2)</f>
        <v>FdMgt1</v>
      </c>
      <c r="AI3732" s="358">
        <f t="shared" si="494"/>
        <v>0</v>
      </c>
      <c r="AJ3732" s="94">
        <f t="shared" si="495"/>
        <v>41790</v>
      </c>
    </row>
    <row r="3733" spans="1:36" ht="12.75" customHeight="1">
      <c r="A3733" s="8">
        <v>41820</v>
      </c>
      <c r="B3733" s="94" t="s">
        <v>189</v>
      </c>
      <c r="C3733" s="358" t="s">
        <v>301</v>
      </c>
      <c r="D3733" s="98">
        <v>85824662.684499994</v>
      </c>
      <c r="E3733" s="9">
        <f t="shared" si="490"/>
        <v>17123869.745002631</v>
      </c>
      <c r="F3733" s="98">
        <v>107.2</v>
      </c>
      <c r="G3733" s="98">
        <v>0</v>
      </c>
      <c r="H3733" s="98">
        <v>0</v>
      </c>
      <c r="I3733" s="98">
        <v>0</v>
      </c>
      <c r="J3733" s="98"/>
      <c r="K3733" s="93">
        <v>5.0119899276591235</v>
      </c>
      <c r="L3733" s="93">
        <f t="shared" si="491"/>
        <v>0</v>
      </c>
      <c r="M3733" s="95">
        <f t="shared" ca="1" si="492"/>
        <v>0</v>
      </c>
      <c r="N3733" s="95">
        <f>IF(P3733="Hedge Fund",IF(A3733=Summary!$AD$3,M3733-E3733,M3733),IF(A3733=Summary!$AD$3,L3733-D3733,L3733))</f>
        <v>0</v>
      </c>
      <c r="O3733" s="95">
        <f t="shared" si="489"/>
        <v>0</v>
      </c>
      <c r="P3733" s="107" t="s">
        <v>155</v>
      </c>
      <c r="Q3733" s="107">
        <v>0</v>
      </c>
      <c r="R3733" s="107">
        <v>0</v>
      </c>
      <c r="S3733" s="107">
        <v>0</v>
      </c>
      <c r="T3733" s="107">
        <v>0</v>
      </c>
      <c r="U3733" s="107"/>
      <c r="V3733" s="107"/>
      <c r="W3733" s="107"/>
      <c r="X3733" s="107"/>
      <c r="Y3733" s="107"/>
      <c r="Z3733" s="107"/>
      <c r="AA3733" s="107"/>
      <c r="AB3733" s="107"/>
      <c r="AC3733" s="355"/>
      <c r="AD3733" s="355"/>
      <c r="AE3733" s="355"/>
      <c r="AF3733" s="94">
        <f t="shared" si="493"/>
        <v>41820</v>
      </c>
      <c r="AG3733" s="185">
        <f t="shared" si="487"/>
        <v>1.0589168658154957E-3</v>
      </c>
      <c r="AH3733" s="339" t="str">
        <f>VLOOKUP(B3733,'MF PF'!A:B,2)</f>
        <v>FdMgt1</v>
      </c>
      <c r="AI3733" s="358">
        <f t="shared" si="494"/>
        <v>0</v>
      </c>
      <c r="AJ3733" s="94">
        <f t="shared" si="495"/>
        <v>41820</v>
      </c>
    </row>
    <row r="3734" spans="1:36" ht="12.75" customHeight="1">
      <c r="A3734" s="8">
        <v>41851</v>
      </c>
      <c r="B3734" s="94" t="s">
        <v>189</v>
      </c>
      <c r="C3734" s="358" t="s">
        <v>301</v>
      </c>
      <c r="D3734" s="98">
        <v>78828553.246000007</v>
      </c>
      <c r="E3734" s="9">
        <f t="shared" si="490"/>
        <v>15727995.144399123</v>
      </c>
      <c r="F3734" s="98">
        <v>107.2</v>
      </c>
      <c r="G3734" s="98">
        <v>0</v>
      </c>
      <c r="H3734" s="98">
        <v>0</v>
      </c>
      <c r="I3734" s="98">
        <v>-7017312</v>
      </c>
      <c r="J3734" s="98"/>
      <c r="K3734" s="93">
        <v>5.0119899276591235</v>
      </c>
      <c r="L3734" s="93">
        <f t="shared" si="491"/>
        <v>-7017312</v>
      </c>
      <c r="M3734" s="95">
        <f t="shared" ca="1" si="492"/>
        <v>-1400104.9685423994</v>
      </c>
      <c r="N3734" s="95">
        <f>IF(P3734="Hedge Fund",IF(A3734=Summary!$AD$3,M3734-E3734,M3734),IF(A3734=Summary!$AD$3,L3734-D3734,L3734))</f>
        <v>-7017312</v>
      </c>
      <c r="O3734" s="95">
        <f t="shared" si="489"/>
        <v>-7017312</v>
      </c>
      <c r="P3734" s="107" t="s">
        <v>155</v>
      </c>
      <c r="Q3734" s="107">
        <v>0</v>
      </c>
      <c r="R3734" s="107">
        <v>0</v>
      </c>
      <c r="S3734" s="107">
        <v>0</v>
      </c>
      <c r="T3734" s="107">
        <v>0</v>
      </c>
      <c r="U3734" s="107"/>
      <c r="V3734" s="107"/>
      <c r="W3734" s="107"/>
      <c r="X3734" s="107"/>
      <c r="Y3734" s="107"/>
      <c r="Z3734" s="107"/>
      <c r="AA3734" s="107"/>
      <c r="AB3734" s="107"/>
      <c r="AC3734" s="355"/>
      <c r="AD3734" s="355"/>
      <c r="AE3734" s="355"/>
      <c r="AF3734" s="94">
        <f t="shared" si="493"/>
        <v>41851</v>
      </c>
      <c r="AG3734" s="185">
        <f t="shared" si="487"/>
        <v>2.4704508980066819E-4</v>
      </c>
      <c r="AH3734" s="339" t="str">
        <f>VLOOKUP(B3734,'MF PF'!A:B,2)</f>
        <v>FdMgt1</v>
      </c>
      <c r="AI3734" s="358">
        <f t="shared" si="494"/>
        <v>0</v>
      </c>
      <c r="AJ3734" s="94">
        <f t="shared" si="495"/>
        <v>41851</v>
      </c>
    </row>
    <row r="3735" spans="1:36" ht="12.75" customHeight="1">
      <c r="A3735" s="8">
        <v>41880</v>
      </c>
      <c r="B3735" s="94" t="s">
        <v>189</v>
      </c>
      <c r="C3735" s="358" t="s">
        <v>301</v>
      </c>
      <c r="D3735" s="98">
        <v>60936373.511</v>
      </c>
      <c r="E3735" s="9">
        <f t="shared" si="490"/>
        <v>12158119.707048304</v>
      </c>
      <c r="F3735" s="98">
        <v>107.2</v>
      </c>
      <c r="G3735" s="98">
        <v>0</v>
      </c>
      <c r="H3735" s="98">
        <v>0</v>
      </c>
      <c r="I3735" s="98">
        <v>-19312080</v>
      </c>
      <c r="J3735" s="98"/>
      <c r="K3735" s="93">
        <v>5.0119899276591235</v>
      </c>
      <c r="L3735" s="93">
        <f t="shared" si="491"/>
        <v>-19312080</v>
      </c>
      <c r="M3735" s="95">
        <f t="shared" ca="1" si="492"/>
        <v>-3853176.1393662277</v>
      </c>
      <c r="N3735" s="95">
        <f>IF(P3735="Hedge Fund",IF(A3735=Summary!$AD$3,M3735-E3735,M3735),IF(A3735=Summary!$AD$3,L3735-D3735,L3735))</f>
        <v>-19312080</v>
      </c>
      <c r="O3735" s="95">
        <f t="shared" si="489"/>
        <v>-19312080</v>
      </c>
      <c r="P3735" s="107" t="s">
        <v>155</v>
      </c>
      <c r="Q3735" s="107">
        <v>0</v>
      </c>
      <c r="R3735" s="107">
        <v>0</v>
      </c>
      <c r="S3735" s="107">
        <v>0</v>
      </c>
      <c r="T3735" s="107">
        <v>0</v>
      </c>
      <c r="U3735" s="107"/>
      <c r="V3735" s="107"/>
      <c r="W3735" s="107"/>
      <c r="X3735" s="107"/>
      <c r="Y3735" s="107"/>
      <c r="Z3735" s="107"/>
      <c r="AA3735" s="107"/>
      <c r="AB3735" s="107"/>
      <c r="AC3735" s="355"/>
      <c r="AD3735" s="355"/>
      <c r="AE3735" s="355"/>
      <c r="AF3735" s="94">
        <f t="shared" si="493"/>
        <v>41880</v>
      </c>
      <c r="AG3735" s="185">
        <f t="shared" si="487"/>
        <v>1.8012512047112184E-2</v>
      </c>
      <c r="AH3735" s="339" t="str">
        <f>VLOOKUP(B3735,'MF PF'!A:B,2)</f>
        <v>FdMgt1</v>
      </c>
      <c r="AI3735" s="358">
        <f t="shared" si="494"/>
        <v>0</v>
      </c>
      <c r="AJ3735" s="94">
        <f t="shared" si="495"/>
        <v>41882</v>
      </c>
    </row>
    <row r="3736" spans="1:36" ht="12.75" customHeight="1">
      <c r="A3736" s="8">
        <v>41912</v>
      </c>
      <c r="B3736" s="94" t="s">
        <v>189</v>
      </c>
      <c r="C3736" s="358" t="s">
        <v>301</v>
      </c>
      <c r="D3736" s="98">
        <v>62588137.243500002</v>
      </c>
      <c r="E3736" s="9">
        <f t="shared" si="490"/>
        <v>12487682.167536223</v>
      </c>
      <c r="F3736" s="98">
        <v>107.2</v>
      </c>
      <c r="G3736" s="98">
        <v>0</v>
      </c>
      <c r="H3736" s="98">
        <v>0</v>
      </c>
      <c r="I3736" s="98">
        <v>0</v>
      </c>
      <c r="J3736" s="98"/>
      <c r="K3736" s="93">
        <v>5.0119899276591235</v>
      </c>
      <c r="L3736" s="93">
        <f t="shared" si="491"/>
        <v>0</v>
      </c>
      <c r="M3736" s="95">
        <f t="shared" ca="1" si="492"/>
        <v>0</v>
      </c>
      <c r="N3736" s="95">
        <f>IF(P3736="Hedge Fund",IF(A3736=Summary!$AD$3,M3736-E3736,M3736),IF(A3736=Summary!$AD$3,L3736-D3736,L3736))</f>
        <v>0</v>
      </c>
      <c r="O3736" s="95">
        <f t="shared" si="489"/>
        <v>0</v>
      </c>
      <c r="P3736" s="107" t="s">
        <v>155</v>
      </c>
      <c r="Q3736" s="107">
        <v>0</v>
      </c>
      <c r="R3736" s="107">
        <v>0</v>
      </c>
      <c r="S3736" s="107">
        <v>0</v>
      </c>
      <c r="T3736" s="107">
        <v>0</v>
      </c>
      <c r="U3736" s="107"/>
      <c r="V3736" s="107"/>
      <c r="W3736" s="107"/>
      <c r="X3736" s="107"/>
      <c r="Y3736" s="107"/>
      <c r="Z3736" s="107"/>
      <c r="AA3736" s="107"/>
      <c r="AB3736" s="107"/>
      <c r="AC3736" s="355"/>
      <c r="AD3736" s="355"/>
      <c r="AE3736" s="355"/>
      <c r="AF3736" s="94">
        <f t="shared" si="493"/>
        <v>41912</v>
      </c>
      <c r="AG3736" s="185">
        <f t="shared" si="487"/>
        <v>2.7106367467073289E-2</v>
      </c>
      <c r="AH3736" s="339" t="str">
        <f>VLOOKUP(B3736,'MF PF'!A:B,2)</f>
        <v>FdMgt1</v>
      </c>
      <c r="AI3736" s="358">
        <f t="shared" si="494"/>
        <v>0</v>
      </c>
      <c r="AJ3736" s="94">
        <f t="shared" si="495"/>
        <v>41912</v>
      </c>
    </row>
    <row r="3737" spans="1:36" ht="12.75" customHeight="1">
      <c r="A3737" s="8">
        <v>41943</v>
      </c>
      <c r="B3737" s="94" t="s">
        <v>189</v>
      </c>
      <c r="C3737" s="358" t="s">
        <v>301</v>
      </c>
      <c r="D3737" s="98">
        <v>50842057.759000003</v>
      </c>
      <c r="E3737" s="9">
        <f t="shared" si="490"/>
        <v>10144086.179907002</v>
      </c>
      <c r="F3737" s="98">
        <v>107.2</v>
      </c>
      <c r="G3737" s="98">
        <v>0</v>
      </c>
      <c r="H3737" s="98">
        <v>-7.4505805969238281E-9</v>
      </c>
      <c r="I3737" s="98">
        <v>-9728400</v>
      </c>
      <c r="J3737" s="98"/>
      <c r="K3737" s="93">
        <v>5.0119899276591235</v>
      </c>
      <c r="L3737" s="93">
        <f t="shared" si="491"/>
        <v>-9728400.0000000075</v>
      </c>
      <c r="M3737" s="95">
        <f t="shared" ca="1" si="492"/>
        <v>-1941025.4490562596</v>
      </c>
      <c r="N3737" s="95">
        <f>IF(P3737="Hedge Fund",IF(A3737=Summary!$AD$3,M3737-E3737,M3737),IF(A3737=Summary!$AD$3,L3737-D3737,L3737))</f>
        <v>-9728400.0000000075</v>
      </c>
      <c r="O3737" s="95">
        <f t="shared" si="489"/>
        <v>-9728400.0000000075</v>
      </c>
      <c r="P3737" s="107" t="s">
        <v>155</v>
      </c>
      <c r="Q3737" s="107">
        <v>0</v>
      </c>
      <c r="R3737" s="107">
        <v>0</v>
      </c>
      <c r="S3737" s="107">
        <v>0</v>
      </c>
      <c r="T3737" s="107">
        <v>0</v>
      </c>
      <c r="U3737" s="107"/>
      <c r="V3737" s="107"/>
      <c r="W3737" s="107"/>
      <c r="X3737" s="107"/>
      <c r="Y3737" s="107"/>
      <c r="Z3737" s="107"/>
      <c r="AA3737" s="107"/>
      <c r="AB3737" s="107"/>
      <c r="AC3737" s="355"/>
      <c r="AD3737" s="355"/>
      <c r="AE3737" s="355"/>
      <c r="AF3737" s="94">
        <f t="shared" si="493"/>
        <v>41943</v>
      </c>
      <c r="AG3737" s="185">
        <f t="shared" si="487"/>
        <v>-3.2237410687750323E-2</v>
      </c>
      <c r="AH3737" s="339" t="str">
        <f>VLOOKUP(B3737,'MF PF'!A:B,2)</f>
        <v>FdMgt1</v>
      </c>
      <c r="AI3737" s="358">
        <f t="shared" si="494"/>
        <v>0</v>
      </c>
      <c r="AJ3737" s="94">
        <f t="shared" si="495"/>
        <v>41943</v>
      </c>
    </row>
    <row r="3738" spans="1:36" ht="12.75" customHeight="1">
      <c r="A3738" s="8">
        <v>41971</v>
      </c>
      <c r="B3738" s="94" t="s">
        <v>189</v>
      </c>
      <c r="C3738" s="358" t="s">
        <v>301</v>
      </c>
      <c r="D3738" s="98">
        <v>49011244.07</v>
      </c>
      <c r="E3738" s="9">
        <f t="shared" si="490"/>
        <v>9778799.3945332933</v>
      </c>
      <c r="F3738" s="98">
        <v>107.2</v>
      </c>
      <c r="G3738" s="98">
        <v>0</v>
      </c>
      <c r="H3738" s="98">
        <v>0</v>
      </c>
      <c r="I3738" s="98">
        <v>0</v>
      </c>
      <c r="J3738" s="98"/>
      <c r="K3738" s="93">
        <v>5.0119899276591235</v>
      </c>
      <c r="L3738" s="93">
        <f t="shared" si="491"/>
        <v>0</v>
      </c>
      <c r="M3738" s="95">
        <f t="shared" ca="1" si="492"/>
        <v>0</v>
      </c>
      <c r="N3738" s="95">
        <f>IF(P3738="Hedge Fund",IF(A3738=Summary!$AD$3,M3738-E3738,M3738),IF(A3738=Summary!$AD$3,L3738-D3738,L3738))</f>
        <v>0</v>
      </c>
      <c r="O3738" s="95">
        <f t="shared" si="489"/>
        <v>0</v>
      </c>
      <c r="P3738" s="107" t="s">
        <v>155</v>
      </c>
      <c r="Q3738" s="107">
        <v>0</v>
      </c>
      <c r="R3738" s="107">
        <v>0</v>
      </c>
      <c r="S3738" s="107">
        <v>0</v>
      </c>
      <c r="T3738" s="107">
        <v>0</v>
      </c>
      <c r="U3738" s="107"/>
      <c r="V3738" s="107"/>
      <c r="W3738" s="107"/>
      <c r="X3738" s="107"/>
      <c r="Y3738" s="107"/>
      <c r="Z3738" s="107"/>
      <c r="AA3738" s="107"/>
      <c r="AB3738" s="107"/>
      <c r="AC3738" s="355"/>
      <c r="AD3738" s="355"/>
      <c r="AE3738" s="355"/>
      <c r="AF3738" s="94">
        <f t="shared" si="493"/>
        <v>41971</v>
      </c>
      <c r="AG3738" s="185">
        <f t="shared" si="487"/>
        <v>-3.6009826700531544E-2</v>
      </c>
      <c r="AH3738" s="339" t="str">
        <f>VLOOKUP(B3738,'MF PF'!A:B,2)</f>
        <v>FdMgt1</v>
      </c>
      <c r="AI3738" s="358">
        <f t="shared" si="494"/>
        <v>0</v>
      </c>
      <c r="AJ3738" s="94">
        <f t="shared" si="495"/>
        <v>41973</v>
      </c>
    </row>
    <row r="3739" spans="1:36" ht="12.75" customHeight="1">
      <c r="A3739" s="8">
        <v>42004</v>
      </c>
      <c r="B3739" s="94" t="s">
        <v>189</v>
      </c>
      <c r="C3739" s="358" t="s">
        <v>301</v>
      </c>
      <c r="D3739" s="98">
        <v>42873837.030000001</v>
      </c>
      <c r="E3739" s="9">
        <f t="shared" si="490"/>
        <v>8554254.4276469555</v>
      </c>
      <c r="F3739" s="98">
        <v>107.2</v>
      </c>
      <c r="G3739" s="98">
        <v>0</v>
      </c>
      <c r="H3739" s="98">
        <v>0</v>
      </c>
      <c r="I3739" s="98">
        <v>-6164000</v>
      </c>
      <c r="J3739" s="98"/>
      <c r="K3739" s="93">
        <v>5.0119899276591235</v>
      </c>
      <c r="L3739" s="93">
        <f t="shared" si="491"/>
        <v>-6164000</v>
      </c>
      <c r="M3739" s="95">
        <f t="shared" ca="1" si="492"/>
        <v>-1229850.8354901921</v>
      </c>
      <c r="N3739" s="95">
        <f>IF(P3739="Hedge Fund",IF(A3739=Summary!$AD$3,M3739-E3739,M3739),IF(A3739=Summary!$AD$3,L3739-D3739,L3739))</f>
        <v>-6164000</v>
      </c>
      <c r="O3739" s="95">
        <f t="shared" si="489"/>
        <v>-6164000</v>
      </c>
      <c r="P3739" s="107" t="s">
        <v>155</v>
      </c>
      <c r="Q3739" s="107">
        <v>0</v>
      </c>
      <c r="R3739" s="107">
        <v>0</v>
      </c>
      <c r="S3739" s="107">
        <v>0</v>
      </c>
      <c r="T3739" s="107">
        <v>0</v>
      </c>
      <c r="U3739" s="107"/>
      <c r="V3739" s="107"/>
      <c r="W3739" s="107"/>
      <c r="X3739" s="107"/>
      <c r="Y3739" s="107"/>
      <c r="Z3739" s="107"/>
      <c r="AA3739" s="107"/>
      <c r="AB3739" s="107"/>
      <c r="AC3739" s="355"/>
      <c r="AD3739" s="355"/>
      <c r="AE3739" s="355"/>
      <c r="AF3739" s="94">
        <f t="shared" si="493"/>
        <v>42004</v>
      </c>
      <c r="AG3739" s="185">
        <f t="shared" si="487"/>
        <v>5.4258896105596754E-4</v>
      </c>
      <c r="AH3739" s="339" t="str">
        <f>VLOOKUP(B3739,'MF PF'!A:B,2)</f>
        <v>FdMgt1</v>
      </c>
      <c r="AI3739" s="358">
        <f t="shared" si="494"/>
        <v>0</v>
      </c>
      <c r="AJ3739" s="94">
        <f t="shared" si="495"/>
        <v>42004</v>
      </c>
    </row>
    <row r="3740" spans="1:36" ht="12.75" customHeight="1">
      <c r="A3740" s="8">
        <v>42034</v>
      </c>
      <c r="B3740" s="94" t="s">
        <v>189</v>
      </c>
      <c r="C3740" s="358" t="s">
        <v>301</v>
      </c>
      <c r="D3740" s="98">
        <v>43795100.853500001</v>
      </c>
      <c r="E3740" s="9">
        <f t="shared" si="490"/>
        <v>8738066.4138634317</v>
      </c>
      <c r="F3740" s="98">
        <v>107.2</v>
      </c>
      <c r="G3740" s="98">
        <v>0</v>
      </c>
      <c r="H3740" s="98">
        <v>0</v>
      </c>
      <c r="I3740" s="98">
        <v>0</v>
      </c>
      <c r="J3740" s="98"/>
      <c r="K3740" s="93">
        <v>5.0119899276591235</v>
      </c>
      <c r="L3740" s="93">
        <f t="shared" si="491"/>
        <v>0</v>
      </c>
      <c r="M3740" s="95">
        <f t="shared" ca="1" si="492"/>
        <v>0</v>
      </c>
      <c r="N3740" s="95">
        <f>IF(P3740="Hedge Fund",IF(A3740=Summary!$AD$3,M3740-E3740,M3740),IF(A3740=Summary!$AD$3,L3740-D3740,L3740))</f>
        <v>0</v>
      </c>
      <c r="O3740" s="95">
        <f t="shared" si="489"/>
        <v>0</v>
      </c>
      <c r="P3740" s="107" t="s">
        <v>155</v>
      </c>
      <c r="Q3740" s="107">
        <v>0</v>
      </c>
      <c r="R3740" s="107">
        <v>0</v>
      </c>
      <c r="S3740" s="107">
        <v>0</v>
      </c>
      <c r="T3740" s="107">
        <v>0</v>
      </c>
      <c r="U3740" s="107"/>
      <c r="V3740" s="107"/>
      <c r="W3740" s="107"/>
      <c r="X3740" s="107"/>
      <c r="Y3740" s="107"/>
      <c r="Z3740" s="107"/>
      <c r="AA3740" s="107"/>
      <c r="AB3740" s="107"/>
      <c r="AC3740" s="355"/>
      <c r="AD3740" s="355"/>
      <c r="AE3740" s="355"/>
      <c r="AF3740" s="94">
        <f t="shared" si="493"/>
        <v>42034</v>
      </c>
      <c r="AG3740" s="185">
        <f t="shared" si="487"/>
        <v>2.1487785729449982E-2</v>
      </c>
      <c r="AH3740" s="339" t="str">
        <f>VLOOKUP(B3740,'MF PF'!A:B,2)</f>
        <v>FdMgt1</v>
      </c>
      <c r="AI3740" s="358">
        <f t="shared" si="494"/>
        <v>0</v>
      </c>
      <c r="AJ3740" s="94">
        <f t="shared" si="495"/>
        <v>42035</v>
      </c>
    </row>
    <row r="3741" spans="1:36" ht="12.75" customHeight="1">
      <c r="A3741" s="8">
        <v>42062</v>
      </c>
      <c r="B3741" s="94" t="s">
        <v>189</v>
      </c>
      <c r="C3741" s="358" t="s">
        <v>301</v>
      </c>
      <c r="D3741" s="98">
        <v>44718811.365999997</v>
      </c>
      <c r="E3741" s="9">
        <f t="shared" ref="E3741:E3772" si="496">D3741/K3741</f>
        <v>8922366.5672620684</v>
      </c>
      <c r="F3741" s="98">
        <v>107.2</v>
      </c>
      <c r="G3741" s="98">
        <v>0</v>
      </c>
      <c r="H3741" s="98">
        <v>0</v>
      </c>
      <c r="I3741" s="98">
        <v>0</v>
      </c>
      <c r="J3741" s="98"/>
      <c r="K3741" s="93">
        <v>5.0119899276591235</v>
      </c>
      <c r="L3741" s="93">
        <f t="shared" si="491"/>
        <v>0</v>
      </c>
      <c r="M3741" s="95">
        <f t="shared" ca="1" si="492"/>
        <v>0</v>
      </c>
      <c r="N3741" s="95">
        <f>IF(P3741="Hedge Fund",IF(A3741=Summary!$AD$3,M3741-E3741,M3741),IF(A3741=Summary!$AD$3,L3741-D3741,L3741))</f>
        <v>0</v>
      </c>
      <c r="O3741" s="95">
        <f t="shared" si="489"/>
        <v>0</v>
      </c>
      <c r="P3741" s="107" t="s">
        <v>155</v>
      </c>
      <c r="Q3741" s="107">
        <v>0</v>
      </c>
      <c r="R3741" s="107">
        <v>0</v>
      </c>
      <c r="S3741" s="107">
        <v>0</v>
      </c>
      <c r="T3741" s="107">
        <v>0</v>
      </c>
      <c r="U3741" s="107"/>
      <c r="V3741" s="107"/>
      <c r="W3741" s="107"/>
      <c r="X3741" s="107"/>
      <c r="Y3741" s="107"/>
      <c r="Z3741" s="107"/>
      <c r="AA3741" s="107"/>
      <c r="AB3741" s="107"/>
      <c r="AC3741" s="355"/>
      <c r="AD3741" s="355"/>
      <c r="AE3741" s="355"/>
      <c r="AF3741" s="94">
        <f t="shared" si="493"/>
        <v>42062</v>
      </c>
      <c r="AG3741" s="185">
        <f t="shared" si="487"/>
        <v>2.1091640263369182E-2</v>
      </c>
      <c r="AH3741" s="339" t="str">
        <f>VLOOKUP(B3741,'MF PF'!A:B,2)</f>
        <v>FdMgt1</v>
      </c>
      <c r="AI3741" s="358">
        <f t="shared" si="494"/>
        <v>0</v>
      </c>
      <c r="AJ3741" s="94">
        <f t="shared" si="495"/>
        <v>42063</v>
      </c>
    </row>
    <row r="3742" spans="1:36" ht="12.75" customHeight="1">
      <c r="A3742" s="8">
        <v>42094</v>
      </c>
      <c r="B3742" s="94" t="s">
        <v>189</v>
      </c>
      <c r="C3742" s="358" t="s">
        <v>301</v>
      </c>
      <c r="D3742" s="98">
        <v>44798269.722999997</v>
      </c>
      <c r="E3742" s="9">
        <f t="shared" si="496"/>
        <v>8938220.2218277939</v>
      </c>
      <c r="F3742" s="98">
        <v>107.2</v>
      </c>
      <c r="G3742" s="98">
        <v>0</v>
      </c>
      <c r="H3742" s="98">
        <v>0</v>
      </c>
      <c r="I3742" s="98">
        <v>0</v>
      </c>
      <c r="J3742" s="98"/>
      <c r="K3742" s="93">
        <v>5.0119899276591235</v>
      </c>
      <c r="L3742" s="93">
        <f t="shared" si="491"/>
        <v>0</v>
      </c>
      <c r="M3742" s="95">
        <f t="shared" ca="1" si="492"/>
        <v>0</v>
      </c>
      <c r="N3742" s="95">
        <f>IF(P3742="Hedge Fund",IF(A3742=Summary!$AD$3,M3742-E3742,M3742),IF(A3742=Summary!$AD$3,L3742-D3742,L3742))</f>
        <v>0</v>
      </c>
      <c r="O3742" s="95">
        <f t="shared" si="489"/>
        <v>0</v>
      </c>
      <c r="P3742" s="107" t="s">
        <v>155</v>
      </c>
      <c r="Q3742" s="107">
        <v>0</v>
      </c>
      <c r="R3742" s="107">
        <v>0</v>
      </c>
      <c r="S3742" s="107">
        <v>0</v>
      </c>
      <c r="T3742" s="107">
        <v>0</v>
      </c>
      <c r="U3742" s="107"/>
      <c r="V3742" s="107"/>
      <c r="W3742" s="107"/>
      <c r="X3742" s="107"/>
      <c r="Y3742" s="107"/>
      <c r="Z3742" s="107"/>
      <c r="AA3742" s="107"/>
      <c r="AB3742" s="107"/>
      <c r="AC3742" s="355"/>
      <c r="AD3742" s="355"/>
      <c r="AE3742" s="355"/>
      <c r="AF3742" s="94">
        <f t="shared" si="493"/>
        <v>42094</v>
      </c>
      <c r="AG3742" s="185">
        <f t="shared" si="487"/>
        <v>1.776844119349974E-3</v>
      </c>
      <c r="AH3742" s="339" t="str">
        <f>VLOOKUP(B3742,'MF PF'!A:B,2)</f>
        <v>FdMgt1</v>
      </c>
      <c r="AI3742" s="358">
        <f t="shared" si="494"/>
        <v>0</v>
      </c>
      <c r="AJ3742" s="94">
        <f t="shared" si="495"/>
        <v>42094</v>
      </c>
    </row>
    <row r="3743" spans="1:36" ht="12.75" customHeight="1">
      <c r="A3743" s="8">
        <v>42124</v>
      </c>
      <c r="B3743" s="94" t="s">
        <v>189</v>
      </c>
      <c r="C3743" s="358" t="s">
        <v>301</v>
      </c>
      <c r="D3743" s="98">
        <v>42078711.987000003</v>
      </c>
      <c r="E3743" s="9">
        <f t="shared" si="496"/>
        <v>8395609.846457351</v>
      </c>
      <c r="F3743" s="98">
        <v>107.2</v>
      </c>
      <c r="G3743" s="98">
        <v>0</v>
      </c>
      <c r="H3743" s="98">
        <v>0</v>
      </c>
      <c r="I3743" s="98">
        <v>-3392880</v>
      </c>
      <c r="J3743" s="98"/>
      <c r="K3743" s="93">
        <v>5.0119899276591235</v>
      </c>
      <c r="L3743" s="93">
        <f t="shared" si="491"/>
        <v>-3392880</v>
      </c>
      <c r="M3743" s="95">
        <f t="shared" ca="1" si="492"/>
        <v>-676952.67727416649</v>
      </c>
      <c r="N3743" s="95">
        <f>IF(P3743="Hedge Fund",IF(A3743=Summary!$AD$3,M3743-E3743,M3743),IF(A3743=Summary!$AD$3,L3743-D3743,L3743))</f>
        <v>-3392880</v>
      </c>
      <c r="O3743" s="95">
        <f t="shared" si="489"/>
        <v>-3392880</v>
      </c>
      <c r="P3743" s="107" t="s">
        <v>155</v>
      </c>
      <c r="Q3743" s="107">
        <v>0</v>
      </c>
      <c r="R3743" s="107">
        <v>0</v>
      </c>
      <c r="S3743" s="107">
        <v>0</v>
      </c>
      <c r="T3743" s="107">
        <v>0</v>
      </c>
      <c r="U3743" s="107"/>
      <c r="V3743" s="107"/>
      <c r="W3743" s="107"/>
      <c r="X3743" s="107"/>
      <c r="Y3743" s="107"/>
      <c r="Z3743" s="107"/>
      <c r="AA3743" s="107"/>
      <c r="AB3743" s="107"/>
      <c r="AC3743" s="355"/>
      <c r="AD3743" s="355"/>
      <c r="AE3743" s="355"/>
      <c r="AF3743" s="94">
        <f t="shared" si="493"/>
        <v>42124</v>
      </c>
      <c r="AG3743" s="185">
        <f t="shared" si="487"/>
        <v>1.5030095317594583E-2</v>
      </c>
      <c r="AH3743" s="339" t="str">
        <f>VLOOKUP(B3743,'MF PF'!A:B,2)</f>
        <v>FdMgt1</v>
      </c>
      <c r="AI3743" s="358">
        <f t="shared" si="494"/>
        <v>0</v>
      </c>
      <c r="AJ3743" s="94">
        <f t="shared" si="495"/>
        <v>42124</v>
      </c>
    </row>
    <row r="3744" spans="1:36" ht="12.75" customHeight="1">
      <c r="A3744" s="8">
        <v>42153</v>
      </c>
      <c r="B3744" s="94" t="s">
        <v>189</v>
      </c>
      <c r="C3744" s="358" t="s">
        <v>301</v>
      </c>
      <c r="D3744" s="98">
        <v>42268326.825000003</v>
      </c>
      <c r="E3744" s="9">
        <f t="shared" si="496"/>
        <v>8433442.0928777978</v>
      </c>
      <c r="F3744" s="98">
        <v>107.2</v>
      </c>
      <c r="G3744" s="98">
        <v>0</v>
      </c>
      <c r="H3744" s="98">
        <v>0</v>
      </c>
      <c r="I3744" s="98">
        <v>0</v>
      </c>
      <c r="J3744" s="98"/>
      <c r="K3744" s="93">
        <v>5.0119899276591235</v>
      </c>
      <c r="L3744" s="93">
        <f t="shared" si="491"/>
        <v>0</v>
      </c>
      <c r="M3744" s="95">
        <f t="shared" ca="1" si="492"/>
        <v>0</v>
      </c>
      <c r="N3744" s="95">
        <f>IF(P3744="Hedge Fund",IF(A3744=Summary!$AD$3,M3744-E3744,M3744),IF(A3744=Summary!$AD$3,L3744-D3744,L3744))</f>
        <v>0</v>
      </c>
      <c r="O3744" s="95">
        <f t="shared" si="489"/>
        <v>0</v>
      </c>
      <c r="P3744" s="107" t="s">
        <v>155</v>
      </c>
      <c r="Q3744" s="107">
        <v>0</v>
      </c>
      <c r="R3744" s="107">
        <v>0</v>
      </c>
      <c r="S3744" s="107">
        <v>0</v>
      </c>
      <c r="T3744" s="107">
        <v>0</v>
      </c>
      <c r="U3744" s="107"/>
      <c r="V3744" s="107"/>
      <c r="W3744" s="107"/>
      <c r="X3744" s="107"/>
      <c r="Y3744" s="107"/>
      <c r="Z3744" s="107"/>
      <c r="AA3744" s="107"/>
      <c r="AB3744" s="107"/>
      <c r="AC3744" s="355"/>
      <c r="AD3744" s="355"/>
      <c r="AE3744" s="355"/>
      <c r="AF3744" s="94">
        <f t="shared" si="493"/>
        <v>42153</v>
      </c>
      <c r="AG3744" s="185">
        <f t="shared" si="487"/>
        <v>4.506193964743499E-3</v>
      </c>
      <c r="AH3744" s="339" t="str">
        <f>VLOOKUP(B3744,'MF PF'!A:B,2)</f>
        <v>FdMgt1</v>
      </c>
      <c r="AI3744" s="358">
        <f t="shared" si="494"/>
        <v>0</v>
      </c>
      <c r="AJ3744" s="94">
        <f t="shared" si="495"/>
        <v>42155</v>
      </c>
    </row>
    <row r="3745" spans="1:36" ht="12.75" customHeight="1">
      <c r="A3745" s="8">
        <v>42185</v>
      </c>
      <c r="B3745" s="94" t="s">
        <v>189</v>
      </c>
      <c r="C3745" s="358" t="s">
        <v>301</v>
      </c>
      <c r="D3745" s="98">
        <v>43273072.597499996</v>
      </c>
      <c r="E3745" s="9">
        <f t="shared" si="496"/>
        <v>8633910.5269732475</v>
      </c>
      <c r="F3745" s="98">
        <v>107.2</v>
      </c>
      <c r="G3745" s="98">
        <v>0</v>
      </c>
      <c r="H3745" s="98">
        <v>0</v>
      </c>
      <c r="I3745" s="98">
        <v>0</v>
      </c>
      <c r="J3745" s="98"/>
      <c r="K3745" s="93">
        <v>5.0119899276591235</v>
      </c>
      <c r="L3745" s="93">
        <f t="shared" si="491"/>
        <v>0</v>
      </c>
      <c r="M3745" s="95">
        <f t="shared" ca="1" si="492"/>
        <v>0</v>
      </c>
      <c r="N3745" s="95">
        <f>IF(P3745="Hedge Fund",IF(A3745=Summary!$AD$3,M3745-E3745,M3745),IF(A3745=Summary!$AD$3,L3745-D3745,L3745))</f>
        <v>0</v>
      </c>
      <c r="O3745" s="95">
        <f t="shared" si="489"/>
        <v>0</v>
      </c>
      <c r="P3745" s="107" t="s">
        <v>155</v>
      </c>
      <c r="Q3745" s="107">
        <v>0</v>
      </c>
      <c r="R3745" s="107">
        <v>0</v>
      </c>
      <c r="S3745" s="107">
        <v>0</v>
      </c>
      <c r="T3745" s="107">
        <v>0</v>
      </c>
      <c r="U3745" s="107"/>
      <c r="V3745" s="107"/>
      <c r="W3745" s="107"/>
      <c r="X3745" s="107"/>
      <c r="Y3745" s="107"/>
      <c r="Z3745" s="107"/>
      <c r="AA3745" s="107"/>
      <c r="AB3745" s="107"/>
      <c r="AC3745" s="355"/>
      <c r="AD3745" s="355"/>
      <c r="AE3745" s="355"/>
      <c r="AF3745" s="94">
        <f t="shared" si="493"/>
        <v>42185</v>
      </c>
      <c r="AG3745" s="185">
        <f t="shared" si="487"/>
        <v>2.3770654009084735E-2</v>
      </c>
      <c r="AH3745" s="339" t="str">
        <f>VLOOKUP(B3745,'MF PF'!A:B,2)</f>
        <v>FdMgt1</v>
      </c>
      <c r="AI3745" s="358">
        <f t="shared" si="494"/>
        <v>0</v>
      </c>
      <c r="AJ3745" s="94">
        <f t="shared" si="495"/>
        <v>42185</v>
      </c>
    </row>
    <row r="3746" spans="1:36" ht="12.75" customHeight="1">
      <c r="A3746" s="8">
        <v>42216</v>
      </c>
      <c r="B3746" s="94" t="s">
        <v>189</v>
      </c>
      <c r="C3746" s="358" t="s">
        <v>301</v>
      </c>
      <c r="D3746" s="98">
        <v>37054163.838</v>
      </c>
      <c r="E3746" s="9">
        <f t="shared" si="496"/>
        <v>7393104.2106675468</v>
      </c>
      <c r="F3746" s="98">
        <v>107.2</v>
      </c>
      <c r="G3746" s="98">
        <v>0</v>
      </c>
      <c r="H3746" s="98">
        <v>0</v>
      </c>
      <c r="I3746" s="98">
        <v>-4848656</v>
      </c>
      <c r="J3746" s="98"/>
      <c r="K3746" s="93">
        <v>5.0119899276591235</v>
      </c>
      <c r="L3746" s="93">
        <f t="shared" si="491"/>
        <v>-4848656</v>
      </c>
      <c r="M3746" s="95">
        <f t="shared" ca="1" si="492"/>
        <v>-967411.36155167629</v>
      </c>
      <c r="N3746" s="95">
        <f>IF(P3746="Hedge Fund",IF(A3746=Summary!$AD$3,M3746-E3746,M3746),IF(A3746=Summary!$AD$3,L3746-D3746,L3746))</f>
        <v>-4848656</v>
      </c>
      <c r="O3746" s="95">
        <f t="shared" si="489"/>
        <v>-4848656</v>
      </c>
      <c r="P3746" s="107" t="s">
        <v>155</v>
      </c>
      <c r="Q3746" s="107">
        <v>0</v>
      </c>
      <c r="R3746" s="107">
        <v>0</v>
      </c>
      <c r="S3746" s="107">
        <v>0</v>
      </c>
      <c r="T3746" s="107">
        <v>0</v>
      </c>
      <c r="U3746" s="107"/>
      <c r="V3746" s="107"/>
      <c r="W3746" s="107"/>
      <c r="X3746" s="107"/>
      <c r="Y3746" s="107"/>
      <c r="Z3746" s="107"/>
      <c r="AA3746" s="107"/>
      <c r="AB3746" s="107"/>
      <c r="AC3746" s="355"/>
      <c r="AD3746" s="355"/>
      <c r="AE3746" s="355"/>
      <c r="AF3746" s="94">
        <f t="shared" si="493"/>
        <v>42216</v>
      </c>
      <c r="AG3746" s="185">
        <f t="shared" ref="AG3746:AG3809" si="497">IF(C3746&lt;&gt;C3745,D3746/G3746-1,(D3746-G3746-I3746-H3746)/(D3745)-1)</f>
        <v>-3.1665252251562137E-2</v>
      </c>
      <c r="AH3746" s="339" t="str">
        <f>VLOOKUP(B3746,'MF PF'!A:B,2)</f>
        <v>FdMgt1</v>
      </c>
      <c r="AI3746" s="358">
        <f t="shared" si="494"/>
        <v>0</v>
      </c>
      <c r="AJ3746" s="94">
        <f t="shared" si="495"/>
        <v>42216</v>
      </c>
    </row>
    <row r="3747" spans="1:36" ht="12.75" customHeight="1">
      <c r="A3747" s="8">
        <v>42247</v>
      </c>
      <c r="B3747" s="94" t="s">
        <v>189</v>
      </c>
      <c r="C3747" s="358" t="s">
        <v>301</v>
      </c>
      <c r="D3747" s="98">
        <v>37261751.645499997</v>
      </c>
      <c r="E3747" s="9">
        <f t="shared" si="496"/>
        <v>7434522.4518244984</v>
      </c>
      <c r="F3747" s="98">
        <v>107.2</v>
      </c>
      <c r="G3747" s="98">
        <v>0</v>
      </c>
      <c r="H3747" s="98">
        <v>0</v>
      </c>
      <c r="I3747" s="98">
        <v>0</v>
      </c>
      <c r="J3747" s="98"/>
      <c r="K3747" s="93">
        <v>5.0119899276591235</v>
      </c>
      <c r="L3747" s="93">
        <f t="shared" si="491"/>
        <v>0</v>
      </c>
      <c r="M3747" s="95">
        <f t="shared" ca="1" si="492"/>
        <v>0</v>
      </c>
      <c r="N3747" s="95">
        <f>IF(P3747="Hedge Fund",IF(A3747=Summary!$AD$3,M3747-E3747,M3747),IF(A3747=Summary!$AD$3,L3747-D3747,L3747))</f>
        <v>0</v>
      </c>
      <c r="O3747" s="95">
        <f t="shared" si="489"/>
        <v>0</v>
      </c>
      <c r="P3747" s="107" t="s">
        <v>155</v>
      </c>
      <c r="Q3747" s="107">
        <v>0</v>
      </c>
      <c r="R3747" s="107">
        <v>0</v>
      </c>
      <c r="S3747" s="107">
        <v>0</v>
      </c>
      <c r="T3747" s="107">
        <v>0</v>
      </c>
      <c r="U3747" s="107"/>
      <c r="V3747" s="107"/>
      <c r="W3747" s="107"/>
      <c r="X3747" s="107"/>
      <c r="Y3747" s="107"/>
      <c r="Z3747" s="107"/>
      <c r="AA3747" s="107"/>
      <c r="AB3747" s="107"/>
      <c r="AC3747" s="355"/>
      <c r="AD3747" s="355"/>
      <c r="AE3747" s="355"/>
      <c r="AF3747" s="94">
        <f t="shared" si="493"/>
        <v>42247</v>
      </c>
      <c r="AG3747" s="185">
        <f t="shared" si="497"/>
        <v>5.6022801757871221E-3</v>
      </c>
      <c r="AH3747" s="339" t="str">
        <f>VLOOKUP(B3747,'MF PF'!A:B,2)</f>
        <v>FdMgt1</v>
      </c>
      <c r="AI3747" s="358">
        <f t="shared" si="494"/>
        <v>0</v>
      </c>
      <c r="AJ3747" s="94">
        <f t="shared" si="495"/>
        <v>42247</v>
      </c>
    </row>
    <row r="3748" spans="1:36" ht="12.75" customHeight="1">
      <c r="A3748" s="8">
        <v>42277</v>
      </c>
      <c r="B3748" s="94" t="s">
        <v>189</v>
      </c>
      <c r="C3748" s="358" t="s">
        <v>301</v>
      </c>
      <c r="D3748" s="98">
        <v>34137395.222000003</v>
      </c>
      <c r="E3748" s="9">
        <f t="shared" si="496"/>
        <v>6811146.0148013616</v>
      </c>
      <c r="F3748" s="98">
        <v>107.2</v>
      </c>
      <c r="G3748" s="98">
        <v>0</v>
      </c>
      <c r="H3748" s="98">
        <v>0</v>
      </c>
      <c r="I3748" s="98">
        <v>-3006531.2</v>
      </c>
      <c r="J3748" s="98"/>
      <c r="K3748" s="93">
        <v>5.0119899276591235</v>
      </c>
      <c r="L3748" s="93">
        <f t="shared" si="491"/>
        <v>-3006531.2</v>
      </c>
      <c r="M3748" s="95">
        <f t="shared" ca="1" si="492"/>
        <v>-599867.76577665959</v>
      </c>
      <c r="N3748" s="95">
        <f>IF(P3748="Hedge Fund",IF(A3748=Summary!$AD$3,M3748-E3748,M3748),IF(A3748=Summary!$AD$3,L3748-D3748,L3748))</f>
        <v>-3006531.2</v>
      </c>
      <c r="O3748" s="95">
        <f t="shared" si="489"/>
        <v>-3006531.2</v>
      </c>
      <c r="P3748" s="107" t="s">
        <v>155</v>
      </c>
      <c r="Q3748" s="107">
        <v>0</v>
      </c>
      <c r="R3748" s="107">
        <v>0</v>
      </c>
      <c r="S3748" s="107">
        <v>0</v>
      </c>
      <c r="T3748" s="107">
        <v>0</v>
      </c>
      <c r="U3748" s="107"/>
      <c r="V3748" s="107"/>
      <c r="W3748" s="107"/>
      <c r="X3748" s="107"/>
      <c r="Y3748" s="107"/>
      <c r="Z3748" s="107"/>
      <c r="AA3748" s="107"/>
      <c r="AB3748" s="107"/>
      <c r="AC3748" s="355"/>
      <c r="AD3748" s="355"/>
      <c r="AE3748" s="355"/>
      <c r="AF3748" s="94">
        <f t="shared" si="493"/>
        <v>42277</v>
      </c>
      <c r="AG3748" s="185">
        <f t="shared" si="497"/>
        <v>-3.1620956690644464E-3</v>
      </c>
      <c r="AH3748" s="339" t="str">
        <f>VLOOKUP(B3748,'MF PF'!A:B,2)</f>
        <v>FdMgt1</v>
      </c>
      <c r="AI3748" s="358">
        <f t="shared" si="494"/>
        <v>0</v>
      </c>
      <c r="AJ3748" s="94">
        <f t="shared" si="495"/>
        <v>42277</v>
      </c>
    </row>
    <row r="3749" spans="1:36" ht="12.75" customHeight="1">
      <c r="A3749" s="8">
        <v>42307</v>
      </c>
      <c r="B3749" s="94" t="s">
        <v>189</v>
      </c>
      <c r="C3749" s="358" t="s">
        <v>301</v>
      </c>
      <c r="D3749" s="98">
        <v>33959257.593999997</v>
      </c>
      <c r="E3749" s="9">
        <f t="shared" si="496"/>
        <v>6775603.7191121904</v>
      </c>
      <c r="F3749" s="98">
        <v>107.2</v>
      </c>
      <c r="G3749" s="98">
        <v>0</v>
      </c>
      <c r="H3749" s="98">
        <v>0</v>
      </c>
      <c r="I3749" s="98">
        <v>0</v>
      </c>
      <c r="J3749" s="98"/>
      <c r="K3749" s="93">
        <v>5.0119899276591235</v>
      </c>
      <c r="L3749" s="93">
        <f t="shared" si="491"/>
        <v>0</v>
      </c>
      <c r="M3749" s="95">
        <f t="shared" ca="1" si="492"/>
        <v>0</v>
      </c>
      <c r="N3749" s="95">
        <f>IF(P3749="Hedge Fund",IF(A3749=Summary!$AD$3,M3749-E3749,M3749),IF(A3749=Summary!$AD$3,L3749-D3749,L3749))</f>
        <v>0</v>
      </c>
      <c r="O3749" s="95">
        <f t="shared" si="489"/>
        <v>0</v>
      </c>
      <c r="P3749" s="107" t="s">
        <v>155</v>
      </c>
      <c r="Q3749" s="107">
        <v>0</v>
      </c>
      <c r="R3749" s="107">
        <v>0</v>
      </c>
      <c r="S3749" s="107">
        <v>0</v>
      </c>
      <c r="T3749" s="107">
        <v>0</v>
      </c>
      <c r="U3749" s="107"/>
      <c r="V3749" s="107"/>
      <c r="W3749" s="107"/>
      <c r="X3749" s="107"/>
      <c r="Y3749" s="107"/>
      <c r="Z3749" s="107"/>
      <c r="AA3749" s="107"/>
      <c r="AB3749" s="107"/>
      <c r="AC3749" s="355"/>
      <c r="AD3749" s="355"/>
      <c r="AE3749" s="355"/>
      <c r="AF3749" s="94">
        <f t="shared" si="493"/>
        <v>42307</v>
      </c>
      <c r="AG3749" s="185">
        <f t="shared" si="497"/>
        <v>-5.2182548446227939E-3</v>
      </c>
      <c r="AH3749" s="339" t="str">
        <f>VLOOKUP(B3749,'MF PF'!A:B,2)</f>
        <v>FdMgt1</v>
      </c>
      <c r="AI3749" s="358">
        <f t="shared" si="494"/>
        <v>0</v>
      </c>
      <c r="AJ3749" s="94">
        <f t="shared" si="495"/>
        <v>42308</v>
      </c>
    </row>
    <row r="3750" spans="1:36" ht="12.75" customHeight="1">
      <c r="A3750" s="8">
        <v>42338</v>
      </c>
      <c r="B3750" s="94" t="s">
        <v>189</v>
      </c>
      <c r="C3750" s="358" t="s">
        <v>301</v>
      </c>
      <c r="D3750" s="98">
        <v>33858582.710000001</v>
      </c>
      <c r="E3750" s="9">
        <f t="shared" si="496"/>
        <v>6755516.9101893688</v>
      </c>
      <c r="F3750" s="98">
        <v>107.2</v>
      </c>
      <c r="G3750" s="98">
        <v>0</v>
      </c>
      <c r="H3750" s="98">
        <v>0</v>
      </c>
      <c r="I3750" s="98">
        <v>0</v>
      </c>
      <c r="J3750" s="98"/>
      <c r="K3750" s="93">
        <v>5.0119899276591235</v>
      </c>
      <c r="L3750" s="93">
        <f t="shared" si="491"/>
        <v>0</v>
      </c>
      <c r="M3750" s="95">
        <f t="shared" ca="1" si="492"/>
        <v>0</v>
      </c>
      <c r="N3750" s="95">
        <f>IF(P3750="Hedge Fund",IF(A3750=Summary!$AD$3,M3750-E3750,M3750),IF(A3750=Summary!$AD$3,L3750-D3750,L3750))</f>
        <v>0</v>
      </c>
      <c r="O3750" s="95">
        <f t="shared" si="489"/>
        <v>0</v>
      </c>
      <c r="P3750" s="107" t="s">
        <v>155</v>
      </c>
      <c r="Q3750" s="107">
        <v>0</v>
      </c>
      <c r="R3750" s="107">
        <v>0</v>
      </c>
      <c r="S3750" s="107">
        <v>0</v>
      </c>
      <c r="T3750" s="107">
        <v>0</v>
      </c>
      <c r="U3750" s="107"/>
      <c r="V3750" s="107"/>
      <c r="W3750" s="107"/>
      <c r="X3750" s="107"/>
      <c r="Y3750" s="107"/>
      <c r="Z3750" s="107"/>
      <c r="AA3750" s="107"/>
      <c r="AB3750" s="107"/>
      <c r="AC3750" s="355"/>
      <c r="AD3750" s="355"/>
      <c r="AE3750" s="355"/>
      <c r="AF3750" s="94">
        <f t="shared" si="493"/>
        <v>42338</v>
      </c>
      <c r="AG3750" s="185">
        <f t="shared" si="497"/>
        <v>-2.964578472345103E-3</v>
      </c>
      <c r="AH3750" s="339" t="str">
        <f>VLOOKUP(B3750,'MF PF'!A:B,2)</f>
        <v>FdMgt1</v>
      </c>
      <c r="AI3750" s="358">
        <f t="shared" si="494"/>
        <v>0</v>
      </c>
      <c r="AJ3750" s="94">
        <f t="shared" si="495"/>
        <v>42338</v>
      </c>
    </row>
    <row r="3751" spans="1:36" ht="12.75" customHeight="1">
      <c r="A3751" s="8">
        <v>42369</v>
      </c>
      <c r="B3751" s="94" t="s">
        <v>189</v>
      </c>
      <c r="C3751" s="358" t="s">
        <v>301</v>
      </c>
      <c r="D3751" s="98">
        <v>24371097.879999999</v>
      </c>
      <c r="E3751" s="9">
        <f t="shared" si="496"/>
        <v>4862559.2293204488</v>
      </c>
      <c r="F3751" s="98">
        <v>107.2</v>
      </c>
      <c r="G3751" s="98">
        <v>0</v>
      </c>
      <c r="H3751" s="98">
        <v>0</v>
      </c>
      <c r="I3751" s="98">
        <v>-6753600</v>
      </c>
      <c r="J3751" s="98"/>
      <c r="K3751" s="93">
        <v>5.0119899276591235</v>
      </c>
      <c r="L3751" s="93">
        <f t="shared" si="491"/>
        <v>-6753600</v>
      </c>
      <c r="M3751" s="95">
        <f t="shared" ca="1" si="492"/>
        <v>-1347488.7414936016</v>
      </c>
      <c r="N3751" s="95">
        <f>IF(P3751="Hedge Fund",IF(A3751=Summary!$AD$3,M3751-E3751,M3751),IF(A3751=Summary!$AD$3,L3751-D3751,L3751))</f>
        <v>-6753600</v>
      </c>
      <c r="O3751" s="95">
        <f t="shared" si="489"/>
        <v>-6753600</v>
      </c>
      <c r="P3751" s="107" t="s">
        <v>155</v>
      </c>
      <c r="Q3751" s="107">
        <v>0</v>
      </c>
      <c r="R3751" s="107">
        <v>0</v>
      </c>
      <c r="S3751" s="107">
        <v>0</v>
      </c>
      <c r="T3751" s="107">
        <v>0</v>
      </c>
      <c r="U3751" s="107"/>
      <c r="V3751" s="107"/>
      <c r="W3751" s="107"/>
      <c r="X3751" s="107"/>
      <c r="Y3751" s="107"/>
      <c r="Z3751" s="107"/>
      <c r="AA3751" s="107"/>
      <c r="AB3751" s="107"/>
      <c r="AC3751" s="355"/>
      <c r="AD3751" s="355"/>
      <c r="AE3751" s="355"/>
      <c r="AF3751" s="94">
        <f t="shared" si="493"/>
        <v>42369</v>
      </c>
      <c r="AG3751" s="185">
        <f t="shared" si="497"/>
        <v>-8.0744219373144577E-2</v>
      </c>
      <c r="AH3751" s="339" t="str">
        <f>VLOOKUP(B3751,'MF PF'!A:B,2)</f>
        <v>FdMgt1</v>
      </c>
      <c r="AI3751" s="358">
        <f t="shared" si="494"/>
        <v>0</v>
      </c>
      <c r="AJ3751" s="94">
        <f t="shared" si="495"/>
        <v>42369</v>
      </c>
    </row>
    <row r="3752" spans="1:36" ht="12.75" customHeight="1">
      <c r="A3752" s="8">
        <v>42398</v>
      </c>
      <c r="B3752" s="94" t="s">
        <v>189</v>
      </c>
      <c r="C3752" s="358" t="s">
        <v>301</v>
      </c>
      <c r="D3752" s="98">
        <v>23745565.359999999</v>
      </c>
      <c r="E3752" s="9">
        <f t="shared" si="496"/>
        <v>4737752.011223712</v>
      </c>
      <c r="F3752" s="98">
        <v>107.2</v>
      </c>
      <c r="G3752" s="98">
        <v>0</v>
      </c>
      <c r="H3752" s="98">
        <v>0</v>
      </c>
      <c r="I3752" s="98">
        <v>0</v>
      </c>
      <c r="J3752" s="98"/>
      <c r="K3752" s="93">
        <v>5.0119899276591235</v>
      </c>
      <c r="L3752" s="93">
        <f t="shared" si="491"/>
        <v>0</v>
      </c>
      <c r="M3752" s="95">
        <f t="shared" ca="1" si="492"/>
        <v>0</v>
      </c>
      <c r="N3752" s="95">
        <f>IF(P3752="Hedge Fund",IF(A3752=Summary!$AD$3,M3752-E3752,M3752),IF(A3752=Summary!$AD$3,L3752-D3752,L3752))</f>
        <v>0</v>
      </c>
      <c r="O3752" s="95">
        <f t="shared" si="489"/>
        <v>0</v>
      </c>
      <c r="P3752" s="107" t="s">
        <v>155</v>
      </c>
      <c r="Q3752" s="107">
        <v>0</v>
      </c>
      <c r="R3752" s="107">
        <v>0</v>
      </c>
      <c r="S3752" s="107">
        <v>0</v>
      </c>
      <c r="T3752" s="107">
        <v>0</v>
      </c>
      <c r="U3752" s="107"/>
      <c r="V3752" s="107"/>
      <c r="W3752" s="107"/>
      <c r="X3752" s="107"/>
      <c r="Y3752" s="107"/>
      <c r="Z3752" s="107"/>
      <c r="AA3752" s="107"/>
      <c r="AB3752" s="107"/>
      <c r="AC3752" s="355"/>
      <c r="AD3752" s="355"/>
      <c r="AE3752" s="355"/>
      <c r="AF3752" s="94">
        <f t="shared" si="493"/>
        <v>42398</v>
      </c>
      <c r="AG3752" s="185">
        <f t="shared" si="497"/>
        <v>-2.5666981564804181E-2</v>
      </c>
      <c r="AH3752" s="339" t="str">
        <f>VLOOKUP(B3752,'MF PF'!A:B,2)</f>
        <v>FdMgt1</v>
      </c>
      <c r="AI3752" s="358">
        <f t="shared" si="494"/>
        <v>0</v>
      </c>
      <c r="AJ3752" s="94">
        <f t="shared" si="495"/>
        <v>42400</v>
      </c>
    </row>
    <row r="3753" spans="1:36" ht="12.75" customHeight="1">
      <c r="A3753" s="8">
        <v>42429</v>
      </c>
      <c r="B3753" s="94" t="s">
        <v>189</v>
      </c>
      <c r="C3753" s="358" t="s">
        <v>301</v>
      </c>
      <c r="D3753" s="98">
        <v>23989685.510000002</v>
      </c>
      <c r="E3753" s="9">
        <f t="shared" si="496"/>
        <v>4786459.2419890417</v>
      </c>
      <c r="F3753" s="98">
        <v>107.2</v>
      </c>
      <c r="G3753" s="98">
        <v>0</v>
      </c>
      <c r="H3753" s="98">
        <v>0</v>
      </c>
      <c r="I3753" s="98">
        <v>0</v>
      </c>
      <c r="J3753" s="98"/>
      <c r="K3753" s="93">
        <v>5.0119899276591235</v>
      </c>
      <c r="L3753" s="93">
        <f t="shared" si="491"/>
        <v>0</v>
      </c>
      <c r="M3753" s="95">
        <f t="shared" ca="1" si="492"/>
        <v>0</v>
      </c>
      <c r="N3753" s="95">
        <f>IF(P3753="Hedge Fund",IF(A3753=Summary!$AD$3,M3753-E3753,M3753),IF(A3753=Summary!$AD$3,L3753-D3753,L3753))</f>
        <v>0</v>
      </c>
      <c r="O3753" s="95">
        <f t="shared" si="489"/>
        <v>0</v>
      </c>
      <c r="P3753" s="107" t="s">
        <v>155</v>
      </c>
      <c r="Q3753" s="107">
        <v>0</v>
      </c>
      <c r="R3753" s="107">
        <v>0</v>
      </c>
      <c r="S3753" s="107">
        <v>0</v>
      </c>
      <c r="T3753" s="107">
        <v>0</v>
      </c>
      <c r="U3753" s="107"/>
      <c r="V3753" s="107"/>
      <c r="W3753" s="107"/>
      <c r="X3753" s="107"/>
      <c r="Y3753" s="107"/>
      <c r="Z3753" s="107"/>
      <c r="AA3753" s="107"/>
      <c r="AB3753" s="107"/>
      <c r="AC3753" s="355"/>
      <c r="AD3753" s="355"/>
      <c r="AE3753" s="355"/>
      <c r="AF3753" s="94">
        <f t="shared" si="493"/>
        <v>42429</v>
      </c>
      <c r="AG3753" s="185">
        <f t="shared" si="497"/>
        <v>1.0280662780564054E-2</v>
      </c>
      <c r="AH3753" s="339" t="str">
        <f>VLOOKUP(B3753,'MF PF'!A:B,2)</f>
        <v>FdMgt1</v>
      </c>
      <c r="AI3753" s="358">
        <f t="shared" si="494"/>
        <v>0</v>
      </c>
      <c r="AJ3753" s="94">
        <f t="shared" si="495"/>
        <v>42429</v>
      </c>
    </row>
    <row r="3754" spans="1:36" ht="12.75" customHeight="1">
      <c r="A3754" s="8">
        <v>42460</v>
      </c>
      <c r="B3754" s="94" t="s">
        <v>189</v>
      </c>
      <c r="C3754" s="358" t="s">
        <v>301</v>
      </c>
      <c r="D3754" s="98">
        <v>24451655.23</v>
      </c>
      <c r="E3754" s="9">
        <f t="shared" si="496"/>
        <v>4878632.1566732032</v>
      </c>
      <c r="F3754" s="98">
        <v>107.2</v>
      </c>
      <c r="G3754" s="98">
        <v>0</v>
      </c>
      <c r="H3754" s="98">
        <v>0</v>
      </c>
      <c r="I3754" s="98">
        <v>0</v>
      </c>
      <c r="J3754" s="98"/>
      <c r="K3754" s="93">
        <v>5.0119899276591235</v>
      </c>
      <c r="L3754" s="93">
        <f t="shared" si="491"/>
        <v>0</v>
      </c>
      <c r="M3754" s="95">
        <f t="shared" ca="1" si="492"/>
        <v>0</v>
      </c>
      <c r="N3754" s="95">
        <f>IF(P3754="Hedge Fund",IF(A3754=Summary!$AD$3,M3754-E3754,M3754),IF(A3754=Summary!$AD$3,L3754-D3754,L3754))</f>
        <v>0</v>
      </c>
      <c r="O3754" s="95">
        <f t="shared" si="489"/>
        <v>0</v>
      </c>
      <c r="P3754" s="107" t="s">
        <v>155</v>
      </c>
      <c r="Q3754" s="107">
        <v>0</v>
      </c>
      <c r="R3754" s="107">
        <v>0</v>
      </c>
      <c r="S3754" s="107">
        <v>0</v>
      </c>
      <c r="T3754" s="107">
        <v>0</v>
      </c>
      <c r="U3754" s="107"/>
      <c r="V3754" s="107"/>
      <c r="W3754" s="107"/>
      <c r="X3754" s="107"/>
      <c r="Y3754" s="107"/>
      <c r="Z3754" s="107"/>
      <c r="AA3754" s="107"/>
      <c r="AB3754" s="107"/>
      <c r="AC3754" s="355"/>
      <c r="AD3754" s="355"/>
      <c r="AE3754" s="355"/>
      <c r="AF3754" s="94">
        <f t="shared" si="493"/>
        <v>42460</v>
      </c>
      <c r="AG3754" s="185">
        <f t="shared" si="497"/>
        <v>1.9257014428447849E-2</v>
      </c>
      <c r="AH3754" s="339" t="str">
        <f>VLOOKUP(B3754,'MF PF'!A:B,2)</f>
        <v>FdMgt1</v>
      </c>
      <c r="AI3754" s="358">
        <f t="shared" si="494"/>
        <v>0</v>
      </c>
      <c r="AJ3754" s="94">
        <f t="shared" si="495"/>
        <v>42460</v>
      </c>
    </row>
    <row r="3755" spans="1:36" ht="12.75" customHeight="1">
      <c r="A3755" s="8">
        <v>42489</v>
      </c>
      <c r="B3755" s="94" t="s">
        <v>189</v>
      </c>
      <c r="C3755" s="358" t="s">
        <v>301</v>
      </c>
      <c r="D3755" s="98">
        <v>25156356.460000001</v>
      </c>
      <c r="E3755" s="95">
        <f t="shared" si="496"/>
        <v>5019235.2385172108</v>
      </c>
      <c r="F3755" s="98">
        <v>107.2</v>
      </c>
      <c r="G3755" s="98">
        <v>0</v>
      </c>
      <c r="H3755" s="98">
        <v>0</v>
      </c>
      <c r="I3755" s="98">
        <v>0</v>
      </c>
      <c r="J3755" s="98"/>
      <c r="K3755" s="93">
        <v>5.0119899276591235</v>
      </c>
      <c r="L3755" s="93">
        <f t="shared" si="491"/>
        <v>0</v>
      </c>
      <c r="M3755" s="95">
        <f t="shared" ca="1" si="492"/>
        <v>0</v>
      </c>
      <c r="N3755" s="95">
        <f>IF(P3755="Hedge Fund",IF(A3755=Summary!$AD$3,M3755-E3755,M3755),IF(A3755=Summary!$AD$3,L3755-D3755,L3755))</f>
        <v>0</v>
      </c>
      <c r="O3755" s="95">
        <f t="shared" si="489"/>
        <v>0</v>
      </c>
      <c r="P3755" s="107" t="s">
        <v>155</v>
      </c>
      <c r="Q3755" s="107">
        <v>0</v>
      </c>
      <c r="R3755" s="107">
        <v>0</v>
      </c>
      <c r="S3755" s="107">
        <v>0</v>
      </c>
      <c r="T3755" s="107">
        <v>0</v>
      </c>
      <c r="U3755" s="107"/>
      <c r="V3755" s="107"/>
      <c r="W3755" s="107"/>
      <c r="X3755" s="107"/>
      <c r="Y3755" s="107"/>
      <c r="Z3755" s="107"/>
      <c r="AA3755" s="107"/>
      <c r="AB3755" s="107"/>
      <c r="AC3755" s="355"/>
      <c r="AD3755" s="355"/>
      <c r="AE3755" s="355"/>
      <c r="AF3755" s="94">
        <f t="shared" si="493"/>
        <v>42489</v>
      </c>
      <c r="AG3755" s="185">
        <f t="shared" si="497"/>
        <v>2.8820185111043006E-2</v>
      </c>
      <c r="AH3755" s="339" t="str">
        <f>VLOOKUP(B3755,'MF PF'!A:B,2)</f>
        <v>FdMgt1</v>
      </c>
      <c r="AI3755" s="358">
        <f t="shared" si="494"/>
        <v>0</v>
      </c>
      <c r="AJ3755" s="94">
        <f t="shared" si="495"/>
        <v>42490</v>
      </c>
    </row>
    <row r="3756" spans="1:36" ht="12.75" customHeight="1">
      <c r="A3756" s="8">
        <v>42521</v>
      </c>
      <c r="B3756" s="94" t="s">
        <v>189</v>
      </c>
      <c r="C3756" s="358" t="s">
        <v>301</v>
      </c>
      <c r="D3756" s="98">
        <v>24994116.350000001</v>
      </c>
      <c r="E3756" s="95">
        <f t="shared" si="496"/>
        <v>4986864.8402638817</v>
      </c>
      <c r="F3756" s="98">
        <v>107.2</v>
      </c>
      <c r="G3756" s="98">
        <v>0</v>
      </c>
      <c r="H3756" s="98">
        <v>0</v>
      </c>
      <c r="I3756" s="98">
        <v>0</v>
      </c>
      <c r="J3756" s="98"/>
      <c r="K3756" s="93">
        <v>5.0119899276591235</v>
      </c>
      <c r="L3756" s="93">
        <f t="shared" si="491"/>
        <v>0</v>
      </c>
      <c r="M3756" s="95">
        <f t="shared" ca="1" si="492"/>
        <v>0</v>
      </c>
      <c r="N3756" s="95">
        <f>IF(P3756="Hedge Fund",IF(A3756=Summary!$AD$3,M3756-E3756,M3756),IF(A3756=Summary!$AD$3,L3756-D3756,L3756))</f>
        <v>0</v>
      </c>
      <c r="O3756" s="95">
        <f t="shared" si="489"/>
        <v>0</v>
      </c>
      <c r="P3756" s="107" t="s">
        <v>155</v>
      </c>
      <c r="Q3756" s="107">
        <v>0</v>
      </c>
      <c r="R3756" s="107">
        <v>0</v>
      </c>
      <c r="S3756" s="107">
        <v>0</v>
      </c>
      <c r="T3756" s="107">
        <v>0</v>
      </c>
      <c r="U3756" s="107"/>
      <c r="V3756" s="107"/>
      <c r="W3756" s="107"/>
      <c r="X3756" s="107"/>
      <c r="Y3756" s="107"/>
      <c r="Z3756" s="107"/>
      <c r="AA3756" s="107"/>
      <c r="AB3756" s="107"/>
      <c r="AC3756" s="355"/>
      <c r="AD3756" s="355"/>
      <c r="AE3756" s="355"/>
      <c r="AF3756" s="94">
        <f t="shared" si="493"/>
        <v>42521</v>
      </c>
      <c r="AG3756" s="185">
        <f t="shared" si="497"/>
        <v>-6.4492690051506374E-3</v>
      </c>
      <c r="AH3756" s="339" t="str">
        <f>VLOOKUP(B3756,'MF PF'!A:B,2)</f>
        <v>FdMgt1</v>
      </c>
      <c r="AI3756" s="358">
        <f t="shared" si="494"/>
        <v>0</v>
      </c>
      <c r="AJ3756" s="94">
        <f t="shared" si="495"/>
        <v>42521</v>
      </c>
    </row>
    <row r="3757" spans="1:36" ht="12.75" customHeight="1">
      <c r="A3757" s="8">
        <v>42551</v>
      </c>
      <c r="B3757" s="94" t="s">
        <v>189</v>
      </c>
      <c r="C3757" s="358" t="s">
        <v>301</v>
      </c>
      <c r="D3757" s="98">
        <v>25321518.949999999</v>
      </c>
      <c r="E3757" s="95">
        <f t="shared" si="496"/>
        <v>5052188.7145584403</v>
      </c>
      <c r="F3757" s="98">
        <v>107.2</v>
      </c>
      <c r="G3757" s="98">
        <v>0</v>
      </c>
      <c r="H3757" s="98">
        <v>0</v>
      </c>
      <c r="I3757" s="98">
        <v>0</v>
      </c>
      <c r="J3757" s="98"/>
      <c r="K3757" s="93">
        <v>5.0119899276591235</v>
      </c>
      <c r="L3757" s="93">
        <f t="shared" si="491"/>
        <v>0</v>
      </c>
      <c r="M3757" s="95">
        <f t="shared" ca="1" si="492"/>
        <v>0</v>
      </c>
      <c r="N3757" s="95">
        <f>IF(P3757="Hedge Fund",IF(A3757=Summary!$AD$3,M3757-E3757,M3757),IF(A3757=Summary!$AD$3,L3757-D3757,L3757))</f>
        <v>0</v>
      </c>
      <c r="O3757" s="95">
        <f t="shared" si="489"/>
        <v>0</v>
      </c>
      <c r="P3757" s="107" t="s">
        <v>155</v>
      </c>
      <c r="Q3757" s="107">
        <v>0</v>
      </c>
      <c r="R3757" s="107">
        <v>0</v>
      </c>
      <c r="S3757" s="107">
        <v>0</v>
      </c>
      <c r="T3757" s="107">
        <v>0</v>
      </c>
      <c r="U3757" s="107"/>
      <c r="V3757" s="107"/>
      <c r="W3757" s="107"/>
      <c r="X3757" s="107"/>
      <c r="Y3757" s="107"/>
      <c r="Z3757" s="107"/>
      <c r="AA3757" s="107"/>
      <c r="AB3757" s="107"/>
      <c r="AC3757" s="355"/>
      <c r="AD3757" s="355"/>
      <c r="AE3757" s="355"/>
      <c r="AF3757" s="94">
        <f t="shared" si="493"/>
        <v>42551</v>
      </c>
      <c r="AG3757" s="185">
        <f t="shared" si="497"/>
        <v>1.309918684122624E-2</v>
      </c>
      <c r="AH3757" s="339" t="str">
        <f>VLOOKUP(B3757,'MF PF'!A:B,2)</f>
        <v>FdMgt1</v>
      </c>
      <c r="AI3757" s="358">
        <f t="shared" si="494"/>
        <v>0</v>
      </c>
      <c r="AJ3757" s="94">
        <f t="shared" si="495"/>
        <v>42551</v>
      </c>
    </row>
    <row r="3758" spans="1:36" ht="12.75" customHeight="1">
      <c r="A3758" s="8">
        <v>42580</v>
      </c>
      <c r="B3758" s="94" t="s">
        <v>189</v>
      </c>
      <c r="C3758" s="358" t="s">
        <v>301</v>
      </c>
      <c r="D3758" s="98">
        <v>25689342.75</v>
      </c>
      <c r="E3758" s="95">
        <f t="shared" si="496"/>
        <v>5125577.4893383207</v>
      </c>
      <c r="F3758" s="98">
        <v>107.2</v>
      </c>
      <c r="G3758" s="98">
        <v>0</v>
      </c>
      <c r="H3758" s="98">
        <v>-3.7252902984619141E-9</v>
      </c>
      <c r="I3758" s="98">
        <v>0</v>
      </c>
      <c r="J3758" s="98"/>
      <c r="K3758" s="93">
        <v>5.0119899276591235</v>
      </c>
      <c r="L3758" s="93">
        <f t="shared" si="491"/>
        <v>-3.7252902984619141E-9</v>
      </c>
      <c r="M3758" s="95">
        <f t="shared" ca="1" si="492"/>
        <v>0</v>
      </c>
      <c r="N3758" s="95">
        <f>IF(P3758="Hedge Fund",IF(A3758=Summary!$AD$3,M3758-E3758,M3758),IF(A3758=Summary!$AD$3,L3758-D3758,L3758))</f>
        <v>-3.7252902984619141E-9</v>
      </c>
      <c r="O3758" s="95">
        <f t="shared" si="489"/>
        <v>-3.7252902984619141E-9</v>
      </c>
      <c r="P3758" s="107" t="s">
        <v>155</v>
      </c>
      <c r="Q3758" s="107">
        <v>0</v>
      </c>
      <c r="R3758" s="107">
        <v>0</v>
      </c>
      <c r="S3758" s="107">
        <v>0</v>
      </c>
      <c r="T3758" s="107">
        <v>0</v>
      </c>
      <c r="U3758" s="107"/>
      <c r="V3758" s="107"/>
      <c r="W3758" s="107"/>
      <c r="X3758" s="107"/>
      <c r="Y3758" s="107"/>
      <c r="Z3758" s="107"/>
      <c r="AA3758" s="107"/>
      <c r="AB3758" s="107"/>
      <c r="AC3758" s="355"/>
      <c r="AD3758" s="355"/>
      <c r="AE3758" s="355"/>
      <c r="AF3758" s="94">
        <f t="shared" si="493"/>
        <v>42580</v>
      </c>
      <c r="AG3758" s="185">
        <f t="shared" si="497"/>
        <v>1.4526134894447429E-2</v>
      </c>
      <c r="AH3758" s="339" t="str">
        <f>VLOOKUP(B3758,'MF PF'!A:B,2)</f>
        <v>FdMgt1</v>
      </c>
      <c r="AI3758" s="358">
        <f t="shared" si="494"/>
        <v>0</v>
      </c>
      <c r="AJ3758" s="94">
        <f t="shared" si="495"/>
        <v>42582</v>
      </c>
    </row>
    <row r="3759" spans="1:36" ht="12.75" customHeight="1">
      <c r="A3759" s="8">
        <v>42613</v>
      </c>
      <c r="B3759" s="94" t="s">
        <v>189</v>
      </c>
      <c r="C3759" s="358" t="s">
        <v>301</v>
      </c>
      <c r="D3759" s="98">
        <v>25860682.059999999</v>
      </c>
      <c r="E3759" s="95">
        <f t="shared" si="496"/>
        <v>5159763.3740813136</v>
      </c>
      <c r="F3759" s="98">
        <v>107.2</v>
      </c>
      <c r="G3759" s="98">
        <v>0</v>
      </c>
      <c r="H3759" s="98">
        <v>0</v>
      </c>
      <c r="I3759" s="98">
        <v>0</v>
      </c>
      <c r="J3759" s="98"/>
      <c r="K3759" s="93">
        <v>5.0119899276591235</v>
      </c>
      <c r="L3759" s="93">
        <f t="shared" si="491"/>
        <v>0</v>
      </c>
      <c r="M3759" s="95">
        <f t="shared" ca="1" si="492"/>
        <v>0</v>
      </c>
      <c r="N3759" s="95">
        <f>IF(P3759="Hedge Fund",IF(A3759=Summary!$AD$3,M3759-E3759,M3759),IF(A3759=Summary!$AD$3,L3759-D3759,L3759))</f>
        <v>0</v>
      </c>
      <c r="O3759" s="95">
        <f t="shared" si="489"/>
        <v>0</v>
      </c>
      <c r="P3759" s="107" t="s">
        <v>155</v>
      </c>
      <c r="Q3759" s="107">
        <v>0</v>
      </c>
      <c r="R3759" s="107">
        <v>0</v>
      </c>
      <c r="S3759" s="107">
        <v>0</v>
      </c>
      <c r="T3759" s="107">
        <v>0</v>
      </c>
      <c r="U3759" s="107"/>
      <c r="V3759" s="107"/>
      <c r="W3759" s="107"/>
      <c r="X3759" s="107"/>
      <c r="Y3759" s="107"/>
      <c r="Z3759" s="107"/>
      <c r="AA3759" s="107"/>
      <c r="AB3759" s="107"/>
      <c r="AC3759" s="355"/>
      <c r="AD3759" s="355"/>
      <c r="AE3759" s="355"/>
      <c r="AF3759" s="94">
        <f t="shared" si="493"/>
        <v>42613</v>
      </c>
      <c r="AG3759" s="185">
        <f t="shared" si="497"/>
        <v>6.6696649917210582E-3</v>
      </c>
      <c r="AH3759" s="339" t="str">
        <f>VLOOKUP(B3759,'MF PF'!A:B,2)</f>
        <v>FdMgt1</v>
      </c>
      <c r="AI3759" s="358">
        <f t="shared" si="494"/>
        <v>0</v>
      </c>
      <c r="AJ3759" s="94">
        <f t="shared" si="495"/>
        <v>42613</v>
      </c>
    </row>
    <row r="3760" spans="1:36" ht="12.75" customHeight="1">
      <c r="A3760" s="8">
        <v>42643</v>
      </c>
      <c r="B3760" s="94" t="s">
        <v>189</v>
      </c>
      <c r="C3760" s="358" t="s">
        <v>301</v>
      </c>
      <c r="D3760" s="98">
        <v>25541955.66</v>
      </c>
      <c r="E3760" s="95">
        <f t="shared" si="496"/>
        <v>5096170.5886606807</v>
      </c>
      <c r="F3760" s="98">
        <v>107.2</v>
      </c>
      <c r="G3760" s="98">
        <v>0</v>
      </c>
      <c r="H3760" s="98">
        <v>0</v>
      </c>
      <c r="I3760" s="98">
        <v>0</v>
      </c>
      <c r="J3760" s="98"/>
      <c r="K3760" s="93">
        <v>5.0119899276591235</v>
      </c>
      <c r="L3760" s="93">
        <f t="shared" si="491"/>
        <v>0</v>
      </c>
      <c r="M3760" s="95">
        <f t="shared" ca="1" si="492"/>
        <v>0</v>
      </c>
      <c r="N3760" s="95">
        <f>IF(P3760="Hedge Fund",IF(A3760=Summary!$AD$3,M3760-E3760,M3760),IF(A3760=Summary!$AD$3,L3760-D3760,L3760))</f>
        <v>0</v>
      </c>
      <c r="O3760" s="95">
        <f t="shared" si="489"/>
        <v>0</v>
      </c>
      <c r="P3760" s="107" t="s">
        <v>155</v>
      </c>
      <c r="Q3760" s="107">
        <v>0</v>
      </c>
      <c r="R3760" s="107">
        <v>0</v>
      </c>
      <c r="S3760" s="107">
        <v>0</v>
      </c>
      <c r="T3760" s="107">
        <v>0</v>
      </c>
      <c r="U3760" s="107"/>
      <c r="V3760" s="107"/>
      <c r="W3760" s="107"/>
      <c r="X3760" s="107"/>
      <c r="Y3760" s="107"/>
      <c r="Z3760" s="107"/>
      <c r="AA3760" s="107"/>
      <c r="AB3760" s="107"/>
      <c r="AC3760" s="355"/>
      <c r="AD3760" s="355"/>
      <c r="AE3760" s="355"/>
      <c r="AF3760" s="94">
        <f t="shared" si="493"/>
        <v>42643</v>
      </c>
      <c r="AG3760" s="185">
        <f t="shared" si="497"/>
        <v>-1.232474840611375E-2</v>
      </c>
      <c r="AH3760" s="339" t="str">
        <f>VLOOKUP(B3760,'MF PF'!A:B,2)</f>
        <v>FdMgt1</v>
      </c>
      <c r="AI3760" s="358">
        <f t="shared" si="494"/>
        <v>0</v>
      </c>
      <c r="AJ3760" s="94">
        <f t="shared" si="495"/>
        <v>42643</v>
      </c>
    </row>
    <row r="3761" spans="1:36" ht="12.75" customHeight="1">
      <c r="A3761" s="8">
        <v>42674</v>
      </c>
      <c r="B3761" s="94" t="s">
        <v>189</v>
      </c>
      <c r="C3761" s="358" t="s">
        <v>301</v>
      </c>
      <c r="D3761" s="98">
        <v>25710613.469999999</v>
      </c>
      <c r="E3761" s="95">
        <f t="shared" si="496"/>
        <v>5129821.4563667886</v>
      </c>
      <c r="F3761" s="98">
        <v>107.2</v>
      </c>
      <c r="G3761" s="98">
        <v>0</v>
      </c>
      <c r="H3761" s="98">
        <v>0</v>
      </c>
      <c r="I3761" s="98">
        <v>0</v>
      </c>
      <c r="J3761" s="98"/>
      <c r="K3761" s="93">
        <v>5.0119899276591235</v>
      </c>
      <c r="L3761" s="93">
        <f t="shared" si="491"/>
        <v>0</v>
      </c>
      <c r="M3761" s="95">
        <f t="shared" ca="1" si="492"/>
        <v>0</v>
      </c>
      <c r="N3761" s="95">
        <f>IF(P3761="Hedge Fund",IF(A3761=Summary!$AD$3,M3761-E3761,M3761),IF(A3761=Summary!$AD$3,L3761-D3761,L3761))</f>
        <v>0</v>
      </c>
      <c r="O3761" s="95">
        <f t="shared" si="489"/>
        <v>0</v>
      </c>
      <c r="P3761" s="107" t="s">
        <v>155</v>
      </c>
      <c r="Q3761" s="107">
        <v>0</v>
      </c>
      <c r="R3761" s="107">
        <v>0</v>
      </c>
      <c r="S3761" s="107">
        <v>0</v>
      </c>
      <c r="T3761" s="107">
        <v>0</v>
      </c>
      <c r="U3761" s="107"/>
      <c r="V3761" s="107"/>
      <c r="W3761" s="107"/>
      <c r="X3761" s="107"/>
      <c r="Y3761" s="107"/>
      <c r="Z3761" s="107"/>
      <c r="AA3761" s="107"/>
      <c r="AB3761" s="107"/>
      <c r="AC3761" s="355"/>
      <c r="AD3761" s="355"/>
      <c r="AE3761" s="355"/>
      <c r="AF3761" s="94">
        <f t="shared" si="493"/>
        <v>42674</v>
      </c>
      <c r="AG3761" s="185">
        <f t="shared" si="497"/>
        <v>6.6031674412514452E-3</v>
      </c>
      <c r="AH3761" s="339" t="str">
        <f>VLOOKUP(B3761,'MF PF'!A:B,2)</f>
        <v>FdMgt1</v>
      </c>
      <c r="AI3761" s="358">
        <f t="shared" si="494"/>
        <v>0</v>
      </c>
      <c r="AJ3761" s="94">
        <f t="shared" si="495"/>
        <v>42674</v>
      </c>
    </row>
    <row r="3762" spans="1:36" ht="12.75" customHeight="1">
      <c r="A3762" s="8">
        <v>42704</v>
      </c>
      <c r="B3762" s="94" t="s">
        <v>189</v>
      </c>
      <c r="C3762" s="358" t="s">
        <v>301</v>
      </c>
      <c r="D3762" s="98">
        <v>21332360.329999998</v>
      </c>
      <c r="E3762" s="9">
        <f t="shared" si="496"/>
        <v>4256265.6026652055</v>
      </c>
      <c r="F3762" s="98">
        <v>107.2</v>
      </c>
      <c r="G3762" s="98">
        <v>0</v>
      </c>
      <c r="H3762" s="98">
        <v>0</v>
      </c>
      <c r="I3762" s="98">
        <v>-3995987.2</v>
      </c>
      <c r="J3762" s="98"/>
      <c r="K3762" s="93">
        <v>5.0119899276591235</v>
      </c>
      <c r="L3762" s="93">
        <f t="shared" si="491"/>
        <v>-3995987.2</v>
      </c>
      <c r="M3762" s="95">
        <f t="shared" ca="1" si="492"/>
        <v>-797285.56076056347</v>
      </c>
      <c r="N3762" s="95">
        <f>IF(P3762="Hedge Fund",IF(A3762=Summary!$AD$3,M3762-E3762,M3762),IF(A3762=Summary!$AD$3,L3762-D3762,L3762))</f>
        <v>-3995987.2</v>
      </c>
      <c r="O3762" s="95">
        <f t="shared" si="489"/>
        <v>-3995987.2</v>
      </c>
      <c r="P3762" s="107" t="s">
        <v>155</v>
      </c>
      <c r="Q3762" s="107">
        <v>0</v>
      </c>
      <c r="R3762" s="107">
        <v>0</v>
      </c>
      <c r="S3762" s="107">
        <v>0</v>
      </c>
      <c r="T3762" s="107">
        <v>0</v>
      </c>
      <c r="U3762" s="107"/>
      <c r="V3762" s="107"/>
      <c r="W3762" s="107"/>
      <c r="X3762" s="107"/>
      <c r="Y3762" s="107"/>
      <c r="Z3762" s="107"/>
      <c r="AA3762" s="107"/>
      <c r="AB3762" s="107"/>
      <c r="AC3762" s="355"/>
      <c r="AD3762" s="355"/>
      <c r="AE3762" s="355"/>
      <c r="AF3762" s="94">
        <f t="shared" si="493"/>
        <v>42704</v>
      </c>
      <c r="AG3762" s="185">
        <f t="shared" si="497"/>
        <v>-1.4868020961306239E-2</v>
      </c>
      <c r="AH3762" s="339" t="str">
        <f>VLOOKUP(B3762,'MF PF'!A:B,2)</f>
        <v>FdMgt1</v>
      </c>
      <c r="AI3762" s="358">
        <f t="shared" si="494"/>
        <v>0</v>
      </c>
      <c r="AJ3762" s="94">
        <f t="shared" si="495"/>
        <v>42704</v>
      </c>
    </row>
    <row r="3763" spans="1:36" ht="12.75" customHeight="1">
      <c r="A3763" s="8">
        <v>42734</v>
      </c>
      <c r="B3763" s="94" t="s">
        <v>189</v>
      </c>
      <c r="C3763" s="358" t="s">
        <v>301</v>
      </c>
      <c r="D3763" s="98">
        <v>19647440.100000001</v>
      </c>
      <c r="E3763" s="95">
        <f t="shared" si="496"/>
        <v>3920087.7063965774</v>
      </c>
      <c r="F3763" s="98">
        <v>107.2</v>
      </c>
      <c r="G3763" s="98">
        <v>0</v>
      </c>
      <c r="H3763" s="98">
        <v>0</v>
      </c>
      <c r="I3763" s="98">
        <v>-814720</v>
      </c>
      <c r="J3763" s="98"/>
      <c r="K3763" s="93">
        <v>5.0119899276591235</v>
      </c>
      <c r="L3763" s="93">
        <f t="shared" si="491"/>
        <v>-814720</v>
      </c>
      <c r="M3763" s="95">
        <f t="shared" ca="1" si="492"/>
        <v>-162554.19738652973</v>
      </c>
      <c r="N3763" s="95">
        <f>IF(P3763="Hedge Fund",IF(A3763=Summary!$AD$3,M3763-E3763,M3763),IF(A3763=Summary!$AD$3,L3763-D3763,L3763))</f>
        <v>-814720</v>
      </c>
      <c r="O3763" s="95">
        <f t="shared" si="489"/>
        <v>-814720</v>
      </c>
      <c r="P3763" s="107" t="s">
        <v>155</v>
      </c>
      <c r="Q3763" s="107">
        <v>0</v>
      </c>
      <c r="R3763" s="107">
        <v>0</v>
      </c>
      <c r="S3763" s="107">
        <v>0</v>
      </c>
      <c r="T3763" s="107">
        <v>0</v>
      </c>
      <c r="U3763" s="107"/>
      <c r="V3763" s="107"/>
      <c r="W3763" s="107"/>
      <c r="X3763" s="107"/>
      <c r="Y3763" s="107"/>
      <c r="Z3763" s="107"/>
      <c r="AA3763" s="107"/>
      <c r="AB3763" s="107"/>
      <c r="AC3763" s="355"/>
      <c r="AD3763" s="355"/>
      <c r="AE3763" s="355"/>
      <c r="AF3763" s="94">
        <f t="shared" si="493"/>
        <v>42734</v>
      </c>
      <c r="AG3763" s="185">
        <f t="shared" si="497"/>
        <v>-4.0792496307884951E-2</v>
      </c>
      <c r="AH3763" s="339" t="str">
        <f>VLOOKUP(B3763,'MF PF'!A:B,2)</f>
        <v>FdMgt1</v>
      </c>
      <c r="AI3763" s="358">
        <f t="shared" si="494"/>
        <v>0</v>
      </c>
      <c r="AJ3763" s="94">
        <f t="shared" si="495"/>
        <v>42735</v>
      </c>
    </row>
    <row r="3764" spans="1:36" ht="12.75" customHeight="1">
      <c r="A3764" s="8">
        <v>42762</v>
      </c>
      <c r="B3764" s="94" t="s">
        <v>189</v>
      </c>
      <c r="C3764" s="358" t="s">
        <v>301</v>
      </c>
      <c r="D3764" s="98">
        <v>19500015.859999999</v>
      </c>
      <c r="E3764" s="95">
        <f t="shared" si="496"/>
        <v>3890673.3934933473</v>
      </c>
      <c r="F3764" s="98">
        <v>107.2</v>
      </c>
      <c r="G3764" s="98">
        <v>0</v>
      </c>
      <c r="H3764" s="98">
        <v>0</v>
      </c>
      <c r="I3764" s="98">
        <v>0</v>
      </c>
      <c r="J3764" s="98"/>
      <c r="K3764" s="93">
        <v>5.0119899276591235</v>
      </c>
      <c r="L3764" s="93">
        <f t="shared" si="491"/>
        <v>0</v>
      </c>
      <c r="M3764" s="95">
        <f t="shared" ca="1" si="492"/>
        <v>0</v>
      </c>
      <c r="N3764" s="95">
        <f>IF(P3764="Hedge Fund",IF(A3764=Summary!$AD$3,M3764-E3764,M3764),IF(A3764=Summary!$AD$3,L3764-D3764,L3764))</f>
        <v>0</v>
      </c>
      <c r="O3764" s="95">
        <f t="shared" si="489"/>
        <v>0</v>
      </c>
      <c r="P3764" s="107" t="s">
        <v>155</v>
      </c>
      <c r="Q3764" s="107">
        <v>0</v>
      </c>
      <c r="R3764" s="107">
        <v>0</v>
      </c>
      <c r="S3764" s="107">
        <v>0</v>
      </c>
      <c r="T3764" s="107">
        <v>0</v>
      </c>
      <c r="U3764" s="107"/>
      <c r="V3764" s="107"/>
      <c r="W3764" s="107"/>
      <c r="X3764" s="107"/>
      <c r="Y3764" s="107"/>
      <c r="Z3764" s="107"/>
      <c r="AA3764" s="107"/>
      <c r="AB3764" s="107"/>
      <c r="AC3764" s="355"/>
      <c r="AD3764" s="355"/>
      <c r="AE3764" s="355"/>
      <c r="AF3764" s="94">
        <f t="shared" si="493"/>
        <v>42762</v>
      </c>
      <c r="AG3764" s="185">
        <f t="shared" si="497"/>
        <v>-7.5034833672811274E-3</v>
      </c>
      <c r="AH3764" s="339" t="str">
        <f>VLOOKUP(B3764,'MF PF'!A:B,2)</f>
        <v>FdMgt1</v>
      </c>
      <c r="AI3764" s="358">
        <f t="shared" si="494"/>
        <v>0</v>
      </c>
      <c r="AJ3764" s="94">
        <f t="shared" si="495"/>
        <v>42766</v>
      </c>
    </row>
    <row r="3765" spans="1:36" ht="12.75" customHeight="1">
      <c r="A3765" s="8">
        <v>42794</v>
      </c>
      <c r="B3765" s="94" t="s">
        <v>189</v>
      </c>
      <c r="C3765" s="358" t="s">
        <v>301</v>
      </c>
      <c r="D3765" s="98">
        <v>19820782.879999999</v>
      </c>
      <c r="E3765" s="95">
        <f t="shared" si="496"/>
        <v>3954673.3265797682</v>
      </c>
      <c r="F3765" s="98">
        <v>107.2</v>
      </c>
      <c r="G3765" s="98">
        <v>0</v>
      </c>
      <c r="H3765" s="98">
        <v>0</v>
      </c>
      <c r="I3765" s="98">
        <v>0</v>
      </c>
      <c r="J3765" s="98"/>
      <c r="K3765" s="93">
        <v>5.0119899276591235</v>
      </c>
      <c r="L3765" s="93">
        <f t="shared" si="491"/>
        <v>0</v>
      </c>
      <c r="M3765" s="95">
        <f t="shared" ca="1" si="492"/>
        <v>0</v>
      </c>
      <c r="N3765" s="95">
        <f>IF(P3765="Hedge Fund",IF(A3765=Summary!$AD$3,M3765-E3765,M3765),IF(A3765=Summary!$AD$3,L3765-D3765,L3765))</f>
        <v>0</v>
      </c>
      <c r="O3765" s="95">
        <f t="shared" si="489"/>
        <v>0</v>
      </c>
      <c r="P3765" s="107" t="s">
        <v>155</v>
      </c>
      <c r="Q3765" s="107">
        <v>0</v>
      </c>
      <c r="R3765" s="107">
        <v>0</v>
      </c>
      <c r="S3765" s="107">
        <v>0</v>
      </c>
      <c r="T3765" s="107">
        <v>0</v>
      </c>
      <c r="U3765" s="107"/>
      <c r="V3765" s="107"/>
      <c r="W3765" s="107"/>
      <c r="X3765" s="107"/>
      <c r="Y3765" s="107"/>
      <c r="Z3765" s="107"/>
      <c r="AA3765" s="107"/>
      <c r="AB3765" s="107"/>
      <c r="AC3765" s="355"/>
      <c r="AD3765" s="355"/>
      <c r="AE3765" s="355"/>
      <c r="AF3765" s="94">
        <f t="shared" si="493"/>
        <v>42794</v>
      </c>
      <c r="AG3765" s="185">
        <f t="shared" si="497"/>
        <v>1.644957739024111E-2</v>
      </c>
      <c r="AH3765" s="339" t="str">
        <f>VLOOKUP(B3765,'MF PF'!A:B,2)</f>
        <v>FdMgt1</v>
      </c>
      <c r="AI3765" s="358">
        <f t="shared" si="494"/>
        <v>0</v>
      </c>
      <c r="AJ3765" s="94">
        <f t="shared" si="495"/>
        <v>42794</v>
      </c>
    </row>
    <row r="3766" spans="1:36" ht="12.75" customHeight="1">
      <c r="A3766" s="8">
        <v>42825</v>
      </c>
      <c r="B3766" s="94" t="s">
        <v>189</v>
      </c>
      <c r="C3766" s="358" t="s">
        <v>301</v>
      </c>
      <c r="D3766" s="98">
        <v>19340988.010000002</v>
      </c>
      <c r="E3766" s="95">
        <f t="shared" si="496"/>
        <v>3858943.910334894</v>
      </c>
      <c r="F3766" s="98">
        <v>107.2</v>
      </c>
      <c r="G3766" s="98">
        <v>0</v>
      </c>
      <c r="H3766" s="98">
        <v>0</v>
      </c>
      <c r="I3766" s="98">
        <v>-1286400</v>
      </c>
      <c r="J3766" s="98"/>
      <c r="K3766" s="93">
        <v>5.0119899276591235</v>
      </c>
      <c r="L3766" s="93">
        <f t="shared" si="491"/>
        <v>-1286400</v>
      </c>
      <c r="M3766" s="95">
        <f t="shared" ca="1" si="492"/>
        <v>-256664.52218925746</v>
      </c>
      <c r="N3766" s="95">
        <f>IF(P3766="Hedge Fund",IF(A3766=Summary!$AD$3,M3766-E3766,M3766),IF(A3766=Summary!$AD$3,L3766-D3766,L3766))</f>
        <v>-1286400</v>
      </c>
      <c r="O3766" s="95">
        <f t="shared" si="489"/>
        <v>-1286400</v>
      </c>
      <c r="P3766" s="107" t="s">
        <v>155</v>
      </c>
      <c r="Q3766" s="107">
        <v>0</v>
      </c>
      <c r="R3766" s="107">
        <v>0</v>
      </c>
      <c r="S3766" s="107">
        <v>0</v>
      </c>
      <c r="T3766" s="107">
        <v>0</v>
      </c>
      <c r="U3766" s="107"/>
      <c r="V3766" s="107"/>
      <c r="W3766" s="107"/>
      <c r="X3766" s="107"/>
      <c r="Y3766" s="107"/>
      <c r="Z3766" s="107"/>
      <c r="AA3766" s="107"/>
      <c r="AB3766" s="107"/>
      <c r="AC3766" s="355"/>
      <c r="AD3766" s="355"/>
      <c r="AE3766" s="355"/>
      <c r="AF3766" s="94">
        <f t="shared" si="493"/>
        <v>42825</v>
      </c>
      <c r="AG3766" s="185">
        <f t="shared" si="497"/>
        <v>4.0694917798322683E-2</v>
      </c>
      <c r="AH3766" s="339" t="str">
        <f>VLOOKUP(B3766,'MF PF'!A:B,2)</f>
        <v>FdMgt1</v>
      </c>
      <c r="AI3766" s="358">
        <f t="shared" si="494"/>
        <v>0</v>
      </c>
      <c r="AJ3766" s="94">
        <f t="shared" si="495"/>
        <v>42825</v>
      </c>
    </row>
    <row r="3767" spans="1:36" ht="12.75" customHeight="1">
      <c r="A3767" s="8">
        <v>42853</v>
      </c>
      <c r="B3767" s="94" t="s">
        <v>189</v>
      </c>
      <c r="C3767" s="358" t="s">
        <v>301</v>
      </c>
      <c r="D3767" s="98">
        <v>18403540.27</v>
      </c>
      <c r="E3767" s="95">
        <f t="shared" si="496"/>
        <v>3671902.8840098786</v>
      </c>
      <c r="F3767" s="98">
        <v>107.2</v>
      </c>
      <c r="G3767" s="98">
        <v>0</v>
      </c>
      <c r="H3767" s="98">
        <v>0</v>
      </c>
      <c r="I3767" s="98">
        <v>-1232800</v>
      </c>
      <c r="J3767" s="98"/>
      <c r="K3767" s="93">
        <v>5.0119899276591235</v>
      </c>
      <c r="L3767" s="93">
        <f t="shared" si="491"/>
        <v>-1232800</v>
      </c>
      <c r="M3767" s="95">
        <f t="shared" ca="1" si="492"/>
        <v>-245970.16709803839</v>
      </c>
      <c r="N3767" s="95">
        <f>IF(P3767="Hedge Fund",IF(A3767=Summary!$AD$3,M3767-E3767,M3767),IF(A3767=Summary!$AD$3,L3767-D3767,L3767))</f>
        <v>-1232800</v>
      </c>
      <c r="O3767" s="95">
        <f t="shared" si="489"/>
        <v>-1232800</v>
      </c>
      <c r="P3767" s="107" t="s">
        <v>155</v>
      </c>
      <c r="Q3767" s="107">
        <v>0</v>
      </c>
      <c r="R3767" s="107">
        <v>0</v>
      </c>
      <c r="S3767" s="107">
        <v>0</v>
      </c>
      <c r="T3767" s="107">
        <v>0</v>
      </c>
      <c r="U3767" s="107"/>
      <c r="V3767" s="107"/>
      <c r="W3767" s="107"/>
      <c r="X3767" s="107"/>
      <c r="Y3767" s="107"/>
      <c r="Z3767" s="107"/>
      <c r="AA3767" s="107"/>
      <c r="AB3767" s="107"/>
      <c r="AC3767" s="355"/>
      <c r="AD3767" s="355"/>
      <c r="AE3767" s="355"/>
      <c r="AF3767" s="94">
        <f t="shared" si="493"/>
        <v>42853</v>
      </c>
      <c r="AG3767" s="185">
        <f t="shared" si="497"/>
        <v>1.5270794844983504E-2</v>
      </c>
      <c r="AH3767" s="339" t="str">
        <f>VLOOKUP(B3767,'MF PF'!A:B,2)</f>
        <v>FdMgt1</v>
      </c>
      <c r="AI3767" s="358">
        <f t="shared" si="494"/>
        <v>0</v>
      </c>
      <c r="AJ3767" s="94">
        <f t="shared" si="495"/>
        <v>42855</v>
      </c>
    </row>
    <row r="3768" spans="1:36" ht="12.75" customHeight="1">
      <c r="A3768" s="8">
        <v>42886</v>
      </c>
      <c r="B3768" s="94" t="s">
        <v>189</v>
      </c>
      <c r="C3768" s="358" t="s">
        <v>301</v>
      </c>
      <c r="D3768" s="98">
        <v>17242492.890000001</v>
      </c>
      <c r="E3768" s="95">
        <f t="shared" si="496"/>
        <v>3440248.9108858202</v>
      </c>
      <c r="F3768" s="98">
        <v>107.2</v>
      </c>
      <c r="G3768" s="98">
        <v>0</v>
      </c>
      <c r="H3768" s="98">
        <v>0</v>
      </c>
      <c r="I3768" s="98">
        <v>0</v>
      </c>
      <c r="J3768" s="98"/>
      <c r="K3768" s="93">
        <v>5.0119899276591235</v>
      </c>
      <c r="L3768" s="93">
        <f t="shared" si="491"/>
        <v>0</v>
      </c>
      <c r="M3768" s="95">
        <f t="shared" ca="1" si="492"/>
        <v>0</v>
      </c>
      <c r="N3768" s="95">
        <f>IF(P3768="Hedge Fund",IF(A3768=Summary!$AD$3,M3768-E3768,M3768),IF(A3768=Summary!$AD$3,L3768-D3768,L3768))</f>
        <v>0</v>
      </c>
      <c r="O3768" s="95">
        <f t="shared" si="489"/>
        <v>0</v>
      </c>
      <c r="P3768" s="107" t="s">
        <v>155</v>
      </c>
      <c r="Q3768" s="107">
        <v>0</v>
      </c>
      <c r="R3768" s="107">
        <v>0</v>
      </c>
      <c r="S3768" s="107">
        <v>0</v>
      </c>
      <c r="T3768" s="107">
        <v>0</v>
      </c>
      <c r="U3768" s="107"/>
      <c r="V3768" s="107"/>
      <c r="W3768" s="107"/>
      <c r="X3768" s="107"/>
      <c r="Y3768" s="107"/>
      <c r="Z3768" s="107"/>
      <c r="AA3768" s="107"/>
      <c r="AB3768" s="107"/>
      <c r="AC3768" s="355"/>
      <c r="AD3768" s="355"/>
      <c r="AE3768" s="355"/>
      <c r="AF3768" s="94">
        <f t="shared" si="493"/>
        <v>42886</v>
      </c>
      <c r="AG3768" s="185">
        <f t="shared" si="497"/>
        <v>-6.3088262528087968E-2</v>
      </c>
      <c r="AH3768" s="339" t="str">
        <f>VLOOKUP(B3768,'MF PF'!A:B,2)</f>
        <v>FdMgt1</v>
      </c>
      <c r="AI3768" s="358">
        <f t="shared" si="494"/>
        <v>0</v>
      </c>
      <c r="AJ3768" s="94">
        <f t="shared" si="495"/>
        <v>42886</v>
      </c>
    </row>
    <row r="3769" spans="1:36" ht="12.75" customHeight="1">
      <c r="A3769" s="8">
        <v>42916</v>
      </c>
      <c r="B3769" s="94" t="s">
        <v>189</v>
      </c>
      <c r="C3769" s="358" t="s">
        <v>301</v>
      </c>
      <c r="D3769" s="98">
        <v>16583133.810000001</v>
      </c>
      <c r="E3769" s="9">
        <f t="shared" si="496"/>
        <v>3308692.5650996352</v>
      </c>
      <c r="F3769" s="98">
        <v>107.2</v>
      </c>
      <c r="G3769" s="98">
        <v>0</v>
      </c>
      <c r="H3769" s="98">
        <v>0</v>
      </c>
      <c r="I3769" s="98">
        <v>0</v>
      </c>
      <c r="J3769" s="98"/>
      <c r="K3769" s="93">
        <v>5.0119899276591235</v>
      </c>
      <c r="L3769" s="93">
        <f t="shared" si="491"/>
        <v>0</v>
      </c>
      <c r="M3769" s="95">
        <f t="shared" ca="1" si="492"/>
        <v>0</v>
      </c>
      <c r="N3769" s="95">
        <f>IF(P3769="Hedge Fund",IF(A3769=Summary!$AD$3,M3769-E3769,M3769),IF(A3769=Summary!$AD$3,L3769-D3769,L3769))</f>
        <v>0</v>
      </c>
      <c r="O3769" s="95">
        <f t="shared" si="489"/>
        <v>0</v>
      </c>
      <c r="P3769" s="107" t="s">
        <v>155</v>
      </c>
      <c r="Q3769" s="107">
        <v>0</v>
      </c>
      <c r="R3769" s="107">
        <v>0</v>
      </c>
      <c r="S3769" s="107">
        <v>0</v>
      </c>
      <c r="T3769" s="107">
        <v>0</v>
      </c>
      <c r="U3769" s="107"/>
      <c r="V3769" s="107"/>
      <c r="W3769" s="107"/>
      <c r="X3769" s="107"/>
      <c r="Y3769" s="107"/>
      <c r="Z3769" s="107"/>
      <c r="AA3769" s="107"/>
      <c r="AB3769" s="107"/>
      <c r="AC3769" s="355"/>
      <c r="AD3769" s="355"/>
      <c r="AE3769" s="355"/>
      <c r="AF3769" s="94">
        <f t="shared" si="493"/>
        <v>42916</v>
      </c>
      <c r="AG3769" s="185">
        <f t="shared" si="497"/>
        <v>-3.8240356786367169E-2</v>
      </c>
      <c r="AH3769" s="339" t="str">
        <f>VLOOKUP(B3769,'MF PF'!A:B,2)</f>
        <v>FdMgt1</v>
      </c>
      <c r="AI3769" s="358">
        <f t="shared" si="494"/>
        <v>0</v>
      </c>
      <c r="AJ3769" s="94">
        <f t="shared" si="495"/>
        <v>42916</v>
      </c>
    </row>
    <row r="3770" spans="1:36" ht="12.75" customHeight="1">
      <c r="A3770" s="8">
        <v>42947</v>
      </c>
      <c r="B3770" s="94" t="s">
        <v>189</v>
      </c>
      <c r="C3770" s="6" t="s">
        <v>301</v>
      </c>
      <c r="D3770" s="98">
        <v>17403153.66</v>
      </c>
      <c r="E3770" s="9">
        <f t="shared" si="496"/>
        <v>3472304.1967740417</v>
      </c>
      <c r="F3770" s="98">
        <v>107.2</v>
      </c>
      <c r="G3770" s="98">
        <v>0</v>
      </c>
      <c r="H3770" s="98">
        <v>0</v>
      </c>
      <c r="I3770" s="98">
        <v>0</v>
      </c>
      <c r="J3770" s="98"/>
      <c r="K3770" s="93">
        <v>5.0119899276591235</v>
      </c>
      <c r="L3770" s="93">
        <f t="shared" si="491"/>
        <v>0</v>
      </c>
      <c r="M3770" s="95">
        <f t="shared" ca="1" si="492"/>
        <v>0</v>
      </c>
      <c r="N3770" s="95">
        <f>IF(P3770="Hedge Fund",IF(A3770=Summary!$AD$3,M3770-E3770,M3770),IF(A3770=Summary!$AD$3,L3770-D3770,L3770))</f>
        <v>0</v>
      </c>
      <c r="O3770" s="95">
        <f t="shared" si="489"/>
        <v>0</v>
      </c>
      <c r="P3770" s="107" t="s">
        <v>155</v>
      </c>
      <c r="Q3770" s="107">
        <v>0</v>
      </c>
      <c r="R3770" s="107">
        <v>0</v>
      </c>
      <c r="S3770" s="107">
        <v>0</v>
      </c>
      <c r="T3770" s="107">
        <v>0</v>
      </c>
      <c r="U3770" s="107"/>
      <c r="V3770" s="107"/>
      <c r="W3770" s="107"/>
      <c r="X3770" s="107"/>
      <c r="Y3770" s="107"/>
      <c r="Z3770" s="107"/>
      <c r="AA3770" s="107"/>
      <c r="AB3770" s="107"/>
      <c r="AC3770" s="355"/>
      <c r="AD3770" s="355"/>
      <c r="AE3770" s="355"/>
      <c r="AF3770" s="94">
        <f t="shared" si="493"/>
        <v>42947</v>
      </c>
      <c r="AG3770" s="185">
        <f t="shared" si="497"/>
        <v>4.9449028114668447E-2</v>
      </c>
      <c r="AH3770" s="339" t="str">
        <f>VLOOKUP(B3770,'MF PF'!A:B,2)</f>
        <v>FdMgt1</v>
      </c>
      <c r="AI3770" s="358">
        <f t="shared" si="494"/>
        <v>0</v>
      </c>
      <c r="AJ3770" s="94">
        <f t="shared" si="495"/>
        <v>42947</v>
      </c>
    </row>
    <row r="3771" spans="1:36" ht="12.75" customHeight="1">
      <c r="A3771" s="8">
        <v>42978</v>
      </c>
      <c r="B3771" s="94" t="s">
        <v>189</v>
      </c>
      <c r="C3771" s="6" t="s">
        <v>301</v>
      </c>
      <c r="D3771" s="98">
        <v>19412700</v>
      </c>
      <c r="E3771" s="95">
        <f t="shared" si="496"/>
        <v>3873251.9977482883</v>
      </c>
      <c r="F3771" s="98">
        <v>107.2</v>
      </c>
      <c r="G3771" s="98">
        <v>0</v>
      </c>
      <c r="H3771" s="98">
        <v>0</v>
      </c>
      <c r="I3771" s="98">
        <v>0</v>
      </c>
      <c r="J3771" s="98"/>
      <c r="K3771" s="93">
        <v>5.0119899276591235</v>
      </c>
      <c r="L3771" s="93">
        <f t="shared" si="491"/>
        <v>0</v>
      </c>
      <c r="M3771" s="95">
        <f t="shared" ca="1" si="492"/>
        <v>0</v>
      </c>
      <c r="N3771" s="95">
        <f>IF(P3771="Hedge Fund",IF(A3771=Summary!$AD$3,M3771-E3771,M3771),IF(A3771=Summary!$AD$3,L3771-D3771,L3771))</f>
        <v>0</v>
      </c>
      <c r="O3771" s="95">
        <f t="shared" si="489"/>
        <v>0</v>
      </c>
      <c r="P3771" s="107" t="s">
        <v>155</v>
      </c>
      <c r="Q3771" s="107">
        <v>0</v>
      </c>
      <c r="R3771" s="107">
        <v>0</v>
      </c>
      <c r="S3771" s="107">
        <v>0</v>
      </c>
      <c r="T3771" s="107">
        <v>0</v>
      </c>
      <c r="U3771" s="107"/>
      <c r="V3771" s="107"/>
      <c r="W3771" s="107"/>
      <c r="X3771" s="107"/>
      <c r="Y3771" s="107"/>
      <c r="Z3771" s="107"/>
      <c r="AA3771" s="107"/>
      <c r="AB3771" s="107"/>
      <c r="AC3771" s="355"/>
      <c r="AD3771" s="355"/>
      <c r="AE3771" s="355"/>
      <c r="AF3771" s="94">
        <f t="shared" si="493"/>
        <v>42978</v>
      </c>
      <c r="AG3771" s="185">
        <f t="shared" si="497"/>
        <v>0.11547024058167166</v>
      </c>
      <c r="AH3771" s="339" t="str">
        <f>VLOOKUP(B3771,'MF PF'!A:B,2)</f>
        <v>FdMgt1</v>
      </c>
      <c r="AI3771" s="358">
        <f t="shared" si="494"/>
        <v>0</v>
      </c>
      <c r="AJ3771" s="94">
        <f t="shared" si="495"/>
        <v>42978</v>
      </c>
    </row>
    <row r="3772" spans="1:36" ht="12.75" customHeight="1">
      <c r="A3772" s="8">
        <v>43007</v>
      </c>
      <c r="B3772" s="94" t="s">
        <v>189</v>
      </c>
      <c r="C3772" s="6" t="s">
        <v>301</v>
      </c>
      <c r="D3772" s="98">
        <v>19067100</v>
      </c>
      <c r="E3772" s="9">
        <f t="shared" si="496"/>
        <v>3804297.3499959507</v>
      </c>
      <c r="F3772" s="98">
        <v>107.2</v>
      </c>
      <c r="G3772" s="98">
        <v>0</v>
      </c>
      <c r="H3772" s="98">
        <v>0</v>
      </c>
      <c r="I3772" s="98">
        <v>0</v>
      </c>
      <c r="J3772" s="98"/>
      <c r="K3772" s="93">
        <v>5.0119899276591235</v>
      </c>
      <c r="L3772" s="93">
        <f t="shared" si="491"/>
        <v>0</v>
      </c>
      <c r="M3772" s="95">
        <f t="shared" ca="1" si="492"/>
        <v>0</v>
      </c>
      <c r="N3772" s="95">
        <f>IF(P3772="Hedge Fund",IF(A3772=Summary!$AD$3,M3772-E3772,M3772),IF(A3772=Summary!$AD$3,L3772-D3772,L3772))</f>
        <v>0</v>
      </c>
      <c r="O3772" s="95">
        <f t="shared" ref="O3772:O3835" si="498">N3772</f>
        <v>0</v>
      </c>
      <c r="P3772" s="107" t="s">
        <v>155</v>
      </c>
      <c r="Q3772" s="107">
        <v>0</v>
      </c>
      <c r="R3772" s="107">
        <v>0</v>
      </c>
      <c r="S3772" s="107">
        <v>0</v>
      </c>
      <c r="T3772" s="107">
        <v>0</v>
      </c>
      <c r="U3772" s="107"/>
      <c r="V3772" s="107"/>
      <c r="W3772" s="107"/>
      <c r="X3772" s="107"/>
      <c r="Y3772" s="107"/>
      <c r="Z3772" s="107"/>
      <c r="AA3772" s="107"/>
      <c r="AB3772" s="107"/>
      <c r="AC3772" s="355"/>
      <c r="AD3772" s="355"/>
      <c r="AE3772" s="355"/>
      <c r="AF3772" s="94">
        <f t="shared" si="493"/>
        <v>43007</v>
      </c>
      <c r="AG3772" s="185">
        <f t="shared" si="497"/>
        <v>-1.7802778593395074E-2</v>
      </c>
      <c r="AH3772" s="339" t="str">
        <f>VLOOKUP(B3772,'MF PF'!A:B,2)</f>
        <v>FdMgt1</v>
      </c>
      <c r="AI3772" s="358">
        <f t="shared" si="494"/>
        <v>0</v>
      </c>
      <c r="AJ3772" s="94">
        <f t="shared" si="495"/>
        <v>43008</v>
      </c>
    </row>
    <row r="3773" spans="1:36" ht="12.75" customHeight="1">
      <c r="A3773" s="8">
        <v>43039</v>
      </c>
      <c r="B3773" s="94" t="s">
        <v>189</v>
      </c>
      <c r="C3773" s="6" t="s">
        <v>301</v>
      </c>
      <c r="D3773" s="98">
        <v>19025700</v>
      </c>
      <c r="E3773" s="9">
        <f t="shared" ref="E3773:E3783" si="499">D3773/K3773</f>
        <v>3796037.157817285</v>
      </c>
      <c r="F3773" s="98">
        <v>107.2</v>
      </c>
      <c r="G3773" s="98">
        <v>0</v>
      </c>
      <c r="H3773" s="98">
        <v>0</v>
      </c>
      <c r="I3773" s="98">
        <v>0</v>
      </c>
      <c r="J3773" s="98"/>
      <c r="K3773" s="93">
        <v>5.0119899276591235</v>
      </c>
      <c r="L3773" s="93">
        <f t="shared" si="491"/>
        <v>0</v>
      </c>
      <c r="M3773" s="95">
        <f t="shared" ca="1" si="492"/>
        <v>0</v>
      </c>
      <c r="N3773" s="95">
        <f>IF(P3773="Hedge Fund",IF(A3773=Summary!$AD$3,M3773-E3773,M3773),IF(A3773=Summary!$AD$3,L3773-D3773,L3773))</f>
        <v>0</v>
      </c>
      <c r="O3773" s="95">
        <f t="shared" si="498"/>
        <v>0</v>
      </c>
      <c r="P3773" s="107" t="s">
        <v>155</v>
      </c>
      <c r="Q3773" s="107">
        <v>0</v>
      </c>
      <c r="R3773" s="107">
        <v>0</v>
      </c>
      <c r="S3773" s="107">
        <v>0</v>
      </c>
      <c r="T3773" s="107">
        <v>0</v>
      </c>
      <c r="U3773" s="107"/>
      <c r="V3773" s="107"/>
      <c r="W3773" s="107"/>
      <c r="X3773" s="107"/>
      <c r="Y3773" s="107"/>
      <c r="Z3773" s="107"/>
      <c r="AA3773" s="107"/>
      <c r="AB3773" s="107"/>
      <c r="AC3773" s="355"/>
      <c r="AD3773" s="355"/>
      <c r="AE3773" s="355"/>
      <c r="AF3773" s="94">
        <f t="shared" si="493"/>
        <v>43039</v>
      </c>
      <c r="AG3773" s="185">
        <f t="shared" si="497"/>
        <v>-2.1712793240713513E-3</v>
      </c>
      <c r="AH3773" s="339" t="str">
        <f>VLOOKUP(B3773,'MF PF'!A:B,2)</f>
        <v>FdMgt1</v>
      </c>
      <c r="AI3773" s="358">
        <f t="shared" si="494"/>
        <v>0</v>
      </c>
      <c r="AJ3773" s="94">
        <f t="shared" si="495"/>
        <v>43039</v>
      </c>
    </row>
    <row r="3774" spans="1:36" ht="12.75" customHeight="1">
      <c r="A3774" s="8">
        <v>43069</v>
      </c>
      <c r="B3774" s="94" t="s">
        <v>189</v>
      </c>
      <c r="C3774" s="6" t="s">
        <v>301</v>
      </c>
      <c r="D3774" s="98">
        <v>13776900</v>
      </c>
      <c r="E3774" s="95">
        <f t="shared" si="499"/>
        <v>2748788.4450786547</v>
      </c>
      <c r="F3774" s="98">
        <v>107.2</v>
      </c>
      <c r="G3774" s="98">
        <v>0</v>
      </c>
      <c r="H3774" s="98">
        <v>-1.862645149230957E-9</v>
      </c>
      <c r="I3774" s="98">
        <v>-4631546.51</v>
      </c>
      <c r="J3774" s="98"/>
      <c r="K3774" s="93">
        <v>5.0119899276591235</v>
      </c>
      <c r="L3774" s="93">
        <f t="shared" si="491"/>
        <v>-4631546.5100000016</v>
      </c>
      <c r="M3774" s="95">
        <f t="shared" ca="1" si="492"/>
        <v>-924093.33954172337</v>
      </c>
      <c r="N3774" s="95">
        <f>IF(P3774="Hedge Fund",IF(A3774=Summary!$AD$3,M3774-E3774,M3774),IF(A3774=Summary!$AD$3,L3774-D3774,L3774))</f>
        <v>-4631546.5100000016</v>
      </c>
      <c r="O3774" s="95">
        <f t="shared" si="498"/>
        <v>-4631546.5100000016</v>
      </c>
      <c r="P3774" s="107" t="s">
        <v>155</v>
      </c>
      <c r="Q3774" s="107">
        <v>0</v>
      </c>
      <c r="R3774" s="107">
        <v>0</v>
      </c>
      <c r="S3774" s="107">
        <v>0</v>
      </c>
      <c r="T3774" s="107">
        <v>0</v>
      </c>
      <c r="U3774" s="107"/>
      <c r="V3774" s="107"/>
      <c r="W3774" s="107"/>
      <c r="X3774" s="107"/>
      <c r="Y3774" s="107"/>
      <c r="Z3774" s="107"/>
      <c r="AA3774" s="107"/>
      <c r="AB3774" s="107"/>
      <c r="AC3774" s="355"/>
      <c r="AD3774" s="355"/>
      <c r="AE3774" s="355"/>
      <c r="AF3774" s="94">
        <f t="shared" si="493"/>
        <v>43069</v>
      </c>
      <c r="AG3774" s="185">
        <f t="shared" si="497"/>
        <v>-3.2443142170853201E-2</v>
      </c>
      <c r="AH3774" s="339" t="str">
        <f>VLOOKUP(B3774,'MF PF'!A:B,2)</f>
        <v>FdMgt1</v>
      </c>
      <c r="AI3774" s="358">
        <f t="shared" si="494"/>
        <v>0</v>
      </c>
      <c r="AJ3774" s="94">
        <f t="shared" si="495"/>
        <v>43069</v>
      </c>
    </row>
    <row r="3775" spans="1:36" ht="12.75" customHeight="1">
      <c r="A3775" s="8">
        <v>43098</v>
      </c>
      <c r="B3775" s="94" t="s">
        <v>189</v>
      </c>
      <c r="C3775" s="6" t="s">
        <v>301</v>
      </c>
      <c r="D3775" s="98">
        <v>13929100</v>
      </c>
      <c r="E3775" s="95">
        <f t="shared" si="499"/>
        <v>2779155.6250205114</v>
      </c>
      <c r="F3775" s="98">
        <v>107.2</v>
      </c>
      <c r="G3775" s="98">
        <v>0</v>
      </c>
      <c r="H3775" s="98">
        <v>0</v>
      </c>
      <c r="I3775" s="98">
        <v>0</v>
      </c>
      <c r="J3775" s="98"/>
      <c r="K3775" s="93">
        <v>5.0119899276591235</v>
      </c>
      <c r="L3775" s="93">
        <f t="shared" si="491"/>
        <v>0</v>
      </c>
      <c r="M3775" s="95">
        <f t="shared" ca="1" si="492"/>
        <v>0</v>
      </c>
      <c r="N3775" s="95">
        <f>IF(P3775="Hedge Fund",IF(A3775=Summary!$AD$3,M3775-E3775,M3775),IF(A3775=Summary!$AD$3,L3775-D3775,L3775))</f>
        <v>0</v>
      </c>
      <c r="O3775" s="95">
        <f t="shared" si="498"/>
        <v>0</v>
      </c>
      <c r="P3775" s="107" t="s">
        <v>155</v>
      </c>
      <c r="Q3775" s="107">
        <v>0</v>
      </c>
      <c r="R3775" s="107">
        <v>0</v>
      </c>
      <c r="S3775" s="107">
        <v>0</v>
      </c>
      <c r="T3775" s="107">
        <v>0</v>
      </c>
      <c r="U3775" s="107"/>
      <c r="V3775" s="107"/>
      <c r="W3775" s="107"/>
      <c r="X3775" s="107"/>
      <c r="Y3775" s="107"/>
      <c r="Z3775" s="107"/>
      <c r="AA3775" s="107"/>
      <c r="AB3775" s="107"/>
      <c r="AC3775" s="355"/>
      <c r="AD3775" s="355"/>
      <c r="AE3775" s="355"/>
      <c r="AF3775" s="94">
        <f t="shared" si="493"/>
        <v>43098</v>
      </c>
      <c r="AG3775" s="185">
        <f t="shared" si="497"/>
        <v>1.1047478024809543E-2</v>
      </c>
      <c r="AH3775" s="339" t="str">
        <f>VLOOKUP(B3775,'MF PF'!A:B,2)</f>
        <v>FdMgt1</v>
      </c>
      <c r="AI3775" s="358">
        <f t="shared" si="494"/>
        <v>0</v>
      </c>
      <c r="AJ3775" s="94">
        <f t="shared" si="495"/>
        <v>43100</v>
      </c>
    </row>
    <row r="3776" spans="1:36" ht="12.75" customHeight="1">
      <c r="A3776" s="8">
        <v>43131</v>
      </c>
      <c r="B3776" s="94" t="s">
        <v>189</v>
      </c>
      <c r="C3776" s="6" t="s">
        <v>301</v>
      </c>
      <c r="D3776" s="98">
        <v>14239200</v>
      </c>
      <c r="E3776" s="95">
        <f t="shared" si="499"/>
        <v>2841027.2577404189</v>
      </c>
      <c r="F3776" s="98">
        <v>107.2</v>
      </c>
      <c r="G3776" s="98">
        <v>0</v>
      </c>
      <c r="H3776" s="98">
        <v>0</v>
      </c>
      <c r="I3776" s="98">
        <v>0</v>
      </c>
      <c r="J3776" s="98"/>
      <c r="K3776" s="93">
        <v>5.0119899276591235</v>
      </c>
      <c r="L3776" s="93">
        <f t="shared" si="491"/>
        <v>0</v>
      </c>
      <c r="M3776" s="95">
        <f t="shared" ca="1" si="492"/>
        <v>0</v>
      </c>
      <c r="N3776" s="95">
        <f>IF(P3776="Hedge Fund",IF(A3776=Summary!$AD$3,M3776-E3776,M3776),IF(A3776=Summary!$AD$3,L3776-D3776,L3776))</f>
        <v>0</v>
      </c>
      <c r="O3776" s="95">
        <f t="shared" si="498"/>
        <v>0</v>
      </c>
      <c r="P3776" s="107" t="s">
        <v>155</v>
      </c>
      <c r="Q3776" s="107">
        <v>0</v>
      </c>
      <c r="R3776" s="107">
        <v>0</v>
      </c>
      <c r="S3776" s="107">
        <v>0</v>
      </c>
      <c r="T3776" s="107">
        <v>0</v>
      </c>
      <c r="U3776" s="107"/>
      <c r="V3776" s="107"/>
      <c r="W3776" s="107"/>
      <c r="X3776" s="107"/>
      <c r="Y3776" s="107"/>
      <c r="Z3776" s="107"/>
      <c r="AA3776" s="107"/>
      <c r="AB3776" s="107"/>
      <c r="AC3776" s="355"/>
      <c r="AD3776" s="355"/>
      <c r="AE3776" s="355"/>
      <c r="AF3776" s="94">
        <f t="shared" si="493"/>
        <v>43131</v>
      </c>
      <c r="AG3776" s="185">
        <f t="shared" si="497"/>
        <v>2.2262744900962694E-2</v>
      </c>
      <c r="AH3776" s="339" t="str">
        <f>VLOOKUP(B3776,'MF PF'!A:B,2)</f>
        <v>FdMgt1</v>
      </c>
      <c r="AI3776" s="358">
        <f t="shared" si="494"/>
        <v>0</v>
      </c>
      <c r="AJ3776" s="94">
        <f t="shared" si="495"/>
        <v>43131</v>
      </c>
    </row>
    <row r="3777" spans="1:36" ht="12.75" customHeight="1">
      <c r="A3777" s="8">
        <v>43159</v>
      </c>
      <c r="B3777" s="94" t="s">
        <v>189</v>
      </c>
      <c r="C3777" s="6" t="s">
        <v>301</v>
      </c>
      <c r="D3777" s="98">
        <v>13767500</v>
      </c>
      <c r="E3777" s="9">
        <f t="shared" si="499"/>
        <v>2746912.9425066868</v>
      </c>
      <c r="F3777" s="98">
        <v>107.2</v>
      </c>
      <c r="G3777" s="98">
        <v>0</v>
      </c>
      <c r="H3777" s="98">
        <v>0</v>
      </c>
      <c r="I3777" s="98">
        <v>0</v>
      </c>
      <c r="J3777" s="98"/>
      <c r="K3777" s="93">
        <v>5.0119899276591235</v>
      </c>
      <c r="L3777" s="93">
        <f t="shared" ref="L3777:L3840" si="500">G3777+H3777+I3777</f>
        <v>0</v>
      </c>
      <c r="M3777" s="95">
        <f t="shared" ref="M3777:M3840" ca="1" si="501">IF(A3777&gt;INDIRECT("A"&amp;ROW()-1),I3777/K3777,E3777)</f>
        <v>0</v>
      </c>
      <c r="N3777" s="95">
        <f>IF(P3777="Hedge Fund",IF(A3777=Summary!$AD$3,M3777-E3777,M3777),IF(A3777=Summary!$AD$3,L3777-D3777,L3777))</f>
        <v>0</v>
      </c>
      <c r="O3777" s="95">
        <f t="shared" si="498"/>
        <v>0</v>
      </c>
      <c r="P3777" s="107" t="s">
        <v>155</v>
      </c>
      <c r="Q3777" s="107">
        <v>0</v>
      </c>
      <c r="R3777" s="107">
        <v>0</v>
      </c>
      <c r="S3777" s="107">
        <v>0</v>
      </c>
      <c r="T3777" s="107">
        <v>0</v>
      </c>
      <c r="U3777" s="107"/>
      <c r="V3777" s="107"/>
      <c r="W3777" s="107"/>
      <c r="X3777" s="107"/>
      <c r="Y3777" s="107"/>
      <c r="Z3777" s="107"/>
      <c r="AA3777" s="107"/>
      <c r="AB3777" s="107"/>
      <c r="AC3777" s="355"/>
      <c r="AD3777" s="355"/>
      <c r="AE3777" s="355"/>
      <c r="AF3777" s="94">
        <f t="shared" ref="AF3777:AF3840" si="502">A3777</f>
        <v>43159</v>
      </c>
      <c r="AG3777" s="185">
        <f t="shared" si="497"/>
        <v>-3.3126861059610047E-2</v>
      </c>
      <c r="AH3777" s="339" t="str">
        <f>VLOOKUP(B3777,'MF PF'!A:B,2)</f>
        <v>FdMgt1</v>
      </c>
      <c r="AI3777" s="358">
        <f t="shared" ref="AI3777:AI3840" si="503">AF3777-A3777</f>
        <v>0</v>
      </c>
      <c r="AJ3777" s="94">
        <f t="shared" ref="AJ3777:AJ3840" si="504">EOMONTH(A3777,0)</f>
        <v>43159</v>
      </c>
    </row>
    <row r="3778" spans="1:36" ht="12.75" customHeight="1">
      <c r="A3778" s="8">
        <v>43188</v>
      </c>
      <c r="B3778" s="94" t="s">
        <v>189</v>
      </c>
      <c r="C3778" s="6" t="s">
        <v>301</v>
      </c>
      <c r="D3778" s="110">
        <v>13848225.35</v>
      </c>
      <c r="E3778" s="9">
        <f t="shared" si="499"/>
        <v>2763019.389479876</v>
      </c>
      <c r="F3778" s="98">
        <v>107.2</v>
      </c>
      <c r="G3778" s="98">
        <v>0</v>
      </c>
      <c r="H3778" s="98">
        <v>0</v>
      </c>
      <c r="I3778" s="98">
        <v>0</v>
      </c>
      <c r="J3778" s="98"/>
      <c r="K3778" s="93">
        <v>5.0119899276591235</v>
      </c>
      <c r="L3778" s="93">
        <f t="shared" si="500"/>
        <v>0</v>
      </c>
      <c r="M3778" s="95">
        <f t="shared" ca="1" si="501"/>
        <v>0</v>
      </c>
      <c r="N3778" s="95">
        <f>IF(P3778="Hedge Fund",IF(A3778=Summary!$AD$3,M3778-E3778,M3778),IF(A3778=Summary!$AD$3,L3778-D3778,L3778))</f>
        <v>0</v>
      </c>
      <c r="O3778" s="95">
        <f t="shared" si="498"/>
        <v>0</v>
      </c>
      <c r="P3778" s="107" t="s">
        <v>155</v>
      </c>
      <c r="Q3778" s="109">
        <v>0</v>
      </c>
      <c r="R3778" s="109">
        <v>0</v>
      </c>
      <c r="S3778" s="107">
        <v>0</v>
      </c>
      <c r="T3778" s="107">
        <v>0</v>
      </c>
      <c r="U3778" s="107"/>
      <c r="V3778" s="107"/>
      <c r="W3778" s="107"/>
      <c r="X3778" s="107"/>
      <c r="Y3778" s="107"/>
      <c r="Z3778" s="107"/>
      <c r="AA3778" s="107"/>
      <c r="AB3778" s="107"/>
      <c r="AC3778" s="355"/>
      <c r="AD3778" s="355"/>
      <c r="AE3778" s="355"/>
      <c r="AF3778" s="94">
        <f t="shared" si="502"/>
        <v>43188</v>
      </c>
      <c r="AG3778" s="185">
        <f t="shared" si="497"/>
        <v>5.863471944797416E-3</v>
      </c>
      <c r="AH3778" s="339" t="str">
        <f>VLOOKUP(B3778,'MF PF'!A:B,2)</f>
        <v>FdMgt1</v>
      </c>
      <c r="AI3778" s="358">
        <f t="shared" si="503"/>
        <v>0</v>
      </c>
      <c r="AJ3778" s="94">
        <f t="shared" si="504"/>
        <v>43190</v>
      </c>
    </row>
    <row r="3779" spans="1:36" ht="12.75" customHeight="1">
      <c r="A3779" s="8">
        <v>43220</v>
      </c>
      <c r="B3779" s="94" t="s">
        <v>189</v>
      </c>
      <c r="C3779" s="6" t="s">
        <v>301</v>
      </c>
      <c r="D3779" s="110">
        <v>7897241.4299999997</v>
      </c>
      <c r="E3779" s="95">
        <f t="shared" si="499"/>
        <v>1575669.8524907946</v>
      </c>
      <c r="F3779" s="98">
        <v>107.2</v>
      </c>
      <c r="G3779" s="98">
        <v>0</v>
      </c>
      <c r="H3779" s="98">
        <v>0</v>
      </c>
      <c r="I3779" s="98">
        <v>-6091054.9299999997</v>
      </c>
      <c r="J3779" s="98"/>
      <c r="K3779" s="93">
        <v>5.0119899276591235</v>
      </c>
      <c r="L3779" s="93">
        <f t="shared" si="500"/>
        <v>-6091054.9299999997</v>
      </c>
      <c r="M3779" s="95">
        <f t="shared" ca="1" si="501"/>
        <v>-1215296.7220436651</v>
      </c>
      <c r="N3779" s="95">
        <f>IF(P3779="Hedge Fund",IF(A3779=Summary!$AD$3,M3779-E3779,M3779),IF(A3779=Summary!$AD$3,L3779-D3779,L3779))</f>
        <v>-6091054.9299999997</v>
      </c>
      <c r="O3779" s="95">
        <f t="shared" si="498"/>
        <v>-6091054.9299999997</v>
      </c>
      <c r="P3779" s="107" t="s">
        <v>155</v>
      </c>
      <c r="Q3779" s="109">
        <v>0</v>
      </c>
      <c r="R3779" s="109">
        <v>0</v>
      </c>
      <c r="S3779" s="107">
        <v>0</v>
      </c>
      <c r="T3779" s="107">
        <v>0</v>
      </c>
      <c r="U3779" s="107"/>
      <c r="V3779" s="107"/>
      <c r="W3779" s="107"/>
      <c r="X3779" s="107"/>
      <c r="Y3779" s="107"/>
      <c r="Z3779" s="107"/>
      <c r="AA3779" s="107"/>
      <c r="AB3779" s="107"/>
      <c r="AC3779" s="355"/>
      <c r="AD3779" s="355"/>
      <c r="AE3779" s="355"/>
      <c r="AF3779" s="94">
        <f t="shared" si="502"/>
        <v>43220</v>
      </c>
      <c r="AG3779" s="185">
        <f t="shared" si="497"/>
        <v>1.0114726360948456E-2</v>
      </c>
      <c r="AH3779" s="339" t="str">
        <f>VLOOKUP(B3779,'MF PF'!A:B,2)</f>
        <v>FdMgt1</v>
      </c>
      <c r="AI3779" s="358">
        <f t="shared" si="503"/>
        <v>0</v>
      </c>
      <c r="AJ3779" s="94">
        <f t="shared" si="504"/>
        <v>43220</v>
      </c>
    </row>
    <row r="3780" spans="1:36" ht="12.75" customHeight="1">
      <c r="A3780" s="8">
        <v>43251</v>
      </c>
      <c r="B3780" s="358" t="s">
        <v>189</v>
      </c>
      <c r="C3780" s="94" t="s">
        <v>301</v>
      </c>
      <c r="D3780" s="110">
        <v>7528562.5099999998</v>
      </c>
      <c r="E3780" s="9">
        <f t="shared" si="499"/>
        <v>1502110.4628429001</v>
      </c>
      <c r="F3780" s="98">
        <v>107.2</v>
      </c>
      <c r="G3780" s="98">
        <v>0</v>
      </c>
      <c r="H3780" s="98">
        <v>0</v>
      </c>
      <c r="I3780" s="98">
        <v>0</v>
      </c>
      <c r="J3780" s="98"/>
      <c r="K3780" s="93">
        <v>5.0119899276591235</v>
      </c>
      <c r="L3780" s="93">
        <f t="shared" si="500"/>
        <v>0</v>
      </c>
      <c r="M3780" s="95">
        <f t="shared" ca="1" si="501"/>
        <v>0</v>
      </c>
      <c r="N3780" s="95">
        <f>IF(P3780="Hedge Fund",IF(A3780=Summary!$AD$3,M3780-E3780,M3780),IF(A3780=Summary!$AD$3,L3780-D3780,L3780))</f>
        <v>0</v>
      </c>
      <c r="O3780" s="95">
        <f t="shared" si="498"/>
        <v>0</v>
      </c>
      <c r="P3780" s="107" t="s">
        <v>155</v>
      </c>
      <c r="Q3780" s="107">
        <v>0</v>
      </c>
      <c r="R3780" s="107">
        <v>0</v>
      </c>
      <c r="S3780" s="107">
        <v>0</v>
      </c>
      <c r="T3780" s="107">
        <v>0</v>
      </c>
      <c r="U3780" s="107"/>
      <c r="V3780" s="107"/>
      <c r="W3780" s="107"/>
      <c r="X3780" s="107"/>
      <c r="Y3780" s="107"/>
      <c r="Z3780" s="107"/>
      <c r="AA3780" s="107"/>
      <c r="AB3780" s="107"/>
      <c r="AC3780" s="355"/>
      <c r="AD3780" s="355"/>
      <c r="AE3780" s="355"/>
      <c r="AF3780" s="94">
        <f t="shared" si="502"/>
        <v>43251</v>
      </c>
      <c r="AG3780" s="185">
        <f t="shared" si="497"/>
        <v>-4.6684519305622896E-2</v>
      </c>
      <c r="AH3780" s="339" t="str">
        <f>VLOOKUP(B3780,'MF PF'!A:B,2)</f>
        <v>FdMgt1</v>
      </c>
      <c r="AI3780" s="358">
        <f t="shared" si="503"/>
        <v>0</v>
      </c>
      <c r="AJ3780" s="94">
        <f t="shared" si="504"/>
        <v>43251</v>
      </c>
    </row>
    <row r="3781" spans="1:36" ht="12.75" customHeight="1">
      <c r="A3781" s="8">
        <v>43280</v>
      </c>
      <c r="B3781" s="358" t="s">
        <v>189</v>
      </c>
      <c r="C3781" s="94" t="s">
        <v>301</v>
      </c>
      <c r="D3781" s="110">
        <v>7235291.2800000003</v>
      </c>
      <c r="E3781" s="9">
        <f t="shared" si="499"/>
        <v>1443596.5324015089</v>
      </c>
      <c r="F3781" s="98">
        <v>107.2</v>
      </c>
      <c r="G3781" s="98">
        <v>0</v>
      </c>
      <c r="H3781" s="98">
        <v>0</v>
      </c>
      <c r="I3781" s="98">
        <v>0</v>
      </c>
      <c r="J3781" s="98"/>
      <c r="K3781" s="93">
        <v>5.0119899276591235</v>
      </c>
      <c r="L3781" s="93">
        <f t="shared" si="500"/>
        <v>0</v>
      </c>
      <c r="M3781" s="95">
        <f t="shared" ca="1" si="501"/>
        <v>0</v>
      </c>
      <c r="N3781" s="95">
        <f>IF(P3781="Hedge Fund",IF(A3781=Summary!$AD$3,M3781-E3781,M3781),IF(A3781=Summary!$AD$3,L3781-D3781,L3781))</f>
        <v>0</v>
      </c>
      <c r="O3781" s="95">
        <f t="shared" si="498"/>
        <v>0</v>
      </c>
      <c r="P3781" s="107" t="s">
        <v>155</v>
      </c>
      <c r="Q3781" s="107">
        <v>0</v>
      </c>
      <c r="R3781" s="107">
        <v>0</v>
      </c>
      <c r="S3781" s="107">
        <v>0</v>
      </c>
      <c r="T3781" s="107">
        <v>0</v>
      </c>
      <c r="U3781" s="107"/>
      <c r="V3781" s="107"/>
      <c r="W3781" s="107"/>
      <c r="X3781" s="107"/>
      <c r="Y3781" s="107"/>
      <c r="Z3781" s="107"/>
      <c r="AA3781" s="107"/>
      <c r="AB3781" s="107"/>
      <c r="AC3781" s="355"/>
      <c r="AD3781" s="355"/>
      <c r="AE3781" s="355"/>
      <c r="AF3781" s="94">
        <f t="shared" si="502"/>
        <v>43280</v>
      </c>
      <c r="AG3781" s="185">
        <f t="shared" si="497"/>
        <v>-3.8954478973968087E-2</v>
      </c>
      <c r="AH3781" s="339" t="str">
        <f>VLOOKUP(B3781,'MF PF'!A:B,2)</f>
        <v>FdMgt1</v>
      </c>
      <c r="AI3781" s="358">
        <f t="shared" si="503"/>
        <v>0</v>
      </c>
      <c r="AJ3781" s="94">
        <f t="shared" si="504"/>
        <v>43281</v>
      </c>
    </row>
    <row r="3782" spans="1:36" ht="12.75" customHeight="1">
      <c r="A3782" s="8">
        <v>43312</v>
      </c>
      <c r="B3782" s="358" t="s">
        <v>189</v>
      </c>
      <c r="C3782" s="94" t="s">
        <v>301</v>
      </c>
      <c r="D3782" s="110">
        <v>7199775.2790000001</v>
      </c>
      <c r="E3782" s="9">
        <f t="shared" si="499"/>
        <v>1436510.3248247535</v>
      </c>
      <c r="F3782" s="98">
        <v>107.2</v>
      </c>
      <c r="G3782" s="98">
        <v>0</v>
      </c>
      <c r="H3782" s="98">
        <v>0</v>
      </c>
      <c r="I3782" s="98">
        <v>0</v>
      </c>
      <c r="J3782" s="98"/>
      <c r="K3782" s="93">
        <v>5.0119899276591235</v>
      </c>
      <c r="L3782" s="93">
        <f t="shared" si="500"/>
        <v>0</v>
      </c>
      <c r="M3782" s="95">
        <f t="shared" ca="1" si="501"/>
        <v>0</v>
      </c>
      <c r="N3782" s="95">
        <f>IF(P3782="Hedge Fund",IF(A3782=Summary!$AD$3,M3782-E3782,M3782),IF(A3782=Summary!$AD$3,L3782-D3782,L3782))</f>
        <v>0</v>
      </c>
      <c r="O3782" s="95">
        <f t="shared" si="498"/>
        <v>0</v>
      </c>
      <c r="P3782" s="107" t="s">
        <v>155</v>
      </c>
      <c r="Q3782" s="107">
        <v>0</v>
      </c>
      <c r="R3782" s="107">
        <v>0</v>
      </c>
      <c r="S3782" s="107">
        <v>0</v>
      </c>
      <c r="T3782" s="107">
        <v>0</v>
      </c>
      <c r="U3782" s="107"/>
      <c r="V3782" s="107"/>
      <c r="W3782" s="107"/>
      <c r="X3782" s="107"/>
      <c r="Y3782" s="107"/>
      <c r="Z3782" s="107"/>
      <c r="AA3782" s="107"/>
      <c r="AB3782" s="107"/>
      <c r="AC3782" s="355"/>
      <c r="AD3782" s="355"/>
      <c r="AE3782" s="355"/>
      <c r="AF3782" s="94">
        <f t="shared" si="502"/>
        <v>43312</v>
      </c>
      <c r="AG3782" s="185">
        <f t="shared" si="497"/>
        <v>-4.9087175105408942E-3</v>
      </c>
      <c r="AH3782" s="339" t="str">
        <f>VLOOKUP(B3782,'MF PF'!A:B,2)</f>
        <v>FdMgt1</v>
      </c>
      <c r="AI3782" s="358">
        <f t="shared" si="503"/>
        <v>0</v>
      </c>
      <c r="AJ3782" s="94">
        <f t="shared" si="504"/>
        <v>43312</v>
      </c>
    </row>
    <row r="3783" spans="1:36" ht="12.75" customHeight="1">
      <c r="A3783" s="8">
        <v>43343</v>
      </c>
      <c r="B3783" s="358" t="s">
        <v>189</v>
      </c>
      <c r="C3783" s="94" t="s">
        <v>301</v>
      </c>
      <c r="D3783" s="110">
        <v>7171311.2300000004</v>
      </c>
      <c r="E3783" s="9">
        <f t="shared" si="499"/>
        <v>1430831.1336430397</v>
      </c>
      <c r="F3783" s="98">
        <v>107.2</v>
      </c>
      <c r="G3783" s="98">
        <v>0</v>
      </c>
      <c r="H3783" s="98">
        <v>0</v>
      </c>
      <c r="I3783" s="98">
        <v>0</v>
      </c>
      <c r="J3783" s="98"/>
      <c r="K3783" s="93">
        <v>5.0119899276591235</v>
      </c>
      <c r="L3783" s="93">
        <f t="shared" si="500"/>
        <v>0</v>
      </c>
      <c r="M3783" s="95">
        <f t="shared" ca="1" si="501"/>
        <v>0</v>
      </c>
      <c r="N3783" s="95">
        <f>IF(P3783="Hedge Fund",IF(A3783=Summary!$AD$3,M3783-E3783,M3783),IF(A3783=Summary!$AD$3,L3783-D3783,L3783))</f>
        <v>0</v>
      </c>
      <c r="O3783" s="95">
        <f t="shared" si="498"/>
        <v>0</v>
      </c>
      <c r="P3783" s="107" t="s">
        <v>155</v>
      </c>
      <c r="Q3783" s="107">
        <v>0</v>
      </c>
      <c r="R3783" s="107">
        <v>0</v>
      </c>
      <c r="S3783" s="107">
        <v>0</v>
      </c>
      <c r="T3783" s="107">
        <v>0</v>
      </c>
      <c r="U3783" s="107"/>
      <c r="V3783" s="107"/>
      <c r="W3783" s="107"/>
      <c r="X3783" s="107"/>
      <c r="Y3783" s="107"/>
      <c r="Z3783" s="107"/>
      <c r="AA3783" s="107"/>
      <c r="AB3783" s="107"/>
      <c r="AC3783" s="355"/>
      <c r="AD3783" s="355"/>
      <c r="AE3783" s="355"/>
      <c r="AF3783" s="94">
        <f t="shared" si="502"/>
        <v>43343</v>
      </c>
      <c r="AG3783" s="185">
        <f t="shared" si="497"/>
        <v>-3.953463531427448E-3</v>
      </c>
      <c r="AH3783" s="339" t="str">
        <f>VLOOKUP(B3783,'MF PF'!A:B,2)</f>
        <v>FdMgt1</v>
      </c>
      <c r="AI3783" s="358">
        <f t="shared" si="503"/>
        <v>0</v>
      </c>
      <c r="AJ3783" s="94">
        <f t="shared" si="504"/>
        <v>43343</v>
      </c>
    </row>
    <row r="3784" spans="1:36" ht="12.75" customHeight="1">
      <c r="A3784" s="8">
        <v>43371</v>
      </c>
      <c r="B3784" s="358" t="s">
        <v>189</v>
      </c>
      <c r="C3784" s="6" t="s">
        <v>301</v>
      </c>
      <c r="D3784" s="110">
        <v>6836543.4900000002</v>
      </c>
      <c r="F3784" s="98">
        <v>107.2</v>
      </c>
      <c r="G3784" s="98"/>
      <c r="H3784" s="93">
        <v>0</v>
      </c>
      <c r="I3784" s="93">
        <v>0</v>
      </c>
      <c r="K3784" s="93">
        <v>0</v>
      </c>
      <c r="L3784" s="93">
        <f t="shared" si="500"/>
        <v>0</v>
      </c>
      <c r="M3784" s="95" t="e">
        <f t="shared" ca="1" si="501"/>
        <v>#DIV/0!</v>
      </c>
      <c r="N3784" s="95">
        <f>IF(P3784="Hedge Fund",IF(A3784=Summary!$AD$3,M3784-E3784,M3784),IF(A3784=Summary!$AD$3,L3784-D3784,L3784))</f>
        <v>0</v>
      </c>
      <c r="O3784" s="95">
        <f t="shared" si="498"/>
        <v>0</v>
      </c>
      <c r="P3784" s="95" t="s">
        <v>155</v>
      </c>
      <c r="Q3784" s="95">
        <v>0</v>
      </c>
      <c r="R3784" s="95">
        <v>0</v>
      </c>
      <c r="S3784" s="95"/>
      <c r="T3784" s="95"/>
      <c r="U3784" s="95"/>
      <c r="V3784" s="95"/>
      <c r="W3784" s="95"/>
      <c r="X3784" s="95"/>
      <c r="Y3784" s="95"/>
      <c r="Z3784" s="95"/>
      <c r="AA3784" s="95"/>
      <c r="AB3784" s="95"/>
      <c r="AC3784" s="355"/>
      <c r="AD3784" s="355"/>
      <c r="AE3784" s="355"/>
      <c r="AF3784" s="94">
        <f t="shared" si="502"/>
        <v>43371</v>
      </c>
      <c r="AG3784" s="185">
        <f t="shared" si="497"/>
        <v>-4.6681524377237271E-2</v>
      </c>
      <c r="AH3784" s="339" t="str">
        <f>VLOOKUP(B3784,'MF PF'!A:B,2)</f>
        <v>FdMgt1</v>
      </c>
      <c r="AI3784" s="358">
        <f t="shared" si="503"/>
        <v>0</v>
      </c>
      <c r="AJ3784" s="94">
        <f t="shared" si="504"/>
        <v>43373</v>
      </c>
    </row>
    <row r="3785" spans="1:36" ht="12.75" customHeight="1">
      <c r="A3785" s="8">
        <v>43404</v>
      </c>
      <c r="B3785" s="358" t="s">
        <v>189</v>
      </c>
      <c r="C3785" s="6" t="s">
        <v>301</v>
      </c>
      <c r="D3785" s="93">
        <v>6358835.0099999998</v>
      </c>
      <c r="F3785" s="98">
        <v>107.2</v>
      </c>
      <c r="G3785" s="93"/>
      <c r="H3785" s="93">
        <v>0</v>
      </c>
      <c r="I3785" s="93">
        <v>-424807.03</v>
      </c>
      <c r="J3785" s="93">
        <v>0</v>
      </c>
      <c r="K3785" s="93"/>
      <c r="L3785" s="93">
        <f t="shared" si="500"/>
        <v>-424807.03</v>
      </c>
      <c r="M3785" s="95" t="e">
        <f t="shared" ca="1" si="501"/>
        <v>#DIV/0!</v>
      </c>
      <c r="N3785" s="95">
        <f>IF(P3785="Hedge Fund",IF(A3785=Summary!$AD$3,M3785-E3785,M3785),IF(A3785=Summary!$AD$3,L3785-D3785,L3785))</f>
        <v>-424807.03</v>
      </c>
      <c r="O3785" s="95">
        <f t="shared" si="498"/>
        <v>-424807.03</v>
      </c>
      <c r="P3785" s="95" t="s">
        <v>155</v>
      </c>
      <c r="Q3785" s="95">
        <v>0</v>
      </c>
      <c r="R3785" s="95">
        <v>0</v>
      </c>
      <c r="S3785" s="95"/>
      <c r="T3785" s="95"/>
      <c r="U3785" s="95"/>
      <c r="V3785" s="95"/>
      <c r="W3785" s="95"/>
      <c r="X3785" s="95"/>
      <c r="Y3785" s="95"/>
      <c r="Z3785" s="95"/>
      <c r="AA3785" s="95"/>
      <c r="AB3785" s="95"/>
      <c r="AC3785" s="355"/>
      <c r="AD3785" s="355"/>
      <c r="AE3785" s="355"/>
      <c r="AF3785" s="94">
        <f t="shared" si="502"/>
        <v>43404</v>
      </c>
      <c r="AG3785" s="185">
        <f t="shared" si="497"/>
        <v>-7.738040440667171E-3</v>
      </c>
      <c r="AH3785" s="339" t="str">
        <f>VLOOKUP(B3785,'MF PF'!A:B,2)</f>
        <v>FdMgt1</v>
      </c>
      <c r="AI3785" s="358">
        <f t="shared" si="503"/>
        <v>0</v>
      </c>
      <c r="AJ3785" s="94">
        <f t="shared" si="504"/>
        <v>43404</v>
      </c>
    </row>
    <row r="3786" spans="1:36" ht="12.75" customHeight="1">
      <c r="A3786" s="8">
        <v>43434</v>
      </c>
      <c r="B3786" s="358" t="s">
        <v>189</v>
      </c>
      <c r="C3786" s="6" t="s">
        <v>301</v>
      </c>
      <c r="D3786" s="93">
        <v>6293192.04</v>
      </c>
      <c r="F3786" s="98">
        <v>107.2</v>
      </c>
      <c r="G3786" s="93"/>
      <c r="H3786" s="93">
        <v>0</v>
      </c>
      <c r="I3786" s="93">
        <v>0</v>
      </c>
      <c r="K3786" s="93">
        <v>0</v>
      </c>
      <c r="L3786" s="93">
        <f t="shared" si="500"/>
        <v>0</v>
      </c>
      <c r="M3786" s="95" t="e">
        <f t="shared" ca="1" si="501"/>
        <v>#DIV/0!</v>
      </c>
      <c r="N3786" s="95">
        <f>IF(P3786="Hedge Fund",IF(A3786=Summary!$AD$3,M3786-E3786,M3786),IF(A3786=Summary!$AD$3,L3786-D3786,L3786))</f>
        <v>0</v>
      </c>
      <c r="O3786" s="95">
        <f t="shared" si="498"/>
        <v>0</v>
      </c>
      <c r="P3786" s="95" t="s">
        <v>155</v>
      </c>
      <c r="Q3786" s="95">
        <v>0</v>
      </c>
      <c r="R3786" s="95">
        <v>0</v>
      </c>
      <c r="S3786" s="95"/>
      <c r="T3786" s="95"/>
      <c r="U3786" s="95"/>
      <c r="V3786" s="95"/>
      <c r="W3786" s="95"/>
      <c r="X3786" s="95"/>
      <c r="Y3786" s="95"/>
      <c r="Z3786" s="95"/>
      <c r="AA3786" s="95"/>
      <c r="AB3786" s="95"/>
      <c r="AC3786" s="355"/>
      <c r="AD3786" s="355"/>
      <c r="AE3786" s="355"/>
      <c r="AF3786" s="94">
        <f t="shared" si="502"/>
        <v>43434</v>
      </c>
      <c r="AG3786" s="185">
        <f t="shared" si="497"/>
        <v>-1.0323112629399667E-2</v>
      </c>
      <c r="AH3786" s="339" t="str">
        <f>VLOOKUP(B3786,'MF PF'!A:B,2)</f>
        <v>FdMgt1</v>
      </c>
      <c r="AI3786" s="358">
        <f t="shared" si="503"/>
        <v>0</v>
      </c>
      <c r="AJ3786" s="94">
        <f t="shared" si="504"/>
        <v>43434</v>
      </c>
    </row>
    <row r="3787" spans="1:36" ht="12.75" customHeight="1">
      <c r="A3787" s="8">
        <v>43465</v>
      </c>
      <c r="B3787" s="358" t="s">
        <v>189</v>
      </c>
      <c r="C3787" s="6" t="s">
        <v>301</v>
      </c>
      <c r="D3787" s="93">
        <v>5091632.21</v>
      </c>
      <c r="F3787" s="93">
        <v>107.2</v>
      </c>
      <c r="G3787" s="93"/>
      <c r="H3787" s="93">
        <v>0</v>
      </c>
      <c r="I3787" s="93">
        <v>0</v>
      </c>
      <c r="K3787" s="93">
        <v>0</v>
      </c>
      <c r="L3787" s="93">
        <f t="shared" si="500"/>
        <v>0</v>
      </c>
      <c r="M3787" s="95" t="e">
        <f t="shared" ca="1" si="501"/>
        <v>#DIV/0!</v>
      </c>
      <c r="N3787" s="95">
        <f>IF(P3787="Hedge Fund",IF(A3787=Summary!$AD$3,M3787-E3787,M3787),IF(A3787=Summary!$AD$3,L3787-D3787,L3787))</f>
        <v>0</v>
      </c>
      <c r="O3787" s="95">
        <f t="shared" si="498"/>
        <v>0</v>
      </c>
      <c r="P3787" s="95" t="s">
        <v>155</v>
      </c>
      <c r="Q3787" s="95">
        <v>0</v>
      </c>
      <c r="R3787" s="95">
        <v>0</v>
      </c>
      <c r="S3787" s="95"/>
      <c r="T3787" s="95"/>
      <c r="U3787" s="95"/>
      <c r="V3787" s="95"/>
      <c r="W3787" s="95"/>
      <c r="X3787" s="95"/>
      <c r="Y3787" s="95"/>
      <c r="Z3787" s="95"/>
      <c r="AA3787" s="95"/>
      <c r="AB3787" s="95"/>
      <c r="AC3787" s="355"/>
      <c r="AD3787" s="355"/>
      <c r="AE3787" s="355"/>
      <c r="AF3787" s="94">
        <f t="shared" si="502"/>
        <v>43465</v>
      </c>
      <c r="AG3787" s="185">
        <f t="shared" si="497"/>
        <v>-0.19093010706852676</v>
      </c>
      <c r="AH3787" s="339" t="str">
        <f>VLOOKUP(B3787,'MF PF'!A:B,2)</f>
        <v>FdMgt1</v>
      </c>
      <c r="AI3787" s="358">
        <f t="shared" si="503"/>
        <v>0</v>
      </c>
      <c r="AJ3787" s="94">
        <f t="shared" si="504"/>
        <v>43465</v>
      </c>
    </row>
    <row r="3788" spans="1:36" ht="12.75" customHeight="1">
      <c r="A3788" s="8">
        <v>43496</v>
      </c>
      <c r="B3788" s="358" t="s">
        <v>189</v>
      </c>
      <c r="C3788" s="6" t="s">
        <v>301</v>
      </c>
      <c r="D3788" s="93">
        <v>5391379.3499999996</v>
      </c>
      <c r="F3788" s="93">
        <v>107.2</v>
      </c>
      <c r="G3788" s="93"/>
      <c r="H3788" s="93">
        <v>0</v>
      </c>
      <c r="I3788" s="93">
        <v>0</v>
      </c>
      <c r="K3788" s="93">
        <v>0</v>
      </c>
      <c r="L3788" s="93">
        <f t="shared" si="500"/>
        <v>0</v>
      </c>
      <c r="M3788" s="95" t="e">
        <f t="shared" ca="1" si="501"/>
        <v>#DIV/0!</v>
      </c>
      <c r="N3788" s="95">
        <f>IF(P3788="Hedge Fund",IF(A3788=Summary!$AD$3,M3788-E3788,M3788),IF(A3788=Summary!$AD$3,L3788-D3788,L3788))</f>
        <v>-5391379.3499999996</v>
      </c>
      <c r="O3788" s="95">
        <f t="shared" si="498"/>
        <v>-5391379.3499999996</v>
      </c>
      <c r="P3788" s="95" t="s">
        <v>155</v>
      </c>
      <c r="Q3788" s="95">
        <v>0</v>
      </c>
      <c r="R3788" s="95">
        <v>0</v>
      </c>
      <c r="S3788" s="95"/>
      <c r="T3788" s="95"/>
      <c r="U3788" s="95"/>
      <c r="V3788" s="95"/>
      <c r="W3788" s="95"/>
      <c r="X3788" s="95"/>
      <c r="Y3788" s="95"/>
      <c r="Z3788" s="95"/>
      <c r="AA3788" s="95"/>
      <c r="AB3788" s="95"/>
      <c r="AC3788" s="355"/>
      <c r="AD3788" s="355"/>
      <c r="AE3788" s="355"/>
      <c r="AF3788" s="94">
        <f t="shared" si="502"/>
        <v>43496</v>
      </c>
      <c r="AG3788" s="185">
        <f t="shared" si="497"/>
        <v>5.8870540454845521E-2</v>
      </c>
      <c r="AH3788" s="339" t="str">
        <f>VLOOKUP(B3788,'MF PF'!A:B,2)</f>
        <v>FdMgt1</v>
      </c>
      <c r="AI3788" s="358">
        <f t="shared" si="503"/>
        <v>0</v>
      </c>
      <c r="AJ3788" s="94">
        <f t="shared" si="504"/>
        <v>43496</v>
      </c>
    </row>
    <row r="3789" spans="1:36" ht="12.75" customHeight="1">
      <c r="A3789" s="8">
        <v>41121</v>
      </c>
      <c r="B3789" s="94" t="s">
        <v>189</v>
      </c>
      <c r="C3789" s="6" t="s">
        <v>304</v>
      </c>
      <c r="D3789" s="98">
        <v>14625000</v>
      </c>
      <c r="E3789" s="9">
        <f t="shared" ref="E3789:E3820" si="505">D3789/K3789</f>
        <v>14625000</v>
      </c>
      <c r="F3789" s="98">
        <v>125</v>
      </c>
      <c r="G3789" s="98">
        <v>14625000</v>
      </c>
      <c r="H3789" s="98">
        <v>0</v>
      </c>
      <c r="I3789" s="98">
        <v>0</v>
      </c>
      <c r="J3789" s="98"/>
      <c r="K3789" s="93">
        <v>1</v>
      </c>
      <c r="L3789" s="93">
        <f t="shared" si="500"/>
        <v>14625000</v>
      </c>
      <c r="M3789" s="95">
        <f t="shared" ca="1" si="501"/>
        <v>14625000</v>
      </c>
      <c r="N3789" s="95">
        <f>IF(P3789="Hedge Fund",IF(A3789=Summary!$AD$3,M3789-E3789,M3789),IF(A3789=Summary!$AD$3,L3789-D3789,L3789))</f>
        <v>14625000</v>
      </c>
      <c r="O3789" s="95">
        <f t="shared" si="498"/>
        <v>14625000</v>
      </c>
      <c r="P3789" s="107" t="s">
        <v>155</v>
      </c>
      <c r="Q3789" s="107">
        <v>0</v>
      </c>
      <c r="R3789" s="107">
        <v>0</v>
      </c>
      <c r="S3789" s="107">
        <v>0</v>
      </c>
      <c r="T3789" s="107">
        <v>0</v>
      </c>
      <c r="U3789" s="107"/>
      <c r="V3789" s="107"/>
      <c r="W3789" s="107"/>
      <c r="X3789" s="107"/>
      <c r="Y3789" s="107"/>
      <c r="Z3789" s="107"/>
      <c r="AA3789" s="107"/>
      <c r="AB3789" s="107"/>
      <c r="AC3789" s="355"/>
      <c r="AD3789" s="355"/>
      <c r="AE3789" s="355"/>
      <c r="AF3789" s="94">
        <f t="shared" si="502"/>
        <v>41121</v>
      </c>
      <c r="AG3789" s="185">
        <f t="shared" si="497"/>
        <v>0</v>
      </c>
      <c r="AH3789" s="339" t="str">
        <f>VLOOKUP(B3789,'MF PF'!A:B,2)</f>
        <v>FdMgt1</v>
      </c>
      <c r="AI3789" s="358">
        <f t="shared" si="503"/>
        <v>0</v>
      </c>
      <c r="AJ3789" s="94">
        <f t="shared" si="504"/>
        <v>41121</v>
      </c>
    </row>
    <row r="3790" spans="1:36" ht="12.75" customHeight="1">
      <c r="A3790" s="8">
        <v>41152</v>
      </c>
      <c r="B3790" s="94" t="s">
        <v>189</v>
      </c>
      <c r="C3790" s="6" t="s">
        <v>304</v>
      </c>
      <c r="D3790" s="98">
        <v>14649420.602</v>
      </c>
      <c r="E3790" s="9">
        <f t="shared" si="505"/>
        <v>14649420.602</v>
      </c>
      <c r="F3790" s="98">
        <v>125</v>
      </c>
      <c r="G3790" s="98">
        <v>0</v>
      </c>
      <c r="H3790" s="98">
        <v>0</v>
      </c>
      <c r="I3790" s="98">
        <v>0</v>
      </c>
      <c r="J3790" s="98"/>
      <c r="K3790" s="93">
        <v>1</v>
      </c>
      <c r="L3790" s="93">
        <f t="shared" si="500"/>
        <v>0</v>
      </c>
      <c r="M3790" s="95">
        <f t="shared" ca="1" si="501"/>
        <v>0</v>
      </c>
      <c r="N3790" s="95">
        <f>IF(P3790="Hedge Fund",IF(A3790=Summary!$AD$3,M3790-E3790,M3790),IF(A3790=Summary!$AD$3,L3790-D3790,L3790))</f>
        <v>0</v>
      </c>
      <c r="O3790" s="95">
        <f t="shared" si="498"/>
        <v>0</v>
      </c>
      <c r="P3790" s="107" t="s">
        <v>155</v>
      </c>
      <c r="Q3790" s="107">
        <v>0</v>
      </c>
      <c r="R3790" s="107">
        <v>0</v>
      </c>
      <c r="S3790" s="107">
        <v>0</v>
      </c>
      <c r="T3790" s="107">
        <v>0</v>
      </c>
      <c r="U3790" s="107"/>
      <c r="V3790" s="107"/>
      <c r="W3790" s="107"/>
      <c r="X3790" s="107"/>
      <c r="Y3790" s="107"/>
      <c r="Z3790" s="107"/>
      <c r="AA3790" s="107"/>
      <c r="AB3790" s="107"/>
      <c r="AC3790" s="355"/>
      <c r="AD3790" s="355"/>
      <c r="AE3790" s="355"/>
      <c r="AF3790" s="94">
        <f t="shared" si="502"/>
        <v>41152</v>
      </c>
      <c r="AG3790" s="185">
        <f t="shared" si="497"/>
        <v>1.6697847521367493E-3</v>
      </c>
      <c r="AH3790" s="339" t="str">
        <f>VLOOKUP(B3790,'MF PF'!A:B,2)</f>
        <v>FdMgt1</v>
      </c>
      <c r="AI3790" s="358">
        <f t="shared" si="503"/>
        <v>0</v>
      </c>
      <c r="AJ3790" s="94">
        <f t="shared" si="504"/>
        <v>41152</v>
      </c>
    </row>
    <row r="3791" spans="1:36" ht="12.75" customHeight="1">
      <c r="A3791" s="8">
        <v>41180</v>
      </c>
      <c r="B3791" s="94" t="s">
        <v>189</v>
      </c>
      <c r="C3791" s="6" t="s">
        <v>304</v>
      </c>
      <c r="D3791" s="98">
        <v>22130551.629999999</v>
      </c>
      <c r="E3791" s="9">
        <f t="shared" si="505"/>
        <v>14554800.98786664</v>
      </c>
      <c r="F3791" s="98">
        <v>125</v>
      </c>
      <c r="G3791" s="98">
        <v>7625000</v>
      </c>
      <c r="H3791" s="98">
        <v>0</v>
      </c>
      <c r="I3791" s="98">
        <v>0</v>
      </c>
      <c r="J3791" s="98"/>
      <c r="K3791" s="93">
        <v>1.5204984010738967</v>
      </c>
      <c r="L3791" s="93">
        <f t="shared" si="500"/>
        <v>7625000</v>
      </c>
      <c r="M3791" s="95">
        <f t="shared" ca="1" si="501"/>
        <v>0</v>
      </c>
      <c r="N3791" s="95">
        <f>IF(P3791="Hedge Fund",IF(A3791=Summary!$AD$3,M3791-E3791,M3791),IF(A3791=Summary!$AD$3,L3791-D3791,L3791))</f>
        <v>7625000</v>
      </c>
      <c r="O3791" s="95">
        <f t="shared" si="498"/>
        <v>7625000</v>
      </c>
      <c r="P3791" s="107" t="s">
        <v>155</v>
      </c>
      <c r="Q3791" s="107">
        <v>0</v>
      </c>
      <c r="R3791" s="107">
        <v>0</v>
      </c>
      <c r="S3791" s="107">
        <v>0</v>
      </c>
      <c r="T3791" s="107">
        <v>0</v>
      </c>
      <c r="U3791" s="107"/>
      <c r="V3791" s="107"/>
      <c r="W3791" s="107"/>
      <c r="X3791" s="107"/>
      <c r="Y3791" s="107"/>
      <c r="Z3791" s="107"/>
      <c r="AA3791" s="107"/>
      <c r="AB3791" s="107"/>
      <c r="AC3791" s="355"/>
      <c r="AD3791" s="355"/>
      <c r="AE3791" s="355"/>
      <c r="AF3791" s="94">
        <f t="shared" si="502"/>
        <v>41180</v>
      </c>
      <c r="AG3791" s="185">
        <f t="shared" si="497"/>
        <v>-9.8207960511667025E-3</v>
      </c>
      <c r="AH3791" s="339" t="str">
        <f>VLOOKUP(B3791,'MF PF'!A:B,2)</f>
        <v>FdMgt1</v>
      </c>
      <c r="AI3791" s="358">
        <f t="shared" si="503"/>
        <v>0</v>
      </c>
      <c r="AJ3791" s="94">
        <f t="shared" si="504"/>
        <v>41182</v>
      </c>
    </row>
    <row r="3792" spans="1:36" ht="12.75" customHeight="1">
      <c r="A3792" s="8">
        <v>41213</v>
      </c>
      <c r="B3792" s="94" t="s">
        <v>189</v>
      </c>
      <c r="C3792" s="6" t="s">
        <v>304</v>
      </c>
      <c r="D3792" s="98">
        <v>22642503.828499999</v>
      </c>
      <c r="E3792" s="9">
        <f t="shared" si="505"/>
        <v>14891501.242295332</v>
      </c>
      <c r="F3792" s="98">
        <v>125</v>
      </c>
      <c r="G3792" s="98">
        <v>0</v>
      </c>
      <c r="H3792" s="98">
        <v>0</v>
      </c>
      <c r="I3792" s="98">
        <v>0</v>
      </c>
      <c r="J3792" s="98"/>
      <c r="K3792" s="93">
        <v>1.5204984010738967</v>
      </c>
      <c r="L3792" s="93">
        <f t="shared" si="500"/>
        <v>0</v>
      </c>
      <c r="M3792" s="95">
        <f t="shared" ca="1" si="501"/>
        <v>0</v>
      </c>
      <c r="N3792" s="95">
        <f>IF(P3792="Hedge Fund",IF(A3792=Summary!$AD$3,M3792-E3792,M3792),IF(A3792=Summary!$AD$3,L3792-D3792,L3792))</f>
        <v>0</v>
      </c>
      <c r="O3792" s="95">
        <f t="shared" si="498"/>
        <v>0</v>
      </c>
      <c r="P3792" s="107" t="s">
        <v>155</v>
      </c>
      <c r="Q3792" s="107">
        <v>0</v>
      </c>
      <c r="R3792" s="107">
        <v>0</v>
      </c>
      <c r="S3792" s="107">
        <v>0</v>
      </c>
      <c r="T3792" s="107">
        <v>0</v>
      </c>
      <c r="U3792" s="107"/>
      <c r="V3792" s="107"/>
      <c r="W3792" s="107"/>
      <c r="X3792" s="107"/>
      <c r="Y3792" s="107"/>
      <c r="Z3792" s="107"/>
      <c r="AA3792" s="107"/>
      <c r="AB3792" s="107"/>
      <c r="AC3792" s="355"/>
      <c r="AD3792" s="355"/>
      <c r="AE3792" s="355"/>
      <c r="AF3792" s="94">
        <f t="shared" si="502"/>
        <v>41213</v>
      </c>
      <c r="AG3792" s="185">
        <f t="shared" si="497"/>
        <v>2.3133277789876727E-2</v>
      </c>
      <c r="AH3792" s="339" t="str">
        <f>VLOOKUP(B3792,'MF PF'!A:B,2)</f>
        <v>FdMgt1</v>
      </c>
      <c r="AI3792" s="358">
        <f t="shared" si="503"/>
        <v>0</v>
      </c>
      <c r="AJ3792" s="94">
        <f t="shared" si="504"/>
        <v>41213</v>
      </c>
    </row>
    <row r="3793" spans="1:53" ht="12.75" customHeight="1">
      <c r="A3793" s="8">
        <v>41243</v>
      </c>
      <c r="B3793" s="94" t="s">
        <v>189</v>
      </c>
      <c r="C3793" s="358" t="s">
        <v>304</v>
      </c>
      <c r="D3793" s="98">
        <v>52540034.818000004</v>
      </c>
      <c r="E3793" s="9">
        <f t="shared" si="505"/>
        <v>14933433.918782942</v>
      </c>
      <c r="F3793" s="98">
        <v>125</v>
      </c>
      <c r="G3793" s="98">
        <v>29750000</v>
      </c>
      <c r="H3793" s="98">
        <v>0</v>
      </c>
      <c r="I3793" s="98">
        <v>0</v>
      </c>
      <c r="J3793" s="98"/>
      <c r="K3793" s="93">
        <v>3.5182822051340992</v>
      </c>
      <c r="L3793" s="93">
        <f t="shared" si="500"/>
        <v>29750000</v>
      </c>
      <c r="M3793" s="95">
        <f t="shared" ca="1" si="501"/>
        <v>0</v>
      </c>
      <c r="N3793" s="95">
        <f>IF(P3793="Hedge Fund",IF(A3793=Summary!$AD$3,M3793-E3793,M3793),IF(A3793=Summary!$AD$3,L3793-D3793,L3793))</f>
        <v>29750000</v>
      </c>
      <c r="O3793" s="95">
        <f t="shared" si="498"/>
        <v>29750000</v>
      </c>
      <c r="P3793" s="107" t="s">
        <v>155</v>
      </c>
      <c r="Q3793" s="107">
        <v>0</v>
      </c>
      <c r="R3793" s="107">
        <v>0</v>
      </c>
      <c r="S3793" s="107">
        <v>0</v>
      </c>
      <c r="T3793" s="107">
        <v>0</v>
      </c>
      <c r="U3793" s="107"/>
      <c r="V3793" s="107"/>
      <c r="W3793" s="107"/>
      <c r="X3793" s="107"/>
      <c r="Y3793" s="107"/>
      <c r="Z3793" s="107"/>
      <c r="AA3793" s="107"/>
      <c r="AB3793" s="107"/>
      <c r="AC3793" s="355"/>
      <c r="AD3793" s="355"/>
      <c r="AE3793" s="355"/>
      <c r="AF3793" s="94">
        <f t="shared" si="502"/>
        <v>41243</v>
      </c>
      <c r="AG3793" s="185">
        <f t="shared" si="497"/>
        <v>6.5156658741207796E-3</v>
      </c>
      <c r="AH3793" s="339" t="str">
        <f>VLOOKUP(B3793,'MF PF'!A:B,2)</f>
        <v>FdMgt1</v>
      </c>
      <c r="AI3793" s="358">
        <f t="shared" si="503"/>
        <v>0</v>
      </c>
      <c r="AJ3793" s="94">
        <f t="shared" si="504"/>
        <v>41243</v>
      </c>
    </row>
    <row r="3794" spans="1:53" ht="12.75" customHeight="1">
      <c r="A3794" s="8">
        <v>41274</v>
      </c>
      <c r="B3794" s="94" t="s">
        <v>189</v>
      </c>
      <c r="C3794" s="358" t="s">
        <v>304</v>
      </c>
      <c r="D3794" s="98">
        <v>63206583.82</v>
      </c>
      <c r="E3794" s="9">
        <f t="shared" si="505"/>
        <v>15122820.093913885</v>
      </c>
      <c r="F3794" s="98">
        <v>125</v>
      </c>
      <c r="G3794" s="98">
        <v>9875000</v>
      </c>
      <c r="H3794" s="98">
        <v>0</v>
      </c>
      <c r="I3794" s="98">
        <v>0</v>
      </c>
      <c r="J3794" s="98"/>
      <c r="K3794" s="93">
        <v>4.1795500725051422</v>
      </c>
      <c r="L3794" s="93">
        <f t="shared" si="500"/>
        <v>9875000</v>
      </c>
      <c r="M3794" s="95">
        <f t="shared" ca="1" si="501"/>
        <v>0</v>
      </c>
      <c r="N3794" s="95">
        <f>IF(P3794="Hedge Fund",IF(A3794=Summary!$AD$3,M3794-E3794,M3794),IF(A3794=Summary!$AD$3,L3794-D3794,L3794))</f>
        <v>9875000</v>
      </c>
      <c r="O3794" s="95">
        <f t="shared" si="498"/>
        <v>9875000</v>
      </c>
      <c r="P3794" s="107" t="s">
        <v>155</v>
      </c>
      <c r="Q3794" s="107">
        <v>0</v>
      </c>
      <c r="R3794" s="107">
        <v>0</v>
      </c>
      <c r="S3794" s="107">
        <v>0</v>
      </c>
      <c r="T3794" s="107">
        <v>0</v>
      </c>
      <c r="U3794" s="107"/>
      <c r="V3794" s="107"/>
      <c r="W3794" s="107"/>
      <c r="X3794" s="107"/>
      <c r="Y3794" s="107"/>
      <c r="Z3794" s="107"/>
      <c r="AA3794" s="107"/>
      <c r="AB3794" s="107"/>
      <c r="AC3794" s="355"/>
      <c r="AD3794" s="355"/>
      <c r="AE3794" s="355"/>
      <c r="AF3794" s="94">
        <f t="shared" si="502"/>
        <v>41274</v>
      </c>
      <c r="AG3794" s="185">
        <f t="shared" si="497"/>
        <v>1.5065635276831024E-2</v>
      </c>
      <c r="AH3794" s="339" t="str">
        <f>VLOOKUP(B3794,'MF PF'!A:B,2)</f>
        <v>FdMgt1</v>
      </c>
      <c r="AI3794" s="358">
        <f t="shared" si="503"/>
        <v>0</v>
      </c>
      <c r="AJ3794" s="94">
        <f t="shared" si="504"/>
        <v>41274</v>
      </c>
    </row>
    <row r="3795" spans="1:53" ht="12.75" customHeight="1">
      <c r="A3795" s="8">
        <v>41305</v>
      </c>
      <c r="B3795" s="94" t="s">
        <v>189</v>
      </c>
      <c r="C3795" s="358" t="s">
        <v>304</v>
      </c>
      <c r="D3795" s="98">
        <v>63194305.892999999</v>
      </c>
      <c r="E3795" s="9">
        <f t="shared" si="505"/>
        <v>15119882.47460391</v>
      </c>
      <c r="F3795" s="98">
        <v>125</v>
      </c>
      <c r="G3795" s="98">
        <v>0</v>
      </c>
      <c r="H3795" s="98">
        <v>0</v>
      </c>
      <c r="I3795" s="98">
        <v>0</v>
      </c>
      <c r="J3795" s="98"/>
      <c r="K3795" s="93">
        <v>4.1795500725051422</v>
      </c>
      <c r="L3795" s="93">
        <f t="shared" si="500"/>
        <v>0</v>
      </c>
      <c r="M3795" s="95">
        <f t="shared" ca="1" si="501"/>
        <v>0</v>
      </c>
      <c r="N3795" s="95">
        <f>IF(P3795="Hedge Fund",IF(A3795=Summary!$AD$3,M3795-E3795,M3795),IF(A3795=Summary!$AD$3,L3795-D3795,L3795))</f>
        <v>0</v>
      </c>
      <c r="O3795" s="95">
        <f t="shared" si="498"/>
        <v>0</v>
      </c>
      <c r="P3795" s="107" t="s">
        <v>155</v>
      </c>
      <c r="Q3795" s="107">
        <v>0</v>
      </c>
      <c r="R3795" s="107">
        <v>0</v>
      </c>
      <c r="S3795" s="107">
        <v>0</v>
      </c>
      <c r="T3795" s="107">
        <v>0</v>
      </c>
      <c r="U3795" s="107"/>
      <c r="V3795" s="107"/>
      <c r="W3795" s="107"/>
      <c r="X3795" s="107"/>
      <c r="Y3795" s="107"/>
      <c r="Z3795" s="107"/>
      <c r="AA3795" s="107"/>
      <c r="AB3795" s="107"/>
      <c r="AC3795" s="355"/>
      <c r="AD3795" s="355"/>
      <c r="AE3795" s="355"/>
      <c r="AF3795" s="94">
        <f t="shared" si="502"/>
        <v>41305</v>
      </c>
      <c r="AG3795" s="185">
        <f t="shared" si="497"/>
        <v>-1.9425076088541715E-4</v>
      </c>
      <c r="AH3795" s="339" t="str">
        <f>VLOOKUP(B3795,'MF PF'!A:B,2)</f>
        <v>FdMgt1</v>
      </c>
      <c r="AI3795" s="358">
        <f t="shared" si="503"/>
        <v>0</v>
      </c>
      <c r="AJ3795" s="94">
        <f t="shared" si="504"/>
        <v>41305</v>
      </c>
    </row>
    <row r="3796" spans="1:53" ht="12.75" customHeight="1">
      <c r="A3796" s="8">
        <v>41333</v>
      </c>
      <c r="B3796" s="94" t="s">
        <v>189</v>
      </c>
      <c r="C3796" s="358" t="s">
        <v>304</v>
      </c>
      <c r="D3796" s="98">
        <v>74490460.731000006</v>
      </c>
      <c r="E3796" s="9">
        <f t="shared" si="505"/>
        <v>15205853.465926142</v>
      </c>
      <c r="F3796" s="98">
        <v>125</v>
      </c>
      <c r="G3796" s="98">
        <v>10875000</v>
      </c>
      <c r="H3796" s="98">
        <v>0</v>
      </c>
      <c r="I3796" s="98">
        <v>0</v>
      </c>
      <c r="J3796" s="98"/>
      <c r="K3796" s="93">
        <v>4.8988016948815849</v>
      </c>
      <c r="L3796" s="93">
        <f t="shared" si="500"/>
        <v>10875000</v>
      </c>
      <c r="M3796" s="95">
        <f t="shared" ca="1" si="501"/>
        <v>0</v>
      </c>
      <c r="N3796" s="95">
        <f>IF(P3796="Hedge Fund",IF(A3796=Summary!$AD$3,M3796-E3796,M3796),IF(A3796=Summary!$AD$3,L3796-D3796,L3796))</f>
        <v>10875000</v>
      </c>
      <c r="O3796" s="95">
        <f t="shared" si="498"/>
        <v>10875000</v>
      </c>
      <c r="P3796" s="107" t="s">
        <v>155</v>
      </c>
      <c r="Q3796" s="107">
        <v>0</v>
      </c>
      <c r="R3796" s="107">
        <v>0</v>
      </c>
      <c r="S3796" s="107">
        <v>0</v>
      </c>
      <c r="T3796" s="107">
        <v>0</v>
      </c>
      <c r="U3796" s="107"/>
      <c r="V3796" s="107"/>
      <c r="W3796" s="107"/>
      <c r="X3796" s="107"/>
      <c r="Y3796" s="107"/>
      <c r="Z3796" s="107"/>
      <c r="AA3796" s="107"/>
      <c r="AB3796" s="107"/>
      <c r="AC3796" s="355"/>
      <c r="AD3796" s="355"/>
      <c r="AE3796" s="355"/>
      <c r="AF3796" s="94">
        <f t="shared" si="502"/>
        <v>41333</v>
      </c>
      <c r="AG3796" s="185">
        <f t="shared" si="497"/>
        <v>6.6644428172548675E-3</v>
      </c>
      <c r="AH3796" s="339" t="str">
        <f>VLOOKUP(B3796,'MF PF'!A:B,2)</f>
        <v>FdMgt1</v>
      </c>
      <c r="AI3796" s="358">
        <f t="shared" si="503"/>
        <v>0</v>
      </c>
      <c r="AJ3796" s="94">
        <f t="shared" si="504"/>
        <v>41333</v>
      </c>
    </row>
    <row r="3797" spans="1:53" ht="12.75" customHeight="1">
      <c r="A3797" s="8">
        <v>41361</v>
      </c>
      <c r="B3797" s="94" t="s">
        <v>189</v>
      </c>
      <c r="C3797" s="358" t="s">
        <v>304</v>
      </c>
      <c r="D3797" s="98">
        <v>81488648.310499996</v>
      </c>
      <c r="E3797" s="9">
        <f t="shared" si="505"/>
        <v>15135863.577649677</v>
      </c>
      <c r="F3797" s="98">
        <v>125</v>
      </c>
      <c r="G3797" s="98">
        <v>7375000</v>
      </c>
      <c r="H3797" s="98">
        <v>0</v>
      </c>
      <c r="I3797" s="98">
        <v>0</v>
      </c>
      <c r="J3797" s="98"/>
      <c r="K3797" s="93">
        <v>5.3838122874488601</v>
      </c>
      <c r="L3797" s="93">
        <f t="shared" si="500"/>
        <v>7375000</v>
      </c>
      <c r="M3797" s="95">
        <f t="shared" ca="1" si="501"/>
        <v>0</v>
      </c>
      <c r="N3797" s="95">
        <f>IF(P3797="Hedge Fund",IF(A3797=Summary!$AD$3,M3797-E3797,M3797),IF(A3797=Summary!$AD$3,L3797-D3797,L3797))</f>
        <v>7375000</v>
      </c>
      <c r="O3797" s="95">
        <f t="shared" si="498"/>
        <v>7375000</v>
      </c>
      <c r="P3797" s="107" t="s">
        <v>155</v>
      </c>
      <c r="Q3797" s="107">
        <v>0</v>
      </c>
      <c r="R3797" s="107">
        <v>0</v>
      </c>
      <c r="S3797" s="107">
        <v>0</v>
      </c>
      <c r="T3797" s="107">
        <v>0</v>
      </c>
      <c r="U3797" s="107"/>
      <c r="V3797" s="107"/>
      <c r="W3797" s="107"/>
      <c r="X3797" s="107"/>
      <c r="Y3797" s="107"/>
      <c r="Z3797" s="107"/>
      <c r="AA3797" s="107"/>
      <c r="AB3797" s="107"/>
      <c r="AC3797" s="355"/>
      <c r="AD3797" s="355"/>
      <c r="AE3797" s="355"/>
      <c r="AF3797" s="94">
        <f t="shared" si="502"/>
        <v>41361</v>
      </c>
      <c r="AG3797" s="185">
        <f t="shared" si="497"/>
        <v>-5.0585325530574377E-3</v>
      </c>
      <c r="AH3797" s="339" t="str">
        <f>VLOOKUP(B3797,'MF PF'!A:B,2)</f>
        <v>FdMgt1</v>
      </c>
      <c r="AI3797" s="358">
        <f t="shared" si="503"/>
        <v>0</v>
      </c>
      <c r="AJ3797" s="94">
        <f t="shared" si="504"/>
        <v>41364</v>
      </c>
      <c r="AK3797" s="358"/>
      <c r="AL3797" s="358"/>
      <c r="AM3797" s="358"/>
      <c r="AN3797" s="358"/>
      <c r="AO3797" s="358"/>
      <c r="AP3797" s="358"/>
      <c r="AQ3797" s="358"/>
      <c r="AR3797" s="358"/>
      <c r="AS3797" s="358"/>
      <c r="AT3797" s="358"/>
      <c r="AU3797" s="358"/>
      <c r="AV3797" s="358"/>
      <c r="AW3797" s="358"/>
      <c r="AX3797" s="358"/>
      <c r="AY3797" s="358"/>
      <c r="AZ3797" s="358"/>
      <c r="BA3797" s="358"/>
    </row>
    <row r="3798" spans="1:53" ht="12.75" customHeight="1">
      <c r="A3798" s="8">
        <v>41394</v>
      </c>
      <c r="B3798" s="94" t="s">
        <v>189</v>
      </c>
      <c r="C3798" s="358" t="s">
        <v>304</v>
      </c>
      <c r="D3798" s="98">
        <v>84527219.515499994</v>
      </c>
      <c r="E3798" s="9">
        <f t="shared" si="505"/>
        <v>14965641.502925906</v>
      </c>
      <c r="F3798" s="98">
        <v>125</v>
      </c>
      <c r="G3798" s="98">
        <v>4000000</v>
      </c>
      <c r="H3798" s="98">
        <v>0</v>
      </c>
      <c r="I3798" s="98">
        <v>0</v>
      </c>
      <c r="J3798" s="98"/>
      <c r="K3798" s="93">
        <v>5.6480852824768135</v>
      </c>
      <c r="L3798" s="93">
        <f t="shared" si="500"/>
        <v>4000000</v>
      </c>
      <c r="M3798" s="95">
        <f t="shared" ca="1" si="501"/>
        <v>0</v>
      </c>
      <c r="N3798" s="95">
        <f>IF(P3798="Hedge Fund",IF(A3798=Summary!$AD$3,M3798-E3798,M3798),IF(A3798=Summary!$AD$3,L3798-D3798,L3798))</f>
        <v>4000000</v>
      </c>
      <c r="O3798" s="95">
        <f t="shared" si="498"/>
        <v>4000000</v>
      </c>
      <c r="P3798" s="107" t="s">
        <v>155</v>
      </c>
      <c r="Q3798" s="107">
        <v>0</v>
      </c>
      <c r="R3798" s="107">
        <v>0</v>
      </c>
      <c r="S3798" s="107">
        <v>0</v>
      </c>
      <c r="T3798" s="107">
        <v>0</v>
      </c>
      <c r="U3798" s="107"/>
      <c r="V3798" s="107"/>
      <c r="W3798" s="107"/>
      <c r="X3798" s="107"/>
      <c r="Y3798" s="107"/>
      <c r="Z3798" s="107"/>
      <c r="AA3798" s="107"/>
      <c r="AB3798" s="107"/>
      <c r="AC3798" s="355"/>
      <c r="AD3798" s="355"/>
      <c r="AE3798" s="355"/>
      <c r="AF3798" s="94">
        <f t="shared" si="502"/>
        <v>41394</v>
      </c>
      <c r="AG3798" s="185">
        <f t="shared" si="497"/>
        <v>-1.1798315654183211E-2</v>
      </c>
      <c r="AH3798" s="339" t="str">
        <f>VLOOKUP(B3798,'MF PF'!A:B,2)</f>
        <v>FdMgt1</v>
      </c>
      <c r="AI3798" s="358">
        <f t="shared" si="503"/>
        <v>0</v>
      </c>
      <c r="AJ3798" s="94">
        <f t="shared" si="504"/>
        <v>41394</v>
      </c>
      <c r="AK3798" s="358"/>
      <c r="AL3798" s="358"/>
      <c r="AM3798" s="358"/>
      <c r="AN3798" s="358"/>
      <c r="AO3798" s="358"/>
      <c r="AP3798" s="358"/>
      <c r="AQ3798" s="358"/>
      <c r="AR3798" s="358"/>
      <c r="AS3798" s="358"/>
      <c r="AT3798" s="358"/>
      <c r="AU3798" s="358"/>
      <c r="AV3798" s="358"/>
      <c r="AW3798" s="358"/>
      <c r="AX3798" s="358"/>
      <c r="AY3798" s="358"/>
      <c r="AZ3798" s="358"/>
      <c r="BA3798" s="358"/>
    </row>
    <row r="3799" spans="1:53" ht="12.75" customHeight="1">
      <c r="A3799" s="8">
        <v>41425</v>
      </c>
      <c r="B3799" s="94" t="s">
        <v>189</v>
      </c>
      <c r="C3799" s="6" t="s">
        <v>304</v>
      </c>
      <c r="D3799" s="98">
        <v>85370854.103499994</v>
      </c>
      <c r="E3799" s="9">
        <f t="shared" si="505"/>
        <v>15115007.977723548</v>
      </c>
      <c r="F3799" s="98">
        <v>125</v>
      </c>
      <c r="G3799" s="98">
        <v>0</v>
      </c>
      <c r="H3799" s="98">
        <v>0</v>
      </c>
      <c r="I3799" s="98">
        <v>0</v>
      </c>
      <c r="J3799" s="98"/>
      <c r="K3799" s="93">
        <v>5.6480852824768135</v>
      </c>
      <c r="L3799" s="93">
        <f t="shared" si="500"/>
        <v>0</v>
      </c>
      <c r="M3799" s="95">
        <f t="shared" ca="1" si="501"/>
        <v>0</v>
      </c>
      <c r="N3799" s="95">
        <f>IF(P3799="Hedge Fund",IF(A3799=Summary!$AD$3,M3799-E3799,M3799),IF(A3799=Summary!$AD$3,L3799-D3799,L3799))</f>
        <v>0</v>
      </c>
      <c r="O3799" s="95">
        <f t="shared" si="498"/>
        <v>0</v>
      </c>
      <c r="P3799" s="107" t="s">
        <v>155</v>
      </c>
      <c r="Q3799" s="107">
        <v>0</v>
      </c>
      <c r="R3799" s="107">
        <v>0</v>
      </c>
      <c r="S3799" s="107">
        <v>0</v>
      </c>
      <c r="T3799" s="107">
        <v>0</v>
      </c>
      <c r="U3799" s="107"/>
      <c r="V3799" s="107"/>
      <c r="W3799" s="107"/>
      <c r="X3799" s="107"/>
      <c r="Y3799" s="107"/>
      <c r="Z3799" s="107"/>
      <c r="AA3799" s="107"/>
      <c r="AB3799" s="107"/>
      <c r="AC3799" s="355"/>
      <c r="AD3799" s="355"/>
      <c r="AE3799" s="355"/>
      <c r="AF3799" s="94">
        <f t="shared" si="502"/>
        <v>41425</v>
      </c>
      <c r="AG3799" s="185">
        <f t="shared" si="497"/>
        <v>9.980626274419313E-3</v>
      </c>
      <c r="AH3799" s="339" t="str">
        <f>VLOOKUP(B3799,'MF PF'!A:B,2)</f>
        <v>FdMgt1</v>
      </c>
      <c r="AI3799" s="358">
        <f t="shared" si="503"/>
        <v>0</v>
      </c>
      <c r="AJ3799" s="94">
        <f t="shared" si="504"/>
        <v>41425</v>
      </c>
      <c r="AK3799" s="358"/>
      <c r="AL3799" s="358"/>
      <c r="AM3799" s="358"/>
      <c r="AN3799" s="358"/>
      <c r="AO3799" s="358"/>
      <c r="AP3799" s="358"/>
      <c r="AQ3799" s="358"/>
      <c r="AR3799" s="358"/>
      <c r="AS3799" s="358"/>
      <c r="AT3799" s="358"/>
      <c r="AU3799" s="358"/>
      <c r="AV3799" s="358"/>
      <c r="AW3799" s="358"/>
      <c r="AX3799" s="358"/>
      <c r="AY3799" s="358"/>
      <c r="AZ3799" s="358"/>
      <c r="BA3799" s="358"/>
    </row>
    <row r="3800" spans="1:53" ht="12.75" customHeight="1">
      <c r="A3800" s="8">
        <v>41453</v>
      </c>
      <c r="B3800" s="94" t="s">
        <v>189</v>
      </c>
      <c r="C3800" s="6" t="s">
        <v>304</v>
      </c>
      <c r="D3800" s="98">
        <v>85309280.282000005</v>
      </c>
      <c r="E3800" s="9">
        <f t="shared" si="505"/>
        <v>15104106.261757782</v>
      </c>
      <c r="F3800" s="98">
        <v>125</v>
      </c>
      <c r="G3800" s="98">
        <v>0</v>
      </c>
      <c r="H3800" s="98">
        <v>0</v>
      </c>
      <c r="I3800" s="98">
        <v>0</v>
      </c>
      <c r="J3800" s="98"/>
      <c r="K3800" s="93">
        <v>5.6480852824768135</v>
      </c>
      <c r="L3800" s="93">
        <f t="shared" si="500"/>
        <v>0</v>
      </c>
      <c r="M3800" s="95">
        <f t="shared" ca="1" si="501"/>
        <v>0</v>
      </c>
      <c r="N3800" s="95">
        <f>IF(P3800="Hedge Fund",IF(A3800=Summary!$AD$3,M3800-E3800,M3800),IF(A3800=Summary!$AD$3,L3800-D3800,L3800))</f>
        <v>0</v>
      </c>
      <c r="O3800" s="95">
        <f t="shared" si="498"/>
        <v>0</v>
      </c>
      <c r="P3800" s="107" t="s">
        <v>155</v>
      </c>
      <c r="Q3800" s="107">
        <v>0</v>
      </c>
      <c r="R3800" s="107">
        <v>0</v>
      </c>
      <c r="S3800" s="107">
        <v>0</v>
      </c>
      <c r="T3800" s="107">
        <v>0</v>
      </c>
      <c r="U3800" s="107"/>
      <c r="V3800" s="107"/>
      <c r="W3800" s="107"/>
      <c r="X3800" s="107"/>
      <c r="Y3800" s="107"/>
      <c r="Z3800" s="107"/>
      <c r="AA3800" s="107"/>
      <c r="AB3800" s="107"/>
      <c r="AC3800" s="355"/>
      <c r="AD3800" s="355"/>
      <c r="AE3800" s="355"/>
      <c r="AF3800" s="94">
        <f t="shared" si="502"/>
        <v>41453</v>
      </c>
      <c r="AG3800" s="185">
        <f t="shared" si="497"/>
        <v>-7.2125108910514601E-4</v>
      </c>
      <c r="AH3800" s="339" t="str">
        <f>VLOOKUP(B3800,'MF PF'!A:B,2)</f>
        <v>FdMgt1</v>
      </c>
      <c r="AI3800" s="358">
        <f t="shared" si="503"/>
        <v>0</v>
      </c>
      <c r="AJ3800" s="94">
        <f t="shared" si="504"/>
        <v>41455</v>
      </c>
    </row>
    <row r="3801" spans="1:53" ht="12.75" customHeight="1">
      <c r="A3801" s="8">
        <v>41486</v>
      </c>
      <c r="B3801" s="94" t="s">
        <v>189</v>
      </c>
      <c r="C3801" s="6" t="s">
        <v>304</v>
      </c>
      <c r="D3801" s="98">
        <v>83127841.189999998</v>
      </c>
      <c r="E3801" s="9">
        <f t="shared" si="505"/>
        <v>14717879.959763383</v>
      </c>
      <c r="F3801" s="98">
        <v>125</v>
      </c>
      <c r="G3801" s="98">
        <v>0</v>
      </c>
      <c r="H3801" s="98">
        <v>0</v>
      </c>
      <c r="I3801" s="98">
        <v>0</v>
      </c>
      <c r="J3801" s="98"/>
      <c r="K3801" s="93">
        <v>5.6480852824768135</v>
      </c>
      <c r="L3801" s="93">
        <f t="shared" si="500"/>
        <v>0</v>
      </c>
      <c r="M3801" s="95">
        <f t="shared" ca="1" si="501"/>
        <v>0</v>
      </c>
      <c r="N3801" s="95">
        <f>IF(P3801="Hedge Fund",IF(A3801=Summary!$AD$3,M3801-E3801,M3801),IF(A3801=Summary!$AD$3,L3801-D3801,L3801))</f>
        <v>0</v>
      </c>
      <c r="O3801" s="95">
        <f t="shared" si="498"/>
        <v>0</v>
      </c>
      <c r="P3801" s="107" t="s">
        <v>155</v>
      </c>
      <c r="Q3801" s="107">
        <v>0</v>
      </c>
      <c r="R3801" s="107">
        <v>0</v>
      </c>
      <c r="S3801" s="107">
        <v>0</v>
      </c>
      <c r="T3801" s="107">
        <v>0</v>
      </c>
      <c r="U3801" s="107"/>
      <c r="V3801" s="107"/>
      <c r="W3801" s="107"/>
      <c r="X3801" s="107"/>
      <c r="Y3801" s="107"/>
      <c r="Z3801" s="107"/>
      <c r="AA3801" s="107"/>
      <c r="AB3801" s="107"/>
      <c r="AC3801" s="355"/>
      <c r="AD3801" s="355"/>
      <c r="AE3801" s="355"/>
      <c r="AF3801" s="94">
        <f t="shared" si="502"/>
        <v>41486</v>
      </c>
      <c r="AG3801" s="185">
        <f t="shared" si="497"/>
        <v>-2.5570947085580831E-2</v>
      </c>
      <c r="AH3801" s="339" t="str">
        <f>VLOOKUP(B3801,'MF PF'!A:B,2)</f>
        <v>FdMgt1</v>
      </c>
      <c r="AI3801" s="358">
        <f t="shared" si="503"/>
        <v>0</v>
      </c>
      <c r="AJ3801" s="94">
        <f t="shared" si="504"/>
        <v>41486</v>
      </c>
    </row>
    <row r="3802" spans="1:53" ht="12.75" customHeight="1">
      <c r="A3802" s="8">
        <v>41516</v>
      </c>
      <c r="B3802" s="94" t="s">
        <v>189</v>
      </c>
      <c r="C3802" s="6" t="s">
        <v>304</v>
      </c>
      <c r="D3802" s="98">
        <v>82013250.579999998</v>
      </c>
      <c r="E3802" s="9">
        <f t="shared" si="505"/>
        <v>14520540.409410272</v>
      </c>
      <c r="F3802" s="98">
        <v>125</v>
      </c>
      <c r="G3802" s="98">
        <v>0</v>
      </c>
      <c r="H3802" s="98">
        <v>0</v>
      </c>
      <c r="I3802" s="98">
        <v>0</v>
      </c>
      <c r="J3802" s="98"/>
      <c r="K3802" s="93">
        <v>5.6480852824768135</v>
      </c>
      <c r="L3802" s="93">
        <f t="shared" si="500"/>
        <v>0</v>
      </c>
      <c r="M3802" s="95">
        <f t="shared" ca="1" si="501"/>
        <v>0</v>
      </c>
      <c r="N3802" s="95">
        <f>IF(P3802="Hedge Fund",IF(A3802=Summary!$AD$3,M3802-E3802,M3802),IF(A3802=Summary!$AD$3,L3802-D3802,L3802))</f>
        <v>0</v>
      </c>
      <c r="O3802" s="95">
        <f t="shared" si="498"/>
        <v>0</v>
      </c>
      <c r="P3802" s="107" t="s">
        <v>155</v>
      </c>
      <c r="Q3802" s="107">
        <v>0</v>
      </c>
      <c r="R3802" s="107">
        <v>0</v>
      </c>
      <c r="S3802" s="107">
        <v>0</v>
      </c>
      <c r="T3802" s="107">
        <v>0</v>
      </c>
      <c r="U3802" s="107"/>
      <c r="V3802" s="107"/>
      <c r="W3802" s="107"/>
      <c r="X3802" s="107"/>
      <c r="Y3802" s="107"/>
      <c r="Z3802" s="107"/>
      <c r="AA3802" s="107"/>
      <c r="AB3802" s="107"/>
      <c r="AC3802" s="355"/>
      <c r="AD3802" s="355"/>
      <c r="AE3802" s="355"/>
      <c r="AF3802" s="94">
        <f t="shared" si="502"/>
        <v>41516</v>
      </c>
      <c r="AG3802" s="185">
        <f t="shared" si="497"/>
        <v>-1.3408150555148546E-2</v>
      </c>
      <c r="AH3802" s="339" t="str">
        <f>VLOOKUP(B3802,'MF PF'!A:B,2)</f>
        <v>FdMgt1</v>
      </c>
      <c r="AI3802" s="358">
        <f t="shared" si="503"/>
        <v>0</v>
      </c>
      <c r="AJ3802" s="94">
        <f t="shared" si="504"/>
        <v>41517</v>
      </c>
      <c r="AK3802" s="358"/>
      <c r="AL3802" s="358"/>
      <c r="AM3802" s="358"/>
      <c r="AN3802" s="358"/>
      <c r="AO3802" s="358"/>
      <c r="AP3802" s="358"/>
      <c r="AQ3802" s="358"/>
      <c r="AR3802" s="358"/>
      <c r="AS3802" s="358"/>
      <c r="AT3802" s="358"/>
      <c r="AU3802" s="358"/>
      <c r="AV3802" s="358"/>
      <c r="AW3802" s="358"/>
      <c r="AX3802" s="358"/>
      <c r="AY3802" s="358"/>
      <c r="AZ3802" s="358"/>
      <c r="BA3802" s="358"/>
    </row>
    <row r="3803" spans="1:53" ht="12.75" customHeight="1">
      <c r="A3803" s="8">
        <v>41547</v>
      </c>
      <c r="B3803" s="94" t="s">
        <v>189</v>
      </c>
      <c r="C3803" s="6" t="s">
        <v>304</v>
      </c>
      <c r="D3803" s="98">
        <v>124195018.06</v>
      </c>
      <c r="E3803" s="9">
        <f t="shared" si="505"/>
        <v>14674948.743075097</v>
      </c>
      <c r="F3803" s="98">
        <v>125</v>
      </c>
      <c r="G3803" s="98">
        <v>40875000</v>
      </c>
      <c r="H3803" s="98">
        <v>0</v>
      </c>
      <c r="I3803" s="98">
        <v>0</v>
      </c>
      <c r="J3803" s="98"/>
      <c r="K3803" s="93">
        <v>8.4630631584731013</v>
      </c>
      <c r="L3803" s="93">
        <f t="shared" si="500"/>
        <v>40875000</v>
      </c>
      <c r="M3803" s="95">
        <f t="shared" ca="1" si="501"/>
        <v>0</v>
      </c>
      <c r="N3803" s="95">
        <f>IF(P3803="Hedge Fund",IF(A3803=Summary!$AD$3,M3803-E3803,M3803),IF(A3803=Summary!$AD$3,L3803-D3803,L3803))</f>
        <v>40875000</v>
      </c>
      <c r="O3803" s="95">
        <f t="shared" si="498"/>
        <v>40875000</v>
      </c>
      <c r="P3803" s="107" t="s">
        <v>155</v>
      </c>
      <c r="Q3803" s="107">
        <v>0</v>
      </c>
      <c r="R3803" s="107">
        <v>0</v>
      </c>
      <c r="S3803" s="107">
        <v>0</v>
      </c>
      <c r="T3803" s="107">
        <v>0</v>
      </c>
      <c r="U3803" s="107"/>
      <c r="V3803" s="107"/>
      <c r="W3803" s="107"/>
      <c r="X3803" s="107"/>
      <c r="Y3803" s="107"/>
      <c r="Z3803" s="107"/>
      <c r="AA3803" s="107"/>
      <c r="AB3803" s="107"/>
      <c r="AC3803" s="355"/>
      <c r="AD3803" s="355"/>
      <c r="AE3803" s="355"/>
      <c r="AF3803" s="94">
        <f t="shared" si="502"/>
        <v>41547</v>
      </c>
      <c r="AG3803" s="185">
        <f t="shared" si="497"/>
        <v>1.593361402893434E-2</v>
      </c>
      <c r="AH3803" s="339" t="str">
        <f>VLOOKUP(B3803,'MF PF'!A:B,2)</f>
        <v>FdMgt1</v>
      </c>
      <c r="AI3803" s="358">
        <f t="shared" si="503"/>
        <v>0</v>
      </c>
      <c r="AJ3803" s="94">
        <f t="shared" si="504"/>
        <v>41547</v>
      </c>
    </row>
    <row r="3804" spans="1:53" ht="12.75" customHeight="1">
      <c r="A3804" s="8">
        <v>41578</v>
      </c>
      <c r="B3804" s="94" t="s">
        <v>189</v>
      </c>
      <c r="C3804" s="6" t="s">
        <v>304</v>
      </c>
      <c r="D3804" s="98">
        <v>110091599.789</v>
      </c>
      <c r="E3804" s="9">
        <f t="shared" si="505"/>
        <v>13008481.412404187</v>
      </c>
      <c r="F3804" s="98">
        <v>125</v>
      </c>
      <c r="G3804" s="98">
        <v>0</v>
      </c>
      <c r="H3804" s="98">
        <v>0</v>
      </c>
      <c r="I3804" s="98">
        <v>-16151066.669999998</v>
      </c>
      <c r="J3804" s="98"/>
      <c r="K3804" s="93">
        <v>8.4630631584731013</v>
      </c>
      <c r="L3804" s="93">
        <f t="shared" si="500"/>
        <v>-16151066.669999998</v>
      </c>
      <c r="M3804" s="95">
        <f t="shared" ca="1" si="501"/>
        <v>-1908418.543920445</v>
      </c>
      <c r="N3804" s="95">
        <f>IF(P3804="Hedge Fund",IF(A3804=Summary!$AD$3,M3804-E3804,M3804),IF(A3804=Summary!$AD$3,L3804-D3804,L3804))</f>
        <v>-16151066.669999998</v>
      </c>
      <c r="O3804" s="95">
        <f t="shared" si="498"/>
        <v>-16151066.669999998</v>
      </c>
      <c r="P3804" s="107" t="s">
        <v>155</v>
      </c>
      <c r="Q3804" s="107">
        <v>0</v>
      </c>
      <c r="R3804" s="107">
        <v>0</v>
      </c>
      <c r="S3804" s="107">
        <v>0</v>
      </c>
      <c r="T3804" s="107">
        <v>0</v>
      </c>
      <c r="U3804" s="107"/>
      <c r="V3804" s="107"/>
      <c r="W3804" s="107"/>
      <c r="X3804" s="107"/>
      <c r="Y3804" s="107"/>
      <c r="Z3804" s="107"/>
      <c r="AA3804" s="107"/>
      <c r="AB3804" s="107"/>
      <c r="AC3804" s="355"/>
      <c r="AD3804" s="355"/>
      <c r="AE3804" s="355"/>
      <c r="AF3804" s="94">
        <f t="shared" si="502"/>
        <v>41578</v>
      </c>
      <c r="AG3804" s="185">
        <f t="shared" si="497"/>
        <v>1.6487363430397473E-2</v>
      </c>
      <c r="AH3804" s="339" t="str">
        <f>VLOOKUP(B3804,'MF PF'!A:B,2)</f>
        <v>FdMgt1</v>
      </c>
      <c r="AI3804" s="358">
        <f t="shared" si="503"/>
        <v>0</v>
      </c>
      <c r="AJ3804" s="94">
        <f t="shared" si="504"/>
        <v>41578</v>
      </c>
    </row>
    <row r="3805" spans="1:53" ht="12.75" customHeight="1">
      <c r="A3805" s="8">
        <v>41607</v>
      </c>
      <c r="B3805" s="94" t="s">
        <v>189</v>
      </c>
      <c r="C3805" s="6" t="s">
        <v>304</v>
      </c>
      <c r="D3805" s="98">
        <v>110241771.193</v>
      </c>
      <c r="E3805" s="9">
        <f t="shared" si="505"/>
        <v>13026225.744590772</v>
      </c>
      <c r="F3805" s="98">
        <v>125</v>
      </c>
      <c r="G3805" s="98">
        <v>0</v>
      </c>
      <c r="H3805" s="98">
        <v>0</v>
      </c>
      <c r="I3805" s="98">
        <v>0</v>
      </c>
      <c r="J3805" s="98"/>
      <c r="K3805" s="93">
        <v>8.4630631584731013</v>
      </c>
      <c r="L3805" s="93">
        <f t="shared" si="500"/>
        <v>0</v>
      </c>
      <c r="M3805" s="95">
        <f t="shared" ca="1" si="501"/>
        <v>0</v>
      </c>
      <c r="N3805" s="95">
        <f>IF(P3805="Hedge Fund",IF(A3805=Summary!$AD$3,M3805-E3805,M3805),IF(A3805=Summary!$AD$3,L3805-D3805,L3805))</f>
        <v>0</v>
      </c>
      <c r="O3805" s="95">
        <f t="shared" si="498"/>
        <v>0</v>
      </c>
      <c r="P3805" s="107" t="s">
        <v>155</v>
      </c>
      <c r="Q3805" s="107">
        <v>0</v>
      </c>
      <c r="R3805" s="107">
        <v>0</v>
      </c>
      <c r="S3805" s="107">
        <v>0</v>
      </c>
      <c r="T3805" s="107">
        <v>0</v>
      </c>
      <c r="U3805" s="107"/>
      <c r="V3805" s="107"/>
      <c r="W3805" s="107"/>
      <c r="X3805" s="107"/>
      <c r="Y3805" s="107"/>
      <c r="Z3805" s="107"/>
      <c r="AA3805" s="107"/>
      <c r="AB3805" s="107"/>
      <c r="AC3805" s="355"/>
      <c r="AD3805" s="355"/>
      <c r="AE3805" s="355"/>
      <c r="AF3805" s="94">
        <f t="shared" si="502"/>
        <v>41607</v>
      </c>
      <c r="AG3805" s="185">
        <f t="shared" si="497"/>
        <v>1.3640586955572243E-3</v>
      </c>
      <c r="AH3805" s="339" t="str">
        <f>VLOOKUP(B3805,'MF PF'!A:B,2)</f>
        <v>FdMgt1</v>
      </c>
      <c r="AI3805" s="358">
        <f t="shared" si="503"/>
        <v>0</v>
      </c>
      <c r="AJ3805" s="94">
        <f t="shared" si="504"/>
        <v>41608</v>
      </c>
    </row>
    <row r="3806" spans="1:53" ht="12.75" customHeight="1">
      <c r="A3806" s="8">
        <v>41639</v>
      </c>
      <c r="B3806" s="94" t="s">
        <v>189</v>
      </c>
      <c r="C3806" s="6" t="s">
        <v>304</v>
      </c>
      <c r="D3806" s="98">
        <v>112194403.88349999</v>
      </c>
      <c r="E3806" s="9">
        <f t="shared" si="505"/>
        <v>13256949.851682546</v>
      </c>
      <c r="F3806" s="98">
        <v>125</v>
      </c>
      <c r="G3806" s="98">
        <v>0</v>
      </c>
      <c r="H3806" s="98">
        <v>0</v>
      </c>
      <c r="I3806" s="98">
        <v>0</v>
      </c>
      <c r="J3806" s="98"/>
      <c r="K3806" s="93">
        <v>8.4630631584731013</v>
      </c>
      <c r="L3806" s="93">
        <f t="shared" si="500"/>
        <v>0</v>
      </c>
      <c r="M3806" s="95">
        <f t="shared" ca="1" si="501"/>
        <v>0</v>
      </c>
      <c r="N3806" s="95">
        <f>IF(P3806="Hedge Fund",IF(A3806=Summary!$AD$3,M3806-E3806,M3806),IF(A3806=Summary!$AD$3,L3806-D3806,L3806))</f>
        <v>0</v>
      </c>
      <c r="O3806" s="95">
        <f t="shared" si="498"/>
        <v>0</v>
      </c>
      <c r="P3806" s="107" t="s">
        <v>155</v>
      </c>
      <c r="Q3806" s="107">
        <v>0</v>
      </c>
      <c r="R3806" s="107">
        <v>0</v>
      </c>
      <c r="S3806" s="107">
        <v>0</v>
      </c>
      <c r="T3806" s="107">
        <v>0</v>
      </c>
      <c r="U3806" s="107"/>
      <c r="V3806" s="107"/>
      <c r="W3806" s="107"/>
      <c r="X3806" s="107"/>
      <c r="Y3806" s="107"/>
      <c r="Z3806" s="107"/>
      <c r="AA3806" s="107"/>
      <c r="AB3806" s="107"/>
      <c r="AC3806" s="355"/>
      <c r="AD3806" s="355"/>
      <c r="AE3806" s="355"/>
      <c r="AF3806" s="94">
        <f t="shared" si="502"/>
        <v>41639</v>
      </c>
      <c r="AG3806" s="185">
        <f t="shared" si="497"/>
        <v>1.7712276112486602E-2</v>
      </c>
      <c r="AH3806" s="339" t="str">
        <f>VLOOKUP(B3806,'MF PF'!A:B,2)</f>
        <v>FdMgt1</v>
      </c>
      <c r="AI3806" s="358">
        <f t="shared" si="503"/>
        <v>0</v>
      </c>
      <c r="AJ3806" s="94">
        <f t="shared" si="504"/>
        <v>41639</v>
      </c>
    </row>
    <row r="3807" spans="1:53" ht="12.75" customHeight="1">
      <c r="A3807" s="8">
        <v>41669</v>
      </c>
      <c r="B3807" s="94" t="s">
        <v>189</v>
      </c>
      <c r="C3807" s="6" t="s">
        <v>304</v>
      </c>
      <c r="D3807" s="98">
        <v>113714706.19949999</v>
      </c>
      <c r="E3807" s="9">
        <f t="shared" si="505"/>
        <v>13436589.574030345</v>
      </c>
      <c r="F3807" s="98">
        <v>125</v>
      </c>
      <c r="G3807" s="98">
        <v>0</v>
      </c>
      <c r="H3807" s="98">
        <v>0</v>
      </c>
      <c r="I3807" s="98">
        <v>0</v>
      </c>
      <c r="J3807" s="98"/>
      <c r="K3807" s="93">
        <v>8.4630631584731013</v>
      </c>
      <c r="L3807" s="93">
        <f t="shared" si="500"/>
        <v>0</v>
      </c>
      <c r="M3807" s="95">
        <f t="shared" ca="1" si="501"/>
        <v>0</v>
      </c>
      <c r="N3807" s="95">
        <f>IF(P3807="Hedge Fund",IF(A3807=Summary!$AD$3,M3807-E3807,M3807),IF(A3807=Summary!$AD$3,L3807-D3807,L3807))</f>
        <v>0</v>
      </c>
      <c r="O3807" s="95">
        <f t="shared" si="498"/>
        <v>0</v>
      </c>
      <c r="P3807" s="107" t="s">
        <v>155</v>
      </c>
      <c r="Q3807" s="107">
        <v>0</v>
      </c>
      <c r="R3807" s="107">
        <v>0</v>
      </c>
      <c r="S3807" s="107">
        <v>0</v>
      </c>
      <c r="T3807" s="107">
        <v>0</v>
      </c>
      <c r="U3807" s="107"/>
      <c r="V3807" s="107"/>
      <c r="W3807" s="107"/>
      <c r="X3807" s="107"/>
      <c r="Y3807" s="107"/>
      <c r="Z3807" s="107"/>
      <c r="AA3807" s="107"/>
      <c r="AB3807" s="107"/>
      <c r="AC3807" s="355"/>
      <c r="AD3807" s="355"/>
      <c r="AE3807" s="355"/>
      <c r="AF3807" s="94">
        <f t="shared" si="502"/>
        <v>41669</v>
      </c>
      <c r="AG3807" s="185">
        <f t="shared" si="497"/>
        <v>1.3550607368783218E-2</v>
      </c>
      <c r="AH3807" s="339" t="str">
        <f>VLOOKUP(B3807,'MF PF'!A:B,2)</f>
        <v>FdMgt1</v>
      </c>
      <c r="AI3807" s="358">
        <f t="shared" si="503"/>
        <v>0</v>
      </c>
      <c r="AJ3807" s="94">
        <f t="shared" si="504"/>
        <v>41670</v>
      </c>
    </row>
    <row r="3808" spans="1:53" ht="12.75" customHeight="1">
      <c r="A3808" s="8">
        <v>41698</v>
      </c>
      <c r="B3808" s="94" t="s">
        <v>189</v>
      </c>
      <c r="C3808" s="6" t="s">
        <v>304</v>
      </c>
      <c r="D3808" s="98">
        <v>114456044.5795</v>
      </c>
      <c r="E3808" s="9">
        <f t="shared" si="505"/>
        <v>13524186.507447744</v>
      </c>
      <c r="F3808" s="98">
        <v>125</v>
      </c>
      <c r="G3808" s="98">
        <v>0</v>
      </c>
      <c r="H3808" s="98">
        <v>0</v>
      </c>
      <c r="I3808" s="98">
        <v>0</v>
      </c>
      <c r="J3808" s="98"/>
      <c r="K3808" s="93">
        <v>8.4630631584731013</v>
      </c>
      <c r="L3808" s="93">
        <f t="shared" si="500"/>
        <v>0</v>
      </c>
      <c r="M3808" s="95">
        <f t="shared" ca="1" si="501"/>
        <v>0</v>
      </c>
      <c r="N3808" s="95">
        <f>IF(P3808="Hedge Fund",IF(A3808=Summary!$AD$3,M3808-E3808,M3808),IF(A3808=Summary!$AD$3,L3808-D3808,L3808))</f>
        <v>0</v>
      </c>
      <c r="O3808" s="95">
        <f t="shared" si="498"/>
        <v>0</v>
      </c>
      <c r="P3808" s="107" t="s">
        <v>155</v>
      </c>
      <c r="Q3808" s="107">
        <v>0</v>
      </c>
      <c r="R3808" s="107">
        <v>0</v>
      </c>
      <c r="S3808" s="107">
        <v>0</v>
      </c>
      <c r="T3808" s="107">
        <v>0</v>
      </c>
      <c r="U3808" s="107"/>
      <c r="V3808" s="107"/>
      <c r="W3808" s="107"/>
      <c r="X3808" s="107"/>
      <c r="Y3808" s="107"/>
      <c r="Z3808" s="107"/>
      <c r="AA3808" s="107"/>
      <c r="AB3808" s="107"/>
      <c r="AC3808" s="355"/>
      <c r="AD3808" s="355"/>
      <c r="AE3808" s="355"/>
      <c r="AF3808" s="94">
        <f t="shared" si="502"/>
        <v>41698</v>
      </c>
      <c r="AG3808" s="185">
        <f t="shared" si="497"/>
        <v>6.519283255231878E-3</v>
      </c>
      <c r="AH3808" s="339" t="str">
        <f>VLOOKUP(B3808,'MF PF'!A:B,2)</f>
        <v>FdMgt1</v>
      </c>
      <c r="AI3808" s="358">
        <f t="shared" si="503"/>
        <v>0</v>
      </c>
      <c r="AJ3808" s="94">
        <f t="shared" si="504"/>
        <v>41698</v>
      </c>
    </row>
    <row r="3809" spans="1:36" ht="12.75" customHeight="1">
      <c r="A3809" s="8">
        <v>41729</v>
      </c>
      <c r="B3809" s="94" t="s">
        <v>189</v>
      </c>
      <c r="C3809" s="6" t="s">
        <v>304</v>
      </c>
      <c r="D3809" s="98">
        <v>109278725.9515</v>
      </c>
      <c r="E3809" s="9">
        <f t="shared" si="505"/>
        <v>12912431.811653404</v>
      </c>
      <c r="F3809" s="98">
        <v>125</v>
      </c>
      <c r="G3809" s="98">
        <v>0</v>
      </c>
      <c r="H3809" s="98">
        <v>0</v>
      </c>
      <c r="I3809" s="98">
        <v>-5311250</v>
      </c>
      <c r="J3809" s="98"/>
      <c r="K3809" s="93">
        <v>8.4630631584731013</v>
      </c>
      <c r="L3809" s="93">
        <f t="shared" si="500"/>
        <v>-5311250</v>
      </c>
      <c r="M3809" s="95">
        <f t="shared" ca="1" si="501"/>
        <v>-627580.09724675759</v>
      </c>
      <c r="N3809" s="95">
        <f>IF(P3809="Hedge Fund",IF(A3809=Summary!$AD$3,M3809-E3809,M3809),IF(A3809=Summary!$AD$3,L3809-D3809,L3809))</f>
        <v>-5311250</v>
      </c>
      <c r="O3809" s="95">
        <f t="shared" si="498"/>
        <v>-5311250</v>
      </c>
      <c r="P3809" s="107" t="s">
        <v>155</v>
      </c>
      <c r="Q3809" s="107">
        <v>0</v>
      </c>
      <c r="R3809" s="107">
        <v>0</v>
      </c>
      <c r="S3809" s="107">
        <v>0</v>
      </c>
      <c r="T3809" s="107">
        <v>0</v>
      </c>
      <c r="U3809" s="107"/>
      <c r="V3809" s="107"/>
      <c r="W3809" s="107"/>
      <c r="X3809" s="107"/>
      <c r="Y3809" s="107"/>
      <c r="Z3809" s="107"/>
      <c r="AA3809" s="107"/>
      <c r="AB3809" s="107"/>
      <c r="AC3809" s="355"/>
      <c r="AD3809" s="355"/>
      <c r="AE3809" s="355"/>
      <c r="AF3809" s="94">
        <f t="shared" si="502"/>
        <v>41729</v>
      </c>
      <c r="AG3809" s="185">
        <f t="shared" si="497"/>
        <v>1.1701555168366351E-3</v>
      </c>
      <c r="AH3809" s="339" t="str">
        <f>VLOOKUP(B3809,'MF PF'!A:B,2)</f>
        <v>FdMgt1</v>
      </c>
      <c r="AI3809" s="358">
        <f t="shared" si="503"/>
        <v>0</v>
      </c>
      <c r="AJ3809" s="94">
        <f t="shared" si="504"/>
        <v>41729</v>
      </c>
    </row>
    <row r="3810" spans="1:36" ht="12.75" customHeight="1">
      <c r="A3810" s="8">
        <v>41759</v>
      </c>
      <c r="B3810" s="94" t="s">
        <v>189</v>
      </c>
      <c r="C3810" s="6" t="s">
        <v>304</v>
      </c>
      <c r="D3810" s="98">
        <v>107779562.5235</v>
      </c>
      <c r="E3810" s="9">
        <f t="shared" si="505"/>
        <v>12735289.871444784</v>
      </c>
      <c r="F3810" s="98">
        <v>125</v>
      </c>
      <c r="G3810" s="98">
        <v>0</v>
      </c>
      <c r="H3810" s="98">
        <v>0</v>
      </c>
      <c r="I3810" s="98">
        <v>0</v>
      </c>
      <c r="J3810" s="98"/>
      <c r="K3810" s="93">
        <v>8.4630631584731013</v>
      </c>
      <c r="L3810" s="93">
        <f t="shared" si="500"/>
        <v>0</v>
      </c>
      <c r="M3810" s="95">
        <f t="shared" ca="1" si="501"/>
        <v>0</v>
      </c>
      <c r="N3810" s="95">
        <f>IF(P3810="Hedge Fund",IF(A3810=Summary!$AD$3,M3810-E3810,M3810),IF(A3810=Summary!$AD$3,L3810-D3810,L3810))</f>
        <v>0</v>
      </c>
      <c r="O3810" s="95">
        <f t="shared" si="498"/>
        <v>0</v>
      </c>
      <c r="P3810" s="107" t="s">
        <v>155</v>
      </c>
      <c r="Q3810" s="107">
        <v>0</v>
      </c>
      <c r="R3810" s="107">
        <v>0</v>
      </c>
      <c r="S3810" s="107">
        <v>0</v>
      </c>
      <c r="T3810" s="107">
        <v>0</v>
      </c>
      <c r="U3810" s="107"/>
      <c r="V3810" s="107"/>
      <c r="W3810" s="107"/>
      <c r="X3810" s="107"/>
      <c r="Y3810" s="107"/>
      <c r="Z3810" s="107"/>
      <c r="AA3810" s="107"/>
      <c r="AB3810" s="107"/>
      <c r="AC3810" s="355"/>
      <c r="AD3810" s="355"/>
      <c r="AE3810" s="355"/>
      <c r="AF3810" s="94">
        <f t="shared" si="502"/>
        <v>41759</v>
      </c>
      <c r="AG3810" s="185">
        <f t="shared" ref="AG3810:AG3873" si="506">IF(C3810&lt;&gt;C3809,D3810/G3810-1,(D3810-G3810-I3810-H3810)/(D3809)-1)</f>
        <v>-1.3718712539395495E-2</v>
      </c>
      <c r="AH3810" s="339" t="str">
        <f>VLOOKUP(B3810,'MF PF'!A:B,2)</f>
        <v>FdMgt1</v>
      </c>
      <c r="AI3810" s="358">
        <f t="shared" si="503"/>
        <v>0</v>
      </c>
      <c r="AJ3810" s="94">
        <f t="shared" si="504"/>
        <v>41759</v>
      </c>
    </row>
    <row r="3811" spans="1:36" ht="12.75" customHeight="1">
      <c r="A3811" s="8">
        <v>41789</v>
      </c>
      <c r="B3811" s="94" t="s">
        <v>189</v>
      </c>
      <c r="C3811" s="6" t="s">
        <v>304</v>
      </c>
      <c r="D3811" s="98">
        <v>108445817.233</v>
      </c>
      <c r="E3811" s="9">
        <f t="shared" si="505"/>
        <v>12814014.878812</v>
      </c>
      <c r="F3811" s="98">
        <v>125</v>
      </c>
      <c r="G3811" s="98">
        <v>0</v>
      </c>
      <c r="H3811" s="98">
        <v>0</v>
      </c>
      <c r="I3811" s="98">
        <v>0</v>
      </c>
      <c r="J3811" s="98"/>
      <c r="K3811" s="93">
        <v>8.4630631584731013</v>
      </c>
      <c r="L3811" s="93">
        <f t="shared" si="500"/>
        <v>0</v>
      </c>
      <c r="M3811" s="95">
        <f t="shared" ca="1" si="501"/>
        <v>0</v>
      </c>
      <c r="N3811" s="95">
        <f>IF(P3811="Hedge Fund",IF(A3811=Summary!$AD$3,M3811-E3811,M3811),IF(A3811=Summary!$AD$3,L3811-D3811,L3811))</f>
        <v>0</v>
      </c>
      <c r="O3811" s="95">
        <f t="shared" si="498"/>
        <v>0</v>
      </c>
      <c r="P3811" s="107" t="s">
        <v>155</v>
      </c>
      <c r="Q3811" s="107">
        <v>0</v>
      </c>
      <c r="R3811" s="107">
        <v>0</v>
      </c>
      <c r="S3811" s="107">
        <v>0</v>
      </c>
      <c r="T3811" s="107">
        <v>0</v>
      </c>
      <c r="U3811" s="107"/>
      <c r="V3811" s="107"/>
      <c r="W3811" s="107"/>
      <c r="X3811" s="107"/>
      <c r="Y3811" s="107"/>
      <c r="Z3811" s="107"/>
      <c r="AA3811" s="107"/>
      <c r="AB3811" s="107"/>
      <c r="AC3811" s="355"/>
      <c r="AD3811" s="355"/>
      <c r="AE3811" s="355"/>
      <c r="AF3811" s="94">
        <f t="shared" si="502"/>
        <v>41789</v>
      </c>
      <c r="AG3811" s="185">
        <f t="shared" si="506"/>
        <v>6.1816423624352357E-3</v>
      </c>
      <c r="AH3811" s="339" t="str">
        <f>VLOOKUP(B3811,'MF PF'!A:B,2)</f>
        <v>FdMgt1</v>
      </c>
      <c r="AI3811" s="358">
        <f t="shared" si="503"/>
        <v>0</v>
      </c>
      <c r="AJ3811" s="94">
        <f t="shared" si="504"/>
        <v>41790</v>
      </c>
    </row>
    <row r="3812" spans="1:36" ht="12.75" customHeight="1">
      <c r="A3812" s="8">
        <v>41820</v>
      </c>
      <c r="B3812" s="94" t="s">
        <v>189</v>
      </c>
      <c r="C3812" s="6" t="s">
        <v>304</v>
      </c>
      <c r="D3812" s="98">
        <v>108762817.355</v>
      </c>
      <c r="E3812" s="9">
        <f t="shared" si="505"/>
        <v>12851471.780180227</v>
      </c>
      <c r="F3812" s="98">
        <v>125</v>
      </c>
      <c r="G3812" s="98">
        <v>0</v>
      </c>
      <c r="H3812" s="98">
        <v>0</v>
      </c>
      <c r="I3812" s="98">
        <v>0</v>
      </c>
      <c r="J3812" s="98"/>
      <c r="K3812" s="93">
        <v>8.4630631584731013</v>
      </c>
      <c r="L3812" s="93">
        <f t="shared" si="500"/>
        <v>0</v>
      </c>
      <c r="M3812" s="95">
        <f t="shared" ca="1" si="501"/>
        <v>0</v>
      </c>
      <c r="N3812" s="95">
        <f>IF(P3812="Hedge Fund",IF(A3812=Summary!$AD$3,M3812-E3812,M3812),IF(A3812=Summary!$AD$3,L3812-D3812,L3812))</f>
        <v>0</v>
      </c>
      <c r="O3812" s="95">
        <f t="shared" si="498"/>
        <v>0</v>
      </c>
      <c r="P3812" s="107" t="s">
        <v>155</v>
      </c>
      <c r="Q3812" s="107">
        <v>0</v>
      </c>
      <c r="R3812" s="107">
        <v>0</v>
      </c>
      <c r="S3812" s="107">
        <v>0</v>
      </c>
      <c r="T3812" s="107">
        <v>0</v>
      </c>
      <c r="U3812" s="107"/>
      <c r="V3812" s="107"/>
      <c r="W3812" s="107"/>
      <c r="X3812" s="107"/>
      <c r="Y3812" s="107"/>
      <c r="Z3812" s="107"/>
      <c r="AA3812" s="107"/>
      <c r="AB3812" s="107"/>
      <c r="AC3812" s="355"/>
      <c r="AD3812" s="355"/>
      <c r="AE3812" s="355"/>
      <c r="AF3812" s="94">
        <f t="shared" si="502"/>
        <v>41820</v>
      </c>
      <c r="AG3812" s="185">
        <f t="shared" si="506"/>
        <v>2.9231198591912477E-3</v>
      </c>
      <c r="AH3812" s="339" t="str">
        <f>VLOOKUP(B3812,'MF PF'!A:B,2)</f>
        <v>FdMgt1</v>
      </c>
      <c r="AI3812" s="358">
        <f t="shared" si="503"/>
        <v>0</v>
      </c>
      <c r="AJ3812" s="94">
        <f t="shared" si="504"/>
        <v>41820</v>
      </c>
    </row>
    <row r="3813" spans="1:36" ht="12.75" customHeight="1">
      <c r="A3813" s="8">
        <v>41851</v>
      </c>
      <c r="B3813" s="94" t="s">
        <v>189</v>
      </c>
      <c r="C3813" s="6" t="s">
        <v>304</v>
      </c>
      <c r="D3813" s="98">
        <v>101152810.1225</v>
      </c>
      <c r="E3813" s="9">
        <f t="shared" si="505"/>
        <v>11952269.317667471</v>
      </c>
      <c r="F3813" s="98">
        <v>125</v>
      </c>
      <c r="G3813" s="98">
        <v>0</v>
      </c>
      <c r="H3813" s="98">
        <v>0</v>
      </c>
      <c r="I3813" s="98">
        <v>-8432500</v>
      </c>
      <c r="J3813" s="98"/>
      <c r="K3813" s="93">
        <v>8.4630631584731013</v>
      </c>
      <c r="L3813" s="93">
        <f t="shared" si="500"/>
        <v>-8432500</v>
      </c>
      <c r="M3813" s="95">
        <f t="shared" ca="1" si="501"/>
        <v>-996388.64109828812</v>
      </c>
      <c r="N3813" s="95">
        <f>IF(P3813="Hedge Fund",IF(A3813=Summary!$AD$3,M3813-E3813,M3813),IF(A3813=Summary!$AD$3,L3813-D3813,L3813))</f>
        <v>-8432500</v>
      </c>
      <c r="O3813" s="95">
        <f t="shared" si="498"/>
        <v>-8432500</v>
      </c>
      <c r="P3813" s="107" t="s">
        <v>155</v>
      </c>
      <c r="Q3813" s="107">
        <v>0</v>
      </c>
      <c r="R3813" s="107">
        <v>0</v>
      </c>
      <c r="S3813" s="107">
        <v>0</v>
      </c>
      <c r="T3813" s="107">
        <v>0</v>
      </c>
      <c r="U3813" s="107"/>
      <c r="V3813" s="107"/>
      <c r="W3813" s="107"/>
      <c r="X3813" s="107"/>
      <c r="Y3813" s="107"/>
      <c r="Z3813" s="107"/>
      <c r="AA3813" s="107"/>
      <c r="AB3813" s="107"/>
      <c r="AC3813" s="355"/>
      <c r="AD3813" s="355"/>
      <c r="AE3813" s="355"/>
      <c r="AF3813" s="94">
        <f t="shared" si="502"/>
        <v>41851</v>
      </c>
      <c r="AG3813" s="185">
        <f t="shared" si="506"/>
        <v>7.5622605914611452E-3</v>
      </c>
      <c r="AH3813" s="339" t="str">
        <f>VLOOKUP(B3813,'MF PF'!A:B,2)</f>
        <v>FdMgt1</v>
      </c>
      <c r="AI3813" s="358">
        <f t="shared" si="503"/>
        <v>0</v>
      </c>
      <c r="AJ3813" s="94">
        <f t="shared" si="504"/>
        <v>41851</v>
      </c>
    </row>
    <row r="3814" spans="1:36" ht="12.75" customHeight="1">
      <c r="A3814" s="8">
        <v>41880</v>
      </c>
      <c r="B3814" s="94" t="s">
        <v>189</v>
      </c>
      <c r="C3814" s="6" t="s">
        <v>304</v>
      </c>
      <c r="D3814" s="98">
        <v>72456057.649000004</v>
      </c>
      <c r="E3814" s="95">
        <f t="shared" si="505"/>
        <v>8561445.9318382852</v>
      </c>
      <c r="F3814" s="98">
        <v>125</v>
      </c>
      <c r="G3814" s="98">
        <v>0</v>
      </c>
      <c r="H3814" s="98">
        <v>0</v>
      </c>
      <c r="I3814" s="98">
        <v>-29393750</v>
      </c>
      <c r="J3814" s="98"/>
      <c r="K3814" s="93">
        <v>8.4630631584731013</v>
      </c>
      <c r="L3814" s="93">
        <f t="shared" si="500"/>
        <v>-29393750</v>
      </c>
      <c r="M3814" s="95">
        <f t="shared" ca="1" si="501"/>
        <v>-3473180.9806442703</v>
      </c>
      <c r="N3814" s="95">
        <f>IF(P3814="Hedge Fund",IF(A3814=Summary!$AD$3,M3814-E3814,M3814),IF(A3814=Summary!$AD$3,L3814-D3814,L3814))</f>
        <v>-29393750</v>
      </c>
      <c r="O3814" s="95">
        <f t="shared" si="498"/>
        <v>-29393750</v>
      </c>
      <c r="P3814" s="107" t="s">
        <v>155</v>
      </c>
      <c r="Q3814" s="107">
        <v>0</v>
      </c>
      <c r="R3814" s="107">
        <v>0</v>
      </c>
      <c r="S3814" s="107">
        <v>0</v>
      </c>
      <c r="T3814" s="107">
        <v>0</v>
      </c>
      <c r="U3814" s="107"/>
      <c r="V3814" s="107"/>
      <c r="W3814" s="107"/>
      <c r="X3814" s="107"/>
      <c r="Y3814" s="107"/>
      <c r="Z3814" s="107"/>
      <c r="AA3814" s="107"/>
      <c r="AB3814" s="107"/>
      <c r="AC3814" s="355"/>
      <c r="AD3814" s="355"/>
      <c r="AE3814" s="355"/>
      <c r="AF3814" s="94">
        <f t="shared" si="502"/>
        <v>41880</v>
      </c>
      <c r="AG3814" s="185">
        <f t="shared" si="506"/>
        <v>6.8905404175712004E-3</v>
      </c>
      <c r="AH3814" s="339" t="str">
        <f>VLOOKUP(B3814,'MF PF'!A:B,2)</f>
        <v>FdMgt1</v>
      </c>
      <c r="AI3814" s="358">
        <f t="shared" si="503"/>
        <v>0</v>
      </c>
      <c r="AJ3814" s="94">
        <f t="shared" si="504"/>
        <v>41882</v>
      </c>
    </row>
    <row r="3815" spans="1:36" s="358" customFormat="1" ht="12.75" customHeight="1">
      <c r="A3815" s="94">
        <v>41912</v>
      </c>
      <c r="B3815" s="94" t="s">
        <v>189</v>
      </c>
      <c r="C3815" s="358" t="s">
        <v>304</v>
      </c>
      <c r="D3815" s="98">
        <v>72862376.221499994</v>
      </c>
      <c r="E3815" s="95">
        <f t="shared" si="505"/>
        <v>8609456.7483584471</v>
      </c>
      <c r="F3815" s="98">
        <v>125</v>
      </c>
      <c r="G3815" s="98">
        <v>0</v>
      </c>
      <c r="H3815" s="98">
        <v>0</v>
      </c>
      <c r="I3815" s="98">
        <v>0</v>
      </c>
      <c r="J3815" s="98"/>
      <c r="K3815" s="93">
        <v>8.4630631584731013</v>
      </c>
      <c r="L3815" s="93">
        <f t="shared" si="500"/>
        <v>0</v>
      </c>
      <c r="M3815" s="95">
        <f t="shared" ca="1" si="501"/>
        <v>0</v>
      </c>
      <c r="N3815" s="95">
        <f>IF(P3815="Hedge Fund",IF(A3815=Summary!$AD$3,M3815-E3815,M3815),IF(A3815=Summary!$AD$3,L3815-D3815,L3815))</f>
        <v>0</v>
      </c>
      <c r="O3815" s="95">
        <f t="shared" si="498"/>
        <v>0</v>
      </c>
      <c r="P3815" s="107" t="s">
        <v>155</v>
      </c>
      <c r="Q3815" s="107">
        <v>0</v>
      </c>
      <c r="R3815" s="107">
        <v>0</v>
      </c>
      <c r="S3815" s="107">
        <v>0</v>
      </c>
      <c r="T3815" s="107">
        <v>0</v>
      </c>
      <c r="U3815" s="107"/>
      <c r="V3815" s="107"/>
      <c r="W3815" s="107"/>
      <c r="X3815" s="107"/>
      <c r="Y3815" s="107"/>
      <c r="Z3815" s="107"/>
      <c r="AA3815" s="107"/>
      <c r="AB3815" s="107"/>
      <c r="AF3815" s="94">
        <f t="shared" si="502"/>
        <v>41912</v>
      </c>
      <c r="AG3815" s="185">
        <f t="shared" si="506"/>
        <v>5.6077929945943517E-3</v>
      </c>
      <c r="AH3815" s="339" t="str">
        <f>VLOOKUP(B3815,'MF PF'!A:B,2)</f>
        <v>FdMgt1</v>
      </c>
      <c r="AI3815" s="358">
        <f t="shared" si="503"/>
        <v>0</v>
      </c>
      <c r="AJ3815" s="94">
        <f t="shared" si="504"/>
        <v>41912</v>
      </c>
    </row>
    <row r="3816" spans="1:36" ht="12.75" customHeight="1">
      <c r="A3816" s="8">
        <v>41943</v>
      </c>
      <c r="B3816" s="94" t="s">
        <v>189</v>
      </c>
      <c r="C3816" s="358" t="s">
        <v>304</v>
      </c>
      <c r="D3816" s="98">
        <v>57035648.439499997</v>
      </c>
      <c r="E3816" s="9">
        <f t="shared" si="505"/>
        <v>6739362.2582618557</v>
      </c>
      <c r="F3816" s="98">
        <v>125</v>
      </c>
      <c r="G3816" s="98">
        <v>0</v>
      </c>
      <c r="H3816" s="98">
        <v>0</v>
      </c>
      <c r="I3816" s="98">
        <v>-14468750</v>
      </c>
      <c r="J3816" s="98"/>
      <c r="K3816" s="93">
        <v>8.4630631584731013</v>
      </c>
      <c r="L3816" s="93">
        <f t="shared" si="500"/>
        <v>-14468750</v>
      </c>
      <c r="M3816" s="95">
        <f t="shared" ca="1" si="501"/>
        <v>-1709635.1201767989</v>
      </c>
      <c r="N3816" s="95">
        <f>IF(P3816="Hedge Fund",IF(A3816=Summary!$AD$3,M3816-E3816,M3816),IF(A3816=Summary!$AD$3,L3816-D3816,L3816))</f>
        <v>-14468750</v>
      </c>
      <c r="O3816" s="95">
        <f t="shared" si="498"/>
        <v>-14468750</v>
      </c>
      <c r="P3816" s="107" t="s">
        <v>155</v>
      </c>
      <c r="Q3816" s="107">
        <v>0</v>
      </c>
      <c r="R3816" s="107">
        <v>0</v>
      </c>
      <c r="S3816" s="107">
        <v>0</v>
      </c>
      <c r="T3816" s="107">
        <v>0</v>
      </c>
      <c r="U3816" s="107"/>
      <c r="V3816" s="107"/>
      <c r="W3816" s="107"/>
      <c r="X3816" s="107"/>
      <c r="Y3816" s="107"/>
      <c r="Z3816" s="107"/>
      <c r="AA3816" s="107"/>
      <c r="AB3816" s="107"/>
      <c r="AC3816" s="355"/>
      <c r="AD3816" s="355"/>
      <c r="AE3816" s="355"/>
      <c r="AF3816" s="94">
        <f t="shared" si="502"/>
        <v>41943</v>
      </c>
      <c r="AG3816" s="185">
        <f t="shared" si="506"/>
        <v>-1.8637571987383028E-2</v>
      </c>
      <c r="AH3816" s="339" t="str">
        <f>VLOOKUP(B3816,'MF PF'!A:B,2)</f>
        <v>FdMgt1</v>
      </c>
      <c r="AI3816" s="358">
        <f t="shared" si="503"/>
        <v>0</v>
      </c>
      <c r="AJ3816" s="94">
        <f t="shared" si="504"/>
        <v>41943</v>
      </c>
    </row>
    <row r="3817" spans="1:36" ht="12.75" customHeight="1">
      <c r="A3817" s="8">
        <v>41971</v>
      </c>
      <c r="B3817" s="94" t="s">
        <v>189</v>
      </c>
      <c r="C3817" s="358" t="s">
        <v>304</v>
      </c>
      <c r="D3817" s="98">
        <v>55339365.846500002</v>
      </c>
      <c r="E3817" s="9">
        <f t="shared" si="505"/>
        <v>6538928.613701175</v>
      </c>
      <c r="F3817" s="98">
        <v>125</v>
      </c>
      <c r="G3817" s="98">
        <v>0</v>
      </c>
      <c r="H3817" s="98">
        <v>0</v>
      </c>
      <c r="I3817" s="98">
        <v>0</v>
      </c>
      <c r="J3817" s="98"/>
      <c r="K3817" s="93">
        <v>8.4630631584731013</v>
      </c>
      <c r="L3817" s="93">
        <f t="shared" si="500"/>
        <v>0</v>
      </c>
      <c r="M3817" s="95">
        <f t="shared" ca="1" si="501"/>
        <v>0</v>
      </c>
      <c r="N3817" s="95">
        <f>IF(P3817="Hedge Fund",IF(A3817=Summary!$AD$3,M3817-E3817,M3817),IF(A3817=Summary!$AD$3,L3817-D3817,L3817))</f>
        <v>0</v>
      </c>
      <c r="O3817" s="95">
        <f t="shared" si="498"/>
        <v>0</v>
      </c>
      <c r="P3817" s="107" t="s">
        <v>155</v>
      </c>
      <c r="Q3817" s="107">
        <v>0</v>
      </c>
      <c r="R3817" s="107">
        <v>0</v>
      </c>
      <c r="S3817" s="107">
        <v>0</v>
      </c>
      <c r="T3817" s="107">
        <v>0</v>
      </c>
      <c r="U3817" s="107"/>
      <c r="V3817" s="107"/>
      <c r="W3817" s="107"/>
      <c r="X3817" s="107"/>
      <c r="Y3817" s="107"/>
      <c r="Z3817" s="107"/>
      <c r="AA3817" s="107"/>
      <c r="AB3817" s="107"/>
      <c r="AC3817" s="355"/>
      <c r="AD3817" s="355"/>
      <c r="AE3817" s="355"/>
      <c r="AF3817" s="94">
        <f t="shared" si="502"/>
        <v>41971</v>
      </c>
      <c r="AG3817" s="185">
        <f t="shared" si="506"/>
        <v>-2.9740743542160497E-2</v>
      </c>
      <c r="AH3817" s="339" t="str">
        <f>VLOOKUP(B3817,'MF PF'!A:B,2)</f>
        <v>FdMgt1</v>
      </c>
      <c r="AI3817" s="358">
        <f t="shared" si="503"/>
        <v>0</v>
      </c>
      <c r="AJ3817" s="94">
        <f t="shared" si="504"/>
        <v>41973</v>
      </c>
    </row>
    <row r="3818" spans="1:36" ht="12.75" customHeight="1">
      <c r="A3818" s="8">
        <v>42004</v>
      </c>
      <c r="B3818" s="94" t="s">
        <v>189</v>
      </c>
      <c r="C3818" s="358" t="s">
        <v>304</v>
      </c>
      <c r="D3818" s="98">
        <v>47432063.873999998</v>
      </c>
      <c r="E3818" s="95">
        <f t="shared" si="505"/>
        <v>5604597.6481354358</v>
      </c>
      <c r="F3818" s="98">
        <v>125</v>
      </c>
      <c r="G3818" s="98">
        <v>0</v>
      </c>
      <c r="H3818" s="98">
        <v>0</v>
      </c>
      <c r="I3818" s="98">
        <v>-7187500</v>
      </c>
      <c r="J3818" s="98"/>
      <c r="K3818" s="93">
        <v>8.4630631584731013</v>
      </c>
      <c r="L3818" s="93">
        <f t="shared" si="500"/>
        <v>-7187500</v>
      </c>
      <c r="M3818" s="95">
        <f t="shared" ca="1" si="501"/>
        <v>-849278.78540100157</v>
      </c>
      <c r="N3818" s="95">
        <f>IF(P3818="Hedge Fund",IF(A3818=Summary!$AD$3,M3818-E3818,M3818),IF(A3818=Summary!$AD$3,L3818-D3818,L3818))</f>
        <v>-7187500</v>
      </c>
      <c r="O3818" s="95">
        <f t="shared" si="498"/>
        <v>-7187500</v>
      </c>
      <c r="P3818" s="107" t="s">
        <v>155</v>
      </c>
      <c r="Q3818" s="107">
        <v>0</v>
      </c>
      <c r="R3818" s="107">
        <v>0</v>
      </c>
      <c r="S3818" s="107">
        <v>0</v>
      </c>
      <c r="T3818" s="107">
        <v>0</v>
      </c>
      <c r="U3818" s="107"/>
      <c r="V3818" s="107"/>
      <c r="W3818" s="107"/>
      <c r="X3818" s="107"/>
      <c r="Y3818" s="107"/>
      <c r="Z3818" s="107"/>
      <c r="AA3818" s="107"/>
      <c r="AB3818" s="107"/>
      <c r="AC3818" s="355"/>
      <c r="AD3818" s="355"/>
      <c r="AE3818" s="355"/>
      <c r="AF3818" s="94">
        <f t="shared" si="502"/>
        <v>42004</v>
      </c>
      <c r="AG3818" s="185">
        <f t="shared" si="506"/>
        <v>-1.3007051336594411E-2</v>
      </c>
      <c r="AH3818" s="339" t="str">
        <f>VLOOKUP(B3818,'MF PF'!A:B,2)</f>
        <v>FdMgt1</v>
      </c>
      <c r="AI3818" s="358">
        <f t="shared" si="503"/>
        <v>0</v>
      </c>
      <c r="AJ3818" s="94">
        <f t="shared" si="504"/>
        <v>42004</v>
      </c>
    </row>
    <row r="3819" spans="1:36" ht="12.75" customHeight="1">
      <c r="A3819" s="8">
        <v>42034</v>
      </c>
      <c r="B3819" s="94" t="s">
        <v>189</v>
      </c>
      <c r="C3819" s="358" t="s">
        <v>304</v>
      </c>
      <c r="D3819" s="98">
        <v>48075837.681500003</v>
      </c>
      <c r="E3819" s="95">
        <f t="shared" si="505"/>
        <v>5680666.3002824383</v>
      </c>
      <c r="F3819" s="98">
        <v>125</v>
      </c>
      <c r="G3819" s="98">
        <v>0</v>
      </c>
      <c r="H3819" s="98">
        <v>0</v>
      </c>
      <c r="I3819" s="98">
        <v>0</v>
      </c>
      <c r="J3819" s="98"/>
      <c r="K3819" s="93">
        <v>8.4630631584731013</v>
      </c>
      <c r="L3819" s="93">
        <f t="shared" si="500"/>
        <v>0</v>
      </c>
      <c r="M3819" s="95">
        <f t="shared" ca="1" si="501"/>
        <v>0</v>
      </c>
      <c r="N3819" s="95">
        <f>IF(P3819="Hedge Fund",IF(A3819=Summary!$AD$3,M3819-E3819,M3819),IF(A3819=Summary!$AD$3,L3819-D3819,L3819))</f>
        <v>0</v>
      </c>
      <c r="O3819" s="95">
        <f t="shared" si="498"/>
        <v>0</v>
      </c>
      <c r="P3819" s="107" t="s">
        <v>155</v>
      </c>
      <c r="Q3819" s="107">
        <v>0</v>
      </c>
      <c r="R3819" s="107">
        <v>0</v>
      </c>
      <c r="S3819" s="107">
        <v>0</v>
      </c>
      <c r="T3819" s="107">
        <v>0</v>
      </c>
      <c r="U3819" s="107"/>
      <c r="V3819" s="107"/>
      <c r="W3819" s="107"/>
      <c r="X3819" s="107"/>
      <c r="Y3819" s="107"/>
      <c r="Z3819" s="107"/>
      <c r="AA3819" s="107"/>
      <c r="AB3819" s="107"/>
      <c r="AC3819" s="355"/>
      <c r="AD3819" s="355"/>
      <c r="AE3819" s="355"/>
      <c r="AF3819" s="94">
        <f t="shared" si="502"/>
        <v>42034</v>
      </c>
      <c r="AG3819" s="185">
        <f t="shared" si="506"/>
        <v>1.3572544707524115E-2</v>
      </c>
      <c r="AH3819" s="339" t="str">
        <f>VLOOKUP(B3819,'MF PF'!A:B,2)</f>
        <v>FdMgt1</v>
      </c>
      <c r="AI3819" s="358">
        <f t="shared" si="503"/>
        <v>0</v>
      </c>
      <c r="AJ3819" s="94">
        <f t="shared" si="504"/>
        <v>42035</v>
      </c>
    </row>
    <row r="3820" spans="1:36" ht="12.75" customHeight="1">
      <c r="A3820" s="8">
        <v>42062</v>
      </c>
      <c r="B3820" s="94" t="s">
        <v>189</v>
      </c>
      <c r="C3820" s="358" t="s">
        <v>304</v>
      </c>
      <c r="D3820" s="98">
        <v>49024080.205499999</v>
      </c>
      <c r="E3820" s="95">
        <f t="shared" si="505"/>
        <v>5792711.1363239409</v>
      </c>
      <c r="F3820" s="98">
        <v>125</v>
      </c>
      <c r="G3820" s="98">
        <v>0</v>
      </c>
      <c r="H3820" s="98">
        <v>0</v>
      </c>
      <c r="I3820" s="98">
        <v>0</v>
      </c>
      <c r="J3820" s="98"/>
      <c r="K3820" s="93">
        <v>8.4630631584731013</v>
      </c>
      <c r="L3820" s="93">
        <f t="shared" si="500"/>
        <v>0</v>
      </c>
      <c r="M3820" s="95">
        <f t="shared" ca="1" si="501"/>
        <v>0</v>
      </c>
      <c r="N3820" s="95">
        <f>IF(P3820="Hedge Fund",IF(A3820=Summary!$AD$3,M3820-E3820,M3820),IF(A3820=Summary!$AD$3,L3820-D3820,L3820))</f>
        <v>0</v>
      </c>
      <c r="O3820" s="95">
        <f t="shared" si="498"/>
        <v>0</v>
      </c>
      <c r="P3820" s="107" t="s">
        <v>155</v>
      </c>
      <c r="Q3820" s="107">
        <v>0</v>
      </c>
      <c r="R3820" s="107">
        <v>0</v>
      </c>
      <c r="S3820" s="107">
        <v>0</v>
      </c>
      <c r="T3820" s="107">
        <v>0</v>
      </c>
      <c r="U3820" s="107"/>
      <c r="V3820" s="107"/>
      <c r="W3820" s="107"/>
      <c r="X3820" s="107"/>
      <c r="Y3820" s="107"/>
      <c r="Z3820" s="107"/>
      <c r="AA3820" s="107"/>
      <c r="AB3820" s="107"/>
      <c r="AC3820" s="355"/>
      <c r="AD3820" s="355"/>
      <c r="AE3820" s="355"/>
      <c r="AF3820" s="94">
        <f t="shared" si="502"/>
        <v>42062</v>
      </c>
      <c r="AG3820" s="185">
        <f t="shared" si="506"/>
        <v>1.9723889790169702E-2</v>
      </c>
      <c r="AH3820" s="339" t="str">
        <f>VLOOKUP(B3820,'MF PF'!A:B,2)</f>
        <v>FdMgt1</v>
      </c>
      <c r="AI3820" s="358">
        <f t="shared" si="503"/>
        <v>0</v>
      </c>
      <c r="AJ3820" s="94">
        <f t="shared" si="504"/>
        <v>42063</v>
      </c>
    </row>
    <row r="3821" spans="1:36" ht="12.75" customHeight="1">
      <c r="A3821" s="8">
        <v>42094</v>
      </c>
      <c r="B3821" s="94" t="s">
        <v>189</v>
      </c>
      <c r="C3821" s="358" t="s">
        <v>304</v>
      </c>
      <c r="D3821" s="98">
        <v>48683406.614500001</v>
      </c>
      <c r="E3821" s="95">
        <f t="shared" ref="E3821:E3852" si="507">D3821/K3821</f>
        <v>5752456.965390699</v>
      </c>
      <c r="F3821" s="98">
        <v>125</v>
      </c>
      <c r="G3821" s="98">
        <v>0</v>
      </c>
      <c r="H3821" s="98">
        <v>0</v>
      </c>
      <c r="I3821" s="98">
        <v>0</v>
      </c>
      <c r="J3821" s="98"/>
      <c r="K3821" s="93">
        <v>8.4630631584731013</v>
      </c>
      <c r="L3821" s="93">
        <f t="shared" si="500"/>
        <v>0</v>
      </c>
      <c r="M3821" s="95">
        <f t="shared" ca="1" si="501"/>
        <v>0</v>
      </c>
      <c r="N3821" s="95">
        <f>IF(P3821="Hedge Fund",IF(A3821=Summary!$AD$3,M3821-E3821,M3821),IF(A3821=Summary!$AD$3,L3821-D3821,L3821))</f>
        <v>0</v>
      </c>
      <c r="O3821" s="95">
        <f t="shared" si="498"/>
        <v>0</v>
      </c>
      <c r="P3821" s="107" t="s">
        <v>155</v>
      </c>
      <c r="Q3821" s="107">
        <v>0</v>
      </c>
      <c r="R3821" s="107">
        <v>0</v>
      </c>
      <c r="S3821" s="107">
        <v>0</v>
      </c>
      <c r="T3821" s="107">
        <v>0</v>
      </c>
      <c r="U3821" s="107"/>
      <c r="V3821" s="107"/>
      <c r="W3821" s="107"/>
      <c r="X3821" s="107"/>
      <c r="Y3821" s="107"/>
      <c r="Z3821" s="107"/>
      <c r="AA3821" s="107"/>
      <c r="AB3821" s="107"/>
      <c r="AC3821" s="355"/>
      <c r="AD3821" s="355"/>
      <c r="AE3821" s="355"/>
      <c r="AF3821" s="94">
        <f t="shared" si="502"/>
        <v>42094</v>
      </c>
      <c r="AG3821" s="185">
        <f t="shared" si="506"/>
        <v>-6.949107246315589E-3</v>
      </c>
      <c r="AH3821" s="339" t="str">
        <f>VLOOKUP(B3821,'MF PF'!A:B,2)</f>
        <v>FdMgt1</v>
      </c>
      <c r="AI3821" s="358">
        <f t="shared" si="503"/>
        <v>0</v>
      </c>
      <c r="AJ3821" s="94">
        <f t="shared" si="504"/>
        <v>42094</v>
      </c>
    </row>
    <row r="3822" spans="1:36" ht="12.75" customHeight="1">
      <c r="A3822" s="8">
        <v>42124</v>
      </c>
      <c r="B3822" s="94" t="s">
        <v>189</v>
      </c>
      <c r="C3822" s="358" t="s">
        <v>304</v>
      </c>
      <c r="D3822" s="98">
        <v>45455255.158500001</v>
      </c>
      <c r="E3822" s="95">
        <f t="shared" si="507"/>
        <v>5371016.8891970078</v>
      </c>
      <c r="F3822" s="98">
        <v>125</v>
      </c>
      <c r="G3822" s="98">
        <v>0</v>
      </c>
      <c r="H3822" s="98">
        <v>0</v>
      </c>
      <c r="I3822" s="98">
        <v>-4581250</v>
      </c>
      <c r="J3822" s="98"/>
      <c r="K3822" s="93">
        <v>8.4630631584731013</v>
      </c>
      <c r="L3822" s="93">
        <f t="shared" si="500"/>
        <v>-4581250</v>
      </c>
      <c r="M3822" s="95">
        <f t="shared" ca="1" si="501"/>
        <v>-541322.91278168187</v>
      </c>
      <c r="N3822" s="95">
        <f>IF(P3822="Hedge Fund",IF(A3822=Summary!$AD$3,M3822-E3822,M3822),IF(A3822=Summary!$AD$3,L3822-D3822,L3822))</f>
        <v>-4581250</v>
      </c>
      <c r="O3822" s="95">
        <f t="shared" si="498"/>
        <v>-4581250</v>
      </c>
      <c r="P3822" s="107" t="s">
        <v>155</v>
      </c>
      <c r="Q3822" s="107">
        <v>0</v>
      </c>
      <c r="R3822" s="107">
        <v>0</v>
      </c>
      <c r="S3822" s="107">
        <v>0</v>
      </c>
      <c r="T3822" s="107">
        <v>0</v>
      </c>
      <c r="U3822" s="107"/>
      <c r="V3822" s="107"/>
      <c r="W3822" s="107"/>
      <c r="X3822" s="107"/>
      <c r="Y3822" s="107"/>
      <c r="Z3822" s="107"/>
      <c r="AA3822" s="107"/>
      <c r="AB3822" s="107"/>
      <c r="AC3822" s="355"/>
      <c r="AD3822" s="355"/>
      <c r="AE3822" s="355"/>
      <c r="AF3822" s="94">
        <f t="shared" si="502"/>
        <v>42124</v>
      </c>
      <c r="AG3822" s="185">
        <f t="shared" si="506"/>
        <v>2.7793834451942168E-2</v>
      </c>
      <c r="AH3822" s="339" t="str">
        <f>VLOOKUP(B3822,'MF PF'!A:B,2)</f>
        <v>FdMgt1</v>
      </c>
      <c r="AI3822" s="358">
        <f t="shared" si="503"/>
        <v>0</v>
      </c>
      <c r="AJ3822" s="94">
        <f t="shared" si="504"/>
        <v>42124</v>
      </c>
    </row>
    <row r="3823" spans="1:36" ht="12.75" customHeight="1">
      <c r="A3823" s="8">
        <v>42153</v>
      </c>
      <c r="B3823" s="94" t="s">
        <v>189</v>
      </c>
      <c r="C3823" s="358" t="s">
        <v>304</v>
      </c>
      <c r="D3823" s="98">
        <v>45559086.968000002</v>
      </c>
      <c r="E3823" s="95">
        <f t="shared" si="507"/>
        <v>5383285.7104920549</v>
      </c>
      <c r="F3823" s="98">
        <v>125</v>
      </c>
      <c r="G3823" s="98">
        <v>0</v>
      </c>
      <c r="H3823" s="98">
        <v>0</v>
      </c>
      <c r="I3823" s="98">
        <v>0</v>
      </c>
      <c r="J3823" s="98"/>
      <c r="K3823" s="93">
        <v>8.4630631584731013</v>
      </c>
      <c r="L3823" s="93">
        <f t="shared" si="500"/>
        <v>0</v>
      </c>
      <c r="M3823" s="95">
        <f t="shared" ca="1" si="501"/>
        <v>0</v>
      </c>
      <c r="N3823" s="95">
        <f>IF(P3823="Hedge Fund",IF(A3823=Summary!$AD$3,M3823-E3823,M3823),IF(A3823=Summary!$AD$3,L3823-D3823,L3823))</f>
        <v>0</v>
      </c>
      <c r="O3823" s="95">
        <f t="shared" si="498"/>
        <v>0</v>
      </c>
      <c r="P3823" s="107" t="s">
        <v>155</v>
      </c>
      <c r="Q3823" s="107">
        <v>0</v>
      </c>
      <c r="R3823" s="107">
        <v>0</v>
      </c>
      <c r="S3823" s="107">
        <v>0</v>
      </c>
      <c r="T3823" s="107">
        <v>0</v>
      </c>
      <c r="U3823" s="107"/>
      <c r="V3823" s="107"/>
      <c r="W3823" s="107"/>
      <c r="X3823" s="107"/>
      <c r="Y3823" s="107"/>
      <c r="Z3823" s="107"/>
      <c r="AA3823" s="107"/>
      <c r="AB3823" s="107"/>
      <c r="AC3823" s="355"/>
      <c r="AD3823" s="355"/>
      <c r="AE3823" s="355"/>
      <c r="AF3823" s="94">
        <f t="shared" si="502"/>
        <v>42153</v>
      </c>
      <c r="AG3823" s="185">
        <f t="shared" si="506"/>
        <v>2.2842641436715549E-3</v>
      </c>
      <c r="AH3823" s="339" t="str">
        <f>VLOOKUP(B3823,'MF PF'!A:B,2)</f>
        <v>FdMgt1</v>
      </c>
      <c r="AI3823" s="358">
        <f t="shared" si="503"/>
        <v>0</v>
      </c>
      <c r="AJ3823" s="94">
        <f t="shared" si="504"/>
        <v>42155</v>
      </c>
    </row>
    <row r="3824" spans="1:36" ht="12.75" customHeight="1">
      <c r="A3824" s="8">
        <v>42185</v>
      </c>
      <c r="B3824" s="94" t="s">
        <v>189</v>
      </c>
      <c r="C3824" s="358" t="s">
        <v>304</v>
      </c>
      <c r="D3824" s="98">
        <v>46078338.946000002</v>
      </c>
      <c r="E3824" s="95">
        <f t="shared" si="507"/>
        <v>5444640.7976841116</v>
      </c>
      <c r="F3824" s="98">
        <v>125</v>
      </c>
      <c r="G3824" s="98">
        <v>0</v>
      </c>
      <c r="H3824" s="98">
        <v>0</v>
      </c>
      <c r="I3824" s="98">
        <v>0</v>
      </c>
      <c r="J3824" s="98"/>
      <c r="K3824" s="93">
        <v>8.4630631584731013</v>
      </c>
      <c r="L3824" s="93">
        <f t="shared" si="500"/>
        <v>0</v>
      </c>
      <c r="M3824" s="95">
        <f t="shared" ca="1" si="501"/>
        <v>0</v>
      </c>
      <c r="N3824" s="95">
        <f>IF(P3824="Hedge Fund",IF(A3824=Summary!$AD$3,M3824-E3824,M3824),IF(A3824=Summary!$AD$3,L3824-D3824,L3824))</f>
        <v>0</v>
      </c>
      <c r="O3824" s="95">
        <f t="shared" si="498"/>
        <v>0</v>
      </c>
      <c r="P3824" s="107" t="s">
        <v>155</v>
      </c>
      <c r="Q3824" s="107">
        <v>0</v>
      </c>
      <c r="R3824" s="107">
        <v>0</v>
      </c>
      <c r="S3824" s="107">
        <v>0</v>
      </c>
      <c r="T3824" s="107">
        <v>0</v>
      </c>
      <c r="U3824" s="107"/>
      <c r="V3824" s="107"/>
      <c r="W3824" s="107"/>
      <c r="X3824" s="107"/>
      <c r="Y3824" s="107"/>
      <c r="Z3824" s="107"/>
      <c r="AA3824" s="107"/>
      <c r="AB3824" s="107"/>
      <c r="AC3824" s="355"/>
      <c r="AD3824" s="355"/>
      <c r="AE3824" s="355"/>
      <c r="AF3824" s="94">
        <f t="shared" si="502"/>
        <v>42185</v>
      </c>
      <c r="AG3824" s="185">
        <f t="shared" si="506"/>
        <v>1.1397330643713621E-2</v>
      </c>
      <c r="AH3824" s="339" t="str">
        <f>VLOOKUP(B3824,'MF PF'!A:B,2)</f>
        <v>FdMgt1</v>
      </c>
      <c r="AI3824" s="358">
        <f t="shared" si="503"/>
        <v>0</v>
      </c>
      <c r="AJ3824" s="94">
        <f t="shared" si="504"/>
        <v>42185</v>
      </c>
    </row>
    <row r="3825" spans="1:36" ht="12.75" customHeight="1">
      <c r="A3825" s="8">
        <v>42216</v>
      </c>
      <c r="B3825" s="94" t="s">
        <v>189</v>
      </c>
      <c r="C3825" s="358" t="s">
        <v>304</v>
      </c>
      <c r="D3825" s="98">
        <v>39977600.859499998</v>
      </c>
      <c r="E3825" s="9">
        <f t="shared" si="507"/>
        <v>4723774.3723411756</v>
      </c>
      <c r="F3825" s="98">
        <v>125</v>
      </c>
      <c r="G3825" s="98">
        <v>0</v>
      </c>
      <c r="H3825" s="98">
        <v>0</v>
      </c>
      <c r="I3825" s="98">
        <v>-4841250</v>
      </c>
      <c r="J3825" s="98"/>
      <c r="K3825" s="93">
        <v>8.4630631584731013</v>
      </c>
      <c r="L3825" s="93">
        <f t="shared" si="500"/>
        <v>-4841250</v>
      </c>
      <c r="M3825" s="95">
        <f t="shared" ca="1" si="501"/>
        <v>-572044.64971444861</v>
      </c>
      <c r="N3825" s="95">
        <f>IF(P3825="Hedge Fund",IF(A3825=Summary!$AD$3,M3825-E3825,M3825),IF(A3825=Summary!$AD$3,L3825-D3825,L3825))</f>
        <v>-4841250</v>
      </c>
      <c r="O3825" s="95">
        <f t="shared" si="498"/>
        <v>-4841250</v>
      </c>
      <c r="P3825" s="107" t="s">
        <v>155</v>
      </c>
      <c r="Q3825" s="107">
        <v>0</v>
      </c>
      <c r="R3825" s="107">
        <v>0</v>
      </c>
      <c r="S3825" s="107">
        <v>0</v>
      </c>
      <c r="T3825" s="107">
        <v>0</v>
      </c>
      <c r="U3825" s="107"/>
      <c r="V3825" s="107"/>
      <c r="W3825" s="107"/>
      <c r="X3825" s="107"/>
      <c r="Y3825" s="107"/>
      <c r="Z3825" s="107"/>
      <c r="AA3825" s="107"/>
      <c r="AB3825" s="107"/>
      <c r="AC3825" s="355"/>
      <c r="AD3825" s="355"/>
      <c r="AE3825" s="355"/>
      <c r="AF3825" s="94">
        <f t="shared" si="502"/>
        <v>42216</v>
      </c>
      <c r="AG3825" s="185">
        <f t="shared" si="506"/>
        <v>-2.7333626066165739E-2</v>
      </c>
      <c r="AH3825" s="339" t="str">
        <f>VLOOKUP(B3825,'MF PF'!A:B,2)</f>
        <v>FdMgt1</v>
      </c>
      <c r="AI3825" s="358">
        <f t="shared" si="503"/>
        <v>0</v>
      </c>
      <c r="AJ3825" s="94">
        <f t="shared" si="504"/>
        <v>42216</v>
      </c>
    </row>
    <row r="3826" spans="1:36" ht="12.75" customHeight="1">
      <c r="A3826" s="8">
        <v>42247</v>
      </c>
      <c r="B3826" s="94" t="s">
        <v>189</v>
      </c>
      <c r="C3826" s="358" t="s">
        <v>304</v>
      </c>
      <c r="D3826" s="98">
        <v>38908789.685999997</v>
      </c>
      <c r="E3826" s="9">
        <f t="shared" si="507"/>
        <v>4597483.0811755266</v>
      </c>
      <c r="F3826" s="98">
        <v>125</v>
      </c>
      <c r="G3826" s="98">
        <v>0</v>
      </c>
      <c r="H3826" s="98">
        <v>0</v>
      </c>
      <c r="I3826" s="98">
        <v>0</v>
      </c>
      <c r="J3826" s="98"/>
      <c r="K3826" s="93">
        <v>8.4630631584731013</v>
      </c>
      <c r="L3826" s="93">
        <f t="shared" si="500"/>
        <v>0</v>
      </c>
      <c r="M3826" s="95">
        <f t="shared" ca="1" si="501"/>
        <v>0</v>
      </c>
      <c r="N3826" s="95">
        <f>IF(P3826="Hedge Fund",IF(A3826=Summary!$AD$3,M3826-E3826,M3826),IF(A3826=Summary!$AD$3,L3826-D3826,L3826))</f>
        <v>0</v>
      </c>
      <c r="O3826" s="95">
        <f t="shared" si="498"/>
        <v>0</v>
      </c>
      <c r="P3826" s="107" t="s">
        <v>155</v>
      </c>
      <c r="Q3826" s="107">
        <v>0</v>
      </c>
      <c r="R3826" s="107">
        <v>0</v>
      </c>
      <c r="S3826" s="107">
        <v>0</v>
      </c>
      <c r="T3826" s="107">
        <v>0</v>
      </c>
      <c r="U3826" s="107"/>
      <c r="V3826" s="107"/>
      <c r="W3826" s="107"/>
      <c r="X3826" s="107"/>
      <c r="Y3826" s="107"/>
      <c r="Z3826" s="107"/>
      <c r="AA3826" s="107"/>
      <c r="AB3826" s="107"/>
      <c r="AC3826" s="355"/>
      <c r="AD3826" s="355"/>
      <c r="AE3826" s="355"/>
      <c r="AF3826" s="94">
        <f t="shared" si="502"/>
        <v>42247</v>
      </c>
      <c r="AG3826" s="185">
        <f t="shared" si="506"/>
        <v>-2.6735250503308161E-2</v>
      </c>
      <c r="AH3826" s="339" t="str">
        <f>VLOOKUP(B3826,'MF PF'!A:B,2)</f>
        <v>FdMgt1</v>
      </c>
      <c r="AI3826" s="358">
        <f t="shared" si="503"/>
        <v>0</v>
      </c>
      <c r="AJ3826" s="94">
        <f t="shared" si="504"/>
        <v>42247</v>
      </c>
    </row>
    <row r="3827" spans="1:36" ht="12.75" customHeight="1">
      <c r="A3827" s="8">
        <v>42277</v>
      </c>
      <c r="B3827" s="94" t="s">
        <v>189</v>
      </c>
      <c r="C3827" s="358" t="s">
        <v>304</v>
      </c>
      <c r="D3827" s="98">
        <v>36942954.142999999</v>
      </c>
      <c r="E3827" s="95">
        <f t="shared" si="507"/>
        <v>4365198.9180788789</v>
      </c>
      <c r="F3827" s="98">
        <v>125</v>
      </c>
      <c r="G3827" s="98">
        <v>0</v>
      </c>
      <c r="H3827" s="98">
        <v>0</v>
      </c>
      <c r="I3827" s="98">
        <v>-1343250</v>
      </c>
      <c r="J3827" s="98"/>
      <c r="K3827" s="93">
        <v>8.4630631584731013</v>
      </c>
      <c r="L3827" s="93">
        <f t="shared" si="500"/>
        <v>-1343250</v>
      </c>
      <c r="M3827" s="95">
        <f t="shared" ca="1" si="501"/>
        <v>-158719.12744207241</v>
      </c>
      <c r="N3827" s="95">
        <f>IF(P3827="Hedge Fund",IF(A3827=Summary!$AD$3,M3827-E3827,M3827),IF(A3827=Summary!$AD$3,L3827-D3827,L3827))</f>
        <v>-1343250</v>
      </c>
      <c r="O3827" s="95">
        <f t="shared" si="498"/>
        <v>-1343250</v>
      </c>
      <c r="P3827" s="107" t="s">
        <v>155</v>
      </c>
      <c r="Q3827" s="107">
        <v>0</v>
      </c>
      <c r="R3827" s="107">
        <v>0</v>
      </c>
      <c r="S3827" s="107">
        <v>0</v>
      </c>
      <c r="T3827" s="107">
        <v>0</v>
      </c>
      <c r="U3827" s="107"/>
      <c r="V3827" s="107"/>
      <c r="W3827" s="107"/>
      <c r="X3827" s="107"/>
      <c r="Y3827" s="107"/>
      <c r="Z3827" s="107"/>
      <c r="AA3827" s="107"/>
      <c r="AB3827" s="107"/>
      <c r="AC3827" s="355"/>
      <c r="AD3827" s="355"/>
      <c r="AE3827" s="355"/>
      <c r="AF3827" s="94">
        <f t="shared" si="502"/>
        <v>42277</v>
      </c>
      <c r="AG3827" s="185">
        <f t="shared" si="506"/>
        <v>-1.6001154187122224E-2</v>
      </c>
      <c r="AH3827" s="339" t="str">
        <f>VLOOKUP(B3827,'MF PF'!A:B,2)</f>
        <v>FdMgt1</v>
      </c>
      <c r="AI3827" s="358">
        <f t="shared" si="503"/>
        <v>0</v>
      </c>
      <c r="AJ3827" s="94">
        <f t="shared" si="504"/>
        <v>42277</v>
      </c>
    </row>
    <row r="3828" spans="1:36" ht="12.75" customHeight="1">
      <c r="A3828" s="8">
        <v>42307</v>
      </c>
      <c r="B3828" s="94" t="s">
        <v>189</v>
      </c>
      <c r="C3828" s="358" t="s">
        <v>304</v>
      </c>
      <c r="D3828" s="98">
        <v>37491551.648500003</v>
      </c>
      <c r="E3828" s="9">
        <f t="shared" si="507"/>
        <v>4430021.4882555827</v>
      </c>
      <c r="F3828" s="98">
        <v>125</v>
      </c>
      <c r="G3828" s="98">
        <v>0</v>
      </c>
      <c r="H3828" s="98">
        <v>0</v>
      </c>
      <c r="I3828" s="98">
        <v>0</v>
      </c>
      <c r="J3828" s="98"/>
      <c r="K3828" s="93">
        <v>8.4630631584731013</v>
      </c>
      <c r="L3828" s="93">
        <f t="shared" si="500"/>
        <v>0</v>
      </c>
      <c r="M3828" s="95">
        <f t="shared" ca="1" si="501"/>
        <v>0</v>
      </c>
      <c r="N3828" s="95">
        <f>IF(P3828="Hedge Fund",IF(A3828=Summary!$AD$3,M3828-E3828,M3828),IF(A3828=Summary!$AD$3,L3828-D3828,L3828))</f>
        <v>0</v>
      </c>
      <c r="O3828" s="95">
        <f t="shared" si="498"/>
        <v>0</v>
      </c>
      <c r="P3828" s="107" t="s">
        <v>155</v>
      </c>
      <c r="Q3828" s="107">
        <v>0</v>
      </c>
      <c r="R3828" s="107">
        <v>0</v>
      </c>
      <c r="S3828" s="107">
        <v>0</v>
      </c>
      <c r="T3828" s="107">
        <v>0</v>
      </c>
      <c r="U3828" s="107"/>
      <c r="V3828" s="107"/>
      <c r="W3828" s="107"/>
      <c r="X3828" s="107"/>
      <c r="Y3828" s="107"/>
      <c r="Z3828" s="107"/>
      <c r="AA3828" s="107"/>
      <c r="AB3828" s="107"/>
      <c r="AC3828" s="355"/>
      <c r="AD3828" s="355"/>
      <c r="AE3828" s="355"/>
      <c r="AF3828" s="94">
        <f t="shared" si="502"/>
        <v>42307</v>
      </c>
      <c r="AG3828" s="185">
        <f t="shared" si="506"/>
        <v>1.4849854816062491E-2</v>
      </c>
      <c r="AH3828" s="339" t="str">
        <f>VLOOKUP(B3828,'MF PF'!A:B,2)</f>
        <v>FdMgt1</v>
      </c>
      <c r="AI3828" s="358">
        <f t="shared" si="503"/>
        <v>0</v>
      </c>
      <c r="AJ3828" s="94">
        <f t="shared" si="504"/>
        <v>42308</v>
      </c>
    </row>
    <row r="3829" spans="1:36" ht="12.75" customHeight="1">
      <c r="A3829" s="8">
        <v>42338</v>
      </c>
      <c r="B3829" s="94" t="s">
        <v>189</v>
      </c>
      <c r="C3829" s="358" t="s">
        <v>304</v>
      </c>
      <c r="D3829" s="98">
        <v>36981524.983999997</v>
      </c>
      <c r="E3829" s="9">
        <f t="shared" si="507"/>
        <v>4369756.4689653302</v>
      </c>
      <c r="F3829" s="98">
        <v>125</v>
      </c>
      <c r="G3829" s="98">
        <v>0</v>
      </c>
      <c r="H3829" s="98">
        <v>0</v>
      </c>
      <c r="I3829" s="98">
        <v>0</v>
      </c>
      <c r="J3829" s="98"/>
      <c r="K3829" s="93">
        <v>8.4630631584731013</v>
      </c>
      <c r="L3829" s="93">
        <f t="shared" si="500"/>
        <v>0</v>
      </c>
      <c r="M3829" s="95">
        <f t="shared" ca="1" si="501"/>
        <v>0</v>
      </c>
      <c r="N3829" s="95">
        <f>IF(P3829="Hedge Fund",IF(A3829=Summary!$AD$3,M3829-E3829,M3829),IF(A3829=Summary!$AD$3,L3829-D3829,L3829))</f>
        <v>0</v>
      </c>
      <c r="O3829" s="95">
        <f t="shared" si="498"/>
        <v>0</v>
      </c>
      <c r="P3829" s="107" t="s">
        <v>155</v>
      </c>
      <c r="Q3829" s="107">
        <v>0</v>
      </c>
      <c r="R3829" s="107">
        <v>0</v>
      </c>
      <c r="S3829" s="107">
        <v>0</v>
      </c>
      <c r="T3829" s="107">
        <v>0</v>
      </c>
      <c r="U3829" s="107"/>
      <c r="V3829" s="107"/>
      <c r="W3829" s="107"/>
      <c r="X3829" s="107"/>
      <c r="Y3829" s="107"/>
      <c r="Z3829" s="107"/>
      <c r="AA3829" s="107"/>
      <c r="AB3829" s="107"/>
      <c r="AC3829" s="355"/>
      <c r="AD3829" s="355"/>
      <c r="AE3829" s="355"/>
      <c r="AF3829" s="94">
        <f t="shared" si="502"/>
        <v>42338</v>
      </c>
      <c r="AG3829" s="185">
        <f t="shared" si="506"/>
        <v>-1.3603775839467369E-2</v>
      </c>
      <c r="AH3829" s="339" t="str">
        <f>VLOOKUP(B3829,'MF PF'!A:B,2)</f>
        <v>FdMgt1</v>
      </c>
      <c r="AI3829" s="358">
        <f t="shared" si="503"/>
        <v>0</v>
      </c>
      <c r="AJ3829" s="94">
        <f t="shared" si="504"/>
        <v>42338</v>
      </c>
    </row>
    <row r="3830" spans="1:36" ht="12.75" customHeight="1">
      <c r="A3830" s="8">
        <v>42369</v>
      </c>
      <c r="B3830" s="94" t="s">
        <v>189</v>
      </c>
      <c r="C3830" s="358" t="s">
        <v>304</v>
      </c>
      <c r="D3830" s="98">
        <v>27250049.944499999</v>
      </c>
      <c r="E3830" s="9">
        <f t="shared" si="507"/>
        <v>3219880.2530756998</v>
      </c>
      <c r="F3830" s="98">
        <v>125</v>
      </c>
      <c r="G3830" s="98">
        <v>0</v>
      </c>
      <c r="H3830" s="98">
        <v>0</v>
      </c>
      <c r="I3830" s="98">
        <v>-6875000</v>
      </c>
      <c r="J3830" s="98"/>
      <c r="K3830" s="93">
        <v>8.4630631584731013</v>
      </c>
      <c r="L3830" s="93">
        <f t="shared" si="500"/>
        <v>-6875000</v>
      </c>
      <c r="M3830" s="95">
        <f t="shared" ca="1" si="501"/>
        <v>-812353.62081834942</v>
      </c>
      <c r="N3830" s="95">
        <f>IF(P3830="Hedge Fund",IF(A3830=Summary!$AD$3,M3830-E3830,M3830),IF(A3830=Summary!$AD$3,L3830-D3830,L3830))</f>
        <v>-6875000</v>
      </c>
      <c r="O3830" s="95">
        <f t="shared" si="498"/>
        <v>-6875000</v>
      </c>
      <c r="P3830" s="107" t="s">
        <v>155</v>
      </c>
      <c r="Q3830" s="107">
        <v>0</v>
      </c>
      <c r="R3830" s="107">
        <v>0</v>
      </c>
      <c r="S3830" s="107">
        <v>0</v>
      </c>
      <c r="T3830" s="107">
        <v>0</v>
      </c>
      <c r="U3830" s="107"/>
      <c r="V3830" s="107"/>
      <c r="W3830" s="107"/>
      <c r="X3830" s="107"/>
      <c r="Y3830" s="107"/>
      <c r="Z3830" s="107"/>
      <c r="AA3830" s="107"/>
      <c r="AB3830" s="107"/>
      <c r="AC3830" s="355"/>
      <c r="AD3830" s="355"/>
      <c r="AE3830" s="355"/>
      <c r="AF3830" s="94">
        <f t="shared" si="502"/>
        <v>42369</v>
      </c>
      <c r="AG3830" s="185">
        <f t="shared" si="506"/>
        <v>-7.724059623652213E-2</v>
      </c>
      <c r="AH3830" s="339" t="str">
        <f>VLOOKUP(B3830,'MF PF'!A:B,2)</f>
        <v>FdMgt1</v>
      </c>
      <c r="AI3830" s="358">
        <f t="shared" si="503"/>
        <v>0</v>
      </c>
      <c r="AJ3830" s="94">
        <f t="shared" si="504"/>
        <v>42369</v>
      </c>
    </row>
    <row r="3831" spans="1:36" ht="12.75" customHeight="1">
      <c r="A3831" s="8">
        <v>42398</v>
      </c>
      <c r="B3831" s="94" t="s">
        <v>189</v>
      </c>
      <c r="C3831" s="358" t="s">
        <v>304</v>
      </c>
      <c r="D3831" s="98">
        <v>26520602.316500001</v>
      </c>
      <c r="E3831" s="9">
        <f t="shared" si="507"/>
        <v>3133688.3371770587</v>
      </c>
      <c r="F3831" s="98">
        <v>125</v>
      </c>
      <c r="G3831" s="98">
        <v>0</v>
      </c>
      <c r="H3831" s="98">
        <v>0</v>
      </c>
      <c r="I3831" s="98">
        <v>0</v>
      </c>
      <c r="J3831" s="98"/>
      <c r="K3831" s="93">
        <v>8.4630631584731013</v>
      </c>
      <c r="L3831" s="93">
        <f t="shared" si="500"/>
        <v>0</v>
      </c>
      <c r="M3831" s="95">
        <f t="shared" ca="1" si="501"/>
        <v>0</v>
      </c>
      <c r="N3831" s="95">
        <f>IF(P3831="Hedge Fund",IF(A3831=Summary!$AD$3,M3831-E3831,M3831),IF(A3831=Summary!$AD$3,L3831-D3831,L3831))</f>
        <v>0</v>
      </c>
      <c r="O3831" s="95">
        <f t="shared" si="498"/>
        <v>0</v>
      </c>
      <c r="P3831" s="107" t="s">
        <v>155</v>
      </c>
      <c r="Q3831" s="107">
        <v>0</v>
      </c>
      <c r="R3831" s="107">
        <v>0</v>
      </c>
      <c r="S3831" s="107">
        <v>0</v>
      </c>
      <c r="T3831" s="107">
        <v>0</v>
      </c>
      <c r="U3831" s="107"/>
      <c r="V3831" s="107"/>
      <c r="W3831" s="107"/>
      <c r="X3831" s="107"/>
      <c r="Y3831" s="107"/>
      <c r="Z3831" s="107"/>
      <c r="AA3831" s="107"/>
      <c r="AB3831" s="107"/>
      <c r="AC3831" s="355"/>
      <c r="AD3831" s="355"/>
      <c r="AE3831" s="355"/>
      <c r="AF3831" s="94">
        <f t="shared" si="502"/>
        <v>42398</v>
      </c>
      <c r="AG3831" s="185">
        <f t="shared" si="506"/>
        <v>-2.6768671231269692E-2</v>
      </c>
      <c r="AH3831" s="339" t="str">
        <f>VLOOKUP(B3831,'MF PF'!A:B,2)</f>
        <v>FdMgt1</v>
      </c>
      <c r="AI3831" s="358">
        <f t="shared" si="503"/>
        <v>0</v>
      </c>
      <c r="AJ3831" s="94">
        <f t="shared" si="504"/>
        <v>42400</v>
      </c>
    </row>
    <row r="3832" spans="1:36" ht="12.75" customHeight="1">
      <c r="A3832" s="8">
        <v>42429</v>
      </c>
      <c r="B3832" s="94" t="s">
        <v>189</v>
      </c>
      <c r="C3832" s="358" t="s">
        <v>304</v>
      </c>
      <c r="D3832" s="98">
        <v>26933974.889400002</v>
      </c>
      <c r="E3832" s="9">
        <f t="shared" si="507"/>
        <v>3182532.6580995773</v>
      </c>
      <c r="F3832" s="98">
        <v>125</v>
      </c>
      <c r="G3832" s="98">
        <v>0</v>
      </c>
      <c r="H3832" s="98">
        <v>0</v>
      </c>
      <c r="I3832" s="98">
        <v>0</v>
      </c>
      <c r="J3832" s="98"/>
      <c r="K3832" s="93">
        <v>8.4630631584731013</v>
      </c>
      <c r="L3832" s="93">
        <f t="shared" si="500"/>
        <v>0</v>
      </c>
      <c r="M3832" s="95">
        <f t="shared" ca="1" si="501"/>
        <v>0</v>
      </c>
      <c r="N3832" s="95">
        <f>IF(P3832="Hedge Fund",IF(A3832=Summary!$AD$3,M3832-E3832,M3832),IF(A3832=Summary!$AD$3,L3832-D3832,L3832))</f>
        <v>0</v>
      </c>
      <c r="O3832" s="95">
        <f t="shared" si="498"/>
        <v>0</v>
      </c>
      <c r="P3832" s="107" t="s">
        <v>155</v>
      </c>
      <c r="Q3832" s="107">
        <v>0</v>
      </c>
      <c r="R3832" s="107">
        <v>0</v>
      </c>
      <c r="S3832" s="107">
        <v>0</v>
      </c>
      <c r="T3832" s="107">
        <v>0</v>
      </c>
      <c r="U3832" s="107"/>
      <c r="V3832" s="107"/>
      <c r="W3832" s="107"/>
      <c r="X3832" s="107"/>
      <c r="Y3832" s="107"/>
      <c r="Z3832" s="107"/>
      <c r="AA3832" s="107"/>
      <c r="AB3832" s="107"/>
      <c r="AC3832" s="355"/>
      <c r="AD3832" s="355"/>
      <c r="AE3832" s="355"/>
      <c r="AF3832" s="94">
        <f t="shared" si="502"/>
        <v>42429</v>
      </c>
      <c r="AG3832" s="185">
        <f t="shared" si="506"/>
        <v>1.5586847084646305E-2</v>
      </c>
      <c r="AH3832" s="339" t="str">
        <f>VLOOKUP(B3832,'MF PF'!A:B,2)</f>
        <v>FdMgt1</v>
      </c>
      <c r="AI3832" s="358">
        <f t="shared" si="503"/>
        <v>0</v>
      </c>
      <c r="AJ3832" s="94">
        <f t="shared" si="504"/>
        <v>42429</v>
      </c>
    </row>
    <row r="3833" spans="1:36" ht="12.75" customHeight="1">
      <c r="A3833" s="8">
        <v>42460</v>
      </c>
      <c r="B3833" s="94" t="s">
        <v>189</v>
      </c>
      <c r="C3833" s="358" t="s">
        <v>304</v>
      </c>
      <c r="D3833" s="98">
        <v>27733729.631299999</v>
      </c>
      <c r="E3833" s="9">
        <f t="shared" si="507"/>
        <v>3277032.0996049019</v>
      </c>
      <c r="F3833" s="98">
        <v>125</v>
      </c>
      <c r="G3833" s="98">
        <v>0</v>
      </c>
      <c r="H3833" s="98">
        <v>0</v>
      </c>
      <c r="I3833" s="98">
        <v>0</v>
      </c>
      <c r="J3833" s="98"/>
      <c r="K3833" s="93">
        <v>8.4630631584731013</v>
      </c>
      <c r="L3833" s="93">
        <f t="shared" si="500"/>
        <v>0</v>
      </c>
      <c r="M3833" s="95">
        <f t="shared" ca="1" si="501"/>
        <v>0</v>
      </c>
      <c r="N3833" s="95">
        <f>IF(P3833="Hedge Fund",IF(A3833=Summary!$AD$3,M3833-E3833,M3833),IF(A3833=Summary!$AD$3,L3833-D3833,L3833))</f>
        <v>0</v>
      </c>
      <c r="O3833" s="95">
        <f t="shared" si="498"/>
        <v>0</v>
      </c>
      <c r="P3833" s="107" t="s">
        <v>155</v>
      </c>
      <c r="Q3833" s="107">
        <v>0</v>
      </c>
      <c r="R3833" s="107">
        <v>0</v>
      </c>
      <c r="S3833" s="107">
        <v>0</v>
      </c>
      <c r="T3833" s="107">
        <v>0</v>
      </c>
      <c r="U3833" s="107"/>
      <c r="V3833" s="107"/>
      <c r="W3833" s="107"/>
      <c r="X3833" s="107"/>
      <c r="Y3833" s="107"/>
      <c r="Z3833" s="107"/>
      <c r="AA3833" s="107"/>
      <c r="AB3833" s="107"/>
      <c r="AC3833" s="355"/>
      <c r="AD3833" s="355"/>
      <c r="AE3833" s="355"/>
      <c r="AF3833" s="94">
        <f t="shared" si="502"/>
        <v>42460</v>
      </c>
      <c r="AG3833" s="185">
        <f t="shared" si="506"/>
        <v>2.9693156883974892E-2</v>
      </c>
      <c r="AH3833" s="339" t="str">
        <f>VLOOKUP(B3833,'MF PF'!A:B,2)</f>
        <v>FdMgt1</v>
      </c>
      <c r="AI3833" s="358">
        <f t="shared" si="503"/>
        <v>0</v>
      </c>
      <c r="AJ3833" s="94">
        <f t="shared" si="504"/>
        <v>42460</v>
      </c>
    </row>
    <row r="3834" spans="1:36" ht="12.75" customHeight="1">
      <c r="A3834" s="8">
        <v>42489</v>
      </c>
      <c r="B3834" s="94" t="s">
        <v>189</v>
      </c>
      <c r="C3834" s="358" t="s">
        <v>304</v>
      </c>
      <c r="D3834" s="98">
        <v>28227498.960299999</v>
      </c>
      <c r="E3834" s="9">
        <f t="shared" si="507"/>
        <v>3335376.1435703123</v>
      </c>
      <c r="F3834" s="98">
        <v>125</v>
      </c>
      <c r="G3834" s="98">
        <v>0</v>
      </c>
      <c r="H3834" s="98">
        <v>0</v>
      </c>
      <c r="I3834" s="98">
        <v>0</v>
      </c>
      <c r="J3834" s="98"/>
      <c r="K3834" s="93">
        <v>8.4630631584731013</v>
      </c>
      <c r="L3834" s="93">
        <f t="shared" si="500"/>
        <v>0</v>
      </c>
      <c r="M3834" s="95">
        <f t="shared" ca="1" si="501"/>
        <v>0</v>
      </c>
      <c r="N3834" s="95">
        <f>IF(P3834="Hedge Fund",IF(A3834=Summary!$AD$3,M3834-E3834,M3834),IF(A3834=Summary!$AD$3,L3834-D3834,L3834))</f>
        <v>0</v>
      </c>
      <c r="O3834" s="95">
        <f t="shared" si="498"/>
        <v>0</v>
      </c>
      <c r="P3834" s="107" t="s">
        <v>155</v>
      </c>
      <c r="Q3834" s="107">
        <v>0</v>
      </c>
      <c r="R3834" s="107">
        <v>0</v>
      </c>
      <c r="S3834" s="107">
        <v>0</v>
      </c>
      <c r="T3834" s="107">
        <v>0</v>
      </c>
      <c r="U3834" s="107"/>
      <c r="V3834" s="107"/>
      <c r="W3834" s="107"/>
      <c r="X3834" s="107"/>
      <c r="Y3834" s="107"/>
      <c r="Z3834" s="107"/>
      <c r="AA3834" s="107"/>
      <c r="AB3834" s="107"/>
      <c r="AC3834" s="355"/>
      <c r="AD3834" s="355"/>
      <c r="AE3834" s="355"/>
      <c r="AF3834" s="94">
        <f t="shared" si="502"/>
        <v>42489</v>
      </c>
      <c r="AG3834" s="185">
        <f t="shared" si="506"/>
        <v>1.7803928125221802E-2</v>
      </c>
      <c r="AH3834" s="339" t="str">
        <f>VLOOKUP(B3834,'MF PF'!A:B,2)</f>
        <v>FdMgt1</v>
      </c>
      <c r="AI3834" s="358">
        <f t="shared" si="503"/>
        <v>0</v>
      </c>
      <c r="AJ3834" s="94">
        <f t="shared" si="504"/>
        <v>42490</v>
      </c>
    </row>
    <row r="3835" spans="1:36" ht="12.75" customHeight="1">
      <c r="A3835" s="8">
        <v>42521</v>
      </c>
      <c r="B3835" s="94" t="s">
        <v>189</v>
      </c>
      <c r="C3835" s="358" t="s">
        <v>304</v>
      </c>
      <c r="D3835" s="98">
        <v>28052239.994199999</v>
      </c>
      <c r="E3835" s="9">
        <f t="shared" si="507"/>
        <v>3314667.4518332626</v>
      </c>
      <c r="F3835" s="98">
        <v>125</v>
      </c>
      <c r="G3835" s="98">
        <v>0</v>
      </c>
      <c r="H3835" s="98">
        <v>0</v>
      </c>
      <c r="I3835" s="98">
        <v>0</v>
      </c>
      <c r="J3835" s="98"/>
      <c r="K3835" s="93">
        <v>8.4630631584731013</v>
      </c>
      <c r="L3835" s="93">
        <f t="shared" si="500"/>
        <v>0</v>
      </c>
      <c r="M3835" s="95">
        <f t="shared" ca="1" si="501"/>
        <v>0</v>
      </c>
      <c r="N3835" s="95">
        <f>IF(P3835="Hedge Fund",IF(A3835=Summary!$AD$3,M3835-E3835,M3835),IF(A3835=Summary!$AD$3,L3835-D3835,L3835))</f>
        <v>0</v>
      </c>
      <c r="O3835" s="95">
        <f t="shared" si="498"/>
        <v>0</v>
      </c>
      <c r="P3835" s="107" t="s">
        <v>155</v>
      </c>
      <c r="Q3835" s="107">
        <v>0</v>
      </c>
      <c r="R3835" s="107">
        <v>0</v>
      </c>
      <c r="S3835" s="107">
        <v>0</v>
      </c>
      <c r="T3835" s="107">
        <v>0</v>
      </c>
      <c r="U3835" s="107"/>
      <c r="V3835" s="107"/>
      <c r="W3835" s="107"/>
      <c r="X3835" s="107"/>
      <c r="Y3835" s="107"/>
      <c r="Z3835" s="107"/>
      <c r="AA3835" s="107"/>
      <c r="AB3835" s="107"/>
      <c r="AC3835" s="355"/>
      <c r="AD3835" s="355"/>
      <c r="AE3835" s="355"/>
      <c r="AF3835" s="94">
        <f t="shared" si="502"/>
        <v>42521</v>
      </c>
      <c r="AG3835" s="185">
        <f t="shared" si="506"/>
        <v>-6.2088024995232693E-3</v>
      </c>
      <c r="AH3835" s="339" t="str">
        <f>VLOOKUP(B3835,'MF PF'!A:B,2)</f>
        <v>FdMgt1</v>
      </c>
      <c r="AI3835" s="358">
        <f t="shared" si="503"/>
        <v>0</v>
      </c>
      <c r="AJ3835" s="94">
        <f t="shared" si="504"/>
        <v>42521</v>
      </c>
    </row>
    <row r="3836" spans="1:36" ht="12.75" customHeight="1">
      <c r="A3836" s="8">
        <v>42551</v>
      </c>
      <c r="B3836" s="94" t="s">
        <v>189</v>
      </c>
      <c r="C3836" s="358" t="s">
        <v>304</v>
      </c>
      <c r="D3836" s="98">
        <v>28180256.575100001</v>
      </c>
      <c r="E3836" s="9">
        <f t="shared" si="507"/>
        <v>3329793.958454194</v>
      </c>
      <c r="F3836" s="98">
        <v>125</v>
      </c>
      <c r="G3836" s="98">
        <v>0</v>
      </c>
      <c r="H3836" s="98">
        <v>0</v>
      </c>
      <c r="I3836" s="98">
        <v>0</v>
      </c>
      <c r="J3836" s="98"/>
      <c r="K3836" s="93">
        <v>8.4630631584731013</v>
      </c>
      <c r="L3836" s="93">
        <f t="shared" si="500"/>
        <v>0</v>
      </c>
      <c r="M3836" s="95">
        <f t="shared" ca="1" si="501"/>
        <v>0</v>
      </c>
      <c r="N3836" s="95">
        <f>IF(P3836="Hedge Fund",IF(A3836=Summary!$AD$3,M3836-E3836,M3836),IF(A3836=Summary!$AD$3,L3836-D3836,L3836))</f>
        <v>0</v>
      </c>
      <c r="O3836" s="95">
        <f t="shared" ref="O3836:O3899" si="508">N3836</f>
        <v>0</v>
      </c>
      <c r="P3836" s="107" t="s">
        <v>155</v>
      </c>
      <c r="Q3836" s="107">
        <v>0</v>
      </c>
      <c r="R3836" s="107">
        <v>0</v>
      </c>
      <c r="S3836" s="107">
        <v>0</v>
      </c>
      <c r="T3836" s="107">
        <v>0</v>
      </c>
      <c r="U3836" s="107"/>
      <c r="V3836" s="107"/>
      <c r="W3836" s="107"/>
      <c r="X3836" s="107"/>
      <c r="Y3836" s="107"/>
      <c r="Z3836" s="107"/>
      <c r="AA3836" s="107"/>
      <c r="AB3836" s="107"/>
      <c r="AC3836" s="355"/>
      <c r="AD3836" s="355"/>
      <c r="AE3836" s="355"/>
      <c r="AF3836" s="94">
        <f t="shared" si="502"/>
        <v>42551</v>
      </c>
      <c r="AG3836" s="185">
        <f t="shared" si="506"/>
        <v>4.5635065480142956E-3</v>
      </c>
      <c r="AH3836" s="339" t="str">
        <f>VLOOKUP(B3836,'MF PF'!A:B,2)</f>
        <v>FdMgt1</v>
      </c>
      <c r="AI3836" s="358">
        <f t="shared" si="503"/>
        <v>0</v>
      </c>
      <c r="AJ3836" s="94">
        <f t="shared" si="504"/>
        <v>42551</v>
      </c>
    </row>
    <row r="3837" spans="1:36" ht="12.75" customHeight="1">
      <c r="A3837" s="8">
        <v>42580</v>
      </c>
      <c r="B3837" s="94" t="s">
        <v>189</v>
      </c>
      <c r="C3837" s="358" t="s">
        <v>304</v>
      </c>
      <c r="D3837" s="98">
        <v>28778298.642499998</v>
      </c>
      <c r="E3837" s="9">
        <f t="shared" si="507"/>
        <v>3400458.9241056964</v>
      </c>
      <c r="F3837" s="98">
        <v>125</v>
      </c>
      <c r="G3837" s="98">
        <v>0</v>
      </c>
      <c r="H3837" s="98">
        <v>0</v>
      </c>
      <c r="I3837" s="98">
        <v>0</v>
      </c>
      <c r="J3837" s="98"/>
      <c r="K3837" s="93">
        <v>8.4630631584731013</v>
      </c>
      <c r="L3837" s="93">
        <f t="shared" si="500"/>
        <v>0</v>
      </c>
      <c r="M3837" s="95">
        <f t="shared" ca="1" si="501"/>
        <v>0</v>
      </c>
      <c r="N3837" s="95">
        <f>IF(P3837="Hedge Fund",IF(A3837=Summary!$AD$3,M3837-E3837,M3837),IF(A3837=Summary!$AD$3,L3837-D3837,L3837))</f>
        <v>0</v>
      </c>
      <c r="O3837" s="95">
        <f t="shared" si="508"/>
        <v>0</v>
      </c>
      <c r="P3837" s="107" t="s">
        <v>155</v>
      </c>
      <c r="Q3837" s="107">
        <v>0</v>
      </c>
      <c r="R3837" s="107">
        <v>0</v>
      </c>
      <c r="S3837" s="107">
        <v>0</v>
      </c>
      <c r="T3837" s="107">
        <v>0</v>
      </c>
      <c r="U3837" s="107"/>
      <c r="V3837" s="107"/>
      <c r="W3837" s="107"/>
      <c r="X3837" s="107"/>
      <c r="Y3837" s="107"/>
      <c r="Z3837" s="107"/>
      <c r="AA3837" s="107"/>
      <c r="AB3837" s="107"/>
      <c r="AC3837" s="355"/>
      <c r="AD3837" s="355"/>
      <c r="AE3837" s="355"/>
      <c r="AF3837" s="94">
        <f t="shared" si="502"/>
        <v>42580</v>
      </c>
      <c r="AG3837" s="185">
        <f t="shared" si="506"/>
        <v>2.1222023504513743E-2</v>
      </c>
      <c r="AH3837" s="339" t="str">
        <f>VLOOKUP(B3837,'MF PF'!A:B,2)</f>
        <v>FdMgt1</v>
      </c>
      <c r="AI3837" s="358">
        <f t="shared" si="503"/>
        <v>0</v>
      </c>
      <c r="AJ3837" s="94">
        <f t="shared" si="504"/>
        <v>42582</v>
      </c>
    </row>
    <row r="3838" spans="1:36" ht="12.75" customHeight="1">
      <c r="A3838" s="8">
        <v>42613</v>
      </c>
      <c r="B3838" s="94" t="s">
        <v>189</v>
      </c>
      <c r="C3838" s="358" t="s">
        <v>304</v>
      </c>
      <c r="D3838" s="98">
        <v>28950560.492899999</v>
      </c>
      <c r="E3838" s="9">
        <f t="shared" si="507"/>
        <v>3420813.4750731597</v>
      </c>
      <c r="F3838" s="98">
        <v>125</v>
      </c>
      <c r="G3838" s="98">
        <v>0</v>
      </c>
      <c r="H3838" s="98">
        <v>0</v>
      </c>
      <c r="I3838" s="98">
        <v>0</v>
      </c>
      <c r="J3838" s="98"/>
      <c r="K3838" s="93">
        <v>8.4630631584731013</v>
      </c>
      <c r="L3838" s="93">
        <f t="shared" si="500"/>
        <v>0</v>
      </c>
      <c r="M3838" s="95">
        <f t="shared" ca="1" si="501"/>
        <v>0</v>
      </c>
      <c r="N3838" s="95">
        <f>IF(P3838="Hedge Fund",IF(A3838=Summary!$AD$3,M3838-E3838,M3838),IF(A3838=Summary!$AD$3,L3838-D3838,L3838))</f>
        <v>0</v>
      </c>
      <c r="O3838" s="95">
        <f t="shared" si="508"/>
        <v>0</v>
      </c>
      <c r="P3838" s="107" t="s">
        <v>155</v>
      </c>
      <c r="Q3838" s="107">
        <v>0</v>
      </c>
      <c r="R3838" s="107">
        <v>0</v>
      </c>
      <c r="S3838" s="107">
        <v>0</v>
      </c>
      <c r="T3838" s="107">
        <v>0</v>
      </c>
      <c r="U3838" s="107"/>
      <c r="V3838" s="107"/>
      <c r="W3838" s="107"/>
      <c r="X3838" s="107"/>
      <c r="Y3838" s="107"/>
      <c r="Z3838" s="107"/>
      <c r="AA3838" s="107"/>
      <c r="AB3838" s="107"/>
      <c r="AC3838" s="355"/>
      <c r="AD3838" s="355"/>
      <c r="AE3838" s="355"/>
      <c r="AF3838" s="94">
        <f t="shared" si="502"/>
        <v>42613</v>
      </c>
      <c r="AG3838" s="185">
        <f t="shared" si="506"/>
        <v>5.9858246847714902E-3</v>
      </c>
      <c r="AH3838" s="339" t="str">
        <f>VLOOKUP(B3838,'MF PF'!A:B,2)</f>
        <v>FdMgt1</v>
      </c>
      <c r="AI3838" s="358">
        <f t="shared" si="503"/>
        <v>0</v>
      </c>
      <c r="AJ3838" s="94">
        <f t="shared" si="504"/>
        <v>42613</v>
      </c>
    </row>
    <row r="3839" spans="1:36" ht="12.75" customHeight="1">
      <c r="A3839" s="8">
        <v>42643</v>
      </c>
      <c r="B3839" s="94" t="s">
        <v>189</v>
      </c>
      <c r="C3839" s="358" t="s">
        <v>304</v>
      </c>
      <c r="D3839" s="98">
        <v>28964242.230799999</v>
      </c>
      <c r="E3839" s="9">
        <f t="shared" si="507"/>
        <v>3422430.1164291091</v>
      </c>
      <c r="F3839" s="98">
        <v>125</v>
      </c>
      <c r="G3839" s="98">
        <v>0</v>
      </c>
      <c r="H3839" s="98">
        <v>0</v>
      </c>
      <c r="I3839" s="98">
        <v>0</v>
      </c>
      <c r="J3839" s="98"/>
      <c r="K3839" s="93">
        <v>8.4630631584731013</v>
      </c>
      <c r="L3839" s="93">
        <f t="shared" si="500"/>
        <v>0</v>
      </c>
      <c r="M3839" s="95">
        <f t="shared" ca="1" si="501"/>
        <v>0</v>
      </c>
      <c r="N3839" s="95">
        <f>IF(P3839="Hedge Fund",IF(A3839=Summary!$AD$3,M3839-E3839,M3839),IF(A3839=Summary!$AD$3,L3839-D3839,L3839))</f>
        <v>0</v>
      </c>
      <c r="O3839" s="95">
        <f t="shared" si="508"/>
        <v>0</v>
      </c>
      <c r="P3839" s="107" t="s">
        <v>155</v>
      </c>
      <c r="Q3839" s="107">
        <v>0</v>
      </c>
      <c r="R3839" s="107">
        <v>0</v>
      </c>
      <c r="S3839" s="107">
        <v>0</v>
      </c>
      <c r="T3839" s="107">
        <v>0</v>
      </c>
      <c r="U3839" s="107"/>
      <c r="V3839" s="107"/>
      <c r="W3839" s="107"/>
      <c r="X3839" s="107"/>
      <c r="Y3839" s="107"/>
      <c r="Z3839" s="107"/>
      <c r="AA3839" s="107"/>
      <c r="AB3839" s="107"/>
      <c r="AC3839" s="355"/>
      <c r="AD3839" s="355"/>
      <c r="AE3839" s="355"/>
      <c r="AF3839" s="94">
        <f t="shared" si="502"/>
        <v>42643</v>
      </c>
      <c r="AG3839" s="185">
        <f t="shared" si="506"/>
        <v>4.7258974151320743E-4</v>
      </c>
      <c r="AH3839" s="339" t="str">
        <f>VLOOKUP(B3839,'MF PF'!A:B,2)</f>
        <v>FdMgt1</v>
      </c>
      <c r="AI3839" s="358">
        <f t="shared" si="503"/>
        <v>0</v>
      </c>
      <c r="AJ3839" s="94">
        <f t="shared" si="504"/>
        <v>42643</v>
      </c>
    </row>
    <row r="3840" spans="1:36" ht="12.75" customHeight="1">
      <c r="A3840" s="8">
        <v>42674</v>
      </c>
      <c r="B3840" s="94" t="s">
        <v>189</v>
      </c>
      <c r="C3840" s="358" t="s">
        <v>304</v>
      </c>
      <c r="D3840" s="98">
        <v>29323314.481199998</v>
      </c>
      <c r="E3840" s="9">
        <f t="shared" si="507"/>
        <v>3464858.2826469755</v>
      </c>
      <c r="F3840" s="98">
        <v>125</v>
      </c>
      <c r="G3840" s="98">
        <v>0</v>
      </c>
      <c r="H3840" s="98">
        <v>0</v>
      </c>
      <c r="I3840" s="98">
        <v>0</v>
      </c>
      <c r="J3840" s="98"/>
      <c r="K3840" s="93">
        <v>8.4630631584731013</v>
      </c>
      <c r="L3840" s="93">
        <f t="shared" si="500"/>
        <v>0</v>
      </c>
      <c r="M3840" s="95">
        <f t="shared" ca="1" si="501"/>
        <v>0</v>
      </c>
      <c r="N3840" s="95">
        <f>IF(P3840="Hedge Fund",IF(A3840=Summary!$AD$3,M3840-E3840,M3840),IF(A3840=Summary!$AD$3,L3840-D3840,L3840))</f>
        <v>0</v>
      </c>
      <c r="O3840" s="95">
        <f t="shared" si="508"/>
        <v>0</v>
      </c>
      <c r="P3840" s="107" t="s">
        <v>155</v>
      </c>
      <c r="Q3840" s="107">
        <v>0</v>
      </c>
      <c r="R3840" s="107">
        <v>0</v>
      </c>
      <c r="S3840" s="107">
        <v>0</v>
      </c>
      <c r="T3840" s="107">
        <v>0</v>
      </c>
      <c r="U3840" s="107"/>
      <c r="V3840" s="107"/>
      <c r="W3840" s="107"/>
      <c r="X3840" s="107"/>
      <c r="Y3840" s="107"/>
      <c r="Z3840" s="107"/>
      <c r="AA3840" s="107"/>
      <c r="AB3840" s="107"/>
      <c r="AC3840" s="355"/>
      <c r="AD3840" s="355"/>
      <c r="AE3840" s="355"/>
      <c r="AF3840" s="94">
        <f t="shared" si="502"/>
        <v>42674</v>
      </c>
      <c r="AG3840" s="185">
        <f t="shared" si="506"/>
        <v>1.2397087675857454E-2</v>
      </c>
      <c r="AH3840" s="339" t="str">
        <f>VLOOKUP(B3840,'MF PF'!A:B,2)</f>
        <v>FdMgt1</v>
      </c>
      <c r="AI3840" s="358">
        <f t="shared" si="503"/>
        <v>0</v>
      </c>
      <c r="AJ3840" s="94">
        <f t="shared" si="504"/>
        <v>42674</v>
      </c>
    </row>
    <row r="3841" spans="1:36" ht="12.75" customHeight="1">
      <c r="A3841" s="8">
        <v>42704</v>
      </c>
      <c r="B3841" s="94" t="s">
        <v>189</v>
      </c>
      <c r="C3841" s="358" t="s">
        <v>304</v>
      </c>
      <c r="D3841" s="98">
        <v>24595750.854699999</v>
      </c>
      <c r="E3841" s="9">
        <f t="shared" si="507"/>
        <v>2906246.8746998627</v>
      </c>
      <c r="F3841" s="98">
        <v>125</v>
      </c>
      <c r="G3841" s="98">
        <v>0</v>
      </c>
      <c r="H3841" s="98">
        <v>0</v>
      </c>
      <c r="I3841" s="98">
        <v>-4809500</v>
      </c>
      <c r="J3841" s="98"/>
      <c r="K3841" s="93">
        <v>8.4630631584731013</v>
      </c>
      <c r="L3841" s="93">
        <f t="shared" ref="L3841:L3904" si="509">G3841+H3841+I3841</f>
        <v>-4809500</v>
      </c>
      <c r="M3841" s="95">
        <f t="shared" ref="M3841:M3904" ca="1" si="510">IF(A3841&gt;INDIRECT("A"&amp;ROW()-1),I3841/K3841,E3841)</f>
        <v>-568293.05299285112</v>
      </c>
      <c r="N3841" s="95">
        <f>IF(P3841="Hedge Fund",IF(A3841=Summary!$AD$3,M3841-E3841,M3841),IF(A3841=Summary!$AD$3,L3841-D3841,L3841))</f>
        <v>-4809500</v>
      </c>
      <c r="O3841" s="95">
        <f t="shared" si="508"/>
        <v>-4809500</v>
      </c>
      <c r="P3841" s="107" t="s">
        <v>155</v>
      </c>
      <c r="Q3841" s="107">
        <v>0</v>
      </c>
      <c r="R3841" s="107">
        <v>0</v>
      </c>
      <c r="S3841" s="107">
        <v>0</v>
      </c>
      <c r="T3841" s="107">
        <v>0</v>
      </c>
      <c r="U3841" s="107"/>
      <c r="V3841" s="107"/>
      <c r="W3841" s="107"/>
      <c r="X3841" s="107"/>
      <c r="Y3841" s="107"/>
      <c r="Z3841" s="107"/>
      <c r="AA3841" s="107"/>
      <c r="AB3841" s="107"/>
      <c r="AC3841" s="355"/>
      <c r="AD3841" s="355"/>
      <c r="AE3841" s="355"/>
      <c r="AF3841" s="94">
        <f t="shared" ref="AF3841:AF3904" si="511">A3841</f>
        <v>42704</v>
      </c>
      <c r="AG3841" s="185">
        <f t="shared" si="506"/>
        <v>2.7942398378100197E-3</v>
      </c>
      <c r="AH3841" s="339" t="str">
        <f>VLOOKUP(B3841,'MF PF'!A:B,2)</f>
        <v>FdMgt1</v>
      </c>
      <c r="AI3841" s="358">
        <f t="shared" ref="AI3841:AI3904" si="512">AF3841-A3841</f>
        <v>0</v>
      </c>
      <c r="AJ3841" s="94">
        <f t="shared" ref="AJ3841:AJ3904" si="513">EOMONTH(A3841,0)</f>
        <v>42704</v>
      </c>
    </row>
    <row r="3842" spans="1:36" ht="12.75" customHeight="1">
      <c r="A3842" s="8">
        <v>42734</v>
      </c>
      <c r="B3842" s="94" t="s">
        <v>189</v>
      </c>
      <c r="C3842" s="358" t="s">
        <v>304</v>
      </c>
      <c r="D3842" s="98">
        <v>22426532.2502</v>
      </c>
      <c r="E3842" s="9">
        <f t="shared" si="507"/>
        <v>2649930.861941739</v>
      </c>
      <c r="F3842" s="98">
        <v>125</v>
      </c>
      <c r="G3842" s="98">
        <v>0</v>
      </c>
      <c r="H3842" s="98">
        <v>0</v>
      </c>
      <c r="I3842" s="98">
        <v>-950000</v>
      </c>
      <c r="J3842" s="98"/>
      <c r="K3842" s="93">
        <v>8.4630631584731013</v>
      </c>
      <c r="L3842" s="93">
        <f t="shared" si="509"/>
        <v>-950000</v>
      </c>
      <c r="M3842" s="95">
        <f t="shared" ca="1" si="510"/>
        <v>-112252.50033126283</v>
      </c>
      <c r="N3842" s="95">
        <f>IF(P3842="Hedge Fund",IF(A3842=Summary!$AD$3,M3842-E3842,M3842),IF(A3842=Summary!$AD$3,L3842-D3842,L3842))</f>
        <v>-950000</v>
      </c>
      <c r="O3842" s="95">
        <f t="shared" si="508"/>
        <v>-950000</v>
      </c>
      <c r="P3842" s="107" t="s">
        <v>155</v>
      </c>
      <c r="Q3842" s="107">
        <v>0</v>
      </c>
      <c r="R3842" s="107">
        <v>0</v>
      </c>
      <c r="S3842" s="107">
        <v>0</v>
      </c>
      <c r="T3842" s="107">
        <v>0</v>
      </c>
      <c r="U3842" s="107"/>
      <c r="V3842" s="107"/>
      <c r="W3842" s="107"/>
      <c r="X3842" s="107"/>
      <c r="Y3842" s="107"/>
      <c r="Z3842" s="107"/>
      <c r="AA3842" s="107"/>
      <c r="AB3842" s="107"/>
      <c r="AC3842" s="355"/>
      <c r="AD3842" s="355"/>
      <c r="AE3842" s="355"/>
      <c r="AF3842" s="94">
        <f t="shared" si="511"/>
        <v>42734</v>
      </c>
      <c r="AG3842" s="185">
        <f t="shared" si="506"/>
        <v>-4.9570294141559779E-2</v>
      </c>
      <c r="AH3842" s="339" t="str">
        <f>VLOOKUP(B3842,'MF PF'!A:B,2)</f>
        <v>FdMgt1</v>
      </c>
      <c r="AI3842" s="358">
        <f t="shared" si="512"/>
        <v>0</v>
      </c>
      <c r="AJ3842" s="94">
        <f t="shared" si="513"/>
        <v>42735</v>
      </c>
    </row>
    <row r="3843" spans="1:36" ht="12.75" customHeight="1">
      <c r="A3843" s="8">
        <v>42762</v>
      </c>
      <c r="B3843" s="94" t="s">
        <v>189</v>
      </c>
      <c r="C3843" s="358" t="s">
        <v>304</v>
      </c>
      <c r="D3843" s="98">
        <v>22531804.418699998</v>
      </c>
      <c r="E3843" s="9">
        <f t="shared" si="507"/>
        <v>2662369.8768148115</v>
      </c>
      <c r="F3843" s="98">
        <v>125</v>
      </c>
      <c r="G3843" s="98">
        <v>0</v>
      </c>
      <c r="H3843" s="98">
        <v>0</v>
      </c>
      <c r="I3843" s="98">
        <v>0</v>
      </c>
      <c r="J3843" s="98"/>
      <c r="K3843" s="93">
        <v>8.4630631584731013</v>
      </c>
      <c r="L3843" s="93">
        <f t="shared" si="509"/>
        <v>0</v>
      </c>
      <c r="M3843" s="95">
        <f t="shared" ca="1" si="510"/>
        <v>0</v>
      </c>
      <c r="N3843" s="95">
        <f>IF(P3843="Hedge Fund",IF(A3843=Summary!$AD$3,M3843-E3843,M3843),IF(A3843=Summary!$AD$3,L3843-D3843,L3843))</f>
        <v>0</v>
      </c>
      <c r="O3843" s="95">
        <f t="shared" si="508"/>
        <v>0</v>
      </c>
      <c r="P3843" s="107" t="s">
        <v>155</v>
      </c>
      <c r="Q3843" s="107">
        <v>0</v>
      </c>
      <c r="R3843" s="107">
        <v>0</v>
      </c>
      <c r="S3843" s="107">
        <v>0</v>
      </c>
      <c r="T3843" s="107">
        <v>0</v>
      </c>
      <c r="U3843" s="107"/>
      <c r="V3843" s="107"/>
      <c r="W3843" s="107"/>
      <c r="X3843" s="107"/>
      <c r="Y3843" s="107"/>
      <c r="Z3843" s="107"/>
      <c r="AA3843" s="107"/>
      <c r="AB3843" s="107"/>
      <c r="AC3843" s="355"/>
      <c r="AD3843" s="355"/>
      <c r="AE3843" s="355"/>
      <c r="AF3843" s="94">
        <f t="shared" si="511"/>
        <v>42762</v>
      </c>
      <c r="AG3843" s="185">
        <f t="shared" si="506"/>
        <v>4.6940903446657245E-3</v>
      </c>
      <c r="AH3843" s="339" t="str">
        <f>VLOOKUP(B3843,'MF PF'!A:B,2)</f>
        <v>FdMgt1</v>
      </c>
      <c r="AI3843" s="358">
        <f t="shared" si="512"/>
        <v>0</v>
      </c>
      <c r="AJ3843" s="94">
        <f t="shared" si="513"/>
        <v>42766</v>
      </c>
    </row>
    <row r="3844" spans="1:36" ht="12.75" customHeight="1">
      <c r="A3844" s="8">
        <v>42794</v>
      </c>
      <c r="B3844" s="94" t="s">
        <v>189</v>
      </c>
      <c r="C3844" s="358" t="s">
        <v>304</v>
      </c>
      <c r="D3844" s="98">
        <v>22884848.463</v>
      </c>
      <c r="E3844" s="9">
        <f t="shared" si="507"/>
        <v>2704085.74702506</v>
      </c>
      <c r="F3844" s="98">
        <v>125</v>
      </c>
      <c r="G3844" s="98">
        <v>0</v>
      </c>
      <c r="H3844" s="98">
        <v>0</v>
      </c>
      <c r="I3844" s="98">
        <v>0</v>
      </c>
      <c r="J3844" s="98"/>
      <c r="K3844" s="93">
        <v>8.4630631584731013</v>
      </c>
      <c r="L3844" s="93">
        <f t="shared" si="509"/>
        <v>0</v>
      </c>
      <c r="M3844" s="95">
        <f t="shared" ca="1" si="510"/>
        <v>0</v>
      </c>
      <c r="N3844" s="95">
        <f>IF(P3844="Hedge Fund",IF(A3844=Summary!$AD$3,M3844-E3844,M3844),IF(A3844=Summary!$AD$3,L3844-D3844,L3844))</f>
        <v>0</v>
      </c>
      <c r="O3844" s="95">
        <f t="shared" si="508"/>
        <v>0</v>
      </c>
      <c r="P3844" s="107" t="s">
        <v>155</v>
      </c>
      <c r="Q3844" s="107">
        <v>0</v>
      </c>
      <c r="R3844" s="107">
        <v>0</v>
      </c>
      <c r="S3844" s="107">
        <v>0</v>
      </c>
      <c r="T3844" s="107">
        <v>0</v>
      </c>
      <c r="U3844" s="107"/>
      <c r="V3844" s="107"/>
      <c r="W3844" s="107"/>
      <c r="X3844" s="107"/>
      <c r="Y3844" s="107"/>
      <c r="Z3844" s="107"/>
      <c r="AA3844" s="107"/>
      <c r="AB3844" s="107"/>
      <c r="AC3844" s="355"/>
      <c r="AD3844" s="355"/>
      <c r="AE3844" s="355"/>
      <c r="AF3844" s="94">
        <f t="shared" si="511"/>
        <v>42794</v>
      </c>
      <c r="AG3844" s="185">
        <f t="shared" si="506"/>
        <v>1.5668698242693679E-2</v>
      </c>
      <c r="AH3844" s="339" t="str">
        <f>VLOOKUP(B3844,'MF PF'!A:B,2)</f>
        <v>FdMgt1</v>
      </c>
      <c r="AI3844" s="358">
        <f t="shared" si="512"/>
        <v>0</v>
      </c>
      <c r="AJ3844" s="94">
        <f t="shared" si="513"/>
        <v>42794</v>
      </c>
    </row>
    <row r="3845" spans="1:36" ht="12.75" customHeight="1">
      <c r="A3845" s="8">
        <v>42825</v>
      </c>
      <c r="B3845" s="94" t="s">
        <v>189</v>
      </c>
      <c r="C3845" s="358" t="s">
        <v>304</v>
      </c>
      <c r="D3845" s="98">
        <v>22544162.391100001</v>
      </c>
      <c r="E3845" s="9">
        <f t="shared" si="507"/>
        <v>2663830.1013421007</v>
      </c>
      <c r="F3845" s="98">
        <v>125</v>
      </c>
      <c r="G3845" s="98">
        <v>0</v>
      </c>
      <c r="H3845" s="98">
        <v>0</v>
      </c>
      <c r="I3845" s="98">
        <v>-1500000</v>
      </c>
      <c r="J3845" s="98"/>
      <c r="K3845" s="93">
        <v>8.4630631584731013</v>
      </c>
      <c r="L3845" s="93">
        <f t="shared" si="509"/>
        <v>-1500000</v>
      </c>
      <c r="M3845" s="95">
        <f t="shared" ca="1" si="510"/>
        <v>-177240.78999673077</v>
      </c>
      <c r="N3845" s="95">
        <f>IF(P3845="Hedge Fund",IF(A3845=Summary!$AD$3,M3845-E3845,M3845),IF(A3845=Summary!$AD$3,L3845-D3845,L3845))</f>
        <v>-1500000</v>
      </c>
      <c r="O3845" s="95">
        <f t="shared" si="508"/>
        <v>-1500000</v>
      </c>
      <c r="P3845" s="107" t="s">
        <v>155</v>
      </c>
      <c r="Q3845" s="107">
        <v>0</v>
      </c>
      <c r="R3845" s="107">
        <v>0</v>
      </c>
      <c r="S3845" s="107">
        <v>0</v>
      </c>
      <c r="T3845" s="107">
        <v>0</v>
      </c>
      <c r="U3845" s="107"/>
      <c r="V3845" s="107"/>
      <c r="W3845" s="107"/>
      <c r="X3845" s="107"/>
      <c r="Y3845" s="107"/>
      <c r="Z3845" s="107"/>
      <c r="AA3845" s="107"/>
      <c r="AB3845" s="107"/>
      <c r="AC3845" s="355"/>
      <c r="AD3845" s="355"/>
      <c r="AE3845" s="355"/>
      <c r="AF3845" s="94">
        <f t="shared" si="511"/>
        <v>42825</v>
      </c>
      <c r="AG3845" s="185">
        <f t="shared" si="506"/>
        <v>5.0658580063327463E-2</v>
      </c>
      <c r="AH3845" s="339" t="str">
        <f>VLOOKUP(B3845,'MF PF'!A:B,2)</f>
        <v>FdMgt1</v>
      </c>
      <c r="AI3845" s="358">
        <f t="shared" si="512"/>
        <v>0</v>
      </c>
      <c r="AJ3845" s="94">
        <f t="shared" si="513"/>
        <v>42825</v>
      </c>
    </row>
    <row r="3846" spans="1:36" ht="12.75" customHeight="1">
      <c r="A3846" s="8">
        <v>42853</v>
      </c>
      <c r="B3846" s="94" t="s">
        <v>189</v>
      </c>
      <c r="C3846" s="358" t="s">
        <v>304</v>
      </c>
      <c r="D3846" s="98">
        <v>21436383.200000003</v>
      </c>
      <c r="E3846" s="9">
        <f t="shared" si="507"/>
        <v>2532934.3286937652</v>
      </c>
      <c r="F3846" s="98">
        <v>125</v>
      </c>
      <c r="G3846" s="98">
        <v>0</v>
      </c>
      <c r="H3846" s="98">
        <v>0</v>
      </c>
      <c r="I3846" s="98">
        <v>-1437500</v>
      </c>
      <c r="J3846" s="98"/>
      <c r="K3846" s="93">
        <v>8.4630631584731013</v>
      </c>
      <c r="L3846" s="93">
        <f t="shared" si="509"/>
        <v>-1437500</v>
      </c>
      <c r="M3846" s="95">
        <f t="shared" ca="1" si="510"/>
        <v>-169855.75708020033</v>
      </c>
      <c r="N3846" s="95">
        <f>IF(P3846="Hedge Fund",IF(A3846=Summary!$AD$3,M3846-E3846,M3846),IF(A3846=Summary!$AD$3,L3846-D3846,L3846))</f>
        <v>-1437500</v>
      </c>
      <c r="O3846" s="95">
        <f t="shared" si="508"/>
        <v>-1437500</v>
      </c>
      <c r="P3846" s="107" t="s">
        <v>155</v>
      </c>
      <c r="Q3846" s="107">
        <v>0</v>
      </c>
      <c r="R3846" s="107">
        <v>0</v>
      </c>
      <c r="S3846" s="107">
        <v>0</v>
      </c>
      <c r="T3846" s="107">
        <v>0</v>
      </c>
      <c r="U3846" s="107"/>
      <c r="V3846" s="107"/>
      <c r="W3846" s="107"/>
      <c r="X3846" s="107"/>
      <c r="Y3846" s="107"/>
      <c r="Z3846" s="107"/>
      <c r="AA3846" s="107"/>
      <c r="AB3846" s="107"/>
      <c r="AC3846" s="355"/>
      <c r="AD3846" s="355"/>
      <c r="AE3846" s="355"/>
      <c r="AF3846" s="94">
        <f t="shared" si="511"/>
        <v>42853</v>
      </c>
      <c r="AG3846" s="185">
        <f t="shared" si="506"/>
        <v>1.4625551536577408E-2</v>
      </c>
      <c r="AH3846" s="339" t="str">
        <f>VLOOKUP(B3846,'MF PF'!A:B,2)</f>
        <v>FdMgt1</v>
      </c>
      <c r="AI3846" s="358">
        <f t="shared" si="512"/>
        <v>0</v>
      </c>
      <c r="AJ3846" s="94">
        <f t="shared" si="513"/>
        <v>42855</v>
      </c>
    </row>
    <row r="3847" spans="1:36" ht="12.75" customHeight="1">
      <c r="A3847" s="8">
        <v>42886</v>
      </c>
      <c r="B3847" s="94" t="s">
        <v>189</v>
      </c>
      <c r="C3847" s="358" t="s">
        <v>304</v>
      </c>
      <c r="D3847" s="98">
        <v>20393130.023899999</v>
      </c>
      <c r="E3847" s="9">
        <f t="shared" si="507"/>
        <v>2409662.9839613899</v>
      </c>
      <c r="F3847" s="98">
        <v>125</v>
      </c>
      <c r="G3847" s="98">
        <v>0</v>
      </c>
      <c r="H3847" s="98">
        <v>0</v>
      </c>
      <c r="I3847" s="98">
        <v>0</v>
      </c>
      <c r="J3847" s="98"/>
      <c r="K3847" s="93">
        <v>8.4630631584731013</v>
      </c>
      <c r="L3847" s="93">
        <f t="shared" si="509"/>
        <v>0</v>
      </c>
      <c r="M3847" s="95">
        <f t="shared" ca="1" si="510"/>
        <v>0</v>
      </c>
      <c r="N3847" s="95">
        <f>IF(P3847="Hedge Fund",IF(A3847=Summary!$AD$3,M3847-E3847,M3847),IF(A3847=Summary!$AD$3,L3847-D3847,L3847))</f>
        <v>0</v>
      </c>
      <c r="O3847" s="95">
        <f t="shared" si="508"/>
        <v>0</v>
      </c>
      <c r="P3847" s="107" t="s">
        <v>155</v>
      </c>
      <c r="Q3847" s="107">
        <v>0</v>
      </c>
      <c r="R3847" s="107">
        <v>0</v>
      </c>
      <c r="S3847" s="107">
        <v>0</v>
      </c>
      <c r="T3847" s="107">
        <v>0</v>
      </c>
      <c r="U3847" s="107"/>
      <c r="V3847" s="107"/>
      <c r="W3847" s="107"/>
      <c r="X3847" s="107"/>
      <c r="Y3847" s="107"/>
      <c r="Z3847" s="107"/>
      <c r="AA3847" s="107"/>
      <c r="AB3847" s="107"/>
      <c r="AC3847" s="355"/>
      <c r="AD3847" s="355"/>
      <c r="AE3847" s="355"/>
      <c r="AF3847" s="94">
        <f t="shared" si="511"/>
        <v>42886</v>
      </c>
      <c r="AG3847" s="185">
        <f t="shared" si="506"/>
        <v>-4.8667406547388325E-2</v>
      </c>
      <c r="AH3847" s="339" t="str">
        <f>VLOOKUP(B3847,'MF PF'!A:B,2)</f>
        <v>FdMgt1</v>
      </c>
      <c r="AI3847" s="358">
        <f t="shared" si="512"/>
        <v>0</v>
      </c>
      <c r="AJ3847" s="94">
        <f t="shared" si="513"/>
        <v>42886</v>
      </c>
    </row>
    <row r="3848" spans="1:36" ht="12.75" customHeight="1">
      <c r="A3848" s="8">
        <v>42916</v>
      </c>
      <c r="B3848" s="94" t="s">
        <v>189</v>
      </c>
      <c r="C3848" s="358" t="s">
        <v>304</v>
      </c>
      <c r="D3848" s="98">
        <v>19877874.0592</v>
      </c>
      <c r="E3848" s="9">
        <f t="shared" si="507"/>
        <v>2348780.0678054197</v>
      </c>
      <c r="F3848" s="98">
        <v>125</v>
      </c>
      <c r="G3848" s="98">
        <v>0</v>
      </c>
      <c r="H3848" s="98">
        <v>0</v>
      </c>
      <c r="I3848" s="98">
        <v>0</v>
      </c>
      <c r="J3848" s="98"/>
      <c r="K3848" s="93">
        <v>8.4630631584731013</v>
      </c>
      <c r="L3848" s="93">
        <f t="shared" si="509"/>
        <v>0</v>
      </c>
      <c r="M3848" s="95">
        <f t="shared" ca="1" si="510"/>
        <v>0</v>
      </c>
      <c r="N3848" s="95">
        <f>IF(P3848="Hedge Fund",IF(A3848=Summary!$AD$3,M3848-E3848,M3848),IF(A3848=Summary!$AD$3,L3848-D3848,L3848))</f>
        <v>0</v>
      </c>
      <c r="O3848" s="95">
        <f t="shared" si="508"/>
        <v>0</v>
      </c>
      <c r="P3848" s="107" t="s">
        <v>155</v>
      </c>
      <c r="Q3848" s="107">
        <v>0</v>
      </c>
      <c r="R3848" s="107">
        <v>0</v>
      </c>
      <c r="S3848" s="107">
        <v>0</v>
      </c>
      <c r="T3848" s="107">
        <v>0</v>
      </c>
      <c r="U3848" s="107"/>
      <c r="V3848" s="107"/>
      <c r="W3848" s="107"/>
      <c r="X3848" s="107"/>
      <c r="Y3848" s="107"/>
      <c r="Z3848" s="107"/>
      <c r="AA3848" s="107"/>
      <c r="AB3848" s="107"/>
      <c r="AC3848" s="355"/>
      <c r="AD3848" s="355"/>
      <c r="AE3848" s="355"/>
      <c r="AF3848" s="94">
        <f t="shared" si="511"/>
        <v>42916</v>
      </c>
      <c r="AG3848" s="185">
        <f t="shared" si="506"/>
        <v>-2.5266154047766887E-2</v>
      </c>
      <c r="AH3848" s="339" t="str">
        <f>VLOOKUP(B3848,'MF PF'!A:B,2)</f>
        <v>FdMgt1</v>
      </c>
      <c r="AI3848" s="358">
        <f t="shared" si="512"/>
        <v>0</v>
      </c>
      <c r="AJ3848" s="94">
        <f t="shared" si="513"/>
        <v>42916</v>
      </c>
    </row>
    <row r="3849" spans="1:36" ht="12.75" customHeight="1">
      <c r="A3849" s="8">
        <v>42947</v>
      </c>
      <c r="B3849" s="94" t="s">
        <v>189</v>
      </c>
      <c r="C3849" s="358" t="s">
        <v>304</v>
      </c>
      <c r="D3849" s="98">
        <v>20801993.010000002</v>
      </c>
      <c r="E3849" s="9">
        <f t="shared" si="507"/>
        <v>2457974.4497325812</v>
      </c>
      <c r="F3849" s="98">
        <v>125</v>
      </c>
      <c r="G3849" s="98">
        <v>0</v>
      </c>
      <c r="H3849" s="98">
        <v>0</v>
      </c>
      <c r="I3849" s="98">
        <v>0</v>
      </c>
      <c r="J3849" s="98"/>
      <c r="K3849" s="93">
        <v>8.4630631584731013</v>
      </c>
      <c r="L3849" s="93">
        <f t="shared" si="509"/>
        <v>0</v>
      </c>
      <c r="M3849" s="95">
        <f t="shared" ca="1" si="510"/>
        <v>0</v>
      </c>
      <c r="N3849" s="95">
        <f>IF(P3849="Hedge Fund",IF(A3849=Summary!$AD$3,M3849-E3849,M3849),IF(A3849=Summary!$AD$3,L3849-D3849,L3849))</f>
        <v>0</v>
      </c>
      <c r="O3849" s="95">
        <f t="shared" si="508"/>
        <v>0</v>
      </c>
      <c r="P3849" s="107" t="s">
        <v>155</v>
      </c>
      <c r="Q3849" s="107">
        <v>0</v>
      </c>
      <c r="R3849" s="107">
        <v>0</v>
      </c>
      <c r="S3849" s="107">
        <v>0</v>
      </c>
      <c r="T3849" s="107">
        <v>0</v>
      </c>
      <c r="U3849" s="107"/>
      <c r="V3849" s="107"/>
      <c r="W3849" s="107"/>
      <c r="X3849" s="107"/>
      <c r="Y3849" s="107"/>
      <c r="Z3849" s="107"/>
      <c r="AA3849" s="107"/>
      <c r="AB3849" s="107"/>
      <c r="AC3849" s="355"/>
      <c r="AD3849" s="355"/>
      <c r="AE3849" s="355"/>
      <c r="AF3849" s="94">
        <f t="shared" si="511"/>
        <v>42947</v>
      </c>
      <c r="AG3849" s="185">
        <f t="shared" si="506"/>
        <v>4.6489828240575681E-2</v>
      </c>
      <c r="AH3849" s="339" t="str">
        <f>VLOOKUP(B3849,'MF PF'!A:B,2)</f>
        <v>FdMgt1</v>
      </c>
      <c r="AI3849" s="358">
        <f t="shared" si="512"/>
        <v>0</v>
      </c>
      <c r="AJ3849" s="94">
        <f t="shared" si="513"/>
        <v>42947</v>
      </c>
    </row>
    <row r="3850" spans="1:36" ht="12.75" customHeight="1">
      <c r="A3850" s="8">
        <v>42978</v>
      </c>
      <c r="B3850" s="94" t="s">
        <v>189</v>
      </c>
      <c r="C3850" s="358" t="s">
        <v>304</v>
      </c>
      <c r="D3850" s="98">
        <v>22831500</v>
      </c>
      <c r="E3850" s="9">
        <f t="shared" si="507"/>
        <v>2697782.0645402391</v>
      </c>
      <c r="F3850" s="98">
        <v>125</v>
      </c>
      <c r="G3850" s="98">
        <v>0</v>
      </c>
      <c r="H3850" s="98">
        <v>0</v>
      </c>
      <c r="I3850" s="98">
        <v>0</v>
      </c>
      <c r="J3850" s="98"/>
      <c r="K3850" s="93">
        <v>8.4630631584731013</v>
      </c>
      <c r="L3850" s="93">
        <f t="shared" si="509"/>
        <v>0</v>
      </c>
      <c r="M3850" s="95">
        <f t="shared" ca="1" si="510"/>
        <v>0</v>
      </c>
      <c r="N3850" s="95">
        <f>IF(P3850="Hedge Fund",IF(A3850=Summary!$AD$3,M3850-E3850,M3850),IF(A3850=Summary!$AD$3,L3850-D3850,L3850))</f>
        <v>0</v>
      </c>
      <c r="O3850" s="95">
        <f t="shared" si="508"/>
        <v>0</v>
      </c>
      <c r="P3850" s="107" t="s">
        <v>155</v>
      </c>
      <c r="Q3850" s="107">
        <v>0</v>
      </c>
      <c r="R3850" s="107">
        <v>0</v>
      </c>
      <c r="S3850" s="107">
        <v>0</v>
      </c>
      <c r="T3850" s="107">
        <v>0</v>
      </c>
      <c r="U3850" s="107"/>
      <c r="V3850" s="107"/>
      <c r="W3850" s="107"/>
      <c r="X3850" s="107"/>
      <c r="Y3850" s="107"/>
      <c r="Z3850" s="107"/>
      <c r="AA3850" s="107"/>
      <c r="AB3850" s="107"/>
      <c r="AC3850" s="355"/>
      <c r="AD3850" s="355"/>
      <c r="AE3850" s="355"/>
      <c r="AF3850" s="94">
        <f t="shared" si="511"/>
        <v>42978</v>
      </c>
      <c r="AG3850" s="185">
        <f t="shared" si="506"/>
        <v>9.7563103161527165E-2</v>
      </c>
      <c r="AH3850" s="339" t="str">
        <f>VLOOKUP(B3850,'MF PF'!A:B,2)</f>
        <v>FdMgt1</v>
      </c>
      <c r="AI3850" s="358">
        <f t="shared" si="512"/>
        <v>0</v>
      </c>
      <c r="AJ3850" s="94">
        <f t="shared" si="513"/>
        <v>42978</v>
      </c>
    </row>
    <row r="3851" spans="1:36" ht="12.75" customHeight="1">
      <c r="A3851" s="8">
        <v>43007</v>
      </c>
      <c r="B3851" s="94" t="s">
        <v>189</v>
      </c>
      <c r="C3851" s="358" t="s">
        <v>304</v>
      </c>
      <c r="D3851" s="98">
        <v>22802400</v>
      </c>
      <c r="E3851" s="9">
        <f t="shared" si="507"/>
        <v>2694343.5932143023</v>
      </c>
      <c r="F3851" s="98">
        <v>125</v>
      </c>
      <c r="G3851" s="98">
        <v>0</v>
      </c>
      <c r="H3851" s="98">
        <v>0</v>
      </c>
      <c r="I3851" s="98">
        <v>0</v>
      </c>
      <c r="J3851" s="98"/>
      <c r="K3851" s="93">
        <v>8.4630631584731013</v>
      </c>
      <c r="L3851" s="93">
        <f t="shared" si="509"/>
        <v>0</v>
      </c>
      <c r="M3851" s="95">
        <f t="shared" ca="1" si="510"/>
        <v>0</v>
      </c>
      <c r="N3851" s="95">
        <f>IF(P3851="Hedge Fund",IF(A3851=Summary!$AD$3,M3851-E3851,M3851),IF(A3851=Summary!$AD$3,L3851-D3851,L3851))</f>
        <v>0</v>
      </c>
      <c r="O3851" s="95">
        <f t="shared" si="508"/>
        <v>0</v>
      </c>
      <c r="P3851" s="107" t="s">
        <v>155</v>
      </c>
      <c r="Q3851" s="107">
        <v>0</v>
      </c>
      <c r="R3851" s="107">
        <v>0</v>
      </c>
      <c r="S3851" s="107">
        <v>0</v>
      </c>
      <c r="T3851" s="107">
        <v>0</v>
      </c>
      <c r="U3851" s="107"/>
      <c r="V3851" s="107"/>
      <c r="W3851" s="107"/>
      <c r="X3851" s="107"/>
      <c r="Y3851" s="107"/>
      <c r="Z3851" s="107"/>
      <c r="AA3851" s="107"/>
      <c r="AB3851" s="107"/>
      <c r="AC3851" s="355"/>
      <c r="AD3851" s="355"/>
      <c r="AE3851" s="355"/>
      <c r="AF3851" s="94">
        <f t="shared" si="511"/>
        <v>43007</v>
      </c>
      <c r="AG3851" s="185">
        <f t="shared" si="506"/>
        <v>-1.2745548912685978E-3</v>
      </c>
      <c r="AH3851" s="339" t="str">
        <f>VLOOKUP(B3851,'MF PF'!A:B,2)</f>
        <v>FdMgt1</v>
      </c>
      <c r="AI3851" s="358">
        <f t="shared" si="512"/>
        <v>0</v>
      </c>
      <c r="AJ3851" s="94">
        <f t="shared" si="513"/>
        <v>43008</v>
      </c>
    </row>
    <row r="3852" spans="1:36" ht="12.75" customHeight="1">
      <c r="A3852" s="8">
        <v>43039</v>
      </c>
      <c r="B3852" s="94" t="s">
        <v>189</v>
      </c>
      <c r="C3852" s="358" t="s">
        <v>304</v>
      </c>
      <c r="D3852" s="98">
        <v>22710200</v>
      </c>
      <c r="E3852" s="9">
        <f t="shared" si="507"/>
        <v>2683449.1926558367</v>
      </c>
      <c r="F3852" s="98">
        <v>125</v>
      </c>
      <c r="G3852" s="98">
        <v>0</v>
      </c>
      <c r="H3852" s="98">
        <v>0</v>
      </c>
      <c r="I3852" s="98">
        <v>0</v>
      </c>
      <c r="J3852" s="98"/>
      <c r="K3852" s="93">
        <v>8.4630631584731013</v>
      </c>
      <c r="L3852" s="93">
        <f t="shared" si="509"/>
        <v>0</v>
      </c>
      <c r="M3852" s="95">
        <f t="shared" ca="1" si="510"/>
        <v>0</v>
      </c>
      <c r="N3852" s="95">
        <f>IF(P3852="Hedge Fund",IF(A3852=Summary!$AD$3,M3852-E3852,M3852),IF(A3852=Summary!$AD$3,L3852-D3852,L3852))</f>
        <v>0</v>
      </c>
      <c r="O3852" s="95">
        <f t="shared" si="508"/>
        <v>0</v>
      </c>
      <c r="P3852" s="107" t="s">
        <v>155</v>
      </c>
      <c r="Q3852" s="107">
        <v>0</v>
      </c>
      <c r="R3852" s="107">
        <v>0</v>
      </c>
      <c r="S3852" s="107">
        <v>0</v>
      </c>
      <c r="T3852" s="107">
        <v>0</v>
      </c>
      <c r="U3852" s="107"/>
      <c r="V3852" s="107"/>
      <c r="W3852" s="107"/>
      <c r="X3852" s="107"/>
      <c r="Y3852" s="107"/>
      <c r="Z3852" s="107"/>
      <c r="AA3852" s="107"/>
      <c r="AB3852" s="107"/>
      <c r="AC3852" s="355"/>
      <c r="AD3852" s="355"/>
      <c r="AE3852" s="355"/>
      <c r="AF3852" s="94">
        <f t="shared" si="511"/>
        <v>43039</v>
      </c>
      <c r="AG3852" s="185">
        <f t="shared" si="506"/>
        <v>-4.0434340244887013E-3</v>
      </c>
      <c r="AH3852" s="339" t="str">
        <f>VLOOKUP(B3852,'MF PF'!A:B,2)</f>
        <v>FdMgt1</v>
      </c>
      <c r="AI3852" s="358">
        <f t="shared" si="512"/>
        <v>0</v>
      </c>
      <c r="AJ3852" s="94">
        <f t="shared" si="513"/>
        <v>43039</v>
      </c>
    </row>
    <row r="3853" spans="1:36" ht="12.75" customHeight="1">
      <c r="A3853" s="8">
        <v>43069</v>
      </c>
      <c r="B3853" s="94" t="s">
        <v>189</v>
      </c>
      <c r="C3853" s="358" t="s">
        <v>304</v>
      </c>
      <c r="D3853" s="98">
        <v>16640400</v>
      </c>
      <c r="E3853" s="9">
        <f t="shared" ref="E3853:E3862" si="514">D3853/K3853</f>
        <v>1966238.4279077325</v>
      </c>
      <c r="F3853" s="98">
        <v>125</v>
      </c>
      <c r="G3853" s="98">
        <v>0</v>
      </c>
      <c r="H3853" s="98">
        <v>0</v>
      </c>
      <c r="I3853" s="98">
        <v>-5458677.6900000004</v>
      </c>
      <c r="J3853" s="98"/>
      <c r="K3853" s="93">
        <v>8.4630631584731013</v>
      </c>
      <c r="L3853" s="93">
        <f t="shared" si="509"/>
        <v>-5458677.6900000004</v>
      </c>
      <c r="M3853" s="95">
        <f t="shared" ca="1" si="510"/>
        <v>-645000.23074208631</v>
      </c>
      <c r="N3853" s="95">
        <f>IF(P3853="Hedge Fund",IF(A3853=Summary!$AD$3,M3853-E3853,M3853),IF(A3853=Summary!$AD$3,L3853-D3853,L3853))</f>
        <v>-5458677.6900000004</v>
      </c>
      <c r="O3853" s="95">
        <f t="shared" si="508"/>
        <v>-5458677.6900000004</v>
      </c>
      <c r="P3853" s="107" t="s">
        <v>155</v>
      </c>
      <c r="Q3853" s="107">
        <v>0</v>
      </c>
      <c r="R3853" s="107">
        <v>0</v>
      </c>
      <c r="S3853" s="107">
        <v>0</v>
      </c>
      <c r="T3853" s="107">
        <v>0</v>
      </c>
      <c r="U3853" s="107"/>
      <c r="V3853" s="107"/>
      <c r="W3853" s="107"/>
      <c r="X3853" s="107"/>
      <c r="Y3853" s="107"/>
      <c r="Z3853" s="107"/>
      <c r="AA3853" s="107"/>
      <c r="AB3853" s="107"/>
      <c r="AC3853" s="355"/>
      <c r="AD3853" s="355"/>
      <c r="AE3853" s="355"/>
      <c r="AF3853" s="94">
        <f t="shared" si="511"/>
        <v>43069</v>
      </c>
      <c r="AG3853" s="185">
        <f t="shared" si="506"/>
        <v>-2.6909596128611768E-2</v>
      </c>
      <c r="AH3853" s="339" t="str">
        <f>VLOOKUP(B3853,'MF PF'!A:B,2)</f>
        <v>FdMgt1</v>
      </c>
      <c r="AI3853" s="358">
        <f t="shared" si="512"/>
        <v>0</v>
      </c>
      <c r="AJ3853" s="94">
        <f t="shared" si="513"/>
        <v>43069</v>
      </c>
    </row>
    <row r="3854" spans="1:36" ht="12.75" customHeight="1">
      <c r="A3854" s="8">
        <v>43098</v>
      </c>
      <c r="B3854" s="94" t="s">
        <v>189</v>
      </c>
      <c r="C3854" s="358" t="s">
        <v>304</v>
      </c>
      <c r="D3854" s="98">
        <v>16793600</v>
      </c>
      <c r="E3854" s="9">
        <f t="shared" si="514"/>
        <v>1984340.620592732</v>
      </c>
      <c r="F3854" s="98">
        <v>125</v>
      </c>
      <c r="G3854" s="98">
        <v>0</v>
      </c>
      <c r="H3854" s="98">
        <v>0</v>
      </c>
      <c r="I3854" s="98">
        <v>0</v>
      </c>
      <c r="J3854" s="98"/>
      <c r="K3854" s="93">
        <v>8.4630631584731013</v>
      </c>
      <c r="L3854" s="93">
        <f t="shared" si="509"/>
        <v>0</v>
      </c>
      <c r="M3854" s="95">
        <f t="shared" ca="1" si="510"/>
        <v>0</v>
      </c>
      <c r="N3854" s="95">
        <f>IF(P3854="Hedge Fund",IF(A3854=Summary!$AD$3,M3854-E3854,M3854),IF(A3854=Summary!$AD$3,L3854-D3854,L3854))</f>
        <v>0</v>
      </c>
      <c r="O3854" s="95">
        <f t="shared" si="508"/>
        <v>0</v>
      </c>
      <c r="P3854" s="107" t="s">
        <v>155</v>
      </c>
      <c r="Q3854" s="107">
        <v>0</v>
      </c>
      <c r="R3854" s="107">
        <v>0</v>
      </c>
      <c r="S3854" s="107">
        <v>0</v>
      </c>
      <c r="T3854" s="107">
        <v>0</v>
      </c>
      <c r="U3854" s="107"/>
      <c r="V3854" s="107"/>
      <c r="W3854" s="107"/>
      <c r="X3854" s="107"/>
      <c r="Y3854" s="107"/>
      <c r="Z3854" s="107"/>
      <c r="AA3854" s="107"/>
      <c r="AB3854" s="107"/>
      <c r="AC3854" s="355"/>
      <c r="AD3854" s="355"/>
      <c r="AE3854" s="355"/>
      <c r="AF3854" s="94">
        <f t="shared" si="511"/>
        <v>43098</v>
      </c>
      <c r="AG3854" s="185">
        <f t="shared" si="506"/>
        <v>9.2065094589073304E-3</v>
      </c>
      <c r="AH3854" s="339" t="str">
        <f>VLOOKUP(B3854,'MF PF'!A:B,2)</f>
        <v>FdMgt1</v>
      </c>
      <c r="AI3854" s="358">
        <f t="shared" si="512"/>
        <v>0</v>
      </c>
      <c r="AJ3854" s="94">
        <f t="shared" si="513"/>
        <v>43100</v>
      </c>
    </row>
    <row r="3855" spans="1:36" ht="12.75" customHeight="1">
      <c r="A3855" s="8">
        <v>43131</v>
      </c>
      <c r="B3855" s="94" t="s">
        <v>189</v>
      </c>
      <c r="C3855" s="358" t="s">
        <v>304</v>
      </c>
      <c r="D3855" s="98">
        <v>17109100</v>
      </c>
      <c r="E3855" s="9">
        <f t="shared" si="514"/>
        <v>2021620.2667553776</v>
      </c>
      <c r="F3855" s="98">
        <v>125</v>
      </c>
      <c r="G3855" s="98">
        <v>0</v>
      </c>
      <c r="H3855" s="98">
        <v>0</v>
      </c>
      <c r="I3855" s="98">
        <v>0</v>
      </c>
      <c r="J3855" s="98"/>
      <c r="K3855" s="93">
        <v>8.4630631584731013</v>
      </c>
      <c r="L3855" s="93">
        <f t="shared" si="509"/>
        <v>0</v>
      </c>
      <c r="M3855" s="95">
        <f t="shared" ca="1" si="510"/>
        <v>0</v>
      </c>
      <c r="N3855" s="95">
        <f>IF(P3855="Hedge Fund",IF(A3855=Summary!$AD$3,M3855-E3855,M3855),IF(A3855=Summary!$AD$3,L3855-D3855,L3855))</f>
        <v>0</v>
      </c>
      <c r="O3855" s="95">
        <f t="shared" si="508"/>
        <v>0</v>
      </c>
      <c r="P3855" s="107" t="s">
        <v>155</v>
      </c>
      <c r="Q3855" s="107">
        <v>0</v>
      </c>
      <c r="R3855" s="107">
        <v>0.56233608145731195</v>
      </c>
      <c r="S3855" s="107">
        <v>0</v>
      </c>
      <c r="T3855" s="107">
        <v>1.1246721629146243E-2</v>
      </c>
      <c r="U3855" s="107"/>
      <c r="V3855" s="107"/>
      <c r="W3855" s="107"/>
      <c r="X3855" s="107"/>
      <c r="Y3855" s="107"/>
      <c r="Z3855" s="107"/>
      <c r="AA3855" s="107"/>
      <c r="AB3855" s="107"/>
      <c r="AC3855" s="355"/>
      <c r="AD3855" s="355"/>
      <c r="AE3855" s="355"/>
      <c r="AF3855" s="94">
        <f t="shared" si="511"/>
        <v>43131</v>
      </c>
      <c r="AG3855" s="185">
        <f t="shared" si="506"/>
        <v>1.8786918826219523E-2</v>
      </c>
      <c r="AH3855" s="339" t="str">
        <f>VLOOKUP(B3855,'MF PF'!A:B,2)</f>
        <v>FdMgt1</v>
      </c>
      <c r="AI3855" s="358">
        <f t="shared" si="512"/>
        <v>0</v>
      </c>
      <c r="AJ3855" s="94">
        <f t="shared" si="513"/>
        <v>43131</v>
      </c>
    </row>
    <row r="3856" spans="1:36" ht="12.75" customHeight="1">
      <c r="A3856" s="8">
        <v>43159</v>
      </c>
      <c r="B3856" s="94" t="s">
        <v>189</v>
      </c>
      <c r="C3856" s="358" t="s">
        <v>304</v>
      </c>
      <c r="D3856" s="98">
        <v>16645900.000000002</v>
      </c>
      <c r="E3856" s="9">
        <f t="shared" si="514"/>
        <v>1966888.3108043873</v>
      </c>
      <c r="F3856" s="98">
        <v>125</v>
      </c>
      <c r="G3856" s="98">
        <v>0</v>
      </c>
      <c r="H3856" s="98">
        <v>0</v>
      </c>
      <c r="I3856" s="98">
        <v>0</v>
      </c>
      <c r="J3856" s="98"/>
      <c r="K3856" s="93">
        <v>8.4630631584731013</v>
      </c>
      <c r="L3856" s="93">
        <f t="shared" si="509"/>
        <v>0</v>
      </c>
      <c r="M3856" s="95">
        <f t="shared" ca="1" si="510"/>
        <v>0</v>
      </c>
      <c r="N3856" s="95">
        <f>IF(P3856="Hedge Fund",IF(A3856=Summary!$AD$3,M3856-E3856,M3856),IF(A3856=Summary!$AD$3,L3856-D3856,L3856))</f>
        <v>0</v>
      </c>
      <c r="O3856" s="95">
        <f t="shared" si="508"/>
        <v>0</v>
      </c>
      <c r="P3856" s="107" t="s">
        <v>155</v>
      </c>
      <c r="Q3856" s="107">
        <v>0</v>
      </c>
      <c r="R3856" s="107">
        <v>0.47396744793871398</v>
      </c>
      <c r="S3856" s="107">
        <v>0</v>
      </c>
      <c r="T3856" s="107">
        <v>9.4793489587742825E-3</v>
      </c>
      <c r="U3856" s="107"/>
      <c r="V3856" s="107"/>
      <c r="W3856" s="107"/>
      <c r="X3856" s="107"/>
      <c r="Y3856" s="107"/>
      <c r="Z3856" s="107"/>
      <c r="AA3856" s="107"/>
      <c r="AB3856" s="107"/>
      <c r="AC3856" s="355"/>
      <c r="AD3856" s="355"/>
      <c r="AE3856" s="355"/>
      <c r="AF3856" s="94">
        <f t="shared" si="511"/>
        <v>43159</v>
      </c>
      <c r="AG3856" s="185">
        <f t="shared" si="506"/>
        <v>-2.7073311863277327E-2</v>
      </c>
      <c r="AH3856" s="339" t="str">
        <f>VLOOKUP(B3856,'MF PF'!A:B,2)</f>
        <v>FdMgt1</v>
      </c>
      <c r="AI3856" s="358">
        <f t="shared" si="512"/>
        <v>0</v>
      </c>
      <c r="AJ3856" s="94">
        <f t="shared" si="513"/>
        <v>43159</v>
      </c>
    </row>
    <row r="3857" spans="1:53" ht="12.75" customHeight="1">
      <c r="A3857" s="8">
        <v>43188</v>
      </c>
      <c r="B3857" s="94" t="s">
        <v>189</v>
      </c>
      <c r="C3857" s="358" t="s">
        <v>304</v>
      </c>
      <c r="D3857" s="110">
        <v>16731182.0178</v>
      </c>
      <c r="E3857" s="9">
        <f t="shared" si="514"/>
        <v>1976965.2789426453</v>
      </c>
      <c r="F3857" s="98">
        <v>125</v>
      </c>
      <c r="G3857" s="98">
        <v>0</v>
      </c>
      <c r="H3857" s="98">
        <v>0</v>
      </c>
      <c r="I3857" s="98">
        <v>0</v>
      </c>
      <c r="J3857" s="98"/>
      <c r="K3857" s="93">
        <v>8.4630631584731013</v>
      </c>
      <c r="L3857" s="93">
        <f t="shared" si="509"/>
        <v>0</v>
      </c>
      <c r="M3857" s="95">
        <f t="shared" ca="1" si="510"/>
        <v>0</v>
      </c>
      <c r="N3857" s="95">
        <f>IF(P3857="Hedge Fund",IF(A3857=Summary!$AD$3,M3857-E3857,M3857),IF(A3857=Summary!$AD$3,L3857-D3857,L3857))</f>
        <v>0</v>
      </c>
      <c r="O3857" s="95">
        <f t="shared" si="508"/>
        <v>0</v>
      </c>
      <c r="P3857" s="107" t="s">
        <v>155</v>
      </c>
      <c r="Q3857" s="109">
        <v>0</v>
      </c>
      <c r="R3857" s="109">
        <v>0.48213380385148896</v>
      </c>
      <c r="S3857" s="107">
        <v>0</v>
      </c>
      <c r="T3857" s="107">
        <v>9.6426760770297812E-3</v>
      </c>
      <c r="U3857" s="107"/>
      <c r="V3857" s="107"/>
      <c r="W3857" s="107"/>
      <c r="X3857" s="107"/>
      <c r="Y3857" s="107"/>
      <c r="Z3857" s="107"/>
      <c r="AA3857" s="107"/>
      <c r="AB3857" s="107"/>
      <c r="AC3857" s="355"/>
      <c r="AD3857" s="355"/>
      <c r="AE3857" s="355"/>
      <c r="AF3857" s="94">
        <f t="shared" si="511"/>
        <v>43188</v>
      </c>
      <c r="AG3857" s="185">
        <f t="shared" si="506"/>
        <v>5.1233047056631342E-3</v>
      </c>
      <c r="AH3857" s="339" t="str">
        <f>VLOOKUP(B3857,'MF PF'!A:B,2)</f>
        <v>FdMgt1</v>
      </c>
      <c r="AI3857" s="358">
        <f t="shared" si="512"/>
        <v>0</v>
      </c>
      <c r="AJ3857" s="94">
        <f t="shared" si="513"/>
        <v>43190</v>
      </c>
    </row>
    <row r="3858" spans="1:53" ht="12.75" customHeight="1">
      <c r="A3858" s="8">
        <v>43220</v>
      </c>
      <c r="B3858" s="94" t="s">
        <v>189</v>
      </c>
      <c r="C3858" s="6" t="s">
        <v>304</v>
      </c>
      <c r="D3858" s="110">
        <v>9624722.6890999991</v>
      </c>
      <c r="E3858" s="9">
        <f t="shared" si="514"/>
        <v>1137262.3019436952</v>
      </c>
      <c r="F3858" s="98">
        <v>125</v>
      </c>
      <c r="G3858" s="98">
        <v>0</v>
      </c>
      <c r="H3858" s="98">
        <v>0</v>
      </c>
      <c r="I3858" s="98">
        <v>-7247660.5</v>
      </c>
      <c r="J3858" s="98"/>
      <c r="K3858" s="93">
        <v>8.4630631584731013</v>
      </c>
      <c r="L3858" s="93">
        <f t="shared" si="509"/>
        <v>-7247660.5</v>
      </c>
      <c r="M3858" s="95">
        <f t="shared" ca="1" si="510"/>
        <v>-856387.38176540053</v>
      </c>
      <c r="N3858" s="95">
        <f>IF(P3858="Hedge Fund",IF(A3858=Summary!$AD$3,M3858-E3858,M3858),IF(A3858=Summary!$AD$3,L3858-D3858,L3858))</f>
        <v>-7247660.5</v>
      </c>
      <c r="O3858" s="95">
        <f t="shared" si="508"/>
        <v>-7247660.5</v>
      </c>
      <c r="P3858" s="107" t="s">
        <v>155</v>
      </c>
      <c r="Q3858" s="109">
        <v>0</v>
      </c>
      <c r="R3858" s="109">
        <v>0.50395051347254383</v>
      </c>
      <c r="S3858" s="107">
        <v>0</v>
      </c>
      <c r="T3858" s="107">
        <v>1.0079010269450879E-2</v>
      </c>
      <c r="U3858" s="107"/>
      <c r="V3858" s="107"/>
      <c r="W3858" s="107"/>
      <c r="X3858" s="107"/>
      <c r="Y3858" s="107"/>
      <c r="Z3858" s="107"/>
      <c r="AA3858" s="107"/>
      <c r="AB3858" s="107"/>
      <c r="AC3858" s="355"/>
      <c r="AD3858" s="355"/>
      <c r="AE3858" s="355"/>
      <c r="AF3858" s="94">
        <f t="shared" si="511"/>
        <v>43220</v>
      </c>
      <c r="AG3858" s="185">
        <f t="shared" si="506"/>
        <v>8.4394020189235697E-3</v>
      </c>
      <c r="AH3858" s="339" t="str">
        <f>VLOOKUP(B3858,'MF PF'!A:B,2)</f>
        <v>FdMgt1</v>
      </c>
      <c r="AI3858" s="358">
        <f t="shared" si="512"/>
        <v>0</v>
      </c>
      <c r="AJ3858" s="94">
        <f t="shared" si="513"/>
        <v>43220</v>
      </c>
    </row>
    <row r="3859" spans="1:53" ht="12.75" customHeight="1">
      <c r="A3859" s="8">
        <v>43251</v>
      </c>
      <c r="B3859" s="358" t="s">
        <v>189</v>
      </c>
      <c r="C3859" s="94" t="s">
        <v>304</v>
      </c>
      <c r="D3859" s="110">
        <v>9261976.1404999997</v>
      </c>
      <c r="E3859" s="9">
        <f t="shared" si="514"/>
        <v>1094399.9787153944</v>
      </c>
      <c r="F3859" s="98">
        <v>125</v>
      </c>
      <c r="G3859" s="98">
        <v>0</v>
      </c>
      <c r="H3859" s="98">
        <v>0</v>
      </c>
      <c r="I3859" s="98">
        <v>0</v>
      </c>
      <c r="J3859" s="98"/>
      <c r="K3859" s="93">
        <v>8.4630631584731013</v>
      </c>
      <c r="L3859" s="93">
        <f t="shared" si="509"/>
        <v>0</v>
      </c>
      <c r="M3859" s="95">
        <f t="shared" ca="1" si="510"/>
        <v>0</v>
      </c>
      <c r="N3859" s="95">
        <f>IF(P3859="Hedge Fund",IF(A3859=Summary!$AD$3,M3859-E3859,M3859),IF(A3859=Summary!$AD$3,L3859-D3859,L3859))</f>
        <v>0</v>
      </c>
      <c r="O3859" s="95">
        <f t="shared" si="508"/>
        <v>0</v>
      </c>
      <c r="P3859" s="107" t="s">
        <v>155</v>
      </c>
      <c r="Q3859" s="107">
        <v>0</v>
      </c>
      <c r="R3859" s="109">
        <v>0.43693218251381599</v>
      </c>
      <c r="S3859" s="107">
        <v>0</v>
      </c>
      <c r="T3859" s="107">
        <v>8.7386436502763214E-3</v>
      </c>
      <c r="U3859" s="107"/>
      <c r="V3859" s="107"/>
      <c r="W3859" s="107"/>
      <c r="X3859" s="107"/>
      <c r="Y3859" s="107"/>
      <c r="Z3859" s="107"/>
      <c r="AA3859" s="107"/>
      <c r="AB3859" s="107"/>
      <c r="AC3859" s="355"/>
      <c r="AD3859" s="355"/>
      <c r="AE3859" s="355"/>
      <c r="AF3859" s="94">
        <f t="shared" si="511"/>
        <v>43251</v>
      </c>
      <c r="AG3859" s="185">
        <f t="shared" si="506"/>
        <v>-3.7689038979877298E-2</v>
      </c>
      <c r="AH3859" s="339" t="str">
        <f>VLOOKUP(B3859,'MF PF'!A:B,2)</f>
        <v>FdMgt1</v>
      </c>
      <c r="AI3859" s="358">
        <f t="shared" si="512"/>
        <v>0</v>
      </c>
      <c r="AJ3859" s="94">
        <f t="shared" si="513"/>
        <v>43251</v>
      </c>
    </row>
    <row r="3860" spans="1:53" ht="12.75" customHeight="1">
      <c r="A3860" s="8">
        <v>43280</v>
      </c>
      <c r="B3860" s="358" t="s">
        <v>189</v>
      </c>
      <c r="C3860" s="94" t="s">
        <v>304</v>
      </c>
      <c r="D3860" s="110">
        <v>8973160.1423000004</v>
      </c>
      <c r="E3860" s="95">
        <f t="shared" si="514"/>
        <v>1060273.3282589528</v>
      </c>
      <c r="F3860" s="98">
        <v>125</v>
      </c>
      <c r="G3860" s="98">
        <v>0</v>
      </c>
      <c r="H3860" s="98">
        <v>0</v>
      </c>
      <c r="I3860" s="98">
        <v>0</v>
      </c>
      <c r="J3860" s="98"/>
      <c r="K3860" s="93">
        <v>8.4630631584731013</v>
      </c>
      <c r="L3860" s="93">
        <f t="shared" si="509"/>
        <v>0</v>
      </c>
      <c r="M3860" s="95">
        <f t="shared" ca="1" si="510"/>
        <v>0</v>
      </c>
      <c r="N3860" s="95">
        <f>IF(P3860="Hedge Fund",IF(A3860=Summary!$AD$3,M3860-E3860,M3860),IF(A3860=Summary!$AD$3,L3860-D3860,L3860))</f>
        <v>0</v>
      </c>
      <c r="O3860" s="95">
        <f t="shared" si="508"/>
        <v>0</v>
      </c>
      <c r="P3860" s="107" t="s">
        <v>155</v>
      </c>
      <c r="Q3860" s="107">
        <v>0</v>
      </c>
      <c r="R3860" s="109">
        <v>0.38315423954179501</v>
      </c>
      <c r="S3860" s="107">
        <v>0</v>
      </c>
      <c r="T3860" s="107">
        <v>7.6630847908359008E-3</v>
      </c>
      <c r="U3860" s="107"/>
      <c r="V3860" s="107"/>
      <c r="W3860" s="107"/>
      <c r="X3860" s="107"/>
      <c r="Y3860" s="107"/>
      <c r="Z3860" s="107"/>
      <c r="AA3860" s="107"/>
      <c r="AB3860" s="107"/>
      <c r="AC3860" s="355"/>
      <c r="AD3860" s="355"/>
      <c r="AE3860" s="355"/>
      <c r="AF3860" s="94">
        <f t="shared" si="511"/>
        <v>43280</v>
      </c>
      <c r="AG3860" s="185">
        <f t="shared" si="506"/>
        <v>-3.1182977997221251E-2</v>
      </c>
      <c r="AH3860" s="339" t="str">
        <f>VLOOKUP(B3860,'MF PF'!A:B,2)</f>
        <v>FdMgt1</v>
      </c>
      <c r="AI3860" s="358">
        <f t="shared" si="512"/>
        <v>0</v>
      </c>
      <c r="AJ3860" s="94">
        <f t="shared" si="513"/>
        <v>43281</v>
      </c>
    </row>
    <row r="3861" spans="1:53" ht="12.75" customHeight="1">
      <c r="A3861" s="8">
        <v>43312</v>
      </c>
      <c r="B3861" s="358" t="s">
        <v>189</v>
      </c>
      <c r="C3861" s="94" t="s">
        <v>304</v>
      </c>
      <c r="D3861" s="110">
        <v>8940535.7721999995</v>
      </c>
      <c r="E3861" s="95">
        <f t="shared" si="514"/>
        <v>1056418.4155058395</v>
      </c>
      <c r="F3861" s="98">
        <v>125</v>
      </c>
      <c r="G3861" s="98">
        <v>0</v>
      </c>
      <c r="H3861" s="98">
        <v>0</v>
      </c>
      <c r="I3861" s="98">
        <v>0</v>
      </c>
      <c r="J3861" s="98"/>
      <c r="K3861" s="93">
        <v>8.4630631584731013</v>
      </c>
      <c r="L3861" s="93">
        <f t="shared" si="509"/>
        <v>0</v>
      </c>
      <c r="M3861" s="95">
        <f t="shared" ca="1" si="510"/>
        <v>0</v>
      </c>
      <c r="N3861" s="95">
        <f>IF(P3861="Hedge Fund",IF(A3861=Summary!$AD$3,M3861-E3861,M3861),IF(A3861=Summary!$AD$3,L3861-D3861,L3861))</f>
        <v>0</v>
      </c>
      <c r="O3861" s="95">
        <f t="shared" si="508"/>
        <v>0</v>
      </c>
      <c r="P3861" s="107" t="s">
        <v>155</v>
      </c>
      <c r="Q3861" s="107">
        <v>0</v>
      </c>
      <c r="R3861" s="109">
        <v>0.374295853226844</v>
      </c>
      <c r="S3861" s="107">
        <v>0</v>
      </c>
      <c r="T3861" s="107">
        <v>7.485917064536881E-3</v>
      </c>
      <c r="U3861" s="107"/>
      <c r="V3861" s="107"/>
      <c r="W3861" s="107"/>
      <c r="X3861" s="107"/>
      <c r="Y3861" s="107"/>
      <c r="Z3861" s="107"/>
      <c r="AA3861" s="107"/>
      <c r="AB3861" s="107"/>
      <c r="AC3861" s="355"/>
      <c r="AD3861" s="355"/>
      <c r="AE3861" s="355"/>
      <c r="AF3861" s="94">
        <f t="shared" si="511"/>
        <v>43312</v>
      </c>
      <c r="AG3861" s="185">
        <f t="shared" si="506"/>
        <v>-3.6357726355743525E-3</v>
      </c>
      <c r="AH3861" s="339" t="str">
        <f>VLOOKUP(B3861,'MF PF'!A:B,2)</f>
        <v>FdMgt1</v>
      </c>
      <c r="AI3861" s="358">
        <f t="shared" si="512"/>
        <v>0</v>
      </c>
      <c r="AJ3861" s="94">
        <f t="shared" si="513"/>
        <v>43312</v>
      </c>
    </row>
    <row r="3862" spans="1:53" ht="12.75" customHeight="1">
      <c r="A3862" s="8">
        <v>43343</v>
      </c>
      <c r="B3862" s="358" t="s">
        <v>189</v>
      </c>
      <c r="C3862" s="94" t="s">
        <v>304</v>
      </c>
      <c r="D3862" s="110">
        <v>8914384.2567999996</v>
      </c>
      <c r="E3862" s="95">
        <f t="shared" si="514"/>
        <v>1053328.338673101</v>
      </c>
      <c r="F3862" s="98">
        <v>125</v>
      </c>
      <c r="G3862" s="98">
        <v>0</v>
      </c>
      <c r="H3862" s="98">
        <v>0</v>
      </c>
      <c r="I3862" s="98">
        <v>0</v>
      </c>
      <c r="J3862" s="98"/>
      <c r="K3862" s="93">
        <v>8.4630631584731013</v>
      </c>
      <c r="L3862" s="93">
        <f t="shared" si="509"/>
        <v>0</v>
      </c>
      <c r="M3862" s="95">
        <f t="shared" ca="1" si="510"/>
        <v>0</v>
      </c>
      <c r="N3862" s="95">
        <f>IF(P3862="Hedge Fund",IF(A3862=Summary!$AD$3,M3862-E3862,M3862),IF(A3862=Summary!$AD$3,L3862-D3862,L3862))</f>
        <v>0</v>
      </c>
      <c r="O3862" s="95">
        <f t="shared" si="508"/>
        <v>0</v>
      </c>
      <c r="P3862" s="107" t="s">
        <v>155</v>
      </c>
      <c r="Q3862" s="107">
        <v>0</v>
      </c>
      <c r="R3862" s="109">
        <v>0.36667664624437701</v>
      </c>
      <c r="S3862" s="107">
        <v>0</v>
      </c>
      <c r="T3862" s="107">
        <v>7.3335329248875418E-3</v>
      </c>
      <c r="U3862" s="107"/>
      <c r="V3862" s="107"/>
      <c r="W3862" s="107"/>
      <c r="X3862" s="107"/>
      <c r="Y3862" s="107"/>
      <c r="Z3862" s="107"/>
      <c r="AA3862" s="107"/>
      <c r="AB3862" s="107"/>
      <c r="AC3862" s="355"/>
      <c r="AD3862" s="355"/>
      <c r="AE3862" s="355"/>
      <c r="AF3862" s="94">
        <f t="shared" si="511"/>
        <v>43343</v>
      </c>
      <c r="AG3862" s="185">
        <f t="shared" si="506"/>
        <v>-2.9250501386411942E-3</v>
      </c>
      <c r="AH3862" s="339" t="str">
        <f>VLOOKUP(B3862,'MF PF'!A:B,2)</f>
        <v>FdMgt1</v>
      </c>
      <c r="AI3862" s="358">
        <f t="shared" si="512"/>
        <v>0</v>
      </c>
      <c r="AJ3862" s="94">
        <f t="shared" si="513"/>
        <v>43343</v>
      </c>
    </row>
    <row r="3863" spans="1:53" ht="12.75" customHeight="1">
      <c r="A3863" s="8">
        <v>43371</v>
      </c>
      <c r="B3863" s="358" t="s">
        <v>189</v>
      </c>
      <c r="C3863" s="6" t="s">
        <v>304</v>
      </c>
      <c r="D3863" s="110">
        <v>8584717.2054999992</v>
      </c>
      <c r="E3863" s="95"/>
      <c r="F3863" s="98">
        <v>125</v>
      </c>
      <c r="G3863" s="98"/>
      <c r="H3863" s="93">
        <v>0</v>
      </c>
      <c r="I3863" s="93">
        <v>0</v>
      </c>
      <c r="K3863" s="93">
        <v>0</v>
      </c>
      <c r="L3863" s="93">
        <f t="shared" si="509"/>
        <v>0</v>
      </c>
      <c r="M3863" s="95" t="e">
        <f t="shared" ca="1" si="510"/>
        <v>#DIV/0!</v>
      </c>
      <c r="N3863" s="95">
        <f>IF(P3863="Hedge Fund",IF(A3863=Summary!$AD$3,M3863-E3863,M3863),IF(A3863=Summary!$AD$3,L3863-D3863,L3863))</f>
        <v>0</v>
      </c>
      <c r="O3863" s="95">
        <f t="shared" si="508"/>
        <v>0</v>
      </c>
      <c r="P3863" s="95" t="s">
        <v>155</v>
      </c>
      <c r="Q3863" s="95">
        <v>0</v>
      </c>
      <c r="R3863" s="95">
        <v>0.30578660667896385</v>
      </c>
      <c r="S3863" s="95"/>
      <c r="T3863" s="95">
        <v>6.1157321335792783E-3</v>
      </c>
      <c r="U3863" s="95"/>
      <c r="V3863" s="95"/>
      <c r="W3863" s="95"/>
      <c r="X3863" s="95"/>
      <c r="Y3863" s="95"/>
      <c r="Z3863" s="95"/>
      <c r="AA3863" s="95"/>
      <c r="AB3863" s="95"/>
      <c r="AC3863" s="355"/>
      <c r="AD3863" s="355"/>
      <c r="AE3863" s="355"/>
      <c r="AF3863" s="94">
        <f t="shared" si="511"/>
        <v>43371</v>
      </c>
      <c r="AG3863" s="185">
        <f t="shared" si="506"/>
        <v>-3.6981471945022659E-2</v>
      </c>
      <c r="AH3863" s="339" t="str">
        <f>VLOOKUP(B3863,'MF PF'!A:B,2)</f>
        <v>FdMgt1</v>
      </c>
      <c r="AI3863" s="358">
        <f t="shared" si="512"/>
        <v>0</v>
      </c>
      <c r="AJ3863" s="94">
        <f t="shared" si="513"/>
        <v>43373</v>
      </c>
    </row>
    <row r="3864" spans="1:53" ht="12.75" customHeight="1">
      <c r="A3864" s="8">
        <v>43404</v>
      </c>
      <c r="B3864" s="358" t="s">
        <v>189</v>
      </c>
      <c r="C3864" s="6" t="s">
        <v>304</v>
      </c>
      <c r="D3864" s="93">
        <v>8084163.6621000003</v>
      </c>
      <c r="E3864" s="95"/>
      <c r="F3864" s="98">
        <v>125</v>
      </c>
      <c r="G3864" s="93"/>
      <c r="H3864" s="93">
        <v>0</v>
      </c>
      <c r="I3864" s="93">
        <v>-450287.32</v>
      </c>
      <c r="J3864" s="93">
        <v>0</v>
      </c>
      <c r="K3864" s="93"/>
      <c r="L3864" s="93">
        <f t="shared" si="509"/>
        <v>-450287.32</v>
      </c>
      <c r="M3864" s="95" t="e">
        <f t="shared" ca="1" si="510"/>
        <v>#DIV/0!</v>
      </c>
      <c r="N3864" s="95">
        <f>IF(P3864="Hedge Fund",IF(A3864=Summary!$AD$3,M3864-E3864,M3864),IF(A3864=Summary!$AD$3,L3864-D3864,L3864))</f>
        <v>-450287.32</v>
      </c>
      <c r="O3864" s="95">
        <f t="shared" si="508"/>
        <v>-450287.32</v>
      </c>
      <c r="P3864" s="95" t="s">
        <v>155</v>
      </c>
      <c r="Q3864" s="95">
        <v>0</v>
      </c>
      <c r="R3864" s="95">
        <v>0.29400541025999199</v>
      </c>
      <c r="S3864" s="95"/>
      <c r="T3864" s="95">
        <v>5.8801082051998408E-3</v>
      </c>
      <c r="U3864" s="95"/>
      <c r="V3864" s="95"/>
      <c r="W3864" s="95"/>
      <c r="X3864" s="95"/>
      <c r="Y3864" s="95"/>
      <c r="Z3864" s="95"/>
      <c r="AA3864" s="95"/>
      <c r="AB3864" s="95"/>
      <c r="AC3864" s="355"/>
      <c r="AD3864" s="355"/>
      <c r="AE3864" s="355"/>
      <c r="AF3864" s="94">
        <f t="shared" si="511"/>
        <v>43404</v>
      </c>
      <c r="AG3864" s="185">
        <f t="shared" si="506"/>
        <v>-5.8553149971899421E-3</v>
      </c>
      <c r="AH3864" s="339" t="str">
        <f>VLOOKUP(B3864,'MF PF'!A:B,2)</f>
        <v>FdMgt1</v>
      </c>
      <c r="AI3864" s="358">
        <f t="shared" si="512"/>
        <v>0</v>
      </c>
      <c r="AJ3864" s="94">
        <f t="shared" si="513"/>
        <v>43404</v>
      </c>
    </row>
    <row r="3865" spans="1:53" ht="12.75" customHeight="1">
      <c r="A3865" s="8">
        <v>43434</v>
      </c>
      <c r="B3865" s="358" t="s">
        <v>189</v>
      </c>
      <c r="C3865" s="6" t="s">
        <v>304</v>
      </c>
      <c r="D3865" s="93">
        <v>8022161.9615000002</v>
      </c>
      <c r="E3865" s="95"/>
      <c r="F3865" s="98">
        <v>125</v>
      </c>
      <c r="G3865" s="93"/>
      <c r="H3865" s="93">
        <v>0</v>
      </c>
      <c r="I3865" s="93">
        <v>0</v>
      </c>
      <c r="K3865" s="93">
        <v>0</v>
      </c>
      <c r="L3865" s="93">
        <f t="shared" si="509"/>
        <v>0</v>
      </c>
      <c r="M3865" s="95" t="e">
        <f t="shared" ca="1" si="510"/>
        <v>#DIV/0!</v>
      </c>
      <c r="N3865" s="95">
        <f>IF(P3865="Hedge Fund",IF(A3865=Summary!$AD$3,M3865-E3865,M3865),IF(A3865=Summary!$AD$3,L3865-D3865,L3865))</f>
        <v>0</v>
      </c>
      <c r="O3865" s="95">
        <f t="shared" si="508"/>
        <v>0</v>
      </c>
      <c r="P3865" s="95" t="s">
        <v>155</v>
      </c>
      <c r="Q3865" s="95">
        <v>0</v>
      </c>
      <c r="R3865" s="95">
        <v>0.28041785430603156</v>
      </c>
      <c r="S3865" s="95"/>
      <c r="T3865" s="95">
        <f>5608.357137/10^6</f>
        <v>5.6083571370000003E-3</v>
      </c>
      <c r="U3865" s="95"/>
      <c r="V3865" s="95"/>
      <c r="W3865" s="95"/>
      <c r="X3865" s="95"/>
      <c r="Y3865" s="95"/>
      <c r="Z3865" s="95"/>
      <c r="AA3865" s="95"/>
      <c r="AB3865" s="95"/>
      <c r="AC3865" s="355"/>
      <c r="AD3865" s="355"/>
      <c r="AE3865" s="355"/>
      <c r="AF3865" s="94">
        <f t="shared" si="511"/>
        <v>43434</v>
      </c>
      <c r="AG3865" s="185">
        <f t="shared" si="506"/>
        <v>-7.6695256542955725E-3</v>
      </c>
      <c r="AH3865" s="339" t="str">
        <f>VLOOKUP(B3865,'MF PF'!A:B,2)</f>
        <v>FdMgt1</v>
      </c>
      <c r="AI3865" s="358">
        <f t="shared" si="512"/>
        <v>0</v>
      </c>
      <c r="AJ3865" s="94">
        <f t="shared" si="513"/>
        <v>43434</v>
      </c>
    </row>
    <row r="3866" spans="1:53" ht="12.75" customHeight="1">
      <c r="A3866" s="8">
        <v>43465</v>
      </c>
      <c r="B3866" s="358" t="s">
        <v>189</v>
      </c>
      <c r="C3866" s="6" t="s">
        <v>304</v>
      </c>
      <c r="D3866" s="93">
        <v>6819978.3196999999</v>
      </c>
      <c r="E3866" s="95"/>
      <c r="F3866" s="93">
        <v>125</v>
      </c>
      <c r="G3866" s="93"/>
      <c r="H3866" s="93">
        <v>0</v>
      </c>
      <c r="I3866" s="93">
        <v>0</v>
      </c>
      <c r="K3866" s="93">
        <v>0</v>
      </c>
      <c r="L3866" s="93">
        <f t="shared" si="509"/>
        <v>0</v>
      </c>
      <c r="M3866" s="95" t="e">
        <f t="shared" ca="1" si="510"/>
        <v>#DIV/0!</v>
      </c>
      <c r="N3866" s="95">
        <f>IF(P3866="Hedge Fund",IF(A3866=Summary!$AD$3,M3866-E3866,M3866),IF(A3866=Summary!$AD$3,L3866-D3866,L3866))</f>
        <v>0</v>
      </c>
      <c r="O3866" s="95">
        <f t="shared" si="508"/>
        <v>0</v>
      </c>
      <c r="P3866" s="95" t="s">
        <v>155</v>
      </c>
      <c r="Q3866" s="95">
        <v>0</v>
      </c>
      <c r="R3866" s="95">
        <v>6.5533520252414226E-2</v>
      </c>
      <c r="S3866" s="95"/>
      <c r="T3866" s="95"/>
      <c r="U3866" s="95"/>
      <c r="V3866" s="95"/>
      <c r="W3866" s="95"/>
      <c r="X3866" s="95"/>
      <c r="Y3866" s="95"/>
      <c r="Z3866" s="95"/>
      <c r="AA3866" s="95"/>
      <c r="AB3866" s="95"/>
      <c r="AC3866" s="355"/>
      <c r="AD3866" s="355"/>
      <c r="AE3866" s="355"/>
      <c r="AF3866" s="94">
        <f t="shared" si="511"/>
        <v>43465</v>
      </c>
      <c r="AG3866" s="185">
        <f t="shared" si="506"/>
        <v>-0.1498578123415516</v>
      </c>
      <c r="AH3866" s="339" t="str">
        <f>VLOOKUP(B3866,'MF PF'!A:B,2)</f>
        <v>FdMgt1</v>
      </c>
      <c r="AI3866" s="358">
        <f t="shared" si="512"/>
        <v>0</v>
      </c>
      <c r="AJ3866" s="94">
        <f t="shared" si="513"/>
        <v>43465</v>
      </c>
    </row>
    <row r="3867" spans="1:53" ht="12.75" customHeight="1">
      <c r="A3867" s="8">
        <v>43496</v>
      </c>
      <c r="B3867" s="358" t="s">
        <v>189</v>
      </c>
      <c r="C3867" s="6" t="s">
        <v>304</v>
      </c>
      <c r="D3867" s="93">
        <v>7119448.5938999997</v>
      </c>
      <c r="E3867" s="95"/>
      <c r="F3867" s="93">
        <v>125</v>
      </c>
      <c r="G3867" s="93"/>
      <c r="H3867" s="93">
        <v>0</v>
      </c>
      <c r="I3867" s="93">
        <v>0</v>
      </c>
      <c r="K3867" s="93">
        <v>0</v>
      </c>
      <c r="L3867" s="93">
        <f t="shared" si="509"/>
        <v>0</v>
      </c>
      <c r="M3867" s="95" t="e">
        <f t="shared" ca="1" si="510"/>
        <v>#DIV/0!</v>
      </c>
      <c r="N3867" s="95">
        <f>IF(P3867="Hedge Fund",IF(A3867=Summary!$AD$3,M3867-E3867,M3867),IF(A3867=Summary!$AD$3,L3867-D3867,L3867))</f>
        <v>-7119448.5938999997</v>
      </c>
      <c r="O3867" s="95">
        <f t="shared" si="508"/>
        <v>-7119448.5938999997</v>
      </c>
      <c r="P3867" s="95" t="s">
        <v>155</v>
      </c>
      <c r="Q3867" s="95">
        <v>0</v>
      </c>
      <c r="R3867" s="95">
        <v>0.11564693606879919</v>
      </c>
      <c r="S3867" s="95"/>
      <c r="T3867" s="95"/>
      <c r="U3867" s="95"/>
      <c r="V3867" s="95"/>
      <c r="W3867" s="95"/>
      <c r="X3867" s="95"/>
      <c r="Y3867" s="95"/>
      <c r="Z3867" s="95"/>
      <c r="AA3867" s="95"/>
      <c r="AB3867" s="95"/>
      <c r="AC3867" s="355"/>
      <c r="AD3867" s="355"/>
      <c r="AE3867" s="355"/>
      <c r="AF3867" s="94">
        <f t="shared" si="511"/>
        <v>43496</v>
      </c>
      <c r="AG3867" s="185">
        <f t="shared" si="506"/>
        <v>4.3910736979171583E-2</v>
      </c>
      <c r="AH3867" s="339" t="str">
        <f>VLOOKUP(B3867,'MF PF'!A:B,2)</f>
        <v>FdMgt1</v>
      </c>
      <c r="AI3867" s="358">
        <f t="shared" si="512"/>
        <v>0</v>
      </c>
      <c r="AJ3867" s="94">
        <f t="shared" si="513"/>
        <v>43496</v>
      </c>
    </row>
    <row r="3868" spans="1:53" ht="12.75" customHeight="1">
      <c r="A3868" s="8">
        <v>41121</v>
      </c>
      <c r="B3868" s="94" t="s">
        <v>189</v>
      </c>
      <c r="C3868" s="6" t="s">
        <v>305</v>
      </c>
      <c r="D3868" s="98">
        <v>1440000</v>
      </c>
      <c r="E3868" s="95">
        <f t="shared" ref="E3868:E3899" si="515">D3868/K3868</f>
        <v>1440000</v>
      </c>
      <c r="F3868" s="98">
        <v>12</v>
      </c>
      <c r="G3868" s="98">
        <v>1440000</v>
      </c>
      <c r="H3868" s="98">
        <v>0</v>
      </c>
      <c r="I3868" s="98">
        <v>0</v>
      </c>
      <c r="J3868" s="98"/>
      <c r="K3868" s="93">
        <v>1</v>
      </c>
      <c r="L3868" s="93">
        <f t="shared" si="509"/>
        <v>1440000</v>
      </c>
      <c r="M3868" s="95">
        <f t="shared" ca="1" si="510"/>
        <v>1440000</v>
      </c>
      <c r="N3868" s="95">
        <f>IF(P3868="Hedge Fund",IF(A3868=Summary!$AD$3,M3868-E3868,M3868),IF(A3868=Summary!$AD$3,L3868-D3868,L3868))</f>
        <v>1440000</v>
      </c>
      <c r="O3868" s="95">
        <f t="shared" si="508"/>
        <v>1440000</v>
      </c>
      <c r="P3868" s="107" t="s">
        <v>155</v>
      </c>
      <c r="Q3868" s="107">
        <v>0</v>
      </c>
      <c r="R3868" s="107">
        <v>0</v>
      </c>
      <c r="S3868" s="107">
        <v>0</v>
      </c>
      <c r="T3868" s="107">
        <v>0</v>
      </c>
      <c r="U3868" s="107"/>
      <c r="V3868" s="107"/>
      <c r="W3868" s="107"/>
      <c r="X3868" s="107"/>
      <c r="Y3868" s="107"/>
      <c r="Z3868" s="107"/>
      <c r="AA3868" s="107"/>
      <c r="AB3868" s="107"/>
      <c r="AC3868" s="355"/>
      <c r="AD3868" s="355"/>
      <c r="AE3868" s="355"/>
      <c r="AF3868" s="94">
        <f t="shared" si="511"/>
        <v>41121</v>
      </c>
      <c r="AG3868" s="185">
        <f t="shared" si="506"/>
        <v>0</v>
      </c>
      <c r="AH3868" s="339" t="str">
        <f>VLOOKUP(B3868,'MF PF'!A:B,2)</f>
        <v>FdMgt1</v>
      </c>
      <c r="AI3868" s="358">
        <f t="shared" si="512"/>
        <v>0</v>
      </c>
      <c r="AJ3868" s="94">
        <f t="shared" si="513"/>
        <v>41121</v>
      </c>
    </row>
    <row r="3869" spans="1:53" ht="12.75" customHeight="1">
      <c r="A3869" s="8">
        <v>41152</v>
      </c>
      <c r="B3869" s="94" t="s">
        <v>189</v>
      </c>
      <c r="C3869" s="6" t="s">
        <v>305</v>
      </c>
      <c r="D3869" s="98">
        <v>1437405.52</v>
      </c>
      <c r="E3869" s="95">
        <f t="shared" si="515"/>
        <v>1437405.52</v>
      </c>
      <c r="F3869" s="98">
        <v>12</v>
      </c>
      <c r="G3869" s="98">
        <v>0</v>
      </c>
      <c r="H3869" s="98">
        <v>0</v>
      </c>
      <c r="I3869" s="98">
        <v>0</v>
      </c>
      <c r="J3869" s="98"/>
      <c r="K3869" s="93">
        <v>1</v>
      </c>
      <c r="L3869" s="93">
        <f t="shared" si="509"/>
        <v>0</v>
      </c>
      <c r="M3869" s="95">
        <f t="shared" ca="1" si="510"/>
        <v>0</v>
      </c>
      <c r="N3869" s="95">
        <f>IF(P3869="Hedge Fund",IF(A3869=Summary!$AD$3,M3869-E3869,M3869),IF(A3869=Summary!$AD$3,L3869-D3869,L3869))</f>
        <v>0</v>
      </c>
      <c r="O3869" s="95">
        <f t="shared" si="508"/>
        <v>0</v>
      </c>
      <c r="P3869" s="107" t="s">
        <v>155</v>
      </c>
      <c r="Q3869" s="107">
        <v>0</v>
      </c>
      <c r="R3869" s="107">
        <v>0</v>
      </c>
      <c r="S3869" s="107">
        <v>0</v>
      </c>
      <c r="T3869" s="107">
        <v>0</v>
      </c>
      <c r="U3869" s="107"/>
      <c r="V3869" s="107"/>
      <c r="W3869" s="107"/>
      <c r="X3869" s="107"/>
      <c r="Y3869" s="107"/>
      <c r="Z3869" s="107"/>
      <c r="AA3869" s="107"/>
      <c r="AB3869" s="107"/>
      <c r="AC3869" s="355"/>
      <c r="AD3869" s="355"/>
      <c r="AE3869" s="355"/>
      <c r="AF3869" s="94">
        <f t="shared" si="511"/>
        <v>41152</v>
      </c>
      <c r="AG3869" s="185">
        <f t="shared" si="506"/>
        <v>-1.8017222222221907E-3</v>
      </c>
      <c r="AH3869" s="339" t="str">
        <f>VLOOKUP(B3869,'MF PF'!A:B,2)</f>
        <v>FdMgt1</v>
      </c>
      <c r="AI3869" s="358">
        <f t="shared" si="512"/>
        <v>0</v>
      </c>
      <c r="AJ3869" s="94">
        <f t="shared" si="513"/>
        <v>41152</v>
      </c>
    </row>
    <row r="3870" spans="1:53" ht="12.75" customHeight="1">
      <c r="A3870" s="8">
        <v>41180</v>
      </c>
      <c r="B3870" s="94" t="s">
        <v>189</v>
      </c>
      <c r="C3870" s="6" t="s">
        <v>305</v>
      </c>
      <c r="D3870" s="98">
        <v>2150247.52</v>
      </c>
      <c r="E3870" s="95">
        <f t="shared" si="515"/>
        <v>1424711.8052019663</v>
      </c>
      <c r="F3870" s="98">
        <v>12</v>
      </c>
      <c r="G3870" s="98">
        <v>732000</v>
      </c>
      <c r="H3870" s="98">
        <v>0</v>
      </c>
      <c r="I3870" s="98">
        <v>0</v>
      </c>
      <c r="J3870" s="98"/>
      <c r="K3870" s="93">
        <v>1.5092508619279548</v>
      </c>
      <c r="L3870" s="93">
        <f t="shared" si="509"/>
        <v>732000</v>
      </c>
      <c r="M3870" s="95">
        <f t="shared" ca="1" si="510"/>
        <v>0</v>
      </c>
      <c r="N3870" s="95">
        <f>IF(P3870="Hedge Fund",IF(A3870=Summary!$AD$3,M3870-E3870,M3870),IF(A3870=Summary!$AD$3,L3870-D3870,L3870))</f>
        <v>732000</v>
      </c>
      <c r="O3870" s="95">
        <f t="shared" si="508"/>
        <v>732000</v>
      </c>
      <c r="P3870" s="107" t="s">
        <v>155</v>
      </c>
      <c r="Q3870" s="107">
        <v>0</v>
      </c>
      <c r="R3870" s="107">
        <v>0</v>
      </c>
      <c r="S3870" s="107">
        <v>0</v>
      </c>
      <c r="T3870" s="107">
        <v>0</v>
      </c>
      <c r="U3870" s="107"/>
      <c r="V3870" s="107"/>
      <c r="W3870" s="107"/>
      <c r="X3870" s="107"/>
      <c r="Y3870" s="107"/>
      <c r="Z3870" s="107"/>
      <c r="AA3870" s="107"/>
      <c r="AB3870" s="107"/>
      <c r="AC3870" s="355"/>
      <c r="AD3870" s="355"/>
      <c r="AE3870" s="355"/>
      <c r="AF3870" s="94">
        <f t="shared" si="511"/>
        <v>41180</v>
      </c>
      <c r="AG3870" s="185">
        <f t="shared" si="506"/>
        <v>-1.332818034537675E-2</v>
      </c>
      <c r="AH3870" s="339" t="str">
        <f>VLOOKUP(B3870,'MF PF'!A:B,2)</f>
        <v>FdMgt1</v>
      </c>
      <c r="AI3870" s="358">
        <f t="shared" si="512"/>
        <v>0</v>
      </c>
      <c r="AJ3870" s="94">
        <f t="shared" si="513"/>
        <v>41182</v>
      </c>
    </row>
    <row r="3871" spans="1:53" ht="12.75" customHeight="1">
      <c r="A3871" s="8">
        <v>41213</v>
      </c>
      <c r="B3871" s="94" t="s">
        <v>189</v>
      </c>
      <c r="C3871" s="6" t="s">
        <v>305</v>
      </c>
      <c r="D3871" s="98">
        <v>2194561.5040000002</v>
      </c>
      <c r="E3871" s="95">
        <f t="shared" si="515"/>
        <v>1454073.3812777901</v>
      </c>
      <c r="F3871" s="98">
        <v>12</v>
      </c>
      <c r="G3871" s="98">
        <v>0</v>
      </c>
      <c r="H3871" s="98">
        <v>0</v>
      </c>
      <c r="I3871" s="98">
        <v>0</v>
      </c>
      <c r="J3871" s="98"/>
      <c r="K3871" s="93">
        <v>1.5092508619279548</v>
      </c>
      <c r="L3871" s="93">
        <f t="shared" si="509"/>
        <v>0</v>
      </c>
      <c r="M3871" s="95">
        <f t="shared" ca="1" si="510"/>
        <v>0</v>
      </c>
      <c r="N3871" s="95">
        <f>IF(P3871="Hedge Fund",IF(A3871=Summary!$AD$3,M3871-E3871,M3871),IF(A3871=Summary!$AD$3,L3871-D3871,L3871))</f>
        <v>0</v>
      </c>
      <c r="O3871" s="95">
        <f t="shared" si="508"/>
        <v>0</v>
      </c>
      <c r="P3871" s="107" t="s">
        <v>155</v>
      </c>
      <c r="Q3871" s="107">
        <v>0</v>
      </c>
      <c r="R3871" s="107">
        <v>0</v>
      </c>
      <c r="S3871" s="107">
        <v>0</v>
      </c>
      <c r="T3871" s="107">
        <v>0</v>
      </c>
      <c r="U3871" s="107"/>
      <c r="V3871" s="107"/>
      <c r="W3871" s="107"/>
      <c r="X3871" s="107"/>
      <c r="Y3871" s="107"/>
      <c r="Z3871" s="107"/>
      <c r="AA3871" s="107"/>
      <c r="AB3871" s="107"/>
      <c r="AC3871" s="355"/>
      <c r="AD3871" s="355"/>
      <c r="AE3871" s="355"/>
      <c r="AF3871" s="94">
        <f t="shared" si="511"/>
        <v>41213</v>
      </c>
      <c r="AG3871" s="185">
        <f t="shared" si="506"/>
        <v>2.0608782750741295E-2</v>
      </c>
      <c r="AH3871" s="339" t="str">
        <f>VLOOKUP(B3871,'MF PF'!A:B,2)</f>
        <v>FdMgt1</v>
      </c>
      <c r="AI3871" s="358">
        <f t="shared" si="512"/>
        <v>0</v>
      </c>
      <c r="AJ3871" s="94">
        <f t="shared" si="513"/>
        <v>41213</v>
      </c>
      <c r="AK3871" s="358"/>
      <c r="AL3871" s="358"/>
      <c r="AM3871" s="358"/>
      <c r="AN3871" s="358"/>
      <c r="AO3871" s="358"/>
      <c r="AP3871" s="358"/>
      <c r="AQ3871" s="358"/>
      <c r="AR3871" s="358"/>
      <c r="AS3871" s="358"/>
      <c r="AT3871" s="358"/>
      <c r="AU3871" s="358"/>
      <c r="AV3871" s="358"/>
      <c r="AW3871" s="358"/>
      <c r="AX3871" s="358"/>
      <c r="AY3871" s="358"/>
      <c r="AZ3871" s="358"/>
      <c r="BA3871" s="358"/>
    </row>
    <row r="3872" spans="1:53" ht="12.75" customHeight="1">
      <c r="A3872" s="8">
        <v>41243</v>
      </c>
      <c r="B3872" s="94" t="s">
        <v>189</v>
      </c>
      <c r="C3872" s="358" t="s">
        <v>305</v>
      </c>
      <c r="D3872" s="98">
        <v>5059264.9359999998</v>
      </c>
      <c r="E3872" s="95">
        <f t="shared" si="515"/>
        <v>1456579.1281708707</v>
      </c>
      <c r="F3872" s="98">
        <v>12</v>
      </c>
      <c r="G3872" s="98">
        <v>2856000</v>
      </c>
      <c r="H3872" s="98">
        <v>0</v>
      </c>
      <c r="I3872" s="98">
        <v>0</v>
      </c>
      <c r="J3872" s="98"/>
      <c r="K3872" s="93">
        <v>3.4733883234708136</v>
      </c>
      <c r="L3872" s="93">
        <f t="shared" si="509"/>
        <v>2856000</v>
      </c>
      <c r="M3872" s="95">
        <f t="shared" ca="1" si="510"/>
        <v>0</v>
      </c>
      <c r="N3872" s="95">
        <f>IF(P3872="Hedge Fund",IF(A3872=Summary!$AD$3,M3872-E3872,M3872),IF(A3872=Summary!$AD$3,L3872-D3872,L3872))</f>
        <v>2856000</v>
      </c>
      <c r="O3872" s="95">
        <f t="shared" si="508"/>
        <v>2856000</v>
      </c>
      <c r="P3872" s="107" t="s">
        <v>155</v>
      </c>
      <c r="Q3872" s="107">
        <v>0</v>
      </c>
      <c r="R3872" s="107">
        <v>0</v>
      </c>
      <c r="S3872" s="107">
        <v>0</v>
      </c>
      <c r="T3872" s="107">
        <v>0</v>
      </c>
      <c r="U3872" s="107"/>
      <c r="V3872" s="107"/>
      <c r="W3872" s="107"/>
      <c r="X3872" s="107"/>
      <c r="Y3872" s="107"/>
      <c r="Z3872" s="107"/>
      <c r="AA3872" s="107"/>
      <c r="AB3872" s="107"/>
      <c r="AC3872" s="355"/>
      <c r="AD3872" s="355"/>
      <c r="AE3872" s="355"/>
      <c r="AF3872" s="94">
        <f t="shared" si="511"/>
        <v>41243</v>
      </c>
      <c r="AG3872" s="185">
        <f t="shared" si="506"/>
        <v>3.965909355529984E-3</v>
      </c>
      <c r="AH3872" s="339" t="str">
        <f>VLOOKUP(B3872,'MF PF'!A:B,2)</f>
        <v>FdMgt1</v>
      </c>
      <c r="AI3872" s="358">
        <f t="shared" si="512"/>
        <v>0</v>
      </c>
      <c r="AJ3872" s="94">
        <f t="shared" si="513"/>
        <v>41243</v>
      </c>
      <c r="AK3872" s="358"/>
      <c r="AL3872" s="358"/>
      <c r="AM3872" s="358"/>
      <c r="AN3872" s="358"/>
      <c r="AO3872" s="358"/>
      <c r="AP3872" s="358"/>
      <c r="AQ3872" s="358"/>
      <c r="AR3872" s="358"/>
      <c r="AS3872" s="358"/>
      <c r="AT3872" s="358"/>
      <c r="AU3872" s="358"/>
      <c r="AV3872" s="358"/>
      <c r="AW3872" s="358"/>
      <c r="AX3872" s="358"/>
      <c r="AY3872" s="358"/>
      <c r="AZ3872" s="358"/>
      <c r="BA3872" s="358"/>
    </row>
    <row r="3873" spans="1:53" ht="12.75" customHeight="1">
      <c r="A3873" s="8">
        <v>41274</v>
      </c>
      <c r="B3873" s="94" t="s">
        <v>189</v>
      </c>
      <c r="C3873" s="358" t="s">
        <v>305</v>
      </c>
      <c r="D3873" s="98">
        <v>6073837.7120000003</v>
      </c>
      <c r="E3873" s="95">
        <f t="shared" si="515"/>
        <v>1472721.0025611424</v>
      </c>
      <c r="F3873" s="98">
        <v>12</v>
      </c>
      <c r="G3873" s="98">
        <v>948000</v>
      </c>
      <c r="H3873" s="98">
        <v>0</v>
      </c>
      <c r="I3873" s="98">
        <v>0</v>
      </c>
      <c r="J3873" s="98"/>
      <c r="K3873" s="93">
        <v>4.1242283510843292</v>
      </c>
      <c r="L3873" s="93">
        <f t="shared" si="509"/>
        <v>948000</v>
      </c>
      <c r="M3873" s="95">
        <f t="shared" ca="1" si="510"/>
        <v>0</v>
      </c>
      <c r="N3873" s="95">
        <f>IF(P3873="Hedge Fund",IF(A3873=Summary!$AD$3,M3873-E3873,M3873),IF(A3873=Summary!$AD$3,L3873-D3873,L3873))</f>
        <v>948000</v>
      </c>
      <c r="O3873" s="95">
        <f t="shared" si="508"/>
        <v>948000</v>
      </c>
      <c r="P3873" s="107" t="s">
        <v>155</v>
      </c>
      <c r="Q3873" s="107">
        <v>0</v>
      </c>
      <c r="R3873" s="107">
        <v>0</v>
      </c>
      <c r="S3873" s="107">
        <v>0</v>
      </c>
      <c r="T3873" s="107">
        <v>0</v>
      </c>
      <c r="U3873" s="107"/>
      <c r="V3873" s="107"/>
      <c r="W3873" s="107"/>
      <c r="X3873" s="107"/>
      <c r="Y3873" s="107"/>
      <c r="Z3873" s="107"/>
      <c r="AA3873" s="107"/>
      <c r="AB3873" s="107"/>
      <c r="AC3873" s="355"/>
      <c r="AD3873" s="355"/>
      <c r="AE3873" s="355"/>
      <c r="AF3873" s="94">
        <f t="shared" si="511"/>
        <v>41274</v>
      </c>
      <c r="AG3873" s="185">
        <f t="shared" si="506"/>
        <v>1.3158586640974468E-2</v>
      </c>
      <c r="AH3873" s="339" t="str">
        <f>VLOOKUP(B3873,'MF PF'!A:B,2)</f>
        <v>FdMgt1</v>
      </c>
      <c r="AI3873" s="358">
        <f t="shared" si="512"/>
        <v>0</v>
      </c>
      <c r="AJ3873" s="94">
        <f t="shared" si="513"/>
        <v>41274</v>
      </c>
      <c r="AK3873" s="358"/>
      <c r="AL3873" s="358"/>
      <c r="AM3873" s="358"/>
      <c r="AN3873" s="358"/>
      <c r="AO3873" s="358"/>
      <c r="AP3873" s="358"/>
      <c r="AQ3873" s="358"/>
      <c r="AR3873" s="358"/>
      <c r="AS3873" s="358"/>
      <c r="AT3873" s="358"/>
      <c r="AU3873" s="358"/>
      <c r="AV3873" s="358"/>
      <c r="AW3873" s="358"/>
      <c r="AX3873" s="358"/>
      <c r="AY3873" s="358"/>
      <c r="AZ3873" s="358"/>
      <c r="BA3873" s="358"/>
    </row>
    <row r="3874" spans="1:53" ht="12.75" customHeight="1">
      <c r="A3874" s="8">
        <v>41305</v>
      </c>
      <c r="B3874" s="94" t="s">
        <v>189</v>
      </c>
      <c r="C3874" s="358" t="s">
        <v>305</v>
      </c>
      <c r="D3874" s="98">
        <v>6067789.4079999998</v>
      </c>
      <c r="E3874" s="95">
        <f t="shared" si="515"/>
        <v>1471254.4727075249</v>
      </c>
      <c r="F3874" s="98">
        <v>12</v>
      </c>
      <c r="G3874" s="98">
        <v>0</v>
      </c>
      <c r="H3874" s="98">
        <v>0</v>
      </c>
      <c r="I3874" s="98">
        <v>0</v>
      </c>
      <c r="J3874" s="98"/>
      <c r="K3874" s="93">
        <v>4.1242283510843292</v>
      </c>
      <c r="L3874" s="93">
        <f t="shared" si="509"/>
        <v>0</v>
      </c>
      <c r="M3874" s="95">
        <f t="shared" ca="1" si="510"/>
        <v>0</v>
      </c>
      <c r="N3874" s="95">
        <f>IF(P3874="Hedge Fund",IF(A3874=Summary!$AD$3,M3874-E3874,M3874),IF(A3874=Summary!$AD$3,L3874-D3874,L3874))</f>
        <v>0</v>
      </c>
      <c r="O3874" s="95">
        <f t="shared" si="508"/>
        <v>0</v>
      </c>
      <c r="P3874" s="107" t="s">
        <v>155</v>
      </c>
      <c r="Q3874" s="107">
        <v>0</v>
      </c>
      <c r="R3874" s="107">
        <v>0</v>
      </c>
      <c r="S3874" s="107">
        <v>0</v>
      </c>
      <c r="T3874" s="107">
        <v>0</v>
      </c>
      <c r="U3874" s="107"/>
      <c r="V3874" s="107"/>
      <c r="W3874" s="107"/>
      <c r="X3874" s="107"/>
      <c r="Y3874" s="107"/>
      <c r="Z3874" s="107"/>
      <c r="AA3874" s="107"/>
      <c r="AB3874" s="107"/>
      <c r="AC3874" s="355"/>
      <c r="AD3874" s="355"/>
      <c r="AE3874" s="355"/>
      <c r="AF3874" s="94">
        <f t="shared" si="511"/>
        <v>41305</v>
      </c>
      <c r="AG3874" s="185">
        <f t="shared" ref="AG3874:AG3937" si="516">IF(C3874&lt;&gt;C3873,D3874/G3874-1,(D3874-G3874-I3874-H3874)/(D3873)-1)</f>
        <v>-9.9579611553513026E-4</v>
      </c>
      <c r="AH3874" s="339" t="str">
        <f>VLOOKUP(B3874,'MF PF'!A:B,2)</f>
        <v>FdMgt1</v>
      </c>
      <c r="AI3874" s="358">
        <f t="shared" si="512"/>
        <v>0</v>
      </c>
      <c r="AJ3874" s="94">
        <f t="shared" si="513"/>
        <v>41305</v>
      </c>
    </row>
    <row r="3875" spans="1:53" ht="12.75" customHeight="1">
      <c r="A3875" s="8">
        <v>41333</v>
      </c>
      <c r="B3875" s="94" t="s">
        <v>189</v>
      </c>
      <c r="C3875" s="358" t="s">
        <v>305</v>
      </c>
      <c r="D3875" s="98">
        <v>7181216.2800000003</v>
      </c>
      <c r="E3875" s="95">
        <f t="shared" si="515"/>
        <v>1478134.8425857392</v>
      </c>
      <c r="F3875" s="98">
        <v>12</v>
      </c>
      <c r="G3875" s="98">
        <v>1080000</v>
      </c>
      <c r="H3875" s="98">
        <v>0</v>
      </c>
      <c r="I3875" s="98">
        <v>0</v>
      </c>
      <c r="J3875" s="98"/>
      <c r="K3875" s="93">
        <v>4.8582957881147797</v>
      </c>
      <c r="L3875" s="93">
        <f t="shared" si="509"/>
        <v>1080000</v>
      </c>
      <c r="M3875" s="95">
        <f t="shared" ca="1" si="510"/>
        <v>0</v>
      </c>
      <c r="N3875" s="95">
        <f>IF(P3875="Hedge Fund",IF(A3875=Summary!$AD$3,M3875-E3875,M3875),IF(A3875=Summary!$AD$3,L3875-D3875,L3875))</f>
        <v>1080000</v>
      </c>
      <c r="O3875" s="95">
        <f t="shared" si="508"/>
        <v>1080000</v>
      </c>
      <c r="P3875" s="107" t="s">
        <v>155</v>
      </c>
      <c r="Q3875" s="107">
        <v>0</v>
      </c>
      <c r="R3875" s="107">
        <v>0</v>
      </c>
      <c r="S3875" s="107">
        <v>0</v>
      </c>
      <c r="T3875" s="107">
        <v>0</v>
      </c>
      <c r="U3875" s="107"/>
      <c r="V3875" s="107"/>
      <c r="W3875" s="107"/>
      <c r="X3875" s="107"/>
      <c r="Y3875" s="107"/>
      <c r="Z3875" s="107"/>
      <c r="AA3875" s="107"/>
      <c r="AB3875" s="107"/>
      <c r="AC3875" s="355"/>
      <c r="AD3875" s="355"/>
      <c r="AE3875" s="355"/>
      <c r="AF3875" s="94">
        <f t="shared" si="511"/>
        <v>41333</v>
      </c>
      <c r="AG3875" s="185">
        <f t="shared" si="516"/>
        <v>5.5089044382339303E-3</v>
      </c>
      <c r="AH3875" s="339" t="str">
        <f>VLOOKUP(B3875,'MF PF'!A:B,2)</f>
        <v>FdMgt1</v>
      </c>
      <c r="AI3875" s="358">
        <f t="shared" si="512"/>
        <v>0</v>
      </c>
      <c r="AJ3875" s="94">
        <f t="shared" si="513"/>
        <v>41333</v>
      </c>
    </row>
    <row r="3876" spans="1:53" ht="12.75" customHeight="1">
      <c r="A3876" s="8">
        <v>41361</v>
      </c>
      <c r="B3876" s="94" t="s">
        <v>189</v>
      </c>
      <c r="C3876" s="358" t="s">
        <v>305</v>
      </c>
      <c r="D3876" s="98">
        <v>7850468.3119999999</v>
      </c>
      <c r="E3876" s="95">
        <f t="shared" si="515"/>
        <v>1470874.9678976291</v>
      </c>
      <c r="F3876" s="98">
        <v>12</v>
      </c>
      <c r="G3876" s="98">
        <v>708000</v>
      </c>
      <c r="H3876" s="98">
        <v>0</v>
      </c>
      <c r="I3876" s="98">
        <v>0</v>
      </c>
      <c r="J3876" s="98"/>
      <c r="K3876" s="93">
        <v>5.3372777994998017</v>
      </c>
      <c r="L3876" s="93">
        <f t="shared" si="509"/>
        <v>708000</v>
      </c>
      <c r="M3876" s="95">
        <f t="shared" ca="1" si="510"/>
        <v>0</v>
      </c>
      <c r="N3876" s="95">
        <f>IF(P3876="Hedge Fund",IF(A3876=Summary!$AD$3,M3876-E3876,M3876),IF(A3876=Summary!$AD$3,L3876-D3876,L3876))</f>
        <v>708000</v>
      </c>
      <c r="O3876" s="95">
        <f t="shared" si="508"/>
        <v>708000</v>
      </c>
      <c r="P3876" s="107" t="s">
        <v>155</v>
      </c>
      <c r="Q3876" s="107">
        <v>0</v>
      </c>
      <c r="R3876" s="107">
        <v>0</v>
      </c>
      <c r="S3876" s="107">
        <v>0</v>
      </c>
      <c r="T3876" s="107">
        <v>0</v>
      </c>
      <c r="U3876" s="107"/>
      <c r="V3876" s="107"/>
      <c r="W3876" s="107"/>
      <c r="X3876" s="107"/>
      <c r="Y3876" s="107"/>
      <c r="Z3876" s="107"/>
      <c r="AA3876" s="107"/>
      <c r="AB3876" s="107"/>
      <c r="AC3876" s="355"/>
      <c r="AD3876" s="355"/>
      <c r="AE3876" s="355"/>
      <c r="AF3876" s="94">
        <f t="shared" si="511"/>
        <v>41361</v>
      </c>
      <c r="AG3876" s="185">
        <f t="shared" si="516"/>
        <v>-5.3957388956401564E-3</v>
      </c>
      <c r="AH3876" s="339" t="str">
        <f>VLOOKUP(B3876,'MF PF'!A:B,2)</f>
        <v>FdMgt1</v>
      </c>
      <c r="AI3876" s="358">
        <f t="shared" si="512"/>
        <v>0</v>
      </c>
      <c r="AJ3876" s="94">
        <f t="shared" si="513"/>
        <v>41364</v>
      </c>
      <c r="AK3876" s="358"/>
      <c r="AL3876" s="358"/>
      <c r="AM3876" s="358"/>
      <c r="AN3876" s="358"/>
      <c r="AO3876" s="358"/>
      <c r="AP3876" s="358"/>
      <c r="AQ3876" s="358"/>
      <c r="AR3876" s="358"/>
      <c r="AS3876" s="358"/>
      <c r="AT3876" s="358"/>
      <c r="AU3876" s="358"/>
      <c r="AV3876" s="358"/>
      <c r="AW3876" s="358"/>
      <c r="AX3876" s="358"/>
      <c r="AY3876" s="358"/>
      <c r="AZ3876" s="358"/>
      <c r="BA3876" s="358"/>
    </row>
    <row r="3877" spans="1:53" ht="12.75" customHeight="1">
      <c r="A3877" s="8">
        <v>41394</v>
      </c>
      <c r="B3877" s="94" t="s">
        <v>189</v>
      </c>
      <c r="C3877" s="358" t="s">
        <v>305</v>
      </c>
      <c r="D3877" s="98">
        <v>8140580.2400000002</v>
      </c>
      <c r="E3877" s="9">
        <f t="shared" si="515"/>
        <v>1454104.2901007733</v>
      </c>
      <c r="F3877" s="98">
        <v>12</v>
      </c>
      <c r="G3877" s="98">
        <v>384000</v>
      </c>
      <c r="H3877" s="98">
        <v>0</v>
      </c>
      <c r="I3877" s="98">
        <v>0</v>
      </c>
      <c r="J3877" s="98"/>
      <c r="K3877" s="93">
        <v>5.5983468967248804</v>
      </c>
      <c r="L3877" s="93">
        <f t="shared" si="509"/>
        <v>384000</v>
      </c>
      <c r="M3877" s="95">
        <f t="shared" ca="1" si="510"/>
        <v>0</v>
      </c>
      <c r="N3877" s="95">
        <f>IF(P3877="Hedge Fund",IF(A3877=Summary!$AD$3,M3877-E3877,M3877),IF(A3877=Summary!$AD$3,L3877-D3877,L3877))</f>
        <v>384000</v>
      </c>
      <c r="O3877" s="95">
        <f t="shared" si="508"/>
        <v>384000</v>
      </c>
      <c r="P3877" s="107" t="s">
        <v>155</v>
      </c>
      <c r="Q3877" s="107">
        <v>0</v>
      </c>
      <c r="R3877" s="107">
        <v>0</v>
      </c>
      <c r="S3877" s="107">
        <v>0</v>
      </c>
      <c r="T3877" s="107">
        <v>0</v>
      </c>
      <c r="U3877" s="107"/>
      <c r="V3877" s="107"/>
      <c r="W3877" s="107"/>
      <c r="X3877" s="107"/>
      <c r="Y3877" s="107"/>
      <c r="Z3877" s="107"/>
      <c r="AA3877" s="107"/>
      <c r="AB3877" s="107"/>
      <c r="AC3877" s="355"/>
      <c r="AD3877" s="355"/>
      <c r="AE3877" s="355"/>
      <c r="AF3877" s="94">
        <f t="shared" si="511"/>
        <v>41394</v>
      </c>
      <c r="AG3877" s="185">
        <f t="shared" si="516"/>
        <v>-1.1959550471210112E-2</v>
      </c>
      <c r="AH3877" s="339" t="str">
        <f>VLOOKUP(B3877,'MF PF'!A:B,2)</f>
        <v>FdMgt1</v>
      </c>
      <c r="AI3877" s="358">
        <f t="shared" si="512"/>
        <v>0</v>
      </c>
      <c r="AJ3877" s="94">
        <f t="shared" si="513"/>
        <v>41394</v>
      </c>
    </row>
    <row r="3878" spans="1:53" ht="12.75" customHeight="1">
      <c r="A3878" s="8">
        <v>41425</v>
      </c>
      <c r="B3878" s="94" t="s">
        <v>189</v>
      </c>
      <c r="C3878" s="6" t="s">
        <v>305</v>
      </c>
      <c r="D3878" s="98">
        <v>8213050.256000001</v>
      </c>
      <c r="E3878" s="9">
        <f t="shared" si="515"/>
        <v>1467049.1856810022</v>
      </c>
      <c r="F3878" s="98">
        <v>12</v>
      </c>
      <c r="G3878" s="98">
        <v>0</v>
      </c>
      <c r="H3878" s="98">
        <v>-9.3132257461547852E-10</v>
      </c>
      <c r="I3878" s="98">
        <v>0</v>
      </c>
      <c r="J3878" s="98"/>
      <c r="K3878" s="93">
        <v>5.5983468967248804</v>
      </c>
      <c r="L3878" s="93">
        <f t="shared" si="509"/>
        <v>-9.3132257461547852E-10</v>
      </c>
      <c r="M3878" s="95">
        <f t="shared" ca="1" si="510"/>
        <v>0</v>
      </c>
      <c r="N3878" s="95">
        <f>IF(P3878="Hedge Fund",IF(A3878=Summary!$AD$3,M3878-E3878,M3878),IF(A3878=Summary!$AD$3,L3878-D3878,L3878))</f>
        <v>-9.3132257461547852E-10</v>
      </c>
      <c r="O3878" s="95">
        <f t="shared" si="508"/>
        <v>-9.3132257461547852E-10</v>
      </c>
      <c r="P3878" s="107" t="s">
        <v>155</v>
      </c>
      <c r="Q3878" s="107">
        <v>0</v>
      </c>
      <c r="R3878" s="107">
        <v>0</v>
      </c>
      <c r="S3878" s="107">
        <v>0</v>
      </c>
      <c r="T3878" s="107">
        <v>0</v>
      </c>
      <c r="U3878" s="107"/>
      <c r="V3878" s="107"/>
      <c r="W3878" s="107"/>
      <c r="X3878" s="107"/>
      <c r="Y3878" s="107"/>
      <c r="Z3878" s="107"/>
      <c r="AA3878" s="107"/>
      <c r="AB3878" s="107"/>
      <c r="AC3878" s="355"/>
      <c r="AD3878" s="355"/>
      <c r="AE3878" s="355"/>
      <c r="AF3878" s="94">
        <f t="shared" si="511"/>
        <v>41425</v>
      </c>
      <c r="AG3878" s="185">
        <f t="shared" si="516"/>
        <v>8.9023157887331283E-3</v>
      </c>
      <c r="AH3878" s="339" t="str">
        <f>VLOOKUP(B3878,'MF PF'!A:B,2)</f>
        <v>FdMgt1</v>
      </c>
      <c r="AI3878" s="358">
        <f t="shared" si="512"/>
        <v>0</v>
      </c>
      <c r="AJ3878" s="94">
        <f t="shared" si="513"/>
        <v>41425</v>
      </c>
    </row>
    <row r="3879" spans="1:53" ht="12.75" customHeight="1">
      <c r="A3879" s="8">
        <v>41453</v>
      </c>
      <c r="B3879" s="94" t="s">
        <v>189</v>
      </c>
      <c r="C3879" s="6" t="s">
        <v>305</v>
      </c>
      <c r="D3879" s="98">
        <v>8202764.3039999986</v>
      </c>
      <c r="E3879" s="9">
        <f t="shared" si="515"/>
        <v>1465211.8661669113</v>
      </c>
      <c r="F3879" s="98">
        <v>12</v>
      </c>
      <c r="G3879" s="98">
        <v>0</v>
      </c>
      <c r="H3879" s="98">
        <v>0</v>
      </c>
      <c r="I3879" s="98">
        <v>0</v>
      </c>
      <c r="J3879" s="98"/>
      <c r="K3879" s="93">
        <v>5.5983468967248804</v>
      </c>
      <c r="L3879" s="93">
        <f t="shared" si="509"/>
        <v>0</v>
      </c>
      <c r="M3879" s="95">
        <f t="shared" ca="1" si="510"/>
        <v>0</v>
      </c>
      <c r="N3879" s="95">
        <f>IF(P3879="Hedge Fund",IF(A3879=Summary!$AD$3,M3879-E3879,M3879),IF(A3879=Summary!$AD$3,L3879-D3879,L3879))</f>
        <v>0</v>
      </c>
      <c r="O3879" s="95">
        <f t="shared" si="508"/>
        <v>0</v>
      </c>
      <c r="P3879" s="107" t="s">
        <v>155</v>
      </c>
      <c r="Q3879" s="107">
        <v>0</v>
      </c>
      <c r="R3879" s="107">
        <v>0</v>
      </c>
      <c r="S3879" s="107">
        <v>0</v>
      </c>
      <c r="T3879" s="107">
        <v>0</v>
      </c>
      <c r="U3879" s="107"/>
      <c r="V3879" s="107"/>
      <c r="W3879" s="107"/>
      <c r="X3879" s="107"/>
      <c r="Y3879" s="107"/>
      <c r="Z3879" s="107"/>
      <c r="AA3879" s="107"/>
      <c r="AB3879" s="107"/>
      <c r="AC3879" s="355"/>
      <c r="AD3879" s="355"/>
      <c r="AE3879" s="355"/>
      <c r="AF3879" s="94">
        <f t="shared" si="511"/>
        <v>41453</v>
      </c>
      <c r="AG3879" s="185">
        <f t="shared" si="516"/>
        <v>-1.2523912163435735E-3</v>
      </c>
      <c r="AH3879" s="339" t="str">
        <f>VLOOKUP(B3879,'MF PF'!A:B,2)</f>
        <v>FdMgt1</v>
      </c>
      <c r="AI3879" s="358">
        <f t="shared" si="512"/>
        <v>0</v>
      </c>
      <c r="AJ3879" s="94">
        <f t="shared" si="513"/>
        <v>41455</v>
      </c>
    </row>
    <row r="3880" spans="1:53" ht="12.75" customHeight="1">
      <c r="A3880" s="8">
        <v>41486</v>
      </c>
      <c r="B3880" s="94" t="s">
        <v>189</v>
      </c>
      <c r="C3880" s="6" t="s">
        <v>305</v>
      </c>
      <c r="D3880" s="98">
        <v>7980169.54</v>
      </c>
      <c r="E3880" s="9">
        <f t="shared" si="515"/>
        <v>1425451.0638968304</v>
      </c>
      <c r="F3880" s="98">
        <v>12</v>
      </c>
      <c r="G3880" s="98">
        <v>0</v>
      </c>
      <c r="H3880" s="98">
        <v>0</v>
      </c>
      <c r="I3880" s="98">
        <v>0</v>
      </c>
      <c r="J3880" s="98"/>
      <c r="K3880" s="93">
        <v>5.5983468967248804</v>
      </c>
      <c r="L3880" s="93">
        <f t="shared" si="509"/>
        <v>0</v>
      </c>
      <c r="M3880" s="95">
        <f t="shared" ca="1" si="510"/>
        <v>0</v>
      </c>
      <c r="N3880" s="95">
        <f>IF(P3880="Hedge Fund",IF(A3880=Summary!$AD$3,M3880-E3880,M3880),IF(A3880=Summary!$AD$3,L3880-D3880,L3880))</f>
        <v>0</v>
      </c>
      <c r="O3880" s="95">
        <f t="shared" si="508"/>
        <v>0</v>
      </c>
      <c r="P3880" s="107" t="s">
        <v>155</v>
      </c>
      <c r="Q3880" s="107">
        <v>0</v>
      </c>
      <c r="R3880" s="107">
        <v>0</v>
      </c>
      <c r="S3880" s="107">
        <v>0</v>
      </c>
      <c r="T3880" s="107">
        <v>0</v>
      </c>
      <c r="U3880" s="107"/>
      <c r="V3880" s="107"/>
      <c r="W3880" s="107"/>
      <c r="X3880" s="107"/>
      <c r="Y3880" s="107"/>
      <c r="Z3880" s="107"/>
      <c r="AA3880" s="107"/>
      <c r="AB3880" s="107"/>
      <c r="AC3880" s="355"/>
      <c r="AD3880" s="355"/>
      <c r="AE3880" s="355"/>
      <c r="AF3880" s="94">
        <f t="shared" si="511"/>
        <v>41486</v>
      </c>
      <c r="AG3880" s="185">
        <f t="shared" si="516"/>
        <v>-2.7136554916182609E-2</v>
      </c>
      <c r="AH3880" s="339" t="str">
        <f>VLOOKUP(B3880,'MF PF'!A:B,2)</f>
        <v>FdMgt1</v>
      </c>
      <c r="AI3880" s="358">
        <f t="shared" si="512"/>
        <v>0</v>
      </c>
      <c r="AJ3880" s="94">
        <f t="shared" si="513"/>
        <v>41486</v>
      </c>
    </row>
    <row r="3881" spans="1:53" ht="12.75" customHeight="1">
      <c r="A3881" s="8">
        <v>41516</v>
      </c>
      <c r="B3881" s="94" t="s">
        <v>189</v>
      </c>
      <c r="C3881" s="6" t="s">
        <v>305</v>
      </c>
      <c r="D3881" s="98">
        <v>7867053.1500000004</v>
      </c>
      <c r="E3881" s="95">
        <f t="shared" si="515"/>
        <v>1405245.7439895959</v>
      </c>
      <c r="F3881" s="98">
        <v>12</v>
      </c>
      <c r="G3881" s="98">
        <v>0</v>
      </c>
      <c r="H3881" s="98">
        <v>0</v>
      </c>
      <c r="I3881" s="98">
        <v>0</v>
      </c>
      <c r="J3881" s="98"/>
      <c r="K3881" s="93">
        <v>5.5983468967248804</v>
      </c>
      <c r="L3881" s="93">
        <f t="shared" si="509"/>
        <v>0</v>
      </c>
      <c r="M3881" s="95">
        <f t="shared" ca="1" si="510"/>
        <v>0</v>
      </c>
      <c r="N3881" s="95">
        <f>IF(P3881="Hedge Fund",IF(A3881=Summary!$AD$3,M3881-E3881,M3881),IF(A3881=Summary!$AD$3,L3881-D3881,L3881))</f>
        <v>0</v>
      </c>
      <c r="O3881" s="95">
        <f t="shared" si="508"/>
        <v>0</v>
      </c>
      <c r="P3881" s="107" t="s">
        <v>155</v>
      </c>
      <c r="Q3881" s="107">
        <v>0</v>
      </c>
      <c r="R3881" s="107">
        <v>0</v>
      </c>
      <c r="S3881" s="107">
        <v>0</v>
      </c>
      <c r="T3881" s="107">
        <v>0</v>
      </c>
      <c r="U3881" s="107"/>
      <c r="V3881" s="107"/>
      <c r="W3881" s="107"/>
      <c r="X3881" s="107"/>
      <c r="Y3881" s="107"/>
      <c r="Z3881" s="107"/>
      <c r="AA3881" s="107"/>
      <c r="AB3881" s="107"/>
      <c r="AC3881" s="355"/>
      <c r="AD3881" s="355"/>
      <c r="AE3881" s="355"/>
      <c r="AF3881" s="94">
        <f t="shared" si="511"/>
        <v>41516</v>
      </c>
      <c r="AG3881" s="185">
        <f t="shared" si="516"/>
        <v>-1.4174685065650783E-2</v>
      </c>
      <c r="AH3881" s="339" t="str">
        <f>VLOOKUP(B3881,'MF PF'!A:B,2)</f>
        <v>FdMgt1</v>
      </c>
      <c r="AI3881" s="358">
        <f t="shared" si="512"/>
        <v>0</v>
      </c>
      <c r="AJ3881" s="94">
        <f t="shared" si="513"/>
        <v>41517</v>
      </c>
    </row>
    <row r="3882" spans="1:53" ht="12.75" customHeight="1">
      <c r="A3882" s="8">
        <v>41547</v>
      </c>
      <c r="B3882" s="94" t="s">
        <v>189</v>
      </c>
      <c r="C3882" s="6" t="s">
        <v>305</v>
      </c>
      <c r="D3882" s="98">
        <v>11837461.41</v>
      </c>
      <c r="E3882" s="95">
        <f t="shared" si="515"/>
        <v>1419444.220717062</v>
      </c>
      <c r="F3882" s="98">
        <v>12</v>
      </c>
      <c r="G3882" s="98">
        <v>3852000</v>
      </c>
      <c r="H3882" s="98">
        <v>0</v>
      </c>
      <c r="I3882" s="98">
        <v>0</v>
      </c>
      <c r="J3882" s="98"/>
      <c r="K3882" s="93">
        <v>8.3395044604289268</v>
      </c>
      <c r="L3882" s="93">
        <f t="shared" si="509"/>
        <v>3852000</v>
      </c>
      <c r="M3882" s="95">
        <f t="shared" ca="1" si="510"/>
        <v>0</v>
      </c>
      <c r="N3882" s="95">
        <f>IF(P3882="Hedge Fund",IF(A3882=Summary!$AD$3,M3882-E3882,M3882),IF(A3882=Summary!$AD$3,L3882-D3882,L3882))</f>
        <v>3852000</v>
      </c>
      <c r="O3882" s="95">
        <f t="shared" si="508"/>
        <v>3852000</v>
      </c>
      <c r="P3882" s="107" t="s">
        <v>155</v>
      </c>
      <c r="Q3882" s="107">
        <v>0</v>
      </c>
      <c r="R3882" s="107">
        <v>0</v>
      </c>
      <c r="S3882" s="107">
        <v>0</v>
      </c>
      <c r="T3882" s="107">
        <v>0</v>
      </c>
      <c r="U3882" s="107"/>
      <c r="V3882" s="107"/>
      <c r="W3882" s="107"/>
      <c r="X3882" s="107"/>
      <c r="Y3882" s="107"/>
      <c r="Z3882" s="107"/>
      <c r="AA3882" s="107"/>
      <c r="AB3882" s="107"/>
      <c r="AC3882" s="355"/>
      <c r="AD3882" s="355"/>
      <c r="AE3882" s="355"/>
      <c r="AF3882" s="94">
        <f t="shared" si="511"/>
        <v>41547</v>
      </c>
      <c r="AG3882" s="185">
        <f t="shared" si="516"/>
        <v>1.5051158005713994E-2</v>
      </c>
      <c r="AH3882" s="339" t="str">
        <f>VLOOKUP(B3882,'MF PF'!A:B,2)</f>
        <v>FdMgt1</v>
      </c>
      <c r="AI3882" s="358">
        <f t="shared" si="512"/>
        <v>0</v>
      </c>
      <c r="AJ3882" s="94">
        <f t="shared" si="513"/>
        <v>41547</v>
      </c>
    </row>
    <row r="3883" spans="1:53" ht="12.75" customHeight="1">
      <c r="A3883" s="8">
        <v>41578</v>
      </c>
      <c r="B3883" s="94" t="s">
        <v>189</v>
      </c>
      <c r="C3883" s="6" t="s">
        <v>305</v>
      </c>
      <c r="D3883" s="98">
        <v>10488065.176000001</v>
      </c>
      <c r="E3883" s="95">
        <f t="shared" si="515"/>
        <v>1257636.4969604642</v>
      </c>
      <c r="F3883" s="98">
        <v>12</v>
      </c>
      <c r="G3883" s="98">
        <v>0</v>
      </c>
      <c r="H3883" s="98">
        <v>0</v>
      </c>
      <c r="I3883" s="98">
        <v>-1550502.4</v>
      </c>
      <c r="J3883" s="98"/>
      <c r="K3883" s="93">
        <v>8.3395044604289268</v>
      </c>
      <c r="L3883" s="93">
        <f t="shared" si="509"/>
        <v>-1550502.4</v>
      </c>
      <c r="M3883" s="95">
        <f t="shared" ca="1" si="510"/>
        <v>-185922.605756392</v>
      </c>
      <c r="N3883" s="95">
        <f>IF(P3883="Hedge Fund",IF(A3883=Summary!$AD$3,M3883-E3883,M3883),IF(A3883=Summary!$AD$3,L3883-D3883,L3883))</f>
        <v>-1550502.4</v>
      </c>
      <c r="O3883" s="95">
        <f t="shared" si="508"/>
        <v>-1550502.4</v>
      </c>
      <c r="P3883" s="107" t="s">
        <v>155</v>
      </c>
      <c r="Q3883" s="107">
        <v>0</v>
      </c>
      <c r="R3883" s="107">
        <v>0</v>
      </c>
      <c r="S3883" s="107">
        <v>0</v>
      </c>
      <c r="T3883" s="107">
        <v>0</v>
      </c>
      <c r="U3883" s="107"/>
      <c r="V3883" s="107"/>
      <c r="W3883" s="107"/>
      <c r="X3883" s="107"/>
      <c r="Y3883" s="107"/>
      <c r="Z3883" s="107"/>
      <c r="AA3883" s="107"/>
      <c r="AB3883" s="107"/>
      <c r="AC3883" s="355"/>
      <c r="AD3883" s="355"/>
      <c r="AE3883" s="355"/>
      <c r="AF3883" s="94">
        <f t="shared" si="511"/>
        <v>41578</v>
      </c>
      <c r="AG3883" s="185">
        <f t="shared" si="516"/>
        <v>1.698896064236477E-2</v>
      </c>
      <c r="AH3883" s="339" t="str">
        <f>VLOOKUP(B3883,'MF PF'!A:B,2)</f>
        <v>FdMgt1</v>
      </c>
      <c r="AI3883" s="358">
        <f t="shared" si="512"/>
        <v>0</v>
      </c>
      <c r="AJ3883" s="94">
        <f t="shared" si="513"/>
        <v>41578</v>
      </c>
    </row>
    <row r="3884" spans="1:53" ht="12.75" customHeight="1">
      <c r="A3884" s="8">
        <v>41607</v>
      </c>
      <c r="B3884" s="94" t="s">
        <v>189</v>
      </c>
      <c r="C3884" s="6" t="s">
        <v>305</v>
      </c>
      <c r="D3884" s="98">
        <v>10496507.024</v>
      </c>
      <c r="E3884" s="95">
        <f t="shared" si="515"/>
        <v>1258648.7690972628</v>
      </c>
      <c r="F3884" s="98">
        <v>12</v>
      </c>
      <c r="G3884" s="98">
        <v>0</v>
      </c>
      <c r="H3884" s="98">
        <v>-1.862645149230957E-9</v>
      </c>
      <c r="I3884" s="98">
        <v>0</v>
      </c>
      <c r="J3884" s="98"/>
      <c r="K3884" s="93">
        <v>8.3395044604289268</v>
      </c>
      <c r="L3884" s="93">
        <f t="shared" si="509"/>
        <v>-1.862645149230957E-9</v>
      </c>
      <c r="M3884" s="95">
        <f t="shared" ca="1" si="510"/>
        <v>0</v>
      </c>
      <c r="N3884" s="95">
        <f>IF(P3884="Hedge Fund",IF(A3884=Summary!$AD$3,M3884-E3884,M3884),IF(A3884=Summary!$AD$3,L3884-D3884,L3884))</f>
        <v>-1.862645149230957E-9</v>
      </c>
      <c r="O3884" s="95">
        <f t="shared" si="508"/>
        <v>-1.862645149230957E-9</v>
      </c>
      <c r="P3884" s="107" t="s">
        <v>155</v>
      </c>
      <c r="Q3884" s="107">
        <v>0</v>
      </c>
      <c r="R3884" s="107">
        <v>0</v>
      </c>
      <c r="S3884" s="107">
        <v>0</v>
      </c>
      <c r="T3884" s="107">
        <v>0</v>
      </c>
      <c r="U3884" s="107"/>
      <c r="V3884" s="107"/>
      <c r="W3884" s="107"/>
      <c r="X3884" s="107"/>
      <c r="Y3884" s="107"/>
      <c r="Z3884" s="107"/>
      <c r="AA3884" s="107"/>
      <c r="AB3884" s="107"/>
      <c r="AC3884" s="355"/>
      <c r="AD3884" s="355"/>
      <c r="AE3884" s="355"/>
      <c r="AF3884" s="94">
        <f t="shared" si="511"/>
        <v>41607</v>
      </c>
      <c r="AG3884" s="185">
        <f t="shared" si="516"/>
        <v>8.0490041378822319E-4</v>
      </c>
      <c r="AH3884" s="339" t="str">
        <f>VLOOKUP(B3884,'MF PF'!A:B,2)</f>
        <v>FdMgt1</v>
      </c>
      <c r="AI3884" s="358">
        <f t="shared" si="512"/>
        <v>0</v>
      </c>
      <c r="AJ3884" s="94">
        <f t="shared" si="513"/>
        <v>41608</v>
      </c>
    </row>
    <row r="3885" spans="1:53" ht="12.75" customHeight="1">
      <c r="A3885" s="8">
        <v>41639</v>
      </c>
      <c r="B3885" s="94" t="s">
        <v>189</v>
      </c>
      <c r="C3885" s="6" t="s">
        <v>305</v>
      </c>
      <c r="D3885" s="98">
        <v>10666475.096000001</v>
      </c>
      <c r="E3885" s="95">
        <f t="shared" si="515"/>
        <v>1279029.844832218</v>
      </c>
      <c r="F3885" s="98">
        <v>12</v>
      </c>
      <c r="G3885" s="98">
        <v>0</v>
      </c>
      <c r="H3885" s="98">
        <v>0</v>
      </c>
      <c r="I3885" s="98">
        <v>0</v>
      </c>
      <c r="J3885" s="98"/>
      <c r="K3885" s="93">
        <v>8.3395044604289268</v>
      </c>
      <c r="L3885" s="93">
        <f t="shared" si="509"/>
        <v>0</v>
      </c>
      <c r="M3885" s="95">
        <f t="shared" ca="1" si="510"/>
        <v>0</v>
      </c>
      <c r="N3885" s="95">
        <f>IF(P3885="Hedge Fund",IF(A3885=Summary!$AD$3,M3885-E3885,M3885),IF(A3885=Summary!$AD$3,L3885-D3885,L3885))</f>
        <v>0</v>
      </c>
      <c r="O3885" s="95">
        <f t="shared" si="508"/>
        <v>0</v>
      </c>
      <c r="P3885" s="107" t="s">
        <v>155</v>
      </c>
      <c r="Q3885" s="107">
        <v>0</v>
      </c>
      <c r="R3885" s="107">
        <v>0</v>
      </c>
      <c r="S3885" s="107">
        <v>0</v>
      </c>
      <c r="T3885" s="107">
        <v>0</v>
      </c>
      <c r="U3885" s="107"/>
      <c r="V3885" s="107"/>
      <c r="W3885" s="107"/>
      <c r="X3885" s="107"/>
      <c r="Y3885" s="107"/>
      <c r="Z3885" s="107"/>
      <c r="AA3885" s="107"/>
      <c r="AB3885" s="107"/>
      <c r="AC3885" s="355"/>
      <c r="AD3885" s="355"/>
      <c r="AE3885" s="355"/>
      <c r="AF3885" s="94">
        <f t="shared" si="511"/>
        <v>41639</v>
      </c>
      <c r="AG3885" s="185">
        <f t="shared" si="516"/>
        <v>1.6192822203745738E-2</v>
      </c>
      <c r="AH3885" s="339" t="str">
        <f>VLOOKUP(B3885,'MF PF'!A:B,2)</f>
        <v>FdMgt1</v>
      </c>
      <c r="AI3885" s="358">
        <f t="shared" si="512"/>
        <v>0</v>
      </c>
      <c r="AJ3885" s="94">
        <f t="shared" si="513"/>
        <v>41639</v>
      </c>
    </row>
    <row r="3886" spans="1:53" ht="12.75" customHeight="1">
      <c r="A3886" s="8">
        <v>41669</v>
      </c>
      <c r="B3886" s="94" t="s">
        <v>189</v>
      </c>
      <c r="C3886" s="6" t="s">
        <v>305</v>
      </c>
      <c r="D3886" s="98">
        <v>10798276.039999999</v>
      </c>
      <c r="E3886" s="95">
        <f t="shared" si="515"/>
        <v>1294834.2543898118</v>
      </c>
      <c r="F3886" s="98">
        <v>12</v>
      </c>
      <c r="G3886" s="98">
        <v>0</v>
      </c>
      <c r="H3886" s="98">
        <v>0</v>
      </c>
      <c r="I3886" s="98">
        <v>0</v>
      </c>
      <c r="J3886" s="98"/>
      <c r="K3886" s="93">
        <v>8.3395044604289268</v>
      </c>
      <c r="L3886" s="93">
        <f t="shared" si="509"/>
        <v>0</v>
      </c>
      <c r="M3886" s="95">
        <f t="shared" ca="1" si="510"/>
        <v>0</v>
      </c>
      <c r="N3886" s="95">
        <f>IF(P3886="Hedge Fund",IF(A3886=Summary!$AD$3,M3886-E3886,M3886),IF(A3886=Summary!$AD$3,L3886-D3886,L3886))</f>
        <v>0</v>
      </c>
      <c r="O3886" s="95">
        <f t="shared" si="508"/>
        <v>0</v>
      </c>
      <c r="P3886" s="107" t="s">
        <v>155</v>
      </c>
      <c r="Q3886" s="107">
        <v>0</v>
      </c>
      <c r="R3886" s="107">
        <v>0</v>
      </c>
      <c r="S3886" s="107">
        <v>0</v>
      </c>
      <c r="T3886" s="107">
        <v>0</v>
      </c>
      <c r="U3886" s="107"/>
      <c r="V3886" s="107"/>
      <c r="W3886" s="107"/>
      <c r="X3886" s="107"/>
      <c r="Y3886" s="107"/>
      <c r="Z3886" s="107"/>
      <c r="AA3886" s="107"/>
      <c r="AB3886" s="107"/>
      <c r="AC3886" s="355"/>
      <c r="AD3886" s="355"/>
      <c r="AE3886" s="355"/>
      <c r="AF3886" s="94">
        <f t="shared" si="511"/>
        <v>41669</v>
      </c>
      <c r="AG3886" s="185">
        <f t="shared" si="516"/>
        <v>1.2356560420735851E-2</v>
      </c>
      <c r="AH3886" s="339" t="str">
        <f>VLOOKUP(B3886,'MF PF'!A:B,2)</f>
        <v>FdMgt1</v>
      </c>
      <c r="AI3886" s="358">
        <f t="shared" si="512"/>
        <v>0</v>
      </c>
      <c r="AJ3886" s="94">
        <f t="shared" si="513"/>
        <v>41670</v>
      </c>
    </row>
    <row r="3887" spans="1:53" ht="12.75" customHeight="1">
      <c r="A3887" s="8">
        <v>41698</v>
      </c>
      <c r="B3887" s="94" t="s">
        <v>189</v>
      </c>
      <c r="C3887" s="6" t="s">
        <v>305</v>
      </c>
      <c r="D3887" s="98">
        <v>10860006.648</v>
      </c>
      <c r="E3887" s="9">
        <f t="shared" si="515"/>
        <v>1302236.4457661596</v>
      </c>
      <c r="F3887" s="98">
        <v>12</v>
      </c>
      <c r="G3887" s="98">
        <v>0</v>
      </c>
      <c r="H3887" s="98">
        <v>0</v>
      </c>
      <c r="I3887" s="98">
        <v>0</v>
      </c>
      <c r="J3887" s="98"/>
      <c r="K3887" s="93">
        <v>8.3395044604289268</v>
      </c>
      <c r="L3887" s="93">
        <f t="shared" si="509"/>
        <v>0</v>
      </c>
      <c r="M3887" s="95">
        <f t="shared" ca="1" si="510"/>
        <v>0</v>
      </c>
      <c r="N3887" s="95">
        <f>IF(P3887="Hedge Fund",IF(A3887=Summary!$AD$3,M3887-E3887,M3887),IF(A3887=Summary!$AD$3,L3887-D3887,L3887))</f>
        <v>0</v>
      </c>
      <c r="O3887" s="95">
        <f t="shared" si="508"/>
        <v>0</v>
      </c>
      <c r="P3887" s="107" t="s">
        <v>155</v>
      </c>
      <c r="Q3887" s="107">
        <v>0</v>
      </c>
      <c r="R3887" s="107">
        <v>0</v>
      </c>
      <c r="S3887" s="107">
        <v>0</v>
      </c>
      <c r="T3887" s="107">
        <v>0</v>
      </c>
      <c r="U3887" s="107"/>
      <c r="V3887" s="107"/>
      <c r="W3887" s="107"/>
      <c r="X3887" s="107"/>
      <c r="Y3887" s="107"/>
      <c r="Z3887" s="107"/>
      <c r="AA3887" s="107"/>
      <c r="AB3887" s="107"/>
      <c r="AC3887" s="355"/>
      <c r="AD3887" s="355"/>
      <c r="AE3887" s="355"/>
      <c r="AF3887" s="94">
        <f t="shared" si="511"/>
        <v>41698</v>
      </c>
      <c r="AG3887" s="185">
        <f t="shared" si="516"/>
        <v>5.7167095720958017E-3</v>
      </c>
      <c r="AH3887" s="339" t="str">
        <f>VLOOKUP(B3887,'MF PF'!A:B,2)</f>
        <v>FdMgt1</v>
      </c>
      <c r="AI3887" s="358">
        <f t="shared" si="512"/>
        <v>0</v>
      </c>
      <c r="AJ3887" s="94">
        <f t="shared" si="513"/>
        <v>41698</v>
      </c>
    </row>
    <row r="3888" spans="1:53" ht="12.75" customHeight="1">
      <c r="A3888" s="8">
        <v>41729</v>
      </c>
      <c r="B3888" s="94" t="s">
        <v>189</v>
      </c>
      <c r="C3888" s="358" t="s">
        <v>305</v>
      </c>
      <c r="D3888" s="98">
        <v>10370488.328</v>
      </c>
      <c r="E3888" s="9">
        <f t="shared" si="515"/>
        <v>1243537.7158448829</v>
      </c>
      <c r="F3888" s="98">
        <v>12</v>
      </c>
      <c r="G3888" s="98">
        <v>0</v>
      </c>
      <c r="H3888" s="98">
        <v>0</v>
      </c>
      <c r="I3888" s="98">
        <v>-495840</v>
      </c>
      <c r="J3888" s="98"/>
      <c r="K3888" s="93">
        <v>8.3395044604289268</v>
      </c>
      <c r="L3888" s="93">
        <f t="shared" si="509"/>
        <v>-495840</v>
      </c>
      <c r="M3888" s="95">
        <f t="shared" ca="1" si="510"/>
        <v>-59456.770165753638</v>
      </c>
      <c r="N3888" s="95">
        <f>IF(P3888="Hedge Fund",IF(A3888=Summary!$AD$3,M3888-E3888,M3888),IF(A3888=Summary!$AD$3,L3888-D3888,L3888))</f>
        <v>-495840</v>
      </c>
      <c r="O3888" s="95">
        <f t="shared" si="508"/>
        <v>-495840</v>
      </c>
      <c r="P3888" s="107" t="s">
        <v>155</v>
      </c>
      <c r="Q3888" s="107">
        <v>0</v>
      </c>
      <c r="R3888" s="107">
        <v>0</v>
      </c>
      <c r="S3888" s="107">
        <v>0</v>
      </c>
      <c r="T3888" s="107">
        <v>0</v>
      </c>
      <c r="U3888" s="107"/>
      <c r="V3888" s="107"/>
      <c r="W3888" s="107"/>
      <c r="X3888" s="107"/>
      <c r="Y3888" s="107"/>
      <c r="Z3888" s="107"/>
      <c r="AA3888" s="107"/>
      <c r="AB3888" s="107"/>
      <c r="AC3888" s="355"/>
      <c r="AD3888" s="355"/>
      <c r="AE3888" s="355"/>
      <c r="AF3888" s="94">
        <f t="shared" si="511"/>
        <v>41729</v>
      </c>
      <c r="AG3888" s="185">
        <f t="shared" si="516"/>
        <v>5.8210645765699454E-4</v>
      </c>
      <c r="AH3888" s="339" t="str">
        <f>VLOOKUP(B3888,'MF PF'!A:B,2)</f>
        <v>FdMgt1</v>
      </c>
      <c r="AI3888" s="358">
        <f t="shared" si="512"/>
        <v>0</v>
      </c>
      <c r="AJ3888" s="94">
        <f t="shared" si="513"/>
        <v>41729</v>
      </c>
    </row>
    <row r="3889" spans="1:36" ht="12.75" customHeight="1">
      <c r="A3889" s="8">
        <v>41759</v>
      </c>
      <c r="B3889" s="94" t="s">
        <v>189</v>
      </c>
      <c r="C3889" s="358" t="s">
        <v>305</v>
      </c>
      <c r="D3889" s="98">
        <v>10229573.304</v>
      </c>
      <c r="E3889" s="9">
        <f t="shared" si="515"/>
        <v>1226640.4260036645</v>
      </c>
      <c r="F3889" s="98">
        <v>12</v>
      </c>
      <c r="G3889" s="98">
        <v>0</v>
      </c>
      <c r="H3889" s="98">
        <v>0</v>
      </c>
      <c r="I3889" s="98">
        <v>0</v>
      </c>
      <c r="J3889" s="98"/>
      <c r="K3889" s="93">
        <v>8.3395044604289268</v>
      </c>
      <c r="L3889" s="93">
        <f t="shared" si="509"/>
        <v>0</v>
      </c>
      <c r="M3889" s="95">
        <f t="shared" ca="1" si="510"/>
        <v>0</v>
      </c>
      <c r="N3889" s="95">
        <f>IF(P3889="Hedge Fund",IF(A3889=Summary!$AD$3,M3889-E3889,M3889),IF(A3889=Summary!$AD$3,L3889-D3889,L3889))</f>
        <v>0</v>
      </c>
      <c r="O3889" s="95">
        <f t="shared" si="508"/>
        <v>0</v>
      </c>
      <c r="P3889" s="107" t="s">
        <v>155</v>
      </c>
      <c r="Q3889" s="107">
        <v>0</v>
      </c>
      <c r="R3889" s="107">
        <v>0</v>
      </c>
      <c r="S3889" s="107">
        <v>0</v>
      </c>
      <c r="T3889" s="107">
        <v>0</v>
      </c>
      <c r="U3889" s="107"/>
      <c r="V3889" s="107"/>
      <c r="W3889" s="107"/>
      <c r="X3889" s="107"/>
      <c r="Y3889" s="107"/>
      <c r="Z3889" s="107"/>
      <c r="AA3889" s="107"/>
      <c r="AB3889" s="107"/>
      <c r="AC3889" s="355"/>
      <c r="AD3889" s="355"/>
      <c r="AE3889" s="355"/>
      <c r="AF3889" s="94">
        <f t="shared" si="511"/>
        <v>41759</v>
      </c>
      <c r="AG3889" s="185">
        <f t="shared" si="516"/>
        <v>-1.3588079899722216E-2</v>
      </c>
      <c r="AH3889" s="339" t="str">
        <f>VLOOKUP(B3889,'MF PF'!A:B,2)</f>
        <v>FdMgt1</v>
      </c>
      <c r="AI3889" s="358">
        <f t="shared" si="512"/>
        <v>0</v>
      </c>
      <c r="AJ3889" s="94">
        <f t="shared" si="513"/>
        <v>41759</v>
      </c>
    </row>
    <row r="3890" spans="1:36" ht="12.75" customHeight="1">
      <c r="A3890" s="8">
        <v>41789</v>
      </c>
      <c r="B3890" s="94" t="s">
        <v>189</v>
      </c>
      <c r="C3890" s="358" t="s">
        <v>305</v>
      </c>
      <c r="D3890" s="98">
        <v>10284400.912</v>
      </c>
      <c r="E3890" s="9">
        <f t="shared" si="515"/>
        <v>1233214.8703558631</v>
      </c>
      <c r="F3890" s="98">
        <v>12</v>
      </c>
      <c r="G3890" s="98">
        <v>0</v>
      </c>
      <c r="H3890" s="98">
        <v>0</v>
      </c>
      <c r="I3890" s="98">
        <v>0</v>
      </c>
      <c r="J3890" s="98"/>
      <c r="K3890" s="93">
        <v>8.3395044604289268</v>
      </c>
      <c r="L3890" s="93">
        <f t="shared" si="509"/>
        <v>0</v>
      </c>
      <c r="M3890" s="95">
        <f t="shared" ca="1" si="510"/>
        <v>0</v>
      </c>
      <c r="N3890" s="95">
        <f>IF(P3890="Hedge Fund",IF(A3890=Summary!$AD$3,M3890-E3890,M3890),IF(A3890=Summary!$AD$3,L3890-D3890,L3890))</f>
        <v>0</v>
      </c>
      <c r="O3890" s="95">
        <f t="shared" si="508"/>
        <v>0</v>
      </c>
      <c r="P3890" s="107" t="s">
        <v>155</v>
      </c>
      <c r="Q3890" s="107">
        <v>0</v>
      </c>
      <c r="R3890" s="107">
        <v>0</v>
      </c>
      <c r="S3890" s="107">
        <v>0</v>
      </c>
      <c r="T3890" s="107">
        <v>0</v>
      </c>
      <c r="U3890" s="107"/>
      <c r="V3890" s="107"/>
      <c r="W3890" s="107"/>
      <c r="X3890" s="107"/>
      <c r="Y3890" s="107"/>
      <c r="Z3890" s="107"/>
      <c r="AA3890" s="107"/>
      <c r="AB3890" s="107"/>
      <c r="AC3890" s="355"/>
      <c r="AD3890" s="355"/>
      <c r="AE3890" s="355"/>
      <c r="AF3890" s="94">
        <f t="shared" si="511"/>
        <v>41789</v>
      </c>
      <c r="AG3890" s="185">
        <f t="shared" si="516"/>
        <v>5.3597160282885525E-3</v>
      </c>
      <c r="AH3890" s="339" t="str">
        <f>VLOOKUP(B3890,'MF PF'!A:B,2)</f>
        <v>FdMgt1</v>
      </c>
      <c r="AI3890" s="358">
        <f t="shared" si="512"/>
        <v>0</v>
      </c>
      <c r="AJ3890" s="94">
        <f t="shared" si="513"/>
        <v>41790</v>
      </c>
    </row>
    <row r="3891" spans="1:36" ht="12.75" customHeight="1">
      <c r="A3891" s="8">
        <v>41820</v>
      </c>
      <c r="B3891" s="94" t="s">
        <v>189</v>
      </c>
      <c r="C3891" s="358" t="s">
        <v>305</v>
      </c>
      <c r="D3891" s="98">
        <v>10307860.392000001</v>
      </c>
      <c r="E3891" s="9">
        <f t="shared" si="515"/>
        <v>1236027.9247898904</v>
      </c>
      <c r="F3891" s="98">
        <v>12</v>
      </c>
      <c r="G3891" s="98">
        <v>0</v>
      </c>
      <c r="H3891" s="98">
        <v>0</v>
      </c>
      <c r="I3891" s="98">
        <v>0</v>
      </c>
      <c r="J3891" s="98"/>
      <c r="K3891" s="93">
        <v>8.3395044604289268</v>
      </c>
      <c r="L3891" s="93">
        <f t="shared" si="509"/>
        <v>0</v>
      </c>
      <c r="M3891" s="95">
        <f t="shared" ca="1" si="510"/>
        <v>0</v>
      </c>
      <c r="N3891" s="95">
        <f>IF(P3891="Hedge Fund",IF(A3891=Summary!$AD$3,M3891-E3891,M3891),IF(A3891=Summary!$AD$3,L3891-D3891,L3891))</f>
        <v>0</v>
      </c>
      <c r="O3891" s="95">
        <f t="shared" si="508"/>
        <v>0</v>
      </c>
      <c r="P3891" s="107" t="s">
        <v>155</v>
      </c>
      <c r="Q3891" s="107">
        <v>0</v>
      </c>
      <c r="R3891" s="107">
        <v>0</v>
      </c>
      <c r="S3891" s="107">
        <v>0</v>
      </c>
      <c r="T3891" s="107">
        <v>0</v>
      </c>
      <c r="U3891" s="107"/>
      <c r="V3891" s="107"/>
      <c r="W3891" s="107"/>
      <c r="X3891" s="107"/>
      <c r="Y3891" s="107"/>
      <c r="Z3891" s="107"/>
      <c r="AA3891" s="107"/>
      <c r="AB3891" s="107"/>
      <c r="AC3891" s="355"/>
      <c r="AD3891" s="355"/>
      <c r="AE3891" s="355"/>
      <c r="AF3891" s="94">
        <f t="shared" si="511"/>
        <v>41820</v>
      </c>
      <c r="AG3891" s="185">
        <f t="shared" si="516"/>
        <v>2.2810740460952328E-3</v>
      </c>
      <c r="AH3891" s="339" t="str">
        <f>VLOOKUP(B3891,'MF PF'!A:B,2)</f>
        <v>FdMgt1</v>
      </c>
      <c r="AI3891" s="358">
        <f t="shared" si="512"/>
        <v>0</v>
      </c>
      <c r="AJ3891" s="94">
        <f t="shared" si="513"/>
        <v>41820</v>
      </c>
    </row>
    <row r="3892" spans="1:36" ht="12.75" customHeight="1">
      <c r="A3892" s="8">
        <v>41851</v>
      </c>
      <c r="B3892" s="94" t="s">
        <v>189</v>
      </c>
      <c r="C3892" s="358" t="s">
        <v>305</v>
      </c>
      <c r="D3892" s="98">
        <v>9569556.6879999992</v>
      </c>
      <c r="E3892" s="9">
        <f t="shared" si="515"/>
        <v>1147497.0405505134</v>
      </c>
      <c r="F3892" s="98">
        <v>12</v>
      </c>
      <c r="G3892" s="98">
        <v>0</v>
      </c>
      <c r="H3892" s="98">
        <v>0</v>
      </c>
      <c r="I3892" s="98">
        <v>-807360</v>
      </c>
      <c r="J3892" s="98"/>
      <c r="K3892" s="93">
        <v>8.3395044604289268</v>
      </c>
      <c r="L3892" s="93">
        <f t="shared" si="509"/>
        <v>-807360</v>
      </c>
      <c r="M3892" s="95">
        <f t="shared" ca="1" si="510"/>
        <v>-96811.507665825382</v>
      </c>
      <c r="N3892" s="95">
        <f>IF(P3892="Hedge Fund",IF(A3892=Summary!$AD$3,M3892-E3892,M3892),IF(A3892=Summary!$AD$3,L3892-D3892,L3892))</f>
        <v>-807360</v>
      </c>
      <c r="O3892" s="95">
        <f t="shared" si="508"/>
        <v>-807360</v>
      </c>
      <c r="P3892" s="107" t="s">
        <v>155</v>
      </c>
      <c r="Q3892" s="107">
        <v>0</v>
      </c>
      <c r="R3892" s="107">
        <v>0</v>
      </c>
      <c r="S3892" s="107">
        <v>0</v>
      </c>
      <c r="T3892" s="107">
        <v>0</v>
      </c>
      <c r="U3892" s="107"/>
      <c r="V3892" s="107"/>
      <c r="W3892" s="107"/>
      <c r="X3892" s="107"/>
      <c r="Y3892" s="107"/>
      <c r="Z3892" s="107"/>
      <c r="AA3892" s="107"/>
      <c r="AB3892" s="107"/>
      <c r="AC3892" s="355"/>
      <c r="AD3892" s="355"/>
      <c r="AE3892" s="355"/>
      <c r="AF3892" s="94">
        <f t="shared" si="511"/>
        <v>41851</v>
      </c>
      <c r="AG3892" s="185">
        <f t="shared" si="516"/>
        <v>6.6993821582599367E-3</v>
      </c>
      <c r="AH3892" s="339" t="str">
        <f>VLOOKUP(B3892,'MF PF'!A:B,2)</f>
        <v>FdMgt1</v>
      </c>
      <c r="AI3892" s="358">
        <f t="shared" si="512"/>
        <v>0</v>
      </c>
      <c r="AJ3892" s="94">
        <f t="shared" si="513"/>
        <v>41851</v>
      </c>
    </row>
    <row r="3893" spans="1:36" ht="12.75" customHeight="1">
      <c r="A3893" s="8">
        <v>41880</v>
      </c>
      <c r="B3893" s="94" t="s">
        <v>189</v>
      </c>
      <c r="C3893" s="358" t="s">
        <v>305</v>
      </c>
      <c r="D3893" s="98">
        <v>6866743.608</v>
      </c>
      <c r="E3893" s="9">
        <f t="shared" si="515"/>
        <v>823399.47662151884</v>
      </c>
      <c r="F3893" s="98">
        <v>12</v>
      </c>
      <c r="G3893" s="98">
        <v>0</v>
      </c>
      <c r="H3893" s="98">
        <v>0</v>
      </c>
      <c r="I3893" s="98">
        <v>-2762400</v>
      </c>
      <c r="J3893" s="98"/>
      <c r="K3893" s="93">
        <v>8.3395044604289268</v>
      </c>
      <c r="L3893" s="93">
        <f t="shared" si="509"/>
        <v>-2762400</v>
      </c>
      <c r="M3893" s="95">
        <f t="shared" ca="1" si="510"/>
        <v>-331242.70310156071</v>
      </c>
      <c r="N3893" s="95">
        <f>IF(P3893="Hedge Fund",IF(A3893=Summary!$AD$3,M3893-E3893,M3893),IF(A3893=Summary!$AD$3,L3893-D3893,L3893))</f>
        <v>-2762400</v>
      </c>
      <c r="O3893" s="95">
        <f t="shared" si="508"/>
        <v>-2762400</v>
      </c>
      <c r="P3893" s="107" t="s">
        <v>155</v>
      </c>
      <c r="Q3893" s="107">
        <v>0</v>
      </c>
      <c r="R3893" s="107">
        <v>0</v>
      </c>
      <c r="S3893" s="107">
        <v>0</v>
      </c>
      <c r="T3893" s="107">
        <v>0</v>
      </c>
      <c r="U3893" s="107"/>
      <c r="V3893" s="107"/>
      <c r="W3893" s="107"/>
      <c r="X3893" s="107"/>
      <c r="Y3893" s="107"/>
      <c r="Z3893" s="107"/>
      <c r="AA3893" s="107"/>
      <c r="AB3893" s="107"/>
      <c r="AC3893" s="355"/>
      <c r="AD3893" s="355"/>
      <c r="AE3893" s="355"/>
      <c r="AF3893" s="94">
        <f t="shared" si="511"/>
        <v>41880</v>
      </c>
      <c r="AG3893" s="185">
        <f t="shared" si="516"/>
        <v>6.2267168629368541E-3</v>
      </c>
      <c r="AH3893" s="339" t="str">
        <f>VLOOKUP(B3893,'MF PF'!A:B,2)</f>
        <v>FdMgt1</v>
      </c>
      <c r="AI3893" s="358">
        <f t="shared" si="512"/>
        <v>0</v>
      </c>
      <c r="AJ3893" s="94">
        <f t="shared" si="513"/>
        <v>41882</v>
      </c>
    </row>
    <row r="3894" spans="1:36" ht="12.75" customHeight="1">
      <c r="A3894" s="8">
        <v>41912</v>
      </c>
      <c r="B3894" s="94" t="s">
        <v>189</v>
      </c>
      <c r="C3894" s="358" t="s">
        <v>305</v>
      </c>
      <c r="D3894" s="98">
        <v>6899902.9040000001</v>
      </c>
      <c r="E3894" s="9">
        <f t="shared" si="515"/>
        <v>827375.64764670876</v>
      </c>
      <c r="F3894" s="98">
        <v>12</v>
      </c>
      <c r="G3894" s="98">
        <v>0</v>
      </c>
      <c r="H3894" s="98">
        <v>0</v>
      </c>
      <c r="I3894" s="98">
        <v>0</v>
      </c>
      <c r="J3894" s="98"/>
      <c r="K3894" s="93">
        <v>8.3395044604289268</v>
      </c>
      <c r="L3894" s="93">
        <f t="shared" si="509"/>
        <v>0</v>
      </c>
      <c r="M3894" s="95">
        <f t="shared" ca="1" si="510"/>
        <v>0</v>
      </c>
      <c r="N3894" s="95">
        <f>IF(P3894="Hedge Fund",IF(A3894=Summary!$AD$3,M3894-E3894,M3894),IF(A3894=Summary!$AD$3,L3894-D3894,L3894))</f>
        <v>0</v>
      </c>
      <c r="O3894" s="95">
        <f t="shared" si="508"/>
        <v>0</v>
      </c>
      <c r="P3894" s="107" t="s">
        <v>155</v>
      </c>
      <c r="Q3894" s="107">
        <v>0</v>
      </c>
      <c r="R3894" s="107">
        <v>0</v>
      </c>
      <c r="S3894" s="107">
        <v>0</v>
      </c>
      <c r="T3894" s="107">
        <v>0</v>
      </c>
      <c r="U3894" s="107"/>
      <c r="V3894" s="107"/>
      <c r="W3894" s="107"/>
      <c r="X3894" s="107"/>
      <c r="Y3894" s="107"/>
      <c r="Z3894" s="107"/>
      <c r="AA3894" s="107"/>
      <c r="AB3894" s="107"/>
      <c r="AC3894" s="355"/>
      <c r="AD3894" s="355"/>
      <c r="AE3894" s="355"/>
      <c r="AF3894" s="94">
        <f t="shared" si="511"/>
        <v>41912</v>
      </c>
      <c r="AG3894" s="185">
        <f t="shared" si="516"/>
        <v>4.8289695804817345E-3</v>
      </c>
      <c r="AH3894" s="339" t="str">
        <f>VLOOKUP(B3894,'MF PF'!A:B,2)</f>
        <v>FdMgt1</v>
      </c>
      <c r="AI3894" s="358">
        <f t="shared" si="512"/>
        <v>0</v>
      </c>
      <c r="AJ3894" s="94">
        <f t="shared" si="513"/>
        <v>41912</v>
      </c>
    </row>
    <row r="3895" spans="1:36" ht="12.75" customHeight="1">
      <c r="A3895" s="8">
        <v>41943</v>
      </c>
      <c r="B3895" s="94" t="s">
        <v>189</v>
      </c>
      <c r="C3895" s="358" t="s">
        <v>305</v>
      </c>
      <c r="D3895" s="98">
        <v>5413141.5279999999</v>
      </c>
      <c r="E3895" s="9">
        <f t="shared" si="515"/>
        <v>649096.30466479599</v>
      </c>
      <c r="F3895" s="98">
        <v>12</v>
      </c>
      <c r="G3895" s="98">
        <v>0</v>
      </c>
      <c r="H3895" s="98">
        <v>0</v>
      </c>
      <c r="I3895" s="98">
        <v>-1362000</v>
      </c>
      <c r="J3895" s="98"/>
      <c r="K3895" s="93">
        <v>8.3395044604289268</v>
      </c>
      <c r="L3895" s="93">
        <f t="shared" si="509"/>
        <v>-1362000</v>
      </c>
      <c r="M3895" s="95">
        <f t="shared" ca="1" si="510"/>
        <v>-163319.05648143849</v>
      </c>
      <c r="N3895" s="95">
        <f>IF(P3895="Hedge Fund",IF(A3895=Summary!$AD$3,M3895-E3895,M3895),IF(A3895=Summary!$AD$3,L3895-D3895,L3895))</f>
        <v>-1362000</v>
      </c>
      <c r="O3895" s="95">
        <f t="shared" si="508"/>
        <v>-1362000</v>
      </c>
      <c r="P3895" s="107" t="s">
        <v>155</v>
      </c>
      <c r="Q3895" s="107">
        <v>0</v>
      </c>
      <c r="R3895" s="107">
        <v>0</v>
      </c>
      <c r="S3895" s="107">
        <v>0</v>
      </c>
      <c r="T3895" s="107">
        <v>0</v>
      </c>
      <c r="U3895" s="107"/>
      <c r="V3895" s="107"/>
      <c r="W3895" s="107"/>
      <c r="X3895" s="107"/>
      <c r="Y3895" s="107"/>
      <c r="Z3895" s="107"/>
      <c r="AA3895" s="107"/>
      <c r="AB3895" s="107"/>
      <c r="AC3895" s="355"/>
      <c r="AD3895" s="355"/>
      <c r="AE3895" s="355"/>
      <c r="AF3895" s="94">
        <f t="shared" si="511"/>
        <v>41943</v>
      </c>
      <c r="AG3895" s="185">
        <f t="shared" si="516"/>
        <v>-1.8081613282945441E-2</v>
      </c>
      <c r="AH3895" s="339" t="str">
        <f>VLOOKUP(B3895,'MF PF'!A:B,2)</f>
        <v>FdMgt1</v>
      </c>
      <c r="AI3895" s="358">
        <f t="shared" si="512"/>
        <v>0</v>
      </c>
      <c r="AJ3895" s="94">
        <f t="shared" si="513"/>
        <v>41943</v>
      </c>
    </row>
    <row r="3896" spans="1:36" ht="12.75" customHeight="1">
      <c r="A3896" s="8">
        <v>41971</v>
      </c>
      <c r="B3896" s="94" t="s">
        <v>189</v>
      </c>
      <c r="C3896" s="358" t="s">
        <v>305</v>
      </c>
      <c r="D3896" s="98">
        <v>5257287.5839999998</v>
      </c>
      <c r="E3896" s="9">
        <f t="shared" si="515"/>
        <v>630407.6709768438</v>
      </c>
      <c r="F3896" s="98">
        <v>12</v>
      </c>
      <c r="G3896" s="98">
        <v>0</v>
      </c>
      <c r="H3896" s="98">
        <v>0</v>
      </c>
      <c r="I3896" s="98">
        <v>0</v>
      </c>
      <c r="J3896" s="98"/>
      <c r="K3896" s="93">
        <v>8.3395044604289268</v>
      </c>
      <c r="L3896" s="93">
        <f t="shared" si="509"/>
        <v>0</v>
      </c>
      <c r="M3896" s="95">
        <f t="shared" ca="1" si="510"/>
        <v>0</v>
      </c>
      <c r="N3896" s="95">
        <f>IF(P3896="Hedge Fund",IF(A3896=Summary!$AD$3,M3896-E3896,M3896),IF(A3896=Summary!$AD$3,L3896-D3896,L3896))</f>
        <v>0</v>
      </c>
      <c r="O3896" s="95">
        <f t="shared" si="508"/>
        <v>0</v>
      </c>
      <c r="P3896" s="107" t="s">
        <v>155</v>
      </c>
      <c r="Q3896" s="107">
        <v>0</v>
      </c>
      <c r="R3896" s="107">
        <v>0</v>
      </c>
      <c r="S3896" s="107">
        <v>0</v>
      </c>
      <c r="T3896" s="107">
        <v>0</v>
      </c>
      <c r="U3896" s="107"/>
      <c r="V3896" s="107"/>
      <c r="W3896" s="107"/>
      <c r="X3896" s="107"/>
      <c r="Y3896" s="107"/>
      <c r="Z3896" s="107"/>
      <c r="AA3896" s="107"/>
      <c r="AB3896" s="107"/>
      <c r="AC3896" s="355"/>
      <c r="AD3896" s="355"/>
      <c r="AE3896" s="355"/>
      <c r="AF3896" s="94">
        <f t="shared" si="511"/>
        <v>41971</v>
      </c>
      <c r="AG3896" s="185">
        <f t="shared" si="516"/>
        <v>-2.8791773352651262E-2</v>
      </c>
      <c r="AH3896" s="339" t="str">
        <f>VLOOKUP(B3896,'MF PF'!A:B,2)</f>
        <v>FdMgt1</v>
      </c>
      <c r="AI3896" s="358">
        <f t="shared" si="512"/>
        <v>0</v>
      </c>
      <c r="AJ3896" s="94">
        <f t="shared" si="513"/>
        <v>41973</v>
      </c>
    </row>
    <row r="3897" spans="1:36" ht="12.75" customHeight="1">
      <c r="A3897" s="8">
        <v>42004</v>
      </c>
      <c r="B3897" s="94" t="s">
        <v>189</v>
      </c>
      <c r="C3897" s="358" t="s">
        <v>305</v>
      </c>
      <c r="D3897" s="98">
        <v>4500140.9519999996</v>
      </c>
      <c r="E3897" s="9">
        <f t="shared" si="515"/>
        <v>539617.30860067718</v>
      </c>
      <c r="F3897" s="98">
        <v>12</v>
      </c>
      <c r="G3897" s="98">
        <v>0</v>
      </c>
      <c r="H3897" s="98">
        <v>0</v>
      </c>
      <c r="I3897" s="98">
        <v>-690000</v>
      </c>
      <c r="J3897" s="98"/>
      <c r="K3897" s="93">
        <v>8.3395044604289268</v>
      </c>
      <c r="L3897" s="93">
        <f t="shared" si="509"/>
        <v>-690000</v>
      </c>
      <c r="M3897" s="95">
        <f t="shared" ca="1" si="510"/>
        <v>-82738.729054473239</v>
      </c>
      <c r="N3897" s="95">
        <f>IF(P3897="Hedge Fund",IF(A3897=Summary!$AD$3,M3897-E3897,M3897),IF(A3897=Summary!$AD$3,L3897-D3897,L3897))</f>
        <v>-690000</v>
      </c>
      <c r="O3897" s="95">
        <f t="shared" si="508"/>
        <v>-690000</v>
      </c>
      <c r="P3897" s="107" t="s">
        <v>155</v>
      </c>
      <c r="Q3897" s="107">
        <v>0</v>
      </c>
      <c r="R3897" s="107">
        <v>0</v>
      </c>
      <c r="S3897" s="107">
        <v>0</v>
      </c>
      <c r="T3897" s="107">
        <v>0</v>
      </c>
      <c r="U3897" s="107"/>
      <c r="V3897" s="107"/>
      <c r="W3897" s="107"/>
      <c r="X3897" s="107"/>
      <c r="Y3897" s="107"/>
      <c r="Z3897" s="107"/>
      <c r="AA3897" s="107"/>
      <c r="AB3897" s="107"/>
      <c r="AC3897" s="355"/>
      <c r="AD3897" s="355"/>
      <c r="AE3897" s="355"/>
      <c r="AF3897" s="94">
        <f t="shared" si="511"/>
        <v>42004</v>
      </c>
      <c r="AG3897" s="185">
        <f t="shared" si="516"/>
        <v>-1.2772105563400027E-2</v>
      </c>
      <c r="AH3897" s="339" t="str">
        <f>VLOOKUP(B3897,'MF PF'!A:B,2)</f>
        <v>FdMgt1</v>
      </c>
      <c r="AI3897" s="358">
        <f t="shared" si="512"/>
        <v>0</v>
      </c>
      <c r="AJ3897" s="94">
        <f t="shared" si="513"/>
        <v>42004</v>
      </c>
    </row>
    <row r="3898" spans="1:36" ht="12.75" customHeight="1">
      <c r="A3898" s="8">
        <v>42034</v>
      </c>
      <c r="B3898" s="94" t="s">
        <v>189</v>
      </c>
      <c r="C3898" s="358" t="s">
        <v>305</v>
      </c>
      <c r="D3898" s="98">
        <v>4555981.7359999996</v>
      </c>
      <c r="E3898" s="9">
        <f t="shared" si="515"/>
        <v>546313.24410439504</v>
      </c>
      <c r="F3898" s="98">
        <v>12</v>
      </c>
      <c r="G3898" s="98">
        <v>0</v>
      </c>
      <c r="H3898" s="98">
        <v>0</v>
      </c>
      <c r="I3898" s="98">
        <v>0</v>
      </c>
      <c r="J3898" s="98"/>
      <c r="K3898" s="93">
        <v>8.3395044604289268</v>
      </c>
      <c r="L3898" s="93">
        <f t="shared" si="509"/>
        <v>0</v>
      </c>
      <c r="M3898" s="95">
        <f t="shared" ca="1" si="510"/>
        <v>0</v>
      </c>
      <c r="N3898" s="95">
        <f>IF(P3898="Hedge Fund",IF(A3898=Summary!$AD$3,M3898-E3898,M3898),IF(A3898=Summary!$AD$3,L3898-D3898,L3898))</f>
        <v>0</v>
      </c>
      <c r="O3898" s="95">
        <f t="shared" si="508"/>
        <v>0</v>
      </c>
      <c r="P3898" s="107" t="s">
        <v>155</v>
      </c>
      <c r="Q3898" s="107">
        <v>0</v>
      </c>
      <c r="R3898" s="107">
        <v>0</v>
      </c>
      <c r="S3898" s="107">
        <v>0</v>
      </c>
      <c r="T3898" s="107">
        <v>0</v>
      </c>
      <c r="U3898" s="107"/>
      <c r="V3898" s="107"/>
      <c r="W3898" s="107"/>
      <c r="X3898" s="107"/>
      <c r="Y3898" s="107"/>
      <c r="Z3898" s="107"/>
      <c r="AA3898" s="107"/>
      <c r="AB3898" s="107"/>
      <c r="AC3898" s="355"/>
      <c r="AD3898" s="355"/>
      <c r="AE3898" s="355"/>
      <c r="AF3898" s="94">
        <f t="shared" si="511"/>
        <v>42034</v>
      </c>
      <c r="AG3898" s="185">
        <f t="shared" si="516"/>
        <v>1.2408674438337819E-2</v>
      </c>
      <c r="AH3898" s="339" t="str">
        <f>VLOOKUP(B3898,'MF PF'!A:B,2)</f>
        <v>FdMgt1</v>
      </c>
      <c r="AI3898" s="358">
        <f t="shared" si="512"/>
        <v>0</v>
      </c>
      <c r="AJ3898" s="94">
        <f t="shared" si="513"/>
        <v>42035</v>
      </c>
    </row>
    <row r="3899" spans="1:36" ht="12.75" customHeight="1">
      <c r="A3899" s="8">
        <v>42062</v>
      </c>
      <c r="B3899" s="94" t="s">
        <v>189</v>
      </c>
      <c r="C3899" s="358" t="s">
        <v>305</v>
      </c>
      <c r="D3899" s="98">
        <v>4639663.1279999996</v>
      </c>
      <c r="E3899" s="95">
        <f t="shared" si="515"/>
        <v>556347.58036466921</v>
      </c>
      <c r="F3899" s="98">
        <v>12</v>
      </c>
      <c r="G3899" s="98">
        <v>0</v>
      </c>
      <c r="H3899" s="98">
        <v>0</v>
      </c>
      <c r="I3899" s="98">
        <v>0</v>
      </c>
      <c r="J3899" s="98"/>
      <c r="K3899" s="93">
        <v>8.3395044604289268</v>
      </c>
      <c r="L3899" s="93">
        <f t="shared" si="509"/>
        <v>0</v>
      </c>
      <c r="M3899" s="95">
        <f t="shared" ca="1" si="510"/>
        <v>0</v>
      </c>
      <c r="N3899" s="95">
        <f>IF(P3899="Hedge Fund",IF(A3899=Summary!$AD$3,M3899-E3899,M3899),IF(A3899=Summary!$AD$3,L3899-D3899,L3899))</f>
        <v>0</v>
      </c>
      <c r="O3899" s="95">
        <f t="shared" si="508"/>
        <v>0</v>
      </c>
      <c r="P3899" s="107" t="s">
        <v>155</v>
      </c>
      <c r="Q3899" s="107">
        <v>0</v>
      </c>
      <c r="R3899" s="107">
        <v>0</v>
      </c>
      <c r="S3899" s="107">
        <v>0</v>
      </c>
      <c r="T3899" s="107">
        <v>0</v>
      </c>
      <c r="U3899" s="107"/>
      <c r="V3899" s="107"/>
      <c r="W3899" s="107"/>
      <c r="X3899" s="107"/>
      <c r="Y3899" s="107"/>
      <c r="Z3899" s="107"/>
      <c r="AA3899" s="107"/>
      <c r="AB3899" s="107"/>
      <c r="AC3899" s="355"/>
      <c r="AD3899" s="355"/>
      <c r="AE3899" s="355"/>
      <c r="AF3899" s="94">
        <f t="shared" si="511"/>
        <v>42062</v>
      </c>
      <c r="AG3899" s="185">
        <f t="shared" si="516"/>
        <v>1.8367367748376662E-2</v>
      </c>
      <c r="AH3899" s="339" t="str">
        <f>VLOOKUP(B3899,'MF PF'!A:B,2)</f>
        <v>FdMgt1</v>
      </c>
      <c r="AI3899" s="358">
        <f t="shared" si="512"/>
        <v>0</v>
      </c>
      <c r="AJ3899" s="94">
        <f t="shared" si="513"/>
        <v>42063</v>
      </c>
    </row>
    <row r="3900" spans="1:36" ht="12.75" customHeight="1">
      <c r="A3900" s="8">
        <v>42094</v>
      </c>
      <c r="B3900" s="94" t="s">
        <v>189</v>
      </c>
      <c r="C3900" s="358" t="s">
        <v>305</v>
      </c>
      <c r="D3900" s="98">
        <v>4606590.784</v>
      </c>
      <c r="E3900" s="9">
        <f t="shared" ref="E3900:E3931" si="517">D3900/K3900</f>
        <v>552381.8358582746</v>
      </c>
      <c r="F3900" s="98">
        <v>12</v>
      </c>
      <c r="G3900" s="98">
        <v>0</v>
      </c>
      <c r="H3900" s="98">
        <v>0</v>
      </c>
      <c r="I3900" s="98">
        <v>0</v>
      </c>
      <c r="J3900" s="98"/>
      <c r="K3900" s="93">
        <v>8.3395044604289268</v>
      </c>
      <c r="L3900" s="93">
        <f t="shared" si="509"/>
        <v>0</v>
      </c>
      <c r="M3900" s="95">
        <f t="shared" ca="1" si="510"/>
        <v>0</v>
      </c>
      <c r="N3900" s="95">
        <f>IF(P3900="Hedge Fund",IF(A3900=Summary!$AD$3,M3900-E3900,M3900),IF(A3900=Summary!$AD$3,L3900-D3900,L3900))</f>
        <v>0</v>
      </c>
      <c r="O3900" s="95">
        <f t="shared" ref="O3900:O3946" si="518">N3900</f>
        <v>0</v>
      </c>
      <c r="P3900" s="107" t="s">
        <v>155</v>
      </c>
      <c r="Q3900" s="107">
        <v>0</v>
      </c>
      <c r="R3900" s="107">
        <v>0</v>
      </c>
      <c r="S3900" s="107">
        <v>0</v>
      </c>
      <c r="T3900" s="107">
        <v>0</v>
      </c>
      <c r="U3900" s="107"/>
      <c r="V3900" s="107"/>
      <c r="W3900" s="107"/>
      <c r="X3900" s="107"/>
      <c r="Y3900" s="107"/>
      <c r="Z3900" s="107"/>
      <c r="AA3900" s="107"/>
      <c r="AB3900" s="107"/>
      <c r="AC3900" s="355"/>
      <c r="AD3900" s="355"/>
      <c r="AE3900" s="355"/>
      <c r="AF3900" s="94">
        <f t="shared" si="511"/>
        <v>42094</v>
      </c>
      <c r="AG3900" s="185">
        <f t="shared" si="516"/>
        <v>-7.128177862830265E-3</v>
      </c>
      <c r="AH3900" s="339" t="str">
        <f>VLOOKUP(B3900,'MF PF'!A:B,2)</f>
        <v>FdMgt1</v>
      </c>
      <c r="AI3900" s="358">
        <f t="shared" si="512"/>
        <v>0</v>
      </c>
      <c r="AJ3900" s="94">
        <f t="shared" si="513"/>
        <v>42094</v>
      </c>
    </row>
    <row r="3901" spans="1:36" ht="12.75" customHeight="1">
      <c r="A3901" s="8">
        <v>42124</v>
      </c>
      <c r="B3901" s="94" t="s">
        <v>189</v>
      </c>
      <c r="C3901" s="358" t="s">
        <v>305</v>
      </c>
      <c r="D3901" s="98">
        <v>4292382.3439999996</v>
      </c>
      <c r="E3901" s="9">
        <f t="shared" si="517"/>
        <v>514704.72428756621</v>
      </c>
      <c r="F3901" s="98">
        <v>12</v>
      </c>
      <c r="G3901" s="98">
        <v>0</v>
      </c>
      <c r="H3901" s="98">
        <v>0</v>
      </c>
      <c r="I3901" s="98">
        <v>-434400</v>
      </c>
      <c r="J3901" s="98"/>
      <c r="K3901" s="93">
        <v>8.3395044604289268</v>
      </c>
      <c r="L3901" s="93">
        <f t="shared" si="509"/>
        <v>-434400</v>
      </c>
      <c r="M3901" s="95">
        <f t="shared" ca="1" si="510"/>
        <v>-52089.425943859671</v>
      </c>
      <c r="N3901" s="95">
        <f>IF(P3901="Hedge Fund",IF(A3901=Summary!$AD$3,M3901-E3901,M3901),IF(A3901=Summary!$AD$3,L3901-D3901,L3901))</f>
        <v>-434400</v>
      </c>
      <c r="O3901" s="95">
        <f t="shared" si="518"/>
        <v>-434400</v>
      </c>
      <c r="P3901" s="107" t="s">
        <v>155</v>
      </c>
      <c r="Q3901" s="107">
        <v>0</v>
      </c>
      <c r="R3901" s="107">
        <v>0</v>
      </c>
      <c r="S3901" s="107">
        <v>0</v>
      </c>
      <c r="T3901" s="107">
        <v>0</v>
      </c>
      <c r="U3901" s="107"/>
      <c r="V3901" s="107"/>
      <c r="W3901" s="107"/>
      <c r="X3901" s="107"/>
      <c r="Y3901" s="107"/>
      <c r="Z3901" s="107"/>
      <c r="AA3901" s="107"/>
      <c r="AB3901" s="107"/>
      <c r="AC3901" s="355"/>
      <c r="AD3901" s="355"/>
      <c r="AE3901" s="355"/>
      <c r="AF3901" s="94">
        <f t="shared" si="511"/>
        <v>42124</v>
      </c>
      <c r="AG3901" s="185">
        <f t="shared" si="516"/>
        <v>2.6091217048724857E-2</v>
      </c>
      <c r="AH3901" s="339" t="str">
        <f>VLOOKUP(B3901,'MF PF'!A:B,2)</f>
        <v>FdMgt1</v>
      </c>
      <c r="AI3901" s="358">
        <f t="shared" si="512"/>
        <v>0</v>
      </c>
      <c r="AJ3901" s="94">
        <f t="shared" si="513"/>
        <v>42124</v>
      </c>
    </row>
    <row r="3902" spans="1:36" ht="12.75" customHeight="1">
      <c r="A3902" s="8">
        <v>42153</v>
      </c>
      <c r="B3902" s="94" t="s">
        <v>189</v>
      </c>
      <c r="C3902" s="358" t="s">
        <v>305</v>
      </c>
      <c r="D3902" s="98">
        <v>4299754.2719999999</v>
      </c>
      <c r="E3902" s="95">
        <f t="shared" si="517"/>
        <v>515588.70103162579</v>
      </c>
      <c r="F3902" s="98">
        <v>12</v>
      </c>
      <c r="G3902" s="98">
        <v>0</v>
      </c>
      <c r="H3902" s="98">
        <v>0</v>
      </c>
      <c r="I3902" s="98">
        <v>0</v>
      </c>
      <c r="J3902" s="98"/>
      <c r="K3902" s="93">
        <v>8.3395044604289268</v>
      </c>
      <c r="L3902" s="93">
        <f t="shared" si="509"/>
        <v>0</v>
      </c>
      <c r="M3902" s="95">
        <f t="shared" ca="1" si="510"/>
        <v>0</v>
      </c>
      <c r="N3902" s="95">
        <f>IF(P3902="Hedge Fund",IF(A3902=Summary!$AD$3,M3902-E3902,M3902),IF(A3902=Summary!$AD$3,L3902-D3902,L3902))</f>
        <v>0</v>
      </c>
      <c r="O3902" s="95">
        <f t="shared" si="518"/>
        <v>0</v>
      </c>
      <c r="P3902" s="107" t="s">
        <v>155</v>
      </c>
      <c r="Q3902" s="107">
        <v>0</v>
      </c>
      <c r="R3902" s="107">
        <v>0</v>
      </c>
      <c r="S3902" s="107">
        <v>0</v>
      </c>
      <c r="T3902" s="107">
        <v>0</v>
      </c>
      <c r="U3902" s="107"/>
      <c r="V3902" s="107"/>
      <c r="W3902" s="107"/>
      <c r="X3902" s="107"/>
      <c r="Y3902" s="107"/>
      <c r="Z3902" s="107"/>
      <c r="AA3902" s="107"/>
      <c r="AB3902" s="107"/>
      <c r="AC3902" s="355"/>
      <c r="AD3902" s="355"/>
      <c r="AE3902" s="355"/>
      <c r="AF3902" s="94">
        <f t="shared" si="511"/>
        <v>42153</v>
      </c>
      <c r="AG3902" s="185">
        <f t="shared" si="516"/>
        <v>1.7174443954892649E-3</v>
      </c>
      <c r="AH3902" s="339" t="str">
        <f>VLOOKUP(B3902,'MF PF'!A:B,2)</f>
        <v>FdMgt1</v>
      </c>
      <c r="AI3902" s="358">
        <f t="shared" si="512"/>
        <v>0</v>
      </c>
      <c r="AJ3902" s="94">
        <f t="shared" si="513"/>
        <v>42155</v>
      </c>
    </row>
    <row r="3903" spans="1:36" ht="12.75" customHeight="1">
      <c r="A3903" s="8">
        <v>42185</v>
      </c>
      <c r="B3903" s="94" t="s">
        <v>189</v>
      </c>
      <c r="C3903" s="358" t="s">
        <v>305</v>
      </c>
      <c r="D3903" s="98">
        <v>4344463.4960000003</v>
      </c>
      <c r="E3903" s="9">
        <f t="shared" si="517"/>
        <v>520949.83780086029</v>
      </c>
      <c r="F3903" s="98">
        <v>12</v>
      </c>
      <c r="G3903" s="98">
        <v>0</v>
      </c>
      <c r="H3903" s="98">
        <v>0</v>
      </c>
      <c r="I3903" s="98">
        <v>0</v>
      </c>
      <c r="J3903" s="98"/>
      <c r="K3903" s="93">
        <v>8.3395044604289268</v>
      </c>
      <c r="L3903" s="93">
        <f t="shared" si="509"/>
        <v>0</v>
      </c>
      <c r="M3903" s="95">
        <f t="shared" ca="1" si="510"/>
        <v>0</v>
      </c>
      <c r="N3903" s="95">
        <f>IF(P3903="Hedge Fund",IF(A3903=Summary!$AD$3,M3903-E3903,M3903),IF(A3903=Summary!$AD$3,L3903-D3903,L3903))</f>
        <v>0</v>
      </c>
      <c r="O3903" s="95">
        <f t="shared" si="518"/>
        <v>0</v>
      </c>
      <c r="P3903" s="107" t="s">
        <v>155</v>
      </c>
      <c r="Q3903" s="107">
        <v>0</v>
      </c>
      <c r="R3903" s="107">
        <v>0</v>
      </c>
      <c r="S3903" s="107">
        <v>0</v>
      </c>
      <c r="T3903" s="107">
        <v>0</v>
      </c>
      <c r="U3903" s="107"/>
      <c r="V3903" s="107"/>
      <c r="W3903" s="107"/>
      <c r="X3903" s="107"/>
      <c r="Y3903" s="107"/>
      <c r="Z3903" s="107"/>
      <c r="AA3903" s="107"/>
      <c r="AB3903" s="107"/>
      <c r="AC3903" s="355"/>
      <c r="AD3903" s="355"/>
      <c r="AE3903" s="355"/>
      <c r="AF3903" s="94">
        <f t="shared" si="511"/>
        <v>42185</v>
      </c>
      <c r="AG3903" s="185">
        <f t="shared" si="516"/>
        <v>1.0398088163118269E-2</v>
      </c>
      <c r="AH3903" s="339" t="str">
        <f>VLOOKUP(B3903,'MF PF'!A:B,2)</f>
        <v>FdMgt1</v>
      </c>
      <c r="AI3903" s="358">
        <f t="shared" si="512"/>
        <v>0</v>
      </c>
      <c r="AJ3903" s="94">
        <f t="shared" si="513"/>
        <v>42185</v>
      </c>
    </row>
    <row r="3904" spans="1:36" s="358" customFormat="1" ht="12.75" customHeight="1">
      <c r="A3904" s="94">
        <v>42216</v>
      </c>
      <c r="B3904" s="94" t="s">
        <v>189</v>
      </c>
      <c r="C3904" s="358" t="s">
        <v>305</v>
      </c>
      <c r="D3904" s="98">
        <v>3765320.72</v>
      </c>
      <c r="E3904" s="95">
        <f t="shared" si="517"/>
        <v>451504.13167431031</v>
      </c>
      <c r="F3904" s="98">
        <v>12</v>
      </c>
      <c r="G3904" s="98">
        <v>0</v>
      </c>
      <c r="H3904" s="98">
        <v>0</v>
      </c>
      <c r="I3904" s="98">
        <v>-463680</v>
      </c>
      <c r="J3904" s="98"/>
      <c r="K3904" s="93">
        <v>8.3395044604289268</v>
      </c>
      <c r="L3904" s="93">
        <f t="shared" si="509"/>
        <v>-463680</v>
      </c>
      <c r="M3904" s="95">
        <f t="shared" ca="1" si="510"/>
        <v>-55600.425924606017</v>
      </c>
      <c r="N3904" s="95">
        <f>IF(P3904="Hedge Fund",IF(A3904=Summary!$AD$3,M3904-E3904,M3904),IF(A3904=Summary!$AD$3,L3904-D3904,L3904))</f>
        <v>-463680</v>
      </c>
      <c r="O3904" s="95">
        <f t="shared" si="518"/>
        <v>-463680</v>
      </c>
      <c r="P3904" s="107" t="s">
        <v>155</v>
      </c>
      <c r="Q3904" s="107">
        <v>0</v>
      </c>
      <c r="R3904" s="107">
        <v>0</v>
      </c>
      <c r="S3904" s="107">
        <v>0</v>
      </c>
      <c r="T3904" s="107">
        <v>0</v>
      </c>
      <c r="U3904" s="107"/>
      <c r="V3904" s="107"/>
      <c r="W3904" s="107"/>
      <c r="X3904" s="107"/>
      <c r="Y3904" s="107"/>
      <c r="Z3904" s="107"/>
      <c r="AA3904" s="107"/>
      <c r="AB3904" s="107"/>
      <c r="AF3904" s="94">
        <f t="shared" si="511"/>
        <v>42216</v>
      </c>
      <c r="AG3904" s="185">
        <f t="shared" si="516"/>
        <v>-2.65769930179659E-2</v>
      </c>
      <c r="AH3904" s="339" t="str">
        <f>VLOOKUP(B3904,'MF PF'!A:B,2)</f>
        <v>FdMgt1</v>
      </c>
      <c r="AI3904" s="358">
        <f t="shared" si="512"/>
        <v>0</v>
      </c>
      <c r="AJ3904" s="94">
        <f t="shared" si="513"/>
        <v>42216</v>
      </c>
    </row>
    <row r="3905" spans="1:36" ht="12.75" customHeight="1">
      <c r="A3905" s="8">
        <v>42247</v>
      </c>
      <c r="B3905" s="94" t="s">
        <v>189</v>
      </c>
      <c r="C3905" s="358" t="s">
        <v>305</v>
      </c>
      <c r="D3905" s="98">
        <v>3667031.92</v>
      </c>
      <c r="E3905" s="9">
        <f t="shared" si="517"/>
        <v>439718.20356954314</v>
      </c>
      <c r="F3905" s="98">
        <v>12</v>
      </c>
      <c r="G3905" s="98">
        <v>0</v>
      </c>
      <c r="H3905" s="98">
        <v>0</v>
      </c>
      <c r="I3905" s="98">
        <v>0</v>
      </c>
      <c r="J3905" s="98"/>
      <c r="K3905" s="93">
        <v>8.3395044604289268</v>
      </c>
      <c r="L3905" s="93">
        <f t="shared" ref="L3905:L3968" si="519">G3905+H3905+I3905</f>
        <v>0</v>
      </c>
      <c r="M3905" s="95">
        <f t="shared" ref="M3905:M3968" ca="1" si="520">IF(A3905&gt;INDIRECT("A"&amp;ROW()-1),I3905/K3905,E3905)</f>
        <v>0</v>
      </c>
      <c r="N3905" s="95">
        <f>IF(P3905="Hedge Fund",IF(A3905=Summary!$AD$3,M3905-E3905,M3905),IF(A3905=Summary!$AD$3,L3905-D3905,L3905))</f>
        <v>0</v>
      </c>
      <c r="O3905" s="95">
        <f t="shared" si="518"/>
        <v>0</v>
      </c>
      <c r="P3905" s="107" t="s">
        <v>155</v>
      </c>
      <c r="Q3905" s="107">
        <v>0</v>
      </c>
      <c r="R3905" s="107">
        <v>0</v>
      </c>
      <c r="S3905" s="107">
        <v>0</v>
      </c>
      <c r="T3905" s="107">
        <v>0</v>
      </c>
      <c r="U3905" s="107"/>
      <c r="V3905" s="107"/>
      <c r="W3905" s="107"/>
      <c r="X3905" s="107"/>
      <c r="Y3905" s="107"/>
      <c r="Z3905" s="107"/>
      <c r="AA3905" s="107"/>
      <c r="AB3905" s="107"/>
      <c r="AC3905" s="355"/>
      <c r="AD3905" s="355"/>
      <c r="AE3905" s="355"/>
      <c r="AF3905" s="94">
        <f t="shared" ref="AF3905:AF3968" si="521">A3905</f>
        <v>42247</v>
      </c>
      <c r="AG3905" s="185">
        <f t="shared" si="516"/>
        <v>-2.6103699341712416E-2</v>
      </c>
      <c r="AH3905" s="339" t="str">
        <f>VLOOKUP(B3905,'MF PF'!A:B,2)</f>
        <v>FdMgt1</v>
      </c>
      <c r="AI3905" s="358">
        <f t="shared" ref="AI3905:AI3968" si="522">AF3905-A3905</f>
        <v>0</v>
      </c>
      <c r="AJ3905" s="94">
        <f t="shared" ref="AJ3905:AJ3968" si="523">EOMONTH(A3905,0)</f>
        <v>42247</v>
      </c>
    </row>
    <row r="3906" spans="1:36" ht="12.75" customHeight="1">
      <c r="A3906" s="8">
        <v>42277</v>
      </c>
      <c r="B3906" s="94" t="s">
        <v>189</v>
      </c>
      <c r="C3906" s="358" t="s">
        <v>305</v>
      </c>
      <c r="D3906" s="98">
        <v>3480368.0559999999</v>
      </c>
      <c r="E3906" s="95">
        <f t="shared" si="517"/>
        <v>417335.11535540252</v>
      </c>
      <c r="F3906" s="98">
        <v>12</v>
      </c>
      <c r="G3906" s="98">
        <v>0</v>
      </c>
      <c r="H3906" s="98">
        <v>0</v>
      </c>
      <c r="I3906" s="98">
        <v>-128735.99999999999</v>
      </c>
      <c r="J3906" s="98"/>
      <c r="K3906" s="93">
        <v>8.3395044604289268</v>
      </c>
      <c r="L3906" s="93">
        <f t="shared" si="519"/>
        <v>-128735.99999999999</v>
      </c>
      <c r="M3906" s="95">
        <f t="shared" ca="1" si="520"/>
        <v>-15436.888439937196</v>
      </c>
      <c r="N3906" s="95">
        <f>IF(P3906="Hedge Fund",IF(A3906=Summary!$AD$3,M3906-E3906,M3906),IF(A3906=Summary!$AD$3,L3906-D3906,L3906))</f>
        <v>-128735.99999999999</v>
      </c>
      <c r="O3906" s="95">
        <f t="shared" si="518"/>
        <v>-128735.99999999999</v>
      </c>
      <c r="P3906" s="107" t="s">
        <v>155</v>
      </c>
      <c r="Q3906" s="107">
        <v>0</v>
      </c>
      <c r="R3906" s="107">
        <v>0</v>
      </c>
      <c r="S3906" s="107">
        <v>0</v>
      </c>
      <c r="T3906" s="107">
        <v>0</v>
      </c>
      <c r="U3906" s="107"/>
      <c r="V3906" s="107"/>
      <c r="W3906" s="107"/>
      <c r="X3906" s="107"/>
      <c r="Y3906" s="107"/>
      <c r="Z3906" s="107"/>
      <c r="AA3906" s="107"/>
      <c r="AB3906" s="107"/>
      <c r="AC3906" s="355"/>
      <c r="AD3906" s="355"/>
      <c r="AE3906" s="355"/>
      <c r="AF3906" s="94">
        <f t="shared" si="521"/>
        <v>42277</v>
      </c>
      <c r="AG3906" s="185">
        <f t="shared" si="516"/>
        <v>-1.5796934759160774E-2</v>
      </c>
      <c r="AH3906" s="339" t="str">
        <f>VLOOKUP(B3906,'MF PF'!A:B,2)</f>
        <v>FdMgt1</v>
      </c>
      <c r="AI3906" s="358">
        <f t="shared" si="522"/>
        <v>0</v>
      </c>
      <c r="AJ3906" s="94">
        <f t="shared" si="523"/>
        <v>42277</v>
      </c>
    </row>
    <row r="3907" spans="1:36" ht="12.75" customHeight="1">
      <c r="A3907" s="8">
        <v>42307</v>
      </c>
      <c r="B3907" s="94" t="s">
        <v>189</v>
      </c>
      <c r="C3907" s="358" t="s">
        <v>305</v>
      </c>
      <c r="D3907" s="98">
        <v>3528340.304</v>
      </c>
      <c r="E3907" s="95">
        <f t="shared" si="517"/>
        <v>423087.52525309235</v>
      </c>
      <c r="F3907" s="98">
        <v>12</v>
      </c>
      <c r="G3907" s="98">
        <v>0</v>
      </c>
      <c r="H3907" s="98">
        <v>0</v>
      </c>
      <c r="I3907" s="98">
        <v>0</v>
      </c>
      <c r="J3907" s="98"/>
      <c r="K3907" s="93">
        <v>8.3395044604289268</v>
      </c>
      <c r="L3907" s="93">
        <f t="shared" si="519"/>
        <v>0</v>
      </c>
      <c r="M3907" s="95">
        <f t="shared" ca="1" si="520"/>
        <v>0</v>
      </c>
      <c r="N3907" s="95">
        <f>IF(P3907="Hedge Fund",IF(A3907=Summary!$AD$3,M3907-E3907,M3907),IF(A3907=Summary!$AD$3,L3907-D3907,L3907))</f>
        <v>0</v>
      </c>
      <c r="O3907" s="95">
        <f t="shared" si="518"/>
        <v>0</v>
      </c>
      <c r="P3907" s="107" t="s">
        <v>155</v>
      </c>
      <c r="Q3907" s="107">
        <v>0</v>
      </c>
      <c r="R3907" s="107">
        <v>0</v>
      </c>
      <c r="S3907" s="107">
        <v>0</v>
      </c>
      <c r="T3907" s="107">
        <v>0</v>
      </c>
      <c r="U3907" s="107"/>
      <c r="V3907" s="107"/>
      <c r="W3907" s="107"/>
      <c r="X3907" s="107"/>
      <c r="Y3907" s="107"/>
      <c r="Z3907" s="107"/>
      <c r="AA3907" s="107"/>
      <c r="AB3907" s="107"/>
      <c r="AC3907" s="355"/>
      <c r="AD3907" s="355"/>
      <c r="AE3907" s="355"/>
      <c r="AF3907" s="94">
        <f t="shared" si="521"/>
        <v>42307</v>
      </c>
      <c r="AG3907" s="185">
        <f t="shared" si="516"/>
        <v>1.3783670930233471E-2</v>
      </c>
      <c r="AH3907" s="339" t="str">
        <f>VLOOKUP(B3907,'MF PF'!A:B,2)</f>
        <v>FdMgt1</v>
      </c>
      <c r="AI3907" s="358">
        <f t="shared" si="522"/>
        <v>0</v>
      </c>
      <c r="AJ3907" s="94">
        <f t="shared" si="523"/>
        <v>42308</v>
      </c>
    </row>
    <row r="3908" spans="1:36" ht="12.75" customHeight="1">
      <c r="A3908" s="8">
        <v>42338</v>
      </c>
      <c r="B3908" s="94" t="s">
        <v>189</v>
      </c>
      <c r="C3908" s="358" t="s">
        <v>305</v>
      </c>
      <c r="D3908" s="98">
        <v>3480662.0639999998</v>
      </c>
      <c r="E3908" s="95">
        <f t="shared" si="517"/>
        <v>417370.37020794139</v>
      </c>
      <c r="F3908" s="98">
        <v>12</v>
      </c>
      <c r="G3908" s="98">
        <v>0</v>
      </c>
      <c r="H3908" s="98">
        <v>0</v>
      </c>
      <c r="I3908" s="98">
        <v>0</v>
      </c>
      <c r="J3908" s="98"/>
      <c r="K3908" s="93">
        <v>8.3395044604289268</v>
      </c>
      <c r="L3908" s="93">
        <f t="shared" si="519"/>
        <v>0</v>
      </c>
      <c r="M3908" s="95">
        <f t="shared" ca="1" si="520"/>
        <v>0</v>
      </c>
      <c r="N3908" s="95">
        <f>IF(P3908="Hedge Fund",IF(A3908=Summary!$AD$3,M3908-E3908,M3908),IF(A3908=Summary!$AD$3,L3908-D3908,L3908))</f>
        <v>0</v>
      </c>
      <c r="O3908" s="95">
        <f t="shared" si="518"/>
        <v>0</v>
      </c>
      <c r="P3908" s="107" t="s">
        <v>155</v>
      </c>
      <c r="Q3908" s="107">
        <v>0</v>
      </c>
      <c r="R3908" s="107">
        <v>0</v>
      </c>
      <c r="S3908" s="107">
        <v>0</v>
      </c>
      <c r="T3908" s="107">
        <v>0</v>
      </c>
      <c r="U3908" s="107"/>
      <c r="V3908" s="107"/>
      <c r="W3908" s="107"/>
      <c r="X3908" s="107"/>
      <c r="Y3908" s="107"/>
      <c r="Z3908" s="107"/>
      <c r="AA3908" s="107"/>
      <c r="AB3908" s="107"/>
      <c r="AC3908" s="355"/>
      <c r="AD3908" s="355"/>
      <c r="AE3908" s="355"/>
      <c r="AF3908" s="94">
        <f t="shared" si="521"/>
        <v>42338</v>
      </c>
      <c r="AG3908" s="185">
        <f t="shared" si="516"/>
        <v>-1.3512936931267205E-2</v>
      </c>
      <c r="AH3908" s="339" t="str">
        <f>VLOOKUP(B3908,'MF PF'!A:B,2)</f>
        <v>FdMgt1</v>
      </c>
      <c r="AI3908" s="358">
        <f t="shared" si="522"/>
        <v>0</v>
      </c>
      <c r="AJ3908" s="94">
        <f t="shared" si="523"/>
        <v>42338</v>
      </c>
    </row>
    <row r="3909" spans="1:36" ht="12.75" customHeight="1">
      <c r="A3909" s="8">
        <v>42369</v>
      </c>
      <c r="B3909" s="94" t="s">
        <v>189</v>
      </c>
      <c r="C3909" s="358" t="s">
        <v>305</v>
      </c>
      <c r="D3909" s="98">
        <v>2540648.9300000002</v>
      </c>
      <c r="E3909" s="95">
        <f t="shared" si="517"/>
        <v>304652.26585769182</v>
      </c>
      <c r="F3909" s="98">
        <v>12</v>
      </c>
      <c r="G3909" s="98">
        <v>0</v>
      </c>
      <c r="H3909" s="98">
        <v>0</v>
      </c>
      <c r="I3909" s="98">
        <v>-660000</v>
      </c>
      <c r="J3909" s="98"/>
      <c r="K3909" s="93">
        <v>8.3395044604289268</v>
      </c>
      <c r="L3909" s="93">
        <f t="shared" si="519"/>
        <v>-660000</v>
      </c>
      <c r="M3909" s="95">
        <f t="shared" ca="1" si="520"/>
        <v>-79141.393008626575</v>
      </c>
      <c r="N3909" s="95">
        <f>IF(P3909="Hedge Fund",IF(A3909=Summary!$AD$3,M3909-E3909,M3909),IF(A3909=Summary!$AD$3,L3909-D3909,L3909))</f>
        <v>-660000</v>
      </c>
      <c r="O3909" s="95">
        <f t="shared" si="518"/>
        <v>-660000</v>
      </c>
      <c r="P3909" s="107" t="s">
        <v>155</v>
      </c>
      <c r="Q3909" s="107">
        <v>0</v>
      </c>
      <c r="R3909" s="107">
        <v>0</v>
      </c>
      <c r="S3909" s="107">
        <v>0</v>
      </c>
      <c r="T3909" s="107">
        <v>0</v>
      </c>
      <c r="U3909" s="107"/>
      <c r="V3909" s="107"/>
      <c r="W3909" s="107"/>
      <c r="X3909" s="107"/>
      <c r="Y3909" s="107"/>
      <c r="Z3909" s="107"/>
      <c r="AA3909" s="107"/>
      <c r="AB3909" s="107"/>
      <c r="AC3909" s="355"/>
      <c r="AD3909" s="355"/>
      <c r="AE3909" s="355"/>
      <c r="AF3909" s="94">
        <f t="shared" si="521"/>
        <v>42369</v>
      </c>
      <c r="AG3909" s="185">
        <f t="shared" si="516"/>
        <v>-8.0448239114085829E-2</v>
      </c>
      <c r="AH3909" s="339" t="str">
        <f>VLOOKUP(B3909,'MF PF'!A:B,2)</f>
        <v>FdMgt1</v>
      </c>
      <c r="AI3909" s="358">
        <f t="shared" si="522"/>
        <v>0</v>
      </c>
      <c r="AJ3909" s="94">
        <f t="shared" si="523"/>
        <v>42369</v>
      </c>
    </row>
    <row r="3910" spans="1:36" ht="12.75" customHeight="1">
      <c r="A3910" s="8">
        <v>42398</v>
      </c>
      <c r="B3910" s="94" t="s">
        <v>189</v>
      </c>
      <c r="C3910" s="358" t="s">
        <v>305</v>
      </c>
      <c r="D3910" s="98">
        <v>2457018.16</v>
      </c>
      <c r="E3910" s="95">
        <f t="shared" si="517"/>
        <v>294623.99974226143</v>
      </c>
      <c r="F3910" s="98">
        <v>12</v>
      </c>
      <c r="G3910" s="98">
        <v>0</v>
      </c>
      <c r="H3910" s="98">
        <v>0</v>
      </c>
      <c r="I3910" s="98">
        <v>0</v>
      </c>
      <c r="J3910" s="98"/>
      <c r="K3910" s="93">
        <v>8.3395044604289268</v>
      </c>
      <c r="L3910" s="93">
        <f t="shared" si="519"/>
        <v>0</v>
      </c>
      <c r="M3910" s="95">
        <f t="shared" ca="1" si="520"/>
        <v>0</v>
      </c>
      <c r="N3910" s="95">
        <f>IF(P3910="Hedge Fund",IF(A3910=Summary!$AD$3,M3910-E3910,M3910),IF(A3910=Summary!$AD$3,L3910-D3910,L3910))</f>
        <v>0</v>
      </c>
      <c r="O3910" s="95">
        <f t="shared" si="518"/>
        <v>0</v>
      </c>
      <c r="P3910" s="107" t="s">
        <v>155</v>
      </c>
      <c r="Q3910" s="107">
        <v>0</v>
      </c>
      <c r="R3910" s="107">
        <v>0</v>
      </c>
      <c r="S3910" s="107">
        <v>0</v>
      </c>
      <c r="T3910" s="107">
        <v>0</v>
      </c>
      <c r="U3910" s="107"/>
      <c r="V3910" s="107"/>
      <c r="W3910" s="107"/>
      <c r="X3910" s="107"/>
      <c r="Y3910" s="107"/>
      <c r="Z3910" s="107"/>
      <c r="AA3910" s="107"/>
      <c r="AB3910" s="107"/>
      <c r="AC3910" s="355"/>
      <c r="AD3910" s="355"/>
      <c r="AE3910" s="355"/>
      <c r="AF3910" s="94">
        <f t="shared" si="521"/>
        <v>42398</v>
      </c>
      <c r="AG3910" s="185">
        <f t="shared" si="516"/>
        <v>-3.2917090201832755E-2</v>
      </c>
      <c r="AH3910" s="339" t="str">
        <f>VLOOKUP(B3910,'MF PF'!A:B,2)</f>
        <v>FdMgt1</v>
      </c>
      <c r="AI3910" s="358">
        <f t="shared" si="522"/>
        <v>0</v>
      </c>
      <c r="AJ3910" s="94">
        <f t="shared" si="523"/>
        <v>42400</v>
      </c>
    </row>
    <row r="3911" spans="1:36" ht="12.75" customHeight="1">
      <c r="A3911" s="8">
        <v>42429</v>
      </c>
      <c r="B3911" s="94" t="s">
        <v>189</v>
      </c>
      <c r="C3911" s="358" t="s">
        <v>305</v>
      </c>
      <c r="D3911" s="98">
        <v>2502177.31</v>
      </c>
      <c r="E3911" s="95">
        <f t="shared" si="517"/>
        <v>300039.08767875464</v>
      </c>
      <c r="F3911" s="98">
        <v>12</v>
      </c>
      <c r="G3911" s="98">
        <v>0</v>
      </c>
      <c r="H3911" s="98">
        <v>0</v>
      </c>
      <c r="I3911" s="98">
        <v>0</v>
      </c>
      <c r="J3911" s="98"/>
      <c r="K3911" s="93">
        <v>8.3395044604289268</v>
      </c>
      <c r="L3911" s="93">
        <f t="shared" si="519"/>
        <v>0</v>
      </c>
      <c r="M3911" s="95">
        <f t="shared" ca="1" si="520"/>
        <v>0</v>
      </c>
      <c r="N3911" s="95">
        <f>IF(P3911="Hedge Fund",IF(A3911=Summary!$AD$3,M3911-E3911,M3911),IF(A3911=Summary!$AD$3,L3911-D3911,L3911))</f>
        <v>0</v>
      </c>
      <c r="O3911" s="95">
        <f t="shared" si="518"/>
        <v>0</v>
      </c>
      <c r="P3911" s="107" t="s">
        <v>155</v>
      </c>
      <c r="Q3911" s="107">
        <v>0</v>
      </c>
      <c r="R3911" s="107">
        <v>0</v>
      </c>
      <c r="S3911" s="107">
        <v>0</v>
      </c>
      <c r="T3911" s="107">
        <v>0</v>
      </c>
      <c r="U3911" s="107"/>
      <c r="V3911" s="107"/>
      <c r="W3911" s="107"/>
      <c r="X3911" s="107"/>
      <c r="Y3911" s="107"/>
      <c r="Z3911" s="107"/>
      <c r="AA3911" s="107"/>
      <c r="AB3911" s="107"/>
      <c r="AC3911" s="355"/>
      <c r="AD3911" s="355"/>
      <c r="AE3911" s="355"/>
      <c r="AF3911" s="94">
        <f t="shared" si="521"/>
        <v>42429</v>
      </c>
      <c r="AG3911" s="185">
        <f t="shared" si="516"/>
        <v>1.8379656583409121E-2</v>
      </c>
      <c r="AH3911" s="339" t="str">
        <f>VLOOKUP(B3911,'MF PF'!A:B,2)</f>
        <v>FdMgt1</v>
      </c>
      <c r="AI3911" s="358">
        <f t="shared" si="522"/>
        <v>0</v>
      </c>
      <c r="AJ3911" s="94">
        <f t="shared" si="523"/>
        <v>42429</v>
      </c>
    </row>
    <row r="3912" spans="1:36" ht="12.75" customHeight="1">
      <c r="A3912" s="8">
        <v>42460</v>
      </c>
      <c r="B3912" s="94" t="s">
        <v>189</v>
      </c>
      <c r="C3912" s="6" t="s">
        <v>305</v>
      </c>
      <c r="D3912" s="98">
        <v>2590978.1</v>
      </c>
      <c r="E3912" s="95">
        <f t="shared" si="517"/>
        <v>310687.29710430995</v>
      </c>
      <c r="F3912" s="98">
        <v>12</v>
      </c>
      <c r="G3912" s="98">
        <v>0</v>
      </c>
      <c r="H3912" s="98">
        <v>0</v>
      </c>
      <c r="I3912" s="98">
        <v>0</v>
      </c>
      <c r="J3912" s="98"/>
      <c r="K3912" s="93">
        <v>8.3395044604289268</v>
      </c>
      <c r="L3912" s="93">
        <f t="shared" si="519"/>
        <v>0</v>
      </c>
      <c r="M3912" s="95">
        <f t="shared" ca="1" si="520"/>
        <v>0</v>
      </c>
      <c r="N3912" s="95">
        <f>IF(P3912="Hedge Fund",IF(A3912=Summary!$AD$3,M3912-E3912,M3912),IF(A3912=Summary!$AD$3,L3912-D3912,L3912))</f>
        <v>0</v>
      </c>
      <c r="O3912" s="95">
        <f t="shared" si="518"/>
        <v>0</v>
      </c>
      <c r="P3912" s="107" t="s">
        <v>155</v>
      </c>
      <c r="Q3912" s="107">
        <v>0</v>
      </c>
      <c r="R3912" s="107">
        <v>0</v>
      </c>
      <c r="S3912" s="107">
        <v>0</v>
      </c>
      <c r="T3912" s="107">
        <v>0</v>
      </c>
      <c r="U3912" s="107"/>
      <c r="V3912" s="107"/>
      <c r="W3912" s="107"/>
      <c r="X3912" s="107"/>
      <c r="Y3912" s="107"/>
      <c r="Z3912" s="107"/>
      <c r="AA3912" s="107"/>
      <c r="AB3912" s="107"/>
      <c r="AC3912" s="355"/>
      <c r="AD3912" s="355"/>
      <c r="AE3912" s="355"/>
      <c r="AF3912" s="94">
        <f t="shared" si="521"/>
        <v>42460</v>
      </c>
      <c r="AG3912" s="185">
        <f t="shared" si="516"/>
        <v>3.5489407423329178E-2</v>
      </c>
      <c r="AH3912" s="339" t="str">
        <f>VLOOKUP(B3912,'MF PF'!A:B,2)</f>
        <v>FdMgt1</v>
      </c>
      <c r="AI3912" s="358">
        <f t="shared" si="522"/>
        <v>0</v>
      </c>
      <c r="AJ3912" s="94">
        <f t="shared" si="523"/>
        <v>42460</v>
      </c>
    </row>
    <row r="3913" spans="1:36" ht="12.75" customHeight="1">
      <c r="A3913" s="8">
        <v>42489</v>
      </c>
      <c r="B3913" s="94" t="s">
        <v>189</v>
      </c>
      <c r="C3913" s="6" t="s">
        <v>305</v>
      </c>
      <c r="D3913" s="98">
        <v>2645235.09</v>
      </c>
      <c r="E3913" s="95">
        <f t="shared" si="517"/>
        <v>317193.31796651467</v>
      </c>
      <c r="F3913" s="98">
        <v>12</v>
      </c>
      <c r="G3913" s="98">
        <v>0</v>
      </c>
      <c r="H3913" s="98">
        <v>0</v>
      </c>
      <c r="I3913" s="98">
        <v>0</v>
      </c>
      <c r="J3913" s="98"/>
      <c r="K3913" s="93">
        <v>8.3395044604289268</v>
      </c>
      <c r="L3913" s="93">
        <f t="shared" si="519"/>
        <v>0</v>
      </c>
      <c r="M3913" s="95">
        <f t="shared" ca="1" si="520"/>
        <v>0</v>
      </c>
      <c r="N3913" s="95">
        <f>IF(P3913="Hedge Fund",IF(A3913=Summary!$AD$3,M3913-E3913,M3913),IF(A3913=Summary!$AD$3,L3913-D3913,L3913))</f>
        <v>0</v>
      </c>
      <c r="O3913" s="95">
        <f t="shared" si="518"/>
        <v>0</v>
      </c>
      <c r="P3913" s="107" t="s">
        <v>155</v>
      </c>
      <c r="Q3913" s="107">
        <v>0</v>
      </c>
      <c r="R3913" s="107">
        <v>0</v>
      </c>
      <c r="S3913" s="107">
        <v>0</v>
      </c>
      <c r="T3913" s="107">
        <v>0</v>
      </c>
      <c r="U3913" s="107"/>
      <c r="V3913" s="107"/>
      <c r="W3913" s="107"/>
      <c r="X3913" s="107"/>
      <c r="Y3913" s="107"/>
      <c r="Z3913" s="107"/>
      <c r="AA3913" s="107"/>
      <c r="AB3913" s="107"/>
      <c r="AC3913" s="355"/>
      <c r="AD3913" s="355"/>
      <c r="AE3913" s="355"/>
      <c r="AF3913" s="94">
        <f t="shared" si="521"/>
        <v>42489</v>
      </c>
      <c r="AG3913" s="185">
        <f t="shared" si="516"/>
        <v>2.0940736627607759E-2</v>
      </c>
      <c r="AH3913" s="339" t="str">
        <f>VLOOKUP(B3913,'MF PF'!A:B,2)</f>
        <v>FdMgt1</v>
      </c>
      <c r="AI3913" s="358">
        <f t="shared" si="522"/>
        <v>0</v>
      </c>
      <c r="AJ3913" s="94">
        <f t="shared" si="523"/>
        <v>42490</v>
      </c>
    </row>
    <row r="3914" spans="1:36" ht="12.75" customHeight="1">
      <c r="A3914" s="8">
        <v>42521</v>
      </c>
      <c r="B3914" s="94" t="s">
        <v>189</v>
      </c>
      <c r="C3914" s="6" t="s">
        <v>305</v>
      </c>
      <c r="D3914" s="98">
        <v>2623974.2400000002</v>
      </c>
      <c r="E3914" s="9">
        <f t="shared" si="517"/>
        <v>314643.90389750339</v>
      </c>
      <c r="F3914" s="98">
        <v>12</v>
      </c>
      <c r="G3914" s="98">
        <v>0</v>
      </c>
      <c r="H3914" s="98">
        <v>0</v>
      </c>
      <c r="I3914" s="98">
        <v>0</v>
      </c>
      <c r="J3914" s="98"/>
      <c r="K3914" s="93">
        <v>8.3395044604289268</v>
      </c>
      <c r="L3914" s="93">
        <f t="shared" si="519"/>
        <v>0</v>
      </c>
      <c r="M3914" s="95">
        <f t="shared" ca="1" si="520"/>
        <v>0</v>
      </c>
      <c r="N3914" s="95">
        <f>IF(P3914="Hedge Fund",IF(A3914=Summary!$AD$3,M3914-E3914,M3914),IF(A3914=Summary!$AD$3,L3914-D3914,L3914))</f>
        <v>0</v>
      </c>
      <c r="O3914" s="95">
        <f t="shared" si="518"/>
        <v>0</v>
      </c>
      <c r="P3914" s="107" t="s">
        <v>155</v>
      </c>
      <c r="Q3914" s="107">
        <v>0</v>
      </c>
      <c r="R3914" s="107">
        <v>0</v>
      </c>
      <c r="S3914" s="107">
        <v>0</v>
      </c>
      <c r="T3914" s="107">
        <v>0</v>
      </c>
      <c r="U3914" s="107"/>
      <c r="V3914" s="107"/>
      <c r="W3914" s="107"/>
      <c r="X3914" s="107"/>
      <c r="Y3914" s="107"/>
      <c r="Z3914" s="107"/>
      <c r="AA3914" s="107"/>
      <c r="AB3914" s="107"/>
      <c r="AC3914" s="355"/>
      <c r="AD3914" s="355"/>
      <c r="AE3914" s="355"/>
      <c r="AF3914" s="94">
        <f t="shared" si="521"/>
        <v>42521</v>
      </c>
      <c r="AG3914" s="185">
        <f t="shared" si="516"/>
        <v>-8.0374141717587388E-3</v>
      </c>
      <c r="AH3914" s="339" t="str">
        <f>VLOOKUP(B3914,'MF PF'!A:B,2)</f>
        <v>FdMgt1</v>
      </c>
      <c r="AI3914" s="358">
        <f t="shared" si="522"/>
        <v>0</v>
      </c>
      <c r="AJ3914" s="94">
        <f t="shared" si="523"/>
        <v>42521</v>
      </c>
    </row>
    <row r="3915" spans="1:36" ht="12.75" customHeight="1">
      <c r="A3915" s="8">
        <v>42551</v>
      </c>
      <c r="B3915" s="94" t="s">
        <v>189</v>
      </c>
      <c r="C3915" s="6" t="s">
        <v>305</v>
      </c>
      <c r="D3915" s="98">
        <v>2636954.2000000002</v>
      </c>
      <c r="E3915" s="95">
        <f t="shared" si="517"/>
        <v>316200.34649689164</v>
      </c>
      <c r="F3915" s="98">
        <v>12</v>
      </c>
      <c r="G3915" s="98">
        <v>0</v>
      </c>
      <c r="H3915" s="98">
        <v>0</v>
      </c>
      <c r="I3915" s="98">
        <v>0</v>
      </c>
      <c r="J3915" s="98"/>
      <c r="K3915" s="93">
        <v>8.3395044604289268</v>
      </c>
      <c r="L3915" s="93">
        <f t="shared" si="519"/>
        <v>0</v>
      </c>
      <c r="M3915" s="95">
        <f t="shared" ca="1" si="520"/>
        <v>0</v>
      </c>
      <c r="N3915" s="95">
        <f>IF(P3915="Hedge Fund",IF(A3915=Summary!$AD$3,M3915-E3915,M3915),IF(A3915=Summary!$AD$3,L3915-D3915,L3915))</f>
        <v>0</v>
      </c>
      <c r="O3915" s="95">
        <f t="shared" si="518"/>
        <v>0</v>
      </c>
      <c r="P3915" s="107" t="s">
        <v>155</v>
      </c>
      <c r="Q3915" s="107">
        <v>0</v>
      </c>
      <c r="R3915" s="107">
        <v>0</v>
      </c>
      <c r="S3915" s="107">
        <v>0</v>
      </c>
      <c r="T3915" s="107">
        <v>0</v>
      </c>
      <c r="U3915" s="107"/>
      <c r="V3915" s="107"/>
      <c r="W3915" s="107"/>
      <c r="X3915" s="107"/>
      <c r="Y3915" s="107"/>
      <c r="Z3915" s="107"/>
      <c r="AA3915" s="107"/>
      <c r="AB3915" s="107"/>
      <c r="AC3915" s="355"/>
      <c r="AD3915" s="355"/>
      <c r="AE3915" s="355"/>
      <c r="AF3915" s="94">
        <f t="shared" si="521"/>
        <v>42551</v>
      </c>
      <c r="AG3915" s="185">
        <f t="shared" si="516"/>
        <v>4.9466796594770379E-3</v>
      </c>
      <c r="AH3915" s="339" t="str">
        <f>VLOOKUP(B3915,'MF PF'!A:B,2)</f>
        <v>FdMgt1</v>
      </c>
      <c r="AI3915" s="358">
        <f t="shared" si="522"/>
        <v>0</v>
      </c>
      <c r="AJ3915" s="94">
        <f t="shared" si="523"/>
        <v>42551</v>
      </c>
    </row>
    <row r="3916" spans="1:36" ht="12.75" customHeight="1">
      <c r="A3916" s="8">
        <v>42580</v>
      </c>
      <c r="B3916" s="94" t="s">
        <v>189</v>
      </c>
      <c r="C3916" s="6" t="s">
        <v>305</v>
      </c>
      <c r="D3916" s="98">
        <v>2701806.6943999999</v>
      </c>
      <c r="E3916" s="9">
        <f t="shared" si="517"/>
        <v>323976.88702249795</v>
      </c>
      <c r="F3916" s="98">
        <v>12</v>
      </c>
      <c r="G3916" s="98">
        <v>0</v>
      </c>
      <c r="H3916" s="98">
        <v>0</v>
      </c>
      <c r="I3916" s="98">
        <v>0</v>
      </c>
      <c r="J3916" s="98"/>
      <c r="K3916" s="93">
        <v>8.3395044604289268</v>
      </c>
      <c r="L3916" s="93">
        <f t="shared" si="519"/>
        <v>0</v>
      </c>
      <c r="M3916" s="95">
        <f t="shared" ca="1" si="520"/>
        <v>0</v>
      </c>
      <c r="N3916" s="95">
        <f>IF(P3916="Hedge Fund",IF(A3916=Summary!$AD$3,M3916-E3916,M3916),IF(A3916=Summary!$AD$3,L3916-D3916,L3916))</f>
        <v>0</v>
      </c>
      <c r="O3916" s="95">
        <f t="shared" si="518"/>
        <v>0</v>
      </c>
      <c r="P3916" s="107" t="s">
        <v>155</v>
      </c>
      <c r="Q3916" s="107">
        <v>0</v>
      </c>
      <c r="R3916" s="107">
        <v>0</v>
      </c>
      <c r="S3916" s="107">
        <v>0</v>
      </c>
      <c r="T3916" s="107">
        <v>0</v>
      </c>
      <c r="U3916" s="107"/>
      <c r="V3916" s="107"/>
      <c r="W3916" s="107"/>
      <c r="X3916" s="107"/>
      <c r="Y3916" s="107"/>
      <c r="Z3916" s="107"/>
      <c r="AA3916" s="107"/>
      <c r="AB3916" s="107"/>
      <c r="AC3916" s="355"/>
      <c r="AD3916" s="355"/>
      <c r="AE3916" s="355"/>
      <c r="AF3916" s="94">
        <f t="shared" si="521"/>
        <v>42580</v>
      </c>
      <c r="AG3916" s="185">
        <f t="shared" si="516"/>
        <v>2.4593712852502225E-2</v>
      </c>
      <c r="AH3916" s="339" t="str">
        <f>VLOOKUP(B3916,'MF PF'!A:B,2)</f>
        <v>FdMgt1</v>
      </c>
      <c r="AI3916" s="358">
        <f t="shared" si="522"/>
        <v>0</v>
      </c>
      <c r="AJ3916" s="94">
        <f t="shared" si="523"/>
        <v>42582</v>
      </c>
    </row>
    <row r="3917" spans="1:36" ht="12.75" customHeight="1">
      <c r="A3917" s="8">
        <v>42613</v>
      </c>
      <c r="B3917" s="94" t="s">
        <v>189</v>
      </c>
      <c r="C3917" s="6" t="s">
        <v>305</v>
      </c>
      <c r="D3917" s="98">
        <v>2717973.0781999999</v>
      </c>
      <c r="E3917" s="9">
        <f t="shared" si="517"/>
        <v>325915.41752832232</v>
      </c>
      <c r="F3917" s="98">
        <v>12</v>
      </c>
      <c r="G3917" s="98">
        <v>0</v>
      </c>
      <c r="H3917" s="98">
        <v>0</v>
      </c>
      <c r="I3917" s="98">
        <v>0</v>
      </c>
      <c r="J3917" s="98"/>
      <c r="K3917" s="93">
        <v>8.3395044604289268</v>
      </c>
      <c r="L3917" s="93">
        <f t="shared" si="519"/>
        <v>0</v>
      </c>
      <c r="M3917" s="95">
        <f t="shared" ca="1" si="520"/>
        <v>0</v>
      </c>
      <c r="N3917" s="95">
        <f>IF(P3917="Hedge Fund",IF(A3917=Summary!$AD$3,M3917-E3917,M3917),IF(A3917=Summary!$AD$3,L3917-D3917,L3917))</f>
        <v>0</v>
      </c>
      <c r="O3917" s="95">
        <f t="shared" si="518"/>
        <v>0</v>
      </c>
      <c r="P3917" s="107" t="s">
        <v>155</v>
      </c>
      <c r="Q3917" s="107">
        <v>0</v>
      </c>
      <c r="R3917" s="107">
        <v>0</v>
      </c>
      <c r="S3917" s="107">
        <v>0</v>
      </c>
      <c r="T3917" s="107">
        <v>0</v>
      </c>
      <c r="U3917" s="107"/>
      <c r="V3917" s="107"/>
      <c r="W3917" s="107"/>
      <c r="X3917" s="107"/>
      <c r="Y3917" s="107"/>
      <c r="Z3917" s="107"/>
      <c r="AA3917" s="107"/>
      <c r="AB3917" s="107"/>
      <c r="AC3917" s="355"/>
      <c r="AD3917" s="355"/>
      <c r="AE3917" s="355"/>
      <c r="AF3917" s="94">
        <f t="shared" si="521"/>
        <v>42613</v>
      </c>
      <c r="AG3917" s="185">
        <f t="shared" si="516"/>
        <v>5.9835456894483663E-3</v>
      </c>
      <c r="AH3917" s="339" t="str">
        <f>VLOOKUP(B3917,'MF PF'!A:B,2)</f>
        <v>FdMgt1</v>
      </c>
      <c r="AI3917" s="358">
        <f t="shared" si="522"/>
        <v>0</v>
      </c>
      <c r="AJ3917" s="94">
        <f t="shared" si="523"/>
        <v>42613</v>
      </c>
    </row>
    <row r="3918" spans="1:36" ht="12.75" customHeight="1">
      <c r="A3918" s="8">
        <v>42643</v>
      </c>
      <c r="B3918" s="94" t="s">
        <v>189</v>
      </c>
      <c r="C3918" s="6" t="s">
        <v>305</v>
      </c>
      <c r="D3918" s="98">
        <v>2719825.9819</v>
      </c>
      <c r="E3918" s="95">
        <f t="shared" si="517"/>
        <v>326137.60143730539</v>
      </c>
      <c r="F3918" s="98">
        <v>12</v>
      </c>
      <c r="G3918" s="98">
        <v>0</v>
      </c>
      <c r="H3918" s="98">
        <v>0</v>
      </c>
      <c r="I3918" s="98">
        <v>0</v>
      </c>
      <c r="J3918" s="98"/>
      <c r="K3918" s="93">
        <v>8.3395044604289268</v>
      </c>
      <c r="L3918" s="93">
        <f t="shared" si="519"/>
        <v>0</v>
      </c>
      <c r="M3918" s="95">
        <f t="shared" ca="1" si="520"/>
        <v>0</v>
      </c>
      <c r="N3918" s="95">
        <f>IF(P3918="Hedge Fund",IF(A3918=Summary!$AD$3,M3918-E3918,M3918),IF(A3918=Summary!$AD$3,L3918-D3918,L3918))</f>
        <v>0</v>
      </c>
      <c r="O3918" s="95">
        <f t="shared" si="518"/>
        <v>0</v>
      </c>
      <c r="P3918" s="107" t="s">
        <v>155</v>
      </c>
      <c r="Q3918" s="107">
        <v>0</v>
      </c>
      <c r="R3918" s="107">
        <v>0</v>
      </c>
      <c r="S3918" s="107">
        <v>0</v>
      </c>
      <c r="T3918" s="107">
        <v>0</v>
      </c>
      <c r="U3918" s="107"/>
      <c r="V3918" s="107"/>
      <c r="W3918" s="107"/>
      <c r="X3918" s="107"/>
      <c r="Y3918" s="107"/>
      <c r="Z3918" s="107"/>
      <c r="AA3918" s="107"/>
      <c r="AB3918" s="107"/>
      <c r="AC3918" s="355"/>
      <c r="AD3918" s="355"/>
      <c r="AE3918" s="355"/>
      <c r="AF3918" s="94">
        <f t="shared" si="521"/>
        <v>42643</v>
      </c>
      <c r="AG3918" s="185">
        <f t="shared" si="516"/>
        <v>6.8172260971288701E-4</v>
      </c>
      <c r="AH3918" s="339" t="str">
        <f>VLOOKUP(B3918,'MF PF'!A:B,2)</f>
        <v>FdMgt1</v>
      </c>
      <c r="AI3918" s="358">
        <f t="shared" si="522"/>
        <v>0</v>
      </c>
      <c r="AJ3918" s="94">
        <f t="shared" si="523"/>
        <v>42643</v>
      </c>
    </row>
    <row r="3919" spans="1:36" ht="12.75" customHeight="1">
      <c r="A3919" s="8">
        <v>42674</v>
      </c>
      <c r="B3919" s="94" t="s">
        <v>189</v>
      </c>
      <c r="C3919" s="6" t="s">
        <v>305</v>
      </c>
      <c r="D3919" s="98">
        <v>2752826.8056000001</v>
      </c>
      <c r="E3919" s="95">
        <f t="shared" si="517"/>
        <v>330094.76985859347</v>
      </c>
      <c r="F3919" s="98">
        <v>12</v>
      </c>
      <c r="G3919" s="98">
        <v>0</v>
      </c>
      <c r="H3919" s="98">
        <v>0</v>
      </c>
      <c r="I3919" s="98">
        <v>0</v>
      </c>
      <c r="J3919" s="98"/>
      <c r="K3919" s="93">
        <v>8.3395044604289268</v>
      </c>
      <c r="L3919" s="93">
        <f t="shared" si="519"/>
        <v>0</v>
      </c>
      <c r="M3919" s="95">
        <f t="shared" ca="1" si="520"/>
        <v>0</v>
      </c>
      <c r="N3919" s="95">
        <f>IF(P3919="Hedge Fund",IF(A3919=Summary!$AD$3,M3919-E3919,M3919),IF(A3919=Summary!$AD$3,L3919-D3919,L3919))</f>
        <v>0</v>
      </c>
      <c r="O3919" s="95">
        <f t="shared" si="518"/>
        <v>0</v>
      </c>
      <c r="P3919" s="107" t="s">
        <v>155</v>
      </c>
      <c r="Q3919" s="107">
        <v>0</v>
      </c>
      <c r="R3919" s="107">
        <v>0</v>
      </c>
      <c r="S3919" s="107">
        <v>0</v>
      </c>
      <c r="T3919" s="107">
        <v>0</v>
      </c>
      <c r="U3919" s="107"/>
      <c r="V3919" s="107"/>
      <c r="W3919" s="107"/>
      <c r="X3919" s="107"/>
      <c r="Y3919" s="107"/>
      <c r="Z3919" s="107"/>
      <c r="AA3919" s="107"/>
      <c r="AB3919" s="107"/>
      <c r="AC3919" s="355"/>
      <c r="AD3919" s="355"/>
      <c r="AE3919" s="355"/>
      <c r="AF3919" s="94">
        <f t="shared" si="521"/>
        <v>42674</v>
      </c>
      <c r="AG3919" s="185">
        <f t="shared" si="516"/>
        <v>1.2133432035584368E-2</v>
      </c>
      <c r="AH3919" s="339" t="str">
        <f>VLOOKUP(B3919,'MF PF'!A:B,2)</f>
        <v>FdMgt1</v>
      </c>
      <c r="AI3919" s="358">
        <f t="shared" si="522"/>
        <v>0</v>
      </c>
      <c r="AJ3919" s="94">
        <f t="shared" si="523"/>
        <v>42674</v>
      </c>
    </row>
    <row r="3920" spans="1:36" ht="12.75" customHeight="1">
      <c r="A3920" s="8">
        <v>42704</v>
      </c>
      <c r="B3920" s="94" t="s">
        <v>189</v>
      </c>
      <c r="C3920" s="6" t="s">
        <v>305</v>
      </c>
      <c r="D3920" s="98">
        <v>2300339.1252000001</v>
      </c>
      <c r="E3920" s="95">
        <f t="shared" si="517"/>
        <v>275836.42842511128</v>
      </c>
      <c r="F3920" s="98">
        <v>12</v>
      </c>
      <c r="G3920" s="98">
        <v>0</v>
      </c>
      <c r="H3920" s="98">
        <v>0</v>
      </c>
      <c r="I3920" s="98">
        <v>-460416</v>
      </c>
      <c r="J3920" s="98"/>
      <c r="K3920" s="93">
        <v>8.3395044604289268</v>
      </c>
      <c r="L3920" s="93">
        <f t="shared" si="519"/>
        <v>-460416</v>
      </c>
      <c r="M3920" s="95">
        <f t="shared" ca="1" si="520"/>
        <v>-55209.035762817897</v>
      </c>
      <c r="N3920" s="95">
        <f>IF(P3920="Hedge Fund",IF(A3920=Summary!$AD$3,M3920-E3920,M3920),IF(A3920=Summary!$AD$3,L3920-D3920,L3920))</f>
        <v>-460416</v>
      </c>
      <c r="O3920" s="95">
        <f t="shared" si="518"/>
        <v>-460416</v>
      </c>
      <c r="P3920" s="107" t="s">
        <v>155</v>
      </c>
      <c r="Q3920" s="107">
        <v>0</v>
      </c>
      <c r="R3920" s="107">
        <v>0</v>
      </c>
      <c r="S3920" s="107">
        <v>0</v>
      </c>
      <c r="T3920" s="107">
        <v>0</v>
      </c>
      <c r="U3920" s="107"/>
      <c r="V3920" s="107"/>
      <c r="W3920" s="107"/>
      <c r="X3920" s="107"/>
      <c r="Y3920" s="107"/>
      <c r="Z3920" s="107"/>
      <c r="AA3920" s="107"/>
      <c r="AB3920" s="107"/>
      <c r="AC3920" s="355"/>
      <c r="AD3920" s="355"/>
      <c r="AE3920" s="355"/>
      <c r="AF3920" s="94">
        <f t="shared" si="521"/>
        <v>42704</v>
      </c>
      <c r="AG3920" s="185">
        <f t="shared" si="516"/>
        <v>2.8800648060647305E-3</v>
      </c>
      <c r="AH3920" s="339" t="str">
        <f>VLOOKUP(B3920,'MF PF'!A:B,2)</f>
        <v>FdMgt1</v>
      </c>
      <c r="AI3920" s="358">
        <f t="shared" si="522"/>
        <v>0</v>
      </c>
      <c r="AJ3920" s="94">
        <f t="shared" si="523"/>
        <v>42704</v>
      </c>
    </row>
    <row r="3921" spans="1:36" ht="12.75" customHeight="1">
      <c r="A3921" s="8">
        <v>42734</v>
      </c>
      <c r="B3921" s="94" t="s">
        <v>189</v>
      </c>
      <c r="C3921" s="6" t="s">
        <v>305</v>
      </c>
      <c r="D3921" s="98">
        <v>2078110.1500000001</v>
      </c>
      <c r="E3921" s="95">
        <f t="shared" si="517"/>
        <v>249188.68499449384</v>
      </c>
      <c r="F3921" s="98">
        <v>12</v>
      </c>
      <c r="G3921" s="98">
        <v>0</v>
      </c>
      <c r="H3921" s="98">
        <v>0</v>
      </c>
      <c r="I3921" s="98">
        <v>-91200</v>
      </c>
      <c r="J3921" s="98"/>
      <c r="K3921" s="93">
        <v>8.3395044604289268</v>
      </c>
      <c r="L3921" s="93">
        <f t="shared" si="519"/>
        <v>-91200</v>
      </c>
      <c r="M3921" s="95">
        <f t="shared" ca="1" si="520"/>
        <v>-10935.901579373854</v>
      </c>
      <c r="N3921" s="95">
        <f>IF(P3921="Hedge Fund",IF(A3921=Summary!$AD$3,M3921-E3921,M3921),IF(A3921=Summary!$AD$3,L3921-D3921,L3921))</f>
        <v>-91200</v>
      </c>
      <c r="O3921" s="95">
        <f t="shared" si="518"/>
        <v>-91200</v>
      </c>
      <c r="P3921" s="107" t="s">
        <v>155</v>
      </c>
      <c r="Q3921" s="107">
        <v>0</v>
      </c>
      <c r="R3921" s="107">
        <v>0</v>
      </c>
      <c r="S3921" s="107">
        <v>0</v>
      </c>
      <c r="T3921" s="107">
        <v>0</v>
      </c>
      <c r="U3921" s="107"/>
      <c r="V3921" s="107"/>
      <c r="W3921" s="107"/>
      <c r="X3921" s="107"/>
      <c r="Y3921" s="107"/>
      <c r="Z3921" s="107"/>
      <c r="AA3921" s="107"/>
      <c r="AB3921" s="107"/>
      <c r="AC3921" s="355"/>
      <c r="AD3921" s="355"/>
      <c r="AE3921" s="355"/>
      <c r="AF3921" s="94">
        <f t="shared" si="521"/>
        <v>42734</v>
      </c>
      <c r="AG3921" s="185">
        <f t="shared" si="516"/>
        <v>-5.6960721036559137E-2</v>
      </c>
      <c r="AH3921" s="339" t="str">
        <f>VLOOKUP(B3921,'MF PF'!A:B,2)</f>
        <v>FdMgt1</v>
      </c>
      <c r="AI3921" s="358">
        <f t="shared" si="522"/>
        <v>0</v>
      </c>
      <c r="AJ3921" s="94">
        <f t="shared" si="523"/>
        <v>42735</v>
      </c>
    </row>
    <row r="3922" spans="1:36" ht="12.75" customHeight="1">
      <c r="A3922" s="8">
        <v>42762</v>
      </c>
      <c r="B3922" s="94" t="s">
        <v>189</v>
      </c>
      <c r="C3922" s="6" t="s">
        <v>305</v>
      </c>
      <c r="D3922" s="98">
        <v>2088967.8100000003</v>
      </c>
      <c r="E3922" s="95">
        <f t="shared" si="517"/>
        <v>250490.64005087878</v>
      </c>
      <c r="F3922" s="98">
        <v>12</v>
      </c>
      <c r="G3922" s="98">
        <v>0</v>
      </c>
      <c r="H3922" s="98">
        <v>0</v>
      </c>
      <c r="I3922" s="98">
        <v>0</v>
      </c>
      <c r="J3922" s="98"/>
      <c r="K3922" s="93">
        <v>8.3395044604289268</v>
      </c>
      <c r="L3922" s="93">
        <f t="shared" si="519"/>
        <v>0</v>
      </c>
      <c r="M3922" s="95">
        <f t="shared" ca="1" si="520"/>
        <v>0</v>
      </c>
      <c r="N3922" s="95">
        <f>IF(P3922="Hedge Fund",IF(A3922=Summary!$AD$3,M3922-E3922,M3922),IF(A3922=Summary!$AD$3,L3922-D3922,L3922))</f>
        <v>0</v>
      </c>
      <c r="O3922" s="95">
        <f t="shared" si="518"/>
        <v>0</v>
      </c>
      <c r="P3922" s="107" t="s">
        <v>155</v>
      </c>
      <c r="Q3922" s="107">
        <v>0</v>
      </c>
      <c r="R3922" s="107">
        <v>0</v>
      </c>
      <c r="S3922" s="107">
        <v>0</v>
      </c>
      <c r="T3922" s="107">
        <v>0</v>
      </c>
      <c r="U3922" s="107"/>
      <c r="V3922" s="107"/>
      <c r="W3922" s="107"/>
      <c r="X3922" s="107"/>
      <c r="Y3922" s="107"/>
      <c r="Z3922" s="107"/>
      <c r="AA3922" s="107"/>
      <c r="AB3922" s="107"/>
      <c r="AC3922" s="355"/>
      <c r="AD3922" s="355"/>
      <c r="AE3922" s="355"/>
      <c r="AF3922" s="94">
        <f t="shared" si="521"/>
        <v>42762</v>
      </c>
      <c r="AG3922" s="185">
        <f t="shared" si="516"/>
        <v>5.224775982158647E-3</v>
      </c>
      <c r="AH3922" s="339" t="str">
        <f>VLOOKUP(B3922,'MF PF'!A:B,2)</f>
        <v>FdMgt1</v>
      </c>
      <c r="AI3922" s="358">
        <f t="shared" si="522"/>
        <v>0</v>
      </c>
      <c r="AJ3922" s="94">
        <f t="shared" si="523"/>
        <v>42766</v>
      </c>
    </row>
    <row r="3923" spans="1:36" ht="12.75" customHeight="1">
      <c r="A3923" s="8">
        <v>42794</v>
      </c>
      <c r="B3923" s="94" t="s">
        <v>189</v>
      </c>
      <c r="C3923" s="6" t="s">
        <v>305</v>
      </c>
      <c r="D3923" s="98">
        <v>2127566.54</v>
      </c>
      <c r="E3923" s="95">
        <f t="shared" si="517"/>
        <v>255119.06014264218</v>
      </c>
      <c r="F3923" s="98">
        <v>12</v>
      </c>
      <c r="G3923" s="98">
        <v>0</v>
      </c>
      <c r="H3923" s="98">
        <v>0</v>
      </c>
      <c r="I3923" s="98">
        <v>0</v>
      </c>
      <c r="J3923" s="98"/>
      <c r="K3923" s="93">
        <v>8.3395044604289268</v>
      </c>
      <c r="L3923" s="93">
        <f t="shared" si="519"/>
        <v>0</v>
      </c>
      <c r="M3923" s="95">
        <f t="shared" ca="1" si="520"/>
        <v>0</v>
      </c>
      <c r="N3923" s="95">
        <f>IF(P3923="Hedge Fund",IF(A3923=Summary!$AD$3,M3923-E3923,M3923),IF(A3923=Summary!$AD$3,L3923-D3923,L3923))</f>
        <v>0</v>
      </c>
      <c r="O3923" s="95">
        <f t="shared" si="518"/>
        <v>0</v>
      </c>
      <c r="P3923" s="107" t="s">
        <v>155</v>
      </c>
      <c r="Q3923" s="107">
        <v>0</v>
      </c>
      <c r="R3923" s="107">
        <v>0</v>
      </c>
      <c r="S3923" s="107">
        <v>0</v>
      </c>
      <c r="T3923" s="107">
        <v>0</v>
      </c>
      <c r="U3923" s="107"/>
      <c r="V3923" s="107"/>
      <c r="W3923" s="107"/>
      <c r="X3923" s="107"/>
      <c r="Y3923" s="107"/>
      <c r="Z3923" s="107"/>
      <c r="AA3923" s="107"/>
      <c r="AB3923" s="107"/>
      <c r="AC3923" s="355"/>
      <c r="AD3923" s="355"/>
      <c r="AE3923" s="355"/>
      <c r="AF3923" s="94">
        <f t="shared" si="521"/>
        <v>42794</v>
      </c>
      <c r="AG3923" s="185">
        <f t="shared" si="516"/>
        <v>1.8477417323151446E-2</v>
      </c>
      <c r="AH3923" s="339" t="str">
        <f>VLOOKUP(B3923,'MF PF'!A:B,2)</f>
        <v>FdMgt1</v>
      </c>
      <c r="AI3923" s="358">
        <f t="shared" si="522"/>
        <v>0</v>
      </c>
      <c r="AJ3923" s="94">
        <f t="shared" si="523"/>
        <v>42794</v>
      </c>
    </row>
    <row r="3924" spans="1:36" ht="12.75" customHeight="1">
      <c r="A3924" s="8">
        <v>42825</v>
      </c>
      <c r="B3924" s="94" t="s">
        <v>189</v>
      </c>
      <c r="C3924" s="358" t="s">
        <v>305</v>
      </c>
      <c r="D3924" s="98">
        <v>2103141.7192000002</v>
      </c>
      <c r="E3924" s="95">
        <f t="shared" si="517"/>
        <v>252190.25053340266</v>
      </c>
      <c r="F3924" s="98">
        <v>12</v>
      </c>
      <c r="G3924" s="98">
        <v>0</v>
      </c>
      <c r="H3924" s="98">
        <v>0</v>
      </c>
      <c r="I3924" s="98">
        <v>-144000</v>
      </c>
      <c r="J3924" s="98"/>
      <c r="K3924" s="93">
        <v>8.3395044604289268</v>
      </c>
      <c r="L3924" s="93">
        <f t="shared" si="519"/>
        <v>-144000</v>
      </c>
      <c r="M3924" s="95">
        <f t="shared" ca="1" si="520"/>
        <v>-17267.21302006398</v>
      </c>
      <c r="N3924" s="95">
        <f>IF(P3924="Hedge Fund",IF(A3924=Summary!$AD$3,M3924-E3924,M3924),IF(A3924=Summary!$AD$3,L3924-D3924,L3924))</f>
        <v>-144000</v>
      </c>
      <c r="O3924" s="95">
        <f t="shared" si="518"/>
        <v>-144000</v>
      </c>
      <c r="P3924" s="107" t="s">
        <v>155</v>
      </c>
      <c r="Q3924" s="107">
        <v>0</v>
      </c>
      <c r="R3924" s="107">
        <v>0</v>
      </c>
      <c r="S3924" s="107">
        <v>0</v>
      </c>
      <c r="T3924" s="107">
        <v>0</v>
      </c>
      <c r="U3924" s="107"/>
      <c r="V3924" s="107"/>
      <c r="W3924" s="107"/>
      <c r="X3924" s="107"/>
      <c r="Y3924" s="107"/>
      <c r="Z3924" s="107"/>
      <c r="AA3924" s="107"/>
      <c r="AB3924" s="107"/>
      <c r="AC3924" s="355"/>
      <c r="AD3924" s="355"/>
      <c r="AE3924" s="355"/>
      <c r="AF3924" s="94">
        <f t="shared" si="521"/>
        <v>42825</v>
      </c>
      <c r="AG3924" s="185">
        <f t="shared" si="516"/>
        <v>5.620279175851306E-2</v>
      </c>
      <c r="AH3924" s="339" t="str">
        <f>VLOOKUP(B3924,'MF PF'!A:B,2)</f>
        <v>FdMgt1</v>
      </c>
      <c r="AI3924" s="358">
        <f t="shared" si="522"/>
        <v>0</v>
      </c>
      <c r="AJ3924" s="94">
        <f t="shared" si="523"/>
        <v>42825</v>
      </c>
    </row>
    <row r="3925" spans="1:36" ht="12.75" customHeight="1">
      <c r="A3925" s="8">
        <v>42853</v>
      </c>
      <c r="B3925" s="94" t="s">
        <v>189</v>
      </c>
      <c r="C3925" s="358" t="s">
        <v>305</v>
      </c>
      <c r="D3925" s="98">
        <v>1995282.7890000001</v>
      </c>
      <c r="E3925" s="95">
        <f t="shared" si="517"/>
        <v>239256.75661757204</v>
      </c>
      <c r="F3925" s="98">
        <v>12</v>
      </c>
      <c r="G3925" s="98">
        <v>0</v>
      </c>
      <c r="H3925" s="98">
        <v>0</v>
      </c>
      <c r="I3925" s="98">
        <v>-138000</v>
      </c>
      <c r="J3925" s="98"/>
      <c r="K3925" s="93">
        <v>8.3395044604289268</v>
      </c>
      <c r="L3925" s="93">
        <f t="shared" si="519"/>
        <v>-138000</v>
      </c>
      <c r="M3925" s="95">
        <f t="shared" ca="1" si="520"/>
        <v>-16547.745810894648</v>
      </c>
      <c r="N3925" s="95">
        <f>IF(P3925="Hedge Fund",IF(A3925=Summary!$AD$3,M3925-E3925,M3925),IF(A3925=Summary!$AD$3,L3925-D3925,L3925))</f>
        <v>-138000</v>
      </c>
      <c r="O3925" s="95">
        <f t="shared" si="518"/>
        <v>-138000</v>
      </c>
      <c r="P3925" s="107" t="s">
        <v>155</v>
      </c>
      <c r="Q3925" s="107">
        <v>0</v>
      </c>
      <c r="R3925" s="107">
        <v>0</v>
      </c>
      <c r="S3925" s="107">
        <v>0</v>
      </c>
      <c r="T3925" s="107">
        <v>0</v>
      </c>
      <c r="U3925" s="107"/>
      <c r="V3925" s="107"/>
      <c r="W3925" s="107"/>
      <c r="X3925" s="107"/>
      <c r="Y3925" s="107"/>
      <c r="Z3925" s="107"/>
      <c r="AA3925" s="107"/>
      <c r="AB3925" s="107"/>
      <c r="AC3925" s="355"/>
      <c r="AD3925" s="355"/>
      <c r="AE3925" s="355"/>
      <c r="AF3925" s="94">
        <f t="shared" si="521"/>
        <v>42853</v>
      </c>
      <c r="AG3925" s="185">
        <f t="shared" si="516"/>
        <v>1.4331449718692602E-2</v>
      </c>
      <c r="AH3925" s="339" t="str">
        <f>VLOOKUP(B3925,'MF PF'!A:B,2)</f>
        <v>FdMgt1</v>
      </c>
      <c r="AI3925" s="358">
        <f t="shared" si="522"/>
        <v>0</v>
      </c>
      <c r="AJ3925" s="94">
        <f t="shared" si="523"/>
        <v>42855</v>
      </c>
    </row>
    <row r="3926" spans="1:36" ht="12.75" customHeight="1">
      <c r="A3926" s="8">
        <v>42886</v>
      </c>
      <c r="B3926" s="94" t="s">
        <v>189</v>
      </c>
      <c r="C3926" s="358" t="s">
        <v>305</v>
      </c>
      <c r="D3926" s="98">
        <v>1892755.22</v>
      </c>
      <c r="E3926" s="95">
        <f t="shared" si="517"/>
        <v>226962.55262901433</v>
      </c>
      <c r="F3926" s="98">
        <v>12</v>
      </c>
      <c r="G3926" s="98">
        <v>0</v>
      </c>
      <c r="H3926" s="98">
        <v>0</v>
      </c>
      <c r="I3926" s="98">
        <v>0</v>
      </c>
      <c r="J3926" s="98"/>
      <c r="K3926" s="93">
        <v>8.3395044604289268</v>
      </c>
      <c r="L3926" s="93">
        <f t="shared" si="519"/>
        <v>0</v>
      </c>
      <c r="M3926" s="95">
        <f t="shared" ca="1" si="520"/>
        <v>0</v>
      </c>
      <c r="N3926" s="95">
        <f>IF(P3926="Hedge Fund",IF(A3926=Summary!$AD$3,M3926-E3926,M3926),IF(A3926=Summary!$AD$3,L3926-D3926,L3926))</f>
        <v>0</v>
      </c>
      <c r="O3926" s="95">
        <f t="shared" si="518"/>
        <v>0</v>
      </c>
      <c r="P3926" s="107" t="s">
        <v>155</v>
      </c>
      <c r="Q3926" s="107">
        <v>0</v>
      </c>
      <c r="R3926" s="107">
        <v>0</v>
      </c>
      <c r="S3926" s="107">
        <v>0</v>
      </c>
      <c r="T3926" s="107">
        <v>0</v>
      </c>
      <c r="U3926" s="107"/>
      <c r="V3926" s="107"/>
      <c r="W3926" s="107"/>
      <c r="X3926" s="107"/>
      <c r="Y3926" s="107"/>
      <c r="Z3926" s="107"/>
      <c r="AA3926" s="107"/>
      <c r="AB3926" s="107"/>
      <c r="AC3926" s="355"/>
      <c r="AD3926" s="355"/>
      <c r="AE3926" s="355"/>
      <c r="AF3926" s="94">
        <f t="shared" si="521"/>
        <v>42886</v>
      </c>
      <c r="AG3926" s="185">
        <f t="shared" si="516"/>
        <v>-5.1384981399746898E-2</v>
      </c>
      <c r="AH3926" s="339" t="str">
        <f>VLOOKUP(B3926,'MF PF'!A:B,2)</f>
        <v>FdMgt1</v>
      </c>
      <c r="AI3926" s="358">
        <f t="shared" si="522"/>
        <v>0</v>
      </c>
      <c r="AJ3926" s="94">
        <f t="shared" si="523"/>
        <v>42886</v>
      </c>
    </row>
    <row r="3927" spans="1:36" ht="12.75" customHeight="1">
      <c r="A3927" s="8">
        <v>42916</v>
      </c>
      <c r="B3927" s="94" t="s">
        <v>189</v>
      </c>
      <c r="C3927" s="358" t="s">
        <v>305</v>
      </c>
      <c r="D3927" s="98">
        <v>1833664.41</v>
      </c>
      <c r="E3927" s="95">
        <f t="shared" si="517"/>
        <v>219876.90260263844</v>
      </c>
      <c r="F3927" s="98">
        <v>12</v>
      </c>
      <c r="G3927" s="98">
        <v>0</v>
      </c>
      <c r="H3927" s="98">
        <v>0</v>
      </c>
      <c r="I3927" s="98">
        <v>0</v>
      </c>
      <c r="J3927" s="98"/>
      <c r="K3927" s="93">
        <v>8.3395044604289268</v>
      </c>
      <c r="L3927" s="93">
        <f t="shared" si="519"/>
        <v>0</v>
      </c>
      <c r="M3927" s="95">
        <f t="shared" ca="1" si="520"/>
        <v>0</v>
      </c>
      <c r="N3927" s="95">
        <f>IF(P3927="Hedge Fund",IF(A3927=Summary!$AD$3,M3927-E3927,M3927),IF(A3927=Summary!$AD$3,L3927-D3927,L3927))</f>
        <v>0</v>
      </c>
      <c r="O3927" s="95">
        <f t="shared" si="518"/>
        <v>0</v>
      </c>
      <c r="P3927" s="107" t="s">
        <v>155</v>
      </c>
      <c r="Q3927" s="107">
        <v>0</v>
      </c>
      <c r="R3927" s="107">
        <v>0</v>
      </c>
      <c r="S3927" s="107">
        <v>0</v>
      </c>
      <c r="T3927" s="107">
        <v>0</v>
      </c>
      <c r="U3927" s="107"/>
      <c r="V3927" s="107"/>
      <c r="W3927" s="107"/>
      <c r="X3927" s="107"/>
      <c r="Y3927" s="107"/>
      <c r="Z3927" s="107"/>
      <c r="AA3927" s="107"/>
      <c r="AB3927" s="107"/>
      <c r="AC3927" s="355"/>
      <c r="AD3927" s="355"/>
      <c r="AE3927" s="355"/>
      <c r="AF3927" s="94">
        <f t="shared" si="521"/>
        <v>42916</v>
      </c>
      <c r="AG3927" s="185">
        <f t="shared" si="516"/>
        <v>-3.1219467459717265E-2</v>
      </c>
      <c r="AH3927" s="339" t="str">
        <f>VLOOKUP(B3927,'MF PF'!A:B,2)</f>
        <v>FdMgt1</v>
      </c>
      <c r="AI3927" s="358">
        <f t="shared" si="522"/>
        <v>0</v>
      </c>
      <c r="AJ3927" s="94">
        <f t="shared" si="523"/>
        <v>42916</v>
      </c>
    </row>
    <row r="3928" spans="1:36" ht="12.75" customHeight="1">
      <c r="A3928" s="8">
        <v>42947</v>
      </c>
      <c r="B3928" s="94" t="s">
        <v>189</v>
      </c>
      <c r="C3928" s="6" t="s">
        <v>305</v>
      </c>
      <c r="D3928" s="98">
        <v>1936611.27</v>
      </c>
      <c r="E3928" s="9">
        <f t="shared" si="517"/>
        <v>232221.38427879612</v>
      </c>
      <c r="F3928" s="98">
        <v>12</v>
      </c>
      <c r="G3928" s="98">
        <v>0</v>
      </c>
      <c r="H3928" s="98">
        <v>0</v>
      </c>
      <c r="I3928" s="98">
        <v>0</v>
      </c>
      <c r="J3928" s="98"/>
      <c r="K3928" s="93">
        <v>8.3395044604289268</v>
      </c>
      <c r="L3928" s="93">
        <f t="shared" si="519"/>
        <v>0</v>
      </c>
      <c r="M3928" s="95">
        <f t="shared" ca="1" si="520"/>
        <v>0</v>
      </c>
      <c r="N3928" s="95">
        <f>IF(P3928="Hedge Fund",IF(A3928=Summary!$AD$3,M3928-E3928,M3928),IF(A3928=Summary!$AD$3,L3928-D3928,L3928))</f>
        <v>0</v>
      </c>
      <c r="O3928" s="95">
        <f t="shared" si="518"/>
        <v>0</v>
      </c>
      <c r="P3928" s="107" t="s">
        <v>155</v>
      </c>
      <c r="Q3928" s="107">
        <v>0</v>
      </c>
      <c r="R3928" s="107">
        <v>0</v>
      </c>
      <c r="S3928" s="107">
        <v>0</v>
      </c>
      <c r="T3928" s="107">
        <v>0</v>
      </c>
      <c r="U3928" s="107"/>
      <c r="V3928" s="107"/>
      <c r="W3928" s="107"/>
      <c r="X3928" s="107"/>
      <c r="Y3928" s="107"/>
      <c r="Z3928" s="107"/>
      <c r="AA3928" s="107"/>
      <c r="AB3928" s="107"/>
      <c r="AC3928" s="355"/>
      <c r="AD3928" s="355"/>
      <c r="AE3928" s="355"/>
      <c r="AF3928" s="94">
        <f t="shared" si="521"/>
        <v>42947</v>
      </c>
      <c r="AG3928" s="185">
        <f t="shared" si="516"/>
        <v>5.6142694071266819E-2</v>
      </c>
      <c r="AH3928" s="339" t="str">
        <f>VLOOKUP(B3928,'MF PF'!A:B,2)</f>
        <v>FdMgt1</v>
      </c>
      <c r="AI3928" s="358">
        <f t="shared" si="522"/>
        <v>0</v>
      </c>
      <c r="AJ3928" s="94">
        <f t="shared" si="523"/>
        <v>42947</v>
      </c>
    </row>
    <row r="3929" spans="1:36" ht="12.75" customHeight="1">
      <c r="A3929" s="8">
        <v>42978</v>
      </c>
      <c r="B3929" s="94" t="s">
        <v>189</v>
      </c>
      <c r="C3929" s="358" t="s">
        <v>305</v>
      </c>
      <c r="D3929" s="98">
        <v>2122800</v>
      </c>
      <c r="E3929" s="9">
        <f t="shared" si="517"/>
        <v>254547.49860410983</v>
      </c>
      <c r="F3929" s="98">
        <v>12</v>
      </c>
      <c r="G3929" s="98">
        <v>0</v>
      </c>
      <c r="H3929" s="98">
        <v>0</v>
      </c>
      <c r="I3929" s="98">
        <v>0</v>
      </c>
      <c r="J3929" s="98"/>
      <c r="K3929" s="93">
        <v>8.3395044604289268</v>
      </c>
      <c r="L3929" s="93">
        <f t="shared" si="519"/>
        <v>0</v>
      </c>
      <c r="M3929" s="95">
        <f t="shared" ca="1" si="520"/>
        <v>0</v>
      </c>
      <c r="N3929" s="95">
        <f>IF(P3929="Hedge Fund",IF(A3929=Summary!$AD$3,M3929-E3929,M3929),IF(A3929=Summary!$AD$3,L3929-D3929,L3929))</f>
        <v>0</v>
      </c>
      <c r="O3929" s="95">
        <f t="shared" si="518"/>
        <v>0</v>
      </c>
      <c r="P3929" s="107" t="s">
        <v>155</v>
      </c>
      <c r="Q3929" s="107">
        <v>0</v>
      </c>
      <c r="R3929" s="107">
        <v>0</v>
      </c>
      <c r="S3929" s="107">
        <v>0</v>
      </c>
      <c r="T3929" s="107">
        <v>0</v>
      </c>
      <c r="U3929" s="107"/>
      <c r="V3929" s="107"/>
      <c r="W3929" s="107"/>
      <c r="X3929" s="107"/>
      <c r="Y3929" s="107"/>
      <c r="Z3929" s="107"/>
      <c r="AA3929" s="107"/>
      <c r="AB3929" s="107"/>
      <c r="AC3929" s="355"/>
      <c r="AD3929" s="355"/>
      <c r="AE3929" s="355"/>
      <c r="AF3929" s="94">
        <f t="shared" si="521"/>
        <v>42978</v>
      </c>
      <c r="AG3929" s="185">
        <f t="shared" si="516"/>
        <v>9.6141509080446497E-2</v>
      </c>
      <c r="AH3929" s="339" t="str">
        <f>VLOOKUP(B3929,'MF PF'!A:B,2)</f>
        <v>FdMgt1</v>
      </c>
      <c r="AI3929" s="358">
        <f t="shared" si="522"/>
        <v>0</v>
      </c>
      <c r="AJ3929" s="94">
        <f t="shared" si="523"/>
        <v>42978</v>
      </c>
    </row>
    <row r="3930" spans="1:36" ht="12.75" customHeight="1">
      <c r="A3930" s="8">
        <v>43007</v>
      </c>
      <c r="B3930" s="94" t="s">
        <v>189</v>
      </c>
      <c r="C3930" s="6" t="s">
        <v>305</v>
      </c>
      <c r="D3930" s="98">
        <v>2120500</v>
      </c>
      <c r="E3930" s="9">
        <f t="shared" si="517"/>
        <v>254271.70284059492</v>
      </c>
      <c r="F3930" s="98">
        <v>12</v>
      </c>
      <c r="G3930" s="98">
        <v>0</v>
      </c>
      <c r="H3930" s="98">
        <v>0</v>
      </c>
      <c r="I3930" s="98">
        <v>0</v>
      </c>
      <c r="J3930" s="98"/>
      <c r="K3930" s="93">
        <v>8.3395044604289268</v>
      </c>
      <c r="L3930" s="93">
        <f t="shared" si="519"/>
        <v>0</v>
      </c>
      <c r="M3930" s="95">
        <f t="shared" ca="1" si="520"/>
        <v>0</v>
      </c>
      <c r="N3930" s="95">
        <f>IF(P3930="Hedge Fund",IF(A3930=Summary!$AD$3,M3930-E3930,M3930),IF(A3930=Summary!$AD$3,L3930-D3930,L3930))</f>
        <v>0</v>
      </c>
      <c r="O3930" s="95">
        <f t="shared" si="518"/>
        <v>0</v>
      </c>
      <c r="P3930" s="107" t="s">
        <v>155</v>
      </c>
      <c r="Q3930" s="107">
        <v>0</v>
      </c>
      <c r="R3930" s="107">
        <v>0</v>
      </c>
      <c r="S3930" s="107">
        <v>0</v>
      </c>
      <c r="T3930" s="107">
        <v>0</v>
      </c>
      <c r="U3930" s="107"/>
      <c r="V3930" s="107"/>
      <c r="W3930" s="107"/>
      <c r="X3930" s="107"/>
      <c r="Y3930" s="107"/>
      <c r="Z3930" s="107"/>
      <c r="AA3930" s="107"/>
      <c r="AB3930" s="107"/>
      <c r="AC3930" s="355"/>
      <c r="AD3930" s="355"/>
      <c r="AE3930" s="355"/>
      <c r="AF3930" s="94">
        <f t="shared" si="521"/>
        <v>43007</v>
      </c>
      <c r="AG3930" s="185">
        <f t="shared" si="516"/>
        <v>-1.0834746561145803E-3</v>
      </c>
      <c r="AH3930" s="339" t="str">
        <f>VLOOKUP(B3930,'MF PF'!A:B,2)</f>
        <v>FdMgt1</v>
      </c>
      <c r="AI3930" s="358">
        <f t="shared" si="522"/>
        <v>0</v>
      </c>
      <c r="AJ3930" s="94">
        <f t="shared" si="523"/>
        <v>43008</v>
      </c>
    </row>
    <row r="3931" spans="1:36" ht="12.75" customHeight="1">
      <c r="A3931" s="94">
        <v>43039</v>
      </c>
      <c r="B3931" s="94" t="s">
        <v>189</v>
      </c>
      <c r="C3931" s="6" t="s">
        <v>305</v>
      </c>
      <c r="D3931" s="98">
        <v>2112600</v>
      </c>
      <c r="E3931" s="9">
        <f t="shared" si="517"/>
        <v>253324.40434852196</v>
      </c>
      <c r="F3931" s="98">
        <v>12</v>
      </c>
      <c r="G3931" s="98">
        <v>0</v>
      </c>
      <c r="H3931" s="98">
        <v>0</v>
      </c>
      <c r="I3931" s="98">
        <v>0</v>
      </c>
      <c r="J3931" s="98"/>
      <c r="K3931" s="93">
        <v>8.3395044604289268</v>
      </c>
      <c r="L3931" s="93">
        <f t="shared" si="519"/>
        <v>0</v>
      </c>
      <c r="M3931" s="95">
        <f t="shared" ca="1" si="520"/>
        <v>0</v>
      </c>
      <c r="N3931" s="95">
        <f>IF(P3931="Hedge Fund",IF(A3931=Summary!$AD$3,M3931-E3931,M3931),IF(A3931=Summary!$AD$3,L3931-D3931,L3931))</f>
        <v>0</v>
      </c>
      <c r="O3931" s="95">
        <f t="shared" si="518"/>
        <v>0</v>
      </c>
      <c r="P3931" s="107" t="s">
        <v>155</v>
      </c>
      <c r="Q3931" s="107">
        <v>0</v>
      </c>
      <c r="R3931" s="107">
        <v>0</v>
      </c>
      <c r="S3931" s="107">
        <v>0</v>
      </c>
      <c r="T3931" s="107">
        <v>0</v>
      </c>
      <c r="U3931" s="107"/>
      <c r="V3931" s="107"/>
      <c r="W3931" s="107"/>
      <c r="X3931" s="107"/>
      <c r="Y3931" s="107"/>
      <c r="Z3931" s="107"/>
      <c r="AA3931" s="107"/>
      <c r="AB3931" s="107"/>
      <c r="AC3931" s="355"/>
      <c r="AD3931" s="355"/>
      <c r="AE3931" s="355"/>
      <c r="AF3931" s="94">
        <f t="shared" si="521"/>
        <v>43039</v>
      </c>
      <c r="AG3931" s="185">
        <f t="shared" si="516"/>
        <v>-3.7255364300872174E-3</v>
      </c>
      <c r="AH3931" s="339" t="str">
        <f>VLOOKUP(B3931,'MF PF'!A:B,2)</f>
        <v>FdMgt1</v>
      </c>
      <c r="AI3931" s="358">
        <f t="shared" si="522"/>
        <v>0</v>
      </c>
      <c r="AJ3931" s="94">
        <f t="shared" si="523"/>
        <v>43039</v>
      </c>
    </row>
    <row r="3932" spans="1:36" ht="12.75" customHeight="1">
      <c r="A3932" s="8">
        <v>43069</v>
      </c>
      <c r="B3932" s="94" t="s">
        <v>189</v>
      </c>
      <c r="C3932" s="6" t="s">
        <v>305</v>
      </c>
      <c r="D3932" s="98">
        <v>1534200</v>
      </c>
      <c r="E3932" s="9">
        <f t="shared" ref="E3932:E3941" si="524">D3932/K3932</f>
        <v>183967.76538459831</v>
      </c>
      <c r="F3932" s="98">
        <v>12</v>
      </c>
      <c r="G3932" s="98">
        <v>0</v>
      </c>
      <c r="H3932" s="98">
        <v>0</v>
      </c>
      <c r="I3932" s="98">
        <v>-523531.19000000006</v>
      </c>
      <c r="J3932" s="98"/>
      <c r="K3932" s="93">
        <v>8.3395044604289268</v>
      </c>
      <c r="L3932" s="93">
        <f t="shared" si="519"/>
        <v>-523531.19000000006</v>
      </c>
      <c r="M3932" s="95">
        <f t="shared" ca="1" si="520"/>
        <v>-62777.254030399934</v>
      </c>
      <c r="N3932" s="95">
        <f>IF(P3932="Hedge Fund",IF(A3932=Summary!$AD$3,M3932-E3932,M3932),IF(A3932=Summary!$AD$3,L3932-D3932,L3932))</f>
        <v>-523531.19000000006</v>
      </c>
      <c r="O3932" s="95">
        <f t="shared" si="518"/>
        <v>-523531.19000000006</v>
      </c>
      <c r="P3932" s="107" t="s">
        <v>155</v>
      </c>
      <c r="Q3932" s="107">
        <v>0</v>
      </c>
      <c r="R3932" s="107">
        <v>0</v>
      </c>
      <c r="S3932" s="107">
        <v>0</v>
      </c>
      <c r="T3932" s="107">
        <v>0</v>
      </c>
      <c r="U3932" s="107"/>
      <c r="V3932" s="107"/>
      <c r="W3932" s="107"/>
      <c r="X3932" s="107"/>
      <c r="Y3932" s="107"/>
      <c r="Z3932" s="107"/>
      <c r="AA3932" s="107"/>
      <c r="AB3932" s="107"/>
      <c r="AC3932" s="355"/>
      <c r="AD3932" s="355"/>
      <c r="AE3932" s="355"/>
      <c r="AF3932" s="94">
        <f t="shared" si="521"/>
        <v>43069</v>
      </c>
      <c r="AG3932" s="185">
        <f t="shared" si="516"/>
        <v>-2.597217173151567E-2</v>
      </c>
      <c r="AH3932" s="339" t="str">
        <f>VLOOKUP(B3932,'MF PF'!A:B,2)</f>
        <v>FdMgt1</v>
      </c>
      <c r="AI3932" s="358">
        <f t="shared" si="522"/>
        <v>0</v>
      </c>
      <c r="AJ3932" s="94">
        <f t="shared" si="523"/>
        <v>43069</v>
      </c>
    </row>
    <row r="3933" spans="1:36" ht="12.75" customHeight="1">
      <c r="A3933" s="8">
        <v>43098</v>
      </c>
      <c r="B3933" s="94" t="s">
        <v>189</v>
      </c>
      <c r="C3933" s="6" t="s">
        <v>305</v>
      </c>
      <c r="D3933" s="98">
        <v>1548400</v>
      </c>
      <c r="E3933" s="9">
        <f t="shared" si="524"/>
        <v>185670.50444629908</v>
      </c>
      <c r="F3933" s="98">
        <v>12</v>
      </c>
      <c r="G3933" s="98">
        <v>0</v>
      </c>
      <c r="H3933" s="98">
        <v>0</v>
      </c>
      <c r="I3933" s="98">
        <v>0</v>
      </c>
      <c r="J3933" s="98"/>
      <c r="K3933" s="93">
        <v>8.3395044604289268</v>
      </c>
      <c r="L3933" s="93">
        <f t="shared" si="519"/>
        <v>0</v>
      </c>
      <c r="M3933" s="95">
        <f t="shared" ca="1" si="520"/>
        <v>0</v>
      </c>
      <c r="N3933" s="95">
        <f>IF(P3933="Hedge Fund",IF(A3933=Summary!$AD$3,M3933-E3933,M3933),IF(A3933=Summary!$AD$3,L3933-D3933,L3933))</f>
        <v>0</v>
      </c>
      <c r="O3933" s="95">
        <f t="shared" si="518"/>
        <v>0</v>
      </c>
      <c r="P3933" s="107" t="s">
        <v>155</v>
      </c>
      <c r="Q3933" s="107">
        <v>0</v>
      </c>
      <c r="R3933" s="107">
        <v>0</v>
      </c>
      <c r="S3933" s="107">
        <v>0</v>
      </c>
      <c r="T3933" s="107">
        <v>0</v>
      </c>
      <c r="U3933" s="107"/>
      <c r="V3933" s="107"/>
      <c r="W3933" s="107"/>
      <c r="X3933" s="107"/>
      <c r="Y3933" s="107"/>
      <c r="Z3933" s="107"/>
      <c r="AA3933" s="107"/>
      <c r="AB3933" s="107"/>
      <c r="AC3933" s="355"/>
      <c r="AD3933" s="355"/>
      <c r="AE3933" s="355"/>
      <c r="AF3933" s="94">
        <f t="shared" si="521"/>
        <v>43098</v>
      </c>
      <c r="AG3933" s="185">
        <f t="shared" si="516"/>
        <v>9.2556381175856739E-3</v>
      </c>
      <c r="AH3933" s="339" t="str">
        <f>VLOOKUP(B3933,'MF PF'!A:B,2)</f>
        <v>FdMgt1</v>
      </c>
      <c r="AI3933" s="358">
        <f t="shared" si="522"/>
        <v>0</v>
      </c>
      <c r="AJ3933" s="94">
        <f t="shared" si="523"/>
        <v>43100</v>
      </c>
    </row>
    <row r="3934" spans="1:36" ht="12.75" customHeight="1">
      <c r="A3934" s="8">
        <v>43131</v>
      </c>
      <c r="B3934" s="94" t="s">
        <v>189</v>
      </c>
      <c r="C3934" s="6" t="s">
        <v>305</v>
      </c>
      <c r="D3934" s="98">
        <v>1577200</v>
      </c>
      <c r="E3934" s="9">
        <f t="shared" si="524"/>
        <v>189123.94705031186</v>
      </c>
      <c r="F3934" s="98">
        <v>12</v>
      </c>
      <c r="G3934" s="98">
        <v>0</v>
      </c>
      <c r="H3934" s="98">
        <v>0</v>
      </c>
      <c r="I3934" s="98">
        <v>0</v>
      </c>
      <c r="J3934" s="98"/>
      <c r="K3934" s="93">
        <v>8.3395044604289268</v>
      </c>
      <c r="L3934" s="93">
        <f t="shared" si="519"/>
        <v>0</v>
      </c>
      <c r="M3934" s="95">
        <f t="shared" ca="1" si="520"/>
        <v>0</v>
      </c>
      <c r="N3934" s="95">
        <f>IF(P3934="Hedge Fund",IF(A3934=Summary!$AD$3,M3934-E3934,M3934),IF(A3934=Summary!$AD$3,L3934-D3934,L3934))</f>
        <v>0</v>
      </c>
      <c r="O3934" s="95">
        <f t="shared" si="518"/>
        <v>0</v>
      </c>
      <c r="P3934" s="107" t="s">
        <v>155</v>
      </c>
      <c r="Q3934" s="107">
        <v>0</v>
      </c>
      <c r="R3934" s="107">
        <v>3.0198217987922198E-2</v>
      </c>
      <c r="S3934" s="107">
        <v>0</v>
      </c>
      <c r="T3934" s="107">
        <v>4.1207984962685499E-3</v>
      </c>
      <c r="U3934" s="107"/>
      <c r="V3934" s="107"/>
      <c r="W3934" s="107"/>
      <c r="X3934" s="107"/>
      <c r="Y3934" s="107"/>
      <c r="Z3934" s="107"/>
      <c r="AA3934" s="107"/>
      <c r="AB3934" s="107"/>
      <c r="AC3934" s="355"/>
      <c r="AD3934" s="355"/>
      <c r="AE3934" s="355"/>
      <c r="AF3934" s="94">
        <f t="shared" si="521"/>
        <v>43131</v>
      </c>
      <c r="AG3934" s="185">
        <f t="shared" si="516"/>
        <v>1.8599845001291637E-2</v>
      </c>
      <c r="AH3934" s="339" t="str">
        <f>VLOOKUP(B3934,'MF PF'!A:B,2)</f>
        <v>FdMgt1</v>
      </c>
      <c r="AI3934" s="358">
        <f t="shared" si="522"/>
        <v>0</v>
      </c>
      <c r="AJ3934" s="94">
        <f t="shared" si="523"/>
        <v>43131</v>
      </c>
    </row>
    <row r="3935" spans="1:36" ht="12.75" customHeight="1">
      <c r="A3935" s="8">
        <v>43159</v>
      </c>
      <c r="B3935" s="94" t="s">
        <v>189</v>
      </c>
      <c r="C3935" s="6" t="s">
        <v>305</v>
      </c>
      <c r="D3935" s="98">
        <v>1535700</v>
      </c>
      <c r="E3935" s="9">
        <f t="shared" si="524"/>
        <v>184147.63218689064</v>
      </c>
      <c r="F3935" s="98">
        <v>12</v>
      </c>
      <c r="G3935" s="98">
        <v>0</v>
      </c>
      <c r="H3935" s="98">
        <v>0</v>
      </c>
      <c r="I3935" s="98">
        <v>0</v>
      </c>
      <c r="J3935" s="98"/>
      <c r="K3935" s="93">
        <v>8.3395044604289268</v>
      </c>
      <c r="L3935" s="93">
        <f t="shared" si="519"/>
        <v>0</v>
      </c>
      <c r="M3935" s="95">
        <f t="shared" ca="1" si="520"/>
        <v>0</v>
      </c>
      <c r="N3935" s="95">
        <f>IF(P3935="Hedge Fund",IF(A3935=Summary!$AD$3,M3935-E3935,M3935),IF(A3935=Summary!$AD$3,L3935-D3935,L3935))</f>
        <v>0</v>
      </c>
      <c r="O3935" s="95">
        <f t="shared" si="518"/>
        <v>0</v>
      </c>
      <c r="P3935" s="107" t="s">
        <v>155</v>
      </c>
      <c r="Q3935" s="107">
        <v>0</v>
      </c>
      <c r="R3935" s="107">
        <v>1.8820181377224399E-2</v>
      </c>
      <c r="S3935" s="107">
        <v>0</v>
      </c>
      <c r="T3935" s="107">
        <v>2.5681705837670792E-3</v>
      </c>
      <c r="U3935" s="107"/>
      <c r="V3935" s="107"/>
      <c r="W3935" s="107"/>
      <c r="X3935" s="107"/>
      <c r="Y3935" s="107"/>
      <c r="Z3935" s="107"/>
      <c r="AA3935" s="107"/>
      <c r="AB3935" s="107"/>
      <c r="AC3935" s="355"/>
      <c r="AD3935" s="355"/>
      <c r="AE3935" s="355"/>
      <c r="AF3935" s="94">
        <f t="shared" si="521"/>
        <v>43159</v>
      </c>
      <c r="AG3935" s="185">
        <f t="shared" si="516"/>
        <v>-2.6312452447375123E-2</v>
      </c>
      <c r="AH3935" s="339" t="str">
        <f>VLOOKUP(B3935,'MF PF'!A:B,2)</f>
        <v>FdMgt1</v>
      </c>
      <c r="AI3935" s="358">
        <f t="shared" si="522"/>
        <v>0</v>
      </c>
      <c r="AJ3935" s="94">
        <f t="shared" si="523"/>
        <v>43159</v>
      </c>
    </row>
    <row r="3936" spans="1:36" ht="12.75" customHeight="1">
      <c r="A3936" s="8">
        <v>43188</v>
      </c>
      <c r="B3936" s="94" t="s">
        <v>189</v>
      </c>
      <c r="C3936" s="6" t="s">
        <v>305</v>
      </c>
      <c r="D3936" s="110">
        <v>1543673.3884000001</v>
      </c>
      <c r="E3936" s="9">
        <f t="shared" si="524"/>
        <v>185103.73077018585</v>
      </c>
      <c r="F3936" s="98">
        <v>12</v>
      </c>
      <c r="G3936" s="98">
        <v>0</v>
      </c>
      <c r="H3936" s="98">
        <v>0</v>
      </c>
      <c r="I3936" s="98">
        <v>0</v>
      </c>
      <c r="J3936" s="98"/>
      <c r="K3936" s="93">
        <v>8.3395044604289268</v>
      </c>
      <c r="L3936" s="93">
        <f t="shared" si="519"/>
        <v>0</v>
      </c>
      <c r="M3936" s="95">
        <f t="shared" ca="1" si="520"/>
        <v>0</v>
      </c>
      <c r="N3936" s="95">
        <f>IF(P3936="Hedge Fund",IF(A3936=Summary!$AD$3,M3936-E3936,M3936),IF(A3936=Summary!$AD$3,L3936-D3936,L3936))</f>
        <v>0</v>
      </c>
      <c r="O3936" s="95">
        <f t="shared" si="518"/>
        <v>0</v>
      </c>
      <c r="P3936" s="107" t="s">
        <v>155</v>
      </c>
      <c r="Q3936" s="109">
        <v>0</v>
      </c>
      <c r="R3936" s="109">
        <v>1.9795531925155301E-2</v>
      </c>
      <c r="S3936" s="107">
        <v>0</v>
      </c>
      <c r="T3936" s="107">
        <v>2.701265293953484E-3</v>
      </c>
      <c r="U3936" s="107"/>
      <c r="V3936" s="107"/>
      <c r="W3936" s="107"/>
      <c r="X3936" s="107"/>
      <c r="Y3936" s="107"/>
      <c r="Z3936" s="107"/>
      <c r="AA3936" s="107"/>
      <c r="AB3936" s="107"/>
      <c r="AC3936" s="355"/>
      <c r="AD3936" s="355"/>
      <c r="AE3936" s="355"/>
      <c r="AF3936" s="94">
        <f t="shared" si="521"/>
        <v>43188</v>
      </c>
      <c r="AG3936" s="185">
        <f t="shared" si="516"/>
        <v>5.1920221397407929E-3</v>
      </c>
      <c r="AH3936" s="339" t="str">
        <f>VLOOKUP(B3936,'MF PF'!A:B,2)</f>
        <v>FdMgt1</v>
      </c>
      <c r="AI3936" s="358">
        <f t="shared" si="522"/>
        <v>0</v>
      </c>
      <c r="AJ3936" s="94">
        <f t="shared" si="523"/>
        <v>43190</v>
      </c>
    </row>
    <row r="3937" spans="1:36" ht="12.75" customHeight="1">
      <c r="A3937" s="8">
        <v>43220</v>
      </c>
      <c r="B3937" s="94" t="s">
        <v>189</v>
      </c>
      <c r="C3937" s="6" t="s">
        <v>305</v>
      </c>
      <c r="D3937" s="110">
        <v>862090.60279999999</v>
      </c>
      <c r="E3937" s="9">
        <f t="shared" si="524"/>
        <v>103374.32000793726</v>
      </c>
      <c r="F3937" s="98">
        <v>12</v>
      </c>
      <c r="G3937" s="98">
        <v>0</v>
      </c>
      <c r="H3937" s="98">
        <v>0</v>
      </c>
      <c r="I3937" s="98">
        <v>-694520.74</v>
      </c>
      <c r="J3937" s="98"/>
      <c r="K3937" s="93">
        <v>8.3395044604289268</v>
      </c>
      <c r="L3937" s="93">
        <f t="shared" si="519"/>
        <v>-694520.74</v>
      </c>
      <c r="M3937" s="95">
        <f t="shared" ca="1" si="520"/>
        <v>-83280.816419669936</v>
      </c>
      <c r="N3937" s="95">
        <f>IF(P3937="Hedge Fund",IF(A3937=Summary!$AD$3,M3937-E3937,M3937),IF(A3937=Summary!$AD$3,L3937-D3937,L3937))</f>
        <v>-694520.74</v>
      </c>
      <c r="O3937" s="95">
        <f t="shared" si="518"/>
        <v>-694520.74</v>
      </c>
      <c r="P3937" s="107" t="s">
        <v>155</v>
      </c>
      <c r="Q3937" s="109">
        <v>0</v>
      </c>
      <c r="R3937" s="109">
        <v>2.2509767419219125E-2</v>
      </c>
      <c r="S3937" s="107">
        <v>0</v>
      </c>
      <c r="T3937" s="107">
        <v>3.0716453457476098E-3</v>
      </c>
      <c r="U3937" s="107"/>
      <c r="V3937" s="107"/>
      <c r="W3937" s="107"/>
      <c r="X3937" s="107"/>
      <c r="Y3937" s="107"/>
      <c r="Z3937" s="107"/>
      <c r="AA3937" s="107"/>
      <c r="AB3937" s="107"/>
      <c r="AC3937" s="355"/>
      <c r="AD3937" s="355"/>
      <c r="AE3937" s="355"/>
      <c r="AF3937" s="94">
        <f t="shared" si="521"/>
        <v>43220</v>
      </c>
      <c r="AG3937" s="185">
        <f t="shared" si="516"/>
        <v>8.381277086994432E-3</v>
      </c>
      <c r="AH3937" s="339" t="str">
        <f>VLOOKUP(B3937,'MF PF'!A:B,2)</f>
        <v>FdMgt1</v>
      </c>
      <c r="AI3937" s="358">
        <f t="shared" si="522"/>
        <v>0</v>
      </c>
      <c r="AJ3937" s="94">
        <f t="shared" si="523"/>
        <v>43220</v>
      </c>
    </row>
    <row r="3938" spans="1:36" ht="12.75" customHeight="1">
      <c r="A3938" s="8">
        <v>43251</v>
      </c>
      <c r="B3938" s="358" t="s">
        <v>189</v>
      </c>
      <c r="C3938" s="94" t="s">
        <v>305</v>
      </c>
      <c r="D3938" s="110">
        <v>829487.16619999998</v>
      </c>
      <c r="E3938" s="9">
        <f t="shared" si="524"/>
        <v>99464.802751282041</v>
      </c>
      <c r="F3938" s="98">
        <v>12</v>
      </c>
      <c r="G3938" s="98">
        <v>0</v>
      </c>
      <c r="H3938" s="98">
        <v>0</v>
      </c>
      <c r="I3938" s="98">
        <v>0</v>
      </c>
      <c r="J3938" s="98"/>
      <c r="K3938" s="93">
        <v>8.3395044604289268</v>
      </c>
      <c r="L3938" s="93">
        <f t="shared" si="519"/>
        <v>0</v>
      </c>
      <c r="M3938" s="95">
        <f t="shared" ca="1" si="520"/>
        <v>0</v>
      </c>
      <c r="N3938" s="95">
        <f>IF(P3938="Hedge Fund",IF(A3938=Summary!$AD$3,M3938-E3938,M3938),IF(A3938=Summary!$AD$3,L3938-D3938,L3938))</f>
        <v>0</v>
      </c>
      <c r="O3938" s="95">
        <f t="shared" si="518"/>
        <v>0</v>
      </c>
      <c r="P3938" s="107" t="s">
        <v>155</v>
      </c>
      <c r="Q3938" s="107">
        <v>0</v>
      </c>
      <c r="R3938" s="109">
        <v>1.3854915124137763E-2</v>
      </c>
      <c r="S3938" s="107">
        <v>0</v>
      </c>
      <c r="T3938" s="107">
        <v>1.8906186263146323E-3</v>
      </c>
      <c r="U3938" s="107"/>
      <c r="V3938" s="107"/>
      <c r="W3938" s="107"/>
      <c r="X3938" s="107"/>
      <c r="Y3938" s="107"/>
      <c r="Z3938" s="107"/>
      <c r="AA3938" s="107"/>
      <c r="AB3938" s="107"/>
      <c r="AC3938" s="355"/>
      <c r="AD3938" s="355"/>
      <c r="AE3938" s="355"/>
      <c r="AF3938" s="94">
        <f t="shared" si="521"/>
        <v>43251</v>
      </c>
      <c r="AG3938" s="185">
        <f t="shared" ref="AG3938:AG4001" si="525">IF(C3938&lt;&gt;C3937,D3938/G3938-1,(D3938-G3938-I3938-H3938)/(D3937)-1)</f>
        <v>-3.7819037226605512E-2</v>
      </c>
      <c r="AH3938" s="339" t="str">
        <f>VLOOKUP(B3938,'MF PF'!A:B,2)</f>
        <v>FdMgt1</v>
      </c>
      <c r="AI3938" s="358">
        <f t="shared" si="522"/>
        <v>0</v>
      </c>
      <c r="AJ3938" s="94">
        <f t="shared" si="523"/>
        <v>43251</v>
      </c>
    </row>
    <row r="3939" spans="1:36" ht="12.75" customHeight="1">
      <c r="A3939" s="94">
        <v>43280</v>
      </c>
      <c r="B3939" s="358" t="s">
        <v>189</v>
      </c>
      <c r="C3939" s="94" t="s">
        <v>305</v>
      </c>
      <c r="D3939" s="110">
        <v>803557.67760000005</v>
      </c>
      <c r="E3939" s="9">
        <f t="shared" si="524"/>
        <v>96355.566618243713</v>
      </c>
      <c r="F3939" s="98">
        <v>12</v>
      </c>
      <c r="G3939" s="98">
        <v>0</v>
      </c>
      <c r="H3939" s="98">
        <v>0</v>
      </c>
      <c r="I3939" s="98">
        <v>0</v>
      </c>
      <c r="J3939" s="98"/>
      <c r="K3939" s="93">
        <v>8.3395044604289268</v>
      </c>
      <c r="L3939" s="93">
        <f t="shared" si="519"/>
        <v>0</v>
      </c>
      <c r="M3939" s="95">
        <f t="shared" ca="1" si="520"/>
        <v>0</v>
      </c>
      <c r="N3939" s="95">
        <f>IF(P3939="Hedge Fund",IF(A3939=Summary!$AD$3,M3939-E3939,M3939),IF(A3939=Summary!$AD$3,L3939-D3939,L3939))</f>
        <v>0</v>
      </c>
      <c r="O3939" s="95">
        <f t="shared" si="518"/>
        <v>0</v>
      </c>
      <c r="P3939" s="107" t="s">
        <v>155</v>
      </c>
      <c r="Q3939" s="107">
        <v>0</v>
      </c>
      <c r="R3939" s="109">
        <v>6.9010626961802397E-3</v>
      </c>
      <c r="S3939" s="107">
        <v>0</v>
      </c>
      <c r="T3939" s="107">
        <v>9.4170751374959524E-4</v>
      </c>
      <c r="U3939" s="107"/>
      <c r="V3939" s="107"/>
      <c r="W3939" s="107"/>
      <c r="X3939" s="107"/>
      <c r="Y3939" s="107"/>
      <c r="Z3939" s="107"/>
      <c r="AA3939" s="107"/>
      <c r="AB3939" s="107"/>
      <c r="AC3939" s="355"/>
      <c r="AD3939" s="355"/>
      <c r="AE3939" s="355"/>
      <c r="AF3939" s="94">
        <f t="shared" si="521"/>
        <v>43280</v>
      </c>
      <c r="AG3939" s="185">
        <f t="shared" si="525"/>
        <v>-3.1259662182341663E-2</v>
      </c>
      <c r="AH3939" s="339" t="str">
        <f>VLOOKUP(B3939,'MF PF'!A:B,2)</f>
        <v>FdMgt1</v>
      </c>
      <c r="AI3939" s="358">
        <f t="shared" si="522"/>
        <v>0</v>
      </c>
      <c r="AJ3939" s="94">
        <f t="shared" si="523"/>
        <v>43281</v>
      </c>
    </row>
    <row r="3940" spans="1:36" ht="12.75" customHeight="1">
      <c r="A3940" s="8">
        <v>43312</v>
      </c>
      <c r="B3940" s="358" t="s">
        <v>189</v>
      </c>
      <c r="C3940" s="94" t="s">
        <v>305</v>
      </c>
      <c r="D3940" s="110">
        <v>800787.73289999994</v>
      </c>
      <c r="E3940" s="9">
        <f t="shared" si="524"/>
        <v>96023.419221099975</v>
      </c>
      <c r="F3940" s="98">
        <v>12</v>
      </c>
      <c r="G3940" s="98">
        <v>0</v>
      </c>
      <c r="H3940" s="98">
        <v>0</v>
      </c>
      <c r="I3940" s="98">
        <v>0</v>
      </c>
      <c r="J3940" s="98"/>
      <c r="K3940" s="93">
        <v>8.3395044604289268</v>
      </c>
      <c r="L3940" s="93">
        <f t="shared" si="519"/>
        <v>0</v>
      </c>
      <c r="M3940" s="95">
        <f t="shared" ca="1" si="520"/>
        <v>0</v>
      </c>
      <c r="N3940" s="95">
        <f>IF(P3940="Hedge Fund",IF(A3940=Summary!$AD$3,M3940-E3940,M3940),IF(A3940=Summary!$AD$3,L3940-D3940,L3940))</f>
        <v>0</v>
      </c>
      <c r="O3940" s="95">
        <f t="shared" si="518"/>
        <v>0</v>
      </c>
      <c r="P3940" s="107" t="s">
        <v>155</v>
      </c>
      <c r="Q3940" s="107">
        <v>0</v>
      </c>
      <c r="R3940" s="109">
        <v>5.6883235348115105E-3</v>
      </c>
      <c r="S3940" s="107">
        <v>0</v>
      </c>
      <c r="T3940" s="107">
        <v>7.7621914902115412E-4</v>
      </c>
      <c r="U3940" s="107"/>
      <c r="V3940" s="107"/>
      <c r="W3940" s="107"/>
      <c r="X3940" s="107"/>
      <c r="Y3940" s="107"/>
      <c r="Z3940" s="107"/>
      <c r="AA3940" s="107"/>
      <c r="AB3940" s="107"/>
      <c r="AC3940" s="355"/>
      <c r="AD3940" s="355"/>
      <c r="AE3940" s="355"/>
      <c r="AF3940" s="94">
        <f t="shared" si="521"/>
        <v>43312</v>
      </c>
      <c r="AG3940" s="185">
        <f t="shared" si="525"/>
        <v>-3.447101281233711E-3</v>
      </c>
      <c r="AH3940" s="339" t="str">
        <f>VLOOKUP(B3940,'MF PF'!A:B,2)</f>
        <v>FdMgt1</v>
      </c>
      <c r="AI3940" s="358">
        <f t="shared" si="522"/>
        <v>0</v>
      </c>
      <c r="AJ3940" s="94">
        <f t="shared" si="523"/>
        <v>43312</v>
      </c>
    </row>
    <row r="3941" spans="1:36" ht="12.75" customHeight="1">
      <c r="A3941" s="8">
        <v>43343</v>
      </c>
      <c r="B3941" s="358" t="s">
        <v>189</v>
      </c>
      <c r="C3941" s="94" t="s">
        <v>305</v>
      </c>
      <c r="D3941" s="110">
        <v>798600.94819999998</v>
      </c>
      <c r="E3941" s="9">
        <f t="shared" si="524"/>
        <v>95761.199240239439</v>
      </c>
      <c r="F3941" s="98">
        <v>12</v>
      </c>
      <c r="G3941" s="98">
        <v>0</v>
      </c>
      <c r="H3941" s="98">
        <v>0</v>
      </c>
      <c r="I3941" s="98">
        <v>0</v>
      </c>
      <c r="J3941" s="98"/>
      <c r="K3941" s="93">
        <v>8.3395044604289268</v>
      </c>
      <c r="L3941" s="93">
        <f t="shared" si="519"/>
        <v>0</v>
      </c>
      <c r="M3941" s="95">
        <f t="shared" ca="1" si="520"/>
        <v>0</v>
      </c>
      <c r="N3941" s="95">
        <f>IF(P3941="Hedge Fund",IF(A3941=Summary!$AD$3,M3941-E3941,M3941),IF(A3941=Summary!$AD$3,L3941-D3941,L3941))</f>
        <v>0</v>
      </c>
      <c r="O3941" s="95">
        <f t="shared" si="518"/>
        <v>0</v>
      </c>
      <c r="P3941" s="107" t="s">
        <v>155</v>
      </c>
      <c r="Q3941" s="107">
        <v>0</v>
      </c>
      <c r="R3941" s="109">
        <v>4.6376313565586989E-3</v>
      </c>
      <c r="S3941" s="107">
        <v>0</v>
      </c>
      <c r="T3941" s="107">
        <v>6.3284344553040577E-4</v>
      </c>
      <c r="U3941" s="107"/>
      <c r="V3941" s="107"/>
      <c r="W3941" s="107"/>
      <c r="X3941" s="107"/>
      <c r="Y3941" s="107"/>
      <c r="Z3941" s="107"/>
      <c r="AA3941" s="107"/>
      <c r="AB3941" s="107"/>
      <c r="AC3941" s="355"/>
      <c r="AD3941" s="355"/>
      <c r="AE3941" s="355"/>
      <c r="AF3941" s="94">
        <f t="shared" si="521"/>
        <v>43343</v>
      </c>
      <c r="AG3941" s="185">
        <f t="shared" si="525"/>
        <v>-2.7307919566658123E-3</v>
      </c>
      <c r="AH3941" s="339" t="str">
        <f>VLOOKUP(B3941,'MF PF'!A:B,2)</f>
        <v>FdMgt1</v>
      </c>
      <c r="AI3941" s="358">
        <f t="shared" si="522"/>
        <v>0</v>
      </c>
      <c r="AJ3941" s="94">
        <f t="shared" si="523"/>
        <v>43343</v>
      </c>
    </row>
    <row r="3942" spans="1:36" ht="12.75" customHeight="1">
      <c r="A3942" s="8">
        <v>43371</v>
      </c>
      <c r="B3942" s="358" t="s">
        <v>189</v>
      </c>
      <c r="C3942" s="6" t="s">
        <v>305</v>
      </c>
      <c r="D3942" s="110">
        <v>765745.94</v>
      </c>
      <c r="F3942" s="98">
        <v>12</v>
      </c>
      <c r="G3942" s="98"/>
      <c r="H3942" s="93">
        <v>0</v>
      </c>
      <c r="I3942" s="93">
        <v>0</v>
      </c>
      <c r="K3942" s="93">
        <v>0</v>
      </c>
      <c r="L3942" s="93">
        <f t="shared" si="519"/>
        <v>0</v>
      </c>
      <c r="M3942" s="95" t="e">
        <f t="shared" ca="1" si="520"/>
        <v>#DIV/0!</v>
      </c>
      <c r="N3942" s="95">
        <f>IF(P3942="Hedge Fund",IF(A3942=Summary!$AD$3,M3942-E3942,M3942),IF(A3942=Summary!$AD$3,L3942-D3942,L3942))</f>
        <v>0</v>
      </c>
      <c r="O3942" s="95">
        <f t="shared" si="518"/>
        <v>0</v>
      </c>
      <c r="P3942" s="95" t="s">
        <v>155</v>
      </c>
      <c r="Q3942" s="95">
        <v>0</v>
      </c>
      <c r="R3942" s="95">
        <v>0</v>
      </c>
      <c r="S3942" s="95"/>
      <c r="T3942" s="95">
        <v>0</v>
      </c>
      <c r="U3942" s="95"/>
      <c r="V3942" s="95"/>
      <c r="W3942" s="95"/>
      <c r="X3942" s="95"/>
      <c r="Y3942" s="95"/>
      <c r="Z3942" s="95"/>
      <c r="AA3942" s="95"/>
      <c r="AB3942" s="95"/>
      <c r="AC3942" s="355"/>
      <c r="AD3942" s="355"/>
      <c r="AE3942" s="355"/>
      <c r="AF3942" s="94">
        <f t="shared" si="521"/>
        <v>43371</v>
      </c>
      <c r="AG3942" s="185">
        <f t="shared" si="525"/>
        <v>-4.1140707726497583E-2</v>
      </c>
      <c r="AH3942" s="339" t="str">
        <f>VLOOKUP(B3942,'MF PF'!A:B,2)</f>
        <v>FdMgt1</v>
      </c>
      <c r="AI3942" s="358">
        <f t="shared" si="522"/>
        <v>0</v>
      </c>
      <c r="AJ3942" s="94">
        <f t="shared" si="523"/>
        <v>43373</v>
      </c>
    </row>
    <row r="3943" spans="1:36" ht="12.75" customHeight="1">
      <c r="A3943" s="8">
        <v>43404</v>
      </c>
      <c r="B3943" s="358" t="s">
        <v>189</v>
      </c>
      <c r="C3943" s="358" t="s">
        <v>305</v>
      </c>
      <c r="D3943" s="93">
        <v>717192.68</v>
      </c>
      <c r="F3943" s="98">
        <v>12</v>
      </c>
      <c r="G3943" s="93"/>
      <c r="H3943" s="93">
        <v>0</v>
      </c>
      <c r="I3943" s="93">
        <v>-42600.24</v>
      </c>
      <c r="J3943" s="93">
        <v>0</v>
      </c>
      <c r="K3943" s="93"/>
      <c r="L3943" s="93">
        <f t="shared" si="519"/>
        <v>-42600.24</v>
      </c>
      <c r="M3943" s="95" t="e">
        <f t="shared" ca="1" si="520"/>
        <v>#DIV/0!</v>
      </c>
      <c r="N3943" s="95">
        <f>IF(P3943="Hedge Fund",IF(A3943=Summary!$AD$3,M3943-E3943,M3943),IF(A3943=Summary!$AD$3,L3943-D3943,L3943))</f>
        <v>-42600.24</v>
      </c>
      <c r="O3943" s="95">
        <f t="shared" si="518"/>
        <v>-42600.24</v>
      </c>
      <c r="P3943" s="95" t="s">
        <v>155</v>
      </c>
      <c r="Q3943" s="95">
        <v>0</v>
      </c>
      <c r="R3943" s="95">
        <v>0</v>
      </c>
      <c r="S3943" s="95"/>
      <c r="T3943" s="95">
        <v>0</v>
      </c>
      <c r="U3943" s="95"/>
      <c r="V3943" s="95"/>
      <c r="W3943" s="95"/>
      <c r="X3943" s="95"/>
      <c r="Y3943" s="95"/>
      <c r="Z3943" s="95"/>
      <c r="AA3943" s="95"/>
      <c r="AB3943" s="95"/>
      <c r="AC3943" s="355"/>
      <c r="AD3943" s="355"/>
      <c r="AE3943" s="355"/>
      <c r="AF3943" s="94">
        <f t="shared" si="521"/>
        <v>43404</v>
      </c>
      <c r="AG3943" s="185">
        <f t="shared" si="525"/>
        <v>-7.7741450382353694E-3</v>
      </c>
      <c r="AH3943" s="339" t="str">
        <f>VLOOKUP(B3943,'MF PF'!A:B,2)</f>
        <v>FdMgt1</v>
      </c>
      <c r="AI3943" s="358">
        <f t="shared" si="522"/>
        <v>0</v>
      </c>
      <c r="AJ3943" s="94">
        <f t="shared" si="523"/>
        <v>43404</v>
      </c>
    </row>
    <row r="3944" spans="1:36" ht="12.75" customHeight="1">
      <c r="A3944" s="8">
        <v>43434</v>
      </c>
      <c r="B3944" s="358" t="s">
        <v>189</v>
      </c>
      <c r="C3944" s="358" t="s">
        <v>305</v>
      </c>
      <c r="D3944" s="93">
        <v>709927.79</v>
      </c>
      <c r="F3944" s="98">
        <v>12</v>
      </c>
      <c r="G3944" s="93"/>
      <c r="H3944" s="93">
        <v>0</v>
      </c>
      <c r="I3944" s="93">
        <v>0</v>
      </c>
      <c r="K3944" s="93">
        <v>0</v>
      </c>
      <c r="L3944" s="93">
        <f t="shared" si="519"/>
        <v>0</v>
      </c>
      <c r="M3944" s="95" t="e">
        <f t="shared" ca="1" si="520"/>
        <v>#DIV/0!</v>
      </c>
      <c r="N3944" s="95">
        <f>IF(P3944="Hedge Fund",IF(A3944=Summary!$AD$3,M3944-E3944,M3944),IF(A3944=Summary!$AD$3,L3944-D3944,L3944))</f>
        <v>0</v>
      </c>
      <c r="O3944" s="95">
        <f t="shared" si="518"/>
        <v>0</v>
      </c>
      <c r="P3944" s="95" t="s">
        <v>155</v>
      </c>
      <c r="Q3944" s="95">
        <v>0</v>
      </c>
      <c r="R3944" s="95">
        <v>0</v>
      </c>
      <c r="S3944" s="95"/>
      <c r="T3944" s="95"/>
      <c r="U3944" s="95"/>
      <c r="V3944" s="95"/>
      <c r="W3944" s="95"/>
      <c r="X3944" s="95"/>
      <c r="Y3944" s="95"/>
      <c r="Z3944" s="95"/>
      <c r="AA3944" s="95"/>
      <c r="AB3944" s="95"/>
      <c r="AC3944" s="355"/>
      <c r="AD3944" s="355"/>
      <c r="AE3944" s="355"/>
      <c r="AF3944" s="94">
        <f t="shared" si="521"/>
        <v>43434</v>
      </c>
      <c r="AG3944" s="185">
        <f t="shared" si="525"/>
        <v>-1.0129620954859697E-2</v>
      </c>
      <c r="AH3944" s="339" t="str">
        <f>VLOOKUP(B3944,'MF PF'!A:B,2)</f>
        <v>FdMgt1</v>
      </c>
      <c r="AI3944" s="358">
        <f t="shared" si="522"/>
        <v>0</v>
      </c>
      <c r="AJ3944" s="94">
        <f t="shared" si="523"/>
        <v>43434</v>
      </c>
    </row>
    <row r="3945" spans="1:36" ht="12.75" customHeight="1">
      <c r="A3945" s="94">
        <v>43465</v>
      </c>
      <c r="B3945" s="358" t="s">
        <v>189</v>
      </c>
      <c r="C3945" s="358" t="s">
        <v>305</v>
      </c>
      <c r="D3945" s="93">
        <v>574027.38</v>
      </c>
      <c r="F3945" s="93">
        <v>12</v>
      </c>
      <c r="G3945" s="93"/>
      <c r="H3945" s="93">
        <v>0</v>
      </c>
      <c r="I3945" s="93">
        <v>0</v>
      </c>
      <c r="K3945" s="93">
        <v>0</v>
      </c>
      <c r="L3945" s="93">
        <f t="shared" si="519"/>
        <v>0</v>
      </c>
      <c r="M3945" s="95" t="e">
        <f t="shared" ca="1" si="520"/>
        <v>#DIV/0!</v>
      </c>
      <c r="N3945" s="95">
        <f>IF(P3945="Hedge Fund",IF(A3945=Summary!$AD$3,M3945-E3945,M3945),IF(A3945=Summary!$AD$3,L3945-D3945,L3945))</f>
        <v>0</v>
      </c>
      <c r="O3945" s="95">
        <f t="shared" si="518"/>
        <v>0</v>
      </c>
      <c r="P3945" s="95" t="s">
        <v>155</v>
      </c>
      <c r="Q3945" s="95">
        <v>0</v>
      </c>
      <c r="R3945" s="95">
        <v>0</v>
      </c>
      <c r="S3945" s="95"/>
      <c r="T3945" s="95"/>
      <c r="U3945" s="95"/>
      <c r="V3945" s="95"/>
      <c r="W3945" s="95"/>
      <c r="X3945" s="95"/>
      <c r="Y3945" s="95"/>
      <c r="Z3945" s="95"/>
      <c r="AA3945" s="95"/>
      <c r="AB3945" s="95"/>
      <c r="AC3945" s="355"/>
      <c r="AD3945" s="355"/>
      <c r="AE3945" s="355"/>
      <c r="AF3945" s="94">
        <f t="shared" si="521"/>
        <v>43465</v>
      </c>
      <c r="AG3945" s="185">
        <f t="shared" si="525"/>
        <v>-0.19142849725603783</v>
      </c>
      <c r="AH3945" s="339" t="str">
        <f>VLOOKUP(B3945,'MF PF'!A:B,2)</f>
        <v>FdMgt1</v>
      </c>
      <c r="AI3945" s="358">
        <f t="shared" si="522"/>
        <v>0</v>
      </c>
      <c r="AJ3945" s="94">
        <f t="shared" si="523"/>
        <v>43465</v>
      </c>
    </row>
    <row r="3946" spans="1:36" ht="12.75" customHeight="1">
      <c r="A3946" s="8">
        <v>43496</v>
      </c>
      <c r="B3946" s="358" t="s">
        <v>189</v>
      </c>
      <c r="C3946" s="6" t="s">
        <v>305</v>
      </c>
      <c r="D3946" s="93">
        <v>607586.76</v>
      </c>
      <c r="F3946" s="93">
        <v>12</v>
      </c>
      <c r="G3946" s="93"/>
      <c r="H3946" s="93">
        <v>0</v>
      </c>
      <c r="I3946" s="93">
        <v>0</v>
      </c>
      <c r="K3946" s="93">
        <v>0</v>
      </c>
      <c r="L3946" s="93">
        <f t="shared" si="519"/>
        <v>0</v>
      </c>
      <c r="M3946" s="95" t="e">
        <f t="shared" ca="1" si="520"/>
        <v>#DIV/0!</v>
      </c>
      <c r="N3946" s="95">
        <f>IF(P3946="Hedge Fund",IF(A3946=Summary!$AD$3,M3946-E3946,M3946),IF(A3946=Summary!$AD$3,L3946-D3946,L3946))</f>
        <v>-607586.76</v>
      </c>
      <c r="O3946" s="95">
        <f t="shared" si="518"/>
        <v>-607586.76</v>
      </c>
      <c r="P3946" s="95" t="s">
        <v>155</v>
      </c>
      <c r="Q3946" s="95">
        <v>0</v>
      </c>
      <c r="R3946" s="95">
        <v>0</v>
      </c>
      <c r="S3946" s="95"/>
      <c r="T3946" s="95"/>
      <c r="U3946" s="95"/>
      <c r="V3946" s="95"/>
      <c r="W3946" s="95"/>
      <c r="X3946" s="95"/>
      <c r="Y3946" s="95"/>
      <c r="Z3946" s="95"/>
      <c r="AA3946" s="95"/>
      <c r="AB3946" s="95"/>
      <c r="AC3946" s="355"/>
      <c r="AD3946" s="355"/>
      <c r="AE3946" s="355"/>
      <c r="AF3946" s="94">
        <f t="shared" si="521"/>
        <v>43496</v>
      </c>
      <c r="AG3946" s="185">
        <f t="shared" si="525"/>
        <v>5.8463030108424352E-2</v>
      </c>
      <c r="AH3946" s="339" t="str">
        <f>VLOOKUP(B3946,'MF PF'!A:B,2)</f>
        <v>FdMgt1</v>
      </c>
      <c r="AI3946" s="358">
        <f t="shared" si="522"/>
        <v>0</v>
      </c>
      <c r="AJ3946" s="94">
        <f t="shared" si="523"/>
        <v>43496</v>
      </c>
    </row>
    <row r="3947" spans="1:36" ht="12.75" customHeight="1">
      <c r="A3947" s="8">
        <v>41121</v>
      </c>
      <c r="B3947" s="94" t="s">
        <v>189</v>
      </c>
      <c r="C3947" s="6" t="s">
        <v>344</v>
      </c>
      <c r="D3947" s="98">
        <v>23966</v>
      </c>
      <c r="E3947" s="95">
        <f t="shared" ref="E3947:E3978" si="526">D3947/K3947</f>
        <v>23966</v>
      </c>
      <c r="F3947" s="98">
        <v>0.2084</v>
      </c>
      <c r="G3947" s="98">
        <v>23966</v>
      </c>
      <c r="H3947" s="98">
        <v>0</v>
      </c>
      <c r="I3947" s="98">
        <v>0</v>
      </c>
      <c r="J3947" s="98"/>
      <c r="K3947" s="93">
        <v>1</v>
      </c>
      <c r="L3947" s="93">
        <f t="shared" si="519"/>
        <v>23966</v>
      </c>
      <c r="M3947" s="95">
        <f t="shared" ca="1" si="520"/>
        <v>23966</v>
      </c>
      <c r="N3947" s="95">
        <f>IF(P3947="Hedge Fund",IF(A3947=Summary!$AD$3,M3947-E3947,M3947),IF(A3947=Summary!$AD$3,L3947-D3947,L3947))</f>
        <v>23966</v>
      </c>
      <c r="O3947" s="95"/>
      <c r="P3947" s="107" t="s">
        <v>155</v>
      </c>
      <c r="Q3947" s="107">
        <v>0</v>
      </c>
      <c r="R3947" s="107">
        <v>0</v>
      </c>
      <c r="S3947" s="107">
        <v>0</v>
      </c>
      <c r="T3947" s="107">
        <v>0</v>
      </c>
      <c r="U3947" s="107"/>
      <c r="V3947" s="107"/>
      <c r="W3947" s="107"/>
      <c r="X3947" s="107"/>
      <c r="Y3947" s="107"/>
      <c r="Z3947" s="107"/>
      <c r="AA3947" s="107"/>
      <c r="AB3947" s="107"/>
      <c r="AC3947" s="355"/>
      <c r="AD3947" s="355"/>
      <c r="AE3947" s="355"/>
      <c r="AF3947" s="94">
        <f t="shared" si="521"/>
        <v>41121</v>
      </c>
      <c r="AG3947" s="185">
        <f t="shared" si="525"/>
        <v>0</v>
      </c>
      <c r="AH3947" s="339" t="str">
        <f>VLOOKUP(B3947,'MF PF'!A:B,2)</f>
        <v>FdMgt1</v>
      </c>
      <c r="AI3947" s="358">
        <f t="shared" si="522"/>
        <v>0</v>
      </c>
      <c r="AJ3947" s="94">
        <f t="shared" si="523"/>
        <v>41121</v>
      </c>
    </row>
    <row r="3948" spans="1:36" ht="12.75" customHeight="1">
      <c r="A3948" s="8">
        <v>41152</v>
      </c>
      <c r="B3948" s="94" t="s">
        <v>189</v>
      </c>
      <c r="C3948" s="6" t="s">
        <v>344</v>
      </c>
      <c r="D3948" s="98">
        <v>24030.47</v>
      </c>
      <c r="E3948" s="95">
        <f t="shared" si="526"/>
        <v>24030.47</v>
      </c>
      <c r="F3948" s="98">
        <v>0.2084</v>
      </c>
      <c r="G3948" s="98">
        <v>0</v>
      </c>
      <c r="H3948" s="98">
        <v>0</v>
      </c>
      <c r="I3948" s="98">
        <v>0</v>
      </c>
      <c r="J3948" s="98"/>
      <c r="K3948" s="93">
        <v>1</v>
      </c>
      <c r="L3948" s="93">
        <f t="shared" si="519"/>
        <v>0</v>
      </c>
      <c r="M3948" s="95">
        <f t="shared" ca="1" si="520"/>
        <v>0</v>
      </c>
      <c r="N3948" s="95">
        <f>IF(P3948="Hedge Fund",IF(A3948=Summary!$AD$3,M3948-E3948,M3948),IF(A3948=Summary!$AD$3,L3948-D3948,L3948))</f>
        <v>0</v>
      </c>
      <c r="O3948" s="95"/>
      <c r="P3948" s="107" t="s">
        <v>155</v>
      </c>
      <c r="Q3948" s="107">
        <v>0</v>
      </c>
      <c r="R3948" s="107">
        <v>0</v>
      </c>
      <c r="S3948" s="107">
        <v>0</v>
      </c>
      <c r="T3948" s="107">
        <v>0</v>
      </c>
      <c r="U3948" s="107"/>
      <c r="V3948" s="107"/>
      <c r="W3948" s="107"/>
      <c r="X3948" s="107"/>
      <c r="Y3948" s="107"/>
      <c r="Z3948" s="107"/>
      <c r="AA3948" s="107"/>
      <c r="AB3948" s="107"/>
      <c r="AC3948" s="355"/>
      <c r="AD3948" s="355"/>
      <c r="AE3948" s="355"/>
      <c r="AF3948" s="94">
        <f t="shared" si="521"/>
        <v>41152</v>
      </c>
      <c r="AG3948" s="185">
        <f t="shared" si="525"/>
        <v>2.6900609196363057E-3</v>
      </c>
      <c r="AH3948" s="339" t="str">
        <f>VLOOKUP(B3948,'MF PF'!A:B,2)</f>
        <v>FdMgt1</v>
      </c>
      <c r="AI3948" s="358">
        <f t="shared" si="522"/>
        <v>0</v>
      </c>
      <c r="AJ3948" s="94">
        <f t="shared" si="523"/>
        <v>41152</v>
      </c>
    </row>
    <row r="3949" spans="1:36" ht="12.75" customHeight="1">
      <c r="A3949" s="8">
        <v>41180</v>
      </c>
      <c r="B3949" s="94" t="s">
        <v>189</v>
      </c>
      <c r="C3949" s="6" t="s">
        <v>344</v>
      </c>
      <c r="D3949" s="98">
        <v>36518.019999999997</v>
      </c>
      <c r="E3949" s="95">
        <f t="shared" si="526"/>
        <v>23883.6742350038</v>
      </c>
      <c r="F3949" s="98">
        <v>0.2084</v>
      </c>
      <c r="G3949" s="98">
        <v>12712</v>
      </c>
      <c r="H3949" s="98">
        <v>0</v>
      </c>
      <c r="I3949" s="98">
        <v>0</v>
      </c>
      <c r="J3949" s="98"/>
      <c r="K3949" s="93">
        <v>1.5289950633508207</v>
      </c>
      <c r="L3949" s="93">
        <f t="shared" si="519"/>
        <v>12712</v>
      </c>
      <c r="M3949" s="95">
        <f t="shared" ca="1" si="520"/>
        <v>0</v>
      </c>
      <c r="N3949" s="95">
        <f>IF(P3949="Hedge Fund",IF(A3949=Summary!$AD$3,M3949-E3949,M3949),IF(A3949=Summary!$AD$3,L3949-D3949,L3949))</f>
        <v>12712</v>
      </c>
      <c r="O3949" s="95"/>
      <c r="P3949" s="107" t="s">
        <v>155</v>
      </c>
      <c r="Q3949" s="107">
        <v>0</v>
      </c>
      <c r="R3949" s="107">
        <v>0</v>
      </c>
      <c r="S3949" s="107">
        <v>0</v>
      </c>
      <c r="T3949" s="107">
        <v>0</v>
      </c>
      <c r="U3949" s="107"/>
      <c r="V3949" s="107"/>
      <c r="W3949" s="107"/>
      <c r="X3949" s="107"/>
      <c r="Y3949" s="107"/>
      <c r="Z3949" s="107"/>
      <c r="AA3949" s="107"/>
      <c r="AB3949" s="107"/>
      <c r="AC3949" s="355"/>
      <c r="AD3949" s="355"/>
      <c r="AE3949" s="355"/>
      <c r="AF3949" s="94">
        <f t="shared" si="521"/>
        <v>41180</v>
      </c>
      <c r="AG3949" s="185">
        <f t="shared" si="525"/>
        <v>-9.3402251391672131E-3</v>
      </c>
      <c r="AH3949" s="339" t="str">
        <f>VLOOKUP(B3949,'MF PF'!A:B,2)</f>
        <v>FdMgt1</v>
      </c>
      <c r="AI3949" s="358">
        <f t="shared" si="522"/>
        <v>0</v>
      </c>
      <c r="AJ3949" s="94">
        <f t="shared" si="523"/>
        <v>41182</v>
      </c>
    </row>
    <row r="3950" spans="1:36" ht="12.75" customHeight="1">
      <c r="A3950" s="8">
        <v>41213</v>
      </c>
      <c r="B3950" s="94" t="s">
        <v>189</v>
      </c>
      <c r="C3950" s="6" t="s">
        <v>344</v>
      </c>
      <c r="D3950" s="98">
        <v>37514.35</v>
      </c>
      <c r="E3950" s="95">
        <f t="shared" si="526"/>
        <v>24535.298314035503</v>
      </c>
      <c r="F3950" s="98">
        <v>0.2084</v>
      </c>
      <c r="G3950" s="98">
        <v>0</v>
      </c>
      <c r="H3950" s="98">
        <v>0</v>
      </c>
      <c r="I3950" s="98">
        <v>0</v>
      </c>
      <c r="J3950" s="98"/>
      <c r="K3950" s="93">
        <v>1.5289950633508207</v>
      </c>
      <c r="L3950" s="93">
        <f t="shared" si="519"/>
        <v>0</v>
      </c>
      <c r="M3950" s="95">
        <f t="shared" ca="1" si="520"/>
        <v>0</v>
      </c>
      <c r="N3950" s="95">
        <f>IF(P3950="Hedge Fund",IF(A3950=Summary!$AD$3,M3950-E3950,M3950),IF(A3950=Summary!$AD$3,L3950-D3950,L3950))</f>
        <v>0</v>
      </c>
      <c r="O3950" s="95"/>
      <c r="P3950" s="107" t="s">
        <v>155</v>
      </c>
      <c r="Q3950" s="107">
        <v>0</v>
      </c>
      <c r="R3950" s="107">
        <v>0</v>
      </c>
      <c r="S3950" s="107">
        <v>0</v>
      </c>
      <c r="T3950" s="107">
        <v>0</v>
      </c>
      <c r="U3950" s="107"/>
      <c r="V3950" s="107"/>
      <c r="W3950" s="107"/>
      <c r="X3950" s="107"/>
      <c r="Y3950" s="107"/>
      <c r="Z3950" s="107"/>
      <c r="AA3950" s="107"/>
      <c r="AB3950" s="107"/>
      <c r="AC3950" s="355"/>
      <c r="AD3950" s="355"/>
      <c r="AE3950" s="355"/>
      <c r="AF3950" s="94">
        <f t="shared" si="521"/>
        <v>41213</v>
      </c>
      <c r="AG3950" s="185">
        <f t="shared" si="525"/>
        <v>2.7283242629255522E-2</v>
      </c>
      <c r="AH3950" s="339" t="str">
        <f>VLOOKUP(B3950,'MF PF'!A:B,2)</f>
        <v>FdMgt1</v>
      </c>
      <c r="AI3950" s="358">
        <f t="shared" si="522"/>
        <v>0</v>
      </c>
      <c r="AJ3950" s="94">
        <f t="shared" si="523"/>
        <v>41213</v>
      </c>
    </row>
    <row r="3951" spans="1:36" ht="12.75" customHeight="1">
      <c r="A3951" s="8">
        <v>41243</v>
      </c>
      <c r="B3951" s="94" t="s">
        <v>189</v>
      </c>
      <c r="C3951" s="358" t="s">
        <v>344</v>
      </c>
      <c r="D3951" s="98">
        <v>87460.31</v>
      </c>
      <c r="E3951" s="95">
        <f t="shared" si="526"/>
        <v>24633.018894211076</v>
      </c>
      <c r="F3951" s="98">
        <v>0.2084</v>
      </c>
      <c r="G3951" s="98">
        <v>49599</v>
      </c>
      <c r="H3951" s="98">
        <v>0</v>
      </c>
      <c r="I3951" s="98">
        <v>0</v>
      </c>
      <c r="J3951" s="98"/>
      <c r="K3951" s="93">
        <v>3.5505315193239979</v>
      </c>
      <c r="L3951" s="93">
        <f t="shared" si="519"/>
        <v>49599</v>
      </c>
      <c r="M3951" s="95">
        <f t="shared" ca="1" si="520"/>
        <v>0</v>
      </c>
      <c r="N3951" s="95">
        <f>IF(P3951="Hedge Fund",IF(A3951=Summary!$AD$3,M3951-E3951,M3951),IF(A3951=Summary!$AD$3,L3951-D3951,L3951))</f>
        <v>49599</v>
      </c>
      <c r="O3951" s="95"/>
      <c r="P3951" s="107" t="s">
        <v>155</v>
      </c>
      <c r="Q3951" s="107">
        <v>0</v>
      </c>
      <c r="R3951" s="107">
        <v>0</v>
      </c>
      <c r="S3951" s="107">
        <v>0</v>
      </c>
      <c r="T3951" s="107">
        <v>0</v>
      </c>
      <c r="U3951" s="107"/>
      <c r="V3951" s="107"/>
      <c r="W3951" s="107"/>
      <c r="X3951" s="107"/>
      <c r="Y3951" s="107"/>
      <c r="Z3951" s="107"/>
      <c r="AA3951" s="107"/>
      <c r="AB3951" s="107"/>
      <c r="AC3951" s="355"/>
      <c r="AD3951" s="355"/>
      <c r="AE3951" s="355"/>
      <c r="AF3951" s="94">
        <f t="shared" si="521"/>
        <v>41243</v>
      </c>
      <c r="AG3951" s="185">
        <f t="shared" si="525"/>
        <v>9.2487274869483826E-3</v>
      </c>
      <c r="AH3951" s="339" t="str">
        <f>VLOOKUP(B3951,'MF PF'!A:B,2)</f>
        <v>FdMgt1</v>
      </c>
      <c r="AI3951" s="358">
        <f t="shared" si="522"/>
        <v>0</v>
      </c>
      <c r="AJ3951" s="94">
        <f t="shared" si="523"/>
        <v>41243</v>
      </c>
    </row>
    <row r="3952" spans="1:36" ht="12.75" customHeight="1">
      <c r="A3952" s="8">
        <v>41274</v>
      </c>
      <c r="B3952" s="94" t="s">
        <v>189</v>
      </c>
      <c r="C3952" s="358" t="s">
        <v>344</v>
      </c>
      <c r="D3952" s="98">
        <v>105548.58</v>
      </c>
      <c r="E3952" s="95">
        <f t="shared" si="526"/>
        <v>25018.065253550394</v>
      </c>
      <c r="F3952" s="98">
        <v>0.2084</v>
      </c>
      <c r="G3952" s="98">
        <v>16463.8</v>
      </c>
      <c r="H3952" s="98">
        <v>0</v>
      </c>
      <c r="I3952" s="98">
        <v>0</v>
      </c>
      <c r="J3952" s="98"/>
      <c r="K3952" s="93">
        <v>4.2188945839855165</v>
      </c>
      <c r="L3952" s="93">
        <f t="shared" si="519"/>
        <v>16463.8</v>
      </c>
      <c r="M3952" s="95">
        <f t="shared" ca="1" si="520"/>
        <v>0</v>
      </c>
      <c r="N3952" s="95">
        <f>IF(P3952="Hedge Fund",IF(A3952=Summary!$AD$3,M3952-E3952,M3952),IF(A3952=Summary!$AD$3,L3952-D3952,L3952))</f>
        <v>16463.8</v>
      </c>
      <c r="O3952" s="95"/>
      <c r="P3952" s="107" t="s">
        <v>155</v>
      </c>
      <c r="Q3952" s="107">
        <v>0</v>
      </c>
      <c r="R3952" s="107">
        <v>0</v>
      </c>
      <c r="S3952" s="107">
        <v>0</v>
      </c>
      <c r="T3952" s="107">
        <v>0</v>
      </c>
      <c r="U3952" s="107"/>
      <c r="V3952" s="107"/>
      <c r="W3952" s="107"/>
      <c r="X3952" s="107"/>
      <c r="Y3952" s="107"/>
      <c r="Z3952" s="107"/>
      <c r="AA3952" s="107"/>
      <c r="AB3952" s="107"/>
      <c r="AC3952" s="355"/>
      <c r="AD3952" s="355"/>
      <c r="AE3952" s="355"/>
      <c r="AF3952" s="94">
        <f t="shared" si="521"/>
        <v>41274</v>
      </c>
      <c r="AG3952" s="185">
        <f t="shared" si="525"/>
        <v>1.8573796502665108E-2</v>
      </c>
      <c r="AH3952" s="339" t="str">
        <f>VLOOKUP(B3952,'MF PF'!A:B,2)</f>
        <v>FdMgt1</v>
      </c>
      <c r="AI3952" s="358">
        <f t="shared" si="522"/>
        <v>0</v>
      </c>
      <c r="AJ3952" s="94">
        <f t="shared" si="523"/>
        <v>41274</v>
      </c>
    </row>
    <row r="3953" spans="1:36" ht="12.75" customHeight="1">
      <c r="A3953" s="94">
        <v>41305</v>
      </c>
      <c r="B3953" s="94" t="s">
        <v>189</v>
      </c>
      <c r="C3953" s="358" t="s">
        <v>344</v>
      </c>
      <c r="D3953" s="98">
        <v>105596.19</v>
      </c>
      <c r="E3953" s="95">
        <f t="shared" si="526"/>
        <v>25029.350200128752</v>
      </c>
      <c r="F3953" s="98">
        <v>0.2084</v>
      </c>
      <c r="G3953" s="98">
        <v>0</v>
      </c>
      <c r="H3953" s="98">
        <v>0</v>
      </c>
      <c r="I3953" s="98">
        <v>0</v>
      </c>
      <c r="J3953" s="98"/>
      <c r="K3953" s="93">
        <v>4.2188945839855165</v>
      </c>
      <c r="L3953" s="93">
        <f t="shared" si="519"/>
        <v>0</v>
      </c>
      <c r="M3953" s="95">
        <f t="shared" ca="1" si="520"/>
        <v>0</v>
      </c>
      <c r="N3953" s="95">
        <f>IF(P3953="Hedge Fund",IF(A3953=Summary!$AD$3,M3953-E3953,M3953),IF(A3953=Summary!$AD$3,L3953-D3953,L3953))</f>
        <v>0</v>
      </c>
      <c r="O3953" s="95"/>
      <c r="P3953" s="107" t="s">
        <v>155</v>
      </c>
      <c r="Q3953" s="107">
        <v>0</v>
      </c>
      <c r="R3953" s="107">
        <v>0</v>
      </c>
      <c r="S3953" s="107">
        <v>0</v>
      </c>
      <c r="T3953" s="107">
        <v>0</v>
      </c>
      <c r="U3953" s="107"/>
      <c r="V3953" s="107"/>
      <c r="W3953" s="107"/>
      <c r="X3953" s="107"/>
      <c r="Y3953" s="107"/>
      <c r="Z3953" s="107"/>
      <c r="AA3953" s="107"/>
      <c r="AB3953" s="107"/>
      <c r="AC3953" s="355"/>
      <c r="AD3953" s="355"/>
      <c r="AE3953" s="355"/>
      <c r="AF3953" s="94">
        <f t="shared" si="521"/>
        <v>41305</v>
      </c>
      <c r="AG3953" s="185">
        <f t="shared" si="525"/>
        <v>4.5107191399451629E-4</v>
      </c>
      <c r="AH3953" s="339" t="str">
        <f>VLOOKUP(B3953,'MF PF'!A:B,2)</f>
        <v>FdMgt1</v>
      </c>
      <c r="AI3953" s="358">
        <f t="shared" si="522"/>
        <v>0</v>
      </c>
      <c r="AJ3953" s="94">
        <f t="shared" si="523"/>
        <v>41305</v>
      </c>
    </row>
    <row r="3954" spans="1:36" ht="12.75" customHeight="1">
      <c r="A3954" s="8">
        <v>41333</v>
      </c>
      <c r="B3954" s="94" t="s">
        <v>189</v>
      </c>
      <c r="C3954" s="358" t="s">
        <v>344</v>
      </c>
      <c r="D3954" s="98">
        <v>123795.62</v>
      </c>
      <c r="E3954" s="95">
        <f t="shared" si="526"/>
        <v>25213.145872623725</v>
      </c>
      <c r="F3954" s="98">
        <v>0.2084</v>
      </c>
      <c r="G3954" s="98">
        <v>17297</v>
      </c>
      <c r="H3954" s="98">
        <v>0</v>
      </c>
      <c r="I3954" s="98">
        <v>0</v>
      </c>
      <c r="J3954" s="98"/>
      <c r="K3954" s="93">
        <v>4.9099632638232782</v>
      </c>
      <c r="L3954" s="93">
        <f t="shared" si="519"/>
        <v>17297</v>
      </c>
      <c r="M3954" s="95">
        <f t="shared" ca="1" si="520"/>
        <v>0</v>
      </c>
      <c r="N3954" s="95">
        <f>IF(P3954="Hedge Fund",IF(A3954=Summary!$AD$3,M3954-E3954,M3954),IF(A3954=Summary!$AD$3,L3954-D3954,L3954))</f>
        <v>17297</v>
      </c>
      <c r="O3954" s="95"/>
      <c r="P3954" s="107" t="s">
        <v>155</v>
      </c>
      <c r="Q3954" s="107">
        <v>0</v>
      </c>
      <c r="R3954" s="107">
        <v>0</v>
      </c>
      <c r="S3954" s="107">
        <v>0</v>
      </c>
      <c r="T3954" s="107">
        <v>0</v>
      </c>
      <c r="U3954" s="107"/>
      <c r="V3954" s="107"/>
      <c r="W3954" s="107"/>
      <c r="X3954" s="107"/>
      <c r="Y3954" s="107"/>
      <c r="Z3954" s="107"/>
      <c r="AA3954" s="107"/>
      <c r="AB3954" s="107"/>
      <c r="AC3954" s="355"/>
      <c r="AD3954" s="355"/>
      <c r="AE3954" s="355"/>
      <c r="AF3954" s="94">
        <f t="shared" si="521"/>
        <v>41333</v>
      </c>
      <c r="AG3954" s="185">
        <f t="shared" si="525"/>
        <v>8.5460469738538603E-3</v>
      </c>
      <c r="AH3954" s="339" t="str">
        <f>VLOOKUP(B3954,'MF PF'!A:B,2)</f>
        <v>FdMgt1</v>
      </c>
      <c r="AI3954" s="358">
        <f t="shared" si="522"/>
        <v>0</v>
      </c>
      <c r="AJ3954" s="94">
        <f t="shared" si="523"/>
        <v>41333</v>
      </c>
    </row>
    <row r="3955" spans="1:36" ht="12.75" customHeight="1">
      <c r="A3955" s="8">
        <v>41361</v>
      </c>
      <c r="B3955" s="94" t="s">
        <v>189</v>
      </c>
      <c r="C3955" s="358" t="s">
        <v>344</v>
      </c>
      <c r="D3955" s="98">
        <v>135436.21</v>
      </c>
      <c r="E3955" s="95">
        <f t="shared" si="526"/>
        <v>25091.720703782496</v>
      </c>
      <c r="F3955" s="98">
        <v>0.2084</v>
      </c>
      <c r="G3955" s="98">
        <v>12296</v>
      </c>
      <c r="H3955" s="98">
        <v>0</v>
      </c>
      <c r="I3955" s="98">
        <v>0</v>
      </c>
      <c r="J3955" s="98"/>
      <c r="K3955" s="93">
        <v>5.3976453667278159</v>
      </c>
      <c r="L3955" s="93">
        <f t="shared" si="519"/>
        <v>12296</v>
      </c>
      <c r="M3955" s="95">
        <f t="shared" ca="1" si="520"/>
        <v>0</v>
      </c>
      <c r="N3955" s="95">
        <f>IF(P3955="Hedge Fund",IF(A3955=Summary!$AD$3,M3955-E3955,M3955),IF(A3955=Summary!$AD$3,L3955-D3955,L3955))</f>
        <v>12296</v>
      </c>
      <c r="O3955" s="95"/>
      <c r="P3955" s="107" t="s">
        <v>155</v>
      </c>
      <c r="Q3955" s="107">
        <v>0</v>
      </c>
      <c r="R3955" s="107">
        <v>0</v>
      </c>
      <c r="S3955" s="107">
        <v>0</v>
      </c>
      <c r="T3955" s="107">
        <v>0</v>
      </c>
      <c r="U3955" s="107"/>
      <c r="V3955" s="107"/>
      <c r="W3955" s="107"/>
      <c r="X3955" s="107"/>
      <c r="Y3955" s="107"/>
      <c r="Z3955" s="107"/>
      <c r="AA3955" s="107"/>
      <c r="AB3955" s="107"/>
      <c r="AC3955" s="355"/>
      <c r="AD3955" s="355"/>
      <c r="AE3955" s="355"/>
      <c r="AF3955" s="94">
        <f t="shared" si="521"/>
        <v>41361</v>
      </c>
      <c r="AG3955" s="185">
        <f t="shared" si="525"/>
        <v>-5.2942907026920505E-3</v>
      </c>
      <c r="AH3955" s="339" t="str">
        <f>VLOOKUP(B3955,'MF PF'!A:B,2)</f>
        <v>FdMgt1</v>
      </c>
      <c r="AI3955" s="358">
        <f t="shared" si="522"/>
        <v>0</v>
      </c>
      <c r="AJ3955" s="94">
        <f t="shared" si="523"/>
        <v>41364</v>
      </c>
    </row>
    <row r="3956" spans="1:36" ht="12.75" customHeight="1">
      <c r="A3956" s="8">
        <v>41394</v>
      </c>
      <c r="B3956" s="94" t="s">
        <v>189</v>
      </c>
      <c r="C3956" s="358" t="s">
        <v>344</v>
      </c>
      <c r="D3956" s="98">
        <v>140321.54</v>
      </c>
      <c r="E3956" s="95">
        <f t="shared" si="526"/>
        <v>24776.775534159824</v>
      </c>
      <c r="F3956" s="98">
        <v>0.2084</v>
      </c>
      <c r="G3956" s="98">
        <v>6669</v>
      </c>
      <c r="H3956" s="98">
        <v>0</v>
      </c>
      <c r="I3956" s="98">
        <v>0</v>
      </c>
      <c r="J3956" s="98"/>
      <c r="K3956" s="93">
        <v>5.6634302476744089</v>
      </c>
      <c r="L3956" s="93">
        <f t="shared" si="519"/>
        <v>6669</v>
      </c>
      <c r="M3956" s="95">
        <f t="shared" ca="1" si="520"/>
        <v>0</v>
      </c>
      <c r="N3956" s="95">
        <f>IF(P3956="Hedge Fund",IF(A3956=Summary!$AD$3,M3956-E3956,M3956),IF(A3956=Summary!$AD$3,L3956-D3956,L3956))</f>
        <v>6669</v>
      </c>
      <c r="O3956" s="95"/>
      <c r="P3956" s="107" t="s">
        <v>155</v>
      </c>
      <c r="Q3956" s="107">
        <v>0</v>
      </c>
      <c r="R3956" s="107">
        <v>0</v>
      </c>
      <c r="S3956" s="107">
        <v>0</v>
      </c>
      <c r="T3956" s="107">
        <v>0</v>
      </c>
      <c r="U3956" s="107"/>
      <c r="V3956" s="107"/>
      <c r="W3956" s="107"/>
      <c r="X3956" s="107"/>
      <c r="Y3956" s="107"/>
      <c r="Z3956" s="107"/>
      <c r="AA3956" s="107"/>
      <c r="AB3956" s="107"/>
      <c r="AC3956" s="355"/>
      <c r="AD3956" s="355"/>
      <c r="AE3956" s="355"/>
      <c r="AF3956" s="94">
        <f t="shared" si="521"/>
        <v>41394</v>
      </c>
      <c r="AG3956" s="185">
        <f t="shared" si="525"/>
        <v>-1.3169816255194866E-2</v>
      </c>
      <c r="AH3956" s="339" t="str">
        <f>VLOOKUP(B3956,'MF PF'!A:B,2)</f>
        <v>FdMgt1</v>
      </c>
      <c r="AI3956" s="358">
        <f t="shared" si="522"/>
        <v>0</v>
      </c>
      <c r="AJ3956" s="94">
        <f t="shared" si="523"/>
        <v>41394</v>
      </c>
    </row>
    <row r="3957" spans="1:36" ht="12.75" customHeight="1">
      <c r="A3957" s="8">
        <v>41425</v>
      </c>
      <c r="B3957" s="94" t="s">
        <v>189</v>
      </c>
      <c r="C3957" s="358" t="s">
        <v>344</v>
      </c>
      <c r="D3957" s="98">
        <v>142073.28</v>
      </c>
      <c r="E3957" s="95">
        <f t="shared" si="526"/>
        <v>25086.082777895954</v>
      </c>
      <c r="F3957" s="98">
        <v>0.2084</v>
      </c>
      <c r="G3957" s="98">
        <v>0</v>
      </c>
      <c r="H3957" s="98">
        <v>0</v>
      </c>
      <c r="I3957" s="98">
        <v>0</v>
      </c>
      <c r="J3957" s="98"/>
      <c r="K3957" s="93">
        <v>5.6634302476744089</v>
      </c>
      <c r="L3957" s="93">
        <f t="shared" si="519"/>
        <v>0</v>
      </c>
      <c r="M3957" s="95">
        <f t="shared" ca="1" si="520"/>
        <v>0</v>
      </c>
      <c r="N3957" s="95">
        <f>IF(P3957="Hedge Fund",IF(A3957=Summary!$AD$3,M3957-E3957,M3957),IF(A3957=Summary!$AD$3,L3957-D3957,L3957))</f>
        <v>0</v>
      </c>
      <c r="O3957" s="95"/>
      <c r="P3957" s="107" t="s">
        <v>155</v>
      </c>
      <c r="Q3957" s="107">
        <v>0</v>
      </c>
      <c r="R3957" s="107">
        <v>0</v>
      </c>
      <c r="S3957" s="107">
        <v>0</v>
      </c>
      <c r="T3957" s="107">
        <v>0</v>
      </c>
      <c r="U3957" s="107"/>
      <c r="V3957" s="107"/>
      <c r="W3957" s="107"/>
      <c r="X3957" s="107"/>
      <c r="Y3957" s="107"/>
      <c r="Z3957" s="107"/>
      <c r="AA3957" s="107"/>
      <c r="AB3957" s="107"/>
      <c r="AC3957" s="355"/>
      <c r="AD3957" s="355"/>
      <c r="AE3957" s="355"/>
      <c r="AF3957" s="94">
        <f t="shared" si="521"/>
        <v>41425</v>
      </c>
      <c r="AG3957" s="185">
        <f t="shared" si="525"/>
        <v>1.2483756948505453E-2</v>
      </c>
      <c r="AH3957" s="339" t="str">
        <f>VLOOKUP(B3957,'MF PF'!A:B,2)</f>
        <v>FdMgt1</v>
      </c>
      <c r="AI3957" s="358">
        <f t="shared" si="522"/>
        <v>0</v>
      </c>
      <c r="AJ3957" s="94">
        <f t="shared" si="523"/>
        <v>41425</v>
      </c>
    </row>
    <row r="3958" spans="1:36" ht="12.75" customHeight="1">
      <c r="A3958" s="8">
        <v>41453</v>
      </c>
      <c r="B3958" s="94" t="s">
        <v>189</v>
      </c>
      <c r="C3958" s="358" t="s">
        <v>344</v>
      </c>
      <c r="D3958" s="98">
        <v>142040.06</v>
      </c>
      <c r="E3958" s="95">
        <f t="shared" si="526"/>
        <v>25080.217074859593</v>
      </c>
      <c r="F3958" s="98">
        <v>0.2084</v>
      </c>
      <c r="G3958" s="98">
        <v>0</v>
      </c>
      <c r="H3958" s="98">
        <v>0</v>
      </c>
      <c r="I3958" s="98">
        <v>0</v>
      </c>
      <c r="J3958" s="98"/>
      <c r="K3958" s="93">
        <v>5.6634302476744089</v>
      </c>
      <c r="L3958" s="93">
        <f t="shared" si="519"/>
        <v>0</v>
      </c>
      <c r="M3958" s="95">
        <f t="shared" ca="1" si="520"/>
        <v>0</v>
      </c>
      <c r="N3958" s="95">
        <f>IF(P3958="Hedge Fund",IF(A3958=Summary!$AD$3,M3958-E3958,M3958),IF(A3958=Summary!$AD$3,L3958-D3958,L3958))</f>
        <v>0</v>
      </c>
      <c r="O3958" s="95"/>
      <c r="P3958" s="107" t="s">
        <v>155</v>
      </c>
      <c r="Q3958" s="107">
        <v>0</v>
      </c>
      <c r="R3958" s="107">
        <v>0</v>
      </c>
      <c r="S3958" s="107">
        <v>0</v>
      </c>
      <c r="T3958" s="107">
        <v>0</v>
      </c>
      <c r="U3958" s="107"/>
      <c r="V3958" s="107"/>
      <c r="W3958" s="107"/>
      <c r="X3958" s="107"/>
      <c r="Y3958" s="107"/>
      <c r="Z3958" s="107"/>
      <c r="AA3958" s="107"/>
      <c r="AB3958" s="107"/>
      <c r="AC3958" s="355"/>
      <c r="AD3958" s="355"/>
      <c r="AE3958" s="355"/>
      <c r="AF3958" s="94">
        <f t="shared" si="521"/>
        <v>41453</v>
      </c>
      <c r="AG3958" s="185">
        <f t="shared" si="525"/>
        <v>-2.338229961327265E-4</v>
      </c>
      <c r="AH3958" s="339" t="str">
        <f>VLOOKUP(B3958,'MF PF'!A:B,2)</f>
        <v>FdMgt1</v>
      </c>
      <c r="AI3958" s="358">
        <f t="shared" si="522"/>
        <v>0</v>
      </c>
      <c r="AJ3958" s="94">
        <f t="shared" si="523"/>
        <v>41455</v>
      </c>
    </row>
    <row r="3959" spans="1:36" ht="12.75" customHeight="1">
      <c r="A3959" s="8">
        <v>41486</v>
      </c>
      <c r="B3959" s="94" t="s">
        <v>189</v>
      </c>
      <c r="C3959" s="358" t="s">
        <v>344</v>
      </c>
      <c r="D3959" s="98">
        <v>138155.04999999999</v>
      </c>
      <c r="E3959" s="95">
        <f t="shared" si="526"/>
        <v>24394.235288186166</v>
      </c>
      <c r="F3959" s="98">
        <v>0.2084</v>
      </c>
      <c r="G3959" s="98">
        <v>0</v>
      </c>
      <c r="H3959" s="98">
        <v>0</v>
      </c>
      <c r="I3959" s="98">
        <v>0</v>
      </c>
      <c r="J3959" s="98"/>
      <c r="K3959" s="93">
        <v>5.6634302476744089</v>
      </c>
      <c r="L3959" s="93">
        <f t="shared" si="519"/>
        <v>0</v>
      </c>
      <c r="M3959" s="95">
        <f t="shared" ca="1" si="520"/>
        <v>0</v>
      </c>
      <c r="N3959" s="95">
        <f>IF(P3959="Hedge Fund",IF(A3959=Summary!$AD$3,M3959-E3959,M3959),IF(A3959=Summary!$AD$3,L3959-D3959,L3959))</f>
        <v>0</v>
      </c>
      <c r="O3959" s="95"/>
      <c r="P3959" s="107" t="s">
        <v>155</v>
      </c>
      <c r="Q3959" s="107">
        <v>0</v>
      </c>
      <c r="R3959" s="107">
        <v>0</v>
      </c>
      <c r="S3959" s="107">
        <v>0</v>
      </c>
      <c r="T3959" s="107">
        <v>0</v>
      </c>
      <c r="U3959" s="107"/>
      <c r="V3959" s="107"/>
      <c r="W3959" s="107"/>
      <c r="X3959" s="107"/>
      <c r="Y3959" s="107"/>
      <c r="Z3959" s="107"/>
      <c r="AA3959" s="107"/>
      <c r="AB3959" s="107"/>
      <c r="AC3959" s="355"/>
      <c r="AD3959" s="355"/>
      <c r="AE3959" s="355"/>
      <c r="AF3959" s="94">
        <f t="shared" si="521"/>
        <v>41486</v>
      </c>
      <c r="AG3959" s="185">
        <f t="shared" si="525"/>
        <v>-2.7351509144673769E-2</v>
      </c>
      <c r="AH3959" s="339" t="str">
        <f>VLOOKUP(B3959,'MF PF'!A:B,2)</f>
        <v>FdMgt1</v>
      </c>
      <c r="AI3959" s="358">
        <f t="shared" si="522"/>
        <v>0</v>
      </c>
      <c r="AJ3959" s="94">
        <f t="shared" si="523"/>
        <v>41486</v>
      </c>
    </row>
    <row r="3960" spans="1:36" ht="12.75" customHeight="1">
      <c r="A3960" s="8">
        <v>41516</v>
      </c>
      <c r="B3960" s="94" t="s">
        <v>189</v>
      </c>
      <c r="C3960" s="358" t="s">
        <v>344</v>
      </c>
      <c r="D3960" s="98">
        <v>136386.76999999999</v>
      </c>
      <c r="E3960" s="95">
        <f t="shared" si="526"/>
        <v>24082.007552932235</v>
      </c>
      <c r="F3960" s="98">
        <v>0.2084</v>
      </c>
      <c r="G3960" s="98">
        <v>0</v>
      </c>
      <c r="H3960" s="98">
        <v>0</v>
      </c>
      <c r="I3960" s="98">
        <v>0</v>
      </c>
      <c r="J3960" s="98"/>
      <c r="K3960" s="93">
        <v>5.6634302476744089</v>
      </c>
      <c r="L3960" s="93">
        <f t="shared" si="519"/>
        <v>0</v>
      </c>
      <c r="M3960" s="95">
        <f t="shared" ca="1" si="520"/>
        <v>0</v>
      </c>
      <c r="N3960" s="95">
        <f>IF(P3960="Hedge Fund",IF(A3960=Summary!$AD$3,M3960-E3960,M3960),IF(A3960=Summary!$AD$3,L3960-D3960,L3960))</f>
        <v>0</v>
      </c>
      <c r="O3960" s="95"/>
      <c r="P3960" s="107" t="s">
        <v>155</v>
      </c>
      <c r="Q3960" s="107">
        <v>0</v>
      </c>
      <c r="R3960" s="107">
        <v>0</v>
      </c>
      <c r="S3960" s="107">
        <v>0</v>
      </c>
      <c r="T3960" s="107">
        <v>0</v>
      </c>
      <c r="U3960" s="107"/>
      <c r="V3960" s="107"/>
      <c r="W3960" s="107"/>
      <c r="X3960" s="107"/>
      <c r="Y3960" s="107"/>
      <c r="Z3960" s="107"/>
      <c r="AA3960" s="107"/>
      <c r="AB3960" s="107"/>
      <c r="AC3960" s="355"/>
      <c r="AD3960" s="355"/>
      <c r="AE3960" s="355"/>
      <c r="AF3960" s="94">
        <f t="shared" si="521"/>
        <v>41516</v>
      </c>
      <c r="AG3960" s="185">
        <f t="shared" si="525"/>
        <v>-1.2799242590118887E-2</v>
      </c>
      <c r="AH3960" s="339" t="str">
        <f>VLOOKUP(B3960,'MF PF'!A:B,2)</f>
        <v>FdMgt1</v>
      </c>
      <c r="AI3960" s="358">
        <f t="shared" si="522"/>
        <v>0</v>
      </c>
      <c r="AJ3960" s="94">
        <f t="shared" si="523"/>
        <v>41517</v>
      </c>
    </row>
    <row r="3961" spans="1:36" ht="12.75" customHeight="1">
      <c r="A3961" s="94">
        <v>41547</v>
      </c>
      <c r="B3961" s="94" t="s">
        <v>189</v>
      </c>
      <c r="C3961" s="358" t="s">
        <v>344</v>
      </c>
      <c r="D3961" s="98">
        <v>208104.12</v>
      </c>
      <c r="E3961" s="95">
        <f t="shared" si="526"/>
        <v>24353.548336860171</v>
      </c>
      <c r="F3961" s="98">
        <v>0.2084</v>
      </c>
      <c r="G3961" s="98">
        <v>69397</v>
      </c>
      <c r="H3961" s="98">
        <v>0</v>
      </c>
      <c r="I3961" s="98">
        <v>0</v>
      </c>
      <c r="J3961" s="98"/>
      <c r="K3961" s="93">
        <v>8.5451252163129432</v>
      </c>
      <c r="L3961" s="93">
        <f t="shared" si="519"/>
        <v>69397</v>
      </c>
      <c r="M3961" s="95">
        <f t="shared" ca="1" si="520"/>
        <v>0</v>
      </c>
      <c r="N3961" s="95">
        <f>IF(P3961="Hedge Fund",IF(A3961=Summary!$AD$3,M3961-E3961,M3961),IF(A3961=Summary!$AD$3,L3961-D3961,L3961))</f>
        <v>69397</v>
      </c>
      <c r="O3961" s="95"/>
      <c r="P3961" s="107" t="s">
        <v>155</v>
      </c>
      <c r="Q3961" s="107">
        <v>0</v>
      </c>
      <c r="R3961" s="107">
        <v>0</v>
      </c>
      <c r="S3961" s="107">
        <v>0</v>
      </c>
      <c r="T3961" s="107">
        <v>0</v>
      </c>
      <c r="U3961" s="107"/>
      <c r="V3961" s="107"/>
      <c r="W3961" s="107"/>
      <c r="X3961" s="107"/>
      <c r="Y3961" s="107"/>
      <c r="Z3961" s="107"/>
      <c r="AA3961" s="107"/>
      <c r="AB3961" s="107"/>
      <c r="AC3961" s="355"/>
      <c r="AD3961" s="355"/>
      <c r="AE3961" s="355"/>
      <c r="AF3961" s="94">
        <f t="shared" si="521"/>
        <v>41547</v>
      </c>
      <c r="AG3961" s="185">
        <f t="shared" si="525"/>
        <v>1.7013013798919063E-2</v>
      </c>
      <c r="AH3961" s="339" t="str">
        <f>VLOOKUP(B3961,'MF PF'!A:B,2)</f>
        <v>FdMgt1</v>
      </c>
      <c r="AI3961" s="358">
        <f t="shared" si="522"/>
        <v>0</v>
      </c>
      <c r="AJ3961" s="94">
        <f t="shared" si="523"/>
        <v>41547</v>
      </c>
    </row>
    <row r="3962" spans="1:36">
      <c r="A3962" s="8">
        <v>41578</v>
      </c>
      <c r="B3962" s="94" t="s">
        <v>189</v>
      </c>
      <c r="C3962" s="358" t="s">
        <v>344</v>
      </c>
      <c r="D3962" s="98">
        <v>185094.82</v>
      </c>
      <c r="E3962" s="95">
        <f t="shared" si="526"/>
        <v>21660.866905337738</v>
      </c>
      <c r="F3962" s="98">
        <v>0.2084</v>
      </c>
      <c r="G3962" s="98">
        <v>0</v>
      </c>
      <c r="H3962" s="98">
        <v>0</v>
      </c>
      <c r="I3962" s="98">
        <v>-26927.06</v>
      </c>
      <c r="J3962" s="98"/>
      <c r="K3962" s="93">
        <v>8.5451252163129432</v>
      </c>
      <c r="L3962" s="93">
        <f t="shared" si="519"/>
        <v>-26927.06</v>
      </c>
      <c r="M3962" s="95">
        <f t="shared" ca="1" si="520"/>
        <v>-3151.1603772166263</v>
      </c>
      <c r="N3962" s="95">
        <f>IF(P3962="Hedge Fund",IF(A3962=Summary!$AD$3,M3962-E3962,M3962),IF(A3962=Summary!$AD$3,L3962-D3962,L3962))</f>
        <v>-26927.06</v>
      </c>
      <c r="O3962" s="95"/>
      <c r="P3962" s="107" t="s">
        <v>155</v>
      </c>
      <c r="Q3962" s="107">
        <v>0</v>
      </c>
      <c r="R3962" s="107">
        <v>0</v>
      </c>
      <c r="S3962" s="107">
        <v>0</v>
      </c>
      <c r="T3962" s="107">
        <v>0</v>
      </c>
      <c r="U3962" s="107"/>
      <c r="V3962" s="107"/>
      <c r="W3962" s="107"/>
      <c r="X3962" s="107"/>
      <c r="Y3962" s="107"/>
      <c r="Z3962" s="107"/>
      <c r="AA3962" s="107"/>
      <c r="AB3962" s="107"/>
      <c r="AC3962" s="355"/>
      <c r="AD3962" s="355"/>
      <c r="AE3962" s="355"/>
      <c r="AF3962" s="94">
        <f t="shared" si="521"/>
        <v>41578</v>
      </c>
      <c r="AG3962" s="185">
        <f t="shared" si="525"/>
        <v>1.8825960773866557E-2</v>
      </c>
      <c r="AH3962" s="339" t="str">
        <f>VLOOKUP(B3962,'MF PF'!A:B,2)</f>
        <v>FdMgt1</v>
      </c>
      <c r="AI3962" s="358">
        <f t="shared" si="522"/>
        <v>0</v>
      </c>
      <c r="AJ3962" s="94">
        <f t="shared" si="523"/>
        <v>41578</v>
      </c>
    </row>
    <row r="3963" spans="1:36">
      <c r="A3963" s="8">
        <v>41607</v>
      </c>
      <c r="B3963" s="94" t="s">
        <v>189</v>
      </c>
      <c r="C3963" s="358" t="s">
        <v>344</v>
      </c>
      <c r="D3963" s="98">
        <v>185518.41</v>
      </c>
      <c r="E3963" s="95">
        <f t="shared" si="526"/>
        <v>21710.437858281919</v>
      </c>
      <c r="F3963" s="98">
        <v>0.2084</v>
      </c>
      <c r="G3963" s="98">
        <v>0</v>
      </c>
      <c r="H3963" s="98">
        <v>0</v>
      </c>
      <c r="I3963" s="98">
        <v>0</v>
      </c>
      <c r="J3963" s="98"/>
      <c r="K3963" s="93">
        <v>8.5451252163129432</v>
      </c>
      <c r="L3963" s="93">
        <f t="shared" si="519"/>
        <v>0</v>
      </c>
      <c r="M3963" s="95">
        <f t="shared" ca="1" si="520"/>
        <v>0</v>
      </c>
      <c r="N3963" s="95">
        <f>IF(P3963="Hedge Fund",IF(A3963=Summary!$AD$3,M3963-E3963,M3963),IF(A3963=Summary!$AD$3,L3963-D3963,L3963))</f>
        <v>0</v>
      </c>
      <c r="O3963" s="95"/>
      <c r="P3963" s="107" t="s">
        <v>155</v>
      </c>
      <c r="Q3963" s="107">
        <v>0</v>
      </c>
      <c r="R3963" s="107">
        <v>0</v>
      </c>
      <c r="S3963" s="107">
        <v>0</v>
      </c>
      <c r="T3963" s="107">
        <v>0</v>
      </c>
      <c r="U3963" s="107"/>
      <c r="V3963" s="107"/>
      <c r="W3963" s="107"/>
      <c r="X3963" s="107"/>
      <c r="Y3963" s="107"/>
      <c r="Z3963" s="107"/>
      <c r="AA3963" s="107"/>
      <c r="AB3963" s="107"/>
      <c r="AC3963" s="355"/>
      <c r="AD3963" s="355"/>
      <c r="AE3963" s="355"/>
      <c r="AF3963" s="94">
        <f t="shared" si="521"/>
        <v>41607</v>
      </c>
      <c r="AG3963" s="185">
        <f t="shared" si="525"/>
        <v>2.2885027252517176E-3</v>
      </c>
      <c r="AH3963" s="339" t="str">
        <f>VLOOKUP(B3963,'MF PF'!A:B,2)</f>
        <v>FdMgt1</v>
      </c>
      <c r="AI3963" s="358">
        <f t="shared" si="522"/>
        <v>0</v>
      </c>
      <c r="AJ3963" s="94">
        <f t="shared" si="523"/>
        <v>41608</v>
      </c>
    </row>
    <row r="3964" spans="1:36">
      <c r="A3964" s="8">
        <v>41639</v>
      </c>
      <c r="B3964" s="94" t="s">
        <v>189</v>
      </c>
      <c r="C3964" s="358" t="s">
        <v>344</v>
      </c>
      <c r="D3964" s="98">
        <v>189510.3</v>
      </c>
      <c r="E3964" s="95">
        <f t="shared" si="526"/>
        <v>22177.591925536468</v>
      </c>
      <c r="F3964" s="98">
        <v>0.2084</v>
      </c>
      <c r="G3964" s="98">
        <v>0</v>
      </c>
      <c r="H3964" s="98">
        <v>0</v>
      </c>
      <c r="I3964" s="98">
        <v>0</v>
      </c>
      <c r="J3964" s="98"/>
      <c r="K3964" s="93">
        <v>8.5451252163129432</v>
      </c>
      <c r="L3964" s="93">
        <f t="shared" si="519"/>
        <v>0</v>
      </c>
      <c r="M3964" s="95">
        <f t="shared" ca="1" si="520"/>
        <v>0</v>
      </c>
      <c r="N3964" s="95">
        <f>IF(P3964="Hedge Fund",IF(A3964=Summary!$AD$3,M3964-E3964,M3964),IF(A3964=Summary!$AD$3,L3964-D3964,L3964))</f>
        <v>0</v>
      </c>
      <c r="O3964" s="95"/>
      <c r="P3964" s="107" t="s">
        <v>155</v>
      </c>
      <c r="Q3964" s="107">
        <v>0</v>
      </c>
      <c r="R3964" s="107">
        <v>0</v>
      </c>
      <c r="S3964" s="107">
        <v>0</v>
      </c>
      <c r="T3964" s="107">
        <v>0</v>
      </c>
      <c r="U3964" s="107"/>
      <c r="V3964" s="107"/>
      <c r="W3964" s="107"/>
      <c r="X3964" s="107"/>
      <c r="Y3964" s="107"/>
      <c r="Z3964" s="107"/>
      <c r="AA3964" s="107"/>
      <c r="AB3964" s="107"/>
      <c r="AC3964" s="355"/>
      <c r="AD3964" s="355"/>
      <c r="AE3964" s="355"/>
      <c r="AF3964" s="94">
        <f t="shared" si="521"/>
        <v>41639</v>
      </c>
      <c r="AG3964" s="185">
        <f t="shared" si="525"/>
        <v>2.1517487132409086E-2</v>
      </c>
      <c r="AH3964" s="339" t="str">
        <f>VLOOKUP(B3964,'MF PF'!A:B,2)</f>
        <v>FdMgt1</v>
      </c>
      <c r="AI3964" s="358">
        <f t="shared" si="522"/>
        <v>0</v>
      </c>
      <c r="AJ3964" s="94">
        <f t="shared" si="523"/>
        <v>41639</v>
      </c>
    </row>
    <row r="3965" spans="1:36">
      <c r="A3965" s="8">
        <v>41669</v>
      </c>
      <c r="B3965" s="94" t="s">
        <v>189</v>
      </c>
      <c r="C3965" s="358" t="s">
        <v>344</v>
      </c>
      <c r="D3965" s="98">
        <v>192632.46</v>
      </c>
      <c r="E3965" s="95">
        <f t="shared" si="526"/>
        <v>22542.965155414913</v>
      </c>
      <c r="F3965" s="98">
        <v>0.2084</v>
      </c>
      <c r="G3965" s="98">
        <v>0</v>
      </c>
      <c r="H3965" s="98">
        <v>0</v>
      </c>
      <c r="I3965" s="98">
        <v>0</v>
      </c>
      <c r="J3965" s="98"/>
      <c r="K3965" s="93">
        <v>8.5451252163129432</v>
      </c>
      <c r="L3965" s="93">
        <f t="shared" si="519"/>
        <v>0</v>
      </c>
      <c r="M3965" s="95">
        <f t="shared" ca="1" si="520"/>
        <v>0</v>
      </c>
      <c r="N3965" s="95">
        <f>IF(P3965="Hedge Fund",IF(A3965=Summary!$AD$3,M3965-E3965,M3965),IF(A3965=Summary!$AD$3,L3965-D3965,L3965))</f>
        <v>0</v>
      </c>
      <c r="O3965" s="95"/>
      <c r="P3965" s="107" t="s">
        <v>155</v>
      </c>
      <c r="Q3965" s="107">
        <v>0</v>
      </c>
      <c r="R3965" s="107">
        <v>0</v>
      </c>
      <c r="S3965" s="107">
        <v>0</v>
      </c>
      <c r="T3965" s="107">
        <v>0</v>
      </c>
      <c r="U3965" s="107"/>
      <c r="V3965" s="107"/>
      <c r="W3965" s="107"/>
      <c r="X3965" s="107"/>
      <c r="Y3965" s="107"/>
      <c r="Z3965" s="107"/>
      <c r="AA3965" s="107"/>
      <c r="AB3965" s="107"/>
      <c r="AC3965" s="355"/>
      <c r="AD3965" s="355"/>
      <c r="AE3965" s="355"/>
      <c r="AF3965" s="94">
        <f t="shared" si="521"/>
        <v>41669</v>
      </c>
      <c r="AG3965" s="185">
        <f t="shared" si="525"/>
        <v>1.6474882895547216E-2</v>
      </c>
      <c r="AH3965" s="339" t="str">
        <f>VLOOKUP(B3965,'MF PF'!A:B,2)</f>
        <v>FdMgt1</v>
      </c>
      <c r="AI3965" s="358">
        <f t="shared" si="522"/>
        <v>0</v>
      </c>
      <c r="AJ3965" s="94">
        <f t="shared" si="523"/>
        <v>41670</v>
      </c>
    </row>
    <row r="3966" spans="1:36" s="358" customFormat="1">
      <c r="A3966" s="94">
        <v>41698</v>
      </c>
      <c r="B3966" s="94" t="s">
        <v>189</v>
      </c>
      <c r="C3966" s="358" t="s">
        <v>344</v>
      </c>
      <c r="D3966" s="98">
        <v>194219.23</v>
      </c>
      <c r="E3966" s="95">
        <f t="shared" si="526"/>
        <v>22728.658162811786</v>
      </c>
      <c r="F3966" s="98">
        <v>0.2084</v>
      </c>
      <c r="G3966" s="98">
        <v>0</v>
      </c>
      <c r="H3966" s="98">
        <v>0</v>
      </c>
      <c r="I3966" s="98">
        <v>0</v>
      </c>
      <c r="J3966" s="98"/>
      <c r="K3966" s="93">
        <v>8.5451252163129432</v>
      </c>
      <c r="L3966" s="93">
        <f t="shared" si="519"/>
        <v>0</v>
      </c>
      <c r="M3966" s="95">
        <f t="shared" ca="1" si="520"/>
        <v>0</v>
      </c>
      <c r="N3966" s="95">
        <f>IF(P3966="Hedge Fund",IF(A3966=Summary!$AD$3,M3966-E3966,M3966),IF(A3966=Summary!$AD$3,L3966-D3966,L3966))</f>
        <v>0</v>
      </c>
      <c r="O3966" s="95"/>
      <c r="P3966" s="107" t="s">
        <v>155</v>
      </c>
      <c r="Q3966" s="107">
        <v>0</v>
      </c>
      <c r="R3966" s="107">
        <v>0</v>
      </c>
      <c r="S3966" s="107">
        <v>0</v>
      </c>
      <c r="T3966" s="107">
        <v>0</v>
      </c>
      <c r="U3966" s="107"/>
      <c r="V3966" s="107"/>
      <c r="W3966" s="107"/>
      <c r="X3966" s="107"/>
      <c r="Y3966" s="107"/>
      <c r="Z3966" s="107"/>
      <c r="AA3966" s="107"/>
      <c r="AB3966" s="107"/>
      <c r="AF3966" s="94">
        <f t="shared" si="521"/>
        <v>41698</v>
      </c>
      <c r="AG3966" s="185">
        <f t="shared" si="525"/>
        <v>8.2372929256055993E-3</v>
      </c>
      <c r="AH3966" s="339" t="str">
        <f>VLOOKUP(B3966,'MF PF'!A:B,2)</f>
        <v>FdMgt1</v>
      </c>
      <c r="AI3966" s="358">
        <f t="shared" si="522"/>
        <v>0</v>
      </c>
      <c r="AJ3966" s="94">
        <f t="shared" si="523"/>
        <v>41698</v>
      </c>
    </row>
    <row r="3967" spans="1:36">
      <c r="A3967" s="8">
        <v>41729</v>
      </c>
      <c r="B3967" s="94" t="s">
        <v>189</v>
      </c>
      <c r="C3967" s="358" t="s">
        <v>344</v>
      </c>
      <c r="D3967" s="98">
        <v>185501.59</v>
      </c>
      <c r="E3967" s="95">
        <f t="shared" si="526"/>
        <v>21708.469484551377</v>
      </c>
      <c r="F3967" s="98">
        <v>0.2084</v>
      </c>
      <c r="G3967" s="98">
        <v>0</v>
      </c>
      <c r="H3967" s="98">
        <v>0</v>
      </c>
      <c r="I3967" s="98">
        <v>-9125.8340000000007</v>
      </c>
      <c r="J3967" s="98"/>
      <c r="K3967" s="93">
        <v>8.5451252163129432</v>
      </c>
      <c r="L3967" s="93">
        <f t="shared" si="519"/>
        <v>-9125.8340000000007</v>
      </c>
      <c r="M3967" s="95">
        <f t="shared" ca="1" si="520"/>
        <v>-1067.9579021941615</v>
      </c>
      <c r="N3967" s="95">
        <f>IF(P3967="Hedge Fund",IF(A3967=Summary!$AD$3,M3967-E3967,M3967),IF(A3967=Summary!$AD$3,L3967-D3967,L3967))</f>
        <v>-9125.8340000000007</v>
      </c>
      <c r="O3967" s="95"/>
      <c r="P3967" s="107" t="s">
        <v>155</v>
      </c>
      <c r="Q3967" s="107">
        <v>0</v>
      </c>
      <c r="R3967" s="107">
        <v>0</v>
      </c>
      <c r="S3967" s="107">
        <v>0</v>
      </c>
      <c r="T3967" s="107">
        <v>0</v>
      </c>
      <c r="U3967" s="107"/>
      <c r="V3967" s="107"/>
      <c r="W3967" s="107"/>
      <c r="X3967" s="107"/>
      <c r="Y3967" s="107"/>
      <c r="Z3967" s="107"/>
      <c r="AA3967" s="107"/>
      <c r="AB3967" s="107"/>
      <c r="AC3967" s="355"/>
      <c r="AD3967" s="355"/>
      <c r="AE3967" s="355"/>
      <c r="AF3967" s="94">
        <f t="shared" si="521"/>
        <v>41729</v>
      </c>
      <c r="AG3967" s="185">
        <f t="shared" si="525"/>
        <v>2.1017177341295934E-3</v>
      </c>
      <c r="AH3967" s="339" t="str">
        <f>VLOOKUP(B3967,'MF PF'!A:B,2)</f>
        <v>FdMgt1</v>
      </c>
      <c r="AI3967" s="358">
        <f t="shared" si="522"/>
        <v>0</v>
      </c>
      <c r="AJ3967" s="94">
        <f t="shared" si="523"/>
        <v>41729</v>
      </c>
    </row>
    <row r="3968" spans="1:36">
      <c r="A3968" s="94">
        <v>41759</v>
      </c>
      <c r="B3968" s="94" t="s">
        <v>189</v>
      </c>
      <c r="C3968" s="358" t="s">
        <v>344</v>
      </c>
      <c r="D3968" s="98">
        <v>182698.87</v>
      </c>
      <c r="E3968" s="9">
        <f t="shared" si="526"/>
        <v>21380.478971943143</v>
      </c>
      <c r="F3968" s="98">
        <v>0.2084</v>
      </c>
      <c r="G3968" s="98">
        <v>0</v>
      </c>
      <c r="H3968" s="98">
        <v>0</v>
      </c>
      <c r="I3968" s="98">
        <v>0</v>
      </c>
      <c r="J3968" s="98"/>
      <c r="K3968" s="93">
        <v>8.5451252163129432</v>
      </c>
      <c r="L3968" s="93">
        <f t="shared" si="519"/>
        <v>0</v>
      </c>
      <c r="M3968" s="95">
        <f t="shared" ca="1" si="520"/>
        <v>0</v>
      </c>
      <c r="N3968" s="95">
        <f>IF(P3968="Hedge Fund",IF(A3968=Summary!$AD$3,M3968-E3968,M3968),IF(A3968=Summary!$AD$3,L3968-D3968,L3968))</f>
        <v>0</v>
      </c>
      <c r="O3968" s="95"/>
      <c r="P3968" s="107" t="s">
        <v>155</v>
      </c>
      <c r="Q3968" s="107">
        <v>0</v>
      </c>
      <c r="R3968" s="107">
        <v>0</v>
      </c>
      <c r="S3968" s="107">
        <v>0</v>
      </c>
      <c r="T3968" s="107">
        <v>0</v>
      </c>
      <c r="U3968" s="107"/>
      <c r="V3968" s="107"/>
      <c r="W3968" s="107"/>
      <c r="X3968" s="107"/>
      <c r="Y3968" s="107"/>
      <c r="Z3968" s="107"/>
      <c r="AA3968" s="107"/>
      <c r="AB3968" s="107"/>
      <c r="AC3968" s="355"/>
      <c r="AD3968" s="355"/>
      <c r="AE3968" s="355"/>
      <c r="AF3968" s="94">
        <f t="shared" si="521"/>
        <v>41759</v>
      </c>
      <c r="AG3968" s="185">
        <f t="shared" si="525"/>
        <v>-1.5108873190790462E-2</v>
      </c>
      <c r="AH3968" s="339" t="str">
        <f>VLOOKUP(B3968,'MF PF'!A:B,2)</f>
        <v>FdMgt1</v>
      </c>
      <c r="AI3968" s="358">
        <f t="shared" si="522"/>
        <v>0</v>
      </c>
      <c r="AJ3968" s="94">
        <f t="shared" si="523"/>
        <v>41759</v>
      </c>
    </row>
    <row r="3969" spans="1:36">
      <c r="A3969" s="8">
        <v>41789</v>
      </c>
      <c r="B3969" s="94" t="s">
        <v>189</v>
      </c>
      <c r="C3969" s="358" t="s">
        <v>344</v>
      </c>
      <c r="D3969" s="98">
        <v>184141.42</v>
      </c>
      <c r="E3969" s="95">
        <f t="shared" si="526"/>
        <v>21549.29452039715</v>
      </c>
      <c r="F3969" s="98">
        <v>0.2084</v>
      </c>
      <c r="G3969" s="98">
        <v>0</v>
      </c>
      <c r="H3969" s="98">
        <v>0</v>
      </c>
      <c r="I3969" s="98">
        <v>0</v>
      </c>
      <c r="J3969" s="98"/>
      <c r="K3969" s="93">
        <v>8.5451252163129432</v>
      </c>
      <c r="L3969" s="93">
        <f t="shared" ref="L3969:L4032" si="527">G3969+H3969+I3969</f>
        <v>0</v>
      </c>
      <c r="M3969" s="95">
        <f t="shared" ref="M3969:M4032" ca="1" si="528">IF(A3969&gt;INDIRECT("A"&amp;ROW()-1),I3969/K3969,E3969)</f>
        <v>0</v>
      </c>
      <c r="N3969" s="95">
        <f>IF(P3969="Hedge Fund",IF(A3969=Summary!$AD$3,M3969-E3969,M3969),IF(A3969=Summary!$AD$3,L3969-D3969,L3969))</f>
        <v>0</v>
      </c>
      <c r="O3969" s="95"/>
      <c r="P3969" s="107" t="s">
        <v>155</v>
      </c>
      <c r="Q3969" s="107">
        <v>0</v>
      </c>
      <c r="R3969" s="107">
        <v>0</v>
      </c>
      <c r="S3969" s="107">
        <v>0</v>
      </c>
      <c r="T3969" s="107">
        <v>0</v>
      </c>
      <c r="U3969" s="107"/>
      <c r="V3969" s="107"/>
      <c r="W3969" s="107"/>
      <c r="X3969" s="107"/>
      <c r="Y3969" s="107"/>
      <c r="Z3969" s="107"/>
      <c r="AA3969" s="107"/>
      <c r="AB3969" s="107"/>
      <c r="AC3969" s="355"/>
      <c r="AD3969" s="355"/>
      <c r="AE3969" s="355"/>
      <c r="AF3969" s="94">
        <f t="shared" ref="AF3969:AF4032" si="529">A3969</f>
        <v>41789</v>
      </c>
      <c r="AG3969" s="185">
        <f t="shared" si="525"/>
        <v>7.8957795414937859E-3</v>
      </c>
      <c r="AH3969" s="339" t="str">
        <f>VLOOKUP(B3969,'MF PF'!A:B,2)</f>
        <v>FdMgt1</v>
      </c>
      <c r="AI3969" s="358">
        <f t="shared" ref="AI3969:AI4032" si="530">AF3969-A3969</f>
        <v>0</v>
      </c>
      <c r="AJ3969" s="94">
        <f t="shared" ref="AJ3969:AJ4032" si="531">EOMONTH(A3969,0)</f>
        <v>41790</v>
      </c>
    </row>
    <row r="3970" spans="1:36">
      <c r="A3970" s="8">
        <v>41820</v>
      </c>
      <c r="B3970" s="94" t="s">
        <v>189</v>
      </c>
      <c r="C3970" s="358" t="s">
        <v>344</v>
      </c>
      <c r="D3970" s="98">
        <v>184894.77</v>
      </c>
      <c r="E3970" s="95">
        <f t="shared" si="526"/>
        <v>21637.455896729214</v>
      </c>
      <c r="F3970" s="98">
        <v>0.2084</v>
      </c>
      <c r="G3970" s="98">
        <v>0</v>
      </c>
      <c r="H3970" s="98">
        <v>0</v>
      </c>
      <c r="I3970" s="98">
        <v>0</v>
      </c>
      <c r="J3970" s="98"/>
      <c r="K3970" s="93">
        <v>8.5451252163129432</v>
      </c>
      <c r="L3970" s="93">
        <f t="shared" si="527"/>
        <v>0</v>
      </c>
      <c r="M3970" s="95">
        <f t="shared" ca="1" si="528"/>
        <v>0</v>
      </c>
      <c r="N3970" s="95">
        <f>IF(P3970="Hedge Fund",IF(A3970=Summary!$AD$3,M3970-E3970,M3970),IF(A3970=Summary!$AD$3,L3970-D3970,L3970))</f>
        <v>0</v>
      </c>
      <c r="O3970" s="95"/>
      <c r="P3970" s="107" t="s">
        <v>155</v>
      </c>
      <c r="Q3970" s="107">
        <v>0</v>
      </c>
      <c r="R3970" s="107">
        <v>0</v>
      </c>
      <c r="S3970" s="107">
        <v>0</v>
      </c>
      <c r="T3970" s="107">
        <v>0</v>
      </c>
      <c r="U3970" s="107"/>
      <c r="V3970" s="107"/>
      <c r="W3970" s="107"/>
      <c r="X3970" s="107"/>
      <c r="Y3970" s="107"/>
      <c r="Z3970" s="107"/>
      <c r="AA3970" s="107"/>
      <c r="AB3970" s="107"/>
      <c r="AC3970" s="355"/>
      <c r="AD3970" s="355"/>
      <c r="AE3970" s="355"/>
      <c r="AF3970" s="94">
        <f t="shared" si="529"/>
        <v>41820</v>
      </c>
      <c r="AG3970" s="185">
        <f t="shared" si="525"/>
        <v>4.0911490744448553E-3</v>
      </c>
      <c r="AH3970" s="339" t="str">
        <f>VLOOKUP(B3970,'MF PF'!A:B,2)</f>
        <v>FdMgt1</v>
      </c>
      <c r="AI3970" s="358">
        <f t="shared" si="530"/>
        <v>0</v>
      </c>
      <c r="AJ3970" s="94">
        <f t="shared" si="531"/>
        <v>41820</v>
      </c>
    </row>
    <row r="3971" spans="1:36">
      <c r="A3971" s="8">
        <v>41851</v>
      </c>
      <c r="B3971" s="94" t="s">
        <v>189</v>
      </c>
      <c r="C3971" s="358" t="s">
        <v>344</v>
      </c>
      <c r="D3971" s="98">
        <v>172540.97</v>
      </c>
      <c r="E3971" s="95">
        <f t="shared" si="526"/>
        <v>20191.742734280037</v>
      </c>
      <c r="F3971" s="98">
        <v>0.2084</v>
      </c>
      <c r="G3971" s="98">
        <v>0</v>
      </c>
      <c r="H3971" s="98">
        <v>0</v>
      </c>
      <c r="I3971" s="98">
        <v>-14100.34</v>
      </c>
      <c r="J3971" s="98"/>
      <c r="K3971" s="93">
        <v>8.5451252163129432</v>
      </c>
      <c r="L3971" s="93">
        <f t="shared" si="527"/>
        <v>-14100.34</v>
      </c>
      <c r="M3971" s="95">
        <f t="shared" ca="1" si="528"/>
        <v>-1650.1033797704868</v>
      </c>
      <c r="N3971" s="95">
        <f>IF(P3971="Hedge Fund",IF(A3971=Summary!$AD$3,M3971-E3971,M3971),IF(A3971=Summary!$AD$3,L3971-D3971,L3971))</f>
        <v>-14100.34</v>
      </c>
      <c r="O3971" s="95"/>
      <c r="P3971" s="107" t="s">
        <v>155</v>
      </c>
      <c r="Q3971" s="107">
        <v>0</v>
      </c>
      <c r="R3971" s="107">
        <v>0</v>
      </c>
      <c r="S3971" s="107">
        <v>0</v>
      </c>
      <c r="T3971" s="107">
        <v>0</v>
      </c>
      <c r="U3971" s="107"/>
      <c r="V3971" s="107"/>
      <c r="W3971" s="107"/>
      <c r="X3971" s="107"/>
      <c r="Y3971" s="107"/>
      <c r="Z3971" s="107"/>
      <c r="AA3971" s="107"/>
      <c r="AB3971" s="107"/>
      <c r="AC3971" s="355"/>
      <c r="AD3971" s="355"/>
      <c r="AE3971" s="355"/>
      <c r="AF3971" s="94">
        <f t="shared" si="529"/>
        <v>41851</v>
      </c>
      <c r="AG3971" s="185">
        <f t="shared" si="525"/>
        <v>9.4461298175172459E-3</v>
      </c>
      <c r="AH3971" s="339" t="str">
        <f>VLOOKUP(B3971,'MF PF'!A:B,2)</f>
        <v>FdMgt1</v>
      </c>
      <c r="AI3971" s="358">
        <f t="shared" si="530"/>
        <v>0</v>
      </c>
      <c r="AJ3971" s="94">
        <f t="shared" si="531"/>
        <v>41851</v>
      </c>
    </row>
    <row r="3972" spans="1:36">
      <c r="A3972" s="8">
        <v>41880</v>
      </c>
      <c r="B3972" s="94" t="s">
        <v>189</v>
      </c>
      <c r="C3972" s="358" t="s">
        <v>344</v>
      </c>
      <c r="D3972" s="98">
        <v>123842.33</v>
      </c>
      <c r="E3972" s="95">
        <f t="shared" si="526"/>
        <v>14492.746082126527</v>
      </c>
      <c r="F3972" s="98">
        <v>0.2084</v>
      </c>
      <c r="G3972" s="98">
        <v>0</v>
      </c>
      <c r="H3972" s="98">
        <v>0</v>
      </c>
      <c r="I3972" s="98">
        <v>-50151.46</v>
      </c>
      <c r="J3972" s="98"/>
      <c r="K3972" s="93">
        <v>8.5451252163129432</v>
      </c>
      <c r="L3972" s="93">
        <f t="shared" si="527"/>
        <v>-50151.46</v>
      </c>
      <c r="M3972" s="95">
        <f t="shared" ca="1" si="528"/>
        <v>-5869.0140554358532</v>
      </c>
      <c r="N3972" s="95">
        <f>IF(P3972="Hedge Fund",IF(A3972=Summary!$AD$3,M3972-E3972,M3972),IF(A3972=Summary!$AD$3,L3972-D3972,L3972))</f>
        <v>-50151.46</v>
      </c>
      <c r="O3972" s="95"/>
      <c r="P3972" s="107" t="s">
        <v>155</v>
      </c>
      <c r="Q3972" s="107">
        <v>0</v>
      </c>
      <c r="R3972" s="107">
        <v>0</v>
      </c>
      <c r="S3972" s="107">
        <v>0</v>
      </c>
      <c r="T3972" s="107">
        <v>0</v>
      </c>
      <c r="U3972" s="107"/>
      <c r="V3972" s="107"/>
      <c r="W3972" s="107"/>
      <c r="X3972" s="107"/>
      <c r="Y3972" s="107"/>
      <c r="Z3972" s="107"/>
      <c r="AA3972" s="107"/>
      <c r="AB3972" s="107"/>
      <c r="AC3972" s="355"/>
      <c r="AD3972" s="355"/>
      <c r="AE3972" s="355"/>
      <c r="AF3972" s="94">
        <f t="shared" si="529"/>
        <v>41880</v>
      </c>
      <c r="AG3972" s="185">
        <f t="shared" si="525"/>
        <v>8.4201450820637902E-3</v>
      </c>
      <c r="AH3972" s="339" t="str">
        <f>VLOOKUP(B3972,'MF PF'!A:B,2)</f>
        <v>FdMgt1</v>
      </c>
      <c r="AI3972" s="358">
        <f t="shared" si="530"/>
        <v>0</v>
      </c>
      <c r="AJ3972" s="94">
        <f t="shared" si="531"/>
        <v>41882</v>
      </c>
    </row>
    <row r="3973" spans="1:36">
      <c r="A3973" s="8">
        <v>41912</v>
      </c>
      <c r="B3973" s="94" t="s">
        <v>189</v>
      </c>
      <c r="C3973" s="358" t="s">
        <v>344</v>
      </c>
      <c r="D3973" s="98">
        <v>124729.49</v>
      </c>
      <c r="E3973" s="95">
        <f t="shared" si="526"/>
        <v>14596.566678963</v>
      </c>
      <c r="F3973" s="98">
        <v>0.2084</v>
      </c>
      <c r="G3973" s="98">
        <v>0</v>
      </c>
      <c r="H3973" s="98">
        <v>0</v>
      </c>
      <c r="I3973" s="98">
        <v>0</v>
      </c>
      <c r="J3973" s="98"/>
      <c r="K3973" s="93">
        <v>8.5451252163129432</v>
      </c>
      <c r="L3973" s="93">
        <f t="shared" si="527"/>
        <v>0</v>
      </c>
      <c r="M3973" s="95">
        <f t="shared" ca="1" si="528"/>
        <v>0</v>
      </c>
      <c r="N3973" s="95">
        <f>IF(P3973="Hedge Fund",IF(A3973=Summary!$AD$3,M3973-E3973,M3973),IF(A3973=Summary!$AD$3,L3973-D3973,L3973))</f>
        <v>0</v>
      </c>
      <c r="O3973" s="95"/>
      <c r="P3973" s="107" t="s">
        <v>155</v>
      </c>
      <c r="Q3973" s="107">
        <v>0</v>
      </c>
      <c r="R3973" s="107">
        <v>0</v>
      </c>
      <c r="S3973" s="107">
        <v>0</v>
      </c>
      <c r="T3973" s="107">
        <v>0</v>
      </c>
      <c r="U3973" s="107"/>
      <c r="V3973" s="107"/>
      <c r="W3973" s="107"/>
      <c r="X3973" s="107"/>
      <c r="Y3973" s="107"/>
      <c r="Z3973" s="107"/>
      <c r="AA3973" s="107"/>
      <c r="AB3973" s="107"/>
      <c r="AC3973" s="355"/>
      <c r="AD3973" s="355"/>
      <c r="AE3973" s="355"/>
      <c r="AF3973" s="94">
        <f t="shared" si="529"/>
        <v>41912</v>
      </c>
      <c r="AG3973" s="185">
        <f t="shared" si="525"/>
        <v>7.1636249091890924E-3</v>
      </c>
      <c r="AH3973" s="339" t="str">
        <f>VLOOKUP(B3973,'MF PF'!A:B,2)</f>
        <v>FdMgt1</v>
      </c>
      <c r="AI3973" s="358">
        <f t="shared" si="530"/>
        <v>0</v>
      </c>
      <c r="AJ3973" s="94">
        <f t="shared" si="531"/>
        <v>41912</v>
      </c>
    </row>
    <row r="3974" spans="1:36">
      <c r="A3974" s="94">
        <v>41943</v>
      </c>
      <c r="B3974" s="94" t="s">
        <v>189</v>
      </c>
      <c r="C3974" s="358" t="s">
        <v>344</v>
      </c>
      <c r="D3974" s="98">
        <v>97475.71</v>
      </c>
      <c r="E3974" s="95">
        <f t="shared" si="526"/>
        <v>11407.171636749741</v>
      </c>
      <c r="F3974" s="98">
        <v>0.2084</v>
      </c>
      <c r="G3974" s="98">
        <v>0</v>
      </c>
      <c r="H3974" s="98">
        <v>0</v>
      </c>
      <c r="I3974" s="98">
        <v>-24643.3</v>
      </c>
      <c r="J3974" s="98"/>
      <c r="K3974" s="93">
        <v>8.5451252163129432</v>
      </c>
      <c r="L3974" s="93">
        <f t="shared" si="527"/>
        <v>-24643.3</v>
      </c>
      <c r="M3974" s="95">
        <f t="shared" ca="1" si="528"/>
        <v>-2883.9015668202355</v>
      </c>
      <c r="N3974" s="95">
        <f>IF(P3974="Hedge Fund",IF(A3974=Summary!$AD$3,M3974-E3974,M3974),IF(A3974=Summary!$AD$3,L3974-D3974,L3974))</f>
        <v>-24643.3</v>
      </c>
      <c r="O3974" s="95"/>
      <c r="P3974" s="107" t="s">
        <v>155</v>
      </c>
      <c r="Q3974" s="107">
        <v>0</v>
      </c>
      <c r="R3974" s="107">
        <v>0</v>
      </c>
      <c r="S3974" s="107">
        <v>0</v>
      </c>
      <c r="T3974" s="107">
        <v>0</v>
      </c>
      <c r="U3974" s="107"/>
      <c r="V3974" s="107"/>
      <c r="W3974" s="107"/>
      <c r="X3974" s="107"/>
      <c r="Y3974" s="107"/>
      <c r="Z3974" s="107"/>
      <c r="AA3974" s="107"/>
      <c r="AB3974" s="107"/>
      <c r="AC3974" s="355"/>
      <c r="AD3974" s="355"/>
      <c r="AE3974" s="355"/>
      <c r="AF3974" s="94">
        <f t="shared" si="529"/>
        <v>41943</v>
      </c>
      <c r="AG3974" s="185">
        <f t="shared" si="525"/>
        <v>-2.0929132316663823E-2</v>
      </c>
      <c r="AH3974" s="339" t="str">
        <f>VLOOKUP(B3974,'MF PF'!A:B,2)</f>
        <v>FdMgt1</v>
      </c>
      <c r="AI3974" s="358">
        <f t="shared" si="530"/>
        <v>0</v>
      </c>
      <c r="AJ3974" s="94">
        <f t="shared" si="531"/>
        <v>41943</v>
      </c>
    </row>
    <row r="3975" spans="1:36">
      <c r="A3975" s="8">
        <v>41971</v>
      </c>
      <c r="B3975" s="94" t="s">
        <v>189</v>
      </c>
      <c r="C3975" s="358" t="s">
        <v>344</v>
      </c>
      <c r="D3975" s="98">
        <v>94214.06</v>
      </c>
      <c r="E3975" s="95">
        <f t="shared" si="526"/>
        <v>11025.474479899025</v>
      </c>
      <c r="F3975" s="98">
        <v>0.2084</v>
      </c>
      <c r="G3975" s="98">
        <v>0</v>
      </c>
      <c r="H3975" s="98">
        <v>0</v>
      </c>
      <c r="I3975" s="98">
        <v>0</v>
      </c>
      <c r="J3975" s="98"/>
      <c r="K3975" s="93">
        <v>8.5451252163129432</v>
      </c>
      <c r="L3975" s="93">
        <f t="shared" si="527"/>
        <v>0</v>
      </c>
      <c r="M3975" s="95">
        <f t="shared" ca="1" si="528"/>
        <v>0</v>
      </c>
      <c r="N3975" s="95">
        <f>IF(P3975="Hedge Fund",IF(A3975=Summary!$AD$3,M3975-E3975,M3975),IF(A3975=Summary!$AD$3,L3975-D3975,L3975))</f>
        <v>0</v>
      </c>
      <c r="O3975" s="95"/>
      <c r="P3975" s="107" t="s">
        <v>155</v>
      </c>
      <c r="Q3975" s="107">
        <v>0</v>
      </c>
      <c r="R3975" s="107">
        <v>0</v>
      </c>
      <c r="S3975" s="107">
        <v>0</v>
      </c>
      <c r="T3975" s="107">
        <v>0</v>
      </c>
      <c r="U3975" s="107"/>
      <c r="V3975" s="107"/>
      <c r="W3975" s="107"/>
      <c r="X3975" s="107"/>
      <c r="Y3975" s="107"/>
      <c r="Z3975" s="107"/>
      <c r="AA3975" s="107"/>
      <c r="AB3975" s="107"/>
      <c r="AC3975" s="355"/>
      <c r="AD3975" s="355"/>
      <c r="AE3975" s="355"/>
      <c r="AF3975" s="94">
        <f t="shared" si="529"/>
        <v>41971</v>
      </c>
      <c r="AG3975" s="185">
        <f t="shared" si="525"/>
        <v>-3.3461156630713473E-2</v>
      </c>
      <c r="AH3975" s="339" t="str">
        <f>VLOOKUP(B3975,'MF PF'!A:B,2)</f>
        <v>FdMgt1</v>
      </c>
      <c r="AI3975" s="358">
        <f t="shared" si="530"/>
        <v>0</v>
      </c>
      <c r="AJ3975" s="94">
        <f t="shared" si="531"/>
        <v>41973</v>
      </c>
    </row>
    <row r="3976" spans="1:36">
      <c r="A3976" s="8">
        <v>42004</v>
      </c>
      <c r="B3976" s="94" t="s">
        <v>189</v>
      </c>
      <c r="C3976" s="358" t="s">
        <v>344</v>
      </c>
      <c r="D3976" s="98">
        <v>80873.47</v>
      </c>
      <c r="E3976" s="95">
        <f t="shared" si="526"/>
        <v>9464.2814414948207</v>
      </c>
      <c r="F3976" s="98">
        <v>0.2084</v>
      </c>
      <c r="G3976" s="98">
        <v>0</v>
      </c>
      <c r="H3976" s="98">
        <v>0</v>
      </c>
      <c r="I3976" s="98">
        <v>-11983</v>
      </c>
      <c r="J3976" s="98"/>
      <c r="K3976" s="93">
        <v>8.5451252163129432</v>
      </c>
      <c r="L3976" s="93">
        <f t="shared" si="527"/>
        <v>-11983</v>
      </c>
      <c r="M3976" s="95">
        <f t="shared" ca="1" si="528"/>
        <v>-1402.3200007793957</v>
      </c>
      <c r="N3976" s="95">
        <f>IF(P3976="Hedge Fund",IF(A3976=Summary!$AD$3,M3976-E3976,M3976),IF(A3976=Summary!$AD$3,L3976-D3976,L3976))</f>
        <v>-11983</v>
      </c>
      <c r="O3976" s="95"/>
      <c r="P3976" s="107" t="s">
        <v>155</v>
      </c>
      <c r="Q3976" s="107">
        <v>0</v>
      </c>
      <c r="R3976" s="107">
        <v>0</v>
      </c>
      <c r="S3976" s="107">
        <v>0</v>
      </c>
      <c r="T3976" s="107">
        <v>0</v>
      </c>
      <c r="U3976" s="107"/>
      <c r="V3976" s="107"/>
      <c r="W3976" s="107"/>
      <c r="X3976" s="107"/>
      <c r="Y3976" s="107"/>
      <c r="Z3976" s="107"/>
      <c r="AA3976" s="107"/>
      <c r="AB3976" s="107"/>
      <c r="AC3976" s="355"/>
      <c r="AD3976" s="355"/>
      <c r="AE3976" s="355"/>
      <c r="AF3976" s="94">
        <f t="shared" si="529"/>
        <v>42004</v>
      </c>
      <c r="AG3976" s="185">
        <f t="shared" si="525"/>
        <v>-1.4409632702380049E-2</v>
      </c>
      <c r="AH3976" s="339" t="str">
        <f>VLOOKUP(B3976,'MF PF'!A:B,2)</f>
        <v>FdMgt1</v>
      </c>
      <c r="AI3976" s="358">
        <f t="shared" si="530"/>
        <v>0</v>
      </c>
      <c r="AJ3976" s="94">
        <f t="shared" si="531"/>
        <v>42004</v>
      </c>
    </row>
    <row r="3977" spans="1:36">
      <c r="A3977" s="8">
        <v>42034</v>
      </c>
      <c r="B3977" s="94" t="s">
        <v>189</v>
      </c>
      <c r="C3977" s="358" t="s">
        <v>344</v>
      </c>
      <c r="D3977" s="98">
        <v>82195.399999999994</v>
      </c>
      <c r="E3977" s="9">
        <f t="shared" si="526"/>
        <v>9618.9813395696183</v>
      </c>
      <c r="F3977" s="98">
        <v>0.2084</v>
      </c>
      <c r="G3977" s="98">
        <v>0</v>
      </c>
      <c r="H3977" s="98">
        <v>0</v>
      </c>
      <c r="I3977" s="98">
        <v>0</v>
      </c>
      <c r="J3977" s="98"/>
      <c r="K3977" s="93">
        <v>8.5451252163129432</v>
      </c>
      <c r="L3977" s="93">
        <f t="shared" si="527"/>
        <v>0</v>
      </c>
      <c r="M3977" s="95">
        <f t="shared" ca="1" si="528"/>
        <v>0</v>
      </c>
      <c r="N3977" s="95">
        <f>IF(P3977="Hedge Fund",IF(A3977=Summary!$AD$3,M3977-E3977,M3977),IF(A3977=Summary!$AD$3,L3977-D3977,L3977))</f>
        <v>0</v>
      </c>
      <c r="O3977" s="95"/>
      <c r="P3977" s="107" t="s">
        <v>155</v>
      </c>
      <c r="Q3977" s="107">
        <v>0</v>
      </c>
      <c r="R3977" s="107">
        <v>0</v>
      </c>
      <c r="S3977" s="107">
        <v>0</v>
      </c>
      <c r="T3977" s="107">
        <v>0</v>
      </c>
      <c r="U3977" s="107"/>
      <c r="V3977" s="107"/>
      <c r="W3977" s="107"/>
      <c r="X3977" s="107"/>
      <c r="Y3977" s="107"/>
      <c r="Z3977" s="107"/>
      <c r="AA3977" s="107"/>
      <c r="AB3977" s="107"/>
      <c r="AC3977" s="355"/>
      <c r="AD3977" s="355"/>
      <c r="AE3977" s="355"/>
      <c r="AF3977" s="94">
        <f t="shared" si="529"/>
        <v>42034</v>
      </c>
      <c r="AG3977" s="185">
        <f t="shared" si="525"/>
        <v>1.6345656987390322E-2</v>
      </c>
      <c r="AH3977" s="339" t="str">
        <f>VLOOKUP(B3977,'MF PF'!A:B,2)</f>
        <v>FdMgt1</v>
      </c>
      <c r="AI3977" s="358">
        <f t="shared" si="530"/>
        <v>0</v>
      </c>
      <c r="AJ3977" s="94">
        <f t="shared" si="531"/>
        <v>42035</v>
      </c>
    </row>
    <row r="3978" spans="1:36">
      <c r="A3978" s="8">
        <v>42062</v>
      </c>
      <c r="B3978" s="94" t="s">
        <v>189</v>
      </c>
      <c r="C3978" s="358" t="s">
        <v>344</v>
      </c>
      <c r="D3978" s="98">
        <v>84106.42</v>
      </c>
      <c r="E3978" s="9">
        <f t="shared" si="526"/>
        <v>9842.6199582702302</v>
      </c>
      <c r="F3978" s="98">
        <v>0.2084</v>
      </c>
      <c r="G3978" s="98">
        <v>0</v>
      </c>
      <c r="H3978" s="98">
        <v>0</v>
      </c>
      <c r="I3978" s="98">
        <v>0</v>
      </c>
      <c r="J3978" s="98"/>
      <c r="K3978" s="93">
        <v>8.5451252163129432</v>
      </c>
      <c r="L3978" s="93">
        <f t="shared" si="527"/>
        <v>0</v>
      </c>
      <c r="M3978" s="95">
        <f t="shared" ca="1" si="528"/>
        <v>0</v>
      </c>
      <c r="N3978" s="95">
        <f>IF(P3978="Hedge Fund",IF(A3978=Summary!$AD$3,M3978-E3978,M3978),IF(A3978=Summary!$AD$3,L3978-D3978,L3978))</f>
        <v>0</v>
      </c>
      <c r="O3978" s="95"/>
      <c r="P3978" s="107" t="s">
        <v>155</v>
      </c>
      <c r="Q3978" s="107">
        <v>0</v>
      </c>
      <c r="R3978" s="107">
        <v>0</v>
      </c>
      <c r="S3978" s="107">
        <v>0</v>
      </c>
      <c r="T3978" s="107">
        <v>0</v>
      </c>
      <c r="U3978" s="107"/>
      <c r="V3978" s="107"/>
      <c r="W3978" s="107"/>
      <c r="X3978" s="107"/>
      <c r="Y3978" s="107"/>
      <c r="Z3978" s="107"/>
      <c r="AA3978" s="107"/>
      <c r="AB3978" s="107"/>
      <c r="AC3978" s="355"/>
      <c r="AD3978" s="355"/>
      <c r="AE3978" s="355"/>
      <c r="AF3978" s="94">
        <f t="shared" si="529"/>
        <v>42062</v>
      </c>
      <c r="AG3978" s="185">
        <f t="shared" si="525"/>
        <v>2.324971957068156E-2</v>
      </c>
      <c r="AH3978" s="339" t="str">
        <f>VLOOKUP(B3978,'MF PF'!A:B,2)</f>
        <v>FdMgt1</v>
      </c>
      <c r="AI3978" s="358">
        <f t="shared" si="530"/>
        <v>0</v>
      </c>
      <c r="AJ3978" s="94">
        <f t="shared" si="531"/>
        <v>42063</v>
      </c>
    </row>
    <row r="3979" spans="1:36">
      <c r="A3979" s="8">
        <v>42094</v>
      </c>
      <c r="B3979" s="94" t="s">
        <v>189</v>
      </c>
      <c r="C3979" s="358" t="s">
        <v>344</v>
      </c>
      <c r="D3979" s="98">
        <v>83496.98</v>
      </c>
      <c r="E3979" s="9">
        <f t="shared" ref="E3979:E4010" si="532">D3979/K3979</f>
        <v>9771.299762887189</v>
      </c>
      <c r="F3979" s="98">
        <v>0.2084</v>
      </c>
      <c r="G3979" s="98">
        <v>0</v>
      </c>
      <c r="H3979" s="98">
        <v>0</v>
      </c>
      <c r="I3979" s="98">
        <v>0</v>
      </c>
      <c r="J3979" s="98"/>
      <c r="K3979" s="93">
        <v>8.5451252163129432</v>
      </c>
      <c r="L3979" s="93">
        <f t="shared" si="527"/>
        <v>0</v>
      </c>
      <c r="M3979" s="95">
        <f t="shared" ca="1" si="528"/>
        <v>0</v>
      </c>
      <c r="N3979" s="95">
        <f>IF(P3979="Hedge Fund",IF(A3979=Summary!$AD$3,M3979-E3979,M3979),IF(A3979=Summary!$AD$3,L3979-D3979,L3979))</f>
        <v>0</v>
      </c>
      <c r="O3979" s="95"/>
      <c r="P3979" s="107" t="s">
        <v>155</v>
      </c>
      <c r="Q3979" s="107">
        <v>0</v>
      </c>
      <c r="R3979" s="107">
        <v>0</v>
      </c>
      <c r="S3979" s="107">
        <v>0</v>
      </c>
      <c r="T3979" s="107">
        <v>0</v>
      </c>
      <c r="U3979" s="107"/>
      <c r="V3979" s="107"/>
      <c r="W3979" s="107"/>
      <c r="X3979" s="107"/>
      <c r="Y3979" s="107"/>
      <c r="Z3979" s="107"/>
      <c r="AA3979" s="107"/>
      <c r="AB3979" s="107"/>
      <c r="AC3979" s="355"/>
      <c r="AD3979" s="355"/>
      <c r="AE3979" s="355"/>
      <c r="AF3979" s="94">
        <f t="shared" si="529"/>
        <v>42094</v>
      </c>
      <c r="AG3979" s="185">
        <f t="shared" si="525"/>
        <v>-7.24605802981515E-3</v>
      </c>
      <c r="AH3979" s="339" t="str">
        <f>VLOOKUP(B3979,'MF PF'!A:B,2)</f>
        <v>FdMgt1</v>
      </c>
      <c r="AI3979" s="358">
        <f t="shared" si="530"/>
        <v>0</v>
      </c>
      <c r="AJ3979" s="94">
        <f t="shared" si="531"/>
        <v>42094</v>
      </c>
    </row>
    <row r="3980" spans="1:36">
      <c r="A3980" s="8">
        <v>42124</v>
      </c>
      <c r="B3980" s="94" t="s">
        <v>189</v>
      </c>
      <c r="C3980" s="358" t="s">
        <v>344</v>
      </c>
      <c r="D3980" s="98">
        <v>78461.820000000007</v>
      </c>
      <c r="E3980" s="9">
        <f t="shared" si="532"/>
        <v>9182.0562032506732</v>
      </c>
      <c r="F3980" s="98">
        <v>0.2084</v>
      </c>
      <c r="G3980" s="98">
        <v>0</v>
      </c>
      <c r="H3980" s="98">
        <v>0</v>
      </c>
      <c r="I3980" s="98">
        <v>-7742.06</v>
      </c>
      <c r="J3980" s="98"/>
      <c r="K3980" s="93">
        <v>8.5451252163129432</v>
      </c>
      <c r="L3980" s="93">
        <f t="shared" si="527"/>
        <v>-7742.06</v>
      </c>
      <c r="M3980" s="95">
        <f t="shared" ca="1" si="528"/>
        <v>-906.02066137312261</v>
      </c>
      <c r="N3980" s="95">
        <f>IF(P3980="Hedge Fund",IF(A3980=Summary!$AD$3,M3980-E3980,M3980),IF(A3980=Summary!$AD$3,L3980-D3980,L3980))</f>
        <v>-7742.06</v>
      </c>
      <c r="O3980" s="95"/>
      <c r="P3980" s="107" t="s">
        <v>155</v>
      </c>
      <c r="Q3980" s="107">
        <v>0</v>
      </c>
      <c r="R3980" s="107">
        <v>0</v>
      </c>
      <c r="S3980" s="107">
        <v>0</v>
      </c>
      <c r="T3980" s="107">
        <v>0</v>
      </c>
      <c r="U3980" s="107"/>
      <c r="V3980" s="107"/>
      <c r="W3980" s="107"/>
      <c r="X3980" s="107"/>
      <c r="Y3980" s="107"/>
      <c r="Z3980" s="107"/>
      <c r="AA3980" s="107"/>
      <c r="AB3980" s="107"/>
      <c r="AC3980" s="355"/>
      <c r="AD3980" s="355"/>
      <c r="AE3980" s="355"/>
      <c r="AF3980" s="94">
        <f t="shared" si="529"/>
        <v>42124</v>
      </c>
      <c r="AG3980" s="185">
        <f t="shared" si="525"/>
        <v>3.2419136596317788E-2</v>
      </c>
      <c r="AH3980" s="339" t="str">
        <f>VLOOKUP(B3980,'MF PF'!A:B,2)</f>
        <v>FdMgt1</v>
      </c>
      <c r="AI3980" s="358">
        <f t="shared" si="530"/>
        <v>0</v>
      </c>
      <c r="AJ3980" s="94">
        <f t="shared" si="531"/>
        <v>42124</v>
      </c>
    </row>
    <row r="3981" spans="1:36">
      <c r="A3981" s="8">
        <v>42153</v>
      </c>
      <c r="B3981" s="94" t="s">
        <v>189</v>
      </c>
      <c r="C3981" s="358" t="s">
        <v>344</v>
      </c>
      <c r="D3981" s="98">
        <v>78717.03</v>
      </c>
      <c r="E3981" s="9">
        <f t="shared" si="532"/>
        <v>9211.9223542478267</v>
      </c>
      <c r="F3981" s="98">
        <v>0.2084</v>
      </c>
      <c r="G3981" s="98">
        <v>0</v>
      </c>
      <c r="H3981" s="98">
        <v>0</v>
      </c>
      <c r="I3981" s="98">
        <v>0</v>
      </c>
      <c r="J3981" s="98"/>
      <c r="K3981" s="93">
        <v>8.5451252163129432</v>
      </c>
      <c r="L3981" s="93">
        <f t="shared" si="527"/>
        <v>0</v>
      </c>
      <c r="M3981" s="95">
        <f t="shared" ca="1" si="528"/>
        <v>0</v>
      </c>
      <c r="N3981" s="95">
        <f>IF(P3981="Hedge Fund",IF(A3981=Summary!$AD$3,M3981-E3981,M3981),IF(A3981=Summary!$AD$3,L3981-D3981,L3981))</f>
        <v>0</v>
      </c>
      <c r="O3981" s="95"/>
      <c r="P3981" s="107" t="s">
        <v>155</v>
      </c>
      <c r="Q3981" s="107">
        <v>0</v>
      </c>
      <c r="R3981" s="107">
        <v>0</v>
      </c>
      <c r="S3981" s="107">
        <v>0</v>
      </c>
      <c r="T3981" s="107">
        <v>0</v>
      </c>
      <c r="U3981" s="107"/>
      <c r="V3981" s="107"/>
      <c r="W3981" s="107"/>
      <c r="X3981" s="107"/>
      <c r="Y3981" s="107"/>
      <c r="Z3981" s="107"/>
      <c r="AA3981" s="107"/>
      <c r="AB3981" s="107"/>
      <c r="AC3981" s="355"/>
      <c r="AD3981" s="355"/>
      <c r="AE3981" s="355"/>
      <c r="AF3981" s="94">
        <f t="shared" si="529"/>
        <v>42153</v>
      </c>
      <c r="AG3981" s="185">
        <f t="shared" si="525"/>
        <v>3.252664799261451E-3</v>
      </c>
      <c r="AH3981" s="339" t="str">
        <f>VLOOKUP(B3981,'MF PF'!A:B,2)</f>
        <v>FdMgt1</v>
      </c>
      <c r="AI3981" s="358">
        <f t="shared" si="530"/>
        <v>0</v>
      </c>
      <c r="AJ3981" s="94">
        <f t="shared" si="531"/>
        <v>42155</v>
      </c>
    </row>
    <row r="3982" spans="1:36">
      <c r="A3982" s="94">
        <v>42185</v>
      </c>
      <c r="B3982" s="94" t="s">
        <v>189</v>
      </c>
      <c r="C3982" s="358" t="s">
        <v>344</v>
      </c>
      <c r="D3982" s="98">
        <v>79792.2</v>
      </c>
      <c r="E3982" s="9">
        <f t="shared" si="532"/>
        <v>9337.7449692222053</v>
      </c>
      <c r="F3982" s="98">
        <v>0.2084</v>
      </c>
      <c r="G3982" s="98">
        <v>0</v>
      </c>
      <c r="H3982" s="98">
        <v>0</v>
      </c>
      <c r="I3982" s="98">
        <v>0</v>
      </c>
      <c r="J3982" s="98"/>
      <c r="K3982" s="93">
        <v>8.5451252163129432</v>
      </c>
      <c r="L3982" s="93">
        <f t="shared" si="527"/>
        <v>0</v>
      </c>
      <c r="M3982" s="95">
        <f t="shared" ca="1" si="528"/>
        <v>0</v>
      </c>
      <c r="N3982" s="95">
        <f>IF(P3982="Hedge Fund",IF(A3982=Summary!$AD$3,M3982-E3982,M3982),IF(A3982=Summary!$AD$3,L3982-D3982,L3982))</f>
        <v>0</v>
      </c>
      <c r="O3982" s="95"/>
      <c r="P3982" s="107" t="s">
        <v>155</v>
      </c>
      <c r="Q3982" s="107">
        <v>0</v>
      </c>
      <c r="R3982" s="107">
        <v>0</v>
      </c>
      <c r="S3982" s="107">
        <v>0</v>
      </c>
      <c r="T3982" s="107">
        <v>0</v>
      </c>
      <c r="U3982" s="107"/>
      <c r="V3982" s="107"/>
      <c r="W3982" s="107"/>
      <c r="X3982" s="107"/>
      <c r="Y3982" s="107"/>
      <c r="Z3982" s="107"/>
      <c r="AA3982" s="107"/>
      <c r="AB3982" s="107"/>
      <c r="AC3982" s="355"/>
      <c r="AD3982" s="355"/>
      <c r="AE3982" s="355"/>
      <c r="AF3982" s="94">
        <f t="shared" si="529"/>
        <v>42185</v>
      </c>
      <c r="AG3982" s="185">
        <f t="shared" si="525"/>
        <v>1.3658670811131923E-2</v>
      </c>
      <c r="AH3982" s="339" t="str">
        <f>VLOOKUP(B3982,'MF PF'!A:B,2)</f>
        <v>FdMgt1</v>
      </c>
      <c r="AI3982" s="358">
        <f t="shared" si="530"/>
        <v>0</v>
      </c>
      <c r="AJ3982" s="94">
        <f t="shared" si="531"/>
        <v>42185</v>
      </c>
    </row>
    <row r="3983" spans="1:36">
      <c r="A3983" s="8">
        <v>42216</v>
      </c>
      <c r="B3983" s="94" t="s">
        <v>189</v>
      </c>
      <c r="C3983" s="358" t="s">
        <v>344</v>
      </c>
      <c r="D3983" s="98">
        <v>69273</v>
      </c>
      <c r="E3983" s="9">
        <f t="shared" si="532"/>
        <v>8106.727314861977</v>
      </c>
      <c r="F3983" s="98">
        <v>0.2084</v>
      </c>
      <c r="G3983" s="98">
        <v>0</v>
      </c>
      <c r="H3983" s="98">
        <v>0</v>
      </c>
      <c r="I3983" s="98">
        <v>-8092.1699999999992</v>
      </c>
      <c r="J3983" s="98"/>
      <c r="K3983" s="93">
        <v>8.5451252163129432</v>
      </c>
      <c r="L3983" s="93">
        <f t="shared" si="527"/>
        <v>-8092.1699999999992</v>
      </c>
      <c r="M3983" s="95">
        <f t="shared" ca="1" si="528"/>
        <v>-946.9925595182342</v>
      </c>
      <c r="N3983" s="95">
        <f>IF(P3983="Hedge Fund",IF(A3983=Summary!$AD$3,M3983-E3983,M3983),IF(A3983=Summary!$AD$3,L3983-D3983,L3983))</f>
        <v>-8092.1699999999992</v>
      </c>
      <c r="O3983" s="95"/>
      <c r="P3983" s="107" t="s">
        <v>155</v>
      </c>
      <c r="Q3983" s="107">
        <v>0</v>
      </c>
      <c r="R3983" s="107">
        <v>0</v>
      </c>
      <c r="S3983" s="107">
        <v>0</v>
      </c>
      <c r="T3983" s="107">
        <v>0</v>
      </c>
      <c r="U3983" s="107"/>
      <c r="V3983" s="107"/>
      <c r="W3983" s="107"/>
      <c r="X3983" s="107"/>
      <c r="Y3983" s="107"/>
      <c r="Z3983" s="107"/>
      <c r="AA3983" s="107"/>
      <c r="AB3983" s="107"/>
      <c r="AC3983" s="355"/>
      <c r="AD3983" s="355"/>
      <c r="AE3983" s="355"/>
      <c r="AF3983" s="94">
        <f t="shared" si="529"/>
        <v>42216</v>
      </c>
      <c r="AG3983" s="185">
        <f t="shared" si="525"/>
        <v>-3.0416882853211202E-2</v>
      </c>
      <c r="AH3983" s="339" t="str">
        <f>VLOOKUP(B3983,'MF PF'!A:B,2)</f>
        <v>FdMgt1</v>
      </c>
      <c r="AI3983" s="358">
        <f t="shared" si="530"/>
        <v>0</v>
      </c>
      <c r="AJ3983" s="94">
        <f t="shared" si="531"/>
        <v>42216</v>
      </c>
    </row>
    <row r="3984" spans="1:36">
      <c r="A3984" s="8">
        <v>42247</v>
      </c>
      <c r="B3984" s="94" t="s">
        <v>189</v>
      </c>
      <c r="C3984" s="358" t="s">
        <v>344</v>
      </c>
      <c r="D3984" s="98">
        <v>67221.3</v>
      </c>
      <c r="E3984" s="9">
        <f t="shared" si="532"/>
        <v>7866.6255085030452</v>
      </c>
      <c r="F3984" s="98">
        <v>0.2084</v>
      </c>
      <c r="G3984" s="98">
        <v>0</v>
      </c>
      <c r="H3984" s="98">
        <v>0</v>
      </c>
      <c r="I3984" s="98">
        <v>0</v>
      </c>
      <c r="J3984" s="98"/>
      <c r="K3984" s="93">
        <v>8.5451252163129432</v>
      </c>
      <c r="L3984" s="93">
        <f t="shared" si="527"/>
        <v>0</v>
      </c>
      <c r="M3984" s="95">
        <f t="shared" ca="1" si="528"/>
        <v>0</v>
      </c>
      <c r="N3984" s="95">
        <f>IF(P3984="Hedge Fund",IF(A3984=Summary!$AD$3,M3984-E3984,M3984),IF(A3984=Summary!$AD$3,L3984-D3984,L3984))</f>
        <v>0</v>
      </c>
      <c r="O3984" s="95"/>
      <c r="P3984" s="107" t="s">
        <v>155</v>
      </c>
      <c r="Q3984" s="107">
        <v>0</v>
      </c>
      <c r="R3984" s="107">
        <v>0</v>
      </c>
      <c r="S3984" s="107">
        <v>0</v>
      </c>
      <c r="T3984" s="107">
        <v>0</v>
      </c>
      <c r="U3984" s="107"/>
      <c r="V3984" s="107"/>
      <c r="W3984" s="107"/>
      <c r="X3984" s="107"/>
      <c r="Y3984" s="107"/>
      <c r="Z3984" s="107"/>
      <c r="AA3984" s="107"/>
      <c r="AB3984" s="107"/>
      <c r="AC3984" s="355"/>
      <c r="AD3984" s="355"/>
      <c r="AE3984" s="355"/>
      <c r="AF3984" s="94">
        <f t="shared" si="529"/>
        <v>42247</v>
      </c>
      <c r="AG3984" s="185">
        <f t="shared" si="525"/>
        <v>-2.9617599930708893E-2</v>
      </c>
      <c r="AH3984" s="339" t="str">
        <f>VLOOKUP(B3984,'MF PF'!A:B,2)</f>
        <v>FdMgt1</v>
      </c>
      <c r="AI3984" s="358">
        <f t="shared" si="530"/>
        <v>0</v>
      </c>
      <c r="AJ3984" s="94">
        <f t="shared" si="531"/>
        <v>42247</v>
      </c>
    </row>
    <row r="3985" spans="1:36">
      <c r="A3985" s="8">
        <v>42277</v>
      </c>
      <c r="B3985" s="94" t="s">
        <v>189</v>
      </c>
      <c r="C3985" s="358" t="s">
        <v>344</v>
      </c>
      <c r="D3985" s="98">
        <v>63800.04</v>
      </c>
      <c r="E3985" s="9">
        <f t="shared" si="532"/>
        <v>7466.2498658537488</v>
      </c>
      <c r="F3985" s="98">
        <v>0.2084</v>
      </c>
      <c r="G3985" s="98">
        <v>0</v>
      </c>
      <c r="H3985" s="98">
        <v>0</v>
      </c>
      <c r="I3985" s="98">
        <v>-2243.63</v>
      </c>
      <c r="J3985" s="98"/>
      <c r="K3985" s="93">
        <v>8.5451252163129432</v>
      </c>
      <c r="L3985" s="93">
        <f t="shared" si="527"/>
        <v>-2243.63</v>
      </c>
      <c r="M3985" s="95">
        <f t="shared" ca="1" si="528"/>
        <v>-262.56256558029503</v>
      </c>
      <c r="N3985" s="95">
        <f>IF(P3985="Hedge Fund",IF(A3985=Summary!$AD$3,M3985-E3985,M3985),IF(A3985=Summary!$AD$3,L3985-D3985,L3985))</f>
        <v>-2243.63</v>
      </c>
      <c r="O3985" s="95"/>
      <c r="P3985" s="107" t="s">
        <v>155</v>
      </c>
      <c r="Q3985" s="107">
        <v>0</v>
      </c>
      <c r="R3985" s="107">
        <v>0</v>
      </c>
      <c r="S3985" s="107">
        <v>0</v>
      </c>
      <c r="T3985" s="107">
        <v>0</v>
      </c>
      <c r="U3985" s="107"/>
      <c r="V3985" s="107"/>
      <c r="W3985" s="107"/>
      <c r="X3985" s="107"/>
      <c r="Y3985" s="107"/>
      <c r="Z3985" s="107"/>
      <c r="AA3985" s="107"/>
      <c r="AB3985" s="107"/>
      <c r="AC3985" s="355"/>
      <c r="AD3985" s="355"/>
      <c r="AE3985" s="355"/>
      <c r="AF3985" s="94">
        <f t="shared" si="529"/>
        <v>42277</v>
      </c>
      <c r="AG3985" s="185">
        <f t="shared" si="525"/>
        <v>-1.7518703149150716E-2</v>
      </c>
      <c r="AH3985" s="339" t="str">
        <f>VLOOKUP(B3985,'MF PF'!A:B,2)</f>
        <v>FdMgt1</v>
      </c>
      <c r="AI3985" s="358">
        <f t="shared" si="530"/>
        <v>0</v>
      </c>
      <c r="AJ3985" s="94">
        <f t="shared" si="531"/>
        <v>42277</v>
      </c>
    </row>
    <row r="3986" spans="1:36">
      <c r="A3986" s="8">
        <v>42307</v>
      </c>
      <c r="B3986" s="94" t="s">
        <v>189</v>
      </c>
      <c r="C3986" s="358" t="s">
        <v>344</v>
      </c>
      <c r="D3986" s="98">
        <v>64917.710000000006</v>
      </c>
      <c r="E3986" s="9">
        <f t="shared" si="532"/>
        <v>7597.0460767584573</v>
      </c>
      <c r="F3986" s="98">
        <v>0.2084</v>
      </c>
      <c r="G3986" s="98">
        <v>0</v>
      </c>
      <c r="H3986" s="98">
        <v>0</v>
      </c>
      <c r="I3986" s="98">
        <v>0</v>
      </c>
      <c r="J3986" s="98"/>
      <c r="K3986" s="93">
        <v>8.5451252163129432</v>
      </c>
      <c r="L3986" s="93">
        <f t="shared" si="527"/>
        <v>0</v>
      </c>
      <c r="M3986" s="95">
        <f t="shared" ca="1" si="528"/>
        <v>0</v>
      </c>
      <c r="N3986" s="95">
        <f>IF(P3986="Hedge Fund",IF(A3986=Summary!$AD$3,M3986-E3986,M3986),IF(A3986=Summary!$AD$3,L3986-D3986,L3986))</f>
        <v>0</v>
      </c>
      <c r="O3986" s="95"/>
      <c r="P3986" s="107" t="s">
        <v>155</v>
      </c>
      <c r="Q3986" s="107">
        <v>0</v>
      </c>
      <c r="R3986" s="107">
        <v>0</v>
      </c>
      <c r="S3986" s="107">
        <v>0</v>
      </c>
      <c r="T3986" s="107">
        <v>0</v>
      </c>
      <c r="U3986" s="107"/>
      <c r="V3986" s="107"/>
      <c r="W3986" s="107"/>
      <c r="X3986" s="107"/>
      <c r="Y3986" s="107"/>
      <c r="Z3986" s="107"/>
      <c r="AA3986" s="107"/>
      <c r="AB3986" s="107"/>
      <c r="AC3986" s="355"/>
      <c r="AD3986" s="355"/>
      <c r="AE3986" s="355"/>
      <c r="AF3986" s="94">
        <f t="shared" si="529"/>
        <v>42307</v>
      </c>
      <c r="AG3986" s="185">
        <f t="shared" si="525"/>
        <v>1.7518327574716386E-2</v>
      </c>
      <c r="AH3986" s="339" t="str">
        <f>VLOOKUP(B3986,'MF PF'!A:B,2)</f>
        <v>FdMgt1</v>
      </c>
      <c r="AI3986" s="358">
        <f t="shared" si="530"/>
        <v>0</v>
      </c>
      <c r="AJ3986" s="94">
        <f t="shared" si="531"/>
        <v>42308</v>
      </c>
    </row>
    <row r="3987" spans="1:36">
      <c r="A3987" s="8">
        <v>42338</v>
      </c>
      <c r="B3987" s="94" t="s">
        <v>189</v>
      </c>
      <c r="C3987" s="358" t="s">
        <v>344</v>
      </c>
      <c r="D3987" s="98">
        <v>63959.130000000005</v>
      </c>
      <c r="E3987" s="9">
        <f t="shared" si="532"/>
        <v>7484.8674982433013</v>
      </c>
      <c r="F3987" s="98">
        <v>0.2084</v>
      </c>
      <c r="G3987" s="98">
        <v>0</v>
      </c>
      <c r="H3987" s="98">
        <v>0</v>
      </c>
      <c r="I3987" s="98">
        <v>0</v>
      </c>
      <c r="J3987" s="98"/>
      <c r="K3987" s="93">
        <v>8.5451252163129432</v>
      </c>
      <c r="L3987" s="93">
        <f t="shared" si="527"/>
        <v>0</v>
      </c>
      <c r="M3987" s="95">
        <f t="shared" ca="1" si="528"/>
        <v>0</v>
      </c>
      <c r="N3987" s="95">
        <f>IF(P3987="Hedge Fund",IF(A3987=Summary!$AD$3,M3987-E3987,M3987),IF(A3987=Summary!$AD$3,L3987-D3987,L3987))</f>
        <v>0</v>
      </c>
      <c r="O3987" s="95"/>
      <c r="P3987" s="107" t="s">
        <v>155</v>
      </c>
      <c r="Q3987" s="107">
        <v>0</v>
      </c>
      <c r="R3987" s="107">
        <v>0</v>
      </c>
      <c r="S3987" s="107">
        <v>0</v>
      </c>
      <c r="T3987" s="107">
        <v>0</v>
      </c>
      <c r="U3987" s="107"/>
      <c r="V3987" s="107"/>
      <c r="W3987" s="107"/>
      <c r="X3987" s="107"/>
      <c r="Y3987" s="107"/>
      <c r="Z3987" s="107"/>
      <c r="AA3987" s="107"/>
      <c r="AB3987" s="107"/>
      <c r="AC3987" s="355"/>
      <c r="AD3987" s="355"/>
      <c r="AE3987" s="355"/>
      <c r="AF3987" s="94">
        <f t="shared" si="529"/>
        <v>42338</v>
      </c>
      <c r="AG3987" s="185">
        <f t="shared" si="525"/>
        <v>-1.4766078470728639E-2</v>
      </c>
      <c r="AH3987" s="339" t="str">
        <f>VLOOKUP(B3987,'MF PF'!A:B,2)</f>
        <v>FdMgt1</v>
      </c>
      <c r="AI3987" s="358">
        <f t="shared" si="530"/>
        <v>0</v>
      </c>
      <c r="AJ3987" s="94">
        <f t="shared" si="531"/>
        <v>42338</v>
      </c>
    </row>
    <row r="3988" spans="1:36">
      <c r="A3988" s="8">
        <v>42369</v>
      </c>
      <c r="B3988" s="94" t="s">
        <v>189</v>
      </c>
      <c r="C3988" s="358" t="s">
        <v>344</v>
      </c>
      <c r="D3988" s="98">
        <v>46922.41</v>
      </c>
      <c r="E3988" s="9">
        <f t="shared" si="532"/>
        <v>5491.1319392281675</v>
      </c>
      <c r="F3988" s="98">
        <v>0.2084</v>
      </c>
      <c r="G3988" s="98">
        <v>0</v>
      </c>
      <c r="H3988" s="98">
        <v>0</v>
      </c>
      <c r="I3988" s="98">
        <v>-11462</v>
      </c>
      <c r="J3988" s="98"/>
      <c r="K3988" s="93">
        <v>8.5451252163129432</v>
      </c>
      <c r="L3988" s="93">
        <f t="shared" si="527"/>
        <v>-11462</v>
      </c>
      <c r="M3988" s="95">
        <f t="shared" ca="1" si="528"/>
        <v>-1341.3495659629002</v>
      </c>
      <c r="N3988" s="95">
        <f>IF(P3988="Hedge Fund",IF(A3988=Summary!$AD$3,M3988-E3988,M3988),IF(A3988=Summary!$AD$3,L3988-D3988,L3988))</f>
        <v>-11462</v>
      </c>
      <c r="O3988" s="95"/>
      <c r="P3988" s="107" t="s">
        <v>155</v>
      </c>
      <c r="Q3988" s="107">
        <v>0</v>
      </c>
      <c r="R3988" s="107">
        <v>0</v>
      </c>
      <c r="S3988" s="107">
        <v>0</v>
      </c>
      <c r="T3988" s="107">
        <v>0</v>
      </c>
      <c r="U3988" s="107"/>
      <c r="V3988" s="107"/>
      <c r="W3988" s="107"/>
      <c r="X3988" s="107"/>
      <c r="Y3988" s="107"/>
      <c r="Z3988" s="107"/>
      <c r="AA3988" s="107"/>
      <c r="AB3988" s="107"/>
      <c r="AC3988" s="355"/>
      <c r="AD3988" s="355"/>
      <c r="AE3988" s="355"/>
      <c r="AF3988" s="94">
        <f t="shared" si="529"/>
        <v>42369</v>
      </c>
      <c r="AG3988" s="185">
        <f t="shared" si="525"/>
        <v>-8.7160660252883382E-2</v>
      </c>
      <c r="AH3988" s="339" t="str">
        <f>VLOOKUP(B3988,'MF PF'!A:B,2)</f>
        <v>FdMgt1</v>
      </c>
      <c r="AI3988" s="358">
        <f t="shared" si="530"/>
        <v>0</v>
      </c>
      <c r="AJ3988" s="94">
        <f t="shared" si="531"/>
        <v>42369</v>
      </c>
    </row>
    <row r="3989" spans="1:36">
      <c r="A3989" s="8">
        <v>42398</v>
      </c>
      <c r="B3989" s="94" t="s">
        <v>189</v>
      </c>
      <c r="C3989" s="358" t="s">
        <v>344</v>
      </c>
      <c r="D3989" s="98">
        <v>45518.54</v>
      </c>
      <c r="E3989" s="9">
        <f t="shared" si="532"/>
        <v>5326.8429481996955</v>
      </c>
      <c r="F3989" s="98">
        <v>0.2084</v>
      </c>
      <c r="G3989" s="98">
        <v>0</v>
      </c>
      <c r="H3989" s="98">
        <v>0</v>
      </c>
      <c r="I3989" s="98">
        <v>0</v>
      </c>
      <c r="J3989" s="98"/>
      <c r="K3989" s="93">
        <v>8.5451252163129432</v>
      </c>
      <c r="L3989" s="93">
        <f t="shared" si="527"/>
        <v>0</v>
      </c>
      <c r="M3989" s="95">
        <f t="shared" ca="1" si="528"/>
        <v>0</v>
      </c>
      <c r="N3989" s="95">
        <f>IF(P3989="Hedge Fund",IF(A3989=Summary!$AD$3,M3989-E3989,M3989),IF(A3989=Summary!$AD$3,L3989-D3989,L3989))</f>
        <v>0</v>
      </c>
      <c r="O3989" s="95"/>
      <c r="P3989" s="107" t="s">
        <v>155</v>
      </c>
      <c r="Q3989" s="107">
        <v>0</v>
      </c>
      <c r="R3989" s="107">
        <v>0</v>
      </c>
      <c r="S3989" s="107">
        <v>0</v>
      </c>
      <c r="T3989" s="107">
        <v>0</v>
      </c>
      <c r="U3989" s="107"/>
      <c r="V3989" s="107"/>
      <c r="W3989" s="107"/>
      <c r="X3989" s="107"/>
      <c r="Y3989" s="107"/>
      <c r="Z3989" s="107"/>
      <c r="AA3989" s="107"/>
      <c r="AB3989" s="107"/>
      <c r="AC3989" s="355"/>
      <c r="AD3989" s="355"/>
      <c r="AE3989" s="355"/>
      <c r="AF3989" s="94">
        <f t="shared" si="529"/>
        <v>42398</v>
      </c>
      <c r="AG3989" s="185">
        <f t="shared" si="525"/>
        <v>-2.9918966225306876E-2</v>
      </c>
      <c r="AH3989" s="339" t="str">
        <f>VLOOKUP(B3989,'MF PF'!A:B,2)</f>
        <v>FdMgt1</v>
      </c>
      <c r="AI3989" s="358">
        <f t="shared" si="530"/>
        <v>0</v>
      </c>
      <c r="AJ3989" s="94">
        <f t="shared" si="531"/>
        <v>42400</v>
      </c>
    </row>
    <row r="3990" spans="1:36">
      <c r="A3990" s="94">
        <v>42429</v>
      </c>
      <c r="B3990" s="94" t="s">
        <v>189</v>
      </c>
      <c r="C3990" s="358" t="s">
        <v>344</v>
      </c>
      <c r="D3990" s="98">
        <v>46310.8</v>
      </c>
      <c r="E3990" s="9">
        <f t="shared" si="532"/>
        <v>5419.557797888212</v>
      </c>
      <c r="F3990" s="98">
        <v>0.2084</v>
      </c>
      <c r="G3990" s="98">
        <v>0</v>
      </c>
      <c r="H3990" s="98">
        <v>0</v>
      </c>
      <c r="I3990" s="98">
        <v>0</v>
      </c>
      <c r="J3990" s="98"/>
      <c r="K3990" s="93">
        <v>8.5451252163129432</v>
      </c>
      <c r="L3990" s="93">
        <f t="shared" si="527"/>
        <v>0</v>
      </c>
      <c r="M3990" s="95">
        <f t="shared" ca="1" si="528"/>
        <v>0</v>
      </c>
      <c r="N3990" s="95">
        <f>IF(P3990="Hedge Fund",IF(A3990=Summary!$AD$3,M3990-E3990,M3990),IF(A3990=Summary!$AD$3,L3990-D3990,L3990))</f>
        <v>0</v>
      </c>
      <c r="O3990" s="95"/>
      <c r="P3990" s="107" t="s">
        <v>155</v>
      </c>
      <c r="Q3990" s="107">
        <v>0</v>
      </c>
      <c r="R3990" s="107">
        <v>0</v>
      </c>
      <c r="S3990" s="107">
        <v>0</v>
      </c>
      <c r="T3990" s="107">
        <v>0</v>
      </c>
      <c r="U3990" s="107"/>
      <c r="V3990" s="107"/>
      <c r="W3990" s="107"/>
      <c r="X3990" s="107"/>
      <c r="Y3990" s="107"/>
      <c r="Z3990" s="107"/>
      <c r="AA3990" s="107"/>
      <c r="AB3990" s="107"/>
      <c r="AC3990" s="355"/>
      <c r="AD3990" s="355"/>
      <c r="AE3990" s="355"/>
      <c r="AF3990" s="94">
        <f t="shared" si="529"/>
        <v>42429</v>
      </c>
      <c r="AG3990" s="185">
        <f t="shared" si="525"/>
        <v>1.7405215545138297E-2</v>
      </c>
      <c r="AH3990" s="339" t="str">
        <f>VLOOKUP(B3990,'MF PF'!A:B,2)</f>
        <v>FdMgt1</v>
      </c>
      <c r="AI3990" s="358">
        <f t="shared" si="530"/>
        <v>0</v>
      </c>
      <c r="AJ3990" s="94">
        <f t="shared" si="531"/>
        <v>42429</v>
      </c>
    </row>
    <row r="3991" spans="1:36">
      <c r="A3991" s="8">
        <v>42460</v>
      </c>
      <c r="B3991" s="94" t="s">
        <v>189</v>
      </c>
      <c r="C3991" s="358" t="s">
        <v>344</v>
      </c>
      <c r="D3991" s="98">
        <v>47853.279999999999</v>
      </c>
      <c r="E3991" s="9">
        <f t="shared" si="532"/>
        <v>5600.0677331967481</v>
      </c>
      <c r="F3991" s="98">
        <v>0.2084</v>
      </c>
      <c r="G3991" s="98">
        <v>0</v>
      </c>
      <c r="H3991" s="98">
        <v>0</v>
      </c>
      <c r="I3991" s="98">
        <v>0</v>
      </c>
      <c r="J3991" s="98"/>
      <c r="K3991" s="93">
        <v>8.5451252163129432</v>
      </c>
      <c r="L3991" s="93">
        <f t="shared" si="527"/>
        <v>0</v>
      </c>
      <c r="M3991" s="95">
        <f t="shared" ca="1" si="528"/>
        <v>0</v>
      </c>
      <c r="N3991" s="95">
        <f>IF(P3991="Hedge Fund",IF(A3991=Summary!$AD$3,M3991-E3991,M3991),IF(A3991=Summary!$AD$3,L3991-D3991,L3991))</f>
        <v>0</v>
      </c>
      <c r="O3991" s="95"/>
      <c r="P3991" s="107" t="s">
        <v>155</v>
      </c>
      <c r="Q3991" s="107">
        <v>0</v>
      </c>
      <c r="R3991" s="107">
        <v>0</v>
      </c>
      <c r="S3991" s="107">
        <v>0</v>
      </c>
      <c r="T3991" s="107">
        <v>0</v>
      </c>
      <c r="U3991" s="107"/>
      <c r="V3991" s="107"/>
      <c r="W3991" s="107"/>
      <c r="X3991" s="107"/>
      <c r="Y3991" s="107"/>
      <c r="Z3991" s="107"/>
      <c r="AA3991" s="107"/>
      <c r="AB3991" s="107"/>
      <c r="AC3991" s="355"/>
      <c r="AD3991" s="355"/>
      <c r="AE3991" s="355"/>
      <c r="AF3991" s="94">
        <f t="shared" si="529"/>
        <v>42460</v>
      </c>
      <c r="AG3991" s="185">
        <f t="shared" si="525"/>
        <v>3.330713354120407E-2</v>
      </c>
      <c r="AH3991" s="339" t="str">
        <f>VLOOKUP(B3991,'MF PF'!A:B,2)</f>
        <v>FdMgt1</v>
      </c>
      <c r="AI3991" s="358">
        <f t="shared" si="530"/>
        <v>0</v>
      </c>
      <c r="AJ3991" s="94">
        <f t="shared" si="531"/>
        <v>42460</v>
      </c>
    </row>
    <row r="3992" spans="1:36">
      <c r="A3992" s="8">
        <v>42489</v>
      </c>
      <c r="B3992" s="94" t="s">
        <v>189</v>
      </c>
      <c r="C3992" s="358" t="s">
        <v>344</v>
      </c>
      <c r="D3992" s="98">
        <v>48798.9</v>
      </c>
      <c r="E3992" s="9">
        <f t="shared" si="532"/>
        <v>5710.7296575176206</v>
      </c>
      <c r="F3992" s="98">
        <v>0.2084</v>
      </c>
      <c r="G3992" s="98">
        <v>0</v>
      </c>
      <c r="H3992" s="98">
        <v>0</v>
      </c>
      <c r="I3992" s="98">
        <v>0</v>
      </c>
      <c r="J3992" s="98"/>
      <c r="K3992" s="93">
        <v>8.5451252163129432</v>
      </c>
      <c r="L3992" s="93">
        <f t="shared" si="527"/>
        <v>0</v>
      </c>
      <c r="M3992" s="95">
        <f t="shared" ca="1" si="528"/>
        <v>0</v>
      </c>
      <c r="N3992" s="95">
        <f>IF(P3992="Hedge Fund",IF(A3992=Summary!$AD$3,M3992-E3992,M3992),IF(A3992=Summary!$AD$3,L3992-D3992,L3992))</f>
        <v>0</v>
      </c>
      <c r="O3992" s="95"/>
      <c r="P3992" s="107" t="s">
        <v>155</v>
      </c>
      <c r="Q3992" s="107">
        <v>0</v>
      </c>
      <c r="R3992" s="107">
        <v>0</v>
      </c>
      <c r="S3992" s="107">
        <v>0</v>
      </c>
      <c r="T3992" s="107">
        <v>0</v>
      </c>
      <c r="U3992" s="107"/>
      <c r="V3992" s="107"/>
      <c r="W3992" s="107"/>
      <c r="X3992" s="107"/>
      <c r="Y3992" s="107"/>
      <c r="Z3992" s="107"/>
      <c r="AA3992" s="107"/>
      <c r="AB3992" s="107"/>
      <c r="AC3992" s="355"/>
      <c r="AD3992" s="355"/>
      <c r="AE3992" s="355"/>
      <c r="AF3992" s="94">
        <f t="shared" si="529"/>
        <v>42489</v>
      </c>
      <c r="AG3992" s="185">
        <f t="shared" si="525"/>
        <v>1.9760818903113986E-2</v>
      </c>
      <c r="AH3992" s="339" t="str">
        <f>VLOOKUP(B3992,'MF PF'!A:B,2)</f>
        <v>FdMgt1</v>
      </c>
      <c r="AI3992" s="358">
        <f t="shared" si="530"/>
        <v>0</v>
      </c>
      <c r="AJ3992" s="94">
        <f t="shared" si="531"/>
        <v>42490</v>
      </c>
    </row>
    <row r="3993" spans="1:36">
      <c r="A3993" s="8">
        <v>42521</v>
      </c>
      <c r="B3993" s="94" t="s">
        <v>189</v>
      </c>
      <c r="C3993" s="358" t="s">
        <v>344</v>
      </c>
      <c r="D3993" s="98">
        <v>48426.07</v>
      </c>
      <c r="E3993" s="9">
        <f t="shared" si="532"/>
        <v>5667.098933501049</v>
      </c>
      <c r="F3993" s="98">
        <v>0.2084</v>
      </c>
      <c r="G3993" s="98">
        <v>0</v>
      </c>
      <c r="H3993" s="98">
        <v>0</v>
      </c>
      <c r="I3993" s="98">
        <v>0</v>
      </c>
      <c r="J3993" s="98"/>
      <c r="K3993" s="93">
        <v>8.5451252163129432</v>
      </c>
      <c r="L3993" s="93">
        <f t="shared" si="527"/>
        <v>0</v>
      </c>
      <c r="M3993" s="95">
        <f t="shared" ca="1" si="528"/>
        <v>0</v>
      </c>
      <c r="N3993" s="95">
        <f>IF(P3993="Hedge Fund",IF(A3993=Summary!$AD$3,M3993-E3993,M3993),IF(A3993=Summary!$AD$3,L3993-D3993,L3993))</f>
        <v>0</v>
      </c>
      <c r="O3993" s="95"/>
      <c r="P3993" s="107" t="s">
        <v>155</v>
      </c>
      <c r="Q3993" s="107">
        <v>0</v>
      </c>
      <c r="R3993" s="107">
        <v>0</v>
      </c>
      <c r="S3993" s="107">
        <v>0</v>
      </c>
      <c r="T3993" s="107">
        <v>0</v>
      </c>
      <c r="U3993" s="107"/>
      <c r="V3993" s="107"/>
      <c r="W3993" s="107"/>
      <c r="X3993" s="107"/>
      <c r="Y3993" s="107"/>
      <c r="Z3993" s="107"/>
      <c r="AA3993" s="107"/>
      <c r="AB3993" s="107"/>
      <c r="AC3993" s="355"/>
      <c r="AD3993" s="355"/>
      <c r="AE3993" s="355"/>
      <c r="AF3993" s="94">
        <f t="shared" si="529"/>
        <v>42521</v>
      </c>
      <c r="AG3993" s="185">
        <f t="shared" si="525"/>
        <v>-7.6401312324663184E-3</v>
      </c>
      <c r="AH3993" s="339" t="str">
        <f>VLOOKUP(B3993,'MF PF'!A:B,2)</f>
        <v>FdMgt1</v>
      </c>
      <c r="AI3993" s="358">
        <f t="shared" si="530"/>
        <v>0</v>
      </c>
      <c r="AJ3993" s="94">
        <f t="shared" si="531"/>
        <v>42521</v>
      </c>
    </row>
    <row r="3994" spans="1:36">
      <c r="A3994" s="8">
        <v>42551</v>
      </c>
      <c r="B3994" s="94" t="s">
        <v>189</v>
      </c>
      <c r="C3994" s="358" t="s">
        <v>344</v>
      </c>
      <c r="D3994" s="98">
        <v>48651.9</v>
      </c>
      <c r="E3994" s="9">
        <f t="shared" si="532"/>
        <v>5693.5268668880144</v>
      </c>
      <c r="F3994" s="98">
        <v>0.2084</v>
      </c>
      <c r="G3994" s="98">
        <v>0</v>
      </c>
      <c r="H3994" s="98">
        <v>0</v>
      </c>
      <c r="I3994" s="98">
        <v>0</v>
      </c>
      <c r="J3994" s="98"/>
      <c r="K3994" s="93">
        <v>8.5451252163129432</v>
      </c>
      <c r="L3994" s="93">
        <f t="shared" si="527"/>
        <v>0</v>
      </c>
      <c r="M3994" s="95">
        <f t="shared" ca="1" si="528"/>
        <v>0</v>
      </c>
      <c r="N3994" s="95">
        <f>IF(P3994="Hedge Fund",IF(A3994=Summary!$AD$3,M3994-E3994,M3994),IF(A3994=Summary!$AD$3,L3994-D3994,L3994))</f>
        <v>0</v>
      </c>
      <c r="O3994" s="95"/>
      <c r="P3994" s="107" t="s">
        <v>155</v>
      </c>
      <c r="Q3994" s="107">
        <v>0</v>
      </c>
      <c r="R3994" s="107">
        <v>0</v>
      </c>
      <c r="S3994" s="107">
        <v>0</v>
      </c>
      <c r="T3994" s="107">
        <v>0</v>
      </c>
      <c r="U3994" s="107"/>
      <c r="V3994" s="107"/>
      <c r="W3994" s="107"/>
      <c r="X3994" s="107"/>
      <c r="Y3994" s="107"/>
      <c r="Z3994" s="107"/>
      <c r="AA3994" s="107"/>
      <c r="AB3994" s="107"/>
      <c r="AC3994" s="355"/>
      <c r="AD3994" s="355"/>
      <c r="AE3994" s="355"/>
      <c r="AF3994" s="94">
        <f t="shared" si="529"/>
        <v>42551</v>
      </c>
      <c r="AG3994" s="185">
        <f t="shared" si="525"/>
        <v>4.6633972155907255E-3</v>
      </c>
      <c r="AH3994" s="339" t="str">
        <f>VLOOKUP(B3994,'MF PF'!A:B,2)</f>
        <v>FdMgt1</v>
      </c>
      <c r="AI3994" s="358">
        <f t="shared" si="530"/>
        <v>0</v>
      </c>
      <c r="AJ3994" s="94">
        <f t="shared" si="531"/>
        <v>42551</v>
      </c>
    </row>
    <row r="3995" spans="1:36">
      <c r="A3995" s="8">
        <v>42580</v>
      </c>
      <c r="B3995" s="94" t="s">
        <v>189</v>
      </c>
      <c r="C3995" s="358" t="s">
        <v>344</v>
      </c>
      <c r="D3995" s="98">
        <v>49799.42</v>
      </c>
      <c r="E3995" s="9">
        <f t="shared" si="532"/>
        <v>5827.8162975226114</v>
      </c>
      <c r="F3995" s="98">
        <v>0.2084</v>
      </c>
      <c r="G3995" s="98">
        <v>0</v>
      </c>
      <c r="H3995" s="98">
        <v>0</v>
      </c>
      <c r="I3995" s="98">
        <v>0</v>
      </c>
      <c r="J3995" s="98"/>
      <c r="K3995" s="93">
        <v>8.5451252163129432</v>
      </c>
      <c r="L3995" s="93">
        <f t="shared" si="527"/>
        <v>0</v>
      </c>
      <c r="M3995" s="95">
        <f t="shared" ca="1" si="528"/>
        <v>0</v>
      </c>
      <c r="N3995" s="95">
        <f>IF(P3995="Hedge Fund",IF(A3995=Summary!$AD$3,M3995-E3995,M3995),IF(A3995=Summary!$AD$3,L3995-D3995,L3995))</f>
        <v>0</v>
      </c>
      <c r="O3995" s="95"/>
      <c r="P3995" s="107" t="s">
        <v>155</v>
      </c>
      <c r="Q3995" s="107">
        <v>0</v>
      </c>
      <c r="R3995" s="107">
        <v>0</v>
      </c>
      <c r="S3995" s="107">
        <v>0</v>
      </c>
      <c r="T3995" s="107">
        <v>0</v>
      </c>
      <c r="U3995" s="107"/>
      <c r="V3995" s="107"/>
      <c r="W3995" s="107"/>
      <c r="X3995" s="107"/>
      <c r="Y3995" s="107"/>
      <c r="Z3995" s="107"/>
      <c r="AA3995" s="107"/>
      <c r="AB3995" s="107"/>
      <c r="AC3995" s="355"/>
      <c r="AD3995" s="355"/>
      <c r="AE3995" s="355"/>
      <c r="AF3995" s="94">
        <f t="shared" si="529"/>
        <v>42580</v>
      </c>
      <c r="AG3995" s="185">
        <f t="shared" si="525"/>
        <v>2.3586334757738081E-2</v>
      </c>
      <c r="AH3995" s="339" t="str">
        <f>VLOOKUP(B3995,'MF PF'!A:B,2)</f>
        <v>FdMgt1</v>
      </c>
      <c r="AI3995" s="358">
        <f t="shared" si="530"/>
        <v>0</v>
      </c>
      <c r="AJ3995" s="94">
        <f t="shared" si="531"/>
        <v>42582</v>
      </c>
    </row>
    <row r="3996" spans="1:36">
      <c r="A3996" s="8">
        <v>42613</v>
      </c>
      <c r="B3996" s="94" t="s">
        <v>189</v>
      </c>
      <c r="C3996" s="358" t="s">
        <v>344</v>
      </c>
      <c r="D3996" s="98">
        <v>50109.63</v>
      </c>
      <c r="E3996" s="9">
        <f t="shared" si="532"/>
        <v>5864.1188667825436</v>
      </c>
      <c r="F3996" s="98">
        <v>0.2084</v>
      </c>
      <c r="G3996" s="98">
        <v>0</v>
      </c>
      <c r="H3996" s="98">
        <v>0</v>
      </c>
      <c r="I3996" s="98">
        <v>0</v>
      </c>
      <c r="J3996" s="98"/>
      <c r="K3996" s="93">
        <v>8.5451252163129432</v>
      </c>
      <c r="L3996" s="93">
        <f t="shared" si="527"/>
        <v>0</v>
      </c>
      <c r="M3996" s="95">
        <f t="shared" ca="1" si="528"/>
        <v>0</v>
      </c>
      <c r="N3996" s="95">
        <f>IF(P3996="Hedge Fund",IF(A3996=Summary!$AD$3,M3996-E3996,M3996),IF(A3996=Summary!$AD$3,L3996-D3996,L3996))</f>
        <v>0</v>
      </c>
      <c r="O3996" s="95"/>
      <c r="P3996" s="107" t="s">
        <v>155</v>
      </c>
      <c r="Q3996" s="107">
        <v>0</v>
      </c>
      <c r="R3996" s="107">
        <v>0</v>
      </c>
      <c r="S3996" s="107">
        <v>0</v>
      </c>
      <c r="T3996" s="107">
        <v>0</v>
      </c>
      <c r="U3996" s="107"/>
      <c r="V3996" s="107"/>
      <c r="W3996" s="107"/>
      <c r="X3996" s="107"/>
      <c r="Y3996" s="107"/>
      <c r="Z3996" s="107"/>
      <c r="AA3996" s="107"/>
      <c r="AB3996" s="107"/>
      <c r="AC3996" s="355"/>
      <c r="AD3996" s="355"/>
      <c r="AE3996" s="355"/>
      <c r="AF3996" s="94">
        <f t="shared" si="529"/>
        <v>42613</v>
      </c>
      <c r="AG3996" s="185">
        <f t="shared" si="525"/>
        <v>6.229189014651082E-3</v>
      </c>
      <c r="AH3996" s="339" t="str">
        <f>VLOOKUP(B3996,'MF PF'!A:B,2)</f>
        <v>FdMgt1</v>
      </c>
      <c r="AI3996" s="358">
        <f t="shared" si="530"/>
        <v>0</v>
      </c>
      <c r="AJ3996" s="94">
        <f t="shared" si="531"/>
        <v>42613</v>
      </c>
    </row>
    <row r="3997" spans="1:36">
      <c r="A3997" s="8">
        <v>42643</v>
      </c>
      <c r="B3997" s="94" t="s">
        <v>189</v>
      </c>
      <c r="C3997" s="358" t="s">
        <v>344</v>
      </c>
      <c r="D3997" s="98">
        <v>50109.63</v>
      </c>
      <c r="E3997" s="9">
        <f t="shared" si="532"/>
        <v>5864.1188667825436</v>
      </c>
      <c r="F3997" s="98">
        <v>0.2084</v>
      </c>
      <c r="G3997" s="98">
        <v>0</v>
      </c>
      <c r="H3997" s="98">
        <v>0</v>
      </c>
      <c r="I3997" s="98">
        <v>0</v>
      </c>
      <c r="J3997" s="98"/>
      <c r="K3997" s="93">
        <v>8.5451252163129432</v>
      </c>
      <c r="L3997" s="93">
        <f t="shared" si="527"/>
        <v>0</v>
      </c>
      <c r="M3997" s="95">
        <f t="shared" ca="1" si="528"/>
        <v>0</v>
      </c>
      <c r="N3997" s="95">
        <f>IF(P3997="Hedge Fund",IF(A3997=Summary!$AD$3,M3997-E3997,M3997),IF(A3997=Summary!$AD$3,L3997-D3997,L3997))</f>
        <v>0</v>
      </c>
      <c r="O3997" s="95"/>
      <c r="P3997" s="107" t="s">
        <v>155</v>
      </c>
      <c r="Q3997" s="107">
        <v>0</v>
      </c>
      <c r="R3997" s="107">
        <v>0</v>
      </c>
      <c r="S3997" s="107">
        <v>0</v>
      </c>
      <c r="T3997" s="107">
        <v>0</v>
      </c>
      <c r="U3997" s="107"/>
      <c r="V3997" s="107"/>
      <c r="W3997" s="107"/>
      <c r="X3997" s="107"/>
      <c r="Y3997" s="107"/>
      <c r="Z3997" s="107"/>
      <c r="AA3997" s="107"/>
      <c r="AB3997" s="107"/>
      <c r="AC3997" s="355"/>
      <c r="AD3997" s="355"/>
      <c r="AE3997" s="355"/>
      <c r="AF3997" s="94">
        <f t="shared" si="529"/>
        <v>42643</v>
      </c>
      <c r="AG3997" s="185">
        <f t="shared" si="525"/>
        <v>0</v>
      </c>
      <c r="AH3997" s="339" t="str">
        <f>VLOOKUP(B3997,'MF PF'!A:B,2)</f>
        <v>FdMgt1</v>
      </c>
      <c r="AI3997" s="358">
        <f t="shared" si="530"/>
        <v>0</v>
      </c>
      <c r="AJ3997" s="94">
        <f t="shared" si="531"/>
        <v>42643</v>
      </c>
    </row>
    <row r="3998" spans="1:36">
      <c r="A3998" s="94">
        <v>42674</v>
      </c>
      <c r="B3998" s="94" t="s">
        <v>189</v>
      </c>
      <c r="C3998" s="6" t="s">
        <v>344</v>
      </c>
      <c r="D3998" s="98">
        <v>50788.12</v>
      </c>
      <c r="E3998" s="9">
        <f t="shared" si="532"/>
        <v>5943.5196927300376</v>
      </c>
      <c r="F3998" s="98">
        <v>0.2084</v>
      </c>
      <c r="G3998" s="98">
        <v>0</v>
      </c>
      <c r="H3998" s="98">
        <v>0</v>
      </c>
      <c r="I3998" s="98">
        <v>0</v>
      </c>
      <c r="J3998" s="98"/>
      <c r="K3998" s="93">
        <v>8.5451252163129432</v>
      </c>
      <c r="L3998" s="93">
        <f t="shared" si="527"/>
        <v>0</v>
      </c>
      <c r="M3998" s="95">
        <f t="shared" ca="1" si="528"/>
        <v>0</v>
      </c>
      <c r="N3998" s="95">
        <f>IF(P3998="Hedge Fund",IF(A3998=Summary!$AD$3,M3998-E3998,M3998),IF(A3998=Summary!$AD$3,L3998-D3998,L3998))</f>
        <v>0</v>
      </c>
      <c r="O3998" s="95"/>
      <c r="P3998" s="107" t="s">
        <v>155</v>
      </c>
      <c r="Q3998" s="107">
        <v>0</v>
      </c>
      <c r="R3998" s="107">
        <v>0</v>
      </c>
      <c r="S3998" s="107">
        <v>0</v>
      </c>
      <c r="T3998" s="107">
        <v>0</v>
      </c>
      <c r="U3998" s="107"/>
      <c r="V3998" s="107"/>
      <c r="W3998" s="107"/>
      <c r="X3998" s="107"/>
      <c r="Y3998" s="107"/>
      <c r="Z3998" s="107"/>
      <c r="AA3998" s="107"/>
      <c r="AB3998" s="107"/>
      <c r="AC3998" s="355"/>
      <c r="AD3998" s="355"/>
      <c r="AE3998" s="355"/>
      <c r="AF3998" s="94">
        <f t="shared" si="529"/>
        <v>42674</v>
      </c>
      <c r="AG3998" s="185">
        <f t="shared" si="525"/>
        <v>1.3540111950537392E-2</v>
      </c>
      <c r="AH3998" s="339" t="str">
        <f>VLOOKUP(B3998,'MF PF'!A:B,2)</f>
        <v>FdMgt1</v>
      </c>
      <c r="AI3998" s="358">
        <f t="shared" si="530"/>
        <v>0</v>
      </c>
      <c r="AJ3998" s="94">
        <f t="shared" si="531"/>
        <v>42674</v>
      </c>
    </row>
    <row r="3999" spans="1:36">
      <c r="A3999" s="8">
        <v>42704</v>
      </c>
      <c r="B3999" s="94" t="s">
        <v>189</v>
      </c>
      <c r="C3999" s="6" t="s">
        <v>344</v>
      </c>
      <c r="D3999" s="98">
        <v>42883.31</v>
      </c>
      <c r="E3999" s="9">
        <f t="shared" si="532"/>
        <v>5018.4530845884219</v>
      </c>
      <c r="F3999" s="98">
        <v>0.2084</v>
      </c>
      <c r="G3999" s="98">
        <v>0</v>
      </c>
      <c r="H3999" s="98">
        <v>0</v>
      </c>
      <c r="I3999" s="98">
        <v>-8043.4099999999989</v>
      </c>
      <c r="J3999" s="98"/>
      <c r="K3999" s="93">
        <v>8.5451252163129432</v>
      </c>
      <c r="L3999" s="93">
        <f t="shared" si="527"/>
        <v>-8043.4099999999989</v>
      </c>
      <c r="M3999" s="95">
        <f t="shared" ca="1" si="528"/>
        <v>-941.28638216381523</v>
      </c>
      <c r="N3999" s="95">
        <f>IF(P3999="Hedge Fund",IF(A3999=Summary!$AD$3,M3999-E3999,M3999),IF(A3999=Summary!$AD$3,L3999-D3999,L3999))</f>
        <v>-8043.4099999999989</v>
      </c>
      <c r="O3999" s="95"/>
      <c r="P3999" s="107" t="s">
        <v>155</v>
      </c>
      <c r="Q3999" s="107">
        <v>0</v>
      </c>
      <c r="R3999" s="107">
        <v>0</v>
      </c>
      <c r="S3999" s="107">
        <v>0</v>
      </c>
      <c r="T3999" s="107">
        <v>0</v>
      </c>
      <c r="U3999" s="107"/>
      <c r="V3999" s="107"/>
      <c r="W3999" s="107"/>
      <c r="X3999" s="107"/>
      <c r="Y3999" s="107"/>
      <c r="Z3999" s="107"/>
      <c r="AA3999" s="107"/>
      <c r="AB3999" s="107"/>
      <c r="AC3999" s="355"/>
      <c r="AD3999" s="355"/>
      <c r="AE3999" s="355"/>
      <c r="AF3999" s="94">
        <f t="shared" si="529"/>
        <v>42704</v>
      </c>
      <c r="AG3999" s="185">
        <f t="shared" si="525"/>
        <v>2.7289846523161909E-3</v>
      </c>
      <c r="AH3999" s="339" t="str">
        <f>VLOOKUP(B3999,'MF PF'!A:B,2)</f>
        <v>FdMgt1</v>
      </c>
      <c r="AI3999" s="358">
        <f t="shared" si="530"/>
        <v>0</v>
      </c>
      <c r="AJ3999" s="94">
        <f t="shared" si="531"/>
        <v>42704</v>
      </c>
    </row>
    <row r="4000" spans="1:36">
      <c r="A4000" s="8">
        <v>42734</v>
      </c>
      <c r="B4000" s="94" t="s">
        <v>189</v>
      </c>
      <c r="C4000" s="6" t="s">
        <v>344</v>
      </c>
      <c r="D4000" s="98">
        <v>38881.440000000002</v>
      </c>
      <c r="E4000" s="9">
        <f t="shared" si="532"/>
        <v>4550.131099983646</v>
      </c>
      <c r="F4000" s="98">
        <v>0.2084</v>
      </c>
      <c r="G4000" s="98">
        <v>0</v>
      </c>
      <c r="H4000" s="98">
        <v>0</v>
      </c>
      <c r="I4000" s="98">
        <v>-1583.84</v>
      </c>
      <c r="J4000" s="98"/>
      <c r="K4000" s="93">
        <v>8.5451252163129432</v>
      </c>
      <c r="L4000" s="93">
        <f t="shared" si="527"/>
        <v>-1583.84</v>
      </c>
      <c r="M4000" s="95">
        <f t="shared" ca="1" si="528"/>
        <v>-185.35012184214619</v>
      </c>
      <c r="N4000" s="95">
        <f>IF(P4000="Hedge Fund",IF(A4000=Summary!$AD$3,M4000-E4000,M4000),IF(A4000=Summary!$AD$3,L4000-D4000,L4000))</f>
        <v>-1583.84</v>
      </c>
      <c r="O4000" s="95"/>
      <c r="P4000" s="107" t="s">
        <v>155</v>
      </c>
      <c r="Q4000" s="107">
        <v>0</v>
      </c>
      <c r="R4000" s="107">
        <v>0</v>
      </c>
      <c r="S4000" s="107">
        <v>0</v>
      </c>
      <c r="T4000" s="107">
        <v>0</v>
      </c>
      <c r="U4000" s="107"/>
      <c r="V4000" s="107"/>
      <c r="W4000" s="107"/>
      <c r="X4000" s="107"/>
      <c r="Y4000" s="107"/>
      <c r="Z4000" s="107"/>
      <c r="AA4000" s="107"/>
      <c r="AB4000" s="107"/>
      <c r="AC4000" s="355"/>
      <c r="AD4000" s="355"/>
      <c r="AE4000" s="355"/>
      <c r="AF4000" s="94">
        <f t="shared" si="529"/>
        <v>42734</v>
      </c>
      <c r="AG4000" s="185">
        <f t="shared" si="525"/>
        <v>-5.6386272421601769E-2</v>
      </c>
      <c r="AH4000" s="339" t="str">
        <f>VLOOKUP(B4000,'MF PF'!A:B,2)</f>
        <v>FdMgt1</v>
      </c>
      <c r="AI4000" s="358">
        <f t="shared" si="530"/>
        <v>0</v>
      </c>
      <c r="AJ4000" s="94">
        <f t="shared" si="531"/>
        <v>42735</v>
      </c>
    </row>
    <row r="4001" spans="1:36">
      <c r="A4001" s="8">
        <v>42762</v>
      </c>
      <c r="B4001" s="94" t="s">
        <v>189</v>
      </c>
      <c r="C4001" s="6" t="s">
        <v>344</v>
      </c>
      <c r="D4001" s="98">
        <v>39068.47</v>
      </c>
      <c r="E4001" s="9">
        <f t="shared" si="532"/>
        <v>4572.0184328506884</v>
      </c>
      <c r="F4001" s="98">
        <v>0.2084</v>
      </c>
      <c r="G4001" s="98">
        <v>0</v>
      </c>
      <c r="H4001" s="98">
        <v>0</v>
      </c>
      <c r="I4001" s="98">
        <v>0</v>
      </c>
      <c r="J4001" s="98"/>
      <c r="K4001" s="93">
        <v>8.5451252163129432</v>
      </c>
      <c r="L4001" s="93">
        <f t="shared" si="527"/>
        <v>0</v>
      </c>
      <c r="M4001" s="95">
        <f t="shared" ca="1" si="528"/>
        <v>0</v>
      </c>
      <c r="N4001" s="95">
        <f>IF(P4001="Hedge Fund",IF(A4001=Summary!$AD$3,M4001-E4001,M4001),IF(A4001=Summary!$AD$3,L4001-D4001,L4001))</f>
        <v>0</v>
      </c>
      <c r="O4001" s="95"/>
      <c r="P4001" s="107" t="s">
        <v>155</v>
      </c>
      <c r="Q4001" s="107">
        <v>0</v>
      </c>
      <c r="R4001" s="107">
        <v>0</v>
      </c>
      <c r="S4001" s="107">
        <v>0</v>
      </c>
      <c r="T4001" s="107">
        <v>0</v>
      </c>
      <c r="U4001" s="107"/>
      <c r="V4001" s="107"/>
      <c r="W4001" s="107"/>
      <c r="X4001" s="107"/>
      <c r="Y4001" s="107"/>
      <c r="Z4001" s="107"/>
      <c r="AA4001" s="107"/>
      <c r="AB4001" s="107"/>
      <c r="AC4001" s="355"/>
      <c r="AD4001" s="355"/>
      <c r="AE4001" s="355"/>
      <c r="AF4001" s="94">
        <f t="shared" si="529"/>
        <v>42762</v>
      </c>
      <c r="AG4001" s="185">
        <f t="shared" si="525"/>
        <v>4.8102642288967434E-3</v>
      </c>
      <c r="AH4001" s="339" t="str">
        <f>VLOOKUP(B4001,'MF PF'!A:B,2)</f>
        <v>FdMgt1</v>
      </c>
      <c r="AI4001" s="358">
        <f t="shared" si="530"/>
        <v>0</v>
      </c>
      <c r="AJ4001" s="94">
        <f t="shared" si="531"/>
        <v>42766</v>
      </c>
    </row>
    <row r="4002" spans="1:36">
      <c r="A4002" s="8">
        <v>42794</v>
      </c>
      <c r="B4002" s="94" t="s">
        <v>189</v>
      </c>
      <c r="C4002" s="6" t="s">
        <v>344</v>
      </c>
      <c r="D4002" s="98">
        <v>39740.54</v>
      </c>
      <c r="E4002" s="9">
        <f t="shared" si="532"/>
        <v>4650.6679532482358</v>
      </c>
      <c r="F4002" s="98">
        <v>0.2084</v>
      </c>
      <c r="G4002" s="98">
        <v>0</v>
      </c>
      <c r="H4002" s="98">
        <v>0</v>
      </c>
      <c r="I4002" s="98">
        <v>0</v>
      </c>
      <c r="J4002" s="98"/>
      <c r="K4002" s="93">
        <v>8.5451252163129432</v>
      </c>
      <c r="L4002" s="93">
        <f t="shared" si="527"/>
        <v>0</v>
      </c>
      <c r="M4002" s="95">
        <f t="shared" ca="1" si="528"/>
        <v>0</v>
      </c>
      <c r="N4002" s="95">
        <f>IF(P4002="Hedge Fund",IF(A4002=Summary!$AD$3,M4002-E4002,M4002),IF(A4002=Summary!$AD$3,L4002-D4002,L4002))</f>
        <v>0</v>
      </c>
      <c r="O4002" s="95"/>
      <c r="P4002" s="107" t="s">
        <v>155</v>
      </c>
      <c r="Q4002" s="107">
        <v>0</v>
      </c>
      <c r="R4002" s="107">
        <v>0</v>
      </c>
      <c r="S4002" s="107">
        <v>0</v>
      </c>
      <c r="T4002" s="107">
        <v>0</v>
      </c>
      <c r="U4002" s="107"/>
      <c r="V4002" s="107"/>
      <c r="W4002" s="107"/>
      <c r="X4002" s="107"/>
      <c r="Y4002" s="107"/>
      <c r="Z4002" s="107"/>
      <c r="AA4002" s="107"/>
      <c r="AB4002" s="107"/>
      <c r="AC4002" s="355"/>
      <c r="AD4002" s="355"/>
      <c r="AE4002" s="355"/>
      <c r="AF4002" s="94">
        <f t="shared" si="529"/>
        <v>42794</v>
      </c>
      <c r="AG4002" s="185">
        <f t="shared" ref="AG4002:AG4065" si="533">IF(C4002&lt;&gt;C4001,D4002/G4002-1,(D4002-G4002-I4002-H4002)/(D4001)-1)</f>
        <v>1.7202362928468995E-2</v>
      </c>
      <c r="AH4002" s="339" t="str">
        <f>VLOOKUP(B4002,'MF PF'!A:B,2)</f>
        <v>FdMgt1</v>
      </c>
      <c r="AI4002" s="358">
        <f t="shared" si="530"/>
        <v>0</v>
      </c>
      <c r="AJ4002" s="94">
        <f t="shared" si="531"/>
        <v>42794</v>
      </c>
    </row>
    <row r="4003" spans="1:36">
      <c r="A4003" s="8">
        <v>42825</v>
      </c>
      <c r="B4003" s="94" t="s">
        <v>189</v>
      </c>
      <c r="C4003" s="6" t="s">
        <v>344</v>
      </c>
      <c r="D4003" s="98">
        <v>39496.39</v>
      </c>
      <c r="E4003" s="9">
        <f t="shared" si="532"/>
        <v>4622.0961074508314</v>
      </c>
      <c r="F4003" s="98">
        <v>0.2084</v>
      </c>
      <c r="G4003" s="98">
        <v>0</v>
      </c>
      <c r="H4003" s="98">
        <v>0</v>
      </c>
      <c r="I4003" s="98">
        <v>-2500.8000000000002</v>
      </c>
      <c r="J4003" s="98"/>
      <c r="K4003" s="93">
        <v>8.5451252163129432</v>
      </c>
      <c r="L4003" s="93">
        <f t="shared" si="527"/>
        <v>-2500.8000000000002</v>
      </c>
      <c r="M4003" s="95">
        <f t="shared" ca="1" si="528"/>
        <v>-292.65808711917822</v>
      </c>
      <c r="N4003" s="95">
        <f>IF(P4003="Hedge Fund",IF(A4003=Summary!$AD$3,M4003-E4003,M4003),IF(A4003=Summary!$AD$3,L4003-D4003,L4003))</f>
        <v>-2500.8000000000002</v>
      </c>
      <c r="O4003" s="95"/>
      <c r="P4003" s="107" t="s">
        <v>155</v>
      </c>
      <c r="Q4003" s="107">
        <v>0</v>
      </c>
      <c r="R4003" s="107">
        <v>0</v>
      </c>
      <c r="S4003" s="107">
        <v>0</v>
      </c>
      <c r="T4003" s="107">
        <v>0</v>
      </c>
      <c r="U4003" s="107"/>
      <c r="V4003" s="107"/>
      <c r="W4003" s="107"/>
      <c r="X4003" s="107"/>
      <c r="Y4003" s="107"/>
      <c r="Z4003" s="107"/>
      <c r="AA4003" s="107"/>
      <c r="AB4003" s="107"/>
      <c r="AC4003" s="355"/>
      <c r="AD4003" s="355"/>
      <c r="AE4003" s="355"/>
      <c r="AF4003" s="94">
        <f t="shared" si="529"/>
        <v>42825</v>
      </c>
      <c r="AG4003" s="185">
        <f t="shared" si="533"/>
        <v>5.6784583198919769E-2</v>
      </c>
      <c r="AH4003" s="339" t="str">
        <f>VLOOKUP(B4003,'MF PF'!A:B,2)</f>
        <v>FdMgt1</v>
      </c>
      <c r="AI4003" s="358">
        <f t="shared" si="530"/>
        <v>0</v>
      </c>
      <c r="AJ4003" s="94">
        <f t="shared" si="531"/>
        <v>42825</v>
      </c>
    </row>
    <row r="4004" spans="1:36">
      <c r="A4004" s="8">
        <v>42853</v>
      </c>
      <c r="B4004" s="94" t="s">
        <v>189</v>
      </c>
      <c r="C4004" s="6" t="s">
        <v>344</v>
      </c>
      <c r="D4004" s="98">
        <v>37731.120000000003</v>
      </c>
      <c r="E4004" s="9">
        <f t="shared" si="532"/>
        <v>4415.5139971465806</v>
      </c>
      <c r="F4004" s="98">
        <v>0.2084</v>
      </c>
      <c r="G4004" s="98">
        <v>0</v>
      </c>
      <c r="H4004" s="98">
        <v>0</v>
      </c>
      <c r="I4004" s="98">
        <v>-2396.6</v>
      </c>
      <c r="J4004" s="98"/>
      <c r="K4004" s="93">
        <v>8.5451252163129432</v>
      </c>
      <c r="L4004" s="93">
        <f t="shared" si="527"/>
        <v>-2396.6</v>
      </c>
      <c r="M4004" s="95">
        <f t="shared" ca="1" si="528"/>
        <v>-280.46400015587915</v>
      </c>
      <c r="N4004" s="95">
        <f>IF(P4004="Hedge Fund",IF(A4004=Summary!$AD$3,M4004-E4004,M4004),IF(A4004=Summary!$AD$3,L4004-D4004,L4004))</f>
        <v>-2396.6</v>
      </c>
      <c r="O4004" s="95"/>
      <c r="P4004" s="107" t="s">
        <v>155</v>
      </c>
      <c r="Q4004" s="107">
        <v>0</v>
      </c>
      <c r="R4004" s="107">
        <v>0</v>
      </c>
      <c r="S4004" s="107">
        <v>0</v>
      </c>
      <c r="T4004" s="107">
        <v>0</v>
      </c>
      <c r="U4004" s="107"/>
      <c r="V4004" s="107"/>
      <c r="W4004" s="107"/>
      <c r="X4004" s="107"/>
      <c r="Y4004" s="107"/>
      <c r="Z4004" s="107"/>
      <c r="AA4004" s="107"/>
      <c r="AB4004" s="107"/>
      <c r="AC4004" s="355"/>
      <c r="AD4004" s="355"/>
      <c r="AE4004" s="355"/>
      <c r="AF4004" s="94">
        <f t="shared" si="529"/>
        <v>42853</v>
      </c>
      <c r="AG4004" s="185">
        <f t="shared" si="533"/>
        <v>1.5984498836475902E-2</v>
      </c>
      <c r="AH4004" s="339" t="str">
        <f>VLOOKUP(B4004,'MF PF'!A:B,2)</f>
        <v>FdMgt1</v>
      </c>
      <c r="AI4004" s="358">
        <f t="shared" si="530"/>
        <v>0</v>
      </c>
      <c r="AJ4004" s="94">
        <f t="shared" si="531"/>
        <v>42855</v>
      </c>
    </row>
    <row r="4005" spans="1:36">
      <c r="A4005" s="8">
        <v>42886</v>
      </c>
      <c r="B4005" s="94" t="s">
        <v>189</v>
      </c>
      <c r="C4005" s="6" t="s">
        <v>344</v>
      </c>
      <c r="D4005" s="98">
        <v>35664.46</v>
      </c>
      <c r="E4005" s="9">
        <f t="shared" si="532"/>
        <v>4173.6614850201722</v>
      </c>
      <c r="F4005" s="98">
        <v>0.2084</v>
      </c>
      <c r="G4005" s="98">
        <v>0</v>
      </c>
      <c r="H4005" s="98">
        <v>0</v>
      </c>
      <c r="I4005" s="98">
        <v>0</v>
      </c>
      <c r="J4005" s="98"/>
      <c r="K4005" s="93">
        <v>8.5451252163129432</v>
      </c>
      <c r="L4005" s="93">
        <f t="shared" si="527"/>
        <v>0</v>
      </c>
      <c r="M4005" s="95">
        <f t="shared" ca="1" si="528"/>
        <v>0</v>
      </c>
      <c r="N4005" s="95">
        <f>IF(P4005="Hedge Fund",IF(A4005=Summary!$AD$3,M4005-E4005,M4005),IF(A4005=Summary!$AD$3,L4005-D4005,L4005))</f>
        <v>0</v>
      </c>
      <c r="O4005" s="95"/>
      <c r="P4005" s="107" t="s">
        <v>155</v>
      </c>
      <c r="Q4005" s="107">
        <v>0</v>
      </c>
      <c r="R4005" s="107">
        <v>0</v>
      </c>
      <c r="S4005" s="107">
        <v>0</v>
      </c>
      <c r="T4005" s="107">
        <v>0</v>
      </c>
      <c r="U4005" s="107"/>
      <c r="V4005" s="107"/>
      <c r="W4005" s="107"/>
      <c r="X4005" s="107"/>
      <c r="Y4005" s="107"/>
      <c r="Z4005" s="107"/>
      <c r="AA4005" s="107"/>
      <c r="AB4005" s="107"/>
      <c r="AC4005" s="355"/>
      <c r="AD4005" s="355"/>
      <c r="AE4005" s="355"/>
      <c r="AF4005" s="94">
        <f t="shared" si="529"/>
        <v>42886</v>
      </c>
      <c r="AG4005" s="185">
        <f t="shared" si="533"/>
        <v>-5.4773354196748003E-2</v>
      </c>
      <c r="AH4005" s="339" t="str">
        <f>VLOOKUP(B4005,'MF PF'!A:B,2)</f>
        <v>FdMgt1</v>
      </c>
      <c r="AI4005" s="358">
        <f t="shared" si="530"/>
        <v>0</v>
      </c>
      <c r="AJ4005" s="94">
        <f t="shared" si="531"/>
        <v>42886</v>
      </c>
    </row>
    <row r="4006" spans="1:36">
      <c r="A4006" s="8">
        <v>42916</v>
      </c>
      <c r="B4006" s="94" t="s">
        <v>189</v>
      </c>
      <c r="C4006" s="6" t="s">
        <v>344</v>
      </c>
      <c r="D4006" s="98">
        <v>34634.97</v>
      </c>
      <c r="E4006" s="9">
        <f t="shared" si="532"/>
        <v>4053.1846079774969</v>
      </c>
      <c r="F4006" s="98">
        <v>0.2084</v>
      </c>
      <c r="G4006" s="98">
        <v>0</v>
      </c>
      <c r="H4006" s="98">
        <v>0</v>
      </c>
      <c r="I4006" s="98">
        <v>0</v>
      </c>
      <c r="J4006" s="98"/>
      <c r="K4006" s="93">
        <v>8.5451252163129432</v>
      </c>
      <c r="L4006" s="93">
        <f t="shared" si="527"/>
        <v>0</v>
      </c>
      <c r="M4006" s="95">
        <f t="shared" ca="1" si="528"/>
        <v>0</v>
      </c>
      <c r="N4006" s="95">
        <f>IF(P4006="Hedge Fund",IF(A4006=Summary!$AD$3,M4006-E4006,M4006),IF(A4006=Summary!$AD$3,L4006-D4006,L4006))</f>
        <v>0</v>
      </c>
      <c r="O4006" s="95"/>
      <c r="P4006" s="107" t="s">
        <v>155</v>
      </c>
      <c r="Q4006" s="107">
        <v>0</v>
      </c>
      <c r="R4006" s="107">
        <v>0</v>
      </c>
      <c r="S4006" s="107">
        <v>0</v>
      </c>
      <c r="T4006" s="107">
        <v>0</v>
      </c>
      <c r="U4006" s="107"/>
      <c r="V4006" s="107"/>
      <c r="W4006" s="107"/>
      <c r="X4006" s="107"/>
      <c r="Y4006" s="107"/>
      <c r="Z4006" s="107"/>
      <c r="AA4006" s="107"/>
      <c r="AB4006" s="107"/>
      <c r="AC4006" s="355"/>
      <c r="AD4006" s="355"/>
      <c r="AE4006" s="355"/>
      <c r="AF4006" s="94">
        <f t="shared" si="529"/>
        <v>42916</v>
      </c>
      <c r="AG4006" s="185">
        <f t="shared" si="533"/>
        <v>-2.8865991522092238E-2</v>
      </c>
      <c r="AH4006" s="339" t="str">
        <f>VLOOKUP(B4006,'MF PF'!A:B,2)</f>
        <v>FdMgt1</v>
      </c>
      <c r="AI4006" s="358">
        <f t="shared" si="530"/>
        <v>0</v>
      </c>
      <c r="AJ4006" s="94">
        <f t="shared" si="531"/>
        <v>42916</v>
      </c>
    </row>
    <row r="4007" spans="1:36">
      <c r="A4007" s="8">
        <v>42947</v>
      </c>
      <c r="B4007" s="94" t="s">
        <v>189</v>
      </c>
      <c r="C4007" s="6" t="s">
        <v>344</v>
      </c>
      <c r="D4007" s="98">
        <v>36437.64</v>
      </c>
      <c r="E4007" s="9">
        <f t="shared" si="532"/>
        <v>4264.1434827004368</v>
      </c>
      <c r="F4007" s="98">
        <v>0.2084</v>
      </c>
      <c r="G4007" s="98">
        <v>0</v>
      </c>
      <c r="H4007" s="98">
        <v>0</v>
      </c>
      <c r="I4007" s="98">
        <v>0</v>
      </c>
      <c r="J4007" s="98"/>
      <c r="K4007" s="93">
        <v>8.5451252163129432</v>
      </c>
      <c r="L4007" s="93">
        <f t="shared" si="527"/>
        <v>0</v>
      </c>
      <c r="M4007" s="95">
        <f t="shared" ca="1" si="528"/>
        <v>0</v>
      </c>
      <c r="N4007" s="95">
        <f>IF(P4007="Hedge Fund",IF(A4007=Summary!$AD$3,M4007-E4007,M4007),IF(A4007=Summary!$AD$3,L4007-D4007,L4007))</f>
        <v>0</v>
      </c>
      <c r="O4007" s="95"/>
      <c r="P4007" s="107" t="s">
        <v>155</v>
      </c>
      <c r="Q4007" s="107">
        <v>0</v>
      </c>
      <c r="R4007" s="107">
        <v>0</v>
      </c>
      <c r="S4007" s="107">
        <v>0</v>
      </c>
      <c r="T4007" s="107">
        <v>0</v>
      </c>
      <c r="U4007" s="107"/>
      <c r="V4007" s="107"/>
      <c r="W4007" s="107"/>
      <c r="X4007" s="107"/>
      <c r="Y4007" s="107"/>
      <c r="Z4007" s="107"/>
      <c r="AA4007" s="107"/>
      <c r="AB4007" s="107"/>
      <c r="AC4007" s="355"/>
      <c r="AD4007" s="355"/>
      <c r="AE4007" s="355"/>
      <c r="AF4007" s="94">
        <f t="shared" si="529"/>
        <v>42947</v>
      </c>
      <c r="AG4007" s="185">
        <f t="shared" si="533"/>
        <v>5.2047684753299794E-2</v>
      </c>
      <c r="AH4007" s="339" t="str">
        <f>VLOOKUP(B4007,'MF PF'!A:B,2)</f>
        <v>FdMgt1</v>
      </c>
      <c r="AI4007" s="358">
        <f t="shared" si="530"/>
        <v>0</v>
      </c>
      <c r="AJ4007" s="94">
        <f t="shared" si="531"/>
        <v>42947</v>
      </c>
    </row>
    <row r="4008" spans="1:36">
      <c r="A4008" s="8">
        <v>42978</v>
      </c>
      <c r="B4008" s="94" t="s">
        <v>189</v>
      </c>
      <c r="C4008" s="6" t="s">
        <v>344</v>
      </c>
      <c r="D4008" s="98">
        <v>40400</v>
      </c>
      <c r="E4008" s="9">
        <f t="shared" si="532"/>
        <v>4727.8417784768071</v>
      </c>
      <c r="F4008" s="98">
        <v>0.2084</v>
      </c>
      <c r="G4008" s="98">
        <v>0</v>
      </c>
      <c r="H4008" s="98">
        <v>0</v>
      </c>
      <c r="I4008" s="98">
        <v>0</v>
      </c>
      <c r="J4008" s="98"/>
      <c r="K4008" s="93">
        <v>8.5451252163129432</v>
      </c>
      <c r="L4008" s="93">
        <f t="shared" si="527"/>
        <v>0</v>
      </c>
      <c r="M4008" s="95">
        <f t="shared" ca="1" si="528"/>
        <v>0</v>
      </c>
      <c r="N4008" s="95">
        <f>IF(P4008="Hedge Fund",IF(A4008=Summary!$AD$3,M4008-E4008,M4008),IF(A4008=Summary!$AD$3,L4008-D4008,L4008))</f>
        <v>0</v>
      </c>
      <c r="O4008" s="95"/>
      <c r="P4008" s="107" t="s">
        <v>155</v>
      </c>
      <c r="Q4008" s="107">
        <v>0</v>
      </c>
      <c r="R4008" s="107">
        <v>0</v>
      </c>
      <c r="S4008" s="107">
        <v>0</v>
      </c>
      <c r="T4008" s="107">
        <v>0</v>
      </c>
      <c r="U4008" s="107"/>
      <c r="V4008" s="107"/>
      <c r="W4008" s="107"/>
      <c r="X4008" s="107"/>
      <c r="Y4008" s="107"/>
      <c r="Z4008" s="107"/>
      <c r="AA4008" s="107"/>
      <c r="AB4008" s="107"/>
      <c r="AC4008" s="355"/>
      <c r="AD4008" s="355"/>
      <c r="AE4008" s="355"/>
      <c r="AF4008" s="94">
        <f t="shared" si="529"/>
        <v>42978</v>
      </c>
      <c r="AG4008" s="185">
        <f t="shared" si="533"/>
        <v>0.10874359590796767</v>
      </c>
      <c r="AH4008" s="339" t="str">
        <f>VLOOKUP(B4008,'MF PF'!A:B,2)</f>
        <v>FdMgt1</v>
      </c>
      <c r="AI4008" s="358">
        <f t="shared" si="530"/>
        <v>0</v>
      </c>
      <c r="AJ4008" s="94">
        <f t="shared" si="531"/>
        <v>42978</v>
      </c>
    </row>
    <row r="4009" spans="1:36">
      <c r="A4009" s="8">
        <v>43007</v>
      </c>
      <c r="B4009" s="94" t="s">
        <v>189</v>
      </c>
      <c r="C4009" s="6" t="s">
        <v>344</v>
      </c>
      <c r="D4009" s="98">
        <v>40300</v>
      </c>
      <c r="E4009" s="9">
        <f t="shared" si="532"/>
        <v>4716.1391998172112</v>
      </c>
      <c r="F4009" s="98">
        <v>0.2084</v>
      </c>
      <c r="G4009" s="98">
        <v>0</v>
      </c>
      <c r="H4009" s="98">
        <v>0</v>
      </c>
      <c r="I4009" s="98">
        <v>0</v>
      </c>
      <c r="J4009" s="98"/>
      <c r="K4009" s="93">
        <v>8.5451252163129432</v>
      </c>
      <c r="L4009" s="93">
        <f t="shared" si="527"/>
        <v>0</v>
      </c>
      <c r="M4009" s="95">
        <f t="shared" ca="1" si="528"/>
        <v>0</v>
      </c>
      <c r="N4009" s="95">
        <f>IF(P4009="Hedge Fund",IF(A4009=Summary!$AD$3,M4009-E4009,M4009),IF(A4009=Summary!$AD$3,L4009-D4009,L4009))</f>
        <v>0</v>
      </c>
      <c r="O4009" s="95"/>
      <c r="P4009" s="107" t="s">
        <v>155</v>
      </c>
      <c r="Q4009" s="107">
        <v>0</v>
      </c>
      <c r="R4009" s="107">
        <v>0</v>
      </c>
      <c r="S4009" s="107">
        <v>0</v>
      </c>
      <c r="T4009" s="107">
        <v>0</v>
      </c>
      <c r="U4009" s="107"/>
      <c r="V4009" s="107"/>
      <c r="W4009" s="107"/>
      <c r="X4009" s="107"/>
      <c r="Y4009" s="107"/>
      <c r="Z4009" s="107"/>
      <c r="AA4009" s="107"/>
      <c r="AB4009" s="107"/>
      <c r="AC4009" s="355"/>
      <c r="AD4009" s="355"/>
      <c r="AE4009" s="355"/>
      <c r="AF4009" s="94">
        <f t="shared" si="529"/>
        <v>43007</v>
      </c>
      <c r="AG4009" s="185">
        <f t="shared" si="533"/>
        <v>-2.4752475247524774E-3</v>
      </c>
      <c r="AH4009" s="339" t="str">
        <f>VLOOKUP(B4009,'MF PF'!A:B,2)</f>
        <v>FdMgt1</v>
      </c>
      <c r="AI4009" s="358">
        <f t="shared" si="530"/>
        <v>0</v>
      </c>
      <c r="AJ4009" s="94">
        <f t="shared" si="531"/>
        <v>43008</v>
      </c>
    </row>
    <row r="4010" spans="1:36">
      <c r="A4010" s="94">
        <v>43039</v>
      </c>
      <c r="B4010" s="94" t="s">
        <v>189</v>
      </c>
      <c r="C4010" s="6" t="s">
        <v>344</v>
      </c>
      <c r="D4010" s="98">
        <v>40100</v>
      </c>
      <c r="E4010" s="9">
        <f t="shared" si="532"/>
        <v>4692.7340424980193</v>
      </c>
      <c r="F4010" s="98">
        <v>0.2084</v>
      </c>
      <c r="G4010" s="98">
        <v>0</v>
      </c>
      <c r="H4010" s="98">
        <v>0</v>
      </c>
      <c r="I4010" s="98">
        <v>0</v>
      </c>
      <c r="J4010" s="98"/>
      <c r="K4010" s="93">
        <v>8.5451252163129432</v>
      </c>
      <c r="L4010" s="93">
        <f t="shared" si="527"/>
        <v>0</v>
      </c>
      <c r="M4010" s="95">
        <f t="shared" ca="1" si="528"/>
        <v>0</v>
      </c>
      <c r="N4010" s="95">
        <f>IF(P4010="Hedge Fund",IF(A4010=Summary!$AD$3,M4010-E4010,M4010),IF(A4010=Summary!$AD$3,L4010-D4010,L4010))</f>
        <v>0</v>
      </c>
      <c r="O4010" s="95"/>
      <c r="P4010" s="107" t="s">
        <v>155</v>
      </c>
      <c r="Q4010" s="107">
        <v>0</v>
      </c>
      <c r="R4010" s="107">
        <v>0</v>
      </c>
      <c r="S4010" s="107">
        <v>0</v>
      </c>
      <c r="T4010" s="107">
        <v>0</v>
      </c>
      <c r="U4010" s="107"/>
      <c r="V4010" s="107"/>
      <c r="W4010" s="107"/>
      <c r="X4010" s="107"/>
      <c r="Y4010" s="107"/>
      <c r="Z4010" s="107"/>
      <c r="AA4010" s="107"/>
      <c r="AB4010" s="107"/>
      <c r="AC4010" s="355"/>
      <c r="AD4010" s="355"/>
      <c r="AE4010" s="355"/>
      <c r="AF4010" s="94">
        <f t="shared" si="529"/>
        <v>43039</v>
      </c>
      <c r="AG4010" s="185">
        <f t="shared" si="533"/>
        <v>-4.9627791563275903E-3</v>
      </c>
      <c r="AH4010" s="339" t="str">
        <f>VLOOKUP(B4010,'MF PF'!A:B,2)</f>
        <v>FdMgt1</v>
      </c>
      <c r="AI4010" s="358">
        <f t="shared" si="530"/>
        <v>0</v>
      </c>
      <c r="AJ4010" s="94">
        <f t="shared" si="531"/>
        <v>43039</v>
      </c>
    </row>
    <row r="4011" spans="1:36">
      <c r="A4011" s="8">
        <v>43069</v>
      </c>
      <c r="B4011" s="94" t="s">
        <v>189</v>
      </c>
      <c r="C4011" s="6" t="s">
        <v>344</v>
      </c>
      <c r="D4011" s="98">
        <v>29800</v>
      </c>
      <c r="E4011" s="9">
        <f t="shared" ref="E4011:E4020" si="534">D4011/K4011</f>
        <v>3487.3684405596255</v>
      </c>
      <c r="F4011" s="98">
        <v>0.2084</v>
      </c>
      <c r="G4011" s="98">
        <v>0</v>
      </c>
      <c r="H4011" s="98">
        <v>0</v>
      </c>
      <c r="I4011" s="98">
        <v>-9110.3917249999995</v>
      </c>
      <c r="J4011" s="98"/>
      <c r="K4011" s="93">
        <v>8.5451252163129432</v>
      </c>
      <c r="L4011" s="93">
        <f t="shared" si="527"/>
        <v>-9110.3917249999995</v>
      </c>
      <c r="M4011" s="95">
        <f t="shared" ca="1" si="528"/>
        <v>-1066.1507578154551</v>
      </c>
      <c r="N4011" s="95">
        <f>IF(P4011="Hedge Fund",IF(A4011=Summary!$AD$3,M4011-E4011,M4011),IF(A4011=Summary!$AD$3,L4011-D4011,L4011))</f>
        <v>-9110.3917249999995</v>
      </c>
      <c r="O4011" s="95"/>
      <c r="P4011" s="107" t="s">
        <v>155</v>
      </c>
      <c r="Q4011" s="107">
        <v>0</v>
      </c>
      <c r="R4011" s="107">
        <v>0</v>
      </c>
      <c r="S4011" s="107">
        <v>0</v>
      </c>
      <c r="T4011" s="107">
        <v>0</v>
      </c>
      <c r="U4011" s="107"/>
      <c r="V4011" s="107"/>
      <c r="W4011" s="107"/>
      <c r="X4011" s="107"/>
      <c r="Y4011" s="107"/>
      <c r="Z4011" s="107"/>
      <c r="AA4011" s="107"/>
      <c r="AB4011" s="107"/>
      <c r="AC4011" s="355"/>
      <c r="AD4011" s="355"/>
      <c r="AE4011" s="355"/>
      <c r="AF4011" s="94">
        <f t="shared" si="529"/>
        <v>43069</v>
      </c>
      <c r="AG4011" s="185">
        <f t="shared" si="533"/>
        <v>-2.9666041770573526E-2</v>
      </c>
      <c r="AH4011" s="339" t="str">
        <f>VLOOKUP(B4011,'MF PF'!A:B,2)</f>
        <v>FdMgt1</v>
      </c>
      <c r="AI4011" s="358">
        <f t="shared" si="530"/>
        <v>0</v>
      </c>
      <c r="AJ4011" s="94">
        <f t="shared" si="531"/>
        <v>43069</v>
      </c>
    </row>
    <row r="4012" spans="1:36">
      <c r="A4012" s="8">
        <v>43098</v>
      </c>
      <c r="B4012" s="94" t="s">
        <v>189</v>
      </c>
      <c r="C4012" s="6" t="s">
        <v>344</v>
      </c>
      <c r="D4012" s="98">
        <v>30100</v>
      </c>
      <c r="E4012" s="9">
        <f t="shared" si="534"/>
        <v>3522.4761765384137</v>
      </c>
      <c r="F4012" s="98">
        <v>0.2084</v>
      </c>
      <c r="G4012" s="98">
        <v>0</v>
      </c>
      <c r="H4012" s="98">
        <v>0</v>
      </c>
      <c r="I4012" s="98">
        <v>0</v>
      </c>
      <c r="J4012" s="98"/>
      <c r="K4012" s="93">
        <v>8.5451252163129432</v>
      </c>
      <c r="L4012" s="93">
        <f t="shared" si="527"/>
        <v>0</v>
      </c>
      <c r="M4012" s="95">
        <f t="shared" ca="1" si="528"/>
        <v>0</v>
      </c>
      <c r="N4012" s="95">
        <f>IF(P4012="Hedge Fund",IF(A4012=Summary!$AD$3,M4012-E4012,M4012),IF(A4012=Summary!$AD$3,L4012-D4012,L4012))</f>
        <v>0</v>
      </c>
      <c r="O4012" s="95"/>
      <c r="P4012" s="107" t="s">
        <v>155</v>
      </c>
      <c r="Q4012" s="107">
        <v>0</v>
      </c>
      <c r="R4012" s="107">
        <v>0</v>
      </c>
      <c r="S4012" s="107">
        <v>0</v>
      </c>
      <c r="T4012" s="107">
        <v>0</v>
      </c>
      <c r="U4012" s="107"/>
      <c r="V4012" s="107"/>
      <c r="W4012" s="107"/>
      <c r="X4012" s="107"/>
      <c r="Y4012" s="107"/>
      <c r="Z4012" s="107"/>
      <c r="AA4012" s="107"/>
      <c r="AB4012" s="107"/>
      <c r="AC4012" s="355"/>
      <c r="AD4012" s="355"/>
      <c r="AE4012" s="355"/>
      <c r="AF4012" s="94">
        <f t="shared" si="529"/>
        <v>43098</v>
      </c>
      <c r="AG4012" s="185">
        <f t="shared" si="533"/>
        <v>1.0067114093959662E-2</v>
      </c>
      <c r="AH4012" s="339" t="str">
        <f>VLOOKUP(B4012,'MF PF'!A:B,2)</f>
        <v>FdMgt1</v>
      </c>
      <c r="AI4012" s="358">
        <f t="shared" si="530"/>
        <v>0</v>
      </c>
      <c r="AJ4012" s="94">
        <f t="shared" si="531"/>
        <v>43100</v>
      </c>
    </row>
    <row r="4013" spans="1:36">
      <c r="A4013" s="8">
        <v>43131</v>
      </c>
      <c r="B4013" s="94" t="s">
        <v>189</v>
      </c>
      <c r="C4013" s="6" t="s">
        <v>344</v>
      </c>
      <c r="D4013" s="98">
        <v>30700</v>
      </c>
      <c r="E4013" s="9">
        <f t="shared" si="534"/>
        <v>3592.6916484959897</v>
      </c>
      <c r="F4013" s="98">
        <v>0.2084</v>
      </c>
      <c r="G4013" s="98">
        <v>0</v>
      </c>
      <c r="H4013" s="98">
        <v>0</v>
      </c>
      <c r="I4013" s="98">
        <v>0</v>
      </c>
      <c r="J4013" s="98"/>
      <c r="K4013" s="93">
        <v>8.5451252163129432</v>
      </c>
      <c r="L4013" s="93">
        <f t="shared" si="527"/>
        <v>0</v>
      </c>
      <c r="M4013" s="95">
        <f t="shared" ca="1" si="528"/>
        <v>0</v>
      </c>
      <c r="N4013" s="95">
        <f>IF(P4013="Hedge Fund",IF(A4013=Summary!$AD$3,M4013-E4013,M4013),IF(A4013=Summary!$AD$3,L4013-D4013,L4013))</f>
        <v>0</v>
      </c>
      <c r="O4013" s="95"/>
      <c r="P4013" s="107" t="s">
        <v>155</v>
      </c>
      <c r="Q4013" s="107">
        <v>0</v>
      </c>
      <c r="R4013" s="107">
        <v>0</v>
      </c>
      <c r="S4013" s="107">
        <v>0</v>
      </c>
      <c r="T4013" s="107">
        <v>0</v>
      </c>
      <c r="U4013" s="107"/>
      <c r="V4013" s="107"/>
      <c r="W4013" s="107"/>
      <c r="X4013" s="107"/>
      <c r="Y4013" s="107"/>
      <c r="Z4013" s="107"/>
      <c r="AA4013" s="107"/>
      <c r="AB4013" s="107"/>
      <c r="AC4013" s="355"/>
      <c r="AD4013" s="355"/>
      <c r="AE4013" s="355"/>
      <c r="AF4013" s="94">
        <f t="shared" si="529"/>
        <v>43131</v>
      </c>
      <c r="AG4013" s="185">
        <f t="shared" si="533"/>
        <v>1.9933554817275656E-2</v>
      </c>
      <c r="AH4013" s="339" t="str">
        <f>VLOOKUP(B4013,'MF PF'!A:B,2)</f>
        <v>FdMgt1</v>
      </c>
      <c r="AI4013" s="358">
        <f t="shared" si="530"/>
        <v>0</v>
      </c>
      <c r="AJ4013" s="94">
        <f t="shared" si="531"/>
        <v>43131</v>
      </c>
    </row>
    <row r="4014" spans="1:36">
      <c r="A4014" s="8">
        <v>43159</v>
      </c>
      <c r="B4014" s="94" t="s">
        <v>189</v>
      </c>
      <c r="C4014" s="6" t="s">
        <v>344</v>
      </c>
      <c r="D4014" s="98">
        <v>29800</v>
      </c>
      <c r="E4014" s="9">
        <f t="shared" si="534"/>
        <v>3487.3684405596255</v>
      </c>
      <c r="F4014" s="98">
        <v>0.2084</v>
      </c>
      <c r="G4014" s="98">
        <v>0</v>
      </c>
      <c r="H4014" s="98">
        <v>0</v>
      </c>
      <c r="I4014" s="98">
        <v>0</v>
      </c>
      <c r="J4014" s="98"/>
      <c r="K4014" s="93">
        <v>8.5451252163129432</v>
      </c>
      <c r="L4014" s="93">
        <f t="shared" si="527"/>
        <v>0</v>
      </c>
      <c r="M4014" s="95">
        <f t="shared" ca="1" si="528"/>
        <v>0</v>
      </c>
      <c r="N4014" s="95">
        <f>IF(P4014="Hedge Fund",IF(A4014=Summary!$AD$3,M4014-E4014,M4014),IF(A4014=Summary!$AD$3,L4014-D4014,L4014))</f>
        <v>0</v>
      </c>
      <c r="O4014" s="95"/>
      <c r="P4014" s="107" t="s">
        <v>155</v>
      </c>
      <c r="Q4014" s="107">
        <v>0</v>
      </c>
      <c r="R4014" s="107">
        <v>0</v>
      </c>
      <c r="S4014" s="107">
        <v>0</v>
      </c>
      <c r="T4014" s="107">
        <v>0</v>
      </c>
      <c r="U4014" s="107"/>
      <c r="V4014" s="107"/>
      <c r="W4014" s="107"/>
      <c r="X4014" s="107"/>
      <c r="Y4014" s="107"/>
      <c r="Z4014" s="107"/>
      <c r="AA4014" s="107"/>
      <c r="AB4014" s="107"/>
      <c r="AC4014" s="355"/>
      <c r="AD4014" s="355"/>
      <c r="AE4014" s="355"/>
      <c r="AF4014" s="94">
        <f t="shared" si="529"/>
        <v>43159</v>
      </c>
      <c r="AG4014" s="185">
        <f t="shared" si="533"/>
        <v>-2.931596091205213E-2</v>
      </c>
      <c r="AH4014" s="339" t="str">
        <f>VLOOKUP(B4014,'MF PF'!A:B,2)</f>
        <v>FdMgt1</v>
      </c>
      <c r="AI4014" s="358">
        <f t="shared" si="530"/>
        <v>0</v>
      </c>
      <c r="AJ4014" s="94">
        <f t="shared" si="531"/>
        <v>43159</v>
      </c>
    </row>
    <row r="4015" spans="1:36">
      <c r="A4015" s="8">
        <v>43188</v>
      </c>
      <c r="B4015" s="94" t="s">
        <v>189</v>
      </c>
      <c r="C4015" s="6" t="s">
        <v>344</v>
      </c>
      <c r="D4015" s="110">
        <v>29936.85</v>
      </c>
      <c r="E4015" s="9">
        <f t="shared" si="534"/>
        <v>3503.3834194552824</v>
      </c>
      <c r="F4015" s="98">
        <v>0.2084</v>
      </c>
      <c r="G4015" s="98">
        <v>0</v>
      </c>
      <c r="H4015" s="98">
        <v>0</v>
      </c>
      <c r="I4015" s="98">
        <v>0</v>
      </c>
      <c r="J4015" s="98"/>
      <c r="K4015" s="93">
        <v>8.5451252163129432</v>
      </c>
      <c r="L4015" s="93">
        <f t="shared" si="527"/>
        <v>0</v>
      </c>
      <c r="M4015" s="95">
        <f t="shared" ca="1" si="528"/>
        <v>0</v>
      </c>
      <c r="N4015" s="95">
        <f>IF(P4015="Hedge Fund",IF(A4015=Summary!$AD$3,M4015-E4015,M4015),IF(A4015=Summary!$AD$3,L4015-D4015,L4015))</f>
        <v>0</v>
      </c>
      <c r="O4015" s="95"/>
      <c r="P4015" s="107" t="s">
        <v>155</v>
      </c>
      <c r="Q4015" s="109">
        <v>0</v>
      </c>
      <c r="R4015" s="109">
        <v>0</v>
      </c>
      <c r="S4015" s="107">
        <v>0</v>
      </c>
      <c r="T4015" s="107">
        <v>0</v>
      </c>
      <c r="U4015" s="107"/>
      <c r="V4015" s="107"/>
      <c r="W4015" s="107"/>
      <c r="X4015" s="107"/>
      <c r="Y4015" s="107"/>
      <c r="Z4015" s="107"/>
      <c r="AA4015" s="107"/>
      <c r="AB4015" s="107"/>
      <c r="AC4015" s="355"/>
      <c r="AD4015" s="355"/>
      <c r="AE4015" s="355"/>
      <c r="AF4015" s="94">
        <f t="shared" si="529"/>
        <v>43188</v>
      </c>
      <c r="AG4015" s="185">
        <f t="shared" si="533"/>
        <v>4.5922818791945819E-3</v>
      </c>
      <c r="AH4015" s="339" t="str">
        <f>VLOOKUP(B4015,'MF PF'!A:B,2)</f>
        <v>FdMgt1</v>
      </c>
      <c r="AI4015" s="358">
        <f t="shared" si="530"/>
        <v>0</v>
      </c>
      <c r="AJ4015" s="94">
        <f t="shared" si="531"/>
        <v>43190</v>
      </c>
    </row>
    <row r="4016" spans="1:36">
      <c r="A4016" s="8">
        <v>43220</v>
      </c>
      <c r="B4016" s="94" t="s">
        <v>189</v>
      </c>
      <c r="C4016" s="6" t="s">
        <v>344</v>
      </c>
      <c r="D4016" s="110">
        <v>18101.07</v>
      </c>
      <c r="E4016" s="9">
        <f t="shared" si="534"/>
        <v>2118.2919549785443</v>
      </c>
      <c r="F4016" s="98">
        <v>0.2084</v>
      </c>
      <c r="G4016" s="98">
        <v>0</v>
      </c>
      <c r="H4016" s="98">
        <v>0</v>
      </c>
      <c r="I4016" s="98">
        <v>-12107.51</v>
      </c>
      <c r="J4016" s="98"/>
      <c r="K4016" s="93">
        <v>8.5451252163129432</v>
      </c>
      <c r="L4016" s="93">
        <f t="shared" si="527"/>
        <v>-12107.51</v>
      </c>
      <c r="M4016" s="95">
        <f t="shared" ca="1" si="528"/>
        <v>-1416.8908814684587</v>
      </c>
      <c r="N4016" s="95">
        <f>IF(P4016="Hedge Fund",IF(A4016=Summary!$AD$3,M4016-E4016,M4016),IF(A4016=Summary!$AD$3,L4016-D4016,L4016))</f>
        <v>-12107.51</v>
      </c>
      <c r="O4016" s="95"/>
      <c r="P4016" s="107" t="s">
        <v>155</v>
      </c>
      <c r="Q4016" s="109">
        <v>0</v>
      </c>
      <c r="R4016" s="109">
        <v>0</v>
      </c>
      <c r="S4016" s="107">
        <v>0</v>
      </c>
      <c r="T4016" s="107">
        <v>0</v>
      </c>
      <c r="U4016" s="107"/>
      <c r="V4016" s="107"/>
      <c r="W4016" s="107"/>
      <c r="X4016" s="107"/>
      <c r="Y4016" s="107"/>
      <c r="Z4016" s="107"/>
      <c r="AA4016" s="107"/>
      <c r="AB4016" s="107"/>
      <c r="AC4016" s="355"/>
      <c r="AD4016" s="355"/>
      <c r="AE4016" s="355"/>
      <c r="AF4016" s="94">
        <f t="shared" si="529"/>
        <v>43220</v>
      </c>
      <c r="AG4016" s="185">
        <f t="shared" si="533"/>
        <v>9.0767732744094776E-3</v>
      </c>
      <c r="AH4016" s="339" t="str">
        <f>VLOOKUP(B4016,'MF PF'!A:B,2)</f>
        <v>FdMgt1</v>
      </c>
      <c r="AI4016" s="358">
        <f t="shared" si="530"/>
        <v>0</v>
      </c>
      <c r="AJ4016" s="94">
        <f t="shared" si="531"/>
        <v>43220</v>
      </c>
    </row>
    <row r="4017" spans="1:36">
      <c r="A4017" s="94">
        <v>43251</v>
      </c>
      <c r="B4017" s="358" t="s">
        <v>189</v>
      </c>
      <c r="C4017" s="94" t="s">
        <v>344</v>
      </c>
      <c r="D4017" s="110">
        <v>17384.580000000002</v>
      </c>
      <c r="E4017" s="9">
        <f t="shared" si="534"/>
        <v>2034.4441491404045</v>
      </c>
      <c r="F4017" s="98">
        <v>0.2084</v>
      </c>
      <c r="G4017" s="98">
        <v>0</v>
      </c>
      <c r="H4017" s="98">
        <v>0</v>
      </c>
      <c r="I4017" s="98">
        <v>0</v>
      </c>
      <c r="J4017" s="98"/>
      <c r="K4017" s="93">
        <v>8.5451252163129432</v>
      </c>
      <c r="L4017" s="93">
        <f t="shared" si="527"/>
        <v>0</v>
      </c>
      <c r="M4017" s="95">
        <f t="shared" ca="1" si="528"/>
        <v>0</v>
      </c>
      <c r="N4017" s="95">
        <f>IF(P4017="Hedge Fund",IF(A4017=Summary!$AD$3,M4017-E4017,M4017),IF(A4017=Summary!$AD$3,L4017-D4017,L4017))</f>
        <v>0</v>
      </c>
      <c r="O4017" s="95"/>
      <c r="P4017" s="107" t="s">
        <v>155</v>
      </c>
      <c r="Q4017" s="107">
        <v>0</v>
      </c>
      <c r="R4017" s="107">
        <v>0</v>
      </c>
      <c r="S4017" s="107">
        <v>0</v>
      </c>
      <c r="T4017" s="107">
        <v>0</v>
      </c>
      <c r="U4017" s="107"/>
      <c r="V4017" s="107"/>
      <c r="W4017" s="107"/>
      <c r="X4017" s="107"/>
      <c r="Y4017" s="107"/>
      <c r="Z4017" s="107"/>
      <c r="AA4017" s="107"/>
      <c r="AB4017" s="107"/>
      <c r="AC4017" s="355"/>
      <c r="AD4017" s="355"/>
      <c r="AE4017" s="355"/>
      <c r="AF4017" s="94">
        <f t="shared" si="529"/>
        <v>43251</v>
      </c>
      <c r="AG4017" s="185">
        <f t="shared" si="533"/>
        <v>-3.9582742898624068E-2</v>
      </c>
      <c r="AH4017" s="339" t="str">
        <f>VLOOKUP(B4017,'MF PF'!A:B,2)</f>
        <v>FdMgt1</v>
      </c>
      <c r="AI4017" s="358">
        <f t="shared" si="530"/>
        <v>0</v>
      </c>
      <c r="AJ4017" s="94">
        <f t="shared" si="531"/>
        <v>43251</v>
      </c>
    </row>
    <row r="4018" spans="1:36">
      <c r="A4018" s="8">
        <v>43280</v>
      </c>
      <c r="B4018" s="358" t="s">
        <v>189</v>
      </c>
      <c r="C4018" s="94" t="s">
        <v>344</v>
      </c>
      <c r="D4018" s="110">
        <v>16813.3</v>
      </c>
      <c r="E4018" s="9">
        <f t="shared" si="534"/>
        <v>1967.589657773864</v>
      </c>
      <c r="F4018" s="98">
        <v>0.2084</v>
      </c>
      <c r="G4018" s="98">
        <v>0</v>
      </c>
      <c r="H4018" s="98">
        <v>0</v>
      </c>
      <c r="I4018" s="98">
        <v>0</v>
      </c>
      <c r="J4018" s="98"/>
      <c r="K4018" s="93">
        <v>8.5451252163129432</v>
      </c>
      <c r="L4018" s="93">
        <f t="shared" si="527"/>
        <v>0</v>
      </c>
      <c r="M4018" s="95">
        <f t="shared" ca="1" si="528"/>
        <v>0</v>
      </c>
      <c r="N4018" s="95">
        <f>IF(P4018="Hedge Fund",IF(A4018=Summary!$AD$3,M4018-E4018,M4018),IF(A4018=Summary!$AD$3,L4018-D4018,L4018))</f>
        <v>0</v>
      </c>
      <c r="O4018" s="95"/>
      <c r="P4018" s="107" t="s">
        <v>155</v>
      </c>
      <c r="Q4018" s="107">
        <v>0</v>
      </c>
      <c r="R4018" s="107">
        <v>0</v>
      </c>
      <c r="S4018" s="107">
        <v>0</v>
      </c>
      <c r="T4018" s="107">
        <v>0</v>
      </c>
      <c r="U4018" s="107"/>
      <c r="V4018" s="107"/>
      <c r="W4018" s="107"/>
      <c r="X4018" s="107"/>
      <c r="Y4018" s="107"/>
      <c r="Z4018" s="107"/>
      <c r="AA4018" s="107"/>
      <c r="AB4018" s="107"/>
      <c r="AC4018" s="355"/>
      <c r="AD4018" s="355"/>
      <c r="AE4018" s="355"/>
      <c r="AF4018" s="94">
        <f t="shared" si="529"/>
        <v>43280</v>
      </c>
      <c r="AG4018" s="185">
        <f t="shared" si="533"/>
        <v>-3.2861305823896902E-2</v>
      </c>
      <c r="AH4018" s="339" t="str">
        <f>VLOOKUP(B4018,'MF PF'!A:B,2)</f>
        <v>FdMgt1</v>
      </c>
      <c r="AI4018" s="358">
        <f t="shared" si="530"/>
        <v>0</v>
      </c>
      <c r="AJ4018" s="94">
        <f t="shared" si="531"/>
        <v>43281</v>
      </c>
    </row>
    <row r="4019" spans="1:36">
      <c r="A4019" s="8">
        <v>43312</v>
      </c>
      <c r="B4019" s="358" t="s">
        <v>189</v>
      </c>
      <c r="C4019" s="94" t="s">
        <v>344</v>
      </c>
      <c r="D4019" s="110">
        <v>16744.148000000001</v>
      </c>
      <c r="E4019" s="9">
        <f t="shared" si="534"/>
        <v>1959.4970905791804</v>
      </c>
      <c r="F4019" s="98">
        <v>0.2084</v>
      </c>
      <c r="G4019" s="98">
        <v>0</v>
      </c>
      <c r="H4019" s="98">
        <v>0</v>
      </c>
      <c r="I4019" s="98">
        <v>0</v>
      </c>
      <c r="J4019" s="98"/>
      <c r="K4019" s="93">
        <v>8.5451252163129432</v>
      </c>
      <c r="L4019" s="93">
        <f t="shared" si="527"/>
        <v>0</v>
      </c>
      <c r="M4019" s="95">
        <f t="shared" ca="1" si="528"/>
        <v>0</v>
      </c>
      <c r="N4019" s="95">
        <f>IF(P4019="Hedge Fund",IF(A4019=Summary!$AD$3,M4019-E4019,M4019),IF(A4019=Summary!$AD$3,L4019-D4019,L4019))</f>
        <v>0</v>
      </c>
      <c r="O4019" s="95"/>
      <c r="P4019" s="107" t="s">
        <v>155</v>
      </c>
      <c r="Q4019" s="107">
        <v>0</v>
      </c>
      <c r="R4019" s="107">
        <v>0</v>
      </c>
      <c r="S4019" s="107">
        <v>0</v>
      </c>
      <c r="T4019" s="107">
        <v>0</v>
      </c>
      <c r="U4019" s="107"/>
      <c r="V4019" s="107"/>
      <c r="W4019" s="107"/>
      <c r="X4019" s="107"/>
      <c r="Y4019" s="107"/>
      <c r="Z4019" s="107"/>
      <c r="AA4019" s="107"/>
      <c r="AB4019" s="107"/>
      <c r="AC4019" s="355"/>
      <c r="AD4019" s="355"/>
      <c r="AE4019" s="355"/>
      <c r="AF4019" s="94">
        <f t="shared" si="529"/>
        <v>43312</v>
      </c>
      <c r="AG4019" s="185">
        <f t="shared" si="533"/>
        <v>-4.1129344031212156E-3</v>
      </c>
      <c r="AH4019" s="339" t="str">
        <f>VLOOKUP(B4019,'MF PF'!A:B,2)</f>
        <v>FdMgt1</v>
      </c>
      <c r="AI4019" s="358">
        <f t="shared" si="530"/>
        <v>0</v>
      </c>
      <c r="AJ4019" s="94">
        <f t="shared" si="531"/>
        <v>43312</v>
      </c>
    </row>
    <row r="4020" spans="1:36">
      <c r="A4020" s="8">
        <v>43343</v>
      </c>
      <c r="B4020" s="358" t="s">
        <v>189</v>
      </c>
      <c r="C4020" s="94" t="s">
        <v>344</v>
      </c>
      <c r="D4020" s="110">
        <v>16687.759999999998</v>
      </c>
      <c r="E4020" s="9">
        <f t="shared" si="534"/>
        <v>1952.898240524607</v>
      </c>
      <c r="F4020" s="98">
        <v>0.2084</v>
      </c>
      <c r="G4020" s="98">
        <v>0</v>
      </c>
      <c r="H4020" s="98">
        <v>0</v>
      </c>
      <c r="I4020" s="98">
        <v>0</v>
      </c>
      <c r="J4020" s="98"/>
      <c r="K4020" s="93">
        <v>8.5451252163129432</v>
      </c>
      <c r="L4020" s="93">
        <f t="shared" si="527"/>
        <v>0</v>
      </c>
      <c r="M4020" s="95">
        <f t="shared" ca="1" si="528"/>
        <v>0</v>
      </c>
      <c r="N4020" s="95">
        <f>IF(P4020="Hedge Fund",IF(A4020=Summary!$AD$3,M4020-E4020,M4020),IF(A4020=Summary!$AD$3,L4020-D4020,L4020))</f>
        <v>0</v>
      </c>
      <c r="O4020" s="95"/>
      <c r="P4020" s="107" t="s">
        <v>155</v>
      </c>
      <c r="Q4020" s="107">
        <v>0</v>
      </c>
      <c r="R4020" s="107">
        <v>0</v>
      </c>
      <c r="S4020" s="107">
        <v>0</v>
      </c>
      <c r="T4020" s="107">
        <v>0</v>
      </c>
      <c r="U4020" s="107"/>
      <c r="V4020" s="107"/>
      <c r="W4020" s="107"/>
      <c r="X4020" s="107"/>
      <c r="Y4020" s="107"/>
      <c r="Z4020" s="107"/>
      <c r="AA4020" s="107"/>
      <c r="AB4020" s="107"/>
      <c r="AC4020" s="355"/>
      <c r="AD4020" s="355"/>
      <c r="AE4020" s="355"/>
      <c r="AF4020" s="94">
        <f t="shared" si="529"/>
        <v>43343</v>
      </c>
      <c r="AG4020" s="185">
        <f t="shared" si="533"/>
        <v>-3.3676243186576693E-3</v>
      </c>
      <c r="AH4020" s="339" t="str">
        <f>VLOOKUP(B4020,'MF PF'!A:B,2)</f>
        <v>FdMgt1</v>
      </c>
      <c r="AI4020" s="358">
        <f t="shared" si="530"/>
        <v>0</v>
      </c>
      <c r="AJ4020" s="94">
        <f t="shared" si="531"/>
        <v>43343</v>
      </c>
    </row>
    <row r="4021" spans="1:36">
      <c r="A4021" s="8">
        <v>43371</v>
      </c>
      <c r="B4021" s="358" t="s">
        <v>189</v>
      </c>
      <c r="C4021" s="6" t="s">
        <v>344</v>
      </c>
      <c r="D4021" s="110">
        <v>16036.61</v>
      </c>
      <c r="F4021" s="98">
        <v>0.2084</v>
      </c>
      <c r="G4021" s="98"/>
      <c r="H4021" s="93">
        <v>0</v>
      </c>
      <c r="I4021" s="93">
        <v>0</v>
      </c>
      <c r="K4021" s="93">
        <v>0</v>
      </c>
      <c r="L4021" s="93">
        <f t="shared" si="527"/>
        <v>0</v>
      </c>
      <c r="M4021" s="95" t="e">
        <f t="shared" ca="1" si="528"/>
        <v>#DIV/0!</v>
      </c>
      <c r="N4021" s="95">
        <f>IF(P4021="Hedge Fund",IF(A4021=Summary!$AD$3,M4021-E4021,M4021),IF(A4021=Summary!$AD$3,L4021-D4021,L4021))</f>
        <v>0</v>
      </c>
      <c r="O4021" s="95"/>
      <c r="P4021" s="95" t="s">
        <v>155</v>
      </c>
      <c r="Q4021" s="95">
        <v>0</v>
      </c>
      <c r="R4021" s="95">
        <v>0</v>
      </c>
      <c r="S4021" s="95"/>
      <c r="T4021" s="95"/>
      <c r="U4021" s="95"/>
      <c r="V4021" s="95"/>
      <c r="W4021" s="95"/>
      <c r="X4021" s="95"/>
      <c r="Y4021" s="95"/>
      <c r="Z4021" s="95"/>
      <c r="AA4021" s="95"/>
      <c r="AB4021" s="95"/>
      <c r="AC4021" s="355"/>
      <c r="AD4021" s="355"/>
      <c r="AE4021" s="355"/>
      <c r="AF4021" s="94">
        <f t="shared" si="529"/>
        <v>43371</v>
      </c>
      <c r="AG4021" s="185">
        <f t="shared" si="533"/>
        <v>-3.9019616773011911E-2</v>
      </c>
      <c r="AH4021" s="339" t="str">
        <f>VLOOKUP(B4021,'MF PF'!A:B,2)</f>
        <v>FdMgt1</v>
      </c>
      <c r="AI4021" s="358">
        <f t="shared" si="530"/>
        <v>0</v>
      </c>
      <c r="AJ4021" s="94">
        <f t="shared" si="531"/>
        <v>43373</v>
      </c>
    </row>
    <row r="4022" spans="1:36">
      <c r="A4022" s="8">
        <v>43404</v>
      </c>
      <c r="B4022" s="358" t="s">
        <v>189</v>
      </c>
      <c r="C4022" s="6" t="s">
        <v>344</v>
      </c>
      <c r="D4022" s="93">
        <v>15170.27</v>
      </c>
      <c r="F4022" s="98">
        <v>0.2084</v>
      </c>
      <c r="G4022" s="93"/>
      <c r="H4022" s="93">
        <v>0</v>
      </c>
      <c r="I4022" s="93">
        <v>-762.82</v>
      </c>
      <c r="J4022" s="93">
        <v>0</v>
      </c>
      <c r="K4022" s="93"/>
      <c r="L4022" s="93">
        <f t="shared" si="527"/>
        <v>-762.82</v>
      </c>
      <c r="M4022" s="95" t="e">
        <f t="shared" ca="1" si="528"/>
        <v>#DIV/0!</v>
      </c>
      <c r="N4022" s="95">
        <f>IF(P4022="Hedge Fund",IF(A4022=Summary!$AD$3,M4022-E4022,M4022),IF(A4022=Summary!$AD$3,L4022-D4022,L4022))</f>
        <v>-762.82</v>
      </c>
      <c r="O4022" s="95"/>
      <c r="P4022" s="95" t="s">
        <v>155</v>
      </c>
      <c r="Q4022" s="95">
        <v>0</v>
      </c>
      <c r="R4022" s="95">
        <v>0</v>
      </c>
      <c r="S4022" s="95"/>
      <c r="T4022" s="95"/>
      <c r="U4022" s="95"/>
      <c r="V4022" s="95"/>
      <c r="W4022" s="95"/>
      <c r="X4022" s="95"/>
      <c r="Y4022" s="95"/>
      <c r="Z4022" s="95"/>
      <c r="AA4022" s="95"/>
      <c r="AB4022" s="95"/>
      <c r="AC4022" s="355"/>
      <c r="AD4022" s="355"/>
      <c r="AE4022" s="355"/>
      <c r="AF4022" s="94">
        <f t="shared" si="529"/>
        <v>43404</v>
      </c>
      <c r="AG4022" s="185">
        <f t="shared" si="533"/>
        <v>-6.45522962770817E-3</v>
      </c>
      <c r="AH4022" s="339" t="str">
        <f>VLOOKUP(B4022,'MF PF'!A:B,2)</f>
        <v>FdMgt1</v>
      </c>
      <c r="AI4022" s="358">
        <f t="shared" si="530"/>
        <v>0</v>
      </c>
      <c r="AJ4022" s="94">
        <f t="shared" si="531"/>
        <v>43404</v>
      </c>
    </row>
    <row r="4023" spans="1:36">
      <c r="A4023" s="8">
        <v>43434</v>
      </c>
      <c r="B4023" s="358" t="s">
        <v>189</v>
      </c>
      <c r="C4023" s="6" t="s">
        <v>344</v>
      </c>
      <c r="D4023" s="93">
        <v>15044.41</v>
      </c>
      <c r="F4023" s="98">
        <v>0.2084</v>
      </c>
      <c r="G4023" s="93"/>
      <c r="H4023" s="93">
        <v>0</v>
      </c>
      <c r="I4023" s="93">
        <v>0</v>
      </c>
      <c r="K4023" s="93">
        <v>0</v>
      </c>
      <c r="L4023" s="93">
        <f t="shared" si="527"/>
        <v>0</v>
      </c>
      <c r="M4023" s="95" t="e">
        <f t="shared" ca="1" si="528"/>
        <v>#DIV/0!</v>
      </c>
      <c r="N4023" s="95">
        <f>IF(P4023="Hedge Fund",IF(A4023=Summary!$AD$3,M4023-E4023,M4023),IF(A4023=Summary!$AD$3,L4023-D4023,L4023))</f>
        <v>0</v>
      </c>
      <c r="O4023" s="95"/>
      <c r="P4023" s="95" t="s">
        <v>155</v>
      </c>
      <c r="Q4023" s="95">
        <v>0</v>
      </c>
      <c r="R4023" s="95">
        <v>0</v>
      </c>
      <c r="S4023" s="95"/>
      <c r="T4023" s="95"/>
      <c r="U4023" s="95"/>
      <c r="V4023" s="95"/>
      <c r="W4023" s="95"/>
      <c r="X4023" s="95"/>
      <c r="Y4023" s="95"/>
      <c r="Z4023" s="95"/>
      <c r="AA4023" s="95"/>
      <c r="AB4023" s="95"/>
      <c r="AC4023" s="355"/>
      <c r="AD4023" s="355"/>
      <c r="AE4023" s="355"/>
      <c r="AF4023" s="94">
        <f t="shared" si="529"/>
        <v>43434</v>
      </c>
      <c r="AG4023" s="185">
        <f t="shared" si="533"/>
        <v>-8.2964904382057947E-3</v>
      </c>
      <c r="AH4023" s="339" t="str">
        <f>VLOOKUP(B4023,'MF PF'!A:B,2)</f>
        <v>FdMgt1</v>
      </c>
      <c r="AI4023" s="358">
        <f t="shared" si="530"/>
        <v>0</v>
      </c>
      <c r="AJ4023" s="94">
        <f t="shared" si="531"/>
        <v>43434</v>
      </c>
    </row>
    <row r="4024" spans="1:36">
      <c r="A4024" s="8">
        <v>43465</v>
      </c>
      <c r="B4024" s="358" t="s">
        <v>189</v>
      </c>
      <c r="C4024" s="6" t="s">
        <v>344</v>
      </c>
      <c r="D4024" s="93">
        <v>12679.21</v>
      </c>
      <c r="F4024" s="93">
        <v>0.21</v>
      </c>
      <c r="G4024" s="93"/>
      <c r="H4024" s="93">
        <v>0</v>
      </c>
      <c r="I4024" s="93">
        <v>0</v>
      </c>
      <c r="K4024" s="93">
        <v>0</v>
      </c>
      <c r="L4024" s="93">
        <f t="shared" si="527"/>
        <v>0</v>
      </c>
      <c r="M4024" s="95" t="e">
        <f t="shared" ca="1" si="528"/>
        <v>#DIV/0!</v>
      </c>
      <c r="N4024" s="95">
        <f>IF(P4024="Hedge Fund",IF(A4024=Summary!$AD$3,M4024-E4024,M4024),IF(A4024=Summary!$AD$3,L4024-D4024,L4024))</f>
        <v>0</v>
      </c>
      <c r="O4024" s="95"/>
      <c r="P4024" s="95" t="s">
        <v>155</v>
      </c>
      <c r="Q4024" s="95">
        <v>0</v>
      </c>
      <c r="R4024" s="95">
        <v>0</v>
      </c>
      <c r="S4024" s="95"/>
      <c r="T4024" s="95"/>
      <c r="U4024" s="95"/>
      <c r="V4024" s="95"/>
      <c r="W4024" s="95"/>
      <c r="X4024" s="95"/>
      <c r="Y4024" s="95"/>
      <c r="Z4024" s="95"/>
      <c r="AA4024" s="95"/>
      <c r="AB4024" s="95"/>
      <c r="AC4024" s="355"/>
      <c r="AD4024" s="355"/>
      <c r="AE4024" s="355"/>
      <c r="AF4024" s="94">
        <f t="shared" si="529"/>
        <v>43465</v>
      </c>
      <c r="AG4024" s="185">
        <f t="shared" si="533"/>
        <v>-0.1572145401514583</v>
      </c>
      <c r="AH4024" s="339" t="str">
        <f>VLOOKUP(B4024,'MF PF'!A:B,2)</f>
        <v>FdMgt1</v>
      </c>
      <c r="AI4024" s="358">
        <f t="shared" si="530"/>
        <v>0</v>
      </c>
      <c r="AJ4024" s="94">
        <f t="shared" si="531"/>
        <v>43465</v>
      </c>
    </row>
    <row r="4025" spans="1:36">
      <c r="A4025" s="94">
        <v>43496</v>
      </c>
      <c r="B4025" s="358" t="s">
        <v>189</v>
      </c>
      <c r="C4025" s="6" t="s">
        <v>344</v>
      </c>
      <c r="D4025" s="93">
        <v>13262.05</v>
      </c>
      <c r="F4025" s="93">
        <v>0.21</v>
      </c>
      <c r="G4025" s="93"/>
      <c r="H4025" s="93">
        <v>0</v>
      </c>
      <c r="I4025" s="93">
        <v>0</v>
      </c>
      <c r="K4025" s="93">
        <v>0</v>
      </c>
      <c r="L4025" s="93">
        <f t="shared" si="527"/>
        <v>0</v>
      </c>
      <c r="M4025" s="95" t="e">
        <f t="shared" ca="1" si="528"/>
        <v>#DIV/0!</v>
      </c>
      <c r="N4025" s="95">
        <f>IF(P4025="Hedge Fund",IF(A4025=Summary!$AD$3,M4025-E4025,M4025),IF(A4025=Summary!$AD$3,L4025-D4025,L4025))</f>
        <v>-13262.05</v>
      </c>
      <c r="O4025" s="95">
        <f>N4025</f>
        <v>-13262.05</v>
      </c>
      <c r="P4025" s="95" t="s">
        <v>155</v>
      </c>
      <c r="Q4025" s="95">
        <v>0</v>
      </c>
      <c r="R4025" s="95">
        <v>0</v>
      </c>
      <c r="S4025" s="95"/>
      <c r="T4025" s="95"/>
      <c r="U4025" s="95"/>
      <c r="V4025" s="95"/>
      <c r="W4025" s="95"/>
      <c r="X4025" s="95"/>
      <c r="Y4025" s="95"/>
      <c r="Z4025" s="95"/>
      <c r="AA4025" s="95"/>
      <c r="AB4025" s="95"/>
      <c r="AC4025" s="355"/>
      <c r="AD4025" s="355"/>
      <c r="AE4025" s="355"/>
      <c r="AF4025" s="94">
        <f t="shared" si="529"/>
        <v>43496</v>
      </c>
      <c r="AG4025" s="185">
        <f t="shared" si="533"/>
        <v>4.5968163631645798E-2</v>
      </c>
      <c r="AH4025" s="339" t="str">
        <f>VLOOKUP(B4025,'MF PF'!A:B,2)</f>
        <v>FdMgt1</v>
      </c>
      <c r="AI4025" s="358">
        <f t="shared" si="530"/>
        <v>0</v>
      </c>
      <c r="AJ4025" s="94">
        <f t="shared" si="531"/>
        <v>43496</v>
      </c>
    </row>
    <row r="4026" spans="1:36">
      <c r="A4026" s="8">
        <v>39846</v>
      </c>
      <c r="B4026" s="94" t="s">
        <v>149</v>
      </c>
      <c r="C4026" s="6" t="s">
        <v>297</v>
      </c>
      <c r="D4026" s="98">
        <v>19979521.940000001</v>
      </c>
      <c r="E4026" s="9">
        <f t="shared" ref="E4026:E4057" si="535">IF(K4026="","",D4026/K4026)</f>
        <v>1000</v>
      </c>
      <c r="F4026" s="98"/>
      <c r="G4026" s="98">
        <v>19979521.940000001</v>
      </c>
      <c r="H4026" s="98">
        <v>0</v>
      </c>
      <c r="I4026" s="98">
        <v>0</v>
      </c>
      <c r="J4026" s="98"/>
      <c r="K4026" s="98">
        <v>19979.521940000002</v>
      </c>
      <c r="L4026" s="93">
        <f t="shared" si="527"/>
        <v>19979521.940000001</v>
      </c>
      <c r="M4026" s="95">
        <f t="shared" ca="1" si="528"/>
        <v>1000</v>
      </c>
      <c r="N4026" s="95">
        <f ca="1">IF(P4026="Hedge Fund",IF(A4026=Summary!$AD$3,M4026-E4026,M4026),IF(A4026=Summary!$AD$3,L4026-D4026,L4026))</f>
        <v>1000</v>
      </c>
      <c r="O4026" s="95"/>
      <c r="P4026" s="107" t="s">
        <v>139</v>
      </c>
      <c r="Q4026" s="107">
        <v>0</v>
      </c>
      <c r="R4026" s="107">
        <v>0</v>
      </c>
      <c r="S4026" s="107">
        <v>0</v>
      </c>
      <c r="T4026" s="107">
        <v>0</v>
      </c>
      <c r="U4026" s="107" t="s">
        <v>0</v>
      </c>
      <c r="V4026" s="107">
        <v>4.9948800000000002</v>
      </c>
      <c r="W4026" s="107" t="s">
        <v>15</v>
      </c>
      <c r="X4026" s="107">
        <v>4.9948800000000002</v>
      </c>
      <c r="Y4026" s="107"/>
      <c r="Z4026" s="107"/>
      <c r="AA4026" s="107"/>
      <c r="AB4026" s="107"/>
      <c r="AC4026" s="355"/>
      <c r="AD4026" s="355"/>
      <c r="AE4026" s="355"/>
      <c r="AF4026" s="94">
        <f t="shared" si="529"/>
        <v>39846</v>
      </c>
      <c r="AG4026" s="185">
        <f t="shared" si="533"/>
        <v>0</v>
      </c>
      <c r="AH4026" s="339" t="str">
        <f>VLOOKUP(B4026,'MF PF'!A:B,2)</f>
        <v>FdMgt1</v>
      </c>
      <c r="AI4026" s="358">
        <f t="shared" si="530"/>
        <v>0</v>
      </c>
      <c r="AJ4026" s="94">
        <f t="shared" si="531"/>
        <v>39872</v>
      </c>
    </row>
    <row r="4027" spans="1:36">
      <c r="A4027" s="8">
        <v>39903</v>
      </c>
      <c r="B4027" s="94" t="s">
        <v>149</v>
      </c>
      <c r="C4027" s="6" t="s">
        <v>297</v>
      </c>
      <c r="D4027" s="98">
        <v>39674246.759999998</v>
      </c>
      <c r="E4027" s="9">
        <f t="shared" si="535"/>
        <v>991.34800000000007</v>
      </c>
      <c r="F4027" s="98"/>
      <c r="G4027" s="98">
        <v>19715183.850466557</v>
      </c>
      <c r="H4027" s="98">
        <v>0</v>
      </c>
      <c r="I4027" s="98">
        <v>0</v>
      </c>
      <c r="J4027" s="98"/>
      <c r="K4027" s="98">
        <v>40020.504162009704</v>
      </c>
      <c r="L4027" s="93">
        <f t="shared" si="527"/>
        <v>19715183.850466557</v>
      </c>
      <c r="M4027" s="95">
        <f t="shared" ca="1" si="528"/>
        <v>0</v>
      </c>
      <c r="N4027" s="95">
        <f ca="1">IF(P4027="Hedge Fund",IF(A4027=Summary!$AD$3,M4027-E4027,M4027),IF(A4027=Summary!$AD$3,L4027-D4027,L4027))</f>
        <v>0</v>
      </c>
      <c r="O4027" s="95"/>
      <c r="P4027" s="107" t="s">
        <v>139</v>
      </c>
      <c r="Q4027" s="107">
        <v>0</v>
      </c>
      <c r="R4027" s="107">
        <v>0</v>
      </c>
      <c r="S4027" s="107">
        <v>0</v>
      </c>
      <c r="T4027" s="107">
        <v>0</v>
      </c>
      <c r="U4027" s="107" t="s">
        <v>0</v>
      </c>
      <c r="V4027" s="107">
        <v>14.880381710000002</v>
      </c>
      <c r="W4027" s="107" t="s">
        <v>15</v>
      </c>
      <c r="X4027" s="107">
        <v>14.880381710000002</v>
      </c>
      <c r="Y4027" s="107"/>
      <c r="Z4027" s="107"/>
      <c r="AA4027" s="107"/>
      <c r="AB4027" s="107"/>
      <c r="AC4027" s="355"/>
      <c r="AD4027" s="355"/>
      <c r="AE4027" s="355"/>
      <c r="AF4027" s="94">
        <f t="shared" si="529"/>
        <v>39903</v>
      </c>
      <c r="AG4027" s="185">
        <f t="shared" si="533"/>
        <v>-1.0240000000000249E-3</v>
      </c>
      <c r="AH4027" s="339" t="str">
        <f>VLOOKUP(B4027,'MF PF'!A:B,2)</f>
        <v>FdMgt1</v>
      </c>
      <c r="AI4027" s="358">
        <f t="shared" si="530"/>
        <v>0</v>
      </c>
      <c r="AJ4027" s="94">
        <f t="shared" si="531"/>
        <v>39903</v>
      </c>
    </row>
    <row r="4028" spans="1:36">
      <c r="A4028" s="8">
        <v>39933</v>
      </c>
      <c r="B4028" s="94" t="s">
        <v>149</v>
      </c>
      <c r="C4028" s="6" t="s">
        <v>297</v>
      </c>
      <c r="D4028" s="98">
        <v>39876208.07</v>
      </c>
      <c r="E4028" s="9">
        <f t="shared" si="535"/>
        <v>996.39450000000011</v>
      </c>
      <c r="F4028" s="98"/>
      <c r="G4028" s="98">
        <v>0</v>
      </c>
      <c r="H4028" s="98">
        <v>-2.1642535850405693</v>
      </c>
      <c r="I4028" s="98">
        <v>0</v>
      </c>
      <c r="J4028" s="98"/>
      <c r="K4028" s="98">
        <v>40020.501989924669</v>
      </c>
      <c r="L4028" s="93">
        <f t="shared" si="527"/>
        <v>-2.1642535850405693</v>
      </c>
      <c r="M4028" s="95">
        <f t="shared" ca="1" si="528"/>
        <v>0</v>
      </c>
      <c r="N4028" s="95">
        <f ca="1">IF(P4028="Hedge Fund",IF(A4028=Summary!$AD$3,M4028-E4028,M4028),IF(A4028=Summary!$AD$3,L4028-D4028,L4028))</f>
        <v>0</v>
      </c>
      <c r="O4028" s="95"/>
      <c r="P4028" s="107" t="s">
        <v>139</v>
      </c>
      <c r="Q4028" s="107">
        <v>0</v>
      </c>
      <c r="R4028" s="107">
        <v>0</v>
      </c>
      <c r="S4028" s="107">
        <v>0</v>
      </c>
      <c r="T4028" s="107">
        <v>0</v>
      </c>
      <c r="U4028" s="107" t="s">
        <v>0</v>
      </c>
      <c r="V4028" s="107">
        <v>14.95613094</v>
      </c>
      <c r="W4028" s="107" t="s">
        <v>15</v>
      </c>
      <c r="X4028" s="107">
        <v>14.95613094</v>
      </c>
      <c r="Y4028" s="107"/>
      <c r="Z4028" s="107"/>
      <c r="AA4028" s="107"/>
      <c r="AB4028" s="107"/>
      <c r="AC4028" s="355"/>
      <c r="AD4028" s="355"/>
      <c r="AE4028" s="355"/>
      <c r="AF4028" s="94">
        <f t="shared" si="529"/>
        <v>39933</v>
      </c>
      <c r="AG4028" s="185">
        <f t="shared" si="533"/>
        <v>5.0905433813355216E-3</v>
      </c>
      <c r="AH4028" s="339" t="str">
        <f>VLOOKUP(B4028,'MF PF'!A:B,2)</f>
        <v>FdMgt1</v>
      </c>
      <c r="AI4028" s="358">
        <f t="shared" si="530"/>
        <v>0</v>
      </c>
      <c r="AJ4028" s="94">
        <f t="shared" si="531"/>
        <v>39933</v>
      </c>
    </row>
    <row r="4029" spans="1:36">
      <c r="A4029" s="8">
        <v>39962</v>
      </c>
      <c r="B4029" s="94" t="s">
        <v>149</v>
      </c>
      <c r="C4029" s="6" t="s">
        <v>297</v>
      </c>
      <c r="D4029" s="98">
        <v>40149829.530000001</v>
      </c>
      <c r="E4029" s="9">
        <f t="shared" si="535"/>
        <v>1003.2314999999999</v>
      </c>
      <c r="F4029" s="98"/>
      <c r="G4029" s="98">
        <v>1.2878948971629143</v>
      </c>
      <c r="H4029" s="98">
        <v>0</v>
      </c>
      <c r="I4029" s="98">
        <v>0</v>
      </c>
      <c r="J4029" s="98"/>
      <c r="K4029" s="98">
        <v>40020.503273671136</v>
      </c>
      <c r="L4029" s="93">
        <f t="shared" si="527"/>
        <v>1.2878948971629143</v>
      </c>
      <c r="M4029" s="95">
        <f t="shared" ca="1" si="528"/>
        <v>0</v>
      </c>
      <c r="N4029" s="95">
        <f ca="1">IF(P4029="Hedge Fund",IF(A4029=Summary!$AD$3,M4029-E4029,M4029),IF(A4029=Summary!$AD$3,L4029-D4029,L4029))</f>
        <v>0</v>
      </c>
      <c r="O4029" s="95"/>
      <c r="P4029" s="107" t="s">
        <v>139</v>
      </c>
      <c r="Q4029" s="107">
        <v>0</v>
      </c>
      <c r="R4029" s="107">
        <v>0</v>
      </c>
      <c r="S4029" s="107">
        <v>0</v>
      </c>
      <c r="T4029" s="107">
        <v>0</v>
      </c>
      <c r="U4029" s="107" t="s">
        <v>0</v>
      </c>
      <c r="V4029" s="107">
        <v>15.058756019999999</v>
      </c>
      <c r="W4029" s="107" t="s">
        <v>15</v>
      </c>
      <c r="X4029" s="107">
        <v>15.058756019999999</v>
      </c>
      <c r="Y4029" s="107"/>
      <c r="Z4029" s="107"/>
      <c r="AA4029" s="107"/>
      <c r="AB4029" s="107"/>
      <c r="AC4029" s="355"/>
      <c r="AD4029" s="355"/>
      <c r="AE4029" s="355"/>
      <c r="AF4029" s="94">
        <f t="shared" si="529"/>
        <v>39962</v>
      </c>
      <c r="AG4029" s="185">
        <f t="shared" si="533"/>
        <v>6.8617400035826392E-3</v>
      </c>
      <c r="AH4029" s="339" t="str">
        <f>VLOOKUP(B4029,'MF PF'!A:B,2)</f>
        <v>FdMgt1</v>
      </c>
      <c r="AI4029" s="358">
        <f t="shared" si="530"/>
        <v>0</v>
      </c>
      <c r="AJ4029" s="94">
        <f t="shared" si="531"/>
        <v>39964</v>
      </c>
    </row>
    <row r="4030" spans="1:36">
      <c r="A4030" s="8">
        <v>39994</v>
      </c>
      <c r="B4030" s="94" t="s">
        <v>149</v>
      </c>
      <c r="C4030" s="6" t="s">
        <v>297</v>
      </c>
      <c r="D4030" s="98">
        <v>20132711.030000001</v>
      </c>
      <c r="E4030" s="9">
        <f t="shared" si="535"/>
        <v>1002.3792999999999</v>
      </c>
      <c r="F4030" s="98"/>
      <c r="G4030" s="98">
        <v>0</v>
      </c>
      <c r="H4030" s="98">
        <v>-19983013.027110182</v>
      </c>
      <c r="I4030" s="98">
        <v>-348445.29468541307</v>
      </c>
      <c r="J4030" s="98"/>
      <c r="K4030" s="98">
        <v>20084.922972770888</v>
      </c>
      <c r="L4030" s="93">
        <f t="shared" si="527"/>
        <v>-20331458.321795594</v>
      </c>
      <c r="M4030" s="95">
        <f t="shared" ca="1" si="528"/>
        <v>-17.348600000000001</v>
      </c>
      <c r="N4030" s="95">
        <f ca="1">IF(P4030="Hedge Fund",IF(A4030=Summary!$AD$3,M4030-E4030,M4030),IF(A4030=Summary!$AD$3,L4030-D4030,L4030))</f>
        <v>-17.348600000000001</v>
      </c>
      <c r="O4030" s="95"/>
      <c r="P4030" s="107" t="s">
        <v>139</v>
      </c>
      <c r="Q4030" s="107">
        <v>0</v>
      </c>
      <c r="R4030" s="107">
        <v>0</v>
      </c>
      <c r="S4030" s="107">
        <v>0</v>
      </c>
      <c r="T4030" s="107">
        <v>0</v>
      </c>
      <c r="U4030" s="107" t="s">
        <v>0</v>
      </c>
      <c r="V4030" s="107">
        <v>5.0544588299999997</v>
      </c>
      <c r="W4030" s="107" t="s">
        <v>15</v>
      </c>
      <c r="X4030" s="107">
        <v>5.0544588299999997</v>
      </c>
      <c r="Y4030" s="107"/>
      <c r="Z4030" s="107"/>
      <c r="AA4030" s="107"/>
      <c r="AB4030" s="107"/>
      <c r="AC4030" s="355"/>
      <c r="AD4030" s="355"/>
      <c r="AE4030" s="355"/>
      <c r="AF4030" s="94">
        <f t="shared" si="529"/>
        <v>39994</v>
      </c>
      <c r="AG4030" s="185">
        <f t="shared" si="533"/>
        <v>7.8291695251340165E-3</v>
      </c>
      <c r="AH4030" s="339" t="str">
        <f>VLOOKUP(B4030,'MF PF'!A:B,2)</f>
        <v>FdMgt1</v>
      </c>
      <c r="AI4030" s="358">
        <f t="shared" si="530"/>
        <v>0</v>
      </c>
      <c r="AJ4030" s="94">
        <f t="shared" si="531"/>
        <v>39994</v>
      </c>
    </row>
    <row r="4031" spans="1:36">
      <c r="A4031" s="8">
        <v>40025</v>
      </c>
      <c r="B4031" s="94" t="s">
        <v>149</v>
      </c>
      <c r="C4031" s="6" t="s">
        <v>297</v>
      </c>
      <c r="D4031" s="98">
        <v>26460241.32</v>
      </c>
      <c r="E4031" s="95">
        <f t="shared" si="535"/>
        <v>1055.3257999999998</v>
      </c>
      <c r="F4031" s="98"/>
      <c r="G4031" s="98">
        <v>5264103.9158221893</v>
      </c>
      <c r="H4031" s="98">
        <v>0</v>
      </c>
      <c r="I4031" s="98">
        <v>0</v>
      </c>
      <c r="J4031" s="98"/>
      <c r="K4031" s="98">
        <v>25073.054520224941</v>
      </c>
      <c r="L4031" s="93">
        <f t="shared" si="527"/>
        <v>5264103.9158221893</v>
      </c>
      <c r="M4031" s="95">
        <f t="shared" ca="1" si="528"/>
        <v>0</v>
      </c>
      <c r="N4031" s="95">
        <f ca="1">IF(P4031="Hedge Fund",IF(A4031=Summary!$AD$3,M4031-E4031,M4031),IF(A4031=Summary!$AD$3,L4031-D4031,L4031))</f>
        <v>0</v>
      </c>
      <c r="O4031" s="95"/>
      <c r="P4031" s="107" t="s">
        <v>139</v>
      </c>
      <c r="Q4031" s="107">
        <v>0</v>
      </c>
      <c r="R4031" s="107">
        <v>0</v>
      </c>
      <c r="S4031" s="107">
        <v>0</v>
      </c>
      <c r="T4031" s="107">
        <v>0</v>
      </c>
      <c r="U4031" s="107" t="s">
        <v>0</v>
      </c>
      <c r="V4031" s="107">
        <v>7.9534914900000002</v>
      </c>
      <c r="W4031" s="107" t="s">
        <v>15</v>
      </c>
      <c r="X4031" s="107">
        <v>7.9534914900000002</v>
      </c>
      <c r="Y4031" s="107"/>
      <c r="Z4031" s="107"/>
      <c r="AA4031" s="107"/>
      <c r="AB4031" s="107"/>
      <c r="AC4031" s="355"/>
      <c r="AD4031" s="355"/>
      <c r="AE4031" s="355"/>
      <c r="AF4031" s="94">
        <f t="shared" si="529"/>
        <v>40025</v>
      </c>
      <c r="AG4031" s="185">
        <f t="shared" si="533"/>
        <v>5.2820823414848839E-2</v>
      </c>
      <c r="AH4031" s="339" t="str">
        <f>VLOOKUP(B4031,'MF PF'!A:B,2)</f>
        <v>FdMgt1</v>
      </c>
      <c r="AI4031" s="358">
        <f t="shared" si="530"/>
        <v>0</v>
      </c>
      <c r="AJ4031" s="94">
        <f t="shared" si="531"/>
        <v>40025</v>
      </c>
    </row>
    <row r="4032" spans="1:36">
      <c r="A4032" s="8">
        <v>40056</v>
      </c>
      <c r="B4032" s="94" t="s">
        <v>149</v>
      </c>
      <c r="C4032" s="6" t="s">
        <v>297</v>
      </c>
      <c r="D4032" s="98">
        <v>41833139.82</v>
      </c>
      <c r="E4032" s="95">
        <f t="shared" si="535"/>
        <v>1067.1639</v>
      </c>
      <c r="F4032" s="98"/>
      <c r="G4032" s="98">
        <v>15076081.173284121</v>
      </c>
      <c r="H4032" s="98">
        <v>0</v>
      </c>
      <c r="I4032" s="98">
        <v>0</v>
      </c>
      <c r="J4032" s="98"/>
      <c r="K4032" s="98">
        <v>39200.295118678587</v>
      </c>
      <c r="L4032" s="93">
        <f t="shared" si="527"/>
        <v>15076081.173284121</v>
      </c>
      <c r="M4032" s="95">
        <f t="shared" ca="1" si="528"/>
        <v>0</v>
      </c>
      <c r="N4032" s="95">
        <f ca="1">IF(P4032="Hedge Fund",IF(A4032=Summary!$AD$3,M4032-E4032,M4032),IF(A4032=Summary!$AD$3,L4032-D4032,L4032))</f>
        <v>0</v>
      </c>
      <c r="O4032" s="95"/>
      <c r="P4032" s="107" t="s">
        <v>139</v>
      </c>
      <c r="Q4032" s="107">
        <v>0</v>
      </c>
      <c r="R4032" s="107">
        <v>0</v>
      </c>
      <c r="S4032" s="107">
        <v>0</v>
      </c>
      <c r="T4032" s="107">
        <v>0</v>
      </c>
      <c r="U4032" s="107" t="s">
        <v>0</v>
      </c>
      <c r="V4032" s="107">
        <v>15.592481599999999</v>
      </c>
      <c r="W4032" s="107" t="s">
        <v>15</v>
      </c>
      <c r="X4032" s="107">
        <v>15.592481599999999</v>
      </c>
      <c r="Y4032" s="107"/>
      <c r="Z4032" s="107"/>
      <c r="AA4032" s="107"/>
      <c r="AB4032" s="107"/>
      <c r="AC4032" s="355"/>
      <c r="AD4032" s="355"/>
      <c r="AE4032" s="355"/>
      <c r="AF4032" s="94">
        <f t="shared" si="529"/>
        <v>40056</v>
      </c>
      <c r="AG4032" s="185">
        <f t="shared" si="533"/>
        <v>1.1217483738197309E-2</v>
      </c>
      <c r="AH4032" s="339" t="str">
        <f>VLOOKUP(B4032,'MF PF'!A:B,2)</f>
        <v>FdMgt1</v>
      </c>
      <c r="AI4032" s="358">
        <f t="shared" si="530"/>
        <v>0</v>
      </c>
      <c r="AJ4032" s="94">
        <f t="shared" si="531"/>
        <v>40056</v>
      </c>
    </row>
    <row r="4033" spans="1:36">
      <c r="A4033" s="94">
        <v>40086</v>
      </c>
      <c r="B4033" s="94" t="s">
        <v>149</v>
      </c>
      <c r="C4033" s="6" t="s">
        <v>297</v>
      </c>
      <c r="D4033" s="98">
        <v>42577963.890000001</v>
      </c>
      <c r="E4033" s="95">
        <f t="shared" si="535"/>
        <v>1083.7762</v>
      </c>
      <c r="F4033" s="98"/>
      <c r="G4033" s="98">
        <v>93617.007399968803</v>
      </c>
      <c r="H4033" s="98">
        <v>0</v>
      </c>
      <c r="I4033" s="98">
        <v>-350523.57619530486</v>
      </c>
      <c r="J4033" s="98"/>
      <c r="K4033" s="98">
        <v>39286.675505514882</v>
      </c>
      <c r="L4033" s="93">
        <f t="shared" ref="L4033:L4096" si="536">G4033+H4033+I4033</f>
        <v>-256906.56879533606</v>
      </c>
      <c r="M4033" s="95">
        <f t="shared" ref="M4033:M4096" ca="1" si="537">IF(A4033&gt;INDIRECT("A"&amp;ROW()-1),I4033/K4033,E4033)</f>
        <v>-8.9222000000000001</v>
      </c>
      <c r="N4033" s="95">
        <f ca="1">IF(P4033="Hedge Fund",IF(A4033=Summary!$AD$3,M4033-E4033,M4033),IF(A4033=Summary!$AD$3,L4033-D4033,L4033))</f>
        <v>-8.9222000000000001</v>
      </c>
      <c r="O4033" s="95"/>
      <c r="P4033" s="107" t="s">
        <v>139</v>
      </c>
      <c r="Q4033" s="107">
        <v>0</v>
      </c>
      <c r="R4033" s="107">
        <v>0</v>
      </c>
      <c r="S4033" s="107">
        <v>0</v>
      </c>
      <c r="T4033" s="107">
        <v>0</v>
      </c>
      <c r="U4033" s="107" t="s">
        <v>0</v>
      </c>
      <c r="V4033" s="107">
        <v>15.87010025</v>
      </c>
      <c r="W4033" s="107" t="s">
        <v>15</v>
      </c>
      <c r="X4033" s="107">
        <v>15.87010025</v>
      </c>
      <c r="Y4033" s="107"/>
      <c r="Z4033" s="107"/>
      <c r="AA4033" s="107"/>
      <c r="AB4033" s="107"/>
      <c r="AC4033" s="355"/>
      <c r="AD4033" s="355"/>
      <c r="AE4033" s="355"/>
      <c r="AF4033" s="94">
        <f t="shared" ref="AF4033:AF4096" si="538">A4033</f>
        <v>40086</v>
      </c>
      <c r="AG4033" s="185">
        <f t="shared" si="533"/>
        <v>2.3945863090975017E-2</v>
      </c>
      <c r="AH4033" s="339" t="str">
        <f>VLOOKUP(B4033,'MF PF'!A:B,2)</f>
        <v>FdMgt1</v>
      </c>
      <c r="AI4033" s="358">
        <f t="shared" ref="AI4033:AI4096" si="539">AF4033-A4033</f>
        <v>0</v>
      </c>
      <c r="AJ4033" s="94">
        <f t="shared" ref="AJ4033:AJ4096" si="540">EOMONTH(A4033,0)</f>
        <v>40086</v>
      </c>
    </row>
    <row r="4034" spans="1:36">
      <c r="A4034" s="8">
        <v>40116</v>
      </c>
      <c r="B4034" s="94" t="s">
        <v>149</v>
      </c>
      <c r="C4034" s="6" t="s">
        <v>297</v>
      </c>
      <c r="D4034" s="98">
        <v>42967687.509999998</v>
      </c>
      <c r="E4034" s="95">
        <f t="shared" si="535"/>
        <v>1093.6962000000001</v>
      </c>
      <c r="F4034" s="98"/>
      <c r="G4034" s="98">
        <v>0</v>
      </c>
      <c r="H4034" s="98">
        <v>-0.20101471245288849</v>
      </c>
      <c r="I4034" s="98">
        <v>0</v>
      </c>
      <c r="J4034" s="98"/>
      <c r="K4034" s="98">
        <v>39286.675321720963</v>
      </c>
      <c r="L4034" s="93">
        <f t="shared" si="536"/>
        <v>-0.20101471245288849</v>
      </c>
      <c r="M4034" s="95">
        <f t="shared" ca="1" si="537"/>
        <v>0</v>
      </c>
      <c r="N4034" s="95">
        <f ca="1">IF(P4034="Hedge Fund",IF(A4034=Summary!$AD$3,M4034-E4034,M4034),IF(A4034=Summary!$AD$3,L4034-D4034,L4034))</f>
        <v>0</v>
      </c>
      <c r="O4034" s="95"/>
      <c r="P4034" s="107" t="s">
        <v>139</v>
      </c>
      <c r="Q4034" s="107">
        <v>0</v>
      </c>
      <c r="R4034" s="107">
        <v>0</v>
      </c>
      <c r="S4034" s="107">
        <v>0</v>
      </c>
      <c r="T4034" s="107">
        <v>0</v>
      </c>
      <c r="U4034" s="107" t="s">
        <v>0</v>
      </c>
      <c r="V4034" s="107">
        <v>16.015362140000001</v>
      </c>
      <c r="W4034" s="107" t="s">
        <v>15</v>
      </c>
      <c r="X4034" s="107">
        <v>16.015362140000001</v>
      </c>
      <c r="Y4034" s="107"/>
      <c r="Z4034" s="107"/>
      <c r="AA4034" s="107"/>
      <c r="AB4034" s="107"/>
      <c r="AC4034" s="355"/>
      <c r="AD4034" s="355"/>
      <c r="AE4034" s="355"/>
      <c r="AF4034" s="94">
        <f t="shared" si="538"/>
        <v>40116</v>
      </c>
      <c r="AG4034" s="185">
        <f t="shared" si="533"/>
        <v>9.1531812564253912E-3</v>
      </c>
      <c r="AH4034" s="339" t="str">
        <f>VLOOKUP(B4034,'MF PF'!A:B,2)</f>
        <v>FdMgt1</v>
      </c>
      <c r="AI4034" s="358">
        <f t="shared" si="539"/>
        <v>0</v>
      </c>
      <c r="AJ4034" s="94">
        <f t="shared" si="540"/>
        <v>40117</v>
      </c>
    </row>
    <row r="4035" spans="1:36">
      <c r="A4035" s="8">
        <v>40147</v>
      </c>
      <c r="B4035" s="94" t="s">
        <v>149</v>
      </c>
      <c r="C4035" s="6" t="s">
        <v>297</v>
      </c>
      <c r="D4035" s="98">
        <v>43049081.469999999</v>
      </c>
      <c r="E4035" s="95">
        <f t="shared" si="535"/>
        <v>1095.768</v>
      </c>
      <c r="F4035" s="98"/>
      <c r="G4035" s="98">
        <v>0</v>
      </c>
      <c r="H4035" s="98">
        <v>-0.1739315390586853</v>
      </c>
      <c r="I4035" s="98">
        <v>0</v>
      </c>
      <c r="J4035" s="98"/>
      <c r="K4035" s="98">
        <v>39286.675162990701</v>
      </c>
      <c r="L4035" s="93">
        <f t="shared" si="536"/>
        <v>-0.1739315390586853</v>
      </c>
      <c r="M4035" s="95">
        <f t="shared" ca="1" si="537"/>
        <v>0</v>
      </c>
      <c r="N4035" s="95">
        <f ca="1">IF(P4035="Hedge Fund",IF(A4035=Summary!$AD$3,M4035-E4035,M4035),IF(A4035=Summary!$AD$3,L4035-D4035,L4035))</f>
        <v>0</v>
      </c>
      <c r="O4035" s="95"/>
      <c r="P4035" s="107" t="s">
        <v>139</v>
      </c>
      <c r="Q4035" s="107">
        <v>0</v>
      </c>
      <c r="R4035" s="107">
        <v>0</v>
      </c>
      <c r="S4035" s="107">
        <v>0</v>
      </c>
      <c r="T4035" s="107">
        <v>0</v>
      </c>
      <c r="U4035" s="107" t="s">
        <v>0</v>
      </c>
      <c r="V4035" s="107">
        <v>16.04570021</v>
      </c>
      <c r="W4035" s="107" t="s">
        <v>15</v>
      </c>
      <c r="X4035" s="107">
        <v>16.04570021</v>
      </c>
      <c r="Y4035" s="107"/>
      <c r="Z4035" s="107"/>
      <c r="AA4035" s="107"/>
      <c r="AB4035" s="107"/>
      <c r="AC4035" s="355"/>
      <c r="AD4035" s="355"/>
      <c r="AE4035" s="355"/>
      <c r="AF4035" s="94">
        <f t="shared" si="538"/>
        <v>40147</v>
      </c>
      <c r="AG4035" s="185">
        <f t="shared" si="533"/>
        <v>1.8943103212756274E-3</v>
      </c>
      <c r="AH4035" s="339" t="str">
        <f>VLOOKUP(B4035,'MF PF'!A:B,2)</f>
        <v>FdMgt1</v>
      </c>
      <c r="AI4035" s="358">
        <f t="shared" si="539"/>
        <v>0</v>
      </c>
      <c r="AJ4035" s="94">
        <f t="shared" si="540"/>
        <v>40147</v>
      </c>
    </row>
    <row r="4036" spans="1:36">
      <c r="A4036" s="8">
        <v>40178</v>
      </c>
      <c r="B4036" s="94" t="s">
        <v>149</v>
      </c>
      <c r="C4036" s="6" t="s">
        <v>297</v>
      </c>
      <c r="D4036" s="98">
        <v>42607957.950000003</v>
      </c>
      <c r="E4036" s="95">
        <f t="shared" si="535"/>
        <v>1084.5396999999998</v>
      </c>
      <c r="F4036" s="98"/>
      <c r="G4036" s="98">
        <v>0</v>
      </c>
      <c r="H4036" s="98">
        <v>-0.94526737928390503</v>
      </c>
      <c r="I4036" s="98">
        <v>-397011.48705181101</v>
      </c>
      <c r="J4036" s="98"/>
      <c r="K4036" s="98">
        <v>39286.674291406765</v>
      </c>
      <c r="L4036" s="93">
        <f t="shared" si="536"/>
        <v>-397012.43231919029</v>
      </c>
      <c r="M4036" s="95">
        <f t="shared" ca="1" si="537"/>
        <v>-10.105499999999999</v>
      </c>
      <c r="N4036" s="95">
        <f ca="1">IF(P4036="Hedge Fund",IF(A4036=Summary!$AD$3,M4036-E4036,M4036),IF(A4036=Summary!$AD$3,L4036-D4036,L4036))</f>
        <v>-10.105499999999999</v>
      </c>
      <c r="O4036" s="95"/>
      <c r="P4036" s="107" t="s">
        <v>139</v>
      </c>
      <c r="Q4036" s="107">
        <v>0</v>
      </c>
      <c r="R4036" s="107">
        <v>0</v>
      </c>
      <c r="S4036" s="107">
        <v>0</v>
      </c>
      <c r="T4036" s="107">
        <v>0</v>
      </c>
      <c r="U4036" s="107" t="s">
        <v>0</v>
      </c>
      <c r="V4036" s="107">
        <v>15.88128042</v>
      </c>
      <c r="W4036" s="107" t="s">
        <v>15</v>
      </c>
      <c r="X4036" s="107">
        <v>15.88128042</v>
      </c>
      <c r="Y4036" s="107"/>
      <c r="Z4036" s="107"/>
      <c r="AA4036" s="107"/>
      <c r="AB4036" s="107"/>
      <c r="AC4036" s="355"/>
      <c r="AD4036" s="355"/>
      <c r="AE4036" s="355"/>
      <c r="AF4036" s="94">
        <f t="shared" si="538"/>
        <v>40178</v>
      </c>
      <c r="AG4036" s="185">
        <f t="shared" si="533"/>
        <v>-1.0246696601773353E-3</v>
      </c>
      <c r="AH4036" s="339" t="str">
        <f>VLOOKUP(B4036,'MF PF'!A:B,2)</f>
        <v>FdMgt1</v>
      </c>
      <c r="AI4036" s="358">
        <f t="shared" si="539"/>
        <v>0</v>
      </c>
      <c r="AJ4036" s="94">
        <f t="shared" si="540"/>
        <v>40178</v>
      </c>
    </row>
    <row r="4037" spans="1:36">
      <c r="A4037" s="8">
        <v>40207</v>
      </c>
      <c r="B4037" s="94" t="s">
        <v>149</v>
      </c>
      <c r="C4037" s="6" t="s">
        <v>297</v>
      </c>
      <c r="D4037" s="98">
        <v>43082944.210000001</v>
      </c>
      <c r="E4037" s="95">
        <f t="shared" si="535"/>
        <v>1101.2674</v>
      </c>
      <c r="F4037" s="98"/>
      <c r="G4037" s="98">
        <v>0</v>
      </c>
      <c r="H4037" s="98">
        <v>-182189.44154436886</v>
      </c>
      <c r="I4037" s="98">
        <v>0</v>
      </c>
      <c r="J4037" s="98"/>
      <c r="K4037" s="98">
        <v>39121.23813889343</v>
      </c>
      <c r="L4037" s="93">
        <f t="shared" si="536"/>
        <v>-182189.44154436886</v>
      </c>
      <c r="M4037" s="95">
        <f t="shared" ca="1" si="537"/>
        <v>0</v>
      </c>
      <c r="N4037" s="95">
        <f ca="1">IF(P4037="Hedge Fund",IF(A4037=Summary!$AD$3,M4037-E4037,M4037),IF(A4037=Summary!$AD$3,L4037-D4037,L4037))</f>
        <v>0</v>
      </c>
      <c r="O4037" s="95"/>
      <c r="P4037" s="107" t="s">
        <v>139</v>
      </c>
      <c r="Q4037" s="107">
        <v>0</v>
      </c>
      <c r="R4037" s="107">
        <v>0</v>
      </c>
      <c r="S4037" s="107">
        <v>0</v>
      </c>
      <c r="T4037" s="107">
        <v>0</v>
      </c>
      <c r="U4037" s="107" t="s">
        <v>0</v>
      </c>
      <c r="V4037" s="107">
        <v>16.126229779999999</v>
      </c>
      <c r="W4037" s="107" t="s">
        <v>15</v>
      </c>
      <c r="X4037" s="107">
        <v>16.126229779999999</v>
      </c>
      <c r="Y4037" s="107"/>
      <c r="Z4037" s="107"/>
      <c r="AA4037" s="107"/>
      <c r="AB4037" s="107"/>
      <c r="AC4037" s="355"/>
      <c r="AD4037" s="355"/>
      <c r="AE4037" s="355"/>
      <c r="AF4037" s="94">
        <f t="shared" si="538"/>
        <v>40207</v>
      </c>
      <c r="AG4037" s="185">
        <f t="shared" si="533"/>
        <v>1.5423778401104205E-2</v>
      </c>
      <c r="AH4037" s="339" t="str">
        <f>VLOOKUP(B4037,'MF PF'!A:B,2)</f>
        <v>FdMgt1</v>
      </c>
      <c r="AI4037" s="358">
        <f t="shared" si="539"/>
        <v>0</v>
      </c>
      <c r="AJ4037" s="94">
        <f t="shared" si="540"/>
        <v>40209</v>
      </c>
    </row>
    <row r="4038" spans="1:36">
      <c r="A4038" s="8">
        <v>40235</v>
      </c>
      <c r="B4038" s="94" t="s">
        <v>149</v>
      </c>
      <c r="C4038" s="6" t="s">
        <v>297</v>
      </c>
      <c r="D4038" s="98">
        <v>42543722.520000003</v>
      </c>
      <c r="E4038" s="95">
        <f t="shared" si="535"/>
        <v>1087.4839999999999</v>
      </c>
      <c r="F4038" s="98"/>
      <c r="G4038" s="98">
        <v>1.9837636202573776</v>
      </c>
      <c r="H4038" s="98">
        <v>0</v>
      </c>
      <c r="I4038" s="98">
        <v>0</v>
      </c>
      <c r="J4038" s="98"/>
      <c r="K4038" s="98">
        <v>39121.23996307073</v>
      </c>
      <c r="L4038" s="93">
        <f t="shared" si="536"/>
        <v>1.9837636202573776</v>
      </c>
      <c r="M4038" s="95">
        <f t="shared" ca="1" si="537"/>
        <v>0</v>
      </c>
      <c r="N4038" s="95">
        <f ca="1">IF(P4038="Hedge Fund",IF(A4038=Summary!$AD$3,M4038-E4038,M4038),IF(A4038=Summary!$AD$3,L4038-D4038,L4038))</f>
        <v>0</v>
      </c>
      <c r="O4038" s="95"/>
      <c r="P4038" s="107" t="s">
        <v>139</v>
      </c>
      <c r="Q4038" s="107">
        <v>0</v>
      </c>
      <c r="R4038" s="107">
        <v>0</v>
      </c>
      <c r="S4038" s="107">
        <v>0</v>
      </c>
      <c r="T4038" s="107">
        <v>0</v>
      </c>
      <c r="U4038" s="107" t="s">
        <v>0</v>
      </c>
      <c r="V4038" s="107">
        <v>15.9243948</v>
      </c>
      <c r="W4038" s="107" t="s">
        <v>15</v>
      </c>
      <c r="X4038" s="107">
        <v>15.9243948</v>
      </c>
      <c r="Y4038" s="107"/>
      <c r="Z4038" s="107"/>
      <c r="AA4038" s="107"/>
      <c r="AB4038" s="107"/>
      <c r="AC4038" s="355"/>
      <c r="AD4038" s="355"/>
      <c r="AE4038" s="355"/>
      <c r="AF4038" s="94">
        <f t="shared" si="538"/>
        <v>40235</v>
      </c>
      <c r="AG4038" s="185">
        <f t="shared" si="533"/>
        <v>-1.2515942994407947E-2</v>
      </c>
      <c r="AH4038" s="339" t="str">
        <f>VLOOKUP(B4038,'MF PF'!A:B,2)</f>
        <v>FdMgt1</v>
      </c>
      <c r="AI4038" s="358">
        <f t="shared" si="539"/>
        <v>0</v>
      </c>
      <c r="AJ4038" s="94">
        <f t="shared" si="540"/>
        <v>40237</v>
      </c>
    </row>
    <row r="4039" spans="1:36">
      <c r="A4039" s="8">
        <v>40268</v>
      </c>
      <c r="B4039" s="94" t="s">
        <v>149</v>
      </c>
      <c r="C4039" s="6" t="s">
        <v>297</v>
      </c>
      <c r="D4039" s="98">
        <v>44934865.420000002</v>
      </c>
      <c r="E4039" s="95">
        <f t="shared" si="535"/>
        <v>1148.6053999999999</v>
      </c>
      <c r="F4039" s="98"/>
      <c r="G4039" s="98">
        <v>0</v>
      </c>
      <c r="H4039" s="98">
        <v>-2.056278832256794</v>
      </c>
      <c r="I4039" s="98">
        <v>0</v>
      </c>
      <c r="J4039" s="98"/>
      <c r="K4039" s="98">
        <v>39121.238172831159</v>
      </c>
      <c r="L4039" s="93">
        <f t="shared" si="536"/>
        <v>-2.056278832256794</v>
      </c>
      <c r="M4039" s="95">
        <f t="shared" ca="1" si="537"/>
        <v>0</v>
      </c>
      <c r="N4039" s="95">
        <f ca="1">IF(P4039="Hedge Fund",IF(A4039=Summary!$AD$3,M4039-E4039,M4039),IF(A4039=Summary!$AD$3,L4039-D4039,L4039))</f>
        <v>0</v>
      </c>
      <c r="O4039" s="95"/>
      <c r="P4039" s="107" t="s">
        <v>139</v>
      </c>
      <c r="Q4039" s="107">
        <v>0</v>
      </c>
      <c r="R4039" s="107">
        <v>0</v>
      </c>
      <c r="S4039" s="107">
        <v>0</v>
      </c>
      <c r="T4039" s="107">
        <v>0</v>
      </c>
      <c r="U4039" s="107" t="s">
        <v>0</v>
      </c>
      <c r="V4039" s="107">
        <v>16.819416069999999</v>
      </c>
      <c r="W4039" s="107" t="s">
        <v>15</v>
      </c>
      <c r="X4039" s="107">
        <v>16.819416069999999</v>
      </c>
      <c r="Y4039" s="107"/>
      <c r="Z4039" s="107"/>
      <c r="AA4039" s="107"/>
      <c r="AB4039" s="107"/>
      <c r="AC4039" s="355"/>
      <c r="AD4039" s="355"/>
      <c r="AE4039" s="355"/>
      <c r="AF4039" s="94">
        <f t="shared" si="538"/>
        <v>40268</v>
      </c>
      <c r="AG4039" s="185">
        <f t="shared" si="533"/>
        <v>5.6204413122399988E-2</v>
      </c>
      <c r="AH4039" s="339" t="str">
        <f>VLOOKUP(B4039,'MF PF'!A:B,2)</f>
        <v>FdMgt1</v>
      </c>
      <c r="AI4039" s="358">
        <f t="shared" si="539"/>
        <v>0</v>
      </c>
      <c r="AJ4039" s="94">
        <f t="shared" si="540"/>
        <v>40268</v>
      </c>
    </row>
    <row r="4040" spans="1:36">
      <c r="A4040" s="8">
        <v>40298</v>
      </c>
      <c r="B4040" s="94" t="s">
        <v>149</v>
      </c>
      <c r="C4040" s="6" t="s">
        <v>297</v>
      </c>
      <c r="D4040" s="98">
        <v>46216769.770000003</v>
      </c>
      <c r="E4040" s="95">
        <f t="shared" si="535"/>
        <v>1181.3729000000001</v>
      </c>
      <c r="F4040" s="98"/>
      <c r="G4040" s="98">
        <v>0</v>
      </c>
      <c r="H4040" s="98">
        <v>-0.82182824611663818</v>
      </c>
      <c r="I4040" s="98">
        <v>0</v>
      </c>
      <c r="J4040" s="98"/>
      <c r="K4040" s="98">
        <v>39121.237477175921</v>
      </c>
      <c r="L4040" s="93">
        <f t="shared" si="536"/>
        <v>-0.82182824611663818</v>
      </c>
      <c r="M4040" s="95">
        <f t="shared" ca="1" si="537"/>
        <v>0</v>
      </c>
      <c r="N4040" s="95">
        <f ca="1">IF(P4040="Hedge Fund",IF(A4040=Summary!$AD$3,M4040-E4040,M4040),IF(A4040=Summary!$AD$3,L4040-D4040,L4040))</f>
        <v>0</v>
      </c>
      <c r="O4040" s="95"/>
      <c r="P4040" s="107" t="s">
        <v>139</v>
      </c>
      <c r="Q4040" s="107">
        <v>0</v>
      </c>
      <c r="R4040" s="107">
        <v>0</v>
      </c>
      <c r="S4040" s="107">
        <v>0</v>
      </c>
      <c r="T4040" s="107">
        <v>0</v>
      </c>
      <c r="U4040" s="107" t="s">
        <v>0</v>
      </c>
      <c r="V4040" s="107">
        <v>17.299241609999999</v>
      </c>
      <c r="W4040" s="107" t="s">
        <v>15</v>
      </c>
      <c r="X4040" s="107">
        <v>17.299241609999999</v>
      </c>
      <c r="Y4040" s="107"/>
      <c r="Z4040" s="107"/>
      <c r="AA4040" s="107"/>
      <c r="AB4040" s="107"/>
      <c r="AC4040" s="355"/>
      <c r="AD4040" s="355"/>
      <c r="AE4040" s="355"/>
      <c r="AF4040" s="94">
        <f t="shared" si="538"/>
        <v>40298</v>
      </c>
      <c r="AG4040" s="185">
        <f t="shared" si="533"/>
        <v>2.8528074132334824E-2</v>
      </c>
      <c r="AH4040" s="339" t="str">
        <f>VLOOKUP(B4040,'MF PF'!A:B,2)</f>
        <v>FdMgt1</v>
      </c>
      <c r="AI4040" s="358">
        <f t="shared" si="539"/>
        <v>0</v>
      </c>
      <c r="AJ4040" s="94">
        <f t="shared" si="540"/>
        <v>40298</v>
      </c>
    </row>
    <row r="4041" spans="1:36">
      <c r="A4041" s="94">
        <v>40329</v>
      </c>
      <c r="B4041" s="94" t="s">
        <v>149</v>
      </c>
      <c r="C4041" s="6" t="s">
        <v>297</v>
      </c>
      <c r="D4041" s="98">
        <v>45710298.93</v>
      </c>
      <c r="E4041" s="95">
        <f t="shared" si="535"/>
        <v>1168.4267</v>
      </c>
      <c r="F4041" s="98"/>
      <c r="G4041" s="98">
        <v>0.52462701499462128</v>
      </c>
      <c r="H4041" s="98">
        <v>0</v>
      </c>
      <c r="I4041" s="98">
        <v>0</v>
      </c>
      <c r="J4041" s="98"/>
      <c r="K4041" s="98">
        <v>39121.237926178852</v>
      </c>
      <c r="L4041" s="93">
        <f t="shared" si="536"/>
        <v>0.52462701499462128</v>
      </c>
      <c r="M4041" s="95">
        <f t="shared" ca="1" si="537"/>
        <v>0</v>
      </c>
      <c r="N4041" s="95">
        <f ca="1">IF(P4041="Hedge Fund",IF(A4041=Summary!$AD$3,M4041-E4041,M4041),IF(A4041=Summary!$AD$3,L4041-D4041,L4041))</f>
        <v>0</v>
      </c>
      <c r="O4041" s="95"/>
      <c r="P4041" s="107" t="s">
        <v>139</v>
      </c>
      <c r="Q4041" s="107">
        <v>0</v>
      </c>
      <c r="R4041" s="107">
        <v>0</v>
      </c>
      <c r="S4041" s="107">
        <v>0</v>
      </c>
      <c r="T4041" s="107">
        <v>0</v>
      </c>
      <c r="U4041" s="107" t="s">
        <v>0</v>
      </c>
      <c r="V4041" s="107">
        <v>17.109666050000001</v>
      </c>
      <c r="W4041" s="107" t="s">
        <v>15</v>
      </c>
      <c r="X4041" s="107">
        <v>17.109666050000001</v>
      </c>
      <c r="Y4041" s="107"/>
      <c r="Z4041" s="107"/>
      <c r="AA4041" s="107"/>
      <c r="AB4041" s="107"/>
      <c r="AC4041" s="355"/>
      <c r="AD4041" s="355"/>
      <c r="AE4041" s="355"/>
      <c r="AF4041" s="94">
        <f t="shared" si="538"/>
        <v>40329</v>
      </c>
      <c r="AG4041" s="185">
        <f t="shared" si="533"/>
        <v>-1.0958605872879001E-2</v>
      </c>
      <c r="AH4041" s="339" t="str">
        <f>VLOOKUP(B4041,'MF PF'!A:B,2)</f>
        <v>FdMgt1</v>
      </c>
      <c r="AI4041" s="358">
        <f t="shared" si="539"/>
        <v>0</v>
      </c>
      <c r="AJ4041" s="94">
        <f t="shared" si="540"/>
        <v>40329</v>
      </c>
    </row>
    <row r="4042" spans="1:36">
      <c r="A4042" s="8">
        <v>40359</v>
      </c>
      <c r="B4042" s="94" t="s">
        <v>149</v>
      </c>
      <c r="C4042" s="6" t="s">
        <v>297</v>
      </c>
      <c r="D4042" s="98">
        <v>45569820.68</v>
      </c>
      <c r="E4042" s="95">
        <f t="shared" si="535"/>
        <v>1164.8358000000001</v>
      </c>
      <c r="F4042" s="98"/>
      <c r="G4042" s="98">
        <v>2.2032691165804863</v>
      </c>
      <c r="H4042" s="98">
        <v>0</v>
      </c>
      <c r="I4042" s="98">
        <v>-939715.65316416963</v>
      </c>
      <c r="J4042" s="98"/>
      <c r="K4042" s="98">
        <v>39121.239817663569</v>
      </c>
      <c r="L4042" s="93">
        <f t="shared" si="536"/>
        <v>-939713.44989505305</v>
      </c>
      <c r="M4042" s="95">
        <f t="shared" ca="1" si="537"/>
        <v>-24.020600000000002</v>
      </c>
      <c r="N4042" s="95">
        <f ca="1">IF(P4042="Hedge Fund",IF(A4042=Summary!$AD$3,M4042-E4042,M4042),IF(A4042=Summary!$AD$3,L4042-D4042,L4042))</f>
        <v>-24.020600000000002</v>
      </c>
      <c r="O4042" s="95"/>
      <c r="P4042" s="107" t="s">
        <v>139</v>
      </c>
      <c r="Q4042" s="107">
        <v>0</v>
      </c>
      <c r="R4042" s="107">
        <v>0</v>
      </c>
      <c r="S4042" s="107">
        <v>0</v>
      </c>
      <c r="T4042" s="107">
        <v>0</v>
      </c>
      <c r="U4042" s="107" t="s">
        <v>0</v>
      </c>
      <c r="V4042" s="107">
        <v>17.057083280000001</v>
      </c>
      <c r="W4042" s="107" t="s">
        <v>15</v>
      </c>
      <c r="X4042" s="107">
        <v>17.057083280000001</v>
      </c>
      <c r="Y4042" s="107"/>
      <c r="Z4042" s="107"/>
      <c r="AA4042" s="107"/>
      <c r="AB4042" s="107"/>
      <c r="AC4042" s="355"/>
      <c r="AD4042" s="355"/>
      <c r="AE4042" s="355"/>
      <c r="AF4042" s="94">
        <f t="shared" si="538"/>
        <v>40359</v>
      </c>
      <c r="AG4042" s="185">
        <f t="shared" si="533"/>
        <v>1.7484794862509867E-2</v>
      </c>
      <c r="AH4042" s="339" t="str">
        <f>VLOOKUP(B4042,'MF PF'!A:B,2)</f>
        <v>FdMgt1</v>
      </c>
      <c r="AI4042" s="358">
        <f t="shared" si="539"/>
        <v>0</v>
      </c>
      <c r="AJ4042" s="94">
        <f t="shared" si="540"/>
        <v>40359</v>
      </c>
    </row>
    <row r="4043" spans="1:36">
      <c r="A4043" s="8">
        <v>40389</v>
      </c>
      <c r="B4043" s="94" t="s">
        <v>149</v>
      </c>
      <c r="C4043" s="6" t="s">
        <v>297</v>
      </c>
      <c r="D4043" s="98">
        <v>46933792.829999998</v>
      </c>
      <c r="E4043" s="95">
        <f t="shared" si="535"/>
        <v>1188.8563999999997</v>
      </c>
      <c r="F4043" s="98"/>
      <c r="G4043" s="98">
        <v>424256.49683584273</v>
      </c>
      <c r="H4043" s="98">
        <v>0</v>
      </c>
      <c r="I4043" s="98">
        <v>0</v>
      </c>
      <c r="J4043" s="98"/>
      <c r="K4043" s="98">
        <v>39478.100828661904</v>
      </c>
      <c r="L4043" s="93">
        <f t="shared" si="536"/>
        <v>424256.49683584273</v>
      </c>
      <c r="M4043" s="95">
        <f t="shared" ca="1" si="537"/>
        <v>0</v>
      </c>
      <c r="N4043" s="95">
        <f ca="1">IF(P4043="Hedge Fund",IF(A4043=Summary!$AD$3,M4043-E4043,M4043),IF(A4043=Summary!$AD$3,L4043-D4043,L4043))</f>
        <v>0</v>
      </c>
      <c r="O4043" s="95"/>
      <c r="P4043" s="107" t="s">
        <v>139</v>
      </c>
      <c r="Q4043" s="107">
        <v>0</v>
      </c>
      <c r="R4043" s="107">
        <v>0</v>
      </c>
      <c r="S4043" s="107">
        <v>0</v>
      </c>
      <c r="T4043" s="107">
        <v>0</v>
      </c>
      <c r="U4043" s="107" t="s">
        <v>0</v>
      </c>
      <c r="V4043" s="107">
        <v>17.56762762</v>
      </c>
      <c r="W4043" s="107" t="s">
        <v>15</v>
      </c>
      <c r="X4043" s="107">
        <v>17.56762762</v>
      </c>
      <c r="Y4043" s="107"/>
      <c r="Z4043" s="107"/>
      <c r="AA4043" s="107"/>
      <c r="AB4043" s="107"/>
      <c r="AC4043" s="355"/>
      <c r="AD4043" s="355"/>
      <c r="AE4043" s="355"/>
      <c r="AF4043" s="94">
        <f t="shared" si="538"/>
        <v>40389</v>
      </c>
      <c r="AG4043" s="185">
        <f t="shared" si="533"/>
        <v>2.0621447246040647E-2</v>
      </c>
      <c r="AH4043" s="339" t="str">
        <f>VLOOKUP(B4043,'MF PF'!A:B,2)</f>
        <v>FdMgt1</v>
      </c>
      <c r="AI4043" s="358">
        <f t="shared" si="539"/>
        <v>0</v>
      </c>
      <c r="AJ4043" s="94">
        <f t="shared" si="540"/>
        <v>40390</v>
      </c>
    </row>
    <row r="4044" spans="1:36">
      <c r="A4044" s="8">
        <v>40421</v>
      </c>
      <c r="B4044" s="94" t="s">
        <v>149</v>
      </c>
      <c r="C4044" s="6" t="s">
        <v>297</v>
      </c>
      <c r="D4044" s="98">
        <v>50006313.68</v>
      </c>
      <c r="E4044" s="95">
        <f t="shared" si="535"/>
        <v>1213.5954999999997</v>
      </c>
      <c r="F4044" s="98"/>
      <c r="G4044" s="98">
        <v>2095868.1657896563</v>
      </c>
      <c r="H4044" s="98">
        <v>0</v>
      </c>
      <c r="I4044" s="98">
        <v>0</v>
      </c>
      <c r="J4044" s="98"/>
      <c r="K4044" s="98">
        <v>41205.091548213561</v>
      </c>
      <c r="L4044" s="93">
        <f t="shared" si="536"/>
        <v>2095868.1657896563</v>
      </c>
      <c r="M4044" s="95">
        <f t="shared" ca="1" si="537"/>
        <v>0</v>
      </c>
      <c r="N4044" s="95">
        <f ca="1">IF(P4044="Hedge Fund",IF(A4044=Summary!$AD$3,M4044-E4044,M4044),IF(A4044=Summary!$AD$3,L4044-D4044,L4044))</f>
        <v>0</v>
      </c>
      <c r="O4044" s="95"/>
      <c r="P4044" s="107" t="s">
        <v>139</v>
      </c>
      <c r="Q4044" s="107">
        <v>0</v>
      </c>
      <c r="R4044" s="107">
        <v>0</v>
      </c>
      <c r="S4044" s="107">
        <v>0</v>
      </c>
      <c r="T4044" s="107">
        <v>0</v>
      </c>
      <c r="U4044" s="107" t="s">
        <v>0</v>
      </c>
      <c r="V4044" s="107">
        <v>17.77108801</v>
      </c>
      <c r="W4044" s="107" t="s">
        <v>15</v>
      </c>
      <c r="X4044" s="107">
        <v>17.77108801</v>
      </c>
      <c r="Y4044" s="107"/>
      <c r="Z4044" s="107"/>
      <c r="AA4044" s="107"/>
      <c r="AB4044" s="107"/>
      <c r="AC4044" s="355"/>
      <c r="AD4044" s="355"/>
      <c r="AE4044" s="355"/>
      <c r="AF4044" s="94">
        <f t="shared" si="538"/>
        <v>40421</v>
      </c>
      <c r="AG4044" s="185">
        <f t="shared" si="533"/>
        <v>2.0809157439031223E-2</v>
      </c>
      <c r="AH4044" s="339" t="str">
        <f>VLOOKUP(B4044,'MF PF'!A:B,2)</f>
        <v>FdMgt1</v>
      </c>
      <c r="AI4044" s="358">
        <f t="shared" si="539"/>
        <v>0</v>
      </c>
      <c r="AJ4044" s="94">
        <f t="shared" si="540"/>
        <v>40421</v>
      </c>
    </row>
    <row r="4045" spans="1:36">
      <c r="A4045" s="8">
        <v>40451</v>
      </c>
      <c r="B4045" s="94" t="s">
        <v>149</v>
      </c>
      <c r="C4045" s="6" t="s">
        <v>297</v>
      </c>
      <c r="D4045" s="98">
        <v>57583797.530000001</v>
      </c>
      <c r="E4045" s="95">
        <f t="shared" si="535"/>
        <v>1214.5748000000001</v>
      </c>
      <c r="F4045" s="98"/>
      <c r="G4045" s="98">
        <v>7537131.7038468197</v>
      </c>
      <c r="H4045" s="98">
        <v>0</v>
      </c>
      <c r="I4045" s="98">
        <v>-1383343.6079445968</v>
      </c>
      <c r="J4045" s="98"/>
      <c r="K4045" s="98">
        <v>47410.663822433991</v>
      </c>
      <c r="L4045" s="93">
        <f t="shared" si="536"/>
        <v>6153788.0959022231</v>
      </c>
      <c r="M4045" s="95">
        <f t="shared" ca="1" si="537"/>
        <v>-29.177900000000001</v>
      </c>
      <c r="N4045" s="95">
        <f ca="1">IF(P4045="Hedge Fund",IF(A4045=Summary!$AD$3,M4045-E4045,M4045),IF(A4045=Summary!$AD$3,L4045-D4045,L4045))</f>
        <v>-29.177900000000001</v>
      </c>
      <c r="O4045" s="95"/>
      <c r="P4045" s="107" t="s">
        <v>139</v>
      </c>
      <c r="Q4045" s="107">
        <v>0</v>
      </c>
      <c r="R4045" s="107">
        <v>0</v>
      </c>
      <c r="S4045" s="107">
        <v>0</v>
      </c>
      <c r="T4045" s="107">
        <v>0</v>
      </c>
      <c r="U4045" s="107" t="s">
        <v>0</v>
      </c>
      <c r="V4045" s="107">
        <v>21.553994769999999</v>
      </c>
      <c r="W4045" s="107" t="s">
        <v>15</v>
      </c>
      <c r="X4045" s="107">
        <v>21.553994769999999</v>
      </c>
      <c r="Y4045" s="107"/>
      <c r="Z4045" s="107"/>
      <c r="AA4045" s="107"/>
      <c r="AB4045" s="107"/>
      <c r="AC4045" s="355"/>
      <c r="AD4045" s="355"/>
      <c r="AE4045" s="355"/>
      <c r="AF4045" s="94">
        <f t="shared" si="538"/>
        <v>40451</v>
      </c>
      <c r="AG4045" s="185">
        <f t="shared" si="533"/>
        <v>2.8470320032152108E-2</v>
      </c>
      <c r="AH4045" s="339" t="str">
        <f>VLOOKUP(B4045,'MF PF'!A:B,2)</f>
        <v>FdMgt1</v>
      </c>
      <c r="AI4045" s="358">
        <f t="shared" si="539"/>
        <v>0</v>
      </c>
      <c r="AJ4045" s="94">
        <f t="shared" si="540"/>
        <v>40451</v>
      </c>
    </row>
    <row r="4046" spans="1:36" s="358" customFormat="1">
      <c r="A4046" s="94">
        <v>40480</v>
      </c>
      <c r="B4046" s="94" t="s">
        <v>149</v>
      </c>
      <c r="C4046" s="358" t="s">
        <v>297</v>
      </c>
      <c r="D4046" s="98">
        <v>65773613.276856452</v>
      </c>
      <c r="E4046" s="95">
        <f t="shared" si="535"/>
        <v>1242.0356999999999</v>
      </c>
      <c r="F4046" s="98"/>
      <c r="G4046" s="98">
        <v>6887876.2486949787</v>
      </c>
      <c r="H4046" s="98">
        <v>0</v>
      </c>
      <c r="I4046" s="98">
        <v>0</v>
      </c>
      <c r="J4046" s="98"/>
      <c r="K4046" s="98">
        <v>52956.298500000004</v>
      </c>
      <c r="L4046" s="93">
        <f t="shared" si="536"/>
        <v>6887876.2486949787</v>
      </c>
      <c r="M4046" s="95">
        <f t="shared" ca="1" si="537"/>
        <v>0</v>
      </c>
      <c r="N4046" s="95">
        <f ca="1">IF(P4046="Hedge Fund",IF(A4046=Summary!$AD$3,M4046-E4046,M4046),IF(A4046=Summary!$AD$3,L4046-D4046,L4046))</f>
        <v>0</v>
      </c>
      <c r="O4046" s="95"/>
      <c r="P4046" s="107" t="s">
        <v>139</v>
      </c>
      <c r="Q4046" s="107">
        <v>0</v>
      </c>
      <c r="R4046" s="107">
        <v>0</v>
      </c>
      <c r="S4046" s="107">
        <v>0</v>
      </c>
      <c r="T4046" s="107">
        <v>0</v>
      </c>
      <c r="U4046" s="107" t="s">
        <v>0</v>
      </c>
      <c r="V4046" s="107">
        <v>22.57082097</v>
      </c>
      <c r="W4046" s="107" t="s">
        <v>15</v>
      </c>
      <c r="X4046" s="107">
        <v>22.57082097</v>
      </c>
      <c r="Y4046" s="107"/>
      <c r="Z4046" s="107"/>
      <c r="AA4046" s="107"/>
      <c r="AB4046" s="107"/>
      <c r="AF4046" s="94">
        <f t="shared" si="538"/>
        <v>40480</v>
      </c>
      <c r="AG4046" s="185">
        <f t="shared" si="533"/>
        <v>2.2609476172237297E-2</v>
      </c>
      <c r="AH4046" s="339" t="str">
        <f>VLOOKUP(B4046,'MF PF'!A:B,2)</f>
        <v>FdMgt1</v>
      </c>
      <c r="AI4046" s="358">
        <f t="shared" si="539"/>
        <v>0</v>
      </c>
      <c r="AJ4046" s="94">
        <f t="shared" si="540"/>
        <v>40482</v>
      </c>
    </row>
    <row r="4047" spans="1:36">
      <c r="A4047" s="8">
        <v>40512</v>
      </c>
      <c r="B4047" s="94" t="s">
        <v>149</v>
      </c>
      <c r="C4047" s="6" t="s">
        <v>297</v>
      </c>
      <c r="D4047" s="98">
        <v>66222910.400219984</v>
      </c>
      <c r="E4047" s="95">
        <f t="shared" si="535"/>
        <v>1250.52</v>
      </c>
      <c r="F4047" s="98"/>
      <c r="G4047" s="98">
        <v>0</v>
      </c>
      <c r="H4047" s="98">
        <v>-2.2351741790771484E-8</v>
      </c>
      <c r="I4047" s="98">
        <v>0</v>
      </c>
      <c r="J4047" s="98"/>
      <c r="K4047" s="98">
        <v>52956.29849999999</v>
      </c>
      <c r="L4047" s="93">
        <f t="shared" si="536"/>
        <v>-2.2351741790771484E-8</v>
      </c>
      <c r="M4047" s="95">
        <f t="shared" ca="1" si="537"/>
        <v>0</v>
      </c>
      <c r="N4047" s="95">
        <f ca="1">IF(P4047="Hedge Fund",IF(A4047=Summary!$AD$3,M4047-E4047,M4047),IF(A4047=Summary!$AD$3,L4047-D4047,L4047))</f>
        <v>0</v>
      </c>
      <c r="O4047" s="95"/>
      <c r="P4047" s="107" t="s">
        <v>139</v>
      </c>
      <c r="Q4047" s="107">
        <v>0</v>
      </c>
      <c r="R4047" s="107">
        <v>0</v>
      </c>
      <c r="S4047" s="107">
        <v>0</v>
      </c>
      <c r="T4047" s="107">
        <v>0</v>
      </c>
      <c r="U4047" s="107" t="s">
        <v>0</v>
      </c>
      <c r="V4047" s="107">
        <v>22.725001410000001</v>
      </c>
      <c r="W4047" s="107" t="s">
        <v>15</v>
      </c>
      <c r="X4047" s="107">
        <v>22.725001410000001</v>
      </c>
      <c r="Y4047" s="107"/>
      <c r="Z4047" s="107"/>
      <c r="AA4047" s="107"/>
      <c r="AB4047" s="107"/>
      <c r="AC4047" s="355"/>
      <c r="AD4047" s="355"/>
      <c r="AE4047" s="355"/>
      <c r="AF4047" s="94">
        <f t="shared" si="538"/>
        <v>40512</v>
      </c>
      <c r="AG4047" s="185">
        <f t="shared" si="533"/>
        <v>6.830963071351448E-3</v>
      </c>
      <c r="AH4047" s="339" t="str">
        <f>VLOOKUP(B4047,'MF PF'!A:B,2)</f>
        <v>FdMgt1</v>
      </c>
      <c r="AI4047" s="358">
        <f t="shared" si="539"/>
        <v>0</v>
      </c>
      <c r="AJ4047" s="94">
        <f t="shared" si="540"/>
        <v>40512</v>
      </c>
    </row>
    <row r="4048" spans="1:36">
      <c r="A4048" s="8">
        <v>40543</v>
      </c>
      <c r="B4048" s="94" t="s">
        <v>149</v>
      </c>
      <c r="C4048" s="358" t="s">
        <v>297</v>
      </c>
      <c r="D4048" s="98">
        <v>67377468.915746853</v>
      </c>
      <c r="E4048" s="95">
        <f t="shared" si="535"/>
        <v>1272.3221000000003</v>
      </c>
      <c r="F4048" s="98"/>
      <c r="G4048" s="98">
        <v>0</v>
      </c>
      <c r="H4048" s="98">
        <v>0</v>
      </c>
      <c r="I4048" s="98">
        <v>0</v>
      </c>
      <c r="J4048" s="98"/>
      <c r="K4048" s="98">
        <v>52956.29849999999</v>
      </c>
      <c r="L4048" s="93">
        <f t="shared" si="536"/>
        <v>0</v>
      </c>
      <c r="M4048" s="95">
        <f t="shared" ca="1" si="537"/>
        <v>0</v>
      </c>
      <c r="N4048" s="95">
        <f ca="1">IF(P4048="Hedge Fund",IF(A4048=Summary!$AD$3,M4048-E4048,M4048),IF(A4048=Summary!$AD$3,L4048-D4048,L4048))</f>
        <v>0</v>
      </c>
      <c r="O4048" s="95"/>
      <c r="P4048" s="107" t="s">
        <v>139</v>
      </c>
      <c r="Q4048" s="107">
        <v>0</v>
      </c>
      <c r="R4048" s="107">
        <v>0</v>
      </c>
      <c r="S4048" s="107">
        <v>0</v>
      </c>
      <c r="T4048" s="107">
        <v>0</v>
      </c>
      <c r="U4048" s="107" t="s">
        <v>0</v>
      </c>
      <c r="V4048" s="107">
        <v>23.121198809999999</v>
      </c>
      <c r="W4048" s="107" t="s">
        <v>15</v>
      </c>
      <c r="X4048" s="107">
        <v>23.121198809999999</v>
      </c>
      <c r="Y4048" s="107"/>
      <c r="Z4048" s="107"/>
      <c r="AA4048" s="107"/>
      <c r="AB4048" s="107"/>
      <c r="AC4048" s="355"/>
      <c r="AD4048" s="355"/>
      <c r="AE4048" s="355"/>
      <c r="AF4048" s="94">
        <f t="shared" si="538"/>
        <v>40543</v>
      </c>
      <c r="AG4048" s="185">
        <f t="shared" si="533"/>
        <v>1.7434427278252507E-2</v>
      </c>
      <c r="AH4048" s="339" t="str">
        <f>VLOOKUP(B4048,'MF PF'!A:B,2)</f>
        <v>FdMgt1</v>
      </c>
      <c r="AI4048" s="358">
        <f t="shared" si="539"/>
        <v>0</v>
      </c>
      <c r="AJ4048" s="94">
        <f t="shared" si="540"/>
        <v>40543</v>
      </c>
    </row>
    <row r="4049" spans="1:36">
      <c r="A4049" s="94">
        <v>40574</v>
      </c>
      <c r="B4049" s="94" t="s">
        <v>149</v>
      </c>
      <c r="C4049" s="358" t="s">
        <v>297</v>
      </c>
      <c r="D4049" s="98">
        <v>67885756.356959596</v>
      </c>
      <c r="E4049" s="95">
        <f t="shared" si="535"/>
        <v>1284.8171</v>
      </c>
      <c r="F4049" s="98"/>
      <c r="G4049" s="98">
        <v>0</v>
      </c>
      <c r="H4049" s="98">
        <v>-153401.50854474306</v>
      </c>
      <c r="I4049" s="98">
        <v>0</v>
      </c>
      <c r="J4049" s="98"/>
      <c r="K4049" s="98">
        <v>52836.902900000001</v>
      </c>
      <c r="L4049" s="93">
        <f t="shared" si="536"/>
        <v>-153401.50854474306</v>
      </c>
      <c r="M4049" s="95">
        <f t="shared" ca="1" si="537"/>
        <v>0</v>
      </c>
      <c r="N4049" s="95">
        <f ca="1">IF(P4049="Hedge Fund",IF(A4049=Summary!$AD$3,M4049-E4049,M4049),IF(A4049=Summary!$AD$3,L4049-D4049,L4049))</f>
        <v>0</v>
      </c>
      <c r="O4049" s="95"/>
      <c r="P4049" s="107" t="s">
        <v>139</v>
      </c>
      <c r="Q4049" s="107">
        <v>0</v>
      </c>
      <c r="R4049" s="107">
        <v>0</v>
      </c>
      <c r="S4049" s="107">
        <v>0</v>
      </c>
      <c r="T4049" s="107">
        <v>0</v>
      </c>
      <c r="U4049" s="107" t="s">
        <v>0</v>
      </c>
      <c r="V4049" s="107">
        <v>23.348263450000001</v>
      </c>
      <c r="W4049" s="107" t="s">
        <v>15</v>
      </c>
      <c r="X4049" s="107">
        <v>23.348263450000001</v>
      </c>
      <c r="Y4049" s="107"/>
      <c r="Z4049" s="107"/>
      <c r="AA4049" s="107"/>
      <c r="AB4049" s="107"/>
      <c r="AC4049" s="355"/>
      <c r="AD4049" s="355"/>
      <c r="AE4049" s="355"/>
      <c r="AF4049" s="94">
        <f t="shared" si="538"/>
        <v>40574</v>
      </c>
      <c r="AG4049" s="185">
        <f t="shared" si="533"/>
        <v>9.8206263964131235E-3</v>
      </c>
      <c r="AH4049" s="339" t="str">
        <f>VLOOKUP(B4049,'MF PF'!A:B,2)</f>
        <v>FdMgt1</v>
      </c>
      <c r="AI4049" s="358">
        <f t="shared" si="539"/>
        <v>0</v>
      </c>
      <c r="AJ4049" s="94">
        <f t="shared" si="540"/>
        <v>40574</v>
      </c>
    </row>
    <row r="4050" spans="1:36">
      <c r="A4050" s="8">
        <v>40602</v>
      </c>
      <c r="B4050" s="94" t="s">
        <v>149</v>
      </c>
      <c r="C4050" s="358" t="s">
        <v>297</v>
      </c>
      <c r="D4050" s="98">
        <v>68114799.04734081</v>
      </c>
      <c r="E4050" s="95">
        <f t="shared" si="535"/>
        <v>1289.1520000000003</v>
      </c>
      <c r="F4050" s="98"/>
      <c r="G4050" s="98">
        <v>0</v>
      </c>
      <c r="H4050" s="98">
        <v>0</v>
      </c>
      <c r="I4050" s="98">
        <v>0</v>
      </c>
      <c r="J4050" s="98"/>
      <c r="K4050" s="98">
        <v>52836.902900000001</v>
      </c>
      <c r="L4050" s="93">
        <f t="shared" si="536"/>
        <v>0</v>
      </c>
      <c r="M4050" s="95">
        <f t="shared" ca="1" si="537"/>
        <v>0</v>
      </c>
      <c r="N4050" s="95">
        <f ca="1">IF(P4050="Hedge Fund",IF(A4050=Summary!$AD$3,M4050-E4050,M4050),IF(A4050=Summary!$AD$3,L4050-D4050,L4050))</f>
        <v>0</v>
      </c>
      <c r="O4050" s="95"/>
      <c r="P4050" s="107" t="s">
        <v>139</v>
      </c>
      <c r="Q4050" s="107">
        <v>0</v>
      </c>
      <c r="R4050" s="107">
        <v>0</v>
      </c>
      <c r="S4050" s="107">
        <v>0</v>
      </c>
      <c r="T4050" s="107">
        <v>0</v>
      </c>
      <c r="U4050" s="107" t="s">
        <v>0</v>
      </c>
      <c r="V4050" s="107">
        <v>23.427039180000001</v>
      </c>
      <c r="W4050" s="107" t="s">
        <v>15</v>
      </c>
      <c r="X4050" s="107">
        <v>23.427039180000001</v>
      </c>
      <c r="Y4050" s="107"/>
      <c r="Z4050" s="107"/>
      <c r="AA4050" s="107"/>
      <c r="AB4050" s="107"/>
      <c r="AC4050" s="355"/>
      <c r="AD4050" s="355"/>
      <c r="AE4050" s="355"/>
      <c r="AF4050" s="94">
        <f t="shared" si="538"/>
        <v>40602</v>
      </c>
      <c r="AG4050" s="185">
        <f t="shared" si="533"/>
        <v>3.3739432639867672E-3</v>
      </c>
      <c r="AH4050" s="339" t="str">
        <f>VLOOKUP(B4050,'MF PF'!A:B,2)</f>
        <v>FdMgt1</v>
      </c>
      <c r="AI4050" s="358">
        <f t="shared" si="539"/>
        <v>0</v>
      </c>
      <c r="AJ4050" s="94">
        <f t="shared" si="540"/>
        <v>40602</v>
      </c>
    </row>
    <row r="4051" spans="1:36">
      <c r="A4051" s="8">
        <v>40633</v>
      </c>
      <c r="B4051" s="94" t="s">
        <v>149</v>
      </c>
      <c r="C4051" s="358" t="s">
        <v>297</v>
      </c>
      <c r="D4051" s="98">
        <v>60182122.25</v>
      </c>
      <c r="E4051" s="95">
        <f t="shared" si="535"/>
        <v>1139.0168000000001</v>
      </c>
      <c r="F4051" s="98"/>
      <c r="G4051" s="98">
        <v>2.186931274831295</v>
      </c>
      <c r="H4051" s="98">
        <v>0</v>
      </c>
      <c r="I4051" s="98">
        <v>-8799986.4977737814</v>
      </c>
      <c r="J4051" s="98"/>
      <c r="K4051" s="98">
        <v>52836.904820016694</v>
      </c>
      <c r="L4051" s="93">
        <f t="shared" si="536"/>
        <v>-8799984.3108425066</v>
      </c>
      <c r="M4051" s="95">
        <f t="shared" ca="1" si="537"/>
        <v>-166.55</v>
      </c>
      <c r="N4051" s="95">
        <f ca="1">IF(P4051="Hedge Fund",IF(A4051=Summary!$AD$3,M4051-E4051,M4051),IF(A4051=Summary!$AD$3,L4051-D4051,L4051))</f>
        <v>-166.55</v>
      </c>
      <c r="O4051" s="95"/>
      <c r="P4051" s="107" t="s">
        <v>139</v>
      </c>
      <c r="Q4051" s="107">
        <v>0</v>
      </c>
      <c r="R4051" s="107">
        <v>0</v>
      </c>
      <c r="S4051" s="107">
        <v>0</v>
      </c>
      <c r="T4051" s="107">
        <v>0</v>
      </c>
      <c r="U4051" s="107" t="s">
        <v>0</v>
      </c>
      <c r="V4051" s="107">
        <v>20.698716050000002</v>
      </c>
      <c r="W4051" s="107" t="s">
        <v>15</v>
      </c>
      <c r="X4051" s="107">
        <v>20.698716050000002</v>
      </c>
      <c r="Y4051" s="107"/>
      <c r="Z4051" s="107"/>
      <c r="AA4051" s="107"/>
      <c r="AB4051" s="107"/>
      <c r="AC4051" s="355"/>
      <c r="AD4051" s="355"/>
      <c r="AE4051" s="355"/>
      <c r="AF4051" s="94">
        <f t="shared" si="538"/>
        <v>40633</v>
      </c>
      <c r="AG4051" s="185">
        <f t="shared" si="533"/>
        <v>1.2733026091714894E-2</v>
      </c>
      <c r="AH4051" s="339" t="str">
        <f>VLOOKUP(B4051,'MF PF'!A:B,2)</f>
        <v>FdMgt1</v>
      </c>
      <c r="AI4051" s="358">
        <f t="shared" si="539"/>
        <v>0</v>
      </c>
      <c r="AJ4051" s="94">
        <f t="shared" si="540"/>
        <v>40633</v>
      </c>
    </row>
    <row r="4052" spans="1:36">
      <c r="A4052" s="8">
        <v>40662</v>
      </c>
      <c r="B4052" s="94" t="s">
        <v>149</v>
      </c>
      <c r="C4052" s="358" t="s">
        <v>297</v>
      </c>
      <c r="D4052" s="98">
        <v>66433785.296136305</v>
      </c>
      <c r="E4052" s="95">
        <f t="shared" si="535"/>
        <v>1140.3630000000001</v>
      </c>
      <c r="F4052" s="98"/>
      <c r="G4052" s="98">
        <v>6180534.0048676059</v>
      </c>
      <c r="H4052" s="98">
        <v>0</v>
      </c>
      <c r="I4052" s="98">
        <v>0</v>
      </c>
      <c r="J4052" s="98"/>
      <c r="K4052" s="98">
        <v>58256.700100000002</v>
      </c>
      <c r="L4052" s="93">
        <f t="shared" si="536"/>
        <v>6180534.0048676059</v>
      </c>
      <c r="M4052" s="95">
        <f t="shared" ca="1" si="537"/>
        <v>0</v>
      </c>
      <c r="N4052" s="95">
        <f ca="1">IF(P4052="Hedge Fund",IF(A4052=Summary!$AD$3,M4052-E4052,M4052),IF(A4052=Summary!$AD$3,L4052-D4052,L4052))</f>
        <v>0</v>
      </c>
      <c r="O4052" s="95"/>
      <c r="P4052" s="107" t="s">
        <v>139</v>
      </c>
      <c r="Q4052" s="107">
        <v>0</v>
      </c>
      <c r="R4052" s="107">
        <v>0</v>
      </c>
      <c r="S4052" s="107">
        <v>0</v>
      </c>
      <c r="T4052" s="107">
        <v>0</v>
      </c>
      <c r="U4052" s="107" t="s">
        <v>0</v>
      </c>
      <c r="V4052" s="107">
        <v>23.753377</v>
      </c>
      <c r="W4052" s="107" t="s">
        <v>15</v>
      </c>
      <c r="X4052" s="107">
        <v>23.753377</v>
      </c>
      <c r="Y4052" s="107"/>
      <c r="Z4052" s="107"/>
      <c r="AA4052" s="107"/>
      <c r="AB4052" s="107"/>
      <c r="AC4052" s="355"/>
      <c r="AD4052" s="355"/>
      <c r="AE4052" s="355"/>
      <c r="AF4052" s="94">
        <f t="shared" si="538"/>
        <v>40662</v>
      </c>
      <c r="AG4052" s="185">
        <f t="shared" si="533"/>
        <v>1.1818965268992621E-3</v>
      </c>
      <c r="AH4052" s="339" t="str">
        <f>VLOOKUP(B4052,'MF PF'!A:B,2)</f>
        <v>FdMgt1</v>
      </c>
      <c r="AI4052" s="358">
        <f t="shared" si="539"/>
        <v>0</v>
      </c>
      <c r="AJ4052" s="94">
        <f t="shared" si="540"/>
        <v>40663</v>
      </c>
    </row>
    <row r="4053" spans="1:36">
      <c r="A4053" s="8">
        <v>40694</v>
      </c>
      <c r="B4053" s="94" t="s">
        <v>149</v>
      </c>
      <c r="C4053" s="358" t="s">
        <v>297</v>
      </c>
      <c r="D4053" s="98">
        <v>67489973.196942776</v>
      </c>
      <c r="E4053" s="95">
        <f t="shared" si="535"/>
        <v>1146.9009000000001</v>
      </c>
      <c r="F4053" s="98"/>
      <c r="G4053" s="98">
        <v>675311.42122267932</v>
      </c>
      <c r="H4053" s="98">
        <v>0</v>
      </c>
      <c r="I4053" s="98">
        <v>0</v>
      </c>
      <c r="J4053" s="98"/>
      <c r="K4053" s="98">
        <v>58845.514199999991</v>
      </c>
      <c r="L4053" s="93">
        <f t="shared" si="536"/>
        <v>675311.42122267932</v>
      </c>
      <c r="M4053" s="95">
        <f t="shared" ca="1" si="537"/>
        <v>0</v>
      </c>
      <c r="N4053" s="95">
        <f ca="1">IF(P4053="Hedge Fund",IF(A4053=Summary!$AD$3,M4053-E4053,M4053),IF(A4053=Summary!$AD$3,L4053-D4053,L4053))</f>
        <v>0</v>
      </c>
      <c r="O4053" s="95"/>
      <c r="P4053" s="107" t="s">
        <v>139</v>
      </c>
      <c r="Q4053" s="107">
        <v>0</v>
      </c>
      <c r="R4053" s="107">
        <v>0</v>
      </c>
      <c r="S4053" s="107">
        <v>0</v>
      </c>
      <c r="T4053" s="107">
        <v>0</v>
      </c>
      <c r="U4053" s="107" t="s">
        <v>0</v>
      </c>
      <c r="V4053" s="107">
        <v>23.889559239999997</v>
      </c>
      <c r="W4053" s="107" t="s">
        <v>15</v>
      </c>
      <c r="X4053" s="107">
        <v>23.889559239999997</v>
      </c>
      <c r="Y4053" s="107"/>
      <c r="Z4053" s="107"/>
      <c r="AA4053" s="107"/>
      <c r="AB4053" s="107"/>
      <c r="AC4053" s="355"/>
      <c r="AD4053" s="355"/>
      <c r="AE4053" s="355"/>
      <c r="AF4053" s="94">
        <f t="shared" si="538"/>
        <v>40694</v>
      </c>
      <c r="AG4053" s="185">
        <f t="shared" si="533"/>
        <v>5.7331744365609616E-3</v>
      </c>
      <c r="AH4053" s="339" t="str">
        <f>VLOOKUP(B4053,'MF PF'!A:B,2)</f>
        <v>FdMgt1</v>
      </c>
      <c r="AI4053" s="358">
        <f t="shared" si="539"/>
        <v>0</v>
      </c>
      <c r="AJ4053" s="94">
        <f t="shared" si="540"/>
        <v>40694</v>
      </c>
    </row>
    <row r="4054" spans="1:36">
      <c r="A4054" s="8">
        <v>40724</v>
      </c>
      <c r="B4054" s="94" t="s">
        <v>149</v>
      </c>
      <c r="C4054" s="358" t="s">
        <v>297</v>
      </c>
      <c r="D4054" s="98">
        <v>49220600.577635519</v>
      </c>
      <c r="E4054" s="95">
        <f t="shared" si="535"/>
        <v>827.85119999999995</v>
      </c>
      <c r="F4054" s="98"/>
      <c r="G4054" s="98">
        <v>505271.03254848719</v>
      </c>
      <c r="H4054" s="98">
        <v>0</v>
      </c>
      <c r="I4054" s="98">
        <v>-20000949.487440001</v>
      </c>
      <c r="J4054" s="98"/>
      <c r="K4054" s="98">
        <v>59455.854600000006</v>
      </c>
      <c r="L4054" s="93">
        <f t="shared" si="536"/>
        <v>-19495678.454891514</v>
      </c>
      <c r="M4054" s="95">
        <f t="shared" ca="1" si="537"/>
        <v>-336.4</v>
      </c>
      <c r="N4054" s="95">
        <f ca="1">IF(P4054="Hedge Fund",IF(A4054=Summary!$AD$3,M4054-E4054,M4054),IF(A4054=Summary!$AD$3,L4054-D4054,L4054))</f>
        <v>-336.4</v>
      </c>
      <c r="O4054" s="95"/>
      <c r="P4054" s="107" t="s">
        <v>139</v>
      </c>
      <c r="Q4054" s="107">
        <v>0</v>
      </c>
      <c r="R4054" s="107">
        <v>0</v>
      </c>
      <c r="S4054" s="107">
        <v>0</v>
      </c>
      <c r="T4054" s="107">
        <v>0</v>
      </c>
      <c r="U4054" s="107" t="s">
        <v>0</v>
      </c>
      <c r="V4054" s="107">
        <v>17.243861519999999</v>
      </c>
      <c r="W4054" s="107" t="s">
        <v>15</v>
      </c>
      <c r="X4054" s="107">
        <v>17.243861519999999</v>
      </c>
      <c r="Y4054" s="107"/>
      <c r="Z4054" s="107"/>
      <c r="AA4054" s="107"/>
      <c r="AB4054" s="107"/>
      <c r="AC4054" s="355"/>
      <c r="AD4054" s="355"/>
      <c r="AE4054" s="355"/>
      <c r="AF4054" s="94">
        <f t="shared" si="538"/>
        <v>40724</v>
      </c>
      <c r="AG4054" s="185">
        <f t="shared" si="533"/>
        <v>1.8170192956007858E-2</v>
      </c>
      <c r="AH4054" s="339" t="str">
        <f>VLOOKUP(B4054,'MF PF'!A:B,2)</f>
        <v>FdMgt1</v>
      </c>
      <c r="AI4054" s="358">
        <f t="shared" si="539"/>
        <v>0</v>
      </c>
      <c r="AJ4054" s="94">
        <f t="shared" si="540"/>
        <v>40724</v>
      </c>
    </row>
    <row r="4055" spans="1:36">
      <c r="A4055" s="8">
        <v>40753</v>
      </c>
      <c r="B4055" s="94" t="s">
        <v>149</v>
      </c>
      <c r="C4055" s="358" t="s">
        <v>297</v>
      </c>
      <c r="D4055" s="98">
        <v>60018032.444239162</v>
      </c>
      <c r="E4055" s="95">
        <f t="shared" si="535"/>
        <v>835.81129999999996</v>
      </c>
      <c r="F4055" s="98"/>
      <c r="G4055" s="98">
        <v>10324157.318402179</v>
      </c>
      <c r="H4055" s="98">
        <v>0</v>
      </c>
      <c r="I4055" s="98">
        <v>0</v>
      </c>
      <c r="J4055" s="98"/>
      <c r="K4055" s="98">
        <v>71808.113200000007</v>
      </c>
      <c r="L4055" s="93">
        <f t="shared" si="536"/>
        <v>10324157.318402179</v>
      </c>
      <c r="M4055" s="95">
        <f t="shared" ca="1" si="537"/>
        <v>0</v>
      </c>
      <c r="N4055" s="95">
        <f ca="1">IF(P4055="Hedge Fund",IF(A4055=Summary!$AD$3,M4055-E4055,M4055),IF(A4055=Summary!$AD$3,L4055-D4055,L4055))</f>
        <v>0</v>
      </c>
      <c r="O4055" s="95"/>
      <c r="P4055" s="107" t="s">
        <v>139</v>
      </c>
      <c r="Q4055" s="107">
        <v>0</v>
      </c>
      <c r="R4055" s="107">
        <v>0</v>
      </c>
      <c r="S4055" s="107">
        <v>0</v>
      </c>
      <c r="T4055" s="107">
        <v>0</v>
      </c>
      <c r="U4055" s="107" t="s">
        <v>0</v>
      </c>
      <c r="V4055" s="107">
        <v>24.484142219999999</v>
      </c>
      <c r="W4055" s="107" t="s">
        <v>15</v>
      </c>
      <c r="X4055" s="107">
        <v>17.409667710000001</v>
      </c>
      <c r="Y4055" s="107"/>
      <c r="Z4055" s="107"/>
      <c r="AA4055" s="107"/>
      <c r="AB4055" s="107"/>
      <c r="AC4055" s="355"/>
      <c r="AD4055" s="355"/>
      <c r="AE4055" s="355"/>
      <c r="AF4055" s="94">
        <f t="shared" si="538"/>
        <v>40753</v>
      </c>
      <c r="AG4055" s="185">
        <f t="shared" si="533"/>
        <v>9.6153753234882178E-3</v>
      </c>
      <c r="AH4055" s="339" t="str">
        <f>VLOOKUP(B4055,'MF PF'!A:B,2)</f>
        <v>FdMgt1</v>
      </c>
      <c r="AI4055" s="358">
        <f t="shared" si="539"/>
        <v>0</v>
      </c>
      <c r="AJ4055" s="94">
        <f t="shared" si="540"/>
        <v>40755</v>
      </c>
    </row>
    <row r="4056" spans="1:36">
      <c r="A4056" s="8">
        <v>40786</v>
      </c>
      <c r="B4056" s="94" t="s">
        <v>149</v>
      </c>
      <c r="C4056" s="358" t="s">
        <v>297</v>
      </c>
      <c r="D4056" s="98">
        <v>59049183.019322127</v>
      </c>
      <c r="E4056" s="95">
        <f t="shared" si="535"/>
        <v>822.31910000000005</v>
      </c>
      <c r="F4056" s="98"/>
      <c r="G4056" s="98">
        <v>0</v>
      </c>
      <c r="H4056" s="98">
        <v>0</v>
      </c>
      <c r="I4056" s="98">
        <v>0</v>
      </c>
      <c r="J4056" s="98"/>
      <c r="K4056" s="98">
        <v>71808.113200000007</v>
      </c>
      <c r="L4056" s="93">
        <f t="shared" si="536"/>
        <v>0</v>
      </c>
      <c r="M4056" s="95">
        <f t="shared" ca="1" si="537"/>
        <v>0</v>
      </c>
      <c r="N4056" s="95">
        <f ca="1">IF(P4056="Hedge Fund",IF(A4056=Summary!$AD$3,M4056-E4056,M4056),IF(A4056=Summary!$AD$3,L4056-D4056,L4056))</f>
        <v>0</v>
      </c>
      <c r="O4056" s="95"/>
      <c r="P4056" s="107" t="s">
        <v>139</v>
      </c>
      <c r="Q4056" s="107">
        <v>0</v>
      </c>
      <c r="R4056" s="107">
        <v>0</v>
      </c>
      <c r="S4056" s="107">
        <v>0</v>
      </c>
      <c r="T4056" s="107">
        <v>0</v>
      </c>
      <c r="U4056" s="107" t="s">
        <v>0</v>
      </c>
      <c r="V4056" s="107">
        <v>24.088903550000001</v>
      </c>
      <c r="W4056" s="107" t="s">
        <v>15</v>
      </c>
      <c r="X4056" s="107">
        <v>17.12862973</v>
      </c>
      <c r="Y4056" s="107"/>
      <c r="Z4056" s="107"/>
      <c r="AA4056" s="107"/>
      <c r="AB4056" s="107"/>
      <c r="AC4056" s="355"/>
      <c r="AD4056" s="355"/>
      <c r="AE4056" s="355"/>
      <c r="AF4056" s="94">
        <f t="shared" si="538"/>
        <v>40786</v>
      </c>
      <c r="AG4056" s="185">
        <f t="shared" si="533"/>
        <v>-1.6142638894688255E-2</v>
      </c>
      <c r="AH4056" s="339" t="str">
        <f>VLOOKUP(B4056,'MF PF'!A:B,2)</f>
        <v>FdMgt1</v>
      </c>
      <c r="AI4056" s="358">
        <f t="shared" si="539"/>
        <v>0</v>
      </c>
      <c r="AJ4056" s="94">
        <f t="shared" si="540"/>
        <v>40786</v>
      </c>
    </row>
    <row r="4057" spans="1:36">
      <c r="A4057" s="94">
        <v>40816</v>
      </c>
      <c r="B4057" s="94" t="s">
        <v>149</v>
      </c>
      <c r="C4057" s="358" t="s">
        <v>297</v>
      </c>
      <c r="D4057" s="98">
        <v>59709573.513177246</v>
      </c>
      <c r="E4057" s="95">
        <f t="shared" si="535"/>
        <v>831.51570000000004</v>
      </c>
      <c r="F4057" s="98"/>
      <c r="G4057" s="98">
        <v>0</v>
      </c>
      <c r="H4057" s="98">
        <v>0</v>
      </c>
      <c r="I4057" s="98">
        <v>0</v>
      </c>
      <c r="J4057" s="98"/>
      <c r="K4057" s="98">
        <v>71808.113200000007</v>
      </c>
      <c r="L4057" s="93">
        <f t="shared" si="536"/>
        <v>0</v>
      </c>
      <c r="M4057" s="95">
        <f t="shared" ca="1" si="537"/>
        <v>0</v>
      </c>
      <c r="N4057" s="95">
        <f ca="1">IF(P4057="Hedge Fund",IF(A4057=Summary!$AD$3,M4057-E4057,M4057),IF(A4057=Summary!$AD$3,L4057-D4057,L4057))</f>
        <v>0</v>
      </c>
      <c r="O4057" s="95"/>
      <c r="P4057" s="107" t="s">
        <v>139</v>
      </c>
      <c r="Q4057" s="107">
        <v>0</v>
      </c>
      <c r="R4057" s="107">
        <v>0</v>
      </c>
      <c r="S4057" s="107">
        <v>0</v>
      </c>
      <c r="T4057" s="107">
        <v>0</v>
      </c>
      <c r="U4057" s="107" t="s">
        <v>0</v>
      </c>
      <c r="V4057" s="107">
        <v>24.358307499999999</v>
      </c>
      <c r="W4057" s="107" t="s">
        <v>15</v>
      </c>
      <c r="X4057" s="107">
        <v>17.320191809999997</v>
      </c>
      <c r="Y4057" s="107"/>
      <c r="Z4057" s="107"/>
      <c r="AA4057" s="107"/>
      <c r="AB4057" s="107"/>
      <c r="AC4057" s="355"/>
      <c r="AD4057" s="355"/>
      <c r="AE4057" s="355"/>
      <c r="AF4057" s="94">
        <f t="shared" si="538"/>
        <v>40816</v>
      </c>
      <c r="AG4057" s="185">
        <f t="shared" si="533"/>
        <v>1.1183736337876615E-2</v>
      </c>
      <c r="AH4057" s="339" t="str">
        <f>VLOOKUP(B4057,'MF PF'!A:B,2)</f>
        <v>FdMgt1</v>
      </c>
      <c r="AI4057" s="358">
        <f t="shared" si="539"/>
        <v>0</v>
      </c>
      <c r="AJ4057" s="94">
        <f t="shared" si="540"/>
        <v>40816</v>
      </c>
    </row>
    <row r="4058" spans="1:36">
      <c r="A4058" s="8">
        <v>40847</v>
      </c>
      <c r="B4058" s="94" t="s">
        <v>149</v>
      </c>
      <c r="C4058" s="358" t="s">
        <v>297</v>
      </c>
      <c r="D4058" s="98">
        <v>48835268.805867329</v>
      </c>
      <c r="E4058" s="95">
        <f t="shared" ref="E4058:E4089" si="541">IF(K4058="","",D4058/K4058)</f>
        <v>680.08010000000002</v>
      </c>
      <c r="F4058" s="98"/>
      <c r="G4058" s="98">
        <v>0</v>
      </c>
      <c r="H4058" s="98">
        <v>0</v>
      </c>
      <c r="I4058" s="98">
        <v>-11008183.753560001</v>
      </c>
      <c r="J4058" s="98"/>
      <c r="K4058" s="98">
        <v>71808.113200000007</v>
      </c>
      <c r="L4058" s="93">
        <f t="shared" si="536"/>
        <v>-11008183.753560001</v>
      </c>
      <c r="M4058" s="95">
        <f t="shared" ca="1" si="537"/>
        <v>-153.30000000000001</v>
      </c>
      <c r="N4058" s="95">
        <f ca="1">IF(P4058="Hedge Fund",IF(A4058=Summary!$AD$3,M4058-E4058,M4058),IF(A4058=Summary!$AD$3,L4058-D4058,L4058))</f>
        <v>-153.30000000000001</v>
      </c>
      <c r="O4058" s="95"/>
      <c r="P4058" s="107" t="s">
        <v>139</v>
      </c>
      <c r="Q4058" s="107">
        <v>0</v>
      </c>
      <c r="R4058" s="107">
        <v>0</v>
      </c>
      <c r="S4058" s="107">
        <v>0</v>
      </c>
      <c r="T4058" s="107">
        <v>0</v>
      </c>
      <c r="U4058" s="107" t="s">
        <v>0</v>
      </c>
      <c r="V4058" s="107">
        <v>19.922173699999998</v>
      </c>
      <c r="W4058" s="107" t="s">
        <v>15</v>
      </c>
      <c r="X4058" s="107">
        <v>14.165839310000001</v>
      </c>
      <c r="Y4058" s="107"/>
      <c r="Z4058" s="107"/>
      <c r="AA4058" s="107"/>
      <c r="AB4058" s="107"/>
      <c r="AC4058" s="355"/>
      <c r="AD4058" s="355"/>
      <c r="AE4058" s="355"/>
      <c r="AF4058" s="94">
        <f t="shared" si="538"/>
        <v>40847</v>
      </c>
      <c r="AG4058" s="185">
        <f t="shared" si="533"/>
        <v>2.2421705326791663E-3</v>
      </c>
      <c r="AH4058" s="339" t="str">
        <f>VLOOKUP(B4058,'MF PF'!A:B,2)</f>
        <v>FdMgt1</v>
      </c>
      <c r="AI4058" s="358">
        <f t="shared" si="539"/>
        <v>0</v>
      </c>
      <c r="AJ4058" s="94">
        <f t="shared" si="540"/>
        <v>40847</v>
      </c>
    </row>
    <row r="4059" spans="1:36">
      <c r="A4059" s="8">
        <v>40877</v>
      </c>
      <c r="B4059" s="94" t="s">
        <v>149</v>
      </c>
      <c r="C4059" s="358" t="s">
        <v>297</v>
      </c>
      <c r="D4059" s="98">
        <v>54901663.88568835</v>
      </c>
      <c r="E4059" s="95">
        <f t="shared" si="541"/>
        <v>680.76589999999999</v>
      </c>
      <c r="F4059" s="98"/>
      <c r="G4059" s="98">
        <v>6017149.0757884681</v>
      </c>
      <c r="H4059" s="98">
        <v>0</v>
      </c>
      <c r="I4059" s="98">
        <v>0</v>
      </c>
      <c r="J4059" s="98"/>
      <c r="K4059" s="98">
        <v>80646.906499999997</v>
      </c>
      <c r="L4059" s="93">
        <f t="shared" si="536"/>
        <v>6017149.0757884681</v>
      </c>
      <c r="M4059" s="95">
        <f t="shared" ca="1" si="537"/>
        <v>0</v>
      </c>
      <c r="N4059" s="95">
        <f ca="1">IF(P4059="Hedge Fund",IF(A4059=Summary!$AD$3,M4059-E4059,M4059),IF(A4059=Summary!$AD$3,L4059-D4059,L4059))</f>
        <v>0</v>
      </c>
      <c r="O4059" s="95"/>
      <c r="P4059" s="107" t="s">
        <v>139</v>
      </c>
      <c r="Q4059" s="107">
        <v>0</v>
      </c>
      <c r="R4059" s="107">
        <v>0</v>
      </c>
      <c r="S4059" s="107">
        <v>0</v>
      </c>
      <c r="T4059" s="107">
        <v>0</v>
      </c>
      <c r="U4059" s="107" t="s">
        <v>0</v>
      </c>
      <c r="V4059" s="107">
        <v>24.437541199999998</v>
      </c>
      <c r="W4059" s="107" t="s">
        <v>15</v>
      </c>
      <c r="X4059" s="107">
        <v>14.180124279999999</v>
      </c>
      <c r="Y4059" s="107"/>
      <c r="Z4059" s="107"/>
      <c r="AA4059" s="107"/>
      <c r="AB4059" s="107"/>
      <c r="AC4059" s="355"/>
      <c r="AD4059" s="355"/>
      <c r="AE4059" s="355"/>
      <c r="AF4059" s="94">
        <f t="shared" si="538"/>
        <v>40877</v>
      </c>
      <c r="AG4059" s="185">
        <f t="shared" si="533"/>
        <v>1.0084106269245829E-3</v>
      </c>
      <c r="AH4059" s="339" t="str">
        <f>VLOOKUP(B4059,'MF PF'!A:B,2)</f>
        <v>FdMgt1</v>
      </c>
      <c r="AI4059" s="358">
        <f t="shared" si="539"/>
        <v>0</v>
      </c>
      <c r="AJ4059" s="94">
        <f t="shared" si="540"/>
        <v>40877</v>
      </c>
    </row>
    <row r="4060" spans="1:36">
      <c r="A4060" s="8">
        <v>40907</v>
      </c>
      <c r="B4060" s="94" t="s">
        <v>149</v>
      </c>
      <c r="C4060" s="358" t="s">
        <v>297</v>
      </c>
      <c r="D4060" s="98">
        <v>54503703.66087345</v>
      </c>
      <c r="E4060" s="95">
        <f t="shared" si="541"/>
        <v>675.83130000000006</v>
      </c>
      <c r="F4060" s="98"/>
      <c r="G4060" s="98">
        <v>0</v>
      </c>
      <c r="H4060" s="98">
        <v>0</v>
      </c>
      <c r="I4060" s="98">
        <v>0</v>
      </c>
      <c r="J4060" s="98"/>
      <c r="K4060" s="98">
        <v>80646.906499999997</v>
      </c>
      <c r="L4060" s="93">
        <f t="shared" si="536"/>
        <v>0</v>
      </c>
      <c r="M4060" s="95">
        <f t="shared" ca="1" si="537"/>
        <v>0</v>
      </c>
      <c r="N4060" s="95">
        <f ca="1">IF(P4060="Hedge Fund",IF(A4060=Summary!$AD$3,M4060-E4060,M4060),IF(A4060=Summary!$AD$3,L4060-D4060,L4060))</f>
        <v>0</v>
      </c>
      <c r="O4060" s="95"/>
      <c r="P4060" s="107" t="s">
        <v>139</v>
      </c>
      <c r="Q4060" s="107">
        <v>0</v>
      </c>
      <c r="R4060" s="107">
        <v>0</v>
      </c>
      <c r="S4060" s="107">
        <v>0</v>
      </c>
      <c r="T4060" s="107">
        <v>0</v>
      </c>
      <c r="U4060" s="107" t="s">
        <v>0</v>
      </c>
      <c r="V4060" s="107">
        <v>24.26040321</v>
      </c>
      <c r="W4060" s="107" t="s">
        <v>15</v>
      </c>
      <c r="X4060" s="107">
        <v>14.077338220000001</v>
      </c>
      <c r="Y4060" s="107"/>
      <c r="Z4060" s="107"/>
      <c r="AA4060" s="107"/>
      <c r="AB4060" s="107"/>
      <c r="AC4060" s="355"/>
      <c r="AD4060" s="355"/>
      <c r="AE4060" s="355"/>
      <c r="AF4060" s="94">
        <f t="shared" si="538"/>
        <v>40907</v>
      </c>
      <c r="AG4060" s="185">
        <f t="shared" si="533"/>
        <v>-7.2486004366552059E-3</v>
      </c>
      <c r="AH4060" s="339" t="str">
        <f>VLOOKUP(B4060,'MF PF'!A:B,2)</f>
        <v>FdMgt1</v>
      </c>
      <c r="AI4060" s="358">
        <f t="shared" si="539"/>
        <v>0</v>
      </c>
      <c r="AJ4060" s="94">
        <f t="shared" si="540"/>
        <v>40908</v>
      </c>
    </row>
    <row r="4061" spans="1:36">
      <c r="A4061" s="8">
        <v>40939</v>
      </c>
      <c r="B4061" s="94" t="s">
        <v>149</v>
      </c>
      <c r="C4061" s="358" t="s">
        <v>297</v>
      </c>
      <c r="D4061" s="98">
        <v>60818698.849999994</v>
      </c>
      <c r="E4061" s="95">
        <f t="shared" si="541"/>
        <v>693.82360000000006</v>
      </c>
      <c r="F4061" s="98"/>
      <c r="G4061" s="98">
        <v>4863971.8533065915</v>
      </c>
      <c r="H4061" s="98">
        <v>0</v>
      </c>
      <c r="I4061" s="98">
        <v>0</v>
      </c>
      <c r="J4061" s="98"/>
      <c r="K4061" s="98">
        <v>87657.293366786587</v>
      </c>
      <c r="L4061" s="93">
        <f t="shared" si="536"/>
        <v>4863971.8533065915</v>
      </c>
      <c r="M4061" s="95">
        <f t="shared" ca="1" si="537"/>
        <v>0</v>
      </c>
      <c r="N4061" s="95">
        <f ca="1">IF(P4061="Hedge Fund",IF(A4061=Summary!$AD$3,M4061-E4061,M4061),IF(A4061=Summary!$AD$3,L4061-D4061,L4061))</f>
        <v>0</v>
      </c>
      <c r="O4061" s="95"/>
      <c r="P4061" s="107" t="s">
        <v>139</v>
      </c>
      <c r="Q4061" s="107">
        <v>0</v>
      </c>
      <c r="R4061" s="107">
        <v>0</v>
      </c>
      <c r="S4061" s="107">
        <v>0</v>
      </c>
      <c r="T4061" s="107">
        <v>0</v>
      </c>
      <c r="U4061" s="107" t="s">
        <v>0</v>
      </c>
      <c r="V4061" s="107">
        <v>24.906275129999997</v>
      </c>
      <c r="W4061" s="107" t="s">
        <v>15</v>
      </c>
      <c r="X4061" s="107">
        <v>14.45211177</v>
      </c>
      <c r="Y4061" s="107"/>
      <c r="Z4061" s="107"/>
      <c r="AA4061" s="107"/>
      <c r="AB4061" s="107"/>
      <c r="AC4061" s="355"/>
      <c r="AD4061" s="355"/>
      <c r="AE4061" s="355"/>
      <c r="AF4061" s="94">
        <f t="shared" si="538"/>
        <v>40939</v>
      </c>
      <c r="AG4061" s="185">
        <f t="shared" si="533"/>
        <v>2.6622472205711789E-2</v>
      </c>
      <c r="AH4061" s="339" t="str">
        <f>VLOOKUP(B4061,'MF PF'!A:B,2)</f>
        <v>FdMgt1</v>
      </c>
      <c r="AI4061" s="358">
        <f t="shared" si="539"/>
        <v>0</v>
      </c>
      <c r="AJ4061" s="94">
        <f t="shared" si="540"/>
        <v>40939</v>
      </c>
    </row>
    <row r="4062" spans="1:36">
      <c r="A4062" s="8">
        <v>40968</v>
      </c>
      <c r="B4062" s="94" t="s">
        <v>149</v>
      </c>
      <c r="C4062" s="358" t="s">
        <v>297</v>
      </c>
      <c r="D4062" s="98">
        <v>53866852.88209974</v>
      </c>
      <c r="E4062" s="95">
        <f t="shared" si="541"/>
        <v>669.56229999999994</v>
      </c>
      <c r="F4062" s="98"/>
      <c r="G4062" s="98">
        <v>0</v>
      </c>
      <c r="H4062" s="98">
        <v>-4825166.0763406232</v>
      </c>
      <c r="I4062" s="98">
        <v>0</v>
      </c>
      <c r="J4062" s="98"/>
      <c r="K4062" s="98">
        <v>80450.84510000002</v>
      </c>
      <c r="L4062" s="93">
        <f t="shared" si="536"/>
        <v>-4825166.0763406232</v>
      </c>
      <c r="M4062" s="95">
        <f t="shared" ca="1" si="537"/>
        <v>0</v>
      </c>
      <c r="N4062" s="95">
        <f ca="1">IF(P4062="Hedge Fund",IF(A4062=Summary!$AD$3,M4062-E4062,M4062),IF(A4062=Summary!$AD$3,L4062-D4062,L4062))</f>
        <v>0</v>
      </c>
      <c r="O4062" s="95"/>
      <c r="P4062" s="107" t="s">
        <v>139</v>
      </c>
      <c r="Q4062" s="107">
        <v>0</v>
      </c>
      <c r="R4062" s="107">
        <v>0</v>
      </c>
      <c r="S4062" s="107">
        <v>0</v>
      </c>
      <c r="T4062" s="107">
        <v>0</v>
      </c>
      <c r="U4062" s="107" t="s">
        <v>0</v>
      </c>
      <c r="V4062" s="107">
        <v>24.035364120000001</v>
      </c>
      <c r="W4062" s="107" t="s">
        <v>15</v>
      </c>
      <c r="X4062" s="107">
        <v>9.1215947100000001</v>
      </c>
      <c r="Y4062" s="107"/>
      <c r="Z4062" s="107"/>
      <c r="AA4062" s="107"/>
      <c r="AB4062" s="107"/>
      <c r="AC4062" s="355"/>
      <c r="AD4062" s="355"/>
      <c r="AE4062" s="355"/>
      <c r="AF4062" s="94">
        <f t="shared" si="538"/>
        <v>40968</v>
      </c>
      <c r="AG4062" s="185">
        <f t="shared" si="533"/>
        <v>-3.4967533534460471E-2</v>
      </c>
      <c r="AH4062" s="339" t="str">
        <f>VLOOKUP(B4062,'MF PF'!A:B,2)</f>
        <v>FdMgt1</v>
      </c>
      <c r="AI4062" s="358">
        <f t="shared" si="539"/>
        <v>0</v>
      </c>
      <c r="AJ4062" s="94">
        <f t="shared" si="540"/>
        <v>40968</v>
      </c>
    </row>
    <row r="4063" spans="1:36">
      <c r="A4063" s="8">
        <v>40998</v>
      </c>
      <c r="B4063" s="94" t="s">
        <v>149</v>
      </c>
      <c r="C4063" s="358" t="s">
        <v>297</v>
      </c>
      <c r="D4063" s="98">
        <v>52272194.220000006</v>
      </c>
      <c r="E4063" s="95">
        <f t="shared" si="541"/>
        <v>649.74069999999995</v>
      </c>
      <c r="F4063" s="98"/>
      <c r="G4063" s="98">
        <v>5.8091344237327576</v>
      </c>
      <c r="H4063" s="98">
        <v>0</v>
      </c>
      <c r="I4063" s="98">
        <v>0</v>
      </c>
      <c r="J4063" s="98"/>
      <c r="K4063" s="98">
        <v>80450.854040696562</v>
      </c>
      <c r="L4063" s="93">
        <f t="shared" si="536"/>
        <v>5.8091344237327576</v>
      </c>
      <c r="M4063" s="95">
        <f t="shared" ca="1" si="537"/>
        <v>0</v>
      </c>
      <c r="N4063" s="95">
        <f ca="1">IF(P4063="Hedge Fund",IF(A4063=Summary!$AD$3,M4063-E4063,M4063),IF(A4063=Summary!$AD$3,L4063-D4063,L4063))</f>
        <v>0</v>
      </c>
      <c r="O4063" s="95"/>
      <c r="P4063" s="107" t="s">
        <v>139</v>
      </c>
      <c r="Q4063" s="107">
        <v>0</v>
      </c>
      <c r="R4063" s="107">
        <v>0</v>
      </c>
      <c r="S4063" s="107">
        <v>0</v>
      </c>
      <c r="T4063" s="107">
        <v>0</v>
      </c>
      <c r="U4063" s="107" t="s">
        <v>0</v>
      </c>
      <c r="V4063" s="107">
        <v>23.323825589999998</v>
      </c>
      <c r="W4063" s="107" t="s">
        <v>15</v>
      </c>
      <c r="X4063" s="107">
        <v>8.8515606899999995</v>
      </c>
      <c r="Y4063" s="107"/>
      <c r="Z4063" s="107"/>
      <c r="AA4063" s="107"/>
      <c r="AB4063" s="107"/>
      <c r="AC4063" s="355"/>
      <c r="AD4063" s="355"/>
      <c r="AE4063" s="355"/>
      <c r="AF4063" s="94">
        <f t="shared" si="538"/>
        <v>40998</v>
      </c>
      <c r="AG4063" s="185">
        <f t="shared" si="533"/>
        <v>-2.9603817299749369E-2</v>
      </c>
      <c r="AH4063" s="339" t="str">
        <f>VLOOKUP(B4063,'MF PF'!A:B,2)</f>
        <v>FdMgt1</v>
      </c>
      <c r="AI4063" s="358">
        <f t="shared" si="539"/>
        <v>0</v>
      </c>
      <c r="AJ4063" s="94">
        <f t="shared" si="540"/>
        <v>40999</v>
      </c>
    </row>
    <row r="4064" spans="1:36">
      <c r="A4064" s="8">
        <v>41029</v>
      </c>
      <c r="B4064" s="94" t="s">
        <v>149</v>
      </c>
      <c r="C4064" s="358" t="s">
        <v>297</v>
      </c>
      <c r="D4064" s="98">
        <v>52853941.723234795</v>
      </c>
      <c r="E4064" s="95">
        <f t="shared" si="541"/>
        <v>656.97180000000003</v>
      </c>
      <c r="F4064" s="98"/>
      <c r="G4064" s="98">
        <v>0</v>
      </c>
      <c r="H4064" s="98">
        <v>-0.66741890460252762</v>
      </c>
      <c r="I4064" s="98">
        <v>0</v>
      </c>
      <c r="J4064" s="98"/>
      <c r="K4064" s="98">
        <v>80450.853024794662</v>
      </c>
      <c r="L4064" s="93">
        <f t="shared" si="536"/>
        <v>-0.66741890460252762</v>
      </c>
      <c r="M4064" s="95">
        <f t="shared" ca="1" si="537"/>
        <v>0</v>
      </c>
      <c r="N4064" s="95">
        <f ca="1">IF(P4064="Hedge Fund",IF(A4064=Summary!$AD$3,M4064-E4064,M4064),IF(A4064=Summary!$AD$3,L4064-D4064,L4064))</f>
        <v>0</v>
      </c>
      <c r="O4064" s="95"/>
      <c r="P4064" s="107" t="s">
        <v>139</v>
      </c>
      <c r="Q4064" s="107">
        <v>0</v>
      </c>
      <c r="R4064" s="107">
        <v>0</v>
      </c>
      <c r="S4064" s="107">
        <v>2.485422E-2</v>
      </c>
      <c r="T4064" s="107">
        <v>0.45476652000000001</v>
      </c>
      <c r="U4064" s="107" t="s">
        <v>0</v>
      </c>
      <c r="V4064" s="107">
        <v>23.58340132</v>
      </c>
      <c r="W4064" s="107" t="s">
        <v>15</v>
      </c>
      <c r="X4064" s="107">
        <v>8.9500715599999996</v>
      </c>
      <c r="Y4064" s="107"/>
      <c r="Z4064" s="107"/>
      <c r="AA4064" s="107"/>
      <c r="AB4064" s="107"/>
      <c r="AC4064" s="355"/>
      <c r="AD4064" s="355"/>
      <c r="AE4064" s="355"/>
      <c r="AF4064" s="94">
        <f t="shared" si="538"/>
        <v>41029</v>
      </c>
      <c r="AG4064" s="185">
        <f t="shared" si="533"/>
        <v>1.1129208929039125E-2</v>
      </c>
      <c r="AH4064" s="339" t="str">
        <f>VLOOKUP(B4064,'MF PF'!A:B,2)</f>
        <v>FdMgt1</v>
      </c>
      <c r="AI4064" s="358">
        <f t="shared" si="539"/>
        <v>0</v>
      </c>
      <c r="AJ4064" s="94">
        <f t="shared" si="540"/>
        <v>41029</v>
      </c>
    </row>
    <row r="4065" spans="1:36">
      <c r="A4065" s="94">
        <v>41060</v>
      </c>
      <c r="B4065" s="94" t="s">
        <v>149</v>
      </c>
      <c r="C4065" s="358" t="s">
        <v>297</v>
      </c>
      <c r="D4065" s="98">
        <v>52741750.949999996</v>
      </c>
      <c r="E4065" s="95">
        <f t="shared" si="541"/>
        <v>655.57730000000004</v>
      </c>
      <c r="F4065" s="98"/>
      <c r="G4065" s="98">
        <v>0</v>
      </c>
      <c r="H4065" s="98">
        <v>-2.0586917251348495</v>
      </c>
      <c r="I4065" s="98">
        <v>0</v>
      </c>
      <c r="J4065" s="98"/>
      <c r="K4065" s="98">
        <v>80450.849884521609</v>
      </c>
      <c r="L4065" s="93">
        <f t="shared" si="536"/>
        <v>-2.0586917251348495</v>
      </c>
      <c r="M4065" s="95">
        <f t="shared" ca="1" si="537"/>
        <v>0</v>
      </c>
      <c r="N4065" s="95">
        <f ca="1">IF(P4065="Hedge Fund",IF(A4065=Summary!$AD$3,M4065-E4065,M4065),IF(A4065=Summary!$AD$3,L4065-D4065,L4065))</f>
        <v>0</v>
      </c>
      <c r="O4065" s="95"/>
      <c r="P4065" s="107" t="s">
        <v>139</v>
      </c>
      <c r="Q4065" s="107">
        <v>0</v>
      </c>
      <c r="R4065" s="107">
        <v>0</v>
      </c>
      <c r="S4065" s="107">
        <v>2.485422E-2</v>
      </c>
      <c r="T4065" s="107">
        <v>0.44952885500000006</v>
      </c>
      <c r="U4065" s="107" t="s">
        <v>0</v>
      </c>
      <c r="V4065" s="107">
        <v>23.533342780000002</v>
      </c>
      <c r="W4065" s="107" t="s">
        <v>15</v>
      </c>
      <c r="X4065" s="107">
        <v>8.9310739800000007</v>
      </c>
      <c r="Y4065" s="107"/>
      <c r="Z4065" s="107"/>
      <c r="AA4065" s="107"/>
      <c r="AB4065" s="107"/>
      <c r="AC4065" s="355"/>
      <c r="AD4065" s="355"/>
      <c r="AE4065" s="355"/>
      <c r="AF4065" s="94">
        <f t="shared" si="538"/>
        <v>41060</v>
      </c>
      <c r="AG4065" s="185">
        <f t="shared" si="533"/>
        <v>-2.1226177440187843E-3</v>
      </c>
      <c r="AH4065" s="339" t="str">
        <f>VLOOKUP(B4065,'MF PF'!A:B,2)</f>
        <v>FdMgt1</v>
      </c>
      <c r="AI4065" s="358">
        <f t="shared" si="539"/>
        <v>0</v>
      </c>
      <c r="AJ4065" s="94">
        <f t="shared" si="540"/>
        <v>41060</v>
      </c>
    </row>
    <row r="4066" spans="1:36">
      <c r="A4066" s="8">
        <v>41089</v>
      </c>
      <c r="B4066" s="94" t="s">
        <v>149</v>
      </c>
      <c r="C4066" s="358" t="s">
        <v>297</v>
      </c>
      <c r="D4066" s="98">
        <v>52275733.001161598</v>
      </c>
      <c r="E4066" s="95">
        <f t="shared" si="541"/>
        <v>649.78470000000004</v>
      </c>
      <c r="F4066" s="98"/>
      <c r="G4066" s="98">
        <v>1.6442026868462563</v>
      </c>
      <c r="H4066" s="98">
        <v>0</v>
      </c>
      <c r="I4066" s="98">
        <v>0</v>
      </c>
      <c r="J4066" s="98"/>
      <c r="K4066" s="98">
        <v>80450.852414902343</v>
      </c>
      <c r="L4066" s="93">
        <f t="shared" si="536"/>
        <v>1.6442026868462563</v>
      </c>
      <c r="M4066" s="95">
        <f t="shared" ca="1" si="537"/>
        <v>0</v>
      </c>
      <c r="N4066" s="95">
        <f ca="1">IF(P4066="Hedge Fund",IF(A4066=Summary!$AD$3,M4066-E4066,M4066),IF(A4066=Summary!$AD$3,L4066-D4066,L4066))</f>
        <v>0</v>
      </c>
      <c r="O4066" s="95"/>
      <c r="P4066" s="107" t="s">
        <v>139</v>
      </c>
      <c r="Q4066" s="107">
        <v>0</v>
      </c>
      <c r="R4066" s="107">
        <v>0</v>
      </c>
      <c r="S4066" s="107">
        <v>2.3250699999999999E-2</v>
      </c>
      <c r="T4066" s="107">
        <v>0.43511365000000002</v>
      </c>
      <c r="U4066" s="107" t="s">
        <v>0</v>
      </c>
      <c r="V4066" s="107">
        <v>23.325405069999999</v>
      </c>
      <c r="W4066" s="107" t="s">
        <v>15</v>
      </c>
      <c r="X4066" s="107">
        <v>8.8521601099999998</v>
      </c>
      <c r="Y4066" s="107"/>
      <c r="Z4066" s="107"/>
      <c r="AA4066" s="107"/>
      <c r="AB4066" s="107"/>
      <c r="AC4066" s="355"/>
      <c r="AD4066" s="355"/>
      <c r="AE4066" s="355"/>
      <c r="AF4066" s="94">
        <f t="shared" si="538"/>
        <v>41089</v>
      </c>
      <c r="AG4066" s="185">
        <f t="shared" ref="AG4066:AG4129" si="542">IF(C4066&lt;&gt;C4065,D4066/G4066-1,(D4066-G4066-I4066-H4066)/(D4065)-1)</f>
        <v>-8.8358764099978337E-3</v>
      </c>
      <c r="AH4066" s="339" t="str">
        <f>VLOOKUP(B4066,'MF PF'!A:B,2)</f>
        <v>FdMgt1</v>
      </c>
      <c r="AI4066" s="358">
        <f t="shared" si="539"/>
        <v>0</v>
      </c>
      <c r="AJ4066" s="94">
        <f t="shared" si="540"/>
        <v>41090</v>
      </c>
    </row>
    <row r="4067" spans="1:36">
      <c r="A4067" s="8">
        <v>41121</v>
      </c>
      <c r="B4067" s="94" t="s">
        <v>149</v>
      </c>
      <c r="C4067" s="358" t="s">
        <v>297</v>
      </c>
      <c r="D4067" s="98">
        <v>52353735.550000004</v>
      </c>
      <c r="E4067" s="95">
        <f t="shared" si="541"/>
        <v>650.75429999999994</v>
      </c>
      <c r="F4067" s="98"/>
      <c r="G4067" s="98">
        <v>0</v>
      </c>
      <c r="H4067" s="98">
        <v>-2.5976630747318268</v>
      </c>
      <c r="I4067" s="98">
        <v>0</v>
      </c>
      <c r="J4067" s="98"/>
      <c r="K4067" s="98">
        <v>80450.848423129908</v>
      </c>
      <c r="L4067" s="93">
        <f t="shared" si="536"/>
        <v>-2.5976630747318268</v>
      </c>
      <c r="M4067" s="95">
        <f t="shared" ca="1" si="537"/>
        <v>0</v>
      </c>
      <c r="N4067" s="95">
        <f ca="1">IF(P4067="Hedge Fund",IF(A4067=Summary!$AD$3,M4067-E4067,M4067),IF(A4067=Summary!$AD$3,L4067-D4067,L4067))</f>
        <v>0</v>
      </c>
      <c r="O4067" s="95"/>
      <c r="P4067" s="107" t="s">
        <v>139</v>
      </c>
      <c r="Q4067" s="107">
        <v>0</v>
      </c>
      <c r="R4067" s="107">
        <v>0</v>
      </c>
      <c r="S4067" s="107">
        <v>2.5655959999999998E-2</v>
      </c>
      <c r="T4067" s="107">
        <v>0.43469770000000002</v>
      </c>
      <c r="U4067" s="107" t="s">
        <v>0</v>
      </c>
      <c r="V4067" s="107">
        <v>23.360210924253799</v>
      </c>
      <c r="W4067" s="107" t="s">
        <v>15</v>
      </c>
      <c r="X4067" s="107">
        <v>8.8653691999999999</v>
      </c>
      <c r="Y4067" s="107"/>
      <c r="Z4067" s="107"/>
      <c r="AA4067" s="107"/>
      <c r="AB4067" s="107"/>
      <c r="AC4067" s="355"/>
      <c r="AD4067" s="355"/>
      <c r="AE4067" s="355"/>
      <c r="AF4067" s="94">
        <f t="shared" si="538"/>
        <v>41121</v>
      </c>
      <c r="AG4067" s="185">
        <f t="shared" si="542"/>
        <v>1.4921865657961941E-3</v>
      </c>
      <c r="AH4067" s="339" t="str">
        <f>VLOOKUP(B4067,'MF PF'!A:B,2)</f>
        <v>FdMgt1</v>
      </c>
      <c r="AI4067" s="358">
        <f t="shared" si="539"/>
        <v>0</v>
      </c>
      <c r="AJ4067" s="94">
        <f t="shared" si="540"/>
        <v>41121</v>
      </c>
    </row>
    <row r="4068" spans="1:36">
      <c r="A4068" s="8">
        <v>41152</v>
      </c>
      <c r="B4068" s="94" t="s">
        <v>149</v>
      </c>
      <c r="C4068" s="358" t="s">
        <v>297</v>
      </c>
      <c r="D4068" s="98">
        <v>51015870.414686196</v>
      </c>
      <c r="E4068" s="95">
        <f t="shared" si="541"/>
        <v>634.12469999999996</v>
      </c>
      <c r="F4068" s="98"/>
      <c r="G4068" s="98">
        <v>0.29362346976995468</v>
      </c>
      <c r="H4068" s="98">
        <v>0</v>
      </c>
      <c r="I4068" s="98">
        <v>0</v>
      </c>
      <c r="J4068" s="98"/>
      <c r="K4068" s="98">
        <v>80450.84888616734</v>
      </c>
      <c r="L4068" s="93">
        <f t="shared" si="536"/>
        <v>0.29362346976995468</v>
      </c>
      <c r="M4068" s="95">
        <f t="shared" ca="1" si="537"/>
        <v>0</v>
      </c>
      <c r="N4068" s="95">
        <f ca="1">IF(P4068="Hedge Fund",IF(A4068=Summary!$AD$3,M4068-E4068,M4068),IF(A4068=Summary!$AD$3,L4068-D4068,L4068))</f>
        <v>0</v>
      </c>
      <c r="O4068" s="95"/>
      <c r="P4068" s="107" t="s">
        <v>139</v>
      </c>
      <c r="Q4068" s="107">
        <v>0</v>
      </c>
      <c r="R4068" s="107">
        <v>0</v>
      </c>
      <c r="S4068" s="107">
        <v>2.485422E-2</v>
      </c>
      <c r="T4068" s="107">
        <v>0.39800190000000002</v>
      </c>
      <c r="U4068" s="107" t="s">
        <v>0</v>
      </c>
      <c r="V4068" s="107">
        <v>22.763256031161401</v>
      </c>
      <c r="W4068" s="107" t="s">
        <v>15</v>
      </c>
      <c r="X4068" s="107">
        <v>8.6388204857714097</v>
      </c>
      <c r="Y4068" s="107"/>
      <c r="Z4068" s="107"/>
      <c r="AA4068" s="107"/>
      <c r="AB4068" s="107"/>
      <c r="AC4068" s="355"/>
      <c r="AD4068" s="355"/>
      <c r="AE4068" s="355"/>
      <c r="AF4068" s="94">
        <f t="shared" si="538"/>
        <v>41152</v>
      </c>
      <c r="AG4068" s="185">
        <f t="shared" si="542"/>
        <v>-2.5554345165295089E-2</v>
      </c>
      <c r="AH4068" s="339" t="str">
        <f>VLOOKUP(B4068,'MF PF'!A:B,2)</f>
        <v>FdMgt1</v>
      </c>
      <c r="AI4068" s="358">
        <f t="shared" si="539"/>
        <v>0</v>
      </c>
      <c r="AJ4068" s="94">
        <f t="shared" si="540"/>
        <v>41152</v>
      </c>
    </row>
    <row r="4069" spans="1:36">
      <c r="A4069" s="8">
        <v>41180</v>
      </c>
      <c r="B4069" s="94" t="s">
        <v>149</v>
      </c>
      <c r="C4069" s="358" t="s">
        <v>297</v>
      </c>
      <c r="D4069" s="98">
        <v>49034086.2249512</v>
      </c>
      <c r="E4069" s="95">
        <f t="shared" si="541"/>
        <v>609.49120000000005</v>
      </c>
      <c r="F4069" s="98"/>
      <c r="G4069" s="98">
        <v>1.7963024005293846</v>
      </c>
      <c r="H4069" s="98">
        <v>0</v>
      </c>
      <c r="I4069" s="98">
        <v>0</v>
      </c>
      <c r="J4069" s="98"/>
      <c r="K4069" s="98">
        <v>80450.85183338364</v>
      </c>
      <c r="L4069" s="93">
        <f t="shared" si="536"/>
        <v>1.7963024005293846</v>
      </c>
      <c r="M4069" s="95">
        <f t="shared" ca="1" si="537"/>
        <v>0</v>
      </c>
      <c r="N4069" s="95">
        <f ca="1">IF(P4069="Hedge Fund",IF(A4069=Summary!$AD$3,M4069-E4069,M4069),IF(A4069=Summary!$AD$3,L4069-D4069,L4069))</f>
        <v>0</v>
      </c>
      <c r="O4069" s="95"/>
      <c r="P4069" s="107" t="s">
        <v>139</v>
      </c>
      <c r="Q4069" s="107">
        <v>2.2448972543169399E-2</v>
      </c>
      <c r="R4069" s="107">
        <v>0.65236369000000005</v>
      </c>
      <c r="S4069" s="107">
        <v>2.244898E-2</v>
      </c>
      <c r="T4069" s="107">
        <v>0.34497265999999999</v>
      </c>
      <c r="U4069" s="107" t="s">
        <v>0</v>
      </c>
      <c r="V4069" s="107">
        <v>21.878984108866604</v>
      </c>
      <c r="W4069" s="107" t="s">
        <v>15</v>
      </c>
      <c r="X4069" s="107">
        <v>8.3032328885113618</v>
      </c>
      <c r="Y4069" s="107"/>
      <c r="Z4069" s="107"/>
      <c r="AA4069" s="107"/>
      <c r="AB4069" s="107"/>
      <c r="AC4069" s="355"/>
      <c r="AD4069" s="355"/>
      <c r="AE4069" s="355"/>
      <c r="AF4069" s="94">
        <f t="shared" si="538"/>
        <v>41180</v>
      </c>
      <c r="AG4069" s="185">
        <f t="shared" si="542"/>
        <v>-3.8846460325547838E-2</v>
      </c>
      <c r="AH4069" s="339" t="str">
        <f>VLOOKUP(B4069,'MF PF'!A:B,2)</f>
        <v>FdMgt1</v>
      </c>
      <c r="AI4069" s="358">
        <f t="shared" si="539"/>
        <v>0</v>
      </c>
      <c r="AJ4069" s="94">
        <f t="shared" si="540"/>
        <v>41182</v>
      </c>
    </row>
    <row r="4070" spans="1:36">
      <c r="A4070" s="94">
        <v>41213</v>
      </c>
      <c r="B4070" s="94" t="s">
        <v>149</v>
      </c>
      <c r="C4070" s="358" t="s">
        <v>297</v>
      </c>
      <c r="D4070" s="98">
        <v>48636220.742568232</v>
      </c>
      <c r="E4070" s="95">
        <f t="shared" si="541"/>
        <v>604.54579999999999</v>
      </c>
      <c r="F4070" s="98"/>
      <c r="G4070" s="98">
        <v>0</v>
      </c>
      <c r="H4070" s="98">
        <v>-3.8397261425852776</v>
      </c>
      <c r="I4070" s="98">
        <v>0</v>
      </c>
      <c r="J4070" s="98"/>
      <c r="K4070" s="98">
        <v>80450.845481960569</v>
      </c>
      <c r="L4070" s="93">
        <f t="shared" si="536"/>
        <v>-3.8397261425852776</v>
      </c>
      <c r="M4070" s="95">
        <f t="shared" ca="1" si="537"/>
        <v>0</v>
      </c>
      <c r="N4070" s="95">
        <f ca="1">IF(P4070="Hedge Fund",IF(A4070=Summary!$AD$3,M4070-E4070,M4070),IF(A4070=Summary!$AD$3,L4070-D4070,L4070))</f>
        <v>0</v>
      </c>
      <c r="O4070" s="95"/>
      <c r="P4070" s="107" t="s">
        <v>139</v>
      </c>
      <c r="Q4070" s="107">
        <v>2.64577176401639E-2</v>
      </c>
      <c r="R4070" s="107">
        <v>0.63267748999999995</v>
      </c>
      <c r="S4070" s="107">
        <v>2.6457729999999999E-2</v>
      </c>
      <c r="T4070" s="107">
        <v>0.33227855000000001</v>
      </c>
      <c r="U4070" s="107" t="s">
        <v>0</v>
      </c>
      <c r="V4070" s="107">
        <v>21.701458448099078</v>
      </c>
      <c r="W4070" s="107" t="s">
        <v>15</v>
      </c>
      <c r="X4070" s="107">
        <v>8.2358606148397406</v>
      </c>
      <c r="Y4070" s="107"/>
      <c r="Z4070" s="107"/>
      <c r="AA4070" s="107"/>
      <c r="AB4070" s="107"/>
      <c r="AC4070" s="355"/>
      <c r="AD4070" s="355"/>
      <c r="AE4070" s="355"/>
      <c r="AF4070" s="94">
        <f t="shared" si="538"/>
        <v>41213</v>
      </c>
      <c r="AG4070" s="185">
        <f t="shared" si="542"/>
        <v>-8.1139809729822154E-3</v>
      </c>
      <c r="AH4070" s="339" t="str">
        <f>VLOOKUP(B4070,'MF PF'!A:B,2)</f>
        <v>FdMgt1</v>
      </c>
      <c r="AI4070" s="358">
        <f t="shared" si="539"/>
        <v>0</v>
      </c>
      <c r="AJ4070" s="94">
        <f t="shared" si="540"/>
        <v>41213</v>
      </c>
    </row>
    <row r="4071" spans="1:36">
      <c r="A4071" s="8">
        <v>41243</v>
      </c>
      <c r="B4071" s="94" t="s">
        <v>149</v>
      </c>
      <c r="C4071" s="358" t="s">
        <v>297</v>
      </c>
      <c r="D4071" s="98">
        <v>48557147.744355425</v>
      </c>
      <c r="E4071" s="95">
        <f t="shared" si="541"/>
        <v>603.56290000000013</v>
      </c>
      <c r="F4071" s="98"/>
      <c r="G4071" s="98">
        <v>2.1378113999962807</v>
      </c>
      <c r="H4071" s="98">
        <v>0</v>
      </c>
      <c r="I4071" s="98">
        <v>0</v>
      </c>
      <c r="J4071" s="98"/>
      <c r="K4071" s="98">
        <v>80450.849023946663</v>
      </c>
      <c r="L4071" s="93">
        <f t="shared" si="536"/>
        <v>2.1378113999962807</v>
      </c>
      <c r="M4071" s="95">
        <f t="shared" ca="1" si="537"/>
        <v>0</v>
      </c>
      <c r="N4071" s="95">
        <f ca="1">IF(P4071="Hedge Fund",IF(A4071=Summary!$AD$3,M4071-E4071,M4071),IF(A4071=Summary!$AD$3,L4071-D4071,L4071))</f>
        <v>0</v>
      </c>
      <c r="O4071" s="95"/>
      <c r="P4071" s="107" t="s">
        <v>139</v>
      </c>
      <c r="Q4071" s="107">
        <v>2.40524705819672E-2</v>
      </c>
      <c r="R4071" s="107">
        <v>0.62600867999999998</v>
      </c>
      <c r="S4071" s="107">
        <v>2.40524705819672E-2</v>
      </c>
      <c r="T4071" s="107">
        <v>0.327960635</v>
      </c>
      <c r="U4071" s="107" t="s">
        <v>0</v>
      </c>
      <c r="V4071" s="107">
        <v>21.666175160201561</v>
      </c>
      <c r="W4071" s="107" t="s">
        <v>15</v>
      </c>
      <c r="X4071" s="107">
        <v>8.2224703516068711</v>
      </c>
      <c r="Y4071" s="107"/>
      <c r="Z4071" s="107"/>
      <c r="AA4071" s="107"/>
      <c r="AB4071" s="107"/>
      <c r="AC4071" s="355"/>
      <c r="AD4071" s="355"/>
      <c r="AE4071" s="355"/>
      <c r="AF4071" s="94">
        <f t="shared" si="538"/>
        <v>41243</v>
      </c>
      <c r="AG4071" s="185">
        <f t="shared" si="542"/>
        <v>-1.6258486950034845E-3</v>
      </c>
      <c r="AH4071" s="339" t="str">
        <f>VLOOKUP(B4071,'MF PF'!A:B,2)</f>
        <v>FdMgt1</v>
      </c>
      <c r="AI4071" s="358">
        <f t="shared" si="539"/>
        <v>0</v>
      </c>
      <c r="AJ4071" s="94">
        <f t="shared" si="540"/>
        <v>41243</v>
      </c>
    </row>
    <row r="4072" spans="1:36">
      <c r="A4072" s="8">
        <v>41274</v>
      </c>
      <c r="B4072" s="94" t="s">
        <v>149</v>
      </c>
      <c r="C4072" s="6" t="s">
        <v>297</v>
      </c>
      <c r="D4072" s="98">
        <v>50045287.809339911</v>
      </c>
      <c r="E4072" s="95">
        <f t="shared" si="541"/>
        <v>622.06039999999996</v>
      </c>
      <c r="F4072" s="98"/>
      <c r="G4072" s="98">
        <v>0.48516404628753662</v>
      </c>
      <c r="H4072" s="98">
        <v>0</v>
      </c>
      <c r="I4072" s="98">
        <v>0</v>
      </c>
      <c r="J4072" s="98"/>
      <c r="K4072" s="98">
        <v>80450.849803877427</v>
      </c>
      <c r="L4072" s="93">
        <f t="shared" si="536"/>
        <v>0.48516404628753662</v>
      </c>
      <c r="M4072" s="95">
        <f t="shared" ca="1" si="537"/>
        <v>0</v>
      </c>
      <c r="N4072" s="95">
        <f ca="1">IF(P4072="Hedge Fund",IF(A4072=Summary!$AD$3,M4072-E4072,M4072),IF(A4072=Summary!$AD$3,L4072-D4072,L4072))</f>
        <v>0</v>
      </c>
      <c r="O4072" s="95"/>
      <c r="P4072" s="107" t="s">
        <v>139</v>
      </c>
      <c r="Q4072" s="107">
        <v>2.48542196013661E-2</v>
      </c>
      <c r="R4072" s="107">
        <v>0.68203915000000004</v>
      </c>
      <c r="S4072" s="107">
        <v>2.48542196013661E-2</v>
      </c>
      <c r="T4072" s="107">
        <v>0.36387192499999998</v>
      </c>
      <c r="U4072" s="107" t="s">
        <v>0</v>
      </c>
      <c r="V4072" s="107">
        <v>22.330182300179558</v>
      </c>
      <c r="W4072" s="107" t="s">
        <v>15</v>
      </c>
      <c r="X4072" s="107">
        <v>8.4744658691061208</v>
      </c>
      <c r="Y4072" s="107"/>
      <c r="Z4072" s="107"/>
      <c r="AA4072" s="107"/>
      <c r="AB4072" s="107"/>
      <c r="AC4072" s="355"/>
      <c r="AD4072" s="355"/>
      <c r="AE4072" s="355"/>
      <c r="AF4072" s="94">
        <f t="shared" si="538"/>
        <v>41274</v>
      </c>
      <c r="AG4072" s="185">
        <f t="shared" si="542"/>
        <v>3.0647178612204007E-2</v>
      </c>
      <c r="AH4072" s="339" t="str">
        <f>VLOOKUP(B4072,'MF PF'!A:B,2)</f>
        <v>FdMgt1</v>
      </c>
      <c r="AI4072" s="358">
        <f t="shared" si="539"/>
        <v>0</v>
      </c>
      <c r="AJ4072" s="94">
        <f t="shared" si="540"/>
        <v>41274</v>
      </c>
    </row>
    <row r="4073" spans="1:36">
      <c r="A4073" s="8">
        <v>41305</v>
      </c>
      <c r="B4073" s="94" t="s">
        <v>149</v>
      </c>
      <c r="C4073" s="6" t="s">
        <v>297</v>
      </c>
      <c r="D4073" s="98">
        <v>49458795.79398603</v>
      </c>
      <c r="E4073" s="95">
        <f t="shared" si="541"/>
        <v>628.77359999999999</v>
      </c>
      <c r="F4073" s="98"/>
      <c r="G4073" s="98">
        <v>0</v>
      </c>
      <c r="H4073" s="98">
        <v>-1126574.6602572724</v>
      </c>
      <c r="I4073" s="98">
        <v>0</v>
      </c>
      <c r="J4073" s="98"/>
      <c r="K4073" s="98">
        <v>78659.148211671156</v>
      </c>
      <c r="L4073" s="93">
        <f t="shared" si="536"/>
        <v>-1126574.6602572724</v>
      </c>
      <c r="M4073" s="95">
        <f t="shared" ca="1" si="537"/>
        <v>0</v>
      </c>
      <c r="N4073" s="95">
        <f ca="1">IF(P4073="Hedge Fund",IF(A4073=Summary!$AD$3,M4073-E4073,M4073),IF(A4073=Summary!$AD$3,L4073-D4073,L4073))</f>
        <v>0</v>
      </c>
      <c r="O4073" s="95"/>
      <c r="P4073" s="107" t="s">
        <v>139</v>
      </c>
      <c r="Q4073" s="107">
        <v>2.4922313353698631E-2</v>
      </c>
      <c r="R4073" s="107">
        <v>1.5319889999999999E-2</v>
      </c>
      <c r="S4073" s="107">
        <v>2.4922313353698631E-2</v>
      </c>
      <c r="T4073" s="107">
        <v>1.4320605E-2</v>
      </c>
      <c r="U4073" s="107" t="s">
        <v>0</v>
      </c>
      <c r="V4073" s="107">
        <v>22.571166905239721</v>
      </c>
      <c r="W4073" s="107" t="s">
        <v>15</v>
      </c>
      <c r="X4073" s="107">
        <v>8.5659212716240809</v>
      </c>
      <c r="Y4073" s="107"/>
      <c r="Z4073" s="107"/>
      <c r="AA4073" s="107"/>
      <c r="AB4073" s="107"/>
      <c r="AC4073" s="355"/>
      <c r="AD4073" s="355"/>
      <c r="AE4073" s="355"/>
      <c r="AF4073" s="94">
        <f t="shared" si="538"/>
        <v>41305</v>
      </c>
      <c r="AG4073" s="185">
        <f t="shared" si="542"/>
        <v>1.079187808772275E-2</v>
      </c>
      <c r="AH4073" s="339" t="str">
        <f>VLOOKUP(B4073,'MF PF'!A:B,2)</f>
        <v>FdMgt1</v>
      </c>
      <c r="AI4073" s="358">
        <f t="shared" si="539"/>
        <v>0</v>
      </c>
      <c r="AJ4073" s="94">
        <f t="shared" si="540"/>
        <v>41305</v>
      </c>
    </row>
    <row r="4074" spans="1:36">
      <c r="A4074" s="8">
        <v>41333</v>
      </c>
      <c r="B4074" s="94" t="s">
        <v>149</v>
      </c>
      <c r="C4074" s="6" t="s">
        <v>297</v>
      </c>
      <c r="D4074" s="98">
        <v>48881722.736701936</v>
      </c>
      <c r="E4074" s="95">
        <f t="shared" si="541"/>
        <v>621.43720000000008</v>
      </c>
      <c r="F4074" s="98"/>
      <c r="G4074" s="98">
        <v>1.9176559969782829</v>
      </c>
      <c r="H4074" s="98">
        <v>0</v>
      </c>
      <c r="I4074" s="98">
        <v>0</v>
      </c>
      <c r="J4074" s="98"/>
      <c r="K4074" s="98">
        <v>78659.151297511533</v>
      </c>
      <c r="L4074" s="93">
        <f t="shared" si="536"/>
        <v>1.9176559969782829</v>
      </c>
      <c r="M4074" s="95">
        <f t="shared" ca="1" si="537"/>
        <v>0</v>
      </c>
      <c r="N4074" s="95">
        <f ca="1">IF(P4074="Hedge Fund",IF(A4074=Summary!$AD$3,M4074-E4074,M4074),IF(A4074=Summary!$AD$3,L4074-D4074,L4074))</f>
        <v>0</v>
      </c>
      <c r="O4074" s="95"/>
      <c r="P4074" s="107" t="s">
        <v>139</v>
      </c>
      <c r="Q4074" s="107">
        <v>2.25104765775343E-2</v>
      </c>
      <c r="R4074" s="107">
        <v>0</v>
      </c>
      <c r="S4074" s="107">
        <v>2.25104765775343E-2</v>
      </c>
      <c r="T4074" s="107">
        <v>0</v>
      </c>
      <c r="U4074" s="107" t="s">
        <v>0</v>
      </c>
      <c r="V4074" s="107">
        <v>22.307811209511399</v>
      </c>
      <c r="W4074" s="107" t="s">
        <v>15</v>
      </c>
      <c r="X4074" s="107">
        <v>8.4659758782151613</v>
      </c>
      <c r="Y4074" s="107"/>
      <c r="Z4074" s="107"/>
      <c r="AA4074" s="107"/>
      <c r="AB4074" s="107"/>
      <c r="AC4074" s="355"/>
      <c r="AD4074" s="355"/>
      <c r="AE4074" s="355"/>
      <c r="AF4074" s="94">
        <f t="shared" si="538"/>
        <v>41333</v>
      </c>
      <c r="AG4074" s="185">
        <f t="shared" si="542"/>
        <v>-1.1667792668139776E-2</v>
      </c>
      <c r="AH4074" s="339" t="str">
        <f>VLOOKUP(B4074,'MF PF'!A:B,2)</f>
        <v>FdMgt1</v>
      </c>
      <c r="AI4074" s="358">
        <f t="shared" si="539"/>
        <v>0</v>
      </c>
      <c r="AJ4074" s="94">
        <f t="shared" si="540"/>
        <v>41333</v>
      </c>
    </row>
    <row r="4075" spans="1:36">
      <c r="A4075" s="94">
        <v>41361</v>
      </c>
      <c r="B4075" s="94" t="s">
        <v>149</v>
      </c>
      <c r="C4075" s="6" t="s">
        <v>297</v>
      </c>
      <c r="D4075" s="98">
        <v>47581388.588106476</v>
      </c>
      <c r="E4075" s="95">
        <f t="shared" si="541"/>
        <v>602.44110000000001</v>
      </c>
      <c r="F4075" s="98"/>
      <c r="G4075" s="98">
        <v>193882.95536720008</v>
      </c>
      <c r="H4075" s="98">
        <v>0</v>
      </c>
      <c r="I4075" s="98">
        <v>0</v>
      </c>
      <c r="J4075" s="98"/>
      <c r="K4075" s="98">
        <v>78980.980195585056</v>
      </c>
      <c r="L4075" s="93">
        <f t="shared" si="536"/>
        <v>193882.95536720008</v>
      </c>
      <c r="M4075" s="95">
        <f t="shared" ca="1" si="537"/>
        <v>0</v>
      </c>
      <c r="N4075" s="95">
        <f ca="1">IF(P4075="Hedge Fund",IF(A4075=Summary!$AD$3,M4075-E4075,M4075),IF(A4075=Summary!$AD$3,L4075-D4075,L4075))</f>
        <v>0</v>
      </c>
      <c r="O4075" s="95"/>
      <c r="P4075" s="107" t="s">
        <v>139</v>
      </c>
      <c r="Q4075" s="107">
        <v>2.26639012350685E-2</v>
      </c>
      <c r="R4075" s="107">
        <v>0</v>
      </c>
      <c r="S4075" s="107">
        <v>2.26639012350685E-2</v>
      </c>
      <c r="T4075" s="107">
        <v>0</v>
      </c>
      <c r="U4075" s="107" t="s">
        <v>0</v>
      </c>
      <c r="V4075" s="107">
        <v>21.625905761113721</v>
      </c>
      <c r="W4075" s="107" t="s">
        <v>15</v>
      </c>
      <c r="X4075" s="107">
        <v>8.2071878230743316</v>
      </c>
      <c r="Y4075" s="107"/>
      <c r="Z4075" s="107"/>
      <c r="AA4075" s="107"/>
      <c r="AB4075" s="107"/>
      <c r="AC4075" s="355"/>
      <c r="AD4075" s="355"/>
      <c r="AE4075" s="355"/>
      <c r="AF4075" s="94">
        <f t="shared" si="538"/>
        <v>41361</v>
      </c>
      <c r="AG4075" s="185">
        <f t="shared" si="542"/>
        <v>-3.0568012343001105E-2</v>
      </c>
      <c r="AH4075" s="339" t="str">
        <f>VLOOKUP(B4075,'MF PF'!A:B,2)</f>
        <v>FdMgt1</v>
      </c>
      <c r="AI4075" s="358">
        <f t="shared" si="539"/>
        <v>0</v>
      </c>
      <c r="AJ4075" s="94">
        <f t="shared" si="540"/>
        <v>41364</v>
      </c>
    </row>
    <row r="4076" spans="1:36">
      <c r="A4076" s="8">
        <v>41394</v>
      </c>
      <c r="B4076" s="94" t="s">
        <v>149</v>
      </c>
      <c r="C4076" s="6" t="s">
        <v>297</v>
      </c>
      <c r="D4076" s="98">
        <v>47584161.415014409</v>
      </c>
      <c r="E4076" s="95">
        <f t="shared" si="541"/>
        <v>602.47619999999995</v>
      </c>
      <c r="F4076" s="98"/>
      <c r="G4076" s="98">
        <v>0.59450306743383408</v>
      </c>
      <c r="H4076" s="98">
        <v>0</v>
      </c>
      <c r="I4076" s="98">
        <v>0</v>
      </c>
      <c r="J4076" s="98"/>
      <c r="K4076" s="98">
        <v>78980.981182351126</v>
      </c>
      <c r="L4076" s="93">
        <f t="shared" si="536"/>
        <v>0.59450306743383408</v>
      </c>
      <c r="M4076" s="95">
        <f t="shared" ca="1" si="537"/>
        <v>0</v>
      </c>
      <c r="N4076" s="95">
        <f ca="1">IF(P4076="Hedge Fund",IF(A4076=Summary!$AD$3,M4076-E4076,M4076),IF(A4076=Summary!$AD$3,L4076-D4076,L4076))</f>
        <v>0</v>
      </c>
      <c r="O4076" s="95"/>
      <c r="P4076" s="107" t="s">
        <v>139</v>
      </c>
      <c r="Q4076" s="107">
        <v>2.6711024126849302E-2</v>
      </c>
      <c r="R4076" s="107">
        <v>0</v>
      </c>
      <c r="S4076" s="107">
        <v>2.6711024126849302E-2</v>
      </c>
      <c r="T4076" s="107">
        <v>0</v>
      </c>
      <c r="U4076" s="107" t="s">
        <v>0</v>
      </c>
      <c r="V4076" s="107">
        <v>21.627165750334598</v>
      </c>
      <c r="W4076" s="107" t="s">
        <v>15</v>
      </c>
      <c r="X4076" s="107">
        <v>8.2076659981068616</v>
      </c>
      <c r="Y4076" s="107"/>
      <c r="Z4076" s="107"/>
      <c r="AA4076" s="107"/>
      <c r="AB4076" s="107"/>
      <c r="AC4076" s="355"/>
      <c r="AD4076" s="355"/>
      <c r="AE4076" s="355"/>
      <c r="AF4076" s="94">
        <f t="shared" si="538"/>
        <v>41394</v>
      </c>
      <c r="AG4076" s="185">
        <f t="shared" si="542"/>
        <v>5.8262957158827788E-5</v>
      </c>
      <c r="AH4076" s="339" t="str">
        <f>VLOOKUP(B4076,'MF PF'!A:B,2)</f>
        <v>FdMgt1</v>
      </c>
      <c r="AI4076" s="358">
        <f t="shared" si="539"/>
        <v>0</v>
      </c>
      <c r="AJ4076" s="94">
        <f t="shared" si="540"/>
        <v>41394</v>
      </c>
    </row>
    <row r="4077" spans="1:36" s="358" customFormat="1">
      <c r="A4077" s="94">
        <v>41425</v>
      </c>
      <c r="B4077" s="94" t="s">
        <v>149</v>
      </c>
      <c r="C4077" s="358" t="s">
        <v>297</v>
      </c>
      <c r="D4077" s="98">
        <v>48612375.418983497</v>
      </c>
      <c r="E4077" s="95">
        <f t="shared" si="541"/>
        <v>615.49469999999997</v>
      </c>
      <c r="F4077" s="98"/>
      <c r="G4077" s="98">
        <v>0.10044664889574051</v>
      </c>
      <c r="H4077" s="98">
        <v>0</v>
      </c>
      <c r="I4077" s="98">
        <v>0</v>
      </c>
      <c r="J4077" s="98"/>
      <c r="K4077" s="98">
        <v>78980.981345547742</v>
      </c>
      <c r="L4077" s="93">
        <f t="shared" si="536"/>
        <v>0.10044664889574051</v>
      </c>
      <c r="M4077" s="95">
        <f t="shared" ca="1" si="537"/>
        <v>0</v>
      </c>
      <c r="N4077" s="95">
        <f ca="1">IF(P4077="Hedge Fund",IF(A4077=Summary!$AD$3,M4077-E4077,M4077),IF(A4077=Summary!$AD$3,L4077-D4077,L4077))</f>
        <v>0</v>
      </c>
      <c r="O4077" s="95"/>
      <c r="P4077" s="107" t="s">
        <v>139</v>
      </c>
      <c r="Q4077" s="107">
        <v>2.50921884221918E-2</v>
      </c>
      <c r="R4077" s="107">
        <v>0</v>
      </c>
      <c r="S4077" s="107">
        <v>2.50921884221918E-2</v>
      </c>
      <c r="T4077" s="107">
        <v>0</v>
      </c>
      <c r="U4077" s="107" t="s">
        <v>0</v>
      </c>
      <c r="V4077" s="107">
        <v>22.094492521617401</v>
      </c>
      <c r="W4077" s="107" t="s">
        <v>15</v>
      </c>
      <c r="X4077" s="107">
        <v>8.3850198915824112</v>
      </c>
      <c r="Y4077" s="107"/>
      <c r="Z4077" s="107"/>
      <c r="AA4077" s="107"/>
      <c r="AB4077" s="107"/>
      <c r="AF4077" s="94">
        <f t="shared" si="538"/>
        <v>41425</v>
      </c>
      <c r="AG4077" s="185">
        <f t="shared" si="542"/>
        <v>2.1608322453235518E-2</v>
      </c>
      <c r="AH4077" s="339" t="str">
        <f>VLOOKUP(B4077,'MF PF'!A:B,2)</f>
        <v>FdMgt1</v>
      </c>
      <c r="AI4077" s="358">
        <f t="shared" si="539"/>
        <v>0</v>
      </c>
      <c r="AJ4077" s="94">
        <f t="shared" si="540"/>
        <v>41425</v>
      </c>
    </row>
    <row r="4078" spans="1:36">
      <c r="A4078" s="8">
        <v>41453</v>
      </c>
      <c r="B4078" s="94" t="s">
        <v>149</v>
      </c>
      <c r="C4078" s="6" t="s">
        <v>297</v>
      </c>
      <c r="D4078" s="98">
        <v>48304948.170925021</v>
      </c>
      <c r="E4078" s="95">
        <f t="shared" si="541"/>
        <v>611.60230000000001</v>
      </c>
      <c r="F4078" s="98"/>
      <c r="G4078" s="98">
        <v>0</v>
      </c>
      <c r="H4078" s="98">
        <v>-1.6762690767645836</v>
      </c>
      <c r="I4078" s="98">
        <v>0</v>
      </c>
      <c r="J4078" s="98"/>
      <c r="K4078" s="98">
        <v>78980.978604764925</v>
      </c>
      <c r="L4078" s="93">
        <f t="shared" si="536"/>
        <v>-1.6762690767645836</v>
      </c>
      <c r="M4078" s="95">
        <f t="shared" ca="1" si="537"/>
        <v>0</v>
      </c>
      <c r="N4078" s="95">
        <f ca="1">IF(P4078="Hedge Fund",IF(A4078=Summary!$AD$3,M4078-E4078,M4078),IF(A4078=Summary!$AD$3,L4078-D4078,L4078))</f>
        <v>0</v>
      </c>
      <c r="O4078" s="95"/>
      <c r="P4078" s="107" t="s">
        <v>139</v>
      </c>
      <c r="Q4078" s="107">
        <v>2.2663899865205502E-2</v>
      </c>
      <c r="R4078" s="107">
        <v>0</v>
      </c>
      <c r="S4078" s="107">
        <v>2.2663899865205502E-2</v>
      </c>
      <c r="T4078" s="107">
        <v>0</v>
      </c>
      <c r="U4078" s="107" t="s">
        <v>0</v>
      </c>
      <c r="V4078" s="107">
        <v>21.954766537476281</v>
      </c>
      <c r="W4078" s="107" t="s">
        <v>15</v>
      </c>
      <c r="X4078" s="107">
        <v>8.331992868886692</v>
      </c>
      <c r="Y4078" s="107"/>
      <c r="Z4078" s="107"/>
      <c r="AA4078" s="107"/>
      <c r="AB4078" s="107"/>
      <c r="AC4078" s="355"/>
      <c r="AD4078" s="355"/>
      <c r="AE4078" s="355"/>
      <c r="AF4078" s="94">
        <f t="shared" si="538"/>
        <v>41453</v>
      </c>
      <c r="AG4078" s="185">
        <f t="shared" si="542"/>
        <v>-6.3240187121024194E-3</v>
      </c>
      <c r="AH4078" s="339" t="str">
        <f>VLOOKUP(B4078,'MF PF'!A:B,2)</f>
        <v>FdMgt1</v>
      </c>
      <c r="AI4078" s="358">
        <f t="shared" si="539"/>
        <v>0</v>
      </c>
      <c r="AJ4078" s="94">
        <f t="shared" si="540"/>
        <v>41455</v>
      </c>
    </row>
    <row r="4079" spans="1:36">
      <c r="A4079" s="94">
        <v>41486</v>
      </c>
      <c r="B4079" s="94" t="s">
        <v>149</v>
      </c>
      <c r="C4079" s="6" t="s">
        <v>297</v>
      </c>
      <c r="D4079" s="98">
        <v>47924215.662898466</v>
      </c>
      <c r="E4079" s="95">
        <f t="shared" si="541"/>
        <v>606.7817</v>
      </c>
      <c r="F4079" s="98"/>
      <c r="G4079" s="98">
        <v>3.1974355801939964</v>
      </c>
      <c r="H4079" s="98">
        <v>0</v>
      </c>
      <c r="I4079" s="98">
        <v>0</v>
      </c>
      <c r="J4079" s="98"/>
      <c r="K4079" s="98">
        <v>78980.983874263955</v>
      </c>
      <c r="L4079" s="93">
        <f t="shared" si="536"/>
        <v>3.1974355801939964</v>
      </c>
      <c r="M4079" s="95">
        <f t="shared" ca="1" si="537"/>
        <v>0</v>
      </c>
      <c r="N4079" s="95">
        <f ca="1">IF(P4079="Hedge Fund",IF(A4079=Summary!$AD$3,M4079-E4079,M4079),IF(A4079=Summary!$AD$3,L4079-D4079,L4079))</f>
        <v>0</v>
      </c>
      <c r="O4079" s="95"/>
      <c r="P4079" s="107" t="s">
        <v>139</v>
      </c>
      <c r="Q4079" s="107">
        <v>2.6711024126849302E-2</v>
      </c>
      <c r="R4079" s="107">
        <v>0</v>
      </c>
      <c r="S4079" s="107">
        <v>2.6711024126849302E-2</v>
      </c>
      <c r="T4079" s="107">
        <v>0</v>
      </c>
      <c r="U4079" s="107" t="s">
        <v>0</v>
      </c>
      <c r="V4079" s="107">
        <v>21.781720838383002</v>
      </c>
      <c r="W4079" s="107" t="s">
        <v>15</v>
      </c>
      <c r="X4079" s="107">
        <v>8.2663207731085109</v>
      </c>
      <c r="Y4079" s="107"/>
      <c r="Z4079" s="107"/>
      <c r="AA4079" s="107"/>
      <c r="AB4079" s="107"/>
      <c r="AC4079" s="355"/>
      <c r="AD4079" s="355"/>
      <c r="AE4079" s="355"/>
      <c r="AF4079" s="94">
        <f t="shared" si="538"/>
        <v>41486</v>
      </c>
      <c r="AG4079" s="185">
        <f t="shared" si="542"/>
        <v>-7.8819193453001368E-3</v>
      </c>
      <c r="AH4079" s="339" t="str">
        <f>VLOOKUP(B4079,'MF PF'!A:B,2)</f>
        <v>FdMgt1</v>
      </c>
      <c r="AI4079" s="358">
        <f t="shared" si="539"/>
        <v>0</v>
      </c>
      <c r="AJ4079" s="94">
        <f t="shared" si="540"/>
        <v>41486</v>
      </c>
    </row>
    <row r="4080" spans="1:36">
      <c r="A4080" s="8">
        <v>41516</v>
      </c>
      <c r="B4080" s="94" t="s">
        <v>149</v>
      </c>
      <c r="C4080" s="6" t="s">
        <v>297</v>
      </c>
      <c r="D4080" s="98">
        <v>47867935.315209247</v>
      </c>
      <c r="E4080" s="95">
        <f t="shared" si="541"/>
        <v>606.06910000000016</v>
      </c>
      <c r="F4080" s="98"/>
      <c r="G4080" s="98">
        <v>1.5014195665717125</v>
      </c>
      <c r="H4080" s="98">
        <v>0</v>
      </c>
      <c r="I4080" s="98">
        <v>0</v>
      </c>
      <c r="J4080" s="98"/>
      <c r="K4080" s="98">
        <v>78980.986351571526</v>
      </c>
      <c r="L4080" s="93">
        <f t="shared" si="536"/>
        <v>1.5014195665717125</v>
      </c>
      <c r="M4080" s="95">
        <f t="shared" ca="1" si="537"/>
        <v>0</v>
      </c>
      <c r="N4080" s="95">
        <f ca="1">IF(P4080="Hedge Fund",IF(A4080=Summary!$AD$3,M4080-E4080,M4080),IF(A4080=Summary!$AD$3,L4080-D4080,L4080))</f>
        <v>0</v>
      </c>
      <c r="O4080" s="95"/>
      <c r="P4080" s="107" t="s">
        <v>139</v>
      </c>
      <c r="Q4080" s="107">
        <v>2.4282755569863E-2</v>
      </c>
      <c r="R4080" s="107">
        <v>0</v>
      </c>
      <c r="S4080" s="107">
        <v>2.4282755569863E-2</v>
      </c>
      <c r="T4080" s="107">
        <v>0</v>
      </c>
      <c r="U4080" s="107" t="s">
        <v>0</v>
      </c>
      <c r="V4080" s="107">
        <v>21.756140544400122</v>
      </c>
      <c r="W4080" s="107" t="s">
        <v>15</v>
      </c>
      <c r="X4080" s="107">
        <v>8.2566128663227314</v>
      </c>
      <c r="Y4080" s="107"/>
      <c r="Z4080" s="107"/>
      <c r="AA4080" s="107"/>
      <c r="AB4080" s="107"/>
      <c r="AC4080" s="355"/>
      <c r="AD4080" s="355"/>
      <c r="AE4080" s="355"/>
      <c r="AF4080" s="94">
        <f t="shared" si="538"/>
        <v>41516</v>
      </c>
      <c r="AG4080" s="185">
        <f t="shared" si="542"/>
        <v>-1.1743927016912847E-3</v>
      </c>
      <c r="AH4080" s="339" t="str">
        <f>VLOOKUP(B4080,'MF PF'!A:B,2)</f>
        <v>FdMgt1</v>
      </c>
      <c r="AI4080" s="358">
        <f t="shared" si="539"/>
        <v>0</v>
      </c>
      <c r="AJ4080" s="94">
        <f t="shared" si="540"/>
        <v>41517</v>
      </c>
    </row>
    <row r="4081" spans="1:53">
      <c r="A4081" s="8">
        <v>41547</v>
      </c>
      <c r="B4081" s="94" t="s">
        <v>149</v>
      </c>
      <c r="C4081" s="6" t="s">
        <v>297</v>
      </c>
      <c r="D4081" s="98">
        <v>48555486.880895033</v>
      </c>
      <c r="E4081" s="95">
        <f t="shared" si="541"/>
        <v>614.77440000000001</v>
      </c>
      <c r="F4081" s="98"/>
      <c r="G4081" s="98">
        <v>0</v>
      </c>
      <c r="H4081" s="98">
        <v>-1.6148005425930023</v>
      </c>
      <c r="I4081" s="98">
        <v>0</v>
      </c>
      <c r="J4081" s="98"/>
      <c r="K4081" s="98">
        <v>78980.983724916048</v>
      </c>
      <c r="L4081" s="93">
        <f t="shared" si="536"/>
        <v>-1.6148005425930023</v>
      </c>
      <c r="M4081" s="95">
        <f t="shared" ca="1" si="537"/>
        <v>0</v>
      </c>
      <c r="N4081" s="95">
        <f ca="1">IF(P4081="Hedge Fund",IF(A4081=Summary!$AD$3,M4081-E4081,M4081),IF(A4081=Summary!$AD$3,L4081-D4081,L4081))</f>
        <v>0</v>
      </c>
      <c r="O4081" s="95"/>
      <c r="P4081" s="107" t="s">
        <v>139</v>
      </c>
      <c r="Q4081" s="107">
        <v>2.509219E-2</v>
      </c>
      <c r="R4081" s="107">
        <v>0</v>
      </c>
      <c r="S4081" s="107">
        <v>2.509219E-2</v>
      </c>
      <c r="T4081" s="107">
        <v>0</v>
      </c>
      <c r="U4081" s="107" t="s">
        <v>0</v>
      </c>
      <c r="V4081" s="107">
        <v>22.068635819742763</v>
      </c>
      <c r="W4081" s="107" t="s">
        <v>15</v>
      </c>
      <c r="X4081" s="107">
        <v>8.3752070860003212</v>
      </c>
      <c r="Y4081" s="107"/>
      <c r="Z4081" s="107"/>
      <c r="AA4081" s="107"/>
      <c r="AB4081" s="107"/>
      <c r="AC4081" s="355"/>
      <c r="AD4081" s="355"/>
      <c r="AE4081" s="355"/>
      <c r="AF4081" s="94">
        <f t="shared" si="538"/>
        <v>41547</v>
      </c>
      <c r="AG4081" s="185">
        <f t="shared" si="542"/>
        <v>1.4363543694934977E-2</v>
      </c>
      <c r="AH4081" s="339" t="str">
        <f>VLOOKUP(B4081,'MF PF'!A:B,2)</f>
        <v>FdMgt1</v>
      </c>
      <c r="AI4081" s="358">
        <f t="shared" si="539"/>
        <v>0</v>
      </c>
      <c r="AJ4081" s="94">
        <f t="shared" si="540"/>
        <v>41547</v>
      </c>
    </row>
    <row r="4082" spans="1:53" ht="12.75" customHeight="1">
      <c r="A4082" s="8">
        <v>41578</v>
      </c>
      <c r="B4082" s="94" t="s">
        <v>149</v>
      </c>
      <c r="C4082" s="6" t="s">
        <v>297</v>
      </c>
      <c r="D4082" s="98">
        <v>49993123.76923421</v>
      </c>
      <c r="E4082" s="95">
        <f t="shared" si="541"/>
        <v>632.97670000000005</v>
      </c>
      <c r="F4082" s="98"/>
      <c r="G4082" s="98">
        <v>1.3282831385731697</v>
      </c>
      <c r="H4082" s="98">
        <v>0</v>
      </c>
      <c r="I4082" s="98">
        <v>-1998218.9413316878</v>
      </c>
      <c r="J4082" s="98"/>
      <c r="K4082" s="98">
        <v>78980.985823386873</v>
      </c>
      <c r="L4082" s="93">
        <f t="shared" si="536"/>
        <v>-1998217.6130485493</v>
      </c>
      <c r="M4082" s="95">
        <f t="shared" ca="1" si="537"/>
        <v>-25.3</v>
      </c>
      <c r="N4082" s="95">
        <f ca="1">IF(P4082="Hedge Fund",IF(A4082=Summary!$AD$3,M4082-E4082,M4082),IF(A4082=Summary!$AD$3,L4082-D4082,L4082))</f>
        <v>-25.3</v>
      </c>
      <c r="O4082" s="95"/>
      <c r="P4082" s="107" t="s">
        <v>139</v>
      </c>
      <c r="Q4082" s="107">
        <v>2.5092185479452099E-2</v>
      </c>
      <c r="R4082" s="107">
        <v>7.1199330000000005E-2</v>
      </c>
      <c r="S4082" s="107">
        <v>2.5092185479452099E-2</v>
      </c>
      <c r="T4082" s="107">
        <v>4.6838274999999999E-2</v>
      </c>
      <c r="U4082" s="107" t="s">
        <v>0</v>
      </c>
      <c r="V4082" s="107">
        <v>22.722046127299002</v>
      </c>
      <c r="W4082" s="107" t="s">
        <v>15</v>
      </c>
      <c r="X4082" s="107">
        <v>8.6231810288670125</v>
      </c>
      <c r="Y4082" s="107"/>
      <c r="Z4082" s="107"/>
      <c r="AA4082" s="107"/>
      <c r="AB4082" s="107"/>
      <c r="AC4082" s="355"/>
      <c r="AD4082" s="355"/>
      <c r="AE4082" s="355"/>
      <c r="AF4082" s="94">
        <f t="shared" si="538"/>
        <v>41578</v>
      </c>
      <c r="AG4082" s="185">
        <f t="shared" si="542"/>
        <v>7.076140560212596E-2</v>
      </c>
      <c r="AH4082" s="339" t="str">
        <f>VLOOKUP(B4082,'MF PF'!A:B,2)</f>
        <v>FdMgt1</v>
      </c>
      <c r="AI4082" s="358">
        <f t="shared" si="539"/>
        <v>0</v>
      </c>
      <c r="AJ4082" s="94">
        <f t="shared" si="540"/>
        <v>41578</v>
      </c>
    </row>
    <row r="4083" spans="1:53" ht="12.75" customHeight="1">
      <c r="A4083" s="8">
        <v>41607</v>
      </c>
      <c r="B4083" s="94" t="s">
        <v>149</v>
      </c>
      <c r="C4083" s="6" t="s">
        <v>297</v>
      </c>
      <c r="D4083" s="98">
        <v>49504890.888494551</v>
      </c>
      <c r="E4083" s="95">
        <f t="shared" si="541"/>
        <v>626.79510000000005</v>
      </c>
      <c r="F4083" s="98"/>
      <c r="G4083" s="98">
        <v>0</v>
      </c>
      <c r="H4083" s="98">
        <v>-4.0187738090753555</v>
      </c>
      <c r="I4083" s="98">
        <v>0</v>
      </c>
      <c r="J4083" s="98"/>
      <c r="K4083" s="98">
        <v>78980.979411763983</v>
      </c>
      <c r="L4083" s="93">
        <f t="shared" si="536"/>
        <v>-4.0187738090753555</v>
      </c>
      <c r="M4083" s="95">
        <f t="shared" ca="1" si="537"/>
        <v>0</v>
      </c>
      <c r="N4083" s="95">
        <f ca="1">IF(P4083="Hedge Fund",IF(A4083=Summary!$AD$3,M4083-E4083,M4083),IF(A4083=Summary!$AD$3,L4083-D4083,L4083))</f>
        <v>0</v>
      </c>
      <c r="O4083" s="95"/>
      <c r="P4083" s="107" t="s">
        <v>139</v>
      </c>
      <c r="Q4083" s="107">
        <v>2.34733227175342E-2</v>
      </c>
      <c r="R4083" s="107">
        <v>4.9511660000000006E-2</v>
      </c>
      <c r="S4083" s="107">
        <v>2.3473310000000001E-2</v>
      </c>
      <c r="T4083" s="107">
        <v>3.2552474999999997E-2</v>
      </c>
      <c r="U4083" s="107" t="s">
        <v>0</v>
      </c>
      <c r="V4083" s="107">
        <v>22.500144435908922</v>
      </c>
      <c r="W4083" s="107" t="s">
        <v>15</v>
      </c>
      <c r="X4083" s="107">
        <v>8.5389677302605325</v>
      </c>
      <c r="Y4083" s="107"/>
      <c r="Z4083" s="107"/>
      <c r="AA4083" s="107"/>
      <c r="AB4083" s="107"/>
      <c r="AC4083" s="355"/>
      <c r="AD4083" s="355"/>
      <c r="AE4083" s="355"/>
      <c r="AF4083" s="94">
        <f t="shared" si="538"/>
        <v>41607</v>
      </c>
      <c r="AG4083" s="185">
        <f t="shared" si="542"/>
        <v>-9.7659202937485645E-3</v>
      </c>
      <c r="AH4083" s="339" t="str">
        <f>VLOOKUP(B4083,'MF PF'!A:B,2)</f>
        <v>FdMgt1</v>
      </c>
      <c r="AI4083" s="358">
        <f t="shared" si="539"/>
        <v>0</v>
      </c>
      <c r="AJ4083" s="94">
        <f t="shared" si="540"/>
        <v>41608</v>
      </c>
    </row>
    <row r="4084" spans="1:53" ht="12.75" customHeight="1">
      <c r="A4084" s="94">
        <v>41639</v>
      </c>
      <c r="B4084" s="94" t="s">
        <v>149</v>
      </c>
      <c r="C4084" s="6" t="s">
        <v>297</v>
      </c>
      <c r="D4084" s="98">
        <v>49968254.353459559</v>
      </c>
      <c r="E4084" s="95">
        <f t="shared" si="541"/>
        <v>632.66190000000006</v>
      </c>
      <c r="F4084" s="98"/>
      <c r="G4084" s="98">
        <v>0</v>
      </c>
      <c r="H4084" s="98">
        <v>-2.1450479328632355</v>
      </c>
      <c r="I4084" s="98">
        <v>0</v>
      </c>
      <c r="J4084" s="98"/>
      <c r="K4084" s="98">
        <v>78980.976021251729</v>
      </c>
      <c r="L4084" s="93">
        <f t="shared" si="536"/>
        <v>-2.1450479328632355</v>
      </c>
      <c r="M4084" s="95">
        <f t="shared" ca="1" si="537"/>
        <v>0</v>
      </c>
      <c r="N4084" s="95">
        <f ca="1">IF(P4084="Hedge Fund",IF(A4084=Summary!$AD$3,M4084-E4084,M4084),IF(A4084=Summary!$AD$3,L4084-D4084,L4084))</f>
        <v>0</v>
      </c>
      <c r="O4084" s="95"/>
      <c r="P4084" s="107" t="s">
        <v>139</v>
      </c>
      <c r="Q4084" s="107">
        <v>2.5901601274520548E-2</v>
      </c>
      <c r="R4084" s="107">
        <v>6.3152489999999992E-2</v>
      </c>
      <c r="S4084" s="107">
        <v>2.5901599999999997E-2</v>
      </c>
      <c r="T4084" s="107">
        <v>4.1523875000000002E-2</v>
      </c>
      <c r="U4084" s="107" t="s">
        <v>0</v>
      </c>
      <c r="V4084" s="107">
        <v>22.710745711152761</v>
      </c>
      <c r="W4084" s="107" t="s">
        <v>15</v>
      </c>
      <c r="X4084" s="107">
        <v>8.6188924391165713</v>
      </c>
      <c r="Y4084" s="107"/>
      <c r="Z4084" s="107"/>
      <c r="AA4084" s="107"/>
      <c r="AB4084" s="107"/>
      <c r="AC4084" s="355"/>
      <c r="AD4084" s="355"/>
      <c r="AE4084" s="355"/>
      <c r="AF4084" s="94">
        <f t="shared" si="538"/>
        <v>41639</v>
      </c>
      <c r="AG4084" s="185">
        <f t="shared" si="542"/>
        <v>9.3599965921877804E-3</v>
      </c>
      <c r="AH4084" s="339" t="str">
        <f>VLOOKUP(B4084,'MF PF'!A:B,2)</f>
        <v>FdMgt1</v>
      </c>
      <c r="AI4084" s="358">
        <f t="shared" si="539"/>
        <v>0</v>
      </c>
      <c r="AJ4084" s="94">
        <f t="shared" si="540"/>
        <v>41639</v>
      </c>
    </row>
    <row r="4085" spans="1:53" ht="12.75" customHeight="1">
      <c r="A4085" s="8">
        <v>41669</v>
      </c>
      <c r="B4085" s="94" t="s">
        <v>149</v>
      </c>
      <c r="C4085" s="6" t="s">
        <v>297</v>
      </c>
      <c r="D4085" s="98">
        <v>49621002.863176726</v>
      </c>
      <c r="E4085" s="95">
        <f t="shared" si="541"/>
        <v>633.66210000000001</v>
      </c>
      <c r="F4085" s="98"/>
      <c r="G4085" s="98">
        <v>0</v>
      </c>
      <c r="H4085" s="98">
        <v>-426248.26249928772</v>
      </c>
      <c r="I4085" s="98">
        <v>0</v>
      </c>
      <c r="J4085" s="98"/>
      <c r="K4085" s="98">
        <v>78308.301637697325</v>
      </c>
      <c r="L4085" s="93">
        <f t="shared" si="536"/>
        <v>-426248.26249928772</v>
      </c>
      <c r="M4085" s="95">
        <f t="shared" ca="1" si="537"/>
        <v>0</v>
      </c>
      <c r="N4085" s="95">
        <f ca="1">IF(P4085="Hedge Fund",IF(A4085=Summary!$AD$3,M4085-E4085,M4085),IF(A4085=Summary!$AD$3,L4085-D4085,L4085))</f>
        <v>0</v>
      </c>
      <c r="O4085" s="95"/>
      <c r="P4085" s="107" t="s">
        <v>139</v>
      </c>
      <c r="Q4085" s="107">
        <v>2.4282735569863E-2</v>
      </c>
      <c r="R4085" s="107">
        <v>3.3000000000000002E-7</v>
      </c>
      <c r="S4085" s="107">
        <v>2.4282740000000001E-2</v>
      </c>
      <c r="T4085" s="107">
        <v>3.3000000000000002E-7</v>
      </c>
      <c r="U4085" s="107" t="s">
        <v>0</v>
      </c>
      <c r="V4085" s="107">
        <v>22.746650019378521</v>
      </c>
      <c r="W4085" s="107" t="s">
        <v>15</v>
      </c>
      <c r="X4085" s="107">
        <v>8.6325183840606314</v>
      </c>
      <c r="Y4085" s="107"/>
      <c r="Z4085" s="107"/>
      <c r="AA4085" s="107"/>
      <c r="AB4085" s="107"/>
      <c r="AC4085" s="355"/>
      <c r="AD4085" s="355"/>
      <c r="AE4085" s="355"/>
      <c r="AF4085" s="94">
        <f t="shared" si="538"/>
        <v>41669</v>
      </c>
      <c r="AG4085" s="185">
        <f t="shared" si="542"/>
        <v>1.5809392030718961E-3</v>
      </c>
      <c r="AH4085" s="339" t="str">
        <f>VLOOKUP(B4085,'MF PF'!A:B,2)</f>
        <v>FdMgt1</v>
      </c>
      <c r="AI4085" s="358">
        <f t="shared" si="539"/>
        <v>0</v>
      </c>
      <c r="AJ4085" s="94">
        <f t="shared" si="540"/>
        <v>41670</v>
      </c>
    </row>
    <row r="4086" spans="1:53" ht="12.75" customHeight="1">
      <c r="A4086" s="8">
        <v>41698</v>
      </c>
      <c r="B4086" s="94" t="s">
        <v>149</v>
      </c>
      <c r="C4086" s="6" t="s">
        <v>297</v>
      </c>
      <c r="D4086" s="98">
        <v>50549346.715868704</v>
      </c>
      <c r="E4086" s="95">
        <f t="shared" si="541"/>
        <v>645.51710000000003</v>
      </c>
      <c r="F4086" s="98"/>
      <c r="G4086" s="98">
        <v>0</v>
      </c>
      <c r="H4086" s="98">
        <v>-1.0632229223847389</v>
      </c>
      <c r="I4086" s="98">
        <v>0</v>
      </c>
      <c r="J4086" s="98"/>
      <c r="K4086" s="98">
        <v>78308.299990610161</v>
      </c>
      <c r="L4086" s="93">
        <f t="shared" si="536"/>
        <v>-1.0632229223847389</v>
      </c>
      <c r="M4086" s="95">
        <f t="shared" ca="1" si="537"/>
        <v>0</v>
      </c>
      <c r="N4086" s="95">
        <f ca="1">IF(P4086="Hedge Fund",IF(A4086=Summary!$AD$3,M4086-E4086,M4086),IF(A4086=Summary!$AD$3,L4086-D4086,L4086))</f>
        <v>0</v>
      </c>
      <c r="O4086" s="95"/>
      <c r="P4086" s="107" t="s">
        <v>139</v>
      </c>
      <c r="Q4086" s="107">
        <v>2.3473312717534202E-2</v>
      </c>
      <c r="R4086" s="107">
        <v>2.9430120000000001E-2</v>
      </c>
      <c r="S4086" s="107">
        <v>2.3473310000000001E-2</v>
      </c>
      <c r="T4086" s="107">
        <v>1.9358385000000002E-2</v>
      </c>
      <c r="U4086" s="107" t="s">
        <v>0</v>
      </c>
      <c r="V4086" s="107">
        <v>23.172210481302525</v>
      </c>
      <c r="W4086" s="107" t="s">
        <v>15</v>
      </c>
      <c r="X4086" s="107">
        <v>8.7940216607171315</v>
      </c>
      <c r="Y4086" s="107"/>
      <c r="Z4086" s="107"/>
      <c r="AA4086" s="107"/>
      <c r="AB4086" s="107"/>
      <c r="AC4086" s="355"/>
      <c r="AD4086" s="355"/>
      <c r="AE4086" s="355"/>
      <c r="AF4086" s="94">
        <f t="shared" si="538"/>
        <v>41698</v>
      </c>
      <c r="AG4086" s="185">
        <f t="shared" si="542"/>
        <v>1.870870926318613E-2</v>
      </c>
      <c r="AH4086" s="339" t="str">
        <f>VLOOKUP(B4086,'MF PF'!A:B,2)</f>
        <v>FdMgt1</v>
      </c>
      <c r="AI4086" s="358">
        <f t="shared" si="539"/>
        <v>0</v>
      </c>
      <c r="AJ4086" s="94">
        <f t="shared" si="540"/>
        <v>41698</v>
      </c>
    </row>
    <row r="4087" spans="1:53" ht="12.75" customHeight="1">
      <c r="A4087" s="8">
        <v>41729</v>
      </c>
      <c r="B4087" s="94" t="s">
        <v>149</v>
      </c>
      <c r="C4087" s="6" t="s">
        <v>297</v>
      </c>
      <c r="D4087" s="98">
        <v>50602153.999588817</v>
      </c>
      <c r="E4087" s="95">
        <f t="shared" si="541"/>
        <v>646.19140000000016</v>
      </c>
      <c r="F4087" s="98"/>
      <c r="G4087" s="98">
        <v>3.9970364347100258</v>
      </c>
      <c r="H4087" s="98">
        <v>0</v>
      </c>
      <c r="I4087" s="98">
        <v>0</v>
      </c>
      <c r="J4087" s="98"/>
      <c r="K4087" s="98">
        <v>78308.306176140395</v>
      </c>
      <c r="L4087" s="93">
        <f t="shared" si="536"/>
        <v>3.9970364347100258</v>
      </c>
      <c r="M4087" s="95">
        <f t="shared" ca="1" si="537"/>
        <v>0</v>
      </c>
      <c r="N4087" s="95">
        <f ca="1">IF(P4087="Hedge Fund",IF(A4087=Summary!$AD$3,M4087-E4087,M4087),IF(A4087=Summary!$AD$3,L4087-D4087,L4087))</f>
        <v>0</v>
      </c>
      <c r="O4087" s="95"/>
      <c r="P4087" s="107" t="s">
        <v>139</v>
      </c>
      <c r="Q4087" s="107">
        <v>2.5092178422191799E-2</v>
      </c>
      <c r="R4087" s="107">
        <v>2.7750319999999998E-2</v>
      </c>
      <c r="S4087" s="107">
        <v>2.509219E-2</v>
      </c>
      <c r="T4087" s="107">
        <v>1.7554380000000001E-2</v>
      </c>
      <c r="U4087" s="107" t="s">
        <v>0</v>
      </c>
      <c r="V4087" s="107">
        <v>23.196415915252366</v>
      </c>
      <c r="W4087" s="107" t="s">
        <v>15</v>
      </c>
      <c r="X4087" s="107">
        <v>8.8032077981654222</v>
      </c>
      <c r="Y4087" s="107"/>
      <c r="Z4087" s="107"/>
      <c r="AA4087" s="107"/>
      <c r="AB4087" s="107"/>
      <c r="AC4087" s="355"/>
      <c r="AD4087" s="355"/>
      <c r="AE4087" s="355"/>
      <c r="AF4087" s="94">
        <f t="shared" si="538"/>
        <v>41729</v>
      </c>
      <c r="AG4087" s="185">
        <f t="shared" si="542"/>
        <v>1.0445889039967238E-3</v>
      </c>
      <c r="AH4087" s="339" t="str">
        <f>VLOOKUP(B4087,'MF PF'!A:B,2)</f>
        <v>FdMgt1</v>
      </c>
      <c r="AI4087" s="358">
        <f t="shared" si="539"/>
        <v>0</v>
      </c>
      <c r="AJ4087" s="94">
        <f t="shared" si="540"/>
        <v>41729</v>
      </c>
    </row>
    <row r="4088" spans="1:53" ht="12.75" customHeight="1">
      <c r="A4088" s="8">
        <v>41759</v>
      </c>
      <c r="B4088" s="94" t="s">
        <v>149</v>
      </c>
      <c r="C4088" s="6" t="s">
        <v>297</v>
      </c>
      <c r="D4088" s="98">
        <v>50555630.517183371</v>
      </c>
      <c r="E4088" s="95">
        <f t="shared" si="541"/>
        <v>645.59730000000002</v>
      </c>
      <c r="F4088" s="98"/>
      <c r="G4088" s="98">
        <v>0</v>
      </c>
      <c r="H4088" s="98">
        <v>-0.51770619302988052</v>
      </c>
      <c r="I4088" s="98">
        <v>0</v>
      </c>
      <c r="J4088" s="98"/>
      <c r="K4088" s="98">
        <v>78308.305374237738</v>
      </c>
      <c r="L4088" s="93">
        <f t="shared" si="536"/>
        <v>-0.51770619302988052</v>
      </c>
      <c r="M4088" s="95">
        <f t="shared" ca="1" si="537"/>
        <v>0</v>
      </c>
      <c r="N4088" s="95">
        <f ca="1">IF(P4088="Hedge Fund",IF(A4088=Summary!$AD$3,M4088-E4088,M4088),IF(A4088=Summary!$AD$3,L4088-D4088,L4088))</f>
        <v>0</v>
      </c>
      <c r="O4088" s="95"/>
      <c r="P4088" s="107" t="s">
        <v>139</v>
      </c>
      <c r="Q4088" s="107">
        <v>2.4282755569863E-2</v>
      </c>
      <c r="R4088" s="107">
        <v>2.2498919999999999E-2</v>
      </c>
      <c r="S4088" s="107">
        <v>2.4282755569863E-2</v>
      </c>
      <c r="T4088" s="107">
        <v>1.4778484999999999E-2</v>
      </c>
      <c r="U4088" s="107" t="s">
        <v>0</v>
      </c>
      <c r="V4088" s="107">
        <v>23.175089431032283</v>
      </c>
      <c r="W4088" s="107" t="s">
        <v>15</v>
      </c>
      <c r="X4088" s="107">
        <v>8.795114242985191</v>
      </c>
      <c r="Y4088" s="107"/>
      <c r="Z4088" s="107"/>
      <c r="AA4088" s="107"/>
      <c r="AB4088" s="107"/>
      <c r="AC4088" s="355"/>
      <c r="AD4088" s="355"/>
      <c r="AE4088" s="355"/>
      <c r="AF4088" s="94">
        <f t="shared" si="538"/>
        <v>41759</v>
      </c>
      <c r="AG4088" s="185">
        <f t="shared" si="542"/>
        <v>-9.1938704229133084E-4</v>
      </c>
      <c r="AH4088" s="339" t="str">
        <f>VLOOKUP(B4088,'MF PF'!A:B,2)</f>
        <v>FdMgt1</v>
      </c>
      <c r="AI4088" s="358">
        <f t="shared" si="539"/>
        <v>0</v>
      </c>
      <c r="AJ4088" s="94">
        <f t="shared" si="540"/>
        <v>41759</v>
      </c>
    </row>
    <row r="4089" spans="1:53" ht="12.75" customHeight="1">
      <c r="A4089" s="94">
        <v>41789</v>
      </c>
      <c r="B4089" s="94" t="s">
        <v>149</v>
      </c>
      <c r="C4089" s="6" t="s">
        <v>297</v>
      </c>
      <c r="D4089" s="98">
        <v>50860236.393205814</v>
      </c>
      <c r="E4089" s="95">
        <f t="shared" si="541"/>
        <v>648.76409999999987</v>
      </c>
      <c r="F4089" s="98"/>
      <c r="G4089" s="98">
        <v>56619.134563311934</v>
      </c>
      <c r="H4089" s="98">
        <v>0</v>
      </c>
      <c r="I4089" s="98">
        <v>0</v>
      </c>
      <c r="J4089" s="98"/>
      <c r="K4089" s="98">
        <v>78395.577673311185</v>
      </c>
      <c r="L4089" s="93">
        <f t="shared" si="536"/>
        <v>56619.134563311934</v>
      </c>
      <c r="M4089" s="95">
        <f t="shared" ca="1" si="537"/>
        <v>0</v>
      </c>
      <c r="N4089" s="95">
        <f ca="1">IF(P4089="Hedge Fund",IF(A4089=Summary!$AD$3,M4089-E4089,M4089),IF(A4089=Summary!$AD$3,L4089-D4089,L4089))</f>
        <v>0</v>
      </c>
      <c r="O4089" s="95"/>
      <c r="P4089" s="107" t="s">
        <v>139</v>
      </c>
      <c r="Q4089" s="107">
        <v>2.28652198003035E-2</v>
      </c>
      <c r="R4089" s="107">
        <v>2.8312980000000001E-2</v>
      </c>
      <c r="S4089" s="107">
        <v>2.28652198003035E-2</v>
      </c>
      <c r="T4089" s="107">
        <v>1.8553730000000001E-2</v>
      </c>
      <c r="U4089" s="107" t="s">
        <v>0</v>
      </c>
      <c r="V4089" s="107">
        <v>23.288768458516124</v>
      </c>
      <c r="W4089" s="107" t="s">
        <v>15</v>
      </c>
      <c r="X4089" s="107">
        <v>8.8382562570312295</v>
      </c>
      <c r="Y4089" s="107"/>
      <c r="Z4089" s="107"/>
      <c r="AA4089" s="107"/>
      <c r="AB4089" s="107"/>
      <c r="AC4089" s="355"/>
      <c r="AD4089" s="355"/>
      <c r="AE4089" s="355"/>
      <c r="AF4089" s="94">
        <f t="shared" si="538"/>
        <v>41789</v>
      </c>
      <c r="AG4089" s="185">
        <f t="shared" si="542"/>
        <v>4.9052249753831489E-3</v>
      </c>
      <c r="AH4089" s="339" t="str">
        <f>VLOOKUP(B4089,'MF PF'!A:B,2)</f>
        <v>FdMgt1</v>
      </c>
      <c r="AI4089" s="358">
        <f t="shared" si="539"/>
        <v>0</v>
      </c>
      <c r="AJ4089" s="94">
        <f t="shared" si="540"/>
        <v>41790</v>
      </c>
    </row>
    <row r="4090" spans="1:53" ht="12.75" customHeight="1">
      <c r="A4090" s="8">
        <v>41820</v>
      </c>
      <c r="B4090" s="94" t="s">
        <v>149</v>
      </c>
      <c r="C4090" s="6" t="s">
        <v>297</v>
      </c>
      <c r="D4090" s="98">
        <v>47380646.734462</v>
      </c>
      <c r="E4090" s="95">
        <f t="shared" ref="E4090:E4121" si="543">IF(K4090="","",D4090/K4090)</f>
        <v>604.37910000000011</v>
      </c>
      <c r="F4090" s="98"/>
      <c r="G4090" s="98">
        <v>0</v>
      </c>
      <c r="H4090" s="98">
        <v>-1.9437139183282852</v>
      </c>
      <c r="I4090" s="98">
        <v>-4993798.0929274838</v>
      </c>
      <c r="J4090" s="98"/>
      <c r="K4090" s="98">
        <v>78395.574457260343</v>
      </c>
      <c r="L4090" s="93">
        <f t="shared" si="536"/>
        <v>-4993800.0366414022</v>
      </c>
      <c r="M4090" s="95">
        <f t="shared" ca="1" si="537"/>
        <v>-63.7</v>
      </c>
      <c r="N4090" s="95">
        <f ca="1">IF(P4090="Hedge Fund",IF(A4090=Summary!$AD$3,M4090-E4090,M4090),IF(A4090=Summary!$AD$3,L4090-D4090,L4090))</f>
        <v>-63.7</v>
      </c>
      <c r="O4090" s="95"/>
      <c r="P4090" s="107" t="s">
        <v>139</v>
      </c>
      <c r="Q4090" s="107">
        <v>2.3767246915342499E-2</v>
      </c>
      <c r="R4090" s="107">
        <v>0.10250115999999999</v>
      </c>
      <c r="S4090" s="107">
        <v>2.3767259999999998E-2</v>
      </c>
      <c r="T4090" s="107">
        <v>6.3905804999999996E-2</v>
      </c>
      <c r="U4090" s="107" t="s">
        <v>0</v>
      </c>
      <c r="V4090" s="107">
        <v>21.69547439672812</v>
      </c>
      <c r="W4090" s="107" t="s">
        <v>15</v>
      </c>
      <c r="X4090" s="107">
        <v>8.23358962401573</v>
      </c>
      <c r="Y4090" s="107"/>
      <c r="Z4090" s="107"/>
      <c r="AA4090" s="107"/>
      <c r="AB4090" s="107"/>
      <c r="AC4090" s="355"/>
      <c r="AD4090" s="355"/>
      <c r="AE4090" s="355"/>
      <c r="AF4090" s="94">
        <f t="shared" si="538"/>
        <v>41820</v>
      </c>
      <c r="AG4090" s="185">
        <f t="shared" si="542"/>
        <v>2.9771988596180909E-2</v>
      </c>
      <c r="AH4090" s="339" t="str">
        <f>VLOOKUP(B4090,'MF PF'!A:B,2)</f>
        <v>FdMgt1</v>
      </c>
      <c r="AI4090" s="358">
        <f t="shared" si="539"/>
        <v>0</v>
      </c>
      <c r="AJ4090" s="94">
        <f t="shared" si="540"/>
        <v>41820</v>
      </c>
    </row>
    <row r="4091" spans="1:53" ht="12.75" customHeight="1">
      <c r="A4091" s="8">
        <v>41851</v>
      </c>
      <c r="B4091" s="94" t="s">
        <v>149</v>
      </c>
      <c r="C4091" s="6" t="s">
        <v>297</v>
      </c>
      <c r="D4091" s="98">
        <v>47924162.465852939</v>
      </c>
      <c r="E4091" s="95">
        <f t="shared" si="543"/>
        <v>611.31200000000001</v>
      </c>
      <c r="F4091" s="98"/>
      <c r="G4091" s="98">
        <v>7.0532362014055252</v>
      </c>
      <c r="H4091" s="98">
        <v>0</v>
      </c>
      <c r="I4091" s="98">
        <v>0</v>
      </c>
      <c r="J4091" s="98"/>
      <c r="K4091" s="98">
        <v>78395.585995126778</v>
      </c>
      <c r="L4091" s="93">
        <f t="shared" si="536"/>
        <v>7.0532362014055252</v>
      </c>
      <c r="M4091" s="95">
        <f t="shared" ca="1" si="537"/>
        <v>0</v>
      </c>
      <c r="N4091" s="95">
        <f ca="1">IF(P4091="Hedge Fund",IF(A4091=Summary!$AD$3,M4091-E4091,M4091),IF(A4091=Summary!$AD$3,L4091-D4091,L4091))</f>
        <v>0</v>
      </c>
      <c r="O4091" s="95"/>
      <c r="P4091" s="107" t="s">
        <v>139</v>
      </c>
      <c r="Q4091" s="107">
        <v>2.3767246915342499E-2</v>
      </c>
      <c r="R4091" s="107">
        <v>0.12653902</v>
      </c>
      <c r="S4091" s="107">
        <v>2.3767259999999998E-2</v>
      </c>
      <c r="T4091" s="107">
        <v>7.8599520000000006E-2</v>
      </c>
      <c r="U4091" s="107" t="s">
        <v>0</v>
      </c>
      <c r="V4091" s="107">
        <v>21.944345600985642</v>
      </c>
      <c r="W4091" s="107" t="s">
        <v>15</v>
      </c>
      <c r="X4091" s="107">
        <v>8.3280380480336014</v>
      </c>
      <c r="Y4091" s="107"/>
      <c r="Z4091" s="107"/>
      <c r="AA4091" s="107"/>
      <c r="AB4091" s="107"/>
      <c r="AC4091" s="355"/>
      <c r="AD4091" s="355"/>
      <c r="AE4091" s="355"/>
      <c r="AF4091" s="94">
        <f t="shared" si="538"/>
        <v>41851</v>
      </c>
      <c r="AG4091" s="185">
        <f t="shared" si="542"/>
        <v>1.1471111426586411E-2</v>
      </c>
      <c r="AH4091" s="339" t="str">
        <f>VLOOKUP(B4091,'MF PF'!A:B,2)</f>
        <v>FdMgt1</v>
      </c>
      <c r="AI4091" s="358">
        <f t="shared" si="539"/>
        <v>0</v>
      </c>
      <c r="AJ4091" s="94">
        <f t="shared" si="540"/>
        <v>41851</v>
      </c>
    </row>
    <row r="4092" spans="1:53" ht="12.75" customHeight="1">
      <c r="A4092" s="8">
        <v>41880</v>
      </c>
      <c r="B4092" s="94" t="s">
        <v>149</v>
      </c>
      <c r="C4092" s="6" t="s">
        <v>297</v>
      </c>
      <c r="D4092" s="98">
        <v>48205564.307471372</v>
      </c>
      <c r="E4092" s="95">
        <f t="shared" si="543"/>
        <v>614.90160000000014</v>
      </c>
      <c r="F4092" s="98"/>
      <c r="G4092" s="98">
        <v>0</v>
      </c>
      <c r="H4092" s="98">
        <v>-6.9538696855306625</v>
      </c>
      <c r="I4092" s="98">
        <v>0</v>
      </c>
      <c r="J4092" s="98"/>
      <c r="K4092" s="98">
        <v>78395.574686212174</v>
      </c>
      <c r="L4092" s="93">
        <f t="shared" si="536"/>
        <v>-6.9538696855306625</v>
      </c>
      <c r="M4092" s="95">
        <f t="shared" ca="1" si="537"/>
        <v>0</v>
      </c>
      <c r="N4092" s="95">
        <f ca="1">IF(P4092="Hedge Fund",IF(A4092=Summary!$AD$3,M4092-E4092,M4092),IF(A4092=Summary!$AD$3,L4092-D4092,L4092))</f>
        <v>0</v>
      </c>
      <c r="O4092" s="95"/>
      <c r="P4092" s="107" t="s">
        <v>139</v>
      </c>
      <c r="Q4092" s="107">
        <v>2.2233860662739701E-2</v>
      </c>
      <c r="R4092" s="107">
        <v>0.13796728</v>
      </c>
      <c r="S4092" s="107">
        <v>2.2233860662739701E-2</v>
      </c>
      <c r="T4092" s="107">
        <v>8.5698166334033571E-2</v>
      </c>
      <c r="U4092" s="107" t="s">
        <v>0</v>
      </c>
      <c r="V4092" s="107">
        <v>22.073201934526121</v>
      </c>
      <c r="W4092" s="107" t="s">
        <v>15</v>
      </c>
      <c r="X4092" s="107">
        <v>8.3769399596224812</v>
      </c>
      <c r="Y4092" s="107"/>
      <c r="Z4092" s="107"/>
      <c r="AA4092" s="107"/>
      <c r="AB4092" s="107"/>
      <c r="AC4092" s="355"/>
      <c r="AD4092" s="355"/>
      <c r="AE4092" s="355"/>
      <c r="AF4092" s="94">
        <f t="shared" si="538"/>
        <v>41880</v>
      </c>
      <c r="AG4092" s="185">
        <f t="shared" si="542"/>
        <v>5.8719606354857845E-3</v>
      </c>
      <c r="AH4092" s="339" t="str">
        <f>VLOOKUP(B4092,'MF PF'!A:B,2)</f>
        <v>FdMgt1</v>
      </c>
      <c r="AI4092" s="358">
        <f t="shared" si="539"/>
        <v>0</v>
      </c>
      <c r="AJ4092" s="94">
        <f t="shared" si="540"/>
        <v>41882</v>
      </c>
    </row>
    <row r="4093" spans="1:53" ht="12.75" customHeight="1">
      <c r="A4093" s="8">
        <v>41912</v>
      </c>
      <c r="B4093" s="94" t="s">
        <v>149</v>
      </c>
      <c r="C4093" s="6" t="s">
        <v>297</v>
      </c>
      <c r="D4093" s="98">
        <v>47792846.84105707</v>
      </c>
      <c r="E4093" s="95">
        <f t="shared" si="543"/>
        <v>609.63699999999994</v>
      </c>
      <c r="F4093" s="98"/>
      <c r="G4093" s="98">
        <v>3.8760787397623062</v>
      </c>
      <c r="H4093" s="98">
        <v>0</v>
      </c>
      <c r="I4093" s="98">
        <v>0</v>
      </c>
      <c r="J4093" s="98"/>
      <c r="K4093" s="98">
        <v>78395.58104422316</v>
      </c>
      <c r="L4093" s="93">
        <f t="shared" si="536"/>
        <v>3.8760787397623062</v>
      </c>
      <c r="M4093" s="95">
        <f t="shared" ca="1" si="537"/>
        <v>0</v>
      </c>
      <c r="N4093" s="95">
        <f ca="1">IF(P4093="Hedge Fund",IF(A4093=Summary!$AD$3,M4093-E4093,M4093),IF(A4093=Summary!$AD$3,L4093-D4093,L4093))</f>
        <v>0</v>
      </c>
      <c r="O4093" s="95"/>
      <c r="P4093" s="107" t="s">
        <v>139</v>
      </c>
      <c r="Q4093" s="107">
        <v>2.4533930178630099E-2</v>
      </c>
      <c r="R4093" s="107">
        <v>0.11115245</v>
      </c>
      <c r="S4093" s="107">
        <v>2.4533929999999999E-2</v>
      </c>
      <c r="T4093" s="107">
        <v>6.9176745000000012E-2</v>
      </c>
      <c r="U4093" s="107" t="s">
        <v>0</v>
      </c>
      <c r="V4093" s="107">
        <v>21.884217910245638</v>
      </c>
      <c r="W4093" s="107" t="s">
        <v>15</v>
      </c>
      <c r="X4093" s="107">
        <v>8.3052191540311</v>
      </c>
      <c r="Y4093" s="107"/>
      <c r="Z4093" s="107"/>
      <c r="AA4093" s="107"/>
      <c r="AB4093" s="107"/>
      <c r="AC4093" s="355"/>
      <c r="AD4093" s="355"/>
      <c r="AE4093" s="355"/>
      <c r="AF4093" s="94">
        <f t="shared" si="538"/>
        <v>41912</v>
      </c>
      <c r="AG4093" s="185">
        <f t="shared" si="542"/>
        <v>-8.5616950744641374E-3</v>
      </c>
      <c r="AH4093" s="339" t="str">
        <f>VLOOKUP(B4093,'MF PF'!A:B,2)</f>
        <v>FdMgt1</v>
      </c>
      <c r="AI4093" s="358">
        <f t="shared" si="539"/>
        <v>0</v>
      </c>
      <c r="AJ4093" s="94">
        <f t="shared" si="540"/>
        <v>41912</v>
      </c>
    </row>
    <row r="4094" spans="1:53" ht="12.75" customHeight="1">
      <c r="A4094" s="94">
        <v>41943</v>
      </c>
      <c r="B4094" s="94" t="s">
        <v>149</v>
      </c>
      <c r="C4094" s="6" t="s">
        <v>297</v>
      </c>
      <c r="D4094" s="98">
        <v>25080401.97889575</v>
      </c>
      <c r="E4094" s="95">
        <f t="shared" si="543"/>
        <v>319.92109999999997</v>
      </c>
      <c r="F4094" s="98"/>
      <c r="G4094" s="98">
        <v>1.4560887292027473</v>
      </c>
      <c r="H4094" s="98">
        <v>0</v>
      </c>
      <c r="I4094" s="98">
        <v>-22600004.84844305</v>
      </c>
      <c r="J4094" s="98"/>
      <c r="K4094" s="98">
        <v>78395.585595622644</v>
      </c>
      <c r="L4094" s="93">
        <f t="shared" si="536"/>
        <v>-22600003.392354321</v>
      </c>
      <c r="M4094" s="95">
        <f t="shared" ca="1" si="537"/>
        <v>-288.28160000000003</v>
      </c>
      <c r="N4094" s="95">
        <f ca="1">IF(P4094="Hedge Fund",IF(A4094=Summary!$AD$3,M4094-E4094,M4094),IF(A4094=Summary!$AD$3,L4094-D4094,L4094))</f>
        <v>-288.28160000000003</v>
      </c>
      <c r="O4094" s="95"/>
      <c r="P4094" s="107" t="s">
        <v>139</v>
      </c>
      <c r="Q4094" s="107">
        <v>2.3767246915342499E-2</v>
      </c>
      <c r="R4094" s="107">
        <v>0.10107120999999999</v>
      </c>
      <c r="S4094" s="107">
        <v>2.3767259999999998E-2</v>
      </c>
      <c r="T4094" s="107">
        <v>6.2619480000000005E-2</v>
      </c>
      <c r="U4094" s="107" t="s">
        <v>0</v>
      </c>
      <c r="V4094" s="107">
        <v>11.484248932537701</v>
      </c>
      <c r="W4094" s="107" t="s">
        <v>15</v>
      </c>
      <c r="X4094" s="107">
        <v>4.3583556239183308</v>
      </c>
      <c r="Y4094" s="107"/>
      <c r="Z4094" s="107"/>
      <c r="AA4094" s="107"/>
      <c r="AB4094" s="107"/>
      <c r="AC4094" s="355"/>
      <c r="AD4094" s="355"/>
      <c r="AE4094" s="355"/>
      <c r="AF4094" s="94">
        <f t="shared" si="538"/>
        <v>41943</v>
      </c>
      <c r="AG4094" s="185">
        <f t="shared" si="542"/>
        <v>-2.352684078036682E-3</v>
      </c>
      <c r="AH4094" s="339" t="str">
        <f>VLOOKUP(B4094,'MF PF'!A:B,2)</f>
        <v>FdMgt1</v>
      </c>
      <c r="AI4094" s="358">
        <f t="shared" si="539"/>
        <v>0</v>
      </c>
      <c r="AJ4094" s="94">
        <f t="shared" si="540"/>
        <v>41943</v>
      </c>
    </row>
    <row r="4095" spans="1:53" ht="12.75" customHeight="1">
      <c r="A4095" s="8">
        <v>41971</v>
      </c>
      <c r="B4095" s="94" t="s">
        <v>149</v>
      </c>
      <c r="C4095" s="6" t="s">
        <v>297</v>
      </c>
      <c r="D4095" s="98">
        <v>24722933.687332001</v>
      </c>
      <c r="E4095" s="95">
        <f t="shared" si="543"/>
        <v>315.36130000000003</v>
      </c>
      <c r="F4095" s="98"/>
      <c r="G4095" s="98">
        <v>0</v>
      </c>
      <c r="H4095" s="98">
        <v>-0.10036483407020569</v>
      </c>
      <c r="I4095" s="98">
        <v>0</v>
      </c>
      <c r="J4095" s="98"/>
      <c r="K4095" s="98">
        <v>78395.585277369159</v>
      </c>
      <c r="L4095" s="93">
        <f t="shared" si="536"/>
        <v>-0.10036483407020569</v>
      </c>
      <c r="M4095" s="95">
        <f t="shared" ca="1" si="537"/>
        <v>0</v>
      </c>
      <c r="N4095" s="95">
        <f ca="1">IF(P4095="Hedge Fund",IF(A4095=Summary!$AD$3,M4095-E4095,M4095),IF(A4095=Summary!$AD$3,L4095-D4095,L4095))</f>
        <v>0</v>
      </c>
      <c r="O4095" s="95"/>
      <c r="P4095" s="107" t="s">
        <v>139</v>
      </c>
      <c r="Q4095" s="107">
        <v>2.1467187536438399E-2</v>
      </c>
      <c r="R4095" s="107">
        <v>7.8635160000000009E-2</v>
      </c>
      <c r="S4095" s="107">
        <v>2.1467179999999999E-2</v>
      </c>
      <c r="T4095" s="107">
        <v>4.8783809999999997E-2</v>
      </c>
      <c r="U4095" s="107" t="s">
        <v>0</v>
      </c>
      <c r="V4095" s="107">
        <v>11.320565204635463</v>
      </c>
      <c r="W4095" s="107" t="s">
        <v>15</v>
      </c>
      <c r="X4095" s="107">
        <v>4.2962364639943909</v>
      </c>
      <c r="Y4095" s="107"/>
      <c r="Z4095" s="107"/>
      <c r="AA4095" s="107"/>
      <c r="AB4095" s="107"/>
      <c r="AC4095" s="355"/>
      <c r="AD4095" s="355"/>
      <c r="AE4095" s="355"/>
      <c r="AF4095" s="94">
        <f t="shared" si="538"/>
        <v>41971</v>
      </c>
      <c r="AG4095" s="185">
        <f t="shared" si="542"/>
        <v>-1.4252889228000054E-2</v>
      </c>
      <c r="AH4095" s="339" t="str">
        <f>VLOOKUP(B4095,'MF PF'!A:B,2)</f>
        <v>FdMgt1</v>
      </c>
      <c r="AI4095" s="358">
        <f t="shared" si="539"/>
        <v>0</v>
      </c>
      <c r="AJ4095" s="94">
        <f t="shared" si="540"/>
        <v>41973</v>
      </c>
      <c r="AK4095" s="358"/>
      <c r="AL4095" s="358"/>
      <c r="AM4095" s="358"/>
      <c r="AN4095" s="358"/>
      <c r="AO4095" s="358"/>
      <c r="AP4095" s="358"/>
      <c r="AQ4095" s="358"/>
      <c r="AR4095" s="358"/>
      <c r="AS4095" s="358"/>
      <c r="AT4095" s="358"/>
      <c r="AU4095" s="358"/>
      <c r="AV4095" s="358"/>
      <c r="AW4095" s="358"/>
      <c r="AX4095" s="358"/>
      <c r="AY4095" s="358"/>
      <c r="AZ4095" s="358"/>
      <c r="BA4095" s="358"/>
    </row>
    <row r="4096" spans="1:53" ht="12.75" customHeight="1">
      <c r="A4096" s="8">
        <v>42004</v>
      </c>
      <c r="B4096" s="94" t="s">
        <v>149</v>
      </c>
      <c r="C4096" s="6" t="s">
        <v>297</v>
      </c>
      <c r="D4096" s="98">
        <v>24349114.725628544</v>
      </c>
      <c r="E4096" s="95">
        <f t="shared" si="543"/>
        <v>310.59289999999999</v>
      </c>
      <c r="F4096" s="98"/>
      <c r="G4096" s="98">
        <v>2.5471331551671028</v>
      </c>
      <c r="H4096" s="98">
        <v>0</v>
      </c>
      <c r="I4096" s="98">
        <v>0</v>
      </c>
      <c r="J4096" s="98"/>
      <c r="K4096" s="98">
        <v>78395.593478242881</v>
      </c>
      <c r="L4096" s="93">
        <f t="shared" si="536"/>
        <v>2.5471331551671028</v>
      </c>
      <c r="M4096" s="95">
        <f t="shared" ca="1" si="537"/>
        <v>0</v>
      </c>
      <c r="N4096" s="95">
        <f ca="1">IF(P4096="Hedge Fund",IF(A4096=Summary!$AD$3,M4096-E4096,M4096),IF(A4096=Summary!$AD$3,L4096-D4096,L4096))</f>
        <v>0</v>
      </c>
      <c r="O4096" s="95"/>
      <c r="P4096" s="107" t="s">
        <v>139</v>
      </c>
      <c r="Q4096" s="107">
        <v>2.5300613167945199E-2</v>
      </c>
      <c r="R4096" s="107">
        <v>5.503065E-2</v>
      </c>
      <c r="S4096" s="107">
        <v>2.5300613167945199E-2</v>
      </c>
      <c r="T4096" s="107">
        <v>3.4217160000000003E-2</v>
      </c>
      <c r="U4096" s="107" t="s">
        <v>0</v>
      </c>
      <c r="V4096" s="107">
        <v>11.14939333566554</v>
      </c>
      <c r="W4096" s="107" t="s">
        <v>15</v>
      </c>
      <c r="X4096" s="107">
        <v>4.2312755003158697</v>
      </c>
      <c r="Y4096" s="107"/>
      <c r="Z4096" s="107"/>
      <c r="AA4096" s="107"/>
      <c r="AB4096" s="107"/>
      <c r="AC4096" s="355"/>
      <c r="AD4096" s="355"/>
      <c r="AE4096" s="355"/>
      <c r="AF4096" s="94">
        <f t="shared" si="538"/>
        <v>42004</v>
      </c>
      <c r="AG4096" s="185">
        <f t="shared" si="542"/>
        <v>-1.5120434878978739E-2</v>
      </c>
      <c r="AH4096" s="339" t="str">
        <f>VLOOKUP(B4096,'MF PF'!A:B,2)</f>
        <v>FdMgt1</v>
      </c>
      <c r="AI4096" s="358">
        <f t="shared" si="539"/>
        <v>0</v>
      </c>
      <c r="AJ4096" s="94">
        <f t="shared" si="540"/>
        <v>42004</v>
      </c>
      <c r="AK4096" s="358"/>
      <c r="AL4096" s="358"/>
      <c r="AM4096" s="358"/>
      <c r="AN4096" s="358"/>
      <c r="AO4096" s="358"/>
      <c r="AP4096" s="358"/>
      <c r="AQ4096" s="358"/>
      <c r="AR4096" s="358"/>
      <c r="AS4096" s="358"/>
      <c r="AT4096" s="358"/>
      <c r="AU4096" s="358"/>
      <c r="AV4096" s="358"/>
      <c r="AW4096" s="358"/>
      <c r="AX4096" s="358"/>
      <c r="AY4096" s="358"/>
      <c r="AZ4096" s="358"/>
      <c r="BA4096" s="358"/>
    </row>
    <row r="4097" spans="1:53" ht="12.75" customHeight="1">
      <c r="A4097" s="8">
        <v>42034</v>
      </c>
      <c r="B4097" s="94" t="s">
        <v>149</v>
      </c>
      <c r="C4097" s="6" t="s">
        <v>297</v>
      </c>
      <c r="D4097" s="98">
        <v>38648777.320519373</v>
      </c>
      <c r="E4097" s="95">
        <f t="shared" si="543"/>
        <v>316.32560000000001</v>
      </c>
      <c r="F4097" s="98"/>
      <c r="G4097" s="98">
        <v>13850244.176158104</v>
      </c>
      <c r="H4097" s="98">
        <v>0</v>
      </c>
      <c r="I4097" s="98">
        <v>0</v>
      </c>
      <c r="J4097" s="98"/>
      <c r="K4097" s="98">
        <v>122180.36516968394</v>
      </c>
      <c r="L4097" s="93">
        <f t="shared" ref="L4097:L4160" si="544">G4097+H4097+I4097</f>
        <v>13850244.176158104</v>
      </c>
      <c r="M4097" s="95">
        <f t="shared" ref="M4097:M4160" ca="1" si="545">IF(A4097&gt;INDIRECT("A"&amp;ROW()-1),I4097/K4097,E4097)</f>
        <v>0</v>
      </c>
      <c r="N4097" s="95">
        <f ca="1">IF(P4097="Hedge Fund",IF(A4097=Summary!$AD$3,M4097-E4097,M4097),IF(A4097=Summary!$AD$3,L4097-D4097,L4097))</f>
        <v>0</v>
      </c>
      <c r="O4097" s="95"/>
      <c r="P4097" s="107" t="s">
        <v>139</v>
      </c>
      <c r="Q4097" s="107">
        <v>3.4123851460274003E-2</v>
      </c>
      <c r="R4097" s="107">
        <v>6.5778420000000004E-2</v>
      </c>
      <c r="S4097" s="107">
        <v>2.3000549999999998E-2</v>
      </c>
      <c r="T4097" s="107">
        <v>1.090821E-2</v>
      </c>
      <c r="U4097" s="107" t="s">
        <v>0</v>
      </c>
      <c r="V4097" s="107">
        <v>11.355180805937302</v>
      </c>
      <c r="W4097" s="107" t="s">
        <v>15</v>
      </c>
      <c r="X4097" s="107">
        <v>4.3093733353296795</v>
      </c>
      <c r="Y4097" s="107"/>
      <c r="Z4097" s="107"/>
      <c r="AA4097" s="107"/>
      <c r="AB4097" s="107"/>
      <c r="AC4097" s="355"/>
      <c r="AD4097" s="355"/>
      <c r="AE4097" s="355"/>
      <c r="AF4097" s="94">
        <f t="shared" ref="AF4097:AF4160" si="546">A4097</f>
        <v>42034</v>
      </c>
      <c r="AG4097" s="185">
        <f t="shared" si="542"/>
        <v>1.8457279609418009E-2</v>
      </c>
      <c r="AH4097" s="339" t="str">
        <f>VLOOKUP(B4097,'MF PF'!A:B,2)</f>
        <v>FdMgt1</v>
      </c>
      <c r="AI4097" s="358">
        <f t="shared" ref="AI4097:AI4160" si="547">AF4097-A4097</f>
        <v>0</v>
      </c>
      <c r="AJ4097" s="94">
        <f t="shared" ref="AJ4097:AJ4160" si="548">EOMONTH(A4097,0)</f>
        <v>42035</v>
      </c>
      <c r="AK4097" s="358"/>
      <c r="AL4097" s="358"/>
      <c r="AM4097" s="358"/>
      <c r="AN4097" s="358"/>
      <c r="AO4097" s="358"/>
      <c r="AP4097" s="358"/>
      <c r="AQ4097" s="358"/>
      <c r="AR4097" s="358"/>
      <c r="AS4097" s="358"/>
      <c r="AT4097" s="358"/>
      <c r="AU4097" s="358"/>
      <c r="AV4097" s="358"/>
      <c r="AW4097" s="358"/>
      <c r="AX4097" s="358"/>
      <c r="AY4097" s="358"/>
      <c r="AZ4097" s="358"/>
      <c r="BA4097" s="358"/>
    </row>
    <row r="4098" spans="1:53" ht="12.75" customHeight="1">
      <c r="A4098" s="8">
        <v>42062</v>
      </c>
      <c r="B4098" s="94" t="s">
        <v>149</v>
      </c>
      <c r="C4098" s="6" t="s">
        <v>297</v>
      </c>
      <c r="D4098" s="98">
        <v>39200325.015439585</v>
      </c>
      <c r="E4098" s="95">
        <f t="shared" si="543"/>
        <v>320.83980000000008</v>
      </c>
      <c r="F4098" s="98"/>
      <c r="G4098" s="98">
        <v>1.0904712155461311</v>
      </c>
      <c r="H4098" s="98">
        <v>0</v>
      </c>
      <c r="I4098" s="98">
        <v>0</v>
      </c>
      <c r="J4098" s="98"/>
      <c r="K4098" s="98">
        <v>122180.36856848675</v>
      </c>
      <c r="L4098" s="93">
        <f t="shared" si="544"/>
        <v>1.0904712155461311</v>
      </c>
      <c r="M4098" s="95">
        <f t="shared" ca="1" si="545"/>
        <v>0</v>
      </c>
      <c r="N4098" s="95">
        <f ca="1">IF(P4098="Hedge Fund",IF(A4098=Summary!$AD$3,M4098-E4098,M4098),IF(A4098=Summary!$AD$3,L4098-D4098,L4098))</f>
        <v>0</v>
      </c>
      <c r="O4098" s="95"/>
      <c r="P4098" s="107" t="s">
        <v>139</v>
      </c>
      <c r="Q4098" s="107">
        <v>3.22069135638356E-2</v>
      </c>
      <c r="R4098" s="107">
        <v>0.11770189</v>
      </c>
      <c r="S4098" s="107">
        <v>2.1467179999999999E-2</v>
      </c>
      <c r="T4098" s="107">
        <v>1.9349065000000002E-2</v>
      </c>
      <c r="U4098" s="107" t="s">
        <v>0</v>
      </c>
      <c r="V4098" s="107">
        <v>11.517227624766262</v>
      </c>
      <c r="W4098" s="107" t="s">
        <v>15</v>
      </c>
      <c r="X4098" s="107">
        <v>4.3708712764079394</v>
      </c>
      <c r="Y4098" s="107"/>
      <c r="Z4098" s="107"/>
      <c r="AA4098" s="107"/>
      <c r="AB4098" s="107"/>
      <c r="AC4098" s="355"/>
      <c r="AD4098" s="355"/>
      <c r="AE4098" s="355"/>
      <c r="AF4098" s="94">
        <f t="shared" si="546"/>
        <v>42062</v>
      </c>
      <c r="AG4098" s="185">
        <f t="shared" si="542"/>
        <v>1.4270738757786505E-2</v>
      </c>
      <c r="AH4098" s="339" t="str">
        <f>VLOOKUP(B4098,'MF PF'!A:B,2)</f>
        <v>FdMgt1</v>
      </c>
      <c r="AI4098" s="358">
        <f t="shared" si="547"/>
        <v>0</v>
      </c>
      <c r="AJ4098" s="94">
        <f t="shared" si="548"/>
        <v>42063</v>
      </c>
    </row>
    <row r="4099" spans="1:53" ht="12.75" customHeight="1">
      <c r="A4099" s="94">
        <v>42094</v>
      </c>
      <c r="B4099" s="94" t="s">
        <v>149</v>
      </c>
      <c r="C4099" s="6" t="s">
        <v>297</v>
      </c>
      <c r="D4099" s="98">
        <v>39923653.93330612</v>
      </c>
      <c r="E4099" s="95">
        <f t="shared" si="543"/>
        <v>326.76</v>
      </c>
      <c r="F4099" s="98"/>
      <c r="G4099" s="98">
        <v>0</v>
      </c>
      <c r="H4099" s="98">
        <v>-3.3001326099038124</v>
      </c>
      <c r="I4099" s="98">
        <v>0</v>
      </c>
      <c r="J4099" s="98"/>
      <c r="K4099" s="98">
        <v>122180.35846892558</v>
      </c>
      <c r="L4099" s="93">
        <f t="shared" si="544"/>
        <v>-3.3001326099038124</v>
      </c>
      <c r="M4099" s="95">
        <f t="shared" ca="1" si="545"/>
        <v>0</v>
      </c>
      <c r="N4099" s="95">
        <f ca="1">IF(P4099="Hedge Fund",IF(A4099=Summary!$AD$3,M4099-E4099,M4099),IF(A4099=Summary!$AD$3,L4099-D4099,L4099))</f>
        <v>0</v>
      </c>
      <c r="O4099" s="95"/>
      <c r="P4099" s="107" t="s">
        <v>139</v>
      </c>
      <c r="Q4099" s="107">
        <v>3.6807902644383599E-2</v>
      </c>
      <c r="R4099" s="107">
        <v>0.18698442000000001</v>
      </c>
      <c r="S4099" s="107">
        <v>2.4533929999999999E-2</v>
      </c>
      <c r="T4099" s="107">
        <v>3.0796849999999997E-2</v>
      </c>
      <c r="U4099" s="107" t="s">
        <v>0</v>
      </c>
      <c r="V4099" s="107">
        <v>11.729745806688021</v>
      </c>
      <c r="W4099" s="107" t="s">
        <v>15</v>
      </c>
      <c r="X4099" s="107">
        <v>4.4515234652279991</v>
      </c>
      <c r="Y4099" s="107"/>
      <c r="Z4099" s="107"/>
      <c r="AA4099" s="107"/>
      <c r="AB4099" s="107"/>
      <c r="AC4099" s="355"/>
      <c r="AD4099" s="355"/>
      <c r="AE4099" s="355"/>
      <c r="AF4099" s="94">
        <f t="shared" si="546"/>
        <v>42094</v>
      </c>
      <c r="AG4099" s="185">
        <f t="shared" si="542"/>
        <v>1.8452199508913525E-2</v>
      </c>
      <c r="AH4099" s="339" t="str">
        <f>VLOOKUP(B4099,'MF PF'!A:B,2)</f>
        <v>FdMgt1</v>
      </c>
      <c r="AI4099" s="358">
        <f t="shared" si="547"/>
        <v>0</v>
      </c>
      <c r="AJ4099" s="94">
        <f t="shared" si="548"/>
        <v>42094</v>
      </c>
      <c r="AK4099" s="358"/>
      <c r="AL4099" s="358"/>
      <c r="AM4099" s="358"/>
      <c r="AN4099" s="358"/>
      <c r="AO4099" s="358"/>
      <c r="AP4099" s="358"/>
      <c r="AQ4099" s="358"/>
      <c r="AR4099" s="358"/>
      <c r="AS4099" s="358"/>
      <c r="AT4099" s="358"/>
      <c r="AU4099" s="358"/>
      <c r="AV4099" s="358"/>
      <c r="AW4099" s="358"/>
      <c r="AX4099" s="358"/>
      <c r="AY4099" s="358"/>
      <c r="AZ4099" s="358"/>
      <c r="BA4099" s="358"/>
    </row>
    <row r="4100" spans="1:53" ht="12.75" customHeight="1">
      <c r="A4100" s="8">
        <v>42124</v>
      </c>
      <c r="B4100" s="94" t="s">
        <v>149</v>
      </c>
      <c r="C4100" s="6" t="s">
        <v>297</v>
      </c>
      <c r="D4100" s="98">
        <v>44199557.442608364</v>
      </c>
      <c r="E4100" s="95">
        <f t="shared" si="543"/>
        <v>337.36099999999993</v>
      </c>
      <c r="F4100" s="98"/>
      <c r="G4100" s="98">
        <v>2980669.529173173</v>
      </c>
      <c r="H4100" s="98">
        <v>0</v>
      </c>
      <c r="I4100" s="98">
        <v>0</v>
      </c>
      <c r="J4100" s="98"/>
      <c r="K4100" s="98">
        <v>131015.61070369239</v>
      </c>
      <c r="L4100" s="93">
        <f t="shared" si="544"/>
        <v>2980669.529173173</v>
      </c>
      <c r="M4100" s="95">
        <f t="shared" ca="1" si="545"/>
        <v>0</v>
      </c>
      <c r="N4100" s="95">
        <f ca="1">IF(P4100="Hedge Fund",IF(A4100=Summary!$AD$3,M4100-E4100,M4100),IF(A4100=Summary!$AD$3,L4100-D4100,L4100))</f>
        <v>0</v>
      </c>
      <c r="O4100" s="95"/>
      <c r="P4100" s="107" t="s">
        <v>139</v>
      </c>
      <c r="Q4100" s="107">
        <v>3.68802898164384E-2</v>
      </c>
      <c r="R4100" s="107">
        <v>0.33741692000000001</v>
      </c>
      <c r="S4100" s="107">
        <v>2.5373429999999999E-2</v>
      </c>
      <c r="T4100" s="107">
        <v>7.3012880000000002E-2</v>
      </c>
      <c r="U4100" s="107" t="s">
        <v>0</v>
      </c>
      <c r="V4100" s="107">
        <v>12.110291269096821</v>
      </c>
      <c r="W4100" s="107" t="s">
        <v>15</v>
      </c>
      <c r="X4100" s="107">
        <v>4.5959432236282991</v>
      </c>
      <c r="Y4100" s="107"/>
      <c r="Z4100" s="107"/>
      <c r="AA4100" s="107"/>
      <c r="AB4100" s="107"/>
      <c r="AC4100" s="355"/>
      <c r="AD4100" s="355"/>
      <c r="AE4100" s="355"/>
      <c r="AF4100" s="94">
        <f t="shared" si="546"/>
        <v>42124</v>
      </c>
      <c r="AG4100" s="185">
        <f t="shared" si="542"/>
        <v>3.2442771453053965E-2</v>
      </c>
      <c r="AH4100" s="339" t="str">
        <f>VLOOKUP(B4100,'MF PF'!A:B,2)</f>
        <v>FdMgt1</v>
      </c>
      <c r="AI4100" s="358">
        <f t="shared" si="547"/>
        <v>0</v>
      </c>
      <c r="AJ4100" s="94">
        <f t="shared" si="548"/>
        <v>42124</v>
      </c>
    </row>
    <row r="4101" spans="1:53" ht="12.75" customHeight="1">
      <c r="A4101" s="8">
        <v>42153</v>
      </c>
      <c r="B4101" s="94" t="s">
        <v>149</v>
      </c>
      <c r="C4101" s="6" t="s">
        <v>297</v>
      </c>
      <c r="D4101" s="98">
        <v>44280514.292427242</v>
      </c>
      <c r="E4101" s="95">
        <f t="shared" si="543"/>
        <v>337.97899999999998</v>
      </c>
      <c r="F4101" s="98"/>
      <c r="G4101" s="98">
        <v>0</v>
      </c>
      <c r="H4101" s="98">
        <v>-10.797596007585526</v>
      </c>
      <c r="I4101" s="98">
        <v>0</v>
      </c>
      <c r="J4101" s="98"/>
      <c r="K4101" s="98">
        <v>131015.57875615716</v>
      </c>
      <c r="L4101" s="93">
        <f t="shared" si="544"/>
        <v>-10.797596007585526</v>
      </c>
      <c r="M4101" s="95">
        <f t="shared" ca="1" si="545"/>
        <v>0</v>
      </c>
      <c r="N4101" s="95">
        <f ca="1">IF(P4101="Hedge Fund",IF(A4101=Summary!$AD$3,M4101-E4101,M4101),IF(A4101=Summary!$AD$3,L4101-D4101,L4101))</f>
        <v>0</v>
      </c>
      <c r="O4101" s="95"/>
      <c r="P4101" s="107" t="s">
        <v>139</v>
      </c>
      <c r="Q4101" s="107">
        <v>3.5650939155890397E-2</v>
      </c>
      <c r="R4101" s="107">
        <v>0.33927230000000003</v>
      </c>
      <c r="S4101" s="107">
        <v>2.452764E-2</v>
      </c>
      <c r="T4101" s="107">
        <v>7.2598084999999993E-2</v>
      </c>
      <c r="U4101" s="107" t="s">
        <v>0</v>
      </c>
      <c r="V4101" s="107">
        <v>12.132475694695222</v>
      </c>
      <c r="W4101" s="107" t="s">
        <v>15</v>
      </c>
      <c r="X4101" s="107">
        <v>4.6043623737736992</v>
      </c>
      <c r="Y4101" s="107"/>
      <c r="Z4101" s="107"/>
      <c r="AA4101" s="107"/>
      <c r="AB4101" s="107"/>
      <c r="AC4101" s="355"/>
      <c r="AD4101" s="355"/>
      <c r="AE4101" s="355"/>
      <c r="AF4101" s="94">
        <f t="shared" si="546"/>
        <v>42153</v>
      </c>
      <c r="AG4101" s="185">
        <f t="shared" si="542"/>
        <v>1.8318655683378093E-3</v>
      </c>
      <c r="AH4101" s="339" t="str">
        <f>VLOOKUP(B4101,'MF PF'!A:B,2)</f>
        <v>FdMgt1</v>
      </c>
      <c r="AI4101" s="358">
        <f t="shared" si="547"/>
        <v>0</v>
      </c>
      <c r="AJ4101" s="94">
        <f t="shared" si="548"/>
        <v>42155</v>
      </c>
    </row>
    <row r="4102" spans="1:53" ht="12.75" customHeight="1">
      <c r="A4102" s="8">
        <v>42185</v>
      </c>
      <c r="B4102" s="94" t="s">
        <v>149</v>
      </c>
      <c r="C4102" s="6" t="s">
        <v>297</v>
      </c>
      <c r="D4102" s="98">
        <v>43511149.947448865</v>
      </c>
      <c r="E4102" s="95">
        <f t="shared" si="543"/>
        <v>332.10669999999999</v>
      </c>
      <c r="F4102" s="98"/>
      <c r="G4102" s="98">
        <v>0</v>
      </c>
      <c r="H4102" s="98">
        <v>-1.5618485957384109</v>
      </c>
      <c r="I4102" s="98">
        <v>0</v>
      </c>
      <c r="J4102" s="98"/>
      <c r="K4102" s="98">
        <v>131015.57405330536</v>
      </c>
      <c r="L4102" s="93">
        <f t="shared" si="544"/>
        <v>-1.5618485957384109</v>
      </c>
      <c r="M4102" s="95">
        <f t="shared" ca="1" si="545"/>
        <v>0</v>
      </c>
      <c r="N4102" s="95">
        <f ca="1">IF(P4102="Hedge Fund",IF(A4102=Summary!$AD$3,M4102-E4102,M4102),IF(A4102=Summary!$AD$3,L4102-D4102,L4102))</f>
        <v>0</v>
      </c>
      <c r="O4102" s="95"/>
      <c r="P4102" s="107" t="s">
        <v>139</v>
      </c>
      <c r="Q4102" s="107">
        <v>3.93389711375342E-2</v>
      </c>
      <c r="R4102" s="107">
        <v>0.24338242999999998</v>
      </c>
      <c r="S4102" s="107">
        <v>2.7064999999999999E-2</v>
      </c>
      <c r="T4102" s="107">
        <v>4.4324255000000007E-2</v>
      </c>
      <c r="U4102" s="107" t="s">
        <v>0</v>
      </c>
      <c r="V4102" s="107">
        <v>11.921676985242982</v>
      </c>
      <c r="W4102" s="107" t="s">
        <v>15</v>
      </c>
      <c r="X4102" s="107">
        <v>4.5243627372060091</v>
      </c>
      <c r="Y4102" s="107"/>
      <c r="Z4102" s="107"/>
      <c r="AA4102" s="107"/>
      <c r="AB4102" s="107"/>
      <c r="AC4102" s="355"/>
      <c r="AD4102" s="355"/>
      <c r="AE4102" s="355"/>
      <c r="AF4102" s="94">
        <f t="shared" si="546"/>
        <v>42185</v>
      </c>
      <c r="AG4102" s="185">
        <f t="shared" si="542"/>
        <v>-1.7374748135239204E-2</v>
      </c>
      <c r="AH4102" s="339" t="str">
        <f>VLOOKUP(B4102,'MF PF'!A:B,2)</f>
        <v>FdMgt1</v>
      </c>
      <c r="AI4102" s="358">
        <f t="shared" si="547"/>
        <v>0</v>
      </c>
      <c r="AJ4102" s="94">
        <f t="shared" si="548"/>
        <v>42185</v>
      </c>
    </row>
    <row r="4103" spans="1:53" ht="12.75" customHeight="1">
      <c r="A4103" s="8">
        <v>42216</v>
      </c>
      <c r="B4103" s="94" t="s">
        <v>149</v>
      </c>
      <c r="C4103" s="6" t="s">
        <v>297</v>
      </c>
      <c r="D4103" s="98">
        <v>43024591.898314565</v>
      </c>
      <c r="E4103" s="95">
        <f t="shared" si="543"/>
        <v>328.3929</v>
      </c>
      <c r="F4103" s="98"/>
      <c r="G4103" s="98">
        <v>7.5897848606109619</v>
      </c>
      <c r="H4103" s="98">
        <v>0</v>
      </c>
      <c r="I4103" s="98">
        <v>0</v>
      </c>
      <c r="J4103" s="98"/>
      <c r="K4103" s="98">
        <v>131015.59716520841</v>
      </c>
      <c r="L4103" s="93">
        <f t="shared" si="544"/>
        <v>7.5897848606109619</v>
      </c>
      <c r="M4103" s="95">
        <f t="shared" ca="1" si="545"/>
        <v>0</v>
      </c>
      <c r="N4103" s="95">
        <f ca="1">IF(P4103="Hedge Fund",IF(A4103=Summary!$AD$3,M4103-E4103,M4103),IF(A4103=Summary!$AD$3,L4103-D4103,L4103))</f>
        <v>0</v>
      </c>
      <c r="O4103" s="95"/>
      <c r="P4103" s="107" t="s">
        <v>139</v>
      </c>
      <c r="Q4103" s="107">
        <v>3.8109640476986298E-2</v>
      </c>
      <c r="R4103" s="107">
        <v>0.18159025000000001</v>
      </c>
      <c r="S4103" s="107">
        <v>2.621923E-2</v>
      </c>
      <c r="T4103" s="107">
        <v>2.5589054999999999E-2</v>
      </c>
      <c r="U4103" s="107" t="s">
        <v>0</v>
      </c>
      <c r="V4103" s="107">
        <v>11.788362228305541</v>
      </c>
      <c r="W4103" s="107" t="s">
        <v>15</v>
      </c>
      <c r="X4103" s="107">
        <v>4.4737688216558693</v>
      </c>
      <c r="Y4103" s="107"/>
      <c r="Z4103" s="107"/>
      <c r="AA4103" s="107"/>
      <c r="AB4103" s="107"/>
      <c r="AC4103" s="355"/>
      <c r="AD4103" s="355"/>
      <c r="AE4103" s="355"/>
      <c r="AF4103" s="94">
        <f t="shared" si="546"/>
        <v>42216</v>
      </c>
      <c r="AG4103" s="185">
        <f t="shared" si="542"/>
        <v>-1.1182550668203839E-2</v>
      </c>
      <c r="AH4103" s="339" t="str">
        <f>VLOOKUP(B4103,'MF PF'!A:B,2)</f>
        <v>FdMgt1</v>
      </c>
      <c r="AI4103" s="358">
        <f t="shared" si="547"/>
        <v>0</v>
      </c>
      <c r="AJ4103" s="94">
        <f t="shared" si="548"/>
        <v>42216</v>
      </c>
    </row>
    <row r="4104" spans="1:53" ht="12.75" customHeight="1">
      <c r="A4104" s="94">
        <v>42247</v>
      </c>
      <c r="B4104" s="94" t="s">
        <v>149</v>
      </c>
      <c r="C4104" s="6" t="s">
        <v>297</v>
      </c>
      <c r="D4104" s="98">
        <v>37212533.148588687</v>
      </c>
      <c r="E4104" s="95">
        <f t="shared" si="543"/>
        <v>324.02699999999999</v>
      </c>
      <c r="F4104" s="98"/>
      <c r="G4104" s="98">
        <v>0</v>
      </c>
      <c r="H4104" s="98">
        <v>-5240057.754062295</v>
      </c>
      <c r="I4104" s="98">
        <v>0</v>
      </c>
      <c r="J4104" s="98"/>
      <c r="K4104" s="98">
        <v>114843.92704493357</v>
      </c>
      <c r="L4104" s="93">
        <f t="shared" si="544"/>
        <v>-5240057.754062295</v>
      </c>
      <c r="M4104" s="95">
        <f t="shared" ca="1" si="545"/>
        <v>0</v>
      </c>
      <c r="N4104" s="95">
        <f ca="1">IF(P4104="Hedge Fund",IF(A4104=Summary!$AD$3,M4104-E4104,M4104),IF(A4104=Summary!$AD$3,L4104-D4104,L4104))</f>
        <v>0</v>
      </c>
      <c r="O4104" s="95"/>
      <c r="P4104" s="107" t="s">
        <v>139</v>
      </c>
      <c r="Q4104" s="107">
        <v>3.40251471420841E-2</v>
      </c>
      <c r="R4104" s="107">
        <v>8.5192309999999993E-2</v>
      </c>
      <c r="S4104" s="107">
        <v>2.621923E-2</v>
      </c>
      <c r="T4104" s="107">
        <v>1.255157E-2</v>
      </c>
      <c r="U4104" s="107" t="s">
        <v>0</v>
      </c>
      <c r="V4104" s="107">
        <v>11.631638953677621</v>
      </c>
      <c r="W4104" s="107" t="s">
        <v>15</v>
      </c>
      <c r="X4104" s="107">
        <v>4.4142912041480988</v>
      </c>
      <c r="Y4104" s="107"/>
      <c r="Z4104" s="107"/>
      <c r="AA4104" s="107"/>
      <c r="AB4104" s="107"/>
      <c r="AC4104" s="355"/>
      <c r="AD4104" s="355"/>
      <c r="AE4104" s="355"/>
      <c r="AF4104" s="94">
        <f t="shared" si="546"/>
        <v>42247</v>
      </c>
      <c r="AG4104" s="185">
        <f t="shared" si="542"/>
        <v>-1.3294745410147413E-2</v>
      </c>
      <c r="AH4104" s="339" t="str">
        <f>VLOOKUP(B4104,'MF PF'!A:B,2)</f>
        <v>FdMgt1</v>
      </c>
      <c r="AI4104" s="358">
        <f t="shared" si="547"/>
        <v>0</v>
      </c>
      <c r="AJ4104" s="94">
        <f t="shared" si="548"/>
        <v>42247</v>
      </c>
    </row>
    <row r="4105" spans="1:53" ht="12.75" customHeight="1">
      <c r="A4105" s="8">
        <v>42277</v>
      </c>
      <c r="B4105" s="94" t="s">
        <v>149</v>
      </c>
      <c r="C4105" s="6" t="s">
        <v>297</v>
      </c>
      <c r="D4105" s="98">
        <v>36200515.604115196</v>
      </c>
      <c r="E4105" s="95">
        <f t="shared" si="543"/>
        <v>315.2149</v>
      </c>
      <c r="F4105" s="98"/>
      <c r="G4105" s="98">
        <v>0</v>
      </c>
      <c r="H4105" s="98">
        <v>-1.3749608397483826</v>
      </c>
      <c r="I4105" s="98">
        <v>0</v>
      </c>
      <c r="J4105" s="98"/>
      <c r="K4105" s="98">
        <v>114843.92268295438</v>
      </c>
      <c r="L4105" s="93">
        <f t="shared" si="544"/>
        <v>-1.3749608397483826</v>
      </c>
      <c r="M4105" s="95">
        <f t="shared" ca="1" si="545"/>
        <v>0</v>
      </c>
      <c r="N4105" s="95">
        <f ca="1">IF(P4105="Hedge Fund",IF(A4105=Summary!$AD$3,M4105-E4105,M4105),IF(A4105=Summary!$AD$3,L4105-D4105,L4105))</f>
        <v>0</v>
      </c>
      <c r="O4105" s="95"/>
      <c r="P4105" s="107" t="s">
        <v>139</v>
      </c>
      <c r="Q4105" s="107">
        <v>3.2927549761893202E-2</v>
      </c>
      <c r="R4105" s="107">
        <v>9.3275200000000006E-3</v>
      </c>
      <c r="S4105" s="107">
        <v>2.5373429999999999E-2</v>
      </c>
      <c r="T4105" s="107">
        <v>0</v>
      </c>
      <c r="U4105" s="107" t="s">
        <v>0</v>
      </c>
      <c r="V4105" s="107">
        <v>11.315309864979142</v>
      </c>
      <c r="W4105" s="107" t="s">
        <v>15</v>
      </c>
      <c r="X4105" s="107">
        <v>4.2942420245424691</v>
      </c>
      <c r="Y4105" s="107"/>
      <c r="Z4105" s="107"/>
      <c r="AA4105" s="107"/>
      <c r="AB4105" s="107"/>
      <c r="AC4105" s="355"/>
      <c r="AD4105" s="355"/>
      <c r="AE4105" s="355"/>
      <c r="AF4105" s="94">
        <f t="shared" si="546"/>
        <v>42277</v>
      </c>
      <c r="AG4105" s="185">
        <f t="shared" si="542"/>
        <v>-2.7195573208405266E-2</v>
      </c>
      <c r="AH4105" s="339" t="str">
        <f>VLOOKUP(B4105,'MF PF'!A:B,2)</f>
        <v>FdMgt1</v>
      </c>
      <c r="AI4105" s="358">
        <f t="shared" si="547"/>
        <v>0</v>
      </c>
      <c r="AJ4105" s="94">
        <f t="shared" si="548"/>
        <v>42277</v>
      </c>
    </row>
    <row r="4106" spans="1:53" ht="12.75" customHeight="1">
      <c r="A4106" s="8">
        <v>42307</v>
      </c>
      <c r="B4106" s="94" t="s">
        <v>149</v>
      </c>
      <c r="C4106" s="6" t="s">
        <v>297</v>
      </c>
      <c r="D4106" s="98">
        <v>37114369.528997466</v>
      </c>
      <c r="E4106" s="95">
        <f t="shared" si="543"/>
        <v>323.17230000000006</v>
      </c>
      <c r="F4106" s="98"/>
      <c r="G4106" s="98">
        <v>0</v>
      </c>
      <c r="H4106" s="98">
        <v>-5.1054750755429268</v>
      </c>
      <c r="I4106" s="98">
        <v>0</v>
      </c>
      <c r="J4106" s="98"/>
      <c r="K4106" s="98">
        <v>114843.90688495722</v>
      </c>
      <c r="L4106" s="93">
        <f t="shared" si="544"/>
        <v>-5.1054750755429268</v>
      </c>
      <c r="M4106" s="95">
        <f t="shared" ca="1" si="545"/>
        <v>0</v>
      </c>
      <c r="N4106" s="95">
        <f ca="1">IF(P4106="Hedge Fund",IF(A4106=Summary!$AD$3,M4106-E4106,M4106),IF(A4106=Summary!$AD$3,L4106-D4106,L4106))</f>
        <v>0</v>
      </c>
      <c r="O4106" s="95"/>
      <c r="P4106" s="107" t="s">
        <v>139</v>
      </c>
      <c r="Q4106" s="107">
        <v>3.2927554008468501E-2</v>
      </c>
      <c r="R4106" s="107">
        <v>6.5405389999999994E-2</v>
      </c>
      <c r="S4106" s="107">
        <v>2.5373429999999999E-2</v>
      </c>
      <c r="T4106" s="107">
        <v>5.7687600000000004E-3</v>
      </c>
      <c r="U4106" s="107" t="s">
        <v>0</v>
      </c>
      <c r="V4106" s="107">
        <v>11.600957677692262</v>
      </c>
      <c r="W4106" s="107" t="s">
        <v>15</v>
      </c>
      <c r="X4106" s="107">
        <v>4.4026474377576896</v>
      </c>
      <c r="Y4106" s="107"/>
      <c r="Z4106" s="107"/>
      <c r="AA4106" s="107"/>
      <c r="AB4106" s="107"/>
      <c r="AC4106" s="355"/>
      <c r="AD4106" s="355"/>
      <c r="AE4106" s="355"/>
      <c r="AF4106" s="94">
        <f t="shared" si="546"/>
        <v>42307</v>
      </c>
      <c r="AG4106" s="185">
        <f t="shared" si="542"/>
        <v>2.5244365034774896E-2</v>
      </c>
      <c r="AH4106" s="339" t="str">
        <f>VLOOKUP(B4106,'MF PF'!A:B,2)</f>
        <v>FdMgt1</v>
      </c>
      <c r="AI4106" s="358">
        <f t="shared" si="547"/>
        <v>0</v>
      </c>
      <c r="AJ4106" s="94">
        <f t="shared" si="548"/>
        <v>42308</v>
      </c>
    </row>
    <row r="4107" spans="1:53" ht="12.75" customHeight="1">
      <c r="A4107" s="8">
        <v>42338</v>
      </c>
      <c r="B4107" s="94" t="s">
        <v>149</v>
      </c>
      <c r="C4107" s="6" t="s">
        <v>297</v>
      </c>
      <c r="D4107" s="98">
        <v>37012786.193273231</v>
      </c>
      <c r="E4107" s="95">
        <f t="shared" si="543"/>
        <v>322.2878</v>
      </c>
      <c r="F4107" s="98"/>
      <c r="G4107" s="98">
        <v>0</v>
      </c>
      <c r="H4107" s="98">
        <v>-3.900084488093853</v>
      </c>
      <c r="I4107" s="98">
        <v>0</v>
      </c>
      <c r="J4107" s="98"/>
      <c r="K4107" s="98">
        <v>114843.89478370956</v>
      </c>
      <c r="L4107" s="93">
        <f t="shared" si="544"/>
        <v>-3.900084488093853</v>
      </c>
      <c r="M4107" s="95">
        <f t="shared" ca="1" si="545"/>
        <v>0</v>
      </c>
      <c r="N4107" s="95">
        <f ca="1">IF(P4107="Hedge Fund",IF(A4107=Summary!$AD$3,M4107-E4107,M4107),IF(A4107=Summary!$AD$3,L4107-D4107,L4107))</f>
        <v>0</v>
      </c>
      <c r="O4107" s="95"/>
      <c r="P4107" s="107" t="s">
        <v>139</v>
      </c>
      <c r="Q4107" s="107">
        <v>3.4025157142084102E-2</v>
      </c>
      <c r="R4107" s="107">
        <v>5.4255879999999999E-2</v>
      </c>
      <c r="S4107" s="107">
        <v>2.621923E-2</v>
      </c>
      <c r="T4107" s="107">
        <v>3.7422750000000002E-3</v>
      </c>
      <c r="U4107" s="107" t="s">
        <v>0</v>
      </c>
      <c r="V4107" s="107">
        <v>11.569206667268661</v>
      </c>
      <c r="W4107" s="107" t="s">
        <v>15</v>
      </c>
      <c r="X4107" s="107">
        <v>4.3905976994023401</v>
      </c>
      <c r="Y4107" s="107"/>
      <c r="Z4107" s="107"/>
      <c r="AA4107" s="107"/>
      <c r="AB4107" s="107"/>
      <c r="AC4107" s="355"/>
      <c r="AD4107" s="355"/>
      <c r="AE4107" s="355"/>
      <c r="AF4107" s="94">
        <f t="shared" si="546"/>
        <v>42338</v>
      </c>
      <c r="AG4107" s="185">
        <f t="shared" si="542"/>
        <v>-2.7369301143693736E-3</v>
      </c>
      <c r="AH4107" s="339" t="str">
        <f>VLOOKUP(B4107,'MF PF'!A:B,2)</f>
        <v>FdMgt1</v>
      </c>
      <c r="AI4107" s="358">
        <f t="shared" si="547"/>
        <v>0</v>
      </c>
      <c r="AJ4107" s="94">
        <f t="shared" si="548"/>
        <v>42338</v>
      </c>
    </row>
    <row r="4108" spans="1:53" ht="12.75" customHeight="1">
      <c r="A4108" s="8">
        <v>42369</v>
      </c>
      <c r="B4108" s="94" t="s">
        <v>149</v>
      </c>
      <c r="C4108" s="6" t="s">
        <v>297</v>
      </c>
      <c r="D4108" s="98">
        <v>34971483.686761446</v>
      </c>
      <c r="E4108" s="95">
        <f t="shared" si="543"/>
        <v>304.51319999999998</v>
      </c>
      <c r="F4108" s="98"/>
      <c r="G4108" s="98">
        <v>1.7857107445597649</v>
      </c>
      <c r="H4108" s="98">
        <v>0</v>
      </c>
      <c r="I4108" s="98">
        <v>0</v>
      </c>
      <c r="J4108" s="98"/>
      <c r="K4108" s="98">
        <v>114843.90064785845</v>
      </c>
      <c r="L4108" s="93">
        <f t="shared" si="544"/>
        <v>1.7857107445597649</v>
      </c>
      <c r="M4108" s="95">
        <f t="shared" ca="1" si="545"/>
        <v>0</v>
      </c>
      <c r="N4108" s="95">
        <f ca="1">IF(P4108="Hedge Fund",IF(A4108=Summary!$AD$3,M4108-E4108,M4108),IF(A4108=Summary!$AD$3,L4108-D4108,L4108))</f>
        <v>0</v>
      </c>
      <c r="O4108" s="95"/>
      <c r="P4108" s="107" t="s">
        <v>139</v>
      </c>
      <c r="Q4108" s="107">
        <v>3.4025157142084102E-2</v>
      </c>
      <c r="R4108" s="107">
        <v>0</v>
      </c>
      <c r="S4108" s="107">
        <v>2.621923E-2</v>
      </c>
      <c r="T4108" s="107">
        <v>0</v>
      </c>
      <c r="U4108" s="107" t="s">
        <v>0</v>
      </c>
      <c r="V4108" s="107">
        <v>10.931149561700179</v>
      </c>
      <c r="W4108" s="107" t="s">
        <v>15</v>
      </c>
      <c r="X4108" s="107">
        <v>4.1484504078579603</v>
      </c>
      <c r="Y4108" s="107"/>
      <c r="Z4108" s="107"/>
      <c r="AA4108" s="107"/>
      <c r="AB4108" s="107"/>
      <c r="AC4108" s="355"/>
      <c r="AD4108" s="355"/>
      <c r="AE4108" s="355"/>
      <c r="AF4108" s="94">
        <f t="shared" si="546"/>
        <v>42369</v>
      </c>
      <c r="AG4108" s="185">
        <f t="shared" si="542"/>
        <v>-5.5151327478111356E-2</v>
      </c>
      <c r="AH4108" s="339" t="str">
        <f>VLOOKUP(B4108,'MF PF'!A:B,2)</f>
        <v>FdMgt1</v>
      </c>
      <c r="AI4108" s="358">
        <f t="shared" si="547"/>
        <v>0</v>
      </c>
      <c r="AJ4108" s="94">
        <f t="shared" si="548"/>
        <v>42369</v>
      </c>
    </row>
    <row r="4109" spans="1:53" ht="12.75" customHeight="1">
      <c r="A4109" s="94">
        <v>42398</v>
      </c>
      <c r="B4109" s="94" t="s">
        <v>149</v>
      </c>
      <c r="C4109" s="6" t="s">
        <v>297</v>
      </c>
      <c r="D4109" s="98">
        <v>34791574.441258118</v>
      </c>
      <c r="E4109" s="95">
        <f t="shared" si="543"/>
        <v>305.05109999999996</v>
      </c>
      <c r="F4109" s="98"/>
      <c r="G4109" s="98">
        <v>0</v>
      </c>
      <c r="H4109" s="98">
        <v>-241683.77966181189</v>
      </c>
      <c r="I4109" s="98">
        <v>0</v>
      </c>
      <c r="J4109" s="98"/>
      <c r="K4109" s="98">
        <v>114051.6275511156</v>
      </c>
      <c r="L4109" s="93">
        <f t="shared" si="544"/>
        <v>-241683.77966181189</v>
      </c>
      <c r="M4109" s="95">
        <f t="shared" ca="1" si="545"/>
        <v>0</v>
      </c>
      <c r="N4109" s="95">
        <f ca="1">IF(P4109="Hedge Fund",IF(A4109=Summary!$AD$3,M4109-E4109,M4109),IF(A4109=Summary!$AD$3,L4109-D4109,L4109))</f>
        <v>0</v>
      </c>
      <c r="O4109" s="95"/>
      <c r="P4109" s="107" t="s">
        <v>139</v>
      </c>
      <c r="Q4109" s="107">
        <v>3.1829970874852898E-2</v>
      </c>
      <c r="R4109" s="107">
        <v>0</v>
      </c>
      <c r="S4109" s="107">
        <v>2.4460619999999999E-2</v>
      </c>
      <c r="T4109" s="107">
        <v>0</v>
      </c>
      <c r="U4109" s="107" t="s">
        <v>0</v>
      </c>
      <c r="V4109" s="107">
        <v>10.950458627281701</v>
      </c>
      <c r="W4109" s="107" t="s">
        <v>15</v>
      </c>
      <c r="X4109" s="107">
        <v>4.1557783380573312</v>
      </c>
      <c r="Y4109" s="107"/>
      <c r="Z4109" s="107"/>
      <c r="AA4109" s="107"/>
      <c r="AB4109" s="107"/>
      <c r="AC4109" s="355"/>
      <c r="AD4109" s="355"/>
      <c r="AE4109" s="355"/>
      <c r="AF4109" s="94">
        <f t="shared" si="546"/>
        <v>42398</v>
      </c>
      <c r="AG4109" s="185">
        <f t="shared" si="542"/>
        <v>1.766425888926948E-3</v>
      </c>
      <c r="AH4109" s="339" t="str">
        <f>VLOOKUP(B4109,'MF PF'!A:B,2)</f>
        <v>FdMgt1</v>
      </c>
      <c r="AI4109" s="358">
        <f t="shared" si="547"/>
        <v>0</v>
      </c>
      <c r="AJ4109" s="94">
        <f t="shared" si="548"/>
        <v>42400</v>
      </c>
    </row>
    <row r="4110" spans="1:53" ht="12.75" customHeight="1">
      <c r="A4110" s="8">
        <v>42429</v>
      </c>
      <c r="B4110" s="94" t="s">
        <v>149</v>
      </c>
      <c r="C4110" s="6" t="s">
        <v>297</v>
      </c>
      <c r="D4110" s="98">
        <v>35720133.833626002</v>
      </c>
      <c r="E4110" s="95">
        <f t="shared" si="543"/>
        <v>313.1927</v>
      </c>
      <c r="F4110" s="98"/>
      <c r="G4110" s="98">
        <v>0</v>
      </c>
      <c r="H4110" s="98">
        <v>-3.3385022804141045</v>
      </c>
      <c r="I4110" s="98">
        <v>0</v>
      </c>
      <c r="J4110" s="98"/>
      <c r="K4110" s="98">
        <v>114051.61689153675</v>
      </c>
      <c r="L4110" s="93">
        <f t="shared" si="544"/>
        <v>-3.3385022804141045</v>
      </c>
      <c r="M4110" s="95">
        <f t="shared" ca="1" si="545"/>
        <v>0</v>
      </c>
      <c r="N4110" s="95">
        <f ca="1">IF(P4110="Hedge Fund",IF(A4110=Summary!$AD$3,M4110-E4110,M4110),IF(A4110=Summary!$AD$3,L4110-D4110,L4110))</f>
        <v>0</v>
      </c>
      <c r="O4110" s="95"/>
      <c r="P4110" s="107" t="s">
        <v>139</v>
      </c>
      <c r="Q4110" s="107">
        <v>3.3932166822023796E-2</v>
      </c>
      <c r="R4110" s="107">
        <v>0</v>
      </c>
      <c r="S4110" s="107">
        <v>2.6147569999999998E-2</v>
      </c>
      <c r="T4110" s="107">
        <v>0</v>
      </c>
      <c r="U4110" s="107" t="s">
        <v>0</v>
      </c>
      <c r="V4110" s="107">
        <v>11.24271869111978</v>
      </c>
      <c r="W4110" s="107" t="s">
        <v>15</v>
      </c>
      <c r="X4110" s="107">
        <v>4.2666931484518109</v>
      </c>
      <c r="Y4110" s="107"/>
      <c r="Z4110" s="107"/>
      <c r="AA4110" s="107"/>
      <c r="AB4110" s="107"/>
      <c r="AC4110" s="355"/>
      <c r="AD4110" s="355"/>
      <c r="AE4110" s="355"/>
      <c r="AF4110" s="94">
        <f t="shared" si="546"/>
        <v>42429</v>
      </c>
      <c r="AG4110" s="185">
        <f t="shared" si="542"/>
        <v>2.6689298940407058E-2</v>
      </c>
      <c r="AH4110" s="339" t="str">
        <f>VLOOKUP(B4110,'MF PF'!A:B,2)</f>
        <v>FdMgt1</v>
      </c>
      <c r="AI4110" s="358">
        <f t="shared" si="547"/>
        <v>0</v>
      </c>
      <c r="AJ4110" s="94">
        <f t="shared" si="548"/>
        <v>42429</v>
      </c>
    </row>
    <row r="4111" spans="1:53" ht="12.75" customHeight="1">
      <c r="A4111" s="8">
        <v>42460</v>
      </c>
      <c r="B4111" s="94" t="s">
        <v>149</v>
      </c>
      <c r="C4111" s="6" t="s">
        <v>297</v>
      </c>
      <c r="D4111" s="98">
        <v>36103572.701761097</v>
      </c>
      <c r="E4111" s="95">
        <f t="shared" si="543"/>
        <v>316.55470000000003</v>
      </c>
      <c r="F4111" s="98"/>
      <c r="G4111" s="98">
        <v>0</v>
      </c>
      <c r="H4111" s="98">
        <v>-2.6678542494773865</v>
      </c>
      <c r="I4111" s="98">
        <v>0</v>
      </c>
      <c r="J4111" s="98"/>
      <c r="K4111" s="98">
        <v>114051.60846375395</v>
      </c>
      <c r="L4111" s="93">
        <f t="shared" si="544"/>
        <v>-2.6678542494773865</v>
      </c>
      <c r="M4111" s="95">
        <f t="shared" ca="1" si="545"/>
        <v>0</v>
      </c>
      <c r="N4111" s="95">
        <f ca="1">IF(P4111="Hedge Fund",IF(A4111=Summary!$AD$3,M4111-E4111,M4111),IF(A4111=Summary!$AD$3,L4111-D4111,L4111))</f>
        <v>0</v>
      </c>
      <c r="O4111" s="95"/>
      <c r="P4111" s="107" t="s">
        <v>139</v>
      </c>
      <c r="Q4111" s="107">
        <v>3.3932170210001902E-2</v>
      </c>
      <c r="R4111" s="107">
        <v>3.6494600000000002E-3</v>
      </c>
      <c r="S4111" s="107">
        <v>2.6147569999999998E-2</v>
      </c>
      <c r="T4111" s="107">
        <v>0</v>
      </c>
      <c r="U4111" s="107" t="s">
        <v>0</v>
      </c>
      <c r="V4111" s="107">
        <v>11.363404838145382</v>
      </c>
      <c r="W4111" s="107" t="s">
        <v>15</v>
      </c>
      <c r="X4111" s="107">
        <v>4.312494415100411</v>
      </c>
      <c r="Y4111" s="107"/>
      <c r="Z4111" s="107"/>
      <c r="AA4111" s="107"/>
      <c r="AB4111" s="107"/>
      <c r="AC4111" s="355"/>
      <c r="AD4111" s="355"/>
      <c r="AE4111" s="355"/>
      <c r="AF4111" s="94">
        <f t="shared" si="546"/>
        <v>42460</v>
      </c>
      <c r="AG4111" s="185">
        <f t="shared" si="542"/>
        <v>1.0734605244630435E-2</v>
      </c>
      <c r="AH4111" s="339" t="str">
        <f>VLOOKUP(B4111,'MF PF'!A:B,2)</f>
        <v>FdMgt1</v>
      </c>
      <c r="AI4111" s="358">
        <f t="shared" si="547"/>
        <v>0</v>
      </c>
      <c r="AJ4111" s="94">
        <f t="shared" si="548"/>
        <v>42460</v>
      </c>
    </row>
    <row r="4112" spans="1:53" ht="12.75" customHeight="1">
      <c r="A4112" s="8">
        <v>42489</v>
      </c>
      <c r="B4112" s="94" t="s">
        <v>149</v>
      </c>
      <c r="C4112" s="6" t="s">
        <v>297</v>
      </c>
      <c r="D4112" s="98">
        <v>36784900.021408923</v>
      </c>
      <c r="E4112" s="95">
        <f t="shared" si="543"/>
        <v>322.52850000000001</v>
      </c>
      <c r="F4112" s="98"/>
      <c r="G4112" s="98">
        <v>5.8210070580244064</v>
      </c>
      <c r="H4112" s="98">
        <v>0</v>
      </c>
      <c r="I4112" s="98">
        <v>0</v>
      </c>
      <c r="J4112" s="98"/>
      <c r="K4112" s="98">
        <v>114051.62651179329</v>
      </c>
      <c r="L4112" s="93">
        <f t="shared" si="544"/>
        <v>5.8210070580244064</v>
      </c>
      <c r="M4112" s="95">
        <f t="shared" ca="1" si="545"/>
        <v>0</v>
      </c>
      <c r="N4112" s="95">
        <f ca="1">IF(P4112="Hedge Fund",IF(A4112=Summary!$AD$3,M4112-E4112,M4112),IF(A4112=Summary!$AD$3,L4112-D4112,L4112))</f>
        <v>0</v>
      </c>
      <c r="O4112" s="95"/>
      <c r="P4112" s="107" t="s">
        <v>139</v>
      </c>
      <c r="Q4112" s="107">
        <v>3.1742994123828701E-2</v>
      </c>
      <c r="R4112" s="107">
        <v>3.8861680000000003E-2</v>
      </c>
      <c r="S4112" s="107">
        <v>2.4460620000000002E-2</v>
      </c>
      <c r="T4112" s="107">
        <v>1.1289650000000002E-3</v>
      </c>
      <c r="U4112" s="107" t="s">
        <v>0</v>
      </c>
      <c r="V4112" s="107">
        <v>11.577847106170822</v>
      </c>
      <c r="W4112" s="107" t="s">
        <v>15</v>
      </c>
      <c r="X4112" s="107">
        <v>4.3938768085285504</v>
      </c>
      <c r="Y4112" s="107"/>
      <c r="Z4112" s="107"/>
      <c r="AA4112" s="107"/>
      <c r="AB4112" s="107"/>
      <c r="AC4112" s="355"/>
      <c r="AD4112" s="355"/>
      <c r="AE4112" s="355"/>
      <c r="AF4112" s="94">
        <f t="shared" si="546"/>
        <v>42489</v>
      </c>
      <c r="AG4112" s="185">
        <f t="shared" si="542"/>
        <v>1.887130407477744E-2</v>
      </c>
      <c r="AH4112" s="339" t="str">
        <f>VLOOKUP(B4112,'MF PF'!A:B,2)</f>
        <v>FdMgt1</v>
      </c>
      <c r="AI4112" s="358">
        <f t="shared" si="547"/>
        <v>0</v>
      </c>
      <c r="AJ4112" s="94">
        <f t="shared" si="548"/>
        <v>42490</v>
      </c>
    </row>
    <row r="4113" spans="1:36" ht="12.75" customHeight="1">
      <c r="A4113" s="94">
        <v>42521</v>
      </c>
      <c r="B4113" s="94" t="s">
        <v>149</v>
      </c>
      <c r="C4113" s="6" t="s">
        <v>297</v>
      </c>
      <c r="D4113" s="98">
        <v>37012590.620924376</v>
      </c>
      <c r="E4113" s="95">
        <f t="shared" si="543"/>
        <v>324.52489999999995</v>
      </c>
      <c r="F4113" s="98"/>
      <c r="G4113" s="98">
        <v>0</v>
      </c>
      <c r="H4113" s="98">
        <v>-2.0676526874303818</v>
      </c>
      <c r="I4113" s="98">
        <v>0</v>
      </c>
      <c r="J4113" s="98"/>
      <c r="K4113" s="98">
        <v>114051.62014047113</v>
      </c>
      <c r="L4113" s="93">
        <f t="shared" si="544"/>
        <v>-2.0676526874303818</v>
      </c>
      <c r="M4113" s="95">
        <f t="shared" ca="1" si="545"/>
        <v>0</v>
      </c>
      <c r="N4113" s="95">
        <f ca="1">IF(P4113="Hedge Fund",IF(A4113=Summary!$AD$3,M4113-E4113,M4113),IF(A4113=Summary!$AD$3,L4113-D4113,L4113))</f>
        <v>0</v>
      </c>
      <c r="O4113" s="95"/>
      <c r="P4113" s="107" t="s">
        <v>139</v>
      </c>
      <c r="Q4113" s="107">
        <v>3.5026773171121302E-2</v>
      </c>
      <c r="R4113" s="107">
        <v>5.0401090000000003E-2</v>
      </c>
      <c r="S4113" s="107">
        <v>2.6991049999999999E-2</v>
      </c>
      <c r="T4113" s="107">
        <v>2.1464699999999997E-3</v>
      </c>
      <c r="U4113" s="107" t="s">
        <v>0</v>
      </c>
      <c r="V4113" s="107">
        <v>11.649512134107141</v>
      </c>
      <c r="W4113" s="107" t="s">
        <v>15</v>
      </c>
      <c r="X4113" s="107">
        <v>4.4210742055354704</v>
      </c>
      <c r="Y4113" s="107"/>
      <c r="Z4113" s="107"/>
      <c r="AA4113" s="107"/>
      <c r="AB4113" s="107"/>
      <c r="AC4113" s="355"/>
      <c r="AD4113" s="355"/>
      <c r="AE4113" s="355"/>
      <c r="AF4113" s="94">
        <f t="shared" si="546"/>
        <v>42521</v>
      </c>
      <c r="AG4113" s="185">
        <f t="shared" si="542"/>
        <v>6.189840587730977E-3</v>
      </c>
      <c r="AH4113" s="339" t="str">
        <f>VLOOKUP(B4113,'MF PF'!A:B,2)</f>
        <v>FdMgt1</v>
      </c>
      <c r="AI4113" s="358">
        <f t="shared" si="547"/>
        <v>0</v>
      </c>
      <c r="AJ4113" s="94">
        <f t="shared" si="548"/>
        <v>42521</v>
      </c>
    </row>
    <row r="4114" spans="1:36" ht="12.75" customHeight="1">
      <c r="A4114" s="94">
        <v>42551</v>
      </c>
      <c r="B4114" s="94" t="s">
        <v>149</v>
      </c>
      <c r="C4114" s="6" t="s">
        <v>297</v>
      </c>
      <c r="D4114" s="98">
        <v>38510896.825249612</v>
      </c>
      <c r="E4114" s="95">
        <f t="shared" si="543"/>
        <v>337.66199999999998</v>
      </c>
      <c r="F4114" s="98"/>
      <c r="G4114" s="98">
        <v>0</v>
      </c>
      <c r="H4114" s="98">
        <v>-1.3346221521496773</v>
      </c>
      <c r="I4114" s="98">
        <v>0</v>
      </c>
      <c r="J4114" s="98"/>
      <c r="K4114" s="98">
        <v>114051.61618793235</v>
      </c>
      <c r="L4114" s="93">
        <f t="shared" si="544"/>
        <v>-1.3346221521496773</v>
      </c>
      <c r="M4114" s="95">
        <f t="shared" ca="1" si="545"/>
        <v>0</v>
      </c>
      <c r="N4114" s="95">
        <f ca="1">IF(P4114="Hedge Fund",IF(A4114=Summary!$AD$3,M4114-E4114,M4114),IF(A4114=Summary!$AD$3,L4114-D4114,L4114))</f>
        <v>0</v>
      </c>
      <c r="O4114" s="95"/>
      <c r="P4114" s="107" t="s">
        <v>139</v>
      </c>
      <c r="Q4114" s="107">
        <v>3.2837580000000005E-2</v>
      </c>
      <c r="R4114" s="107">
        <v>0.16328613</v>
      </c>
      <c r="S4114" s="107">
        <v>2.53041E-2</v>
      </c>
      <c r="T4114" s="107">
        <v>2.7337265000000003E-2</v>
      </c>
      <c r="U4114" s="107" t="s">
        <v>0</v>
      </c>
      <c r="V4114" s="107">
        <v>12.121096304865622</v>
      </c>
      <c r="W4114" s="107" t="s">
        <v>15</v>
      </c>
      <c r="X4114" s="107">
        <v>4.6000438129386003</v>
      </c>
      <c r="Y4114" s="107"/>
      <c r="Z4114" s="107"/>
      <c r="AA4114" s="107"/>
      <c r="AB4114" s="107"/>
      <c r="AC4114" s="355"/>
      <c r="AD4114" s="355"/>
      <c r="AE4114" s="355"/>
      <c r="AF4114" s="94">
        <f t="shared" si="546"/>
        <v>42551</v>
      </c>
      <c r="AG4114" s="185">
        <f t="shared" si="542"/>
        <v>4.0481023181888398E-2</v>
      </c>
      <c r="AH4114" s="339" t="str">
        <f>VLOOKUP(B4114,'MF PF'!A:B,2)</f>
        <v>FdMgt1</v>
      </c>
      <c r="AI4114" s="358">
        <f t="shared" si="547"/>
        <v>0</v>
      </c>
      <c r="AJ4114" s="94">
        <f t="shared" si="548"/>
        <v>42551</v>
      </c>
    </row>
    <row r="4115" spans="1:36" ht="12.75" customHeight="1">
      <c r="A4115" s="8">
        <v>42580</v>
      </c>
      <c r="B4115" s="94" t="s">
        <v>149</v>
      </c>
      <c r="C4115" s="6" t="s">
        <v>297</v>
      </c>
      <c r="D4115" s="98">
        <v>38525017.988930903</v>
      </c>
      <c r="E4115" s="95">
        <f t="shared" si="543"/>
        <v>339.91899999999993</v>
      </c>
      <c r="F4115" s="98"/>
      <c r="G4115" s="98">
        <v>0</v>
      </c>
      <c r="H4115" s="98">
        <v>-243293.33405486494</v>
      </c>
      <c r="I4115" s="98">
        <v>0</v>
      </c>
      <c r="J4115" s="98"/>
      <c r="K4115" s="98">
        <v>113335.87704403375</v>
      </c>
      <c r="L4115" s="93">
        <f t="shared" si="544"/>
        <v>-243293.33405486494</v>
      </c>
      <c r="M4115" s="95">
        <f t="shared" ca="1" si="545"/>
        <v>0</v>
      </c>
      <c r="N4115" s="95">
        <f ca="1">IF(P4115="Hedge Fund",IF(A4115=Summary!$AD$3,M4115-E4115,M4115),IF(A4115=Summary!$AD$3,L4115-D4115,L4115))</f>
        <v>0</v>
      </c>
      <c r="O4115" s="95"/>
      <c r="P4115" s="107" t="s">
        <v>139</v>
      </c>
      <c r="Q4115" s="107">
        <v>3.1742994123828701E-2</v>
      </c>
      <c r="R4115" s="107">
        <v>0.18237504999999998</v>
      </c>
      <c r="S4115" s="107">
        <v>2.4460619999999999E-2</v>
      </c>
      <c r="T4115" s="107">
        <v>3.3373980000000004E-2</v>
      </c>
      <c r="U4115" s="107" t="s">
        <v>0</v>
      </c>
      <c r="V4115" s="107">
        <v>12.202116124567222</v>
      </c>
      <c r="W4115" s="107" t="s">
        <v>15</v>
      </c>
      <c r="X4115" s="107">
        <v>4.6307914211557009</v>
      </c>
      <c r="Y4115" s="107"/>
      <c r="Z4115" s="107"/>
      <c r="AA4115" s="107"/>
      <c r="AB4115" s="107"/>
      <c r="AC4115" s="355"/>
      <c r="AD4115" s="355"/>
      <c r="AE4115" s="355"/>
      <c r="AF4115" s="94">
        <f t="shared" si="546"/>
        <v>42580</v>
      </c>
      <c r="AG4115" s="185">
        <f t="shared" si="542"/>
        <v>6.6841989918910993E-3</v>
      </c>
      <c r="AH4115" s="339" t="str">
        <f>VLOOKUP(B4115,'MF PF'!A:B,2)</f>
        <v>FdMgt1</v>
      </c>
      <c r="AI4115" s="358">
        <f t="shared" si="547"/>
        <v>0</v>
      </c>
      <c r="AJ4115" s="94">
        <f t="shared" si="548"/>
        <v>42582</v>
      </c>
    </row>
    <row r="4116" spans="1:36" s="358" customFormat="1" ht="12.75" customHeight="1">
      <c r="A4116" s="94">
        <v>42613</v>
      </c>
      <c r="B4116" s="94" t="s">
        <v>149</v>
      </c>
      <c r="C4116" s="358" t="s">
        <v>297</v>
      </c>
      <c r="D4116" s="98">
        <v>38278706.6967737</v>
      </c>
      <c r="E4116" s="95">
        <f t="shared" si="543"/>
        <v>337.7457</v>
      </c>
      <c r="F4116" s="98"/>
      <c r="G4116" s="98">
        <v>1.5694225877523422</v>
      </c>
      <c r="H4116" s="98">
        <v>0</v>
      </c>
      <c r="I4116" s="98">
        <v>0</v>
      </c>
      <c r="J4116" s="98"/>
      <c r="K4116" s="98">
        <v>113335.88169079192</v>
      </c>
      <c r="L4116" s="93">
        <f t="shared" si="544"/>
        <v>1.5694225877523422</v>
      </c>
      <c r="M4116" s="95">
        <f t="shared" ca="1" si="545"/>
        <v>0</v>
      </c>
      <c r="N4116" s="95">
        <f ca="1">IF(P4116="Hedge Fund",IF(A4116=Summary!$AD$3,M4116-E4116,M4116),IF(A4116=Summary!$AD$3,L4116-D4116,L4116))</f>
        <v>0</v>
      </c>
      <c r="O4116" s="95"/>
      <c r="P4116" s="107" t="s">
        <v>139</v>
      </c>
      <c r="Q4116" s="107">
        <v>3.6121359520218901E-2</v>
      </c>
      <c r="R4116" s="107">
        <v>0.15119221999999999</v>
      </c>
      <c r="S4116" s="107">
        <v>2.783453E-2</v>
      </c>
      <c r="T4116" s="107">
        <v>2.1504810000000003E-2</v>
      </c>
      <c r="U4116" s="107" t="s">
        <v>0</v>
      </c>
      <c r="V4116" s="107">
        <v>12.124100894546183</v>
      </c>
      <c r="W4116" s="107" t="s">
        <v>15</v>
      </c>
      <c r="X4116" s="107">
        <v>4.6011840764777112</v>
      </c>
      <c r="Y4116" s="107"/>
      <c r="Z4116" s="107"/>
      <c r="AA4116" s="107"/>
      <c r="AB4116" s="107"/>
      <c r="AF4116" s="94">
        <f t="shared" si="546"/>
        <v>42613</v>
      </c>
      <c r="AG4116" s="185">
        <f t="shared" si="542"/>
        <v>-6.3935820004175081E-3</v>
      </c>
      <c r="AH4116" s="339" t="str">
        <f>VLOOKUP(B4116,'MF PF'!A:B,2)</f>
        <v>FdMgt1</v>
      </c>
      <c r="AI4116" s="358">
        <f t="shared" si="547"/>
        <v>0</v>
      </c>
      <c r="AJ4116" s="94">
        <f t="shared" si="548"/>
        <v>42613</v>
      </c>
    </row>
    <row r="4117" spans="1:36" ht="12.75" customHeight="1">
      <c r="A4117" s="94">
        <v>42643</v>
      </c>
      <c r="B4117" s="94" t="s">
        <v>149</v>
      </c>
      <c r="C4117" s="6" t="s">
        <v>297</v>
      </c>
      <c r="D4117" s="98">
        <v>40167494.279139601</v>
      </c>
      <c r="E4117" s="95">
        <f t="shared" si="543"/>
        <v>354.41109999999998</v>
      </c>
      <c r="F4117" s="98"/>
      <c r="G4117" s="98">
        <v>0</v>
      </c>
      <c r="H4117" s="98">
        <v>-0.22036382555961609</v>
      </c>
      <c r="I4117" s="98">
        <v>0</v>
      </c>
      <c r="J4117" s="98"/>
      <c r="K4117" s="98">
        <v>113335.88106901731</v>
      </c>
      <c r="L4117" s="93">
        <f t="shared" si="544"/>
        <v>-0.22036382555961609</v>
      </c>
      <c r="M4117" s="95">
        <f t="shared" ca="1" si="545"/>
        <v>0</v>
      </c>
      <c r="N4117" s="95">
        <f ca="1">IF(P4117="Hedge Fund",IF(A4117=Summary!$AD$3,M4117-E4117,M4117),IF(A4117=Summary!$AD$3,L4117-D4117,L4117))</f>
        <v>0</v>
      </c>
      <c r="O4117" s="95"/>
      <c r="P4117" s="107" t="s">
        <v>139</v>
      </c>
      <c r="Q4117" s="107">
        <v>3.2837580000000005E-2</v>
      </c>
      <c r="R4117" s="107">
        <v>0.33582352000000004</v>
      </c>
      <c r="S4117" s="107">
        <v>2.53041E-2</v>
      </c>
      <c r="T4117" s="107">
        <v>8.7469094999999997E-2</v>
      </c>
      <c r="U4117" s="107" t="s">
        <v>0</v>
      </c>
      <c r="V4117" s="107">
        <v>12.722340904849704</v>
      </c>
      <c r="W4117" s="107" t="s">
        <v>15</v>
      </c>
      <c r="X4117" s="107">
        <v>4.8282204920653315</v>
      </c>
      <c r="Y4117" s="107"/>
      <c r="Z4117" s="107"/>
      <c r="AA4117" s="107"/>
      <c r="AB4117" s="107"/>
      <c r="AC4117" s="355"/>
      <c r="AD4117" s="355"/>
      <c r="AE4117" s="355"/>
      <c r="AF4117" s="94">
        <f t="shared" si="546"/>
        <v>42643</v>
      </c>
      <c r="AG4117" s="185">
        <f t="shared" si="542"/>
        <v>4.9343041228948392E-2</v>
      </c>
      <c r="AH4117" s="339" t="str">
        <f>VLOOKUP(B4117,'MF PF'!A:B,2)</f>
        <v>FdMgt1</v>
      </c>
      <c r="AI4117" s="358">
        <f t="shared" si="547"/>
        <v>0</v>
      </c>
      <c r="AJ4117" s="94">
        <f t="shared" si="548"/>
        <v>42643</v>
      </c>
    </row>
    <row r="4118" spans="1:36" ht="12.75" customHeight="1">
      <c r="A4118" s="8">
        <v>42674</v>
      </c>
      <c r="B4118" s="94" t="s">
        <v>149</v>
      </c>
      <c r="C4118" s="6" t="s">
        <v>297</v>
      </c>
      <c r="D4118" s="98">
        <v>40978146.452339955</v>
      </c>
      <c r="E4118" s="95">
        <f t="shared" si="543"/>
        <v>361.56369999999998</v>
      </c>
      <c r="F4118" s="98"/>
      <c r="G4118" s="98">
        <v>5.9502661004662514</v>
      </c>
      <c r="H4118" s="98">
        <v>0</v>
      </c>
      <c r="I4118" s="98">
        <v>0</v>
      </c>
      <c r="J4118" s="98"/>
      <c r="K4118" s="98">
        <v>113335.89752605131</v>
      </c>
      <c r="L4118" s="93">
        <f t="shared" si="544"/>
        <v>5.9502661004662514</v>
      </c>
      <c r="M4118" s="95">
        <f t="shared" ca="1" si="545"/>
        <v>0</v>
      </c>
      <c r="N4118" s="95">
        <f ca="1">IF(P4118="Hedge Fund",IF(A4118=Summary!$AD$3,M4118-E4118,M4118),IF(A4118=Summary!$AD$3,L4118-D4118,L4118))</f>
        <v>0</v>
      </c>
      <c r="O4118" s="95"/>
      <c r="P4118" s="107" t="s">
        <v>139</v>
      </c>
      <c r="Q4118" s="107">
        <v>3.3931999999999997E-2</v>
      </c>
      <c r="R4118" s="107">
        <v>0.416186</v>
      </c>
      <c r="S4118" s="107">
        <v>2.6147569999999998E-2</v>
      </c>
      <c r="T4118" s="107">
        <v>0.11862433999999999</v>
      </c>
      <c r="U4118" s="107" t="s">
        <v>0</v>
      </c>
      <c r="V4118" s="107">
        <v>12.979098708304583</v>
      </c>
      <c r="W4118" s="107" t="s">
        <v>15</v>
      </c>
      <c r="X4118" s="107">
        <v>4.9256619375831123</v>
      </c>
      <c r="Y4118" s="107"/>
      <c r="Z4118" s="107"/>
      <c r="AA4118" s="107"/>
      <c r="AB4118" s="107"/>
      <c r="AC4118" s="355"/>
      <c r="AD4118" s="355"/>
      <c r="AE4118" s="355"/>
      <c r="AF4118" s="94">
        <f t="shared" si="546"/>
        <v>42674</v>
      </c>
      <c r="AG4118" s="185">
        <f t="shared" si="542"/>
        <v>2.0181647809563552E-2</v>
      </c>
      <c r="AH4118" s="339" t="str">
        <f>VLOOKUP(B4118,'MF PF'!A:B,2)</f>
        <v>FdMgt1</v>
      </c>
      <c r="AI4118" s="358">
        <f t="shared" si="547"/>
        <v>0</v>
      </c>
      <c r="AJ4118" s="94">
        <f t="shared" si="548"/>
        <v>42674</v>
      </c>
    </row>
    <row r="4119" spans="1:36" ht="12.75" customHeight="1">
      <c r="A4119" s="8">
        <v>42704</v>
      </c>
      <c r="B4119" s="94" t="s">
        <v>149</v>
      </c>
      <c r="C4119" s="6" t="s">
        <v>297</v>
      </c>
      <c r="D4119" s="98">
        <v>40860433.568360403</v>
      </c>
      <c r="E4119" s="95">
        <f t="shared" si="543"/>
        <v>360.52509999999995</v>
      </c>
      <c r="F4119" s="98"/>
      <c r="G4119" s="98">
        <v>0</v>
      </c>
      <c r="H4119" s="98">
        <v>-2.2208089902997017</v>
      </c>
      <c r="I4119" s="98">
        <v>0</v>
      </c>
      <c r="J4119" s="98"/>
      <c r="K4119" s="98">
        <v>113335.89136612238</v>
      </c>
      <c r="L4119" s="93">
        <f t="shared" si="544"/>
        <v>-2.2208089902997017</v>
      </c>
      <c r="M4119" s="95">
        <f t="shared" ca="1" si="545"/>
        <v>0</v>
      </c>
      <c r="N4119" s="95">
        <f ca="1">IF(P4119="Hedge Fund",IF(A4119=Summary!$AD$3,M4119-E4119,M4119),IF(A4119=Summary!$AD$3,L4119-D4119,L4119))</f>
        <v>0</v>
      </c>
      <c r="O4119" s="95"/>
      <c r="P4119" s="107" t="s">
        <v>139</v>
      </c>
      <c r="Q4119" s="107">
        <v>5.5823913803974605E-2</v>
      </c>
      <c r="R4119" s="107">
        <v>0.38452260999999999</v>
      </c>
      <c r="S4119" s="107">
        <v>2.53041E-2</v>
      </c>
      <c r="T4119" s="107">
        <v>0.10904601</v>
      </c>
      <c r="U4119" s="107" t="s">
        <v>0</v>
      </c>
      <c r="V4119" s="107">
        <v>12.941815950332904</v>
      </c>
      <c r="W4119" s="107" t="s">
        <v>15</v>
      </c>
      <c r="X4119" s="107">
        <v>4.9115128609795331</v>
      </c>
      <c r="Y4119" s="107"/>
      <c r="Z4119" s="107"/>
      <c r="AA4119" s="107"/>
      <c r="AB4119" s="107"/>
      <c r="AC4119" s="355"/>
      <c r="AD4119" s="355"/>
      <c r="AE4119" s="355"/>
      <c r="AF4119" s="94">
        <f t="shared" si="546"/>
        <v>42704</v>
      </c>
      <c r="AG4119" s="185">
        <f t="shared" si="542"/>
        <v>-2.8725228777115586E-3</v>
      </c>
      <c r="AH4119" s="339" t="str">
        <f>VLOOKUP(B4119,'MF PF'!A:B,2)</f>
        <v>FdMgt1</v>
      </c>
      <c r="AI4119" s="358">
        <f t="shared" si="547"/>
        <v>0</v>
      </c>
      <c r="AJ4119" s="94">
        <f t="shared" si="548"/>
        <v>42704</v>
      </c>
    </row>
    <row r="4120" spans="1:36" ht="12.75" customHeight="1">
      <c r="A4120" s="8">
        <v>42734</v>
      </c>
      <c r="B4120" s="94" t="s">
        <v>149</v>
      </c>
      <c r="C4120" s="6" t="s">
        <v>297</v>
      </c>
      <c r="D4120" s="98">
        <v>39606680.615125783</v>
      </c>
      <c r="E4120" s="95">
        <f t="shared" si="543"/>
        <v>360.03649999999999</v>
      </c>
      <c r="F4120" s="98"/>
      <c r="G4120" s="98">
        <v>0</v>
      </c>
      <c r="H4120" s="98">
        <v>-1198377.0367131382</v>
      </c>
      <c r="I4120" s="98">
        <v>0</v>
      </c>
      <c r="J4120" s="98"/>
      <c r="K4120" s="98">
        <v>110007.40373580396</v>
      </c>
      <c r="L4120" s="93">
        <f t="shared" si="544"/>
        <v>-1198377.0367131382</v>
      </c>
      <c r="M4120" s="95">
        <f t="shared" ca="1" si="545"/>
        <v>0</v>
      </c>
      <c r="N4120" s="95">
        <f ca="1">IF(P4120="Hedge Fund",IF(A4120=Summary!$AD$3,M4120-E4120,M4120),IF(A4120=Summary!$AD$3,L4120-D4120,L4120))</f>
        <v>0</v>
      </c>
      <c r="O4120" s="95"/>
      <c r="P4120" s="107" t="s">
        <v>139</v>
      </c>
      <c r="Q4120" s="107">
        <v>3.2837580472926203E-2</v>
      </c>
      <c r="R4120" s="107">
        <v>0.38246409000000003</v>
      </c>
      <c r="S4120" s="107">
        <v>2.53041E-2</v>
      </c>
      <c r="T4120" s="107">
        <v>0.10286745</v>
      </c>
      <c r="U4120" s="107" t="s">
        <v>0</v>
      </c>
      <c r="V4120" s="107">
        <v>12.924276613201224</v>
      </c>
      <c r="W4120" s="107" t="s">
        <v>15</v>
      </c>
      <c r="X4120" s="108">
        <v>0</v>
      </c>
      <c r="Y4120" s="107"/>
      <c r="Z4120" s="107"/>
      <c r="AA4120" s="107"/>
      <c r="AB4120" s="107"/>
      <c r="AC4120" s="355"/>
      <c r="AD4120" s="355"/>
      <c r="AE4120" s="355"/>
      <c r="AF4120" s="94">
        <f t="shared" si="546"/>
        <v>42734</v>
      </c>
      <c r="AG4120" s="185">
        <f t="shared" si="542"/>
        <v>-1.3552454461560615E-3</v>
      </c>
      <c r="AH4120" s="339" t="str">
        <f>VLOOKUP(B4120,'MF PF'!A:B,2)</f>
        <v>FdMgt1</v>
      </c>
      <c r="AI4120" s="358">
        <f t="shared" si="547"/>
        <v>0</v>
      </c>
      <c r="AJ4120" s="94">
        <f t="shared" si="548"/>
        <v>42735</v>
      </c>
    </row>
    <row r="4121" spans="1:36" ht="12.75" customHeight="1">
      <c r="A4121" s="8">
        <v>42762</v>
      </c>
      <c r="B4121" s="94" t="s">
        <v>149</v>
      </c>
      <c r="C4121" s="6" t="s">
        <v>297</v>
      </c>
      <c r="D4121" s="98">
        <v>39296709.031208202</v>
      </c>
      <c r="E4121" s="95">
        <f t="shared" si="543"/>
        <v>357.21870000000001</v>
      </c>
      <c r="F4121" s="98"/>
      <c r="G4121" s="98">
        <v>7.2783291637897491</v>
      </c>
      <c r="H4121" s="98">
        <v>0</v>
      </c>
      <c r="I4121" s="98">
        <v>0</v>
      </c>
      <c r="J4121" s="98"/>
      <c r="K4121" s="98">
        <v>110007.42411079879</v>
      </c>
      <c r="L4121" s="93">
        <f t="shared" si="544"/>
        <v>7.2783291637897491</v>
      </c>
      <c r="M4121" s="95">
        <f t="shared" ca="1" si="545"/>
        <v>0</v>
      </c>
      <c r="N4121" s="95">
        <f ca="1">IF(P4121="Hedge Fund",IF(A4121=Summary!$AD$3,M4121-E4121,M4121),IF(A4121=Summary!$AD$3,L4121-D4121,L4121))</f>
        <v>0</v>
      </c>
      <c r="O4121" s="95"/>
      <c r="P4121" s="107" t="s">
        <v>139</v>
      </c>
      <c r="Q4121" s="107">
        <v>3.1742989999999999E-2</v>
      </c>
      <c r="R4121" s="107">
        <v>0</v>
      </c>
      <c r="S4121" s="107">
        <v>2.4460619999999999E-2</v>
      </c>
      <c r="T4121" s="107">
        <v>0</v>
      </c>
      <c r="U4121" s="107" t="s">
        <v>0</v>
      </c>
      <c r="V4121" s="107">
        <v>12.823125683668584</v>
      </c>
      <c r="W4121" s="107" t="s">
        <v>15</v>
      </c>
      <c r="X4121" s="108">
        <v>0</v>
      </c>
      <c r="Y4121" s="107"/>
      <c r="Z4121" s="107"/>
      <c r="AA4121" s="107"/>
      <c r="AB4121" s="107"/>
      <c r="AC4121" s="355"/>
      <c r="AD4121" s="355"/>
      <c r="AE4121" s="355"/>
      <c r="AF4121" s="94">
        <f t="shared" si="546"/>
        <v>42762</v>
      </c>
      <c r="AG4121" s="185">
        <f t="shared" si="542"/>
        <v>-7.8264287093112728E-3</v>
      </c>
      <c r="AH4121" s="339" t="str">
        <f>VLOOKUP(B4121,'MF PF'!A:B,2)</f>
        <v>FdMgt1</v>
      </c>
      <c r="AI4121" s="358">
        <f t="shared" si="547"/>
        <v>0</v>
      </c>
      <c r="AJ4121" s="94">
        <f t="shared" si="548"/>
        <v>42766</v>
      </c>
    </row>
    <row r="4122" spans="1:36" ht="12.75" customHeight="1">
      <c r="A4122" s="94">
        <v>42794</v>
      </c>
      <c r="B4122" s="94" t="s">
        <v>149</v>
      </c>
      <c r="C4122" s="6" t="s">
        <v>297</v>
      </c>
      <c r="D4122" s="98">
        <v>39990175.47273083</v>
      </c>
      <c r="E4122" s="95">
        <f t="shared" ref="E4122:E4134" si="549">IF(K4122="","",D4122/K4122)</f>
        <v>369.30579999999992</v>
      </c>
      <c r="F4122" s="98"/>
      <c r="G4122" s="98">
        <v>0</v>
      </c>
      <c r="H4122" s="98">
        <v>-636204.29444699734</v>
      </c>
      <c r="I4122" s="98">
        <v>0</v>
      </c>
      <c r="J4122" s="98"/>
      <c r="K4122" s="98">
        <v>108284.72088099032</v>
      </c>
      <c r="L4122" s="93">
        <f t="shared" si="544"/>
        <v>-636204.29444699734</v>
      </c>
      <c r="M4122" s="95">
        <f t="shared" ca="1" si="545"/>
        <v>0</v>
      </c>
      <c r="N4122" s="95">
        <f ca="1">IF(P4122="Hedge Fund",IF(A4122=Summary!$AD$3,M4122-E4122,M4122),IF(A4122=Summary!$AD$3,L4122-D4122,L4122))</f>
        <v>0</v>
      </c>
      <c r="O4122" s="95"/>
      <c r="P4122" s="107" t="s">
        <v>139</v>
      </c>
      <c r="Q4122" s="107">
        <v>3.5122730275699697E-2</v>
      </c>
      <c r="R4122" s="107">
        <v>9.6379080000000006E-2</v>
      </c>
      <c r="S4122" s="107">
        <v>2.7064999999999999E-2</v>
      </c>
      <c r="T4122" s="107">
        <v>3.8411020000000004E-2</v>
      </c>
      <c r="U4122" s="107" t="s">
        <v>0</v>
      </c>
      <c r="V4122" s="107">
        <v>13.257017869187063</v>
      </c>
      <c r="W4122" s="107" t="s">
        <v>15</v>
      </c>
      <c r="X4122" s="108">
        <v>0</v>
      </c>
      <c r="Y4122" s="107"/>
      <c r="Z4122" s="107"/>
      <c r="AA4122" s="107"/>
      <c r="AB4122" s="107"/>
      <c r="AC4122" s="355"/>
      <c r="AD4122" s="355"/>
      <c r="AE4122" s="355"/>
      <c r="AF4122" s="94">
        <f t="shared" si="546"/>
        <v>42794</v>
      </c>
      <c r="AG4122" s="185">
        <f t="shared" si="542"/>
        <v>3.3836694439568493E-2</v>
      </c>
      <c r="AH4122" s="339" t="str">
        <f>VLOOKUP(B4122,'MF PF'!A:B,2)</f>
        <v>FdMgt1</v>
      </c>
      <c r="AI4122" s="358">
        <f t="shared" si="547"/>
        <v>0</v>
      </c>
      <c r="AJ4122" s="94">
        <f t="shared" si="548"/>
        <v>42794</v>
      </c>
    </row>
    <row r="4123" spans="1:36" ht="12.75" customHeight="1">
      <c r="A4123" s="8">
        <v>42825</v>
      </c>
      <c r="B4123" s="94" t="s">
        <v>149</v>
      </c>
      <c r="C4123" s="6" t="s">
        <v>297</v>
      </c>
      <c r="D4123" s="98">
        <v>39677061.627127267</v>
      </c>
      <c r="E4123" s="95">
        <f t="shared" si="549"/>
        <v>366.41419999999999</v>
      </c>
      <c r="F4123" s="98"/>
      <c r="G4123" s="98">
        <v>2.2532959058880806</v>
      </c>
      <c r="H4123" s="98">
        <v>0</v>
      </c>
      <c r="I4123" s="98">
        <v>0</v>
      </c>
      <c r="J4123" s="98"/>
      <c r="K4123" s="98">
        <v>108284.72703057705</v>
      </c>
      <c r="L4123" s="93">
        <f t="shared" si="544"/>
        <v>2.2532959058880806</v>
      </c>
      <c r="M4123" s="95">
        <f t="shared" ca="1" si="545"/>
        <v>0</v>
      </c>
      <c r="N4123" s="95">
        <f ca="1">IF(P4123="Hedge Fund",IF(A4123=Summary!$AD$3,M4123-E4123,M4123),IF(A4123=Summary!$AD$3,L4123-D4123,L4123))</f>
        <v>0</v>
      </c>
      <c r="O4123" s="95"/>
      <c r="P4123" s="107" t="s">
        <v>139</v>
      </c>
      <c r="Q4123" s="107">
        <v>3.4025157142084102E-2</v>
      </c>
      <c r="R4123" s="107">
        <v>5.2839410000000003E-2</v>
      </c>
      <c r="S4123" s="107">
        <v>2.621923E-2</v>
      </c>
      <c r="T4123" s="107">
        <v>1.9086499999999999E-2</v>
      </c>
      <c r="U4123" s="107" t="s">
        <v>0</v>
      </c>
      <c r="V4123" s="107">
        <v>13.153217731548985</v>
      </c>
      <c r="W4123" s="107" t="s">
        <v>15</v>
      </c>
      <c r="X4123" s="108">
        <v>0</v>
      </c>
      <c r="Y4123" s="107"/>
      <c r="Z4123" s="107"/>
      <c r="AA4123" s="107"/>
      <c r="AB4123" s="107"/>
      <c r="AC4123" s="355"/>
      <c r="AD4123" s="355"/>
      <c r="AE4123" s="355"/>
      <c r="AF4123" s="94">
        <f t="shared" si="546"/>
        <v>42825</v>
      </c>
      <c r="AG4123" s="185">
        <f t="shared" si="542"/>
        <v>-7.8298255808599837E-3</v>
      </c>
      <c r="AH4123" s="339" t="str">
        <f>VLOOKUP(B4123,'MF PF'!A:B,2)</f>
        <v>FdMgt1</v>
      </c>
      <c r="AI4123" s="358">
        <f t="shared" si="547"/>
        <v>0</v>
      </c>
      <c r="AJ4123" s="94">
        <f t="shared" si="548"/>
        <v>42825</v>
      </c>
    </row>
    <row r="4124" spans="1:36" ht="12.75" customHeight="1">
      <c r="A4124" s="8">
        <v>42853</v>
      </c>
      <c r="B4124" s="94" t="s">
        <v>149</v>
      </c>
      <c r="C4124" s="6" t="s">
        <v>297</v>
      </c>
      <c r="D4124" s="98">
        <v>39535342.370000005</v>
      </c>
      <c r="E4124" s="95">
        <f t="shared" si="549"/>
        <v>365.10550000000006</v>
      </c>
      <c r="F4124" s="98"/>
      <c r="G4124" s="98">
        <v>0</v>
      </c>
      <c r="H4124" s="98">
        <v>-7.0348623543977737</v>
      </c>
      <c r="I4124" s="98">
        <v>0</v>
      </c>
      <c r="J4124" s="98"/>
      <c r="K4124" s="98">
        <v>108284.70776255082</v>
      </c>
      <c r="L4124" s="93">
        <f t="shared" si="544"/>
        <v>-7.0348623543977737</v>
      </c>
      <c r="M4124" s="95">
        <f t="shared" ca="1" si="545"/>
        <v>0</v>
      </c>
      <c r="N4124" s="95">
        <f ca="1">IF(P4124="Hedge Fund",IF(A4124=Summary!$AD$3,M4124-E4124,M4124),IF(A4124=Summary!$AD$3,L4124-D4124,L4124))</f>
        <v>0</v>
      </c>
      <c r="O4124" s="95"/>
      <c r="P4124" s="107" t="s">
        <v>139</v>
      </c>
      <c r="Q4124" s="107">
        <v>3.073238E-2</v>
      </c>
      <c r="R4124" s="107">
        <v>3.0317409999999999E-2</v>
      </c>
      <c r="S4124" s="107">
        <v>2.3681859999999999E-2</v>
      </c>
      <c r="T4124" s="107">
        <v>9.0461199999999995E-3</v>
      </c>
      <c r="U4124" s="107" t="s">
        <v>0</v>
      </c>
      <c r="V4124" s="107">
        <v>13.106239159088425</v>
      </c>
      <c r="W4124" s="107" t="s">
        <v>15</v>
      </c>
      <c r="X4124" s="108">
        <v>0</v>
      </c>
      <c r="Y4124" s="107"/>
      <c r="Z4124" s="107"/>
      <c r="AA4124" s="107"/>
      <c r="AB4124" s="107"/>
      <c r="AC4124" s="355"/>
      <c r="AD4124" s="355"/>
      <c r="AE4124" s="355"/>
      <c r="AF4124" s="94">
        <f t="shared" si="546"/>
        <v>42853</v>
      </c>
      <c r="AG4124" s="185">
        <f t="shared" si="542"/>
        <v>-3.5716410553955358E-3</v>
      </c>
      <c r="AH4124" s="339" t="str">
        <f>VLOOKUP(B4124,'MF PF'!A:B,2)</f>
        <v>FdMgt1</v>
      </c>
      <c r="AI4124" s="358">
        <f t="shared" si="547"/>
        <v>0</v>
      </c>
      <c r="AJ4124" s="94">
        <f t="shared" si="548"/>
        <v>42855</v>
      </c>
    </row>
    <row r="4125" spans="1:36" ht="12.75" customHeight="1">
      <c r="A4125" s="94">
        <v>42886</v>
      </c>
      <c r="B4125" s="94" t="s">
        <v>149</v>
      </c>
      <c r="C4125" s="6" t="s">
        <v>297</v>
      </c>
      <c r="D4125" s="98">
        <v>37875996.793296397</v>
      </c>
      <c r="E4125" s="95">
        <f t="shared" si="549"/>
        <v>349.78149999999999</v>
      </c>
      <c r="F4125" s="98"/>
      <c r="G4125" s="98">
        <v>9.2850497290492058</v>
      </c>
      <c r="H4125" s="98">
        <v>0</v>
      </c>
      <c r="I4125" s="98">
        <v>0</v>
      </c>
      <c r="J4125" s="98"/>
      <c r="K4125" s="98">
        <v>108284.73430783617</v>
      </c>
      <c r="L4125" s="93">
        <f t="shared" si="544"/>
        <v>9.2850497290492058</v>
      </c>
      <c r="M4125" s="95">
        <f t="shared" ca="1" si="545"/>
        <v>0</v>
      </c>
      <c r="N4125" s="95">
        <f ca="1">IF(P4125="Hedge Fund",IF(A4125=Summary!$AD$3,M4125-E4125,M4125),IF(A4125=Summary!$AD$3,L4125-D4125,L4125))</f>
        <v>0</v>
      </c>
      <c r="O4125" s="95"/>
      <c r="P4125" s="107" t="s">
        <v>139</v>
      </c>
      <c r="Q4125" s="107">
        <v>3.6220313409315301E-2</v>
      </c>
      <c r="R4125" s="107">
        <v>2.7910770000000001E-2</v>
      </c>
      <c r="S4125" s="107">
        <v>0</v>
      </c>
      <c r="T4125" s="107">
        <v>0</v>
      </c>
      <c r="U4125" s="107" t="s">
        <v>0</v>
      </c>
      <c r="V4125" s="107">
        <v>12.556151557357223</v>
      </c>
      <c r="W4125" s="107" t="s">
        <v>15</v>
      </c>
      <c r="X4125" s="108">
        <v>0</v>
      </c>
      <c r="Y4125" s="107"/>
      <c r="Z4125" s="107"/>
      <c r="AA4125" s="107"/>
      <c r="AB4125" s="107"/>
      <c r="AC4125" s="355"/>
      <c r="AD4125" s="355"/>
      <c r="AE4125" s="355"/>
      <c r="AF4125" s="94">
        <f t="shared" si="546"/>
        <v>42886</v>
      </c>
      <c r="AG4125" s="185">
        <f t="shared" si="542"/>
        <v>-4.1971430175661739E-2</v>
      </c>
      <c r="AH4125" s="339" t="str">
        <f>VLOOKUP(B4125,'MF PF'!A:B,2)</f>
        <v>FdMgt1</v>
      </c>
      <c r="AI4125" s="358">
        <f t="shared" si="547"/>
        <v>0</v>
      </c>
      <c r="AJ4125" s="94">
        <f t="shared" si="548"/>
        <v>42886</v>
      </c>
    </row>
    <row r="4126" spans="1:36" ht="12.75" customHeight="1">
      <c r="A4126" s="94">
        <v>42916</v>
      </c>
      <c r="B4126" s="94" t="s">
        <v>149</v>
      </c>
      <c r="C4126" s="6" t="s">
        <v>297</v>
      </c>
      <c r="D4126" s="98">
        <v>37808882.209424123</v>
      </c>
      <c r="E4126" s="95">
        <f t="shared" si="549"/>
        <v>349.16180000000003</v>
      </c>
      <c r="F4126" s="98"/>
      <c r="G4126" s="98">
        <v>0</v>
      </c>
      <c r="H4126" s="98">
        <v>-10.534021712839603</v>
      </c>
      <c r="I4126" s="98">
        <v>0</v>
      </c>
      <c r="J4126" s="98"/>
      <c r="K4126" s="98">
        <v>108284.70413837975</v>
      </c>
      <c r="L4126" s="93">
        <f t="shared" si="544"/>
        <v>-10.534021712839603</v>
      </c>
      <c r="M4126" s="95">
        <f t="shared" ca="1" si="545"/>
        <v>0</v>
      </c>
      <c r="N4126" s="95">
        <f ca="1">IF(P4126="Hedge Fund",IF(A4126=Summary!$AD$3,M4126-E4126,M4126),IF(A4126=Summary!$AD$3,L4126-D4126,L4126))</f>
        <v>0</v>
      </c>
      <c r="O4126" s="95"/>
      <c r="P4126" s="107" t="s">
        <v>139</v>
      </c>
      <c r="Q4126" s="107">
        <v>3.2927554008468501E-2</v>
      </c>
      <c r="R4126" s="107">
        <v>2.537E-2</v>
      </c>
      <c r="S4126" s="107">
        <v>0</v>
      </c>
      <c r="T4126" s="107">
        <v>0</v>
      </c>
      <c r="U4126" s="107" t="s">
        <v>0</v>
      </c>
      <c r="V4126" s="107">
        <v>12.533906106639865</v>
      </c>
      <c r="W4126" s="107" t="s">
        <v>15</v>
      </c>
      <c r="X4126" s="108">
        <v>0</v>
      </c>
      <c r="Y4126" s="107"/>
      <c r="Z4126" s="107"/>
      <c r="AA4126" s="107"/>
      <c r="AB4126" s="107"/>
      <c r="AC4126" s="355"/>
      <c r="AD4126" s="355"/>
      <c r="AE4126" s="355"/>
      <c r="AF4126" s="94">
        <f t="shared" si="546"/>
        <v>42916</v>
      </c>
      <c r="AG4126" s="185">
        <f t="shared" si="542"/>
        <v>-1.7716774615008646E-3</v>
      </c>
      <c r="AH4126" s="339" t="str">
        <f>VLOOKUP(B4126,'MF PF'!A:B,2)</f>
        <v>FdMgt1</v>
      </c>
      <c r="AI4126" s="358">
        <f t="shared" si="547"/>
        <v>0</v>
      </c>
      <c r="AJ4126" s="94">
        <f t="shared" si="548"/>
        <v>42916</v>
      </c>
    </row>
    <row r="4127" spans="1:36" ht="12.75" customHeight="1">
      <c r="A4127" s="94">
        <v>42947</v>
      </c>
      <c r="B4127" s="94" t="s">
        <v>149</v>
      </c>
      <c r="C4127" s="6" t="s">
        <v>297</v>
      </c>
      <c r="D4127" s="98">
        <v>36962039.780000001</v>
      </c>
      <c r="E4127" s="95">
        <f t="shared" si="549"/>
        <v>341.34120000000001</v>
      </c>
      <c r="F4127" s="98"/>
      <c r="G4127" s="98">
        <v>8.9277604892849922</v>
      </c>
      <c r="H4127" s="98">
        <v>0</v>
      </c>
      <c r="I4127" s="98">
        <v>0</v>
      </c>
      <c r="J4127" s="98"/>
      <c r="K4127" s="98">
        <v>108284.73029332526</v>
      </c>
      <c r="L4127" s="93">
        <f t="shared" si="544"/>
        <v>8.9277604892849922</v>
      </c>
      <c r="M4127" s="95">
        <f t="shared" ca="1" si="545"/>
        <v>0</v>
      </c>
      <c r="N4127" s="95">
        <f ca="1">IF(P4127="Hedge Fund",IF(A4127=Summary!$AD$3,M4127-E4127,M4127),IF(A4127=Summary!$AD$3,L4127-D4127,L4127))</f>
        <v>0</v>
      </c>
      <c r="O4127" s="95"/>
      <c r="P4127" s="107" t="s">
        <v>139</v>
      </c>
      <c r="Q4127" s="107">
        <v>3.4025146999999999E-2</v>
      </c>
      <c r="R4127" s="107">
        <v>0</v>
      </c>
      <c r="S4127" s="107">
        <v>2.6218999999999999E-2</v>
      </c>
      <c r="T4127" s="107">
        <v>0</v>
      </c>
      <c r="U4127" s="107" t="s">
        <v>0</v>
      </c>
      <c r="V4127" s="107">
        <v>12.253169021146583</v>
      </c>
      <c r="W4127" s="107" t="s">
        <v>15</v>
      </c>
      <c r="X4127" s="108">
        <v>0</v>
      </c>
      <c r="Y4127" s="107"/>
      <c r="Z4127" s="107"/>
      <c r="AA4127" s="107"/>
      <c r="AB4127" s="107"/>
      <c r="AC4127" s="355"/>
      <c r="AD4127" s="355"/>
      <c r="AE4127" s="355"/>
      <c r="AF4127" s="94">
        <f t="shared" si="546"/>
        <v>42947</v>
      </c>
      <c r="AG4127" s="185">
        <f t="shared" si="542"/>
        <v>-2.239821194643854E-2</v>
      </c>
      <c r="AH4127" s="339" t="str">
        <f>VLOOKUP(B4127,'MF PF'!A:B,2)</f>
        <v>FdMgt1</v>
      </c>
      <c r="AI4127" s="358">
        <f t="shared" si="547"/>
        <v>0</v>
      </c>
      <c r="AJ4127" s="94">
        <f t="shared" si="548"/>
        <v>42947</v>
      </c>
    </row>
    <row r="4128" spans="1:36" ht="12.75" customHeight="1">
      <c r="A4128" s="8">
        <v>42978</v>
      </c>
      <c r="B4128" s="94" t="s">
        <v>149</v>
      </c>
      <c r="C4128" s="6" t="s">
        <v>297</v>
      </c>
      <c r="D4128" s="98">
        <v>37670000</v>
      </c>
      <c r="E4128" s="9">
        <f t="shared" si="549"/>
        <v>347.87959999999998</v>
      </c>
      <c r="F4128" s="98"/>
      <c r="G4128" s="98">
        <v>0</v>
      </c>
      <c r="H4128" s="98">
        <v>-48.660549871623516</v>
      </c>
      <c r="I4128" s="98">
        <v>0</v>
      </c>
      <c r="J4128" s="98"/>
      <c r="K4128" s="98">
        <v>108284.59041576454</v>
      </c>
      <c r="L4128" s="93">
        <f t="shared" si="544"/>
        <v>-48.660549871623516</v>
      </c>
      <c r="M4128" s="95">
        <f t="shared" ca="1" si="545"/>
        <v>0</v>
      </c>
      <c r="N4128" s="95">
        <f ca="1">IF(P4128="Hedge Fund",IF(A4128=Summary!$AD$3,M4128-E4128,M4128),IF(A4128=Summary!$AD$3,L4128-D4128,L4128))</f>
        <v>0</v>
      </c>
      <c r="O4128" s="95"/>
      <c r="P4128" s="107" t="s">
        <v>139</v>
      </c>
      <c r="Q4128" s="107">
        <v>3.4025146999999999E-2</v>
      </c>
      <c r="R4128" s="107">
        <v>0</v>
      </c>
      <c r="S4128" s="107">
        <v>2.6218999999999999E-2</v>
      </c>
      <c r="T4128" s="107">
        <v>0</v>
      </c>
      <c r="U4128" s="107" t="s">
        <v>0</v>
      </c>
      <c r="V4128" s="107">
        <v>12.487878808092503</v>
      </c>
      <c r="W4128" s="107" t="s">
        <v>15</v>
      </c>
      <c r="X4128" s="108">
        <v>0</v>
      </c>
      <c r="Y4128" s="107"/>
      <c r="Z4128" s="107"/>
      <c r="AA4128" s="107"/>
      <c r="AB4128" s="107"/>
      <c r="AC4128" s="355"/>
      <c r="AD4128" s="355"/>
      <c r="AE4128" s="355"/>
      <c r="AF4128" s="94">
        <f t="shared" si="546"/>
        <v>42978</v>
      </c>
      <c r="AG4128" s="185">
        <f t="shared" si="542"/>
        <v>1.915502728648022E-2</v>
      </c>
      <c r="AH4128" s="339" t="str">
        <f>VLOOKUP(B4128,'MF PF'!A:B,2)</f>
        <v>FdMgt1</v>
      </c>
      <c r="AI4128" s="358">
        <f t="shared" si="547"/>
        <v>0</v>
      </c>
      <c r="AJ4128" s="94">
        <f t="shared" si="548"/>
        <v>42978</v>
      </c>
    </row>
    <row r="4129" spans="1:36" ht="12.75" customHeight="1">
      <c r="A4129" s="94">
        <v>43007</v>
      </c>
      <c r="B4129" s="94" t="s">
        <v>149</v>
      </c>
      <c r="C4129" s="6" t="s">
        <v>297</v>
      </c>
      <c r="D4129" s="98">
        <v>36996300</v>
      </c>
      <c r="E4129" s="95">
        <f t="shared" si="549"/>
        <v>341.65800000000002</v>
      </c>
      <c r="F4129" s="98"/>
      <c r="G4129" s="98">
        <v>3.4077307134866714</v>
      </c>
      <c r="H4129" s="98">
        <v>0</v>
      </c>
      <c r="I4129" s="98">
        <v>0</v>
      </c>
      <c r="J4129" s="98"/>
      <c r="K4129" s="98">
        <v>108284.60038986354</v>
      </c>
      <c r="L4129" s="93">
        <f t="shared" si="544"/>
        <v>3.4077307134866714</v>
      </c>
      <c r="M4129" s="95">
        <f t="shared" ca="1" si="545"/>
        <v>0</v>
      </c>
      <c r="N4129" s="95">
        <f ca="1">IF(P4129="Hedge Fund",IF(A4129=Summary!$AD$3,M4129-E4129,M4129),IF(A4129=Summary!$AD$3,L4129-D4129,L4129))</f>
        <v>0</v>
      </c>
      <c r="O4129" s="95"/>
      <c r="P4129" s="107" t="s">
        <v>139</v>
      </c>
      <c r="Q4129" s="107">
        <v>3.1800000000000002E-2</v>
      </c>
      <c r="R4129" s="107">
        <v>0</v>
      </c>
      <c r="S4129" s="107">
        <v>2.4527630000000002E-2</v>
      </c>
      <c r="T4129" s="107">
        <v>0</v>
      </c>
      <c r="U4129" s="107" t="s">
        <v>0</v>
      </c>
      <c r="V4129" s="107">
        <v>12.264541231550423</v>
      </c>
      <c r="W4129" s="107" t="s">
        <v>15</v>
      </c>
      <c r="X4129" s="108">
        <v>0</v>
      </c>
      <c r="Y4129" s="107"/>
      <c r="Z4129" s="107"/>
      <c r="AA4129" s="107"/>
      <c r="AB4129" s="107"/>
      <c r="AC4129" s="355"/>
      <c r="AD4129" s="355"/>
      <c r="AE4129" s="355"/>
      <c r="AF4129" s="94">
        <f t="shared" si="546"/>
        <v>43007</v>
      </c>
      <c r="AG4129" s="185">
        <f t="shared" si="542"/>
        <v>-1.7884348492984148E-2</v>
      </c>
      <c r="AH4129" s="339" t="str">
        <f>VLOOKUP(B4129,'MF PF'!A:B,2)</f>
        <v>FdMgt1</v>
      </c>
      <c r="AI4129" s="358">
        <f t="shared" si="547"/>
        <v>0</v>
      </c>
      <c r="AJ4129" s="94">
        <f t="shared" si="548"/>
        <v>43008</v>
      </c>
    </row>
    <row r="4130" spans="1:36" ht="12.75" customHeight="1">
      <c r="A4130" s="8">
        <v>43039</v>
      </c>
      <c r="B4130" s="94" t="s">
        <v>149</v>
      </c>
      <c r="C4130" s="6" t="s">
        <v>297</v>
      </c>
      <c r="D4130" s="98">
        <v>36253200</v>
      </c>
      <c r="E4130" s="9">
        <f t="shared" si="549"/>
        <v>334.79489999999998</v>
      </c>
      <c r="F4130" s="98"/>
      <c r="G4130" s="98">
        <v>68.040935680270195</v>
      </c>
      <c r="H4130" s="98">
        <v>0</v>
      </c>
      <c r="I4130" s="98">
        <v>0</v>
      </c>
      <c r="J4130" s="98"/>
      <c r="K4130" s="98">
        <v>108284.80362156055</v>
      </c>
      <c r="L4130" s="93">
        <f t="shared" si="544"/>
        <v>68.040935680270195</v>
      </c>
      <c r="M4130" s="95">
        <f t="shared" ca="1" si="545"/>
        <v>0</v>
      </c>
      <c r="N4130" s="95">
        <f ca="1">IF(P4130="Hedge Fund",IF(A4130=Summary!$AD$3,M4130-E4130,M4130),IF(A4130=Summary!$AD$3,L4130-D4130,L4130))</f>
        <v>0</v>
      </c>
      <c r="O4130" s="95"/>
      <c r="P4130" s="107" t="s">
        <v>139</v>
      </c>
      <c r="Q4130" s="107">
        <v>3.5099999999999999E-2</v>
      </c>
      <c r="R4130" s="107">
        <v>0</v>
      </c>
      <c r="S4130" s="107">
        <v>2.7064999999999999E-2</v>
      </c>
      <c r="T4130" s="107">
        <v>0</v>
      </c>
      <c r="U4130" s="107" t="s">
        <v>0</v>
      </c>
      <c r="V4130" s="107">
        <v>12.018175646883142</v>
      </c>
      <c r="W4130" s="107" t="s">
        <v>15</v>
      </c>
      <c r="X4130" s="108">
        <v>0</v>
      </c>
      <c r="Y4130" s="107"/>
      <c r="Z4130" s="107"/>
      <c r="AA4130" s="107"/>
      <c r="AB4130" s="107"/>
      <c r="AC4130" s="355"/>
      <c r="AD4130" s="355"/>
      <c r="AE4130" s="355"/>
      <c r="AF4130" s="94">
        <f t="shared" si="546"/>
        <v>43039</v>
      </c>
      <c r="AG4130" s="185">
        <f t="shared" ref="AG4130:AG4193" si="550">IF(C4130&lt;&gt;C4129,D4130/G4130-1,(D4130-G4130-I4130-H4130)/(D4129)-1)</f>
        <v>-2.0087631491140456E-2</v>
      </c>
      <c r="AH4130" s="339" t="str">
        <f>VLOOKUP(B4130,'MF PF'!A:B,2)</f>
        <v>FdMgt1</v>
      </c>
      <c r="AI4130" s="358">
        <f t="shared" si="547"/>
        <v>0</v>
      </c>
      <c r="AJ4130" s="94">
        <f t="shared" si="548"/>
        <v>43039</v>
      </c>
    </row>
    <row r="4131" spans="1:36" ht="12.75" customHeight="1">
      <c r="A4131" s="8">
        <v>43069</v>
      </c>
      <c r="B4131" s="94" t="s">
        <v>149</v>
      </c>
      <c r="C4131" s="6" t="s">
        <v>297</v>
      </c>
      <c r="D4131" s="98">
        <v>36213318.939999998</v>
      </c>
      <c r="E4131" s="9">
        <f t="shared" si="549"/>
        <v>334.42689999999993</v>
      </c>
      <c r="F4131" s="98"/>
      <c r="G4131" s="98">
        <v>0</v>
      </c>
      <c r="H4131" s="98">
        <v>-32.252267263829708</v>
      </c>
      <c r="I4131" s="98">
        <v>0</v>
      </c>
      <c r="J4131" s="98"/>
      <c r="K4131" s="98">
        <v>108284.70718115081</v>
      </c>
      <c r="L4131" s="93">
        <f t="shared" si="544"/>
        <v>-32.252267263829708</v>
      </c>
      <c r="M4131" s="95">
        <f t="shared" ca="1" si="545"/>
        <v>0</v>
      </c>
      <c r="N4131" s="95">
        <f ca="1">IF(P4131="Hedge Fund",IF(A4131=Summary!$AD$3,M4131-E4131,M4131),IF(A4131=Summary!$AD$3,L4131-D4131,L4131))</f>
        <v>0</v>
      </c>
      <c r="O4131" s="95"/>
      <c r="P4131" s="107" t="s">
        <v>139</v>
      </c>
      <c r="Q4131" s="107">
        <v>3.2927600000000001E-2</v>
      </c>
      <c r="R4131" s="107">
        <v>0</v>
      </c>
      <c r="S4131" s="107">
        <v>2.5373429999999999E-2</v>
      </c>
      <c r="T4131" s="107">
        <v>0</v>
      </c>
      <c r="U4131" s="107" t="s">
        <v>0</v>
      </c>
      <c r="V4131" s="107">
        <v>12.004965503484742</v>
      </c>
      <c r="W4131" s="107" t="s">
        <v>15</v>
      </c>
      <c r="X4131" s="108">
        <v>0</v>
      </c>
      <c r="Y4131" s="107"/>
      <c r="Z4131" s="107"/>
      <c r="AA4131" s="107"/>
      <c r="AB4131" s="107"/>
      <c r="AC4131" s="355"/>
      <c r="AD4131" s="355"/>
      <c r="AE4131" s="355"/>
      <c r="AF4131" s="94">
        <f t="shared" si="546"/>
        <v>43069</v>
      </c>
      <c r="AG4131" s="185">
        <f t="shared" si="550"/>
        <v>-1.0991804235968017E-3</v>
      </c>
      <c r="AH4131" s="339" t="str">
        <f>VLOOKUP(B4131,'MF PF'!A:B,2)</f>
        <v>FdMgt1</v>
      </c>
      <c r="AI4131" s="358">
        <f t="shared" si="547"/>
        <v>0</v>
      </c>
      <c r="AJ4131" s="94">
        <f t="shared" si="548"/>
        <v>43069</v>
      </c>
    </row>
    <row r="4132" spans="1:36" ht="12.75" customHeight="1">
      <c r="A4132" s="94">
        <v>43098</v>
      </c>
      <c r="B4132" s="94" t="s">
        <v>149</v>
      </c>
      <c r="C4132" s="6" t="s">
        <v>297</v>
      </c>
      <c r="D4132" s="98">
        <v>35787200</v>
      </c>
      <c r="E4132" s="95">
        <f t="shared" si="549"/>
        <v>330.49180000000007</v>
      </c>
      <c r="F4132" s="98"/>
      <c r="G4132" s="98">
        <v>0</v>
      </c>
      <c r="H4132" s="98">
        <v>-7.788771465420723</v>
      </c>
      <c r="I4132" s="98">
        <v>0</v>
      </c>
      <c r="J4132" s="98"/>
      <c r="K4132" s="98">
        <v>108284.68361393534</v>
      </c>
      <c r="L4132" s="93">
        <f t="shared" si="544"/>
        <v>-7.788771465420723</v>
      </c>
      <c r="M4132" s="95">
        <f t="shared" ca="1" si="545"/>
        <v>0</v>
      </c>
      <c r="N4132" s="95">
        <f ca="1">IF(P4132="Hedge Fund",IF(A4132=Summary!$AD$3,M4132-E4132,M4132),IF(A4132=Summary!$AD$3,L4132-D4132,L4132))</f>
        <v>0</v>
      </c>
      <c r="O4132" s="95"/>
      <c r="P4132" s="107" t="s">
        <v>139</v>
      </c>
      <c r="Q4132" s="107">
        <v>3.1829999999999997E-2</v>
      </c>
      <c r="R4132" s="107">
        <v>0</v>
      </c>
      <c r="S4132" s="107">
        <v>2.452764E-2</v>
      </c>
      <c r="T4132" s="107">
        <v>0</v>
      </c>
      <c r="U4132" s="107" t="s">
        <v>0</v>
      </c>
      <c r="V4132" s="107">
        <v>11.863706711943863</v>
      </c>
      <c r="W4132" s="107" t="s">
        <v>15</v>
      </c>
      <c r="X4132" s="108">
        <v>0</v>
      </c>
      <c r="Y4132" s="107"/>
      <c r="Z4132" s="107"/>
      <c r="AA4132" s="107"/>
      <c r="AB4132" s="107"/>
      <c r="AC4132" s="355"/>
      <c r="AD4132" s="355"/>
      <c r="AE4132" s="355"/>
      <c r="AF4132" s="94">
        <f t="shared" si="546"/>
        <v>43098</v>
      </c>
      <c r="AG4132" s="185">
        <f t="shared" si="550"/>
        <v>-1.1766696997161041E-2</v>
      </c>
      <c r="AH4132" s="339" t="str">
        <f>VLOOKUP(B4132,'MF PF'!A:B,2)</f>
        <v>FdMgt1</v>
      </c>
      <c r="AI4132" s="358">
        <f t="shared" si="547"/>
        <v>0</v>
      </c>
      <c r="AJ4132" s="94">
        <f t="shared" si="548"/>
        <v>43100</v>
      </c>
    </row>
    <row r="4133" spans="1:36" ht="12.75" customHeight="1">
      <c r="A4133" s="94">
        <v>43131</v>
      </c>
      <c r="B4133" s="94" t="s">
        <v>149</v>
      </c>
      <c r="C4133" s="358" t="s">
        <v>297</v>
      </c>
      <c r="D4133" s="98">
        <v>35143700</v>
      </c>
      <c r="E4133" s="95">
        <f t="shared" si="549"/>
        <v>330.08280000000002</v>
      </c>
      <c r="F4133" s="98"/>
      <c r="G4133" s="98">
        <v>0</v>
      </c>
      <c r="H4133" s="98">
        <v>-599211.56440189481</v>
      </c>
      <c r="I4133" s="98">
        <v>0</v>
      </c>
      <c r="J4133" s="98"/>
      <c r="K4133" s="98">
        <v>106469.34647912584</v>
      </c>
      <c r="L4133" s="93">
        <f t="shared" si="544"/>
        <v>-599211.56440189481</v>
      </c>
      <c r="M4133" s="95">
        <f t="shared" ca="1" si="545"/>
        <v>0</v>
      </c>
      <c r="N4133" s="95">
        <f ca="1">IF(P4133="Hedge Fund",IF(A4133=Summary!$AD$3,M4133-E4133,M4133),IF(A4133=Summary!$AD$3,L4133-D4133,L4133))</f>
        <v>0</v>
      </c>
      <c r="O4133" s="95"/>
      <c r="P4133" s="107" t="s">
        <v>139</v>
      </c>
      <c r="Q4133" s="107">
        <v>3.6220299999999997E-2</v>
      </c>
      <c r="R4133" s="107">
        <v>0</v>
      </c>
      <c r="S4133" s="107">
        <v>2.7910770000000001E-2</v>
      </c>
      <c r="T4133" s="107">
        <v>0</v>
      </c>
      <c r="U4133" s="107" t="s">
        <v>0</v>
      </c>
      <c r="V4133" s="107">
        <v>11.849024786264662</v>
      </c>
      <c r="W4133" s="107" t="s">
        <v>15</v>
      </c>
      <c r="X4133" s="108">
        <v>0</v>
      </c>
      <c r="Y4133" s="107"/>
      <c r="Z4133" s="107"/>
      <c r="AA4133" s="107"/>
      <c r="AB4133" s="107"/>
      <c r="AC4133" s="358"/>
      <c r="AD4133" s="358"/>
      <c r="AE4133" s="358"/>
      <c r="AF4133" s="94">
        <f t="shared" si="546"/>
        <v>43131</v>
      </c>
      <c r="AG4133" s="185">
        <f t="shared" si="550"/>
        <v>-1.2375496154520826E-3</v>
      </c>
      <c r="AH4133" s="339" t="str">
        <f>VLOOKUP(B4133,'MF PF'!A:B,2)</f>
        <v>FdMgt1</v>
      </c>
      <c r="AI4133" s="358">
        <f t="shared" si="547"/>
        <v>0</v>
      </c>
      <c r="AJ4133" s="94">
        <f t="shared" si="548"/>
        <v>43131</v>
      </c>
    </row>
    <row r="4134" spans="1:36" ht="12.75" customHeight="1">
      <c r="A4134" s="8">
        <v>43159</v>
      </c>
      <c r="B4134" s="94" t="s">
        <v>149</v>
      </c>
      <c r="C4134" s="6" t="s">
        <v>297</v>
      </c>
      <c r="D4134" s="98">
        <v>38372000</v>
      </c>
      <c r="E4134" s="9">
        <f t="shared" si="549"/>
        <v>360.40450000000004</v>
      </c>
      <c r="F4134" s="98"/>
      <c r="G4134" s="98">
        <v>0</v>
      </c>
      <c r="H4134" s="98">
        <v>-31.583136111497879</v>
      </c>
      <c r="I4134" s="98">
        <v>0</v>
      </c>
      <c r="J4134" s="98"/>
      <c r="K4134" s="98">
        <v>106469.25884665702</v>
      </c>
      <c r="L4134" s="93">
        <f t="shared" si="544"/>
        <v>-31.583136111497879</v>
      </c>
      <c r="M4134" s="95">
        <f t="shared" ca="1" si="545"/>
        <v>0</v>
      </c>
      <c r="N4134" s="95">
        <f ca="1">IF(P4134="Hedge Fund",IF(A4134=Summary!$AD$3,M4134-E4134,M4134),IF(A4134=Summary!$AD$3,L4134-D4134,L4134))</f>
        <v>0</v>
      </c>
      <c r="O4134" s="95"/>
      <c r="P4134" s="107" t="s">
        <v>139</v>
      </c>
      <c r="Q4134" s="107">
        <v>3.07324E-2</v>
      </c>
      <c r="R4134" s="107">
        <v>0</v>
      </c>
      <c r="S4134" s="95">
        <v>2.3681859999999999E-2</v>
      </c>
      <c r="T4134" s="107">
        <v>0</v>
      </c>
      <c r="U4134" s="107" t="s">
        <v>0</v>
      </c>
      <c r="V4134" s="107">
        <v>12.937486756599624</v>
      </c>
      <c r="W4134" s="107" t="s">
        <v>15</v>
      </c>
      <c r="X4134" s="107">
        <v>3.0559654789352</v>
      </c>
      <c r="Y4134" s="107"/>
      <c r="Z4134" s="107"/>
      <c r="AA4134" s="107"/>
      <c r="AB4134" s="107"/>
      <c r="AC4134" s="355"/>
      <c r="AD4134" s="355"/>
      <c r="AE4134" s="355"/>
      <c r="AF4134" s="94">
        <f t="shared" si="546"/>
        <v>43159</v>
      </c>
      <c r="AG4134" s="185">
        <f t="shared" si="550"/>
        <v>9.1860890661373595E-2</v>
      </c>
      <c r="AH4134" s="339" t="str">
        <f>VLOOKUP(B4134,'MF PF'!A:B,2)</f>
        <v>FdMgt1</v>
      </c>
      <c r="AI4134" s="358">
        <f t="shared" si="547"/>
        <v>0</v>
      </c>
      <c r="AJ4134" s="94">
        <f t="shared" si="548"/>
        <v>43159</v>
      </c>
    </row>
    <row r="4135" spans="1:36" s="358" customFormat="1" ht="12.75" customHeight="1">
      <c r="A4135" s="94">
        <v>43188</v>
      </c>
      <c r="B4135" s="94" t="s">
        <v>149</v>
      </c>
      <c r="C4135" s="358" t="s">
        <v>297</v>
      </c>
      <c r="D4135" s="93">
        <f t="shared" ref="D4135:D4140" si="551">E4135*K4135</f>
        <v>39107903.892808802</v>
      </c>
      <c r="E4135" s="109">
        <v>367.31650000000002</v>
      </c>
      <c r="F4135" s="98"/>
      <c r="G4135" s="98">
        <v>0</v>
      </c>
      <c r="H4135" s="98">
        <v>0</v>
      </c>
      <c r="I4135" s="98">
        <v>0</v>
      </c>
      <c r="J4135" s="98"/>
      <c r="K4135" s="111">
        <v>106469.22719999999</v>
      </c>
      <c r="L4135" s="93">
        <f t="shared" si="544"/>
        <v>0</v>
      </c>
      <c r="M4135" s="95">
        <f t="shared" ca="1" si="545"/>
        <v>0</v>
      </c>
      <c r="N4135" s="95">
        <f ca="1">IF(P4135="Hedge Fund",IF(A4135=Summary!$AD$3,M4135-E4135,M4135),IF(A4135=Summary!$AD$3,L4135-D4135,L4135))</f>
        <v>0</v>
      </c>
      <c r="O4135" s="95"/>
      <c r="P4135" s="107" t="s">
        <v>139</v>
      </c>
      <c r="Q4135" s="109">
        <f>40061864.38/10^6*1%/365*29</f>
        <v>3.1829974438904118E-2</v>
      </c>
      <c r="R4135" s="107">
        <v>1.29385E-2</v>
      </c>
      <c r="S4135" s="107">
        <v>2.4527640000000003E-2</v>
      </c>
      <c r="T4135" s="107">
        <v>2.7769500000000003E-3</v>
      </c>
      <c r="U4135" s="107" t="s">
        <v>0</v>
      </c>
      <c r="V4135" s="111">
        <f t="shared" ref="V4135:V4144" si="552">E4135*35897.1288/10^6</f>
        <v>13.185607710865199</v>
      </c>
      <c r="W4135" s="107" t="s">
        <v>15</v>
      </c>
      <c r="X4135" s="111">
        <f t="shared" ref="X4135:X4144" si="553">E4135*8479.2656/10^6</f>
        <v>3.1145741627624002</v>
      </c>
      <c r="Y4135" s="107"/>
      <c r="Z4135" s="107"/>
      <c r="AA4135" s="107"/>
      <c r="AB4135" s="107"/>
      <c r="AF4135" s="94">
        <f t="shared" si="546"/>
        <v>43188</v>
      </c>
      <c r="AG4135" s="185">
        <f t="shared" si="550"/>
        <v>1.9178147941436574E-2</v>
      </c>
      <c r="AH4135" s="339" t="str">
        <f>VLOOKUP(B4135,'MF PF'!A:B,2)</f>
        <v>FdMgt1</v>
      </c>
      <c r="AI4135" s="358">
        <f t="shared" si="547"/>
        <v>0</v>
      </c>
      <c r="AJ4135" s="94">
        <f t="shared" si="548"/>
        <v>43190</v>
      </c>
    </row>
    <row r="4136" spans="1:36" ht="12.75" customHeight="1">
      <c r="A4136" s="8">
        <v>43220</v>
      </c>
      <c r="B4136" s="94" t="s">
        <v>149</v>
      </c>
      <c r="C4136" s="6" t="s">
        <v>297</v>
      </c>
      <c r="D4136" s="93">
        <f t="shared" si="551"/>
        <v>39272814.07881888</v>
      </c>
      <c r="E4136" s="109">
        <v>368.86540000000002</v>
      </c>
      <c r="F4136" s="98"/>
      <c r="G4136" s="98">
        <v>0</v>
      </c>
      <c r="H4136" s="98">
        <v>0</v>
      </c>
      <c r="I4136" s="98">
        <v>0</v>
      </c>
      <c r="J4136" s="98"/>
      <c r="K4136" s="111">
        <v>106469.22719999999</v>
      </c>
      <c r="L4136" s="93">
        <f t="shared" si="544"/>
        <v>0</v>
      </c>
      <c r="M4136" s="95">
        <f t="shared" ca="1" si="545"/>
        <v>0</v>
      </c>
      <c r="N4136" s="95">
        <f ca="1">IF(P4136="Hedge Fund",IF(A4136=Summary!$AD$3,M4136-E4136,M4136),IF(A4136=Summary!$AD$3,L4136-D4136,L4136))</f>
        <v>0</v>
      </c>
      <c r="O4136" s="95"/>
      <c r="P4136" s="107" t="s">
        <v>139</v>
      </c>
      <c r="Q4136" s="109">
        <f>40061864.38/10^6*1%/365*29</f>
        <v>3.1829974438904118E-2</v>
      </c>
      <c r="R4136" s="107">
        <v>2.1668300000000001E-2</v>
      </c>
      <c r="S4136" s="107">
        <v>2.7064999999999999E-2</v>
      </c>
      <c r="T4136" s="107">
        <v>4.78576E-3</v>
      </c>
      <c r="U4136" s="107" t="s">
        <v>0</v>
      </c>
      <c r="V4136" s="111">
        <f t="shared" si="552"/>
        <v>13.241208773663521</v>
      </c>
      <c r="W4136" s="107" t="s">
        <v>15</v>
      </c>
      <c r="X4136" s="111">
        <f t="shared" si="553"/>
        <v>3.1277076972502407</v>
      </c>
      <c r="Y4136" s="107"/>
      <c r="Z4136" s="107"/>
      <c r="AA4136" s="107"/>
      <c r="AB4136" s="107"/>
      <c r="AC4136" s="355"/>
      <c r="AD4136" s="355"/>
      <c r="AE4136" s="355"/>
      <c r="AF4136" s="94">
        <f t="shared" si="546"/>
        <v>43220</v>
      </c>
      <c r="AG4136" s="185">
        <f t="shared" si="550"/>
        <v>4.2167994086843574E-3</v>
      </c>
      <c r="AH4136" s="339" t="str">
        <f>VLOOKUP(B4136,'MF PF'!A:B,2)</f>
        <v>FdMgt1</v>
      </c>
      <c r="AI4136" s="358">
        <f t="shared" si="547"/>
        <v>0</v>
      </c>
      <c r="AJ4136" s="94">
        <f t="shared" si="548"/>
        <v>43220</v>
      </c>
    </row>
    <row r="4137" spans="1:36" ht="12.75" customHeight="1">
      <c r="A4137" s="8">
        <v>43251</v>
      </c>
      <c r="B4137" s="94" t="s">
        <v>149</v>
      </c>
      <c r="C4137" s="6" t="s">
        <v>297</v>
      </c>
      <c r="D4137" s="93">
        <f t="shared" si="551"/>
        <v>39000157.034882396</v>
      </c>
      <c r="E4137" s="109">
        <v>366.30450000000002</v>
      </c>
      <c r="F4137" s="98"/>
      <c r="G4137" s="98">
        <v>0</v>
      </c>
      <c r="H4137" s="98">
        <v>0</v>
      </c>
      <c r="I4137" s="98">
        <v>0</v>
      </c>
      <c r="J4137" s="98"/>
      <c r="K4137" s="111">
        <v>106469.22719999999</v>
      </c>
      <c r="L4137" s="93">
        <f t="shared" si="544"/>
        <v>0</v>
      </c>
      <c r="M4137" s="95">
        <f t="shared" ca="1" si="545"/>
        <v>0</v>
      </c>
      <c r="N4137" s="95">
        <f ca="1">IF(P4137="Hedge Fund",IF(A4137=Summary!$AD$3,M4137-E4137,M4137),IF(A4137=Summary!$AD$3,L4137-D4137,L4137))</f>
        <v>0</v>
      </c>
      <c r="O4137" s="95"/>
      <c r="P4137" s="107" t="s">
        <v>139</v>
      </c>
      <c r="Q4137" s="109">
        <v>3.4025199999999999E-2</v>
      </c>
      <c r="R4137" s="109">
        <v>1.8799999999999999E-4</v>
      </c>
      <c r="S4137" s="107">
        <v>2.6219230000000003E-2</v>
      </c>
      <c r="T4137" s="107">
        <v>0</v>
      </c>
      <c r="U4137" s="107" t="s">
        <v>0</v>
      </c>
      <c r="V4137" s="111">
        <f t="shared" si="552"/>
        <v>13.149279816519599</v>
      </c>
      <c r="W4137" s="107" t="s">
        <v>15</v>
      </c>
      <c r="X4137" s="111">
        <f t="shared" si="553"/>
        <v>3.1059931459752006</v>
      </c>
      <c r="Y4137" s="107"/>
      <c r="Z4137" s="107"/>
      <c r="AA4137" s="107"/>
      <c r="AB4137" s="107"/>
      <c r="AC4137" s="355"/>
      <c r="AD4137" s="355"/>
      <c r="AE4137" s="355"/>
      <c r="AF4137" s="94">
        <f t="shared" si="546"/>
        <v>43251</v>
      </c>
      <c r="AG4137" s="185">
        <f t="shared" si="550"/>
        <v>-6.9426408657468075E-3</v>
      </c>
      <c r="AH4137" s="339" t="str">
        <f>VLOOKUP(B4137,'MF PF'!A:B,2)</f>
        <v>FdMgt1</v>
      </c>
      <c r="AI4137" s="358">
        <f t="shared" si="547"/>
        <v>0</v>
      </c>
      <c r="AJ4137" s="94">
        <f t="shared" si="548"/>
        <v>43251</v>
      </c>
    </row>
    <row r="4138" spans="1:36" ht="12.75" customHeight="1">
      <c r="A4138" s="94">
        <v>43280</v>
      </c>
      <c r="B4138" s="94" t="s">
        <v>149</v>
      </c>
      <c r="C4138" s="6" t="s">
        <v>297</v>
      </c>
      <c r="D4138" s="93">
        <f t="shared" si="551"/>
        <v>39322567.148689434</v>
      </c>
      <c r="E4138" s="109">
        <v>369.33269999999999</v>
      </c>
      <c r="F4138" s="98"/>
      <c r="G4138" s="98">
        <v>0</v>
      </c>
      <c r="H4138" s="98">
        <v>0</v>
      </c>
      <c r="I4138" s="98">
        <v>0</v>
      </c>
      <c r="J4138" s="98"/>
      <c r="K4138" s="111">
        <v>106469.22719999999</v>
      </c>
      <c r="L4138" s="93">
        <f t="shared" si="544"/>
        <v>0</v>
      </c>
      <c r="M4138" s="95">
        <f t="shared" ca="1" si="545"/>
        <v>0</v>
      </c>
      <c r="N4138" s="95">
        <f ca="1">IF(P4138="Hedge Fund",IF(A4138=Summary!$AD$3,M4138-E4138,M4138),IF(A4138=Summary!$AD$3,L4138-D4138,L4138))</f>
        <v>0</v>
      </c>
      <c r="O4138" s="95"/>
      <c r="P4138" s="107" t="s">
        <v>139</v>
      </c>
      <c r="Q4138" s="109">
        <v>3.1829959999999997E-2</v>
      </c>
      <c r="R4138" s="109">
        <v>1.9698029999999998E-2</v>
      </c>
      <c r="S4138" s="107">
        <v>2.4527640000000003E-2</v>
      </c>
      <c r="T4138" s="107">
        <v>4.3001899999999997E-3</v>
      </c>
      <c r="U4138" s="107" t="s">
        <v>0</v>
      </c>
      <c r="V4138" s="111">
        <f t="shared" si="552"/>
        <v>13.25798350195176</v>
      </c>
      <c r="W4138" s="107" t="s">
        <v>15</v>
      </c>
      <c r="X4138" s="111">
        <f t="shared" si="553"/>
        <v>3.13167005806512</v>
      </c>
      <c r="Y4138" s="107"/>
      <c r="Z4138" s="107"/>
      <c r="AA4138" s="107"/>
      <c r="AB4138" s="107"/>
      <c r="AC4138" s="355"/>
      <c r="AD4138" s="355"/>
      <c r="AE4138" s="355"/>
      <c r="AF4138" s="94">
        <f t="shared" si="546"/>
        <v>43280</v>
      </c>
      <c r="AG4138" s="185">
        <f t="shared" si="550"/>
        <v>8.2668927081157584E-3</v>
      </c>
      <c r="AH4138" s="339" t="str">
        <f>VLOOKUP(B4138,'MF PF'!A:B,2)</f>
        <v>FdMgt1</v>
      </c>
      <c r="AI4138" s="358">
        <f t="shared" si="547"/>
        <v>0</v>
      </c>
      <c r="AJ4138" s="94">
        <f t="shared" si="548"/>
        <v>43281</v>
      </c>
    </row>
    <row r="4139" spans="1:36" ht="12.75" customHeight="1">
      <c r="A4139" s="8">
        <v>43312</v>
      </c>
      <c r="B4139" s="358" t="s">
        <v>149</v>
      </c>
      <c r="C4139" s="6" t="s">
        <v>297</v>
      </c>
      <c r="D4139" s="335">
        <f t="shared" si="551"/>
        <v>38565091.831775039</v>
      </c>
      <c r="E4139" s="111">
        <v>362.21820000000002</v>
      </c>
      <c r="F4139" s="98"/>
      <c r="G4139" s="98">
        <v>0</v>
      </c>
      <c r="H4139" s="98">
        <v>0</v>
      </c>
      <c r="I4139" s="98">
        <v>0</v>
      </c>
      <c r="J4139" s="98"/>
      <c r="K4139" s="360">
        <v>106469.22719999999</v>
      </c>
      <c r="L4139" s="93">
        <f t="shared" si="544"/>
        <v>0</v>
      </c>
      <c r="M4139" s="95">
        <f t="shared" ca="1" si="545"/>
        <v>0</v>
      </c>
      <c r="N4139" s="95">
        <f ca="1">IF(P4139="Hedge Fund",IF(A4139=Summary!$AD$3,M4139-E4139,M4139),IF(A4139=Summary!$AD$3,L4139-D4139,L4139))</f>
        <v>0</v>
      </c>
      <c r="O4139" s="95"/>
      <c r="P4139" s="107" t="s">
        <v>139</v>
      </c>
      <c r="Q4139" s="109">
        <v>3.5122730275699732E-2</v>
      </c>
      <c r="R4139" s="107">
        <v>0</v>
      </c>
      <c r="S4139" s="107">
        <v>2.7064999999999999E-2</v>
      </c>
      <c r="T4139" s="107">
        <v>0</v>
      </c>
      <c r="U4139" s="107" t="s">
        <v>0</v>
      </c>
      <c r="V4139" s="111">
        <f t="shared" si="552"/>
        <v>13.002593379104161</v>
      </c>
      <c r="W4139" s="107" t="s">
        <v>15</v>
      </c>
      <c r="X4139" s="109">
        <f t="shared" si="553"/>
        <v>3.0713443229539203</v>
      </c>
      <c r="Y4139" s="107"/>
      <c r="Z4139" s="107"/>
      <c r="AA4139" s="107"/>
      <c r="AB4139" s="107"/>
      <c r="AC4139" s="355"/>
      <c r="AD4139" s="355"/>
      <c r="AE4139" s="355"/>
      <c r="AF4139" s="94">
        <f t="shared" si="546"/>
        <v>43312</v>
      </c>
      <c r="AG4139" s="185">
        <f t="shared" si="550"/>
        <v>-1.9263119675024587E-2</v>
      </c>
      <c r="AH4139" s="339" t="str">
        <f>VLOOKUP(B4139,'MF PF'!A:B,2)</f>
        <v>FdMgt1</v>
      </c>
      <c r="AI4139" s="358">
        <f t="shared" si="547"/>
        <v>0</v>
      </c>
      <c r="AJ4139" s="94">
        <f t="shared" si="548"/>
        <v>43312</v>
      </c>
    </row>
    <row r="4140" spans="1:36" ht="12.75" customHeight="1">
      <c r="A4140" s="8">
        <v>43343</v>
      </c>
      <c r="B4140" s="358" t="s">
        <v>149</v>
      </c>
      <c r="C4140" s="6" t="s">
        <v>297</v>
      </c>
      <c r="D4140" s="335">
        <f t="shared" si="551"/>
        <v>37760099.298761278</v>
      </c>
      <c r="E4140" s="111">
        <v>354.6574</v>
      </c>
      <c r="F4140" s="98"/>
      <c r="G4140" s="98">
        <v>0</v>
      </c>
      <c r="H4140" s="98">
        <v>0</v>
      </c>
      <c r="I4140" s="98">
        <v>0</v>
      </c>
      <c r="J4140" s="98"/>
      <c r="K4140" s="360">
        <v>106469.22719999999</v>
      </c>
      <c r="L4140" s="93">
        <f t="shared" si="544"/>
        <v>0</v>
      </c>
      <c r="M4140" s="95">
        <f t="shared" ca="1" si="545"/>
        <v>0</v>
      </c>
      <c r="N4140" s="95">
        <f ca="1">IF(P4140="Hedge Fund",IF(A4140=Summary!$AD$3,M4140-E4140,M4140),IF(A4140=Summary!$AD$3,L4140-D4140,L4140))</f>
        <v>0</v>
      </c>
      <c r="O4140" s="95"/>
      <c r="P4140" s="107" t="s">
        <v>139</v>
      </c>
      <c r="Q4140" s="109">
        <f>0.0170125785795352*2</f>
        <v>3.4025157159070403E-2</v>
      </c>
      <c r="R4140" s="107">
        <v>0</v>
      </c>
      <c r="S4140" s="107">
        <v>2.6219230000000003E-2</v>
      </c>
      <c r="T4140" s="107">
        <v>0</v>
      </c>
      <c r="U4140" s="107" t="s">
        <v>0</v>
      </c>
      <c r="V4140" s="111">
        <f t="shared" si="552"/>
        <v>12.731182367673119</v>
      </c>
      <c r="W4140" s="107" t="s">
        <v>15</v>
      </c>
      <c r="X4140" s="109">
        <f t="shared" si="553"/>
        <v>3.0072342916054398</v>
      </c>
      <c r="Y4140" s="107"/>
      <c r="Z4140" s="107"/>
      <c r="AA4140" s="107"/>
      <c r="AB4140" s="107"/>
      <c r="AC4140" s="355"/>
      <c r="AD4140" s="355"/>
      <c r="AE4140" s="355"/>
      <c r="AF4140" s="94">
        <f t="shared" si="546"/>
        <v>43343</v>
      </c>
      <c r="AG4140" s="185">
        <f t="shared" si="550"/>
        <v>-2.0873606019796931E-2</v>
      </c>
      <c r="AH4140" s="339" t="str">
        <f>VLOOKUP(B4140,'MF PF'!A:B,2)</f>
        <v>FdMgt1</v>
      </c>
      <c r="AI4140" s="358">
        <f t="shared" si="547"/>
        <v>0</v>
      </c>
      <c r="AJ4140" s="94">
        <f t="shared" si="548"/>
        <v>43343</v>
      </c>
    </row>
    <row r="4141" spans="1:36" ht="12.75" customHeight="1">
      <c r="A4141" s="8">
        <v>43371</v>
      </c>
      <c r="B4141" s="358" t="s">
        <v>149</v>
      </c>
      <c r="C4141" s="6" t="s">
        <v>297</v>
      </c>
      <c r="D4141" s="93">
        <v>37504777.0763437</v>
      </c>
      <c r="E4141" s="111">
        <v>352.2593</v>
      </c>
      <c r="F4141" s="93">
        <v>0</v>
      </c>
      <c r="G4141" s="98">
        <v>0</v>
      </c>
      <c r="H4141" s="93">
        <v>0</v>
      </c>
      <c r="I4141" s="93">
        <v>0</v>
      </c>
      <c r="K4141" s="360">
        <v>106469.22719999999</v>
      </c>
      <c r="L4141" s="93">
        <f t="shared" si="544"/>
        <v>0</v>
      </c>
      <c r="M4141" s="95">
        <f t="shared" ca="1" si="545"/>
        <v>0</v>
      </c>
      <c r="N4141" s="95">
        <f ca="1">IF(P4141="Hedge Fund",IF(A4141=Summary!$AD$3,M4141-E4141,M4141),IF(A4141=Summary!$AD$3,L4141-D4141,L4141))</f>
        <v>0</v>
      </c>
      <c r="O4141" s="95"/>
      <c r="P4141" s="95" t="s">
        <v>139</v>
      </c>
      <c r="Q4141" s="95">
        <v>3.0732380111100278E-2</v>
      </c>
      <c r="R4141" s="95">
        <v>0</v>
      </c>
      <c r="S4141" s="95">
        <v>2.3681859999999999E-2</v>
      </c>
      <c r="T4141" s="95"/>
      <c r="U4141" s="107" t="s">
        <v>0</v>
      </c>
      <c r="V4141" s="111">
        <f t="shared" si="552"/>
        <v>12.645097463097839</v>
      </c>
      <c r="W4141" s="107" t="s">
        <v>15</v>
      </c>
      <c r="X4141" s="109">
        <f t="shared" si="553"/>
        <v>2.9869001647700801</v>
      </c>
      <c r="Y4141" s="95"/>
      <c r="Z4141" s="95"/>
      <c r="AA4141" s="95"/>
      <c r="AB4141" s="95"/>
      <c r="AC4141" s="355"/>
      <c r="AD4141" s="355"/>
      <c r="AE4141" s="355"/>
      <c r="AF4141" s="94">
        <f t="shared" si="546"/>
        <v>43371</v>
      </c>
      <c r="AG4141" s="185">
        <f t="shared" si="550"/>
        <v>-6.7616936173140463E-3</v>
      </c>
      <c r="AH4141" s="339" t="str">
        <f>VLOOKUP(B4141,'MF PF'!A:B,2)</f>
        <v>FdMgt1</v>
      </c>
      <c r="AI4141" s="358">
        <f t="shared" si="547"/>
        <v>0</v>
      </c>
      <c r="AJ4141" s="94">
        <f t="shared" si="548"/>
        <v>43373</v>
      </c>
    </row>
    <row r="4142" spans="1:36" ht="12.75" customHeight="1">
      <c r="A4142" s="94">
        <v>43404</v>
      </c>
      <c r="B4142" s="358" t="s">
        <v>149</v>
      </c>
      <c r="C4142" s="6" t="s">
        <v>297</v>
      </c>
      <c r="D4142" s="93">
        <v>43122857.423479624</v>
      </c>
      <c r="E4142" s="95">
        <v>405.02640000000002</v>
      </c>
      <c r="F4142" s="93">
        <v>0</v>
      </c>
      <c r="G4142" s="93">
        <v>0</v>
      </c>
      <c r="H4142" s="93">
        <v>0</v>
      </c>
      <c r="I4142" s="93">
        <v>0</v>
      </c>
      <c r="K4142" s="360">
        <v>106469.22719999999</v>
      </c>
      <c r="L4142" s="93">
        <f t="shared" si="544"/>
        <v>0</v>
      </c>
      <c r="M4142" s="95">
        <f t="shared" ca="1" si="545"/>
        <v>0</v>
      </c>
      <c r="N4142" s="95">
        <f ca="1">IF(P4142="Hedge Fund",IF(A4142=Summary!$AD$3,M4142-E4142,M4142),IF(A4142=Summary!$AD$3,L4142-D4142,L4142))</f>
        <v>0</v>
      </c>
      <c r="O4142" s="95"/>
      <c r="P4142" s="95" t="s">
        <v>139</v>
      </c>
      <c r="Q4142" s="95">
        <v>3.6220311238082468E-2</v>
      </c>
      <c r="R4142" s="95">
        <v>0.38104188999999999</v>
      </c>
      <c r="S4142" s="95">
        <v>2.7910770000000001E-2</v>
      </c>
      <c r="T4142" s="95">
        <v>0.13629435499999998</v>
      </c>
      <c r="U4142" s="107" t="s">
        <v>0</v>
      </c>
      <c r="V4142" s="111">
        <f t="shared" si="552"/>
        <v>14.539284848200321</v>
      </c>
      <c r="W4142" s="107" t="s">
        <v>15</v>
      </c>
      <c r="X4142" s="109">
        <f t="shared" si="553"/>
        <v>3.4343264206118405</v>
      </c>
      <c r="Y4142" s="95"/>
      <c r="Z4142" s="95"/>
      <c r="AA4142" s="95"/>
      <c r="AB4142" s="95"/>
      <c r="AC4142" s="355"/>
      <c r="AD4142" s="355"/>
      <c r="AE4142" s="355"/>
      <c r="AF4142" s="94">
        <f t="shared" si="546"/>
        <v>43404</v>
      </c>
      <c r="AG4142" s="185">
        <f t="shared" si="550"/>
        <v>0.14979639355541052</v>
      </c>
      <c r="AH4142" s="339" t="str">
        <f>VLOOKUP(B4142,'MF PF'!A:B,2)</f>
        <v>FdMgt1</v>
      </c>
      <c r="AI4142" s="358">
        <f t="shared" si="547"/>
        <v>0</v>
      </c>
      <c r="AJ4142" s="94">
        <f t="shared" si="548"/>
        <v>43404</v>
      </c>
    </row>
    <row r="4143" spans="1:36" ht="12.75" customHeight="1">
      <c r="A4143" s="8">
        <v>43434</v>
      </c>
      <c r="B4143" s="358" t="s">
        <v>149</v>
      </c>
      <c r="C4143" s="6" t="s">
        <v>297</v>
      </c>
      <c r="D4143" s="93">
        <v>42306558.132251896</v>
      </c>
      <c r="E4143" s="95">
        <v>397.35939999999999</v>
      </c>
      <c r="F4143" s="93">
        <v>0</v>
      </c>
      <c r="G4143" s="93">
        <v>0</v>
      </c>
      <c r="H4143" s="93">
        <v>0</v>
      </c>
      <c r="I4143" s="93">
        <v>0</v>
      </c>
      <c r="K4143" s="360">
        <v>106469.22719999999</v>
      </c>
      <c r="L4143" s="93">
        <f t="shared" si="544"/>
        <v>0</v>
      </c>
      <c r="M4143" s="95">
        <f t="shared" ca="1" si="545"/>
        <v>0</v>
      </c>
      <c r="N4143" s="95">
        <f ca="1">IF(P4143="Hedge Fund",IF(A4143=Summary!$AD$3,M4143-E4143,M4143),IF(A4143=Summary!$AD$3,L4143-D4143,L4143))</f>
        <v>0</v>
      </c>
      <c r="O4143" s="95"/>
      <c r="P4143" s="95" t="s">
        <v>139</v>
      </c>
      <c r="Q4143" s="95">
        <v>0</v>
      </c>
      <c r="R4143" s="95">
        <v>0</v>
      </c>
      <c r="S4143" s="95">
        <v>2.5373429999999999E-2</v>
      </c>
      <c r="T4143" s="95">
        <v>9.2108800000000005E-2</v>
      </c>
      <c r="U4143" s="107" t="s">
        <v>0</v>
      </c>
      <c r="V4143" s="111">
        <f t="shared" si="552"/>
        <v>14.26406156169072</v>
      </c>
      <c r="W4143" s="107" t="s">
        <v>15</v>
      </c>
      <c r="X4143" s="109">
        <f t="shared" si="553"/>
        <v>3.3693158912566403</v>
      </c>
      <c r="Y4143" s="95"/>
      <c r="Z4143" s="95"/>
      <c r="AA4143" s="95"/>
      <c r="AB4143" s="95"/>
      <c r="AC4143" s="355"/>
      <c r="AD4143" s="355"/>
      <c r="AE4143" s="355"/>
      <c r="AF4143" s="94">
        <f t="shared" si="546"/>
        <v>43434</v>
      </c>
      <c r="AG4143" s="185">
        <f t="shared" si="550"/>
        <v>-1.8929619695917221E-2</v>
      </c>
      <c r="AH4143" s="339" t="str">
        <f>VLOOKUP(B4143,'MF PF'!A:B,2)</f>
        <v>FdMgt1</v>
      </c>
      <c r="AI4143" s="358">
        <f t="shared" si="547"/>
        <v>0</v>
      </c>
      <c r="AJ4143" s="94">
        <f t="shared" si="548"/>
        <v>43434</v>
      </c>
    </row>
    <row r="4144" spans="1:36" ht="12.75" customHeight="1">
      <c r="A4144" s="8">
        <v>43465</v>
      </c>
      <c r="B4144" s="358" t="s">
        <v>149</v>
      </c>
      <c r="C4144" s="6" t="s">
        <v>297</v>
      </c>
      <c r="D4144" s="93">
        <v>45093034.945577875</v>
      </c>
      <c r="E4144" s="95">
        <v>423.53109999999998</v>
      </c>
      <c r="F4144" s="93">
        <v>0</v>
      </c>
      <c r="G4144" s="93">
        <v>0</v>
      </c>
      <c r="H4144" s="93">
        <v>0</v>
      </c>
      <c r="I4144" s="93">
        <v>0</v>
      </c>
      <c r="K4144" s="360">
        <v>106469.22719999999</v>
      </c>
      <c r="L4144" s="93">
        <f t="shared" si="544"/>
        <v>0</v>
      </c>
      <c r="M4144" s="95">
        <f t="shared" ca="1" si="545"/>
        <v>0</v>
      </c>
      <c r="N4144" s="95">
        <f ca="1">IF(P4144="Hedge Fund",IF(A4144=Summary!$AD$3,M4144-E4144,M4144),IF(A4144=Summary!$AD$3,L4144-D4144,L4144))</f>
        <v>0</v>
      </c>
      <c r="O4144" s="95"/>
      <c r="P4144" s="95" t="s">
        <v>139</v>
      </c>
      <c r="Q4144" s="95">
        <v>3.4025159999999999E-2</v>
      </c>
      <c r="R4144" s="95">
        <v>0.59498656000000005</v>
      </c>
      <c r="S4144" s="95">
        <v>2.621923E-2</v>
      </c>
      <c r="T4144" s="95">
        <v>0.22388236</v>
      </c>
      <c r="U4144" s="107" t="s">
        <v>0</v>
      </c>
      <c r="V4144" s="111">
        <f t="shared" si="552"/>
        <v>15.203550447505679</v>
      </c>
      <c r="W4144" s="107" t="s">
        <v>15</v>
      </c>
      <c r="X4144" s="109">
        <f t="shared" si="553"/>
        <v>3.5912326867601601</v>
      </c>
      <c r="Y4144" s="95"/>
      <c r="Z4144" s="95"/>
      <c r="AA4144" s="95"/>
      <c r="AB4144" s="95"/>
      <c r="AC4144" s="355"/>
      <c r="AD4144" s="355"/>
      <c r="AE4144" s="355"/>
      <c r="AF4144" s="94">
        <f t="shared" si="546"/>
        <v>43465</v>
      </c>
      <c r="AG4144" s="185">
        <f t="shared" si="550"/>
        <v>6.586394489041969E-2</v>
      </c>
      <c r="AH4144" s="339" t="str">
        <f>VLOOKUP(B4144,'MF PF'!A:B,2)</f>
        <v>FdMgt1</v>
      </c>
      <c r="AI4144" s="358">
        <f t="shared" si="547"/>
        <v>0</v>
      </c>
      <c r="AJ4144" s="94">
        <f t="shared" si="548"/>
        <v>43465</v>
      </c>
    </row>
    <row r="4145" spans="1:36" ht="12.75" customHeight="1">
      <c r="A4145" s="8">
        <v>43496</v>
      </c>
      <c r="B4145" s="358" t="s">
        <v>149</v>
      </c>
      <c r="C4145" s="6" t="s">
        <v>297</v>
      </c>
      <c r="D4145" s="93">
        <v>27614888.98881603</v>
      </c>
      <c r="E4145" s="95">
        <v>399.19670000000002</v>
      </c>
      <c r="F4145" s="93">
        <v>0</v>
      </c>
      <c r="G4145" s="93">
        <v>3000000</v>
      </c>
      <c r="H4145" s="379">
        <v>-18794783.134265836</v>
      </c>
      <c r="I4145" s="93">
        <v>0</v>
      </c>
      <c r="K4145" s="360">
        <v>69176.137699999992</v>
      </c>
      <c r="L4145" s="93">
        <f t="shared" si="544"/>
        <v>-15794783.134265836</v>
      </c>
      <c r="M4145" s="95">
        <f t="shared" ca="1" si="545"/>
        <v>0</v>
      </c>
      <c r="N4145" s="95">
        <f ca="1">IF(P4145="Hedge Fund",IF(A4145=Summary!$AD$3,M4145-E4145,M4145),IF(A4145=Summary!$AD$3,L4145-D4145,L4145))</f>
        <v>-399.19670000000002</v>
      </c>
      <c r="O4145" s="95"/>
      <c r="P4145" s="95" t="s">
        <v>139</v>
      </c>
      <c r="Q4145" s="95">
        <v>3.6490910000000001E-2</v>
      </c>
      <c r="R4145" s="95">
        <v>0</v>
      </c>
      <c r="S4145" s="95">
        <v>2.704115E-2</v>
      </c>
      <c r="T4145" s="95">
        <v>0</v>
      </c>
      <c r="U4145" s="95"/>
      <c r="V4145" s="95"/>
      <c r="W4145" s="95"/>
      <c r="X4145" s="95"/>
      <c r="Y4145" s="95"/>
      <c r="Z4145" s="95"/>
      <c r="AA4145" s="95"/>
      <c r="AB4145" s="95"/>
      <c r="AC4145" s="355"/>
      <c r="AD4145" s="355"/>
      <c r="AE4145" s="355"/>
      <c r="AF4145" s="94">
        <f t="shared" si="546"/>
        <v>43496</v>
      </c>
      <c r="AG4145" s="185">
        <f t="shared" si="550"/>
        <v>-3.7330883240119905E-2</v>
      </c>
      <c r="AH4145" s="339" t="str">
        <f>VLOOKUP(B4145,'MF PF'!A:B,2)</f>
        <v>FdMgt1</v>
      </c>
      <c r="AI4145" s="358">
        <f t="shared" si="547"/>
        <v>0</v>
      </c>
      <c r="AJ4145" s="94">
        <f t="shared" si="548"/>
        <v>43496</v>
      </c>
    </row>
    <row r="4146" spans="1:36" ht="12.75" customHeight="1">
      <c r="A4146" s="8">
        <v>41906</v>
      </c>
      <c r="B4146" s="94" t="s">
        <v>32</v>
      </c>
      <c r="C4146" s="6" t="s">
        <v>297</v>
      </c>
      <c r="D4146" s="98">
        <v>56000000</v>
      </c>
      <c r="E4146" s="95">
        <f t="shared" ref="E4146:E4177" si="554">IF(K4146="","",D4146/K4146)</f>
        <v>103.70370370370371</v>
      </c>
      <c r="F4146" s="98"/>
      <c r="G4146" s="98">
        <v>56000000</v>
      </c>
      <c r="H4146" s="98">
        <v>0</v>
      </c>
      <c r="I4146" s="98">
        <v>0</v>
      </c>
      <c r="J4146" s="98"/>
      <c r="K4146" s="98">
        <v>540000</v>
      </c>
      <c r="L4146" s="93">
        <f t="shared" si="544"/>
        <v>56000000</v>
      </c>
      <c r="M4146" s="95">
        <f t="shared" ca="1" si="545"/>
        <v>103.70370370370371</v>
      </c>
      <c r="N4146" s="95">
        <f>IF(P4146="Hedge Fund",IF(A4146=Summary!$AD$3,M4146-E4146,M4146),IF(A4146=Summary!$AD$3,L4146-D4146,L4146))</f>
        <v>56000000</v>
      </c>
      <c r="O4146" s="95"/>
      <c r="P4146" s="107" t="s">
        <v>155</v>
      </c>
      <c r="Q4146" s="107">
        <v>0</v>
      </c>
      <c r="R4146" s="107">
        <v>0</v>
      </c>
      <c r="S4146" s="107">
        <v>0</v>
      </c>
      <c r="T4146" s="107">
        <v>0</v>
      </c>
      <c r="U4146" s="107"/>
      <c r="V4146" s="107"/>
      <c r="W4146" s="107"/>
      <c r="X4146" s="107"/>
      <c r="Y4146" s="107"/>
      <c r="Z4146" s="107"/>
      <c r="AA4146" s="107"/>
      <c r="AB4146" s="107"/>
      <c r="AC4146" s="355"/>
      <c r="AD4146" s="355"/>
      <c r="AE4146" s="355"/>
      <c r="AF4146" s="94">
        <f t="shared" si="546"/>
        <v>41906</v>
      </c>
      <c r="AG4146" s="185">
        <f t="shared" si="550"/>
        <v>-1</v>
      </c>
      <c r="AH4146" s="339" t="str">
        <f>VLOOKUP(B4146,'MF PF'!A:B,2)</f>
        <v>FdMgtRGE</v>
      </c>
      <c r="AI4146" s="358">
        <f t="shared" si="547"/>
        <v>0</v>
      </c>
      <c r="AJ4146" s="94">
        <f t="shared" si="548"/>
        <v>41912</v>
      </c>
    </row>
    <row r="4147" spans="1:36" ht="12.75" customHeight="1">
      <c r="A4147" s="94">
        <v>41912</v>
      </c>
      <c r="B4147" s="94" t="s">
        <v>32</v>
      </c>
      <c r="C4147" s="6" t="s">
        <v>297</v>
      </c>
      <c r="D4147" s="98">
        <v>55978302.18</v>
      </c>
      <c r="E4147" s="95">
        <f t="shared" si="554"/>
        <v>103.66352255555556</v>
      </c>
      <c r="F4147" s="98"/>
      <c r="G4147" s="98">
        <v>0</v>
      </c>
      <c r="H4147" s="98">
        <v>0</v>
      </c>
      <c r="I4147" s="98">
        <v>0</v>
      </c>
      <c r="J4147" s="98"/>
      <c r="K4147" s="98">
        <v>540000</v>
      </c>
      <c r="L4147" s="93">
        <f t="shared" si="544"/>
        <v>0</v>
      </c>
      <c r="M4147" s="95">
        <f t="shared" ca="1" si="545"/>
        <v>0</v>
      </c>
      <c r="N4147" s="95">
        <f>IF(P4147="Hedge Fund",IF(A4147=Summary!$AD$3,M4147-E4147,M4147),IF(A4147=Summary!$AD$3,L4147-D4147,L4147))</f>
        <v>0</v>
      </c>
      <c r="O4147" s="95"/>
      <c r="P4147" s="107" t="s">
        <v>155</v>
      </c>
      <c r="Q4147" s="107">
        <v>4.5000000000000005E-2</v>
      </c>
      <c r="R4147" s="107">
        <v>0</v>
      </c>
      <c r="S4147" s="107">
        <v>3.5833333333333335E-2</v>
      </c>
      <c r="T4147" s="107">
        <v>0</v>
      </c>
      <c r="U4147" s="107" t="s">
        <v>154</v>
      </c>
      <c r="V4147" s="107">
        <v>1.7564749499999999</v>
      </c>
      <c r="W4147" s="107" t="s">
        <v>15</v>
      </c>
      <c r="X4147" s="107">
        <v>0.25092499000000001</v>
      </c>
      <c r="Y4147" s="107"/>
      <c r="Z4147" s="107"/>
      <c r="AA4147" s="107"/>
      <c r="AB4147" s="107"/>
      <c r="AC4147" s="355"/>
      <c r="AD4147" s="355"/>
      <c r="AE4147" s="355"/>
      <c r="AF4147" s="94">
        <f t="shared" si="546"/>
        <v>41912</v>
      </c>
      <c r="AG4147" s="185">
        <f t="shared" si="550"/>
        <v>-3.8746107142861863E-4</v>
      </c>
      <c r="AH4147" s="339" t="str">
        <f>VLOOKUP(B4147,'MF PF'!A:B,2)</f>
        <v>FdMgtRGE</v>
      </c>
      <c r="AI4147" s="358">
        <f t="shared" si="547"/>
        <v>0</v>
      </c>
      <c r="AJ4147" s="94">
        <f t="shared" si="548"/>
        <v>41912</v>
      </c>
    </row>
    <row r="4148" spans="1:36" ht="12.75" customHeight="1">
      <c r="A4148" s="8">
        <v>41943</v>
      </c>
      <c r="B4148" s="94" t="s">
        <v>32</v>
      </c>
      <c r="C4148" s="6" t="s">
        <v>297</v>
      </c>
      <c r="D4148" s="98">
        <v>55978302.18</v>
      </c>
      <c r="E4148" s="95">
        <f t="shared" si="554"/>
        <v>103.66352255555556</v>
      </c>
      <c r="F4148" s="98"/>
      <c r="G4148" s="98">
        <v>0</v>
      </c>
      <c r="H4148" s="98">
        <v>0</v>
      </c>
      <c r="I4148" s="98">
        <v>0</v>
      </c>
      <c r="J4148" s="98"/>
      <c r="K4148" s="98">
        <v>540000</v>
      </c>
      <c r="L4148" s="93">
        <f t="shared" si="544"/>
        <v>0</v>
      </c>
      <c r="M4148" s="95">
        <f t="shared" ca="1" si="545"/>
        <v>0</v>
      </c>
      <c r="N4148" s="95">
        <f>IF(P4148="Hedge Fund",IF(A4148=Summary!$AD$3,M4148-E4148,M4148),IF(A4148=Summary!$AD$3,L4148-D4148,L4148))</f>
        <v>0</v>
      </c>
      <c r="O4148" s="95"/>
      <c r="P4148" s="107" t="s">
        <v>155</v>
      </c>
      <c r="Q4148" s="107">
        <v>4.5000000000000005E-2</v>
      </c>
      <c r="R4148" s="107">
        <v>0</v>
      </c>
      <c r="S4148" s="107">
        <v>3.5833333333333335E-2</v>
      </c>
      <c r="T4148" s="107">
        <v>0</v>
      </c>
      <c r="U4148" s="107" t="s">
        <v>154</v>
      </c>
      <c r="V4148" s="107">
        <v>1.7856961</v>
      </c>
      <c r="W4148" s="107" t="s">
        <v>15</v>
      </c>
      <c r="X4148" s="107">
        <v>0.25509944000000001</v>
      </c>
      <c r="Y4148" s="107"/>
      <c r="Z4148" s="107"/>
      <c r="AA4148" s="107"/>
      <c r="AB4148" s="107"/>
      <c r="AC4148" s="355"/>
      <c r="AD4148" s="355"/>
      <c r="AE4148" s="355"/>
      <c r="AF4148" s="94">
        <f t="shared" si="546"/>
        <v>41943</v>
      </c>
      <c r="AG4148" s="185">
        <f t="shared" si="550"/>
        <v>0</v>
      </c>
      <c r="AH4148" s="339" t="str">
        <f>VLOOKUP(B4148,'MF PF'!A:B,2)</f>
        <v>FdMgtRGE</v>
      </c>
      <c r="AI4148" s="358">
        <f t="shared" si="547"/>
        <v>0</v>
      </c>
      <c r="AJ4148" s="94">
        <f t="shared" si="548"/>
        <v>41943</v>
      </c>
    </row>
    <row r="4149" spans="1:36" ht="12.75" customHeight="1">
      <c r="A4149" s="8">
        <v>41971</v>
      </c>
      <c r="B4149" s="94" t="s">
        <v>32</v>
      </c>
      <c r="C4149" s="6" t="s">
        <v>297</v>
      </c>
      <c r="D4149" s="98">
        <v>55978302.18</v>
      </c>
      <c r="E4149" s="95">
        <f t="shared" si="554"/>
        <v>103.66352255555556</v>
      </c>
      <c r="F4149" s="98"/>
      <c r="G4149" s="98">
        <v>0</v>
      </c>
      <c r="H4149" s="98">
        <v>0</v>
      </c>
      <c r="I4149" s="98">
        <v>0</v>
      </c>
      <c r="J4149" s="98"/>
      <c r="K4149" s="98">
        <v>540000</v>
      </c>
      <c r="L4149" s="93">
        <f t="shared" si="544"/>
        <v>0</v>
      </c>
      <c r="M4149" s="95">
        <f t="shared" ca="1" si="545"/>
        <v>0</v>
      </c>
      <c r="N4149" s="95">
        <f>IF(P4149="Hedge Fund",IF(A4149=Summary!$AD$3,M4149-E4149,M4149),IF(A4149=Summary!$AD$3,L4149-D4149,L4149))</f>
        <v>0</v>
      </c>
      <c r="O4149" s="95"/>
      <c r="P4149" s="107" t="s">
        <v>155</v>
      </c>
      <c r="Q4149" s="107">
        <v>4.5000000000000005E-2</v>
      </c>
      <c r="R4149" s="107">
        <v>0</v>
      </c>
      <c r="S4149" s="107">
        <v>3.5833333333333335E-2</v>
      </c>
      <c r="T4149" s="107">
        <v>0</v>
      </c>
      <c r="U4149" s="107" t="s">
        <v>154</v>
      </c>
      <c r="V4149" s="107">
        <v>1.8122402</v>
      </c>
      <c r="W4149" s="107" t="s">
        <v>15</v>
      </c>
      <c r="X4149" s="107">
        <v>0.24541923000000002</v>
      </c>
      <c r="Y4149" s="107"/>
      <c r="Z4149" s="107"/>
      <c r="AA4149" s="107"/>
      <c r="AB4149" s="107"/>
      <c r="AC4149" s="355"/>
      <c r="AD4149" s="355"/>
      <c r="AE4149" s="355"/>
      <c r="AF4149" s="94">
        <f t="shared" si="546"/>
        <v>41971</v>
      </c>
      <c r="AG4149" s="185">
        <f t="shared" si="550"/>
        <v>0</v>
      </c>
      <c r="AH4149" s="339" t="str">
        <f>VLOOKUP(B4149,'MF PF'!A:B,2)</f>
        <v>FdMgtRGE</v>
      </c>
      <c r="AI4149" s="358">
        <f t="shared" si="547"/>
        <v>0</v>
      </c>
      <c r="AJ4149" s="94">
        <f t="shared" si="548"/>
        <v>41973</v>
      </c>
    </row>
    <row r="4150" spans="1:36" ht="12.75" customHeight="1">
      <c r="A4150" s="8">
        <v>42004</v>
      </c>
      <c r="B4150" s="94" t="s">
        <v>32</v>
      </c>
      <c r="C4150" s="6" t="s">
        <v>297</v>
      </c>
      <c r="D4150" s="98">
        <v>55572933.236718029</v>
      </c>
      <c r="E4150" s="95">
        <f t="shared" si="554"/>
        <v>102.91283932725561</v>
      </c>
      <c r="F4150" s="98"/>
      <c r="G4150" s="98">
        <v>0</v>
      </c>
      <c r="H4150" s="98">
        <v>0</v>
      </c>
      <c r="I4150" s="98">
        <v>0</v>
      </c>
      <c r="J4150" s="98"/>
      <c r="K4150" s="98">
        <v>540000</v>
      </c>
      <c r="L4150" s="93">
        <f t="shared" si="544"/>
        <v>0</v>
      </c>
      <c r="M4150" s="95">
        <f t="shared" ca="1" si="545"/>
        <v>0</v>
      </c>
      <c r="N4150" s="95">
        <f>IF(P4150="Hedge Fund",IF(A4150=Summary!$AD$3,M4150-E4150,M4150),IF(A4150=Summary!$AD$3,L4150-D4150,L4150))</f>
        <v>0</v>
      </c>
      <c r="O4150" s="95"/>
      <c r="P4150" s="107" t="s">
        <v>155</v>
      </c>
      <c r="Q4150" s="107">
        <v>4.5000000000000005E-2</v>
      </c>
      <c r="R4150" s="107">
        <v>0</v>
      </c>
      <c r="S4150" s="107">
        <v>3.5833333333333335E-2</v>
      </c>
      <c r="T4150" s="107">
        <v>0</v>
      </c>
      <c r="U4150" s="107" t="s">
        <v>154</v>
      </c>
      <c r="V4150" s="107">
        <v>1.7499584099999999</v>
      </c>
      <c r="W4150" s="107" t="s">
        <v>15</v>
      </c>
      <c r="X4150" s="107">
        <v>0.24999405999999999</v>
      </c>
      <c r="Y4150" s="107"/>
      <c r="Z4150" s="107"/>
      <c r="AA4150" s="107"/>
      <c r="AB4150" s="107"/>
      <c r="AC4150" s="355"/>
      <c r="AD4150" s="355"/>
      <c r="AE4150" s="355"/>
      <c r="AF4150" s="94">
        <f t="shared" si="546"/>
        <v>42004</v>
      </c>
      <c r="AG4150" s="185">
        <f t="shared" si="550"/>
        <v>-7.2415369436982235E-3</v>
      </c>
      <c r="AH4150" s="339" t="str">
        <f>VLOOKUP(B4150,'MF PF'!A:B,2)</f>
        <v>FdMgtRGE</v>
      </c>
      <c r="AI4150" s="358">
        <f t="shared" si="547"/>
        <v>0</v>
      </c>
      <c r="AJ4150" s="94">
        <f t="shared" si="548"/>
        <v>42004</v>
      </c>
    </row>
    <row r="4151" spans="1:36" ht="12.75" customHeight="1">
      <c r="A4151" s="8">
        <v>42034</v>
      </c>
      <c r="B4151" s="94" t="s">
        <v>32</v>
      </c>
      <c r="C4151" s="6" t="s">
        <v>297</v>
      </c>
      <c r="D4151" s="98">
        <v>55572933.236717999</v>
      </c>
      <c r="E4151" s="95">
        <f t="shared" si="554"/>
        <v>102.91283932725558</v>
      </c>
      <c r="F4151" s="98"/>
      <c r="G4151" s="98">
        <v>0</v>
      </c>
      <c r="H4151" s="98">
        <v>-1.4901161193847656E-8</v>
      </c>
      <c r="I4151" s="98">
        <v>0</v>
      </c>
      <c r="J4151" s="98"/>
      <c r="K4151" s="98">
        <v>539999.99999999988</v>
      </c>
      <c r="L4151" s="93">
        <f t="shared" si="544"/>
        <v>-1.4901161193847656E-8</v>
      </c>
      <c r="M4151" s="95">
        <f t="shared" ca="1" si="545"/>
        <v>0</v>
      </c>
      <c r="N4151" s="95">
        <f>IF(P4151="Hedge Fund",IF(A4151=Summary!$AD$3,M4151-E4151,M4151),IF(A4151=Summary!$AD$3,L4151-D4151,L4151))</f>
        <v>-1.4901161193847656E-8</v>
      </c>
      <c r="O4151" s="95"/>
      <c r="P4151" s="107" t="s">
        <v>155</v>
      </c>
      <c r="Q4151" s="107">
        <v>4.5000000000000005E-2</v>
      </c>
      <c r="R4151" s="107">
        <v>0</v>
      </c>
      <c r="S4151" s="107">
        <v>3.5833333333333335E-2</v>
      </c>
      <c r="T4151" s="107">
        <v>0</v>
      </c>
      <c r="U4151" s="107" t="s">
        <v>154</v>
      </c>
      <c r="V4151" s="107">
        <v>1.77869593</v>
      </c>
      <c r="W4151" s="107" t="s">
        <v>15</v>
      </c>
      <c r="X4151" s="107">
        <v>0.25409942000000002</v>
      </c>
      <c r="Y4151" s="107"/>
      <c r="Z4151" s="107"/>
      <c r="AA4151" s="107"/>
      <c r="AB4151" s="107"/>
      <c r="AC4151" s="355"/>
      <c r="AD4151" s="355"/>
      <c r="AE4151" s="355"/>
      <c r="AF4151" s="94">
        <f t="shared" si="546"/>
        <v>42034</v>
      </c>
      <c r="AG4151" s="185">
        <f t="shared" si="550"/>
        <v>-2.2204460492503131E-16</v>
      </c>
      <c r="AH4151" s="339" t="str">
        <f>VLOOKUP(B4151,'MF PF'!A:B,2)</f>
        <v>FdMgtRGE</v>
      </c>
      <c r="AI4151" s="358">
        <f t="shared" si="547"/>
        <v>0</v>
      </c>
      <c r="AJ4151" s="94">
        <f t="shared" si="548"/>
        <v>42035</v>
      </c>
    </row>
    <row r="4152" spans="1:36" ht="12.75" customHeight="1">
      <c r="A4152" s="94">
        <v>42062</v>
      </c>
      <c r="B4152" s="94" t="s">
        <v>32</v>
      </c>
      <c r="C4152" s="6" t="s">
        <v>297</v>
      </c>
      <c r="D4152" s="98">
        <v>55572933.236717999</v>
      </c>
      <c r="E4152" s="95">
        <f t="shared" si="554"/>
        <v>102.91283932725558</v>
      </c>
      <c r="F4152" s="98"/>
      <c r="G4152" s="98">
        <v>0</v>
      </c>
      <c r="H4152" s="98">
        <v>0</v>
      </c>
      <c r="I4152" s="98">
        <v>0</v>
      </c>
      <c r="J4152" s="98"/>
      <c r="K4152" s="98">
        <v>539999.99999999988</v>
      </c>
      <c r="L4152" s="93">
        <f t="shared" si="544"/>
        <v>0</v>
      </c>
      <c r="M4152" s="95">
        <f t="shared" ca="1" si="545"/>
        <v>0</v>
      </c>
      <c r="N4152" s="95">
        <f>IF(P4152="Hedge Fund",IF(A4152=Summary!$AD$3,M4152-E4152,M4152),IF(A4152=Summary!$AD$3,L4152-D4152,L4152))</f>
        <v>0</v>
      </c>
      <c r="O4152" s="95"/>
      <c r="P4152" s="107" t="s">
        <v>155</v>
      </c>
      <c r="Q4152" s="107">
        <v>4.5000000000000005E-2</v>
      </c>
      <c r="R4152" s="107">
        <v>0</v>
      </c>
      <c r="S4152" s="107">
        <v>3.5833333333333335E-2</v>
      </c>
      <c r="T4152" s="107">
        <v>0</v>
      </c>
      <c r="U4152" s="107" t="s">
        <v>154</v>
      </c>
      <c r="V4152" s="107">
        <v>1.8054948500000001</v>
      </c>
      <c r="W4152" s="107" t="s">
        <v>15</v>
      </c>
      <c r="X4152" s="107">
        <v>0.25792784000000002</v>
      </c>
      <c r="Y4152" s="107"/>
      <c r="Z4152" s="107"/>
      <c r="AA4152" s="107"/>
      <c r="AB4152" s="107"/>
      <c r="AC4152" s="355"/>
      <c r="AD4152" s="355"/>
      <c r="AE4152" s="355"/>
      <c r="AF4152" s="94">
        <f t="shared" si="546"/>
        <v>42062</v>
      </c>
      <c r="AG4152" s="185">
        <f t="shared" si="550"/>
        <v>0</v>
      </c>
      <c r="AH4152" s="339" t="str">
        <f>VLOOKUP(B4152,'MF PF'!A:B,2)</f>
        <v>FdMgtRGE</v>
      </c>
      <c r="AI4152" s="358">
        <f t="shared" si="547"/>
        <v>0</v>
      </c>
      <c r="AJ4152" s="94">
        <f t="shared" si="548"/>
        <v>42063</v>
      </c>
    </row>
    <row r="4153" spans="1:36" ht="12.75" customHeight="1">
      <c r="A4153" s="8">
        <v>42094</v>
      </c>
      <c r="B4153" s="94" t="s">
        <v>32</v>
      </c>
      <c r="C4153" s="6" t="s">
        <v>297</v>
      </c>
      <c r="D4153" s="98">
        <v>55376503.040502302</v>
      </c>
      <c r="E4153" s="95">
        <f t="shared" si="554"/>
        <v>102.54907970463391</v>
      </c>
      <c r="F4153" s="98"/>
      <c r="G4153" s="98">
        <v>0</v>
      </c>
      <c r="H4153" s="98">
        <v>0</v>
      </c>
      <c r="I4153" s="98">
        <v>0</v>
      </c>
      <c r="J4153" s="98"/>
      <c r="K4153" s="98">
        <v>539999.99999999988</v>
      </c>
      <c r="L4153" s="93">
        <f t="shared" si="544"/>
        <v>0</v>
      </c>
      <c r="M4153" s="95">
        <f t="shared" ca="1" si="545"/>
        <v>0</v>
      </c>
      <c r="N4153" s="95">
        <f>IF(P4153="Hedge Fund",IF(A4153=Summary!$AD$3,M4153-E4153,M4153),IF(A4153=Summary!$AD$3,L4153-D4153,L4153))</f>
        <v>0</v>
      </c>
      <c r="O4153" s="95"/>
      <c r="P4153" s="107" t="s">
        <v>155</v>
      </c>
      <c r="Q4153" s="107">
        <v>4.5000000000000005E-2</v>
      </c>
      <c r="R4153" s="107">
        <v>0</v>
      </c>
      <c r="S4153" s="107">
        <v>3.5833333333333335E-2</v>
      </c>
      <c r="T4153" s="107">
        <v>0</v>
      </c>
      <c r="U4153" s="107" t="s">
        <v>154</v>
      </c>
      <c r="V4153" s="107">
        <v>1.8366406899999999</v>
      </c>
      <c r="W4153" s="107" t="s">
        <v>15</v>
      </c>
      <c r="X4153" s="107">
        <v>0.26237724000000001</v>
      </c>
      <c r="Y4153" s="107"/>
      <c r="Z4153" s="107"/>
      <c r="AA4153" s="107"/>
      <c r="AB4153" s="107"/>
      <c r="AC4153" s="355"/>
      <c r="AD4153" s="355"/>
      <c r="AE4153" s="355"/>
      <c r="AF4153" s="94">
        <f t="shared" si="546"/>
        <v>42094</v>
      </c>
      <c r="AG4153" s="185">
        <f t="shared" si="550"/>
        <v>-3.5346379032934472E-3</v>
      </c>
      <c r="AH4153" s="339" t="str">
        <f>VLOOKUP(B4153,'MF PF'!A:B,2)</f>
        <v>FdMgtRGE</v>
      </c>
      <c r="AI4153" s="358">
        <f t="shared" si="547"/>
        <v>0</v>
      </c>
      <c r="AJ4153" s="94">
        <f t="shared" si="548"/>
        <v>42094</v>
      </c>
    </row>
    <row r="4154" spans="1:36" ht="12.75" customHeight="1">
      <c r="A4154" s="8">
        <v>42124</v>
      </c>
      <c r="B4154" s="94" t="s">
        <v>32</v>
      </c>
      <c r="C4154" s="6" t="s">
        <v>297</v>
      </c>
      <c r="D4154" s="98">
        <v>55376503.040502302</v>
      </c>
      <c r="E4154" s="95">
        <f t="shared" si="554"/>
        <v>102.54907970463391</v>
      </c>
      <c r="F4154" s="98"/>
      <c r="G4154" s="98">
        <v>0</v>
      </c>
      <c r="H4154" s="98">
        <v>0</v>
      </c>
      <c r="I4154" s="98">
        <v>0</v>
      </c>
      <c r="J4154" s="98"/>
      <c r="K4154" s="98">
        <v>539999.99999999988</v>
      </c>
      <c r="L4154" s="93">
        <f t="shared" si="544"/>
        <v>0</v>
      </c>
      <c r="M4154" s="95">
        <f t="shared" ca="1" si="545"/>
        <v>0</v>
      </c>
      <c r="N4154" s="95">
        <f>IF(P4154="Hedge Fund",IF(A4154=Summary!$AD$3,M4154-E4154,M4154),IF(A4154=Summary!$AD$3,L4154-D4154,L4154))</f>
        <v>0</v>
      </c>
      <c r="O4154" s="95"/>
      <c r="P4154" s="107" t="s">
        <v>155</v>
      </c>
      <c r="Q4154" s="107">
        <v>4.5000000000000005E-2</v>
      </c>
      <c r="R4154" s="107">
        <v>0</v>
      </c>
      <c r="S4154" s="107">
        <v>3.5833333333333335E-2</v>
      </c>
      <c r="T4154" s="107">
        <v>0</v>
      </c>
      <c r="U4154" s="107" t="s">
        <v>154</v>
      </c>
      <c r="V4154" s="107">
        <v>1.8649194599999999</v>
      </c>
      <c r="W4154" s="107" t="s">
        <v>15</v>
      </c>
      <c r="X4154" s="107">
        <v>0.26641707000000003</v>
      </c>
      <c r="Y4154" s="107"/>
      <c r="Z4154" s="107"/>
      <c r="AA4154" s="107"/>
      <c r="AB4154" s="107"/>
      <c r="AC4154" s="355"/>
      <c r="AD4154" s="355"/>
      <c r="AE4154" s="355"/>
      <c r="AF4154" s="94">
        <f t="shared" si="546"/>
        <v>42124</v>
      </c>
      <c r="AG4154" s="185">
        <f t="shared" si="550"/>
        <v>0</v>
      </c>
      <c r="AH4154" s="339" t="str">
        <f>VLOOKUP(B4154,'MF PF'!A:B,2)</f>
        <v>FdMgtRGE</v>
      </c>
      <c r="AI4154" s="358">
        <f t="shared" si="547"/>
        <v>0</v>
      </c>
      <c r="AJ4154" s="94">
        <f t="shared" si="548"/>
        <v>42124</v>
      </c>
    </row>
    <row r="4155" spans="1:36" ht="12.75" customHeight="1">
      <c r="A4155" s="8">
        <v>42153</v>
      </c>
      <c r="B4155" s="94" t="s">
        <v>32</v>
      </c>
      <c r="C4155" s="6" t="s">
        <v>297</v>
      </c>
      <c r="D4155" s="98">
        <v>55376503.040502302</v>
      </c>
      <c r="E4155" s="95">
        <f t="shared" si="554"/>
        <v>102.54907970463391</v>
      </c>
      <c r="F4155" s="98"/>
      <c r="G4155" s="98">
        <v>0</v>
      </c>
      <c r="H4155" s="98">
        <v>0</v>
      </c>
      <c r="I4155" s="98">
        <v>0</v>
      </c>
      <c r="J4155" s="98"/>
      <c r="K4155" s="98">
        <v>539999.99999999988</v>
      </c>
      <c r="L4155" s="93">
        <f t="shared" si="544"/>
        <v>0</v>
      </c>
      <c r="M4155" s="95">
        <f t="shared" ca="1" si="545"/>
        <v>0</v>
      </c>
      <c r="N4155" s="95">
        <f>IF(P4155="Hedge Fund",IF(A4155=Summary!$AD$3,M4155-E4155,M4155),IF(A4155=Summary!$AD$3,L4155-D4155,L4155))</f>
        <v>0</v>
      </c>
      <c r="O4155" s="95"/>
      <c r="P4155" s="107" t="s">
        <v>155</v>
      </c>
      <c r="Q4155" s="107">
        <v>4.5000000000000005E-2</v>
      </c>
      <c r="R4155" s="107">
        <v>0</v>
      </c>
      <c r="S4155" s="107">
        <v>3.5833333333333335E-2</v>
      </c>
      <c r="T4155" s="107">
        <v>0</v>
      </c>
      <c r="U4155" s="107" t="s">
        <v>154</v>
      </c>
      <c r="V4155" s="107">
        <v>1.7176623999999998</v>
      </c>
      <c r="W4155" s="107" t="s">
        <v>15</v>
      </c>
      <c r="X4155" s="107">
        <v>0.24538034</v>
      </c>
      <c r="Y4155" s="107"/>
      <c r="Z4155" s="107"/>
      <c r="AA4155" s="107"/>
      <c r="AB4155" s="107"/>
      <c r="AC4155" s="355"/>
      <c r="AD4155" s="355"/>
      <c r="AE4155" s="355"/>
      <c r="AF4155" s="94">
        <f t="shared" si="546"/>
        <v>42153</v>
      </c>
      <c r="AG4155" s="185">
        <f t="shared" si="550"/>
        <v>0</v>
      </c>
      <c r="AH4155" s="339" t="str">
        <f>VLOOKUP(B4155,'MF PF'!A:B,2)</f>
        <v>FdMgtRGE</v>
      </c>
      <c r="AI4155" s="358">
        <f t="shared" si="547"/>
        <v>0</v>
      </c>
      <c r="AJ4155" s="94">
        <f t="shared" si="548"/>
        <v>42155</v>
      </c>
    </row>
    <row r="4156" spans="1:36" ht="12.75" customHeight="1">
      <c r="A4156" s="8">
        <v>42185</v>
      </c>
      <c r="B4156" s="94" t="s">
        <v>32</v>
      </c>
      <c r="C4156" s="6" t="s">
        <v>297</v>
      </c>
      <c r="D4156" s="98">
        <v>54986154.609450459</v>
      </c>
      <c r="E4156" s="95">
        <f t="shared" si="554"/>
        <v>101.82621223972309</v>
      </c>
      <c r="F4156" s="98"/>
      <c r="G4156" s="98">
        <v>0</v>
      </c>
      <c r="H4156" s="98">
        <v>0</v>
      </c>
      <c r="I4156" s="98">
        <v>0</v>
      </c>
      <c r="J4156" s="98"/>
      <c r="K4156" s="98">
        <v>539999.99999999988</v>
      </c>
      <c r="L4156" s="93">
        <f t="shared" si="544"/>
        <v>0</v>
      </c>
      <c r="M4156" s="95">
        <f t="shared" ca="1" si="545"/>
        <v>0</v>
      </c>
      <c r="N4156" s="95">
        <f>IF(P4156="Hedge Fund",IF(A4156=Summary!$AD$3,M4156-E4156,M4156),IF(A4156=Summary!$AD$3,L4156-D4156,L4156))</f>
        <v>0</v>
      </c>
      <c r="O4156" s="95"/>
      <c r="P4156" s="107" t="s">
        <v>155</v>
      </c>
      <c r="Q4156" s="107">
        <v>4.5000000000000005E-2</v>
      </c>
      <c r="R4156" s="107">
        <v>0</v>
      </c>
      <c r="S4156" s="107">
        <v>3.5833333333333335E-2</v>
      </c>
      <c r="T4156" s="107">
        <v>0</v>
      </c>
      <c r="U4156" s="107" t="s">
        <v>154</v>
      </c>
      <c r="V4156" s="107">
        <v>1.74877598</v>
      </c>
      <c r="W4156" s="107" t="s">
        <v>15</v>
      </c>
      <c r="X4156" s="107">
        <v>0.24982514</v>
      </c>
      <c r="Y4156" s="107"/>
      <c r="Z4156" s="107"/>
      <c r="AA4156" s="107"/>
      <c r="AB4156" s="107"/>
      <c r="AC4156" s="355"/>
      <c r="AD4156" s="355"/>
      <c r="AE4156" s="355"/>
      <c r="AF4156" s="94">
        <f t="shared" si="546"/>
        <v>42185</v>
      </c>
      <c r="AG4156" s="185">
        <f t="shared" si="550"/>
        <v>-7.048990268785027E-3</v>
      </c>
      <c r="AH4156" s="339" t="str">
        <f>VLOOKUP(B4156,'MF PF'!A:B,2)</f>
        <v>FdMgtRGE</v>
      </c>
      <c r="AI4156" s="358">
        <f t="shared" si="547"/>
        <v>0</v>
      </c>
      <c r="AJ4156" s="94">
        <f t="shared" si="548"/>
        <v>42185</v>
      </c>
    </row>
    <row r="4157" spans="1:36" ht="12.75" customHeight="1">
      <c r="A4157" s="94">
        <v>42216</v>
      </c>
      <c r="B4157" s="94" t="s">
        <v>32</v>
      </c>
      <c r="C4157" s="6" t="s">
        <v>297</v>
      </c>
      <c r="D4157" s="98">
        <v>54986154.609450459</v>
      </c>
      <c r="E4157" s="95">
        <f t="shared" si="554"/>
        <v>101.82621223972309</v>
      </c>
      <c r="F4157" s="98"/>
      <c r="G4157" s="98">
        <v>0</v>
      </c>
      <c r="H4157" s="98">
        <v>0</v>
      </c>
      <c r="I4157" s="98">
        <v>0</v>
      </c>
      <c r="J4157" s="98"/>
      <c r="K4157" s="98">
        <v>539999.99999999988</v>
      </c>
      <c r="L4157" s="93">
        <f t="shared" si="544"/>
        <v>0</v>
      </c>
      <c r="M4157" s="95">
        <f t="shared" ca="1" si="545"/>
        <v>0</v>
      </c>
      <c r="N4157" s="95">
        <f>IF(P4157="Hedge Fund",IF(A4157=Summary!$AD$3,M4157-E4157,M4157),IF(A4157=Summary!$AD$3,L4157-D4157,L4157))</f>
        <v>0</v>
      </c>
      <c r="O4157" s="95"/>
      <c r="P4157" s="107" t="s">
        <v>155</v>
      </c>
      <c r="Q4157" s="107">
        <v>4.5000000000000005E-2</v>
      </c>
      <c r="R4157" s="107">
        <v>0</v>
      </c>
      <c r="S4157" s="107">
        <v>3.5833333333333335E-2</v>
      </c>
      <c r="T4157" s="107">
        <v>0</v>
      </c>
      <c r="U4157" s="107" t="s">
        <v>154</v>
      </c>
      <c r="V4157" s="107">
        <v>1.7773161899999999</v>
      </c>
      <c r="W4157" s="107" t="s">
        <v>15</v>
      </c>
      <c r="X4157" s="107">
        <v>0.25390231000000002</v>
      </c>
      <c r="Y4157" s="107"/>
      <c r="Z4157" s="107"/>
      <c r="AA4157" s="107"/>
      <c r="AB4157" s="107"/>
      <c r="AC4157" s="355"/>
      <c r="AD4157" s="355"/>
      <c r="AE4157" s="355"/>
      <c r="AF4157" s="94">
        <f t="shared" si="546"/>
        <v>42216</v>
      </c>
      <c r="AG4157" s="185">
        <f t="shared" si="550"/>
        <v>0</v>
      </c>
      <c r="AH4157" s="339" t="str">
        <f>VLOOKUP(B4157,'MF PF'!A:B,2)</f>
        <v>FdMgtRGE</v>
      </c>
      <c r="AI4157" s="358">
        <f t="shared" si="547"/>
        <v>0</v>
      </c>
      <c r="AJ4157" s="94">
        <f t="shared" si="548"/>
        <v>42216</v>
      </c>
    </row>
    <row r="4158" spans="1:36" ht="12.75" customHeight="1">
      <c r="A4158" s="8">
        <v>42247</v>
      </c>
      <c r="B4158" s="94" t="s">
        <v>32</v>
      </c>
      <c r="C4158" s="6" t="s">
        <v>297</v>
      </c>
      <c r="D4158" s="98">
        <v>71186154.609450504</v>
      </c>
      <c r="E4158" s="95">
        <f t="shared" si="554"/>
        <v>101.40477864594089</v>
      </c>
      <c r="F4158" s="98"/>
      <c r="G4158" s="98">
        <v>16200000</v>
      </c>
      <c r="H4158" s="98">
        <v>0</v>
      </c>
      <c r="I4158" s="98">
        <v>0</v>
      </c>
      <c r="J4158" s="98"/>
      <c r="K4158" s="98">
        <v>702000</v>
      </c>
      <c r="L4158" s="93">
        <f t="shared" si="544"/>
        <v>16200000</v>
      </c>
      <c r="M4158" s="95">
        <f t="shared" ca="1" si="545"/>
        <v>0</v>
      </c>
      <c r="N4158" s="95">
        <f>IF(P4158="Hedge Fund",IF(A4158=Summary!$AD$3,M4158-E4158,M4158),IF(A4158=Summary!$AD$3,L4158-D4158,L4158))</f>
        <v>16200000</v>
      </c>
      <c r="O4158" s="95"/>
      <c r="P4158" s="107" t="s">
        <v>155</v>
      </c>
      <c r="Q4158" s="107">
        <v>5.8500000000000003E-2</v>
      </c>
      <c r="R4158" s="107">
        <v>0</v>
      </c>
      <c r="S4158" s="107">
        <v>3.5833333333333335E-2</v>
      </c>
      <c r="T4158" s="107">
        <v>0</v>
      </c>
      <c r="U4158" s="107" t="s">
        <v>154</v>
      </c>
      <c r="V4158" s="107">
        <v>1.806983</v>
      </c>
      <c r="W4158" s="107" t="s">
        <v>15</v>
      </c>
      <c r="X4158" s="107">
        <v>0.25813999999999998</v>
      </c>
      <c r="Y4158" s="107"/>
      <c r="Z4158" s="107"/>
      <c r="AA4158" s="107"/>
      <c r="AB4158" s="107"/>
      <c r="AC4158" s="355"/>
      <c r="AD4158" s="355"/>
      <c r="AE4158" s="355"/>
      <c r="AF4158" s="94">
        <f t="shared" si="546"/>
        <v>42247</v>
      </c>
      <c r="AG4158" s="185">
        <f t="shared" si="550"/>
        <v>8.8817841970012523E-16</v>
      </c>
      <c r="AH4158" s="339" t="str">
        <f>VLOOKUP(B4158,'MF PF'!A:B,2)</f>
        <v>FdMgtRGE</v>
      </c>
      <c r="AI4158" s="358">
        <f t="shared" si="547"/>
        <v>0</v>
      </c>
      <c r="AJ4158" s="94">
        <f t="shared" si="548"/>
        <v>42247</v>
      </c>
    </row>
    <row r="4159" spans="1:36" ht="12.75" customHeight="1">
      <c r="A4159" s="8">
        <v>42277</v>
      </c>
      <c r="B4159" s="94" t="s">
        <v>32</v>
      </c>
      <c r="C4159" s="6" t="s">
        <v>297</v>
      </c>
      <c r="D4159" s="98">
        <v>70994040.009999931</v>
      </c>
      <c r="E4159" s="95">
        <f t="shared" si="554"/>
        <v>101.13111112535601</v>
      </c>
      <c r="F4159" s="98"/>
      <c r="G4159" s="98">
        <v>1.4901161193847656E-8</v>
      </c>
      <c r="H4159" s="98">
        <v>0</v>
      </c>
      <c r="I4159" s="98">
        <v>0</v>
      </c>
      <c r="J4159" s="98"/>
      <c r="K4159" s="98">
        <v>702000.00000000012</v>
      </c>
      <c r="L4159" s="93">
        <f t="shared" si="544"/>
        <v>1.4901161193847656E-8</v>
      </c>
      <c r="M4159" s="95">
        <f t="shared" ca="1" si="545"/>
        <v>0</v>
      </c>
      <c r="N4159" s="95">
        <f>IF(P4159="Hedge Fund",IF(A4159=Summary!$AD$3,M4159-E4159,M4159),IF(A4159=Summary!$AD$3,L4159-D4159,L4159))</f>
        <v>1.4901161193847656E-8</v>
      </c>
      <c r="O4159" s="95"/>
      <c r="P4159" s="107" t="s">
        <v>155</v>
      </c>
      <c r="Q4159" s="107">
        <v>5.8500000000000003E-2</v>
      </c>
      <c r="R4159" s="107">
        <v>0</v>
      </c>
      <c r="S4159" s="107">
        <v>3.5833333333333335E-2</v>
      </c>
      <c r="T4159" s="107">
        <v>0</v>
      </c>
      <c r="U4159" s="107" t="s">
        <v>154</v>
      </c>
      <c r="V4159" s="107">
        <v>1.8354680000000001</v>
      </c>
      <c r="W4159" s="107" t="s">
        <v>15</v>
      </c>
      <c r="X4159" s="107">
        <v>0.26221</v>
      </c>
      <c r="Y4159" s="107"/>
      <c r="Z4159" s="107"/>
      <c r="AA4159" s="107"/>
      <c r="AB4159" s="107"/>
      <c r="AC4159" s="355"/>
      <c r="AD4159" s="355"/>
      <c r="AE4159" s="355"/>
      <c r="AF4159" s="94">
        <f t="shared" si="546"/>
        <v>42277</v>
      </c>
      <c r="AG4159" s="185">
        <f t="shared" si="550"/>
        <v>-2.6987635517691233E-3</v>
      </c>
      <c r="AH4159" s="339" t="str">
        <f>VLOOKUP(B4159,'MF PF'!A:B,2)</f>
        <v>FdMgtRGE</v>
      </c>
      <c r="AI4159" s="358">
        <f t="shared" si="547"/>
        <v>0</v>
      </c>
      <c r="AJ4159" s="94">
        <f t="shared" si="548"/>
        <v>42277</v>
      </c>
    </row>
    <row r="4160" spans="1:36" ht="12.75" customHeight="1">
      <c r="A4160" s="8">
        <v>42307</v>
      </c>
      <c r="B4160" s="94" t="s">
        <v>32</v>
      </c>
      <c r="C4160" s="6" t="s">
        <v>297</v>
      </c>
      <c r="D4160" s="98">
        <v>70994040.009999931</v>
      </c>
      <c r="E4160" s="95">
        <f t="shared" si="554"/>
        <v>101.13111112535601</v>
      </c>
      <c r="F4160" s="98"/>
      <c r="G4160" s="98">
        <v>0</v>
      </c>
      <c r="H4160" s="98">
        <v>0</v>
      </c>
      <c r="I4160" s="98">
        <v>0</v>
      </c>
      <c r="J4160" s="98"/>
      <c r="K4160" s="98">
        <v>702000.00000000012</v>
      </c>
      <c r="L4160" s="93">
        <f t="shared" si="544"/>
        <v>0</v>
      </c>
      <c r="M4160" s="95">
        <f t="shared" ca="1" si="545"/>
        <v>0</v>
      </c>
      <c r="N4160" s="95">
        <f>IF(P4160="Hedge Fund",IF(A4160=Summary!$AD$3,M4160-E4160,M4160),IF(A4160=Summary!$AD$3,L4160-D4160,L4160))</f>
        <v>0</v>
      </c>
      <c r="O4160" s="95"/>
      <c r="P4160" s="107" t="s">
        <v>155</v>
      </c>
      <c r="Q4160" s="107">
        <v>5.8500000000000003E-2</v>
      </c>
      <c r="R4160" s="107">
        <v>0</v>
      </c>
      <c r="S4160" s="107">
        <v>3.5833333333333335E-2</v>
      </c>
      <c r="T4160" s="107">
        <v>0</v>
      </c>
      <c r="U4160" s="107" t="s">
        <v>154</v>
      </c>
      <c r="V4160" s="107">
        <v>1.863734</v>
      </c>
      <c r="W4160" s="107" t="s">
        <v>15</v>
      </c>
      <c r="X4160" s="107">
        <v>0.26624799999999998</v>
      </c>
      <c r="Y4160" s="107"/>
      <c r="Z4160" s="107"/>
      <c r="AA4160" s="107"/>
      <c r="AB4160" s="107"/>
      <c r="AC4160" s="355"/>
      <c r="AD4160" s="355"/>
      <c r="AE4160" s="355"/>
      <c r="AF4160" s="94">
        <f t="shared" si="546"/>
        <v>42307</v>
      </c>
      <c r="AG4160" s="185">
        <f t="shared" si="550"/>
        <v>0</v>
      </c>
      <c r="AH4160" s="339" t="str">
        <f>VLOOKUP(B4160,'MF PF'!A:B,2)</f>
        <v>FdMgtRGE</v>
      </c>
      <c r="AI4160" s="358">
        <f t="shared" si="547"/>
        <v>0</v>
      </c>
      <c r="AJ4160" s="94">
        <f t="shared" si="548"/>
        <v>42308</v>
      </c>
    </row>
    <row r="4161" spans="1:36" ht="12.75" customHeight="1">
      <c r="A4161" s="94">
        <v>42338</v>
      </c>
      <c r="B4161" s="94" t="s">
        <v>32</v>
      </c>
      <c r="C4161" s="6" t="s">
        <v>297</v>
      </c>
      <c r="D4161" s="98">
        <v>70994040.009999931</v>
      </c>
      <c r="E4161" s="95">
        <f t="shared" si="554"/>
        <v>101.13111112535601</v>
      </c>
      <c r="F4161" s="98"/>
      <c r="G4161" s="98">
        <v>0</v>
      </c>
      <c r="H4161" s="98">
        <v>0</v>
      </c>
      <c r="I4161" s="98">
        <v>0</v>
      </c>
      <c r="J4161" s="98"/>
      <c r="K4161" s="98">
        <v>702000.00000000012</v>
      </c>
      <c r="L4161" s="93">
        <f t="shared" ref="L4161:L4224" si="555">G4161+H4161+I4161</f>
        <v>0</v>
      </c>
      <c r="M4161" s="95">
        <f t="shared" ref="M4161:M4224" ca="1" si="556">IF(A4161&gt;INDIRECT("A"&amp;ROW()-1),I4161/K4161,E4161)</f>
        <v>0</v>
      </c>
      <c r="N4161" s="95">
        <f>IF(P4161="Hedge Fund",IF(A4161=Summary!$AD$3,M4161-E4161,M4161),IF(A4161=Summary!$AD$3,L4161-D4161,L4161))</f>
        <v>0</v>
      </c>
      <c r="O4161" s="95"/>
      <c r="P4161" s="107" t="s">
        <v>155</v>
      </c>
      <c r="Q4161" s="107">
        <v>5.8500000000000003E-2</v>
      </c>
      <c r="R4161" s="107">
        <v>0</v>
      </c>
      <c r="S4161" s="107">
        <v>3.5833333333333335E-2</v>
      </c>
      <c r="T4161" s="107">
        <v>0</v>
      </c>
      <c r="U4161" s="107" t="s">
        <v>154</v>
      </c>
      <c r="V4161" s="107">
        <v>1.8934120000000001</v>
      </c>
      <c r="W4161" s="107" t="s">
        <v>15</v>
      </c>
      <c r="X4161" s="107">
        <v>0.27048699999999998</v>
      </c>
      <c r="Y4161" s="107"/>
      <c r="Z4161" s="107"/>
      <c r="AA4161" s="107"/>
      <c r="AB4161" s="107"/>
      <c r="AC4161" s="355"/>
      <c r="AD4161" s="355"/>
      <c r="AE4161" s="355"/>
      <c r="AF4161" s="94">
        <f t="shared" ref="AF4161:AF4224" si="557">A4161</f>
        <v>42338</v>
      </c>
      <c r="AG4161" s="185">
        <f t="shared" si="550"/>
        <v>0</v>
      </c>
      <c r="AH4161" s="339" t="str">
        <f>VLOOKUP(B4161,'MF PF'!A:B,2)</f>
        <v>FdMgtRGE</v>
      </c>
      <c r="AI4161" s="358">
        <f t="shared" ref="AI4161:AI4224" si="558">AF4161-A4161</f>
        <v>0</v>
      </c>
      <c r="AJ4161" s="94">
        <f t="shared" ref="AJ4161:AJ4224" si="559">EOMONTH(A4161,0)</f>
        <v>42338</v>
      </c>
    </row>
    <row r="4162" spans="1:36" ht="12.75" customHeight="1">
      <c r="A4162" s="8">
        <v>42369</v>
      </c>
      <c r="B4162" s="94" t="s">
        <v>32</v>
      </c>
      <c r="C4162" s="6" t="s">
        <v>297</v>
      </c>
      <c r="D4162" s="98">
        <v>70994040.009999931</v>
      </c>
      <c r="E4162" s="95">
        <f t="shared" si="554"/>
        <v>101.13111112535601</v>
      </c>
      <c r="F4162" s="98"/>
      <c r="G4162" s="98">
        <v>0</v>
      </c>
      <c r="H4162" s="98">
        <v>0</v>
      </c>
      <c r="I4162" s="98">
        <v>0</v>
      </c>
      <c r="J4162" s="98"/>
      <c r="K4162" s="98">
        <v>702000.00000000012</v>
      </c>
      <c r="L4162" s="93">
        <f t="shared" si="555"/>
        <v>0</v>
      </c>
      <c r="M4162" s="95">
        <f t="shared" ca="1" si="556"/>
        <v>0</v>
      </c>
      <c r="N4162" s="95">
        <f>IF(P4162="Hedge Fund",IF(A4162=Summary!$AD$3,M4162-E4162,M4162),IF(A4162=Summary!$AD$3,L4162-D4162,L4162))</f>
        <v>0</v>
      </c>
      <c r="O4162" s="95"/>
      <c r="P4162" s="107" t="s">
        <v>155</v>
      </c>
      <c r="Q4162" s="107">
        <v>5.8500000000000003E-2</v>
      </c>
      <c r="R4162" s="107">
        <v>0</v>
      </c>
      <c r="S4162" s="107">
        <v>3.5833333333333335E-2</v>
      </c>
      <c r="T4162" s="107">
        <v>0</v>
      </c>
      <c r="U4162" s="107" t="s">
        <v>154</v>
      </c>
      <c r="V4162" s="107">
        <v>1.92361</v>
      </c>
      <c r="W4162" s="107" t="s">
        <v>15</v>
      </c>
      <c r="X4162" s="107">
        <v>0.27480100000000002</v>
      </c>
      <c r="Y4162" s="107"/>
      <c r="Z4162" s="107"/>
      <c r="AA4162" s="107"/>
      <c r="AB4162" s="107"/>
      <c r="AC4162" s="355"/>
      <c r="AD4162" s="355"/>
      <c r="AE4162" s="355"/>
      <c r="AF4162" s="94">
        <f t="shared" si="557"/>
        <v>42369</v>
      </c>
      <c r="AG4162" s="185">
        <f t="shared" si="550"/>
        <v>0</v>
      </c>
      <c r="AH4162" s="339" t="str">
        <f>VLOOKUP(B4162,'MF PF'!A:B,2)</f>
        <v>FdMgtRGE</v>
      </c>
      <c r="AI4162" s="358">
        <f t="shared" si="558"/>
        <v>0</v>
      </c>
      <c r="AJ4162" s="94">
        <f t="shared" si="559"/>
        <v>42369</v>
      </c>
    </row>
    <row r="4163" spans="1:36" ht="12.75" customHeight="1">
      <c r="A4163" s="8">
        <v>42398</v>
      </c>
      <c r="B4163" s="94" t="s">
        <v>32</v>
      </c>
      <c r="C4163" s="6" t="s">
        <v>297</v>
      </c>
      <c r="D4163" s="98">
        <v>70994040.009999931</v>
      </c>
      <c r="E4163" s="95">
        <f t="shared" si="554"/>
        <v>101.13111112535601</v>
      </c>
      <c r="F4163" s="98"/>
      <c r="G4163" s="98">
        <v>0</v>
      </c>
      <c r="H4163" s="98">
        <v>0</v>
      </c>
      <c r="I4163" s="98">
        <v>0</v>
      </c>
      <c r="J4163" s="98"/>
      <c r="K4163" s="98">
        <v>702000.00000000012</v>
      </c>
      <c r="L4163" s="93">
        <f t="shared" si="555"/>
        <v>0</v>
      </c>
      <c r="M4163" s="95">
        <f t="shared" ca="1" si="556"/>
        <v>0</v>
      </c>
      <c r="N4163" s="95">
        <f>IF(P4163="Hedge Fund",IF(A4163=Summary!$AD$3,M4163-E4163,M4163),IF(A4163=Summary!$AD$3,L4163-D4163,L4163))</f>
        <v>0</v>
      </c>
      <c r="O4163" s="95"/>
      <c r="P4163" s="107" t="s">
        <v>155</v>
      </c>
      <c r="Q4163" s="107">
        <v>5.8500000000000003E-2</v>
      </c>
      <c r="R4163" s="107">
        <v>0</v>
      </c>
      <c r="S4163" s="107">
        <v>3.5833333333333335E-2</v>
      </c>
      <c r="T4163" s="107">
        <v>0</v>
      </c>
      <c r="U4163" s="107" t="s">
        <v>154</v>
      </c>
      <c r="V4163" s="107">
        <v>1.950955</v>
      </c>
      <c r="W4163" s="107" t="s">
        <v>15</v>
      </c>
      <c r="X4163" s="107">
        <v>0.27870800000000001</v>
      </c>
      <c r="Y4163" s="107"/>
      <c r="Z4163" s="107"/>
      <c r="AA4163" s="107"/>
      <c r="AB4163" s="107"/>
      <c r="AC4163" s="355"/>
      <c r="AD4163" s="355"/>
      <c r="AE4163" s="355"/>
      <c r="AF4163" s="94">
        <f t="shared" si="557"/>
        <v>42398</v>
      </c>
      <c r="AG4163" s="185">
        <f t="shared" si="550"/>
        <v>0</v>
      </c>
      <c r="AH4163" s="339" t="str">
        <f>VLOOKUP(B4163,'MF PF'!A:B,2)</f>
        <v>FdMgtRGE</v>
      </c>
      <c r="AI4163" s="358">
        <f t="shared" si="558"/>
        <v>0</v>
      </c>
      <c r="AJ4163" s="94">
        <f t="shared" si="559"/>
        <v>42400</v>
      </c>
    </row>
    <row r="4164" spans="1:36" ht="12.75" customHeight="1">
      <c r="A4164" s="8">
        <v>42429</v>
      </c>
      <c r="B4164" s="94" t="s">
        <v>32</v>
      </c>
      <c r="C4164" s="6" t="s">
        <v>297</v>
      </c>
      <c r="D4164" s="98">
        <v>70994040.009999931</v>
      </c>
      <c r="E4164" s="95">
        <f t="shared" si="554"/>
        <v>101.13111112535601</v>
      </c>
      <c r="F4164" s="98"/>
      <c r="G4164" s="98">
        <v>0</v>
      </c>
      <c r="H4164" s="98">
        <v>0</v>
      </c>
      <c r="I4164" s="98">
        <v>0</v>
      </c>
      <c r="J4164" s="98"/>
      <c r="K4164" s="98">
        <v>702000.00000000012</v>
      </c>
      <c r="L4164" s="93">
        <f t="shared" si="555"/>
        <v>0</v>
      </c>
      <c r="M4164" s="95">
        <f t="shared" ca="1" si="556"/>
        <v>0</v>
      </c>
      <c r="N4164" s="95">
        <f>IF(P4164="Hedge Fund",IF(A4164=Summary!$AD$3,M4164-E4164,M4164),IF(A4164=Summary!$AD$3,L4164-D4164,L4164))</f>
        <v>0</v>
      </c>
      <c r="O4164" s="95"/>
      <c r="P4164" s="107" t="s">
        <v>155</v>
      </c>
      <c r="Q4164" s="107">
        <v>5.8500000000000003E-2</v>
      </c>
      <c r="R4164" s="107">
        <v>0</v>
      </c>
      <c r="S4164" s="107">
        <v>3.5833333333333335E-2</v>
      </c>
      <c r="T4164" s="107">
        <v>0</v>
      </c>
      <c r="U4164" s="107" t="s">
        <v>154</v>
      </c>
      <c r="V4164" s="107">
        <v>1.805628</v>
      </c>
      <c r="W4164" s="107" t="s">
        <v>15</v>
      </c>
      <c r="X4164" s="107">
        <v>0.25794699999999998</v>
      </c>
      <c r="Y4164" s="107"/>
      <c r="Z4164" s="107"/>
      <c r="AA4164" s="107"/>
      <c r="AB4164" s="107"/>
      <c r="AC4164" s="355"/>
      <c r="AD4164" s="355"/>
      <c r="AE4164" s="355"/>
      <c r="AF4164" s="94">
        <f t="shared" si="557"/>
        <v>42429</v>
      </c>
      <c r="AG4164" s="185">
        <f t="shared" si="550"/>
        <v>0</v>
      </c>
      <c r="AH4164" s="339" t="str">
        <f>VLOOKUP(B4164,'MF PF'!A:B,2)</f>
        <v>FdMgtRGE</v>
      </c>
      <c r="AI4164" s="358">
        <f t="shared" si="558"/>
        <v>0</v>
      </c>
      <c r="AJ4164" s="94">
        <f t="shared" si="559"/>
        <v>42429</v>
      </c>
    </row>
    <row r="4165" spans="1:36" ht="12.75" customHeight="1">
      <c r="A4165" s="8">
        <v>42460</v>
      </c>
      <c r="B4165" s="94" t="s">
        <v>32</v>
      </c>
      <c r="C4165" s="6" t="s">
        <v>297</v>
      </c>
      <c r="D4165" s="98">
        <v>70994040.009999931</v>
      </c>
      <c r="E4165" s="95">
        <f t="shared" si="554"/>
        <v>101.13111112535601</v>
      </c>
      <c r="F4165" s="98"/>
      <c r="G4165" s="98">
        <v>0</v>
      </c>
      <c r="H4165" s="98">
        <v>0</v>
      </c>
      <c r="I4165" s="98">
        <v>0</v>
      </c>
      <c r="J4165" s="98"/>
      <c r="K4165" s="98">
        <v>702000.00000000012</v>
      </c>
      <c r="L4165" s="93">
        <f t="shared" si="555"/>
        <v>0</v>
      </c>
      <c r="M4165" s="95">
        <f t="shared" ca="1" si="556"/>
        <v>0</v>
      </c>
      <c r="N4165" s="95">
        <f>IF(P4165="Hedge Fund",IF(A4165=Summary!$AD$3,M4165-E4165,M4165),IF(A4165=Summary!$AD$3,L4165-D4165,L4165))</f>
        <v>0</v>
      </c>
      <c r="O4165" s="95"/>
      <c r="P4165" s="107" t="s">
        <v>155</v>
      </c>
      <c r="Q4165" s="107">
        <v>5.8500000000000003E-2</v>
      </c>
      <c r="R4165" s="107">
        <v>0</v>
      </c>
      <c r="S4165" s="107">
        <v>3.5833333333333335E-2</v>
      </c>
      <c r="T4165" s="107">
        <v>0</v>
      </c>
      <c r="U4165" s="107" t="s">
        <v>154</v>
      </c>
      <c r="V4165" s="107">
        <v>1.8358209999999999</v>
      </c>
      <c r="W4165" s="107" t="s">
        <v>15</v>
      </c>
      <c r="X4165" s="107">
        <v>0.26225999999999999</v>
      </c>
      <c r="Y4165" s="107"/>
      <c r="Z4165" s="107"/>
      <c r="AA4165" s="107"/>
      <c r="AB4165" s="107"/>
      <c r="AC4165" s="355"/>
      <c r="AD4165" s="355"/>
      <c r="AE4165" s="355"/>
      <c r="AF4165" s="94">
        <f t="shared" si="557"/>
        <v>42460</v>
      </c>
      <c r="AG4165" s="185">
        <f t="shared" si="550"/>
        <v>0</v>
      </c>
      <c r="AH4165" s="339" t="str">
        <f>VLOOKUP(B4165,'MF PF'!A:B,2)</f>
        <v>FdMgtRGE</v>
      </c>
      <c r="AI4165" s="358">
        <f t="shared" si="558"/>
        <v>0</v>
      </c>
      <c r="AJ4165" s="94">
        <f t="shared" si="559"/>
        <v>42460</v>
      </c>
    </row>
    <row r="4166" spans="1:36" ht="12.75" customHeight="1">
      <c r="A4166" s="94">
        <v>42489</v>
      </c>
      <c r="B4166" s="94" t="s">
        <v>32</v>
      </c>
      <c r="C4166" s="6" t="s">
        <v>297</v>
      </c>
      <c r="D4166" s="98">
        <v>70994040.009999931</v>
      </c>
      <c r="E4166" s="95">
        <f t="shared" si="554"/>
        <v>101.13111112535601</v>
      </c>
      <c r="F4166" s="98"/>
      <c r="G4166" s="98">
        <v>0</v>
      </c>
      <c r="H4166" s="98">
        <v>0</v>
      </c>
      <c r="I4166" s="98">
        <v>0</v>
      </c>
      <c r="J4166" s="98"/>
      <c r="K4166" s="98">
        <v>702000.00000000012</v>
      </c>
      <c r="L4166" s="93">
        <f t="shared" si="555"/>
        <v>0</v>
      </c>
      <c r="M4166" s="95">
        <f t="shared" ca="1" si="556"/>
        <v>0</v>
      </c>
      <c r="N4166" s="95">
        <f>IF(P4166="Hedge Fund",IF(A4166=Summary!$AD$3,M4166-E4166,M4166),IF(A4166=Summary!$AD$3,L4166-D4166,L4166))</f>
        <v>0</v>
      </c>
      <c r="O4166" s="95"/>
      <c r="P4166" s="107" t="s">
        <v>155</v>
      </c>
      <c r="Q4166" s="107">
        <v>5.8500000000000003E-2</v>
      </c>
      <c r="R4166" s="107">
        <v>0</v>
      </c>
      <c r="S4166" s="107">
        <v>3.5833333333333335E-2</v>
      </c>
      <c r="T4166" s="107">
        <v>0</v>
      </c>
      <c r="U4166" s="107" t="s">
        <v>154</v>
      </c>
      <c r="V4166" s="107">
        <v>1.8631351299999999</v>
      </c>
      <c r="W4166" s="107" t="s">
        <v>15</v>
      </c>
      <c r="X4166" s="107">
        <v>0.26616215999999998</v>
      </c>
      <c r="Y4166" s="107"/>
      <c r="Z4166" s="107"/>
      <c r="AA4166" s="107"/>
      <c r="AB4166" s="107"/>
      <c r="AC4166" s="355"/>
      <c r="AD4166" s="355"/>
      <c r="AE4166" s="355"/>
      <c r="AF4166" s="94">
        <f t="shared" si="557"/>
        <v>42489</v>
      </c>
      <c r="AG4166" s="185">
        <f t="shared" si="550"/>
        <v>0</v>
      </c>
      <c r="AH4166" s="339" t="str">
        <f>VLOOKUP(B4166,'MF PF'!A:B,2)</f>
        <v>FdMgtRGE</v>
      </c>
      <c r="AI4166" s="358">
        <f t="shared" si="558"/>
        <v>0</v>
      </c>
      <c r="AJ4166" s="94">
        <f t="shared" si="559"/>
        <v>42490</v>
      </c>
    </row>
    <row r="4167" spans="1:36" ht="12.75" customHeight="1">
      <c r="A4167" s="8">
        <v>42521</v>
      </c>
      <c r="B4167" s="94" t="s">
        <v>32</v>
      </c>
      <c r="C4167" s="6" t="s">
        <v>297</v>
      </c>
      <c r="D4167" s="98">
        <v>70994040.009999931</v>
      </c>
      <c r="E4167" s="95">
        <f t="shared" si="554"/>
        <v>101.13111112535601</v>
      </c>
      <c r="F4167" s="98"/>
      <c r="G4167" s="98">
        <v>0</v>
      </c>
      <c r="H4167" s="98">
        <v>0</v>
      </c>
      <c r="I4167" s="98">
        <v>0</v>
      </c>
      <c r="J4167" s="98"/>
      <c r="K4167" s="98">
        <v>702000.00000000012</v>
      </c>
      <c r="L4167" s="93">
        <f t="shared" si="555"/>
        <v>0</v>
      </c>
      <c r="M4167" s="95">
        <f t="shared" ca="1" si="556"/>
        <v>0</v>
      </c>
      <c r="N4167" s="95">
        <f>IF(P4167="Hedge Fund",IF(A4167=Summary!$AD$3,M4167-E4167,M4167),IF(A4167=Summary!$AD$3,L4167-D4167,L4167))</f>
        <v>0</v>
      </c>
      <c r="O4167" s="95"/>
      <c r="P4167" s="107" t="s">
        <v>155</v>
      </c>
      <c r="Q4167" s="107">
        <v>5.8500000000000003E-2</v>
      </c>
      <c r="R4167" s="107">
        <v>0</v>
      </c>
      <c r="S4167" s="107">
        <v>3.5833333333333335E-2</v>
      </c>
      <c r="T4167" s="107">
        <v>0</v>
      </c>
      <c r="U4167" s="107" t="s">
        <v>154</v>
      </c>
      <c r="V4167" s="107">
        <v>1.893769</v>
      </c>
      <c r="W4167" s="107" t="s">
        <v>15</v>
      </c>
      <c r="X4167" s="107">
        <v>0.270538</v>
      </c>
      <c r="Y4167" s="107"/>
      <c r="Z4167" s="107"/>
      <c r="AA4167" s="107"/>
      <c r="AB4167" s="107"/>
      <c r="AC4167" s="355"/>
      <c r="AD4167" s="355"/>
      <c r="AE4167" s="355"/>
      <c r="AF4167" s="94">
        <f t="shared" si="557"/>
        <v>42521</v>
      </c>
      <c r="AG4167" s="185">
        <f t="shared" si="550"/>
        <v>0</v>
      </c>
      <c r="AH4167" s="339" t="str">
        <f>VLOOKUP(B4167,'MF PF'!A:B,2)</f>
        <v>FdMgtRGE</v>
      </c>
      <c r="AI4167" s="358">
        <f t="shared" si="558"/>
        <v>0</v>
      </c>
      <c r="AJ4167" s="94">
        <f t="shared" si="559"/>
        <v>42521</v>
      </c>
    </row>
    <row r="4168" spans="1:36" ht="12.75" customHeight="1">
      <c r="A4168" s="8">
        <v>42551</v>
      </c>
      <c r="B4168" s="94" t="s">
        <v>32</v>
      </c>
      <c r="C4168" s="6" t="s">
        <v>297</v>
      </c>
      <c r="D4168" s="98">
        <v>279792593.61467302</v>
      </c>
      <c r="E4168" s="95">
        <f t="shared" si="554"/>
        <v>398.5649481690499</v>
      </c>
      <c r="F4168" s="98"/>
      <c r="G4168" s="98">
        <v>0</v>
      </c>
      <c r="H4168" s="98">
        <v>-5.9604644775390625E-8</v>
      </c>
      <c r="I4168" s="98">
        <v>0</v>
      </c>
      <c r="J4168" s="98"/>
      <c r="K4168" s="98">
        <v>702000</v>
      </c>
      <c r="L4168" s="93">
        <f t="shared" si="555"/>
        <v>-5.9604644775390625E-8</v>
      </c>
      <c r="M4168" s="95">
        <f t="shared" ca="1" si="556"/>
        <v>0</v>
      </c>
      <c r="N4168" s="95">
        <f>IF(P4168="Hedge Fund",IF(A4168=Summary!$AD$3,M4168-E4168,M4168),IF(A4168=Summary!$AD$3,L4168-D4168,L4168))</f>
        <v>-5.9604644775390625E-8</v>
      </c>
      <c r="P4168" s="107" t="s">
        <v>155</v>
      </c>
      <c r="Q4168" s="107">
        <v>5.8500000000000003E-2</v>
      </c>
      <c r="R4168" s="107">
        <v>0</v>
      </c>
      <c r="S4168" s="107">
        <v>3.5833333333333335E-2</v>
      </c>
      <c r="T4168" s="107">
        <v>0</v>
      </c>
      <c r="U4168" s="107" t="s">
        <v>154</v>
      </c>
      <c r="V4168" s="107">
        <v>1.92299</v>
      </c>
      <c r="W4168" s="107" t="s">
        <v>15</v>
      </c>
      <c r="X4168" s="107">
        <v>0.27471299999999998</v>
      </c>
      <c r="Y4168" s="107"/>
      <c r="Z4168" s="107"/>
      <c r="AA4168" s="107"/>
      <c r="AB4168" s="107"/>
      <c r="AF4168" s="94">
        <f t="shared" si="557"/>
        <v>42551</v>
      </c>
      <c r="AG4168" s="185">
        <f t="shared" si="550"/>
        <v>2.9410715825618974</v>
      </c>
      <c r="AH4168" s="339" t="str">
        <f>VLOOKUP(B4168,'MF PF'!A:B,2)</f>
        <v>FdMgtRGE</v>
      </c>
      <c r="AI4168" s="358">
        <f t="shared" si="558"/>
        <v>0</v>
      </c>
      <c r="AJ4168" s="94">
        <f t="shared" si="559"/>
        <v>42551</v>
      </c>
    </row>
    <row r="4169" spans="1:36" ht="12.75" customHeight="1">
      <c r="A4169" s="8">
        <v>42580</v>
      </c>
      <c r="B4169" s="94" t="s">
        <v>32</v>
      </c>
      <c r="C4169" s="6" t="s">
        <v>297</v>
      </c>
      <c r="D4169" s="98">
        <v>279792593.61467302</v>
      </c>
      <c r="E4169" s="95">
        <f t="shared" si="554"/>
        <v>398.5649481690499</v>
      </c>
      <c r="F4169" s="98"/>
      <c r="G4169" s="98">
        <v>0</v>
      </c>
      <c r="H4169" s="98">
        <v>0</v>
      </c>
      <c r="I4169" s="98">
        <v>0</v>
      </c>
      <c r="J4169" s="98"/>
      <c r="K4169" s="98">
        <v>702000</v>
      </c>
      <c r="L4169" s="93">
        <f t="shared" si="555"/>
        <v>0</v>
      </c>
      <c r="M4169" s="95">
        <f t="shared" ca="1" si="556"/>
        <v>0</v>
      </c>
      <c r="N4169" s="95">
        <f>IF(P4169="Hedge Fund",IF(A4169=Summary!$AD$3,M4169-E4169,M4169),IF(A4169=Summary!$AD$3,L4169-D4169,L4169))</f>
        <v>0</v>
      </c>
      <c r="P4169" s="107" t="s">
        <v>155</v>
      </c>
      <c r="Q4169" s="107">
        <v>5.8500000000000003E-2</v>
      </c>
      <c r="R4169" s="107">
        <v>0</v>
      </c>
      <c r="S4169" s="107">
        <v>3.5833333333333335E-2</v>
      </c>
      <c r="T4169" s="107">
        <v>0</v>
      </c>
      <c r="U4169" s="107" t="s">
        <v>154</v>
      </c>
      <c r="V4169" s="107">
        <v>1.950326</v>
      </c>
      <c r="W4169" s="107" t="s">
        <v>15</v>
      </c>
      <c r="X4169" s="107">
        <v>0.27861799999999998</v>
      </c>
      <c r="Y4169" s="107"/>
      <c r="Z4169" s="107"/>
      <c r="AA4169" s="107"/>
      <c r="AB4169" s="107"/>
      <c r="AF4169" s="94">
        <f t="shared" si="557"/>
        <v>42580</v>
      </c>
      <c r="AG4169" s="185">
        <f t="shared" si="550"/>
        <v>0</v>
      </c>
      <c r="AH4169" s="339" t="str">
        <f>VLOOKUP(B4169,'MF PF'!A:B,2)</f>
        <v>FdMgtRGE</v>
      </c>
      <c r="AI4169" s="358">
        <f t="shared" si="558"/>
        <v>0</v>
      </c>
      <c r="AJ4169" s="94">
        <f t="shared" si="559"/>
        <v>42582</v>
      </c>
    </row>
    <row r="4170" spans="1:36" ht="12.75" customHeight="1">
      <c r="A4170" s="8">
        <v>42613</v>
      </c>
      <c r="B4170" s="94" t="s">
        <v>32</v>
      </c>
      <c r="C4170" s="6" t="s">
        <v>297</v>
      </c>
      <c r="D4170" s="98">
        <v>279792593.61467302</v>
      </c>
      <c r="E4170" s="95">
        <f t="shared" si="554"/>
        <v>398.5649481690499</v>
      </c>
      <c r="F4170" s="98"/>
      <c r="G4170" s="98">
        <v>0</v>
      </c>
      <c r="H4170" s="98">
        <v>0</v>
      </c>
      <c r="I4170" s="98">
        <v>0</v>
      </c>
      <c r="J4170" s="98"/>
      <c r="K4170" s="98">
        <v>702000</v>
      </c>
      <c r="L4170" s="93">
        <f t="shared" si="555"/>
        <v>0</v>
      </c>
      <c r="M4170" s="95">
        <f t="shared" ca="1" si="556"/>
        <v>0</v>
      </c>
      <c r="N4170" s="95">
        <f>IF(P4170="Hedge Fund",IF(A4170=Summary!$AD$3,M4170-E4170,M4170),IF(A4170=Summary!$AD$3,L4170-D4170,L4170))</f>
        <v>0</v>
      </c>
      <c r="P4170" s="107" t="s">
        <v>155</v>
      </c>
      <c r="Q4170" s="107">
        <v>5.8500000000000003E-2</v>
      </c>
      <c r="R4170" s="107">
        <v>0</v>
      </c>
      <c r="S4170" s="107">
        <v>3.5833333333333335E-2</v>
      </c>
      <c r="T4170" s="107">
        <v>0</v>
      </c>
      <c r="U4170" s="107" t="s">
        <v>154</v>
      </c>
      <c r="V4170" s="107">
        <v>1.9819199999999999</v>
      </c>
      <c r="W4170" s="107" t="s">
        <v>15</v>
      </c>
      <c r="X4170" s="107">
        <v>0.28313100000000002</v>
      </c>
      <c r="Y4170" s="107"/>
      <c r="Z4170" s="107"/>
      <c r="AA4170" s="107"/>
      <c r="AB4170" s="107"/>
      <c r="AF4170" s="94">
        <f t="shared" si="557"/>
        <v>42613</v>
      </c>
      <c r="AG4170" s="185">
        <f t="shared" si="550"/>
        <v>0</v>
      </c>
      <c r="AH4170" s="339" t="str">
        <f>VLOOKUP(B4170,'MF PF'!A:B,2)</f>
        <v>FdMgtRGE</v>
      </c>
      <c r="AI4170" s="358">
        <f t="shared" si="558"/>
        <v>0</v>
      </c>
      <c r="AJ4170" s="94">
        <f t="shared" si="559"/>
        <v>42613</v>
      </c>
    </row>
    <row r="4171" spans="1:36" ht="12.75" customHeight="1">
      <c r="A4171" s="8">
        <v>42643</v>
      </c>
      <c r="B4171" s="94" t="s">
        <v>32</v>
      </c>
      <c r="C4171" s="6" t="s">
        <v>297</v>
      </c>
      <c r="D4171" s="98">
        <v>279298972.78955799</v>
      </c>
      <c r="E4171" s="95">
        <f t="shared" si="554"/>
        <v>397.86178460050991</v>
      </c>
      <c r="F4171" s="98"/>
      <c r="G4171" s="98">
        <v>5.9604644775390625E-8</v>
      </c>
      <c r="H4171" s="98">
        <v>0</v>
      </c>
      <c r="I4171" s="98">
        <v>0</v>
      </c>
      <c r="J4171" s="98"/>
      <c r="K4171" s="98">
        <v>702000.00000000012</v>
      </c>
      <c r="L4171" s="93">
        <f t="shared" si="555"/>
        <v>5.9604644775390625E-8</v>
      </c>
      <c r="M4171" s="95">
        <f t="shared" ca="1" si="556"/>
        <v>0</v>
      </c>
      <c r="N4171" s="95">
        <f>IF(P4171="Hedge Fund",IF(A4171=Summary!$AD$3,M4171-E4171,M4171),IF(A4171=Summary!$AD$3,L4171-D4171,L4171))</f>
        <v>5.9604644775390625E-8</v>
      </c>
      <c r="P4171" s="107" t="s">
        <v>155</v>
      </c>
      <c r="Q4171" s="107">
        <v>5.8500000000000003E-2</v>
      </c>
      <c r="R4171" s="107">
        <v>0</v>
      </c>
      <c r="S4171" s="107">
        <v>3.5833333333333335E-2</v>
      </c>
      <c r="T4171" s="107">
        <v>0</v>
      </c>
      <c r="U4171" s="107" t="s">
        <v>154</v>
      </c>
      <c r="V4171" s="107">
        <v>2.0111520000000001</v>
      </c>
      <c r="W4171" s="107" t="s">
        <v>15</v>
      </c>
      <c r="X4171" s="107">
        <v>0.28730699999999998</v>
      </c>
      <c r="Y4171" s="107"/>
      <c r="Z4171" s="107"/>
      <c r="AA4171" s="107"/>
      <c r="AB4171" s="107"/>
      <c r="AF4171" s="94">
        <f t="shared" si="557"/>
        <v>42643</v>
      </c>
      <c r="AG4171" s="185">
        <f t="shared" si="550"/>
        <v>-1.7642383550541263E-3</v>
      </c>
      <c r="AH4171" s="339" t="str">
        <f>VLOOKUP(B4171,'MF PF'!A:B,2)</f>
        <v>FdMgtRGE</v>
      </c>
      <c r="AI4171" s="358">
        <f t="shared" si="558"/>
        <v>0</v>
      </c>
      <c r="AJ4171" s="94">
        <f t="shared" si="559"/>
        <v>42643</v>
      </c>
    </row>
    <row r="4172" spans="1:36" ht="12.75" customHeight="1">
      <c r="A4172" s="8">
        <v>42674</v>
      </c>
      <c r="B4172" s="94" t="s">
        <v>32</v>
      </c>
      <c r="C4172" s="6" t="s">
        <v>297</v>
      </c>
      <c r="D4172" s="98">
        <v>279298972.78955799</v>
      </c>
      <c r="E4172" s="95">
        <f t="shared" si="554"/>
        <v>397.86178460050991</v>
      </c>
      <c r="F4172" s="98"/>
      <c r="G4172" s="98">
        <v>0</v>
      </c>
      <c r="H4172" s="98">
        <v>0</v>
      </c>
      <c r="I4172" s="98">
        <v>0</v>
      </c>
      <c r="J4172" s="98"/>
      <c r="K4172" s="98">
        <v>702000.00000000012</v>
      </c>
      <c r="L4172" s="93">
        <f t="shared" si="555"/>
        <v>0</v>
      </c>
      <c r="M4172" s="95">
        <f t="shared" ca="1" si="556"/>
        <v>0</v>
      </c>
      <c r="N4172" s="95">
        <f>IF(P4172="Hedge Fund",IF(A4172=Summary!$AD$3,M4172-E4172,M4172),IF(A4172=Summary!$AD$3,L4172-D4172,L4172))</f>
        <v>0</v>
      </c>
      <c r="P4172" s="107" t="s">
        <v>155</v>
      </c>
      <c r="Q4172" s="107">
        <v>5.8500000000000003E-2</v>
      </c>
      <c r="R4172" s="107">
        <v>0</v>
      </c>
      <c r="S4172" s="107">
        <v>3.5833333333333335E-2</v>
      </c>
      <c r="T4172" s="107">
        <v>0</v>
      </c>
      <c r="U4172" s="107" t="s">
        <v>154</v>
      </c>
      <c r="V4172" s="107">
        <v>2.0403980000000002</v>
      </c>
      <c r="W4172" s="107" t="s">
        <v>15</v>
      </c>
      <c r="X4172" s="107">
        <v>0.29148499999999999</v>
      </c>
      <c r="Y4172" s="107"/>
      <c r="Z4172" s="107"/>
      <c r="AA4172" s="107"/>
      <c r="AB4172" s="107"/>
      <c r="AF4172" s="94">
        <f t="shared" si="557"/>
        <v>42674</v>
      </c>
      <c r="AG4172" s="185">
        <f t="shared" si="550"/>
        <v>0</v>
      </c>
      <c r="AH4172" s="339" t="str">
        <f>VLOOKUP(B4172,'MF PF'!A:B,2)</f>
        <v>FdMgtRGE</v>
      </c>
      <c r="AI4172" s="358">
        <f t="shared" si="558"/>
        <v>0</v>
      </c>
      <c r="AJ4172" s="94">
        <f t="shared" si="559"/>
        <v>42674</v>
      </c>
    </row>
    <row r="4173" spans="1:36" ht="12.75" customHeight="1">
      <c r="A4173" s="8">
        <v>42704</v>
      </c>
      <c r="B4173" s="94" t="s">
        <v>32</v>
      </c>
      <c r="C4173" s="6" t="s">
        <v>297</v>
      </c>
      <c r="D4173" s="98">
        <v>278335423.63999999</v>
      </c>
      <c r="E4173" s="95">
        <f t="shared" si="554"/>
        <v>388.87999999999994</v>
      </c>
      <c r="F4173" s="98"/>
      <c r="G4173" s="98">
        <v>0</v>
      </c>
      <c r="H4173" s="98">
        <v>0</v>
      </c>
      <c r="I4173" s="98">
        <v>0</v>
      </c>
      <c r="J4173" s="98"/>
      <c r="K4173" s="98">
        <v>715736.02046903933</v>
      </c>
      <c r="L4173" s="93">
        <f t="shared" si="555"/>
        <v>0</v>
      </c>
      <c r="M4173" s="95">
        <f t="shared" ca="1" si="556"/>
        <v>0</v>
      </c>
      <c r="N4173" s="95">
        <f>IF(P4173="Hedge Fund",IF(A4173=Summary!$AD$3,M4173-E4173,M4173),IF(A4173=Summary!$AD$3,L4173-D4173,L4173))</f>
        <v>0</v>
      </c>
      <c r="P4173" s="107" t="s">
        <v>155</v>
      </c>
      <c r="Q4173" s="107">
        <v>5.8500000000000003E-2</v>
      </c>
      <c r="R4173" s="107">
        <v>0</v>
      </c>
      <c r="S4173" s="107">
        <v>3.5833333333333335E-2</v>
      </c>
      <c r="T4173" s="107">
        <v>0</v>
      </c>
      <c r="U4173" s="107" t="s">
        <v>154</v>
      </c>
      <c r="V4173" s="107">
        <v>2.0689860000000002</v>
      </c>
      <c r="W4173" s="107" t="s">
        <v>15</v>
      </c>
      <c r="X4173" s="107">
        <v>0.29556900000000003</v>
      </c>
      <c r="Y4173" s="107"/>
      <c r="Z4173" s="107"/>
      <c r="AA4173" s="107"/>
      <c r="AB4173" s="107"/>
      <c r="AF4173" s="94">
        <f t="shared" si="557"/>
        <v>42704</v>
      </c>
      <c r="AG4173" s="185">
        <f t="shared" si="550"/>
        <v>-3.4498843298074178E-3</v>
      </c>
      <c r="AH4173" s="339" t="str">
        <f>VLOOKUP(B4173,'MF PF'!A:B,2)</f>
        <v>FdMgtRGE</v>
      </c>
      <c r="AI4173" s="358">
        <f t="shared" si="558"/>
        <v>0</v>
      </c>
      <c r="AJ4173" s="94">
        <f t="shared" si="559"/>
        <v>42704</v>
      </c>
    </row>
    <row r="4174" spans="1:36" ht="12.75" customHeight="1">
      <c r="A4174" s="8">
        <v>42734</v>
      </c>
      <c r="B4174" s="94" t="s">
        <v>32</v>
      </c>
      <c r="C4174" s="6" t="s">
        <v>297</v>
      </c>
      <c r="D4174" s="98">
        <v>297515423.63999999</v>
      </c>
      <c r="E4174" s="95">
        <f t="shared" si="554"/>
        <v>388.88</v>
      </c>
      <c r="F4174" s="98"/>
      <c r="G4174" s="98">
        <v>19187000</v>
      </c>
      <c r="H4174" s="98">
        <v>0</v>
      </c>
      <c r="I4174" s="98">
        <v>0</v>
      </c>
      <c r="J4174" s="98"/>
      <c r="K4174" s="98">
        <v>765057.14780909277</v>
      </c>
      <c r="L4174" s="93">
        <f t="shared" si="555"/>
        <v>19187000</v>
      </c>
      <c r="M4174" s="95">
        <f t="shared" ca="1" si="556"/>
        <v>0</v>
      </c>
      <c r="N4174" s="95">
        <f>IF(P4174="Hedge Fund",IF(A4174=Summary!$AD$3,M4174-E4174,M4174),IF(A4174=Summary!$AD$3,L4174-D4174,L4174))</f>
        <v>19187000</v>
      </c>
      <c r="P4174" s="107" t="s">
        <v>155</v>
      </c>
      <c r="Q4174" s="107">
        <v>5.8500000000000003E-2</v>
      </c>
      <c r="R4174" s="107">
        <v>0</v>
      </c>
      <c r="S4174" s="107">
        <v>3.5833333333333335E-2</v>
      </c>
      <c r="T4174" s="107">
        <v>0</v>
      </c>
      <c r="U4174" s="107" t="s">
        <v>154</v>
      </c>
      <c r="V4174" s="107">
        <v>2.0991960000000001</v>
      </c>
      <c r="W4174" s="107" t="s">
        <v>15</v>
      </c>
      <c r="X4174" s="107">
        <v>0.29988500000000001</v>
      </c>
      <c r="Y4174" s="107"/>
      <c r="Z4174" s="107"/>
      <c r="AA4174" s="107"/>
      <c r="AB4174" s="107"/>
      <c r="AF4174" s="94">
        <f t="shared" si="557"/>
        <v>42734</v>
      </c>
      <c r="AG4174" s="185">
        <f t="shared" si="550"/>
        <v>-2.5149511723832063E-5</v>
      </c>
      <c r="AH4174" s="339" t="str">
        <f>VLOOKUP(B4174,'MF PF'!A:B,2)</f>
        <v>FdMgtRGE</v>
      </c>
      <c r="AI4174" s="358">
        <f t="shared" si="558"/>
        <v>0</v>
      </c>
      <c r="AJ4174" s="94">
        <f t="shared" si="559"/>
        <v>42735</v>
      </c>
    </row>
    <row r="4175" spans="1:36" ht="12.75" customHeight="1">
      <c r="A4175" s="8">
        <v>42762</v>
      </c>
      <c r="B4175" s="94" t="s">
        <v>32</v>
      </c>
      <c r="C4175" s="6" t="s">
        <v>297</v>
      </c>
      <c r="D4175" s="98">
        <v>297515423.63999999</v>
      </c>
      <c r="E4175" s="95">
        <f t="shared" si="554"/>
        <v>388.88</v>
      </c>
      <c r="F4175" s="98"/>
      <c r="G4175" s="98">
        <v>0</v>
      </c>
      <c r="H4175" s="98">
        <v>0</v>
      </c>
      <c r="I4175" s="98">
        <v>0</v>
      </c>
      <c r="J4175" s="98"/>
      <c r="K4175" s="98">
        <v>765057.14780909277</v>
      </c>
      <c r="L4175" s="93">
        <f t="shared" si="555"/>
        <v>0</v>
      </c>
      <c r="M4175" s="95">
        <f t="shared" ca="1" si="556"/>
        <v>0</v>
      </c>
      <c r="N4175" s="95">
        <f>IF(P4175="Hedge Fund",IF(A4175=Summary!$AD$3,M4175-E4175,M4175),IF(A4175=Summary!$AD$3,L4175-D4175,L4175))</f>
        <v>0</v>
      </c>
      <c r="P4175" s="107" t="s">
        <v>155</v>
      </c>
      <c r="Q4175" s="107">
        <v>5.8500000000000003E-2</v>
      </c>
      <c r="R4175" s="107">
        <v>0</v>
      </c>
      <c r="S4175" s="107">
        <v>3.5833333333333335E-2</v>
      </c>
      <c r="T4175" s="107">
        <v>0</v>
      </c>
      <c r="U4175" s="107" t="s">
        <v>154</v>
      </c>
      <c r="V4175" s="107">
        <v>2.124657</v>
      </c>
      <c r="W4175" s="107" t="s">
        <v>15</v>
      </c>
      <c r="X4175" s="107">
        <v>0.30352200000000001</v>
      </c>
      <c r="Y4175" s="107"/>
      <c r="Z4175" s="107"/>
      <c r="AA4175" s="107"/>
      <c r="AB4175" s="107"/>
      <c r="AF4175" s="94">
        <f t="shared" si="557"/>
        <v>42762</v>
      </c>
      <c r="AG4175" s="185">
        <f t="shared" si="550"/>
        <v>0</v>
      </c>
      <c r="AH4175" s="339" t="str">
        <f>VLOOKUP(B4175,'MF PF'!A:B,2)</f>
        <v>FdMgtRGE</v>
      </c>
      <c r="AI4175" s="358">
        <f t="shared" si="558"/>
        <v>0</v>
      </c>
      <c r="AJ4175" s="94">
        <f t="shared" si="559"/>
        <v>42766</v>
      </c>
    </row>
    <row r="4176" spans="1:36" ht="12.75" customHeight="1">
      <c r="A4176" s="8">
        <v>42794</v>
      </c>
      <c r="B4176" s="94" t="s">
        <v>32</v>
      </c>
      <c r="C4176" s="6" t="s">
        <v>297</v>
      </c>
      <c r="D4176" s="98">
        <v>297515423.63999999</v>
      </c>
      <c r="E4176" s="95">
        <f t="shared" si="554"/>
        <v>388.88</v>
      </c>
      <c r="F4176" s="98"/>
      <c r="G4176" s="98">
        <v>0</v>
      </c>
      <c r="H4176" s="98">
        <v>0</v>
      </c>
      <c r="I4176" s="98">
        <v>0</v>
      </c>
      <c r="J4176" s="98"/>
      <c r="K4176" s="98">
        <v>765057.14780909277</v>
      </c>
      <c r="L4176" s="93">
        <f t="shared" si="555"/>
        <v>0</v>
      </c>
      <c r="M4176" s="95">
        <f t="shared" ca="1" si="556"/>
        <v>0</v>
      </c>
      <c r="N4176" s="95">
        <f>IF(P4176="Hedge Fund",IF(A4176=Summary!$AD$3,M4176-E4176,M4176),IF(A4176=Summary!$AD$3,L4176-D4176,L4176))</f>
        <v>0</v>
      </c>
      <c r="P4176" s="107" t="s">
        <v>155</v>
      </c>
      <c r="Q4176" s="107">
        <v>5.8500000000000003E-2</v>
      </c>
      <c r="R4176" s="107">
        <v>0</v>
      </c>
      <c r="S4176" s="107">
        <v>3.5833333333333335E-2</v>
      </c>
      <c r="T4176" s="107">
        <v>0</v>
      </c>
      <c r="U4176" s="107" t="s">
        <v>154</v>
      </c>
      <c r="V4176" s="107">
        <v>2.1552750000000001</v>
      </c>
      <c r="W4176" s="107" t="s">
        <v>15</v>
      </c>
      <c r="X4176" s="107">
        <v>0.307896</v>
      </c>
      <c r="Y4176" s="107"/>
      <c r="Z4176" s="107"/>
      <c r="AA4176" s="107"/>
      <c r="AB4176" s="107"/>
      <c r="AF4176" s="94">
        <f t="shared" si="557"/>
        <v>42794</v>
      </c>
      <c r="AG4176" s="185">
        <f t="shared" si="550"/>
        <v>0</v>
      </c>
      <c r="AH4176" s="339" t="str">
        <f>VLOOKUP(B4176,'MF PF'!A:B,2)</f>
        <v>FdMgtRGE</v>
      </c>
      <c r="AI4176" s="358">
        <f t="shared" si="558"/>
        <v>0</v>
      </c>
      <c r="AJ4176" s="94">
        <f t="shared" si="559"/>
        <v>42794</v>
      </c>
    </row>
    <row r="4177" spans="1:36" ht="12.75" customHeight="1">
      <c r="A4177" s="8">
        <v>42825</v>
      </c>
      <c r="B4177" s="94" t="s">
        <v>32</v>
      </c>
      <c r="C4177" s="6" t="s">
        <v>297</v>
      </c>
      <c r="D4177" s="98">
        <v>297515423.63999999</v>
      </c>
      <c r="E4177" s="95">
        <f t="shared" si="554"/>
        <v>388.88</v>
      </c>
      <c r="F4177" s="98"/>
      <c r="G4177" s="98">
        <v>0</v>
      </c>
      <c r="H4177" s="98">
        <v>0</v>
      </c>
      <c r="I4177" s="98">
        <v>0</v>
      </c>
      <c r="J4177" s="98"/>
      <c r="K4177" s="98">
        <v>765057.14780909277</v>
      </c>
      <c r="L4177" s="93">
        <f t="shared" si="555"/>
        <v>0</v>
      </c>
      <c r="M4177" s="95">
        <f t="shared" ca="1" si="556"/>
        <v>0</v>
      </c>
      <c r="N4177" s="95">
        <f>IF(P4177="Hedge Fund",IF(A4177=Summary!$AD$3,M4177-E4177,M4177),IF(A4177=Summary!$AD$3,L4177-D4177,L4177))</f>
        <v>0</v>
      </c>
      <c r="P4177" s="107" t="s">
        <v>155</v>
      </c>
      <c r="Q4177" s="107">
        <v>5.8500000000000003E-2</v>
      </c>
      <c r="R4177" s="107">
        <v>0</v>
      </c>
      <c r="S4177" s="107">
        <v>3.5833333333333335E-2</v>
      </c>
      <c r="T4177" s="107">
        <v>0</v>
      </c>
      <c r="U4177" s="107" t="s">
        <v>154</v>
      </c>
      <c r="V4177" s="107">
        <v>2.185492</v>
      </c>
      <c r="W4177" s="107" t="s">
        <v>15</v>
      </c>
      <c r="X4177" s="107">
        <v>0.31221300000000002</v>
      </c>
      <c r="Y4177" s="107"/>
      <c r="Z4177" s="107"/>
      <c r="AA4177" s="107"/>
      <c r="AB4177" s="107"/>
      <c r="AF4177" s="94">
        <f t="shared" si="557"/>
        <v>42825</v>
      </c>
      <c r="AG4177" s="185">
        <f t="shared" si="550"/>
        <v>0</v>
      </c>
      <c r="AH4177" s="339" t="str">
        <f>VLOOKUP(B4177,'MF PF'!A:B,2)</f>
        <v>FdMgtRGE</v>
      </c>
      <c r="AI4177" s="358">
        <f t="shared" si="558"/>
        <v>0</v>
      </c>
      <c r="AJ4177" s="94">
        <f t="shared" si="559"/>
        <v>42825</v>
      </c>
    </row>
    <row r="4178" spans="1:36" ht="12.75" customHeight="1">
      <c r="A4178" s="8">
        <v>42853</v>
      </c>
      <c r="B4178" s="94" t="s">
        <v>32</v>
      </c>
      <c r="C4178" s="6" t="s">
        <v>297</v>
      </c>
      <c r="D4178" s="98">
        <v>297515423.63999999</v>
      </c>
      <c r="E4178" s="95">
        <f t="shared" ref="E4178:E4206" si="560">IF(K4178="","",D4178/K4178)</f>
        <v>388.88</v>
      </c>
      <c r="F4178" s="98"/>
      <c r="G4178" s="98">
        <v>0</v>
      </c>
      <c r="H4178" s="98">
        <v>0</v>
      </c>
      <c r="I4178" s="98">
        <v>0</v>
      </c>
      <c r="J4178" s="98"/>
      <c r="K4178" s="98">
        <v>765057.14780909277</v>
      </c>
      <c r="L4178" s="93">
        <f t="shared" si="555"/>
        <v>0</v>
      </c>
      <c r="M4178" s="95">
        <f t="shared" ca="1" si="556"/>
        <v>0</v>
      </c>
      <c r="N4178" s="95">
        <f>IF(P4178="Hedge Fund",IF(A4178=Summary!$AD$3,M4178-E4178,M4178),IF(A4178=Summary!$AD$3,L4178-D4178,L4178))</f>
        <v>0</v>
      </c>
      <c r="P4178" s="107" t="s">
        <v>155</v>
      </c>
      <c r="Q4178" s="107">
        <v>5.8500000000000003E-2</v>
      </c>
      <c r="R4178" s="107">
        <v>0</v>
      </c>
      <c r="S4178" s="107">
        <v>3.5833333333333335E-2</v>
      </c>
      <c r="T4178" s="107">
        <v>0</v>
      </c>
      <c r="U4178" s="107" t="s">
        <v>154</v>
      </c>
      <c r="V4178" s="107">
        <v>2.212866</v>
      </c>
      <c r="W4178" s="107" t="s">
        <v>15</v>
      </c>
      <c r="X4178" s="107">
        <v>0.31612400000000002</v>
      </c>
      <c r="Y4178" s="107"/>
      <c r="Z4178" s="107"/>
      <c r="AA4178" s="107"/>
      <c r="AB4178" s="107"/>
      <c r="AF4178" s="94">
        <f t="shared" si="557"/>
        <v>42853</v>
      </c>
      <c r="AG4178" s="185">
        <f t="shared" si="550"/>
        <v>0</v>
      </c>
      <c r="AH4178" s="339" t="str">
        <f>VLOOKUP(B4178,'MF PF'!A:B,2)</f>
        <v>FdMgtRGE</v>
      </c>
      <c r="AI4178" s="358">
        <f t="shared" si="558"/>
        <v>0</v>
      </c>
      <c r="AJ4178" s="94">
        <f t="shared" si="559"/>
        <v>42855</v>
      </c>
    </row>
    <row r="4179" spans="1:36" ht="12.75" customHeight="1">
      <c r="A4179" s="8">
        <v>42886</v>
      </c>
      <c r="B4179" s="94" t="s">
        <v>32</v>
      </c>
      <c r="C4179" s="6" t="s">
        <v>297</v>
      </c>
      <c r="D4179" s="98">
        <v>297515423.63999999</v>
      </c>
      <c r="E4179" s="95">
        <f t="shared" si="560"/>
        <v>388.88</v>
      </c>
      <c r="F4179" s="98"/>
      <c r="G4179" s="98">
        <v>0</v>
      </c>
      <c r="H4179" s="98">
        <v>0</v>
      </c>
      <c r="I4179" s="98">
        <v>0</v>
      </c>
      <c r="J4179" s="98"/>
      <c r="K4179" s="98">
        <v>765057.14780909277</v>
      </c>
      <c r="L4179" s="93">
        <f t="shared" si="555"/>
        <v>0</v>
      </c>
      <c r="M4179" s="95">
        <f t="shared" ca="1" si="556"/>
        <v>0</v>
      </c>
      <c r="N4179" s="95">
        <f>IF(P4179="Hedge Fund",IF(A4179=Summary!$AD$3,M4179-E4179,M4179),IF(A4179=Summary!$AD$3,L4179-D4179,L4179))</f>
        <v>0</v>
      </c>
      <c r="P4179" s="107" t="s">
        <v>155</v>
      </c>
      <c r="Q4179" s="107">
        <v>5.8500000000000003E-2</v>
      </c>
      <c r="R4179" s="107">
        <v>0</v>
      </c>
      <c r="S4179" s="107">
        <v>3.5833333333333335E-2</v>
      </c>
      <c r="T4179" s="107">
        <v>0</v>
      </c>
      <c r="U4179" s="107" t="s">
        <v>154</v>
      </c>
      <c r="V4179" s="107">
        <v>2.2435390000000002</v>
      </c>
      <c r="W4179" s="107" t="s">
        <v>15</v>
      </c>
      <c r="X4179" s="107">
        <v>0.32050600000000001</v>
      </c>
      <c r="Y4179" s="107"/>
      <c r="Z4179" s="107"/>
      <c r="AA4179" s="107"/>
      <c r="AB4179" s="107"/>
      <c r="AF4179" s="94">
        <f t="shared" si="557"/>
        <v>42886</v>
      </c>
      <c r="AG4179" s="185">
        <f t="shared" si="550"/>
        <v>0</v>
      </c>
      <c r="AH4179" s="339" t="str">
        <f>VLOOKUP(B4179,'MF PF'!A:B,2)</f>
        <v>FdMgtRGE</v>
      </c>
      <c r="AI4179" s="358">
        <f t="shared" si="558"/>
        <v>0</v>
      </c>
      <c r="AJ4179" s="94">
        <f t="shared" si="559"/>
        <v>42886</v>
      </c>
    </row>
    <row r="4180" spans="1:36" ht="12.75" customHeight="1">
      <c r="A4180" s="8">
        <v>42916</v>
      </c>
      <c r="B4180" s="94" t="s">
        <v>32</v>
      </c>
      <c r="C4180" s="6" t="s">
        <v>297</v>
      </c>
      <c r="D4180" s="98">
        <v>365229912.22000003</v>
      </c>
      <c r="E4180" s="95">
        <f t="shared" si="560"/>
        <v>388.88000000000005</v>
      </c>
      <c r="F4180" s="98"/>
      <c r="G4180" s="98">
        <v>0</v>
      </c>
      <c r="H4180" s="98">
        <v>0</v>
      </c>
      <c r="I4180" s="98">
        <v>0</v>
      </c>
      <c r="J4180" s="98"/>
      <c r="K4180" s="98">
        <v>939184.09848796541</v>
      </c>
      <c r="L4180" s="93">
        <f t="shared" si="555"/>
        <v>0</v>
      </c>
      <c r="M4180" s="95">
        <f t="shared" ca="1" si="556"/>
        <v>0</v>
      </c>
      <c r="N4180" s="95">
        <f>IF(P4180="Hedge Fund",IF(A4180=Summary!$AD$3,M4180-E4180,M4180),IF(A4180=Summary!$AD$3,L4180-D4180,L4180))</f>
        <v>0</v>
      </c>
      <c r="P4180" s="107" t="s">
        <v>155</v>
      </c>
      <c r="Q4180" s="107">
        <v>5.8500000000000003E-2</v>
      </c>
      <c r="R4180" s="107">
        <v>0</v>
      </c>
      <c r="S4180" s="107">
        <v>3.5833333333333335E-2</v>
      </c>
      <c r="T4180" s="107">
        <v>0</v>
      </c>
      <c r="U4180" s="107" t="s">
        <v>154</v>
      </c>
      <c r="V4180" s="107">
        <v>2.2728009999999998</v>
      </c>
      <c r="W4180" s="107" t="s">
        <v>15</v>
      </c>
      <c r="X4180" s="107">
        <v>0.32468599999999997</v>
      </c>
      <c r="Y4180" s="107"/>
      <c r="Z4180" s="107"/>
      <c r="AA4180" s="107"/>
      <c r="AB4180" s="107"/>
      <c r="AF4180" s="94">
        <f t="shared" si="557"/>
        <v>42916</v>
      </c>
      <c r="AG4180" s="185">
        <f t="shared" si="550"/>
        <v>0.22759992659048156</v>
      </c>
      <c r="AH4180" s="339" t="str">
        <f>VLOOKUP(B4180,'MF PF'!A:B,2)</f>
        <v>FdMgtRGE</v>
      </c>
      <c r="AI4180" s="358">
        <f t="shared" si="558"/>
        <v>0</v>
      </c>
      <c r="AJ4180" s="94">
        <f t="shared" si="559"/>
        <v>42916</v>
      </c>
    </row>
    <row r="4181" spans="1:36" ht="12.75" customHeight="1">
      <c r="A4181" s="8">
        <v>42947</v>
      </c>
      <c r="B4181" s="94" t="s">
        <v>32</v>
      </c>
      <c r="C4181" s="6" t="s">
        <v>297</v>
      </c>
      <c r="D4181" s="98">
        <v>365229912.22000003</v>
      </c>
      <c r="E4181" s="95">
        <f t="shared" si="560"/>
        <v>388.88000000000005</v>
      </c>
      <c r="F4181" s="98"/>
      <c r="G4181" s="98">
        <v>0</v>
      </c>
      <c r="H4181" s="98">
        <v>0</v>
      </c>
      <c r="I4181" s="98">
        <v>0</v>
      </c>
      <c r="J4181" s="98"/>
      <c r="K4181" s="98">
        <v>939184.09848796541</v>
      </c>
      <c r="L4181" s="93">
        <f t="shared" si="555"/>
        <v>0</v>
      </c>
      <c r="M4181" s="95">
        <f t="shared" ca="1" si="556"/>
        <v>0</v>
      </c>
      <c r="N4181" s="95">
        <f>IF(P4181="Hedge Fund",IF(A4181=Summary!$AD$3,M4181-E4181,M4181),IF(A4181=Summary!$AD$3,L4181-D4181,L4181))</f>
        <v>0</v>
      </c>
      <c r="P4181" s="107" t="s">
        <v>155</v>
      </c>
      <c r="Q4181" s="107">
        <v>5.8500000000000003E-2</v>
      </c>
      <c r="R4181" s="107">
        <v>0</v>
      </c>
      <c r="S4181" s="107">
        <v>3.5833333333333335E-2</v>
      </c>
      <c r="T4181" s="107">
        <v>0</v>
      </c>
      <c r="U4181" s="107" t="s">
        <v>154</v>
      </c>
      <c r="V4181" s="107">
        <v>2.2728009999999998</v>
      </c>
      <c r="W4181" s="107" t="s">
        <v>15</v>
      </c>
      <c r="X4181" s="107">
        <v>0.32888200000000001</v>
      </c>
      <c r="Y4181" s="107"/>
      <c r="Z4181" s="107"/>
      <c r="AA4181" s="107"/>
      <c r="AB4181" s="107"/>
      <c r="AF4181" s="94">
        <f t="shared" si="557"/>
        <v>42947</v>
      </c>
      <c r="AG4181" s="185">
        <f t="shared" si="550"/>
        <v>0</v>
      </c>
      <c r="AH4181" s="339" t="str">
        <f>VLOOKUP(B4181,'MF PF'!A:B,2)</f>
        <v>FdMgtRGE</v>
      </c>
      <c r="AI4181" s="358">
        <f t="shared" si="558"/>
        <v>0</v>
      </c>
      <c r="AJ4181" s="94">
        <f t="shared" si="559"/>
        <v>42947</v>
      </c>
    </row>
    <row r="4182" spans="1:36" ht="12.75" customHeight="1">
      <c r="A4182" s="8">
        <v>42978</v>
      </c>
      <c r="B4182" s="94" t="s">
        <v>32</v>
      </c>
      <c r="C4182" s="6" t="s">
        <v>297</v>
      </c>
      <c r="D4182" s="98">
        <v>365229912.22000003</v>
      </c>
      <c r="E4182" s="95">
        <f t="shared" si="560"/>
        <v>388.88000000000005</v>
      </c>
      <c r="F4182" s="98"/>
      <c r="G4182" s="98">
        <v>0</v>
      </c>
      <c r="H4182" s="98">
        <v>0</v>
      </c>
      <c r="I4182" s="98">
        <v>0</v>
      </c>
      <c r="J4182" s="98"/>
      <c r="K4182" s="98">
        <v>939184.09848796541</v>
      </c>
      <c r="L4182" s="93">
        <f t="shared" si="555"/>
        <v>0</v>
      </c>
      <c r="M4182" s="95">
        <f t="shared" ca="1" si="556"/>
        <v>0</v>
      </c>
      <c r="N4182" s="95">
        <f>IF(P4182="Hedge Fund",IF(A4182=Summary!$AD$3,M4182-E4182,M4182),IF(A4182=Summary!$AD$3,L4182-D4182,L4182))</f>
        <v>0</v>
      </c>
      <c r="P4182" s="107" t="s">
        <v>155</v>
      </c>
      <c r="Q4182" s="107">
        <v>5.8500000000000003E-2</v>
      </c>
      <c r="R4182" s="107">
        <v>0</v>
      </c>
      <c r="S4182" s="107">
        <v>3.5833333333333335E-2</v>
      </c>
      <c r="T4182" s="107">
        <v>0</v>
      </c>
      <c r="U4182" s="107" t="s">
        <v>154</v>
      </c>
      <c r="V4182" s="107">
        <v>2.2728009999999998</v>
      </c>
      <c r="W4182" s="107" t="s">
        <v>15</v>
      </c>
      <c r="X4182" s="107">
        <v>0.33302900000000002</v>
      </c>
      <c r="Y4182" s="107"/>
      <c r="Z4182" s="107"/>
      <c r="AA4182" s="107"/>
      <c r="AB4182" s="107"/>
      <c r="AF4182" s="94">
        <f t="shared" si="557"/>
        <v>42978</v>
      </c>
      <c r="AG4182" s="185">
        <f t="shared" si="550"/>
        <v>0</v>
      </c>
      <c r="AH4182" s="339" t="str">
        <f>VLOOKUP(B4182,'MF PF'!A:B,2)</f>
        <v>FdMgtRGE</v>
      </c>
      <c r="AI4182" s="358">
        <f t="shared" si="558"/>
        <v>0</v>
      </c>
      <c r="AJ4182" s="94">
        <f t="shared" si="559"/>
        <v>42978</v>
      </c>
    </row>
    <row r="4183" spans="1:36" ht="12.75" customHeight="1">
      <c r="A4183" s="8">
        <v>43007</v>
      </c>
      <c r="B4183" s="94" t="s">
        <v>32</v>
      </c>
      <c r="C4183" s="6" t="s">
        <v>297</v>
      </c>
      <c r="D4183" s="98">
        <v>365229912.22000003</v>
      </c>
      <c r="E4183" s="95">
        <f t="shared" si="560"/>
        <v>388.88000000000005</v>
      </c>
      <c r="F4183" s="98"/>
      <c r="G4183" s="98">
        <v>0</v>
      </c>
      <c r="H4183" s="98">
        <v>0</v>
      </c>
      <c r="I4183" s="98">
        <v>0</v>
      </c>
      <c r="J4183" s="98"/>
      <c r="K4183" s="98">
        <v>939184.09848796541</v>
      </c>
      <c r="L4183" s="93">
        <f t="shared" si="555"/>
        <v>0</v>
      </c>
      <c r="M4183" s="95">
        <f t="shared" ca="1" si="556"/>
        <v>0</v>
      </c>
      <c r="N4183" s="95">
        <f>IF(P4183="Hedge Fund",IF(A4183=Summary!$AD$3,M4183-E4183,M4183),IF(A4183=Summary!$AD$3,L4183-D4183,L4183))</f>
        <v>0</v>
      </c>
      <c r="P4183" s="107" t="s">
        <v>155</v>
      </c>
      <c r="Q4183" s="107">
        <v>5.8500000000000003E-2</v>
      </c>
      <c r="R4183" s="107">
        <v>0</v>
      </c>
      <c r="S4183" s="107">
        <v>3.5833333333333335E-2</v>
      </c>
      <c r="T4183" s="107">
        <v>0</v>
      </c>
      <c r="U4183" s="107" t="s">
        <v>154</v>
      </c>
      <c r="V4183" s="107">
        <v>2.2728009999999998</v>
      </c>
      <c r="W4183" s="107" t="s">
        <v>15</v>
      </c>
      <c r="X4183" s="107">
        <v>0.33706399999999997</v>
      </c>
      <c r="Y4183" s="107"/>
      <c r="Z4183" s="107"/>
      <c r="AA4183" s="107"/>
      <c r="AB4183" s="107"/>
      <c r="AF4183" s="94">
        <f t="shared" si="557"/>
        <v>43007</v>
      </c>
      <c r="AG4183" s="185">
        <f t="shared" si="550"/>
        <v>0</v>
      </c>
      <c r="AH4183" s="339" t="str">
        <f>VLOOKUP(B4183,'MF PF'!A:B,2)</f>
        <v>FdMgtRGE</v>
      </c>
      <c r="AI4183" s="358">
        <f t="shared" si="558"/>
        <v>0</v>
      </c>
      <c r="AJ4183" s="94">
        <f t="shared" si="559"/>
        <v>43008</v>
      </c>
    </row>
    <row r="4184" spans="1:36" ht="12.75" customHeight="1">
      <c r="A4184" s="8">
        <v>43039</v>
      </c>
      <c r="B4184" s="94" t="s">
        <v>32</v>
      </c>
      <c r="C4184" s="6" t="s">
        <v>297</v>
      </c>
      <c r="D4184" s="98">
        <v>365229912.22000003</v>
      </c>
      <c r="E4184" s="95">
        <f t="shared" si="560"/>
        <v>388.88000000000005</v>
      </c>
      <c r="F4184" s="98"/>
      <c r="G4184" s="98">
        <v>0</v>
      </c>
      <c r="H4184" s="98">
        <v>0</v>
      </c>
      <c r="I4184" s="98">
        <v>0</v>
      </c>
      <c r="J4184" s="98"/>
      <c r="K4184" s="98">
        <v>939184.09848796541</v>
      </c>
      <c r="L4184" s="93">
        <f t="shared" si="555"/>
        <v>0</v>
      </c>
      <c r="M4184" s="95">
        <f t="shared" ca="1" si="556"/>
        <v>0</v>
      </c>
      <c r="N4184" s="95">
        <f>IF(P4184="Hedge Fund",IF(A4184=Summary!$AD$3,M4184-E4184,M4184),IF(A4184=Summary!$AD$3,L4184-D4184,L4184))</f>
        <v>0</v>
      </c>
      <c r="P4184" s="107" t="s">
        <v>155</v>
      </c>
      <c r="Q4184" s="107">
        <v>5.8500000000000003E-2</v>
      </c>
      <c r="R4184" s="107">
        <v>0</v>
      </c>
      <c r="S4184" s="107">
        <v>3.5833333333333335E-2</v>
      </c>
      <c r="T4184" s="107">
        <v>0</v>
      </c>
      <c r="U4184" s="107" t="s">
        <v>154</v>
      </c>
      <c r="V4184" s="107">
        <v>2.2728009999999998</v>
      </c>
      <c r="W4184" s="107" t="s">
        <v>15</v>
      </c>
      <c r="X4184" s="107">
        <v>0.341312</v>
      </c>
      <c r="Y4184" s="107"/>
      <c r="Z4184" s="107"/>
      <c r="AA4184" s="107"/>
      <c r="AB4184" s="107"/>
      <c r="AF4184" s="94">
        <f t="shared" si="557"/>
        <v>43039</v>
      </c>
      <c r="AG4184" s="185">
        <f t="shared" si="550"/>
        <v>0</v>
      </c>
      <c r="AH4184" s="339" t="str">
        <f>VLOOKUP(B4184,'MF PF'!A:B,2)</f>
        <v>FdMgtRGE</v>
      </c>
      <c r="AI4184" s="358">
        <f t="shared" si="558"/>
        <v>0</v>
      </c>
      <c r="AJ4184" s="94">
        <f t="shared" si="559"/>
        <v>43039</v>
      </c>
    </row>
    <row r="4185" spans="1:36" ht="12.75" customHeight="1">
      <c r="A4185" s="8">
        <v>43069</v>
      </c>
      <c r="B4185" s="94" t="s">
        <v>32</v>
      </c>
      <c r="C4185" s="6" t="s">
        <v>297</v>
      </c>
      <c r="D4185" s="98">
        <v>365869890</v>
      </c>
      <c r="E4185" s="95">
        <f t="shared" si="560"/>
        <v>388.88</v>
      </c>
      <c r="F4185" s="98"/>
      <c r="G4185" s="98">
        <v>0</v>
      </c>
      <c r="H4185" s="98">
        <v>0</v>
      </c>
      <c r="I4185" s="98">
        <v>0</v>
      </c>
      <c r="J4185" s="98"/>
      <c r="K4185" s="98">
        <v>940829.79325241724</v>
      </c>
      <c r="L4185" s="93">
        <f t="shared" si="555"/>
        <v>0</v>
      </c>
      <c r="M4185" s="95">
        <f t="shared" ca="1" si="556"/>
        <v>0</v>
      </c>
      <c r="N4185" s="95">
        <f>IF(P4185="Hedge Fund",IF(A4185=Summary!$AD$3,M4185-E4185,M4185),IF(A4185=Summary!$AD$3,L4185-D4185,L4185))</f>
        <v>0</v>
      </c>
      <c r="P4185" s="107" t="s">
        <v>155</v>
      </c>
      <c r="Q4185" s="107">
        <v>5.8500000000000003E-2</v>
      </c>
      <c r="R4185" s="107">
        <v>0</v>
      </c>
      <c r="S4185" s="107">
        <v>3.5833333333333335E-2</v>
      </c>
      <c r="T4185" s="107">
        <v>0</v>
      </c>
      <c r="U4185" s="107" t="s">
        <v>154</v>
      </c>
      <c r="V4185" s="107">
        <v>2.2728009999999998</v>
      </c>
      <c r="W4185" s="107" t="s">
        <v>15</v>
      </c>
      <c r="X4185" s="107">
        <v>0.34544000000000002</v>
      </c>
      <c r="Y4185" s="107"/>
      <c r="Z4185" s="107"/>
      <c r="AA4185" s="107"/>
      <c r="AB4185" s="107"/>
      <c r="AF4185" s="94">
        <f t="shared" si="557"/>
        <v>43069</v>
      </c>
      <c r="AG4185" s="185">
        <f t="shared" si="550"/>
        <v>1.7522600383685916E-3</v>
      </c>
      <c r="AH4185" s="339" t="str">
        <f>VLOOKUP(B4185,'MF PF'!A:B,2)</f>
        <v>FdMgtRGE</v>
      </c>
      <c r="AI4185" s="358">
        <f t="shared" si="558"/>
        <v>0</v>
      </c>
      <c r="AJ4185" s="94">
        <f t="shared" si="559"/>
        <v>43069</v>
      </c>
    </row>
    <row r="4186" spans="1:36" ht="12.75" customHeight="1">
      <c r="A4186" s="8">
        <v>43098</v>
      </c>
      <c r="B4186" s="94" t="s">
        <v>32</v>
      </c>
      <c r="C4186" s="6" t="s">
        <v>297</v>
      </c>
      <c r="D4186" s="98">
        <v>365869890</v>
      </c>
      <c r="E4186" s="95">
        <f t="shared" si="560"/>
        <v>388.88</v>
      </c>
      <c r="F4186" s="98"/>
      <c r="G4186" s="98">
        <v>0</v>
      </c>
      <c r="H4186" s="98">
        <v>0</v>
      </c>
      <c r="I4186" s="98">
        <v>0</v>
      </c>
      <c r="J4186" s="98"/>
      <c r="K4186" s="98">
        <v>940829.79325241724</v>
      </c>
      <c r="L4186" s="93">
        <f t="shared" si="555"/>
        <v>0</v>
      </c>
      <c r="M4186" s="95">
        <f t="shared" ca="1" si="556"/>
        <v>0</v>
      </c>
      <c r="N4186" s="95">
        <f>IF(P4186="Hedge Fund",IF(A4186=Summary!$AD$3,M4186-E4186,M4186),IF(A4186=Summary!$AD$3,L4186-D4186,L4186))</f>
        <v>0</v>
      </c>
      <c r="P4186" s="107" t="s">
        <v>155</v>
      </c>
      <c r="Q4186" s="107">
        <v>5.8500000000000003E-2</v>
      </c>
      <c r="R4186" s="107">
        <v>0</v>
      </c>
      <c r="S4186" s="107">
        <v>3.5833333333333335E-2</v>
      </c>
      <c r="T4186" s="107">
        <v>0</v>
      </c>
      <c r="U4186" s="107" t="s">
        <v>154</v>
      </c>
      <c r="V4186" s="107">
        <v>2.2728009999999998</v>
      </c>
      <c r="W4186" s="107" t="s">
        <v>15</v>
      </c>
      <c r="X4186" s="107">
        <v>0.34947400000000001</v>
      </c>
      <c r="Y4186" s="107"/>
      <c r="Z4186" s="107"/>
      <c r="AA4186" s="107"/>
      <c r="AB4186" s="107"/>
      <c r="AF4186" s="94">
        <f t="shared" si="557"/>
        <v>43098</v>
      </c>
      <c r="AG4186" s="185">
        <f t="shared" si="550"/>
        <v>0</v>
      </c>
      <c r="AH4186" s="339" t="str">
        <f>VLOOKUP(B4186,'MF PF'!A:B,2)</f>
        <v>FdMgtRGE</v>
      </c>
      <c r="AI4186" s="358">
        <f t="shared" si="558"/>
        <v>0</v>
      </c>
      <c r="AJ4186" s="94">
        <f t="shared" si="559"/>
        <v>43100</v>
      </c>
    </row>
    <row r="4187" spans="1:36" ht="12.75" customHeight="1">
      <c r="A4187" s="94">
        <v>43131</v>
      </c>
      <c r="B4187" s="94" t="s">
        <v>32</v>
      </c>
      <c r="C4187" s="358" t="s">
        <v>297</v>
      </c>
      <c r="D4187" s="98">
        <v>365869890</v>
      </c>
      <c r="E4187" s="95">
        <f t="shared" si="560"/>
        <v>388.88</v>
      </c>
      <c r="F4187" s="98"/>
      <c r="G4187" s="98">
        <v>0</v>
      </c>
      <c r="H4187" s="98">
        <v>0</v>
      </c>
      <c r="I4187" s="98">
        <v>0</v>
      </c>
      <c r="J4187" s="98"/>
      <c r="K4187" s="98">
        <v>940829.79325241724</v>
      </c>
      <c r="L4187" s="93">
        <f t="shared" si="555"/>
        <v>0</v>
      </c>
      <c r="M4187" s="95">
        <f t="shared" ca="1" si="556"/>
        <v>0</v>
      </c>
      <c r="N4187" s="95">
        <f>IF(P4187="Hedge Fund",IF(A4187=Summary!$AD$3,M4187-E4187,M4187),IF(A4187=Summary!$AD$3,L4187-D4187,L4187))</f>
        <v>0</v>
      </c>
      <c r="P4187" s="107" t="s">
        <v>155</v>
      </c>
      <c r="Q4187" s="107">
        <v>5.8500000000000003E-2</v>
      </c>
      <c r="R4187" s="107">
        <v>0</v>
      </c>
      <c r="S4187" s="107">
        <v>3.5833333333333335E-2</v>
      </c>
      <c r="T4187" s="107">
        <v>0</v>
      </c>
      <c r="U4187" s="107" t="s">
        <v>154</v>
      </c>
      <c r="V4187" s="107">
        <v>2.2728009999999998</v>
      </c>
      <c r="W4187" s="107" t="s">
        <v>15</v>
      </c>
      <c r="X4187" s="107">
        <v>0.35399700000000001</v>
      </c>
      <c r="Y4187" s="107"/>
      <c r="Z4187" s="107"/>
      <c r="AA4187" s="107"/>
      <c r="AB4187" s="107"/>
      <c r="AF4187" s="94">
        <f t="shared" si="557"/>
        <v>43131</v>
      </c>
      <c r="AG4187" s="185">
        <f t="shared" si="550"/>
        <v>0</v>
      </c>
      <c r="AH4187" s="339" t="str">
        <f>VLOOKUP(B4187,'MF PF'!A:B,2)</f>
        <v>FdMgtRGE</v>
      </c>
      <c r="AI4187" s="358">
        <f t="shared" si="558"/>
        <v>0</v>
      </c>
      <c r="AJ4187" s="94">
        <f t="shared" si="559"/>
        <v>43131</v>
      </c>
    </row>
    <row r="4188" spans="1:36" ht="12.75" customHeight="1">
      <c r="A4188" s="8">
        <v>43159</v>
      </c>
      <c r="B4188" s="94" t="s">
        <v>32</v>
      </c>
      <c r="C4188" s="6" t="s">
        <v>297</v>
      </c>
      <c r="D4188" s="98">
        <v>378493319.47299999</v>
      </c>
      <c r="E4188" s="95">
        <f t="shared" si="560"/>
        <v>402.29733601926148</v>
      </c>
      <c r="F4188" s="98"/>
      <c r="G4188" s="98">
        <v>0</v>
      </c>
      <c r="H4188" s="98">
        <v>0</v>
      </c>
      <c r="I4188" s="98">
        <v>0</v>
      </c>
      <c r="J4188" s="98"/>
      <c r="K4188" s="98">
        <v>940829.79325241724</v>
      </c>
      <c r="L4188" s="93">
        <f t="shared" si="555"/>
        <v>0</v>
      </c>
      <c r="M4188" s="95">
        <f t="shared" ca="1" si="556"/>
        <v>0</v>
      </c>
      <c r="N4188" s="95">
        <f>IF(P4188="Hedge Fund",IF(A4188=Summary!$AD$3,M4188-E4188,M4188),IF(A4188=Summary!$AD$3,L4188-D4188,L4188))</f>
        <v>0</v>
      </c>
      <c r="P4188" s="107" t="s">
        <v>155</v>
      </c>
      <c r="Q4188" s="107">
        <v>5.8500000000000003E-2</v>
      </c>
      <c r="R4188" s="107">
        <v>0</v>
      </c>
      <c r="S4188" s="107">
        <v>3.5833333333333335E-2</v>
      </c>
      <c r="T4188" s="107">
        <v>0</v>
      </c>
      <c r="U4188" s="107" t="s">
        <v>154</v>
      </c>
      <c r="V4188" s="107">
        <v>11.678892614759938</v>
      </c>
      <c r="W4188" s="107" t="s">
        <v>15</v>
      </c>
      <c r="X4188" s="107">
        <v>1.8387259352400622</v>
      </c>
      <c r="Y4188" s="107"/>
      <c r="Z4188" s="107"/>
      <c r="AA4188" s="107"/>
      <c r="AB4188" s="107"/>
      <c r="AF4188" s="94">
        <f t="shared" si="557"/>
        <v>43159</v>
      </c>
      <c r="AG4188" s="185">
        <f t="shared" si="550"/>
        <v>3.4502509821182636E-2</v>
      </c>
      <c r="AH4188" s="339" t="str">
        <f>VLOOKUP(B4188,'MF PF'!A:B,2)</f>
        <v>FdMgtRGE</v>
      </c>
      <c r="AI4188" s="358">
        <f t="shared" si="558"/>
        <v>0</v>
      </c>
      <c r="AJ4188" s="94">
        <f t="shared" si="559"/>
        <v>43159</v>
      </c>
    </row>
    <row r="4189" spans="1:36" ht="12.75" customHeight="1">
      <c r="A4189" s="8">
        <v>43188</v>
      </c>
      <c r="B4189" s="94" t="s">
        <v>32</v>
      </c>
      <c r="C4189" s="6" t="s">
        <v>297</v>
      </c>
      <c r="D4189" s="110">
        <v>365869789.18608689</v>
      </c>
      <c r="E4189" s="95">
        <f t="shared" si="560"/>
        <v>472.06850535610829</v>
      </c>
      <c r="F4189" s="98"/>
      <c r="G4189" s="98">
        <v>0</v>
      </c>
      <c r="H4189" s="98">
        <v>0</v>
      </c>
      <c r="I4189" s="98">
        <v>0</v>
      </c>
      <c r="J4189" s="98"/>
      <c r="K4189" s="110">
        <v>775035.37100000004</v>
      </c>
      <c r="L4189" s="93">
        <f t="shared" si="555"/>
        <v>0</v>
      </c>
      <c r="M4189" s="95">
        <f t="shared" ca="1" si="556"/>
        <v>0</v>
      </c>
      <c r="N4189" s="95">
        <f>IF(P4189="Hedge Fund",IF(A4189=Summary!$AD$3,M4189-E4189,M4189),IF(A4189=Summary!$AD$3,L4189-D4189,L4189))</f>
        <v>0</v>
      </c>
      <c r="P4189" s="107" t="s">
        <v>155</v>
      </c>
      <c r="Q4189" s="109">
        <f t="shared" ref="Q4189:Q4199" si="561">0.25%/3*(54+16.2+19.187)</f>
        <v>7.4489166666666676E-2</v>
      </c>
      <c r="R4189" s="98"/>
      <c r="S4189" s="109">
        <f>0.1075/3</f>
        <v>3.5833333333333335E-2</v>
      </c>
      <c r="T4189" s="107">
        <v>0</v>
      </c>
      <c r="U4189" s="107" t="s">
        <v>154</v>
      </c>
      <c r="V4189" s="109">
        <f>1920530.95419266/10^6</f>
        <v>1.9205309541926601</v>
      </c>
      <c r="W4189" s="107" t="s">
        <v>15</v>
      </c>
      <c r="X4189" s="109">
        <f>274361.564884665/10^6</f>
        <v>0.27436156488466501</v>
      </c>
      <c r="Y4189" s="107"/>
      <c r="Z4189" s="107"/>
      <c r="AA4189" s="107"/>
      <c r="AB4189" s="107"/>
      <c r="AF4189" s="94">
        <f t="shared" si="557"/>
        <v>43188</v>
      </c>
      <c r="AG4189" s="185">
        <f t="shared" si="550"/>
        <v>-3.3352055736385555E-2</v>
      </c>
      <c r="AH4189" s="339" t="str">
        <f>VLOOKUP(B4189,'MF PF'!A:B,2)</f>
        <v>FdMgtRGE</v>
      </c>
      <c r="AI4189" s="358">
        <f t="shared" si="558"/>
        <v>0</v>
      </c>
      <c r="AJ4189" s="94">
        <f t="shared" si="559"/>
        <v>43190</v>
      </c>
    </row>
    <row r="4190" spans="1:36" ht="12.75" customHeight="1">
      <c r="A4190" s="8">
        <v>43220</v>
      </c>
      <c r="B4190" s="94" t="s">
        <v>32</v>
      </c>
      <c r="C4190" s="6" t="s">
        <v>297</v>
      </c>
      <c r="D4190" s="110">
        <v>365869789.18608689</v>
      </c>
      <c r="E4190" s="95">
        <f t="shared" si="560"/>
        <v>472.06850535610829</v>
      </c>
      <c r="F4190" s="98"/>
      <c r="G4190" s="98">
        <v>0</v>
      </c>
      <c r="H4190" s="98">
        <v>0</v>
      </c>
      <c r="I4190" s="98">
        <v>0</v>
      </c>
      <c r="J4190" s="98"/>
      <c r="K4190" s="110">
        <v>775035.37100000004</v>
      </c>
      <c r="L4190" s="93">
        <f t="shared" si="555"/>
        <v>0</v>
      </c>
      <c r="M4190" s="95">
        <f t="shared" ca="1" si="556"/>
        <v>0</v>
      </c>
      <c r="N4190" s="95">
        <f>IF(P4190="Hedge Fund",IF(A4190=Summary!$AD$3,M4190-E4190,M4190),IF(A4190=Summary!$AD$3,L4190-D4190,L4190))</f>
        <v>0</v>
      </c>
      <c r="P4190" s="107" t="s">
        <v>155</v>
      </c>
      <c r="Q4190" s="109">
        <f t="shared" si="561"/>
        <v>7.4489166666666676E-2</v>
      </c>
      <c r="R4190" s="98"/>
      <c r="S4190" s="109">
        <f>0.1075/3</f>
        <v>3.5833333333333335E-2</v>
      </c>
      <c r="T4190" s="107">
        <v>0</v>
      </c>
      <c r="U4190" s="107" t="s">
        <v>154</v>
      </c>
      <c r="V4190" s="109">
        <f>1920530.95419266/10^6</f>
        <v>1.9205309541926601</v>
      </c>
      <c r="W4190" s="107" t="s">
        <v>15</v>
      </c>
      <c r="X4190" s="109">
        <f>274361.564884665/10^6</f>
        <v>0.27436156488466501</v>
      </c>
      <c r="Y4190" s="107"/>
      <c r="Z4190" s="107"/>
      <c r="AA4190" s="107"/>
      <c r="AB4190" s="107"/>
      <c r="AF4190" s="94">
        <f t="shared" si="557"/>
        <v>43220</v>
      </c>
      <c r="AG4190" s="185">
        <f t="shared" si="550"/>
        <v>0</v>
      </c>
      <c r="AH4190" s="339" t="str">
        <f>VLOOKUP(B4190,'MF PF'!A:B,2)</f>
        <v>FdMgtRGE</v>
      </c>
      <c r="AI4190" s="358">
        <f t="shared" si="558"/>
        <v>0</v>
      </c>
      <c r="AJ4190" s="94">
        <f t="shared" si="559"/>
        <v>43220</v>
      </c>
    </row>
    <row r="4191" spans="1:36" ht="12.75" customHeight="1">
      <c r="A4191" s="8">
        <v>43251</v>
      </c>
      <c r="B4191" s="94" t="s">
        <v>32</v>
      </c>
      <c r="C4191" s="6" t="s">
        <v>297</v>
      </c>
      <c r="D4191" s="110">
        <v>555837653.47535658</v>
      </c>
      <c r="E4191" s="95">
        <f t="shared" si="560"/>
        <v>717.17714348724417</v>
      </c>
      <c r="F4191" s="98"/>
      <c r="G4191" s="98">
        <v>0</v>
      </c>
      <c r="H4191" s="98">
        <v>0</v>
      </c>
      <c r="I4191" s="98">
        <v>0</v>
      </c>
      <c r="J4191" s="98"/>
      <c r="K4191" s="110">
        <v>775035.37100000004</v>
      </c>
      <c r="L4191" s="93">
        <f t="shared" si="555"/>
        <v>0</v>
      </c>
      <c r="M4191" s="95">
        <f t="shared" ca="1" si="556"/>
        <v>0</v>
      </c>
      <c r="N4191" s="95">
        <f>IF(P4191="Hedge Fund",IF(A4191=Summary!$AD$3,M4191-E4191,M4191),IF(A4191=Summary!$AD$3,L4191-D4191,L4191))</f>
        <v>0</v>
      </c>
      <c r="P4191" s="107" t="s">
        <v>155</v>
      </c>
      <c r="Q4191" s="109">
        <f t="shared" si="561"/>
        <v>7.4489166666666676E-2</v>
      </c>
      <c r="R4191" s="107"/>
      <c r="S4191" s="109">
        <f>0.1075/3</f>
        <v>3.5833333333333335E-2</v>
      </c>
      <c r="T4191" s="107">
        <v>0</v>
      </c>
      <c r="U4191" s="107" t="s">
        <v>154</v>
      </c>
      <c r="V4191" s="109">
        <f>1980522.04521685/10^6</f>
        <v>1.9805220452168499</v>
      </c>
      <c r="W4191" s="107" t="s">
        <v>15</v>
      </c>
      <c r="X4191" s="109">
        <f>282931.720745265/10^6</f>
        <v>0.28293172074526501</v>
      </c>
      <c r="Y4191" s="107"/>
      <c r="Z4191" s="107"/>
      <c r="AA4191" s="107"/>
      <c r="AB4191" s="107"/>
      <c r="AF4191" s="94">
        <f t="shared" si="557"/>
        <v>43251</v>
      </c>
      <c r="AG4191" s="185">
        <f t="shared" si="550"/>
        <v>0.51922260296995759</v>
      </c>
      <c r="AH4191" s="339" t="str">
        <f>VLOOKUP(B4191,'MF PF'!A:B,2)</f>
        <v>FdMgtRGE</v>
      </c>
      <c r="AI4191" s="358">
        <f t="shared" si="558"/>
        <v>0</v>
      </c>
      <c r="AJ4191" s="94">
        <f t="shared" si="559"/>
        <v>43251</v>
      </c>
    </row>
    <row r="4192" spans="1:36" ht="12.75" customHeight="1">
      <c r="A4192" s="8">
        <v>43280</v>
      </c>
      <c r="B4192" s="94" t="s">
        <v>32</v>
      </c>
      <c r="C4192" s="6" t="s">
        <v>297</v>
      </c>
      <c r="D4192" s="110">
        <v>534131653.47850001</v>
      </c>
      <c r="E4192" s="95">
        <f t="shared" si="560"/>
        <v>689.17067977082036</v>
      </c>
      <c r="F4192" s="98"/>
      <c r="G4192" s="98">
        <v>0</v>
      </c>
      <c r="H4192" s="98">
        <v>0</v>
      </c>
      <c r="I4192" s="98">
        <v>0</v>
      </c>
      <c r="J4192" s="98"/>
      <c r="K4192" s="110">
        <v>775035.37100000004</v>
      </c>
      <c r="L4192" s="93">
        <f t="shared" si="555"/>
        <v>0</v>
      </c>
      <c r="M4192" s="95">
        <f t="shared" ca="1" si="556"/>
        <v>0</v>
      </c>
      <c r="N4192" s="95">
        <f>IF(P4192="Hedge Fund",IF(A4192=Summary!$AD$3,M4192-E4192,M4192),IF(A4192=Summary!$AD$3,L4192-D4192,L4192))</f>
        <v>0</v>
      </c>
      <c r="P4192" s="107" t="s">
        <v>155</v>
      </c>
      <c r="Q4192" s="109">
        <f t="shared" si="561"/>
        <v>7.4489166666666676E-2</v>
      </c>
      <c r="R4192" s="107"/>
      <c r="S4192" s="109">
        <f>0.1075/3</f>
        <v>3.5833333333333335E-2</v>
      </c>
      <c r="T4192" s="107">
        <v>0</v>
      </c>
      <c r="U4192" s="107" t="s">
        <v>154</v>
      </c>
      <c r="V4192" s="109">
        <f>3064668.61311867/10^6</f>
        <v>3.0646686131186698</v>
      </c>
      <c r="W4192" s="107" t="s">
        <v>15</v>
      </c>
      <c r="X4192" s="109">
        <f>437809.801874096/10^6</f>
        <v>0.43780980187409596</v>
      </c>
      <c r="Y4192" s="107"/>
      <c r="Z4192" s="107"/>
      <c r="AA4192" s="107"/>
      <c r="AB4192" s="107"/>
      <c r="AF4192" s="94">
        <f t="shared" si="557"/>
        <v>43280</v>
      </c>
      <c r="AG4192" s="185">
        <f t="shared" si="550"/>
        <v>-3.9050970838590215E-2</v>
      </c>
      <c r="AH4192" s="339" t="str">
        <f>VLOOKUP(B4192,'MF PF'!A:B,2)</f>
        <v>FdMgtRGE</v>
      </c>
      <c r="AI4192" s="358">
        <f t="shared" si="558"/>
        <v>0</v>
      </c>
      <c r="AJ4192" s="94">
        <f t="shared" si="559"/>
        <v>43281</v>
      </c>
    </row>
    <row r="4193" spans="1:36" ht="12.75" customHeight="1">
      <c r="A4193" s="8">
        <v>43312</v>
      </c>
      <c r="B4193" s="94" t="s">
        <v>32</v>
      </c>
      <c r="C4193" s="6" t="s">
        <v>297</v>
      </c>
      <c r="D4193" s="110">
        <v>534131653.47847652</v>
      </c>
      <c r="E4193" s="95">
        <f t="shared" si="560"/>
        <v>689.17067977079012</v>
      </c>
      <c r="F4193" s="98"/>
      <c r="G4193" s="98">
        <v>0</v>
      </c>
      <c r="H4193" s="98">
        <v>0</v>
      </c>
      <c r="I4193" s="98">
        <v>0</v>
      </c>
      <c r="J4193" s="98"/>
      <c r="K4193" s="110">
        <v>775035.37100000004</v>
      </c>
      <c r="L4193" s="93">
        <f t="shared" si="555"/>
        <v>0</v>
      </c>
      <c r="M4193" s="95">
        <f t="shared" ca="1" si="556"/>
        <v>0</v>
      </c>
      <c r="N4193" s="95">
        <f>IF(P4193="Hedge Fund",IF(A4193=Summary!$AD$3,M4193-E4193,M4193),IF(A4193=Summary!$AD$3,L4193-D4193,L4193))</f>
        <v>0</v>
      </c>
      <c r="P4193" s="107" t="s">
        <v>155</v>
      </c>
      <c r="Q4193" s="109">
        <f t="shared" si="561"/>
        <v>7.4489166666666676E-2</v>
      </c>
      <c r="R4193" s="107"/>
      <c r="S4193" s="109">
        <f>0.1075/3</f>
        <v>3.5833333333333335E-2</v>
      </c>
      <c r="T4193" s="107">
        <v>0</v>
      </c>
      <c r="U4193" s="107" t="s">
        <v>154</v>
      </c>
      <c r="V4193" s="109">
        <f>2889751.80464239/10^6</f>
        <v>2.88975180464239</v>
      </c>
      <c r="W4193" s="107" t="s">
        <v>15</v>
      </c>
      <c r="X4193" s="109">
        <f>412821.686377484/10^6</f>
        <v>0.41282168637748401</v>
      </c>
      <c r="Y4193" s="107"/>
      <c r="Z4193" s="107"/>
      <c r="AA4193" s="107"/>
      <c r="AB4193" s="107"/>
      <c r="AF4193" s="94">
        <f t="shared" si="557"/>
        <v>43312</v>
      </c>
      <c r="AG4193" s="185">
        <f t="shared" si="550"/>
        <v>-4.3964831775156199E-14</v>
      </c>
      <c r="AH4193" s="339" t="str">
        <f>VLOOKUP(B4193,'MF PF'!A:B,2)</f>
        <v>FdMgtRGE</v>
      </c>
      <c r="AI4193" s="358">
        <f t="shared" si="558"/>
        <v>0</v>
      </c>
      <c r="AJ4193" s="94">
        <f t="shared" si="559"/>
        <v>43312</v>
      </c>
    </row>
    <row r="4194" spans="1:36" ht="12.75" customHeight="1">
      <c r="A4194" s="8">
        <v>43343</v>
      </c>
      <c r="B4194" s="94" t="s">
        <v>32</v>
      </c>
      <c r="C4194" s="6" t="s">
        <v>297</v>
      </c>
      <c r="D4194" s="110">
        <v>534131653.47847652</v>
      </c>
      <c r="E4194" s="95">
        <f t="shared" si="560"/>
        <v>689.17067977079012</v>
      </c>
      <c r="F4194" s="98"/>
      <c r="G4194" s="98">
        <v>0</v>
      </c>
      <c r="H4194" s="98">
        <v>0</v>
      </c>
      <c r="I4194" s="98">
        <v>0</v>
      </c>
      <c r="J4194" s="98"/>
      <c r="K4194" s="110">
        <v>775035.37100000004</v>
      </c>
      <c r="L4194" s="93">
        <f t="shared" si="555"/>
        <v>0</v>
      </c>
      <c r="M4194" s="95">
        <f t="shared" ca="1" si="556"/>
        <v>0</v>
      </c>
      <c r="N4194" s="95">
        <f>IF(P4194="Hedge Fund",IF(A4194=Summary!$AD$3,M4194-E4194,M4194),IF(A4194=Summary!$AD$3,L4194-D4194,L4194))</f>
        <v>0</v>
      </c>
      <c r="P4194" s="107" t="s">
        <v>155</v>
      </c>
      <c r="Q4194" s="109">
        <f t="shared" si="561"/>
        <v>7.4489166666666676E-2</v>
      </c>
      <c r="R4194" s="107"/>
      <c r="S4194" s="109">
        <v>3.5833333333333335E-2</v>
      </c>
      <c r="T4194" s="107">
        <v>0</v>
      </c>
      <c r="U4194" s="107" t="s">
        <v>154</v>
      </c>
      <c r="V4194" s="109">
        <f>2889751.80464239/10^6</f>
        <v>2.88975180464239</v>
      </c>
      <c r="W4194" s="107" t="s">
        <v>15</v>
      </c>
      <c r="X4194" s="109">
        <f>412821.686377484/10^6</f>
        <v>0.41282168637748401</v>
      </c>
      <c r="Y4194" s="107"/>
      <c r="Z4194" s="107"/>
      <c r="AA4194" s="107"/>
      <c r="AB4194" s="107"/>
      <c r="AF4194" s="94">
        <f t="shared" si="557"/>
        <v>43343</v>
      </c>
      <c r="AG4194" s="185">
        <f t="shared" ref="AG4194:AG4199" si="562">IF(C4194&lt;&gt;C4193,D4194/G4194-1,(D4194-G4194-I4194-H4194)/(D4193)-1)</f>
        <v>0</v>
      </c>
      <c r="AH4194" s="339" t="str">
        <f>VLOOKUP(B4194,'MF PF'!A:B,2)</f>
        <v>FdMgtRGE</v>
      </c>
      <c r="AI4194" s="358">
        <f t="shared" si="558"/>
        <v>0</v>
      </c>
      <c r="AJ4194" s="94">
        <f t="shared" si="559"/>
        <v>43343</v>
      </c>
    </row>
    <row r="4195" spans="1:36" ht="12.75" customHeight="1">
      <c r="A4195" s="8">
        <v>43371</v>
      </c>
      <c r="B4195" s="94" t="s">
        <v>32</v>
      </c>
      <c r="C4195" s="6" t="s">
        <v>297</v>
      </c>
      <c r="D4195" s="110">
        <v>531954231.70863187</v>
      </c>
      <c r="E4195" s="9">
        <f t="shared" si="560"/>
        <v>686.36123151678953</v>
      </c>
      <c r="F4195" s="98"/>
      <c r="G4195" s="98">
        <v>0</v>
      </c>
      <c r="H4195" s="98">
        <v>0</v>
      </c>
      <c r="I4195" s="98">
        <v>0</v>
      </c>
      <c r="J4195" s="98"/>
      <c r="K4195" s="110">
        <v>775035.37100000004</v>
      </c>
      <c r="L4195" s="93">
        <f t="shared" si="555"/>
        <v>0</v>
      </c>
      <c r="M4195" s="95">
        <f t="shared" ca="1" si="556"/>
        <v>0</v>
      </c>
      <c r="N4195" s="95">
        <f>IF(P4195="Hedge Fund",IF(A4195=Summary!$AD$3,M4195-E4195,M4195),IF(A4195=Summary!$AD$3,L4195-D4195,L4195))</f>
        <v>0</v>
      </c>
      <c r="P4195" s="107" t="s">
        <v>155</v>
      </c>
      <c r="Q4195" s="109">
        <f t="shared" si="561"/>
        <v>7.4489166666666676E-2</v>
      </c>
      <c r="R4195" s="107"/>
      <c r="S4195" s="109">
        <v>3.5833333333333335E-2</v>
      </c>
      <c r="T4195" s="107">
        <v>0</v>
      </c>
      <c r="U4195" s="107" t="s">
        <v>154</v>
      </c>
      <c r="V4195" s="109">
        <f>2095903.34473732/10^6</f>
        <v>2.0959033447373199</v>
      </c>
      <c r="W4195" s="107" t="s">
        <v>15</v>
      </c>
      <c r="X4195" s="109">
        <f>299414.763533903/10^6</f>
        <v>0.29941476353390301</v>
      </c>
      <c r="Y4195" s="107"/>
      <c r="Z4195" s="107"/>
      <c r="AA4195" s="107"/>
      <c r="AB4195" s="107"/>
      <c r="AF4195" s="94">
        <f t="shared" si="557"/>
        <v>43371</v>
      </c>
      <c r="AG4195" s="185">
        <f t="shared" si="562"/>
        <v>-4.0765638128060777E-3</v>
      </c>
      <c r="AH4195" s="339" t="str">
        <f>VLOOKUP(B4195,'MF PF'!A:B,2)</f>
        <v>FdMgtRGE</v>
      </c>
      <c r="AI4195" s="358">
        <f t="shared" si="558"/>
        <v>0</v>
      </c>
      <c r="AJ4195" s="94">
        <f t="shared" si="559"/>
        <v>43373</v>
      </c>
    </row>
    <row r="4196" spans="1:36" ht="12.75" customHeight="1">
      <c r="A4196" s="8">
        <v>43404</v>
      </c>
      <c r="B4196" s="94" t="s">
        <v>32</v>
      </c>
      <c r="C4196" s="6" t="s">
        <v>297</v>
      </c>
      <c r="D4196" s="110">
        <v>531954231.70863187</v>
      </c>
      <c r="E4196" s="9">
        <f t="shared" si="560"/>
        <v>686.36123151678953</v>
      </c>
      <c r="F4196" s="98"/>
      <c r="G4196" s="98">
        <v>0</v>
      </c>
      <c r="H4196" s="98">
        <v>0</v>
      </c>
      <c r="I4196" s="98">
        <v>0</v>
      </c>
      <c r="J4196" s="98"/>
      <c r="K4196" s="110">
        <v>775035.37100000004</v>
      </c>
      <c r="L4196" s="93">
        <f t="shared" si="555"/>
        <v>0</v>
      </c>
      <c r="M4196" s="95">
        <f t="shared" ca="1" si="556"/>
        <v>0</v>
      </c>
      <c r="N4196" s="95">
        <f>IF(P4196="Hedge Fund",IF(A4196=Summary!$AD$3,M4196-E4196,M4196),IF(A4196=Summary!$AD$3,L4196-D4196,L4196))</f>
        <v>0</v>
      </c>
      <c r="P4196" s="107" t="s">
        <v>155</v>
      </c>
      <c r="Q4196" s="109">
        <f t="shared" si="561"/>
        <v>7.4489166666666676E-2</v>
      </c>
      <c r="R4196" s="107"/>
      <c r="S4196" s="109">
        <v>3.5833333333333335E-2</v>
      </c>
      <c r="T4196" s="107">
        <v>0</v>
      </c>
      <c r="U4196" s="107" t="s">
        <v>154</v>
      </c>
      <c r="V4196" s="109">
        <f>2095903.34473732/10^6</f>
        <v>2.0959033447373199</v>
      </c>
      <c r="W4196" s="107" t="s">
        <v>15</v>
      </c>
      <c r="X4196" s="109">
        <f>299414.763533903/10^6</f>
        <v>0.29941476353390301</v>
      </c>
      <c r="Y4196" s="107"/>
      <c r="Z4196" s="107"/>
      <c r="AA4196" s="107"/>
      <c r="AB4196" s="107"/>
      <c r="AF4196" s="94">
        <f t="shared" si="557"/>
        <v>43404</v>
      </c>
      <c r="AG4196" s="185">
        <f t="shared" si="562"/>
        <v>0</v>
      </c>
      <c r="AH4196" s="339" t="str">
        <f>VLOOKUP(B4196,'MF PF'!A:B,2)</f>
        <v>FdMgtRGE</v>
      </c>
      <c r="AI4196" s="358">
        <f t="shared" si="558"/>
        <v>0</v>
      </c>
      <c r="AJ4196" s="94">
        <f t="shared" si="559"/>
        <v>43404</v>
      </c>
    </row>
    <row r="4197" spans="1:36" ht="12.75" customHeight="1">
      <c r="A4197" s="8">
        <v>43434</v>
      </c>
      <c r="B4197" s="94" t="s">
        <v>32</v>
      </c>
      <c r="C4197" s="6" t="s">
        <v>297</v>
      </c>
      <c r="D4197" s="110">
        <v>531954231.70863187</v>
      </c>
      <c r="E4197" s="95">
        <f t="shared" si="560"/>
        <v>686.36123151678953</v>
      </c>
      <c r="F4197" s="98"/>
      <c r="G4197" s="98">
        <v>0</v>
      </c>
      <c r="H4197" s="98">
        <v>0</v>
      </c>
      <c r="I4197" s="98">
        <v>0</v>
      </c>
      <c r="J4197" s="98"/>
      <c r="K4197" s="110">
        <v>775035.37100000004</v>
      </c>
      <c r="L4197" s="93">
        <f t="shared" si="555"/>
        <v>0</v>
      </c>
      <c r="M4197" s="95">
        <f t="shared" ca="1" si="556"/>
        <v>0</v>
      </c>
      <c r="N4197" s="95">
        <f>IF(P4197="Hedge Fund",IF(A4197=Summary!$AD$3,M4197-E4197,M4197),IF(A4197=Summary!$AD$3,L4197-D4197,L4197))</f>
        <v>0</v>
      </c>
      <c r="P4197" s="107" t="s">
        <v>155</v>
      </c>
      <c r="Q4197" s="109">
        <f t="shared" si="561"/>
        <v>7.4489166666666676E-2</v>
      </c>
      <c r="R4197" s="107"/>
      <c r="S4197" s="109">
        <v>3.5833333333333335E-2</v>
      </c>
      <c r="T4197" s="107">
        <v>0</v>
      </c>
      <c r="U4197" s="107" t="s">
        <v>154</v>
      </c>
      <c r="V4197" s="109">
        <f>2095903.34473732/10^6</f>
        <v>2.0959033447373199</v>
      </c>
      <c r="W4197" s="107" t="s">
        <v>15</v>
      </c>
      <c r="X4197" s="109">
        <f>299414.763533903/10^6</f>
        <v>0.29941476353390301</v>
      </c>
      <c r="Y4197" s="107"/>
      <c r="Z4197" s="107"/>
      <c r="AA4197" s="107"/>
      <c r="AB4197" s="107"/>
      <c r="AF4197" s="94">
        <f t="shared" si="557"/>
        <v>43434</v>
      </c>
      <c r="AG4197" s="185">
        <f t="shared" si="562"/>
        <v>0</v>
      </c>
      <c r="AH4197" s="339" t="str">
        <f>VLOOKUP(B4197,'MF PF'!A:B,2)</f>
        <v>FdMgtRGE</v>
      </c>
      <c r="AI4197" s="358">
        <f t="shared" si="558"/>
        <v>0</v>
      </c>
      <c r="AJ4197" s="94">
        <f t="shared" si="559"/>
        <v>43434</v>
      </c>
    </row>
    <row r="4198" spans="1:36" ht="12.75" customHeight="1">
      <c r="A4198" s="8">
        <v>43465</v>
      </c>
      <c r="B4198" s="94" t="s">
        <v>32</v>
      </c>
      <c r="C4198" s="6" t="s">
        <v>297</v>
      </c>
      <c r="D4198" s="110">
        <v>531954231.70999998</v>
      </c>
      <c r="E4198" s="9">
        <f t="shared" si="560"/>
        <v>686.36123151855475</v>
      </c>
      <c r="F4198" s="98"/>
      <c r="G4198" s="98">
        <v>0</v>
      </c>
      <c r="H4198" s="98">
        <v>0</v>
      </c>
      <c r="I4198" s="98">
        <v>0</v>
      </c>
      <c r="J4198" s="98"/>
      <c r="K4198" s="372">
        <v>775035.37100000004</v>
      </c>
      <c r="L4198" s="93">
        <f t="shared" si="555"/>
        <v>0</v>
      </c>
      <c r="M4198" s="95">
        <f t="shared" ca="1" si="556"/>
        <v>0</v>
      </c>
      <c r="N4198" s="95">
        <f>IF(P4198="Hedge Fund",IF(A4198=Summary!$AD$3,M4198-E4198,M4198),IF(A4198=Summary!$AD$3,L4198-D4198,L4198))</f>
        <v>0</v>
      </c>
      <c r="P4198" s="107" t="s">
        <v>155</v>
      </c>
      <c r="Q4198" s="109">
        <f t="shared" si="561"/>
        <v>7.4489166666666676E-2</v>
      </c>
      <c r="R4198" s="107"/>
      <c r="S4198" s="109">
        <v>3.5833333333333335E-2</v>
      </c>
      <c r="T4198" s="107">
        <v>0</v>
      </c>
      <c r="U4198" s="107"/>
      <c r="V4198" s="109"/>
      <c r="W4198" s="107"/>
      <c r="X4198" s="109"/>
      <c r="Y4198" s="107"/>
      <c r="Z4198" s="107"/>
      <c r="AA4198" s="107"/>
      <c r="AB4198" s="107"/>
      <c r="AF4198" s="94">
        <f t="shared" si="557"/>
        <v>43465</v>
      </c>
      <c r="AG4198" s="185">
        <f t="shared" si="562"/>
        <v>2.5719426588466376E-12</v>
      </c>
      <c r="AH4198" s="339" t="str">
        <f>VLOOKUP(B4198,'MF PF'!A:B,2)</f>
        <v>FdMgtRGE</v>
      </c>
      <c r="AI4198" s="358">
        <f t="shared" si="558"/>
        <v>0</v>
      </c>
      <c r="AJ4198" s="94">
        <f t="shared" si="559"/>
        <v>43465</v>
      </c>
    </row>
    <row r="4199" spans="1:36" ht="12.75" customHeight="1">
      <c r="A4199" s="94">
        <v>43496</v>
      </c>
      <c r="B4199" s="94" t="s">
        <v>32</v>
      </c>
      <c r="C4199" s="358" t="s">
        <v>297</v>
      </c>
      <c r="D4199" s="110">
        <v>531954231.70999998</v>
      </c>
      <c r="E4199" s="95">
        <f t="shared" si="560"/>
        <v>686.36123151855475</v>
      </c>
      <c r="F4199" s="98"/>
      <c r="G4199" s="98">
        <v>0</v>
      </c>
      <c r="H4199" s="98">
        <v>0</v>
      </c>
      <c r="I4199" s="98">
        <v>0</v>
      </c>
      <c r="J4199" s="98"/>
      <c r="K4199" s="372">
        <v>775035.37100000004</v>
      </c>
      <c r="L4199" s="93">
        <f t="shared" si="555"/>
        <v>0</v>
      </c>
      <c r="M4199" s="95">
        <f t="shared" ca="1" si="556"/>
        <v>0</v>
      </c>
      <c r="N4199" s="95">
        <f>IF(P4199="Hedge Fund",IF(A4199=Summary!$AD$3,M4199-E4199,M4199),IF(A4199=Summary!$AD$3,L4199-D4199,L4199))</f>
        <v>-531954231.70999998</v>
      </c>
      <c r="P4199" s="107" t="s">
        <v>155</v>
      </c>
      <c r="Q4199" s="109">
        <f t="shared" si="561"/>
        <v>7.4489166666666676E-2</v>
      </c>
      <c r="R4199" s="107"/>
      <c r="S4199" s="109">
        <v>3.5833333333333335E-2</v>
      </c>
      <c r="T4199" s="107">
        <v>0</v>
      </c>
      <c r="U4199" s="107"/>
      <c r="V4199" s="109"/>
      <c r="W4199" s="107"/>
      <c r="X4199" s="109"/>
      <c r="Y4199" s="107"/>
      <c r="Z4199" s="107"/>
      <c r="AA4199" s="107"/>
      <c r="AB4199" s="107"/>
      <c r="AF4199" s="94">
        <f t="shared" si="557"/>
        <v>43496</v>
      </c>
      <c r="AG4199" s="185">
        <f t="shared" si="562"/>
        <v>0</v>
      </c>
      <c r="AH4199" s="339" t="str">
        <f>VLOOKUP(B4199,'MF PF'!A:B,2)</f>
        <v>FdMgtRGE</v>
      </c>
      <c r="AI4199" s="358">
        <f t="shared" si="558"/>
        <v>0</v>
      </c>
      <c r="AJ4199" s="94">
        <f t="shared" si="559"/>
        <v>43496</v>
      </c>
    </row>
    <row r="4200" spans="1:36" ht="12.75" customHeight="1">
      <c r="A4200" s="94">
        <v>43131</v>
      </c>
      <c r="B4200" s="94" t="s">
        <v>163</v>
      </c>
      <c r="C4200" s="358" t="s">
        <v>297</v>
      </c>
      <c r="D4200" s="98">
        <v>10069896.939999999</v>
      </c>
      <c r="E4200" s="95">
        <f t="shared" si="560"/>
        <v>10140282.438222136</v>
      </c>
      <c r="F4200" s="98"/>
      <c r="G4200" s="98">
        <v>10000000</v>
      </c>
      <c r="H4200" s="98">
        <v>0</v>
      </c>
      <c r="I4200" s="98">
        <v>0</v>
      </c>
      <c r="J4200" s="98"/>
      <c r="K4200" s="93">
        <v>0.99305882270528978</v>
      </c>
      <c r="L4200" s="93">
        <f t="shared" si="555"/>
        <v>10000000</v>
      </c>
      <c r="M4200" s="95">
        <f t="shared" ca="1" si="556"/>
        <v>10140282.438222136</v>
      </c>
      <c r="N4200" s="95">
        <f>IF(P4200="Hedge Fund",IF(A4200=Summary!$AD$3,M4200-E4200,M4200),IF(A4200=Summary!$AD$3,L4200-D4200,L4200))</f>
        <v>10000000</v>
      </c>
      <c r="P4200" s="107" t="s">
        <v>155</v>
      </c>
      <c r="Q4200" s="107">
        <v>0</v>
      </c>
      <c r="R4200" s="107">
        <v>0</v>
      </c>
      <c r="S4200" s="107">
        <v>0</v>
      </c>
      <c r="T4200" s="107">
        <v>0</v>
      </c>
      <c r="U4200" s="107"/>
      <c r="V4200" s="107"/>
      <c r="W4200" s="107"/>
      <c r="X4200" s="107"/>
      <c r="Y4200" s="107"/>
      <c r="Z4200" s="107"/>
      <c r="AA4200" s="107"/>
      <c r="AB4200" s="107"/>
      <c r="AF4200" s="94">
        <f t="shared" si="557"/>
        <v>43131</v>
      </c>
      <c r="AG4200" s="185">
        <f>IF(C4200&lt;&gt;C4198,D4200/G4200-1,(D4200-G4200-I4200-H4200)/(D4198)-1)</f>
        <v>-0.99986860347031115</v>
      </c>
      <c r="AH4200" s="339" t="str">
        <f>VLOOKUP(B4200,'MF PF'!A:B,2)</f>
        <v>Coinv</v>
      </c>
      <c r="AI4200" s="358">
        <f t="shared" si="558"/>
        <v>0</v>
      </c>
      <c r="AJ4200" s="94">
        <f t="shared" si="559"/>
        <v>43131</v>
      </c>
    </row>
    <row r="4201" spans="1:36" ht="12.75" customHeight="1">
      <c r="A4201" s="94">
        <v>43159</v>
      </c>
      <c r="B4201" s="94" t="s">
        <v>163</v>
      </c>
      <c r="C4201" s="358" t="s">
        <v>297</v>
      </c>
      <c r="D4201" s="98">
        <v>9921204.7799999993</v>
      </c>
      <c r="E4201" s="95">
        <f t="shared" si="560"/>
        <v>9990550.9655235372</v>
      </c>
      <c r="F4201" s="98"/>
      <c r="G4201" s="98"/>
      <c r="H4201" s="98">
        <v>0</v>
      </c>
      <c r="I4201" s="98">
        <v>-404736.48</v>
      </c>
      <c r="J4201" s="98"/>
      <c r="K4201" s="93">
        <v>0.99305882270528978</v>
      </c>
      <c r="L4201" s="93">
        <f t="shared" si="555"/>
        <v>-404736.48</v>
      </c>
      <c r="M4201" s="95">
        <f t="shared" ca="1" si="556"/>
        <v>-407565.46414583712</v>
      </c>
      <c r="N4201" s="95">
        <f>IF(P4201="Hedge Fund",IF(A4201=Summary!$AD$3,M4201-E4201,M4201),IF(A4201=Summary!$AD$3,L4201-D4201,L4201))</f>
        <v>-404736.48</v>
      </c>
      <c r="P4201" s="107" t="s">
        <v>155</v>
      </c>
      <c r="Q4201" s="107">
        <v>0</v>
      </c>
      <c r="R4201" s="107">
        <v>0.21321399999999999</v>
      </c>
      <c r="S4201" s="107">
        <v>0</v>
      </c>
      <c r="T4201" s="107">
        <v>0</v>
      </c>
      <c r="U4201" s="107"/>
      <c r="V4201" s="107"/>
      <c r="W4201" s="107"/>
      <c r="X4201" s="107"/>
      <c r="Y4201" s="107"/>
      <c r="Z4201" s="107"/>
      <c r="AA4201" s="107"/>
      <c r="AB4201" s="107"/>
      <c r="AF4201" s="94">
        <f t="shared" si="557"/>
        <v>43159</v>
      </c>
      <c r="AG4201" s="185">
        <f t="shared" ref="AG4201:AG4232" si="563">IF(C4201&lt;&gt;C4200,D4201/G4201-1,(D4201-G4201-I4201-H4201)/(D4200)-1)</f>
        <v>2.542670709795769E-2</v>
      </c>
      <c r="AH4201" s="339" t="str">
        <f>VLOOKUP(B4201,'MF PF'!A:B,2)</f>
        <v>Coinv</v>
      </c>
      <c r="AI4201" s="358">
        <f t="shared" si="558"/>
        <v>0</v>
      </c>
      <c r="AJ4201" s="94">
        <f t="shared" si="559"/>
        <v>43159</v>
      </c>
    </row>
    <row r="4202" spans="1:36" ht="12.75" customHeight="1">
      <c r="A4202" s="94">
        <v>43188</v>
      </c>
      <c r="B4202" s="94" t="s">
        <v>163</v>
      </c>
      <c r="C4202" s="358" t="s">
        <v>297</v>
      </c>
      <c r="D4202" s="98">
        <v>9921204.7799999993</v>
      </c>
      <c r="E4202" s="95">
        <f t="shared" si="560"/>
        <v>9990550.9655235372</v>
      </c>
      <c r="F4202" s="98"/>
      <c r="G4202" s="98"/>
      <c r="H4202" s="98">
        <v>0</v>
      </c>
      <c r="I4202" s="98">
        <f>-404736.48*0</f>
        <v>0</v>
      </c>
      <c r="J4202" s="98"/>
      <c r="K4202" s="93">
        <v>0.99305882270528978</v>
      </c>
      <c r="L4202" s="93">
        <f t="shared" si="555"/>
        <v>0</v>
      </c>
      <c r="M4202" s="95">
        <f t="shared" ca="1" si="556"/>
        <v>0</v>
      </c>
      <c r="N4202" s="95">
        <f>IF(P4202="Hedge Fund",IF(A4202=Summary!$AD$3,M4202-E4202,M4202),IF(A4202=Summary!$AD$3,L4202-D4202,L4202))</f>
        <v>0</v>
      </c>
      <c r="P4202" s="107" t="s">
        <v>155</v>
      </c>
      <c r="Q4202" s="107">
        <v>0</v>
      </c>
      <c r="R4202" s="107">
        <v>0.21321399999999999</v>
      </c>
      <c r="S4202" s="107">
        <v>0</v>
      </c>
      <c r="T4202" s="107">
        <v>0</v>
      </c>
      <c r="U4202" s="107"/>
      <c r="V4202" s="107"/>
      <c r="W4202" s="107"/>
      <c r="X4202" s="107"/>
      <c r="Y4202" s="107"/>
      <c r="Z4202" s="107"/>
      <c r="AA4202" s="107"/>
      <c r="AB4202" s="107"/>
      <c r="AF4202" s="94">
        <f t="shared" si="557"/>
        <v>43188</v>
      </c>
      <c r="AG4202" s="185">
        <f t="shared" si="563"/>
        <v>0</v>
      </c>
      <c r="AH4202" s="339" t="str">
        <f>VLOOKUP(B4202,'MF PF'!A:B,2)</f>
        <v>Coinv</v>
      </c>
      <c r="AI4202" s="358">
        <f t="shared" si="558"/>
        <v>0</v>
      </c>
      <c r="AJ4202" s="94">
        <f t="shared" si="559"/>
        <v>43190</v>
      </c>
    </row>
    <row r="4203" spans="1:36" ht="12.75" customHeight="1">
      <c r="A4203" s="8">
        <v>43220</v>
      </c>
      <c r="B4203" s="94" t="s">
        <v>163</v>
      </c>
      <c r="C4203" s="6" t="s">
        <v>297</v>
      </c>
      <c r="D4203" s="98">
        <v>10514171.24</v>
      </c>
      <c r="E4203" s="9">
        <f t="shared" si="560"/>
        <v>10587662.0796312</v>
      </c>
      <c r="F4203" s="98"/>
      <c r="G4203" s="98"/>
      <c r="H4203" s="98">
        <v>0</v>
      </c>
      <c r="I4203" s="98">
        <f>-404736.48*0</f>
        <v>0</v>
      </c>
      <c r="J4203" s="98"/>
      <c r="K4203" s="93">
        <v>0.99305882270528978</v>
      </c>
      <c r="L4203" s="93">
        <f t="shared" si="555"/>
        <v>0</v>
      </c>
      <c r="M4203" s="95">
        <f t="shared" ca="1" si="556"/>
        <v>0</v>
      </c>
      <c r="N4203" s="95">
        <f>IF(P4203="Hedge Fund",IF(A4203=Summary!$AD$3,M4203-E4203,M4203),IF(A4203=Summary!$AD$3,L4203-D4203,L4203))</f>
        <v>0</v>
      </c>
      <c r="P4203" s="107" t="s">
        <v>155</v>
      </c>
      <c r="Q4203" s="107">
        <v>0</v>
      </c>
      <c r="R4203" s="107">
        <v>0.21321399999999999</v>
      </c>
      <c r="S4203" s="107">
        <v>0</v>
      </c>
      <c r="T4203" s="107">
        <v>0</v>
      </c>
      <c r="U4203" s="107"/>
      <c r="V4203" s="107"/>
      <c r="W4203" s="107"/>
      <c r="X4203" s="107"/>
      <c r="Y4203" s="107"/>
      <c r="Z4203" s="107"/>
      <c r="AA4203" s="107"/>
      <c r="AB4203" s="107"/>
      <c r="AF4203" s="94">
        <f t="shared" si="557"/>
        <v>43220</v>
      </c>
      <c r="AG4203" s="185">
        <f t="shared" si="563"/>
        <v>5.9767586008843576E-2</v>
      </c>
      <c r="AH4203" s="339" t="str">
        <f>VLOOKUP(B4203,'MF PF'!A:B,2)</f>
        <v>Coinv</v>
      </c>
      <c r="AI4203" s="358">
        <f t="shared" si="558"/>
        <v>0</v>
      </c>
      <c r="AJ4203" s="94">
        <f t="shared" si="559"/>
        <v>43220</v>
      </c>
    </row>
    <row r="4204" spans="1:36" ht="12.75" customHeight="1">
      <c r="A4204" s="94">
        <v>43251</v>
      </c>
      <c r="B4204" s="358" t="s">
        <v>163</v>
      </c>
      <c r="C4204" s="358" t="s">
        <v>297</v>
      </c>
      <c r="D4204" s="110">
        <v>10844675.633567419</v>
      </c>
      <c r="E4204" s="95">
        <f t="shared" si="560"/>
        <v>10920476.597775312</v>
      </c>
      <c r="F4204" s="98"/>
      <c r="G4204" s="98"/>
      <c r="H4204" s="98">
        <v>0</v>
      </c>
      <c r="I4204" s="98">
        <f>-404736.48*0</f>
        <v>0</v>
      </c>
      <c r="J4204" s="98"/>
      <c r="K4204" s="93">
        <v>0.99305882270528978</v>
      </c>
      <c r="L4204" s="93">
        <f t="shared" si="555"/>
        <v>0</v>
      </c>
      <c r="M4204" s="95">
        <f t="shared" ca="1" si="556"/>
        <v>0</v>
      </c>
      <c r="N4204" s="95">
        <f>IF(P4204="Hedge Fund",IF(A4204=Summary!$AD$3,M4204-E4204,M4204),IF(A4204=Summary!$AD$3,L4204-D4204,L4204))</f>
        <v>0</v>
      </c>
      <c r="P4204" s="107" t="s">
        <v>155</v>
      </c>
      <c r="Q4204" s="107">
        <v>0</v>
      </c>
      <c r="R4204" s="109">
        <v>0.21321399999999999</v>
      </c>
      <c r="S4204" s="107">
        <v>0</v>
      </c>
      <c r="T4204" s="107">
        <v>0</v>
      </c>
      <c r="U4204" s="107"/>
      <c r="V4204" s="107"/>
      <c r="W4204" s="107"/>
      <c r="X4204" s="107"/>
      <c r="Y4204" s="107"/>
      <c r="Z4204" s="107"/>
      <c r="AA4204" s="107"/>
      <c r="AB4204" s="107"/>
      <c r="AF4204" s="94">
        <f t="shared" si="557"/>
        <v>43251</v>
      </c>
      <c r="AG4204" s="185">
        <f t="shared" si="563"/>
        <v>3.1434184019188516E-2</v>
      </c>
      <c r="AH4204" s="339" t="str">
        <f>VLOOKUP(B4204,'MF PF'!A:B,2)</f>
        <v>Coinv</v>
      </c>
      <c r="AI4204" s="358">
        <f t="shared" si="558"/>
        <v>0</v>
      </c>
      <c r="AJ4204" s="94">
        <f t="shared" si="559"/>
        <v>43251</v>
      </c>
    </row>
    <row r="4205" spans="1:36" ht="12.75" customHeight="1">
      <c r="A4205" s="8">
        <v>43280</v>
      </c>
      <c r="B4205" s="358" t="s">
        <v>163</v>
      </c>
      <c r="C4205" s="6" t="s">
        <v>297</v>
      </c>
      <c r="D4205" s="110">
        <v>11158132.2975088</v>
      </c>
      <c r="E4205" s="9">
        <f t="shared" si="560"/>
        <v>11236124.227879904</v>
      </c>
      <c r="F4205" s="98"/>
      <c r="G4205" s="98"/>
      <c r="H4205" s="98">
        <v>0</v>
      </c>
      <c r="I4205" s="98">
        <f>-404736.48*0</f>
        <v>0</v>
      </c>
      <c r="J4205" s="98"/>
      <c r="K4205" s="93">
        <v>0.99305882270528978</v>
      </c>
      <c r="L4205" s="93">
        <f t="shared" si="555"/>
        <v>0</v>
      </c>
      <c r="M4205" s="95">
        <f t="shared" ca="1" si="556"/>
        <v>0</v>
      </c>
      <c r="N4205" s="95">
        <f>IF(P4205="Hedge Fund",IF(A4205=Summary!$AD$3,M4205-E4205,M4205),IF(A4205=Summary!$AD$3,L4205-D4205,L4205))</f>
        <v>0</v>
      </c>
      <c r="P4205" s="107" t="s">
        <v>155</v>
      </c>
      <c r="Q4205" s="107">
        <v>0</v>
      </c>
      <c r="R4205" s="109">
        <v>0.21321399999999999</v>
      </c>
      <c r="S4205" s="107">
        <v>0</v>
      </c>
      <c r="T4205" s="107">
        <v>0</v>
      </c>
      <c r="U4205" s="107"/>
      <c r="V4205" s="107"/>
      <c r="W4205" s="107"/>
      <c r="X4205" s="107"/>
      <c r="Y4205" s="107"/>
      <c r="Z4205" s="107"/>
      <c r="AA4205" s="107"/>
      <c r="AB4205" s="107"/>
      <c r="AF4205" s="94">
        <f t="shared" si="557"/>
        <v>43280</v>
      </c>
      <c r="AG4205" s="185">
        <f t="shared" si="563"/>
        <v>2.8904199123406027E-2</v>
      </c>
      <c r="AH4205" s="339" t="str">
        <f>VLOOKUP(B4205,'MF PF'!A:B,2)</f>
        <v>Coinv</v>
      </c>
      <c r="AI4205" s="358">
        <f t="shared" si="558"/>
        <v>0</v>
      </c>
      <c r="AJ4205" s="94">
        <f t="shared" si="559"/>
        <v>43281</v>
      </c>
    </row>
    <row r="4206" spans="1:36" s="358" customFormat="1" ht="12.75" customHeight="1">
      <c r="A4206" s="94">
        <v>43312</v>
      </c>
      <c r="B4206" s="358" t="s">
        <v>163</v>
      </c>
      <c r="C4206" s="358" t="s">
        <v>297</v>
      </c>
      <c r="D4206" s="110">
        <v>695644.66810481949</v>
      </c>
      <c r="E4206" s="95">
        <f t="shared" si="560"/>
        <v>700507.01146760373</v>
      </c>
      <c r="F4206" s="98"/>
      <c r="G4206" s="98"/>
      <c r="H4206" s="98">
        <v>0</v>
      </c>
      <c r="I4206" s="110">
        <v>-10745000</v>
      </c>
      <c r="J4206" s="110"/>
      <c r="K4206" s="93">
        <v>0.99305882270528978</v>
      </c>
      <c r="L4206" s="93">
        <f t="shared" si="555"/>
        <v>-10745000</v>
      </c>
      <c r="M4206" s="95">
        <f t="shared" ca="1" si="556"/>
        <v>-10820104.26203</v>
      </c>
      <c r="N4206" s="95">
        <f>IF(P4206="Hedge Fund",IF(A4206=Summary!$AD$3,M4206-E4206,M4206),IF(A4206=Summary!$AD$3,L4206-D4206,L4206))</f>
        <v>-10745000</v>
      </c>
      <c r="O4206" s="95"/>
      <c r="P4206" s="107" t="s">
        <v>155</v>
      </c>
      <c r="Q4206" s="107">
        <v>0</v>
      </c>
      <c r="R4206" s="107">
        <v>0.21321399999999999</v>
      </c>
      <c r="S4206" s="107">
        <v>0</v>
      </c>
      <c r="T4206" s="107">
        <v>0</v>
      </c>
      <c r="U4206" s="107"/>
      <c r="V4206" s="107"/>
      <c r="W4206" s="107"/>
      <c r="X4206" s="107"/>
      <c r="Y4206" s="107"/>
      <c r="Z4206" s="107"/>
      <c r="AA4206" s="107"/>
      <c r="AB4206" s="107"/>
      <c r="AF4206" s="94">
        <f t="shared" si="557"/>
        <v>43312</v>
      </c>
      <c r="AG4206" s="185">
        <f t="shared" si="563"/>
        <v>2.5318965850502861E-2</v>
      </c>
      <c r="AH4206" s="339" t="str">
        <f>VLOOKUP(B4206,'MF PF'!A:B,2)</f>
        <v>Coinv</v>
      </c>
      <c r="AI4206" s="358">
        <f t="shared" si="558"/>
        <v>0</v>
      </c>
      <c r="AJ4206" s="94">
        <f t="shared" si="559"/>
        <v>43312</v>
      </c>
    </row>
    <row r="4207" spans="1:36" ht="12.75" customHeight="1">
      <c r="A4207" s="8">
        <v>43343</v>
      </c>
      <c r="B4207" s="358" t="s">
        <v>163</v>
      </c>
      <c r="C4207" s="6" t="s">
        <v>297</v>
      </c>
      <c r="D4207" s="110">
        <v>0</v>
      </c>
      <c r="E4207" s="9">
        <v>0</v>
      </c>
      <c r="F4207" s="98"/>
      <c r="G4207" s="98"/>
      <c r="H4207" s="98">
        <v>0</v>
      </c>
      <c r="I4207" s="110">
        <v>-424810.54</v>
      </c>
      <c r="J4207" s="110"/>
      <c r="K4207" s="93">
        <v>0</v>
      </c>
      <c r="L4207" s="93">
        <f t="shared" si="555"/>
        <v>-424810.54</v>
      </c>
      <c r="M4207" s="95" t="e">
        <f t="shared" ca="1" si="556"/>
        <v>#DIV/0!</v>
      </c>
      <c r="N4207" s="95">
        <f>IF(P4207="Hedge Fund",IF(A4207=Summary!$AD$3,M4207-E4207,M4207),IF(A4207=Summary!$AD$3,L4207-D4207,L4207))</f>
        <v>-424810.54</v>
      </c>
      <c r="P4207" s="107" t="s">
        <v>155</v>
      </c>
      <c r="Q4207" s="107">
        <v>0</v>
      </c>
      <c r="R4207" s="107">
        <v>0</v>
      </c>
      <c r="S4207" s="107">
        <v>0</v>
      </c>
      <c r="T4207" s="107">
        <v>0</v>
      </c>
      <c r="U4207" s="107"/>
      <c r="V4207" s="107"/>
      <c r="W4207" s="107"/>
      <c r="X4207" s="107"/>
      <c r="Y4207" s="107"/>
      <c r="Z4207" s="107"/>
      <c r="AA4207" s="107"/>
      <c r="AB4207" s="107"/>
      <c r="AF4207" s="94">
        <f t="shared" si="557"/>
        <v>43343</v>
      </c>
      <c r="AG4207" s="185">
        <f t="shared" si="563"/>
        <v>-0.38932825984660646</v>
      </c>
      <c r="AH4207" s="339" t="str">
        <f>VLOOKUP(B4207,'MF PF'!A:B,2)</f>
        <v>Coinv</v>
      </c>
      <c r="AI4207" s="358">
        <f t="shared" si="558"/>
        <v>0</v>
      </c>
      <c r="AJ4207" s="94">
        <f t="shared" si="559"/>
        <v>43343</v>
      </c>
    </row>
    <row r="4208" spans="1:36" ht="12.75" customHeight="1">
      <c r="A4208" s="8">
        <v>38747</v>
      </c>
      <c r="B4208" s="94" t="s">
        <v>15</v>
      </c>
      <c r="C4208" s="6" t="s">
        <v>297</v>
      </c>
      <c r="D4208" s="98">
        <v>24929000</v>
      </c>
      <c r="E4208" s="95">
        <f t="shared" ref="E4208:E4239" si="564">IF(K4208="","",D4208/K4208)</f>
        <v>998.58931883260755</v>
      </c>
      <c r="F4208" s="98"/>
      <c r="G4208" s="98">
        <v>24929000</v>
      </c>
      <c r="H4208" s="98">
        <v>0</v>
      </c>
      <c r="I4208" s="98">
        <v>0</v>
      </c>
      <c r="J4208" s="98"/>
      <c r="K4208" s="98">
        <v>24964.216550145997</v>
      </c>
      <c r="L4208" s="93">
        <f t="shared" si="555"/>
        <v>24929000</v>
      </c>
      <c r="M4208" s="95">
        <f t="shared" ca="1" si="556"/>
        <v>998.58931883260755</v>
      </c>
      <c r="N4208" s="95">
        <f ca="1">IF(P4208="Hedge Fund",IF(A4208=Summary!$AD$3,M4208-E4208,M4208),IF(A4208=Summary!$AD$3,L4208-D4208,L4208))</f>
        <v>998.58931883260755</v>
      </c>
      <c r="P4208" s="107" t="s">
        <v>139</v>
      </c>
      <c r="Q4208" s="107">
        <v>0</v>
      </c>
      <c r="R4208" s="107">
        <v>0</v>
      </c>
      <c r="S4208" s="107">
        <v>0</v>
      </c>
      <c r="T4208" s="107">
        <v>0</v>
      </c>
      <c r="U4208" s="107"/>
      <c r="V4208" s="107"/>
      <c r="W4208" s="107"/>
      <c r="X4208" s="107"/>
      <c r="Y4208" s="107"/>
      <c r="Z4208" s="107"/>
      <c r="AA4208" s="107"/>
      <c r="AB4208" s="107"/>
      <c r="AF4208" s="94">
        <f t="shared" si="557"/>
        <v>38747</v>
      </c>
      <c r="AG4208" s="185" t="e">
        <f t="shared" si="563"/>
        <v>#DIV/0!</v>
      </c>
      <c r="AH4208" s="339" t="str">
        <f>VLOOKUP(B4208,'MF PF'!A:B,2)</f>
        <v>FdMgt1</v>
      </c>
      <c r="AI4208" s="358">
        <f t="shared" si="558"/>
        <v>0</v>
      </c>
      <c r="AJ4208" s="94">
        <f t="shared" si="559"/>
        <v>38748</v>
      </c>
    </row>
    <row r="4209" spans="1:36" ht="12.75" customHeight="1">
      <c r="A4209" s="8">
        <v>38775</v>
      </c>
      <c r="B4209" s="94" t="s">
        <v>15</v>
      </c>
      <c r="C4209" s="6" t="s">
        <v>297</v>
      </c>
      <c r="D4209" s="98">
        <v>40220000</v>
      </c>
      <c r="E4209" s="95">
        <f t="shared" si="564"/>
        <v>998.58931883260755</v>
      </c>
      <c r="F4209" s="98"/>
      <c r="G4209" s="98">
        <v>15291000</v>
      </c>
      <c r="H4209" s="98">
        <v>0</v>
      </c>
      <c r="I4209" s="98">
        <v>0</v>
      </c>
      <c r="J4209" s="98"/>
      <c r="K4209" s="98">
        <v>40276.817748279995</v>
      </c>
      <c r="L4209" s="93">
        <f t="shared" si="555"/>
        <v>15291000</v>
      </c>
      <c r="M4209" s="95">
        <f t="shared" ca="1" si="556"/>
        <v>0</v>
      </c>
      <c r="N4209" s="95">
        <f ca="1">IF(P4209="Hedge Fund",IF(A4209=Summary!$AD$3,M4209-E4209,M4209),IF(A4209=Summary!$AD$3,L4209-D4209,L4209))</f>
        <v>0</v>
      </c>
      <c r="P4209" s="107" t="s">
        <v>139</v>
      </c>
      <c r="Q4209" s="107">
        <v>0</v>
      </c>
      <c r="R4209" s="107">
        <v>0</v>
      </c>
      <c r="S4209" s="107">
        <v>0</v>
      </c>
      <c r="T4209" s="107">
        <v>0</v>
      </c>
      <c r="U4209" s="107"/>
      <c r="V4209" s="107"/>
      <c r="W4209" s="107"/>
      <c r="X4209" s="107"/>
      <c r="Y4209" s="107"/>
      <c r="Z4209" s="107"/>
      <c r="AA4209" s="107"/>
      <c r="AB4209" s="107"/>
      <c r="AF4209" s="94">
        <f t="shared" si="557"/>
        <v>38775</v>
      </c>
      <c r="AG4209" s="185">
        <f t="shared" si="563"/>
        <v>0</v>
      </c>
      <c r="AH4209" s="339" t="str">
        <f>VLOOKUP(B4209,'MF PF'!A:B,2)</f>
        <v>FdMgt1</v>
      </c>
      <c r="AI4209" s="358">
        <f t="shared" si="558"/>
        <v>0</v>
      </c>
      <c r="AJ4209" s="94">
        <f t="shared" si="559"/>
        <v>38776</v>
      </c>
    </row>
    <row r="4210" spans="1:36" ht="12.75" customHeight="1">
      <c r="A4210" s="8">
        <v>38807</v>
      </c>
      <c r="B4210" s="94" t="s">
        <v>15</v>
      </c>
      <c r="C4210" s="6" t="s">
        <v>297</v>
      </c>
      <c r="D4210" s="98">
        <v>50836000</v>
      </c>
      <c r="E4210" s="95">
        <f t="shared" si="564"/>
        <v>998.58931883260755</v>
      </c>
      <c r="F4210" s="98"/>
      <c r="G4210" s="98">
        <v>10616000</v>
      </c>
      <c r="H4210" s="98">
        <v>0</v>
      </c>
      <c r="I4210" s="98">
        <v>0</v>
      </c>
      <c r="J4210" s="98"/>
      <c r="K4210" s="98">
        <v>50907.814695463996</v>
      </c>
      <c r="L4210" s="93">
        <f t="shared" si="555"/>
        <v>10616000</v>
      </c>
      <c r="M4210" s="95">
        <f t="shared" ca="1" si="556"/>
        <v>0</v>
      </c>
      <c r="N4210" s="95">
        <f ca="1">IF(P4210="Hedge Fund",IF(A4210=Summary!$AD$3,M4210-E4210,M4210),IF(A4210=Summary!$AD$3,L4210-D4210,L4210))</f>
        <v>0</v>
      </c>
      <c r="P4210" s="107" t="s">
        <v>139</v>
      </c>
      <c r="Q4210" s="107">
        <v>0</v>
      </c>
      <c r="R4210" s="107">
        <v>0</v>
      </c>
      <c r="S4210" s="107">
        <v>0</v>
      </c>
      <c r="T4210" s="107">
        <v>0</v>
      </c>
      <c r="U4210" s="107"/>
      <c r="V4210" s="107"/>
      <c r="W4210" s="107"/>
      <c r="X4210" s="107"/>
      <c r="Y4210" s="107"/>
      <c r="Z4210" s="107"/>
      <c r="AA4210" s="107"/>
      <c r="AB4210" s="107"/>
      <c r="AF4210" s="94">
        <f t="shared" si="557"/>
        <v>38807</v>
      </c>
      <c r="AG4210" s="185">
        <f t="shared" si="563"/>
        <v>0</v>
      </c>
      <c r="AH4210" s="339" t="str">
        <f>VLOOKUP(B4210,'MF PF'!A:B,2)</f>
        <v>FdMgt1</v>
      </c>
      <c r="AI4210" s="358">
        <f t="shared" si="558"/>
        <v>0</v>
      </c>
      <c r="AJ4210" s="94">
        <f t="shared" si="559"/>
        <v>38807</v>
      </c>
    </row>
    <row r="4211" spans="1:36" ht="12.75" customHeight="1">
      <c r="A4211" s="8">
        <v>38837</v>
      </c>
      <c r="B4211" s="94" t="s">
        <v>15</v>
      </c>
      <c r="C4211" s="6" t="s">
        <v>297</v>
      </c>
      <c r="D4211" s="98">
        <v>51139000</v>
      </c>
      <c r="E4211" s="95">
        <f t="shared" si="564"/>
        <v>998.58931883260743</v>
      </c>
      <c r="F4211" s="98"/>
      <c r="G4211" s="98">
        <v>303000.00000000745</v>
      </c>
      <c r="H4211" s="98">
        <v>0</v>
      </c>
      <c r="I4211" s="98">
        <v>0</v>
      </c>
      <c r="J4211" s="98"/>
      <c r="K4211" s="98">
        <v>51211.242735685999</v>
      </c>
      <c r="L4211" s="93">
        <f t="shared" si="555"/>
        <v>303000.00000000745</v>
      </c>
      <c r="M4211" s="95">
        <f t="shared" ca="1" si="556"/>
        <v>0</v>
      </c>
      <c r="N4211" s="95">
        <f ca="1">IF(P4211="Hedge Fund",IF(A4211=Summary!$AD$3,M4211-E4211,M4211),IF(A4211=Summary!$AD$3,L4211-D4211,L4211))</f>
        <v>0</v>
      </c>
      <c r="P4211" s="107" t="s">
        <v>139</v>
      </c>
      <c r="Q4211" s="107">
        <v>0</v>
      </c>
      <c r="R4211" s="107">
        <v>0</v>
      </c>
      <c r="S4211" s="107">
        <v>0</v>
      </c>
      <c r="T4211" s="107">
        <v>0</v>
      </c>
      <c r="U4211" s="107"/>
      <c r="V4211" s="107"/>
      <c r="W4211" s="107"/>
      <c r="X4211" s="107"/>
      <c r="Y4211" s="107"/>
      <c r="Z4211" s="107"/>
      <c r="AA4211" s="107"/>
      <c r="AB4211" s="107"/>
      <c r="AF4211" s="94">
        <f t="shared" si="557"/>
        <v>38837</v>
      </c>
      <c r="AG4211" s="185">
        <f t="shared" si="563"/>
        <v>-1.1102230246251565E-16</v>
      </c>
      <c r="AH4211" s="339" t="str">
        <f>VLOOKUP(B4211,'MF PF'!A:B,2)</f>
        <v>FdMgt1</v>
      </c>
      <c r="AI4211" s="358">
        <f t="shared" si="558"/>
        <v>0</v>
      </c>
      <c r="AJ4211" s="94">
        <f t="shared" si="559"/>
        <v>38837</v>
      </c>
    </row>
    <row r="4212" spans="1:36" s="358" customFormat="1" ht="12.75" customHeight="1">
      <c r="A4212" s="94">
        <v>38868</v>
      </c>
      <c r="B4212" s="94" t="s">
        <v>15</v>
      </c>
      <c r="C4212" s="358" t="s">
        <v>297</v>
      </c>
      <c r="D4212" s="98">
        <v>51046000</v>
      </c>
      <c r="E4212" s="95">
        <f t="shared" si="564"/>
        <v>998.58931883260755</v>
      </c>
      <c r="F4212" s="98"/>
      <c r="G4212" s="98">
        <v>0</v>
      </c>
      <c r="H4212" s="98">
        <v>-93000</v>
      </c>
      <c r="I4212" s="98">
        <v>0</v>
      </c>
      <c r="J4212" s="98"/>
      <c r="K4212" s="98">
        <v>51118.111357003996</v>
      </c>
      <c r="L4212" s="93">
        <f t="shared" si="555"/>
        <v>-93000</v>
      </c>
      <c r="M4212" s="95">
        <f t="shared" ca="1" si="556"/>
        <v>0</v>
      </c>
      <c r="N4212" s="95">
        <f ca="1">IF(P4212="Hedge Fund",IF(A4212=Summary!$AD$3,M4212-E4212,M4212),IF(A4212=Summary!$AD$3,L4212-D4212,L4212))</f>
        <v>0</v>
      </c>
      <c r="O4212" s="95"/>
      <c r="P4212" s="107" t="s">
        <v>139</v>
      </c>
      <c r="Q4212" s="107">
        <v>0</v>
      </c>
      <c r="R4212" s="107">
        <v>0</v>
      </c>
      <c r="S4212" s="107">
        <v>0</v>
      </c>
      <c r="T4212" s="107">
        <v>0</v>
      </c>
      <c r="U4212" s="107"/>
      <c r="V4212" s="107"/>
      <c r="W4212" s="107"/>
      <c r="X4212" s="107"/>
      <c r="Y4212" s="107"/>
      <c r="Z4212" s="107"/>
      <c r="AA4212" s="107"/>
      <c r="AB4212" s="107"/>
      <c r="AF4212" s="94">
        <f t="shared" si="557"/>
        <v>38868</v>
      </c>
      <c r="AG4212" s="185">
        <f t="shared" si="563"/>
        <v>0</v>
      </c>
      <c r="AH4212" s="339" t="str">
        <f>VLOOKUP(B4212,'MF PF'!A:B,2)</f>
        <v>FdMgt1</v>
      </c>
      <c r="AI4212" s="358">
        <f t="shared" si="558"/>
        <v>0</v>
      </c>
      <c r="AJ4212" s="94">
        <f t="shared" si="559"/>
        <v>38868</v>
      </c>
    </row>
    <row r="4213" spans="1:36" ht="12.75" customHeight="1">
      <c r="A4213" s="8">
        <v>38898</v>
      </c>
      <c r="B4213" s="94" t="s">
        <v>15</v>
      </c>
      <c r="C4213" s="6" t="s">
        <v>297</v>
      </c>
      <c r="D4213" s="98">
        <v>50620000</v>
      </c>
      <c r="E4213" s="95">
        <f t="shared" si="564"/>
        <v>1010.9585771891899</v>
      </c>
      <c r="F4213" s="98"/>
      <c r="G4213" s="98">
        <v>0</v>
      </c>
      <c r="H4213" s="98">
        <v>-1058293.1260753274</v>
      </c>
      <c r="I4213" s="98">
        <v>0</v>
      </c>
      <c r="J4213" s="98"/>
      <c r="K4213" s="98">
        <v>50071.289904617937</v>
      </c>
      <c r="L4213" s="93">
        <f t="shared" si="555"/>
        <v>-1058293.1260753274</v>
      </c>
      <c r="M4213" s="95">
        <f t="shared" ca="1" si="556"/>
        <v>0</v>
      </c>
      <c r="N4213" s="95">
        <f ca="1">IF(P4213="Hedge Fund",IF(A4213=Summary!$AD$3,M4213-E4213,M4213),IF(A4213=Summary!$AD$3,L4213-D4213,L4213))</f>
        <v>0</v>
      </c>
      <c r="P4213" s="107" t="s">
        <v>139</v>
      </c>
      <c r="Q4213" s="107">
        <v>0</v>
      </c>
      <c r="R4213" s="107">
        <v>0</v>
      </c>
      <c r="S4213" s="107">
        <v>0</v>
      </c>
      <c r="T4213" s="107">
        <v>0</v>
      </c>
      <c r="U4213" s="107"/>
      <c r="V4213" s="107"/>
      <c r="W4213" s="107"/>
      <c r="X4213" s="107"/>
      <c r="Y4213" s="107"/>
      <c r="Z4213" s="107"/>
      <c r="AA4213" s="107"/>
      <c r="AB4213" s="107"/>
      <c r="AF4213" s="94">
        <f t="shared" si="557"/>
        <v>38898</v>
      </c>
      <c r="AG4213" s="185">
        <f t="shared" si="563"/>
        <v>1.2386732086261842E-2</v>
      </c>
      <c r="AH4213" s="339" t="str">
        <f>VLOOKUP(B4213,'MF PF'!A:B,2)</f>
        <v>FdMgt1</v>
      </c>
      <c r="AI4213" s="358">
        <f t="shared" si="558"/>
        <v>0</v>
      </c>
      <c r="AJ4213" s="94">
        <f t="shared" si="559"/>
        <v>38898</v>
      </c>
    </row>
    <row r="4214" spans="1:36" ht="12.75" customHeight="1">
      <c r="A4214" s="8">
        <v>38929</v>
      </c>
      <c r="B4214" s="94" t="s">
        <v>15</v>
      </c>
      <c r="C4214" s="6" t="s">
        <v>297</v>
      </c>
      <c r="D4214" s="98">
        <v>51400000</v>
      </c>
      <c r="E4214" s="95">
        <f t="shared" si="564"/>
        <v>1024.7994000000001</v>
      </c>
      <c r="F4214" s="98"/>
      <c r="G4214" s="98">
        <v>86972.148521475494</v>
      </c>
      <c r="H4214" s="98">
        <v>0</v>
      </c>
      <c r="I4214" s="98">
        <v>0</v>
      </c>
      <c r="J4214" s="98"/>
      <c r="K4214" s="98">
        <v>50156.157390412205</v>
      </c>
      <c r="L4214" s="93">
        <f t="shared" si="555"/>
        <v>86972.148521475494</v>
      </c>
      <c r="M4214" s="95">
        <f t="shared" ca="1" si="556"/>
        <v>0</v>
      </c>
      <c r="N4214" s="95">
        <f ca="1">IF(P4214="Hedge Fund",IF(A4214=Summary!$AD$3,M4214-E4214,M4214),IF(A4214=Summary!$AD$3,L4214-D4214,L4214))</f>
        <v>0</v>
      </c>
      <c r="P4214" s="107" t="s">
        <v>139</v>
      </c>
      <c r="Q4214" s="107">
        <v>0</v>
      </c>
      <c r="R4214" s="107">
        <v>0</v>
      </c>
      <c r="S4214" s="107">
        <v>0</v>
      </c>
      <c r="T4214" s="107">
        <v>0</v>
      </c>
      <c r="U4214" s="107"/>
      <c r="V4214" s="107"/>
      <c r="W4214" s="107"/>
      <c r="X4214" s="107"/>
      <c r="Y4214" s="107"/>
      <c r="Z4214" s="107"/>
      <c r="AA4214" s="107"/>
      <c r="AB4214" s="107"/>
      <c r="AF4214" s="94">
        <f t="shared" si="557"/>
        <v>38929</v>
      </c>
      <c r="AG4214" s="185">
        <f t="shared" si="563"/>
        <v>1.3690791218461618E-2</v>
      </c>
      <c r="AH4214" s="339" t="str">
        <f>VLOOKUP(B4214,'MF PF'!A:B,2)</f>
        <v>FdMgt1</v>
      </c>
      <c r="AI4214" s="358">
        <f t="shared" si="558"/>
        <v>0</v>
      </c>
      <c r="AJ4214" s="94">
        <f t="shared" si="559"/>
        <v>38929</v>
      </c>
    </row>
    <row r="4215" spans="1:36" ht="12.75" customHeight="1">
      <c r="A4215" s="8">
        <v>38960</v>
      </c>
      <c r="B4215" s="94" t="s">
        <v>15</v>
      </c>
      <c r="C4215" s="6" t="s">
        <v>297</v>
      </c>
      <c r="D4215" s="98">
        <v>51500000</v>
      </c>
      <c r="E4215" s="95">
        <f t="shared" si="564"/>
        <v>1028.0932</v>
      </c>
      <c r="F4215" s="98"/>
      <c r="G4215" s="98">
        <v>0</v>
      </c>
      <c r="H4215" s="98">
        <v>-65204.351212531328</v>
      </c>
      <c r="I4215" s="98">
        <v>0</v>
      </c>
      <c r="J4215" s="98"/>
      <c r="K4215" s="98">
        <v>50092.734783188913</v>
      </c>
      <c r="L4215" s="93">
        <f t="shared" si="555"/>
        <v>-65204.351212531328</v>
      </c>
      <c r="M4215" s="95">
        <f t="shared" ca="1" si="556"/>
        <v>0</v>
      </c>
      <c r="N4215" s="95">
        <f ca="1">IF(P4215="Hedge Fund",IF(A4215=Summary!$AD$3,M4215-E4215,M4215),IF(A4215=Summary!$AD$3,L4215-D4215,L4215))</f>
        <v>0</v>
      </c>
      <c r="P4215" s="107" t="s">
        <v>139</v>
      </c>
      <c r="Q4215" s="107">
        <v>0</v>
      </c>
      <c r="R4215" s="107">
        <v>0</v>
      </c>
      <c r="S4215" s="107">
        <v>0</v>
      </c>
      <c r="T4215" s="107">
        <v>0</v>
      </c>
      <c r="U4215" s="107"/>
      <c r="V4215" s="107"/>
      <c r="W4215" s="107"/>
      <c r="X4215" s="107"/>
      <c r="Y4215" s="107"/>
      <c r="Z4215" s="107"/>
      <c r="AA4215" s="107"/>
      <c r="AB4215" s="107"/>
      <c r="AF4215" s="94">
        <f t="shared" si="557"/>
        <v>38960</v>
      </c>
      <c r="AG4215" s="185">
        <f t="shared" si="563"/>
        <v>3.2140924360415379E-3</v>
      </c>
      <c r="AH4215" s="339" t="str">
        <f>VLOOKUP(B4215,'MF PF'!A:B,2)</f>
        <v>FdMgt1</v>
      </c>
      <c r="AI4215" s="358">
        <f t="shared" si="558"/>
        <v>0</v>
      </c>
      <c r="AJ4215" s="94">
        <f t="shared" si="559"/>
        <v>38960</v>
      </c>
    </row>
    <row r="4216" spans="1:36" ht="12.75" customHeight="1">
      <c r="A4216" s="8">
        <v>38990</v>
      </c>
      <c r="B4216" s="94" t="s">
        <v>15</v>
      </c>
      <c r="C4216" s="6" t="s">
        <v>297</v>
      </c>
      <c r="D4216" s="98">
        <v>53100000</v>
      </c>
      <c r="E4216" s="95">
        <f t="shared" si="564"/>
        <v>1049.6315</v>
      </c>
      <c r="F4216" s="98"/>
      <c r="G4216" s="98">
        <v>521087.65041925013</v>
      </c>
      <c r="H4216" s="98">
        <v>0</v>
      </c>
      <c r="I4216" s="98">
        <v>0</v>
      </c>
      <c r="J4216" s="98"/>
      <c r="K4216" s="98">
        <v>50589.182965640801</v>
      </c>
      <c r="L4216" s="93">
        <f t="shared" si="555"/>
        <v>521087.65041925013</v>
      </c>
      <c r="M4216" s="95">
        <f t="shared" ca="1" si="556"/>
        <v>0</v>
      </c>
      <c r="N4216" s="95">
        <f ca="1">IF(P4216="Hedge Fund",IF(A4216=Summary!$AD$3,M4216-E4216,M4216),IF(A4216=Summary!$AD$3,L4216-D4216,L4216))</f>
        <v>0</v>
      </c>
      <c r="P4216" s="107" t="s">
        <v>139</v>
      </c>
      <c r="Q4216" s="107">
        <v>0</v>
      </c>
      <c r="R4216" s="107">
        <v>0</v>
      </c>
      <c r="S4216" s="107">
        <v>0</v>
      </c>
      <c r="T4216" s="107">
        <v>0</v>
      </c>
      <c r="U4216" s="107"/>
      <c r="V4216" s="107"/>
      <c r="W4216" s="107"/>
      <c r="X4216" s="107"/>
      <c r="Y4216" s="107"/>
      <c r="Z4216" s="107"/>
      <c r="AA4216" s="107"/>
      <c r="AB4216" s="107"/>
      <c r="AF4216" s="94">
        <f t="shared" si="557"/>
        <v>38990</v>
      </c>
      <c r="AG4216" s="185">
        <f t="shared" si="563"/>
        <v>2.0949754360791273E-2</v>
      </c>
      <c r="AH4216" s="339" t="str">
        <f>VLOOKUP(B4216,'MF PF'!A:B,2)</f>
        <v>FdMgt1</v>
      </c>
      <c r="AI4216" s="358">
        <f t="shared" si="558"/>
        <v>0</v>
      </c>
      <c r="AJ4216" s="94">
        <f t="shared" si="559"/>
        <v>38990</v>
      </c>
    </row>
    <row r="4217" spans="1:36" ht="12.75" customHeight="1">
      <c r="A4217" s="8">
        <v>39021</v>
      </c>
      <c r="B4217" s="94" t="s">
        <v>15</v>
      </c>
      <c r="C4217" s="6" t="s">
        <v>297</v>
      </c>
      <c r="D4217" s="98">
        <v>54270000</v>
      </c>
      <c r="E4217" s="95">
        <f t="shared" si="564"/>
        <v>1083.8539000000001</v>
      </c>
      <c r="F4217" s="98"/>
      <c r="G4217" s="98">
        <v>0</v>
      </c>
      <c r="H4217" s="98">
        <v>-561283.25512335449</v>
      </c>
      <c r="I4217" s="98">
        <v>0</v>
      </c>
      <c r="J4217" s="98"/>
      <c r="K4217" s="98">
        <v>50071.324188619881</v>
      </c>
      <c r="L4217" s="93">
        <f t="shared" si="555"/>
        <v>-561283.25512335449</v>
      </c>
      <c r="M4217" s="95">
        <f t="shared" ca="1" si="556"/>
        <v>0</v>
      </c>
      <c r="N4217" s="95">
        <f ca="1">IF(P4217="Hedge Fund",IF(A4217=Summary!$AD$3,M4217-E4217,M4217),IF(A4217=Summary!$AD$3,L4217-D4217,L4217))</f>
        <v>0</v>
      </c>
      <c r="P4217" s="107" t="s">
        <v>139</v>
      </c>
      <c r="Q4217" s="107">
        <v>0</v>
      </c>
      <c r="R4217" s="107">
        <v>0</v>
      </c>
      <c r="S4217" s="107">
        <v>0</v>
      </c>
      <c r="T4217" s="107">
        <v>0</v>
      </c>
      <c r="U4217" s="107"/>
      <c r="V4217" s="107"/>
      <c r="W4217" s="107"/>
      <c r="X4217" s="107"/>
      <c r="Y4217" s="107"/>
      <c r="Z4217" s="107"/>
      <c r="AA4217" s="107"/>
      <c r="AB4217" s="107"/>
      <c r="AF4217" s="94">
        <f t="shared" si="557"/>
        <v>39021</v>
      </c>
      <c r="AG4217" s="185">
        <f t="shared" si="563"/>
        <v>3.2604204427935102E-2</v>
      </c>
      <c r="AH4217" s="339" t="str">
        <f>VLOOKUP(B4217,'MF PF'!A:B,2)</f>
        <v>FdMgt1</v>
      </c>
      <c r="AI4217" s="358">
        <f t="shared" si="558"/>
        <v>0</v>
      </c>
      <c r="AJ4217" s="94">
        <f t="shared" si="559"/>
        <v>39021</v>
      </c>
    </row>
    <row r="4218" spans="1:36" ht="12.75" customHeight="1">
      <c r="A4218" s="8">
        <v>39051</v>
      </c>
      <c r="B4218" s="94" t="s">
        <v>15</v>
      </c>
      <c r="C4218" s="6" t="s">
        <v>297</v>
      </c>
      <c r="D4218" s="98">
        <v>56200000</v>
      </c>
      <c r="E4218" s="95">
        <f t="shared" si="564"/>
        <v>1122.4797000000001</v>
      </c>
      <c r="F4218" s="98"/>
      <c r="G4218" s="98">
        <v>0</v>
      </c>
      <c r="H4218" s="98">
        <v>-4044.9538447931409</v>
      </c>
      <c r="I4218" s="98">
        <v>0</v>
      </c>
      <c r="J4218" s="98"/>
      <c r="K4218" s="98">
        <v>50067.720601094166</v>
      </c>
      <c r="L4218" s="93">
        <f t="shared" si="555"/>
        <v>-4044.9538447931409</v>
      </c>
      <c r="M4218" s="95">
        <f t="shared" ca="1" si="556"/>
        <v>0</v>
      </c>
      <c r="N4218" s="95">
        <f ca="1">IF(P4218="Hedge Fund",IF(A4218=Summary!$AD$3,M4218-E4218,M4218),IF(A4218=Summary!$AD$3,L4218-D4218,L4218))</f>
        <v>0</v>
      </c>
      <c r="P4218" s="107" t="s">
        <v>139</v>
      </c>
      <c r="Q4218" s="107">
        <v>0</v>
      </c>
      <c r="R4218" s="107">
        <v>0</v>
      </c>
      <c r="S4218" s="107">
        <v>0</v>
      </c>
      <c r="T4218" s="107">
        <v>0</v>
      </c>
      <c r="U4218" s="107"/>
      <c r="V4218" s="107"/>
      <c r="W4218" s="107"/>
      <c r="X4218" s="107"/>
      <c r="Y4218" s="107"/>
      <c r="Z4218" s="107"/>
      <c r="AA4218" s="107"/>
      <c r="AB4218" s="107"/>
      <c r="AF4218" s="94">
        <f t="shared" si="557"/>
        <v>39051</v>
      </c>
      <c r="AG4218" s="185">
        <f t="shared" si="563"/>
        <v>3.5637459993454801E-2</v>
      </c>
      <c r="AH4218" s="339" t="str">
        <f>VLOOKUP(B4218,'MF PF'!A:B,2)</f>
        <v>FdMgt1</v>
      </c>
      <c r="AI4218" s="358">
        <f t="shared" si="558"/>
        <v>0</v>
      </c>
      <c r="AJ4218" s="94">
        <f t="shared" si="559"/>
        <v>39051</v>
      </c>
    </row>
    <row r="4219" spans="1:36" ht="12.75" customHeight="1">
      <c r="A4219" s="8">
        <v>39082</v>
      </c>
      <c r="B4219" s="94" t="s">
        <v>15</v>
      </c>
      <c r="C4219" s="6" t="s">
        <v>297</v>
      </c>
      <c r="D4219" s="98">
        <v>58560000</v>
      </c>
      <c r="E4219" s="95">
        <f t="shared" si="564"/>
        <v>1169.4659999999999</v>
      </c>
      <c r="F4219" s="98"/>
      <c r="G4219" s="98">
        <v>7503.0595208182931</v>
      </c>
      <c r="H4219" s="98">
        <v>0</v>
      </c>
      <c r="I4219" s="98">
        <v>0</v>
      </c>
      <c r="J4219" s="98"/>
      <c r="K4219" s="98">
        <v>50074.136400716226</v>
      </c>
      <c r="L4219" s="93">
        <f t="shared" si="555"/>
        <v>7503.0595208182931</v>
      </c>
      <c r="M4219" s="95">
        <f t="shared" ca="1" si="556"/>
        <v>0</v>
      </c>
      <c r="N4219" s="95">
        <f ca="1">IF(P4219="Hedge Fund",IF(A4219=Summary!$AD$3,M4219-E4219,M4219),IF(A4219=Summary!$AD$3,L4219-D4219,L4219))</f>
        <v>0</v>
      </c>
      <c r="P4219" s="107" t="s">
        <v>139</v>
      </c>
      <c r="Q4219" s="107">
        <v>0</v>
      </c>
      <c r="R4219" s="107">
        <v>0</v>
      </c>
      <c r="S4219" s="107">
        <v>0</v>
      </c>
      <c r="T4219" s="107">
        <v>0</v>
      </c>
      <c r="U4219" s="107"/>
      <c r="V4219" s="107"/>
      <c r="W4219" s="107"/>
      <c r="X4219" s="107"/>
      <c r="Y4219" s="107"/>
      <c r="Z4219" s="107"/>
      <c r="AA4219" s="107"/>
      <c r="AB4219" s="107"/>
      <c r="AF4219" s="94">
        <f t="shared" si="557"/>
        <v>39082</v>
      </c>
      <c r="AG4219" s="185">
        <f t="shared" si="563"/>
        <v>4.185937616511004E-2</v>
      </c>
      <c r="AH4219" s="339" t="str">
        <f>VLOOKUP(B4219,'MF PF'!A:B,2)</f>
        <v>FdMgt1</v>
      </c>
      <c r="AI4219" s="358">
        <f t="shared" si="558"/>
        <v>0</v>
      </c>
      <c r="AJ4219" s="94">
        <f t="shared" si="559"/>
        <v>39082</v>
      </c>
    </row>
    <row r="4220" spans="1:36" ht="12.75" customHeight="1">
      <c r="A4220" s="8">
        <v>39113</v>
      </c>
      <c r="B4220" s="94" t="s">
        <v>15</v>
      </c>
      <c r="C4220" s="6" t="s">
        <v>297</v>
      </c>
      <c r="D4220" s="98">
        <v>60720000</v>
      </c>
      <c r="E4220" s="95">
        <f t="shared" si="564"/>
        <v>1212.6121490124165</v>
      </c>
      <c r="F4220" s="98"/>
      <c r="G4220" s="98">
        <v>0</v>
      </c>
      <c r="H4220" s="98">
        <v>-506.15081337094307</v>
      </c>
      <c r="I4220" s="98">
        <v>0</v>
      </c>
      <c r="J4220" s="98"/>
      <c r="K4220" s="98">
        <v>50073.718995353942</v>
      </c>
      <c r="L4220" s="93">
        <f t="shared" si="555"/>
        <v>-506.15081337094307</v>
      </c>
      <c r="M4220" s="95">
        <f t="shared" ca="1" si="556"/>
        <v>0</v>
      </c>
      <c r="N4220" s="95">
        <f ca="1">IF(P4220="Hedge Fund",IF(A4220=Summary!$AD$3,M4220-E4220,M4220),IF(A4220=Summary!$AD$3,L4220-D4220,L4220))</f>
        <v>0</v>
      </c>
      <c r="P4220" s="107" t="s">
        <v>139</v>
      </c>
      <c r="Q4220" s="107">
        <v>0</v>
      </c>
      <c r="R4220" s="107">
        <v>0</v>
      </c>
      <c r="S4220" s="107">
        <v>0</v>
      </c>
      <c r="T4220" s="107">
        <v>0</v>
      </c>
      <c r="U4220" s="107"/>
      <c r="V4220" s="107"/>
      <c r="W4220" s="107"/>
      <c r="X4220" s="107"/>
      <c r="Y4220" s="107"/>
      <c r="Z4220" s="107"/>
      <c r="AA4220" s="107"/>
      <c r="AB4220" s="107"/>
      <c r="AF4220" s="94">
        <f t="shared" si="557"/>
        <v>39113</v>
      </c>
      <c r="AG4220" s="185">
        <f t="shared" si="563"/>
        <v>3.6893889187386897E-2</v>
      </c>
      <c r="AH4220" s="339" t="str">
        <f>VLOOKUP(B4220,'MF PF'!A:B,2)</f>
        <v>FdMgt1</v>
      </c>
      <c r="AI4220" s="358">
        <f t="shared" si="558"/>
        <v>0</v>
      </c>
      <c r="AJ4220" s="94">
        <f t="shared" si="559"/>
        <v>39113</v>
      </c>
    </row>
    <row r="4221" spans="1:36" ht="12.75" customHeight="1">
      <c r="A4221" s="8">
        <v>39141</v>
      </c>
      <c r="B4221" s="94" t="s">
        <v>15</v>
      </c>
      <c r="C4221" s="6" t="s">
        <v>297</v>
      </c>
      <c r="D4221" s="98">
        <v>67050000</v>
      </c>
      <c r="E4221" s="95">
        <f t="shared" si="564"/>
        <v>1237.8916999999999</v>
      </c>
      <c r="F4221" s="98"/>
      <c r="G4221" s="98">
        <v>5064158.867519021</v>
      </c>
      <c r="H4221" s="98">
        <v>0</v>
      </c>
      <c r="I4221" s="98">
        <v>0</v>
      </c>
      <c r="J4221" s="98"/>
      <c r="K4221" s="98">
        <v>54164.673694798992</v>
      </c>
      <c r="L4221" s="93">
        <f t="shared" si="555"/>
        <v>5064158.867519021</v>
      </c>
      <c r="M4221" s="95">
        <f t="shared" ca="1" si="556"/>
        <v>0</v>
      </c>
      <c r="N4221" s="95">
        <f ca="1">IF(P4221="Hedge Fund",IF(A4221=Summary!$AD$3,M4221-E4221,M4221),IF(A4221=Summary!$AD$3,L4221-D4221,L4221))</f>
        <v>0</v>
      </c>
      <c r="P4221" s="107" t="s">
        <v>139</v>
      </c>
      <c r="Q4221" s="107">
        <v>0</v>
      </c>
      <c r="R4221" s="107">
        <v>0</v>
      </c>
      <c r="S4221" s="107">
        <v>0</v>
      </c>
      <c r="T4221" s="107">
        <v>0</v>
      </c>
      <c r="U4221" s="107"/>
      <c r="V4221" s="107"/>
      <c r="W4221" s="107"/>
      <c r="X4221" s="107"/>
      <c r="Y4221" s="107"/>
      <c r="Z4221" s="107"/>
      <c r="AA4221" s="107"/>
      <c r="AB4221" s="107"/>
      <c r="AF4221" s="94">
        <f t="shared" si="557"/>
        <v>39141</v>
      </c>
      <c r="AG4221" s="185">
        <f t="shared" si="563"/>
        <v>2.0847185976300642E-2</v>
      </c>
      <c r="AH4221" s="339" t="str">
        <f>VLOOKUP(B4221,'MF PF'!A:B,2)</f>
        <v>FdMgt1</v>
      </c>
      <c r="AI4221" s="358">
        <f t="shared" si="558"/>
        <v>0</v>
      </c>
      <c r="AJ4221" s="94">
        <f t="shared" si="559"/>
        <v>39141</v>
      </c>
    </row>
    <row r="4222" spans="1:36" ht="12.75" customHeight="1">
      <c r="A4222" s="8">
        <v>39171</v>
      </c>
      <c r="B4222" s="94" t="s">
        <v>15</v>
      </c>
      <c r="C4222" s="6" t="s">
        <v>297</v>
      </c>
      <c r="D4222" s="98">
        <v>75020000</v>
      </c>
      <c r="E4222" s="95">
        <f t="shared" si="564"/>
        <v>1289.7640000000001</v>
      </c>
      <c r="F4222" s="98"/>
      <c r="G4222" s="98">
        <v>5160353.7967012674</v>
      </c>
      <c r="H4222" s="98">
        <v>0</v>
      </c>
      <c r="I4222" s="98">
        <v>0</v>
      </c>
      <c r="J4222" s="98"/>
      <c r="K4222" s="98">
        <v>58165.679922838593</v>
      </c>
      <c r="L4222" s="93">
        <f t="shared" si="555"/>
        <v>5160353.7967012674</v>
      </c>
      <c r="M4222" s="95">
        <f t="shared" ca="1" si="556"/>
        <v>0</v>
      </c>
      <c r="N4222" s="95">
        <f ca="1">IF(P4222="Hedge Fund",IF(A4222=Summary!$AD$3,M4222-E4222,M4222),IF(A4222=Summary!$AD$3,L4222-D4222,L4222))</f>
        <v>0</v>
      </c>
      <c r="P4222" s="107" t="s">
        <v>139</v>
      </c>
      <c r="Q4222" s="107">
        <v>0</v>
      </c>
      <c r="R4222" s="107">
        <v>0</v>
      </c>
      <c r="S4222" s="107">
        <v>0</v>
      </c>
      <c r="T4222" s="107">
        <v>0</v>
      </c>
      <c r="U4222" s="107"/>
      <c r="V4222" s="107"/>
      <c r="W4222" s="107"/>
      <c r="X4222" s="107"/>
      <c r="Y4222" s="107"/>
      <c r="Z4222" s="107"/>
      <c r="AA4222" s="107"/>
      <c r="AB4222" s="107"/>
      <c r="AF4222" s="94">
        <f t="shared" si="557"/>
        <v>39171</v>
      </c>
      <c r="AG4222" s="185">
        <f t="shared" si="563"/>
        <v>4.1903746507065298E-2</v>
      </c>
      <c r="AH4222" s="339" t="str">
        <f>VLOOKUP(B4222,'MF PF'!A:B,2)</f>
        <v>FdMgt1</v>
      </c>
      <c r="AI4222" s="358">
        <f t="shared" si="558"/>
        <v>0</v>
      </c>
      <c r="AJ4222" s="94">
        <f t="shared" si="559"/>
        <v>39172</v>
      </c>
    </row>
    <row r="4223" spans="1:36" ht="12.75" customHeight="1">
      <c r="A4223" s="8">
        <v>39202</v>
      </c>
      <c r="B4223" s="94" t="s">
        <v>15</v>
      </c>
      <c r="C4223" s="6" t="s">
        <v>297</v>
      </c>
      <c r="D4223" s="98">
        <v>83477240.517945811</v>
      </c>
      <c r="E4223" s="95">
        <f t="shared" si="564"/>
        <v>1346.7928092107445</v>
      </c>
      <c r="F4223" s="98"/>
      <c r="G4223" s="98">
        <v>5140121.0550130159</v>
      </c>
      <c r="H4223" s="98">
        <v>0</v>
      </c>
      <c r="I4223" s="98">
        <v>0</v>
      </c>
      <c r="J4223" s="98"/>
      <c r="K4223" s="98">
        <v>61982.243999999999</v>
      </c>
      <c r="L4223" s="93">
        <f t="shared" si="555"/>
        <v>5140121.0550130159</v>
      </c>
      <c r="M4223" s="95">
        <f t="shared" ca="1" si="556"/>
        <v>0</v>
      </c>
      <c r="N4223" s="95">
        <f ca="1">IF(P4223="Hedge Fund",IF(A4223=Summary!$AD$3,M4223-E4223,M4223),IF(A4223=Summary!$AD$3,L4223-D4223,L4223))</f>
        <v>0</v>
      </c>
      <c r="P4223" s="107" t="s">
        <v>139</v>
      </c>
      <c r="Q4223" s="107">
        <v>0</v>
      </c>
      <c r="R4223" s="107">
        <v>0</v>
      </c>
      <c r="S4223" s="107">
        <v>0</v>
      </c>
      <c r="T4223" s="107">
        <v>0</v>
      </c>
      <c r="U4223" s="107"/>
      <c r="V4223" s="107"/>
      <c r="W4223" s="107"/>
      <c r="X4223" s="107"/>
      <c r="Y4223" s="107"/>
      <c r="Z4223" s="107"/>
      <c r="AA4223" s="107"/>
      <c r="AB4223" s="107"/>
      <c r="AF4223" s="94">
        <f t="shared" si="557"/>
        <v>39202</v>
      </c>
      <c r="AG4223" s="185">
        <f t="shared" si="563"/>
        <v>4.421646844751792E-2</v>
      </c>
      <c r="AH4223" s="339" t="str">
        <f>VLOOKUP(B4223,'MF PF'!A:B,2)</f>
        <v>FdMgt1</v>
      </c>
      <c r="AI4223" s="358">
        <f t="shared" si="558"/>
        <v>0</v>
      </c>
      <c r="AJ4223" s="94">
        <f t="shared" si="559"/>
        <v>39202</v>
      </c>
    </row>
    <row r="4224" spans="1:36" ht="12.75" customHeight="1">
      <c r="A4224" s="8">
        <v>39233</v>
      </c>
      <c r="B4224" s="94" t="s">
        <v>15</v>
      </c>
      <c r="C4224" s="6" t="s">
        <v>297</v>
      </c>
      <c r="D4224" s="98">
        <v>86187214.805608019</v>
      </c>
      <c r="E4224" s="95">
        <f t="shared" si="564"/>
        <v>1390.5146</v>
      </c>
      <c r="F4224" s="98"/>
      <c r="G4224" s="98">
        <v>0</v>
      </c>
      <c r="H4224" s="98">
        <v>-0.41715437173843384</v>
      </c>
      <c r="I4224" s="98">
        <v>0</v>
      </c>
      <c r="J4224" s="98"/>
      <c r="K4224" s="98">
        <v>61982.243699999999</v>
      </c>
      <c r="L4224" s="93">
        <f t="shared" si="555"/>
        <v>-0.41715437173843384</v>
      </c>
      <c r="M4224" s="95">
        <f t="shared" ca="1" si="556"/>
        <v>0</v>
      </c>
      <c r="N4224" s="95">
        <f ca="1">IF(P4224="Hedge Fund",IF(A4224=Summary!$AD$3,M4224-E4224,M4224),IF(A4224=Summary!$AD$3,L4224-D4224,L4224))</f>
        <v>0</v>
      </c>
      <c r="P4224" s="107" t="s">
        <v>139</v>
      </c>
      <c r="Q4224" s="107">
        <v>0</v>
      </c>
      <c r="R4224" s="107">
        <v>0</v>
      </c>
      <c r="S4224" s="107">
        <v>0</v>
      </c>
      <c r="T4224" s="107">
        <v>0</v>
      </c>
      <c r="U4224" s="107"/>
      <c r="V4224" s="107"/>
      <c r="W4224" s="107"/>
      <c r="X4224" s="107"/>
      <c r="Y4224" s="107"/>
      <c r="Z4224" s="107"/>
      <c r="AA4224" s="107"/>
      <c r="AB4224" s="107"/>
      <c r="AF4224" s="94">
        <f t="shared" si="557"/>
        <v>39233</v>
      </c>
      <c r="AG4224" s="185">
        <f t="shared" si="563"/>
        <v>3.2463635453234607E-2</v>
      </c>
      <c r="AH4224" s="339" t="str">
        <f>VLOOKUP(B4224,'MF PF'!A:B,2)</f>
        <v>FdMgt1</v>
      </c>
      <c r="AI4224" s="358">
        <f t="shared" si="558"/>
        <v>0</v>
      </c>
      <c r="AJ4224" s="94">
        <f t="shared" si="559"/>
        <v>39233</v>
      </c>
    </row>
    <row r="4225" spans="1:36" ht="12.75" customHeight="1">
      <c r="A4225" s="8">
        <v>39262</v>
      </c>
      <c r="B4225" s="94" t="s">
        <v>15</v>
      </c>
      <c r="C4225" s="6" t="s">
        <v>297</v>
      </c>
      <c r="D4225" s="98">
        <v>90814746.693594009</v>
      </c>
      <c r="E4225" s="95">
        <f t="shared" si="564"/>
        <v>1386.9100000000003</v>
      </c>
      <c r="F4225" s="98"/>
      <c r="G4225" s="98">
        <v>4850953.0836269855</v>
      </c>
      <c r="H4225" s="98">
        <v>0</v>
      </c>
      <c r="I4225" s="98">
        <v>0</v>
      </c>
      <c r="J4225" s="98"/>
      <c r="K4225" s="98">
        <v>65479.91339999999</v>
      </c>
      <c r="L4225" s="93">
        <f t="shared" ref="L4225:L4288" si="565">G4225+H4225+I4225</f>
        <v>4850953.0836269855</v>
      </c>
      <c r="M4225" s="95">
        <f t="shared" ref="M4225:M4288" ca="1" si="566">IF(A4225&gt;INDIRECT("A"&amp;ROW()-1),I4225/K4225,E4225)</f>
        <v>0</v>
      </c>
      <c r="N4225" s="95">
        <f ca="1">IF(P4225="Hedge Fund",IF(A4225=Summary!$AD$3,M4225-E4225,M4225),IF(A4225=Summary!$AD$3,L4225-D4225,L4225))</f>
        <v>0</v>
      </c>
      <c r="P4225" s="107" t="s">
        <v>139</v>
      </c>
      <c r="Q4225" s="107">
        <v>0</v>
      </c>
      <c r="R4225" s="107">
        <v>0</v>
      </c>
      <c r="S4225" s="107">
        <v>0</v>
      </c>
      <c r="T4225" s="107">
        <v>0</v>
      </c>
      <c r="U4225" s="107"/>
      <c r="V4225" s="107"/>
      <c r="W4225" s="107"/>
      <c r="X4225" s="107"/>
      <c r="Y4225" s="107"/>
      <c r="Z4225" s="107"/>
      <c r="AA4225" s="107"/>
      <c r="AB4225" s="107"/>
      <c r="AF4225" s="94">
        <f t="shared" ref="AF4225:AF4288" si="567">A4225</f>
        <v>39262</v>
      </c>
      <c r="AG4225" s="185">
        <f t="shared" si="563"/>
        <v>-2.5922777078353221E-3</v>
      </c>
      <c r="AH4225" s="339" t="str">
        <f>VLOOKUP(B4225,'MF PF'!A:B,2)</f>
        <v>FdMgt1</v>
      </c>
      <c r="AI4225" s="358">
        <f t="shared" ref="AI4225:AI4288" si="568">AF4225-A4225</f>
        <v>0</v>
      </c>
      <c r="AJ4225" s="94">
        <f t="shared" ref="AJ4225:AJ4288" si="569">EOMONTH(A4225,0)</f>
        <v>39263</v>
      </c>
    </row>
    <row r="4226" spans="1:36" ht="12.75" customHeight="1">
      <c r="A4226" s="8">
        <v>39294</v>
      </c>
      <c r="B4226" s="94" t="s">
        <v>15</v>
      </c>
      <c r="C4226" s="6" t="s">
        <v>297</v>
      </c>
      <c r="D4226" s="98">
        <v>92672791.620249718</v>
      </c>
      <c r="E4226" s="95">
        <f t="shared" si="564"/>
        <v>1415.2858000000001</v>
      </c>
      <c r="F4226" s="98"/>
      <c r="G4226" s="98">
        <v>0</v>
      </c>
      <c r="H4226" s="98">
        <v>0</v>
      </c>
      <c r="I4226" s="98">
        <v>0</v>
      </c>
      <c r="J4226" s="98"/>
      <c r="K4226" s="98">
        <v>65479.91339999999</v>
      </c>
      <c r="L4226" s="93">
        <f t="shared" si="565"/>
        <v>0</v>
      </c>
      <c r="M4226" s="95">
        <f t="shared" ca="1" si="566"/>
        <v>0</v>
      </c>
      <c r="N4226" s="95">
        <f ca="1">IF(P4226="Hedge Fund",IF(A4226=Summary!$AD$3,M4226-E4226,M4226),IF(A4226=Summary!$AD$3,L4226-D4226,L4226))</f>
        <v>0</v>
      </c>
      <c r="P4226" s="107" t="s">
        <v>139</v>
      </c>
      <c r="Q4226" s="107">
        <v>0</v>
      </c>
      <c r="R4226" s="107">
        <v>0</v>
      </c>
      <c r="S4226" s="107">
        <v>0</v>
      </c>
      <c r="T4226" s="107">
        <v>0</v>
      </c>
      <c r="U4226" s="107"/>
      <c r="V4226" s="107"/>
      <c r="W4226" s="107"/>
      <c r="X4226" s="107"/>
      <c r="Y4226" s="107"/>
      <c r="Z4226" s="107"/>
      <c r="AA4226" s="107"/>
      <c r="AB4226" s="107"/>
      <c r="AF4226" s="94">
        <f t="shared" si="567"/>
        <v>39294</v>
      </c>
      <c r="AG4226" s="185">
        <f t="shared" si="563"/>
        <v>2.0459727019056739E-2</v>
      </c>
      <c r="AH4226" s="339" t="str">
        <f>VLOOKUP(B4226,'MF PF'!A:B,2)</f>
        <v>FdMgt1</v>
      </c>
      <c r="AI4226" s="358">
        <f t="shared" si="568"/>
        <v>0</v>
      </c>
      <c r="AJ4226" s="94">
        <f t="shared" si="569"/>
        <v>39294</v>
      </c>
    </row>
    <row r="4227" spans="1:36" ht="12.75" customHeight="1">
      <c r="A4227" s="8">
        <v>39325</v>
      </c>
      <c r="B4227" s="94" t="s">
        <v>15</v>
      </c>
      <c r="C4227" s="6" t="s">
        <v>297</v>
      </c>
      <c r="D4227" s="98">
        <v>97000000</v>
      </c>
      <c r="E4227" s="95">
        <f t="shared" si="564"/>
        <v>1344.0094999999999</v>
      </c>
      <c r="F4227" s="98"/>
      <c r="G4227" s="98">
        <v>8994374.331222713</v>
      </c>
      <c r="H4227" s="98">
        <v>0</v>
      </c>
      <c r="I4227" s="98">
        <v>0</v>
      </c>
      <c r="J4227" s="98"/>
      <c r="K4227" s="98">
        <v>72172.108902504042</v>
      </c>
      <c r="L4227" s="93">
        <f t="shared" si="565"/>
        <v>8994374.331222713</v>
      </c>
      <c r="M4227" s="95">
        <f t="shared" ca="1" si="566"/>
        <v>0</v>
      </c>
      <c r="N4227" s="95">
        <f ca="1">IF(P4227="Hedge Fund",IF(A4227=Summary!$AD$3,M4227-E4227,M4227),IF(A4227=Summary!$AD$3,L4227-D4227,L4227))</f>
        <v>0</v>
      </c>
      <c r="P4227" s="107" t="s">
        <v>139</v>
      </c>
      <c r="Q4227" s="107">
        <v>0</v>
      </c>
      <c r="R4227" s="107">
        <v>0</v>
      </c>
      <c r="S4227" s="107">
        <v>0</v>
      </c>
      <c r="T4227" s="107">
        <v>0</v>
      </c>
      <c r="U4227" s="107"/>
      <c r="V4227" s="107"/>
      <c r="W4227" s="107"/>
      <c r="X4227" s="107"/>
      <c r="Y4227" s="107"/>
      <c r="Z4227" s="107"/>
      <c r="AA4227" s="107"/>
      <c r="AB4227" s="107"/>
      <c r="AF4227" s="94">
        <f t="shared" si="567"/>
        <v>39325</v>
      </c>
      <c r="AG4227" s="185">
        <f t="shared" si="563"/>
        <v>-5.036177145280496E-2</v>
      </c>
      <c r="AH4227" s="339" t="str">
        <f>VLOOKUP(B4227,'MF PF'!A:B,2)</f>
        <v>FdMgt1</v>
      </c>
      <c r="AI4227" s="358">
        <f t="shared" si="568"/>
        <v>0</v>
      </c>
      <c r="AJ4227" s="94">
        <f t="shared" si="569"/>
        <v>39325</v>
      </c>
    </row>
    <row r="4228" spans="1:36" ht="12.75" customHeight="1">
      <c r="A4228" s="8">
        <v>39355</v>
      </c>
      <c r="B4228" s="94" t="s">
        <v>15</v>
      </c>
      <c r="C4228" s="6" t="s">
        <v>297</v>
      </c>
      <c r="D4228" s="98">
        <v>98260000</v>
      </c>
      <c r="E4228" s="95">
        <f t="shared" si="564"/>
        <v>1358.4600999999998</v>
      </c>
      <c r="F4228" s="98"/>
      <c r="G4228" s="98">
        <v>217069.72309347987</v>
      </c>
      <c r="H4228" s="98">
        <v>0</v>
      </c>
      <c r="I4228" s="98">
        <v>0</v>
      </c>
      <c r="J4228" s="98"/>
      <c r="K4228" s="98">
        <v>72331.899921094489</v>
      </c>
      <c r="L4228" s="93">
        <f t="shared" si="565"/>
        <v>217069.72309347987</v>
      </c>
      <c r="M4228" s="95">
        <f t="shared" ca="1" si="566"/>
        <v>0</v>
      </c>
      <c r="N4228" s="95">
        <f ca="1">IF(P4228="Hedge Fund",IF(A4228=Summary!$AD$3,M4228-E4228,M4228),IF(A4228=Summary!$AD$3,L4228-D4228,L4228))</f>
        <v>0</v>
      </c>
      <c r="P4228" s="107" t="s">
        <v>139</v>
      </c>
      <c r="Q4228" s="107">
        <v>0</v>
      </c>
      <c r="R4228" s="107">
        <v>0</v>
      </c>
      <c r="S4228" s="107">
        <v>0</v>
      </c>
      <c r="T4228" s="107">
        <v>0</v>
      </c>
      <c r="U4228" s="107"/>
      <c r="V4228" s="107"/>
      <c r="W4228" s="107"/>
      <c r="X4228" s="107"/>
      <c r="Y4228" s="107"/>
      <c r="Z4228" s="107"/>
      <c r="AA4228" s="107"/>
      <c r="AB4228" s="107"/>
      <c r="AF4228" s="94">
        <f t="shared" si="567"/>
        <v>39355</v>
      </c>
      <c r="AG4228" s="185">
        <f t="shared" si="563"/>
        <v>1.0751858524809421E-2</v>
      </c>
      <c r="AH4228" s="339" t="str">
        <f>VLOOKUP(B4228,'MF PF'!A:B,2)</f>
        <v>FdMgt1</v>
      </c>
      <c r="AI4228" s="358">
        <f t="shared" si="568"/>
        <v>0</v>
      </c>
      <c r="AJ4228" s="94">
        <f t="shared" si="569"/>
        <v>39355</v>
      </c>
    </row>
    <row r="4229" spans="1:36" ht="12.75" customHeight="1">
      <c r="A4229" s="8">
        <v>39386</v>
      </c>
      <c r="B4229" s="94" t="s">
        <v>15</v>
      </c>
      <c r="C4229" s="6" t="s">
        <v>297</v>
      </c>
      <c r="D4229" s="98">
        <v>99300000</v>
      </c>
      <c r="E4229" s="95">
        <f t="shared" si="564"/>
        <v>1372.7299000000003</v>
      </c>
      <c r="F4229" s="98"/>
      <c r="G4229" s="98">
        <v>7838.2545059323311</v>
      </c>
      <c r="H4229" s="98">
        <v>0</v>
      </c>
      <c r="I4229" s="98">
        <v>0</v>
      </c>
      <c r="J4229" s="98"/>
      <c r="K4229" s="98">
        <v>72337.609896892303</v>
      </c>
      <c r="L4229" s="93">
        <f t="shared" si="565"/>
        <v>7838.2545059323311</v>
      </c>
      <c r="M4229" s="95">
        <f t="shared" ca="1" si="566"/>
        <v>0</v>
      </c>
      <c r="N4229" s="95">
        <f ca="1">IF(P4229="Hedge Fund",IF(A4229=Summary!$AD$3,M4229-E4229,M4229),IF(A4229=Summary!$AD$3,L4229-D4229,L4229))</f>
        <v>0</v>
      </c>
      <c r="P4229" s="107" t="s">
        <v>139</v>
      </c>
      <c r="Q4229" s="107">
        <v>0</v>
      </c>
      <c r="R4229" s="107">
        <v>0</v>
      </c>
      <c r="S4229" s="107">
        <v>0</v>
      </c>
      <c r="T4229" s="107">
        <v>0</v>
      </c>
      <c r="U4229" s="107"/>
      <c r="V4229" s="107"/>
      <c r="W4229" s="107"/>
      <c r="X4229" s="107"/>
      <c r="Y4229" s="107"/>
      <c r="Z4229" s="107"/>
      <c r="AA4229" s="107"/>
      <c r="AB4229" s="107"/>
      <c r="AF4229" s="94">
        <f t="shared" si="567"/>
        <v>39386</v>
      </c>
      <c r="AG4229" s="185">
        <f t="shared" si="563"/>
        <v>1.0504393908956411E-2</v>
      </c>
      <c r="AH4229" s="339" t="str">
        <f>VLOOKUP(B4229,'MF PF'!A:B,2)</f>
        <v>FdMgt1</v>
      </c>
      <c r="AI4229" s="358">
        <f t="shared" si="568"/>
        <v>0</v>
      </c>
      <c r="AJ4229" s="94">
        <f t="shared" si="569"/>
        <v>39386</v>
      </c>
    </row>
    <row r="4230" spans="1:36" ht="12.75" customHeight="1">
      <c r="A4230" s="8">
        <v>39416</v>
      </c>
      <c r="B4230" s="94" t="s">
        <v>15</v>
      </c>
      <c r="C4230" s="6" t="s">
        <v>297</v>
      </c>
      <c r="D4230" s="98">
        <v>100550000</v>
      </c>
      <c r="E4230" s="95">
        <f t="shared" si="564"/>
        <v>1390.0980999999999</v>
      </c>
      <c r="F4230" s="98"/>
      <c r="G4230" s="98">
        <v>0</v>
      </c>
      <c r="H4230" s="98">
        <v>-6374.0762111842632</v>
      </c>
      <c r="I4230" s="98">
        <v>0</v>
      </c>
      <c r="J4230" s="98"/>
      <c r="K4230" s="98">
        <v>72333.024554166361</v>
      </c>
      <c r="L4230" s="93">
        <f t="shared" si="565"/>
        <v>-6374.0762111842632</v>
      </c>
      <c r="M4230" s="95">
        <f t="shared" ca="1" si="566"/>
        <v>0</v>
      </c>
      <c r="N4230" s="95">
        <f ca="1">IF(P4230="Hedge Fund",IF(A4230=Summary!$AD$3,M4230-E4230,M4230),IF(A4230=Summary!$AD$3,L4230-D4230,L4230))</f>
        <v>0</v>
      </c>
      <c r="P4230" s="107" t="s">
        <v>139</v>
      </c>
      <c r="Q4230" s="107">
        <v>0</v>
      </c>
      <c r="R4230" s="107">
        <v>0</v>
      </c>
      <c r="S4230" s="107">
        <v>0</v>
      </c>
      <c r="T4230" s="107">
        <v>0</v>
      </c>
      <c r="U4230" s="107"/>
      <c r="V4230" s="107"/>
      <c r="W4230" s="107"/>
      <c r="X4230" s="107"/>
      <c r="Y4230" s="107"/>
      <c r="Z4230" s="107"/>
      <c r="AA4230" s="107"/>
      <c r="AB4230" s="107"/>
      <c r="AF4230" s="94">
        <f t="shared" si="567"/>
        <v>39416</v>
      </c>
      <c r="AG4230" s="185">
        <f t="shared" si="563"/>
        <v>1.2652306910485134E-2</v>
      </c>
      <c r="AH4230" s="339" t="str">
        <f>VLOOKUP(B4230,'MF PF'!A:B,2)</f>
        <v>FdMgt1</v>
      </c>
      <c r="AI4230" s="358">
        <f t="shared" si="568"/>
        <v>0</v>
      </c>
      <c r="AJ4230" s="94">
        <f t="shared" si="569"/>
        <v>39416</v>
      </c>
    </row>
    <row r="4231" spans="1:36" ht="12.75" customHeight="1">
      <c r="A4231" s="8">
        <v>39447</v>
      </c>
      <c r="B4231" s="94" t="s">
        <v>15</v>
      </c>
      <c r="C4231" s="6" t="s">
        <v>297</v>
      </c>
      <c r="D4231" s="98">
        <v>105370000</v>
      </c>
      <c r="E4231" s="95">
        <f t="shared" si="564"/>
        <v>1389.5148999999999</v>
      </c>
      <c r="F4231" s="98"/>
      <c r="G4231" s="98">
        <v>4862184.6199199855</v>
      </c>
      <c r="H4231" s="98">
        <v>0</v>
      </c>
      <c r="I4231" s="98">
        <v>0</v>
      </c>
      <c r="J4231" s="98"/>
      <c r="K4231" s="98">
        <v>75832.220295010877</v>
      </c>
      <c r="L4231" s="93">
        <f t="shared" si="565"/>
        <v>4862184.6199199855</v>
      </c>
      <c r="M4231" s="95">
        <f t="shared" ca="1" si="566"/>
        <v>0</v>
      </c>
      <c r="N4231" s="95">
        <f ca="1">IF(P4231="Hedge Fund",IF(A4231=Summary!$AD$3,M4231-E4231,M4231),IF(A4231=Summary!$AD$3,L4231-D4231,L4231))</f>
        <v>0</v>
      </c>
      <c r="P4231" s="107" t="s">
        <v>139</v>
      </c>
      <c r="Q4231" s="107">
        <v>0</v>
      </c>
      <c r="R4231" s="107">
        <v>0</v>
      </c>
      <c r="S4231" s="107">
        <v>0</v>
      </c>
      <c r="T4231" s="107">
        <v>0</v>
      </c>
      <c r="U4231" s="107"/>
      <c r="V4231" s="107"/>
      <c r="W4231" s="107"/>
      <c r="X4231" s="107"/>
      <c r="Y4231" s="107"/>
      <c r="Z4231" s="107"/>
      <c r="AA4231" s="107"/>
      <c r="AB4231" s="107"/>
      <c r="AF4231" s="94">
        <f t="shared" si="567"/>
        <v>39447</v>
      </c>
      <c r="AG4231" s="185">
        <f t="shared" si="563"/>
        <v>-4.1953873615097059E-4</v>
      </c>
      <c r="AH4231" s="339" t="str">
        <f>VLOOKUP(B4231,'MF PF'!A:B,2)</f>
        <v>FdMgt1</v>
      </c>
      <c r="AI4231" s="358">
        <f t="shared" si="568"/>
        <v>0</v>
      </c>
      <c r="AJ4231" s="94">
        <f t="shared" si="569"/>
        <v>39447</v>
      </c>
    </row>
    <row r="4232" spans="1:36" ht="12.75" customHeight="1">
      <c r="A4232" s="8">
        <v>39478</v>
      </c>
      <c r="B4232" s="94" t="s">
        <v>15</v>
      </c>
      <c r="C4232" s="6" t="s">
        <v>297</v>
      </c>
      <c r="D4232" s="98">
        <v>104033198.98867595</v>
      </c>
      <c r="E4232" s="95">
        <f t="shared" si="564"/>
        <v>1362.8155000000002</v>
      </c>
      <c r="F4232" s="98"/>
      <c r="G4232" s="98">
        <v>687873.77122054994</v>
      </c>
      <c r="H4232" s="98">
        <v>0</v>
      </c>
      <c r="I4232" s="98">
        <v>0</v>
      </c>
      <c r="J4232" s="98"/>
      <c r="K4232" s="98">
        <v>76336.964899999992</v>
      </c>
      <c r="L4232" s="93">
        <f t="shared" si="565"/>
        <v>687873.77122054994</v>
      </c>
      <c r="M4232" s="95">
        <f t="shared" ca="1" si="566"/>
        <v>0</v>
      </c>
      <c r="N4232" s="95">
        <f ca="1">IF(P4232="Hedge Fund",IF(A4232=Summary!$AD$3,M4232-E4232,M4232),IF(A4232=Summary!$AD$3,L4232-D4232,L4232))</f>
        <v>0</v>
      </c>
      <c r="P4232" s="107" t="s">
        <v>139</v>
      </c>
      <c r="Q4232" s="107">
        <v>0</v>
      </c>
      <c r="R4232" s="107">
        <v>0</v>
      </c>
      <c r="S4232" s="107">
        <v>0</v>
      </c>
      <c r="T4232" s="107">
        <v>0</v>
      </c>
      <c r="U4232" s="107"/>
      <c r="V4232" s="107"/>
      <c r="W4232" s="107"/>
      <c r="X4232" s="107"/>
      <c r="Y4232" s="107"/>
      <c r="Z4232" s="107"/>
      <c r="AA4232" s="107"/>
      <c r="AB4232" s="107"/>
      <c r="AF4232" s="94">
        <f t="shared" si="567"/>
        <v>39478</v>
      </c>
      <c r="AG4232" s="185">
        <f t="shared" si="563"/>
        <v>-1.921490730326092E-2</v>
      </c>
      <c r="AH4232" s="339" t="str">
        <f>VLOOKUP(B4232,'MF PF'!A:B,2)</f>
        <v>FdMgt1</v>
      </c>
      <c r="AI4232" s="358">
        <f t="shared" si="568"/>
        <v>0</v>
      </c>
      <c r="AJ4232" s="94">
        <f t="shared" si="569"/>
        <v>39478</v>
      </c>
    </row>
    <row r="4233" spans="1:36" ht="12.75" customHeight="1">
      <c r="A4233" s="8">
        <v>39507</v>
      </c>
      <c r="B4233" s="94" t="s">
        <v>15</v>
      </c>
      <c r="C4233" s="6" t="s">
        <v>297</v>
      </c>
      <c r="D4233" s="98">
        <v>105217953.83456975</v>
      </c>
      <c r="E4233" s="95">
        <f t="shared" si="564"/>
        <v>1378.3355674724996</v>
      </c>
      <c r="F4233" s="98"/>
      <c r="G4233" s="98">
        <v>0</v>
      </c>
      <c r="H4233" s="98">
        <v>-2.9802322387695313E-8</v>
      </c>
      <c r="I4233" s="98">
        <v>0</v>
      </c>
      <c r="J4233" s="98"/>
      <c r="K4233" s="98">
        <v>76336.964899999977</v>
      </c>
      <c r="L4233" s="93">
        <f t="shared" si="565"/>
        <v>-2.9802322387695313E-8</v>
      </c>
      <c r="M4233" s="95">
        <f t="shared" ca="1" si="566"/>
        <v>0</v>
      </c>
      <c r="N4233" s="95">
        <f ca="1">IF(P4233="Hedge Fund",IF(A4233=Summary!$AD$3,M4233-E4233,M4233),IF(A4233=Summary!$AD$3,L4233-D4233,L4233))</f>
        <v>0</v>
      </c>
      <c r="P4233" s="107" t="s">
        <v>139</v>
      </c>
      <c r="Q4233" s="107">
        <v>0</v>
      </c>
      <c r="R4233" s="107">
        <v>0</v>
      </c>
      <c r="S4233" s="107">
        <v>0</v>
      </c>
      <c r="T4233" s="107">
        <v>0</v>
      </c>
      <c r="U4233" s="107"/>
      <c r="V4233" s="107"/>
      <c r="W4233" s="107"/>
      <c r="X4233" s="107"/>
      <c r="Y4233" s="107"/>
      <c r="Z4233" s="107"/>
      <c r="AA4233" s="107"/>
      <c r="AB4233" s="107"/>
      <c r="AF4233" s="94">
        <f t="shared" si="567"/>
        <v>39507</v>
      </c>
      <c r="AG4233" s="185">
        <f t="shared" ref="AG4233:AG4264" si="570">IF(C4233&lt;&gt;C4232,D4233/G4233-1,(D4233-G4233-I4233-H4233)/(D4232)-1)</f>
        <v>1.1388238152926444E-2</v>
      </c>
      <c r="AH4233" s="339" t="str">
        <f>VLOOKUP(B4233,'MF PF'!A:B,2)</f>
        <v>FdMgt1</v>
      </c>
      <c r="AI4233" s="358">
        <f t="shared" si="568"/>
        <v>0</v>
      </c>
      <c r="AJ4233" s="94">
        <f t="shared" si="569"/>
        <v>39507</v>
      </c>
    </row>
    <row r="4234" spans="1:36" ht="12.75" customHeight="1">
      <c r="A4234" s="8">
        <v>39538</v>
      </c>
      <c r="B4234" s="94" t="s">
        <v>15</v>
      </c>
      <c r="C4234" s="6" t="s">
        <v>297</v>
      </c>
      <c r="D4234" s="98">
        <v>101967651.478034</v>
      </c>
      <c r="E4234" s="95">
        <f t="shared" si="564"/>
        <v>1335.7572129257455</v>
      </c>
      <c r="F4234" s="98"/>
      <c r="G4234" s="98">
        <v>0</v>
      </c>
      <c r="H4234" s="98">
        <v>-4.3213367462158203E-7</v>
      </c>
      <c r="I4234" s="98">
        <v>0</v>
      </c>
      <c r="J4234" s="98"/>
      <c r="K4234" s="98">
        <v>76336.964899999657</v>
      </c>
      <c r="L4234" s="93">
        <f t="shared" si="565"/>
        <v>-4.3213367462158203E-7</v>
      </c>
      <c r="M4234" s="95">
        <f t="shared" ca="1" si="566"/>
        <v>0</v>
      </c>
      <c r="N4234" s="95">
        <f ca="1">IF(P4234="Hedge Fund",IF(A4234=Summary!$AD$3,M4234-E4234,M4234),IF(A4234=Summary!$AD$3,L4234-D4234,L4234))</f>
        <v>0</v>
      </c>
      <c r="P4234" s="107" t="s">
        <v>139</v>
      </c>
      <c r="Q4234" s="107">
        <v>0</v>
      </c>
      <c r="R4234" s="107">
        <v>0</v>
      </c>
      <c r="S4234" s="107">
        <v>0</v>
      </c>
      <c r="T4234" s="107">
        <v>0</v>
      </c>
      <c r="U4234" s="107"/>
      <c r="V4234" s="107"/>
      <c r="W4234" s="107"/>
      <c r="X4234" s="107"/>
      <c r="Y4234" s="107"/>
      <c r="Z4234" s="107"/>
      <c r="AA4234" s="107"/>
      <c r="AB4234" s="107"/>
      <c r="AF4234" s="94">
        <f t="shared" si="567"/>
        <v>39538</v>
      </c>
      <c r="AG4234" s="185">
        <f t="shared" si="570"/>
        <v>-3.0891138233363091E-2</v>
      </c>
      <c r="AH4234" s="339" t="str">
        <f>VLOOKUP(B4234,'MF PF'!A:B,2)</f>
        <v>FdMgt1</v>
      </c>
      <c r="AI4234" s="358">
        <f t="shared" si="568"/>
        <v>0</v>
      </c>
      <c r="AJ4234" s="94">
        <f t="shared" si="569"/>
        <v>39538</v>
      </c>
    </row>
    <row r="4235" spans="1:36" ht="12.75" customHeight="1">
      <c r="A4235" s="8">
        <v>39568</v>
      </c>
      <c r="B4235" s="94" t="s">
        <v>15</v>
      </c>
      <c r="C4235" s="6" t="s">
        <v>297</v>
      </c>
      <c r="D4235" s="98">
        <v>100177833.03881393</v>
      </c>
      <c r="E4235" s="95">
        <f t="shared" si="564"/>
        <v>1312.3109252515483</v>
      </c>
      <c r="F4235" s="98"/>
      <c r="G4235" s="98">
        <v>4.1723251342773438E-7</v>
      </c>
      <c r="H4235" s="98">
        <v>0</v>
      </c>
      <c r="I4235" s="98">
        <v>0</v>
      </c>
      <c r="J4235" s="98"/>
      <c r="K4235" s="98">
        <v>76336.964899999977</v>
      </c>
      <c r="L4235" s="93">
        <f t="shared" si="565"/>
        <v>4.1723251342773438E-7</v>
      </c>
      <c r="M4235" s="95">
        <f t="shared" ca="1" si="566"/>
        <v>0</v>
      </c>
      <c r="N4235" s="95">
        <f ca="1">IF(P4235="Hedge Fund",IF(A4235=Summary!$AD$3,M4235-E4235,M4235),IF(A4235=Summary!$AD$3,L4235-D4235,L4235))</f>
        <v>0</v>
      </c>
      <c r="P4235" s="107" t="s">
        <v>139</v>
      </c>
      <c r="Q4235" s="107">
        <v>0</v>
      </c>
      <c r="R4235" s="107">
        <v>0</v>
      </c>
      <c r="S4235" s="107">
        <v>0</v>
      </c>
      <c r="T4235" s="107">
        <v>0</v>
      </c>
      <c r="U4235" s="107"/>
      <c r="V4235" s="107"/>
      <c r="W4235" s="107"/>
      <c r="X4235" s="107"/>
      <c r="Y4235" s="107"/>
      <c r="Z4235" s="107"/>
      <c r="AA4235" s="107"/>
      <c r="AB4235" s="107"/>
      <c r="AF4235" s="94">
        <f t="shared" si="567"/>
        <v>39568</v>
      </c>
      <c r="AG4235" s="185">
        <f t="shared" si="570"/>
        <v>-1.7552806338842153E-2</v>
      </c>
      <c r="AH4235" s="339" t="str">
        <f>VLOOKUP(B4235,'MF PF'!A:B,2)</f>
        <v>FdMgt1</v>
      </c>
      <c r="AI4235" s="358">
        <f t="shared" si="568"/>
        <v>0</v>
      </c>
      <c r="AJ4235" s="94">
        <f t="shared" si="569"/>
        <v>39568</v>
      </c>
    </row>
    <row r="4236" spans="1:36" ht="12.75" customHeight="1">
      <c r="A4236" s="8">
        <v>39598</v>
      </c>
      <c r="B4236" s="94" t="s">
        <v>15</v>
      </c>
      <c r="C4236" s="6" t="s">
        <v>297</v>
      </c>
      <c r="D4236" s="98">
        <v>98649298.7052131</v>
      </c>
      <c r="E4236" s="95">
        <f t="shared" si="564"/>
        <v>1292.2874106200302</v>
      </c>
      <c r="F4236" s="98"/>
      <c r="G4236" s="98">
        <v>0</v>
      </c>
      <c r="H4236" s="98">
        <v>0</v>
      </c>
      <c r="I4236" s="98">
        <v>0</v>
      </c>
      <c r="J4236" s="98"/>
      <c r="K4236" s="98">
        <v>76336.964899999977</v>
      </c>
      <c r="L4236" s="93">
        <f t="shared" si="565"/>
        <v>0</v>
      </c>
      <c r="M4236" s="95">
        <f t="shared" ca="1" si="566"/>
        <v>0</v>
      </c>
      <c r="N4236" s="95">
        <f ca="1">IF(P4236="Hedge Fund",IF(A4236=Summary!$AD$3,M4236-E4236,M4236),IF(A4236=Summary!$AD$3,L4236-D4236,L4236))</f>
        <v>0</v>
      </c>
      <c r="P4236" s="107" t="s">
        <v>139</v>
      </c>
      <c r="Q4236" s="107">
        <v>0</v>
      </c>
      <c r="R4236" s="107">
        <v>0</v>
      </c>
      <c r="S4236" s="107">
        <v>0</v>
      </c>
      <c r="T4236" s="107">
        <v>0</v>
      </c>
      <c r="U4236" s="107"/>
      <c r="V4236" s="107"/>
      <c r="W4236" s="107"/>
      <c r="X4236" s="107"/>
      <c r="Y4236" s="107"/>
      <c r="Z4236" s="107"/>
      <c r="AA4236" s="107"/>
      <c r="AB4236" s="107"/>
      <c r="AF4236" s="94">
        <f t="shared" si="567"/>
        <v>39598</v>
      </c>
      <c r="AG4236" s="185">
        <f t="shared" si="570"/>
        <v>-1.5258209198921291E-2</v>
      </c>
      <c r="AH4236" s="339" t="str">
        <f>VLOOKUP(B4236,'MF PF'!A:B,2)</f>
        <v>FdMgt1</v>
      </c>
      <c r="AI4236" s="358">
        <f t="shared" si="568"/>
        <v>0</v>
      </c>
      <c r="AJ4236" s="94">
        <f t="shared" si="569"/>
        <v>39599</v>
      </c>
    </row>
    <row r="4237" spans="1:36" ht="12.75" customHeight="1">
      <c r="A4237" s="8">
        <v>39629</v>
      </c>
      <c r="B4237" s="94" t="s">
        <v>15</v>
      </c>
      <c r="C4237" s="6" t="s">
        <v>297</v>
      </c>
      <c r="D4237" s="98">
        <v>100340000</v>
      </c>
      <c r="E4237" s="95">
        <f t="shared" si="564"/>
        <v>1314.3789891435765</v>
      </c>
      <c r="F4237" s="98"/>
      <c r="G4237" s="98">
        <v>4297.2404493540525</v>
      </c>
      <c r="H4237" s="98">
        <v>0</v>
      </c>
      <c r="I4237" s="98">
        <v>0</v>
      </c>
      <c r="J4237" s="98"/>
      <c r="K4237" s="98">
        <v>76340.234307442457</v>
      </c>
      <c r="L4237" s="93">
        <f t="shared" si="565"/>
        <v>4297.2404493540525</v>
      </c>
      <c r="M4237" s="95">
        <f t="shared" ca="1" si="566"/>
        <v>0</v>
      </c>
      <c r="N4237" s="95">
        <f ca="1">IF(P4237="Hedge Fund",IF(A4237=Summary!$AD$3,M4237-E4237,M4237),IF(A4237=Summary!$AD$3,L4237-D4237,L4237))</f>
        <v>0</v>
      </c>
      <c r="P4237" s="107" t="s">
        <v>139</v>
      </c>
      <c r="Q4237" s="107">
        <v>0</v>
      </c>
      <c r="R4237" s="107">
        <v>0</v>
      </c>
      <c r="S4237" s="107">
        <v>0</v>
      </c>
      <c r="T4237" s="107">
        <v>0</v>
      </c>
      <c r="U4237" s="107"/>
      <c r="V4237" s="107"/>
      <c r="W4237" s="107"/>
      <c r="X4237" s="107"/>
      <c r="Y4237" s="107"/>
      <c r="Z4237" s="107"/>
      <c r="AA4237" s="107"/>
      <c r="AB4237" s="107"/>
      <c r="AF4237" s="94">
        <f t="shared" si="567"/>
        <v>39629</v>
      </c>
      <c r="AG4237" s="185">
        <f t="shared" si="570"/>
        <v>1.709494214831575E-2</v>
      </c>
      <c r="AH4237" s="339" t="str">
        <f>VLOOKUP(B4237,'MF PF'!A:B,2)</f>
        <v>FdMgt1</v>
      </c>
      <c r="AI4237" s="358">
        <f t="shared" si="568"/>
        <v>0</v>
      </c>
      <c r="AJ4237" s="94">
        <f t="shared" si="569"/>
        <v>39629</v>
      </c>
    </row>
    <row r="4238" spans="1:36" ht="12.75" customHeight="1">
      <c r="A4238" s="8">
        <v>39660</v>
      </c>
      <c r="B4238" s="94" t="s">
        <v>15</v>
      </c>
      <c r="C4238" s="6" t="s">
        <v>297</v>
      </c>
      <c r="D4238" s="98">
        <v>97200000</v>
      </c>
      <c r="E4238" s="95">
        <f t="shared" si="564"/>
        <v>1273.3309087439413</v>
      </c>
      <c r="F4238" s="98"/>
      <c r="G4238" s="98">
        <v>0</v>
      </c>
      <c r="H4238" s="98">
        <v>-6379.9244211167097</v>
      </c>
      <c r="I4238" s="98">
        <v>0</v>
      </c>
      <c r="J4238" s="98"/>
      <c r="K4238" s="98">
        <v>76335.223886052932</v>
      </c>
      <c r="L4238" s="93">
        <f t="shared" si="565"/>
        <v>-6379.9244211167097</v>
      </c>
      <c r="M4238" s="95">
        <f t="shared" ca="1" si="566"/>
        <v>0</v>
      </c>
      <c r="N4238" s="95">
        <f ca="1">IF(P4238="Hedge Fund",IF(A4238=Summary!$AD$3,M4238-E4238,M4238),IF(A4238=Summary!$AD$3,L4238-D4238,L4238))</f>
        <v>0</v>
      </c>
      <c r="P4238" s="107" t="s">
        <v>139</v>
      </c>
      <c r="Q4238" s="107">
        <v>0</v>
      </c>
      <c r="R4238" s="107">
        <v>0</v>
      </c>
      <c r="S4238" s="107">
        <v>0</v>
      </c>
      <c r="T4238" s="107">
        <v>0</v>
      </c>
      <c r="U4238" s="107"/>
      <c r="V4238" s="107"/>
      <c r="W4238" s="107"/>
      <c r="X4238" s="107"/>
      <c r="Y4238" s="107"/>
      <c r="Z4238" s="107"/>
      <c r="AA4238" s="107"/>
      <c r="AB4238" s="107"/>
      <c r="AF4238" s="94">
        <f t="shared" si="567"/>
        <v>39660</v>
      </c>
      <c r="AG4238" s="185">
        <f t="shared" si="570"/>
        <v>-3.1230018692235184E-2</v>
      </c>
      <c r="AH4238" s="339" t="str">
        <f>VLOOKUP(B4238,'MF PF'!A:B,2)</f>
        <v>FdMgt1</v>
      </c>
      <c r="AI4238" s="358">
        <f t="shared" si="568"/>
        <v>0</v>
      </c>
      <c r="AJ4238" s="94">
        <f t="shared" si="569"/>
        <v>39660</v>
      </c>
    </row>
    <row r="4239" spans="1:36" ht="12.75" customHeight="1">
      <c r="A4239" s="8">
        <v>39689</v>
      </c>
      <c r="B4239" s="94" t="s">
        <v>15</v>
      </c>
      <c r="C4239" s="6" t="s">
        <v>297</v>
      </c>
      <c r="D4239" s="98">
        <v>91780000</v>
      </c>
      <c r="E4239" s="95">
        <f t="shared" si="564"/>
        <v>1202.2570632626241</v>
      </c>
      <c r="F4239" s="98"/>
      <c r="G4239" s="98">
        <v>5437.9072590768337</v>
      </c>
      <c r="H4239" s="98">
        <v>0</v>
      </c>
      <c r="I4239" s="98">
        <v>0</v>
      </c>
      <c r="J4239" s="98"/>
      <c r="K4239" s="98">
        <v>76339.746968033694</v>
      </c>
      <c r="L4239" s="93">
        <f t="shared" si="565"/>
        <v>5437.9072590768337</v>
      </c>
      <c r="M4239" s="95">
        <f t="shared" ca="1" si="566"/>
        <v>0</v>
      </c>
      <c r="N4239" s="95">
        <f ca="1">IF(P4239="Hedge Fund",IF(A4239=Summary!$AD$3,M4239-E4239,M4239),IF(A4239=Summary!$AD$3,L4239-D4239,L4239))</f>
        <v>0</v>
      </c>
      <c r="P4239" s="107" t="s">
        <v>139</v>
      </c>
      <c r="Q4239" s="107">
        <v>0</v>
      </c>
      <c r="R4239" s="107">
        <v>0</v>
      </c>
      <c r="S4239" s="107">
        <v>0</v>
      </c>
      <c r="T4239" s="107">
        <v>0</v>
      </c>
      <c r="U4239" s="107"/>
      <c r="V4239" s="107"/>
      <c r="W4239" s="107"/>
      <c r="X4239" s="107"/>
      <c r="Y4239" s="107"/>
      <c r="Z4239" s="107"/>
      <c r="AA4239" s="107"/>
      <c r="AB4239" s="107"/>
      <c r="AF4239" s="94">
        <f t="shared" si="567"/>
        <v>39689</v>
      </c>
      <c r="AG4239" s="185">
        <f t="shared" si="570"/>
        <v>-5.5817262420360891E-2</v>
      </c>
      <c r="AH4239" s="339" t="str">
        <f>VLOOKUP(B4239,'MF PF'!A:B,2)</f>
        <v>FdMgt1</v>
      </c>
      <c r="AI4239" s="358">
        <f t="shared" si="568"/>
        <v>0</v>
      </c>
      <c r="AJ4239" s="94">
        <f t="shared" si="569"/>
        <v>39691</v>
      </c>
    </row>
    <row r="4240" spans="1:36" ht="12.75" customHeight="1">
      <c r="A4240" s="8">
        <v>39721</v>
      </c>
      <c r="B4240" s="94" t="s">
        <v>15</v>
      </c>
      <c r="C4240" s="6" t="s">
        <v>297</v>
      </c>
      <c r="D4240" s="98">
        <v>89580000</v>
      </c>
      <c r="E4240" s="95">
        <f t="shared" ref="E4240:E4271" si="571">IF(K4240="","",D4240/K4240)</f>
        <v>1173.5172</v>
      </c>
      <c r="F4240" s="98"/>
      <c r="G4240" s="98">
        <v>0</v>
      </c>
      <c r="H4240" s="98">
        <v>-6006.1106353849173</v>
      </c>
      <c r="I4240" s="98">
        <v>0</v>
      </c>
      <c r="J4240" s="98"/>
      <c r="K4240" s="98">
        <v>76334.628925762649</v>
      </c>
      <c r="L4240" s="93">
        <f t="shared" si="565"/>
        <v>-6006.1106353849173</v>
      </c>
      <c r="M4240" s="95">
        <f t="shared" ca="1" si="566"/>
        <v>0</v>
      </c>
      <c r="N4240" s="95">
        <f ca="1">IF(P4240="Hedge Fund",IF(A4240=Summary!$AD$3,M4240-E4240,M4240),IF(A4240=Summary!$AD$3,L4240-D4240,L4240))</f>
        <v>0</v>
      </c>
      <c r="P4240" s="107" t="s">
        <v>139</v>
      </c>
      <c r="Q4240" s="107">
        <v>0</v>
      </c>
      <c r="R4240" s="107">
        <v>0</v>
      </c>
      <c r="S4240" s="107">
        <v>0</v>
      </c>
      <c r="T4240" s="107">
        <v>0</v>
      </c>
      <c r="U4240" s="107"/>
      <c r="V4240" s="107"/>
      <c r="W4240" s="107"/>
      <c r="X4240" s="107"/>
      <c r="Y4240" s="107"/>
      <c r="Z4240" s="107"/>
      <c r="AA4240" s="107"/>
      <c r="AB4240" s="107"/>
      <c r="AF4240" s="94">
        <f t="shared" si="567"/>
        <v>39721</v>
      </c>
      <c r="AG4240" s="185">
        <f t="shared" si="570"/>
        <v>-2.3904923614781137E-2</v>
      </c>
      <c r="AH4240" s="339" t="str">
        <f>VLOOKUP(B4240,'MF PF'!A:B,2)</f>
        <v>FdMgt1</v>
      </c>
      <c r="AI4240" s="358">
        <f t="shared" si="568"/>
        <v>0</v>
      </c>
      <c r="AJ4240" s="94">
        <f t="shared" si="569"/>
        <v>39721</v>
      </c>
    </row>
    <row r="4241" spans="1:36" ht="12.75" customHeight="1">
      <c r="A4241" s="8">
        <v>39752</v>
      </c>
      <c r="B4241" s="94" t="s">
        <v>15</v>
      </c>
      <c r="C4241" s="6" t="s">
        <v>297</v>
      </c>
      <c r="D4241" s="98">
        <v>84960000</v>
      </c>
      <c r="E4241" s="95">
        <f t="shared" si="571"/>
        <v>1112.9547132416715</v>
      </c>
      <c r="F4241" s="98"/>
      <c r="G4241" s="98">
        <v>3014.953518435359</v>
      </c>
      <c r="H4241" s="98">
        <v>0</v>
      </c>
      <c r="I4241" s="98">
        <v>0</v>
      </c>
      <c r="J4241" s="98"/>
      <c r="K4241" s="98">
        <v>76337.337889103714</v>
      </c>
      <c r="L4241" s="93">
        <f t="shared" si="565"/>
        <v>3014.953518435359</v>
      </c>
      <c r="M4241" s="95">
        <f t="shared" ca="1" si="566"/>
        <v>0</v>
      </c>
      <c r="N4241" s="95">
        <f ca="1">IF(P4241="Hedge Fund",IF(A4241=Summary!$AD$3,M4241-E4241,M4241),IF(A4241=Summary!$AD$3,L4241-D4241,L4241))</f>
        <v>0</v>
      </c>
      <c r="P4241" s="107" t="s">
        <v>139</v>
      </c>
      <c r="Q4241" s="107">
        <v>0</v>
      </c>
      <c r="R4241" s="107">
        <v>0</v>
      </c>
      <c r="S4241" s="107">
        <v>0</v>
      </c>
      <c r="T4241" s="107">
        <v>0</v>
      </c>
      <c r="U4241" s="107"/>
      <c r="V4241" s="107"/>
      <c r="W4241" s="107"/>
      <c r="X4241" s="107"/>
      <c r="Y4241" s="107"/>
      <c r="Z4241" s="107"/>
      <c r="AA4241" s="107"/>
      <c r="AB4241" s="107"/>
      <c r="AF4241" s="94">
        <f t="shared" si="567"/>
        <v>39752</v>
      </c>
      <c r="AG4241" s="185">
        <f t="shared" si="570"/>
        <v>-5.1607668603688706E-2</v>
      </c>
      <c r="AH4241" s="339" t="str">
        <f>VLOOKUP(B4241,'MF PF'!A:B,2)</f>
        <v>FdMgt1</v>
      </c>
      <c r="AI4241" s="358">
        <f t="shared" si="568"/>
        <v>0</v>
      </c>
      <c r="AJ4241" s="94">
        <f t="shared" si="569"/>
        <v>39752</v>
      </c>
    </row>
    <row r="4242" spans="1:36" ht="12.75" customHeight="1">
      <c r="A4242" s="8">
        <v>39780</v>
      </c>
      <c r="B4242" s="94" t="s">
        <v>15</v>
      </c>
      <c r="C4242" s="6" t="s">
        <v>297</v>
      </c>
      <c r="D4242" s="98">
        <v>82270000</v>
      </c>
      <c r="E4242" s="95">
        <f t="shared" si="571"/>
        <v>1077.7607641598856</v>
      </c>
      <c r="F4242" s="98"/>
      <c r="G4242" s="98">
        <v>0</v>
      </c>
      <c r="H4242" s="98">
        <v>-3387.6172918081284</v>
      </c>
      <c r="I4242" s="98">
        <v>0</v>
      </c>
      <c r="J4242" s="98"/>
      <c r="K4242" s="98">
        <v>76334.194689421129</v>
      </c>
      <c r="L4242" s="93">
        <f t="shared" si="565"/>
        <v>-3387.6172918081284</v>
      </c>
      <c r="M4242" s="95">
        <f t="shared" ca="1" si="566"/>
        <v>0</v>
      </c>
      <c r="N4242" s="95">
        <f ca="1">IF(P4242="Hedge Fund",IF(A4242=Summary!$AD$3,M4242-E4242,M4242),IF(A4242=Summary!$AD$3,L4242-D4242,L4242))</f>
        <v>0</v>
      </c>
      <c r="P4242" s="107" t="s">
        <v>139</v>
      </c>
      <c r="Q4242" s="107">
        <v>0</v>
      </c>
      <c r="R4242" s="107">
        <v>0</v>
      </c>
      <c r="S4242" s="107">
        <v>0</v>
      </c>
      <c r="T4242" s="107">
        <v>0</v>
      </c>
      <c r="U4242" s="107"/>
      <c r="V4242" s="107"/>
      <c r="W4242" s="107"/>
      <c r="X4242" s="107"/>
      <c r="Y4242" s="107"/>
      <c r="Z4242" s="107"/>
      <c r="AA4242" s="107"/>
      <c r="AB4242" s="107"/>
      <c r="AF4242" s="94">
        <f t="shared" si="567"/>
        <v>39780</v>
      </c>
      <c r="AG4242" s="185">
        <f t="shared" si="570"/>
        <v>-3.1622085483853479E-2</v>
      </c>
      <c r="AH4242" s="339" t="str">
        <f>VLOOKUP(B4242,'MF PF'!A:B,2)</f>
        <v>FdMgt1</v>
      </c>
      <c r="AI4242" s="358">
        <f t="shared" si="568"/>
        <v>0</v>
      </c>
      <c r="AJ4242" s="94">
        <f t="shared" si="569"/>
        <v>39782</v>
      </c>
    </row>
    <row r="4243" spans="1:36" ht="12.75" customHeight="1">
      <c r="A4243" s="8">
        <v>39813</v>
      </c>
      <c r="B4243" s="94" t="s">
        <v>15</v>
      </c>
      <c r="C4243" s="6" t="s">
        <v>297</v>
      </c>
      <c r="D4243" s="98">
        <v>81210000</v>
      </c>
      <c r="E4243" s="95">
        <f t="shared" si="571"/>
        <v>1063.8877000000002</v>
      </c>
      <c r="F4243" s="98"/>
      <c r="G4243" s="98">
        <v>0</v>
      </c>
      <c r="H4243" s="98">
        <v>-1010.8194804787636</v>
      </c>
      <c r="I4243" s="98">
        <v>0</v>
      </c>
      <c r="J4243" s="98"/>
      <c r="K4243" s="98">
        <v>76333.244570832045</v>
      </c>
      <c r="L4243" s="93">
        <f t="shared" si="565"/>
        <v>-1010.8194804787636</v>
      </c>
      <c r="M4243" s="95">
        <f t="shared" ca="1" si="566"/>
        <v>0</v>
      </c>
      <c r="N4243" s="95">
        <f ca="1">IF(P4243="Hedge Fund",IF(A4243=Summary!$AD$3,M4243-E4243,M4243),IF(A4243=Summary!$AD$3,L4243-D4243,L4243))</f>
        <v>0</v>
      </c>
      <c r="P4243" s="107" t="s">
        <v>139</v>
      </c>
      <c r="Q4243" s="107">
        <v>0</v>
      </c>
      <c r="R4243" s="107">
        <v>0</v>
      </c>
      <c r="S4243" s="107">
        <v>0</v>
      </c>
      <c r="T4243" s="107">
        <v>0</v>
      </c>
      <c r="U4243" s="107"/>
      <c r="V4243" s="107"/>
      <c r="W4243" s="107"/>
      <c r="X4243" s="107"/>
      <c r="Y4243" s="107"/>
      <c r="Z4243" s="107"/>
      <c r="AA4243" s="107"/>
      <c r="AB4243" s="107"/>
      <c r="AF4243" s="94">
        <f t="shared" si="567"/>
        <v>39813</v>
      </c>
      <c r="AG4243" s="185">
        <f t="shared" si="570"/>
        <v>-1.287211839697977E-2</v>
      </c>
      <c r="AH4243" s="339" t="str">
        <f>VLOOKUP(B4243,'MF PF'!A:B,2)</f>
        <v>FdMgt1</v>
      </c>
      <c r="AI4243" s="358">
        <f t="shared" si="568"/>
        <v>0</v>
      </c>
      <c r="AJ4243" s="94">
        <f t="shared" si="569"/>
        <v>39813</v>
      </c>
    </row>
    <row r="4244" spans="1:36" ht="12.75" customHeight="1">
      <c r="A4244" s="8">
        <v>39843</v>
      </c>
      <c r="B4244" s="94" t="s">
        <v>15</v>
      </c>
      <c r="C4244" s="6" t="s">
        <v>297</v>
      </c>
      <c r="D4244" s="98">
        <v>82490000</v>
      </c>
      <c r="E4244" s="9">
        <f t="shared" si="571"/>
        <v>1080.6556</v>
      </c>
      <c r="F4244" s="98"/>
      <c r="G4244" s="98">
        <v>51.788360744714737</v>
      </c>
      <c r="H4244" s="98">
        <v>0</v>
      </c>
      <c r="I4244" s="98">
        <v>0</v>
      </c>
      <c r="J4244" s="98"/>
      <c r="K4244" s="98">
        <v>76333.292493926827</v>
      </c>
      <c r="L4244" s="93">
        <f t="shared" si="565"/>
        <v>51.788360744714737</v>
      </c>
      <c r="M4244" s="95">
        <f t="shared" ca="1" si="566"/>
        <v>0</v>
      </c>
      <c r="N4244" s="95">
        <f ca="1">IF(P4244="Hedge Fund",IF(A4244=Summary!$AD$3,M4244-E4244,M4244),IF(A4244=Summary!$AD$3,L4244-D4244,L4244))</f>
        <v>0</v>
      </c>
      <c r="P4244" s="107" t="s">
        <v>139</v>
      </c>
      <c r="Q4244" s="107">
        <v>0</v>
      </c>
      <c r="R4244" s="107">
        <v>0</v>
      </c>
      <c r="S4244" s="107">
        <v>0</v>
      </c>
      <c r="T4244" s="107">
        <v>0</v>
      </c>
      <c r="U4244" s="107"/>
      <c r="V4244" s="107"/>
      <c r="W4244" s="107"/>
      <c r="X4244" s="107"/>
      <c r="Y4244" s="107"/>
      <c r="Z4244" s="107"/>
      <c r="AA4244" s="107"/>
      <c r="AB4244" s="107"/>
      <c r="AF4244" s="94">
        <f t="shared" si="567"/>
        <v>39843</v>
      </c>
      <c r="AG4244" s="185">
        <f t="shared" si="570"/>
        <v>1.5760968004423725E-2</v>
      </c>
      <c r="AH4244" s="339" t="str">
        <f>VLOOKUP(B4244,'MF PF'!A:B,2)</f>
        <v>FdMgt1</v>
      </c>
      <c r="AI4244" s="358">
        <f t="shared" si="568"/>
        <v>0</v>
      </c>
      <c r="AJ4244" s="94">
        <f t="shared" si="569"/>
        <v>39844</v>
      </c>
    </row>
    <row r="4245" spans="1:36" ht="12.75" customHeight="1">
      <c r="A4245" s="8">
        <v>39871</v>
      </c>
      <c r="B4245" s="94" t="s">
        <v>15</v>
      </c>
      <c r="C4245" s="6" t="s">
        <v>297</v>
      </c>
      <c r="D4245" s="98">
        <v>81710000</v>
      </c>
      <c r="E4245" s="95">
        <f t="shared" si="571"/>
        <v>1070.3797</v>
      </c>
      <c r="F4245" s="98"/>
      <c r="G4245" s="98">
        <v>4393.2803383618593</v>
      </c>
      <c r="H4245" s="98">
        <v>0</v>
      </c>
      <c r="I4245" s="98">
        <v>0</v>
      </c>
      <c r="J4245" s="98"/>
      <c r="K4245" s="98">
        <v>76337.396906910697</v>
      </c>
      <c r="L4245" s="93">
        <f t="shared" si="565"/>
        <v>4393.2803383618593</v>
      </c>
      <c r="M4245" s="95">
        <f t="shared" ca="1" si="566"/>
        <v>0</v>
      </c>
      <c r="N4245" s="95">
        <f ca="1">IF(P4245="Hedge Fund",IF(A4245=Summary!$AD$3,M4245-E4245,M4245),IF(A4245=Summary!$AD$3,L4245-D4245,L4245))</f>
        <v>0</v>
      </c>
      <c r="P4245" s="107" t="s">
        <v>139</v>
      </c>
      <c r="Q4245" s="107">
        <v>0</v>
      </c>
      <c r="R4245" s="107">
        <v>0</v>
      </c>
      <c r="S4245" s="107">
        <v>0</v>
      </c>
      <c r="T4245" s="107">
        <v>0</v>
      </c>
      <c r="U4245" s="107"/>
      <c r="V4245" s="107"/>
      <c r="W4245" s="107"/>
      <c r="X4245" s="107"/>
      <c r="Y4245" s="107"/>
      <c r="Z4245" s="107"/>
      <c r="AA4245" s="107"/>
      <c r="AB4245" s="107"/>
      <c r="AF4245" s="94">
        <f t="shared" si="567"/>
        <v>39871</v>
      </c>
      <c r="AG4245" s="185">
        <f t="shared" si="570"/>
        <v>-9.5089499374271247E-3</v>
      </c>
      <c r="AH4245" s="339" t="str">
        <f>VLOOKUP(B4245,'MF PF'!A:B,2)</f>
        <v>FdMgt1</v>
      </c>
      <c r="AI4245" s="358">
        <f t="shared" si="568"/>
        <v>0</v>
      </c>
      <c r="AJ4245" s="94">
        <f t="shared" si="569"/>
        <v>39872</v>
      </c>
    </row>
    <row r="4246" spans="1:36" ht="12.75" customHeight="1">
      <c r="A4246" s="8">
        <v>39903</v>
      </c>
      <c r="B4246" s="94" t="s">
        <v>15</v>
      </c>
      <c r="C4246" s="6" t="s">
        <v>297</v>
      </c>
      <c r="D4246" s="98">
        <v>78530000</v>
      </c>
      <c r="E4246" s="9">
        <f t="shared" si="571"/>
        <v>1028.6811737056728</v>
      </c>
      <c r="F4246" s="98"/>
      <c r="G4246" s="98">
        <v>3156.9521633088589</v>
      </c>
      <c r="H4246" s="98">
        <v>0</v>
      </c>
      <c r="I4246" s="98">
        <v>0</v>
      </c>
      <c r="J4246" s="98"/>
      <c r="K4246" s="98">
        <v>76340.465838513614</v>
      </c>
      <c r="L4246" s="93">
        <f t="shared" si="565"/>
        <v>3156.9521633088589</v>
      </c>
      <c r="M4246" s="95">
        <f t="shared" ca="1" si="566"/>
        <v>0</v>
      </c>
      <c r="N4246" s="95">
        <f ca="1">IF(P4246="Hedge Fund",IF(A4246=Summary!$AD$3,M4246-E4246,M4246),IF(A4246=Summary!$AD$3,L4246-D4246,L4246))</f>
        <v>0</v>
      </c>
      <c r="P4246" s="107" t="s">
        <v>139</v>
      </c>
      <c r="Q4246" s="107">
        <v>0</v>
      </c>
      <c r="R4246" s="107">
        <v>0</v>
      </c>
      <c r="S4246" s="107">
        <v>0</v>
      </c>
      <c r="T4246" s="107">
        <v>0</v>
      </c>
      <c r="U4246" s="107"/>
      <c r="V4246" s="107"/>
      <c r="W4246" s="107"/>
      <c r="X4246" s="107"/>
      <c r="Y4246" s="107"/>
      <c r="Z4246" s="107"/>
      <c r="AA4246" s="107"/>
      <c r="AB4246" s="107"/>
      <c r="AF4246" s="94">
        <f t="shared" si="567"/>
        <v>39903</v>
      </c>
      <c r="AG4246" s="185">
        <f t="shared" si="570"/>
        <v>-3.89567611328272E-2</v>
      </c>
      <c r="AH4246" s="339" t="str">
        <f>VLOOKUP(B4246,'MF PF'!A:B,2)</f>
        <v>FdMgt1</v>
      </c>
      <c r="AI4246" s="358">
        <f t="shared" si="568"/>
        <v>0</v>
      </c>
      <c r="AJ4246" s="94">
        <f t="shared" si="569"/>
        <v>39903</v>
      </c>
    </row>
    <row r="4247" spans="1:36" ht="12.75" customHeight="1">
      <c r="A4247" s="8">
        <v>39933</v>
      </c>
      <c r="B4247" s="94" t="s">
        <v>15</v>
      </c>
      <c r="C4247" s="6" t="s">
        <v>297</v>
      </c>
      <c r="D4247" s="98">
        <v>77300000</v>
      </c>
      <c r="E4247" s="9">
        <f t="shared" si="571"/>
        <v>1012.6589000000001</v>
      </c>
      <c r="F4247" s="98"/>
      <c r="G4247" s="98">
        <v>0</v>
      </c>
      <c r="H4247" s="98">
        <v>-6852.1615167856216</v>
      </c>
      <c r="I4247" s="98">
        <v>0</v>
      </c>
      <c r="J4247" s="98"/>
      <c r="K4247" s="98">
        <v>76333.699333507058</v>
      </c>
      <c r="L4247" s="93">
        <f t="shared" si="565"/>
        <v>-6852.1615167856216</v>
      </c>
      <c r="M4247" s="95">
        <f t="shared" ca="1" si="566"/>
        <v>0</v>
      </c>
      <c r="N4247" s="95">
        <f ca="1">IF(P4247="Hedge Fund",IF(A4247=Summary!$AD$3,M4247-E4247,M4247),IF(A4247=Summary!$AD$3,L4247-D4247,L4247))</f>
        <v>0</v>
      </c>
      <c r="P4247" s="107" t="s">
        <v>139</v>
      </c>
      <c r="Q4247" s="107">
        <v>0</v>
      </c>
      <c r="R4247" s="107">
        <v>0</v>
      </c>
      <c r="S4247" s="107">
        <v>0</v>
      </c>
      <c r="T4247" s="107">
        <v>0</v>
      </c>
      <c r="U4247" s="107"/>
      <c r="V4247" s="107"/>
      <c r="W4247" s="107"/>
      <c r="X4247" s="107"/>
      <c r="Y4247" s="107"/>
      <c r="Z4247" s="107"/>
      <c r="AA4247" s="107"/>
      <c r="AB4247" s="107"/>
      <c r="AF4247" s="94">
        <f t="shared" si="567"/>
        <v>39933</v>
      </c>
      <c r="AG4247" s="185">
        <f t="shared" si="570"/>
        <v>-1.5575548688185559E-2</v>
      </c>
      <c r="AH4247" s="339" t="str">
        <f>VLOOKUP(B4247,'MF PF'!A:B,2)</f>
        <v>FdMgt1</v>
      </c>
      <c r="AI4247" s="358">
        <f t="shared" si="568"/>
        <v>0</v>
      </c>
      <c r="AJ4247" s="94">
        <f t="shared" si="569"/>
        <v>39933</v>
      </c>
    </row>
    <row r="4248" spans="1:36" ht="12.75" customHeight="1">
      <c r="A4248" s="8">
        <v>39962</v>
      </c>
      <c r="B4248" s="94" t="s">
        <v>15</v>
      </c>
      <c r="C4248" s="6" t="s">
        <v>297</v>
      </c>
      <c r="D4248" s="98">
        <v>79820000</v>
      </c>
      <c r="E4248" s="9">
        <f t="shared" si="571"/>
        <v>1045.5875000000001</v>
      </c>
      <c r="F4248" s="98"/>
      <c r="G4248" s="98">
        <v>6438.1481266766787</v>
      </c>
      <c r="H4248" s="98">
        <v>0</v>
      </c>
      <c r="I4248" s="98">
        <v>0</v>
      </c>
      <c r="J4248" s="98"/>
      <c r="K4248" s="98">
        <v>76339.856779083522</v>
      </c>
      <c r="L4248" s="93">
        <f t="shared" si="565"/>
        <v>6438.1481266766787</v>
      </c>
      <c r="M4248" s="95">
        <f t="shared" ca="1" si="566"/>
        <v>0</v>
      </c>
      <c r="N4248" s="95">
        <f ca="1">IF(P4248="Hedge Fund",IF(A4248=Summary!$AD$3,M4248-E4248,M4248),IF(A4248=Summary!$AD$3,L4248-D4248,L4248))</f>
        <v>0</v>
      </c>
      <c r="P4248" s="107" t="s">
        <v>139</v>
      </c>
      <c r="Q4248" s="107">
        <v>0</v>
      </c>
      <c r="R4248" s="107">
        <v>0</v>
      </c>
      <c r="S4248" s="107">
        <v>0</v>
      </c>
      <c r="T4248" s="107">
        <v>0</v>
      </c>
      <c r="U4248" s="107"/>
      <c r="V4248" s="107"/>
      <c r="W4248" s="107"/>
      <c r="X4248" s="107"/>
      <c r="Y4248" s="107"/>
      <c r="Z4248" s="107"/>
      <c r="AA4248" s="107"/>
      <c r="AB4248" s="107"/>
      <c r="AF4248" s="94">
        <f t="shared" si="567"/>
        <v>39962</v>
      </c>
      <c r="AG4248" s="185">
        <f t="shared" si="570"/>
        <v>3.2516970916860677E-2</v>
      </c>
      <c r="AH4248" s="339" t="str">
        <f>VLOOKUP(B4248,'MF PF'!A:B,2)</f>
        <v>FdMgt1</v>
      </c>
      <c r="AI4248" s="358">
        <f t="shared" si="568"/>
        <v>0</v>
      </c>
      <c r="AJ4248" s="94">
        <f t="shared" si="569"/>
        <v>39964</v>
      </c>
    </row>
    <row r="4249" spans="1:36" s="358" customFormat="1" ht="12.75" customHeight="1">
      <c r="A4249" s="94">
        <v>39994</v>
      </c>
      <c r="B4249" s="94" t="s">
        <v>15</v>
      </c>
      <c r="C4249" s="358" t="s">
        <v>297</v>
      </c>
      <c r="D4249" s="98">
        <v>78841958.320000008</v>
      </c>
      <c r="E4249" s="95">
        <f t="shared" si="571"/>
        <v>1032.8149000000001</v>
      </c>
      <c r="F4249" s="98"/>
      <c r="G4249" s="98">
        <v>0</v>
      </c>
      <c r="H4249" s="98">
        <v>-2983.2253034710884</v>
      </c>
      <c r="I4249" s="98">
        <v>0</v>
      </c>
      <c r="J4249" s="98"/>
      <c r="K4249" s="98">
        <v>76336.968337695362</v>
      </c>
      <c r="L4249" s="93">
        <f t="shared" si="565"/>
        <v>-2983.2253034710884</v>
      </c>
      <c r="M4249" s="95">
        <f t="shared" ca="1" si="566"/>
        <v>0</v>
      </c>
      <c r="N4249" s="95">
        <f ca="1">IF(P4249="Hedge Fund",IF(A4249=Summary!$AD$3,M4249-E4249,M4249),IF(A4249=Summary!$AD$3,L4249-D4249,L4249))</f>
        <v>0</v>
      </c>
      <c r="O4249" s="95"/>
      <c r="P4249" s="107" t="s">
        <v>139</v>
      </c>
      <c r="Q4249" s="107">
        <v>0</v>
      </c>
      <c r="R4249" s="107">
        <v>0</v>
      </c>
      <c r="S4249" s="107">
        <v>0</v>
      </c>
      <c r="T4249" s="107">
        <v>0</v>
      </c>
      <c r="U4249" s="107"/>
      <c r="V4249" s="107"/>
      <c r="W4249" s="107"/>
      <c r="X4249" s="107"/>
      <c r="Y4249" s="107"/>
      <c r="Z4249" s="107"/>
      <c r="AA4249" s="107"/>
      <c r="AB4249" s="107"/>
      <c r="AF4249" s="94">
        <f t="shared" si="567"/>
        <v>39994</v>
      </c>
      <c r="AG4249" s="185">
        <f t="shared" si="570"/>
        <v>-1.2215716044807312E-2</v>
      </c>
      <c r="AH4249" s="339" t="str">
        <f>VLOOKUP(B4249,'MF PF'!A:B,2)</f>
        <v>FdMgt1</v>
      </c>
      <c r="AI4249" s="358">
        <f t="shared" si="568"/>
        <v>0</v>
      </c>
      <c r="AJ4249" s="94">
        <f t="shared" si="569"/>
        <v>39994</v>
      </c>
    </row>
    <row r="4250" spans="1:36" ht="12.75" customHeight="1">
      <c r="A4250" s="8">
        <v>40025</v>
      </c>
      <c r="B4250" s="94" t="s">
        <v>15</v>
      </c>
      <c r="C4250" s="6" t="s">
        <v>297</v>
      </c>
      <c r="D4250" s="98">
        <v>81210000</v>
      </c>
      <c r="E4250" s="95">
        <f t="shared" si="571"/>
        <v>1063.8269000000003</v>
      </c>
      <c r="F4250" s="98"/>
      <c r="G4250" s="98">
        <v>679.61791136860847</v>
      </c>
      <c r="H4250" s="98">
        <v>0</v>
      </c>
      <c r="I4250" s="98">
        <v>0</v>
      </c>
      <c r="J4250" s="98"/>
      <c r="K4250" s="98">
        <v>76337.60718026587</v>
      </c>
      <c r="L4250" s="93">
        <f t="shared" si="565"/>
        <v>679.61791136860847</v>
      </c>
      <c r="M4250" s="95">
        <f t="shared" ca="1" si="566"/>
        <v>0</v>
      </c>
      <c r="N4250" s="95">
        <f ca="1">IF(P4250="Hedge Fund",IF(A4250=Summary!$AD$3,M4250-E4250,M4250),IF(A4250=Summary!$AD$3,L4250-D4250,L4250))</f>
        <v>0</v>
      </c>
      <c r="P4250" s="107" t="s">
        <v>139</v>
      </c>
      <c r="Q4250" s="107">
        <v>0</v>
      </c>
      <c r="R4250" s="107">
        <v>0</v>
      </c>
      <c r="S4250" s="107">
        <v>0</v>
      </c>
      <c r="T4250" s="107">
        <v>0</v>
      </c>
      <c r="U4250" s="107"/>
      <c r="V4250" s="107"/>
      <c r="W4250" s="107"/>
      <c r="X4250" s="107"/>
      <c r="Y4250" s="107"/>
      <c r="Z4250" s="107"/>
      <c r="AA4250" s="107"/>
      <c r="AB4250" s="107"/>
      <c r="AF4250" s="94">
        <f t="shared" si="567"/>
        <v>40025</v>
      </c>
      <c r="AG4250" s="185">
        <f t="shared" si="570"/>
        <v>3.0026677577947636E-2</v>
      </c>
      <c r="AH4250" s="339" t="str">
        <f>VLOOKUP(B4250,'MF PF'!A:B,2)</f>
        <v>FdMgt1</v>
      </c>
      <c r="AI4250" s="358">
        <f t="shared" si="568"/>
        <v>0</v>
      </c>
      <c r="AJ4250" s="94">
        <f t="shared" si="569"/>
        <v>40025</v>
      </c>
    </row>
    <row r="4251" spans="1:36" ht="12.75" customHeight="1">
      <c r="A4251" s="8">
        <v>40056</v>
      </c>
      <c r="B4251" s="94" t="s">
        <v>15</v>
      </c>
      <c r="C4251" s="6" t="s">
        <v>297</v>
      </c>
      <c r="D4251" s="98">
        <v>80580000</v>
      </c>
      <c r="E4251" s="95">
        <f t="shared" si="571"/>
        <v>1055.6198999999999</v>
      </c>
      <c r="F4251" s="98"/>
      <c r="G4251" s="98">
        <v>0</v>
      </c>
      <c r="H4251" s="98">
        <v>-3497.2578715384007</v>
      </c>
      <c r="I4251" s="98">
        <v>0</v>
      </c>
      <c r="J4251" s="98"/>
      <c r="K4251" s="98">
        <v>76334.29419055098</v>
      </c>
      <c r="L4251" s="93">
        <f t="shared" si="565"/>
        <v>-3497.2578715384007</v>
      </c>
      <c r="M4251" s="95">
        <f t="shared" ca="1" si="566"/>
        <v>0</v>
      </c>
      <c r="N4251" s="95">
        <f ca="1">IF(P4251="Hedge Fund",IF(A4251=Summary!$AD$3,M4251-E4251,M4251),IF(A4251=Summary!$AD$3,L4251-D4251,L4251))</f>
        <v>0</v>
      </c>
      <c r="P4251" s="107" t="s">
        <v>139</v>
      </c>
      <c r="Q4251" s="107">
        <v>0</v>
      </c>
      <c r="R4251" s="107">
        <v>0</v>
      </c>
      <c r="S4251" s="107">
        <v>0</v>
      </c>
      <c r="T4251" s="107">
        <v>0</v>
      </c>
      <c r="U4251" s="107"/>
      <c r="V4251" s="107"/>
      <c r="W4251" s="107"/>
      <c r="X4251" s="107"/>
      <c r="Y4251" s="107"/>
      <c r="Z4251" s="107"/>
      <c r="AA4251" s="107"/>
      <c r="AB4251" s="107"/>
      <c r="AF4251" s="94">
        <f t="shared" si="567"/>
        <v>40056</v>
      </c>
      <c r="AG4251" s="185">
        <f t="shared" si="570"/>
        <v>-7.7146009374271518E-3</v>
      </c>
      <c r="AH4251" s="339" t="str">
        <f>VLOOKUP(B4251,'MF PF'!A:B,2)</f>
        <v>FdMgt1</v>
      </c>
      <c r="AI4251" s="358">
        <f t="shared" si="568"/>
        <v>0</v>
      </c>
      <c r="AJ4251" s="94">
        <f t="shared" si="569"/>
        <v>40056</v>
      </c>
    </row>
    <row r="4252" spans="1:36" s="358" customFormat="1" ht="12.75" customHeight="1">
      <c r="A4252" s="94">
        <v>40086</v>
      </c>
      <c r="B4252" s="94" t="s">
        <v>15</v>
      </c>
      <c r="C4252" s="358" t="s">
        <v>297</v>
      </c>
      <c r="D4252" s="98">
        <v>87323228.21447818</v>
      </c>
      <c r="E4252" s="95">
        <f t="shared" si="571"/>
        <v>1143.9180000000001</v>
      </c>
      <c r="F4252" s="98"/>
      <c r="G4252" s="98">
        <v>3055.0726114809513</v>
      </c>
      <c r="H4252" s="98">
        <v>0</v>
      </c>
      <c r="I4252" s="98">
        <v>0</v>
      </c>
      <c r="J4252" s="98"/>
      <c r="K4252" s="98">
        <v>76336.964899999977</v>
      </c>
      <c r="L4252" s="93">
        <f t="shared" si="565"/>
        <v>3055.0726114809513</v>
      </c>
      <c r="M4252" s="95">
        <f t="shared" ca="1" si="566"/>
        <v>0</v>
      </c>
      <c r="N4252" s="95">
        <f ca="1">IF(P4252="Hedge Fund",IF(A4252=Summary!$AD$3,M4252-E4252,M4252),IF(A4252=Summary!$AD$3,L4252-D4252,L4252))</f>
        <v>0</v>
      </c>
      <c r="O4252" s="95"/>
      <c r="P4252" s="107" t="s">
        <v>139</v>
      </c>
      <c r="Q4252" s="107">
        <v>0</v>
      </c>
      <c r="R4252" s="107">
        <v>0</v>
      </c>
      <c r="S4252" s="107">
        <v>0</v>
      </c>
      <c r="T4252" s="107">
        <v>0</v>
      </c>
      <c r="U4252" s="107"/>
      <c r="V4252" s="107"/>
      <c r="W4252" s="107"/>
      <c r="X4252" s="107"/>
      <c r="Y4252" s="107"/>
      <c r="Z4252" s="107"/>
      <c r="AA4252" s="107"/>
      <c r="AB4252" s="107"/>
      <c r="AF4252" s="94">
        <f t="shared" si="567"/>
        <v>40086</v>
      </c>
      <c r="AG4252" s="185">
        <f t="shared" si="570"/>
        <v>8.36457327111777E-2</v>
      </c>
      <c r="AH4252" s="339" t="str">
        <f>VLOOKUP(B4252,'MF PF'!A:B,2)</f>
        <v>FdMgt1</v>
      </c>
      <c r="AI4252" s="358">
        <f t="shared" si="568"/>
        <v>0</v>
      </c>
      <c r="AJ4252" s="94">
        <f t="shared" si="569"/>
        <v>40086</v>
      </c>
    </row>
    <row r="4253" spans="1:36" ht="12.75" customHeight="1">
      <c r="A4253" s="8">
        <v>40116</v>
      </c>
      <c r="B4253" s="94" t="s">
        <v>15</v>
      </c>
      <c r="C4253" s="6" t="s">
        <v>297</v>
      </c>
      <c r="D4253" s="98">
        <v>87635339.529168323</v>
      </c>
      <c r="E4253" s="95">
        <f t="shared" si="571"/>
        <v>1148.0066000000002</v>
      </c>
      <c r="F4253" s="98"/>
      <c r="G4253" s="98">
        <v>0</v>
      </c>
      <c r="H4253" s="98">
        <v>0</v>
      </c>
      <c r="I4253" s="98">
        <v>0</v>
      </c>
      <c r="J4253" s="98"/>
      <c r="K4253" s="98">
        <v>76336.964899999977</v>
      </c>
      <c r="L4253" s="93">
        <f t="shared" si="565"/>
        <v>0</v>
      </c>
      <c r="M4253" s="95">
        <f t="shared" ca="1" si="566"/>
        <v>0</v>
      </c>
      <c r="N4253" s="95">
        <f ca="1">IF(P4253="Hedge Fund",IF(A4253=Summary!$AD$3,M4253-E4253,M4253),IF(A4253=Summary!$AD$3,L4253-D4253,L4253))</f>
        <v>0</v>
      </c>
      <c r="P4253" s="107" t="s">
        <v>139</v>
      </c>
      <c r="Q4253" s="107">
        <v>0</v>
      </c>
      <c r="R4253" s="107">
        <v>0</v>
      </c>
      <c r="S4253" s="107">
        <v>0</v>
      </c>
      <c r="T4253" s="107">
        <v>0</v>
      </c>
      <c r="U4253" s="107"/>
      <c r="V4253" s="107"/>
      <c r="W4253" s="107"/>
      <c r="X4253" s="107"/>
      <c r="Y4253" s="107"/>
      <c r="Z4253" s="107"/>
      <c r="AA4253" s="107"/>
      <c r="AB4253" s="107"/>
      <c r="AF4253" s="94">
        <f t="shared" si="567"/>
        <v>40116</v>
      </c>
      <c r="AG4253" s="185">
        <f t="shared" si="570"/>
        <v>3.5742072421274251E-3</v>
      </c>
      <c r="AH4253" s="339" t="str">
        <f>VLOOKUP(B4253,'MF PF'!A:B,2)</f>
        <v>FdMgt1</v>
      </c>
      <c r="AI4253" s="358">
        <f t="shared" si="568"/>
        <v>0</v>
      </c>
      <c r="AJ4253" s="94">
        <f t="shared" si="569"/>
        <v>40117</v>
      </c>
    </row>
    <row r="4254" spans="1:36" ht="12.75" customHeight="1">
      <c r="A4254" s="8">
        <v>40147</v>
      </c>
      <c r="B4254" s="94" t="s">
        <v>15</v>
      </c>
      <c r="C4254" s="6" t="s">
        <v>297</v>
      </c>
      <c r="D4254" s="98">
        <v>92205431.659999996</v>
      </c>
      <c r="E4254" s="95">
        <f t="shared" si="571"/>
        <v>1207.8739999999998</v>
      </c>
      <c r="F4254" s="98"/>
      <c r="G4254" s="98">
        <v>0</v>
      </c>
      <c r="H4254" s="98">
        <v>-3.4816225618124008</v>
      </c>
      <c r="I4254" s="98">
        <v>0</v>
      </c>
      <c r="J4254" s="98"/>
      <c r="K4254" s="98">
        <v>76336.96201756144</v>
      </c>
      <c r="L4254" s="93">
        <f t="shared" si="565"/>
        <v>-3.4816225618124008</v>
      </c>
      <c r="M4254" s="95">
        <f t="shared" ca="1" si="566"/>
        <v>0</v>
      </c>
      <c r="N4254" s="95">
        <f ca="1">IF(P4254="Hedge Fund",IF(A4254=Summary!$AD$3,M4254-E4254,M4254),IF(A4254=Summary!$AD$3,L4254-D4254,L4254))</f>
        <v>0</v>
      </c>
      <c r="P4254" s="107" t="s">
        <v>139</v>
      </c>
      <c r="Q4254" s="107">
        <v>0</v>
      </c>
      <c r="R4254" s="107">
        <v>0</v>
      </c>
      <c r="S4254" s="107">
        <v>0</v>
      </c>
      <c r="T4254" s="107">
        <v>0</v>
      </c>
      <c r="U4254" s="107"/>
      <c r="V4254" s="107"/>
      <c r="W4254" s="107"/>
      <c r="X4254" s="107"/>
      <c r="Y4254" s="107"/>
      <c r="Z4254" s="107"/>
      <c r="AA4254" s="107"/>
      <c r="AB4254" s="107"/>
      <c r="AF4254" s="94">
        <f t="shared" si="567"/>
        <v>40147</v>
      </c>
      <c r="AG4254" s="185">
        <f t="shared" si="570"/>
        <v>5.2149003324545085E-2</v>
      </c>
      <c r="AH4254" s="339" t="str">
        <f>VLOOKUP(B4254,'MF PF'!A:B,2)</f>
        <v>FdMgt1</v>
      </c>
      <c r="AI4254" s="358">
        <f t="shared" si="568"/>
        <v>0</v>
      </c>
      <c r="AJ4254" s="94">
        <f t="shared" si="569"/>
        <v>40147</v>
      </c>
    </row>
    <row r="4255" spans="1:36" ht="12.75" customHeight="1">
      <c r="A4255" s="8">
        <v>40178</v>
      </c>
      <c r="B4255" s="94" t="s">
        <v>15</v>
      </c>
      <c r="C4255" s="6" t="s">
        <v>297</v>
      </c>
      <c r="D4255" s="98">
        <v>91418042.249768555</v>
      </c>
      <c r="E4255" s="95">
        <f t="shared" si="571"/>
        <v>1197.5592999999999</v>
      </c>
      <c r="F4255" s="98"/>
      <c r="G4255" s="98">
        <v>3.4518910944461823</v>
      </c>
      <c r="H4255" s="98">
        <v>0</v>
      </c>
      <c r="I4255" s="98">
        <v>0</v>
      </c>
      <c r="J4255" s="98"/>
      <c r="K4255" s="98">
        <v>76336.964899999992</v>
      </c>
      <c r="L4255" s="93">
        <f t="shared" si="565"/>
        <v>3.4518910944461823</v>
      </c>
      <c r="M4255" s="95">
        <f t="shared" ca="1" si="566"/>
        <v>0</v>
      </c>
      <c r="N4255" s="95">
        <f ca="1">IF(P4255="Hedge Fund",IF(A4255=Summary!$AD$3,M4255-E4255,M4255),IF(A4255=Summary!$AD$3,L4255-D4255,L4255))</f>
        <v>0</v>
      </c>
      <c r="P4255" s="107" t="s">
        <v>139</v>
      </c>
      <c r="Q4255" s="107">
        <v>0</v>
      </c>
      <c r="R4255" s="107">
        <v>0</v>
      </c>
      <c r="S4255" s="107">
        <v>0</v>
      </c>
      <c r="T4255" s="107">
        <v>0</v>
      </c>
      <c r="U4255" s="107"/>
      <c r="V4255" s="107"/>
      <c r="W4255" s="107"/>
      <c r="X4255" s="107"/>
      <c r="Y4255" s="107"/>
      <c r="Z4255" s="107"/>
      <c r="AA4255" s="107"/>
      <c r="AB4255" s="107"/>
      <c r="AF4255" s="94">
        <f t="shared" si="567"/>
        <v>40178</v>
      </c>
      <c r="AG4255" s="185">
        <f t="shared" si="570"/>
        <v>-8.5395496550135785E-3</v>
      </c>
      <c r="AH4255" s="339" t="str">
        <f>VLOOKUP(B4255,'MF PF'!A:B,2)</f>
        <v>FdMgt1</v>
      </c>
      <c r="AI4255" s="358">
        <f t="shared" si="568"/>
        <v>0</v>
      </c>
      <c r="AJ4255" s="94">
        <f t="shared" si="569"/>
        <v>40178</v>
      </c>
    </row>
    <row r="4256" spans="1:36" ht="12.75" customHeight="1">
      <c r="A4256" s="8">
        <v>40207</v>
      </c>
      <c r="B4256" s="94" t="s">
        <v>15</v>
      </c>
      <c r="C4256" s="6" t="s">
        <v>297</v>
      </c>
      <c r="D4256" s="98">
        <v>93353398.053485274</v>
      </c>
      <c r="E4256" s="95">
        <f t="shared" si="571"/>
        <v>1222.9121000000002</v>
      </c>
      <c r="F4256" s="98"/>
      <c r="G4256" s="98">
        <v>0</v>
      </c>
      <c r="H4256" s="98">
        <v>-2.9802322387695313E-8</v>
      </c>
      <c r="I4256" s="98">
        <v>0</v>
      </c>
      <c r="J4256" s="98"/>
      <c r="K4256" s="98">
        <v>76336.964899999977</v>
      </c>
      <c r="L4256" s="93">
        <f t="shared" si="565"/>
        <v>-2.9802322387695313E-8</v>
      </c>
      <c r="M4256" s="95">
        <f t="shared" ca="1" si="566"/>
        <v>0</v>
      </c>
      <c r="N4256" s="95">
        <f ca="1">IF(P4256="Hedge Fund",IF(A4256=Summary!$AD$3,M4256-E4256,M4256),IF(A4256=Summary!$AD$3,L4256-D4256,L4256))</f>
        <v>0</v>
      </c>
      <c r="P4256" s="107" t="s">
        <v>139</v>
      </c>
      <c r="Q4256" s="107">
        <v>0</v>
      </c>
      <c r="R4256" s="107">
        <v>0</v>
      </c>
      <c r="S4256" s="107">
        <v>0</v>
      </c>
      <c r="T4256" s="107">
        <v>0</v>
      </c>
      <c r="U4256" s="107"/>
      <c r="V4256" s="107"/>
      <c r="W4256" s="107"/>
      <c r="X4256" s="107"/>
      <c r="Y4256" s="107"/>
      <c r="Z4256" s="107"/>
      <c r="AA4256" s="107"/>
      <c r="AB4256" s="107"/>
      <c r="AF4256" s="94">
        <f t="shared" si="567"/>
        <v>40207</v>
      </c>
      <c r="AG4256" s="185">
        <f t="shared" si="570"/>
        <v>2.1170392146760753E-2</v>
      </c>
      <c r="AH4256" s="339" t="str">
        <f>VLOOKUP(B4256,'MF PF'!A:B,2)</f>
        <v>FdMgt1</v>
      </c>
      <c r="AI4256" s="358">
        <f t="shared" si="568"/>
        <v>0</v>
      </c>
      <c r="AJ4256" s="94">
        <f t="shared" si="569"/>
        <v>40209</v>
      </c>
    </row>
    <row r="4257" spans="1:36" ht="12.75" customHeight="1">
      <c r="A4257" s="8">
        <v>40235</v>
      </c>
      <c r="B4257" s="94" t="s">
        <v>15</v>
      </c>
      <c r="C4257" s="6" t="s">
        <v>297</v>
      </c>
      <c r="D4257" s="98">
        <v>94186318.31120567</v>
      </c>
      <c r="E4257" s="95">
        <f t="shared" si="571"/>
        <v>1233.8232000000003</v>
      </c>
      <c r="F4257" s="98"/>
      <c r="G4257" s="98">
        <v>0</v>
      </c>
      <c r="H4257" s="98">
        <v>0</v>
      </c>
      <c r="I4257" s="98">
        <v>0</v>
      </c>
      <c r="J4257" s="98"/>
      <c r="K4257" s="98">
        <v>76336.964899999977</v>
      </c>
      <c r="L4257" s="93">
        <f t="shared" si="565"/>
        <v>0</v>
      </c>
      <c r="M4257" s="95">
        <f t="shared" ca="1" si="566"/>
        <v>0</v>
      </c>
      <c r="N4257" s="95">
        <f ca="1">IF(P4257="Hedge Fund",IF(A4257=Summary!$AD$3,M4257-E4257,M4257),IF(A4257=Summary!$AD$3,L4257-D4257,L4257))</f>
        <v>0</v>
      </c>
      <c r="P4257" s="107" t="s">
        <v>139</v>
      </c>
      <c r="Q4257" s="107">
        <v>0</v>
      </c>
      <c r="R4257" s="107">
        <v>0</v>
      </c>
      <c r="S4257" s="107">
        <v>0</v>
      </c>
      <c r="T4257" s="107">
        <v>0</v>
      </c>
      <c r="U4257" s="107"/>
      <c r="V4257" s="107"/>
      <c r="W4257" s="107"/>
      <c r="X4257" s="107"/>
      <c r="Y4257" s="107"/>
      <c r="Z4257" s="107"/>
      <c r="AA4257" s="107"/>
      <c r="AB4257" s="107"/>
      <c r="AF4257" s="94">
        <f t="shared" si="567"/>
        <v>40235</v>
      </c>
      <c r="AG4257" s="185">
        <f t="shared" si="570"/>
        <v>8.9222275255924632E-3</v>
      </c>
      <c r="AH4257" s="339" t="str">
        <f>VLOOKUP(B4257,'MF PF'!A:B,2)</f>
        <v>FdMgt1</v>
      </c>
      <c r="AI4257" s="358">
        <f t="shared" si="568"/>
        <v>0</v>
      </c>
      <c r="AJ4257" s="94">
        <f t="shared" si="569"/>
        <v>40237</v>
      </c>
    </row>
    <row r="4258" spans="1:36" ht="12.75" customHeight="1">
      <c r="A4258" s="8">
        <v>40268</v>
      </c>
      <c r="B4258" s="94" t="s">
        <v>15</v>
      </c>
      <c r="C4258" s="6" t="s">
        <v>297</v>
      </c>
      <c r="D4258" s="98">
        <v>99176603.113255486</v>
      </c>
      <c r="E4258" s="95">
        <f t="shared" si="571"/>
        <v>1299.1950000000002</v>
      </c>
      <c r="F4258" s="98"/>
      <c r="G4258" s="98">
        <v>0</v>
      </c>
      <c r="H4258" s="98">
        <v>0</v>
      </c>
      <c r="I4258" s="98">
        <v>0</v>
      </c>
      <c r="J4258" s="98"/>
      <c r="K4258" s="98">
        <v>76336.964899999977</v>
      </c>
      <c r="L4258" s="93">
        <f t="shared" si="565"/>
        <v>0</v>
      </c>
      <c r="M4258" s="95">
        <f t="shared" ca="1" si="566"/>
        <v>0</v>
      </c>
      <c r="N4258" s="95">
        <f ca="1">IF(P4258="Hedge Fund",IF(A4258=Summary!$AD$3,M4258-E4258,M4258),IF(A4258=Summary!$AD$3,L4258-D4258,L4258))</f>
        <v>0</v>
      </c>
      <c r="P4258" s="107" t="s">
        <v>139</v>
      </c>
      <c r="Q4258" s="107">
        <v>0</v>
      </c>
      <c r="R4258" s="107">
        <v>0</v>
      </c>
      <c r="S4258" s="107">
        <v>0</v>
      </c>
      <c r="T4258" s="107">
        <v>0</v>
      </c>
      <c r="U4258" s="107"/>
      <c r="V4258" s="107"/>
      <c r="W4258" s="107"/>
      <c r="X4258" s="107"/>
      <c r="Y4258" s="107"/>
      <c r="Z4258" s="107"/>
      <c r="AA4258" s="107"/>
      <c r="AB4258" s="107"/>
      <c r="AF4258" s="94">
        <f t="shared" si="567"/>
        <v>40268</v>
      </c>
      <c r="AG4258" s="185">
        <f t="shared" si="570"/>
        <v>5.2983117840546212E-2</v>
      </c>
      <c r="AH4258" s="339" t="str">
        <f>VLOOKUP(B4258,'MF PF'!A:B,2)</f>
        <v>FdMgt1</v>
      </c>
      <c r="AI4258" s="358">
        <f t="shared" si="568"/>
        <v>0</v>
      </c>
      <c r="AJ4258" s="94">
        <f t="shared" si="569"/>
        <v>40268</v>
      </c>
    </row>
    <row r="4259" spans="1:36" ht="12.75" customHeight="1">
      <c r="A4259" s="8">
        <v>40298</v>
      </c>
      <c r="B4259" s="94" t="s">
        <v>15</v>
      </c>
      <c r="C4259" s="6" t="s">
        <v>297</v>
      </c>
      <c r="D4259" s="98">
        <v>103222882.10626243</v>
      </c>
      <c r="E4259" s="95">
        <f t="shared" si="571"/>
        <v>1352.2005000000001</v>
      </c>
      <c r="F4259" s="98"/>
      <c r="G4259" s="98">
        <v>0</v>
      </c>
      <c r="H4259" s="98">
        <v>0</v>
      </c>
      <c r="I4259" s="98">
        <v>0</v>
      </c>
      <c r="J4259" s="98"/>
      <c r="K4259" s="98">
        <v>76336.964899999977</v>
      </c>
      <c r="L4259" s="93">
        <f t="shared" si="565"/>
        <v>0</v>
      </c>
      <c r="M4259" s="95">
        <f t="shared" ca="1" si="566"/>
        <v>0</v>
      </c>
      <c r="N4259" s="95">
        <f ca="1">IF(P4259="Hedge Fund",IF(A4259=Summary!$AD$3,M4259-E4259,M4259),IF(A4259=Summary!$AD$3,L4259-D4259,L4259))</f>
        <v>0</v>
      </c>
      <c r="P4259" s="107" t="s">
        <v>139</v>
      </c>
      <c r="Q4259" s="107">
        <v>0</v>
      </c>
      <c r="R4259" s="107">
        <v>0</v>
      </c>
      <c r="S4259" s="107">
        <v>0</v>
      </c>
      <c r="T4259" s="107">
        <v>0</v>
      </c>
      <c r="U4259" s="107"/>
      <c r="V4259" s="107"/>
      <c r="W4259" s="107"/>
      <c r="X4259" s="107"/>
      <c r="Y4259" s="107"/>
      <c r="Z4259" s="107"/>
      <c r="AA4259" s="107"/>
      <c r="AB4259" s="107"/>
      <c r="AF4259" s="94">
        <f t="shared" si="567"/>
        <v>40298</v>
      </c>
      <c r="AG4259" s="185">
        <f t="shared" si="570"/>
        <v>4.0798725364552535E-2</v>
      </c>
      <c r="AH4259" s="339" t="str">
        <f>VLOOKUP(B4259,'MF PF'!A:B,2)</f>
        <v>FdMgt1</v>
      </c>
      <c r="AI4259" s="358">
        <f t="shared" si="568"/>
        <v>0</v>
      </c>
      <c r="AJ4259" s="94">
        <f t="shared" si="569"/>
        <v>40298</v>
      </c>
    </row>
    <row r="4260" spans="1:36" ht="12.75" customHeight="1">
      <c r="A4260" s="8">
        <v>40329</v>
      </c>
      <c r="B4260" s="94" t="s">
        <v>15</v>
      </c>
      <c r="C4260" s="6" t="s">
        <v>297</v>
      </c>
      <c r="D4260" s="98">
        <v>100230076.12996496</v>
      </c>
      <c r="E4260" s="95">
        <f t="shared" si="571"/>
        <v>1312.9953000000003</v>
      </c>
      <c r="F4260" s="98"/>
      <c r="G4260" s="98">
        <v>0</v>
      </c>
      <c r="H4260" s="98">
        <v>0</v>
      </c>
      <c r="I4260" s="98">
        <v>0</v>
      </c>
      <c r="J4260" s="98"/>
      <c r="K4260" s="98">
        <v>76336.964899999977</v>
      </c>
      <c r="L4260" s="93">
        <f t="shared" si="565"/>
        <v>0</v>
      </c>
      <c r="M4260" s="95">
        <f t="shared" ca="1" si="566"/>
        <v>0</v>
      </c>
      <c r="N4260" s="95">
        <f ca="1">IF(P4260="Hedge Fund",IF(A4260=Summary!$AD$3,M4260-E4260,M4260),IF(A4260=Summary!$AD$3,L4260-D4260,L4260))</f>
        <v>0</v>
      </c>
      <c r="P4260" s="107" t="s">
        <v>139</v>
      </c>
      <c r="Q4260" s="107">
        <v>0</v>
      </c>
      <c r="R4260" s="107">
        <v>0</v>
      </c>
      <c r="S4260" s="107">
        <v>0</v>
      </c>
      <c r="T4260" s="107">
        <v>0</v>
      </c>
      <c r="U4260" s="107"/>
      <c r="V4260" s="107"/>
      <c r="W4260" s="107"/>
      <c r="X4260" s="107"/>
      <c r="Y4260" s="107"/>
      <c r="Z4260" s="107"/>
      <c r="AA4260" s="107"/>
      <c r="AB4260" s="107"/>
      <c r="AF4260" s="94">
        <f t="shared" si="567"/>
        <v>40329</v>
      </c>
      <c r="AG4260" s="185">
        <f t="shared" si="570"/>
        <v>-2.8993629273173505E-2</v>
      </c>
      <c r="AH4260" s="339" t="str">
        <f>VLOOKUP(B4260,'MF PF'!A:B,2)</f>
        <v>FdMgt1</v>
      </c>
      <c r="AI4260" s="358">
        <f t="shared" si="568"/>
        <v>0</v>
      </c>
      <c r="AJ4260" s="94">
        <f t="shared" si="569"/>
        <v>40329</v>
      </c>
    </row>
    <row r="4261" spans="1:36" ht="12.75" customHeight="1">
      <c r="A4261" s="8">
        <v>40359</v>
      </c>
      <c r="B4261" s="94" t="s">
        <v>15</v>
      </c>
      <c r="C4261" s="6" t="s">
        <v>297</v>
      </c>
      <c r="D4261" s="98">
        <v>107482446.57919998</v>
      </c>
      <c r="E4261" s="95">
        <f t="shared" si="571"/>
        <v>1408.0000000000002</v>
      </c>
      <c r="F4261" s="98"/>
      <c r="G4261" s="98">
        <v>0</v>
      </c>
      <c r="H4261" s="98">
        <v>0</v>
      </c>
      <c r="I4261" s="98">
        <v>0</v>
      </c>
      <c r="J4261" s="98"/>
      <c r="K4261" s="98">
        <v>76336.964899999977</v>
      </c>
      <c r="L4261" s="93">
        <f t="shared" si="565"/>
        <v>0</v>
      </c>
      <c r="M4261" s="95">
        <f t="shared" ca="1" si="566"/>
        <v>0</v>
      </c>
      <c r="N4261" s="95">
        <f ca="1">IF(P4261="Hedge Fund",IF(A4261=Summary!$AD$3,M4261-E4261,M4261),IF(A4261=Summary!$AD$3,L4261-D4261,L4261))</f>
        <v>0</v>
      </c>
      <c r="P4261" s="107" t="s">
        <v>139</v>
      </c>
      <c r="Q4261" s="107">
        <v>0</v>
      </c>
      <c r="R4261" s="107">
        <v>0</v>
      </c>
      <c r="S4261" s="107">
        <v>0</v>
      </c>
      <c r="T4261" s="107">
        <v>0</v>
      </c>
      <c r="U4261" s="107"/>
      <c r="V4261" s="107"/>
      <c r="W4261" s="107"/>
      <c r="X4261" s="107"/>
      <c r="Y4261" s="107"/>
      <c r="Z4261" s="107"/>
      <c r="AA4261" s="107"/>
      <c r="AB4261" s="107"/>
      <c r="AF4261" s="94">
        <f t="shared" si="567"/>
        <v>40359</v>
      </c>
      <c r="AG4261" s="185">
        <f t="shared" si="570"/>
        <v>7.2357227782917422E-2</v>
      </c>
      <c r="AH4261" s="339" t="str">
        <f>VLOOKUP(B4261,'MF PF'!A:B,2)</f>
        <v>FdMgt1</v>
      </c>
      <c r="AI4261" s="358">
        <f t="shared" si="568"/>
        <v>0</v>
      </c>
      <c r="AJ4261" s="94">
        <f t="shared" si="569"/>
        <v>40359</v>
      </c>
    </row>
    <row r="4262" spans="1:36" ht="12.75" customHeight="1">
      <c r="A4262" s="8">
        <v>40389</v>
      </c>
      <c r="B4262" s="94" t="s">
        <v>15</v>
      </c>
      <c r="C4262" s="6" t="s">
        <v>297</v>
      </c>
      <c r="D4262" s="98">
        <v>113564342.34562333</v>
      </c>
      <c r="E4262" s="95">
        <f t="shared" si="571"/>
        <v>1485.1492273943418</v>
      </c>
      <c r="F4262" s="98"/>
      <c r="G4262" s="98">
        <v>192557.90275937319</v>
      </c>
      <c r="H4262" s="98">
        <v>0</v>
      </c>
      <c r="I4262" s="98">
        <v>0</v>
      </c>
      <c r="J4262" s="98"/>
      <c r="K4262" s="98">
        <v>76466.620492318616</v>
      </c>
      <c r="L4262" s="93">
        <f t="shared" si="565"/>
        <v>192557.90275937319</v>
      </c>
      <c r="M4262" s="95">
        <f t="shared" ca="1" si="566"/>
        <v>0</v>
      </c>
      <c r="N4262" s="95">
        <f ca="1">IF(P4262="Hedge Fund",IF(A4262=Summary!$AD$3,M4262-E4262,M4262),IF(A4262=Summary!$AD$3,L4262-D4262,L4262))</f>
        <v>0</v>
      </c>
      <c r="P4262" s="107" t="s">
        <v>139</v>
      </c>
      <c r="Q4262" s="107">
        <v>0</v>
      </c>
      <c r="R4262" s="107">
        <v>0</v>
      </c>
      <c r="S4262" s="107">
        <v>0</v>
      </c>
      <c r="T4262" s="107">
        <v>0</v>
      </c>
      <c r="U4262" s="107"/>
      <c r="V4262" s="107"/>
      <c r="W4262" s="107"/>
      <c r="X4262" s="107"/>
      <c r="Y4262" s="107"/>
      <c r="Z4262" s="107"/>
      <c r="AA4262" s="107"/>
      <c r="AB4262" s="107"/>
      <c r="AF4262" s="94">
        <f t="shared" si="567"/>
        <v>40389</v>
      </c>
      <c r="AG4262" s="185">
        <f t="shared" si="570"/>
        <v>5.4793485365299377E-2</v>
      </c>
      <c r="AH4262" s="339" t="str">
        <f>VLOOKUP(B4262,'MF PF'!A:B,2)</f>
        <v>FdMgt1</v>
      </c>
      <c r="AI4262" s="358">
        <f t="shared" si="568"/>
        <v>0</v>
      </c>
      <c r="AJ4262" s="94">
        <f t="shared" si="569"/>
        <v>40390</v>
      </c>
    </row>
    <row r="4263" spans="1:36" ht="12.75" customHeight="1">
      <c r="A4263" s="8">
        <v>40421</v>
      </c>
      <c r="B4263" s="94" t="s">
        <v>15</v>
      </c>
      <c r="C4263" s="6" t="s">
        <v>297</v>
      </c>
      <c r="D4263" s="98">
        <v>113727634.7472409</v>
      </c>
      <c r="E4263" s="95">
        <f t="shared" si="571"/>
        <v>1489.8108000000002</v>
      </c>
      <c r="F4263" s="98"/>
      <c r="G4263" s="98">
        <v>0</v>
      </c>
      <c r="H4263" s="98">
        <v>-193162.3017167002</v>
      </c>
      <c r="I4263" s="98">
        <v>0</v>
      </c>
      <c r="J4263" s="98"/>
      <c r="K4263" s="98">
        <v>76336.964899999977</v>
      </c>
      <c r="L4263" s="93">
        <f t="shared" si="565"/>
        <v>-193162.3017167002</v>
      </c>
      <c r="M4263" s="95">
        <f t="shared" ca="1" si="566"/>
        <v>0</v>
      </c>
      <c r="N4263" s="95">
        <f ca="1">IF(P4263="Hedge Fund",IF(A4263=Summary!$AD$3,M4263-E4263,M4263),IF(A4263=Summary!$AD$3,L4263-D4263,L4263))</f>
        <v>0</v>
      </c>
      <c r="P4263" s="107" t="s">
        <v>139</v>
      </c>
      <c r="Q4263" s="107">
        <v>0</v>
      </c>
      <c r="R4263" s="107">
        <v>0</v>
      </c>
      <c r="S4263" s="107">
        <v>0</v>
      </c>
      <c r="T4263" s="107">
        <v>0</v>
      </c>
      <c r="U4263" s="107"/>
      <c r="V4263" s="107"/>
      <c r="W4263" s="107"/>
      <c r="X4263" s="107"/>
      <c r="Y4263" s="107"/>
      <c r="Z4263" s="107"/>
      <c r="AA4263" s="107"/>
      <c r="AB4263" s="107"/>
      <c r="AF4263" s="94">
        <f t="shared" si="567"/>
        <v>40421</v>
      </c>
      <c r="AG4263" s="185">
        <f t="shared" si="570"/>
        <v>3.1387907152178318E-3</v>
      </c>
      <c r="AH4263" s="339" t="str">
        <f>VLOOKUP(B4263,'MF PF'!A:B,2)</f>
        <v>FdMgt1</v>
      </c>
      <c r="AI4263" s="358">
        <f t="shared" si="568"/>
        <v>0</v>
      </c>
      <c r="AJ4263" s="94">
        <f t="shared" si="569"/>
        <v>40421</v>
      </c>
    </row>
    <row r="4264" spans="1:36" ht="12.75" customHeight="1">
      <c r="A4264" s="8">
        <v>40451</v>
      </c>
      <c r="B4264" s="94" t="s">
        <v>15</v>
      </c>
      <c r="C4264" s="6" t="s">
        <v>297</v>
      </c>
      <c r="D4264" s="98">
        <v>117979725.83131476</v>
      </c>
      <c r="E4264" s="95">
        <f t="shared" si="571"/>
        <v>1545.5124000000001</v>
      </c>
      <c r="F4264" s="98"/>
      <c r="G4264" s="98">
        <v>2.9802322387695313E-8</v>
      </c>
      <c r="H4264" s="98">
        <v>0</v>
      </c>
      <c r="I4264" s="98">
        <v>0</v>
      </c>
      <c r="J4264" s="98"/>
      <c r="K4264" s="98">
        <v>76336.964899999992</v>
      </c>
      <c r="L4264" s="93">
        <f t="shared" si="565"/>
        <v>2.9802322387695313E-8</v>
      </c>
      <c r="M4264" s="95">
        <f t="shared" ca="1" si="566"/>
        <v>0</v>
      </c>
      <c r="N4264" s="95">
        <f ca="1">IF(P4264="Hedge Fund",IF(A4264=Summary!$AD$3,M4264-E4264,M4264),IF(A4264=Summary!$AD$3,L4264-D4264,L4264))</f>
        <v>0</v>
      </c>
      <c r="P4264" s="107" t="s">
        <v>139</v>
      </c>
      <c r="Q4264" s="107">
        <v>0</v>
      </c>
      <c r="R4264" s="107">
        <v>0</v>
      </c>
      <c r="S4264" s="107">
        <v>0</v>
      </c>
      <c r="T4264" s="107">
        <v>0</v>
      </c>
      <c r="U4264" s="107"/>
      <c r="V4264" s="107"/>
      <c r="W4264" s="107"/>
      <c r="X4264" s="107"/>
      <c r="Y4264" s="107"/>
      <c r="Z4264" s="107"/>
      <c r="AA4264" s="107"/>
      <c r="AB4264" s="107"/>
      <c r="AF4264" s="94">
        <f t="shared" si="567"/>
        <v>40451</v>
      </c>
      <c r="AG4264" s="185">
        <f t="shared" si="570"/>
        <v>3.7388371731497561E-2</v>
      </c>
      <c r="AH4264" s="339" t="str">
        <f>VLOOKUP(B4264,'MF PF'!A:B,2)</f>
        <v>FdMgt1</v>
      </c>
      <c r="AI4264" s="358">
        <f t="shared" si="568"/>
        <v>0</v>
      </c>
      <c r="AJ4264" s="94">
        <f t="shared" si="569"/>
        <v>40451</v>
      </c>
    </row>
    <row r="4265" spans="1:36" ht="12.75" customHeight="1">
      <c r="A4265" s="8">
        <v>40480</v>
      </c>
      <c r="B4265" s="94" t="s">
        <v>15</v>
      </c>
      <c r="C4265" s="6" t="s">
        <v>297</v>
      </c>
      <c r="D4265" s="98">
        <v>124157589.73</v>
      </c>
      <c r="E4265" s="95">
        <f t="shared" si="571"/>
        <v>1626.4413</v>
      </c>
      <c r="F4265" s="98"/>
      <c r="G4265" s="98">
        <v>0</v>
      </c>
      <c r="H4265" s="98">
        <v>-2.7000103443861008</v>
      </c>
      <c r="I4265" s="98">
        <v>0</v>
      </c>
      <c r="J4265" s="98"/>
      <c r="K4265" s="98">
        <v>76336.963239927572</v>
      </c>
      <c r="L4265" s="93">
        <f t="shared" si="565"/>
        <v>-2.7000103443861008</v>
      </c>
      <c r="M4265" s="95">
        <f t="shared" ca="1" si="566"/>
        <v>0</v>
      </c>
      <c r="N4265" s="95">
        <f ca="1">IF(P4265="Hedge Fund",IF(A4265=Summary!$AD$3,M4265-E4265,M4265),IF(A4265=Summary!$AD$3,L4265-D4265,L4265))</f>
        <v>0</v>
      </c>
      <c r="P4265" s="107" t="s">
        <v>139</v>
      </c>
      <c r="Q4265" s="107">
        <v>0</v>
      </c>
      <c r="R4265" s="107">
        <v>0</v>
      </c>
      <c r="S4265" s="107">
        <v>0</v>
      </c>
      <c r="T4265" s="107">
        <v>0</v>
      </c>
      <c r="U4265" s="107"/>
      <c r="V4265" s="107"/>
      <c r="W4265" s="107"/>
      <c r="X4265" s="107"/>
      <c r="Y4265" s="107"/>
      <c r="Z4265" s="107"/>
      <c r="AA4265" s="107"/>
      <c r="AB4265" s="107"/>
      <c r="AF4265" s="94">
        <f t="shared" si="567"/>
        <v>40480</v>
      </c>
      <c r="AG4265" s="185">
        <f t="shared" ref="AG4265:AG4296" si="572">IF(C4265&lt;&gt;C4264,D4265/G4265-1,(D4265-G4265-I4265-H4265)/(D4264)-1)</f>
        <v>5.2363798569328601E-2</v>
      </c>
      <c r="AH4265" s="339" t="str">
        <f>VLOOKUP(B4265,'MF PF'!A:B,2)</f>
        <v>FdMgt1</v>
      </c>
      <c r="AI4265" s="358">
        <f t="shared" si="568"/>
        <v>0</v>
      </c>
      <c r="AJ4265" s="94">
        <f t="shared" si="569"/>
        <v>40482</v>
      </c>
    </row>
    <row r="4266" spans="1:36" ht="12.75" customHeight="1">
      <c r="A4266" s="8">
        <v>40512</v>
      </c>
      <c r="B4266" s="94" t="s">
        <v>15</v>
      </c>
      <c r="C4266" s="6" t="s">
        <v>297</v>
      </c>
      <c r="D4266" s="98">
        <v>127900569.39407663</v>
      </c>
      <c r="E4266" s="95">
        <f t="shared" si="571"/>
        <v>1675.4736000000005</v>
      </c>
      <c r="F4266" s="98"/>
      <c r="G4266" s="98">
        <v>2.7814074754714966</v>
      </c>
      <c r="H4266" s="98">
        <v>0</v>
      </c>
      <c r="I4266" s="98">
        <v>0</v>
      </c>
      <c r="J4266" s="98"/>
      <c r="K4266" s="98">
        <v>76336.964899999977</v>
      </c>
      <c r="L4266" s="93">
        <f t="shared" si="565"/>
        <v>2.7814074754714966</v>
      </c>
      <c r="M4266" s="95">
        <f t="shared" ca="1" si="566"/>
        <v>0</v>
      </c>
      <c r="N4266" s="95">
        <f ca="1">IF(P4266="Hedge Fund",IF(A4266=Summary!$AD$3,M4266-E4266,M4266),IF(A4266=Summary!$AD$3,L4266-D4266,L4266))</f>
        <v>0</v>
      </c>
      <c r="P4266" s="107" t="s">
        <v>139</v>
      </c>
      <c r="Q4266" s="107">
        <v>0</v>
      </c>
      <c r="R4266" s="107">
        <v>0</v>
      </c>
      <c r="S4266" s="107">
        <v>0</v>
      </c>
      <c r="T4266" s="107">
        <v>0</v>
      </c>
      <c r="U4266" s="107"/>
      <c r="V4266" s="107"/>
      <c r="W4266" s="107"/>
      <c r="X4266" s="107"/>
      <c r="Y4266" s="107"/>
      <c r="Z4266" s="107"/>
      <c r="AA4266" s="107"/>
      <c r="AB4266" s="107"/>
      <c r="AF4266" s="94">
        <f t="shared" si="567"/>
        <v>40512</v>
      </c>
      <c r="AG4266" s="185">
        <f t="shared" si="572"/>
        <v>3.0146984093431861E-2</v>
      </c>
      <c r="AH4266" s="339" t="str">
        <f>VLOOKUP(B4266,'MF PF'!A:B,2)</f>
        <v>FdMgt1</v>
      </c>
      <c r="AI4266" s="358">
        <f t="shared" si="568"/>
        <v>0</v>
      </c>
      <c r="AJ4266" s="94">
        <f t="shared" si="569"/>
        <v>40512</v>
      </c>
    </row>
    <row r="4267" spans="1:36" ht="12.75" customHeight="1">
      <c r="A4267" s="8">
        <v>40543</v>
      </c>
      <c r="B4267" s="94" t="s">
        <v>15</v>
      </c>
      <c r="C4267" s="6" t="s">
        <v>297</v>
      </c>
      <c r="D4267" s="98">
        <v>130481056.52185972</v>
      </c>
      <c r="E4267" s="95">
        <f t="shared" si="571"/>
        <v>1709.2775000000001</v>
      </c>
      <c r="F4267" s="98"/>
      <c r="G4267" s="98">
        <v>0</v>
      </c>
      <c r="H4267" s="98">
        <v>0</v>
      </c>
      <c r="I4267" s="98">
        <v>0</v>
      </c>
      <c r="J4267" s="98"/>
      <c r="K4267" s="98">
        <v>76336.964899999977</v>
      </c>
      <c r="L4267" s="93">
        <f t="shared" si="565"/>
        <v>0</v>
      </c>
      <c r="M4267" s="95">
        <f t="shared" ca="1" si="566"/>
        <v>0</v>
      </c>
      <c r="N4267" s="95">
        <f ca="1">IF(P4267="Hedge Fund",IF(A4267=Summary!$AD$3,M4267-E4267,M4267),IF(A4267=Summary!$AD$3,L4267-D4267,L4267))</f>
        <v>0</v>
      </c>
      <c r="P4267" s="107" t="s">
        <v>139</v>
      </c>
      <c r="Q4267" s="107">
        <v>0</v>
      </c>
      <c r="R4267" s="107">
        <v>0</v>
      </c>
      <c r="S4267" s="107">
        <v>0</v>
      </c>
      <c r="T4267" s="107">
        <v>0</v>
      </c>
      <c r="U4267" s="107"/>
      <c r="V4267" s="107"/>
      <c r="W4267" s="107"/>
      <c r="X4267" s="107"/>
      <c r="Y4267" s="107"/>
      <c r="Z4267" s="107"/>
      <c r="AA4267" s="107"/>
      <c r="AB4267" s="107"/>
      <c r="AF4267" s="94">
        <f t="shared" si="567"/>
        <v>40543</v>
      </c>
      <c r="AG4267" s="185">
        <f t="shared" si="572"/>
        <v>2.0175728223948086E-2</v>
      </c>
      <c r="AH4267" s="339" t="str">
        <f>VLOOKUP(B4267,'MF PF'!A:B,2)</f>
        <v>FdMgt1</v>
      </c>
      <c r="AI4267" s="358">
        <f t="shared" si="568"/>
        <v>0</v>
      </c>
      <c r="AJ4267" s="94">
        <f t="shared" si="569"/>
        <v>40543</v>
      </c>
    </row>
    <row r="4268" spans="1:36" ht="12.75" customHeight="1">
      <c r="A4268" s="8">
        <v>40574</v>
      </c>
      <c r="B4268" s="94" t="s">
        <v>15</v>
      </c>
      <c r="C4268" s="6" t="s">
        <v>297</v>
      </c>
      <c r="D4268" s="98">
        <v>132479426.32791139</v>
      </c>
      <c r="E4268" s="95">
        <f t="shared" si="571"/>
        <v>1735.0281999999997</v>
      </c>
      <c r="F4268" s="98"/>
      <c r="G4268" s="98">
        <v>32639.524001270533</v>
      </c>
      <c r="H4268" s="98">
        <v>0</v>
      </c>
      <c r="I4268" s="98">
        <v>0</v>
      </c>
      <c r="J4268" s="98"/>
      <c r="K4268" s="98">
        <v>76355.777000000002</v>
      </c>
      <c r="L4268" s="93">
        <f t="shared" si="565"/>
        <v>32639.524001270533</v>
      </c>
      <c r="M4268" s="95">
        <f t="shared" ca="1" si="566"/>
        <v>0</v>
      </c>
      <c r="N4268" s="95">
        <f ca="1">IF(P4268="Hedge Fund",IF(A4268=Summary!$AD$3,M4268-E4268,M4268),IF(A4268=Summary!$AD$3,L4268-D4268,L4268))</f>
        <v>0</v>
      </c>
      <c r="P4268" s="107" t="s">
        <v>139</v>
      </c>
      <c r="Q4268" s="107">
        <v>0</v>
      </c>
      <c r="R4268" s="107">
        <v>0</v>
      </c>
      <c r="S4268" s="107">
        <v>0</v>
      </c>
      <c r="T4268" s="107">
        <v>0</v>
      </c>
      <c r="U4268" s="107"/>
      <c r="V4268" s="107"/>
      <c r="W4268" s="107"/>
      <c r="X4268" s="107"/>
      <c r="Y4268" s="107"/>
      <c r="Z4268" s="107"/>
      <c r="AA4268" s="107"/>
      <c r="AB4268" s="107"/>
      <c r="AF4268" s="94">
        <f t="shared" si="567"/>
        <v>40574</v>
      </c>
      <c r="AG4268" s="185">
        <f t="shared" si="572"/>
        <v>1.5065254179031484E-2</v>
      </c>
      <c r="AH4268" s="339" t="str">
        <f>VLOOKUP(B4268,'MF PF'!A:B,2)</f>
        <v>FdMgt1</v>
      </c>
      <c r="AI4268" s="358">
        <f t="shared" si="568"/>
        <v>0</v>
      </c>
      <c r="AJ4268" s="94">
        <f t="shared" si="569"/>
        <v>40574</v>
      </c>
    </row>
    <row r="4269" spans="1:36" ht="12.75" customHeight="1">
      <c r="A4269" s="8">
        <v>40602</v>
      </c>
      <c r="B4269" s="94" t="s">
        <v>15</v>
      </c>
      <c r="C4269" s="6" t="s">
        <v>297</v>
      </c>
      <c r="D4269" s="98">
        <v>132481465.02715729</v>
      </c>
      <c r="E4269" s="95">
        <f t="shared" si="571"/>
        <v>1735.0548999999999</v>
      </c>
      <c r="F4269" s="98"/>
      <c r="G4269" s="98">
        <v>0</v>
      </c>
      <c r="H4269" s="98">
        <v>0</v>
      </c>
      <c r="I4269" s="98">
        <v>0</v>
      </c>
      <c r="J4269" s="98"/>
      <c r="K4269" s="98">
        <v>76355.777000000002</v>
      </c>
      <c r="L4269" s="93">
        <f t="shared" si="565"/>
        <v>0</v>
      </c>
      <c r="M4269" s="95">
        <f t="shared" ca="1" si="566"/>
        <v>0</v>
      </c>
      <c r="N4269" s="95">
        <f ca="1">IF(P4269="Hedge Fund",IF(A4269=Summary!$AD$3,M4269-E4269,M4269),IF(A4269=Summary!$AD$3,L4269-D4269,L4269))</f>
        <v>0</v>
      </c>
      <c r="P4269" s="107" t="s">
        <v>139</v>
      </c>
      <c r="Q4269" s="107">
        <v>0</v>
      </c>
      <c r="R4269" s="107">
        <v>0</v>
      </c>
      <c r="S4269" s="107">
        <v>0</v>
      </c>
      <c r="T4269" s="107">
        <v>0</v>
      </c>
      <c r="U4269" s="107"/>
      <c r="V4269" s="107"/>
      <c r="W4269" s="107"/>
      <c r="X4269" s="107"/>
      <c r="Y4269" s="107"/>
      <c r="Z4269" s="107"/>
      <c r="AA4269" s="107"/>
      <c r="AB4269" s="107"/>
      <c r="AF4269" s="94">
        <f t="shared" si="567"/>
        <v>40602</v>
      </c>
      <c r="AG4269" s="185">
        <f t="shared" si="572"/>
        <v>1.5388798867865816E-5</v>
      </c>
      <c r="AH4269" s="339" t="str">
        <f>VLOOKUP(B4269,'MF PF'!A:B,2)</f>
        <v>FdMgt1</v>
      </c>
      <c r="AI4269" s="358">
        <f t="shared" si="568"/>
        <v>0</v>
      </c>
      <c r="AJ4269" s="94">
        <f t="shared" si="569"/>
        <v>40602</v>
      </c>
    </row>
    <row r="4270" spans="1:36" ht="12.75" customHeight="1">
      <c r="A4270" s="8">
        <v>40633</v>
      </c>
      <c r="B4270" s="94" t="s">
        <v>15</v>
      </c>
      <c r="C4270" s="6" t="s">
        <v>297</v>
      </c>
      <c r="D4270" s="98">
        <v>136692982.4412578</v>
      </c>
      <c r="E4270" s="95">
        <f t="shared" si="571"/>
        <v>1790.2113999999997</v>
      </c>
      <c r="F4270" s="98"/>
      <c r="G4270" s="98">
        <v>2.9802322387695313E-8</v>
      </c>
      <c r="H4270" s="98">
        <v>0</v>
      </c>
      <c r="I4270" s="98">
        <v>0</v>
      </c>
      <c r="J4270" s="98"/>
      <c r="K4270" s="98">
        <v>76355.777000000016</v>
      </c>
      <c r="L4270" s="93">
        <f t="shared" si="565"/>
        <v>2.9802322387695313E-8</v>
      </c>
      <c r="M4270" s="95">
        <f t="shared" ca="1" si="566"/>
        <v>0</v>
      </c>
      <c r="N4270" s="95">
        <f ca="1">IF(P4270="Hedge Fund",IF(A4270=Summary!$AD$3,M4270-E4270,M4270),IF(A4270=Summary!$AD$3,L4270-D4270,L4270))</f>
        <v>0</v>
      </c>
      <c r="P4270" s="107" t="s">
        <v>139</v>
      </c>
      <c r="Q4270" s="107">
        <v>0</v>
      </c>
      <c r="R4270" s="107">
        <v>0</v>
      </c>
      <c r="S4270" s="107">
        <v>0</v>
      </c>
      <c r="T4270" s="107">
        <v>0</v>
      </c>
      <c r="U4270" s="107"/>
      <c r="V4270" s="107"/>
      <c r="W4270" s="107"/>
      <c r="X4270" s="107"/>
      <c r="Y4270" s="107"/>
      <c r="Z4270" s="107"/>
      <c r="AA4270" s="107"/>
      <c r="AB4270" s="107"/>
      <c r="AF4270" s="94">
        <f t="shared" si="567"/>
        <v>40633</v>
      </c>
      <c r="AG4270" s="185">
        <f t="shared" si="572"/>
        <v>3.1789484009987046E-2</v>
      </c>
      <c r="AH4270" s="339" t="str">
        <f>VLOOKUP(B4270,'MF PF'!A:B,2)</f>
        <v>FdMgt1</v>
      </c>
      <c r="AI4270" s="358">
        <f t="shared" si="568"/>
        <v>0</v>
      </c>
      <c r="AJ4270" s="94">
        <f t="shared" si="569"/>
        <v>40633</v>
      </c>
    </row>
    <row r="4271" spans="1:36" ht="12.75" customHeight="1">
      <c r="A4271" s="8">
        <v>40662</v>
      </c>
      <c r="B4271" s="94" t="s">
        <v>15</v>
      </c>
      <c r="C4271" s="6" t="s">
        <v>297</v>
      </c>
      <c r="D4271" s="98">
        <v>139412439.252579</v>
      </c>
      <c r="E4271" s="95">
        <f t="shared" si="571"/>
        <v>1825.827</v>
      </c>
      <c r="F4271" s="98"/>
      <c r="G4271" s="98">
        <v>0</v>
      </c>
      <c r="H4271" s="98">
        <v>-2.9802322387695313E-8</v>
      </c>
      <c r="I4271" s="98">
        <v>0</v>
      </c>
      <c r="J4271" s="98"/>
      <c r="K4271" s="98">
        <v>76355.777000000002</v>
      </c>
      <c r="L4271" s="93">
        <f t="shared" si="565"/>
        <v>-2.9802322387695313E-8</v>
      </c>
      <c r="M4271" s="95">
        <f t="shared" ca="1" si="566"/>
        <v>0</v>
      </c>
      <c r="N4271" s="95">
        <f ca="1">IF(P4271="Hedge Fund",IF(A4271=Summary!$AD$3,M4271-E4271,M4271),IF(A4271=Summary!$AD$3,L4271-D4271,L4271))</f>
        <v>0</v>
      </c>
      <c r="P4271" s="107" t="s">
        <v>139</v>
      </c>
      <c r="Q4271" s="107">
        <v>0</v>
      </c>
      <c r="R4271" s="107">
        <v>0</v>
      </c>
      <c r="S4271" s="107">
        <v>0</v>
      </c>
      <c r="T4271" s="107">
        <v>0</v>
      </c>
      <c r="U4271" s="107"/>
      <c r="V4271" s="107"/>
      <c r="W4271" s="107"/>
      <c r="X4271" s="107"/>
      <c r="Y4271" s="107"/>
      <c r="Z4271" s="107"/>
      <c r="AA4271" s="107"/>
      <c r="AB4271" s="107"/>
      <c r="AF4271" s="94">
        <f t="shared" si="567"/>
        <v>40662</v>
      </c>
      <c r="AG4271" s="185">
        <f t="shared" si="572"/>
        <v>1.9894633672872697E-2</v>
      </c>
      <c r="AH4271" s="339" t="str">
        <f>VLOOKUP(B4271,'MF PF'!A:B,2)</f>
        <v>FdMgt1</v>
      </c>
      <c r="AI4271" s="358">
        <f t="shared" si="568"/>
        <v>0</v>
      </c>
      <c r="AJ4271" s="94">
        <f t="shared" si="569"/>
        <v>40663</v>
      </c>
    </row>
    <row r="4272" spans="1:36" ht="12.75" customHeight="1">
      <c r="A4272" s="8">
        <v>40694</v>
      </c>
      <c r="B4272" s="94" t="s">
        <v>15</v>
      </c>
      <c r="C4272" s="6" t="s">
        <v>297</v>
      </c>
      <c r="D4272" s="98">
        <v>140520071.424896</v>
      </c>
      <c r="E4272" s="95">
        <f t="shared" ref="E4272:E4303" si="573">IF(K4272="","",D4272/K4272)</f>
        <v>1840.3332</v>
      </c>
      <c r="F4272" s="98"/>
      <c r="G4272" s="98">
        <v>0</v>
      </c>
      <c r="H4272" s="98">
        <v>-4.1723251342773438E-7</v>
      </c>
      <c r="I4272" s="98">
        <v>0</v>
      </c>
      <c r="J4272" s="98"/>
      <c r="K4272" s="98">
        <v>76355.776999999784</v>
      </c>
      <c r="L4272" s="93">
        <f t="shared" si="565"/>
        <v>-4.1723251342773438E-7</v>
      </c>
      <c r="M4272" s="95">
        <f t="shared" ca="1" si="566"/>
        <v>0</v>
      </c>
      <c r="N4272" s="95">
        <f ca="1">IF(P4272="Hedge Fund",IF(A4272=Summary!$AD$3,M4272-E4272,M4272),IF(A4272=Summary!$AD$3,L4272-D4272,L4272))</f>
        <v>0</v>
      </c>
      <c r="P4272" s="107" t="s">
        <v>139</v>
      </c>
      <c r="Q4272" s="107">
        <v>0</v>
      </c>
      <c r="R4272" s="107">
        <v>0</v>
      </c>
      <c r="S4272" s="107">
        <v>0</v>
      </c>
      <c r="T4272" s="107">
        <v>0</v>
      </c>
      <c r="U4272" s="107"/>
      <c r="V4272" s="107"/>
      <c r="W4272" s="107"/>
      <c r="X4272" s="107"/>
      <c r="Y4272" s="107"/>
      <c r="Z4272" s="107"/>
      <c r="AA4272" s="107"/>
      <c r="AB4272" s="107"/>
      <c r="AF4272" s="94">
        <f t="shared" si="567"/>
        <v>40694</v>
      </c>
      <c r="AG4272" s="185">
        <f t="shared" si="572"/>
        <v>7.9450024564211574E-3</v>
      </c>
      <c r="AH4272" s="339" t="str">
        <f>VLOOKUP(B4272,'MF PF'!A:B,2)</f>
        <v>FdMgt1</v>
      </c>
      <c r="AI4272" s="358">
        <f t="shared" si="568"/>
        <v>0</v>
      </c>
      <c r="AJ4272" s="94">
        <f t="shared" si="569"/>
        <v>40694</v>
      </c>
    </row>
    <row r="4273" spans="1:36" ht="12.75" customHeight="1">
      <c r="A4273" s="8">
        <v>40724</v>
      </c>
      <c r="B4273" s="94" t="s">
        <v>15</v>
      </c>
      <c r="C4273" s="6" t="s">
        <v>297</v>
      </c>
      <c r="D4273" s="98">
        <v>140794211.57105953</v>
      </c>
      <c r="E4273" s="95">
        <f t="shared" si="573"/>
        <v>1843.9234999999999</v>
      </c>
      <c r="F4273" s="98"/>
      <c r="G4273" s="98">
        <v>4.4703483581542969E-7</v>
      </c>
      <c r="H4273" s="98">
        <v>0</v>
      </c>
      <c r="I4273" s="98">
        <v>0</v>
      </c>
      <c r="J4273" s="98"/>
      <c r="K4273" s="98">
        <v>76355.777000000016</v>
      </c>
      <c r="L4273" s="93">
        <f t="shared" si="565"/>
        <v>4.4703483581542969E-7</v>
      </c>
      <c r="M4273" s="95">
        <f t="shared" ca="1" si="566"/>
        <v>0</v>
      </c>
      <c r="N4273" s="95">
        <f ca="1">IF(P4273="Hedge Fund",IF(A4273=Summary!$AD$3,M4273-E4273,M4273),IF(A4273=Summary!$AD$3,L4273-D4273,L4273))</f>
        <v>0</v>
      </c>
      <c r="P4273" s="107" t="s">
        <v>139</v>
      </c>
      <c r="Q4273" s="107">
        <v>0</v>
      </c>
      <c r="R4273" s="107">
        <v>0</v>
      </c>
      <c r="S4273" s="107">
        <v>0</v>
      </c>
      <c r="T4273" s="107">
        <v>0</v>
      </c>
      <c r="U4273" s="107"/>
      <c r="V4273" s="107"/>
      <c r="W4273" s="107"/>
      <c r="X4273" s="107"/>
      <c r="Y4273" s="107"/>
      <c r="Z4273" s="107"/>
      <c r="AA4273" s="107"/>
      <c r="AB4273" s="107"/>
      <c r="AF4273" s="94">
        <f t="shared" si="567"/>
        <v>40724</v>
      </c>
      <c r="AG4273" s="185">
        <f t="shared" si="572"/>
        <v>1.9508967180505987E-3</v>
      </c>
      <c r="AH4273" s="339" t="str">
        <f>VLOOKUP(B4273,'MF PF'!A:B,2)</f>
        <v>FdMgt1</v>
      </c>
      <c r="AI4273" s="358">
        <f t="shared" si="568"/>
        <v>0</v>
      </c>
      <c r="AJ4273" s="94">
        <f t="shared" si="569"/>
        <v>40724</v>
      </c>
    </row>
    <row r="4274" spans="1:36" ht="12.75" customHeight="1">
      <c r="A4274" s="8">
        <v>40753</v>
      </c>
      <c r="B4274" s="94" t="s">
        <v>15</v>
      </c>
      <c r="C4274" s="6" t="s">
        <v>297</v>
      </c>
      <c r="D4274" s="98">
        <v>134609886.65266526</v>
      </c>
      <c r="E4274" s="95">
        <f t="shared" si="573"/>
        <v>1897.7165000000002</v>
      </c>
      <c r="F4274" s="98"/>
      <c r="G4274" s="98">
        <v>0</v>
      </c>
      <c r="H4274" s="98">
        <v>-10291731.230555296</v>
      </c>
      <c r="I4274" s="98">
        <v>0</v>
      </c>
      <c r="J4274" s="98"/>
      <c r="K4274" s="98">
        <v>70932.558499999999</v>
      </c>
      <c r="L4274" s="93">
        <f t="shared" si="565"/>
        <v>-10291731.230555296</v>
      </c>
      <c r="M4274" s="95">
        <f t="shared" ca="1" si="566"/>
        <v>0</v>
      </c>
      <c r="N4274" s="95">
        <f ca="1">IF(P4274="Hedge Fund",IF(A4274=Summary!$AD$3,M4274-E4274,M4274),IF(A4274=Summary!$AD$3,L4274-D4274,L4274))</f>
        <v>0</v>
      </c>
      <c r="P4274" s="107" t="s">
        <v>139</v>
      </c>
      <c r="Q4274" s="107">
        <v>0</v>
      </c>
      <c r="R4274" s="107">
        <v>0</v>
      </c>
      <c r="S4274" s="107">
        <v>0</v>
      </c>
      <c r="T4274" s="107">
        <v>0</v>
      </c>
      <c r="U4274" s="107"/>
      <c r="V4274" s="107"/>
      <c r="W4274" s="107"/>
      <c r="X4274" s="107"/>
      <c r="Y4274" s="107"/>
      <c r="Z4274" s="107"/>
      <c r="AA4274" s="107"/>
      <c r="AB4274" s="107"/>
      <c r="AF4274" s="94">
        <f t="shared" si="567"/>
        <v>40753</v>
      </c>
      <c r="AG4274" s="185">
        <f t="shared" si="572"/>
        <v>2.9173119166820305E-2</v>
      </c>
      <c r="AH4274" s="339" t="str">
        <f>VLOOKUP(B4274,'MF PF'!A:B,2)</f>
        <v>FdMgt1</v>
      </c>
      <c r="AI4274" s="358">
        <f t="shared" si="568"/>
        <v>0</v>
      </c>
      <c r="AJ4274" s="94">
        <f t="shared" si="569"/>
        <v>40755</v>
      </c>
    </row>
    <row r="4275" spans="1:36" ht="12.75" customHeight="1">
      <c r="A4275" s="8">
        <v>40786</v>
      </c>
      <c r="B4275" s="94" t="s">
        <v>15</v>
      </c>
      <c r="C4275" s="6" t="s">
        <v>297</v>
      </c>
      <c r="D4275" s="98">
        <v>126560545.03315544</v>
      </c>
      <c r="E4275" s="95">
        <f t="shared" si="573"/>
        <v>1784.2376999999999</v>
      </c>
      <c r="F4275" s="98"/>
      <c r="G4275" s="98">
        <v>0</v>
      </c>
      <c r="H4275" s="98">
        <v>0</v>
      </c>
      <c r="I4275" s="98">
        <v>0</v>
      </c>
      <c r="J4275" s="98"/>
      <c r="K4275" s="98">
        <v>70932.558499999999</v>
      </c>
      <c r="L4275" s="93">
        <f t="shared" si="565"/>
        <v>0</v>
      </c>
      <c r="M4275" s="95">
        <f t="shared" ca="1" si="566"/>
        <v>0</v>
      </c>
      <c r="N4275" s="95">
        <f ca="1">IF(P4275="Hedge Fund",IF(A4275=Summary!$AD$3,M4275-E4275,M4275),IF(A4275=Summary!$AD$3,L4275-D4275,L4275))</f>
        <v>0</v>
      </c>
      <c r="P4275" s="107" t="s">
        <v>139</v>
      </c>
      <c r="Q4275" s="107">
        <v>0</v>
      </c>
      <c r="R4275" s="107">
        <v>0</v>
      </c>
      <c r="S4275" s="107">
        <v>0</v>
      </c>
      <c r="T4275" s="107">
        <v>0</v>
      </c>
      <c r="U4275" s="107"/>
      <c r="V4275" s="107"/>
      <c r="W4275" s="107"/>
      <c r="X4275" s="107"/>
      <c r="Y4275" s="107"/>
      <c r="Z4275" s="107"/>
      <c r="AA4275" s="107"/>
      <c r="AB4275" s="107"/>
      <c r="AF4275" s="94">
        <f t="shared" si="567"/>
        <v>40786</v>
      </c>
      <c r="AG4275" s="185">
        <f t="shared" si="572"/>
        <v>-5.9797551425621376E-2</v>
      </c>
      <c r="AH4275" s="339" t="str">
        <f>VLOOKUP(B4275,'MF PF'!A:B,2)</f>
        <v>FdMgt1</v>
      </c>
      <c r="AI4275" s="358">
        <f t="shared" si="568"/>
        <v>0</v>
      </c>
      <c r="AJ4275" s="94">
        <f t="shared" si="569"/>
        <v>40786</v>
      </c>
    </row>
    <row r="4276" spans="1:36" ht="12.75" customHeight="1">
      <c r="A4276" s="8">
        <v>40816</v>
      </c>
      <c r="B4276" s="94" t="s">
        <v>15</v>
      </c>
      <c r="C4276" s="6" t="s">
        <v>297</v>
      </c>
      <c r="D4276" s="98">
        <v>117352349.83240774</v>
      </c>
      <c r="E4276" s="95">
        <f t="shared" si="573"/>
        <v>1654.4214999999999</v>
      </c>
      <c r="F4276" s="98"/>
      <c r="G4276" s="98">
        <v>0</v>
      </c>
      <c r="H4276" s="98">
        <v>0</v>
      </c>
      <c r="I4276" s="98">
        <v>0</v>
      </c>
      <c r="J4276" s="98"/>
      <c r="K4276" s="98">
        <v>70932.558499999999</v>
      </c>
      <c r="L4276" s="93">
        <f t="shared" si="565"/>
        <v>0</v>
      </c>
      <c r="M4276" s="95">
        <f t="shared" ca="1" si="566"/>
        <v>0</v>
      </c>
      <c r="N4276" s="95">
        <f ca="1">IF(P4276="Hedge Fund",IF(A4276=Summary!$AD$3,M4276-E4276,M4276),IF(A4276=Summary!$AD$3,L4276-D4276,L4276))</f>
        <v>0</v>
      </c>
      <c r="P4276" s="107" t="s">
        <v>139</v>
      </c>
      <c r="Q4276" s="107">
        <v>0</v>
      </c>
      <c r="R4276" s="107">
        <v>0</v>
      </c>
      <c r="S4276" s="107">
        <v>0</v>
      </c>
      <c r="T4276" s="107">
        <v>0</v>
      </c>
      <c r="U4276" s="107"/>
      <c r="V4276" s="107"/>
      <c r="W4276" s="107"/>
      <c r="X4276" s="107"/>
      <c r="Y4276" s="107"/>
      <c r="Z4276" s="107"/>
      <c r="AA4276" s="107"/>
      <c r="AB4276" s="107"/>
      <c r="AF4276" s="94">
        <f t="shared" si="567"/>
        <v>40816</v>
      </c>
      <c r="AG4276" s="185">
        <f t="shared" si="572"/>
        <v>-7.27572340837771E-2</v>
      </c>
      <c r="AH4276" s="339" t="str">
        <f>VLOOKUP(B4276,'MF PF'!A:B,2)</f>
        <v>FdMgt1</v>
      </c>
      <c r="AI4276" s="358">
        <f t="shared" si="568"/>
        <v>0</v>
      </c>
      <c r="AJ4276" s="94">
        <f t="shared" si="569"/>
        <v>40816</v>
      </c>
    </row>
    <row r="4277" spans="1:36" ht="12.75" customHeight="1">
      <c r="A4277" s="8">
        <v>40847</v>
      </c>
      <c r="B4277" s="94" t="s">
        <v>15</v>
      </c>
      <c r="C4277" s="6" t="s">
        <v>297</v>
      </c>
      <c r="D4277" s="98">
        <v>109107476.907912</v>
      </c>
      <c r="E4277" s="95">
        <f t="shared" si="573"/>
        <v>1681.47</v>
      </c>
      <c r="F4277" s="98"/>
      <c r="G4277" s="98">
        <v>0</v>
      </c>
      <c r="H4277" s="98">
        <v>-10163492.233082995</v>
      </c>
      <c r="I4277" s="98">
        <v>0</v>
      </c>
      <c r="J4277" s="98"/>
      <c r="K4277" s="98">
        <v>64888.149599999997</v>
      </c>
      <c r="L4277" s="93">
        <f t="shared" si="565"/>
        <v>-10163492.233082995</v>
      </c>
      <c r="M4277" s="95">
        <f t="shared" ca="1" si="566"/>
        <v>0</v>
      </c>
      <c r="N4277" s="95">
        <f ca="1">IF(P4277="Hedge Fund",IF(A4277=Summary!$AD$3,M4277-E4277,M4277),IF(A4277=Summary!$AD$3,L4277-D4277,L4277))</f>
        <v>0</v>
      </c>
      <c r="P4277" s="107" t="s">
        <v>139</v>
      </c>
      <c r="Q4277" s="107">
        <v>0</v>
      </c>
      <c r="R4277" s="107">
        <v>0</v>
      </c>
      <c r="S4277" s="107">
        <v>0</v>
      </c>
      <c r="T4277" s="107">
        <v>0</v>
      </c>
      <c r="U4277" s="107"/>
      <c r="V4277" s="107"/>
      <c r="W4277" s="107"/>
      <c r="X4277" s="107"/>
      <c r="Y4277" s="107"/>
      <c r="Z4277" s="107"/>
      <c r="AA4277" s="107"/>
      <c r="AB4277" s="107"/>
      <c r="AF4277" s="94">
        <f t="shared" si="567"/>
        <v>40847</v>
      </c>
      <c r="AG4277" s="185">
        <f t="shared" si="572"/>
        <v>1.6349219349482524E-2</v>
      </c>
      <c r="AH4277" s="339" t="str">
        <f>VLOOKUP(B4277,'MF PF'!A:B,2)</f>
        <v>FdMgt1</v>
      </c>
      <c r="AI4277" s="358">
        <f t="shared" si="568"/>
        <v>0</v>
      </c>
      <c r="AJ4277" s="94">
        <f t="shared" si="569"/>
        <v>40847</v>
      </c>
    </row>
    <row r="4278" spans="1:36" ht="12.75" customHeight="1">
      <c r="A4278" s="8">
        <v>40877</v>
      </c>
      <c r="B4278" s="94" t="s">
        <v>15</v>
      </c>
      <c r="C4278" s="6" t="s">
        <v>297</v>
      </c>
      <c r="D4278" s="98">
        <v>105500941.64262432</v>
      </c>
      <c r="E4278" s="95">
        <f t="shared" si="573"/>
        <v>1625.8892000000003</v>
      </c>
      <c r="F4278" s="98"/>
      <c r="G4278" s="98">
        <v>0</v>
      </c>
      <c r="H4278" s="98">
        <v>-1.4901161193847656E-8</v>
      </c>
      <c r="I4278" s="98">
        <v>0</v>
      </c>
      <c r="J4278" s="98"/>
      <c r="K4278" s="98">
        <v>64888.14959999999</v>
      </c>
      <c r="L4278" s="93">
        <f t="shared" si="565"/>
        <v>-1.4901161193847656E-8</v>
      </c>
      <c r="M4278" s="95">
        <f t="shared" ca="1" si="566"/>
        <v>0</v>
      </c>
      <c r="N4278" s="95">
        <f ca="1">IF(P4278="Hedge Fund",IF(A4278=Summary!$AD$3,M4278-E4278,M4278),IF(A4278=Summary!$AD$3,L4278-D4278,L4278))</f>
        <v>0</v>
      </c>
      <c r="P4278" s="107" t="s">
        <v>139</v>
      </c>
      <c r="Q4278" s="107">
        <v>0</v>
      </c>
      <c r="R4278" s="107">
        <v>0</v>
      </c>
      <c r="S4278" s="107">
        <v>0</v>
      </c>
      <c r="T4278" s="107">
        <v>0</v>
      </c>
      <c r="U4278" s="107"/>
      <c r="V4278" s="107"/>
      <c r="W4278" s="107"/>
      <c r="X4278" s="107"/>
      <c r="Y4278" s="107"/>
      <c r="Z4278" s="107"/>
      <c r="AA4278" s="107"/>
      <c r="AB4278" s="107"/>
      <c r="AF4278" s="94">
        <f t="shared" si="567"/>
        <v>40877</v>
      </c>
      <c r="AG4278" s="185">
        <f t="shared" si="572"/>
        <v>-3.3054886498123603E-2</v>
      </c>
      <c r="AH4278" s="339" t="str">
        <f>VLOOKUP(B4278,'MF PF'!A:B,2)</f>
        <v>FdMgt1</v>
      </c>
      <c r="AI4278" s="358">
        <f t="shared" si="568"/>
        <v>0</v>
      </c>
      <c r="AJ4278" s="94">
        <f t="shared" si="569"/>
        <v>40877</v>
      </c>
    </row>
    <row r="4279" spans="1:36" ht="12.75" customHeight="1">
      <c r="A4279" s="8">
        <v>40907</v>
      </c>
      <c r="B4279" s="94" t="s">
        <v>15</v>
      </c>
      <c r="C4279" s="6" t="s">
        <v>297</v>
      </c>
      <c r="D4279" s="98">
        <v>106979768.52726816</v>
      </c>
      <c r="E4279" s="95">
        <f t="shared" si="573"/>
        <v>1648.6795999999999</v>
      </c>
      <c r="F4279" s="98"/>
      <c r="G4279" s="98">
        <v>1.4901161193847656E-8</v>
      </c>
      <c r="H4279" s="98">
        <v>0</v>
      </c>
      <c r="I4279" s="98">
        <v>0</v>
      </c>
      <c r="J4279" s="98"/>
      <c r="K4279" s="98">
        <v>64888.149599999997</v>
      </c>
      <c r="L4279" s="93">
        <f t="shared" si="565"/>
        <v>1.4901161193847656E-8</v>
      </c>
      <c r="M4279" s="95">
        <f t="shared" ca="1" si="566"/>
        <v>0</v>
      </c>
      <c r="N4279" s="95">
        <f ca="1">IF(P4279="Hedge Fund",IF(A4279=Summary!$AD$3,M4279-E4279,M4279),IF(A4279=Summary!$AD$3,L4279-D4279,L4279))</f>
        <v>0</v>
      </c>
      <c r="P4279" s="107" t="s">
        <v>139</v>
      </c>
      <c r="Q4279" s="107">
        <v>0</v>
      </c>
      <c r="R4279" s="107">
        <v>0</v>
      </c>
      <c r="S4279" s="107">
        <v>0</v>
      </c>
      <c r="T4279" s="107">
        <v>0</v>
      </c>
      <c r="U4279" s="107"/>
      <c r="V4279" s="107"/>
      <c r="W4279" s="107"/>
      <c r="X4279" s="107"/>
      <c r="Y4279" s="107"/>
      <c r="Z4279" s="107"/>
      <c r="AA4279" s="107"/>
      <c r="AB4279" s="107"/>
      <c r="AF4279" s="94">
        <f t="shared" si="567"/>
        <v>40907</v>
      </c>
      <c r="AG4279" s="185">
        <f t="shared" si="572"/>
        <v>1.401719133136492E-2</v>
      </c>
      <c r="AH4279" s="339" t="str">
        <f>VLOOKUP(B4279,'MF PF'!A:B,2)</f>
        <v>FdMgt1</v>
      </c>
      <c r="AI4279" s="358">
        <f t="shared" si="568"/>
        <v>0</v>
      </c>
      <c r="AJ4279" s="94">
        <f t="shared" si="569"/>
        <v>40908</v>
      </c>
    </row>
    <row r="4280" spans="1:36" ht="12.75" customHeight="1">
      <c r="A4280" s="8">
        <v>40939</v>
      </c>
      <c r="B4280" s="94" t="s">
        <v>15</v>
      </c>
      <c r="C4280" s="6" t="s">
        <v>297</v>
      </c>
      <c r="D4280" s="98">
        <v>89493725.005111426</v>
      </c>
      <c r="E4280" s="95">
        <f t="shared" si="573"/>
        <v>1758.0934</v>
      </c>
      <c r="F4280" s="98"/>
      <c r="G4280" s="98">
        <v>0</v>
      </c>
      <c r="H4280" s="98">
        <v>-24585702.544861212</v>
      </c>
      <c r="I4280" s="98">
        <v>0</v>
      </c>
      <c r="J4280" s="98"/>
      <c r="K4280" s="98">
        <v>50903.851300000002</v>
      </c>
      <c r="L4280" s="93">
        <f t="shared" si="565"/>
        <v>-24585702.544861212</v>
      </c>
      <c r="M4280" s="95">
        <f t="shared" ca="1" si="566"/>
        <v>0</v>
      </c>
      <c r="N4280" s="95">
        <f ca="1">IF(P4280="Hedge Fund",IF(A4280=Summary!$AD$3,M4280-E4280,M4280),IF(A4280=Summary!$AD$3,L4280-D4280,L4280))</f>
        <v>0</v>
      </c>
      <c r="P4280" s="107" t="s">
        <v>139</v>
      </c>
      <c r="Q4280" s="107">
        <v>0</v>
      </c>
      <c r="R4280" s="107">
        <v>0</v>
      </c>
      <c r="S4280" s="107">
        <v>0</v>
      </c>
      <c r="T4280" s="107">
        <v>0</v>
      </c>
      <c r="U4280" s="107"/>
      <c r="V4280" s="107"/>
      <c r="W4280" s="107"/>
      <c r="X4280" s="107"/>
      <c r="Y4280" s="107"/>
      <c r="Z4280" s="107"/>
      <c r="AA4280" s="107"/>
      <c r="AB4280" s="107"/>
      <c r="AF4280" s="94">
        <f t="shared" si="567"/>
        <v>40939</v>
      </c>
      <c r="AG4280" s="185">
        <f t="shared" si="572"/>
        <v>6.6364501629061268E-2</v>
      </c>
      <c r="AH4280" s="339" t="str">
        <f>VLOOKUP(B4280,'MF PF'!A:B,2)</f>
        <v>FdMgt1</v>
      </c>
      <c r="AI4280" s="358">
        <f t="shared" si="568"/>
        <v>0</v>
      </c>
      <c r="AJ4280" s="94">
        <f t="shared" si="569"/>
        <v>40939</v>
      </c>
    </row>
    <row r="4281" spans="1:36" ht="12.75" customHeight="1">
      <c r="A4281" s="8">
        <v>40968</v>
      </c>
      <c r="B4281" s="94" t="s">
        <v>15</v>
      </c>
      <c r="C4281" s="6" t="s">
        <v>297</v>
      </c>
      <c r="D4281" s="98">
        <v>93715853.324257582</v>
      </c>
      <c r="E4281" s="95">
        <f t="shared" si="573"/>
        <v>1841.0365999999999</v>
      </c>
      <c r="F4281" s="98"/>
      <c r="G4281" s="98">
        <v>0</v>
      </c>
      <c r="H4281" s="98">
        <v>0</v>
      </c>
      <c r="I4281" s="98">
        <v>0</v>
      </c>
      <c r="J4281" s="98"/>
      <c r="K4281" s="98">
        <v>50903.851300000002</v>
      </c>
      <c r="L4281" s="93">
        <f t="shared" si="565"/>
        <v>0</v>
      </c>
      <c r="M4281" s="95">
        <f t="shared" ca="1" si="566"/>
        <v>0</v>
      </c>
      <c r="N4281" s="95">
        <f ca="1">IF(P4281="Hedge Fund",IF(A4281=Summary!$AD$3,M4281-E4281,M4281),IF(A4281=Summary!$AD$3,L4281-D4281,L4281))</f>
        <v>0</v>
      </c>
      <c r="P4281" s="107" t="s">
        <v>139</v>
      </c>
      <c r="Q4281" s="107">
        <v>0</v>
      </c>
      <c r="R4281" s="107">
        <v>0</v>
      </c>
      <c r="S4281" s="107">
        <v>0</v>
      </c>
      <c r="T4281" s="107">
        <v>0</v>
      </c>
      <c r="U4281" s="107"/>
      <c r="V4281" s="107"/>
      <c r="W4281" s="107"/>
      <c r="X4281" s="107"/>
      <c r="Y4281" s="107"/>
      <c r="Z4281" s="107"/>
      <c r="AA4281" s="107"/>
      <c r="AB4281" s="107"/>
      <c r="AF4281" s="94">
        <f t="shared" si="567"/>
        <v>40968</v>
      </c>
      <c r="AG4281" s="185">
        <f t="shared" si="572"/>
        <v>4.7177925814407828E-2</v>
      </c>
      <c r="AH4281" s="339" t="str">
        <f>VLOOKUP(B4281,'MF PF'!A:B,2)</f>
        <v>FdMgt1</v>
      </c>
      <c r="AI4281" s="358">
        <f t="shared" si="568"/>
        <v>0</v>
      </c>
      <c r="AJ4281" s="94">
        <f t="shared" si="569"/>
        <v>40968</v>
      </c>
    </row>
    <row r="4282" spans="1:36" ht="12.75" customHeight="1">
      <c r="A4282" s="8">
        <v>40998</v>
      </c>
      <c r="B4282" s="94" t="s">
        <v>15</v>
      </c>
      <c r="C4282" s="6" t="s">
        <v>297</v>
      </c>
      <c r="D4282" s="98">
        <v>92777910.430000007</v>
      </c>
      <c r="E4282" s="95">
        <f t="shared" si="573"/>
        <v>1822.6107999999999</v>
      </c>
      <c r="F4282" s="98"/>
      <c r="G4282" s="98">
        <v>1.2890259623527527</v>
      </c>
      <c r="H4282" s="98">
        <v>0</v>
      </c>
      <c r="I4282" s="98">
        <v>0</v>
      </c>
      <c r="J4282" s="98"/>
      <c r="K4282" s="98">
        <v>50903.852007241483</v>
      </c>
      <c r="L4282" s="93">
        <f t="shared" si="565"/>
        <v>1.2890259623527527</v>
      </c>
      <c r="M4282" s="95">
        <f t="shared" ca="1" si="566"/>
        <v>0</v>
      </c>
      <c r="N4282" s="95">
        <f ca="1">IF(P4282="Hedge Fund",IF(A4282=Summary!$AD$3,M4282-E4282,M4282),IF(A4282=Summary!$AD$3,L4282-D4282,L4282))</f>
        <v>0</v>
      </c>
      <c r="P4282" s="107" t="s">
        <v>139</v>
      </c>
      <c r="Q4282" s="107">
        <v>0</v>
      </c>
      <c r="R4282" s="107">
        <v>0</v>
      </c>
      <c r="S4282" s="107">
        <v>0</v>
      </c>
      <c r="T4282" s="107">
        <v>0</v>
      </c>
      <c r="U4282" s="107"/>
      <c r="V4282" s="107"/>
      <c r="W4282" s="107"/>
      <c r="X4282" s="107"/>
      <c r="Y4282" s="107"/>
      <c r="Z4282" s="107"/>
      <c r="AA4282" s="107"/>
      <c r="AB4282" s="107"/>
      <c r="AF4282" s="94">
        <f t="shared" si="567"/>
        <v>40998</v>
      </c>
      <c r="AG4282" s="185">
        <f t="shared" si="572"/>
        <v>-1.0008383320570524E-2</v>
      </c>
      <c r="AH4282" s="339" t="str">
        <f>VLOOKUP(B4282,'MF PF'!A:B,2)</f>
        <v>FdMgt1</v>
      </c>
      <c r="AI4282" s="358">
        <f t="shared" si="568"/>
        <v>0</v>
      </c>
      <c r="AJ4282" s="94">
        <f t="shared" si="569"/>
        <v>40999</v>
      </c>
    </row>
    <row r="4283" spans="1:36" ht="12.75" customHeight="1">
      <c r="A4283" s="8">
        <v>41029</v>
      </c>
      <c r="B4283" s="94" t="s">
        <v>15</v>
      </c>
      <c r="C4283" s="6" t="s">
        <v>297</v>
      </c>
      <c r="D4283" s="98">
        <v>96447185.289999992</v>
      </c>
      <c r="E4283" s="95">
        <f t="shared" si="573"/>
        <v>1894.6932999999999</v>
      </c>
      <c r="F4283" s="98"/>
      <c r="G4283" s="98">
        <v>0</v>
      </c>
      <c r="H4283" s="98">
        <v>-2.0523119866847992</v>
      </c>
      <c r="I4283" s="98">
        <v>0</v>
      </c>
      <c r="J4283" s="98"/>
      <c r="K4283" s="98">
        <v>50903.850924051927</v>
      </c>
      <c r="L4283" s="93">
        <f t="shared" si="565"/>
        <v>-2.0523119866847992</v>
      </c>
      <c r="M4283" s="95">
        <f t="shared" ca="1" si="566"/>
        <v>0</v>
      </c>
      <c r="N4283" s="95">
        <f ca="1">IF(P4283="Hedge Fund",IF(A4283=Summary!$AD$3,M4283-E4283,M4283),IF(A4283=Summary!$AD$3,L4283-D4283,L4283))</f>
        <v>0</v>
      </c>
      <c r="P4283" s="107" t="s">
        <v>139</v>
      </c>
      <c r="Q4283" s="107">
        <v>0</v>
      </c>
      <c r="R4283" s="107">
        <v>0</v>
      </c>
      <c r="S4283" s="107">
        <v>0</v>
      </c>
      <c r="T4283" s="107">
        <v>0</v>
      </c>
      <c r="U4283" s="107"/>
      <c r="V4283" s="107"/>
      <c r="W4283" s="107"/>
      <c r="X4283" s="107"/>
      <c r="Y4283" s="107"/>
      <c r="Z4283" s="107"/>
      <c r="AA4283" s="107"/>
      <c r="AB4283" s="107"/>
      <c r="AF4283" s="94">
        <f t="shared" si="567"/>
        <v>41029</v>
      </c>
      <c r="AG4283" s="185">
        <f t="shared" si="572"/>
        <v>3.9549035921437437E-2</v>
      </c>
      <c r="AH4283" s="339" t="str">
        <f>VLOOKUP(B4283,'MF PF'!A:B,2)</f>
        <v>FdMgt1</v>
      </c>
      <c r="AI4283" s="358">
        <f t="shared" si="568"/>
        <v>0</v>
      </c>
      <c r="AJ4283" s="94">
        <f t="shared" si="569"/>
        <v>41029</v>
      </c>
    </row>
    <row r="4284" spans="1:36" ht="12.75" customHeight="1">
      <c r="A4284" s="8">
        <v>41060</v>
      </c>
      <c r="B4284" s="94" t="s">
        <v>15</v>
      </c>
      <c r="C4284" s="6" t="s">
        <v>297</v>
      </c>
      <c r="D4284" s="98">
        <v>94895815.619658604</v>
      </c>
      <c r="E4284" s="95">
        <f t="shared" si="573"/>
        <v>1864.2167999999999</v>
      </c>
      <c r="F4284" s="98"/>
      <c r="G4284" s="98">
        <v>1.5423454791307449</v>
      </c>
      <c r="H4284" s="98">
        <v>0</v>
      </c>
      <c r="I4284" s="98">
        <v>0</v>
      </c>
      <c r="J4284" s="98"/>
      <c r="K4284" s="98">
        <v>50903.851751394264</v>
      </c>
      <c r="L4284" s="93">
        <f t="shared" si="565"/>
        <v>1.5423454791307449</v>
      </c>
      <c r="M4284" s="95">
        <f t="shared" ca="1" si="566"/>
        <v>0</v>
      </c>
      <c r="N4284" s="95">
        <f ca="1">IF(P4284="Hedge Fund",IF(A4284=Summary!$AD$3,M4284-E4284,M4284),IF(A4284=Summary!$AD$3,L4284-D4284,L4284))</f>
        <v>0</v>
      </c>
      <c r="P4284" s="107" t="s">
        <v>139</v>
      </c>
      <c r="Q4284" s="107">
        <v>0</v>
      </c>
      <c r="R4284" s="107">
        <v>0</v>
      </c>
      <c r="S4284" s="107">
        <v>0</v>
      </c>
      <c r="T4284" s="107">
        <v>0</v>
      </c>
      <c r="U4284" s="107"/>
      <c r="V4284" s="107"/>
      <c r="W4284" s="107"/>
      <c r="X4284" s="107"/>
      <c r="Y4284" s="107"/>
      <c r="Z4284" s="107"/>
      <c r="AA4284" s="107"/>
      <c r="AB4284" s="107"/>
      <c r="AF4284" s="94">
        <f t="shared" si="567"/>
        <v>41060</v>
      </c>
      <c r="AG4284" s="185">
        <f t="shared" si="572"/>
        <v>-1.6085189091025964E-2</v>
      </c>
      <c r="AH4284" s="339" t="str">
        <f>VLOOKUP(B4284,'MF PF'!A:B,2)</f>
        <v>FdMgt1</v>
      </c>
      <c r="AI4284" s="358">
        <f t="shared" si="568"/>
        <v>0</v>
      </c>
      <c r="AJ4284" s="94">
        <f t="shared" si="569"/>
        <v>41060</v>
      </c>
    </row>
    <row r="4285" spans="1:36" ht="12.75" customHeight="1">
      <c r="A4285" s="8">
        <v>41089</v>
      </c>
      <c r="B4285" s="94" t="s">
        <v>15</v>
      </c>
      <c r="C4285" s="6" t="s">
        <v>297</v>
      </c>
      <c r="D4285" s="98">
        <v>105226430.46118</v>
      </c>
      <c r="E4285" s="95">
        <f t="shared" si="573"/>
        <v>1820.3407</v>
      </c>
      <c r="F4285" s="98"/>
      <c r="G4285" s="98">
        <v>12564077.331350744</v>
      </c>
      <c r="H4285" s="98">
        <v>0</v>
      </c>
      <c r="I4285" s="98">
        <v>0</v>
      </c>
      <c r="J4285" s="98"/>
      <c r="K4285" s="98">
        <v>57805.898896387916</v>
      </c>
      <c r="L4285" s="93">
        <f t="shared" si="565"/>
        <v>12564077.331350744</v>
      </c>
      <c r="M4285" s="95">
        <f t="shared" ca="1" si="566"/>
        <v>0</v>
      </c>
      <c r="N4285" s="95">
        <f ca="1">IF(P4285="Hedge Fund",IF(A4285=Summary!$AD$3,M4285-E4285,M4285),IF(A4285=Summary!$AD$3,L4285-D4285,L4285))</f>
        <v>0</v>
      </c>
      <c r="P4285" s="107" t="s">
        <v>139</v>
      </c>
      <c r="Q4285" s="107">
        <v>0</v>
      </c>
      <c r="R4285" s="107">
        <v>0</v>
      </c>
      <c r="S4285" s="107">
        <v>0</v>
      </c>
      <c r="T4285" s="107">
        <v>0</v>
      </c>
      <c r="U4285" s="107"/>
      <c r="V4285" s="107"/>
      <c r="W4285" s="107"/>
      <c r="X4285" s="107"/>
      <c r="Y4285" s="107"/>
      <c r="Z4285" s="107"/>
      <c r="AA4285" s="107"/>
      <c r="AB4285" s="107"/>
      <c r="AF4285" s="94">
        <f t="shared" si="567"/>
        <v>41089</v>
      </c>
      <c r="AG4285" s="185">
        <f t="shared" si="572"/>
        <v>-2.3535942815234745E-2</v>
      </c>
      <c r="AH4285" s="339" t="str">
        <f>VLOOKUP(B4285,'MF PF'!A:B,2)</f>
        <v>FdMgt1</v>
      </c>
      <c r="AI4285" s="358">
        <f t="shared" si="568"/>
        <v>0</v>
      </c>
      <c r="AJ4285" s="94">
        <f t="shared" si="569"/>
        <v>41090</v>
      </c>
    </row>
    <row r="4286" spans="1:36" s="358" customFormat="1" ht="12.75" customHeight="1">
      <c r="A4286" s="94">
        <v>41121</v>
      </c>
      <c r="B4286" s="94" t="s">
        <v>15</v>
      </c>
      <c r="C4286" s="358" t="s">
        <v>297</v>
      </c>
      <c r="D4286" s="98">
        <v>106367658.77000001</v>
      </c>
      <c r="E4286" s="95">
        <f t="shared" si="573"/>
        <v>1840.0832</v>
      </c>
      <c r="F4286" s="98"/>
      <c r="G4286" s="98">
        <v>0</v>
      </c>
      <c r="H4286" s="98">
        <v>-4.6501419395208359</v>
      </c>
      <c r="I4286" s="98">
        <v>0</v>
      </c>
      <c r="J4286" s="98"/>
      <c r="K4286" s="98">
        <v>57805.896369251132</v>
      </c>
      <c r="L4286" s="93">
        <f t="shared" si="565"/>
        <v>-4.6501419395208359</v>
      </c>
      <c r="M4286" s="95">
        <f t="shared" ca="1" si="566"/>
        <v>0</v>
      </c>
      <c r="N4286" s="95">
        <f ca="1">IF(P4286="Hedge Fund",IF(A4286=Summary!$AD$3,M4286-E4286,M4286),IF(A4286=Summary!$AD$3,L4286-D4286,L4286))</f>
        <v>0</v>
      </c>
      <c r="O4286" s="95"/>
      <c r="P4286" s="107" t="s">
        <v>139</v>
      </c>
      <c r="Q4286" s="107">
        <v>0</v>
      </c>
      <c r="R4286" s="107">
        <v>0</v>
      </c>
      <c r="S4286" s="107">
        <v>0</v>
      </c>
      <c r="T4286" s="107">
        <v>0</v>
      </c>
      <c r="U4286" s="107"/>
      <c r="V4286" s="107"/>
      <c r="W4286" s="107"/>
      <c r="X4286" s="107"/>
      <c r="Y4286" s="107"/>
      <c r="Z4286" s="107"/>
      <c r="AA4286" s="107"/>
      <c r="AB4286" s="107"/>
      <c r="AF4286" s="94">
        <f t="shared" si="567"/>
        <v>41121</v>
      </c>
      <c r="AG4286" s="185">
        <f t="shared" si="572"/>
        <v>1.0845497219284406E-2</v>
      </c>
      <c r="AH4286" s="339" t="str">
        <f>VLOOKUP(B4286,'MF PF'!A:B,2)</f>
        <v>FdMgt1</v>
      </c>
      <c r="AI4286" s="358">
        <f t="shared" si="568"/>
        <v>0</v>
      </c>
      <c r="AJ4286" s="94">
        <f t="shared" si="569"/>
        <v>41121</v>
      </c>
    </row>
    <row r="4287" spans="1:36" ht="12.75" customHeight="1">
      <c r="A4287" s="8">
        <v>41152</v>
      </c>
      <c r="B4287" s="94" t="s">
        <v>15</v>
      </c>
      <c r="C4287" s="6" t="s">
        <v>297</v>
      </c>
      <c r="D4287" s="98">
        <v>111126878.56317499</v>
      </c>
      <c r="E4287" s="95">
        <f t="shared" si="573"/>
        <v>1922.4141999999999</v>
      </c>
      <c r="F4287" s="98"/>
      <c r="G4287" s="98">
        <v>2.53919817507267</v>
      </c>
      <c r="H4287" s="98">
        <v>0</v>
      </c>
      <c r="I4287" s="98">
        <v>0</v>
      </c>
      <c r="J4287" s="98"/>
      <c r="K4287" s="98">
        <v>57805.897690089369</v>
      </c>
      <c r="L4287" s="93">
        <f t="shared" si="565"/>
        <v>2.53919817507267</v>
      </c>
      <c r="M4287" s="95">
        <f t="shared" ca="1" si="566"/>
        <v>0</v>
      </c>
      <c r="N4287" s="95">
        <f ca="1">IF(P4287="Hedge Fund",IF(A4287=Summary!$AD$3,M4287-E4287,M4287),IF(A4287=Summary!$AD$3,L4287-D4287,L4287))</f>
        <v>0</v>
      </c>
      <c r="P4287" s="107" t="s">
        <v>139</v>
      </c>
      <c r="Q4287" s="107">
        <v>0</v>
      </c>
      <c r="R4287" s="107">
        <v>0</v>
      </c>
      <c r="S4287" s="107">
        <v>0</v>
      </c>
      <c r="T4287" s="107">
        <v>0</v>
      </c>
      <c r="U4287" s="107"/>
      <c r="V4287" s="107"/>
      <c r="W4287" s="107"/>
      <c r="X4287" s="107"/>
      <c r="Y4287" s="107"/>
      <c r="Z4287" s="107"/>
      <c r="AA4287" s="107"/>
      <c r="AB4287" s="107"/>
      <c r="AF4287" s="94">
        <f t="shared" si="567"/>
        <v>41152</v>
      </c>
      <c r="AG4287" s="185">
        <f t="shared" si="572"/>
        <v>4.4743085530045468E-2</v>
      </c>
      <c r="AH4287" s="339" t="str">
        <f>VLOOKUP(B4287,'MF PF'!A:B,2)</f>
        <v>FdMgt1</v>
      </c>
      <c r="AI4287" s="358">
        <f t="shared" si="568"/>
        <v>0</v>
      </c>
      <c r="AJ4287" s="94">
        <f t="shared" si="569"/>
        <v>41152</v>
      </c>
    </row>
    <row r="4288" spans="1:36" s="358" customFormat="1" ht="12.75" customHeight="1">
      <c r="A4288" s="94">
        <v>41180</v>
      </c>
      <c r="B4288" s="94" t="s">
        <v>15</v>
      </c>
      <c r="C4288" s="358" t="s">
        <v>297</v>
      </c>
      <c r="D4288" s="98">
        <v>117150698.33232999</v>
      </c>
      <c r="E4288" s="95">
        <f t="shared" si="573"/>
        <v>2026.6219000000001</v>
      </c>
      <c r="F4288" s="98"/>
      <c r="G4288" s="98">
        <v>0.12443545460700989</v>
      </c>
      <c r="H4288" s="98">
        <v>0</v>
      </c>
      <c r="I4288" s="98">
        <v>0</v>
      </c>
      <c r="J4288" s="98"/>
      <c r="K4288" s="98">
        <v>57805.8977514898</v>
      </c>
      <c r="L4288" s="93">
        <f t="shared" si="565"/>
        <v>0.12443545460700989</v>
      </c>
      <c r="M4288" s="95">
        <f t="shared" ca="1" si="566"/>
        <v>0</v>
      </c>
      <c r="N4288" s="95">
        <f ca="1">IF(P4288="Hedge Fund",IF(A4288=Summary!$AD$3,M4288-E4288,M4288),IF(A4288=Summary!$AD$3,L4288-D4288,L4288))</f>
        <v>0</v>
      </c>
      <c r="O4288" s="95"/>
      <c r="P4288" s="107" t="s">
        <v>139</v>
      </c>
      <c r="Q4288" s="107">
        <v>7.37319465841587E-2</v>
      </c>
      <c r="R4288" s="107">
        <v>3.2372435400000001</v>
      </c>
      <c r="S4288" s="107">
        <v>0</v>
      </c>
      <c r="T4288" s="107">
        <v>0</v>
      </c>
      <c r="U4288" s="107"/>
      <c r="V4288" s="107"/>
      <c r="W4288" s="107"/>
      <c r="X4288" s="107"/>
      <c r="Y4288" s="107"/>
      <c r="Z4288" s="107"/>
      <c r="AA4288" s="107"/>
      <c r="AB4288" s="107"/>
      <c r="AF4288" s="94">
        <f t="shared" si="567"/>
        <v>41180</v>
      </c>
      <c r="AG4288" s="185">
        <f t="shared" si="572"/>
        <v>5.4206684490782697E-2</v>
      </c>
      <c r="AH4288" s="339" t="str">
        <f>VLOOKUP(B4288,'MF PF'!A:B,2)</f>
        <v>FdMgt1</v>
      </c>
      <c r="AI4288" s="358">
        <f t="shared" si="568"/>
        <v>0</v>
      </c>
      <c r="AJ4288" s="94">
        <f t="shared" si="569"/>
        <v>41182</v>
      </c>
    </row>
    <row r="4289" spans="1:36" s="358" customFormat="1" ht="12.75" customHeight="1">
      <c r="A4289" s="94">
        <v>41213</v>
      </c>
      <c r="B4289" s="94" t="s">
        <v>15</v>
      </c>
      <c r="C4289" s="358" t="s">
        <v>297</v>
      </c>
      <c r="D4289" s="98">
        <v>115904530.12483177</v>
      </c>
      <c r="E4289" s="95">
        <f t="shared" si="573"/>
        <v>2005.0642</v>
      </c>
      <c r="F4289" s="98"/>
      <c r="G4289" s="98">
        <v>0</v>
      </c>
      <c r="H4289" s="98">
        <v>-6.0055409371852875</v>
      </c>
      <c r="I4289" s="98">
        <v>0</v>
      </c>
      <c r="J4289" s="98"/>
      <c r="K4289" s="98">
        <v>57805.894756303445</v>
      </c>
      <c r="L4289" s="93">
        <f t="shared" ref="L4289:L4352" si="574">G4289+H4289+I4289</f>
        <v>-6.0055409371852875</v>
      </c>
      <c r="M4289" s="95">
        <f t="shared" ref="M4289:M4352" ca="1" si="575">IF(A4289&gt;INDIRECT("A"&amp;ROW()-1),I4289/K4289,E4289)</f>
        <v>0</v>
      </c>
      <c r="N4289" s="95">
        <f ca="1">IF(P4289="Hedge Fund",IF(A4289=Summary!$AD$3,M4289-E4289,M4289),IF(A4289=Summary!$AD$3,L4289-D4289,L4289))</f>
        <v>0</v>
      </c>
      <c r="O4289" s="95"/>
      <c r="P4289" s="107" t="s">
        <v>139</v>
      </c>
      <c r="Q4289" s="107">
        <v>8.5850917644022695E-2</v>
      </c>
      <c r="R4289" s="107">
        <v>3.0173316900000002</v>
      </c>
      <c r="S4289" s="107">
        <v>0</v>
      </c>
      <c r="T4289" s="107">
        <v>0</v>
      </c>
      <c r="U4289" s="107"/>
      <c r="V4289" s="107"/>
      <c r="W4289" s="107"/>
      <c r="X4289" s="107"/>
      <c r="Y4289" s="107"/>
      <c r="Z4289" s="107"/>
      <c r="AA4289" s="107"/>
      <c r="AB4289" s="107"/>
      <c r="AF4289" s="94">
        <f t="shared" ref="AF4289:AF4352" si="576">A4289</f>
        <v>41213</v>
      </c>
      <c r="AG4289" s="185">
        <f t="shared" si="572"/>
        <v>-1.0637257990747995E-2</v>
      </c>
      <c r="AH4289" s="339" t="str">
        <f>VLOOKUP(B4289,'MF PF'!A:B,2)</f>
        <v>FdMgt1</v>
      </c>
      <c r="AI4289" s="358">
        <f t="shared" ref="AI4289:AI4352" si="577">AF4289-A4289</f>
        <v>0</v>
      </c>
      <c r="AJ4289" s="94">
        <f t="shared" ref="AJ4289:AJ4352" si="578">EOMONTH(A4289,0)</f>
        <v>41213</v>
      </c>
    </row>
    <row r="4290" spans="1:36" s="358" customFormat="1" ht="12.75" customHeight="1">
      <c r="A4290" s="94">
        <v>41243</v>
      </c>
      <c r="B4290" s="94" t="s">
        <v>15</v>
      </c>
      <c r="C4290" s="358" t="s">
        <v>297</v>
      </c>
      <c r="D4290" s="98">
        <v>115716603.81628507</v>
      </c>
      <c r="E4290" s="95">
        <f t="shared" si="573"/>
        <v>2001.8132000000003</v>
      </c>
      <c r="F4290" s="98"/>
      <c r="G4290" s="98">
        <v>0.65530604124069214</v>
      </c>
      <c r="H4290" s="98">
        <v>0</v>
      </c>
      <c r="I4290" s="98">
        <v>0</v>
      </c>
      <c r="J4290" s="98"/>
      <c r="K4290" s="98">
        <v>57805.895083659685</v>
      </c>
      <c r="L4290" s="93">
        <f t="shared" si="574"/>
        <v>0.65530604124069214</v>
      </c>
      <c r="M4290" s="95">
        <f t="shared" ca="1" si="575"/>
        <v>0</v>
      </c>
      <c r="N4290" s="95">
        <f ca="1">IF(P4290="Hedge Fund",IF(A4290=Summary!$AD$3,M4290-E4290,M4290),IF(A4290=Summary!$AD$3,L4290-D4290,L4290))</f>
        <v>0</v>
      </c>
      <c r="O4290" s="95"/>
      <c r="P4290" s="107" t="s">
        <v>139</v>
      </c>
      <c r="Q4290" s="107">
        <v>7.7895312521760698E-2</v>
      </c>
      <c r="R4290" s="107">
        <v>2.9841681700000002</v>
      </c>
      <c r="S4290" s="107">
        <v>0</v>
      </c>
      <c r="T4290" s="107">
        <v>0</v>
      </c>
      <c r="U4290" s="107"/>
      <c r="V4290" s="107"/>
      <c r="W4290" s="107"/>
      <c r="X4290" s="107"/>
      <c r="Y4290" s="107"/>
      <c r="Z4290" s="107"/>
      <c r="AA4290" s="107"/>
      <c r="AB4290" s="107"/>
      <c r="AF4290" s="94">
        <f t="shared" si="576"/>
        <v>41243</v>
      </c>
      <c r="AG4290" s="185">
        <f t="shared" si="572"/>
        <v>-1.621394467069881E-3</v>
      </c>
      <c r="AH4290" s="339" t="str">
        <f>VLOOKUP(B4290,'MF PF'!A:B,2)</f>
        <v>FdMgt1</v>
      </c>
      <c r="AI4290" s="358">
        <f t="shared" si="577"/>
        <v>0</v>
      </c>
      <c r="AJ4290" s="94">
        <f t="shared" si="578"/>
        <v>41243</v>
      </c>
    </row>
    <row r="4291" spans="1:36" s="358" customFormat="1" ht="12.75" customHeight="1">
      <c r="A4291" s="94">
        <v>41274</v>
      </c>
      <c r="B4291" s="94" t="s">
        <v>15</v>
      </c>
      <c r="C4291" s="358" t="s">
        <v>297</v>
      </c>
      <c r="D4291" s="98">
        <v>120184119.71912195</v>
      </c>
      <c r="E4291" s="95">
        <f t="shared" si="573"/>
        <v>2079.0979000000002</v>
      </c>
      <c r="F4291" s="98"/>
      <c r="G4291" s="98">
        <v>4.6430647671222687</v>
      </c>
      <c r="H4291" s="98">
        <v>0</v>
      </c>
      <c r="I4291" s="98">
        <v>0</v>
      </c>
      <c r="J4291" s="98"/>
      <c r="K4291" s="98">
        <v>57805.897316870905</v>
      </c>
      <c r="L4291" s="93">
        <f t="shared" si="574"/>
        <v>4.6430647671222687</v>
      </c>
      <c r="M4291" s="95">
        <f t="shared" ca="1" si="575"/>
        <v>0</v>
      </c>
      <c r="N4291" s="95">
        <f ca="1">IF(P4291="Hedge Fund",IF(A4291=Summary!$AD$3,M4291-E4291,M4291),IF(A4291=Summary!$AD$3,L4291-D4291,L4291))</f>
        <v>0</v>
      </c>
      <c r="O4291" s="95"/>
      <c r="P4291" s="107" t="s">
        <v>139</v>
      </c>
      <c r="Q4291" s="107">
        <v>8.4058000297997898E-2</v>
      </c>
      <c r="R4291" s="107">
        <v>3.7725527300000001</v>
      </c>
      <c r="S4291" s="107">
        <v>0</v>
      </c>
      <c r="T4291" s="107">
        <v>0</v>
      </c>
      <c r="U4291" s="107"/>
      <c r="V4291" s="107"/>
      <c r="W4291" s="107"/>
      <c r="X4291" s="107"/>
      <c r="Y4291" s="107"/>
      <c r="Z4291" s="107"/>
      <c r="AA4291" s="107"/>
      <c r="AB4291" s="107"/>
      <c r="AF4291" s="94">
        <f t="shared" si="576"/>
        <v>41274</v>
      </c>
      <c r="AG4291" s="185">
        <f t="shared" si="572"/>
        <v>3.8607348577779366E-2</v>
      </c>
      <c r="AH4291" s="339" t="str">
        <f>VLOOKUP(B4291,'MF PF'!A:B,2)</f>
        <v>FdMgt1</v>
      </c>
      <c r="AI4291" s="358">
        <f t="shared" si="577"/>
        <v>0</v>
      </c>
      <c r="AJ4291" s="94">
        <f t="shared" si="578"/>
        <v>41274</v>
      </c>
    </row>
    <row r="4292" spans="1:36" s="358" customFormat="1" ht="12.75" customHeight="1">
      <c r="A4292" s="94">
        <v>41305</v>
      </c>
      <c r="B4292" s="94" t="s">
        <v>15</v>
      </c>
      <c r="C4292" s="358" t="s">
        <v>297</v>
      </c>
      <c r="D4292" s="98">
        <v>124648786.45471448</v>
      </c>
      <c r="E4292" s="95">
        <f t="shared" si="573"/>
        <v>2152.9526999999998</v>
      </c>
      <c r="F4292" s="98"/>
      <c r="G4292" s="98">
        <v>195423.75043451786</v>
      </c>
      <c r="H4292" s="98">
        <v>0</v>
      </c>
      <c r="I4292" s="98">
        <v>0</v>
      </c>
      <c r="J4292" s="98"/>
      <c r="K4292" s="98">
        <v>57896.667425491738</v>
      </c>
      <c r="L4292" s="93">
        <f t="shared" si="574"/>
        <v>195423.75043451786</v>
      </c>
      <c r="M4292" s="95">
        <f t="shared" ca="1" si="575"/>
        <v>0</v>
      </c>
      <c r="N4292" s="95">
        <f ca="1">IF(P4292="Hedge Fund",IF(A4292=Summary!$AD$3,M4292-E4292,M4292),IF(A4292=Summary!$AD$3,L4292-D4292,L4292))</f>
        <v>0</v>
      </c>
      <c r="O4292" s="95"/>
      <c r="P4292" s="107" t="s">
        <v>139</v>
      </c>
      <c r="Q4292" s="107">
        <v>8.52722033506981E-2</v>
      </c>
      <c r="R4292" s="107">
        <v>0.75457882999999992</v>
      </c>
      <c r="S4292" s="107">
        <v>0</v>
      </c>
      <c r="T4292" s="107">
        <v>0</v>
      </c>
      <c r="U4292" s="107"/>
      <c r="V4292" s="107"/>
      <c r="W4292" s="107"/>
      <c r="X4292" s="107"/>
      <c r="Y4292" s="107"/>
      <c r="Z4292" s="107"/>
      <c r="AA4292" s="107"/>
      <c r="AB4292" s="107"/>
      <c r="AF4292" s="94">
        <f t="shared" si="576"/>
        <v>41305</v>
      </c>
      <c r="AG4292" s="185">
        <f t="shared" si="572"/>
        <v>3.5522521570532817E-2</v>
      </c>
      <c r="AH4292" s="339" t="str">
        <f>VLOOKUP(B4292,'MF PF'!A:B,2)</f>
        <v>FdMgt1</v>
      </c>
      <c r="AI4292" s="358">
        <f t="shared" si="577"/>
        <v>0</v>
      </c>
      <c r="AJ4292" s="94">
        <f t="shared" si="578"/>
        <v>41305</v>
      </c>
    </row>
    <row r="4293" spans="1:36" s="358" customFormat="1" ht="12.75" customHeight="1">
      <c r="A4293" s="94">
        <v>41333</v>
      </c>
      <c r="B4293" s="94" t="s">
        <v>15</v>
      </c>
      <c r="C4293" s="358" t="s">
        <v>297</v>
      </c>
      <c r="D4293" s="98">
        <v>126164865.61337222</v>
      </c>
      <c r="E4293" s="95">
        <f t="shared" si="573"/>
        <v>2179.1387</v>
      </c>
      <c r="F4293" s="98"/>
      <c r="G4293" s="98">
        <v>0</v>
      </c>
      <c r="H4293" s="98">
        <v>-2.9745461940765381</v>
      </c>
      <c r="I4293" s="98">
        <v>0</v>
      </c>
      <c r="J4293" s="98"/>
      <c r="K4293" s="98">
        <v>57896.666060481708</v>
      </c>
      <c r="L4293" s="93">
        <f t="shared" si="574"/>
        <v>-2.9745461940765381</v>
      </c>
      <c r="M4293" s="95">
        <f t="shared" ca="1" si="575"/>
        <v>0</v>
      </c>
      <c r="N4293" s="95">
        <f ca="1">IF(P4293="Hedge Fund",IF(A4293=Summary!$AD$3,M4293-E4293,M4293),IF(A4293=Summary!$AD$3,L4293-D4293,L4293))</f>
        <v>0</v>
      </c>
      <c r="O4293" s="95"/>
      <c r="P4293" s="107" t="s">
        <v>139</v>
      </c>
      <c r="Q4293" s="107">
        <v>7.8109606332895154E-2</v>
      </c>
      <c r="R4293" s="107">
        <v>1.0221222299999999</v>
      </c>
      <c r="S4293" s="107">
        <v>0</v>
      </c>
      <c r="T4293" s="107">
        <v>0</v>
      </c>
      <c r="U4293" s="107"/>
      <c r="V4293" s="107"/>
      <c r="W4293" s="107"/>
      <c r="X4293" s="107"/>
      <c r="Y4293" s="107"/>
      <c r="Z4293" s="107"/>
      <c r="AA4293" s="107"/>
      <c r="AB4293" s="107"/>
      <c r="AF4293" s="94">
        <f t="shared" si="576"/>
        <v>41333</v>
      </c>
      <c r="AG4293" s="185">
        <f t="shared" si="572"/>
        <v>1.2162831073808666E-2</v>
      </c>
      <c r="AH4293" s="339" t="str">
        <f>VLOOKUP(B4293,'MF PF'!A:B,2)</f>
        <v>FdMgt1</v>
      </c>
      <c r="AI4293" s="358">
        <f t="shared" si="577"/>
        <v>0</v>
      </c>
      <c r="AJ4293" s="94">
        <f t="shared" si="578"/>
        <v>41333</v>
      </c>
    </row>
    <row r="4294" spans="1:36" s="358" customFormat="1" ht="12.75" customHeight="1">
      <c r="A4294" s="94">
        <v>41361</v>
      </c>
      <c r="B4294" s="94" t="s">
        <v>15</v>
      </c>
      <c r="C4294" s="358" t="s">
        <v>297</v>
      </c>
      <c r="D4294" s="98">
        <v>126276143.44013076</v>
      </c>
      <c r="E4294" s="95">
        <f t="shared" si="573"/>
        <v>2181.0607</v>
      </c>
      <c r="F4294" s="98"/>
      <c r="G4294" s="98">
        <v>0.43459028005599976</v>
      </c>
      <c r="H4294" s="98">
        <v>0</v>
      </c>
      <c r="I4294" s="98">
        <v>0</v>
      </c>
      <c r="J4294" s="98"/>
      <c r="K4294" s="98">
        <v>57896.6662597381</v>
      </c>
      <c r="L4294" s="93">
        <f t="shared" si="574"/>
        <v>0.43459028005599976</v>
      </c>
      <c r="M4294" s="95">
        <f t="shared" ca="1" si="575"/>
        <v>0</v>
      </c>
      <c r="N4294" s="95">
        <f ca="1">IF(P4294="Hedge Fund",IF(A4294=Summary!$AD$3,M4294-E4294,M4294),IF(A4294=Summary!$AD$3,L4294-D4294,L4294))</f>
        <v>0</v>
      </c>
      <c r="O4294" s="95"/>
      <c r="P4294" s="107" t="s">
        <v>139</v>
      </c>
      <c r="Q4294" s="107">
        <v>7.8190005545692789E-2</v>
      </c>
      <c r="R4294" s="107">
        <v>1.0417595900000001</v>
      </c>
      <c r="S4294" s="107">
        <v>0</v>
      </c>
      <c r="T4294" s="107">
        <v>0</v>
      </c>
      <c r="U4294" s="107"/>
      <c r="V4294" s="107"/>
      <c r="W4294" s="107"/>
      <c r="X4294" s="107"/>
      <c r="Y4294" s="107"/>
      <c r="Z4294" s="107"/>
      <c r="AA4294" s="107"/>
      <c r="AB4294" s="107"/>
      <c r="AF4294" s="94">
        <f t="shared" si="576"/>
        <v>41361</v>
      </c>
      <c r="AG4294" s="185">
        <f t="shared" si="572"/>
        <v>8.819998470037671E-4</v>
      </c>
      <c r="AH4294" s="339" t="str">
        <f>VLOOKUP(B4294,'MF PF'!A:B,2)</f>
        <v>FdMgt1</v>
      </c>
      <c r="AI4294" s="358">
        <f t="shared" si="577"/>
        <v>0</v>
      </c>
      <c r="AJ4294" s="94">
        <f t="shared" si="578"/>
        <v>41364</v>
      </c>
    </row>
    <row r="4295" spans="1:36" s="358" customFormat="1" ht="12.75" customHeight="1">
      <c r="A4295" s="94">
        <v>41394</v>
      </c>
      <c r="B4295" s="94" t="s">
        <v>15</v>
      </c>
      <c r="C4295" s="358" t="s">
        <v>297</v>
      </c>
      <c r="D4295" s="98">
        <v>126443760.47416349</v>
      </c>
      <c r="E4295" s="95">
        <f t="shared" si="573"/>
        <v>2183.9559000000004</v>
      </c>
      <c r="F4295" s="98"/>
      <c r="G4295" s="98">
        <v>0</v>
      </c>
      <c r="H4295" s="98">
        <v>-5.3941224962472916</v>
      </c>
      <c r="I4295" s="98">
        <v>0</v>
      </c>
      <c r="J4295" s="98"/>
      <c r="K4295" s="98">
        <v>57896.663789851918</v>
      </c>
      <c r="L4295" s="93">
        <f t="shared" si="574"/>
        <v>-5.3941224962472916</v>
      </c>
      <c r="M4295" s="95">
        <f t="shared" ca="1" si="575"/>
        <v>0</v>
      </c>
      <c r="N4295" s="95">
        <f ca="1">IF(P4295="Hedge Fund",IF(A4295=Summary!$AD$3,M4295-E4295,M4295),IF(A4295=Summary!$AD$3,L4295-D4295,L4295))</f>
        <v>0</v>
      </c>
      <c r="O4295" s="95"/>
      <c r="P4295" s="107" t="s">
        <v>139</v>
      </c>
      <c r="Q4295" s="107">
        <v>9.2306879095650968E-2</v>
      </c>
      <c r="R4295" s="107">
        <v>1.0713399099999998</v>
      </c>
      <c r="S4295" s="107">
        <v>0</v>
      </c>
      <c r="T4295" s="107">
        <v>0</v>
      </c>
      <c r="U4295" s="107"/>
      <c r="V4295" s="107"/>
      <c r="W4295" s="107"/>
      <c r="X4295" s="107"/>
      <c r="Y4295" s="107"/>
      <c r="Z4295" s="107"/>
      <c r="AA4295" s="107"/>
      <c r="AB4295" s="107"/>
      <c r="AF4295" s="94">
        <f t="shared" si="576"/>
        <v>41394</v>
      </c>
      <c r="AG4295" s="185">
        <f t="shared" si="572"/>
        <v>1.3274275218477793E-3</v>
      </c>
      <c r="AH4295" s="339" t="str">
        <f>VLOOKUP(B4295,'MF PF'!A:B,2)</f>
        <v>FdMgt1</v>
      </c>
      <c r="AI4295" s="358">
        <f t="shared" si="577"/>
        <v>0</v>
      </c>
      <c r="AJ4295" s="94">
        <f t="shared" si="578"/>
        <v>41394</v>
      </c>
    </row>
    <row r="4296" spans="1:36" s="358" customFormat="1" ht="12.75" customHeight="1">
      <c r="A4296" s="94">
        <v>41425</v>
      </c>
      <c r="B4296" s="94" t="s">
        <v>15</v>
      </c>
      <c r="C4296" s="358" t="s">
        <v>297</v>
      </c>
      <c r="D4296" s="98">
        <v>131705258.52871521</v>
      </c>
      <c r="E4296" s="95">
        <f t="shared" si="573"/>
        <v>2274.8332</v>
      </c>
      <c r="F4296" s="98"/>
      <c r="G4296" s="98">
        <v>5.5703222453594208</v>
      </c>
      <c r="H4296" s="98">
        <v>0</v>
      </c>
      <c r="I4296" s="98">
        <v>0</v>
      </c>
      <c r="J4296" s="98"/>
      <c r="K4296" s="98">
        <v>57896.66623852474</v>
      </c>
      <c r="L4296" s="93">
        <f t="shared" si="574"/>
        <v>5.5703222453594208</v>
      </c>
      <c r="M4296" s="95">
        <f t="shared" ca="1" si="575"/>
        <v>0</v>
      </c>
      <c r="N4296" s="95">
        <f ca="1">IF(P4296="Hedge Fund",IF(A4296=Summary!$AD$3,M4296-E4296,M4296),IF(A4296=Summary!$AD$3,L4296-D4296,L4296))</f>
        <v>0</v>
      </c>
      <c r="O4296" s="95"/>
      <c r="P4296" s="107" t="s">
        <v>139</v>
      </c>
      <c r="Q4296" s="107">
        <v>9.0917243137490902E-2</v>
      </c>
      <c r="R4296" s="107">
        <v>1.99983884</v>
      </c>
      <c r="S4296" s="107">
        <v>0</v>
      </c>
      <c r="T4296" s="107">
        <v>0</v>
      </c>
      <c r="U4296" s="107"/>
      <c r="V4296" s="107"/>
      <c r="W4296" s="107"/>
      <c r="X4296" s="107"/>
      <c r="Y4296" s="107"/>
      <c r="Z4296" s="107"/>
      <c r="AA4296" s="107"/>
      <c r="AB4296" s="107"/>
      <c r="AF4296" s="94">
        <f t="shared" si="576"/>
        <v>41425</v>
      </c>
      <c r="AG4296" s="185">
        <f t="shared" si="572"/>
        <v>4.1611325576674574E-2</v>
      </c>
      <c r="AH4296" s="339" t="str">
        <f>VLOOKUP(B4296,'MF PF'!A:B,2)</f>
        <v>FdMgt1</v>
      </c>
      <c r="AI4296" s="358">
        <f t="shared" si="577"/>
        <v>0</v>
      </c>
      <c r="AJ4296" s="94">
        <f t="shared" si="578"/>
        <v>41425</v>
      </c>
    </row>
    <row r="4297" spans="1:36" s="358" customFormat="1" ht="12.75" customHeight="1">
      <c r="A4297" s="94">
        <v>41453</v>
      </c>
      <c r="B4297" s="94" t="s">
        <v>15</v>
      </c>
      <c r="C4297" s="358" t="s">
        <v>297</v>
      </c>
      <c r="D4297" s="98">
        <v>126690978.86147915</v>
      </c>
      <c r="E4297" s="95">
        <f t="shared" si="573"/>
        <v>2188.2258000000002</v>
      </c>
      <c r="F4297" s="98"/>
      <c r="G4297" s="98">
        <v>6.4350351691246033E-2</v>
      </c>
      <c r="H4297" s="98">
        <v>0</v>
      </c>
      <c r="I4297" s="98">
        <v>0</v>
      </c>
      <c r="J4297" s="98"/>
      <c r="K4297" s="98">
        <v>57896.666267932284</v>
      </c>
      <c r="L4297" s="93">
        <f t="shared" si="574"/>
        <v>6.4350351691246033E-2</v>
      </c>
      <c r="M4297" s="95">
        <f t="shared" ca="1" si="575"/>
        <v>0</v>
      </c>
      <c r="N4297" s="95">
        <f ca="1">IF(P4297="Hedge Fund",IF(A4297=Summary!$AD$3,M4297-E4297,M4297),IF(A4297=Summary!$AD$3,L4297-D4297,L4297))</f>
        <v>0</v>
      </c>
      <c r="O4297" s="95"/>
      <c r="P4297" s="107" t="s">
        <v>139</v>
      </c>
      <c r="Q4297" s="107">
        <v>7.8489727967604894E-2</v>
      </c>
      <c r="R4297" s="107">
        <v>1.1149664699999999</v>
      </c>
      <c r="S4297" s="107">
        <v>0</v>
      </c>
      <c r="T4297" s="107">
        <v>0</v>
      </c>
      <c r="U4297" s="107"/>
      <c r="V4297" s="107"/>
      <c r="W4297" s="107"/>
      <c r="X4297" s="107"/>
      <c r="Y4297" s="107"/>
      <c r="Z4297" s="107"/>
      <c r="AA4297" s="107"/>
      <c r="AB4297" s="107"/>
      <c r="AF4297" s="94">
        <f t="shared" si="576"/>
        <v>41453</v>
      </c>
      <c r="AG4297" s="185">
        <f t="shared" ref="AG4297:AG4328" si="579">IF(C4297&lt;&gt;C4296,D4297/G4297-1,(D4297-G4297-I4297-H4297)/(D4296)-1)</f>
        <v>-3.8071978200423739E-2</v>
      </c>
      <c r="AH4297" s="339" t="str">
        <f>VLOOKUP(B4297,'MF PF'!A:B,2)</f>
        <v>FdMgt1</v>
      </c>
      <c r="AI4297" s="358">
        <f t="shared" si="577"/>
        <v>0</v>
      </c>
      <c r="AJ4297" s="94">
        <f t="shared" si="578"/>
        <v>41455</v>
      </c>
    </row>
    <row r="4298" spans="1:36" s="358" customFormat="1" ht="12.75" customHeight="1">
      <c r="A4298" s="94">
        <v>41486</v>
      </c>
      <c r="B4298" s="94" t="s">
        <v>15</v>
      </c>
      <c r="C4298" s="358" t="s">
        <v>297</v>
      </c>
      <c r="D4298" s="98">
        <v>124642338.01894009</v>
      </c>
      <c r="E4298" s="95">
        <f t="shared" si="573"/>
        <v>2152.8413999999998</v>
      </c>
      <c r="F4298" s="98"/>
      <c r="G4298" s="98">
        <v>0</v>
      </c>
      <c r="H4298" s="98">
        <v>-2.0446480065584183</v>
      </c>
      <c r="I4298" s="98">
        <v>0</v>
      </c>
      <c r="J4298" s="98"/>
      <c r="K4298" s="98">
        <v>57896.665318188374</v>
      </c>
      <c r="L4298" s="93">
        <f t="shared" si="574"/>
        <v>-2.0446480065584183</v>
      </c>
      <c r="M4298" s="95">
        <f t="shared" ca="1" si="575"/>
        <v>0</v>
      </c>
      <c r="N4298" s="95">
        <f ca="1">IF(P4298="Hedge Fund",IF(A4298=Summary!$AD$3,M4298-E4298,M4298),IF(A4298=Summary!$AD$3,L4298-D4298,L4298))</f>
        <v>0</v>
      </c>
      <c r="O4298" s="95"/>
      <c r="P4298" s="107" t="s">
        <v>139</v>
      </c>
      <c r="Q4298" s="107">
        <v>9.0772724108601502E-2</v>
      </c>
      <c r="R4298" s="107">
        <v>0.75344115</v>
      </c>
      <c r="S4298" s="107">
        <v>0</v>
      </c>
      <c r="T4298" s="107">
        <v>0</v>
      </c>
      <c r="U4298" s="107"/>
      <c r="V4298" s="107"/>
      <c r="W4298" s="107"/>
      <c r="X4298" s="107"/>
      <c r="Y4298" s="107"/>
      <c r="Z4298" s="107"/>
      <c r="AA4298" s="107"/>
      <c r="AB4298" s="107"/>
      <c r="AF4298" s="94">
        <f t="shared" si="576"/>
        <v>41486</v>
      </c>
      <c r="AG4298" s="185">
        <f t="shared" si="579"/>
        <v>-1.6170360481080337E-2</v>
      </c>
      <c r="AH4298" s="339" t="str">
        <f>VLOOKUP(B4298,'MF PF'!A:B,2)</f>
        <v>FdMgt1</v>
      </c>
      <c r="AI4298" s="358">
        <f t="shared" si="577"/>
        <v>0</v>
      </c>
      <c r="AJ4298" s="94">
        <f t="shared" si="578"/>
        <v>41486</v>
      </c>
    </row>
    <row r="4299" spans="1:36" s="358" customFormat="1" ht="12.75" customHeight="1">
      <c r="A4299" s="94">
        <v>41516</v>
      </c>
      <c r="B4299" s="94" t="s">
        <v>15</v>
      </c>
      <c r="C4299" s="358" t="s">
        <v>297</v>
      </c>
      <c r="D4299" s="98">
        <v>121467272.88111438</v>
      </c>
      <c r="E4299" s="95">
        <f t="shared" si="573"/>
        <v>2098.0011</v>
      </c>
      <c r="F4299" s="98"/>
      <c r="G4299" s="98">
        <v>5.357223317027092</v>
      </c>
      <c r="H4299" s="98">
        <v>0</v>
      </c>
      <c r="I4299" s="98">
        <v>0</v>
      </c>
      <c r="J4299" s="98"/>
      <c r="K4299" s="98">
        <v>57896.667871677659</v>
      </c>
      <c r="L4299" s="93">
        <f t="shared" si="574"/>
        <v>5.357223317027092</v>
      </c>
      <c r="M4299" s="95">
        <f t="shared" ca="1" si="575"/>
        <v>0</v>
      </c>
      <c r="N4299" s="95">
        <f ca="1">IF(P4299="Hedge Fund",IF(A4299=Summary!$AD$3,M4299-E4299,M4299),IF(A4299=Summary!$AD$3,L4299-D4299,L4299))</f>
        <v>0</v>
      </c>
      <c r="O4299" s="95"/>
      <c r="P4299" s="107" t="s">
        <v>139</v>
      </c>
      <c r="Q4299" s="107">
        <v>8.0056420730929292E-2</v>
      </c>
      <c r="R4299" s="107">
        <v>0.19313543</v>
      </c>
      <c r="S4299" s="107">
        <v>0</v>
      </c>
      <c r="T4299" s="107">
        <v>0</v>
      </c>
      <c r="U4299" s="107"/>
      <c r="V4299" s="107"/>
      <c r="W4299" s="107"/>
      <c r="X4299" s="107"/>
      <c r="Y4299" s="107"/>
      <c r="Z4299" s="107"/>
      <c r="AA4299" s="107"/>
      <c r="AB4299" s="107"/>
      <c r="AF4299" s="94">
        <f t="shared" si="576"/>
        <v>41516</v>
      </c>
      <c r="AG4299" s="185">
        <f t="shared" si="579"/>
        <v>-2.5473451040099682E-2</v>
      </c>
      <c r="AH4299" s="339" t="str">
        <f>VLOOKUP(B4299,'MF PF'!A:B,2)</f>
        <v>FdMgt1</v>
      </c>
      <c r="AI4299" s="358">
        <f t="shared" si="577"/>
        <v>0</v>
      </c>
      <c r="AJ4299" s="94">
        <f t="shared" si="578"/>
        <v>41517</v>
      </c>
    </row>
    <row r="4300" spans="1:36" s="358" customFormat="1" ht="12.75" customHeight="1">
      <c r="A4300" s="94">
        <v>41547</v>
      </c>
      <c r="B4300" s="94" t="s">
        <v>15</v>
      </c>
      <c r="C4300" s="358" t="s">
        <v>297</v>
      </c>
      <c r="D4300" s="98">
        <v>120920211.13337706</v>
      </c>
      <c r="E4300" s="95">
        <f t="shared" si="573"/>
        <v>2088.5522000000001</v>
      </c>
      <c r="F4300" s="98"/>
      <c r="G4300" s="98">
        <v>0</v>
      </c>
      <c r="H4300" s="98">
        <v>-1.9226846396923065</v>
      </c>
      <c r="I4300" s="98">
        <v>0</v>
      </c>
      <c r="J4300" s="98"/>
      <c r="K4300" s="98">
        <v>57896.666951095147</v>
      </c>
      <c r="L4300" s="93">
        <f t="shared" si="574"/>
        <v>-1.9226846396923065</v>
      </c>
      <c r="M4300" s="95">
        <f t="shared" ca="1" si="575"/>
        <v>0</v>
      </c>
      <c r="N4300" s="95">
        <f ca="1">IF(P4300="Hedge Fund",IF(A4300=Summary!$AD$3,M4300-E4300,M4300),IF(A4300=Summary!$AD$3,L4300-D4300,L4300))</f>
        <v>0</v>
      </c>
      <c r="O4300" s="95"/>
      <c r="P4300" s="107" t="s">
        <v>139</v>
      </c>
      <c r="Q4300" s="107">
        <v>8.2289416122947337E-2</v>
      </c>
      <c r="R4300" s="107">
        <v>9.6595089999999995E-2</v>
      </c>
      <c r="S4300" s="107">
        <v>0</v>
      </c>
      <c r="T4300" s="107">
        <v>0</v>
      </c>
      <c r="U4300" s="107"/>
      <c r="V4300" s="107"/>
      <c r="W4300" s="107"/>
      <c r="X4300" s="107"/>
      <c r="Y4300" s="107"/>
      <c r="Z4300" s="107"/>
      <c r="AA4300" s="107"/>
      <c r="AB4300" s="107"/>
      <c r="AF4300" s="94">
        <f t="shared" si="576"/>
        <v>41547</v>
      </c>
      <c r="AG4300" s="185">
        <f t="shared" si="579"/>
        <v>-4.5037631295806735E-3</v>
      </c>
      <c r="AH4300" s="339" t="str">
        <f>VLOOKUP(B4300,'MF PF'!A:B,2)</f>
        <v>FdMgt1</v>
      </c>
      <c r="AI4300" s="358">
        <f t="shared" si="577"/>
        <v>0</v>
      </c>
      <c r="AJ4300" s="94">
        <f t="shared" si="578"/>
        <v>41547</v>
      </c>
    </row>
    <row r="4301" spans="1:36" s="358" customFormat="1" ht="12.75" customHeight="1">
      <c r="A4301" s="94">
        <v>41578</v>
      </c>
      <c r="B4301" s="94" t="s">
        <v>15</v>
      </c>
      <c r="C4301" s="358" t="s">
        <v>297</v>
      </c>
      <c r="D4301" s="98">
        <v>122750712.71748152</v>
      </c>
      <c r="E4301" s="95">
        <f t="shared" si="573"/>
        <v>2120.1690000000008</v>
      </c>
      <c r="F4301" s="98"/>
      <c r="G4301" s="98">
        <v>0</v>
      </c>
      <c r="H4301" s="98">
        <v>-5.7555549740791321</v>
      </c>
      <c r="I4301" s="98">
        <v>0</v>
      </c>
      <c r="J4301" s="98"/>
      <c r="K4301" s="98">
        <v>57896.664236427139</v>
      </c>
      <c r="L4301" s="93">
        <f t="shared" si="574"/>
        <v>-5.7555549740791321</v>
      </c>
      <c r="M4301" s="95">
        <f t="shared" ca="1" si="575"/>
        <v>0</v>
      </c>
      <c r="N4301" s="95">
        <f ca="1">IF(P4301="Hedge Fund",IF(A4301=Summary!$AD$3,M4301-E4301,M4301),IF(A4301=Summary!$AD$3,L4301-D4301,L4301))</f>
        <v>0</v>
      </c>
      <c r="O4301" s="95"/>
      <c r="P4301" s="107" t="s">
        <v>139</v>
      </c>
      <c r="Q4301" s="107">
        <v>8.3753782066029209E-2</v>
      </c>
      <c r="R4301" s="107">
        <v>0.41962548999999999</v>
      </c>
      <c r="S4301" s="107">
        <v>0</v>
      </c>
      <c r="T4301" s="107">
        <v>0</v>
      </c>
      <c r="U4301" s="107"/>
      <c r="V4301" s="107"/>
      <c r="W4301" s="107"/>
      <c r="X4301" s="107"/>
      <c r="Y4301" s="107"/>
      <c r="Z4301" s="107"/>
      <c r="AA4301" s="107"/>
      <c r="AB4301" s="107"/>
      <c r="AF4301" s="94">
        <f t="shared" si="576"/>
        <v>41578</v>
      </c>
      <c r="AG4301" s="185">
        <f t="shared" si="579"/>
        <v>1.5138142106288166E-2</v>
      </c>
      <c r="AH4301" s="339" t="str">
        <f>VLOOKUP(B4301,'MF PF'!A:B,2)</f>
        <v>FdMgt1</v>
      </c>
      <c r="AI4301" s="358">
        <f t="shared" si="577"/>
        <v>0</v>
      </c>
      <c r="AJ4301" s="94">
        <f t="shared" si="578"/>
        <v>41578</v>
      </c>
    </row>
    <row r="4302" spans="1:36" s="358" customFormat="1" ht="12.75" customHeight="1">
      <c r="A4302" s="94">
        <v>41607</v>
      </c>
      <c r="B4302" s="94" t="s">
        <v>15</v>
      </c>
      <c r="C4302" s="358" t="s">
        <v>297</v>
      </c>
      <c r="D4302" s="98">
        <v>121394588.26288603</v>
      </c>
      <c r="E4302" s="95">
        <f t="shared" si="573"/>
        <v>2096.7456999999999</v>
      </c>
      <c r="F4302" s="98"/>
      <c r="G4302" s="98">
        <v>6.4808136522769928</v>
      </c>
      <c r="H4302" s="98">
        <v>0</v>
      </c>
      <c r="I4302" s="98">
        <v>0</v>
      </c>
      <c r="J4302" s="98"/>
      <c r="K4302" s="98">
        <v>57896.667327318726</v>
      </c>
      <c r="L4302" s="93">
        <f t="shared" si="574"/>
        <v>6.4808136522769928</v>
      </c>
      <c r="M4302" s="95">
        <f t="shared" ca="1" si="575"/>
        <v>0</v>
      </c>
      <c r="N4302" s="95">
        <f ca="1">IF(P4302="Hedge Fund",IF(A4302=Summary!$AD$3,M4302-E4302,M4302),IF(A4302=Summary!$AD$3,L4302-D4302,L4302))</f>
        <v>0</v>
      </c>
      <c r="O4302" s="95"/>
      <c r="P4302" s="107" t="s">
        <v>139</v>
      </c>
      <c r="Q4302" s="107">
        <v>8.0000151950221685E-2</v>
      </c>
      <c r="R4302" s="107">
        <v>0.18030932</v>
      </c>
      <c r="S4302" s="107">
        <v>0</v>
      </c>
      <c r="T4302" s="107">
        <v>0</v>
      </c>
      <c r="U4302" s="107"/>
      <c r="V4302" s="107"/>
      <c r="W4302" s="107"/>
      <c r="X4302" s="107"/>
      <c r="Y4302" s="107"/>
      <c r="Z4302" s="107"/>
      <c r="AA4302" s="107"/>
      <c r="AB4302" s="107"/>
      <c r="AF4302" s="94">
        <f t="shared" si="576"/>
        <v>41607</v>
      </c>
      <c r="AG4302" s="185">
        <f t="shared" si="579"/>
        <v>-1.1047845714186266E-2</v>
      </c>
      <c r="AH4302" s="339" t="str">
        <f>VLOOKUP(B4302,'MF PF'!A:B,2)</f>
        <v>FdMgt1</v>
      </c>
      <c r="AI4302" s="358">
        <f t="shared" si="577"/>
        <v>0</v>
      </c>
      <c r="AJ4302" s="94">
        <f t="shared" si="578"/>
        <v>41608</v>
      </c>
    </row>
    <row r="4303" spans="1:36" s="358" customFormat="1" ht="12.75" customHeight="1">
      <c r="A4303" s="94">
        <v>41639</v>
      </c>
      <c r="B4303" s="94" t="s">
        <v>15</v>
      </c>
      <c r="C4303" s="358" t="s">
        <v>297</v>
      </c>
      <c r="D4303" s="98">
        <v>122373903.61101939</v>
      </c>
      <c r="E4303" s="95">
        <f t="shared" si="573"/>
        <v>2113.6606000000002</v>
      </c>
      <c r="F4303" s="98"/>
      <c r="G4303" s="98">
        <v>0</v>
      </c>
      <c r="H4303" s="98">
        <v>-0.99004150927066803</v>
      </c>
      <c r="I4303" s="98">
        <v>0</v>
      </c>
      <c r="J4303" s="98"/>
      <c r="K4303" s="98">
        <v>57896.666858917357</v>
      </c>
      <c r="L4303" s="93">
        <f t="shared" si="574"/>
        <v>-0.99004150927066803</v>
      </c>
      <c r="M4303" s="95">
        <f t="shared" ca="1" si="575"/>
        <v>0</v>
      </c>
      <c r="N4303" s="95">
        <f ca="1">IF(P4303="Hedge Fund",IF(A4303=Summary!$AD$3,M4303-E4303,M4303),IF(A4303=Summary!$AD$3,L4303-D4303,L4303))</f>
        <v>0</v>
      </c>
      <c r="O4303" s="95"/>
      <c r="P4303" s="107" t="s">
        <v>139</v>
      </c>
      <c r="Q4303" s="107">
        <v>8.6146525819238762E-2</v>
      </c>
      <c r="R4303" s="107">
        <v>0.35312915</v>
      </c>
      <c r="S4303" s="107">
        <v>0</v>
      </c>
      <c r="T4303" s="107">
        <v>0</v>
      </c>
      <c r="U4303" s="107"/>
      <c r="V4303" s="107"/>
      <c r="W4303" s="107"/>
      <c r="X4303" s="107"/>
      <c r="Y4303" s="107"/>
      <c r="Z4303" s="107"/>
      <c r="AA4303" s="107"/>
      <c r="AB4303" s="107"/>
      <c r="AF4303" s="94">
        <f t="shared" si="576"/>
        <v>41639</v>
      </c>
      <c r="AG4303" s="185">
        <f t="shared" si="579"/>
        <v>8.0672157811030321E-3</v>
      </c>
      <c r="AH4303" s="339" t="str">
        <f>VLOOKUP(B4303,'MF PF'!A:B,2)</f>
        <v>FdMgt1</v>
      </c>
      <c r="AI4303" s="358">
        <f t="shared" si="577"/>
        <v>0</v>
      </c>
      <c r="AJ4303" s="94">
        <f t="shared" si="578"/>
        <v>41639</v>
      </c>
    </row>
    <row r="4304" spans="1:36" s="358" customFormat="1" ht="12.75" customHeight="1">
      <c r="A4304" s="94">
        <v>41669</v>
      </c>
      <c r="B4304" s="94" t="s">
        <v>15</v>
      </c>
      <c r="C4304" s="358" t="s">
        <v>297</v>
      </c>
      <c r="D4304" s="98">
        <v>123348933.43208557</v>
      </c>
      <c r="E4304" s="95">
        <f t="shared" ref="E4304:E4335" si="580">IF(K4304="","",D4304/K4304)</f>
        <v>2130.5014999999999</v>
      </c>
      <c r="F4304" s="98"/>
      <c r="G4304" s="98">
        <v>0</v>
      </c>
      <c r="H4304" s="98">
        <v>-2.1558381319046021</v>
      </c>
      <c r="I4304" s="98">
        <v>0</v>
      </c>
      <c r="J4304" s="98"/>
      <c r="K4304" s="98">
        <v>57896.665847025019</v>
      </c>
      <c r="L4304" s="93">
        <f t="shared" si="574"/>
        <v>-2.1558381319046021</v>
      </c>
      <c r="M4304" s="95">
        <f t="shared" ca="1" si="575"/>
        <v>0</v>
      </c>
      <c r="N4304" s="95">
        <f ca="1">IF(P4304="Hedge Fund",IF(A4304=Summary!$AD$3,M4304-E4304,M4304),IF(A4304=Summary!$AD$3,L4304-D4304,L4304))</f>
        <v>0</v>
      </c>
      <c r="O4304" s="95"/>
      <c r="P4304" s="107" t="s">
        <v>139</v>
      </c>
      <c r="Q4304" s="107">
        <v>8.1280747760225591E-2</v>
      </c>
      <c r="R4304" s="107">
        <v>0.17206426</v>
      </c>
      <c r="S4304" s="107">
        <v>0</v>
      </c>
      <c r="T4304" s="107">
        <v>0</v>
      </c>
      <c r="U4304" s="107"/>
      <c r="V4304" s="107"/>
      <c r="W4304" s="107"/>
      <c r="X4304" s="107"/>
      <c r="Y4304" s="107"/>
      <c r="Z4304" s="107"/>
      <c r="AA4304" s="107"/>
      <c r="AB4304" s="107"/>
      <c r="AF4304" s="94">
        <f t="shared" si="576"/>
        <v>41669</v>
      </c>
      <c r="AG4304" s="185">
        <f t="shared" si="579"/>
        <v>7.967646272064588E-3</v>
      </c>
      <c r="AH4304" s="339" t="str">
        <f>VLOOKUP(B4304,'MF PF'!A:B,2)</f>
        <v>FdMgt1</v>
      </c>
      <c r="AI4304" s="358">
        <f t="shared" si="577"/>
        <v>0</v>
      </c>
      <c r="AJ4304" s="94">
        <f t="shared" si="578"/>
        <v>41670</v>
      </c>
    </row>
    <row r="4305" spans="1:36" s="358" customFormat="1" ht="12.75" customHeight="1">
      <c r="A4305" s="94">
        <v>41698</v>
      </c>
      <c r="B4305" s="94" t="s">
        <v>15</v>
      </c>
      <c r="C4305" s="358" t="s">
        <v>297</v>
      </c>
      <c r="D4305" s="98">
        <v>122559881.30965824</v>
      </c>
      <c r="E4305" s="95">
        <f t="shared" si="580"/>
        <v>2116.8728000000001</v>
      </c>
      <c r="F4305" s="98"/>
      <c r="G4305" s="98">
        <v>4.1674020141363144</v>
      </c>
      <c r="H4305" s="98">
        <v>0</v>
      </c>
      <c r="I4305" s="98">
        <v>0</v>
      </c>
      <c r="J4305" s="98"/>
      <c r="K4305" s="98">
        <v>57896.667815684646</v>
      </c>
      <c r="L4305" s="93">
        <f t="shared" si="574"/>
        <v>4.1674020141363144</v>
      </c>
      <c r="M4305" s="95">
        <f t="shared" ca="1" si="575"/>
        <v>0</v>
      </c>
      <c r="N4305" s="95">
        <f ca="1">IF(P4305="Hedge Fund",IF(A4305=Summary!$AD$3,M4305-E4305,M4305),IF(A4305=Summary!$AD$3,L4305-D4305,L4305))</f>
        <v>0</v>
      </c>
      <c r="O4305" s="95"/>
      <c r="P4305" s="107" t="s">
        <v>139</v>
      </c>
      <c r="Q4305" s="107">
        <v>7.797893532094341E-2</v>
      </c>
      <c r="R4305" s="107">
        <v>3.2819589999999996E-2</v>
      </c>
      <c r="S4305" s="107">
        <v>0</v>
      </c>
      <c r="T4305" s="107">
        <v>0</v>
      </c>
      <c r="U4305" s="107"/>
      <c r="V4305" s="107"/>
      <c r="W4305" s="107"/>
      <c r="X4305" s="107"/>
      <c r="Y4305" s="107"/>
      <c r="Z4305" s="107"/>
      <c r="AA4305" s="107"/>
      <c r="AB4305" s="107"/>
      <c r="AF4305" s="94">
        <f t="shared" si="576"/>
        <v>41698</v>
      </c>
      <c r="AG4305" s="185">
        <f t="shared" si="579"/>
        <v>-6.3969445691541837E-3</v>
      </c>
      <c r="AH4305" s="339" t="str">
        <f>VLOOKUP(B4305,'MF PF'!A:B,2)</f>
        <v>FdMgt1</v>
      </c>
      <c r="AI4305" s="358">
        <f t="shared" si="577"/>
        <v>0</v>
      </c>
      <c r="AJ4305" s="94">
        <f t="shared" si="578"/>
        <v>41698</v>
      </c>
    </row>
    <row r="4306" spans="1:36" s="358" customFormat="1" ht="12.75" customHeight="1">
      <c r="A4306" s="94">
        <v>41729</v>
      </c>
      <c r="B4306" s="94" t="s">
        <v>15</v>
      </c>
      <c r="C4306" s="358" t="s">
        <v>297</v>
      </c>
      <c r="D4306" s="98">
        <v>122156170.99987981</v>
      </c>
      <c r="E4306" s="95">
        <f t="shared" si="580"/>
        <v>2109.8998999999999</v>
      </c>
      <c r="F4306" s="98"/>
      <c r="G4306" s="98">
        <v>0</v>
      </c>
      <c r="H4306" s="98">
        <v>-2.6347664445638657</v>
      </c>
      <c r="I4306" s="98">
        <v>0</v>
      </c>
      <c r="J4306" s="98"/>
      <c r="K4306" s="98">
        <v>57896.666566920925</v>
      </c>
      <c r="L4306" s="93">
        <f t="shared" si="574"/>
        <v>-2.6347664445638657</v>
      </c>
      <c r="M4306" s="95">
        <f t="shared" ca="1" si="575"/>
        <v>0</v>
      </c>
      <c r="N4306" s="95">
        <f ca="1">IF(P4306="Hedge Fund",IF(A4306=Summary!$AD$3,M4306-E4306,M4306),IF(A4306=Summary!$AD$3,L4306-D4306,L4306))</f>
        <v>0</v>
      </c>
      <c r="O4306" s="95"/>
      <c r="P4306" s="107" t="s">
        <v>139</v>
      </c>
      <c r="Q4306" s="107">
        <v>8.3064165227103998E-2</v>
      </c>
      <c r="R4306" s="107">
        <v>0</v>
      </c>
      <c r="S4306" s="107">
        <v>0</v>
      </c>
      <c r="T4306" s="107">
        <v>0</v>
      </c>
      <c r="U4306" s="107"/>
      <c r="V4306" s="107"/>
      <c r="W4306" s="107"/>
      <c r="X4306" s="107"/>
      <c r="Y4306" s="107"/>
      <c r="Z4306" s="107"/>
      <c r="AA4306" s="107"/>
      <c r="AB4306" s="107"/>
      <c r="AF4306" s="94">
        <f t="shared" si="576"/>
        <v>41729</v>
      </c>
      <c r="AG4306" s="185">
        <f t="shared" si="579"/>
        <v>-3.2939626792880539E-3</v>
      </c>
      <c r="AH4306" s="339" t="str">
        <f>VLOOKUP(B4306,'MF PF'!A:B,2)</f>
        <v>FdMgt1</v>
      </c>
      <c r="AI4306" s="358">
        <f t="shared" si="577"/>
        <v>0</v>
      </c>
      <c r="AJ4306" s="94">
        <f t="shared" si="578"/>
        <v>41729</v>
      </c>
    </row>
    <row r="4307" spans="1:36" s="358" customFormat="1" ht="12.75" customHeight="1">
      <c r="A4307" s="94">
        <v>41759</v>
      </c>
      <c r="B4307" s="94" t="s">
        <v>15</v>
      </c>
      <c r="C4307" s="358" t="s">
        <v>297</v>
      </c>
      <c r="D4307" s="98">
        <v>125717462.65811197</v>
      </c>
      <c r="E4307" s="95">
        <f t="shared" si="580"/>
        <v>2171.4110000000001</v>
      </c>
      <c r="F4307" s="98"/>
      <c r="G4307" s="98">
        <v>4.0113676339387894</v>
      </c>
      <c r="H4307" s="98">
        <v>0</v>
      </c>
      <c r="I4307" s="98">
        <v>0</v>
      </c>
      <c r="J4307" s="98"/>
      <c r="K4307" s="98">
        <v>57896.668414276231</v>
      </c>
      <c r="L4307" s="93">
        <f t="shared" si="574"/>
        <v>4.0113676339387894</v>
      </c>
      <c r="M4307" s="95">
        <f t="shared" ca="1" si="575"/>
        <v>0</v>
      </c>
      <c r="N4307" s="95">
        <f ca="1">IF(P4307="Hedge Fund",IF(A4307=Summary!$AD$3,M4307-E4307,M4307),IF(A4307=Summary!$AD$3,L4307-D4307,L4307))</f>
        <v>0</v>
      </c>
      <c r="O4307" s="95"/>
      <c r="P4307" s="107" t="s">
        <v>139</v>
      </c>
      <c r="Q4307" s="107">
        <v>8.3114355706635307E-2</v>
      </c>
      <c r="R4307" s="107">
        <v>0.59003969000000001</v>
      </c>
      <c r="S4307" s="107">
        <v>0</v>
      </c>
      <c r="T4307" s="107">
        <v>0</v>
      </c>
      <c r="U4307" s="107"/>
      <c r="V4307" s="107"/>
      <c r="W4307" s="107"/>
      <c r="X4307" s="107"/>
      <c r="Y4307" s="107"/>
      <c r="Z4307" s="107"/>
      <c r="AA4307" s="107"/>
      <c r="AB4307" s="107"/>
      <c r="AF4307" s="94">
        <f t="shared" si="576"/>
        <v>41759</v>
      </c>
      <c r="AG4307" s="185">
        <f t="shared" si="579"/>
        <v>2.9153563161930185E-2</v>
      </c>
      <c r="AH4307" s="339" t="str">
        <f>VLOOKUP(B4307,'MF PF'!A:B,2)</f>
        <v>FdMgt1</v>
      </c>
      <c r="AI4307" s="358">
        <f t="shared" si="577"/>
        <v>0</v>
      </c>
      <c r="AJ4307" s="94">
        <f t="shared" si="578"/>
        <v>41759</v>
      </c>
    </row>
    <row r="4308" spans="1:36" s="358" customFormat="1" ht="12.75" customHeight="1">
      <c r="A4308" s="94">
        <v>41789</v>
      </c>
      <c r="B4308" s="94" t="s">
        <v>15</v>
      </c>
      <c r="C4308" s="358" t="s">
        <v>297</v>
      </c>
      <c r="D4308" s="98">
        <v>122579795.1965078</v>
      </c>
      <c r="E4308" s="95">
        <f t="shared" si="580"/>
        <v>2117.2168000000001</v>
      </c>
      <c r="F4308" s="98"/>
      <c r="G4308" s="98">
        <v>0</v>
      </c>
      <c r="H4308" s="98">
        <v>-3.8342272043228149</v>
      </c>
      <c r="I4308" s="98">
        <v>0</v>
      </c>
      <c r="J4308" s="98"/>
      <c r="K4308" s="98">
        <v>57896.66660330099</v>
      </c>
      <c r="L4308" s="93">
        <f t="shared" si="574"/>
        <v>-3.8342272043228149</v>
      </c>
      <c r="M4308" s="95">
        <f t="shared" ca="1" si="575"/>
        <v>0</v>
      </c>
      <c r="N4308" s="95">
        <f ca="1">IF(P4308="Hedge Fund",IF(A4308=Summary!$AD$3,M4308-E4308,M4308),IF(A4308=Summary!$AD$3,L4308-D4308,L4308))</f>
        <v>0</v>
      </c>
      <c r="O4308" s="95"/>
      <c r="P4308" s="107" t="s">
        <v>139</v>
      </c>
      <c r="Q4308" s="107">
        <v>8.0685315958263989E-2</v>
      </c>
      <c r="R4308" s="107">
        <v>3.6334209999999999E-2</v>
      </c>
      <c r="S4308" s="107">
        <v>0</v>
      </c>
      <c r="T4308" s="107">
        <v>0</v>
      </c>
      <c r="U4308" s="107"/>
      <c r="V4308" s="107"/>
      <c r="W4308" s="107"/>
      <c r="X4308" s="107"/>
      <c r="Y4308" s="107"/>
      <c r="Z4308" s="107"/>
      <c r="AA4308" s="107"/>
      <c r="AB4308" s="107"/>
      <c r="AF4308" s="94">
        <f t="shared" si="576"/>
        <v>41789</v>
      </c>
      <c r="AG4308" s="185">
        <f t="shared" si="579"/>
        <v>-2.4958057226384223E-2</v>
      </c>
      <c r="AH4308" s="339" t="str">
        <f>VLOOKUP(B4308,'MF PF'!A:B,2)</f>
        <v>FdMgt1</v>
      </c>
      <c r="AI4308" s="358">
        <f t="shared" si="577"/>
        <v>0</v>
      </c>
      <c r="AJ4308" s="94">
        <f t="shared" si="578"/>
        <v>41790</v>
      </c>
    </row>
    <row r="4309" spans="1:36" s="358" customFormat="1" ht="12.75" customHeight="1">
      <c r="A4309" s="94">
        <v>41820</v>
      </c>
      <c r="B4309" s="94" t="s">
        <v>15</v>
      </c>
      <c r="C4309" s="358" t="s">
        <v>297</v>
      </c>
      <c r="D4309" s="98">
        <v>119781084.55260624</v>
      </c>
      <c r="E4309" s="95">
        <f t="shared" si="580"/>
        <v>2068.8771000000002</v>
      </c>
      <c r="F4309" s="98"/>
      <c r="G4309" s="98">
        <v>0</v>
      </c>
      <c r="H4309" s="98">
        <v>-3.1492979675531387</v>
      </c>
      <c r="I4309" s="98">
        <v>0</v>
      </c>
      <c r="J4309" s="98"/>
      <c r="K4309" s="98">
        <v>57896.665081075247</v>
      </c>
      <c r="L4309" s="93">
        <f t="shared" si="574"/>
        <v>-3.1492979675531387</v>
      </c>
      <c r="M4309" s="95">
        <f t="shared" ca="1" si="575"/>
        <v>0</v>
      </c>
      <c r="N4309" s="95">
        <f ca="1">IF(P4309="Hedge Fund",IF(A4309=Summary!$AD$3,M4309-E4309,M4309),IF(A4309=Summary!$AD$3,L4309-D4309,L4309))</f>
        <v>0</v>
      </c>
      <c r="O4309" s="95"/>
      <c r="P4309" s="107" t="s">
        <v>139</v>
      </c>
      <c r="Q4309" s="107">
        <v>8.14491459327846E-2</v>
      </c>
      <c r="R4309" s="107">
        <v>0</v>
      </c>
      <c r="S4309" s="107">
        <v>0</v>
      </c>
      <c r="T4309" s="107">
        <v>0</v>
      </c>
      <c r="U4309" s="107"/>
      <c r="V4309" s="107"/>
      <c r="W4309" s="107"/>
      <c r="X4309" s="107"/>
      <c r="Y4309" s="107"/>
      <c r="Z4309" s="107"/>
      <c r="AA4309" s="107"/>
      <c r="AB4309" s="107"/>
      <c r="AF4309" s="94">
        <f t="shared" si="576"/>
        <v>41820</v>
      </c>
      <c r="AG4309" s="185">
        <f t="shared" si="579"/>
        <v>-2.2831719453576982E-2</v>
      </c>
      <c r="AH4309" s="339" t="str">
        <f>VLOOKUP(B4309,'MF PF'!A:B,2)</f>
        <v>FdMgt1</v>
      </c>
      <c r="AI4309" s="358">
        <f t="shared" si="577"/>
        <v>0</v>
      </c>
      <c r="AJ4309" s="94">
        <f t="shared" si="578"/>
        <v>41820</v>
      </c>
    </row>
    <row r="4310" spans="1:36" s="358" customFormat="1" ht="12.75" customHeight="1">
      <c r="A4310" s="94">
        <v>41851</v>
      </c>
      <c r="B4310" s="94" t="s">
        <v>15</v>
      </c>
      <c r="C4310" s="358" t="s">
        <v>297</v>
      </c>
      <c r="D4310" s="98">
        <v>116126136.83612441</v>
      </c>
      <c r="E4310" s="95">
        <f t="shared" si="580"/>
        <v>2005.7483</v>
      </c>
      <c r="F4310" s="98"/>
      <c r="G4310" s="98">
        <v>0</v>
      </c>
      <c r="H4310" s="98">
        <v>-0.72591163218021393</v>
      </c>
      <c r="I4310" s="98">
        <v>0</v>
      </c>
      <c r="J4310" s="98"/>
      <c r="K4310" s="98">
        <v>57896.664719159628</v>
      </c>
      <c r="L4310" s="93">
        <f t="shared" si="574"/>
        <v>-0.72591163218021393</v>
      </c>
      <c r="M4310" s="95">
        <f t="shared" ca="1" si="575"/>
        <v>0</v>
      </c>
      <c r="N4310" s="95">
        <f ca="1">IF(P4310="Hedge Fund",IF(A4310=Summary!$AD$3,M4310-E4310,M4310),IF(A4310=Summary!$AD$3,L4310-D4310,L4310))</f>
        <v>0</v>
      </c>
      <c r="O4310" s="95"/>
      <c r="P4310" s="107" t="s">
        <v>139</v>
      </c>
      <c r="Q4310" s="107">
        <v>7.8963842574852602E-2</v>
      </c>
      <c r="R4310" s="107">
        <v>0</v>
      </c>
      <c r="S4310" s="107">
        <v>0</v>
      </c>
      <c r="T4310" s="107">
        <v>0</v>
      </c>
      <c r="U4310" s="107"/>
      <c r="V4310" s="107"/>
      <c r="W4310" s="107"/>
      <c r="X4310" s="107"/>
      <c r="Y4310" s="107"/>
      <c r="Z4310" s="107"/>
      <c r="AA4310" s="107"/>
      <c r="AB4310" s="107"/>
      <c r="AF4310" s="94">
        <f t="shared" si="576"/>
        <v>41851</v>
      </c>
      <c r="AG4310" s="185">
        <f t="shared" si="579"/>
        <v>-3.0513557330205998E-2</v>
      </c>
      <c r="AH4310" s="339" t="str">
        <f>VLOOKUP(B4310,'MF PF'!A:B,2)</f>
        <v>FdMgt1</v>
      </c>
      <c r="AI4310" s="358">
        <f t="shared" si="577"/>
        <v>0</v>
      </c>
      <c r="AJ4310" s="94">
        <f t="shared" si="578"/>
        <v>41851</v>
      </c>
    </row>
    <row r="4311" spans="1:36" s="358" customFormat="1" ht="12.75" customHeight="1">
      <c r="A4311" s="94">
        <v>41880</v>
      </c>
      <c r="B4311" s="94" t="s">
        <v>15</v>
      </c>
      <c r="C4311" s="358" t="s">
        <v>297</v>
      </c>
      <c r="D4311" s="98">
        <v>110904050.70862301</v>
      </c>
      <c r="E4311" s="95">
        <f t="shared" si="580"/>
        <v>2001.7398000000001</v>
      </c>
      <c r="F4311" s="98"/>
      <c r="G4311" s="98">
        <v>0</v>
      </c>
      <c r="H4311" s="98">
        <v>-4990007.3469746411</v>
      </c>
      <c r="I4311" s="98">
        <v>0</v>
      </c>
      <c r="J4311" s="98"/>
      <c r="K4311" s="98">
        <v>55403.829562974672</v>
      </c>
      <c r="L4311" s="93">
        <f t="shared" si="574"/>
        <v>-4990007.3469746411</v>
      </c>
      <c r="M4311" s="95">
        <f t="shared" ca="1" si="575"/>
        <v>0</v>
      </c>
      <c r="N4311" s="95">
        <f ca="1">IF(P4311="Hedge Fund",IF(A4311=Summary!$AD$3,M4311-E4311,M4311),IF(A4311=Summary!$AD$3,L4311-D4311,L4311))</f>
        <v>0</v>
      </c>
      <c r="O4311" s="95"/>
      <c r="P4311" s="107" t="s">
        <v>139</v>
      </c>
      <c r="Q4311" s="107">
        <v>7.0544002477428494E-2</v>
      </c>
      <c r="R4311" s="107">
        <v>0</v>
      </c>
      <c r="S4311" s="107">
        <v>0</v>
      </c>
      <c r="T4311" s="107">
        <v>0</v>
      </c>
      <c r="U4311" s="107"/>
      <c r="V4311" s="107"/>
      <c r="W4311" s="107"/>
      <c r="X4311" s="107"/>
      <c r="Y4311" s="107"/>
      <c r="Z4311" s="107"/>
      <c r="AA4311" s="107"/>
      <c r="AB4311" s="107"/>
      <c r="AF4311" s="94">
        <f t="shared" si="576"/>
        <v>41880</v>
      </c>
      <c r="AG4311" s="185">
        <f t="shared" si="579"/>
        <v>-1.9985059939974237E-3</v>
      </c>
      <c r="AH4311" s="339" t="str">
        <f>VLOOKUP(B4311,'MF PF'!A:B,2)</f>
        <v>FdMgt1</v>
      </c>
      <c r="AI4311" s="358">
        <f t="shared" si="577"/>
        <v>0</v>
      </c>
      <c r="AJ4311" s="94">
        <f t="shared" si="578"/>
        <v>41882</v>
      </c>
    </row>
    <row r="4312" spans="1:36" s="358" customFormat="1" ht="12.75" customHeight="1">
      <c r="A4312" s="94">
        <v>41912</v>
      </c>
      <c r="B4312" s="94" t="s">
        <v>15</v>
      </c>
      <c r="C4312" s="358" t="s">
        <v>297</v>
      </c>
      <c r="D4312" s="98">
        <v>107843228.69521548</v>
      </c>
      <c r="E4312" s="95">
        <f t="shared" si="580"/>
        <v>1946.4940999999999</v>
      </c>
      <c r="F4312" s="98"/>
      <c r="G4312" s="98">
        <v>1.3334797024726868</v>
      </c>
      <c r="H4312" s="98">
        <v>0</v>
      </c>
      <c r="I4312" s="98">
        <v>0</v>
      </c>
      <c r="J4312" s="98"/>
      <c r="K4312" s="98">
        <v>55403.830248042097</v>
      </c>
      <c r="L4312" s="93">
        <f t="shared" si="574"/>
        <v>1.3334797024726868</v>
      </c>
      <c r="M4312" s="95">
        <f t="shared" ca="1" si="575"/>
        <v>0</v>
      </c>
      <c r="N4312" s="95">
        <f ca="1">IF(P4312="Hedge Fund",IF(A4312=Summary!$AD$3,M4312-E4312,M4312),IF(A4312=Summary!$AD$3,L4312-D4312,L4312))</f>
        <v>0</v>
      </c>
      <c r="O4312" s="95"/>
      <c r="P4312" s="107" t="s">
        <v>139</v>
      </c>
      <c r="Q4312" s="107">
        <v>7.5699048771543903E-2</v>
      </c>
      <c r="R4312" s="107">
        <v>0</v>
      </c>
      <c r="S4312" s="107">
        <v>0</v>
      </c>
      <c r="T4312" s="107">
        <v>0</v>
      </c>
      <c r="U4312" s="107"/>
      <c r="V4312" s="107"/>
      <c r="W4312" s="107"/>
      <c r="X4312" s="107"/>
      <c r="Y4312" s="107"/>
      <c r="Z4312" s="107"/>
      <c r="AA4312" s="107"/>
      <c r="AB4312" s="107"/>
      <c r="AF4312" s="94">
        <f t="shared" si="576"/>
        <v>41912</v>
      </c>
      <c r="AG4312" s="185">
        <f t="shared" si="579"/>
        <v>-2.7598841767546456E-2</v>
      </c>
      <c r="AH4312" s="339" t="str">
        <f>VLOOKUP(B4312,'MF PF'!A:B,2)</f>
        <v>FdMgt1</v>
      </c>
      <c r="AI4312" s="358">
        <f t="shared" si="577"/>
        <v>0</v>
      </c>
      <c r="AJ4312" s="94">
        <f t="shared" si="578"/>
        <v>41912</v>
      </c>
    </row>
    <row r="4313" spans="1:36" s="358" customFormat="1" ht="12.75" customHeight="1">
      <c r="A4313" s="94">
        <v>41943</v>
      </c>
      <c r="B4313" s="94" t="s">
        <v>15</v>
      </c>
      <c r="C4313" s="358" t="s">
        <v>297</v>
      </c>
      <c r="D4313" s="98">
        <v>102714681.64907247</v>
      </c>
      <c r="E4313" s="95">
        <f t="shared" si="580"/>
        <v>1944.0610999999997</v>
      </c>
      <c r="F4313" s="98"/>
      <c r="G4313" s="98">
        <v>0</v>
      </c>
      <c r="H4313" s="98">
        <v>-4993749.5271494985</v>
      </c>
      <c r="I4313" s="98">
        <v>0</v>
      </c>
      <c r="J4313" s="98"/>
      <c r="K4313" s="98">
        <v>52835.109785938563</v>
      </c>
      <c r="L4313" s="93">
        <f t="shared" si="574"/>
        <v>-4993749.5271494985</v>
      </c>
      <c r="M4313" s="95">
        <f t="shared" ca="1" si="575"/>
        <v>0</v>
      </c>
      <c r="N4313" s="95">
        <f ca="1">IF(P4313="Hedge Fund",IF(A4313=Summary!$AD$3,M4313-E4313,M4313),IF(A4313=Summary!$AD$3,L4313-D4313,L4313))</f>
        <v>0</v>
      </c>
      <c r="O4313" s="95"/>
      <c r="P4313" s="107" t="s">
        <v>139</v>
      </c>
      <c r="Q4313" s="107">
        <v>6.9844275716175894E-2</v>
      </c>
      <c r="R4313" s="107">
        <v>0</v>
      </c>
      <c r="S4313" s="107">
        <v>0</v>
      </c>
      <c r="T4313" s="107">
        <v>0</v>
      </c>
      <c r="U4313" s="107"/>
      <c r="V4313" s="107"/>
      <c r="W4313" s="107"/>
      <c r="X4313" s="107"/>
      <c r="Y4313" s="107"/>
      <c r="Z4313" s="107"/>
      <c r="AA4313" s="107"/>
      <c r="AB4313" s="107"/>
      <c r="AF4313" s="94">
        <f t="shared" si="576"/>
        <v>41943</v>
      </c>
      <c r="AG4313" s="185">
        <f t="shared" si="579"/>
        <v>-1.2499395708419625E-3</v>
      </c>
      <c r="AH4313" s="339" t="str">
        <f>VLOOKUP(B4313,'MF PF'!A:B,2)</f>
        <v>FdMgt1</v>
      </c>
      <c r="AI4313" s="358">
        <f t="shared" si="577"/>
        <v>0</v>
      </c>
      <c r="AJ4313" s="94">
        <f t="shared" si="578"/>
        <v>41943</v>
      </c>
    </row>
    <row r="4314" spans="1:36" s="358" customFormat="1" ht="12.75" customHeight="1">
      <c r="A4314" s="94">
        <v>41971</v>
      </c>
      <c r="B4314" s="94" t="s">
        <v>15</v>
      </c>
      <c r="C4314" s="358" t="s">
        <v>297</v>
      </c>
      <c r="D4314" s="98">
        <v>98615730.848852426</v>
      </c>
      <c r="E4314" s="95">
        <f t="shared" si="580"/>
        <v>1866.481</v>
      </c>
      <c r="F4314" s="98"/>
      <c r="G4314" s="98">
        <v>2.3004840314388275</v>
      </c>
      <c r="H4314" s="98">
        <v>0</v>
      </c>
      <c r="I4314" s="98">
        <v>0</v>
      </c>
      <c r="J4314" s="98"/>
      <c r="K4314" s="98">
        <v>52835.111018463314</v>
      </c>
      <c r="L4314" s="93">
        <f t="shared" si="574"/>
        <v>2.3004840314388275</v>
      </c>
      <c r="M4314" s="95">
        <f t="shared" ca="1" si="575"/>
        <v>0</v>
      </c>
      <c r="N4314" s="95">
        <f ca="1">IF(P4314="Hedge Fund",IF(A4314=Summary!$AD$3,M4314-E4314,M4314),IF(A4314=Summary!$AD$3,L4314-D4314,L4314))</f>
        <v>0</v>
      </c>
      <c r="O4314" s="95"/>
      <c r="P4314" s="107" t="s">
        <v>139</v>
      </c>
      <c r="Q4314" s="107">
        <v>6.0563082338611997E-2</v>
      </c>
      <c r="R4314" s="107">
        <v>0</v>
      </c>
      <c r="S4314" s="107">
        <v>0</v>
      </c>
      <c r="T4314" s="107">
        <v>0</v>
      </c>
      <c r="U4314" s="107"/>
      <c r="V4314" s="107"/>
      <c r="W4314" s="107"/>
      <c r="X4314" s="107"/>
      <c r="Y4314" s="107"/>
      <c r="Z4314" s="107"/>
      <c r="AA4314" s="107"/>
      <c r="AB4314" s="107"/>
      <c r="AF4314" s="94">
        <f t="shared" si="576"/>
        <v>41971</v>
      </c>
      <c r="AG4314" s="185">
        <f t="shared" si="579"/>
        <v>-3.9906204594083783E-2</v>
      </c>
      <c r="AH4314" s="339" t="str">
        <f>VLOOKUP(B4314,'MF PF'!A:B,2)</f>
        <v>FdMgt1</v>
      </c>
      <c r="AI4314" s="358">
        <f t="shared" si="577"/>
        <v>0</v>
      </c>
      <c r="AJ4314" s="94">
        <f t="shared" si="578"/>
        <v>41973</v>
      </c>
    </row>
    <row r="4315" spans="1:36" s="358" customFormat="1" ht="12.75" customHeight="1">
      <c r="A4315" s="94">
        <v>42004</v>
      </c>
      <c r="B4315" s="94" t="s">
        <v>15</v>
      </c>
      <c r="C4315" s="358" t="s">
        <v>297</v>
      </c>
      <c r="D4315" s="98">
        <v>94474764.687180534</v>
      </c>
      <c r="E4315" s="95">
        <f t="shared" si="580"/>
        <v>1788.1058</v>
      </c>
      <c r="F4315" s="98"/>
      <c r="G4315" s="98">
        <v>0</v>
      </c>
      <c r="H4315" s="98">
        <v>-3.7685776352882385</v>
      </c>
      <c r="I4315" s="98">
        <v>0</v>
      </c>
      <c r="J4315" s="98"/>
      <c r="K4315" s="98">
        <v>52835.108910882416</v>
      </c>
      <c r="L4315" s="93">
        <f t="shared" si="574"/>
        <v>-3.7685776352882385</v>
      </c>
      <c r="M4315" s="95">
        <f t="shared" ca="1" si="575"/>
        <v>0</v>
      </c>
      <c r="N4315" s="95">
        <f ca="1">IF(P4315="Hedge Fund",IF(A4315=Summary!$AD$3,M4315-E4315,M4315),IF(A4315=Summary!$AD$3,L4315-D4315,L4315))</f>
        <v>0</v>
      </c>
      <c r="O4315" s="95"/>
      <c r="P4315" s="107" t="s">
        <v>139</v>
      </c>
      <c r="Q4315" s="107">
        <v>6.8389318158489296E-2</v>
      </c>
      <c r="R4315" s="107">
        <v>0</v>
      </c>
      <c r="S4315" s="107">
        <v>0</v>
      </c>
      <c r="T4315" s="107">
        <v>0</v>
      </c>
      <c r="U4315" s="107"/>
      <c r="V4315" s="107"/>
      <c r="W4315" s="107"/>
      <c r="X4315" s="107"/>
      <c r="Y4315" s="107"/>
      <c r="Z4315" s="107"/>
      <c r="AA4315" s="107"/>
      <c r="AB4315" s="107"/>
      <c r="AF4315" s="94">
        <f t="shared" si="576"/>
        <v>42004</v>
      </c>
      <c r="AG4315" s="185">
        <f t="shared" si="579"/>
        <v>-4.1990890879681997E-2</v>
      </c>
      <c r="AH4315" s="339" t="str">
        <f>VLOOKUP(B4315,'MF PF'!A:B,2)</f>
        <v>FdMgt1</v>
      </c>
      <c r="AI4315" s="358">
        <f t="shared" si="577"/>
        <v>0</v>
      </c>
      <c r="AJ4315" s="94">
        <f t="shared" si="578"/>
        <v>42004</v>
      </c>
    </row>
    <row r="4316" spans="1:36" s="358" customFormat="1" ht="12.75" customHeight="1">
      <c r="A4316" s="94">
        <v>42034</v>
      </c>
      <c r="B4316" s="94" t="s">
        <v>15</v>
      </c>
      <c r="C4316" s="358" t="s">
        <v>297</v>
      </c>
      <c r="D4316" s="98">
        <v>91526561.361671776</v>
      </c>
      <c r="E4316" s="95">
        <f t="shared" si="580"/>
        <v>1829.1098</v>
      </c>
      <c r="F4316" s="98"/>
      <c r="G4316" s="98">
        <v>0</v>
      </c>
      <c r="H4316" s="98">
        <v>-5114654.1312905699</v>
      </c>
      <c r="I4316" s="98">
        <v>0</v>
      </c>
      <c r="J4316" s="98"/>
      <c r="K4316" s="98">
        <v>50038.855710942982</v>
      </c>
      <c r="L4316" s="93">
        <f t="shared" si="574"/>
        <v>-5114654.1312905699</v>
      </c>
      <c r="M4316" s="95">
        <f t="shared" ca="1" si="575"/>
        <v>0</v>
      </c>
      <c r="N4316" s="95">
        <f ca="1">IF(P4316="Hedge Fund",IF(A4316=Summary!$AD$3,M4316-E4316,M4316),IF(A4316=Summary!$AD$3,L4316-D4316,L4316))</f>
        <v>0</v>
      </c>
      <c r="O4316" s="95"/>
      <c r="P4316" s="107" t="s">
        <v>139</v>
      </c>
      <c r="Q4316" s="107">
        <v>6.0227390777985598E-2</v>
      </c>
      <c r="R4316" s="107">
        <v>0</v>
      </c>
      <c r="S4316" s="107">
        <v>0</v>
      </c>
      <c r="T4316" s="107">
        <v>0</v>
      </c>
      <c r="U4316" s="107"/>
      <c r="V4316" s="107"/>
      <c r="W4316" s="107"/>
      <c r="X4316" s="107"/>
      <c r="Y4316" s="107"/>
      <c r="Z4316" s="107"/>
      <c r="AA4316" s="107"/>
      <c r="AB4316" s="107"/>
      <c r="AF4316" s="94">
        <f t="shared" si="576"/>
        <v>42034</v>
      </c>
      <c r="AG4316" s="185">
        <f t="shared" si="579"/>
        <v>2.2931528995655537E-2</v>
      </c>
      <c r="AH4316" s="339" t="str">
        <f>VLOOKUP(B4316,'MF PF'!A:B,2)</f>
        <v>FdMgt1</v>
      </c>
      <c r="AI4316" s="358">
        <f t="shared" si="577"/>
        <v>0</v>
      </c>
      <c r="AJ4316" s="94">
        <f t="shared" si="578"/>
        <v>42035</v>
      </c>
    </row>
    <row r="4317" spans="1:36" s="358" customFormat="1" ht="12.75" customHeight="1">
      <c r="A4317" s="94">
        <v>42062</v>
      </c>
      <c r="B4317" s="94" t="s">
        <v>15</v>
      </c>
      <c r="C4317" s="358" t="s">
        <v>297</v>
      </c>
      <c r="D4317" s="98">
        <v>91224092.17975013</v>
      </c>
      <c r="E4317" s="95">
        <f t="shared" si="580"/>
        <v>1823.0652</v>
      </c>
      <c r="F4317" s="98"/>
      <c r="G4317" s="98">
        <v>0</v>
      </c>
      <c r="H4317" s="98">
        <v>-4.3146912753582001</v>
      </c>
      <c r="I4317" s="98">
        <v>0</v>
      </c>
      <c r="J4317" s="98"/>
      <c r="K4317" s="98">
        <v>50038.853344219468</v>
      </c>
      <c r="L4317" s="93">
        <f t="shared" si="574"/>
        <v>-4.3146912753582001</v>
      </c>
      <c r="M4317" s="95">
        <f t="shared" ca="1" si="575"/>
        <v>0</v>
      </c>
      <c r="N4317" s="95">
        <f ca="1">IF(P4317="Hedge Fund",IF(A4317=Summary!$AD$3,M4317-E4317,M4317),IF(A4317=Summary!$AD$3,L4317-D4317,L4317))</f>
        <v>0</v>
      </c>
      <c r="O4317" s="95"/>
      <c r="P4317" s="107" t="s">
        <v>139</v>
      </c>
      <c r="Q4317" s="107">
        <v>5.6023639570129603E-2</v>
      </c>
      <c r="R4317" s="107">
        <v>0</v>
      </c>
      <c r="S4317" s="107">
        <v>0</v>
      </c>
      <c r="T4317" s="107">
        <v>0</v>
      </c>
      <c r="U4317" s="107"/>
      <c r="V4317" s="107"/>
      <c r="W4317" s="107"/>
      <c r="X4317" s="107"/>
      <c r="Y4317" s="107"/>
      <c r="Z4317" s="107"/>
      <c r="AA4317" s="107"/>
      <c r="AB4317" s="107"/>
      <c r="AF4317" s="94">
        <f t="shared" si="576"/>
        <v>42062</v>
      </c>
      <c r="AG4317" s="185">
        <f t="shared" si="579"/>
        <v>-3.304667658551752E-3</v>
      </c>
      <c r="AH4317" s="339" t="str">
        <f>VLOOKUP(B4317,'MF PF'!A:B,2)</f>
        <v>FdMgt1</v>
      </c>
      <c r="AI4317" s="358">
        <f t="shared" si="577"/>
        <v>0</v>
      </c>
      <c r="AJ4317" s="94">
        <f t="shared" si="578"/>
        <v>42063</v>
      </c>
    </row>
    <row r="4318" spans="1:36" s="358" customFormat="1" ht="12.75" customHeight="1">
      <c r="A4318" s="94">
        <v>42094</v>
      </c>
      <c r="B4318" s="94" t="s">
        <v>15</v>
      </c>
      <c r="C4318" s="358" t="s">
        <v>297</v>
      </c>
      <c r="D4318" s="98">
        <v>85851590.800057724</v>
      </c>
      <c r="E4318" s="95">
        <f t="shared" si="580"/>
        <v>1715.6985999999999</v>
      </c>
      <c r="F4318" s="98"/>
      <c r="G4318" s="98">
        <v>0.17177507281303406</v>
      </c>
      <c r="H4318" s="98">
        <v>0</v>
      </c>
      <c r="I4318" s="98">
        <v>0</v>
      </c>
      <c r="J4318" s="98"/>
      <c r="K4318" s="98">
        <v>50038.853444339074</v>
      </c>
      <c r="L4318" s="93">
        <f t="shared" si="574"/>
        <v>0.17177507281303406</v>
      </c>
      <c r="M4318" s="95">
        <f t="shared" ca="1" si="575"/>
        <v>0</v>
      </c>
      <c r="N4318" s="95">
        <f ca="1">IF(P4318="Hedge Fund",IF(A4318=Summary!$AD$3,M4318-E4318,M4318),IF(A4318=Summary!$AD$3,L4318-D4318,L4318))</f>
        <v>0</v>
      </c>
      <c r="O4318" s="95"/>
      <c r="P4318" s="107" t="s">
        <v>139</v>
      </c>
      <c r="Q4318" s="107">
        <v>6.0262324899904997E-2</v>
      </c>
      <c r="R4318" s="107">
        <v>0</v>
      </c>
      <c r="S4318" s="107">
        <v>0</v>
      </c>
      <c r="T4318" s="107">
        <v>0</v>
      </c>
      <c r="U4318" s="107"/>
      <c r="V4318" s="107"/>
      <c r="W4318" s="107"/>
      <c r="X4318" s="107"/>
      <c r="Y4318" s="107"/>
      <c r="Z4318" s="107"/>
      <c r="AA4318" s="107"/>
      <c r="AB4318" s="107"/>
      <c r="AF4318" s="94">
        <f t="shared" si="576"/>
        <v>42094</v>
      </c>
      <c r="AG4318" s="185">
        <f t="shared" si="579"/>
        <v>-5.8893450437208728E-2</v>
      </c>
      <c r="AH4318" s="339" t="str">
        <f>VLOOKUP(B4318,'MF PF'!A:B,2)</f>
        <v>FdMgt1</v>
      </c>
      <c r="AI4318" s="358">
        <f t="shared" si="577"/>
        <v>0</v>
      </c>
      <c r="AJ4318" s="94">
        <f t="shared" si="578"/>
        <v>42094</v>
      </c>
    </row>
    <row r="4319" spans="1:36" s="358" customFormat="1" ht="12.75" customHeight="1">
      <c r="A4319" s="94">
        <v>42124</v>
      </c>
      <c r="B4319" s="94" t="s">
        <v>15</v>
      </c>
      <c r="C4319" s="358" t="s">
        <v>297</v>
      </c>
      <c r="D4319" s="98">
        <v>83991517.084733859</v>
      </c>
      <c r="E4319" s="95">
        <f t="shared" si="580"/>
        <v>1678.5260000000001</v>
      </c>
      <c r="F4319" s="98"/>
      <c r="G4319" s="98">
        <v>0.56822116672992706</v>
      </c>
      <c r="H4319" s="98">
        <v>0</v>
      </c>
      <c r="I4319" s="98">
        <v>0</v>
      </c>
      <c r="J4319" s="98"/>
      <c r="K4319" s="98">
        <v>50038.853782862971</v>
      </c>
      <c r="L4319" s="93">
        <f t="shared" si="574"/>
        <v>0.56822116672992706</v>
      </c>
      <c r="M4319" s="95">
        <f t="shared" ca="1" si="575"/>
        <v>0</v>
      </c>
      <c r="N4319" s="95">
        <f ca="1">IF(P4319="Hedge Fund",IF(A4319=Summary!$AD$3,M4319-E4319,M4319),IF(A4319=Summary!$AD$3,L4319-D4319,L4319))</f>
        <v>0</v>
      </c>
      <c r="O4319" s="95"/>
      <c r="P4319" s="107" t="s">
        <v>139</v>
      </c>
      <c r="Q4319" s="107">
        <v>5.5269091752492602E-2</v>
      </c>
      <c r="R4319" s="107">
        <v>0</v>
      </c>
      <c r="S4319" s="107">
        <v>0</v>
      </c>
      <c r="T4319" s="107">
        <v>0</v>
      </c>
      <c r="U4319" s="107"/>
      <c r="V4319" s="107"/>
      <c r="W4319" s="107"/>
      <c r="X4319" s="107"/>
      <c r="Y4319" s="107"/>
      <c r="Z4319" s="107"/>
      <c r="AA4319" s="107"/>
      <c r="AB4319" s="107"/>
      <c r="AF4319" s="94">
        <f t="shared" si="576"/>
        <v>42124</v>
      </c>
      <c r="AG4319" s="185">
        <f t="shared" si="579"/>
        <v>-2.1666159778879535E-2</v>
      </c>
      <c r="AH4319" s="339" t="str">
        <f>VLOOKUP(B4319,'MF PF'!A:B,2)</f>
        <v>FdMgt1</v>
      </c>
      <c r="AI4319" s="358">
        <f t="shared" si="577"/>
        <v>0</v>
      </c>
      <c r="AJ4319" s="94">
        <f t="shared" si="578"/>
        <v>42124</v>
      </c>
    </row>
    <row r="4320" spans="1:36" s="358" customFormat="1" ht="12.75" customHeight="1">
      <c r="A4320" s="94">
        <v>42153</v>
      </c>
      <c r="B4320" s="94" t="s">
        <v>15</v>
      </c>
      <c r="C4320" s="358" t="s">
        <v>297</v>
      </c>
      <c r="D4320" s="98">
        <v>79740760.0835087</v>
      </c>
      <c r="E4320" s="95">
        <f t="shared" si="580"/>
        <v>1593.5768</v>
      </c>
      <c r="F4320" s="98"/>
      <c r="G4320" s="98">
        <v>3.5965460240840912</v>
      </c>
      <c r="H4320" s="98">
        <v>0</v>
      </c>
      <c r="I4320" s="98">
        <v>-5000000</v>
      </c>
      <c r="J4320" s="98"/>
      <c r="K4320" s="98">
        <v>50038.856039764571</v>
      </c>
      <c r="L4320" s="93">
        <f t="shared" si="574"/>
        <v>-4999996.4034539759</v>
      </c>
      <c r="M4320" s="95">
        <f t="shared" ca="1" si="575"/>
        <v>-99.922348265248729</v>
      </c>
      <c r="N4320" s="95">
        <f ca="1">IF(P4320="Hedge Fund",IF(A4320=Summary!$AD$3,M4320-E4320,M4320),IF(A4320=Summary!$AD$3,L4320-D4320,L4320))</f>
        <v>-99.922348265248729</v>
      </c>
      <c r="O4320" s="95"/>
      <c r="P4320" s="107" t="s">
        <v>139</v>
      </c>
      <c r="Q4320" s="107">
        <v>5.0721614399605E-2</v>
      </c>
      <c r="R4320" s="107">
        <v>0</v>
      </c>
      <c r="S4320" s="107">
        <v>0</v>
      </c>
      <c r="T4320" s="107">
        <v>0</v>
      </c>
      <c r="U4320" s="107"/>
      <c r="V4320" s="107"/>
      <c r="W4320" s="107"/>
      <c r="X4320" s="107"/>
      <c r="Y4320" s="107"/>
      <c r="Z4320" s="107"/>
      <c r="AA4320" s="107"/>
      <c r="AB4320" s="107"/>
      <c r="AF4320" s="94">
        <f t="shared" si="576"/>
        <v>42153</v>
      </c>
      <c r="AG4320" s="185">
        <f t="shared" si="579"/>
        <v>8.9204175401780272E-3</v>
      </c>
      <c r="AH4320" s="339" t="str">
        <f>VLOOKUP(B4320,'MF PF'!A:B,2)</f>
        <v>FdMgt1</v>
      </c>
      <c r="AI4320" s="358">
        <f t="shared" si="577"/>
        <v>0</v>
      </c>
      <c r="AJ4320" s="94">
        <f t="shared" si="578"/>
        <v>42155</v>
      </c>
    </row>
    <row r="4321" spans="1:36" s="358" customFormat="1" ht="12.75" customHeight="1">
      <c r="A4321" s="94">
        <v>42185</v>
      </c>
      <c r="B4321" s="94" t="s">
        <v>15</v>
      </c>
      <c r="C4321" s="358" t="s">
        <v>297</v>
      </c>
      <c r="D4321" s="98">
        <v>76491035.622110069</v>
      </c>
      <c r="E4321" s="95">
        <f t="shared" si="580"/>
        <v>1528.6327999999999</v>
      </c>
      <c r="F4321" s="98"/>
      <c r="G4321" s="98">
        <v>0</v>
      </c>
      <c r="H4321" s="98">
        <v>-0.99475215375423431</v>
      </c>
      <c r="I4321" s="98">
        <v>0</v>
      </c>
      <c r="J4321" s="98"/>
      <c r="K4321" s="98">
        <v>50038.855389018259</v>
      </c>
      <c r="L4321" s="93">
        <f t="shared" si="574"/>
        <v>-0.99475215375423431</v>
      </c>
      <c r="M4321" s="95">
        <f t="shared" ca="1" si="575"/>
        <v>0</v>
      </c>
      <c r="N4321" s="95">
        <f ca="1">IF(P4321="Hedge Fund",IF(A4321=Summary!$AD$3,M4321-E4321,M4321),IF(A4321=Summary!$AD$3,L4321-D4321,L4321))</f>
        <v>0</v>
      </c>
      <c r="O4321" s="95"/>
      <c r="P4321" s="107" t="s">
        <v>139</v>
      </c>
      <c r="Q4321" s="107">
        <v>5.3691815718706203E-2</v>
      </c>
      <c r="R4321" s="107">
        <v>0</v>
      </c>
      <c r="S4321" s="107">
        <v>0</v>
      </c>
      <c r="T4321" s="107">
        <v>0</v>
      </c>
      <c r="U4321" s="107"/>
      <c r="V4321" s="107"/>
      <c r="W4321" s="107"/>
      <c r="X4321" s="107"/>
      <c r="Y4321" s="107"/>
      <c r="Z4321" s="107"/>
      <c r="AA4321" s="107"/>
      <c r="AB4321" s="107"/>
      <c r="AF4321" s="94">
        <f t="shared" si="576"/>
        <v>42185</v>
      </c>
      <c r="AG4321" s="185">
        <f t="shared" si="579"/>
        <v>-4.0753605348672339E-2</v>
      </c>
      <c r="AH4321" s="339" t="str">
        <f>VLOOKUP(B4321,'MF PF'!A:B,2)</f>
        <v>FdMgt1</v>
      </c>
      <c r="AI4321" s="358">
        <f t="shared" si="577"/>
        <v>0</v>
      </c>
      <c r="AJ4321" s="94">
        <f t="shared" si="578"/>
        <v>42185</v>
      </c>
    </row>
    <row r="4322" spans="1:36" s="358" customFormat="1" ht="12.75" customHeight="1">
      <c r="A4322" s="94">
        <v>42216</v>
      </c>
      <c r="B4322" s="94" t="s">
        <v>15</v>
      </c>
      <c r="C4322" s="358" t="s">
        <v>297</v>
      </c>
      <c r="D4322" s="98">
        <v>72146129.890763551</v>
      </c>
      <c r="E4322" s="95">
        <f t="shared" si="580"/>
        <v>1441.8022000000001</v>
      </c>
      <c r="F4322" s="98"/>
      <c r="G4322" s="98">
        <v>0</v>
      </c>
      <c r="H4322" s="98">
        <v>-1.8946048319339752</v>
      </c>
      <c r="I4322" s="98">
        <v>0</v>
      </c>
      <c r="J4322" s="98"/>
      <c r="K4322" s="98">
        <v>50038.854074965027</v>
      </c>
      <c r="L4322" s="93">
        <f t="shared" si="574"/>
        <v>-1.8946048319339752</v>
      </c>
      <c r="M4322" s="95">
        <f t="shared" ca="1" si="575"/>
        <v>0</v>
      </c>
      <c r="N4322" s="95">
        <f ca="1">IF(P4322="Hedge Fund",IF(A4322=Summary!$AD$3,M4322-E4322,M4322),IF(A4322=Summary!$AD$3,L4322-D4322,L4322))</f>
        <v>0</v>
      </c>
      <c r="O4322" s="95"/>
      <c r="P4322" s="107" t="s">
        <v>139</v>
      </c>
      <c r="Q4322" s="107">
        <v>4.9058168978361599E-2</v>
      </c>
      <c r="R4322" s="107">
        <v>0</v>
      </c>
      <c r="S4322" s="107">
        <v>0</v>
      </c>
      <c r="T4322" s="107">
        <v>0</v>
      </c>
      <c r="U4322" s="107"/>
      <c r="V4322" s="107"/>
      <c r="W4322" s="107"/>
      <c r="X4322" s="107"/>
      <c r="Y4322" s="107"/>
      <c r="Z4322" s="107"/>
      <c r="AA4322" s="107"/>
      <c r="AB4322" s="107"/>
      <c r="AF4322" s="94">
        <f t="shared" si="576"/>
        <v>42216</v>
      </c>
      <c r="AG4322" s="185">
        <f t="shared" si="579"/>
        <v>-5.6802784815293772E-2</v>
      </c>
      <c r="AH4322" s="339" t="str">
        <f>VLOOKUP(B4322,'MF PF'!A:B,2)</f>
        <v>FdMgt1</v>
      </c>
      <c r="AI4322" s="358">
        <f t="shared" si="577"/>
        <v>0</v>
      </c>
      <c r="AJ4322" s="94">
        <f t="shared" si="578"/>
        <v>42216</v>
      </c>
    </row>
    <row r="4323" spans="1:36" s="358" customFormat="1" ht="12.75" customHeight="1">
      <c r="A4323" s="94">
        <v>42247</v>
      </c>
      <c r="B4323" s="94" t="s">
        <v>15</v>
      </c>
      <c r="C4323" s="358" t="s">
        <v>297</v>
      </c>
      <c r="D4323" s="98">
        <v>63798897.999580681</v>
      </c>
      <c r="E4323" s="95">
        <f t="shared" si="580"/>
        <v>1274.9872</v>
      </c>
      <c r="F4323" s="98"/>
      <c r="G4323" s="98">
        <v>0</v>
      </c>
      <c r="H4323" s="98">
        <v>-0.44866757094860077</v>
      </c>
      <c r="I4323" s="98">
        <v>-4999999.7685099747</v>
      </c>
      <c r="J4323" s="98"/>
      <c r="K4323" s="98">
        <v>50038.85372306536</v>
      </c>
      <c r="L4323" s="93">
        <f t="shared" si="574"/>
        <v>-5000000.2171775457</v>
      </c>
      <c r="M4323" s="95">
        <f t="shared" ca="1" si="575"/>
        <v>-99.922348265248729</v>
      </c>
      <c r="N4323" s="95">
        <f ca="1">IF(P4323="Hedge Fund",IF(A4323=Summary!$AD$3,M4323-E4323,M4323),IF(A4323=Summary!$AD$3,L4323-D4323,L4323))</f>
        <v>-99.922348265248729</v>
      </c>
      <c r="O4323" s="95"/>
      <c r="P4323" s="107" t="s">
        <v>139</v>
      </c>
      <c r="Q4323" s="107">
        <v>4.3382191024372997E-2</v>
      </c>
      <c r="R4323" s="107">
        <v>0</v>
      </c>
      <c r="S4323" s="107">
        <v>0</v>
      </c>
      <c r="T4323" s="107">
        <v>0</v>
      </c>
      <c r="U4323" s="107"/>
      <c r="V4323" s="107"/>
      <c r="W4323" s="107"/>
      <c r="X4323" s="107"/>
      <c r="Y4323" s="107"/>
      <c r="Z4323" s="107"/>
      <c r="AA4323" s="107"/>
      <c r="AB4323" s="107"/>
      <c r="AF4323" s="94">
        <f t="shared" si="576"/>
        <v>42247</v>
      </c>
      <c r="AG4323" s="185">
        <f t="shared" si="579"/>
        <v>-4.6395166020317014E-2</v>
      </c>
      <c r="AH4323" s="339" t="str">
        <f>VLOOKUP(B4323,'MF PF'!A:B,2)</f>
        <v>FdMgt1</v>
      </c>
      <c r="AI4323" s="358">
        <f t="shared" si="577"/>
        <v>0</v>
      </c>
      <c r="AJ4323" s="94">
        <f t="shared" si="578"/>
        <v>42247</v>
      </c>
    </row>
    <row r="4324" spans="1:36" s="358" customFormat="1" ht="12.75" customHeight="1">
      <c r="A4324" s="94">
        <v>42277</v>
      </c>
      <c r="B4324" s="94" t="s">
        <v>15</v>
      </c>
      <c r="C4324" s="358" t="s">
        <v>297</v>
      </c>
      <c r="D4324" s="98">
        <v>66392707.737291358</v>
      </c>
      <c r="E4324" s="95">
        <f t="shared" si="580"/>
        <v>1326.8231000000001</v>
      </c>
      <c r="F4324" s="98"/>
      <c r="G4324" s="98">
        <v>0.72000723332166672</v>
      </c>
      <c r="H4324" s="98">
        <v>0</v>
      </c>
      <c r="I4324" s="98">
        <v>0</v>
      </c>
      <c r="J4324" s="98"/>
      <c r="K4324" s="98">
        <v>50038.854265720394</v>
      </c>
      <c r="L4324" s="93">
        <f t="shared" si="574"/>
        <v>0.72000723332166672</v>
      </c>
      <c r="M4324" s="95">
        <f t="shared" ca="1" si="575"/>
        <v>0</v>
      </c>
      <c r="N4324" s="95">
        <f ca="1">IF(P4324="Hedge Fund",IF(A4324=Summary!$AD$3,M4324-E4324,M4324),IF(A4324=Summary!$AD$3,L4324-D4324,L4324))</f>
        <v>0</v>
      </c>
      <c r="O4324" s="95"/>
      <c r="P4324" s="107" t="s">
        <v>139</v>
      </c>
      <c r="Q4324" s="107">
        <v>4.36885145418177E-2</v>
      </c>
      <c r="R4324" s="107">
        <v>0</v>
      </c>
      <c r="S4324" s="107">
        <v>0</v>
      </c>
      <c r="T4324" s="107">
        <v>0</v>
      </c>
      <c r="U4324" s="107"/>
      <c r="V4324" s="107"/>
      <c r="W4324" s="107"/>
      <c r="X4324" s="107"/>
      <c r="Y4324" s="107"/>
      <c r="Z4324" s="107"/>
      <c r="AA4324" s="107"/>
      <c r="AB4324" s="107"/>
      <c r="AF4324" s="94">
        <f t="shared" si="576"/>
        <v>42277</v>
      </c>
      <c r="AG4324" s="185">
        <f t="shared" si="579"/>
        <v>4.0656015997650785E-2</v>
      </c>
      <c r="AH4324" s="339" t="str">
        <f>VLOOKUP(B4324,'MF PF'!A:B,2)</f>
        <v>FdMgt1</v>
      </c>
      <c r="AI4324" s="358">
        <f t="shared" si="577"/>
        <v>0</v>
      </c>
      <c r="AJ4324" s="94">
        <f t="shared" si="578"/>
        <v>42277</v>
      </c>
    </row>
    <row r="4325" spans="1:36" s="358" customFormat="1" ht="12.75" customHeight="1">
      <c r="A4325" s="94">
        <v>42307</v>
      </c>
      <c r="B4325" s="94" t="s">
        <v>15</v>
      </c>
      <c r="C4325" s="358" t="s">
        <v>297</v>
      </c>
      <c r="D4325" s="98">
        <v>60699761.078674696</v>
      </c>
      <c r="E4325" s="95">
        <f t="shared" si="580"/>
        <v>1213.0526</v>
      </c>
      <c r="F4325" s="98"/>
      <c r="G4325" s="98">
        <v>0</v>
      </c>
      <c r="H4325" s="98">
        <v>-1.1893785148859024</v>
      </c>
      <c r="I4325" s="98">
        <v>-8000001.7000598162</v>
      </c>
      <c r="J4325" s="98"/>
      <c r="K4325" s="98">
        <v>50038.853285236517</v>
      </c>
      <c r="L4325" s="93">
        <f t="shared" si="574"/>
        <v>-8000002.8894383311</v>
      </c>
      <c r="M4325" s="95">
        <f t="shared" ca="1" si="575"/>
        <v>-159.8758</v>
      </c>
      <c r="N4325" s="95">
        <f ca="1">IF(P4325="Hedge Fund",IF(A4325=Summary!$AD$3,M4325-E4325,M4325),IF(A4325=Summary!$AD$3,L4325-D4325,L4325))</f>
        <v>-159.8758</v>
      </c>
      <c r="O4325" s="95"/>
      <c r="P4325" s="107" t="s">
        <v>139</v>
      </c>
      <c r="Q4325" s="107">
        <v>3.9942375011465997E-2</v>
      </c>
      <c r="R4325" s="107">
        <v>0</v>
      </c>
      <c r="S4325" s="107">
        <v>0</v>
      </c>
      <c r="T4325" s="107">
        <v>0</v>
      </c>
      <c r="U4325" s="107"/>
      <c r="V4325" s="107"/>
      <c r="W4325" s="107"/>
      <c r="X4325" s="107"/>
      <c r="Y4325" s="107"/>
      <c r="Z4325" s="107"/>
      <c r="AA4325" s="107"/>
      <c r="AB4325" s="107"/>
      <c r="AF4325" s="94">
        <f t="shared" si="576"/>
        <v>42307</v>
      </c>
      <c r="AG4325" s="185">
        <f t="shared" si="579"/>
        <v>3.4748638961231038E-2</v>
      </c>
      <c r="AH4325" s="339" t="str">
        <f>VLOOKUP(B4325,'MF PF'!A:B,2)</f>
        <v>FdMgt1</v>
      </c>
      <c r="AI4325" s="358">
        <f t="shared" si="577"/>
        <v>0</v>
      </c>
      <c r="AJ4325" s="94">
        <f t="shared" si="578"/>
        <v>42308</v>
      </c>
    </row>
    <row r="4326" spans="1:36" s="358" customFormat="1" ht="12.75" customHeight="1">
      <c r="A4326" s="94">
        <v>42338</v>
      </c>
      <c r="B4326" s="94" t="s">
        <v>15</v>
      </c>
      <c r="C4326" s="358" t="s">
        <v>297</v>
      </c>
      <c r="D4326" s="98">
        <v>59083182.035678342</v>
      </c>
      <c r="E4326" s="95">
        <f t="shared" si="580"/>
        <v>1180.7461000000001</v>
      </c>
      <c r="F4326" s="98"/>
      <c r="G4326" s="98">
        <v>1.170663133263588</v>
      </c>
      <c r="H4326" s="98">
        <v>0</v>
      </c>
      <c r="I4326" s="98">
        <v>0</v>
      </c>
      <c r="J4326" s="98"/>
      <c r="K4326" s="98">
        <v>50038.854276697028</v>
      </c>
      <c r="L4326" s="93">
        <f t="shared" si="574"/>
        <v>1.170663133263588</v>
      </c>
      <c r="M4326" s="95">
        <f t="shared" ca="1" si="575"/>
        <v>0</v>
      </c>
      <c r="N4326" s="95">
        <f ca="1">IF(P4326="Hedge Fund",IF(A4326=Summary!$AD$3,M4326-E4326,M4326),IF(A4326=Summary!$AD$3,L4326-D4326,L4326))</f>
        <v>0</v>
      </c>
      <c r="O4326" s="95"/>
      <c r="P4326" s="107" t="s">
        <v>139</v>
      </c>
      <c r="Q4326" s="107">
        <v>4.0175582528069097E-2</v>
      </c>
      <c r="R4326" s="107">
        <v>0</v>
      </c>
      <c r="S4326" s="107">
        <v>0</v>
      </c>
      <c r="T4326" s="107">
        <v>0</v>
      </c>
      <c r="U4326" s="107"/>
      <c r="V4326" s="107"/>
      <c r="W4326" s="107"/>
      <c r="X4326" s="107"/>
      <c r="Y4326" s="107"/>
      <c r="Z4326" s="107"/>
      <c r="AA4326" s="107"/>
      <c r="AB4326" s="107"/>
      <c r="AF4326" s="94">
        <f t="shared" si="576"/>
        <v>42338</v>
      </c>
      <c r="AG4326" s="185">
        <f t="shared" si="579"/>
        <v>-2.6632398298309434E-2</v>
      </c>
      <c r="AH4326" s="339" t="str">
        <f>VLOOKUP(B4326,'MF PF'!A:B,2)</f>
        <v>FdMgt1</v>
      </c>
      <c r="AI4326" s="358">
        <f t="shared" si="577"/>
        <v>0</v>
      </c>
      <c r="AJ4326" s="94">
        <f t="shared" si="578"/>
        <v>42338</v>
      </c>
    </row>
    <row r="4327" spans="1:36" s="358" customFormat="1" ht="12.75" customHeight="1">
      <c r="A4327" s="94">
        <v>42369</v>
      </c>
      <c r="B4327" s="94" t="s">
        <v>15</v>
      </c>
      <c r="C4327" s="358" t="s">
        <v>297</v>
      </c>
      <c r="D4327" s="98">
        <v>58532501.923675448</v>
      </c>
      <c r="E4327" s="95">
        <f t="shared" si="580"/>
        <v>1169.741</v>
      </c>
      <c r="F4327" s="98"/>
      <c r="G4327" s="98">
        <v>2.4831975921988487</v>
      </c>
      <c r="H4327" s="98">
        <v>0</v>
      </c>
      <c r="I4327" s="98">
        <v>0</v>
      </c>
      <c r="J4327" s="98"/>
      <c r="K4327" s="98">
        <v>50038.856399558063</v>
      </c>
      <c r="L4327" s="93">
        <f t="shared" si="574"/>
        <v>2.4831975921988487</v>
      </c>
      <c r="M4327" s="95">
        <f t="shared" ca="1" si="575"/>
        <v>0</v>
      </c>
      <c r="N4327" s="95">
        <f ca="1">IF(P4327="Hedge Fund",IF(A4327=Summary!$AD$3,M4327-E4327,M4327),IF(A4327=Summary!$AD$3,L4327-D4327,L4327))</f>
        <v>0</v>
      </c>
      <c r="O4327" s="95"/>
      <c r="P4327" s="107" t="s">
        <v>139</v>
      </c>
      <c r="Q4327" s="107">
        <v>3.9801128004324199E-2</v>
      </c>
      <c r="R4327" s="107">
        <v>0</v>
      </c>
      <c r="S4327" s="107">
        <v>0</v>
      </c>
      <c r="T4327" s="107">
        <v>0</v>
      </c>
      <c r="U4327" s="107"/>
      <c r="V4327" s="107"/>
      <c r="W4327" s="107"/>
      <c r="X4327" s="107"/>
      <c r="Y4327" s="107"/>
      <c r="Z4327" s="107"/>
      <c r="AA4327" s="107"/>
      <c r="AB4327" s="107"/>
      <c r="AF4327" s="94">
        <f t="shared" si="576"/>
        <v>42369</v>
      </c>
      <c r="AG4327" s="185">
        <f t="shared" si="579"/>
        <v>-9.320462714211053E-3</v>
      </c>
      <c r="AH4327" s="339" t="str">
        <f>VLOOKUP(B4327,'MF PF'!A:B,2)</f>
        <v>FdMgt1</v>
      </c>
      <c r="AI4327" s="358">
        <f t="shared" si="577"/>
        <v>0</v>
      </c>
      <c r="AJ4327" s="94">
        <f t="shared" si="578"/>
        <v>42369</v>
      </c>
    </row>
    <row r="4328" spans="1:36" s="358" customFormat="1" ht="12.75" customHeight="1">
      <c r="A4328" s="94">
        <v>42398</v>
      </c>
      <c r="B4328" s="94" t="s">
        <v>15</v>
      </c>
      <c r="C4328" s="358" t="s">
        <v>297</v>
      </c>
      <c r="D4328" s="98">
        <v>54823626.126298875</v>
      </c>
      <c r="E4328" s="95">
        <f t="shared" si="580"/>
        <v>1095.6211000000001</v>
      </c>
      <c r="F4328" s="98"/>
      <c r="G4328" s="98">
        <v>0</v>
      </c>
      <c r="H4328" s="98">
        <v>-0.7649269700050354</v>
      </c>
      <c r="I4328" s="98">
        <v>0</v>
      </c>
      <c r="J4328" s="98"/>
      <c r="K4328" s="98">
        <v>50038.855701390625</v>
      </c>
      <c r="L4328" s="93">
        <f t="shared" si="574"/>
        <v>-0.7649269700050354</v>
      </c>
      <c r="M4328" s="95">
        <f t="shared" ca="1" si="575"/>
        <v>0</v>
      </c>
      <c r="N4328" s="95">
        <f ca="1">IF(P4328="Hedge Fund",IF(A4328=Summary!$AD$3,M4328-E4328,M4328),IF(A4328=Summary!$AD$3,L4328-D4328,L4328))</f>
        <v>0</v>
      </c>
      <c r="O4328" s="95"/>
      <c r="P4328" s="107" t="s">
        <v>139</v>
      </c>
      <c r="Q4328" s="107">
        <v>3.4776939451439899E-2</v>
      </c>
      <c r="R4328" s="107">
        <v>0</v>
      </c>
      <c r="S4328" s="107">
        <v>0</v>
      </c>
      <c r="T4328" s="107">
        <v>0</v>
      </c>
      <c r="U4328" s="107"/>
      <c r="V4328" s="107"/>
      <c r="W4328" s="107"/>
      <c r="X4328" s="107"/>
      <c r="Y4328" s="107"/>
      <c r="Z4328" s="107"/>
      <c r="AA4328" s="107"/>
      <c r="AB4328" s="107"/>
      <c r="AF4328" s="94">
        <f t="shared" si="576"/>
        <v>42398</v>
      </c>
      <c r="AG4328" s="185">
        <f t="shared" si="579"/>
        <v>-6.336436869358264E-2</v>
      </c>
      <c r="AH4328" s="339" t="str">
        <f>VLOOKUP(B4328,'MF PF'!A:B,2)</f>
        <v>FdMgt1</v>
      </c>
      <c r="AI4328" s="358">
        <f t="shared" si="577"/>
        <v>0</v>
      </c>
      <c r="AJ4328" s="94">
        <f t="shared" si="578"/>
        <v>42400</v>
      </c>
    </row>
    <row r="4329" spans="1:36" s="358" customFormat="1" ht="12.75" customHeight="1">
      <c r="A4329" s="94">
        <v>42429</v>
      </c>
      <c r="B4329" s="94" t="s">
        <v>15</v>
      </c>
      <c r="C4329" s="358" t="s">
        <v>297</v>
      </c>
      <c r="D4329" s="98">
        <v>55962519.612347901</v>
      </c>
      <c r="E4329" s="95">
        <f t="shared" si="580"/>
        <v>1118.3813</v>
      </c>
      <c r="F4329" s="98"/>
      <c r="G4329" s="98">
        <v>0</v>
      </c>
      <c r="H4329" s="98">
        <v>-0.87748575955629349</v>
      </c>
      <c r="I4329" s="98">
        <v>0</v>
      </c>
      <c r="J4329" s="98"/>
      <c r="K4329" s="98">
        <v>50038.854916787241</v>
      </c>
      <c r="L4329" s="93">
        <f t="shared" si="574"/>
        <v>-0.87748575955629349</v>
      </c>
      <c r="M4329" s="95">
        <f t="shared" ca="1" si="575"/>
        <v>0</v>
      </c>
      <c r="N4329" s="95">
        <f ca="1">IF(P4329="Hedge Fund",IF(A4329=Summary!$AD$3,M4329-E4329,M4329),IF(A4329=Summary!$AD$3,L4329-D4329,L4329))</f>
        <v>0</v>
      </c>
      <c r="O4329" s="95"/>
      <c r="P4329" s="107" t="s">
        <v>139</v>
      </c>
      <c r="Q4329" s="107">
        <v>3.7949530733845799E-2</v>
      </c>
      <c r="R4329" s="107">
        <v>0</v>
      </c>
      <c r="S4329" s="107">
        <v>0</v>
      </c>
      <c r="T4329" s="107">
        <v>0</v>
      </c>
      <c r="U4329" s="107"/>
      <c r="V4329" s="107"/>
      <c r="W4329" s="107"/>
      <c r="X4329" s="107"/>
      <c r="Y4329" s="107"/>
      <c r="Z4329" s="107"/>
      <c r="AA4329" s="107"/>
      <c r="AB4329" s="107"/>
      <c r="AF4329" s="94">
        <f t="shared" si="576"/>
        <v>42429</v>
      </c>
      <c r="AG4329" s="185">
        <f t="shared" ref="AG4329:AG4364" si="581">IF(C4329&lt;&gt;C4328,D4329/G4329-1,(D4329-G4329-I4329-H4329)/(D4328)-1)</f>
        <v>2.0773787580396164E-2</v>
      </c>
      <c r="AH4329" s="339" t="str">
        <f>VLOOKUP(B4329,'MF PF'!A:B,2)</f>
        <v>FdMgt1</v>
      </c>
      <c r="AI4329" s="358">
        <f t="shared" si="577"/>
        <v>0</v>
      </c>
      <c r="AJ4329" s="94">
        <f t="shared" si="578"/>
        <v>42429</v>
      </c>
    </row>
    <row r="4330" spans="1:36" s="358" customFormat="1" ht="12.75" customHeight="1">
      <c r="A4330" s="94">
        <v>42460</v>
      </c>
      <c r="B4330" s="94" t="s">
        <v>15</v>
      </c>
      <c r="C4330" s="358" t="s">
        <v>297</v>
      </c>
      <c r="D4330" s="98">
        <v>59250891.208987646</v>
      </c>
      <c r="E4330" s="95">
        <f t="shared" si="580"/>
        <v>1184.0977</v>
      </c>
      <c r="F4330" s="98"/>
      <c r="G4330" s="98">
        <v>0</v>
      </c>
      <c r="H4330" s="98">
        <v>-1.8086138218641281</v>
      </c>
      <c r="I4330" s="98">
        <v>0</v>
      </c>
      <c r="J4330" s="98"/>
      <c r="K4330" s="98">
        <v>50038.853389367825</v>
      </c>
      <c r="L4330" s="93">
        <f t="shared" si="574"/>
        <v>-1.8086138218641281</v>
      </c>
      <c r="M4330" s="95">
        <f t="shared" ca="1" si="575"/>
        <v>0</v>
      </c>
      <c r="N4330" s="95">
        <f ca="1">IF(P4330="Hedge Fund",IF(A4330=Summary!$AD$3,M4330-E4330,M4330),IF(A4330=Summary!$AD$3,L4330-D4330,L4330))</f>
        <v>0</v>
      </c>
      <c r="O4330" s="95"/>
      <c r="P4330" s="107" t="s">
        <v>139</v>
      </c>
      <c r="Q4330" s="107">
        <v>4.0179454098737397E-2</v>
      </c>
      <c r="R4330" s="107">
        <v>0</v>
      </c>
      <c r="S4330" s="107">
        <v>0</v>
      </c>
      <c r="T4330" s="107">
        <v>0</v>
      </c>
      <c r="U4330" s="107"/>
      <c r="V4330" s="107"/>
      <c r="W4330" s="107"/>
      <c r="X4330" s="107"/>
      <c r="Y4330" s="107"/>
      <c r="Z4330" s="107"/>
      <c r="AA4330" s="107"/>
      <c r="AB4330" s="107"/>
      <c r="AF4330" s="94">
        <f t="shared" si="576"/>
        <v>42460</v>
      </c>
      <c r="AG4330" s="185">
        <f t="shared" si="581"/>
        <v>5.8760281488970056E-2</v>
      </c>
      <c r="AH4330" s="339" t="str">
        <f>VLOOKUP(B4330,'MF PF'!A:B,2)</f>
        <v>FdMgt1</v>
      </c>
      <c r="AI4330" s="358">
        <f t="shared" si="577"/>
        <v>0</v>
      </c>
      <c r="AJ4330" s="94">
        <f t="shared" si="578"/>
        <v>42460</v>
      </c>
    </row>
    <row r="4331" spans="1:36" s="358" customFormat="1" ht="12.75" customHeight="1">
      <c r="A4331" s="94">
        <v>42489</v>
      </c>
      <c r="B4331" s="94" t="s">
        <v>15</v>
      </c>
      <c r="C4331" s="358" t="s">
        <v>297</v>
      </c>
      <c r="D4331" s="98">
        <v>58879114.100439511</v>
      </c>
      <c r="E4331" s="95">
        <f t="shared" si="580"/>
        <v>1176.6678999999999</v>
      </c>
      <c r="F4331" s="98"/>
      <c r="G4331" s="98">
        <v>1.5643641948699951</v>
      </c>
      <c r="H4331" s="98">
        <v>0</v>
      </c>
      <c r="I4331" s="98">
        <v>0</v>
      </c>
      <c r="J4331" s="98"/>
      <c r="K4331" s="98">
        <v>50038.854718854411</v>
      </c>
      <c r="L4331" s="93">
        <f t="shared" si="574"/>
        <v>1.5643641948699951</v>
      </c>
      <c r="M4331" s="95">
        <f t="shared" ca="1" si="575"/>
        <v>0</v>
      </c>
      <c r="N4331" s="95">
        <f ca="1">IF(P4331="Hedge Fund",IF(A4331=Summary!$AD$3,M4331-E4331,M4331),IF(A4331=Summary!$AD$3,L4331-D4331,L4331))</f>
        <v>0</v>
      </c>
      <c r="O4331" s="95"/>
      <c r="P4331" s="107" t="s">
        <v>139</v>
      </c>
      <c r="Q4331" s="107">
        <v>3.7349506337685398E-2</v>
      </c>
      <c r="R4331" s="107">
        <v>0</v>
      </c>
      <c r="S4331" s="107">
        <v>0</v>
      </c>
      <c r="T4331" s="107">
        <v>0</v>
      </c>
      <c r="U4331" s="107"/>
      <c r="V4331" s="107"/>
      <c r="W4331" s="107"/>
      <c r="X4331" s="107"/>
      <c r="Y4331" s="107"/>
      <c r="Z4331" s="107"/>
      <c r="AA4331" s="107"/>
      <c r="AB4331" s="107"/>
      <c r="AF4331" s="94">
        <f t="shared" si="576"/>
        <v>42489</v>
      </c>
      <c r="AG4331" s="185">
        <f t="shared" si="581"/>
        <v>-6.2746511542079997E-3</v>
      </c>
      <c r="AH4331" s="339" t="str">
        <f>VLOOKUP(B4331,'MF PF'!A:B,2)</f>
        <v>FdMgt1</v>
      </c>
      <c r="AI4331" s="358">
        <f t="shared" si="577"/>
        <v>0</v>
      </c>
      <c r="AJ4331" s="94">
        <f t="shared" si="578"/>
        <v>42490</v>
      </c>
    </row>
    <row r="4332" spans="1:36" s="358" customFormat="1" ht="12.75" customHeight="1">
      <c r="A4332" s="94">
        <v>42521</v>
      </c>
      <c r="B4332" s="94" t="s">
        <v>15</v>
      </c>
      <c r="C4332" s="358" t="s">
        <v>297</v>
      </c>
      <c r="D4332" s="98">
        <v>59265313.027914785</v>
      </c>
      <c r="E4332" s="95">
        <f t="shared" si="580"/>
        <v>1184.3859</v>
      </c>
      <c r="F4332" s="98"/>
      <c r="G4332" s="98">
        <v>0</v>
      </c>
      <c r="H4332" s="98">
        <v>-0.95324484258890152</v>
      </c>
      <c r="I4332" s="98">
        <v>0</v>
      </c>
      <c r="J4332" s="98"/>
      <c r="K4332" s="98">
        <v>50038.853914011292</v>
      </c>
      <c r="L4332" s="93">
        <f t="shared" si="574"/>
        <v>-0.95324484258890152</v>
      </c>
      <c r="M4332" s="95">
        <f t="shared" ca="1" si="575"/>
        <v>0</v>
      </c>
      <c r="N4332" s="95">
        <f ca="1">IF(P4332="Hedge Fund",IF(A4332=Summary!$AD$3,M4332-E4332,M4332),IF(A4332=Summary!$AD$3,L4332-D4332,L4332))</f>
        <v>0</v>
      </c>
      <c r="O4332" s="95"/>
      <c r="P4332" s="107" t="s">
        <v>139</v>
      </c>
      <c r="Q4332" s="107">
        <v>4.1486704428770498E-2</v>
      </c>
      <c r="R4332" s="107">
        <v>0</v>
      </c>
      <c r="S4332" s="107">
        <v>0</v>
      </c>
      <c r="T4332" s="107">
        <v>0</v>
      </c>
      <c r="U4332" s="107"/>
      <c r="V4332" s="107"/>
      <c r="W4332" s="107"/>
      <c r="X4332" s="107"/>
      <c r="Y4332" s="107"/>
      <c r="Z4332" s="107"/>
      <c r="AA4332" s="107"/>
      <c r="AB4332" s="107"/>
      <c r="AF4332" s="94">
        <f t="shared" si="576"/>
        <v>42521</v>
      </c>
      <c r="AG4332" s="185">
        <f t="shared" si="581"/>
        <v>6.559199923784842E-3</v>
      </c>
      <c r="AH4332" s="339" t="str">
        <f>VLOOKUP(B4332,'MF PF'!A:B,2)</f>
        <v>FdMgt1</v>
      </c>
      <c r="AI4332" s="358">
        <f t="shared" si="577"/>
        <v>0</v>
      </c>
      <c r="AJ4332" s="94">
        <f t="shared" si="578"/>
        <v>42521</v>
      </c>
    </row>
    <row r="4333" spans="1:36" s="358" customFormat="1" ht="12.75" customHeight="1">
      <c r="A4333" s="94">
        <v>42551</v>
      </c>
      <c r="B4333" s="94" t="s">
        <v>15</v>
      </c>
      <c r="C4333" s="358" t="s">
        <v>297</v>
      </c>
      <c r="D4333" s="98">
        <v>50966114.59724196</v>
      </c>
      <c r="E4333" s="95">
        <f t="shared" si="580"/>
        <v>1018.5308</v>
      </c>
      <c r="F4333" s="98"/>
      <c r="G4333" s="98">
        <v>0.68912091106176376</v>
      </c>
      <c r="H4333" s="98">
        <v>0</v>
      </c>
      <c r="I4333" s="98">
        <v>-9000003.3983207159</v>
      </c>
      <c r="J4333" s="98"/>
      <c r="K4333" s="98">
        <v>50038.854590594572</v>
      </c>
      <c r="L4333" s="93">
        <f t="shared" si="574"/>
        <v>-9000002.7091998048</v>
      </c>
      <c r="M4333" s="95">
        <f t="shared" ca="1" si="575"/>
        <v>-179.86029999999997</v>
      </c>
      <c r="N4333" s="95">
        <f ca="1">IF(P4333="Hedge Fund",IF(A4333=Summary!$AD$3,M4333-E4333,M4333),IF(A4333=Summary!$AD$3,L4333-D4333,L4333))</f>
        <v>-179.86029999999997</v>
      </c>
      <c r="O4333" s="95"/>
      <c r="P4333" s="107" t="s">
        <v>139</v>
      </c>
      <c r="Q4333" s="107">
        <v>3.3445620000000002E-2</v>
      </c>
      <c r="R4333" s="107">
        <v>0</v>
      </c>
      <c r="S4333" s="107">
        <v>0</v>
      </c>
      <c r="T4333" s="107">
        <v>0</v>
      </c>
      <c r="U4333" s="107"/>
      <c r="V4333" s="107"/>
      <c r="W4333" s="107"/>
      <c r="X4333" s="107"/>
      <c r="Y4333" s="107"/>
      <c r="Z4333" s="107"/>
      <c r="AA4333" s="107"/>
      <c r="AB4333" s="107"/>
      <c r="AF4333" s="94">
        <f t="shared" si="576"/>
        <v>42551</v>
      </c>
      <c r="AG4333" s="185">
        <f t="shared" si="581"/>
        <v>1.1824864203398233E-2</v>
      </c>
      <c r="AH4333" s="339" t="str">
        <f>VLOOKUP(B4333,'MF PF'!A:B,2)</f>
        <v>FdMgt1</v>
      </c>
      <c r="AI4333" s="358">
        <f t="shared" si="577"/>
        <v>0</v>
      </c>
      <c r="AJ4333" s="94">
        <f t="shared" si="578"/>
        <v>42551</v>
      </c>
    </row>
    <row r="4334" spans="1:36" s="358" customFormat="1" ht="12.75" customHeight="1">
      <c r="A4334" s="94">
        <v>42580</v>
      </c>
      <c r="B4334" s="94" t="s">
        <v>15</v>
      </c>
      <c r="C4334" s="358" t="s">
        <v>297</v>
      </c>
      <c r="D4334" s="98">
        <v>51150445.813132003</v>
      </c>
      <c r="E4334" s="95">
        <f t="shared" si="580"/>
        <v>1022.2146</v>
      </c>
      <c r="F4334" s="98"/>
      <c r="G4334" s="98">
        <v>0</v>
      </c>
      <c r="H4334" s="98">
        <v>-1.9166507944464684</v>
      </c>
      <c r="I4334" s="98">
        <v>0</v>
      </c>
      <c r="J4334" s="98"/>
      <c r="K4334" s="98">
        <v>50038.85271559612</v>
      </c>
      <c r="L4334" s="93">
        <f t="shared" si="574"/>
        <v>-1.9166507944464684</v>
      </c>
      <c r="M4334" s="95">
        <f t="shared" ca="1" si="575"/>
        <v>0</v>
      </c>
      <c r="N4334" s="95">
        <f ca="1">IF(P4334="Hedge Fund",IF(A4334=Summary!$AD$3,M4334-E4334,M4334),IF(A4334=Summary!$AD$3,L4334-D4334,L4334))</f>
        <v>0</v>
      </c>
      <c r="O4334" s="95"/>
      <c r="P4334" s="107" t="s">
        <v>139</v>
      </c>
      <c r="Q4334" s="107">
        <v>3.2446885950322843E-2</v>
      </c>
      <c r="R4334" s="107">
        <v>0</v>
      </c>
      <c r="S4334" s="107">
        <v>0</v>
      </c>
      <c r="T4334" s="107">
        <v>0</v>
      </c>
      <c r="U4334" s="107"/>
      <c r="V4334" s="107"/>
      <c r="W4334" s="107"/>
      <c r="X4334" s="107"/>
      <c r="Y4334" s="107"/>
      <c r="Z4334" s="107"/>
      <c r="AA4334" s="107"/>
      <c r="AB4334" s="107"/>
      <c r="AF4334" s="94">
        <f t="shared" si="576"/>
        <v>42580</v>
      </c>
      <c r="AG4334" s="185">
        <f t="shared" si="581"/>
        <v>3.6167782064127074E-3</v>
      </c>
      <c r="AH4334" s="339" t="str">
        <f>VLOOKUP(B4334,'MF PF'!A:B,2)</f>
        <v>FdMgt1</v>
      </c>
      <c r="AI4334" s="358">
        <f t="shared" si="577"/>
        <v>0</v>
      </c>
      <c r="AJ4334" s="94">
        <f t="shared" si="578"/>
        <v>42582</v>
      </c>
    </row>
    <row r="4335" spans="1:36" s="358" customFormat="1" ht="12.75" customHeight="1">
      <c r="A4335" s="94">
        <v>42613</v>
      </c>
      <c r="B4335" s="94" t="s">
        <v>15</v>
      </c>
      <c r="C4335" s="358" t="s">
        <v>297</v>
      </c>
      <c r="D4335" s="98">
        <v>51397715.603005096</v>
      </c>
      <c r="E4335" s="95">
        <f t="shared" si="580"/>
        <v>1027.1560999999999</v>
      </c>
      <c r="F4335" s="98"/>
      <c r="G4335" s="98">
        <v>2.7991789802908897</v>
      </c>
      <c r="H4335" s="98">
        <v>0</v>
      </c>
      <c r="I4335" s="98">
        <v>0</v>
      </c>
      <c r="J4335" s="98"/>
      <c r="K4335" s="98">
        <v>50038.855440770007</v>
      </c>
      <c r="L4335" s="93">
        <f t="shared" si="574"/>
        <v>2.7991789802908897</v>
      </c>
      <c r="M4335" s="95">
        <f t="shared" ca="1" si="575"/>
        <v>0</v>
      </c>
      <c r="N4335" s="95">
        <f ca="1">IF(P4335="Hedge Fund",IF(A4335=Summary!$AD$3,M4335-E4335,M4335),IF(A4335=Summary!$AD$3,L4335-D4335,L4335))</f>
        <v>0</v>
      </c>
      <c r="O4335" s="95"/>
      <c r="P4335" s="107" t="s">
        <v>139</v>
      </c>
      <c r="Q4335" s="107">
        <v>3.71045405948578E-2</v>
      </c>
      <c r="R4335" s="107">
        <v>0</v>
      </c>
      <c r="S4335" s="107">
        <v>0</v>
      </c>
      <c r="T4335" s="107">
        <v>0</v>
      </c>
      <c r="U4335" s="107"/>
      <c r="V4335" s="107"/>
      <c r="W4335" s="107"/>
      <c r="X4335" s="107"/>
      <c r="Y4335" s="107"/>
      <c r="Z4335" s="107"/>
      <c r="AA4335" s="107"/>
      <c r="AB4335" s="107"/>
      <c r="AF4335" s="94">
        <f t="shared" si="576"/>
        <v>42613</v>
      </c>
      <c r="AG4335" s="185">
        <f t="shared" si="581"/>
        <v>4.8341121326185288E-3</v>
      </c>
      <c r="AH4335" s="339" t="str">
        <f>VLOOKUP(B4335,'MF PF'!A:B,2)</f>
        <v>FdMgt1</v>
      </c>
      <c r="AI4335" s="358">
        <f t="shared" si="577"/>
        <v>0</v>
      </c>
      <c r="AJ4335" s="94">
        <f t="shared" si="578"/>
        <v>42613</v>
      </c>
    </row>
    <row r="4336" spans="1:36" s="358" customFormat="1" ht="12.75" customHeight="1">
      <c r="A4336" s="94">
        <v>42643</v>
      </c>
      <c r="B4336" s="94" t="s">
        <v>15</v>
      </c>
      <c r="C4336" s="358" t="s">
        <v>297</v>
      </c>
      <c r="D4336" s="98">
        <v>52478673.193884797</v>
      </c>
      <c r="E4336" s="95">
        <f t="shared" ref="E4336:E4352" si="582">IF(K4336="","",D4336/K4336)</f>
        <v>1048.7584999999999</v>
      </c>
      <c r="F4336" s="98"/>
      <c r="G4336" s="98">
        <v>0</v>
      </c>
      <c r="H4336" s="98">
        <v>-1.7798939868807793</v>
      </c>
      <c r="I4336" s="98">
        <v>0</v>
      </c>
      <c r="J4336" s="98"/>
      <c r="K4336" s="98">
        <v>50038.853743626205</v>
      </c>
      <c r="L4336" s="93">
        <f t="shared" si="574"/>
        <v>-1.7798939868807793</v>
      </c>
      <c r="M4336" s="95">
        <f t="shared" ca="1" si="575"/>
        <v>0</v>
      </c>
      <c r="N4336" s="95">
        <f ca="1">IF(P4336="Hedge Fund",IF(A4336=Summary!$AD$3,M4336-E4336,M4336),IF(A4336=Summary!$AD$3,L4336-D4336,L4336))</f>
        <v>0</v>
      </c>
      <c r="O4336" s="95"/>
      <c r="P4336" s="107" t="s">
        <v>139</v>
      </c>
      <c r="Q4336" s="107">
        <v>3.4438209999999997E-2</v>
      </c>
      <c r="R4336" s="107">
        <v>0</v>
      </c>
      <c r="S4336" s="107">
        <v>0</v>
      </c>
      <c r="T4336" s="107">
        <v>0</v>
      </c>
      <c r="U4336" s="107"/>
      <c r="V4336" s="107"/>
      <c r="W4336" s="107"/>
      <c r="X4336" s="107"/>
      <c r="Y4336" s="107"/>
      <c r="Z4336" s="107"/>
      <c r="AA4336" s="107"/>
      <c r="AB4336" s="107"/>
      <c r="AF4336" s="94">
        <f t="shared" si="576"/>
        <v>42643</v>
      </c>
      <c r="AG4336" s="185">
        <f t="shared" si="581"/>
        <v>2.1031272656609756E-2</v>
      </c>
      <c r="AH4336" s="339" t="str">
        <f>VLOOKUP(B4336,'MF PF'!A:B,2)</f>
        <v>FdMgt1</v>
      </c>
      <c r="AI4336" s="358">
        <f t="shared" si="577"/>
        <v>0</v>
      </c>
      <c r="AJ4336" s="94">
        <f t="shared" si="578"/>
        <v>42643</v>
      </c>
    </row>
    <row r="4337" spans="1:36" s="358" customFormat="1" ht="12.75" customHeight="1">
      <c r="A4337" s="94">
        <v>42674</v>
      </c>
      <c r="B4337" s="94" t="s">
        <v>15</v>
      </c>
      <c r="C4337" s="358" t="s">
        <v>297</v>
      </c>
      <c r="D4337" s="98">
        <v>53029646.579744205</v>
      </c>
      <c r="E4337" s="95">
        <f t="shared" si="582"/>
        <v>1059.7693999999999</v>
      </c>
      <c r="F4337" s="98"/>
      <c r="G4337" s="98">
        <v>0.57117371261119843</v>
      </c>
      <c r="H4337" s="98">
        <v>0</v>
      </c>
      <c r="I4337" s="98">
        <v>0</v>
      </c>
      <c r="J4337" s="98"/>
      <c r="K4337" s="98">
        <v>50038.854282586581</v>
      </c>
      <c r="L4337" s="93">
        <f t="shared" si="574"/>
        <v>0.57117371261119843</v>
      </c>
      <c r="M4337" s="95">
        <f t="shared" ca="1" si="575"/>
        <v>0</v>
      </c>
      <c r="N4337" s="95">
        <f ca="1">IF(P4337="Hedge Fund",IF(A4337=Summary!$AD$3,M4337-E4337,M4337),IF(A4337=Summary!$AD$3,L4337-D4337,L4337))</f>
        <v>0</v>
      </c>
      <c r="O4337" s="95"/>
      <c r="P4337" s="107" t="s">
        <v>139</v>
      </c>
      <c r="Q4337" s="107">
        <v>3.5960678517184874E-2</v>
      </c>
      <c r="R4337" s="107">
        <v>0</v>
      </c>
      <c r="S4337" s="107">
        <v>0</v>
      </c>
      <c r="T4337" s="107">
        <v>0</v>
      </c>
      <c r="U4337" s="107"/>
      <c r="V4337" s="107"/>
      <c r="W4337" s="107"/>
      <c r="X4337" s="107"/>
      <c r="Y4337" s="107"/>
      <c r="Z4337" s="107"/>
      <c r="AA4337" s="107"/>
      <c r="AB4337" s="107"/>
      <c r="AF4337" s="94">
        <f t="shared" si="576"/>
        <v>42674</v>
      </c>
      <c r="AG4337" s="185">
        <f t="shared" si="581"/>
        <v>1.0498985228725166E-2</v>
      </c>
      <c r="AH4337" s="339" t="str">
        <f>VLOOKUP(B4337,'MF PF'!A:B,2)</f>
        <v>FdMgt1</v>
      </c>
      <c r="AI4337" s="358">
        <f t="shared" si="577"/>
        <v>0</v>
      </c>
      <c r="AJ4337" s="94">
        <f t="shared" si="578"/>
        <v>42674</v>
      </c>
    </row>
    <row r="4338" spans="1:36" s="358" customFormat="1" ht="12.75" customHeight="1">
      <c r="A4338" s="94">
        <v>42704</v>
      </c>
      <c r="B4338" s="94" t="s">
        <v>15</v>
      </c>
      <c r="C4338" s="358" t="s">
        <v>297</v>
      </c>
      <c r="D4338" s="98">
        <v>48683225.941388197</v>
      </c>
      <c r="E4338" s="95">
        <f t="shared" si="582"/>
        <v>972.90850000000012</v>
      </c>
      <c r="F4338" s="98"/>
      <c r="G4338" s="98">
        <v>0</v>
      </c>
      <c r="H4338" s="98">
        <v>-0.72040169686079025</v>
      </c>
      <c r="I4338" s="98">
        <v>-5000002.3391775973</v>
      </c>
      <c r="J4338" s="98"/>
      <c r="K4338" s="98">
        <v>50038.853542124663</v>
      </c>
      <c r="L4338" s="93">
        <f t="shared" si="574"/>
        <v>-5000003.0595792942</v>
      </c>
      <c r="M4338" s="95">
        <f t="shared" ca="1" si="575"/>
        <v>-99.922399999999996</v>
      </c>
      <c r="N4338" s="95">
        <f ca="1">IF(P4338="Hedge Fund",IF(A4338=Summary!$AD$3,M4338-E4338,M4338),IF(A4338=Summary!$AD$3,L4338-D4338,L4338))</f>
        <v>-99.922399999999996</v>
      </c>
      <c r="O4338" s="95"/>
      <c r="P4338" s="107" t="s">
        <v>139</v>
      </c>
      <c r="Q4338" s="107">
        <v>3.5960678517184902E-2</v>
      </c>
      <c r="R4338" s="107">
        <v>0</v>
      </c>
      <c r="S4338" s="107">
        <v>0</v>
      </c>
      <c r="T4338" s="107">
        <v>0</v>
      </c>
      <c r="U4338" s="107"/>
      <c r="V4338" s="107"/>
      <c r="W4338" s="107"/>
      <c r="X4338" s="107"/>
      <c r="Y4338" s="107"/>
      <c r="Z4338" s="107"/>
      <c r="AA4338" s="107"/>
      <c r="AB4338" s="107"/>
      <c r="AF4338" s="94">
        <f t="shared" si="576"/>
        <v>42704</v>
      </c>
      <c r="AG4338" s="185">
        <f t="shared" si="581"/>
        <v>1.2324849652551428E-2</v>
      </c>
      <c r="AH4338" s="339" t="str">
        <f>VLOOKUP(B4338,'MF PF'!A:B,2)</f>
        <v>FdMgt1</v>
      </c>
      <c r="AI4338" s="358">
        <f t="shared" si="577"/>
        <v>0</v>
      </c>
      <c r="AJ4338" s="94">
        <f t="shared" si="578"/>
        <v>42704</v>
      </c>
    </row>
    <row r="4339" spans="1:36" s="358" customFormat="1" ht="12.75" customHeight="1">
      <c r="A4339" s="94">
        <v>42734</v>
      </c>
      <c r="B4339" s="94" t="s">
        <v>15</v>
      </c>
      <c r="C4339" s="358" t="s">
        <v>297</v>
      </c>
      <c r="D4339" s="98">
        <v>46799358.9920367</v>
      </c>
      <c r="E4339" s="95">
        <f t="shared" si="582"/>
        <v>935.2604</v>
      </c>
      <c r="F4339" s="98"/>
      <c r="G4339" s="98">
        <v>0.81268776953220367</v>
      </c>
      <c r="H4339" s="98">
        <v>0</v>
      </c>
      <c r="I4339" s="98">
        <v>-2501942.7205533721</v>
      </c>
      <c r="J4339" s="98"/>
      <c r="K4339" s="98">
        <v>50038.854411067441</v>
      </c>
      <c r="L4339" s="93">
        <f t="shared" si="574"/>
        <v>-2501941.9078656025</v>
      </c>
      <c r="M4339" s="95">
        <f t="shared" ca="1" si="575"/>
        <v>-50</v>
      </c>
      <c r="N4339" s="95">
        <f ca="1">IF(P4339="Hedge Fund",IF(A4339=Summary!$AD$3,M4339-E4339,M4339),IF(A4339=Summary!$AD$3,L4339-D4339,L4339))</f>
        <v>-50</v>
      </c>
      <c r="O4339" s="95"/>
      <c r="P4339" s="107" t="s">
        <v>139</v>
      </c>
      <c r="Q4339" s="107">
        <v>3.0711263570585498E-2</v>
      </c>
      <c r="R4339" s="107">
        <v>0</v>
      </c>
      <c r="S4339" s="107">
        <v>0</v>
      </c>
      <c r="T4339" s="107">
        <v>0</v>
      </c>
      <c r="U4339" s="107"/>
      <c r="V4339" s="107"/>
      <c r="W4339" s="107"/>
      <c r="X4339" s="107"/>
      <c r="Y4339" s="107"/>
      <c r="Z4339" s="107"/>
      <c r="AA4339" s="107"/>
      <c r="AB4339" s="107"/>
      <c r="AF4339" s="94">
        <f t="shared" si="576"/>
        <v>42734</v>
      </c>
      <c r="AG4339" s="185">
        <f t="shared" si="581"/>
        <v>1.2695850502146833E-2</v>
      </c>
      <c r="AH4339" s="339" t="str">
        <f>VLOOKUP(B4339,'MF PF'!A:B,2)</f>
        <v>FdMgt1</v>
      </c>
      <c r="AI4339" s="358">
        <f t="shared" si="577"/>
        <v>0</v>
      </c>
      <c r="AJ4339" s="94">
        <f t="shared" si="578"/>
        <v>42735</v>
      </c>
    </row>
    <row r="4340" spans="1:36" s="358" customFormat="1" ht="12.75" customHeight="1">
      <c r="A4340" s="94">
        <v>42762</v>
      </c>
      <c r="B4340" s="94" t="s">
        <v>15</v>
      </c>
      <c r="C4340" s="358" t="s">
        <v>297</v>
      </c>
      <c r="D4340" s="98">
        <v>47697202.9374841</v>
      </c>
      <c r="E4340" s="95">
        <f t="shared" si="582"/>
        <v>953.20330000000001</v>
      </c>
      <c r="F4340" s="98"/>
      <c r="G4340" s="98">
        <v>1.7846350595355034</v>
      </c>
      <c r="H4340" s="98">
        <v>0</v>
      </c>
      <c r="I4340" s="98">
        <v>0</v>
      </c>
      <c r="J4340" s="98"/>
      <c r="K4340" s="98">
        <v>50038.856283317633</v>
      </c>
      <c r="L4340" s="93">
        <f t="shared" si="574"/>
        <v>1.7846350595355034</v>
      </c>
      <c r="M4340" s="95">
        <f t="shared" ca="1" si="575"/>
        <v>0</v>
      </c>
      <c r="N4340" s="95">
        <f ca="1">IF(P4340="Hedge Fund",IF(A4340=Summary!$AD$3,M4340-E4340,M4340),IF(A4340=Summary!$AD$3,L4340-D4340,L4340))</f>
        <v>0</v>
      </c>
      <c r="O4340" s="95"/>
      <c r="P4340" s="107" t="s">
        <v>139</v>
      </c>
      <c r="Q4340" s="107">
        <v>2.92923813025204E-2</v>
      </c>
      <c r="R4340" s="107">
        <v>0</v>
      </c>
      <c r="S4340" s="107">
        <v>0</v>
      </c>
      <c r="T4340" s="107">
        <v>0</v>
      </c>
      <c r="U4340" s="107"/>
      <c r="V4340" s="107"/>
      <c r="W4340" s="107"/>
      <c r="X4340" s="107"/>
      <c r="Y4340" s="107"/>
      <c r="Z4340" s="107"/>
      <c r="AA4340" s="107"/>
      <c r="AB4340" s="107"/>
      <c r="AF4340" s="94">
        <f t="shared" si="576"/>
        <v>42762</v>
      </c>
      <c r="AG4340" s="185">
        <f t="shared" si="581"/>
        <v>1.9184924326957509E-2</v>
      </c>
      <c r="AH4340" s="339" t="str">
        <f>VLOOKUP(B4340,'MF PF'!A:B,2)</f>
        <v>FdMgt1</v>
      </c>
      <c r="AI4340" s="358">
        <f t="shared" si="577"/>
        <v>0</v>
      </c>
      <c r="AJ4340" s="94">
        <f t="shared" si="578"/>
        <v>42766</v>
      </c>
    </row>
    <row r="4341" spans="1:36" s="358" customFormat="1" ht="12.75" customHeight="1">
      <c r="A4341" s="94">
        <v>42794</v>
      </c>
      <c r="B4341" s="94" t="s">
        <v>15</v>
      </c>
      <c r="C4341" s="358" t="s">
        <v>297</v>
      </c>
      <c r="D4341" s="98">
        <v>52385174.57618285</v>
      </c>
      <c r="E4341" s="95">
        <f t="shared" si="582"/>
        <v>1046.8900000000001</v>
      </c>
      <c r="F4341" s="98"/>
      <c r="G4341" s="98">
        <v>0</v>
      </c>
      <c r="H4341" s="98">
        <v>-3.678259551525116</v>
      </c>
      <c r="I4341" s="98">
        <v>0</v>
      </c>
      <c r="J4341" s="98"/>
      <c r="K4341" s="98">
        <v>50038.85276980661</v>
      </c>
      <c r="L4341" s="93">
        <f t="shared" si="574"/>
        <v>-3.678259551525116</v>
      </c>
      <c r="M4341" s="95">
        <f t="shared" ca="1" si="575"/>
        <v>0</v>
      </c>
      <c r="N4341" s="95">
        <f ca="1">IF(P4341="Hedge Fund",IF(A4341=Summary!$AD$3,M4341-E4341,M4341),IF(A4341=Summary!$AD$3,L4341-D4341,L4341))</f>
        <v>0</v>
      </c>
      <c r="O4341" s="95"/>
      <c r="P4341" s="107" t="s">
        <v>139</v>
      </c>
      <c r="Q4341" s="107">
        <v>3.6771041331700997E-2</v>
      </c>
      <c r="R4341" s="107">
        <v>0</v>
      </c>
      <c r="S4341" s="107">
        <v>0</v>
      </c>
      <c r="T4341" s="107">
        <v>0</v>
      </c>
      <c r="U4341" s="107"/>
      <c r="V4341" s="107"/>
      <c r="W4341" s="107"/>
      <c r="X4341" s="107"/>
      <c r="Y4341" s="107"/>
      <c r="Z4341" s="107"/>
      <c r="AA4341" s="107"/>
      <c r="AB4341" s="107"/>
      <c r="AF4341" s="94">
        <f t="shared" si="576"/>
        <v>42794</v>
      </c>
      <c r="AG4341" s="185">
        <f t="shared" si="581"/>
        <v>9.8286168333659996E-2</v>
      </c>
      <c r="AH4341" s="339" t="str">
        <f>VLOOKUP(B4341,'MF PF'!A:B,2)</f>
        <v>FdMgt1</v>
      </c>
      <c r="AI4341" s="358">
        <f t="shared" si="577"/>
        <v>0</v>
      </c>
      <c r="AJ4341" s="94">
        <f t="shared" si="578"/>
        <v>42794</v>
      </c>
    </row>
    <row r="4342" spans="1:36" s="358" customFormat="1" ht="12.75" customHeight="1">
      <c r="A4342" s="94">
        <v>42825</v>
      </c>
      <c r="B4342" s="94" t="s">
        <v>15</v>
      </c>
      <c r="C4342" s="358" t="s">
        <v>297</v>
      </c>
      <c r="D4342" s="98">
        <v>55261929.882489793</v>
      </c>
      <c r="E4342" s="95">
        <f t="shared" si="582"/>
        <v>1104.3804</v>
      </c>
      <c r="F4342" s="98"/>
      <c r="G4342" s="98">
        <v>1.6450296640396118</v>
      </c>
      <c r="H4342" s="98">
        <v>0</v>
      </c>
      <c r="I4342" s="98">
        <v>0</v>
      </c>
      <c r="J4342" s="98"/>
      <c r="K4342" s="98">
        <v>50038.854259356463</v>
      </c>
      <c r="L4342" s="93">
        <f t="shared" si="574"/>
        <v>1.6450296640396118</v>
      </c>
      <c r="M4342" s="95">
        <f t="shared" ca="1" si="575"/>
        <v>0</v>
      </c>
      <c r="N4342" s="95">
        <f ca="1">IF(P4342="Hedge Fund",IF(A4342=Summary!$AD$3,M4342-E4342,M4342),IF(A4342=Summary!$AD$3,L4342-D4342,L4342))</f>
        <v>0</v>
      </c>
      <c r="O4342" s="95"/>
      <c r="P4342" s="107" t="s">
        <v>139</v>
      </c>
      <c r="Q4342" s="107">
        <v>3.75771934971037E-2</v>
      </c>
      <c r="R4342" s="107">
        <v>0</v>
      </c>
      <c r="S4342" s="107">
        <v>0</v>
      </c>
      <c r="T4342" s="107">
        <v>0</v>
      </c>
      <c r="U4342" s="107"/>
      <c r="V4342" s="107"/>
      <c r="W4342" s="107"/>
      <c r="X4342" s="107"/>
      <c r="Y4342" s="107"/>
      <c r="Z4342" s="107"/>
      <c r="AA4342" s="107"/>
      <c r="AB4342" s="107"/>
      <c r="AF4342" s="94">
        <f t="shared" si="576"/>
        <v>42825</v>
      </c>
      <c r="AG4342" s="185">
        <f t="shared" si="581"/>
        <v>5.4915416137320872E-2</v>
      </c>
      <c r="AH4342" s="339" t="str">
        <f>VLOOKUP(B4342,'MF PF'!A:B,2)</f>
        <v>FdMgt1</v>
      </c>
      <c r="AI4342" s="358">
        <f t="shared" si="577"/>
        <v>0</v>
      </c>
      <c r="AJ4342" s="94">
        <f t="shared" si="578"/>
        <v>42825</v>
      </c>
    </row>
    <row r="4343" spans="1:36" s="358" customFormat="1" ht="12.75" customHeight="1">
      <c r="A4343" s="94">
        <v>42853</v>
      </c>
      <c r="B4343" s="94" t="s">
        <v>15</v>
      </c>
      <c r="C4343" s="358" t="s">
        <v>297</v>
      </c>
      <c r="D4343" s="98">
        <v>54478214.1233273</v>
      </c>
      <c r="E4343" s="95">
        <f t="shared" si="582"/>
        <v>1088.7182</v>
      </c>
      <c r="F4343" s="98"/>
      <c r="G4343" s="98">
        <v>2.7840183973312378</v>
      </c>
      <c r="H4343" s="98">
        <v>0</v>
      </c>
      <c r="I4343" s="98">
        <v>0</v>
      </c>
      <c r="J4343" s="98"/>
      <c r="K4343" s="98">
        <v>50038.856816508895</v>
      </c>
      <c r="L4343" s="93">
        <f t="shared" si="574"/>
        <v>2.7840183973312378</v>
      </c>
      <c r="M4343" s="95">
        <f t="shared" ca="1" si="575"/>
        <v>0</v>
      </c>
      <c r="N4343" s="95">
        <f ca="1">IF(P4343="Hedge Fund",IF(A4343=Summary!$AD$3,M4343-E4343,M4343),IF(A4343=Summary!$AD$3,L4343-D4343,L4343))</f>
        <v>0</v>
      </c>
      <c r="O4343" s="95"/>
      <c r="P4343" s="107" t="s">
        <v>139</v>
      </c>
      <c r="Q4343" s="107">
        <v>3.3456817999999999E-2</v>
      </c>
      <c r="R4343" s="107">
        <v>0</v>
      </c>
      <c r="S4343" s="107">
        <v>0</v>
      </c>
      <c r="T4343" s="107">
        <v>0</v>
      </c>
      <c r="U4343" s="107"/>
      <c r="V4343" s="107"/>
      <c r="W4343" s="107"/>
      <c r="X4343" s="107"/>
      <c r="Y4343" s="107"/>
      <c r="Z4343" s="107"/>
      <c r="AA4343" s="107"/>
      <c r="AB4343" s="107"/>
      <c r="AF4343" s="94">
        <f t="shared" si="576"/>
        <v>42853</v>
      </c>
      <c r="AG4343" s="185">
        <f t="shared" si="581"/>
        <v>-1.4181888776729434E-2</v>
      </c>
      <c r="AH4343" s="339" t="str">
        <f>VLOOKUP(B4343,'MF PF'!A:B,2)</f>
        <v>FdMgt1</v>
      </c>
      <c r="AI4343" s="358">
        <f t="shared" si="577"/>
        <v>0</v>
      </c>
      <c r="AJ4343" s="94">
        <f t="shared" si="578"/>
        <v>42855</v>
      </c>
    </row>
    <row r="4344" spans="1:36" s="358" customFormat="1" ht="12.75" customHeight="1">
      <c r="A4344" s="94">
        <v>42886</v>
      </c>
      <c r="B4344" s="94" t="s">
        <v>15</v>
      </c>
      <c r="C4344" s="358" t="s">
        <v>297</v>
      </c>
      <c r="D4344" s="98">
        <v>52826456.611245103</v>
      </c>
      <c r="E4344" s="95">
        <f t="shared" si="582"/>
        <v>1055.7086999999999</v>
      </c>
      <c r="F4344" s="98"/>
      <c r="G4344" s="98">
        <v>0.13200236111879349</v>
      </c>
      <c r="H4344" s="98">
        <v>0</v>
      </c>
      <c r="I4344" s="98">
        <v>0</v>
      </c>
      <c r="J4344" s="98"/>
      <c r="K4344" s="98">
        <v>50038.856941545622</v>
      </c>
      <c r="L4344" s="93">
        <f t="shared" si="574"/>
        <v>0.13200236111879349</v>
      </c>
      <c r="M4344" s="95">
        <f t="shared" ca="1" si="575"/>
        <v>0</v>
      </c>
      <c r="N4344" s="95">
        <f ca="1">IF(P4344="Hedge Fund",IF(A4344=Summary!$AD$3,M4344-E4344,M4344),IF(A4344=Summary!$AD$3,L4344-D4344,L4344))</f>
        <v>0</v>
      </c>
      <c r="O4344" s="95"/>
      <c r="P4344" s="107" t="s">
        <v>139</v>
      </c>
      <c r="Q4344" s="107">
        <v>3.8240534470668497E-2</v>
      </c>
      <c r="R4344" s="107">
        <v>0</v>
      </c>
      <c r="S4344" s="107">
        <v>0</v>
      </c>
      <c r="T4344" s="107">
        <v>0</v>
      </c>
      <c r="U4344" s="107"/>
      <c r="V4344" s="107"/>
      <c r="W4344" s="107"/>
      <c r="X4344" s="107"/>
      <c r="Y4344" s="107"/>
      <c r="Z4344" s="107"/>
      <c r="AA4344" s="107"/>
      <c r="AB4344" s="107"/>
      <c r="AF4344" s="94">
        <f t="shared" si="576"/>
        <v>42886</v>
      </c>
      <c r="AG4344" s="185">
        <f t="shared" si="581"/>
        <v>-3.0319599690718957E-2</v>
      </c>
      <c r="AH4344" s="339" t="str">
        <f>VLOOKUP(B4344,'MF PF'!A:B,2)</f>
        <v>FdMgt1</v>
      </c>
      <c r="AI4344" s="358">
        <f t="shared" si="577"/>
        <v>0</v>
      </c>
      <c r="AJ4344" s="94">
        <f t="shared" si="578"/>
        <v>42886</v>
      </c>
    </row>
    <row r="4345" spans="1:36" s="358" customFormat="1" ht="12.75" customHeight="1">
      <c r="A4345" s="94">
        <v>42916</v>
      </c>
      <c r="B4345" s="94" t="s">
        <v>15</v>
      </c>
      <c r="C4345" s="358" t="s">
        <v>297</v>
      </c>
      <c r="D4345" s="98">
        <v>52909784.242713489</v>
      </c>
      <c r="E4345" s="95">
        <f t="shared" si="582"/>
        <v>1057.374</v>
      </c>
      <c r="F4345" s="98"/>
      <c r="G4345" s="98">
        <v>0</v>
      </c>
      <c r="H4345" s="98">
        <v>-2.0769963711500168</v>
      </c>
      <c r="I4345" s="98">
        <v>0</v>
      </c>
      <c r="J4345" s="98"/>
      <c r="K4345" s="98">
        <v>50038.854977248819</v>
      </c>
      <c r="L4345" s="93">
        <f t="shared" si="574"/>
        <v>-2.0769963711500168</v>
      </c>
      <c r="M4345" s="95">
        <f t="shared" ca="1" si="575"/>
        <v>0</v>
      </c>
      <c r="N4345" s="95">
        <f ca="1">IF(P4345="Hedge Fund",IF(A4345=Summary!$AD$3,M4345-E4345,M4345),IF(A4345=Summary!$AD$3,L4345-D4345,L4345))</f>
        <v>0</v>
      </c>
      <c r="O4345" s="95"/>
      <c r="P4345" s="107" t="s">
        <v>139</v>
      </c>
      <c r="Q4345" s="107">
        <v>3.4816321981145301E-2</v>
      </c>
      <c r="R4345" s="107">
        <v>0</v>
      </c>
      <c r="S4345" s="107">
        <v>0</v>
      </c>
      <c r="T4345" s="107">
        <v>0</v>
      </c>
      <c r="U4345" s="107"/>
      <c r="V4345" s="107"/>
      <c r="W4345" s="107"/>
      <c r="X4345" s="107"/>
      <c r="Y4345" s="107"/>
      <c r="Z4345" s="107"/>
      <c r="AA4345" s="107"/>
      <c r="AB4345" s="107"/>
      <c r="AF4345" s="94">
        <f t="shared" si="576"/>
        <v>42916</v>
      </c>
      <c r="AG4345" s="185">
        <f t="shared" si="581"/>
        <v>1.5774237722963047E-3</v>
      </c>
      <c r="AH4345" s="339" t="str">
        <f>VLOOKUP(B4345,'MF PF'!A:B,2)</f>
        <v>FdMgt1</v>
      </c>
      <c r="AI4345" s="358">
        <f t="shared" si="577"/>
        <v>0</v>
      </c>
      <c r="AJ4345" s="94">
        <f t="shared" si="578"/>
        <v>42916</v>
      </c>
    </row>
    <row r="4346" spans="1:36" s="358" customFormat="1" ht="12.75" customHeight="1">
      <c r="A4346" s="94">
        <v>42947</v>
      </c>
      <c r="B4346" s="94" t="s">
        <v>15</v>
      </c>
      <c r="C4346" s="358" t="s">
        <v>297</v>
      </c>
      <c r="D4346" s="98">
        <v>53972888.810000002</v>
      </c>
      <c r="E4346" s="95">
        <f t="shared" si="582"/>
        <v>1078.6196</v>
      </c>
      <c r="F4346" s="98"/>
      <c r="G4346" s="98">
        <v>0</v>
      </c>
      <c r="H4346" s="98">
        <v>-0.93001812696456909</v>
      </c>
      <c r="I4346" s="98">
        <v>0</v>
      </c>
      <c r="J4346" s="98"/>
      <c r="K4346" s="98">
        <v>50038.854115018861</v>
      </c>
      <c r="L4346" s="93">
        <f t="shared" si="574"/>
        <v>-0.93001812696456909</v>
      </c>
      <c r="M4346" s="95">
        <f t="shared" ca="1" si="575"/>
        <v>0</v>
      </c>
      <c r="N4346" s="95">
        <f ca="1">IF(P4346="Hedge Fund",IF(A4346=Summary!$AD$3,M4346-E4346,M4346),IF(A4346=Summary!$AD$3,L4346-D4346,L4346))</f>
        <v>0</v>
      </c>
      <c r="O4346" s="95"/>
      <c r="P4346" s="107" t="s">
        <v>139</v>
      </c>
      <c r="Q4346" s="107">
        <v>3.6700666999999999E-2</v>
      </c>
      <c r="R4346" s="107">
        <v>0</v>
      </c>
      <c r="S4346" s="107">
        <v>0</v>
      </c>
      <c r="T4346" s="107">
        <v>0</v>
      </c>
      <c r="U4346" s="107"/>
      <c r="V4346" s="107"/>
      <c r="W4346" s="107"/>
      <c r="X4346" s="107"/>
      <c r="Y4346" s="107"/>
      <c r="Z4346" s="107"/>
      <c r="AA4346" s="107"/>
      <c r="AB4346" s="107"/>
      <c r="AF4346" s="94">
        <f t="shared" si="576"/>
        <v>42947</v>
      </c>
      <c r="AG4346" s="185">
        <f t="shared" si="581"/>
        <v>2.0092795926512252E-2</v>
      </c>
      <c r="AH4346" s="339" t="str">
        <f>VLOOKUP(B4346,'MF PF'!A:B,2)</f>
        <v>FdMgt1</v>
      </c>
      <c r="AI4346" s="358">
        <f t="shared" si="577"/>
        <v>0</v>
      </c>
      <c r="AJ4346" s="94">
        <f t="shared" si="578"/>
        <v>42947</v>
      </c>
    </row>
    <row r="4347" spans="1:36" s="358" customFormat="1" ht="12.75" customHeight="1">
      <c r="A4347" s="94">
        <v>42978</v>
      </c>
      <c r="B4347" s="94" t="s">
        <v>15</v>
      </c>
      <c r="C4347" s="358" t="s">
        <v>297</v>
      </c>
      <c r="D4347" s="98">
        <v>54809300</v>
      </c>
      <c r="E4347" s="95">
        <f t="shared" si="582"/>
        <v>1095.335</v>
      </c>
      <c r="F4347" s="98"/>
      <c r="G4347" s="98">
        <v>0</v>
      </c>
      <c r="H4347" s="98">
        <v>-8.2720741853117943</v>
      </c>
      <c r="I4347" s="98">
        <v>0</v>
      </c>
      <c r="J4347" s="98"/>
      <c r="K4347" s="98">
        <v>50038.846562923674</v>
      </c>
      <c r="L4347" s="93">
        <f t="shared" si="574"/>
        <v>-8.2720741853117943</v>
      </c>
      <c r="M4347" s="95">
        <f t="shared" ca="1" si="575"/>
        <v>0</v>
      </c>
      <c r="N4347" s="95">
        <f ca="1">IF(P4347="Hedge Fund",IF(A4347=Summary!$AD$3,M4347-E4347,M4347),IF(A4347=Summary!$AD$3,L4347-D4347,L4347))</f>
        <v>0</v>
      </c>
      <c r="O4347" s="95"/>
      <c r="P4347" s="107" t="s">
        <v>139</v>
      </c>
      <c r="Q4347" s="107">
        <v>3.73E-2</v>
      </c>
      <c r="R4347" s="107">
        <v>0</v>
      </c>
      <c r="S4347" s="107">
        <v>0</v>
      </c>
      <c r="T4347" s="107">
        <v>0</v>
      </c>
      <c r="U4347" s="107"/>
      <c r="V4347" s="107"/>
      <c r="W4347" s="107"/>
      <c r="X4347" s="107"/>
      <c r="Y4347" s="107"/>
      <c r="Z4347" s="107"/>
      <c r="AA4347" s="107"/>
      <c r="AB4347" s="107"/>
      <c r="AF4347" s="94">
        <f t="shared" si="576"/>
        <v>42978</v>
      </c>
      <c r="AG4347" s="185">
        <f t="shared" si="581"/>
        <v>1.5497029722063127E-2</v>
      </c>
      <c r="AH4347" s="339" t="str">
        <f>VLOOKUP(B4347,'MF PF'!A:B,2)</f>
        <v>FdMgt1</v>
      </c>
      <c r="AI4347" s="358">
        <f t="shared" si="577"/>
        <v>0</v>
      </c>
      <c r="AJ4347" s="94">
        <f t="shared" si="578"/>
        <v>42978</v>
      </c>
    </row>
    <row r="4348" spans="1:36" s="358" customFormat="1" ht="12.75" customHeight="1">
      <c r="A4348" s="94">
        <v>43007</v>
      </c>
      <c r="B4348" s="94" t="s">
        <v>15</v>
      </c>
      <c r="C4348" s="358" t="s">
        <v>297</v>
      </c>
      <c r="D4348" s="98">
        <v>53853700</v>
      </c>
      <c r="E4348" s="95">
        <f t="shared" si="582"/>
        <v>1076.2379999999998</v>
      </c>
      <c r="F4348" s="98"/>
      <c r="G4348" s="98">
        <v>0</v>
      </c>
      <c r="H4348" s="98">
        <v>-8.1471878439188004</v>
      </c>
      <c r="I4348" s="98">
        <v>0</v>
      </c>
      <c r="J4348" s="98"/>
      <c r="K4348" s="98">
        <v>50038.838992862176</v>
      </c>
      <c r="L4348" s="93">
        <f t="shared" si="574"/>
        <v>-8.1471878439188004</v>
      </c>
      <c r="M4348" s="95">
        <f t="shared" ca="1" si="575"/>
        <v>0</v>
      </c>
      <c r="N4348" s="95">
        <f ca="1">IF(P4348="Hedge Fund",IF(A4348=Summary!$AD$3,M4348-E4348,M4348),IF(A4348=Summary!$AD$3,L4348-D4348,L4348))</f>
        <v>0</v>
      </c>
      <c r="O4348" s="95"/>
      <c r="P4348" s="107" t="s">
        <v>139</v>
      </c>
      <c r="Q4348" s="107">
        <v>3.4299999999999997E-2</v>
      </c>
      <c r="R4348" s="107">
        <v>0</v>
      </c>
      <c r="S4348" s="107">
        <v>0</v>
      </c>
      <c r="T4348" s="107">
        <v>0</v>
      </c>
      <c r="U4348" s="107"/>
      <c r="V4348" s="107"/>
      <c r="W4348" s="107"/>
      <c r="X4348" s="107"/>
      <c r="Y4348" s="107"/>
      <c r="Z4348" s="107"/>
      <c r="AA4348" s="107"/>
      <c r="AB4348" s="107"/>
      <c r="AF4348" s="94">
        <f t="shared" si="576"/>
        <v>43007</v>
      </c>
      <c r="AG4348" s="185">
        <f t="shared" si="581"/>
        <v>-1.7434848699256489E-2</v>
      </c>
      <c r="AH4348" s="339" t="str">
        <f>VLOOKUP(B4348,'MF PF'!A:B,2)</f>
        <v>FdMgt1</v>
      </c>
      <c r="AI4348" s="358">
        <f t="shared" si="577"/>
        <v>0</v>
      </c>
      <c r="AJ4348" s="94">
        <f t="shared" si="578"/>
        <v>43008</v>
      </c>
    </row>
    <row r="4349" spans="1:36" s="358" customFormat="1" ht="12.75" customHeight="1">
      <c r="A4349" s="94">
        <v>43039</v>
      </c>
      <c r="B4349" s="94" t="s">
        <v>15</v>
      </c>
      <c r="C4349" s="358" t="s">
        <v>297</v>
      </c>
      <c r="D4349" s="98">
        <v>55842400</v>
      </c>
      <c r="E4349" s="95">
        <f t="shared" si="582"/>
        <v>1115.9811000000002</v>
      </c>
      <c r="F4349" s="98"/>
      <c r="G4349" s="98">
        <v>1.4180227667093277</v>
      </c>
      <c r="H4349" s="98">
        <v>0</v>
      </c>
      <c r="I4349" s="98">
        <v>0</v>
      </c>
      <c r="J4349" s="98"/>
      <c r="K4349" s="98">
        <v>50038.840263513419</v>
      </c>
      <c r="L4349" s="93">
        <f t="shared" si="574"/>
        <v>1.4180227667093277</v>
      </c>
      <c r="M4349" s="95">
        <f t="shared" ca="1" si="575"/>
        <v>0</v>
      </c>
      <c r="N4349" s="95">
        <f ca="1">IF(P4349="Hedge Fund",IF(A4349=Summary!$AD$3,M4349-E4349,M4349),IF(A4349=Summary!$AD$3,L4349-D4349,L4349))</f>
        <v>0</v>
      </c>
      <c r="O4349" s="95"/>
      <c r="P4349" s="107" t="s">
        <v>139</v>
      </c>
      <c r="Q4349" s="107">
        <v>3.9199999999999999E-2</v>
      </c>
      <c r="R4349" s="107">
        <v>0</v>
      </c>
      <c r="S4349" s="107">
        <v>0</v>
      </c>
      <c r="T4349" s="107">
        <v>0</v>
      </c>
      <c r="U4349" s="107"/>
      <c r="V4349" s="107"/>
      <c r="W4349" s="107"/>
      <c r="X4349" s="107"/>
      <c r="Y4349" s="107"/>
      <c r="Z4349" s="107"/>
      <c r="AA4349" s="107"/>
      <c r="AB4349" s="107"/>
      <c r="AF4349" s="94">
        <f t="shared" si="576"/>
        <v>43039</v>
      </c>
      <c r="AG4349" s="185">
        <f t="shared" si="581"/>
        <v>3.6927798498102016E-2</v>
      </c>
      <c r="AH4349" s="339" t="str">
        <f>VLOOKUP(B4349,'MF PF'!A:B,2)</f>
        <v>FdMgt1</v>
      </c>
      <c r="AI4349" s="358">
        <f t="shared" si="577"/>
        <v>0</v>
      </c>
      <c r="AJ4349" s="94">
        <f t="shared" si="578"/>
        <v>43039</v>
      </c>
    </row>
    <row r="4350" spans="1:36" s="358" customFormat="1" ht="12.75" customHeight="1">
      <c r="A4350" s="94">
        <v>43069</v>
      </c>
      <c r="B4350" s="94" t="s">
        <v>15</v>
      </c>
      <c r="C4350" s="358" t="s">
        <v>297</v>
      </c>
      <c r="D4350" s="98">
        <v>54286200</v>
      </c>
      <c r="E4350" s="95">
        <f t="shared" si="582"/>
        <v>1084.8819000000001</v>
      </c>
      <c r="F4350" s="98"/>
      <c r="G4350" s="98">
        <v>0</v>
      </c>
      <c r="H4350" s="98">
        <v>-32.098876945674419</v>
      </c>
      <c r="I4350" s="98">
        <v>0</v>
      </c>
      <c r="J4350" s="98"/>
      <c r="K4350" s="98">
        <v>50038.810676074507</v>
      </c>
      <c r="L4350" s="93">
        <f t="shared" si="574"/>
        <v>-32.098876945674419</v>
      </c>
      <c r="M4350" s="95">
        <f t="shared" ca="1" si="575"/>
        <v>0</v>
      </c>
      <c r="N4350" s="95">
        <f ca="1">IF(P4350="Hedge Fund",IF(A4350=Summary!$AD$3,M4350-E4350,M4350),IF(A4350=Summary!$AD$3,L4350-D4350,L4350))</f>
        <v>0</v>
      </c>
      <c r="O4350" s="95"/>
      <c r="P4350" s="107" t="s">
        <v>139</v>
      </c>
      <c r="Q4350" s="107">
        <v>3.5700000000000003E-2</v>
      </c>
      <c r="R4350" s="107">
        <v>0</v>
      </c>
      <c r="S4350" s="107">
        <v>0</v>
      </c>
      <c r="T4350" s="107">
        <v>0</v>
      </c>
      <c r="U4350" s="107"/>
      <c r="V4350" s="107"/>
      <c r="W4350" s="107"/>
      <c r="X4350" s="107"/>
      <c r="Y4350" s="107"/>
      <c r="Z4350" s="107"/>
      <c r="AA4350" s="107"/>
      <c r="AB4350" s="107"/>
      <c r="AF4350" s="94">
        <f t="shared" si="576"/>
        <v>43069</v>
      </c>
      <c r="AG4350" s="185">
        <f t="shared" si="581"/>
        <v>-2.7867138610143116E-2</v>
      </c>
      <c r="AH4350" s="339" t="str">
        <f>VLOOKUP(B4350,'MF PF'!A:B,2)</f>
        <v>FdMgt1</v>
      </c>
      <c r="AI4350" s="358">
        <f t="shared" si="577"/>
        <v>0</v>
      </c>
      <c r="AJ4350" s="94">
        <f t="shared" si="578"/>
        <v>43069</v>
      </c>
    </row>
    <row r="4351" spans="1:36" s="358" customFormat="1" ht="12.75" customHeight="1">
      <c r="A4351" s="94">
        <v>43098</v>
      </c>
      <c r="B4351" s="94" t="s">
        <v>15</v>
      </c>
      <c r="C4351" s="358" t="s">
        <v>297</v>
      </c>
      <c r="D4351" s="98">
        <v>52643700</v>
      </c>
      <c r="E4351" s="95">
        <f t="shared" si="582"/>
        <v>1052.0561</v>
      </c>
      <c r="F4351" s="98"/>
      <c r="G4351" s="98">
        <v>63.991490691900253</v>
      </c>
      <c r="H4351" s="98">
        <v>0</v>
      </c>
      <c r="I4351" s="98">
        <v>0</v>
      </c>
      <c r="J4351" s="98"/>
      <c r="K4351" s="98">
        <v>50038.871501244088</v>
      </c>
      <c r="L4351" s="93">
        <f t="shared" si="574"/>
        <v>63.991490691900253</v>
      </c>
      <c r="M4351" s="95">
        <f t="shared" ca="1" si="575"/>
        <v>0</v>
      </c>
      <c r="N4351" s="95">
        <f ca="1">IF(P4351="Hedge Fund",IF(A4351=Summary!$AD$3,M4351-E4351,M4351),IF(A4351=Summary!$AD$3,L4351-D4351,L4351))</f>
        <v>0</v>
      </c>
      <c r="O4351" s="95"/>
      <c r="P4351" s="107" t="s">
        <v>139</v>
      </c>
      <c r="Q4351" s="107">
        <v>3.34857E-2</v>
      </c>
      <c r="R4351" s="107">
        <v>0</v>
      </c>
      <c r="S4351" s="107">
        <v>0</v>
      </c>
      <c r="T4351" s="107"/>
      <c r="U4351" s="107"/>
      <c r="V4351" s="107"/>
      <c r="W4351" s="107"/>
      <c r="X4351" s="107"/>
      <c r="Y4351" s="107"/>
      <c r="Z4351" s="107"/>
      <c r="AA4351" s="107"/>
      <c r="AB4351" s="107"/>
      <c r="AF4351" s="94">
        <f t="shared" si="576"/>
        <v>43098</v>
      </c>
      <c r="AG4351" s="185">
        <f t="shared" si="581"/>
        <v>-3.0257487013102602E-2</v>
      </c>
      <c r="AH4351" s="339" t="str">
        <f>VLOOKUP(B4351,'MF PF'!A:B,2)</f>
        <v>FdMgt1</v>
      </c>
      <c r="AI4351" s="358">
        <f t="shared" si="577"/>
        <v>0</v>
      </c>
      <c r="AJ4351" s="94">
        <f t="shared" si="578"/>
        <v>43100</v>
      </c>
    </row>
    <row r="4352" spans="1:36" s="358" customFormat="1" ht="12.75" customHeight="1">
      <c r="A4352" s="94">
        <v>43131</v>
      </c>
      <c r="B4352" s="94" t="s">
        <v>15</v>
      </c>
      <c r="C4352" s="358" t="s">
        <v>297</v>
      </c>
      <c r="D4352" s="98">
        <v>37863400</v>
      </c>
      <c r="E4352" s="95">
        <f t="shared" si="582"/>
        <v>1135.0195000000001</v>
      </c>
      <c r="F4352" s="98"/>
      <c r="G4352" s="98">
        <v>0</v>
      </c>
      <c r="H4352" s="98">
        <v>-18931694.911906317</v>
      </c>
      <c r="I4352" s="98">
        <v>0</v>
      </c>
      <c r="J4352" s="98"/>
      <c r="K4352" s="98">
        <v>33359.250656045995</v>
      </c>
      <c r="L4352" s="93">
        <f t="shared" si="574"/>
        <v>-18931694.911906317</v>
      </c>
      <c r="M4352" s="95">
        <f t="shared" ca="1" si="575"/>
        <v>0</v>
      </c>
      <c r="N4352" s="95">
        <f ca="1">IF(P4352="Hedge Fund",IF(A4352=Summary!$AD$3,M4352-E4352,M4352),IF(A4352=Summary!$AD$3,L4352-D4352,L4352))</f>
        <v>0</v>
      </c>
      <c r="O4352" s="95"/>
      <c r="P4352" s="107" t="s">
        <v>139</v>
      </c>
      <c r="Q4352" s="107">
        <v>2.74089E-2</v>
      </c>
      <c r="R4352" s="107">
        <v>0</v>
      </c>
      <c r="S4352" s="107">
        <v>0</v>
      </c>
      <c r="T4352" s="107"/>
      <c r="U4352" s="107"/>
      <c r="V4352" s="107"/>
      <c r="W4352" s="107"/>
      <c r="X4352" s="107"/>
      <c r="Y4352" s="107"/>
      <c r="Z4352" s="107"/>
      <c r="AA4352" s="107"/>
      <c r="AB4352" s="107"/>
      <c r="AF4352" s="94">
        <f t="shared" si="576"/>
        <v>43131</v>
      </c>
      <c r="AG4352" s="185">
        <f t="shared" si="581"/>
        <v>7.8858342249999769E-2</v>
      </c>
      <c r="AH4352" s="339" t="str">
        <f>VLOOKUP(B4352,'MF PF'!A:B,2)</f>
        <v>FdMgt1</v>
      </c>
      <c r="AI4352" s="358">
        <f t="shared" si="577"/>
        <v>0</v>
      </c>
      <c r="AJ4352" s="94">
        <f t="shared" si="578"/>
        <v>43131</v>
      </c>
    </row>
    <row r="4353" spans="1:36" s="358" customFormat="1" ht="12.75" customHeight="1">
      <c r="A4353" s="94">
        <v>43159</v>
      </c>
      <c r="B4353" s="94" t="s">
        <v>15</v>
      </c>
      <c r="C4353" s="358" t="s">
        <v>297</v>
      </c>
      <c r="D4353" s="93">
        <f t="shared" ref="D4353:D4359" si="583">E4353*K4353</f>
        <v>37010885.307930604</v>
      </c>
      <c r="E4353" s="107">
        <v>1109.4644000000001</v>
      </c>
      <c r="F4353" s="98"/>
      <c r="G4353" s="98">
        <v>0</v>
      </c>
      <c r="H4353" s="98">
        <v>-1.0135596767067909</v>
      </c>
      <c r="I4353" s="98">
        <v>0</v>
      </c>
      <c r="J4353" s="98"/>
      <c r="K4353" s="98">
        <v>33359.236499999999</v>
      </c>
      <c r="L4353" s="93">
        <f t="shared" ref="L4353:L4416" si="584">G4353+H4353+I4353</f>
        <v>-1.0135596767067909</v>
      </c>
      <c r="M4353" s="95">
        <f t="shared" ref="M4353:M4416" ca="1" si="585">IF(A4353&gt;INDIRECT("A"&amp;ROW()-1),I4353/K4353,E4353)</f>
        <v>0</v>
      </c>
      <c r="N4353" s="95">
        <f ca="1">IF(P4353="Hedge Fund",IF(A4353=Summary!$AD$3,M4353-E4353,M4353),IF(A4353=Summary!$AD$3,L4353-D4353,L4353))</f>
        <v>0</v>
      </c>
      <c r="O4353" s="95"/>
      <c r="P4353" s="107" t="s">
        <v>139</v>
      </c>
      <c r="Q4353" s="107">
        <v>2.2729599999999999E-2</v>
      </c>
      <c r="R4353" s="107">
        <v>0</v>
      </c>
      <c r="S4353" s="107">
        <v>0</v>
      </c>
      <c r="T4353" s="107"/>
      <c r="U4353" s="107"/>
      <c r="V4353" s="107"/>
      <c r="W4353" s="107"/>
      <c r="X4353" s="107"/>
      <c r="Y4353" s="107"/>
      <c r="Z4353" s="107"/>
      <c r="AA4353" s="107"/>
      <c r="AB4353" s="107"/>
      <c r="AF4353" s="94">
        <f t="shared" ref="AF4353:AF4416" si="586">A4353</f>
        <v>43159</v>
      </c>
      <c r="AG4353" s="185">
        <f t="shared" si="581"/>
        <v>-2.2515507812550406E-2</v>
      </c>
      <c r="AH4353" s="339" t="str">
        <f>VLOOKUP(B4353,'MF PF'!A:B,2)</f>
        <v>FdMgt1</v>
      </c>
      <c r="AI4353" s="358">
        <f t="shared" ref="AI4353:AI4416" si="587">AF4353-A4353</f>
        <v>0</v>
      </c>
      <c r="AJ4353" s="94">
        <f t="shared" ref="AJ4353:AJ4416" si="588">EOMONTH(A4353,0)</f>
        <v>43159</v>
      </c>
    </row>
    <row r="4354" spans="1:36" s="358" customFormat="1" ht="12.75" customHeight="1">
      <c r="A4354" s="94">
        <v>43188</v>
      </c>
      <c r="B4354" s="94" t="s">
        <v>15</v>
      </c>
      <c r="C4354" s="358" t="s">
        <v>297</v>
      </c>
      <c r="D4354" s="93">
        <f t="shared" si="583"/>
        <v>36398236.2577608</v>
      </c>
      <c r="E4354" s="109">
        <v>1091.0992000000001</v>
      </c>
      <c r="F4354" s="98"/>
      <c r="G4354" s="98">
        <v>0</v>
      </c>
      <c r="H4354" s="98">
        <v>0</v>
      </c>
      <c r="I4354" s="98">
        <v>0</v>
      </c>
      <c r="J4354" s="98"/>
      <c r="K4354" s="111">
        <v>33359.236499999999</v>
      </c>
      <c r="L4354" s="93">
        <f t="shared" si="584"/>
        <v>0</v>
      </c>
      <c r="M4354" s="95">
        <f t="shared" ca="1" si="585"/>
        <v>0</v>
      </c>
      <c r="N4354" s="95">
        <f ca="1">IF(P4354="Hedge Fund",IF(A4354=Summary!$AD$3,M4354-E4354,M4354),IF(A4354=Summary!$AD$3,L4354-D4354,L4354))</f>
        <v>0</v>
      </c>
      <c r="O4354" s="95"/>
      <c r="P4354" s="107" t="s">
        <v>139</v>
      </c>
      <c r="Q4354" s="109">
        <f>D4354/10^6*0.8%/365*29</f>
        <v>2.3135317292604124E-2</v>
      </c>
      <c r="R4354" s="107">
        <v>0</v>
      </c>
      <c r="S4354" s="107">
        <v>0</v>
      </c>
      <c r="T4354" s="107"/>
      <c r="U4354" s="107"/>
      <c r="V4354" s="107"/>
      <c r="W4354" s="107"/>
      <c r="X4354" s="107"/>
      <c r="Y4354" s="107"/>
      <c r="Z4354" s="107"/>
      <c r="AA4354" s="107"/>
      <c r="AB4354" s="107"/>
      <c r="AF4354" s="94">
        <f t="shared" si="586"/>
        <v>43188</v>
      </c>
      <c r="AG4354" s="185">
        <f t="shared" si="581"/>
        <v>-1.6553212523087835E-2</v>
      </c>
      <c r="AH4354" s="339" t="str">
        <f>VLOOKUP(B4354,'MF PF'!A:B,2)</f>
        <v>FdMgt1</v>
      </c>
      <c r="AI4354" s="358">
        <f t="shared" si="587"/>
        <v>0</v>
      </c>
      <c r="AJ4354" s="94">
        <f t="shared" si="588"/>
        <v>43190</v>
      </c>
    </row>
    <row r="4355" spans="1:36" s="358" customFormat="1" ht="12.75" customHeight="1">
      <c r="A4355" s="94">
        <v>43220</v>
      </c>
      <c r="B4355" s="94" t="s">
        <v>15</v>
      </c>
      <c r="C4355" s="358" t="s">
        <v>297</v>
      </c>
      <c r="D4355" s="93">
        <f t="shared" si="583"/>
        <v>35777330.796557248</v>
      </c>
      <c r="E4355" s="109">
        <v>1072.4865</v>
      </c>
      <c r="F4355" s="98"/>
      <c r="G4355" s="98">
        <v>0</v>
      </c>
      <c r="H4355" s="98">
        <v>0</v>
      </c>
      <c r="I4355" s="98">
        <v>0</v>
      </c>
      <c r="J4355" s="98"/>
      <c r="K4355" s="111">
        <v>33359.236499999999</v>
      </c>
      <c r="L4355" s="93">
        <f t="shared" si="584"/>
        <v>0</v>
      </c>
      <c r="M4355" s="95">
        <f t="shared" ca="1" si="585"/>
        <v>0</v>
      </c>
      <c r="N4355" s="95">
        <f ca="1">IF(P4355="Hedge Fund",IF(A4355=Summary!$AD$3,M4355-E4355,M4355),IF(A4355=Summary!$AD$3,L4355-D4355,L4355))</f>
        <v>0</v>
      </c>
      <c r="O4355" s="95"/>
      <c r="P4355" s="107" t="s">
        <v>139</v>
      </c>
      <c r="Q4355" s="109">
        <f>D4355/10^6*0.8%/365*29</f>
        <v>2.2740659574798032E-2</v>
      </c>
      <c r="R4355" s="107">
        <v>0</v>
      </c>
      <c r="S4355" s="107">
        <v>0</v>
      </c>
      <c r="T4355" s="107"/>
      <c r="U4355" s="107"/>
      <c r="V4355" s="107"/>
      <c r="W4355" s="107"/>
      <c r="X4355" s="107"/>
      <c r="Y4355" s="107"/>
      <c r="Z4355" s="107"/>
      <c r="AA4355" s="107"/>
      <c r="AB4355" s="107"/>
      <c r="AF4355" s="94">
        <f t="shared" si="586"/>
        <v>43220</v>
      </c>
      <c r="AG4355" s="185">
        <f t="shared" si="581"/>
        <v>-1.7058668909298191E-2</v>
      </c>
      <c r="AH4355" s="339" t="str">
        <f>VLOOKUP(B4355,'MF PF'!A:B,2)</f>
        <v>FdMgt1</v>
      </c>
      <c r="AI4355" s="358">
        <f t="shared" si="587"/>
        <v>0</v>
      </c>
      <c r="AJ4355" s="94">
        <f t="shared" si="588"/>
        <v>43220</v>
      </c>
    </row>
    <row r="4356" spans="1:36" s="358" customFormat="1" ht="12.75" customHeight="1">
      <c r="A4356" s="94">
        <v>43251</v>
      </c>
      <c r="B4356" s="94" t="s">
        <v>15</v>
      </c>
      <c r="C4356" s="358" t="s">
        <v>297</v>
      </c>
      <c r="D4356" s="93">
        <f t="shared" si="583"/>
        <v>34776520.342320748</v>
      </c>
      <c r="E4356" s="109">
        <v>1042.4855</v>
      </c>
      <c r="F4356" s="98"/>
      <c r="G4356" s="98">
        <v>0</v>
      </c>
      <c r="H4356" s="98">
        <v>0</v>
      </c>
      <c r="I4356" s="98">
        <v>0</v>
      </c>
      <c r="J4356" s="98"/>
      <c r="K4356" s="111">
        <v>33359.236499999999</v>
      </c>
      <c r="L4356" s="93">
        <f t="shared" si="584"/>
        <v>0</v>
      </c>
      <c r="M4356" s="95">
        <f t="shared" ca="1" si="585"/>
        <v>0</v>
      </c>
      <c r="N4356" s="95">
        <f ca="1">IF(P4356="Hedge Fund",IF(A4356=Summary!$AD$3,M4356-E4356,M4356),IF(A4356=Summary!$AD$3,L4356-D4356,L4356))</f>
        <v>0</v>
      </c>
      <c r="O4356" s="95"/>
      <c r="P4356" s="107" t="s">
        <v>139</v>
      </c>
      <c r="Q4356" s="109">
        <f>D4356/10^6*0.8%/365*29</f>
        <v>2.2104527998406617E-2</v>
      </c>
      <c r="R4356" s="107">
        <v>0</v>
      </c>
      <c r="S4356" s="107">
        <v>0</v>
      </c>
      <c r="T4356" s="107"/>
      <c r="U4356" s="107"/>
      <c r="V4356" s="107"/>
      <c r="W4356" s="107"/>
      <c r="X4356" s="107"/>
      <c r="Y4356" s="107"/>
      <c r="Z4356" s="107"/>
      <c r="AA4356" s="107"/>
      <c r="AB4356" s="107"/>
      <c r="AF4356" s="94">
        <f t="shared" si="586"/>
        <v>43251</v>
      </c>
      <c r="AG4356" s="185">
        <f t="shared" si="581"/>
        <v>-2.797331248458601E-2</v>
      </c>
      <c r="AH4356" s="339" t="str">
        <f>VLOOKUP(B4356,'MF PF'!A:B,2)</f>
        <v>FdMgt1</v>
      </c>
      <c r="AI4356" s="358">
        <f t="shared" si="587"/>
        <v>0</v>
      </c>
      <c r="AJ4356" s="94">
        <f t="shared" si="588"/>
        <v>43251</v>
      </c>
    </row>
    <row r="4357" spans="1:36" s="358" customFormat="1" ht="12.75" customHeight="1">
      <c r="A4357" s="94">
        <v>43280</v>
      </c>
      <c r="B4357" s="94" t="s">
        <v>15</v>
      </c>
      <c r="C4357" s="358" t="s">
        <v>297</v>
      </c>
      <c r="D4357" s="93">
        <f t="shared" si="583"/>
        <v>34020593.371383451</v>
      </c>
      <c r="E4357" s="109">
        <v>1019.8253</v>
      </c>
      <c r="F4357" s="98"/>
      <c r="G4357" s="98">
        <v>0</v>
      </c>
      <c r="H4357" s="98">
        <v>0</v>
      </c>
      <c r="I4357" s="98">
        <v>0</v>
      </c>
      <c r="J4357" s="98"/>
      <c r="K4357" s="111">
        <v>33359.236499999999</v>
      </c>
      <c r="L4357" s="93">
        <f t="shared" si="584"/>
        <v>0</v>
      </c>
      <c r="M4357" s="95">
        <f t="shared" ca="1" si="585"/>
        <v>0</v>
      </c>
      <c r="N4357" s="95">
        <f ca="1">IF(P4357="Hedge Fund",IF(A4357=Summary!$AD$3,M4357-E4357,M4357),IF(A4357=Summary!$AD$3,L4357-D4357,L4357))</f>
        <v>0</v>
      </c>
      <c r="O4357" s="95"/>
      <c r="P4357" s="107" t="s">
        <v>139</v>
      </c>
      <c r="Q4357" s="109">
        <v>2.16399E-2</v>
      </c>
      <c r="R4357" s="107">
        <v>0</v>
      </c>
      <c r="S4357" s="107">
        <v>0</v>
      </c>
      <c r="T4357" s="107"/>
      <c r="U4357" s="107"/>
      <c r="V4357" s="107"/>
      <c r="W4357" s="107"/>
      <c r="X4357" s="107"/>
      <c r="Y4357" s="107"/>
      <c r="Z4357" s="107"/>
      <c r="AA4357" s="107"/>
      <c r="AB4357" s="107"/>
      <c r="AF4357" s="94">
        <f t="shared" si="586"/>
        <v>43280</v>
      </c>
      <c r="AG4357" s="185">
        <f t="shared" si="581"/>
        <v>-2.173670521076787E-2</v>
      </c>
      <c r="AH4357" s="339" t="str">
        <f>VLOOKUP(B4357,'MF PF'!A:B,2)</f>
        <v>FdMgt1</v>
      </c>
      <c r="AI4357" s="358">
        <f t="shared" si="587"/>
        <v>0</v>
      </c>
      <c r="AJ4357" s="94">
        <f t="shared" si="588"/>
        <v>43281</v>
      </c>
    </row>
    <row r="4358" spans="1:36" s="358" customFormat="1" ht="12.75" customHeight="1">
      <c r="A4358" s="94">
        <v>43312</v>
      </c>
      <c r="B4358" s="358" t="s">
        <v>15</v>
      </c>
      <c r="C4358" s="358" t="s">
        <v>297</v>
      </c>
      <c r="D4358" s="335">
        <f t="shared" si="583"/>
        <v>33833481.413854949</v>
      </c>
      <c r="E4358" s="111">
        <v>1014.2163</v>
      </c>
      <c r="F4358" s="98"/>
      <c r="G4358" s="98">
        <v>0</v>
      </c>
      <c r="H4358" s="98">
        <v>0</v>
      </c>
      <c r="I4358" s="98">
        <v>0</v>
      </c>
      <c r="J4358" s="98"/>
      <c r="K4358" s="360">
        <v>33359.236499999999</v>
      </c>
      <c r="L4358" s="93">
        <f t="shared" si="584"/>
        <v>0</v>
      </c>
      <c r="M4358" s="95">
        <f t="shared" ca="1" si="585"/>
        <v>0</v>
      </c>
      <c r="N4358" s="95">
        <f ca="1">IF(P4358="Hedge Fund",IF(A4358=Summary!$AD$3,M4358-E4358,M4358),IF(A4358=Summary!$AD$3,L4358-D4358,L4358))</f>
        <v>0</v>
      </c>
      <c r="O4358" s="95"/>
      <c r="P4358" s="107" t="s">
        <v>139</v>
      </c>
      <c r="Q4358" s="109">
        <v>2.16399E-2</v>
      </c>
      <c r="R4358" s="107">
        <v>0</v>
      </c>
      <c r="S4358" s="107">
        <v>0</v>
      </c>
      <c r="T4358" s="107"/>
      <c r="U4358" s="107"/>
      <c r="V4358" s="107"/>
      <c r="W4358" s="107"/>
      <c r="X4358" s="107"/>
      <c r="Y4358" s="107"/>
      <c r="Z4358" s="107"/>
      <c r="AA4358" s="107"/>
      <c r="AB4358" s="107"/>
      <c r="AF4358" s="94">
        <f t="shared" si="586"/>
        <v>43312</v>
      </c>
      <c r="AG4358" s="185">
        <f t="shared" si="581"/>
        <v>-5.499961611072024E-3</v>
      </c>
      <c r="AH4358" s="339" t="str">
        <f>VLOOKUP(B4358,'MF PF'!A:B,2)</f>
        <v>FdMgt1</v>
      </c>
      <c r="AI4358" s="358">
        <f t="shared" si="587"/>
        <v>0</v>
      </c>
      <c r="AJ4358" s="94">
        <f t="shared" si="588"/>
        <v>43312</v>
      </c>
    </row>
    <row r="4359" spans="1:36" s="358" customFormat="1" ht="12.75" customHeight="1">
      <c r="A4359" s="94">
        <v>43343</v>
      </c>
      <c r="B4359" s="358" t="s">
        <v>15</v>
      </c>
      <c r="C4359" s="358" t="s">
        <v>297</v>
      </c>
      <c r="D4359" s="335">
        <f t="shared" si="583"/>
        <v>32791375.5607551</v>
      </c>
      <c r="E4359" s="111">
        <v>982.97739999999999</v>
      </c>
      <c r="F4359" s="98"/>
      <c r="G4359" s="98">
        <v>0</v>
      </c>
      <c r="H4359" s="98">
        <v>0</v>
      </c>
      <c r="I4359" s="98">
        <v>0</v>
      </c>
      <c r="J4359" s="98"/>
      <c r="K4359" s="360">
        <v>33359.236499999999</v>
      </c>
      <c r="L4359" s="93">
        <f t="shared" si="584"/>
        <v>0</v>
      </c>
      <c r="M4359" s="95">
        <f t="shared" ca="1" si="585"/>
        <v>0</v>
      </c>
      <c r="N4359" s="95">
        <f ca="1">IF(P4359="Hedge Fund",IF(A4359=Summary!$AD$3,M4359-E4359,M4359),IF(A4359=Summary!$AD$3,L4359-D4359,L4359))</f>
        <v>0</v>
      </c>
      <c r="O4359" s="95"/>
      <c r="P4359" s="107" t="s">
        <v>139</v>
      </c>
      <c r="Q4359" s="109">
        <f>0.0111487946391759*2</f>
        <v>2.22975892783518E-2</v>
      </c>
      <c r="R4359" s="107">
        <v>0</v>
      </c>
      <c r="S4359" s="107">
        <v>0</v>
      </c>
      <c r="T4359" s="107"/>
      <c r="U4359" s="107"/>
      <c r="V4359" s="107"/>
      <c r="W4359" s="107"/>
      <c r="X4359" s="107"/>
      <c r="Y4359" s="107"/>
      <c r="Z4359" s="107"/>
      <c r="AA4359" s="107"/>
      <c r="AB4359" s="107"/>
      <c r="AF4359" s="94">
        <f t="shared" si="586"/>
        <v>43343</v>
      </c>
      <c r="AG4359" s="185">
        <f t="shared" si="581"/>
        <v>-3.0801023410883865E-2</v>
      </c>
      <c r="AH4359" s="339" t="str">
        <f>VLOOKUP(B4359,'MF PF'!A:B,2)</f>
        <v>FdMgt1</v>
      </c>
      <c r="AI4359" s="358">
        <f t="shared" si="587"/>
        <v>0</v>
      </c>
      <c r="AJ4359" s="94">
        <f t="shared" si="588"/>
        <v>43343</v>
      </c>
    </row>
    <row r="4360" spans="1:36" s="358" customFormat="1" ht="12.75" customHeight="1">
      <c r="A4360" s="94">
        <v>43371</v>
      </c>
      <c r="B4360" s="358" t="s">
        <v>15</v>
      </c>
      <c r="C4360" s="358" t="s">
        <v>297</v>
      </c>
      <c r="D4360" s="93">
        <v>33486021.614241902</v>
      </c>
      <c r="E4360" s="111">
        <v>1003.8006</v>
      </c>
      <c r="F4360" s="93">
        <v>0</v>
      </c>
      <c r="G4360" s="98">
        <v>0</v>
      </c>
      <c r="H4360" s="93">
        <v>0</v>
      </c>
      <c r="I4360" s="93">
        <v>0</v>
      </c>
      <c r="J4360" s="93"/>
      <c r="K4360" s="360">
        <v>33359.236499999999</v>
      </c>
      <c r="L4360" s="93">
        <f t="shared" si="584"/>
        <v>0</v>
      </c>
      <c r="M4360" s="95">
        <f t="shared" ca="1" si="585"/>
        <v>0</v>
      </c>
      <c r="N4360" s="95">
        <f ca="1">IF(P4360="Hedge Fund",IF(A4360=Summary!$AD$3,M4360-E4360,M4360),IF(A4360=Summary!$AD$3,L4360-D4360,L4360))</f>
        <v>0</v>
      </c>
      <c r="O4360" s="95"/>
      <c r="P4360" s="95" t="s">
        <v>139</v>
      </c>
      <c r="Q4360" s="95">
        <v>2.0564838776789957E-2</v>
      </c>
      <c r="R4360" s="95">
        <v>0</v>
      </c>
      <c r="S4360" s="95"/>
      <c r="T4360" s="95"/>
      <c r="U4360" s="95"/>
      <c r="V4360" s="95"/>
      <c r="W4360" s="95"/>
      <c r="X4360" s="95"/>
      <c r="Y4360" s="95"/>
      <c r="Z4360" s="95"/>
      <c r="AA4360" s="95"/>
      <c r="AB4360" s="95"/>
      <c r="AF4360" s="94">
        <f t="shared" si="586"/>
        <v>43371</v>
      </c>
      <c r="AG4360" s="185">
        <f t="shared" si="581"/>
        <v>2.1183803411960467E-2</v>
      </c>
      <c r="AH4360" s="339" t="str">
        <f>VLOOKUP(B4360,'MF PF'!A:B,2)</f>
        <v>FdMgt1</v>
      </c>
      <c r="AI4360" s="358">
        <f t="shared" si="587"/>
        <v>0</v>
      </c>
      <c r="AJ4360" s="94">
        <f t="shared" si="588"/>
        <v>43373</v>
      </c>
    </row>
    <row r="4361" spans="1:36" s="358" customFormat="1" ht="12.75" customHeight="1">
      <c r="A4361" s="94">
        <v>43404</v>
      </c>
      <c r="B4361" s="358" t="s">
        <v>15</v>
      </c>
      <c r="C4361" s="358" t="s">
        <v>297</v>
      </c>
      <c r="D4361" s="93">
        <v>32927014.216364101</v>
      </c>
      <c r="E4361" s="95">
        <v>987.04340000000002</v>
      </c>
      <c r="F4361" s="93">
        <v>0</v>
      </c>
      <c r="G4361" s="93">
        <v>0</v>
      </c>
      <c r="H4361" s="93">
        <v>0</v>
      </c>
      <c r="I4361" s="93">
        <v>0</v>
      </c>
      <c r="J4361" s="93"/>
      <c r="K4361" s="360">
        <v>33359.236499999999</v>
      </c>
      <c r="L4361" s="93">
        <f t="shared" si="584"/>
        <v>0</v>
      </c>
      <c r="M4361" s="95">
        <f t="shared" ca="1" si="585"/>
        <v>0</v>
      </c>
      <c r="N4361" s="95">
        <f ca="1">IF(P4361="Hedge Fund",IF(A4361=Summary!$AD$3,M4361-E4361,M4361),IF(A4361=Summary!$AD$3,L4361-D4361,L4361))</f>
        <v>0</v>
      </c>
      <c r="O4361" s="95"/>
      <c r="P4361" s="95" t="s">
        <v>139</v>
      </c>
      <c r="Q4361" s="95">
        <v>2.3835529686139518E-2</v>
      </c>
      <c r="R4361" s="95">
        <v>0</v>
      </c>
      <c r="S4361" s="95"/>
      <c r="T4361" s="95"/>
      <c r="U4361" s="95"/>
      <c r="V4361" s="95"/>
      <c r="W4361" s="95"/>
      <c r="X4361" s="95"/>
      <c r="Y4361" s="95"/>
      <c r="Z4361" s="95"/>
      <c r="AA4361" s="95"/>
      <c r="AB4361" s="95"/>
      <c r="AF4361" s="94">
        <f t="shared" si="586"/>
        <v>43404</v>
      </c>
      <c r="AG4361" s="185">
        <f t="shared" si="581"/>
        <v>-1.6693753719613236E-2</v>
      </c>
      <c r="AH4361" s="339" t="str">
        <f>VLOOKUP(B4361,'MF PF'!A:B,2)</f>
        <v>FdMgt1</v>
      </c>
      <c r="AI4361" s="358">
        <f t="shared" si="587"/>
        <v>0</v>
      </c>
      <c r="AJ4361" s="94">
        <f t="shared" si="588"/>
        <v>43404</v>
      </c>
    </row>
    <row r="4362" spans="1:36" s="358" customFormat="1" ht="12.75" customHeight="1">
      <c r="A4362" s="94">
        <v>43434</v>
      </c>
      <c r="B4362" s="358" t="s">
        <v>15</v>
      </c>
      <c r="C4362" s="358" t="s">
        <v>297</v>
      </c>
      <c r="D4362" s="93">
        <v>33470816.474245198</v>
      </c>
      <c r="E4362" s="95">
        <v>1003.3448</v>
      </c>
      <c r="F4362" s="93">
        <v>0</v>
      </c>
      <c r="G4362" s="93">
        <v>0</v>
      </c>
      <c r="H4362" s="93">
        <v>0</v>
      </c>
      <c r="I4362" s="93">
        <v>0</v>
      </c>
      <c r="J4362" s="93"/>
      <c r="K4362" s="360">
        <v>33359.236499999999</v>
      </c>
      <c r="L4362" s="93">
        <f t="shared" si="584"/>
        <v>0</v>
      </c>
      <c r="M4362" s="95">
        <f t="shared" ca="1" si="585"/>
        <v>0</v>
      </c>
      <c r="N4362" s="95">
        <f ca="1">IF(P4362="Hedge Fund",IF(A4362=Summary!$AD$3,M4362-E4362,M4362),IF(A4362=Summary!$AD$3,L4362-D4362,L4362))</f>
        <v>0</v>
      </c>
      <c r="O4362" s="95"/>
      <c r="P4362" s="95" t="s">
        <v>139</v>
      </c>
      <c r="Q4362" s="95">
        <v>2.2024861633560846E-2</v>
      </c>
      <c r="R4362" s="95">
        <v>0</v>
      </c>
      <c r="S4362" s="95"/>
      <c r="T4362" s="95"/>
      <c r="U4362" s="95"/>
      <c r="V4362" s="95"/>
      <c r="W4362" s="95"/>
      <c r="X4362" s="95"/>
      <c r="Y4362" s="95"/>
      <c r="Z4362" s="95"/>
      <c r="AA4362" s="95"/>
      <c r="AB4362" s="95"/>
      <c r="AF4362" s="94">
        <f t="shared" si="586"/>
        <v>43434</v>
      </c>
      <c r="AG4362" s="185">
        <f t="shared" si="581"/>
        <v>1.6515383214152468E-2</v>
      </c>
      <c r="AH4362" s="339" t="str">
        <f>VLOOKUP(B4362,'MF PF'!A:B,2)</f>
        <v>FdMgt1</v>
      </c>
      <c r="AI4362" s="358">
        <f t="shared" si="587"/>
        <v>0</v>
      </c>
      <c r="AJ4362" s="94">
        <f t="shared" si="588"/>
        <v>43434</v>
      </c>
    </row>
    <row r="4363" spans="1:36" s="358" customFormat="1" ht="12.75" customHeight="1">
      <c r="A4363" s="94">
        <v>43465</v>
      </c>
      <c r="B4363" s="358" t="s">
        <v>15</v>
      </c>
      <c r="C4363" s="358" t="s">
        <v>297</v>
      </c>
      <c r="D4363" s="93">
        <v>32422602.872333396</v>
      </c>
      <c r="E4363" s="95">
        <v>971.92280000000005</v>
      </c>
      <c r="F4363" s="93">
        <v>0</v>
      </c>
      <c r="G4363" s="93">
        <v>0</v>
      </c>
      <c r="H4363" s="93">
        <v>0</v>
      </c>
      <c r="I4363" s="93">
        <v>0</v>
      </c>
      <c r="J4363" s="93"/>
      <c r="K4363" s="360">
        <v>33359.236499999999</v>
      </c>
      <c r="L4363" s="93">
        <f t="shared" si="584"/>
        <v>0</v>
      </c>
      <c r="M4363" s="95">
        <f t="shared" ca="1" si="585"/>
        <v>0</v>
      </c>
      <c r="N4363" s="95">
        <f ca="1">IF(P4363="Hedge Fund",IF(A4363=Summary!$AD$3,M4363-E4363,M4363),IF(A4363=Summary!$AD$3,L4363-D4363,L4363))</f>
        <v>0</v>
      </c>
      <c r="O4363" s="95"/>
      <c r="P4363" s="95" t="s">
        <v>139</v>
      </c>
      <c r="Q4363" s="95">
        <f>22046.8308726125/10^6</f>
        <v>2.20468308726125E-2</v>
      </c>
      <c r="R4363" s="95">
        <v>0</v>
      </c>
      <c r="S4363" s="95"/>
      <c r="T4363" s="95"/>
      <c r="U4363" s="95"/>
      <c r="V4363" s="95"/>
      <c r="W4363" s="95"/>
      <c r="X4363" s="95"/>
      <c r="Y4363" s="95"/>
      <c r="Z4363" s="95"/>
      <c r="AA4363" s="95"/>
      <c r="AB4363" s="95"/>
      <c r="AF4363" s="94">
        <f t="shared" si="586"/>
        <v>43465</v>
      </c>
      <c r="AG4363" s="185">
        <f t="shared" si="581"/>
        <v>-3.1317240280600012E-2</v>
      </c>
      <c r="AH4363" s="339" t="str">
        <f>VLOOKUP(B4363,'MF PF'!A:B,2)</f>
        <v>FdMgt1</v>
      </c>
      <c r="AI4363" s="358">
        <f t="shared" si="587"/>
        <v>0</v>
      </c>
      <c r="AJ4363" s="94">
        <f t="shared" si="588"/>
        <v>43465</v>
      </c>
    </row>
    <row r="4364" spans="1:36" s="358" customFormat="1" ht="12.75" customHeight="1">
      <c r="A4364" s="94">
        <v>43496</v>
      </c>
      <c r="B4364" s="358" t="s">
        <v>15</v>
      </c>
      <c r="C4364" s="358" t="s">
        <v>297</v>
      </c>
      <c r="D4364" s="93">
        <v>17305515.52</v>
      </c>
      <c r="E4364" s="95">
        <v>1037.5246999999999</v>
      </c>
      <c r="F4364" s="93">
        <v>0</v>
      </c>
      <c r="G4364" s="93">
        <v>0</v>
      </c>
      <c r="H4364" s="93">
        <v>-16211301.220000001</v>
      </c>
      <c r="I4364" s="93">
        <v>0</v>
      </c>
      <c r="J4364" s="93"/>
      <c r="K4364" s="360">
        <f>33359.2365-16679.6182</f>
        <v>16679.618299999998</v>
      </c>
      <c r="L4364" s="93">
        <f t="shared" si="584"/>
        <v>-16211301.220000001</v>
      </c>
      <c r="M4364" s="95">
        <f t="shared" ca="1" si="585"/>
        <v>0</v>
      </c>
      <c r="N4364" s="95">
        <f ca="1">IF(P4364="Hedge Fund",IF(A4364=Summary!$AD$3,M4364-E4364,M4364),IF(A4364=Summary!$AD$3,L4364-D4364,L4364))</f>
        <v>-1037.5246999999999</v>
      </c>
      <c r="O4364" s="95"/>
      <c r="P4364" s="95" t="s">
        <v>139</v>
      </c>
      <c r="Q4364" s="95">
        <f>22046.8308726125/10^6</f>
        <v>2.20468308726125E-2</v>
      </c>
      <c r="R4364" s="95">
        <v>0</v>
      </c>
      <c r="S4364" s="95"/>
      <c r="T4364" s="95"/>
      <c r="U4364" s="95"/>
      <c r="V4364" s="95"/>
      <c r="W4364" s="95"/>
      <c r="X4364" s="95"/>
      <c r="Y4364" s="95"/>
      <c r="Z4364" s="95"/>
      <c r="AA4364" s="95"/>
      <c r="AB4364" s="95"/>
      <c r="AF4364" s="94">
        <f t="shared" si="586"/>
        <v>43496</v>
      </c>
      <c r="AG4364" s="185">
        <f t="shared" si="581"/>
        <v>3.3748489347852795E-2</v>
      </c>
      <c r="AH4364" s="339" t="str">
        <f>VLOOKUP(B4364,'MF PF'!A:B,2)</f>
        <v>FdMgt1</v>
      </c>
      <c r="AI4364" s="358">
        <f t="shared" si="587"/>
        <v>0</v>
      </c>
      <c r="AJ4364" s="94">
        <f t="shared" si="588"/>
        <v>43496</v>
      </c>
    </row>
    <row r="4365" spans="1:36" s="358" customFormat="1" ht="12.75" customHeight="1">
      <c r="A4365" s="94">
        <v>42325</v>
      </c>
      <c r="B4365" s="94" t="s">
        <v>393</v>
      </c>
      <c r="C4365" s="358" t="s">
        <v>297</v>
      </c>
      <c r="D4365" s="98">
        <v>13000000</v>
      </c>
      <c r="E4365" s="95" t="str">
        <f t="shared" ref="E4365:E4400" si="589">IF(K4365="","",D4365/K4365)</f>
        <v/>
      </c>
      <c r="F4365" s="98"/>
      <c r="G4365" s="98">
        <v>13000000</v>
      </c>
      <c r="H4365" s="98">
        <v>0</v>
      </c>
      <c r="I4365" s="98">
        <v>0</v>
      </c>
      <c r="J4365" s="98"/>
      <c r="K4365" s="93"/>
      <c r="L4365" s="93">
        <f t="shared" si="584"/>
        <v>13000000</v>
      </c>
      <c r="M4365" s="95" t="str">
        <f t="shared" ca="1" si="585"/>
        <v/>
      </c>
      <c r="N4365" s="95">
        <f>IF(P4365="Hedge Fund",IF(A4365=Summary!$AD$3,M4365-E4365,M4365),IF(A4365=Summary!$AD$3,L4365-D4365,L4365))</f>
        <v>13000000</v>
      </c>
      <c r="O4365" s="95"/>
      <c r="P4365" s="107" t="s">
        <v>155</v>
      </c>
      <c r="Q4365" s="107">
        <v>0</v>
      </c>
      <c r="R4365" s="107">
        <v>0</v>
      </c>
      <c r="S4365" s="107">
        <v>0</v>
      </c>
      <c r="T4365" s="107">
        <v>0</v>
      </c>
      <c r="U4365" s="107"/>
      <c r="V4365" s="107"/>
      <c r="W4365" s="107"/>
      <c r="X4365" s="107"/>
      <c r="Y4365" s="107"/>
      <c r="Z4365" s="107"/>
      <c r="AA4365" s="107"/>
      <c r="AB4365" s="107"/>
      <c r="AF4365" s="94">
        <f t="shared" si="586"/>
        <v>42325</v>
      </c>
      <c r="AG4365" s="185">
        <f>IF(C4365&lt;&gt;C4363,D4365/G4365-1,(D4365-G4365-I4365-H4365)/(D4363)-1)</f>
        <v>-1</v>
      </c>
      <c r="AH4365" s="339" t="str">
        <f>VLOOKUP(B4365,'MF PF'!A:B,2)</f>
        <v>FdMgt1</v>
      </c>
      <c r="AI4365" s="358">
        <f t="shared" si="587"/>
        <v>0</v>
      </c>
      <c r="AJ4365" s="94">
        <f t="shared" si="588"/>
        <v>42338</v>
      </c>
    </row>
    <row r="4366" spans="1:36" s="358" customFormat="1" ht="12.75" customHeight="1">
      <c r="A4366" s="94">
        <v>42338</v>
      </c>
      <c r="B4366" s="94" t="s">
        <v>393</v>
      </c>
      <c r="C4366" s="358" t="s">
        <v>297</v>
      </c>
      <c r="D4366" s="98">
        <v>13000000</v>
      </c>
      <c r="E4366" s="95" t="str">
        <f t="shared" si="589"/>
        <v/>
      </c>
      <c r="F4366" s="98"/>
      <c r="G4366" s="98">
        <v>0</v>
      </c>
      <c r="H4366" s="98">
        <v>0</v>
      </c>
      <c r="I4366" s="98">
        <v>0</v>
      </c>
      <c r="J4366" s="98"/>
      <c r="K4366" s="93"/>
      <c r="L4366" s="93">
        <f t="shared" si="584"/>
        <v>0</v>
      </c>
      <c r="M4366" s="95" t="e">
        <f t="shared" ca="1" si="585"/>
        <v>#DIV/0!</v>
      </c>
      <c r="N4366" s="95">
        <f>IF(P4366="Hedge Fund",IF(A4366=Summary!$AD$3,M4366-E4366,M4366),IF(A4366=Summary!$AD$3,L4366-D4366,L4366))</f>
        <v>0</v>
      </c>
      <c r="O4366" s="95"/>
      <c r="P4366" s="107" t="s">
        <v>155</v>
      </c>
      <c r="Q4366" s="107">
        <v>0</v>
      </c>
      <c r="R4366" s="107">
        <v>0</v>
      </c>
      <c r="S4366" s="107">
        <v>0</v>
      </c>
      <c r="T4366" s="107">
        <v>0</v>
      </c>
      <c r="U4366" s="107"/>
      <c r="V4366" s="107"/>
      <c r="W4366" s="107"/>
      <c r="X4366" s="107"/>
      <c r="Y4366" s="107"/>
      <c r="Z4366" s="107"/>
      <c r="AA4366" s="107"/>
      <c r="AB4366" s="107"/>
      <c r="AF4366" s="94">
        <f t="shared" si="586"/>
        <v>42338</v>
      </c>
      <c r="AG4366" s="185">
        <f t="shared" ref="AG4366:AG4397" si="590">IF(C4366&lt;&gt;C4365,D4366/G4366-1,(D4366-G4366-I4366-H4366)/(D4365)-1)</f>
        <v>0</v>
      </c>
      <c r="AH4366" s="339" t="str">
        <f>VLOOKUP(B4366,'MF PF'!A:B,2)</f>
        <v>FdMgt1</v>
      </c>
      <c r="AI4366" s="358">
        <f t="shared" si="587"/>
        <v>0</v>
      </c>
      <c r="AJ4366" s="94">
        <f t="shared" si="588"/>
        <v>42338</v>
      </c>
    </row>
    <row r="4367" spans="1:36" s="358" customFormat="1" ht="12.75" customHeight="1">
      <c r="A4367" s="94">
        <v>42369</v>
      </c>
      <c r="B4367" s="94" t="s">
        <v>393</v>
      </c>
      <c r="C4367" s="358" t="s">
        <v>297</v>
      </c>
      <c r="D4367" s="98">
        <v>12997581.6932059</v>
      </c>
      <c r="E4367" s="95" t="str">
        <f t="shared" si="589"/>
        <v/>
      </c>
      <c r="F4367" s="98"/>
      <c r="G4367" s="98"/>
      <c r="H4367" s="98">
        <v>0</v>
      </c>
      <c r="I4367" s="98">
        <v>0</v>
      </c>
      <c r="J4367" s="98"/>
      <c r="K4367" s="93"/>
      <c r="L4367" s="93">
        <f t="shared" si="584"/>
        <v>0</v>
      </c>
      <c r="M4367" s="95" t="e">
        <f t="shared" ca="1" si="585"/>
        <v>#DIV/0!</v>
      </c>
      <c r="N4367" s="95">
        <f>IF(P4367="Hedge Fund",IF(A4367=Summary!$AD$3,M4367-E4367,M4367),IF(A4367=Summary!$AD$3,L4367-D4367,L4367))</f>
        <v>0</v>
      </c>
      <c r="O4367" s="95"/>
      <c r="P4367" s="107" t="s">
        <v>155</v>
      </c>
      <c r="Q4367" s="107">
        <v>0</v>
      </c>
      <c r="R4367" s="107">
        <v>0</v>
      </c>
      <c r="S4367" s="107">
        <v>0</v>
      </c>
      <c r="T4367" s="107">
        <v>0</v>
      </c>
      <c r="U4367" s="107"/>
      <c r="V4367" s="107"/>
      <c r="W4367" s="107"/>
      <c r="X4367" s="107"/>
      <c r="Y4367" s="107"/>
      <c r="Z4367" s="107"/>
      <c r="AA4367" s="107"/>
      <c r="AB4367" s="107"/>
      <c r="AF4367" s="94">
        <f t="shared" si="586"/>
        <v>42369</v>
      </c>
      <c r="AG4367" s="185">
        <f t="shared" si="590"/>
        <v>-1.8602359954611458E-4</v>
      </c>
      <c r="AH4367" s="339" t="str">
        <f>VLOOKUP(B4367,'MF PF'!A:B,2)</f>
        <v>FdMgt1</v>
      </c>
      <c r="AI4367" s="358">
        <f t="shared" si="587"/>
        <v>0</v>
      </c>
      <c r="AJ4367" s="94">
        <f t="shared" si="588"/>
        <v>42369</v>
      </c>
    </row>
    <row r="4368" spans="1:36" s="358" customFormat="1" ht="12.75" customHeight="1">
      <c r="A4368" s="94">
        <v>42398</v>
      </c>
      <c r="B4368" s="94" t="s">
        <v>393</v>
      </c>
      <c r="C4368" s="358" t="s">
        <v>297</v>
      </c>
      <c r="D4368" s="98">
        <v>14392118.5008907</v>
      </c>
      <c r="E4368" s="95" t="str">
        <f t="shared" si="589"/>
        <v/>
      </c>
      <c r="F4368" s="98"/>
      <c r="G4368" s="98">
        <v>1180000</v>
      </c>
      <c r="H4368" s="98">
        <v>0</v>
      </c>
      <c r="I4368" s="98">
        <v>0</v>
      </c>
      <c r="J4368" s="98"/>
      <c r="K4368" s="93"/>
      <c r="L4368" s="93">
        <f t="shared" si="584"/>
        <v>1180000</v>
      </c>
      <c r="M4368" s="95" t="e">
        <f t="shared" ca="1" si="585"/>
        <v>#DIV/0!</v>
      </c>
      <c r="N4368" s="95">
        <f>IF(P4368="Hedge Fund",IF(A4368=Summary!$AD$3,M4368-E4368,M4368),IF(A4368=Summary!$AD$3,L4368-D4368,L4368))</f>
        <v>1180000</v>
      </c>
      <c r="O4368" s="95"/>
      <c r="P4368" s="107" t="s">
        <v>155</v>
      </c>
      <c r="Q4368" s="107">
        <v>1.2677595628415299E-3</v>
      </c>
      <c r="R4368" s="107">
        <v>1.4704518320512587E-2</v>
      </c>
      <c r="S4368" s="107">
        <v>0</v>
      </c>
      <c r="T4368" s="107">
        <v>0</v>
      </c>
      <c r="U4368" s="107"/>
      <c r="V4368" s="107"/>
      <c r="W4368" s="107"/>
      <c r="X4368" s="107"/>
      <c r="Y4368" s="107"/>
      <c r="Z4368" s="107"/>
      <c r="AA4368" s="107"/>
      <c r="AB4368" s="107"/>
      <c r="AF4368" s="94">
        <f t="shared" si="586"/>
        <v>42398</v>
      </c>
      <c r="AG4368" s="185">
        <f t="shared" si="590"/>
        <v>1.6505901847644555E-2</v>
      </c>
      <c r="AH4368" s="339" t="str">
        <f>VLOOKUP(B4368,'MF PF'!A:B,2)</f>
        <v>FdMgt1</v>
      </c>
      <c r="AI4368" s="358">
        <f t="shared" si="587"/>
        <v>0</v>
      </c>
      <c r="AJ4368" s="94">
        <f t="shared" si="588"/>
        <v>42400</v>
      </c>
    </row>
    <row r="4369" spans="1:36" s="358" customFormat="1" ht="12.75" customHeight="1">
      <c r="A4369" s="94">
        <v>42429</v>
      </c>
      <c r="B4369" s="94" t="s">
        <v>393</v>
      </c>
      <c r="C4369" s="358" t="s">
        <v>297</v>
      </c>
      <c r="D4369" s="98">
        <v>14624251.249622401</v>
      </c>
      <c r="E4369" s="95" t="str">
        <f t="shared" si="589"/>
        <v/>
      </c>
      <c r="F4369" s="98"/>
      <c r="G4369" s="98"/>
      <c r="H4369" s="98">
        <v>-1.862645149230957E-9</v>
      </c>
      <c r="I4369" s="98">
        <v>0</v>
      </c>
      <c r="J4369" s="98"/>
      <c r="K4369" s="93"/>
      <c r="L4369" s="93">
        <f t="shared" si="584"/>
        <v>-1.862645149230957E-9</v>
      </c>
      <c r="M4369" s="95" t="e">
        <f t="shared" ca="1" si="585"/>
        <v>#DIV/0!</v>
      </c>
      <c r="N4369" s="95">
        <f>IF(P4369="Hedge Fund",IF(A4369=Summary!$AD$3,M4369-E4369,M4369),IF(A4369=Summary!$AD$3,L4369-D4369,L4369))</f>
        <v>-1.862645149230957E-9</v>
      </c>
      <c r="O4369" s="95"/>
      <c r="P4369" s="107" t="s">
        <v>155</v>
      </c>
      <c r="Q4369" s="107">
        <v>1.3551912568306014E-3</v>
      </c>
      <c r="R4369" s="107">
        <v>1.5844797893259675E-2</v>
      </c>
      <c r="S4369" s="107">
        <v>0</v>
      </c>
      <c r="T4369" s="107">
        <v>0</v>
      </c>
      <c r="U4369" s="107"/>
      <c r="V4369" s="107"/>
      <c r="W4369" s="107"/>
      <c r="X4369" s="107"/>
      <c r="Y4369" s="107"/>
      <c r="Z4369" s="107"/>
      <c r="AA4369" s="107"/>
      <c r="AB4369" s="107"/>
      <c r="AF4369" s="94">
        <f t="shared" si="586"/>
        <v>42429</v>
      </c>
      <c r="AG4369" s="185">
        <f t="shared" si="590"/>
        <v>1.6129157685669249E-2</v>
      </c>
      <c r="AH4369" s="339" t="str">
        <f>VLOOKUP(B4369,'MF PF'!A:B,2)</f>
        <v>FdMgt1</v>
      </c>
      <c r="AI4369" s="358">
        <f t="shared" si="587"/>
        <v>0</v>
      </c>
      <c r="AJ4369" s="94">
        <f t="shared" si="588"/>
        <v>42429</v>
      </c>
    </row>
    <row r="4370" spans="1:36" s="358" customFormat="1" ht="12.75" customHeight="1">
      <c r="A4370" s="94">
        <v>42460</v>
      </c>
      <c r="B4370" s="94" t="s">
        <v>393</v>
      </c>
      <c r="C4370" s="358" t="s">
        <v>297</v>
      </c>
      <c r="D4370" s="98">
        <v>14860275.666844301</v>
      </c>
      <c r="E4370" s="95" t="str">
        <f t="shared" si="589"/>
        <v/>
      </c>
      <c r="F4370" s="98"/>
      <c r="G4370" s="98"/>
      <c r="H4370" s="98">
        <v>0</v>
      </c>
      <c r="I4370" s="98">
        <v>0</v>
      </c>
      <c r="J4370" s="98"/>
      <c r="K4370" s="93"/>
      <c r="L4370" s="93">
        <f t="shared" si="584"/>
        <v>0</v>
      </c>
      <c r="M4370" s="95" t="e">
        <f t="shared" ca="1" si="585"/>
        <v>#DIV/0!</v>
      </c>
      <c r="N4370" s="95">
        <f>IF(P4370="Hedge Fund",IF(A4370=Summary!$AD$3,M4370-E4370,M4370),IF(A4370=Summary!$AD$3,L4370-D4370,L4370))</f>
        <v>0</v>
      </c>
      <c r="O4370" s="95"/>
      <c r="P4370" s="107" t="s">
        <v>155</v>
      </c>
      <c r="Q4370" s="107">
        <v>3.2786885245901635E-3</v>
      </c>
      <c r="R4370" s="107">
        <v>1.624156399874855E-2</v>
      </c>
      <c r="S4370" s="107">
        <v>0</v>
      </c>
      <c r="T4370" s="107">
        <v>0</v>
      </c>
      <c r="U4370" s="107"/>
      <c r="V4370" s="107"/>
      <c r="W4370" s="107"/>
      <c r="X4370" s="107"/>
      <c r="Y4370" s="107"/>
      <c r="Z4370" s="107"/>
      <c r="AA4370" s="107"/>
      <c r="AB4370" s="107"/>
      <c r="AF4370" s="94">
        <f t="shared" si="586"/>
        <v>42460</v>
      </c>
      <c r="AG4370" s="185">
        <f t="shared" si="590"/>
        <v>1.6139247965121895E-2</v>
      </c>
      <c r="AH4370" s="339" t="str">
        <f>VLOOKUP(B4370,'MF PF'!A:B,2)</f>
        <v>FdMgt1</v>
      </c>
      <c r="AI4370" s="358">
        <f t="shared" si="587"/>
        <v>0</v>
      </c>
      <c r="AJ4370" s="94">
        <f t="shared" si="588"/>
        <v>42460</v>
      </c>
    </row>
    <row r="4371" spans="1:36" s="358" customFormat="1" ht="12.75" customHeight="1">
      <c r="A4371" s="94">
        <v>42489</v>
      </c>
      <c r="B4371" s="94" t="s">
        <v>393</v>
      </c>
      <c r="C4371" s="358" t="s">
        <v>297</v>
      </c>
      <c r="D4371" s="98">
        <v>15085445.4692412</v>
      </c>
      <c r="E4371" s="95" t="str">
        <f t="shared" si="589"/>
        <v/>
      </c>
      <c r="F4371" s="98"/>
      <c r="G4371" s="98"/>
      <c r="H4371" s="98">
        <v>0</v>
      </c>
      <c r="I4371" s="98">
        <v>0</v>
      </c>
      <c r="J4371" s="98"/>
      <c r="K4371" s="93"/>
      <c r="L4371" s="93">
        <f t="shared" si="584"/>
        <v>0</v>
      </c>
      <c r="M4371" s="95" t="e">
        <f t="shared" ca="1" si="585"/>
        <v>#DIV/0!</v>
      </c>
      <c r="N4371" s="95">
        <f>IF(P4371="Hedge Fund",IF(A4371=Summary!$AD$3,M4371-E4371,M4371),IF(A4371=Summary!$AD$3,L4371-D4371,L4371))</f>
        <v>0</v>
      </c>
      <c r="O4371" s="95"/>
      <c r="P4371" s="107" t="s">
        <v>155</v>
      </c>
      <c r="Q4371" s="107">
        <v>1.2677595628415301E-3</v>
      </c>
      <c r="R4371" s="107">
        <v>1.5363881212032028E-2</v>
      </c>
      <c r="S4371" s="107">
        <v>0</v>
      </c>
      <c r="T4371" s="107">
        <v>0</v>
      </c>
      <c r="U4371" s="107"/>
      <c r="V4371" s="107"/>
      <c r="W4371" s="107"/>
      <c r="X4371" s="107"/>
      <c r="Y4371" s="107"/>
      <c r="Z4371" s="107"/>
      <c r="AA4371" s="107"/>
      <c r="AB4371" s="107"/>
      <c r="AF4371" s="94">
        <f t="shared" si="586"/>
        <v>42489</v>
      </c>
      <c r="AG4371" s="185">
        <f t="shared" si="590"/>
        <v>1.5152464694803136E-2</v>
      </c>
      <c r="AH4371" s="339" t="str">
        <f>VLOOKUP(B4371,'MF PF'!A:B,2)</f>
        <v>FdMgt1</v>
      </c>
      <c r="AI4371" s="358">
        <f t="shared" si="587"/>
        <v>0</v>
      </c>
      <c r="AJ4371" s="94">
        <f t="shared" si="588"/>
        <v>42490</v>
      </c>
    </row>
    <row r="4372" spans="1:36" s="358" customFormat="1" ht="12.75" customHeight="1">
      <c r="A4372" s="94">
        <v>42521</v>
      </c>
      <c r="B4372" s="94" t="s">
        <v>393</v>
      </c>
      <c r="C4372" s="358" t="s">
        <v>297</v>
      </c>
      <c r="D4372" s="98">
        <v>15410306.2508354</v>
      </c>
      <c r="E4372" s="95" t="str">
        <f t="shared" si="589"/>
        <v/>
      </c>
      <c r="F4372" s="98"/>
      <c r="G4372" s="98"/>
      <c r="H4372" s="98">
        <v>0</v>
      </c>
      <c r="I4372" s="98">
        <v>0</v>
      </c>
      <c r="J4372" s="98"/>
      <c r="K4372" s="93"/>
      <c r="L4372" s="93">
        <f t="shared" si="584"/>
        <v>0</v>
      </c>
      <c r="M4372" s="95" t="e">
        <f t="shared" ca="1" si="585"/>
        <v>#DIV/0!</v>
      </c>
      <c r="N4372" s="95">
        <f>IF(P4372="Hedge Fund",IF(A4372=Summary!$AD$3,M4372-E4372,M4372),IF(A4372=Summary!$AD$3,L4372-D4372,L4372))</f>
        <v>0</v>
      </c>
      <c r="O4372" s="95"/>
      <c r="P4372" s="107" t="s">
        <v>155</v>
      </c>
      <c r="Q4372" s="107">
        <v>1.3989071038251399E-3</v>
      </c>
      <c r="R4372" s="107">
        <v>1.6175559641474699E-2</v>
      </c>
      <c r="S4372" s="107">
        <v>0</v>
      </c>
      <c r="T4372" s="107">
        <v>0</v>
      </c>
      <c r="U4372" s="107"/>
      <c r="V4372" s="107"/>
      <c r="W4372" s="107"/>
      <c r="X4372" s="107"/>
      <c r="Y4372" s="107"/>
      <c r="Z4372" s="107"/>
      <c r="AA4372" s="107"/>
      <c r="AB4372" s="107"/>
      <c r="AF4372" s="94">
        <f t="shared" si="586"/>
        <v>42521</v>
      </c>
      <c r="AG4372" s="185">
        <f t="shared" si="590"/>
        <v>2.153471584624933E-2</v>
      </c>
      <c r="AH4372" s="339" t="str">
        <f>VLOOKUP(B4372,'MF PF'!A:B,2)</f>
        <v>FdMgt1</v>
      </c>
      <c r="AI4372" s="358">
        <f t="shared" si="587"/>
        <v>0</v>
      </c>
      <c r="AJ4372" s="94">
        <f t="shared" si="588"/>
        <v>42521</v>
      </c>
    </row>
    <row r="4373" spans="1:36" ht="12.75" customHeight="1">
      <c r="A4373" s="94">
        <v>42551</v>
      </c>
      <c r="B4373" s="94" t="s">
        <v>393</v>
      </c>
      <c r="C4373" s="358" t="s">
        <v>297</v>
      </c>
      <c r="D4373" s="98">
        <v>15662677.943044046</v>
      </c>
      <c r="E4373" s="95" t="str">
        <f t="shared" si="589"/>
        <v/>
      </c>
      <c r="F4373" s="98"/>
      <c r="G4373" s="98"/>
      <c r="H4373" s="98">
        <v>0</v>
      </c>
      <c r="I4373" s="98">
        <v>0</v>
      </c>
      <c r="J4373" s="98"/>
      <c r="K4373" s="93"/>
      <c r="L4373" s="93">
        <f t="shared" si="584"/>
        <v>0</v>
      </c>
      <c r="M4373" s="95" t="e">
        <f t="shared" ca="1" si="585"/>
        <v>#DIV/0!</v>
      </c>
      <c r="N4373" s="95">
        <f>IF(P4373="Hedge Fund",IF(A4373=Summary!$AD$3,M4373-E4373,M4373),IF(A4373=Summary!$AD$3,L4373-D4373,L4373))</f>
        <v>0</v>
      </c>
      <c r="P4373" s="107" t="s">
        <v>155</v>
      </c>
      <c r="Q4373" s="107">
        <v>1.3114754098360699E-3</v>
      </c>
      <c r="R4373" s="107">
        <v>1.60219373061899E-2</v>
      </c>
      <c r="S4373" s="107">
        <v>0</v>
      </c>
      <c r="T4373" s="107">
        <v>0</v>
      </c>
      <c r="U4373" s="107"/>
      <c r="V4373" s="107"/>
      <c r="W4373" s="107"/>
      <c r="X4373" s="107"/>
      <c r="Y4373" s="107"/>
      <c r="Z4373" s="107"/>
      <c r="AA4373" s="107"/>
      <c r="AB4373" s="107"/>
      <c r="AF4373" s="94">
        <f t="shared" si="586"/>
        <v>42551</v>
      </c>
      <c r="AG4373" s="185">
        <f t="shared" si="590"/>
        <v>1.6376812251538864E-2</v>
      </c>
      <c r="AH4373" s="339" t="str">
        <f>VLOOKUP(B4373,'MF PF'!A:B,2)</f>
        <v>FdMgt1</v>
      </c>
      <c r="AI4373" s="358">
        <f t="shared" si="587"/>
        <v>0</v>
      </c>
      <c r="AJ4373" s="94">
        <f t="shared" si="588"/>
        <v>42551</v>
      </c>
    </row>
    <row r="4374" spans="1:36" ht="12.75" customHeight="1">
      <c r="A4374" s="94">
        <v>42580</v>
      </c>
      <c r="B4374" s="94" t="s">
        <v>393</v>
      </c>
      <c r="C4374" s="358" t="s">
        <v>297</v>
      </c>
      <c r="D4374" s="98">
        <v>15845852.657091901</v>
      </c>
      <c r="E4374" s="95" t="str">
        <f t="shared" si="589"/>
        <v/>
      </c>
      <c r="F4374" s="98"/>
      <c r="G4374" s="98"/>
      <c r="H4374" s="98">
        <v>0</v>
      </c>
      <c r="I4374" s="98">
        <v>0</v>
      </c>
      <c r="J4374" s="98"/>
      <c r="K4374" s="93"/>
      <c r="L4374" s="93">
        <f t="shared" si="584"/>
        <v>0</v>
      </c>
      <c r="M4374" s="95" t="e">
        <f t="shared" ca="1" si="585"/>
        <v>#DIV/0!</v>
      </c>
      <c r="N4374" s="95">
        <f>IF(P4374="Hedge Fund",IF(A4374=Summary!$AD$3,M4374-E4374,M4374),IF(A4374=Summary!$AD$3,L4374-D4374,L4374))</f>
        <v>0</v>
      </c>
      <c r="P4374" s="107" t="s">
        <v>155</v>
      </c>
      <c r="Q4374" s="107">
        <v>1.2677595628415299E-3</v>
      </c>
      <c r="R4374" s="107">
        <v>1.16289341283504E-2</v>
      </c>
      <c r="S4374" s="107">
        <v>0</v>
      </c>
      <c r="T4374" s="107">
        <v>0</v>
      </c>
      <c r="U4374" s="107"/>
      <c r="V4374" s="107"/>
      <c r="W4374" s="107"/>
      <c r="X4374" s="107"/>
      <c r="Y4374" s="107"/>
      <c r="Z4374" s="107"/>
      <c r="AA4374" s="107"/>
      <c r="AB4374" s="107"/>
      <c r="AF4374" s="94">
        <f t="shared" si="586"/>
        <v>42580</v>
      </c>
      <c r="AG4374" s="185">
        <f t="shared" si="590"/>
        <v>1.1694980559132651E-2</v>
      </c>
      <c r="AH4374" s="339" t="str">
        <f>VLOOKUP(B4374,'MF PF'!A:B,2)</f>
        <v>FdMgt1</v>
      </c>
      <c r="AI4374" s="358">
        <f t="shared" si="587"/>
        <v>0</v>
      </c>
      <c r="AJ4374" s="94">
        <f t="shared" si="588"/>
        <v>42582</v>
      </c>
    </row>
    <row r="4375" spans="1:36" ht="12.75" customHeight="1">
      <c r="A4375" s="94">
        <v>42613</v>
      </c>
      <c r="B4375" s="94" t="s">
        <v>393</v>
      </c>
      <c r="C4375" s="358" t="s">
        <v>297</v>
      </c>
      <c r="D4375" s="98">
        <v>16094279.8045302</v>
      </c>
      <c r="E4375" s="95" t="str">
        <f t="shared" si="589"/>
        <v/>
      </c>
      <c r="F4375" s="98"/>
      <c r="G4375" s="98"/>
      <c r="H4375" s="98">
        <v>0</v>
      </c>
      <c r="I4375" s="98">
        <v>0</v>
      </c>
      <c r="J4375" s="98"/>
      <c r="K4375" s="93"/>
      <c r="L4375" s="93">
        <f t="shared" si="584"/>
        <v>0</v>
      </c>
      <c r="M4375" s="95" t="e">
        <f t="shared" ca="1" si="585"/>
        <v>#DIV/0!</v>
      </c>
      <c r="N4375" s="95">
        <f>IF(P4375="Hedge Fund",IF(A4375=Summary!$AD$3,M4375-E4375,M4375),IF(A4375=Summary!$AD$3,L4375-D4375,L4375))</f>
        <v>0</v>
      </c>
      <c r="P4375" s="107" t="s">
        <v>155</v>
      </c>
      <c r="Q4375" s="107">
        <v>1.4426229508196699E-3</v>
      </c>
      <c r="R4375" s="107">
        <v>1.5771515999191299E-2</v>
      </c>
      <c r="S4375" s="107">
        <v>0</v>
      </c>
      <c r="T4375" s="107">
        <v>0</v>
      </c>
      <c r="U4375" s="107"/>
      <c r="V4375" s="107"/>
      <c r="W4375" s="107"/>
      <c r="X4375" s="107"/>
      <c r="Y4375" s="107"/>
      <c r="Z4375" s="107"/>
      <c r="AA4375" s="107"/>
      <c r="AB4375" s="107"/>
      <c r="AF4375" s="94">
        <f t="shared" si="586"/>
        <v>42613</v>
      </c>
      <c r="AG4375" s="185">
        <f t="shared" si="590"/>
        <v>1.567773933118799E-2</v>
      </c>
      <c r="AH4375" s="339" t="str">
        <f>VLOOKUP(B4375,'MF PF'!A:B,2)</f>
        <v>FdMgt1</v>
      </c>
      <c r="AI4375" s="358">
        <f t="shared" si="587"/>
        <v>0</v>
      </c>
      <c r="AJ4375" s="94">
        <f t="shared" si="588"/>
        <v>42613</v>
      </c>
    </row>
    <row r="4376" spans="1:36" ht="12.75" customHeight="1">
      <c r="A4376" s="94">
        <v>42643</v>
      </c>
      <c r="B4376" s="94" t="s">
        <v>393</v>
      </c>
      <c r="C4376" s="358" t="s">
        <v>297</v>
      </c>
      <c r="D4376" s="98">
        <v>16196350.337797198</v>
      </c>
      <c r="E4376" s="95" t="str">
        <f t="shared" si="589"/>
        <v/>
      </c>
      <c r="F4376" s="98"/>
      <c r="G4376" s="98"/>
      <c r="H4376" s="98">
        <v>0</v>
      </c>
      <c r="I4376" s="98">
        <v>0</v>
      </c>
      <c r="J4376" s="98"/>
      <c r="K4376" s="93"/>
      <c r="L4376" s="93">
        <f t="shared" si="584"/>
        <v>0</v>
      </c>
      <c r="M4376" s="95" t="e">
        <f t="shared" ca="1" si="585"/>
        <v>#DIV/0!</v>
      </c>
      <c r="N4376" s="95">
        <f>IF(P4376="Hedge Fund",IF(A4376=Summary!$AD$3,M4376-E4376,M4376),IF(A4376=Summary!$AD$3,L4376-D4376,L4376))</f>
        <v>0</v>
      </c>
      <c r="P4376" s="107" t="s">
        <v>155</v>
      </c>
      <c r="Q4376" s="107">
        <v>1.5571214284043999E-3</v>
      </c>
      <c r="R4376" s="107">
        <v>0.13800385670985901</v>
      </c>
      <c r="S4376" s="107">
        <v>0</v>
      </c>
      <c r="T4376" s="107">
        <v>0</v>
      </c>
      <c r="U4376" s="107"/>
      <c r="V4376" s="107"/>
      <c r="W4376" s="107"/>
      <c r="X4376" s="107"/>
      <c r="Y4376" s="107"/>
      <c r="Z4376" s="107"/>
      <c r="AA4376" s="107"/>
      <c r="AB4376" s="107"/>
      <c r="AF4376" s="94">
        <f t="shared" si="586"/>
        <v>42643</v>
      </c>
      <c r="AG4376" s="185">
        <f t="shared" si="590"/>
        <v>6.3420379480583211E-3</v>
      </c>
      <c r="AH4376" s="339" t="str">
        <f>VLOOKUP(B4376,'MF PF'!A:B,2)</f>
        <v>FdMgt1</v>
      </c>
      <c r="AI4376" s="358">
        <f t="shared" si="587"/>
        <v>0</v>
      </c>
      <c r="AJ4376" s="94">
        <f t="shared" si="588"/>
        <v>42643</v>
      </c>
    </row>
    <row r="4377" spans="1:36" ht="12.75" customHeight="1">
      <c r="A4377" s="8">
        <v>42674</v>
      </c>
      <c r="B4377" s="94" t="s">
        <v>393</v>
      </c>
      <c r="C4377" s="6" t="s">
        <v>297</v>
      </c>
      <c r="D4377" s="98">
        <v>16446407.960000003</v>
      </c>
      <c r="E4377" s="95" t="str">
        <f t="shared" si="589"/>
        <v/>
      </c>
      <c r="F4377" s="98"/>
      <c r="G4377" s="98"/>
      <c r="H4377" s="98">
        <v>0</v>
      </c>
      <c r="I4377" s="98">
        <v>0</v>
      </c>
      <c r="J4377" s="98"/>
      <c r="K4377" s="93"/>
      <c r="L4377" s="93">
        <f t="shared" si="584"/>
        <v>0</v>
      </c>
      <c r="M4377" s="95" t="e">
        <f t="shared" ca="1" si="585"/>
        <v>#DIV/0!</v>
      </c>
      <c r="N4377" s="95">
        <f>IF(P4377="Hedge Fund",IF(A4377=Summary!$AD$3,M4377-E4377,M4377),IF(A4377=Summary!$AD$3,L4377-D4377,L4377))</f>
        <v>0</v>
      </c>
      <c r="P4377" s="107" t="s">
        <v>155</v>
      </c>
      <c r="Q4377" s="107">
        <v>1.60903E-3</v>
      </c>
      <c r="R4377" s="107">
        <v>0.155064112219397</v>
      </c>
      <c r="S4377" s="107">
        <v>0</v>
      </c>
      <c r="T4377" s="107">
        <v>0</v>
      </c>
      <c r="U4377" s="107"/>
      <c r="V4377" s="107"/>
      <c r="W4377" s="107"/>
      <c r="X4377" s="107"/>
      <c r="Y4377" s="107"/>
      <c r="Z4377" s="107"/>
      <c r="AA4377" s="107"/>
      <c r="AB4377" s="107"/>
      <c r="AF4377" s="94">
        <f t="shared" si="586"/>
        <v>42674</v>
      </c>
      <c r="AG4377" s="185">
        <f t="shared" si="590"/>
        <v>1.5439133939900485E-2</v>
      </c>
      <c r="AH4377" s="339" t="str">
        <f>VLOOKUP(B4377,'MF PF'!A:B,2)</f>
        <v>FdMgt1</v>
      </c>
      <c r="AI4377" s="358">
        <f t="shared" si="587"/>
        <v>0</v>
      </c>
      <c r="AJ4377" s="94">
        <f t="shared" si="588"/>
        <v>42674</v>
      </c>
    </row>
    <row r="4378" spans="1:36" ht="12.75" customHeight="1">
      <c r="A4378" s="8">
        <v>42704</v>
      </c>
      <c r="B4378" s="94" t="s">
        <v>393</v>
      </c>
      <c r="C4378" s="6" t="s">
        <v>297</v>
      </c>
      <c r="D4378" s="98">
        <v>16689116.500442998</v>
      </c>
      <c r="E4378" s="95" t="str">
        <f t="shared" si="589"/>
        <v/>
      </c>
      <c r="F4378" s="98"/>
      <c r="G4378" s="98"/>
      <c r="H4378" s="98">
        <v>0</v>
      </c>
      <c r="I4378" s="98">
        <v>0</v>
      </c>
      <c r="J4378" s="98"/>
      <c r="K4378" s="93"/>
      <c r="L4378" s="93">
        <f t="shared" si="584"/>
        <v>0</v>
      </c>
      <c r="M4378" s="95" t="e">
        <f t="shared" ca="1" si="585"/>
        <v>#DIV/0!</v>
      </c>
      <c r="N4378" s="95">
        <f>IF(P4378="Hedge Fund",IF(A4378=Summary!$AD$3,M4378-E4378,M4378),IF(A4378=Summary!$AD$3,L4378-D4378,L4378))</f>
        <v>0</v>
      </c>
      <c r="P4378" s="107" t="s">
        <v>155</v>
      </c>
      <c r="Q4378" s="107">
        <v>1.5571214284043999E-3</v>
      </c>
      <c r="R4378" s="107">
        <v>0.171622661920842</v>
      </c>
      <c r="S4378" s="107">
        <v>0</v>
      </c>
      <c r="T4378" s="107">
        <v>0</v>
      </c>
      <c r="U4378" s="107"/>
      <c r="V4378" s="107"/>
      <c r="W4378" s="107"/>
      <c r="X4378" s="107"/>
      <c r="Y4378" s="107"/>
      <c r="Z4378" s="107"/>
      <c r="AA4378" s="107"/>
      <c r="AB4378" s="107"/>
      <c r="AF4378" s="94">
        <f t="shared" si="586"/>
        <v>42704</v>
      </c>
      <c r="AG4378" s="185">
        <f t="shared" si="590"/>
        <v>1.4757541040772981E-2</v>
      </c>
      <c r="AH4378" s="339" t="str">
        <f>VLOOKUP(B4378,'MF PF'!A:B,2)</f>
        <v>FdMgt1</v>
      </c>
      <c r="AI4378" s="358">
        <f t="shared" si="587"/>
        <v>0</v>
      </c>
      <c r="AJ4378" s="94">
        <f t="shared" si="588"/>
        <v>42704</v>
      </c>
    </row>
    <row r="4379" spans="1:36" ht="12.75" customHeight="1">
      <c r="A4379" s="8">
        <v>42734</v>
      </c>
      <c r="B4379" s="94" t="s">
        <v>393</v>
      </c>
      <c r="C4379" s="6" t="s">
        <v>297</v>
      </c>
      <c r="D4379" s="98">
        <v>16831161.48</v>
      </c>
      <c r="E4379" s="95" t="str">
        <f t="shared" si="589"/>
        <v/>
      </c>
      <c r="F4379" s="98"/>
      <c r="G4379" s="98"/>
      <c r="H4379" s="98">
        <v>0</v>
      </c>
      <c r="I4379" s="98">
        <v>0</v>
      </c>
      <c r="J4379" s="98"/>
      <c r="K4379" s="93"/>
      <c r="L4379" s="93">
        <f t="shared" si="584"/>
        <v>0</v>
      </c>
      <c r="M4379" s="95" t="e">
        <f t="shared" ca="1" si="585"/>
        <v>#DIV/0!</v>
      </c>
      <c r="N4379" s="95">
        <f>IF(P4379="Hedge Fund",IF(A4379=Summary!$AD$3,M4379-E4379,M4379),IF(A4379=Summary!$AD$3,L4379-D4379,L4379))</f>
        <v>0</v>
      </c>
      <c r="P4379" s="107" t="s">
        <v>155</v>
      </c>
      <c r="Q4379" s="107">
        <v>1.5571214284043949E-3</v>
      </c>
      <c r="R4379" s="107">
        <v>0.18135731938164201</v>
      </c>
      <c r="S4379" s="107">
        <v>0</v>
      </c>
      <c r="T4379" s="107">
        <v>0</v>
      </c>
      <c r="U4379" s="107"/>
      <c r="V4379" s="107"/>
      <c r="W4379" s="107"/>
      <c r="X4379" s="107"/>
      <c r="Y4379" s="107"/>
      <c r="Z4379" s="107"/>
      <c r="AA4379" s="107"/>
      <c r="AB4379" s="107"/>
      <c r="AF4379" s="94">
        <f t="shared" si="586"/>
        <v>42734</v>
      </c>
      <c r="AG4379" s="185">
        <f t="shared" si="590"/>
        <v>8.5112342258040208E-3</v>
      </c>
      <c r="AH4379" s="339" t="str">
        <f>VLOOKUP(B4379,'MF PF'!A:B,2)</f>
        <v>FdMgt1</v>
      </c>
      <c r="AI4379" s="358">
        <f t="shared" si="587"/>
        <v>0</v>
      </c>
      <c r="AJ4379" s="94">
        <f t="shared" si="588"/>
        <v>42735</v>
      </c>
    </row>
    <row r="4380" spans="1:36" ht="12.75" customHeight="1">
      <c r="A4380" s="8">
        <v>42762</v>
      </c>
      <c r="B4380" s="94" t="s">
        <v>393</v>
      </c>
      <c r="C4380" s="6" t="s">
        <v>297</v>
      </c>
      <c r="D4380" s="98">
        <v>17054304.030000001</v>
      </c>
      <c r="E4380" s="95" t="str">
        <f t="shared" si="589"/>
        <v/>
      </c>
      <c r="F4380" s="98"/>
      <c r="G4380" s="98"/>
      <c r="H4380" s="98">
        <v>0</v>
      </c>
      <c r="I4380" s="98">
        <v>0</v>
      </c>
      <c r="J4380" s="98"/>
      <c r="K4380" s="93"/>
      <c r="L4380" s="93">
        <f t="shared" si="584"/>
        <v>0</v>
      </c>
      <c r="M4380" s="95" t="e">
        <f t="shared" ca="1" si="585"/>
        <v>#DIV/0!</v>
      </c>
      <c r="N4380" s="95">
        <f>IF(P4380="Hedge Fund",IF(A4380=Summary!$AD$3,M4380-E4380,M4380),IF(A4380=Summary!$AD$3,L4380-D4380,L4380))</f>
        <v>0</v>
      </c>
      <c r="P4380" s="107" t="s">
        <v>155</v>
      </c>
      <c r="Q4380" s="107">
        <v>1.40140928556396E-3</v>
      </c>
      <c r="R4380" s="107">
        <v>0.19658247065015202</v>
      </c>
      <c r="S4380" s="107">
        <v>0</v>
      </c>
      <c r="T4380" s="107">
        <v>0</v>
      </c>
      <c r="U4380" s="107"/>
      <c r="V4380" s="107"/>
      <c r="W4380" s="107"/>
      <c r="X4380" s="107"/>
      <c r="Y4380" s="107"/>
      <c r="Z4380" s="107"/>
      <c r="AA4380" s="107"/>
      <c r="AB4380" s="107"/>
      <c r="AF4380" s="94">
        <f t="shared" si="586"/>
        <v>42762</v>
      </c>
      <c r="AG4380" s="185">
        <f t="shared" si="590"/>
        <v>1.3257703591350811E-2</v>
      </c>
      <c r="AH4380" s="339" t="str">
        <f>VLOOKUP(B4380,'MF PF'!A:B,2)</f>
        <v>FdMgt1</v>
      </c>
      <c r="AI4380" s="358">
        <f t="shared" si="587"/>
        <v>0</v>
      </c>
      <c r="AJ4380" s="94">
        <f t="shared" si="588"/>
        <v>42766</v>
      </c>
    </row>
    <row r="4381" spans="1:36" ht="12.75" customHeight="1">
      <c r="A4381" s="8">
        <v>42794</v>
      </c>
      <c r="B4381" s="94" t="s">
        <v>393</v>
      </c>
      <c r="C4381" s="6" t="s">
        <v>297</v>
      </c>
      <c r="D4381" s="98">
        <v>17312009.5158903</v>
      </c>
      <c r="E4381" s="95" t="str">
        <f t="shared" si="589"/>
        <v/>
      </c>
      <c r="F4381" s="98"/>
      <c r="G4381" s="98"/>
      <c r="H4381" s="98">
        <v>0</v>
      </c>
      <c r="I4381" s="98">
        <v>0</v>
      </c>
      <c r="J4381" s="98"/>
      <c r="K4381" s="93"/>
      <c r="L4381" s="93">
        <f t="shared" si="584"/>
        <v>0</v>
      </c>
      <c r="M4381" s="95" t="e">
        <f t="shared" ca="1" si="585"/>
        <v>#DIV/0!</v>
      </c>
      <c r="N4381" s="95">
        <f>IF(P4381="Hedge Fund",IF(A4381=Summary!$AD$3,M4381-E4381,M4381),IF(A4381=Summary!$AD$3,L4381-D4381,L4381))</f>
        <v>0</v>
      </c>
      <c r="P4381" s="107" t="s">
        <v>155</v>
      </c>
      <c r="Q4381" s="107">
        <v>1.6609295236313579E-3</v>
      </c>
      <c r="R4381" s="107">
        <v>0.21416468677643466</v>
      </c>
      <c r="S4381" s="107">
        <v>0</v>
      </c>
      <c r="T4381" s="107">
        <v>0</v>
      </c>
      <c r="U4381" s="107"/>
      <c r="V4381" s="107"/>
      <c r="W4381" s="107"/>
      <c r="X4381" s="107"/>
      <c r="Y4381" s="107"/>
      <c r="Z4381" s="107"/>
      <c r="AA4381" s="107"/>
      <c r="AB4381" s="107"/>
      <c r="AF4381" s="94">
        <f t="shared" si="586"/>
        <v>42794</v>
      </c>
      <c r="AG4381" s="185">
        <f t="shared" si="590"/>
        <v>1.5110876728652967E-2</v>
      </c>
      <c r="AH4381" s="339" t="str">
        <f>VLOOKUP(B4381,'MF PF'!A:B,2)</f>
        <v>FdMgt1</v>
      </c>
      <c r="AI4381" s="358">
        <f t="shared" si="587"/>
        <v>0</v>
      </c>
      <c r="AJ4381" s="94">
        <f t="shared" si="588"/>
        <v>42794</v>
      </c>
    </row>
    <row r="4382" spans="1:36" ht="12.75" customHeight="1">
      <c r="A4382" s="8">
        <v>42825</v>
      </c>
      <c r="B4382" s="94" t="s">
        <v>393</v>
      </c>
      <c r="C4382" s="6" t="s">
        <v>297</v>
      </c>
      <c r="D4382" s="98">
        <v>17562064.759999998</v>
      </c>
      <c r="E4382" s="95" t="str">
        <f t="shared" si="589"/>
        <v/>
      </c>
      <c r="F4382" s="98"/>
      <c r="G4382" s="98"/>
      <c r="H4382" s="98">
        <v>0</v>
      </c>
      <c r="I4382" s="98">
        <v>0</v>
      </c>
      <c r="J4382" s="98"/>
      <c r="K4382" s="93"/>
      <c r="L4382" s="93">
        <f t="shared" si="584"/>
        <v>0</v>
      </c>
      <c r="M4382" s="95" t="e">
        <f t="shared" ca="1" si="585"/>
        <v>#DIV/0!</v>
      </c>
      <c r="N4382" s="95">
        <f>IF(P4382="Hedge Fund",IF(A4382=Summary!$AD$3,M4382-E4382,M4382),IF(A4382=Summary!$AD$3,L4382-D4382,L4382))</f>
        <v>0</v>
      </c>
      <c r="P4382" s="107" t="s">
        <v>155</v>
      </c>
      <c r="Q4382" s="107">
        <v>1.6090254760178745E-3</v>
      </c>
      <c r="R4382" s="107">
        <v>0.23122478093184501</v>
      </c>
      <c r="S4382" s="107">
        <v>0</v>
      </c>
      <c r="T4382" s="107">
        <v>0</v>
      </c>
      <c r="U4382" s="107"/>
      <c r="V4382" s="107"/>
      <c r="W4382" s="107"/>
      <c r="X4382" s="107"/>
      <c r="Y4382" s="107"/>
      <c r="Z4382" s="107"/>
      <c r="AA4382" s="107"/>
      <c r="AB4382" s="107"/>
      <c r="AF4382" s="94">
        <f t="shared" si="586"/>
        <v>42825</v>
      </c>
      <c r="AG4382" s="185">
        <f t="shared" si="590"/>
        <v>1.4444033425477176E-2</v>
      </c>
      <c r="AH4382" s="339" t="str">
        <f>VLOOKUP(B4382,'MF PF'!A:B,2)</f>
        <v>FdMgt1</v>
      </c>
      <c r="AI4382" s="358">
        <f t="shared" si="587"/>
        <v>0</v>
      </c>
      <c r="AJ4382" s="94">
        <f t="shared" si="588"/>
        <v>42825</v>
      </c>
    </row>
    <row r="4383" spans="1:36" ht="12.75" customHeight="1">
      <c r="A4383" s="8">
        <v>42853</v>
      </c>
      <c r="B4383" s="94" t="s">
        <v>393</v>
      </c>
      <c r="C4383" s="6" t="s">
        <v>297</v>
      </c>
      <c r="D4383" s="98">
        <v>18066577.699999999</v>
      </c>
      <c r="E4383" s="95" t="str">
        <f t="shared" si="589"/>
        <v/>
      </c>
      <c r="F4383" s="98"/>
      <c r="G4383" s="98"/>
      <c r="H4383" s="98">
        <v>0</v>
      </c>
      <c r="I4383" s="98">
        <v>0</v>
      </c>
      <c r="J4383" s="98"/>
      <c r="K4383" s="93"/>
      <c r="L4383" s="93">
        <f t="shared" si="584"/>
        <v>0</v>
      </c>
      <c r="M4383" s="95" t="e">
        <f t="shared" ca="1" si="585"/>
        <v>#DIV/0!</v>
      </c>
      <c r="N4383" s="95">
        <f>IF(P4383="Hedge Fund",IF(A4383=Summary!$AD$3,M4383-E4383,M4383),IF(A4383=Summary!$AD$3,L4383-D4383,L4383))</f>
        <v>0</v>
      </c>
      <c r="P4383" s="107" t="s">
        <v>155</v>
      </c>
      <c r="Q4383" s="107">
        <v>1.45331E-3</v>
      </c>
      <c r="R4383" s="107">
        <v>0.24696498</v>
      </c>
      <c r="S4383" s="107">
        <v>0</v>
      </c>
      <c r="T4383" s="107">
        <v>0</v>
      </c>
      <c r="U4383" s="107"/>
      <c r="V4383" s="107"/>
      <c r="W4383" s="107"/>
      <c r="X4383" s="107"/>
      <c r="Y4383" s="107"/>
      <c r="Z4383" s="107"/>
      <c r="AA4383" s="107"/>
      <c r="AB4383" s="107"/>
      <c r="AF4383" s="94">
        <f t="shared" si="586"/>
        <v>42853</v>
      </c>
      <c r="AG4383" s="185">
        <f t="shared" si="590"/>
        <v>2.8727427377964077E-2</v>
      </c>
      <c r="AH4383" s="339" t="str">
        <f>VLOOKUP(B4383,'MF PF'!A:B,2)</f>
        <v>FdMgt1</v>
      </c>
      <c r="AI4383" s="358">
        <f t="shared" si="587"/>
        <v>0</v>
      </c>
      <c r="AJ4383" s="94">
        <f t="shared" si="588"/>
        <v>42855</v>
      </c>
    </row>
    <row r="4384" spans="1:36" ht="12.75" customHeight="1">
      <c r="A4384" s="8">
        <v>42886</v>
      </c>
      <c r="B4384" s="94" t="s">
        <v>393</v>
      </c>
      <c r="C4384" s="6" t="s">
        <v>297</v>
      </c>
      <c r="D4384" s="98">
        <v>18063548.181330498</v>
      </c>
      <c r="E4384" s="95" t="str">
        <f t="shared" si="589"/>
        <v/>
      </c>
      <c r="F4384" s="98"/>
      <c r="G4384" s="98"/>
      <c r="H4384" s="98">
        <v>0</v>
      </c>
      <c r="I4384" s="98">
        <v>0</v>
      </c>
      <c r="J4384" s="98"/>
      <c r="K4384" s="93"/>
      <c r="L4384" s="93">
        <f t="shared" si="584"/>
        <v>0</v>
      </c>
      <c r="M4384" s="95" t="e">
        <f t="shared" ca="1" si="585"/>
        <v>#DIV/0!</v>
      </c>
      <c r="N4384" s="95">
        <f>IF(P4384="Hedge Fund",IF(A4384=Summary!$AD$3,M4384-E4384,M4384),IF(A4384=Summary!$AD$3,L4384-D4384,L4384))</f>
        <v>0</v>
      </c>
      <c r="P4384" s="107" t="s">
        <v>155</v>
      </c>
      <c r="Q4384" s="107">
        <v>1.71283357124484E-3</v>
      </c>
      <c r="R4384" s="107">
        <v>0.26543452159546799</v>
      </c>
      <c r="S4384" s="107">
        <v>0</v>
      </c>
      <c r="T4384" s="107">
        <v>0</v>
      </c>
      <c r="U4384" s="107"/>
      <c r="V4384" s="107"/>
      <c r="W4384" s="107"/>
      <c r="X4384" s="107"/>
      <c r="Y4384" s="107"/>
      <c r="Z4384" s="107"/>
      <c r="AA4384" s="107"/>
      <c r="AB4384" s="107"/>
      <c r="AF4384" s="94">
        <f t="shared" si="586"/>
        <v>42886</v>
      </c>
      <c r="AG4384" s="185">
        <f t="shared" si="590"/>
        <v>-1.6768636095931821E-4</v>
      </c>
      <c r="AH4384" s="339" t="str">
        <f>VLOOKUP(B4384,'MF PF'!A:B,2)</f>
        <v>FdMgt1</v>
      </c>
      <c r="AI4384" s="358">
        <f t="shared" si="587"/>
        <v>0</v>
      </c>
      <c r="AJ4384" s="94">
        <f t="shared" si="588"/>
        <v>42886</v>
      </c>
    </row>
    <row r="4385" spans="1:53" ht="12.75" customHeight="1">
      <c r="A4385" s="8">
        <v>42916</v>
      </c>
      <c r="B4385" s="94" t="s">
        <v>393</v>
      </c>
      <c r="C4385" s="6" t="s">
        <v>297</v>
      </c>
      <c r="D4385" s="98">
        <v>20065247.542996299</v>
      </c>
      <c r="E4385" s="95" t="str">
        <f t="shared" si="589"/>
        <v/>
      </c>
      <c r="F4385" s="98"/>
      <c r="G4385" s="98"/>
      <c r="H4385" s="98">
        <v>0</v>
      </c>
      <c r="I4385" s="98">
        <v>0</v>
      </c>
      <c r="J4385" s="98"/>
      <c r="K4385" s="93"/>
      <c r="L4385" s="93">
        <f t="shared" si="584"/>
        <v>0</v>
      </c>
      <c r="M4385" s="95" t="e">
        <f t="shared" ca="1" si="585"/>
        <v>#DIV/0!</v>
      </c>
      <c r="N4385" s="95">
        <f>IF(P4385="Hedge Fund",IF(A4385=Summary!$AD$3,M4385-E4385,M4385),IF(A4385=Summary!$AD$3,L4385-D4385,L4385))</f>
        <v>0</v>
      </c>
      <c r="P4385" s="107" t="s">
        <v>155</v>
      </c>
      <c r="Q4385" s="107">
        <v>1.55712314123797E-3</v>
      </c>
      <c r="R4385" s="107">
        <v>0.40123347680743299</v>
      </c>
      <c r="S4385" s="107">
        <v>0</v>
      </c>
      <c r="T4385" s="107">
        <v>0</v>
      </c>
      <c r="U4385" s="107"/>
      <c r="V4385" s="107"/>
      <c r="W4385" s="107"/>
      <c r="X4385" s="107"/>
      <c r="Y4385" s="107"/>
      <c r="Z4385" s="107"/>
      <c r="AA4385" s="107"/>
      <c r="AB4385" s="107"/>
      <c r="AF4385" s="94">
        <f t="shared" si="586"/>
        <v>42916</v>
      </c>
      <c r="AG4385" s="185">
        <f t="shared" si="590"/>
        <v>0.11081429526313369</v>
      </c>
      <c r="AH4385" s="339" t="str">
        <f>VLOOKUP(B4385,'MF PF'!A:B,2)</f>
        <v>FdMgt1</v>
      </c>
      <c r="AI4385" s="358">
        <f t="shared" si="587"/>
        <v>0</v>
      </c>
      <c r="AJ4385" s="94">
        <f t="shared" si="588"/>
        <v>42916</v>
      </c>
    </row>
    <row r="4386" spans="1:53" ht="12.75" customHeight="1">
      <c r="A4386" s="8">
        <v>42947</v>
      </c>
      <c r="B4386" s="94" t="s">
        <v>393</v>
      </c>
      <c r="C4386" s="6" t="s">
        <v>297</v>
      </c>
      <c r="D4386" s="98">
        <v>19885442.300000001</v>
      </c>
      <c r="E4386" s="95" t="str">
        <f t="shared" si="589"/>
        <v/>
      </c>
      <c r="F4386" s="98"/>
      <c r="G4386" s="98"/>
      <c r="H4386" s="98">
        <v>0</v>
      </c>
      <c r="I4386" s="98">
        <v>0</v>
      </c>
      <c r="J4386" s="98"/>
      <c r="K4386" s="93"/>
      <c r="L4386" s="93">
        <f t="shared" si="584"/>
        <v>0</v>
      </c>
      <c r="M4386" s="95" t="e">
        <f t="shared" ca="1" si="585"/>
        <v>#DIV/0!</v>
      </c>
      <c r="N4386" s="95">
        <f>IF(P4386="Hedge Fund",IF(A4386=Summary!$AD$3,M4386-E4386,M4386),IF(A4386=Summary!$AD$3,L4386-D4386,L4386))</f>
        <v>0</v>
      </c>
      <c r="P4386" s="107" t="s">
        <v>155</v>
      </c>
      <c r="Q4386" s="107">
        <v>1.35519E-3</v>
      </c>
      <c r="R4386" s="107">
        <v>0.42665674999999997</v>
      </c>
      <c r="S4386" s="107">
        <v>0</v>
      </c>
      <c r="T4386" s="107">
        <v>0</v>
      </c>
      <c r="U4386" s="107"/>
      <c r="V4386" s="107"/>
      <c r="W4386" s="107"/>
      <c r="X4386" s="107"/>
      <c r="Y4386" s="107"/>
      <c r="Z4386" s="107"/>
      <c r="AA4386" s="107"/>
      <c r="AB4386" s="107"/>
      <c r="AF4386" s="94">
        <f t="shared" si="586"/>
        <v>42947</v>
      </c>
      <c r="AG4386" s="185">
        <f t="shared" si="590"/>
        <v>-8.9610278971643531E-3</v>
      </c>
      <c r="AH4386" s="339" t="str">
        <f>VLOOKUP(B4386,'MF PF'!A:B,2)</f>
        <v>FdMgt1</v>
      </c>
      <c r="AI4386" s="358">
        <f t="shared" si="587"/>
        <v>0</v>
      </c>
      <c r="AJ4386" s="94">
        <f t="shared" si="588"/>
        <v>42947</v>
      </c>
    </row>
    <row r="4387" spans="1:53" ht="12.75" customHeight="1">
      <c r="A4387" s="8">
        <v>42978</v>
      </c>
      <c r="B4387" s="94" t="s">
        <v>393</v>
      </c>
      <c r="C4387" s="6" t="s">
        <v>297</v>
      </c>
      <c r="D4387" s="98">
        <v>19054129.857872475</v>
      </c>
      <c r="E4387" s="95" t="str">
        <f t="shared" si="589"/>
        <v/>
      </c>
      <c r="F4387" s="98"/>
      <c r="G4387" s="98"/>
      <c r="H4387" s="98">
        <v>-3.7252902984619141E-9</v>
      </c>
      <c r="I4387" s="98">
        <v>0</v>
      </c>
      <c r="J4387" s="98"/>
      <c r="K4387" s="93"/>
      <c r="L4387" s="93">
        <f t="shared" si="584"/>
        <v>-3.7252902984619141E-9</v>
      </c>
      <c r="M4387" s="95" t="e">
        <f t="shared" ca="1" si="585"/>
        <v>#DIV/0!</v>
      </c>
      <c r="N4387" s="95">
        <f>IF(P4387="Hedge Fund",IF(A4387=Summary!$AD$3,M4387-E4387,M4387),IF(A4387=Summary!$AD$3,L4387-D4387,L4387))</f>
        <v>-3.7252902984619141E-9</v>
      </c>
      <c r="P4387" s="107" t="s">
        <v>155</v>
      </c>
      <c r="Q4387" s="107">
        <v>1.3551912568305997E-3</v>
      </c>
      <c r="R4387" s="107">
        <v>0.45243046903834011</v>
      </c>
      <c r="S4387" s="107">
        <v>0</v>
      </c>
      <c r="T4387" s="107">
        <v>0</v>
      </c>
      <c r="U4387" s="107"/>
      <c r="V4387" s="107"/>
      <c r="W4387" s="107"/>
      <c r="X4387" s="107"/>
      <c r="Y4387" s="107"/>
      <c r="Z4387" s="107"/>
      <c r="AA4387" s="107"/>
      <c r="AB4387" s="107"/>
      <c r="AF4387" s="94">
        <f t="shared" si="586"/>
        <v>42978</v>
      </c>
      <c r="AG4387" s="185">
        <f t="shared" si="590"/>
        <v>-4.180507677858003E-2</v>
      </c>
      <c r="AH4387" s="339" t="str">
        <f>VLOOKUP(B4387,'MF PF'!A:B,2)</f>
        <v>FdMgt1</v>
      </c>
      <c r="AI4387" s="358">
        <f t="shared" si="587"/>
        <v>0</v>
      </c>
      <c r="AJ4387" s="94">
        <f t="shared" si="588"/>
        <v>42978</v>
      </c>
    </row>
    <row r="4388" spans="1:53" ht="12.75" customHeight="1">
      <c r="A4388" s="8">
        <v>43007</v>
      </c>
      <c r="B4388" s="94" t="s">
        <v>393</v>
      </c>
      <c r="C4388" s="6" t="s">
        <v>297</v>
      </c>
      <c r="D4388" s="98">
        <v>19380300</v>
      </c>
      <c r="E4388" s="95" t="str">
        <f t="shared" si="589"/>
        <v/>
      </c>
      <c r="F4388" s="98"/>
      <c r="G4388" s="98"/>
      <c r="H4388" s="98">
        <v>0</v>
      </c>
      <c r="I4388" s="98">
        <v>0</v>
      </c>
      <c r="J4388" s="98"/>
      <c r="K4388" s="93"/>
      <c r="L4388" s="93">
        <f t="shared" si="584"/>
        <v>0</v>
      </c>
      <c r="M4388" s="95" t="e">
        <f t="shared" ca="1" si="585"/>
        <v>#DIV/0!</v>
      </c>
      <c r="N4388" s="95">
        <f>IF(P4388="Hedge Fund",IF(A4388=Summary!$AD$3,M4388-E4388,M4388),IF(A4388=Summary!$AD$3,L4388-D4388,L4388))</f>
        <v>0</v>
      </c>
      <c r="P4388" s="107" t="s">
        <v>155</v>
      </c>
      <c r="Q4388" s="107">
        <v>1.2677595628415299E-3</v>
      </c>
      <c r="R4388" s="107">
        <v>0.47679190564072399</v>
      </c>
      <c r="S4388" s="107">
        <v>0</v>
      </c>
      <c r="T4388" s="107">
        <v>0</v>
      </c>
      <c r="U4388" s="107"/>
      <c r="V4388" s="107"/>
      <c r="W4388" s="107"/>
      <c r="X4388" s="107"/>
      <c r="Y4388" s="107"/>
      <c r="Z4388" s="107"/>
      <c r="AA4388" s="107"/>
      <c r="AB4388" s="107"/>
      <c r="AF4388" s="94">
        <f t="shared" si="586"/>
        <v>43007</v>
      </c>
      <c r="AG4388" s="185">
        <f t="shared" si="590"/>
        <v>1.7118081201318303E-2</v>
      </c>
      <c r="AH4388" s="339" t="str">
        <f>VLOOKUP(B4388,'MF PF'!A:B,2)</f>
        <v>FdMgt1</v>
      </c>
      <c r="AI4388" s="358">
        <f t="shared" si="587"/>
        <v>0</v>
      </c>
      <c r="AJ4388" s="94">
        <f t="shared" si="588"/>
        <v>43008</v>
      </c>
    </row>
    <row r="4389" spans="1:53" ht="12.75" customHeight="1">
      <c r="A4389" s="8">
        <v>43039</v>
      </c>
      <c r="B4389" s="94" t="s">
        <v>393</v>
      </c>
      <c r="C4389" s="6" t="s">
        <v>297</v>
      </c>
      <c r="D4389" s="98">
        <v>19745854.181028899</v>
      </c>
      <c r="E4389" s="95" t="str">
        <f t="shared" si="589"/>
        <v/>
      </c>
      <c r="F4389" s="98"/>
      <c r="G4389" s="98"/>
      <c r="H4389" s="98">
        <v>0</v>
      </c>
      <c r="I4389" s="98">
        <v>0</v>
      </c>
      <c r="J4389" s="98"/>
      <c r="K4389" s="93"/>
      <c r="L4389" s="93">
        <f t="shared" si="584"/>
        <v>0</v>
      </c>
      <c r="M4389" s="95" t="e">
        <f t="shared" ca="1" si="585"/>
        <v>#DIV/0!</v>
      </c>
      <c r="N4389" s="95">
        <f>IF(P4389="Hedge Fund",IF(A4389=Summary!$AD$3,M4389-E4389,M4389),IF(A4389=Summary!$AD$3,L4389-D4389,L4389))</f>
        <v>0</v>
      </c>
      <c r="P4389" s="107" t="s">
        <v>155</v>
      </c>
      <c r="Q4389" s="107">
        <v>1.3989071038251399E-3</v>
      </c>
      <c r="R4389" s="107">
        <v>0.50407938563675503</v>
      </c>
      <c r="S4389" s="107">
        <v>0</v>
      </c>
      <c r="T4389" s="107">
        <v>0</v>
      </c>
      <c r="U4389" s="107"/>
      <c r="V4389" s="107"/>
      <c r="W4389" s="107"/>
      <c r="X4389" s="107"/>
      <c r="Y4389" s="107"/>
      <c r="Z4389" s="107"/>
      <c r="AA4389" s="107"/>
      <c r="AB4389" s="107"/>
      <c r="AF4389" s="94">
        <f t="shared" si="586"/>
        <v>43039</v>
      </c>
      <c r="AG4389" s="185">
        <f t="shared" si="590"/>
        <v>1.8862152857742176E-2</v>
      </c>
      <c r="AH4389" s="339" t="str">
        <f>VLOOKUP(B4389,'MF PF'!A:B,2)</f>
        <v>FdMgt1</v>
      </c>
      <c r="AI4389" s="358">
        <f t="shared" si="587"/>
        <v>0</v>
      </c>
      <c r="AJ4389" s="94">
        <f t="shared" si="588"/>
        <v>43039</v>
      </c>
    </row>
    <row r="4390" spans="1:53" ht="12.75" customHeight="1">
      <c r="A4390" s="8">
        <v>43069</v>
      </c>
      <c r="B4390" s="94" t="s">
        <v>393</v>
      </c>
      <c r="C4390" s="6" t="s">
        <v>297</v>
      </c>
      <c r="D4390" s="98">
        <v>20088177.7783462</v>
      </c>
      <c r="E4390" s="95" t="str">
        <f t="shared" si="589"/>
        <v/>
      </c>
      <c r="F4390" s="98"/>
      <c r="G4390" s="98"/>
      <c r="H4390" s="98">
        <v>0</v>
      </c>
      <c r="I4390" s="98">
        <v>0</v>
      </c>
      <c r="J4390" s="98"/>
      <c r="K4390" s="93"/>
      <c r="L4390" s="93">
        <f t="shared" si="584"/>
        <v>0</v>
      </c>
      <c r="M4390" s="95" t="e">
        <f t="shared" ca="1" si="585"/>
        <v>#DIV/0!</v>
      </c>
      <c r="N4390" s="95">
        <f>IF(P4390="Hedge Fund",IF(A4390=Summary!$AD$3,M4390-E4390,M4390),IF(A4390=Summary!$AD$3,L4390-D4390,L4390))</f>
        <v>0</v>
      </c>
      <c r="P4390" s="107" t="s">
        <v>155</v>
      </c>
      <c r="Q4390" s="107">
        <v>1.3114754098360599E-3</v>
      </c>
      <c r="R4390" s="107">
        <v>0.52963901914538203</v>
      </c>
      <c r="S4390" s="107">
        <v>0</v>
      </c>
      <c r="T4390" s="107">
        <v>0</v>
      </c>
      <c r="U4390" s="107"/>
      <c r="V4390" s="107"/>
      <c r="W4390" s="107"/>
      <c r="X4390" s="107"/>
      <c r="Y4390" s="107"/>
      <c r="Z4390" s="107"/>
      <c r="AA4390" s="107"/>
      <c r="AB4390" s="107"/>
      <c r="AF4390" s="94">
        <f t="shared" si="586"/>
        <v>43069</v>
      </c>
      <c r="AG4390" s="185">
        <f t="shared" si="590"/>
        <v>1.7336479555601692E-2</v>
      </c>
      <c r="AH4390" s="339" t="str">
        <f>VLOOKUP(B4390,'MF PF'!A:B,2)</f>
        <v>FdMgt1</v>
      </c>
      <c r="AI4390" s="358">
        <f t="shared" si="587"/>
        <v>0</v>
      </c>
      <c r="AJ4390" s="94">
        <f t="shared" si="588"/>
        <v>43069</v>
      </c>
    </row>
    <row r="4391" spans="1:53" ht="12.75" customHeight="1">
      <c r="A4391" s="8">
        <v>43098</v>
      </c>
      <c r="B4391" s="94" t="s">
        <v>393</v>
      </c>
      <c r="C4391" s="6" t="s">
        <v>297</v>
      </c>
      <c r="D4391" s="98">
        <v>20378685.620000001</v>
      </c>
      <c r="E4391" s="95" t="str">
        <f t="shared" si="589"/>
        <v/>
      </c>
      <c r="F4391" s="98"/>
      <c r="G4391" s="98"/>
      <c r="H4391" s="98">
        <v>0</v>
      </c>
      <c r="I4391" s="98">
        <v>0</v>
      </c>
      <c r="J4391" s="98"/>
      <c r="K4391" s="93"/>
      <c r="L4391" s="93">
        <f t="shared" si="584"/>
        <v>0</v>
      </c>
      <c r="M4391" s="95" t="e">
        <f t="shared" ca="1" si="585"/>
        <v>#DIV/0!</v>
      </c>
      <c r="N4391" s="95">
        <f>IF(P4391="Hedge Fund",IF(A4391=Summary!$AD$3,M4391-E4391,M4391),IF(A4391=Summary!$AD$3,L4391-D4391,L4391))</f>
        <v>0</v>
      </c>
      <c r="P4391" s="107" t="s">
        <v>155</v>
      </c>
      <c r="Q4391" s="107">
        <v>1.2677599999999999E-3</v>
      </c>
      <c r="R4391" s="107">
        <v>0.55134995999999992</v>
      </c>
      <c r="S4391" s="107">
        <v>0</v>
      </c>
      <c r="T4391" s="107">
        <v>0</v>
      </c>
      <c r="U4391" s="107"/>
      <c r="V4391" s="107"/>
      <c r="W4391" s="107"/>
      <c r="X4391" s="107"/>
      <c r="Y4391" s="107"/>
      <c r="Z4391" s="107"/>
      <c r="AA4391" s="107"/>
      <c r="AB4391" s="107"/>
      <c r="AF4391" s="94">
        <f t="shared" si="586"/>
        <v>43098</v>
      </c>
      <c r="AG4391" s="185">
        <f t="shared" si="590"/>
        <v>1.4461632352086751E-2</v>
      </c>
      <c r="AH4391" s="339" t="str">
        <f>VLOOKUP(B4391,'MF PF'!A:B,2)</f>
        <v>FdMgt1</v>
      </c>
      <c r="AI4391" s="358">
        <f t="shared" si="587"/>
        <v>0</v>
      </c>
      <c r="AJ4391" s="94">
        <f t="shared" si="588"/>
        <v>43100</v>
      </c>
    </row>
    <row r="4392" spans="1:53" ht="12.75" customHeight="1">
      <c r="A4392" s="8">
        <v>43131</v>
      </c>
      <c r="B4392" s="94" t="s">
        <v>393</v>
      </c>
      <c r="C4392" s="6" t="s">
        <v>297</v>
      </c>
      <c r="D4392" s="98">
        <v>20794300</v>
      </c>
      <c r="E4392" s="95" t="str">
        <f t="shared" si="589"/>
        <v/>
      </c>
      <c r="F4392" s="98"/>
      <c r="G4392" s="98"/>
      <c r="H4392" s="98">
        <v>0</v>
      </c>
      <c r="I4392" s="98">
        <v>0</v>
      </c>
      <c r="J4392" s="98"/>
      <c r="K4392" s="93"/>
      <c r="L4392" s="93">
        <f t="shared" si="584"/>
        <v>0</v>
      </c>
      <c r="M4392" s="95" t="e">
        <f t="shared" ca="1" si="585"/>
        <v>#DIV/0!</v>
      </c>
      <c r="N4392" s="95">
        <f>IF(P4392="Hedge Fund",IF(A4392=Summary!$AD$3,M4392-E4392,M4392),IF(A4392=Summary!$AD$3,L4392-D4392,L4392))</f>
        <v>0</v>
      </c>
      <c r="P4392" s="107" t="s">
        <v>155</v>
      </c>
      <c r="Q4392" s="107">
        <v>1.4426199999999999E-3</v>
      </c>
      <c r="R4392" s="107">
        <v>0.5801153</v>
      </c>
      <c r="S4392" s="107">
        <v>0</v>
      </c>
      <c r="T4392" s="107">
        <v>0</v>
      </c>
      <c r="U4392" s="107"/>
      <c r="V4392" s="107"/>
      <c r="W4392" s="107"/>
      <c r="X4392" s="107"/>
      <c r="Y4392" s="107"/>
      <c r="Z4392" s="107"/>
      <c r="AA4392" s="107"/>
      <c r="AB4392" s="107"/>
      <c r="AF4392" s="94">
        <f t="shared" si="586"/>
        <v>43131</v>
      </c>
      <c r="AG4392" s="185">
        <f t="shared" si="590"/>
        <v>2.039456262047179E-2</v>
      </c>
      <c r="AH4392" s="339" t="str">
        <f>VLOOKUP(B4392,'MF PF'!A:B,2)</f>
        <v>FdMgt1</v>
      </c>
      <c r="AI4392" s="358">
        <f t="shared" si="587"/>
        <v>0</v>
      </c>
      <c r="AJ4392" s="94">
        <f t="shared" si="588"/>
        <v>43131</v>
      </c>
    </row>
    <row r="4393" spans="1:53" ht="12.75" customHeight="1">
      <c r="A4393" s="8">
        <v>43159</v>
      </c>
      <c r="B4393" s="94" t="s">
        <v>393</v>
      </c>
      <c r="C4393" s="6" t="s">
        <v>297</v>
      </c>
      <c r="D4393" s="98">
        <v>23082670.170000002</v>
      </c>
      <c r="E4393" s="9" t="str">
        <f t="shared" si="589"/>
        <v/>
      </c>
      <c r="F4393" s="98"/>
      <c r="G4393" s="98"/>
      <c r="H4393" s="98">
        <v>0</v>
      </c>
      <c r="I4393" s="98">
        <v>0</v>
      </c>
      <c r="J4393" s="98"/>
      <c r="K4393" s="93"/>
      <c r="L4393" s="93">
        <f t="shared" si="584"/>
        <v>0</v>
      </c>
      <c r="M4393" s="95" t="e">
        <f t="shared" ca="1" si="585"/>
        <v>#DIV/0!</v>
      </c>
      <c r="N4393" s="95">
        <f>IF(P4393="Hedge Fund",IF(A4393=Summary!$AD$3,M4393-E4393,M4393),IF(A4393=Summary!$AD$3,L4393-D4393,L4393))</f>
        <v>0</v>
      </c>
      <c r="P4393" s="107" t="s">
        <v>155</v>
      </c>
      <c r="Q4393" s="107">
        <v>1.22404E-3</v>
      </c>
      <c r="R4393" s="107">
        <v>0.60486085000000001</v>
      </c>
      <c r="S4393" s="107">
        <v>0</v>
      </c>
      <c r="T4393" s="107">
        <v>0</v>
      </c>
      <c r="U4393" s="107"/>
      <c r="V4393" s="107"/>
      <c r="W4393" s="107"/>
      <c r="X4393" s="107"/>
      <c r="Y4393" s="107"/>
      <c r="Z4393" s="107"/>
      <c r="AA4393" s="107"/>
      <c r="AB4393" s="107"/>
      <c r="AF4393" s="94">
        <f t="shared" si="586"/>
        <v>43159</v>
      </c>
      <c r="AG4393" s="185">
        <f t="shared" si="590"/>
        <v>0.11004795400662681</v>
      </c>
      <c r="AH4393" s="339" t="str">
        <f>VLOOKUP(B4393,'MF PF'!A:B,2)</f>
        <v>FdMgt1</v>
      </c>
      <c r="AI4393" s="358">
        <f t="shared" si="587"/>
        <v>0</v>
      </c>
      <c r="AJ4393" s="94">
        <f t="shared" si="588"/>
        <v>43159</v>
      </c>
    </row>
    <row r="4394" spans="1:53" ht="12.75" customHeight="1">
      <c r="A4394" s="8">
        <v>43188</v>
      </c>
      <c r="B4394" s="94" t="s">
        <v>393</v>
      </c>
      <c r="C4394" s="6" t="s">
        <v>297</v>
      </c>
      <c r="D4394" s="110">
        <v>23862699.629999999</v>
      </c>
      <c r="E4394" s="9" t="str">
        <f t="shared" si="589"/>
        <v/>
      </c>
      <c r="F4394" s="98"/>
      <c r="G4394" s="98"/>
      <c r="H4394" s="98">
        <v>0</v>
      </c>
      <c r="I4394" s="98">
        <v>0</v>
      </c>
      <c r="J4394" s="98"/>
      <c r="K4394" s="93"/>
      <c r="L4394" s="93">
        <f t="shared" si="584"/>
        <v>0</v>
      </c>
      <c r="M4394" s="95" t="e">
        <f t="shared" ca="1" si="585"/>
        <v>#DIV/0!</v>
      </c>
      <c r="N4394" s="95">
        <f>IF(P4394="Hedge Fund",IF(A4394=Summary!$AD$3,M4394-E4394,M4394),IF(A4394=Summary!$AD$3,L4394-D4394,L4394))</f>
        <v>0</v>
      </c>
      <c r="P4394" s="107" t="s">
        <v>155</v>
      </c>
      <c r="Q4394" s="109">
        <v>1.50522E-3</v>
      </c>
      <c r="R4394" s="109">
        <v>0.65972897120560203</v>
      </c>
      <c r="S4394" s="107">
        <v>0</v>
      </c>
      <c r="T4394" s="107">
        <v>0</v>
      </c>
      <c r="U4394" s="107"/>
      <c r="V4394" s="107"/>
      <c r="W4394" s="107"/>
      <c r="X4394" s="107"/>
      <c r="Y4394" s="107"/>
      <c r="Z4394" s="107"/>
      <c r="AA4394" s="107"/>
      <c r="AB4394" s="107"/>
      <c r="AF4394" s="94">
        <f t="shared" si="586"/>
        <v>43188</v>
      </c>
      <c r="AG4394" s="185">
        <f t="shared" si="590"/>
        <v>3.3792860802290603E-2</v>
      </c>
      <c r="AH4394" s="339" t="str">
        <f>VLOOKUP(B4394,'MF PF'!A:B,2)</f>
        <v>FdMgt1</v>
      </c>
      <c r="AI4394" s="358">
        <f t="shared" si="587"/>
        <v>0</v>
      </c>
      <c r="AJ4394" s="94">
        <f t="shared" si="588"/>
        <v>43190</v>
      </c>
      <c r="AK4394" s="358"/>
      <c r="AL4394" s="358"/>
      <c r="AM4394" s="358"/>
      <c r="AN4394" s="358"/>
      <c r="AO4394" s="358"/>
      <c r="AP4394" s="358"/>
      <c r="AQ4394" s="358"/>
      <c r="AR4394" s="358"/>
      <c r="AS4394" s="358"/>
      <c r="AT4394" s="358"/>
      <c r="AU4394" s="358"/>
      <c r="AV4394" s="358"/>
      <c r="AW4394" s="358"/>
      <c r="AX4394" s="358"/>
      <c r="AY4394" s="358"/>
      <c r="AZ4394" s="358"/>
      <c r="BA4394" s="358"/>
    </row>
    <row r="4395" spans="1:53" ht="12.75" customHeight="1">
      <c r="A4395" s="8">
        <v>43220</v>
      </c>
      <c r="B4395" s="94" t="s">
        <v>393</v>
      </c>
      <c r="C4395" s="6" t="s">
        <v>297</v>
      </c>
      <c r="D4395" s="110">
        <v>24568284.989999998</v>
      </c>
      <c r="E4395" s="9" t="str">
        <f t="shared" si="589"/>
        <v/>
      </c>
      <c r="F4395" s="98"/>
      <c r="G4395" s="98"/>
      <c r="H4395" s="98">
        <v>0</v>
      </c>
      <c r="I4395" s="98">
        <v>0</v>
      </c>
      <c r="J4395" s="98"/>
      <c r="K4395" s="93"/>
      <c r="L4395" s="93">
        <f t="shared" si="584"/>
        <v>0</v>
      </c>
      <c r="M4395" s="95" t="e">
        <f t="shared" ca="1" si="585"/>
        <v>#DIV/0!</v>
      </c>
      <c r="N4395" s="95">
        <f>IF(P4395="Hedge Fund",IF(A4395=Summary!$AD$3,M4395-E4395,M4395),IF(A4395=Summary!$AD$3,L4395-D4395,L4395))</f>
        <v>0</v>
      </c>
      <c r="P4395" s="107" t="s">
        <v>155</v>
      </c>
      <c r="Q4395" s="109">
        <f>1660.93/10^6</f>
        <v>1.6609300000000001E-3</v>
      </c>
      <c r="R4395" s="109">
        <v>0.65972897120560203</v>
      </c>
      <c r="S4395" s="107">
        <v>0</v>
      </c>
      <c r="T4395" s="107">
        <v>0</v>
      </c>
      <c r="U4395" s="107"/>
      <c r="V4395" s="107"/>
      <c r="W4395" s="107"/>
      <c r="X4395" s="107"/>
      <c r="Y4395" s="107"/>
      <c r="Z4395" s="107"/>
      <c r="AA4395" s="107"/>
      <c r="AB4395" s="107"/>
      <c r="AF4395" s="94">
        <f t="shared" si="586"/>
        <v>43220</v>
      </c>
      <c r="AG4395" s="185">
        <f t="shared" si="590"/>
        <v>2.9568547186209493E-2</v>
      </c>
      <c r="AH4395" s="339" t="str">
        <f>VLOOKUP(B4395,'MF PF'!A:B,2)</f>
        <v>FdMgt1</v>
      </c>
      <c r="AI4395" s="358">
        <f t="shared" si="587"/>
        <v>0</v>
      </c>
      <c r="AJ4395" s="94">
        <f t="shared" si="588"/>
        <v>43220</v>
      </c>
    </row>
    <row r="4396" spans="1:53" ht="12.75" customHeight="1">
      <c r="A4396" s="8">
        <v>43251</v>
      </c>
      <c r="B4396" s="358" t="s">
        <v>393</v>
      </c>
      <c r="C4396" s="6" t="s">
        <v>297</v>
      </c>
      <c r="D4396" s="110">
        <v>24275756.48</v>
      </c>
      <c r="E4396" s="9" t="str">
        <f t="shared" si="589"/>
        <v/>
      </c>
      <c r="F4396" s="98"/>
      <c r="G4396" s="98"/>
      <c r="H4396" s="98">
        <v>0</v>
      </c>
      <c r="I4396" s="110">
        <v>0</v>
      </c>
      <c r="J4396" s="110"/>
      <c r="K4396" s="93"/>
      <c r="L4396" s="93">
        <f t="shared" si="584"/>
        <v>0</v>
      </c>
      <c r="M4396" s="95" t="e">
        <f t="shared" ca="1" si="585"/>
        <v>#DIV/0!</v>
      </c>
      <c r="N4396" s="95">
        <f>IF(P4396="Hedge Fund",IF(A4396=Summary!$AD$3,M4396-E4396,M4396),IF(A4396=Summary!$AD$3,L4396-D4396,L4396))</f>
        <v>0</v>
      </c>
      <c r="P4396" s="107" t="s">
        <v>155</v>
      </c>
      <c r="Q4396" s="109">
        <f>(1355.19+253.83)/10^6</f>
        <v>1.6090200000000001E-3</v>
      </c>
      <c r="R4396" s="109">
        <f>687838.8/10^6</f>
        <v>0.68783880000000008</v>
      </c>
      <c r="S4396" s="107">
        <v>0</v>
      </c>
      <c r="T4396" s="107">
        <v>0</v>
      </c>
      <c r="U4396" s="107"/>
      <c r="V4396" s="107"/>
      <c r="W4396" s="107"/>
      <c r="X4396" s="107"/>
      <c r="Y4396" s="107"/>
      <c r="Z4396" s="107"/>
      <c r="AA4396" s="107"/>
      <c r="AB4396" s="107"/>
      <c r="AF4396" s="94">
        <f t="shared" si="586"/>
        <v>43251</v>
      </c>
      <c r="AG4396" s="185">
        <f t="shared" si="590"/>
        <v>-1.1906753365937606E-2</v>
      </c>
      <c r="AH4396" s="339" t="str">
        <f>VLOOKUP(B4396,'MF PF'!A:B,2)</f>
        <v>FdMgt1</v>
      </c>
      <c r="AI4396" s="358">
        <f t="shared" si="587"/>
        <v>0</v>
      </c>
      <c r="AJ4396" s="94">
        <f t="shared" si="588"/>
        <v>43251</v>
      </c>
    </row>
    <row r="4397" spans="1:53" ht="12.75" customHeight="1">
      <c r="A4397" s="8">
        <v>43280</v>
      </c>
      <c r="B4397" s="358" t="s">
        <v>393</v>
      </c>
      <c r="C4397" s="6" t="s">
        <v>297</v>
      </c>
      <c r="D4397" s="110">
        <v>24632705.91</v>
      </c>
      <c r="E4397" s="9" t="str">
        <f t="shared" si="589"/>
        <v/>
      </c>
      <c r="F4397" s="98"/>
      <c r="G4397" s="98"/>
      <c r="H4397" s="98">
        <v>0</v>
      </c>
      <c r="I4397" s="98">
        <v>0</v>
      </c>
      <c r="J4397" s="98"/>
      <c r="K4397" s="93"/>
      <c r="L4397" s="93">
        <f t="shared" si="584"/>
        <v>0</v>
      </c>
      <c r="M4397" s="95" t="e">
        <f t="shared" ca="1" si="585"/>
        <v>#DIV/0!</v>
      </c>
      <c r="N4397" s="95">
        <f>IF(P4397="Hedge Fund",IF(A4397=Summary!$AD$3,M4397-E4397,M4397),IF(A4397=Summary!$AD$3,L4397-D4397,L4397))</f>
        <v>0</v>
      </c>
      <c r="P4397" s="107" t="s">
        <v>155</v>
      </c>
      <c r="Q4397" s="109">
        <f>(1267.76+237.46)/10^6</f>
        <v>1.50522E-3</v>
      </c>
      <c r="R4397" s="109">
        <f>712138.12/10^6</f>
        <v>0.71213811999999999</v>
      </c>
      <c r="S4397" s="107">
        <v>0</v>
      </c>
      <c r="T4397" s="107">
        <v>0</v>
      </c>
      <c r="U4397" s="107"/>
      <c r="V4397" s="107"/>
      <c r="W4397" s="107"/>
      <c r="X4397" s="107"/>
      <c r="Y4397" s="107"/>
      <c r="Z4397" s="107"/>
      <c r="AA4397" s="107"/>
      <c r="AB4397" s="107"/>
      <c r="AF4397" s="94">
        <f t="shared" si="586"/>
        <v>43280</v>
      </c>
      <c r="AG4397" s="185">
        <f t="shared" si="590"/>
        <v>1.4703946725370898E-2</v>
      </c>
      <c r="AH4397" s="339" t="str">
        <f>VLOOKUP(B4397,'MF PF'!A:B,2)</f>
        <v>FdMgt1</v>
      </c>
      <c r="AI4397" s="358">
        <f t="shared" si="587"/>
        <v>0</v>
      </c>
      <c r="AJ4397" s="94">
        <f t="shared" si="588"/>
        <v>43281</v>
      </c>
    </row>
    <row r="4398" spans="1:53" ht="12.75" customHeight="1">
      <c r="A4398" s="8">
        <v>43312</v>
      </c>
      <c r="B4398" s="358" t="s">
        <v>393</v>
      </c>
      <c r="C4398" s="6" t="s">
        <v>297</v>
      </c>
      <c r="D4398" s="110">
        <v>25069335.77</v>
      </c>
      <c r="E4398" s="9" t="str">
        <f t="shared" si="589"/>
        <v/>
      </c>
      <c r="F4398" s="98"/>
      <c r="G4398" s="98"/>
      <c r="H4398" s="98">
        <v>0</v>
      </c>
      <c r="I4398" s="98">
        <v>0</v>
      </c>
      <c r="J4398" s="98"/>
      <c r="K4398" s="93"/>
      <c r="L4398" s="93">
        <f t="shared" si="584"/>
        <v>0</v>
      </c>
      <c r="M4398" s="95" t="e">
        <f t="shared" ca="1" si="585"/>
        <v>#DIV/0!</v>
      </c>
      <c r="N4398" s="95">
        <f>IF(P4398="Hedge Fund",IF(A4398=Summary!$AD$3,M4398-E4398,M4398),IF(A4398=Summary!$AD$3,L4398-D4398,L4398))</f>
        <v>0</v>
      </c>
      <c r="P4398" s="107" t="s">
        <v>155</v>
      </c>
      <c r="Q4398" s="109">
        <f>(1398.91+262.02)/10^6</f>
        <v>1.6609300000000001E-3</v>
      </c>
      <c r="R4398" s="109">
        <f>741849.45/10^6</f>
        <v>0.74184944999999991</v>
      </c>
      <c r="S4398" s="107">
        <v>0</v>
      </c>
      <c r="T4398" s="107">
        <v>0</v>
      </c>
      <c r="U4398" s="107"/>
      <c r="V4398" s="107"/>
      <c r="W4398" s="107"/>
      <c r="X4398" s="107"/>
      <c r="Y4398" s="107"/>
      <c r="Z4398" s="107"/>
      <c r="AA4398" s="107"/>
      <c r="AB4398" s="107"/>
      <c r="AF4398" s="94">
        <f t="shared" si="586"/>
        <v>43312</v>
      </c>
      <c r="AG4398" s="185">
        <f t="shared" ref="AG4398:AG4429" si="591">IF(C4398&lt;&gt;C4397,D4398/G4398-1,(D4398-G4398-I4398-H4398)/(D4397)-1)</f>
        <v>1.7725614944428036E-2</v>
      </c>
      <c r="AH4398" s="339" t="str">
        <f>VLOOKUP(B4398,'MF PF'!A:B,2)</f>
        <v>FdMgt1</v>
      </c>
      <c r="AI4398" s="358">
        <f t="shared" si="587"/>
        <v>0</v>
      </c>
      <c r="AJ4398" s="94">
        <f t="shared" si="588"/>
        <v>43312</v>
      </c>
    </row>
    <row r="4399" spans="1:53" ht="12.75" customHeight="1">
      <c r="A4399" s="8">
        <v>43343</v>
      </c>
      <c r="B4399" s="358" t="s">
        <v>393</v>
      </c>
      <c r="C4399" s="6" t="s">
        <v>297</v>
      </c>
      <c r="D4399" s="110">
        <v>25498318.460000001</v>
      </c>
      <c r="E4399" s="9" t="str">
        <f t="shared" si="589"/>
        <v/>
      </c>
      <c r="F4399" s="98"/>
      <c r="G4399" s="98"/>
      <c r="H4399" s="98">
        <v>0</v>
      </c>
      <c r="I4399" s="98">
        <v>0</v>
      </c>
      <c r="J4399" s="98"/>
      <c r="K4399" s="93"/>
      <c r="L4399" s="93">
        <f t="shared" si="584"/>
        <v>0</v>
      </c>
      <c r="M4399" s="95" t="e">
        <f t="shared" ca="1" si="585"/>
        <v>#DIV/0!</v>
      </c>
      <c r="N4399" s="95">
        <f>IF(P4399="Hedge Fund",IF(A4399=Summary!$AD$3,M4399-E4399,M4399),IF(A4399=Summary!$AD$3,L4399-D4399,L4399))</f>
        <v>0</v>
      </c>
      <c r="P4399" s="107" t="s">
        <v>155</v>
      </c>
      <c r="Q4399" s="109">
        <f>(1355.1912568306+253.834219187275)/10^6</f>
        <v>1.6090254760178751E-3</v>
      </c>
      <c r="R4399" s="109">
        <f>771038.879066042/10^6</f>
        <v>0.77103887906604207</v>
      </c>
      <c r="S4399" s="107">
        <v>0</v>
      </c>
      <c r="T4399" s="107">
        <v>0</v>
      </c>
      <c r="U4399" s="107"/>
      <c r="V4399" s="107"/>
      <c r="W4399" s="107"/>
      <c r="X4399" s="107"/>
      <c r="Y4399" s="107"/>
      <c r="Z4399" s="107"/>
      <c r="AA4399" s="107"/>
      <c r="AB4399" s="107"/>
      <c r="AF4399" s="94">
        <f t="shared" si="586"/>
        <v>43343</v>
      </c>
      <c r="AG4399" s="185">
        <f t="shared" si="591"/>
        <v>1.7111849070742258E-2</v>
      </c>
      <c r="AH4399" s="339" t="str">
        <f>VLOOKUP(B4399,'MF PF'!A:B,2)</f>
        <v>FdMgt1</v>
      </c>
      <c r="AI4399" s="358">
        <f t="shared" si="587"/>
        <v>0</v>
      </c>
      <c r="AJ4399" s="94">
        <f t="shared" si="588"/>
        <v>43343</v>
      </c>
      <c r="AK4399" s="358"/>
      <c r="AL4399" s="358"/>
      <c r="AM4399" s="358"/>
      <c r="AN4399" s="358"/>
      <c r="AO4399" s="358"/>
      <c r="AP4399" s="358"/>
      <c r="AQ4399" s="358"/>
      <c r="AR4399" s="358"/>
      <c r="AS4399" s="358"/>
      <c r="AT4399" s="358"/>
      <c r="AU4399" s="358"/>
      <c r="AV4399" s="358"/>
      <c r="AW4399" s="358"/>
      <c r="AX4399" s="358"/>
      <c r="AY4399" s="358"/>
      <c r="AZ4399" s="358"/>
      <c r="BA4399" s="358"/>
    </row>
    <row r="4400" spans="1:53" ht="12.75" customHeight="1">
      <c r="A4400" s="8">
        <v>43371</v>
      </c>
      <c r="B4400" s="358" t="s">
        <v>393</v>
      </c>
      <c r="C4400" s="6" t="s">
        <v>297</v>
      </c>
      <c r="D4400" s="110">
        <v>25890189.059999999</v>
      </c>
      <c r="E4400" s="9" t="str">
        <f t="shared" si="589"/>
        <v/>
      </c>
      <c r="F4400" s="98"/>
      <c r="G4400" s="98"/>
      <c r="H4400" s="98">
        <v>0</v>
      </c>
      <c r="I4400" s="98">
        <v>0</v>
      </c>
      <c r="J4400" s="98"/>
      <c r="K4400" s="93"/>
      <c r="L4400" s="93">
        <f t="shared" si="584"/>
        <v>0</v>
      </c>
      <c r="M4400" s="95" t="e">
        <f t="shared" ca="1" si="585"/>
        <v>#DIV/0!</v>
      </c>
      <c r="N4400" s="95">
        <f>IF(P4400="Hedge Fund",IF(A4400=Summary!$AD$3,M4400-E4400,M4400),IF(A4400=Summary!$AD$3,L4400-D4400,L4400))</f>
        <v>0</v>
      </c>
      <c r="P4400" s="107" t="s">
        <v>155</v>
      </c>
      <c r="Q4400" s="109">
        <f>(1355.1912568306+253.834219187275)/10^6</f>
        <v>1.6090254760178751E-3</v>
      </c>
      <c r="R4400" s="109">
        <f>771038.879066042/10^6</f>
        <v>0.77103887906604207</v>
      </c>
      <c r="S4400" s="107">
        <v>0</v>
      </c>
      <c r="T4400" s="107">
        <v>0</v>
      </c>
      <c r="U4400" s="107"/>
      <c r="V4400" s="107"/>
      <c r="W4400" s="107"/>
      <c r="X4400" s="107"/>
      <c r="Y4400" s="107"/>
      <c r="Z4400" s="107"/>
      <c r="AA4400" s="107"/>
      <c r="AB4400" s="107"/>
      <c r="AF4400" s="94">
        <f t="shared" si="586"/>
        <v>43371</v>
      </c>
      <c r="AG4400" s="185">
        <f t="shared" si="591"/>
        <v>1.5368487950087273E-2</v>
      </c>
      <c r="AH4400" s="339" t="str">
        <f>VLOOKUP(B4400,'MF PF'!A:B,2)</f>
        <v>FdMgt1</v>
      </c>
      <c r="AI4400" s="358">
        <f t="shared" si="587"/>
        <v>0</v>
      </c>
      <c r="AJ4400" s="94">
        <f t="shared" si="588"/>
        <v>43373</v>
      </c>
    </row>
    <row r="4401" spans="1:53" ht="12.75" customHeight="1">
      <c r="A4401" s="8">
        <v>43404</v>
      </c>
      <c r="B4401" s="358" t="s">
        <v>393</v>
      </c>
      <c r="C4401" s="6" t="s">
        <v>297</v>
      </c>
      <c r="D4401" s="110">
        <v>26358870.579999998</v>
      </c>
      <c r="E4401" s="9" t="s">
        <v>400</v>
      </c>
      <c r="F4401" s="98"/>
      <c r="G4401" s="98"/>
      <c r="H4401" s="98">
        <v>0</v>
      </c>
      <c r="I4401" s="98">
        <v>0</v>
      </c>
      <c r="J4401" s="98"/>
      <c r="K4401" s="93"/>
      <c r="L4401" s="93">
        <f t="shared" si="584"/>
        <v>0</v>
      </c>
      <c r="M4401" s="95" t="e">
        <f t="shared" ca="1" si="585"/>
        <v>#DIV/0!</v>
      </c>
      <c r="N4401" s="95">
        <f>IF(P4401="Hedge Fund",IF(A4401=Summary!$AD$3,M4401-E4401,M4401),IF(A4401=Summary!$AD$3,L4401-D4401,L4401))</f>
        <v>0</v>
      </c>
      <c r="P4401" s="107" t="s">
        <v>155</v>
      </c>
      <c r="Q4401" s="109">
        <v>1.7128299999999998E-3</v>
      </c>
      <c r="R4401" s="109">
        <v>0.82958956000000006</v>
      </c>
      <c r="S4401" s="107">
        <v>0</v>
      </c>
      <c r="T4401" s="107">
        <v>0</v>
      </c>
      <c r="U4401" s="107"/>
      <c r="V4401" s="107"/>
      <c r="W4401" s="107"/>
      <c r="X4401" s="107"/>
      <c r="Y4401" s="107"/>
      <c r="Z4401" s="107"/>
      <c r="AA4401" s="107"/>
      <c r="AB4401" s="107"/>
      <c r="AF4401" s="94">
        <f t="shared" si="586"/>
        <v>43404</v>
      </c>
      <c r="AG4401" s="185">
        <f t="shared" si="591"/>
        <v>1.8102668887965301E-2</v>
      </c>
      <c r="AH4401" s="339" t="str">
        <f>VLOOKUP(B4401,'MF PF'!A:B,2)</f>
        <v>FdMgt1</v>
      </c>
      <c r="AI4401" s="358">
        <f t="shared" si="587"/>
        <v>0</v>
      </c>
      <c r="AJ4401" s="94">
        <f t="shared" si="588"/>
        <v>43404</v>
      </c>
      <c r="AK4401" s="358"/>
      <c r="AL4401" s="358"/>
      <c r="AM4401" s="358"/>
      <c r="AN4401" s="358"/>
      <c r="AO4401" s="358"/>
      <c r="AP4401" s="358"/>
      <c r="AQ4401" s="358"/>
      <c r="AR4401" s="358"/>
      <c r="AS4401" s="358"/>
      <c r="AT4401" s="358"/>
      <c r="AU4401" s="358"/>
      <c r="AV4401" s="358"/>
      <c r="AW4401" s="358"/>
      <c r="AX4401" s="358"/>
      <c r="AY4401" s="358"/>
      <c r="AZ4401" s="358"/>
      <c r="BA4401" s="358"/>
    </row>
    <row r="4402" spans="1:53" ht="12.75" customHeight="1">
      <c r="A4402" s="8">
        <v>43434</v>
      </c>
      <c r="B4402" s="358" t="s">
        <v>393</v>
      </c>
      <c r="C4402" s="6" t="s">
        <v>297</v>
      </c>
      <c r="D4402" s="110">
        <v>26777042.85658747</v>
      </c>
      <c r="F4402" s="93"/>
      <c r="G4402" s="93"/>
      <c r="H4402" s="93"/>
      <c r="I4402" s="93"/>
      <c r="K4402" s="93"/>
      <c r="L4402" s="93">
        <f t="shared" si="584"/>
        <v>0</v>
      </c>
      <c r="M4402" s="95" t="e">
        <f t="shared" ca="1" si="585"/>
        <v>#DIV/0!</v>
      </c>
      <c r="N4402" s="95">
        <f>IF(P4402="Hedge Fund",IF(A4402=Summary!$AD$3,M4402-E4402,M4402),IF(A4402=Summary!$AD$3,L4402-D4402,L4402))</f>
        <v>0</v>
      </c>
      <c r="P4402" s="95" t="s">
        <v>155</v>
      </c>
      <c r="Q4402" s="109">
        <v>1.5571214284043945E-3</v>
      </c>
      <c r="R4402" s="109">
        <v>0.85804264223455351</v>
      </c>
      <c r="S4402" s="95"/>
      <c r="T4402" s="95"/>
      <c r="U4402" s="95"/>
      <c r="V4402" s="95"/>
      <c r="W4402" s="95"/>
      <c r="X4402" s="95"/>
      <c r="Y4402" s="95"/>
      <c r="Z4402" s="95"/>
      <c r="AA4402" s="95"/>
      <c r="AB4402" s="95"/>
      <c r="AF4402" s="94">
        <f t="shared" si="586"/>
        <v>43434</v>
      </c>
      <c r="AG4402" s="185">
        <f t="shared" si="591"/>
        <v>1.5864574899683515E-2</v>
      </c>
      <c r="AH4402" s="339" t="str">
        <f>VLOOKUP(B4402,'MF PF'!A:B,2)</f>
        <v>FdMgt1</v>
      </c>
      <c r="AI4402" s="358">
        <f t="shared" si="587"/>
        <v>0</v>
      </c>
      <c r="AJ4402" s="94">
        <f t="shared" si="588"/>
        <v>43434</v>
      </c>
      <c r="AK4402" s="358"/>
      <c r="AL4402" s="358"/>
      <c r="AM4402" s="358"/>
      <c r="AN4402" s="358"/>
      <c r="AO4402" s="358"/>
      <c r="AP4402" s="358"/>
      <c r="AQ4402" s="358"/>
      <c r="AR4402" s="358"/>
      <c r="AS4402" s="358"/>
      <c r="AT4402" s="358"/>
      <c r="AU4402" s="358"/>
      <c r="AV4402" s="358"/>
      <c r="AW4402" s="358"/>
      <c r="AX4402" s="358"/>
      <c r="AY4402" s="358"/>
      <c r="AZ4402" s="358"/>
      <c r="BA4402" s="358"/>
    </row>
    <row r="4403" spans="1:53" ht="12.75" customHeight="1">
      <c r="A4403" s="8">
        <v>43465</v>
      </c>
      <c r="B4403" s="358" t="s">
        <v>393</v>
      </c>
      <c r="C4403" s="6" t="s">
        <v>297</v>
      </c>
      <c r="D4403" s="93">
        <v>27006304.870000001</v>
      </c>
      <c r="F4403" s="93"/>
      <c r="G4403" s="93"/>
      <c r="H4403" s="93"/>
      <c r="I4403" s="93"/>
      <c r="K4403" s="93"/>
      <c r="L4403" s="93">
        <f t="shared" si="584"/>
        <v>0</v>
      </c>
      <c r="M4403" s="95" t="e">
        <f t="shared" ca="1" si="585"/>
        <v>#DIV/0!</v>
      </c>
      <c r="N4403" s="95">
        <f>IF(P4403="Hedge Fund",IF(A4403=Summary!$AD$3,M4403-E4403,M4403),IF(A4403=Summary!$AD$3,L4403-D4403,L4403))</f>
        <v>0</v>
      </c>
      <c r="P4403" s="95" t="s">
        <v>155</v>
      </c>
      <c r="Q4403" s="95">
        <v>1.60903E-3</v>
      </c>
      <c r="R4403" s="365">
        <v>0.87369318234233395</v>
      </c>
      <c r="S4403" s="95"/>
      <c r="T4403" s="95"/>
      <c r="U4403" s="95"/>
      <c r="V4403" s="95"/>
      <c r="W4403" s="95"/>
      <c r="X4403" s="95"/>
      <c r="Y4403" s="95"/>
      <c r="Z4403" s="95"/>
      <c r="AA4403" s="95"/>
      <c r="AB4403" s="95"/>
      <c r="AF4403" s="94">
        <f t="shared" si="586"/>
        <v>43465</v>
      </c>
      <c r="AG4403" s="185">
        <f t="shared" si="591"/>
        <v>8.5618869357759753E-3</v>
      </c>
      <c r="AH4403" s="339" t="str">
        <f>VLOOKUP(B4403,'MF PF'!A:B,2)</f>
        <v>FdMgt1</v>
      </c>
      <c r="AI4403" s="358">
        <f t="shared" si="587"/>
        <v>0</v>
      </c>
      <c r="AJ4403" s="94">
        <f t="shared" si="588"/>
        <v>43465</v>
      </c>
      <c r="AK4403" s="358"/>
      <c r="AL4403" s="358"/>
      <c r="AM4403" s="358"/>
      <c r="AN4403" s="358"/>
      <c r="AO4403" s="358"/>
      <c r="AP4403" s="358"/>
      <c r="AQ4403" s="358"/>
      <c r="AR4403" s="358"/>
      <c r="AS4403" s="358"/>
      <c r="AT4403" s="358"/>
      <c r="AU4403" s="358"/>
      <c r="AV4403" s="358"/>
      <c r="AW4403" s="358"/>
      <c r="AX4403" s="358"/>
      <c r="AY4403" s="358"/>
      <c r="AZ4403" s="358"/>
      <c r="BA4403" s="358"/>
    </row>
    <row r="4404" spans="1:53" ht="12.75" customHeight="1">
      <c r="A4404" s="8">
        <v>43496</v>
      </c>
      <c r="B4404" s="358" t="s">
        <v>393</v>
      </c>
      <c r="C4404" s="6" t="s">
        <v>297</v>
      </c>
      <c r="D4404" s="93">
        <v>27446804.09</v>
      </c>
      <c r="F4404" s="93"/>
      <c r="G4404" s="93"/>
      <c r="H4404" s="93"/>
      <c r="I4404" s="93"/>
      <c r="K4404" s="93"/>
      <c r="L4404" s="93">
        <f t="shared" si="584"/>
        <v>0</v>
      </c>
      <c r="M4404" s="95" t="e">
        <f t="shared" ca="1" si="585"/>
        <v>#DIV/0!</v>
      </c>
      <c r="N4404" s="95">
        <f>IF(P4404="Hedge Fund",IF(A4404=Summary!$AD$3,M4404-E4404,M4404),IF(A4404=Summary!$AD$3,L4404-D4404,L4404))</f>
        <v>-27446804.09</v>
      </c>
      <c r="P4404" s="95" t="s">
        <v>155</v>
      </c>
      <c r="Q4404" s="95">
        <v>1.60903E-3</v>
      </c>
      <c r="R4404" s="365">
        <v>0.90366329999999995</v>
      </c>
      <c r="S4404" s="95"/>
      <c r="T4404" s="95"/>
      <c r="U4404" s="95"/>
      <c r="V4404" s="95"/>
      <c r="W4404" s="95"/>
      <c r="X4404" s="95"/>
      <c r="Y4404" s="95"/>
      <c r="Z4404" s="95"/>
      <c r="AA4404" s="95"/>
      <c r="AB4404" s="95"/>
      <c r="AF4404" s="94">
        <f t="shared" si="586"/>
        <v>43496</v>
      </c>
      <c r="AG4404" s="185">
        <f t="shared" si="591"/>
        <v>1.6310977089254663E-2</v>
      </c>
      <c r="AH4404" s="339" t="str">
        <f>VLOOKUP(B4404,'MF PF'!A:B,2)</f>
        <v>FdMgt1</v>
      </c>
      <c r="AI4404" s="358">
        <f t="shared" si="587"/>
        <v>0</v>
      </c>
      <c r="AJ4404" s="94">
        <f t="shared" si="588"/>
        <v>43496</v>
      </c>
    </row>
    <row r="4405" spans="1:53" ht="12.75" customHeight="1">
      <c r="A4405" s="8">
        <v>43039</v>
      </c>
      <c r="B4405" s="94" t="s">
        <v>407</v>
      </c>
      <c r="C4405" s="6" t="s">
        <v>297</v>
      </c>
      <c r="D4405" s="98">
        <v>5000000</v>
      </c>
      <c r="E4405" s="9">
        <f t="shared" ref="E4405:E4415" si="592">IF(K4405="","",D4405/K4405)</f>
        <v>5000000</v>
      </c>
      <c r="F4405" s="98"/>
      <c r="G4405" s="98">
        <v>5000000</v>
      </c>
      <c r="H4405" s="98">
        <v>0</v>
      </c>
      <c r="I4405" s="98">
        <v>0</v>
      </c>
      <c r="J4405" s="98"/>
      <c r="K4405" s="93">
        <v>1</v>
      </c>
      <c r="L4405" s="93">
        <f t="shared" si="584"/>
        <v>5000000</v>
      </c>
      <c r="M4405" s="95">
        <f t="shared" ca="1" si="585"/>
        <v>5000000</v>
      </c>
      <c r="N4405" s="95">
        <f>IF(P4405="Hedge Fund",IF(A4405=Summary!$AD$3,M4405-E4405,M4405),IF(A4405=Summary!$AD$3,L4405-D4405,L4405))</f>
        <v>5000000</v>
      </c>
      <c r="P4405" s="107" t="s">
        <v>155</v>
      </c>
      <c r="Q4405" s="107">
        <v>0</v>
      </c>
      <c r="R4405" s="107">
        <v>0</v>
      </c>
      <c r="S4405" s="107">
        <v>0</v>
      </c>
      <c r="T4405" s="107">
        <v>0</v>
      </c>
      <c r="U4405" s="107"/>
      <c r="V4405" s="107"/>
      <c r="W4405" s="107"/>
      <c r="X4405" s="107"/>
      <c r="Y4405" s="107"/>
      <c r="Z4405" s="107"/>
      <c r="AA4405" s="107"/>
      <c r="AB4405" s="107"/>
      <c r="AF4405" s="94">
        <f t="shared" si="586"/>
        <v>43039</v>
      </c>
      <c r="AG4405" s="185">
        <f t="shared" si="591"/>
        <v>-1</v>
      </c>
      <c r="AH4405" s="339" t="str">
        <f>VLOOKUP(B4405,'MF PF'!A:B,2)</f>
        <v>Coinv</v>
      </c>
      <c r="AI4405" s="358">
        <f t="shared" si="587"/>
        <v>0</v>
      </c>
      <c r="AJ4405" s="94">
        <f t="shared" si="588"/>
        <v>43039</v>
      </c>
    </row>
    <row r="4406" spans="1:53" ht="12.75" customHeight="1">
      <c r="A4406" s="8">
        <v>43069</v>
      </c>
      <c r="B4406" s="94" t="s">
        <v>407</v>
      </c>
      <c r="C4406" s="6" t="s">
        <v>297</v>
      </c>
      <c r="D4406" s="98">
        <v>4885734</v>
      </c>
      <c r="E4406" s="9">
        <f t="shared" si="592"/>
        <v>4885734</v>
      </c>
      <c r="F4406" s="98"/>
      <c r="G4406" s="98"/>
      <c r="H4406" s="98">
        <v>0</v>
      </c>
      <c r="I4406" s="98">
        <v>0</v>
      </c>
      <c r="J4406" s="98"/>
      <c r="K4406" s="93">
        <v>1</v>
      </c>
      <c r="L4406" s="93">
        <f t="shared" si="584"/>
        <v>0</v>
      </c>
      <c r="M4406" s="95">
        <f t="shared" ca="1" si="585"/>
        <v>0</v>
      </c>
      <c r="N4406" s="95">
        <f>IF(P4406="Hedge Fund",IF(A4406=Summary!$AD$3,M4406-E4406,M4406),IF(A4406=Summary!$AD$3,L4406-D4406,L4406))</f>
        <v>0</v>
      </c>
      <c r="P4406" s="107" t="s">
        <v>155</v>
      </c>
      <c r="Q4406" s="107">
        <v>0</v>
      </c>
      <c r="R4406" s="107">
        <v>0</v>
      </c>
      <c r="S4406" s="107">
        <v>0</v>
      </c>
      <c r="T4406" s="107">
        <v>0</v>
      </c>
      <c r="U4406" s="107"/>
      <c r="V4406" s="107"/>
      <c r="W4406" s="107"/>
      <c r="X4406" s="107"/>
      <c r="Y4406" s="107"/>
      <c r="Z4406" s="107"/>
      <c r="AA4406" s="107"/>
      <c r="AB4406" s="107"/>
      <c r="AF4406" s="94">
        <f t="shared" si="586"/>
        <v>43069</v>
      </c>
      <c r="AG4406" s="185">
        <f t="shared" si="591"/>
        <v>-2.2853200000000018E-2</v>
      </c>
      <c r="AH4406" s="339" t="str">
        <f>VLOOKUP(B4406,'MF PF'!A:B,2)</f>
        <v>Coinv</v>
      </c>
      <c r="AI4406" s="358">
        <f t="shared" si="587"/>
        <v>0</v>
      </c>
      <c r="AJ4406" s="94">
        <f t="shared" si="588"/>
        <v>43069</v>
      </c>
    </row>
    <row r="4407" spans="1:53" ht="12.75" customHeight="1">
      <c r="A4407" s="8">
        <v>43098</v>
      </c>
      <c r="B4407" s="94" t="s">
        <v>407</v>
      </c>
      <c r="C4407" s="6" t="s">
        <v>297</v>
      </c>
      <c r="D4407" s="98">
        <v>4906550.93</v>
      </c>
      <c r="E4407" s="9">
        <f t="shared" si="592"/>
        <v>4906550.93</v>
      </c>
      <c r="F4407" s="98"/>
      <c r="G4407" s="98"/>
      <c r="H4407" s="98">
        <v>0</v>
      </c>
      <c r="I4407" s="98">
        <v>0</v>
      </c>
      <c r="J4407" s="98"/>
      <c r="K4407" s="93">
        <v>1</v>
      </c>
      <c r="L4407" s="93">
        <f t="shared" si="584"/>
        <v>0</v>
      </c>
      <c r="M4407" s="95">
        <f t="shared" ca="1" si="585"/>
        <v>0</v>
      </c>
      <c r="N4407" s="95">
        <f>IF(P4407="Hedge Fund",IF(A4407=Summary!$AD$3,M4407-E4407,M4407),IF(A4407=Summary!$AD$3,L4407-D4407,L4407))</f>
        <v>0</v>
      </c>
      <c r="P4407" s="107" t="s">
        <v>155</v>
      </c>
      <c r="Q4407" s="107">
        <v>3.6111099999999998E-3</v>
      </c>
      <c r="R4407" s="107">
        <v>9.6480699999999999E-3</v>
      </c>
      <c r="S4407" s="107">
        <v>0</v>
      </c>
      <c r="T4407" s="107">
        <v>0</v>
      </c>
      <c r="U4407" s="107"/>
      <c r="V4407" s="107"/>
      <c r="W4407" s="107"/>
      <c r="X4407" s="107"/>
      <c r="Y4407" s="107"/>
      <c r="Z4407" s="107"/>
      <c r="AA4407" s="107"/>
      <c r="AB4407" s="107"/>
      <c r="AF4407" s="94">
        <f t="shared" si="586"/>
        <v>43098</v>
      </c>
      <c r="AG4407" s="185">
        <f t="shared" si="591"/>
        <v>4.2607579536666496E-3</v>
      </c>
      <c r="AH4407" s="339" t="str">
        <f>VLOOKUP(B4407,'MF PF'!A:B,2)</f>
        <v>Coinv</v>
      </c>
      <c r="AI4407" s="358">
        <f t="shared" si="587"/>
        <v>0</v>
      </c>
      <c r="AJ4407" s="94">
        <f t="shared" si="588"/>
        <v>43100</v>
      </c>
    </row>
    <row r="4408" spans="1:53" ht="12.75" customHeight="1">
      <c r="A4408" s="8">
        <v>43131</v>
      </c>
      <c r="B4408" s="94" t="s">
        <v>407</v>
      </c>
      <c r="C4408" s="6" t="s">
        <v>297</v>
      </c>
      <c r="D4408" s="98">
        <v>4829312.1500000004</v>
      </c>
      <c r="E4408" s="9">
        <f t="shared" si="592"/>
        <v>4829312.1500000004</v>
      </c>
      <c r="F4408" s="98"/>
      <c r="G4408" s="98"/>
      <c r="H4408" s="98">
        <v>0</v>
      </c>
      <c r="I4408" s="98">
        <v>-149722.22</v>
      </c>
      <c r="J4408" s="98"/>
      <c r="K4408" s="93">
        <v>1</v>
      </c>
      <c r="L4408" s="93">
        <f t="shared" si="584"/>
        <v>-149722.22</v>
      </c>
      <c r="M4408" s="95">
        <f t="shared" ca="1" si="585"/>
        <v>-149722.22</v>
      </c>
      <c r="N4408" s="95">
        <f>IF(P4408="Hedge Fund",IF(A4408=Summary!$AD$3,M4408-E4408,M4408),IF(A4408=Summary!$AD$3,L4408-D4408,L4408))</f>
        <v>-149722.22</v>
      </c>
      <c r="P4408" s="107" t="s">
        <v>155</v>
      </c>
      <c r="Q4408" s="107">
        <v>0</v>
      </c>
      <c r="R4408" s="107">
        <v>1.7195820000000001E-2</v>
      </c>
      <c r="S4408" s="107">
        <v>0</v>
      </c>
      <c r="T4408" s="107">
        <v>0</v>
      </c>
      <c r="U4408" s="107"/>
      <c r="V4408" s="107"/>
      <c r="W4408" s="107"/>
      <c r="X4408" s="107"/>
      <c r="Y4408" s="107"/>
      <c r="Z4408" s="107"/>
      <c r="AA4408" s="107"/>
      <c r="AB4408" s="107"/>
      <c r="AF4408" s="94">
        <f t="shared" si="586"/>
        <v>43131</v>
      </c>
      <c r="AG4408" s="185">
        <f t="shared" si="591"/>
        <v>1.4772788672551274E-2</v>
      </c>
      <c r="AH4408" s="339" t="str">
        <f>VLOOKUP(B4408,'MF PF'!A:B,2)</f>
        <v>Coinv</v>
      </c>
      <c r="AI4408" s="358">
        <f t="shared" si="587"/>
        <v>0</v>
      </c>
      <c r="AJ4408" s="94">
        <f t="shared" si="588"/>
        <v>43131</v>
      </c>
    </row>
    <row r="4409" spans="1:53" ht="12.75" customHeight="1">
      <c r="A4409" s="8">
        <v>43159</v>
      </c>
      <c r="B4409" s="94" t="s">
        <v>407</v>
      </c>
      <c r="C4409" s="6" t="s">
        <v>297</v>
      </c>
      <c r="D4409" s="98">
        <v>4890910.379999999</v>
      </c>
      <c r="E4409" s="9">
        <f t="shared" si="592"/>
        <v>4890910.379999999</v>
      </c>
      <c r="F4409" s="98"/>
      <c r="G4409" s="98"/>
      <c r="H4409" s="98">
        <v>0</v>
      </c>
      <c r="I4409" s="98">
        <v>0</v>
      </c>
      <c r="J4409" s="98"/>
      <c r="K4409" s="93">
        <v>1</v>
      </c>
      <c r="L4409" s="93">
        <f t="shared" si="584"/>
        <v>0</v>
      </c>
      <c r="M4409" s="95">
        <f t="shared" ca="1" si="585"/>
        <v>0</v>
      </c>
      <c r="N4409" s="95">
        <f>IF(P4409="Hedge Fund",IF(A4409=Summary!$AD$3,M4409-E4409,M4409),IF(A4409=Summary!$AD$3,L4409-D4409,L4409))</f>
        <v>0</v>
      </c>
      <c r="P4409" s="107" t="s">
        <v>155</v>
      </c>
      <c r="Q4409" s="107">
        <v>0</v>
      </c>
      <c r="R4409" s="107">
        <v>2.3631465000000001E-2</v>
      </c>
      <c r="S4409" s="107">
        <v>0</v>
      </c>
      <c r="T4409" s="107">
        <v>0</v>
      </c>
      <c r="U4409" s="107"/>
      <c r="V4409" s="107"/>
      <c r="W4409" s="107"/>
      <c r="X4409" s="107"/>
      <c r="Y4409" s="107"/>
      <c r="Z4409" s="107"/>
      <c r="AA4409" s="107"/>
      <c r="AB4409" s="107"/>
      <c r="AF4409" s="94">
        <f t="shared" si="586"/>
        <v>43159</v>
      </c>
      <c r="AG4409" s="185">
        <f t="shared" si="591"/>
        <v>1.2755073204369083E-2</v>
      </c>
      <c r="AH4409" s="339" t="str">
        <f>VLOOKUP(B4409,'MF PF'!A:B,2)</f>
        <v>Coinv</v>
      </c>
      <c r="AI4409" s="358">
        <f t="shared" si="587"/>
        <v>0</v>
      </c>
      <c r="AJ4409" s="94">
        <f t="shared" si="588"/>
        <v>43159</v>
      </c>
    </row>
    <row r="4410" spans="1:53" ht="12.75" customHeight="1">
      <c r="A4410" s="8">
        <v>43188</v>
      </c>
      <c r="B4410" s="94" t="s">
        <v>407</v>
      </c>
      <c r="C4410" s="6" t="s">
        <v>297</v>
      </c>
      <c r="D4410" s="110">
        <v>4953556.8371344563</v>
      </c>
      <c r="E4410" s="9">
        <f t="shared" si="592"/>
        <v>4953556.8371344563</v>
      </c>
      <c r="F4410" s="98"/>
      <c r="G4410" s="98"/>
      <c r="H4410" s="98">
        <v>0</v>
      </c>
      <c r="I4410" s="98">
        <v>0</v>
      </c>
      <c r="J4410" s="98"/>
      <c r="K4410" s="93">
        <v>1</v>
      </c>
      <c r="L4410" s="93">
        <f t="shared" si="584"/>
        <v>0</v>
      </c>
      <c r="M4410" s="95">
        <f t="shared" ca="1" si="585"/>
        <v>0</v>
      </c>
      <c r="N4410" s="95">
        <f>IF(P4410="Hedge Fund",IF(A4410=Summary!$AD$3,M4410-E4410,M4410),IF(A4410=Summary!$AD$3,L4410-D4410,L4410))</f>
        <v>0</v>
      </c>
      <c r="P4410" s="107" t="s">
        <v>155</v>
      </c>
      <c r="Q4410" s="107">
        <v>0</v>
      </c>
      <c r="R4410" s="107">
        <f>236314.65/10^7</f>
        <v>2.3631465000000001E-2</v>
      </c>
      <c r="S4410" s="107">
        <v>0</v>
      </c>
      <c r="T4410" s="107">
        <v>0</v>
      </c>
      <c r="U4410" s="107"/>
      <c r="V4410" s="107"/>
      <c r="W4410" s="107"/>
      <c r="X4410" s="107"/>
      <c r="Y4410" s="107"/>
      <c r="Z4410" s="107"/>
      <c r="AA4410" s="107"/>
      <c r="AB4410" s="107"/>
      <c r="AF4410" s="94">
        <f t="shared" si="586"/>
        <v>43188</v>
      </c>
      <c r="AG4410" s="185">
        <f t="shared" si="591"/>
        <v>1.2808751800203133E-2</v>
      </c>
      <c r="AH4410" s="339" t="str">
        <f>VLOOKUP(B4410,'MF PF'!A:B,2)</f>
        <v>Coinv</v>
      </c>
      <c r="AI4410" s="358">
        <f t="shared" si="587"/>
        <v>0</v>
      </c>
      <c r="AJ4410" s="94">
        <f t="shared" si="588"/>
        <v>43190</v>
      </c>
    </row>
    <row r="4411" spans="1:53" ht="12.75" customHeight="1">
      <c r="A4411" s="8">
        <v>43220</v>
      </c>
      <c r="B4411" s="94" t="s">
        <v>407</v>
      </c>
      <c r="C4411" s="6" t="s">
        <v>297</v>
      </c>
      <c r="D4411" s="110">
        <v>4875922.16</v>
      </c>
      <c r="E4411" s="9">
        <f t="shared" si="592"/>
        <v>4875922.16</v>
      </c>
      <c r="F4411" s="98"/>
      <c r="G4411" s="98"/>
      <c r="H4411" s="98">
        <v>0</v>
      </c>
      <c r="I4411" s="98">
        <v>-142777.78</v>
      </c>
      <c r="J4411" s="98"/>
      <c r="K4411" s="93">
        <v>1</v>
      </c>
      <c r="L4411" s="93">
        <f t="shared" si="584"/>
        <v>-142777.78</v>
      </c>
      <c r="M4411" s="95">
        <f t="shared" ca="1" si="585"/>
        <v>-142777.78</v>
      </c>
      <c r="N4411" s="95">
        <f>IF(P4411="Hedge Fund",IF(A4411=Summary!$AD$3,M4411-E4411,M4411),IF(A4411=Summary!$AD$3,L4411-D4411,L4411))</f>
        <v>-142777.78</v>
      </c>
      <c r="P4411" s="107" t="s">
        <v>155</v>
      </c>
      <c r="Q4411" s="109">
        <f t="shared" ref="Q4411:Q4420" si="593">(5000000*0.005)*(A4411-A4410)/360/10^6</f>
        <v>2.2222222222222222E-3</v>
      </c>
      <c r="R4411" s="107">
        <f>37810.19/10^6</f>
        <v>3.781019E-2</v>
      </c>
      <c r="S4411" s="107">
        <v>0</v>
      </c>
      <c r="T4411" s="107">
        <v>0</v>
      </c>
      <c r="U4411" s="107"/>
      <c r="V4411" s="107"/>
      <c r="W4411" s="107"/>
      <c r="X4411" s="107"/>
      <c r="Y4411" s="107"/>
      <c r="Z4411" s="107"/>
      <c r="AA4411" s="107"/>
      <c r="AB4411" s="107"/>
      <c r="AF4411" s="94">
        <f t="shared" si="586"/>
        <v>43220</v>
      </c>
      <c r="AG4411" s="185">
        <f t="shared" si="591"/>
        <v>1.3150773274104299E-2</v>
      </c>
      <c r="AH4411" s="339" t="str">
        <f>VLOOKUP(B4411,'MF PF'!A:B,2)</f>
        <v>Coinv</v>
      </c>
      <c r="AI4411" s="358">
        <f t="shared" si="587"/>
        <v>0</v>
      </c>
      <c r="AJ4411" s="94">
        <f t="shared" si="588"/>
        <v>43220</v>
      </c>
    </row>
    <row r="4412" spans="1:53" ht="12.75" customHeight="1">
      <c r="A4412" s="8">
        <v>43251</v>
      </c>
      <c r="B4412" s="358" t="s">
        <v>407</v>
      </c>
      <c r="C4412" s="6" t="s">
        <v>297</v>
      </c>
      <c r="D4412" s="110">
        <v>4948624.4364909632</v>
      </c>
      <c r="E4412" s="9">
        <f t="shared" si="592"/>
        <v>4948624.4364909632</v>
      </c>
      <c r="F4412" s="98"/>
      <c r="G4412" s="98"/>
      <c r="H4412" s="98">
        <v>0</v>
      </c>
      <c r="I4412" s="98">
        <v>0</v>
      </c>
      <c r="J4412" s="98"/>
      <c r="K4412" s="93">
        <v>1</v>
      </c>
      <c r="L4412" s="93">
        <f t="shared" si="584"/>
        <v>0</v>
      </c>
      <c r="M4412" s="95">
        <f t="shared" ca="1" si="585"/>
        <v>0</v>
      </c>
      <c r="N4412" s="95">
        <f>IF(P4412="Hedge Fund",IF(A4412=Summary!$AD$3,M4412-E4412,M4412),IF(A4412=Summary!$AD$3,L4412-D4412,L4412))</f>
        <v>0</v>
      </c>
      <c r="P4412" s="107" t="s">
        <v>155</v>
      </c>
      <c r="Q4412" s="109">
        <f t="shared" si="593"/>
        <v>2.1527777777777778E-3</v>
      </c>
      <c r="R4412" s="109">
        <f>450229.58*0.1/10^6*0</f>
        <v>0</v>
      </c>
      <c r="S4412" s="107">
        <v>0</v>
      </c>
      <c r="T4412" s="107">
        <v>0</v>
      </c>
      <c r="U4412" s="107"/>
      <c r="V4412" s="107"/>
      <c r="W4412" s="107"/>
      <c r="X4412" s="107"/>
      <c r="Y4412" s="107"/>
      <c r="Z4412" s="107"/>
      <c r="AA4412" s="107"/>
      <c r="AB4412" s="107"/>
      <c r="AF4412" s="94">
        <f t="shared" si="586"/>
        <v>43251</v>
      </c>
      <c r="AG4412" s="185">
        <f t="shared" si="591"/>
        <v>1.4910467006093997E-2</v>
      </c>
      <c r="AH4412" s="339" t="str">
        <f>VLOOKUP(B4412,'MF PF'!A:B,2)</f>
        <v>Coinv</v>
      </c>
      <c r="AI4412" s="358">
        <f t="shared" si="587"/>
        <v>0</v>
      </c>
      <c r="AJ4412" s="94">
        <f t="shared" si="588"/>
        <v>43251</v>
      </c>
    </row>
    <row r="4413" spans="1:53" ht="12.75" customHeight="1">
      <c r="A4413" s="8">
        <v>43280</v>
      </c>
      <c r="B4413" s="358" t="s">
        <v>407</v>
      </c>
      <c r="C4413" s="6" t="s">
        <v>297</v>
      </c>
      <c r="D4413" s="110">
        <v>5012195.6673057461</v>
      </c>
      <c r="E4413" s="9">
        <f t="shared" si="592"/>
        <v>5012195.6673057461</v>
      </c>
      <c r="F4413" s="98"/>
      <c r="G4413" s="98"/>
      <c r="H4413" s="98">
        <v>0</v>
      </c>
      <c r="I4413" s="98">
        <v>0</v>
      </c>
      <c r="J4413" s="98"/>
      <c r="K4413" s="93">
        <v>1</v>
      </c>
      <c r="L4413" s="93">
        <f t="shared" si="584"/>
        <v>0</v>
      </c>
      <c r="M4413" s="95">
        <f t="shared" ca="1" si="585"/>
        <v>0</v>
      </c>
      <c r="N4413" s="95">
        <f>IF(P4413="Hedge Fund",IF(A4413=Summary!$AD$3,M4413-E4413,M4413),IF(A4413=Summary!$AD$3,L4413-D4413,L4413))</f>
        <v>0</v>
      </c>
      <c r="P4413" s="107" t="s">
        <v>155</v>
      </c>
      <c r="Q4413" s="109">
        <f t="shared" si="593"/>
        <v>2.0138888888888888E-3</v>
      </c>
      <c r="R4413" s="109">
        <f>450229.58*0.1/10^6*0</f>
        <v>0</v>
      </c>
      <c r="S4413" s="107">
        <v>0</v>
      </c>
      <c r="T4413" s="107">
        <v>0</v>
      </c>
      <c r="U4413" s="107"/>
      <c r="V4413" s="107"/>
      <c r="W4413" s="107"/>
      <c r="X4413" s="107"/>
      <c r="Y4413" s="107"/>
      <c r="Z4413" s="107"/>
      <c r="AA4413" s="107"/>
      <c r="AB4413" s="107"/>
      <c r="AF4413" s="94">
        <f t="shared" si="586"/>
        <v>43280</v>
      </c>
      <c r="AG4413" s="185">
        <f t="shared" si="591"/>
        <v>1.2846242755059523E-2</v>
      </c>
      <c r="AH4413" s="339" t="str">
        <f>VLOOKUP(B4413,'MF PF'!A:B,2)</f>
        <v>Coinv</v>
      </c>
      <c r="AI4413" s="358">
        <f t="shared" si="587"/>
        <v>0</v>
      </c>
      <c r="AJ4413" s="94">
        <f t="shared" si="588"/>
        <v>43281</v>
      </c>
    </row>
    <row r="4414" spans="1:53" ht="12.75" customHeight="1">
      <c r="A4414" s="8">
        <v>43312</v>
      </c>
      <c r="B4414" s="358" t="s">
        <v>407</v>
      </c>
      <c r="C4414" s="6" t="s">
        <v>297</v>
      </c>
      <c r="D4414" s="110">
        <v>4933516.9081749674</v>
      </c>
      <c r="E4414" s="9">
        <f t="shared" si="592"/>
        <v>4933516.9081749674</v>
      </c>
      <c r="F4414" s="98"/>
      <c r="G4414" s="98"/>
      <c r="H4414" s="98">
        <v>0</v>
      </c>
      <c r="I4414" s="110">
        <v>-147013.89000000001</v>
      </c>
      <c r="J4414" s="110"/>
      <c r="K4414" s="93">
        <v>1</v>
      </c>
      <c r="L4414" s="93">
        <f t="shared" si="584"/>
        <v>-147013.89000000001</v>
      </c>
      <c r="M4414" s="95">
        <f t="shared" ca="1" si="585"/>
        <v>-147013.89000000001</v>
      </c>
      <c r="N4414" s="95">
        <f>IF(P4414="Hedge Fund",IF(A4414=Summary!$AD$3,M4414-E4414,M4414),IF(A4414=Summary!$AD$3,L4414-D4414,L4414))</f>
        <v>-147013.89000000001</v>
      </c>
      <c r="P4414" s="107" t="s">
        <v>155</v>
      </c>
      <c r="Q4414" s="109">
        <f t="shared" si="593"/>
        <v>2.2222222222222222E-3</v>
      </c>
      <c r="R4414" s="107">
        <f>450229.58*0.1/10^6*0</f>
        <v>0</v>
      </c>
      <c r="S4414" s="107">
        <v>0</v>
      </c>
      <c r="T4414" s="107">
        <v>0</v>
      </c>
      <c r="U4414" s="107"/>
      <c r="V4414" s="107"/>
      <c r="W4414" s="107"/>
      <c r="X4414" s="107"/>
      <c r="Y4414" s="107"/>
      <c r="Z4414" s="107"/>
      <c r="AA4414" s="107"/>
      <c r="AB4414" s="107"/>
      <c r="AF4414" s="94">
        <f t="shared" si="586"/>
        <v>43312</v>
      </c>
      <c r="AG4414" s="185">
        <f t="shared" si="591"/>
        <v>1.3633771585368715E-2</v>
      </c>
      <c r="AH4414" s="339" t="str">
        <f>VLOOKUP(B4414,'MF PF'!A:B,2)</f>
        <v>Coinv</v>
      </c>
      <c r="AI4414" s="358">
        <f t="shared" si="587"/>
        <v>0</v>
      </c>
      <c r="AJ4414" s="94">
        <f t="shared" si="588"/>
        <v>43312</v>
      </c>
    </row>
    <row r="4415" spans="1:53" ht="12.75" customHeight="1">
      <c r="A4415" s="8">
        <v>43343</v>
      </c>
      <c r="B4415" s="358" t="s">
        <v>407</v>
      </c>
      <c r="C4415" s="6" t="s">
        <v>297</v>
      </c>
      <c r="D4415" s="110">
        <v>5012637.1890421044</v>
      </c>
      <c r="E4415" s="9">
        <f t="shared" si="592"/>
        <v>5012637.1890421044</v>
      </c>
      <c r="F4415" s="98"/>
      <c r="G4415" s="98"/>
      <c r="H4415" s="98">
        <v>0</v>
      </c>
      <c r="I4415" s="110">
        <v>0</v>
      </c>
      <c r="J4415" s="110"/>
      <c r="K4415" s="93">
        <v>1</v>
      </c>
      <c r="L4415" s="93">
        <f t="shared" si="584"/>
        <v>0</v>
      </c>
      <c r="M4415" s="95">
        <f t="shared" ca="1" si="585"/>
        <v>0</v>
      </c>
      <c r="N4415" s="95">
        <f>IF(P4415="Hedge Fund",IF(A4415=Summary!$AD$3,M4415-E4415,M4415),IF(A4415=Summary!$AD$3,L4415-D4415,L4415))</f>
        <v>0</v>
      </c>
      <c r="P4415" s="107" t="s">
        <v>155</v>
      </c>
      <c r="Q4415" s="109">
        <f t="shared" si="593"/>
        <v>2.1527777777777778E-3</v>
      </c>
      <c r="R4415" s="107">
        <v>0</v>
      </c>
      <c r="S4415" s="107">
        <v>0</v>
      </c>
      <c r="T4415" s="107">
        <v>0</v>
      </c>
      <c r="U4415" s="107"/>
      <c r="V4415" s="107"/>
      <c r="W4415" s="107"/>
      <c r="X4415" s="107"/>
      <c r="Y4415" s="107"/>
      <c r="Z4415" s="107"/>
      <c r="AA4415" s="107"/>
      <c r="AB4415" s="107"/>
      <c r="AF4415" s="94">
        <f t="shared" si="586"/>
        <v>43343</v>
      </c>
      <c r="AG4415" s="185">
        <f t="shared" si="591"/>
        <v>1.6037298004600409E-2</v>
      </c>
      <c r="AH4415" s="339" t="str">
        <f>VLOOKUP(B4415,'MF PF'!A:B,2)</f>
        <v>Coinv</v>
      </c>
      <c r="AI4415" s="358">
        <f t="shared" si="587"/>
        <v>0</v>
      </c>
      <c r="AJ4415" s="94">
        <f t="shared" si="588"/>
        <v>43343</v>
      </c>
    </row>
    <row r="4416" spans="1:53" ht="12.75" customHeight="1">
      <c r="A4416" s="8">
        <v>43371</v>
      </c>
      <c r="B4416" s="358" t="s">
        <v>407</v>
      </c>
      <c r="C4416" s="6" t="s">
        <v>297</v>
      </c>
      <c r="D4416" s="110">
        <v>5078776.5019233469</v>
      </c>
      <c r="E4416" s="9">
        <f>IF(K4416="","",D4416/K4005)</f>
        <v>594347.81508266076</v>
      </c>
      <c r="F4416" s="98"/>
      <c r="G4416" s="98"/>
      <c r="H4416" s="98">
        <v>0</v>
      </c>
      <c r="I4416" s="110">
        <v>0</v>
      </c>
      <c r="J4416" s="110"/>
      <c r="K4416" s="93">
        <v>1</v>
      </c>
      <c r="L4416" s="93">
        <f t="shared" si="584"/>
        <v>0</v>
      </c>
      <c r="M4416" s="95">
        <f t="shared" ca="1" si="585"/>
        <v>0</v>
      </c>
      <c r="N4416" s="95">
        <f>IF(P4416="Hedge Fund",IF(A4416=Summary!$AD$3,M4416-E4416,M4416),IF(A4416=Summary!$AD$3,L4416-D4416,L4416))</f>
        <v>0</v>
      </c>
      <c r="P4416" s="107" t="s">
        <v>155</v>
      </c>
      <c r="Q4416" s="109">
        <f t="shared" si="593"/>
        <v>1.9444444444444444E-3</v>
      </c>
      <c r="R4416" s="107">
        <v>0</v>
      </c>
      <c r="S4416" s="107">
        <v>0</v>
      </c>
      <c r="T4416" s="107">
        <v>0</v>
      </c>
      <c r="U4416" s="107"/>
      <c r="V4416" s="107"/>
      <c r="W4416" s="107"/>
      <c r="X4416" s="107"/>
      <c r="Y4416" s="107"/>
      <c r="Z4416" s="107"/>
      <c r="AA4416" s="107"/>
      <c r="AB4416" s="107"/>
      <c r="AF4416" s="94">
        <f t="shared" si="586"/>
        <v>43371</v>
      </c>
      <c r="AG4416" s="185">
        <f t="shared" si="591"/>
        <v>1.3194514262038881E-2</v>
      </c>
      <c r="AH4416" s="339" t="str">
        <f>VLOOKUP(B4416,'MF PF'!A:B,2)</f>
        <v>Coinv</v>
      </c>
      <c r="AI4416" s="358">
        <f t="shared" si="587"/>
        <v>0</v>
      </c>
      <c r="AJ4416" s="94">
        <f t="shared" si="588"/>
        <v>43373</v>
      </c>
    </row>
    <row r="4417" spans="1:36" ht="12.75" customHeight="1">
      <c r="A4417" s="8">
        <v>43404</v>
      </c>
      <c r="B4417" s="358" t="s">
        <v>407</v>
      </c>
      <c r="C4417" s="6" t="s">
        <v>297</v>
      </c>
      <c r="D4417" s="93">
        <v>4840988.97</v>
      </c>
      <c r="F4417" s="93"/>
      <c r="G4417" s="93"/>
      <c r="H4417" s="93"/>
      <c r="I4417" s="93">
        <v>-171944.45</v>
      </c>
      <c r="K4417" s="93"/>
      <c r="L4417" s="93">
        <f t="shared" ref="L4417:L4480" si="594">G4417+H4417+I4417</f>
        <v>-171944.45</v>
      </c>
      <c r="M4417" s="95" t="e">
        <f t="shared" ref="M4417:M4480" ca="1" si="595">IF(A4417&gt;INDIRECT("A"&amp;ROW()-1),I4417/K4417,E4417)</f>
        <v>#DIV/0!</v>
      </c>
      <c r="N4417" s="95">
        <f>IF(P4417="Hedge Fund",IF(A4417=Summary!$AD$3,M4417-E4417,M4417),IF(A4417=Summary!$AD$3,L4417-D4417,L4417))</f>
        <v>-171944.45</v>
      </c>
      <c r="P4417" s="95" t="s">
        <v>155</v>
      </c>
      <c r="Q4417" s="109">
        <f t="shared" si="593"/>
        <v>2.2916666666666667E-3</v>
      </c>
      <c r="R4417" s="95"/>
      <c r="S4417" s="95"/>
      <c r="T4417" s="95"/>
      <c r="U4417" s="95"/>
      <c r="V4417" s="95"/>
      <c r="W4417" s="95"/>
      <c r="X4417" s="95"/>
      <c r="Y4417" s="95"/>
      <c r="Z4417" s="95"/>
      <c r="AA4417" s="95"/>
      <c r="AB4417" s="95"/>
      <c r="AF4417" s="94">
        <f t="shared" ref="AF4417:AF4480" si="596">A4417</f>
        <v>43404</v>
      </c>
      <c r="AG4417" s="185">
        <f t="shared" si="591"/>
        <v>-1.2964359014107418E-2</v>
      </c>
      <c r="AH4417" s="339" t="str">
        <f>VLOOKUP(B4417,'MF PF'!A:B,2)</f>
        <v>Coinv</v>
      </c>
      <c r="AI4417" s="358">
        <f t="shared" ref="AI4417:AI4480" si="597">AF4417-A4417</f>
        <v>0</v>
      </c>
      <c r="AJ4417" s="94">
        <f t="shared" ref="AJ4417:AJ4480" si="598">EOMONTH(A4417,0)</f>
        <v>43404</v>
      </c>
    </row>
    <row r="4418" spans="1:36" ht="12.75" customHeight="1">
      <c r="A4418" s="8">
        <v>43434</v>
      </c>
      <c r="B4418" s="358" t="s">
        <v>407</v>
      </c>
      <c r="C4418" s="6" t="s">
        <v>297</v>
      </c>
      <c r="D4418" s="93">
        <v>4871242.42</v>
      </c>
      <c r="F4418" s="93"/>
      <c r="G4418" s="93"/>
      <c r="H4418" s="93"/>
      <c r="I4418" s="93">
        <v>-25000</v>
      </c>
      <c r="K4418" s="93"/>
      <c r="L4418" s="93">
        <f t="shared" si="594"/>
        <v>-25000</v>
      </c>
      <c r="M4418" s="95" t="e">
        <f t="shared" ca="1" si="595"/>
        <v>#DIV/0!</v>
      </c>
      <c r="N4418" s="95">
        <f>IF(P4418="Hedge Fund",IF(A4418=Summary!$AD$3,M4418-E4418,M4418),IF(A4418=Summary!$AD$3,L4418-D4418,L4418))</f>
        <v>-25000</v>
      </c>
      <c r="P4418" s="95" t="s">
        <v>155</v>
      </c>
      <c r="Q4418" s="109">
        <f t="shared" si="593"/>
        <v>2.0833333333333333E-3</v>
      </c>
      <c r="R4418" s="95"/>
      <c r="S4418" s="95"/>
      <c r="T4418" s="95"/>
      <c r="U4418" s="95"/>
      <c r="V4418" s="95"/>
      <c r="W4418" s="95"/>
      <c r="X4418" s="95"/>
      <c r="Y4418" s="95"/>
      <c r="Z4418" s="95"/>
      <c r="AA4418" s="95"/>
      <c r="AB4418" s="95"/>
      <c r="AF4418" s="94">
        <f t="shared" si="596"/>
        <v>43434</v>
      </c>
      <c r="AG4418" s="185">
        <f t="shared" si="591"/>
        <v>1.1413669880764088E-2</v>
      </c>
      <c r="AH4418" s="339" t="str">
        <f>VLOOKUP(B4418,'MF PF'!A:B,2)</f>
        <v>Coinv</v>
      </c>
      <c r="AI4418" s="358">
        <f t="shared" si="597"/>
        <v>0</v>
      </c>
      <c r="AJ4418" s="94">
        <f t="shared" si="598"/>
        <v>43434</v>
      </c>
    </row>
    <row r="4419" spans="1:36" ht="12.75" customHeight="1">
      <c r="A4419" s="8">
        <v>43465</v>
      </c>
      <c r="B4419" s="358" t="s">
        <v>407</v>
      </c>
      <c r="C4419" s="6" t="s">
        <v>297</v>
      </c>
      <c r="D4419" s="93">
        <v>4915241.4433206581</v>
      </c>
      <c r="F4419" s="93"/>
      <c r="G4419" s="93"/>
      <c r="H4419" s="93"/>
      <c r="I4419" s="93">
        <v>-25000</v>
      </c>
      <c r="K4419" s="93"/>
      <c r="L4419" s="93">
        <f t="shared" si="594"/>
        <v>-25000</v>
      </c>
      <c r="M4419" s="95" t="e">
        <f t="shared" ca="1" si="595"/>
        <v>#DIV/0!</v>
      </c>
      <c r="N4419" s="95">
        <f>IF(P4419="Hedge Fund",IF(A4419=Summary!$AD$3,M4419-E4419,M4419),IF(A4419=Summary!$AD$3,L4419-D4419,L4419))</f>
        <v>-25000</v>
      </c>
      <c r="P4419" s="95" t="s">
        <v>155</v>
      </c>
      <c r="Q4419" s="109">
        <f t="shared" si="593"/>
        <v>2.1527777777777778E-3</v>
      </c>
      <c r="R4419" s="95"/>
      <c r="S4419" s="95"/>
      <c r="T4419" s="95"/>
      <c r="U4419" s="95"/>
      <c r="V4419" s="95"/>
      <c r="W4419" s="95"/>
      <c r="X4419" s="95"/>
      <c r="Y4419" s="95"/>
      <c r="Z4419" s="95"/>
      <c r="AA4419" s="95"/>
      <c r="AB4419" s="95"/>
      <c r="AF4419" s="94">
        <f t="shared" si="596"/>
        <v>43465</v>
      </c>
      <c r="AG4419" s="185">
        <f t="shared" si="591"/>
        <v>1.4164563651639872E-2</v>
      </c>
      <c r="AH4419" s="339" t="str">
        <f>VLOOKUP(B4419,'MF PF'!A:B,2)</f>
        <v>Coinv</v>
      </c>
      <c r="AI4419" s="358">
        <f t="shared" si="597"/>
        <v>0</v>
      </c>
      <c r="AJ4419" s="94">
        <f t="shared" si="598"/>
        <v>43465</v>
      </c>
    </row>
    <row r="4420" spans="1:36" ht="12.75" customHeight="1">
      <c r="A4420" s="8">
        <v>43496</v>
      </c>
      <c r="B4420" s="358" t="s">
        <v>407</v>
      </c>
      <c r="C4420" s="6" t="s">
        <v>297</v>
      </c>
      <c r="D4420" s="93">
        <v>4564693.8156732321</v>
      </c>
      <c r="F4420" s="93"/>
      <c r="G4420" s="93"/>
      <c r="H4420" s="93"/>
      <c r="I4420" s="93">
        <f>-243611.11-167500-6388.89-274.64</f>
        <v>-417774.64</v>
      </c>
      <c r="K4420" s="93"/>
      <c r="L4420" s="93">
        <f t="shared" si="594"/>
        <v>-417774.64</v>
      </c>
      <c r="M4420" s="95" t="e">
        <f t="shared" ca="1" si="595"/>
        <v>#DIV/0!</v>
      </c>
      <c r="N4420" s="95">
        <f>IF(P4420="Hedge Fund",IF(A4420=Summary!$AD$3,M4420-E4420,M4420),IF(A4420=Summary!$AD$3,L4420-D4420,L4420))</f>
        <v>-4982468.4556732317</v>
      </c>
      <c r="P4420" s="95" t="s">
        <v>155</v>
      </c>
      <c r="Q4420" s="109">
        <f t="shared" si="593"/>
        <v>2.1527777777777778E-3</v>
      </c>
      <c r="R4420" s="95"/>
      <c r="S4420" s="95"/>
      <c r="T4420" s="95"/>
      <c r="U4420" s="95"/>
      <c r="V4420" s="95"/>
      <c r="W4420" s="95"/>
      <c r="X4420" s="95"/>
      <c r="Y4420" s="95"/>
      <c r="Z4420" s="95"/>
      <c r="AA4420" s="95"/>
      <c r="AB4420" s="95"/>
      <c r="AF4420" s="94">
        <f t="shared" si="596"/>
        <v>43496</v>
      </c>
      <c r="AG4420" s="185">
        <f t="shared" si="591"/>
        <v>1.367725535516251E-2</v>
      </c>
      <c r="AH4420" s="339" t="str">
        <f>VLOOKUP(B4420,'MF PF'!A:B,2)</f>
        <v>Coinv</v>
      </c>
      <c r="AI4420" s="358">
        <f t="shared" si="597"/>
        <v>0</v>
      </c>
      <c r="AJ4420" s="94">
        <f t="shared" si="598"/>
        <v>43496</v>
      </c>
    </row>
    <row r="4421" spans="1:36" ht="12.75" customHeight="1">
      <c r="A4421" s="8">
        <v>42825</v>
      </c>
      <c r="B4421" s="94" t="s">
        <v>394</v>
      </c>
      <c r="C4421" s="6" t="s">
        <v>297</v>
      </c>
      <c r="D4421" s="98">
        <v>10000000</v>
      </c>
      <c r="E4421" s="9">
        <f t="shared" ref="E4421:E4441" si="599">IF(K4421="","",D4421/K4421)</f>
        <v>10000000</v>
      </c>
      <c r="F4421" s="98"/>
      <c r="G4421" s="98">
        <v>10000000</v>
      </c>
      <c r="H4421" s="98">
        <v>0</v>
      </c>
      <c r="I4421" s="98">
        <v>0</v>
      </c>
      <c r="J4421" s="98"/>
      <c r="K4421" s="93">
        <v>1</v>
      </c>
      <c r="L4421" s="93">
        <f t="shared" si="594"/>
        <v>10000000</v>
      </c>
      <c r="M4421" s="95">
        <f t="shared" ca="1" si="595"/>
        <v>10000000</v>
      </c>
      <c r="N4421" s="95">
        <f>IF(P4421="Hedge Fund",IF(A4421=Summary!$AD$3,M4421-E4421,M4421),IF(A4421=Summary!$AD$3,L4421-D4421,L4421))</f>
        <v>10000000</v>
      </c>
      <c r="P4421" s="107" t="s">
        <v>155</v>
      </c>
      <c r="Q4421" s="107">
        <v>0</v>
      </c>
      <c r="R4421" s="107">
        <v>0</v>
      </c>
      <c r="S4421" s="107">
        <v>0</v>
      </c>
      <c r="T4421" s="107">
        <v>0</v>
      </c>
      <c r="U4421" s="107"/>
      <c r="V4421" s="107"/>
      <c r="W4421" s="107"/>
      <c r="X4421" s="107"/>
      <c r="Y4421" s="107"/>
      <c r="Z4421" s="107"/>
      <c r="AA4421" s="107"/>
      <c r="AB4421" s="107"/>
      <c r="AF4421" s="94">
        <f t="shared" si="596"/>
        <v>42825</v>
      </c>
      <c r="AG4421" s="185">
        <f t="shared" si="591"/>
        <v>-1</v>
      </c>
      <c r="AH4421" s="339" t="str">
        <f>VLOOKUP(B4421,'MF PF'!A:B,2)</f>
        <v>Coinv</v>
      </c>
      <c r="AI4421" s="358">
        <f t="shared" si="597"/>
        <v>0</v>
      </c>
      <c r="AJ4421" s="94">
        <f t="shared" si="598"/>
        <v>42825</v>
      </c>
    </row>
    <row r="4422" spans="1:36" ht="12.75" customHeight="1">
      <c r="A4422" s="8">
        <v>42853</v>
      </c>
      <c r="B4422" s="94" t="s">
        <v>394</v>
      </c>
      <c r="C4422" s="6" t="s">
        <v>297</v>
      </c>
      <c r="D4422" s="98">
        <v>10000000</v>
      </c>
      <c r="E4422" s="9">
        <f t="shared" si="599"/>
        <v>10000000</v>
      </c>
      <c r="F4422" s="98"/>
      <c r="G4422" s="98"/>
      <c r="H4422" s="98">
        <v>0</v>
      </c>
      <c r="I4422" s="98">
        <v>0</v>
      </c>
      <c r="J4422" s="98"/>
      <c r="K4422" s="93">
        <v>1</v>
      </c>
      <c r="L4422" s="93">
        <f t="shared" si="594"/>
        <v>0</v>
      </c>
      <c r="M4422" s="95">
        <f t="shared" ca="1" si="595"/>
        <v>0</v>
      </c>
      <c r="N4422" s="95">
        <f>IF(P4422="Hedge Fund",IF(A4422=Summary!$AD$3,M4422-E4422,M4422),IF(A4422=Summary!$AD$3,L4422-D4422,L4422))</f>
        <v>0</v>
      </c>
      <c r="P4422" s="107" t="s">
        <v>155</v>
      </c>
      <c r="Q4422" s="107">
        <v>0</v>
      </c>
      <c r="R4422" s="107">
        <v>0</v>
      </c>
      <c r="S4422" s="107">
        <v>0</v>
      </c>
      <c r="T4422" s="107">
        <v>0</v>
      </c>
      <c r="U4422" s="107"/>
      <c r="V4422" s="107"/>
      <c r="W4422" s="107"/>
      <c r="X4422" s="107"/>
      <c r="Y4422" s="107"/>
      <c r="Z4422" s="107"/>
      <c r="AA4422" s="107"/>
      <c r="AB4422" s="107"/>
      <c r="AF4422" s="94">
        <f t="shared" si="596"/>
        <v>42853</v>
      </c>
      <c r="AG4422" s="185">
        <f t="shared" si="591"/>
        <v>0</v>
      </c>
      <c r="AH4422" s="339" t="str">
        <f>VLOOKUP(B4422,'MF PF'!A:B,2)</f>
        <v>Coinv</v>
      </c>
      <c r="AI4422" s="358">
        <f t="shared" si="597"/>
        <v>0</v>
      </c>
      <c r="AJ4422" s="94">
        <f t="shared" si="598"/>
        <v>42855</v>
      </c>
    </row>
    <row r="4423" spans="1:36" ht="12.75" customHeight="1">
      <c r="A4423" s="8">
        <v>42886</v>
      </c>
      <c r="B4423" s="94" t="s">
        <v>394</v>
      </c>
      <c r="C4423" s="6" t="s">
        <v>297</v>
      </c>
      <c r="D4423" s="98">
        <v>10055696.75</v>
      </c>
      <c r="E4423" s="9">
        <f t="shared" si="599"/>
        <v>10055696.75</v>
      </c>
      <c r="F4423" s="98"/>
      <c r="G4423" s="98"/>
      <c r="H4423" s="98">
        <v>0</v>
      </c>
      <c r="I4423" s="98">
        <v>0</v>
      </c>
      <c r="J4423" s="98"/>
      <c r="K4423" s="93">
        <v>1</v>
      </c>
      <c r="L4423" s="93">
        <f t="shared" si="594"/>
        <v>0</v>
      </c>
      <c r="M4423" s="95">
        <f t="shared" ca="1" si="595"/>
        <v>0</v>
      </c>
      <c r="N4423" s="95">
        <f>IF(P4423="Hedge Fund",IF(A4423=Summary!$AD$3,M4423-E4423,M4423),IF(A4423=Summary!$AD$3,L4423-D4423,L4423))</f>
        <v>0</v>
      </c>
      <c r="P4423" s="107" t="s">
        <v>155</v>
      </c>
      <c r="Q4423" s="107">
        <v>0</v>
      </c>
      <c r="R4423" s="107">
        <v>0</v>
      </c>
      <c r="S4423" s="107">
        <v>0</v>
      </c>
      <c r="T4423" s="107">
        <v>0</v>
      </c>
      <c r="U4423" s="107"/>
      <c r="V4423" s="107"/>
      <c r="W4423" s="107"/>
      <c r="X4423" s="107"/>
      <c r="Y4423" s="107"/>
      <c r="Z4423" s="107"/>
      <c r="AA4423" s="107"/>
      <c r="AB4423" s="107"/>
      <c r="AF4423" s="94">
        <f t="shared" si="596"/>
        <v>42886</v>
      </c>
      <c r="AG4423" s="185">
        <f t="shared" si="591"/>
        <v>5.5696750000000517E-3</v>
      </c>
      <c r="AH4423" s="339" t="str">
        <f>VLOOKUP(B4423,'MF PF'!A:B,2)</f>
        <v>Coinv</v>
      </c>
      <c r="AI4423" s="358">
        <f t="shared" si="597"/>
        <v>0</v>
      </c>
      <c r="AJ4423" s="94">
        <f t="shared" si="598"/>
        <v>42886</v>
      </c>
    </row>
    <row r="4424" spans="1:36" ht="12.75" customHeight="1">
      <c r="A4424" s="8">
        <v>42916</v>
      </c>
      <c r="B4424" s="94" t="s">
        <v>394</v>
      </c>
      <c r="C4424" s="6" t="s">
        <v>297</v>
      </c>
      <c r="D4424" s="98">
        <v>10168024.49</v>
      </c>
      <c r="E4424" s="9">
        <f t="shared" si="599"/>
        <v>10168024.49</v>
      </c>
      <c r="F4424" s="98"/>
      <c r="G4424" s="98"/>
      <c r="H4424" s="98">
        <v>0</v>
      </c>
      <c r="I4424" s="98">
        <v>0</v>
      </c>
      <c r="J4424" s="98"/>
      <c r="K4424" s="93">
        <v>1</v>
      </c>
      <c r="L4424" s="93">
        <f t="shared" si="594"/>
        <v>0</v>
      </c>
      <c r="M4424" s="95">
        <f t="shared" ca="1" si="595"/>
        <v>0</v>
      </c>
      <c r="N4424" s="95">
        <f>IF(P4424="Hedge Fund",IF(A4424=Summary!$AD$3,M4424-E4424,M4424),IF(A4424=Summary!$AD$3,L4424-D4424,L4424))</f>
        <v>0</v>
      </c>
      <c r="P4424" s="107" t="s">
        <v>155</v>
      </c>
      <c r="Q4424" s="107">
        <v>0</v>
      </c>
      <c r="R4424" s="107">
        <v>0</v>
      </c>
      <c r="S4424" s="107">
        <v>0</v>
      </c>
      <c r="T4424" s="107">
        <v>0</v>
      </c>
      <c r="U4424" s="107"/>
      <c r="V4424" s="107"/>
      <c r="W4424" s="107"/>
      <c r="X4424" s="107"/>
      <c r="Y4424" s="107"/>
      <c r="Z4424" s="107"/>
      <c r="AA4424" s="107"/>
      <c r="AB4424" s="107"/>
      <c r="AF4424" s="94">
        <f t="shared" si="596"/>
        <v>42916</v>
      </c>
      <c r="AG4424" s="185">
        <f t="shared" si="591"/>
        <v>1.1170557624462951E-2</v>
      </c>
      <c r="AH4424" s="339" t="str">
        <f>VLOOKUP(B4424,'MF PF'!A:B,2)</f>
        <v>Coinv</v>
      </c>
      <c r="AI4424" s="358">
        <f t="shared" si="597"/>
        <v>0</v>
      </c>
      <c r="AJ4424" s="94">
        <f t="shared" si="598"/>
        <v>42916</v>
      </c>
    </row>
    <row r="4425" spans="1:36" ht="12.75" customHeight="1">
      <c r="A4425" s="8">
        <v>42947</v>
      </c>
      <c r="B4425" s="94" t="s">
        <v>394</v>
      </c>
      <c r="C4425" s="6" t="s">
        <v>297</v>
      </c>
      <c r="D4425" s="98">
        <v>10283744.219999999</v>
      </c>
      <c r="E4425" s="9">
        <f t="shared" si="599"/>
        <v>10283744.219999999</v>
      </c>
      <c r="F4425" s="98"/>
      <c r="G4425" s="98"/>
      <c r="H4425" s="98">
        <v>0</v>
      </c>
      <c r="I4425" s="98">
        <v>-183750</v>
      </c>
      <c r="J4425" s="98"/>
      <c r="K4425" s="93">
        <v>1</v>
      </c>
      <c r="L4425" s="93">
        <f t="shared" si="594"/>
        <v>-183750</v>
      </c>
      <c r="M4425" s="95">
        <f t="shared" ca="1" si="595"/>
        <v>-183750</v>
      </c>
      <c r="N4425" s="95">
        <f>IF(P4425="Hedge Fund",IF(A4425=Summary!$AD$3,M4425-E4425,M4425),IF(A4425=Summary!$AD$3,L4425-D4425,L4425))</f>
        <v>-183750</v>
      </c>
      <c r="P4425" s="107" t="s">
        <v>155</v>
      </c>
      <c r="Q4425" s="107">
        <v>0</v>
      </c>
      <c r="R4425" s="107">
        <v>0</v>
      </c>
      <c r="S4425" s="107">
        <v>0</v>
      </c>
      <c r="T4425" s="107">
        <v>0</v>
      </c>
      <c r="U4425" s="107"/>
      <c r="V4425" s="107"/>
      <c r="W4425" s="107"/>
      <c r="X4425" s="107"/>
      <c r="Y4425" s="107"/>
      <c r="Z4425" s="107"/>
      <c r="AA4425" s="107"/>
      <c r="AB4425" s="107"/>
      <c r="AF4425" s="94">
        <f t="shared" si="596"/>
        <v>42947</v>
      </c>
      <c r="AG4425" s="185">
        <f t="shared" si="591"/>
        <v>2.9452105499403469E-2</v>
      </c>
      <c r="AH4425" s="339" t="str">
        <f>VLOOKUP(B4425,'MF PF'!A:B,2)</f>
        <v>Coinv</v>
      </c>
      <c r="AI4425" s="358">
        <f t="shared" si="597"/>
        <v>0</v>
      </c>
      <c r="AJ4425" s="94">
        <f t="shared" si="598"/>
        <v>42947</v>
      </c>
    </row>
    <row r="4426" spans="1:36" ht="12.75" customHeight="1">
      <c r="A4426" s="8">
        <v>42978</v>
      </c>
      <c r="B4426" s="94" t="s">
        <v>394</v>
      </c>
      <c r="C4426" s="6" t="s">
        <v>297</v>
      </c>
      <c r="D4426" s="98">
        <v>10216672.289999999</v>
      </c>
      <c r="E4426" s="9">
        <f t="shared" si="599"/>
        <v>10216672.289999999</v>
      </c>
      <c r="F4426" s="98"/>
      <c r="G4426" s="98"/>
      <c r="H4426" s="98">
        <v>0</v>
      </c>
      <c r="I4426" s="98">
        <v>0</v>
      </c>
      <c r="J4426" s="98"/>
      <c r="K4426" s="93">
        <v>1</v>
      </c>
      <c r="L4426" s="93">
        <f t="shared" si="594"/>
        <v>0</v>
      </c>
      <c r="M4426" s="95">
        <f t="shared" ca="1" si="595"/>
        <v>0</v>
      </c>
      <c r="N4426" s="95">
        <f>IF(P4426="Hedge Fund",IF(A4426=Summary!$AD$3,M4426-E4426,M4426),IF(A4426=Summary!$AD$3,L4426-D4426,L4426))</f>
        <v>0</v>
      </c>
      <c r="P4426" s="107" t="s">
        <v>155</v>
      </c>
      <c r="Q4426" s="107">
        <v>0</v>
      </c>
      <c r="R4426" s="107">
        <v>0</v>
      </c>
      <c r="S4426" s="107">
        <v>0</v>
      </c>
      <c r="T4426" s="107">
        <v>0</v>
      </c>
      <c r="U4426" s="107"/>
      <c r="V4426" s="107"/>
      <c r="W4426" s="107"/>
      <c r="X4426" s="107"/>
      <c r="Y4426" s="107"/>
      <c r="Z4426" s="107"/>
      <c r="AA4426" s="107"/>
      <c r="AB4426" s="107"/>
      <c r="AF4426" s="94">
        <f t="shared" si="596"/>
        <v>42978</v>
      </c>
      <c r="AG4426" s="185">
        <f t="shared" si="591"/>
        <v>-6.5221312943156695E-3</v>
      </c>
      <c r="AH4426" s="339" t="str">
        <f>VLOOKUP(B4426,'MF PF'!A:B,2)</f>
        <v>Coinv</v>
      </c>
      <c r="AI4426" s="358">
        <f t="shared" si="597"/>
        <v>0</v>
      </c>
      <c r="AJ4426" s="94">
        <f t="shared" si="598"/>
        <v>42978</v>
      </c>
    </row>
    <row r="4427" spans="1:36" ht="12.75" customHeight="1">
      <c r="A4427" s="8">
        <v>43007</v>
      </c>
      <c r="B4427" s="94" t="s">
        <v>394</v>
      </c>
      <c r="C4427" s="6" t="s">
        <v>297</v>
      </c>
      <c r="D4427" s="98">
        <v>10327045.119999999</v>
      </c>
      <c r="E4427" s="9">
        <f t="shared" si="599"/>
        <v>10327045.119999999</v>
      </c>
      <c r="F4427" s="98"/>
      <c r="G4427" s="98"/>
      <c r="H4427" s="98">
        <v>0</v>
      </c>
      <c r="I4427" s="98">
        <v>0</v>
      </c>
      <c r="J4427" s="98"/>
      <c r="K4427" s="93">
        <v>1</v>
      </c>
      <c r="L4427" s="93">
        <f t="shared" si="594"/>
        <v>0</v>
      </c>
      <c r="M4427" s="95">
        <f t="shared" ca="1" si="595"/>
        <v>0</v>
      </c>
      <c r="N4427" s="95">
        <f>IF(P4427="Hedge Fund",IF(A4427=Summary!$AD$3,M4427-E4427,M4427),IF(A4427=Summary!$AD$3,L4427-D4427,L4427))</f>
        <v>0</v>
      </c>
      <c r="P4427" s="107" t="s">
        <v>155</v>
      </c>
      <c r="Q4427" s="107">
        <v>0</v>
      </c>
      <c r="R4427" s="107">
        <v>0</v>
      </c>
      <c r="S4427" s="107">
        <v>0</v>
      </c>
      <c r="T4427" s="107">
        <v>0</v>
      </c>
      <c r="U4427" s="107"/>
      <c r="V4427" s="107"/>
      <c r="W4427" s="107"/>
      <c r="X4427" s="107"/>
      <c r="Y4427" s="107"/>
      <c r="Z4427" s="107"/>
      <c r="AA4427" s="107"/>
      <c r="AB4427" s="107"/>
      <c r="AF4427" s="94">
        <f t="shared" si="596"/>
        <v>43007</v>
      </c>
      <c r="AG4427" s="185">
        <f t="shared" si="591"/>
        <v>1.0803207430665207E-2</v>
      </c>
      <c r="AH4427" s="339" t="str">
        <f>VLOOKUP(B4427,'MF PF'!A:B,2)</f>
        <v>Coinv</v>
      </c>
      <c r="AI4427" s="358">
        <f t="shared" si="597"/>
        <v>0</v>
      </c>
      <c r="AJ4427" s="94">
        <f t="shared" si="598"/>
        <v>43008</v>
      </c>
    </row>
    <row r="4428" spans="1:36" ht="12.75" customHeight="1">
      <c r="A4428" s="8">
        <v>43039</v>
      </c>
      <c r="B4428" s="94" t="s">
        <v>394</v>
      </c>
      <c r="C4428" s="6" t="s">
        <v>297</v>
      </c>
      <c r="D4428" s="98">
        <v>10109069.619999999</v>
      </c>
      <c r="E4428" s="9">
        <f t="shared" si="599"/>
        <v>10109069.619999999</v>
      </c>
      <c r="F4428" s="98"/>
      <c r="G4428" s="98"/>
      <c r="H4428" s="98">
        <v>0</v>
      </c>
      <c r="I4428" s="98">
        <v>-351251.8</v>
      </c>
      <c r="J4428" s="98"/>
      <c r="K4428" s="93">
        <v>1</v>
      </c>
      <c r="L4428" s="93">
        <f t="shared" si="594"/>
        <v>-351251.8</v>
      </c>
      <c r="M4428" s="95">
        <f t="shared" ca="1" si="595"/>
        <v>-351251.8</v>
      </c>
      <c r="N4428" s="95">
        <f>IF(P4428="Hedge Fund",IF(A4428=Summary!$AD$3,M4428-E4428,M4428),IF(A4428=Summary!$AD$3,L4428-D4428,L4428))</f>
        <v>-351251.8</v>
      </c>
      <c r="P4428" s="107" t="s">
        <v>155</v>
      </c>
      <c r="Q4428" s="107">
        <v>0</v>
      </c>
      <c r="R4428" s="107">
        <v>0</v>
      </c>
      <c r="S4428" s="107">
        <v>0</v>
      </c>
      <c r="T4428" s="107">
        <v>0</v>
      </c>
      <c r="U4428" s="107"/>
      <c r="V4428" s="107"/>
      <c r="W4428" s="107"/>
      <c r="X4428" s="107"/>
      <c r="Y4428" s="107"/>
      <c r="Z4428" s="107"/>
      <c r="AA4428" s="107"/>
      <c r="AB4428" s="107"/>
      <c r="AF4428" s="94">
        <f t="shared" si="596"/>
        <v>43039</v>
      </c>
      <c r="AG4428" s="185">
        <f t="shared" si="591"/>
        <v>1.2905559959439872E-2</v>
      </c>
      <c r="AH4428" s="339" t="str">
        <f>VLOOKUP(B4428,'MF PF'!A:B,2)</f>
        <v>Coinv</v>
      </c>
      <c r="AI4428" s="358">
        <f t="shared" si="597"/>
        <v>0</v>
      </c>
      <c r="AJ4428" s="94">
        <f t="shared" si="598"/>
        <v>43039</v>
      </c>
    </row>
    <row r="4429" spans="1:36" ht="12.75" customHeight="1">
      <c r="A4429" s="8">
        <v>43069</v>
      </c>
      <c r="B4429" s="94" t="s">
        <v>394</v>
      </c>
      <c r="C4429" s="6" t="s">
        <v>297</v>
      </c>
      <c r="D4429" s="98">
        <v>10112994.91</v>
      </c>
      <c r="E4429" s="9">
        <f t="shared" si="599"/>
        <v>10112994.91</v>
      </c>
      <c r="F4429" s="98"/>
      <c r="G4429" s="98"/>
      <c r="H4429" s="98">
        <v>0</v>
      </c>
      <c r="I4429" s="98">
        <v>0</v>
      </c>
      <c r="J4429" s="98"/>
      <c r="K4429" s="93">
        <v>1</v>
      </c>
      <c r="L4429" s="93">
        <f t="shared" si="594"/>
        <v>0</v>
      </c>
      <c r="M4429" s="95">
        <f t="shared" ca="1" si="595"/>
        <v>0</v>
      </c>
      <c r="N4429" s="95">
        <f>IF(P4429="Hedge Fund",IF(A4429=Summary!$AD$3,M4429-E4429,M4429),IF(A4429=Summary!$AD$3,L4429-D4429,L4429))</f>
        <v>0</v>
      </c>
      <c r="P4429" s="107" t="s">
        <v>155</v>
      </c>
      <c r="Q4429" s="107">
        <v>0</v>
      </c>
      <c r="R4429" s="107">
        <v>0</v>
      </c>
      <c r="S4429" s="107">
        <v>0</v>
      </c>
      <c r="T4429" s="107">
        <v>0</v>
      </c>
      <c r="U4429" s="107"/>
      <c r="V4429" s="107"/>
      <c r="W4429" s="107"/>
      <c r="X4429" s="107"/>
      <c r="Y4429" s="107"/>
      <c r="Z4429" s="107"/>
      <c r="AA4429" s="107"/>
      <c r="AB4429" s="107"/>
      <c r="AF4429" s="94">
        <f t="shared" si="596"/>
        <v>43069</v>
      </c>
      <c r="AG4429" s="185">
        <f t="shared" si="591"/>
        <v>3.8829389326155983E-4</v>
      </c>
      <c r="AH4429" s="339" t="str">
        <f>VLOOKUP(B4429,'MF PF'!A:B,2)</f>
        <v>Coinv</v>
      </c>
      <c r="AI4429" s="358">
        <f t="shared" si="597"/>
        <v>0</v>
      </c>
      <c r="AJ4429" s="94">
        <f t="shared" si="598"/>
        <v>43069</v>
      </c>
    </row>
    <row r="4430" spans="1:36" ht="12.75" customHeight="1">
      <c r="A4430" s="8">
        <v>43098</v>
      </c>
      <c r="B4430" s="94" t="s">
        <v>394</v>
      </c>
      <c r="C4430" s="6" t="s">
        <v>297</v>
      </c>
      <c r="D4430" s="98">
        <v>10110400.57</v>
      </c>
      <c r="E4430" s="9">
        <f t="shared" si="599"/>
        <v>10110400.57</v>
      </c>
      <c r="F4430" s="98"/>
      <c r="G4430" s="98"/>
      <c r="H4430" s="98">
        <v>0</v>
      </c>
      <c r="I4430" s="98">
        <v>0</v>
      </c>
      <c r="J4430" s="98"/>
      <c r="K4430" s="93">
        <v>1</v>
      </c>
      <c r="L4430" s="93">
        <f t="shared" si="594"/>
        <v>0</v>
      </c>
      <c r="M4430" s="95">
        <f t="shared" ca="1" si="595"/>
        <v>0</v>
      </c>
      <c r="N4430" s="95">
        <f>IF(P4430="Hedge Fund",IF(A4430=Summary!$AD$3,M4430-E4430,M4430),IF(A4430=Summary!$AD$3,L4430-D4430,L4430))</f>
        <v>0</v>
      </c>
      <c r="P4430" s="107" t="s">
        <v>155</v>
      </c>
      <c r="Q4430" s="107">
        <v>0</v>
      </c>
      <c r="R4430" s="107">
        <v>0</v>
      </c>
      <c r="S4430" s="107">
        <v>0</v>
      </c>
      <c r="T4430" s="107">
        <v>0</v>
      </c>
      <c r="U4430" s="107"/>
      <c r="V4430" s="107"/>
      <c r="W4430" s="107"/>
      <c r="X4430" s="107"/>
      <c r="Y4430" s="107"/>
      <c r="Z4430" s="107"/>
      <c r="AA4430" s="107"/>
      <c r="AB4430" s="107"/>
      <c r="AF4430" s="94">
        <f t="shared" si="596"/>
        <v>43098</v>
      </c>
      <c r="AG4430" s="185">
        <f t="shared" ref="AG4430:AG4461" si="600">IF(C4430&lt;&gt;C4429,D4430/G4430-1,(D4430-G4430-I4430-H4430)/(D4429)-1)</f>
        <v>-2.5653528189106822E-4</v>
      </c>
      <c r="AH4430" s="339" t="str">
        <f>VLOOKUP(B4430,'MF PF'!A:B,2)</f>
        <v>Coinv</v>
      </c>
      <c r="AI4430" s="358">
        <f t="shared" si="597"/>
        <v>0</v>
      </c>
      <c r="AJ4430" s="94">
        <f t="shared" si="598"/>
        <v>43100</v>
      </c>
    </row>
    <row r="4431" spans="1:36" ht="12.75" customHeight="1">
      <c r="A4431" s="8">
        <v>43131</v>
      </c>
      <c r="B4431" s="94" t="s">
        <v>394</v>
      </c>
      <c r="C4431" s="6" t="s">
        <v>297</v>
      </c>
      <c r="D4431" s="98">
        <v>10117935.5</v>
      </c>
      <c r="E4431" s="9">
        <f t="shared" si="599"/>
        <v>10117935.5</v>
      </c>
      <c r="F4431" s="98"/>
      <c r="G4431" s="98"/>
      <c r="H4431" s="98">
        <v>0</v>
      </c>
      <c r="I4431" s="98">
        <v>-337500</v>
      </c>
      <c r="J4431" s="98"/>
      <c r="K4431" s="93">
        <v>1</v>
      </c>
      <c r="L4431" s="93">
        <f t="shared" si="594"/>
        <v>-337500</v>
      </c>
      <c r="M4431" s="95">
        <f t="shared" ca="1" si="595"/>
        <v>-337500</v>
      </c>
      <c r="N4431" s="95">
        <f>IF(P4431="Hedge Fund",IF(A4431=Summary!$AD$3,M4431-E4431,M4431),IF(A4431=Summary!$AD$3,L4431-D4431,L4431))</f>
        <v>-337500</v>
      </c>
      <c r="P4431" s="107" t="s">
        <v>155</v>
      </c>
      <c r="Q4431" s="107">
        <v>0</v>
      </c>
      <c r="R4431" s="107">
        <v>0</v>
      </c>
      <c r="S4431" s="107">
        <v>0</v>
      </c>
      <c r="T4431" s="107">
        <v>0</v>
      </c>
      <c r="U4431" s="107"/>
      <c r="V4431" s="107"/>
      <c r="W4431" s="107"/>
      <c r="X4431" s="107"/>
      <c r="Y4431" s="107"/>
      <c r="Z4431" s="107"/>
      <c r="AA4431" s="107"/>
      <c r="AB4431" s="107"/>
      <c r="AF4431" s="94">
        <f t="shared" si="596"/>
        <v>43131</v>
      </c>
      <c r="AG4431" s="185">
        <f t="shared" si="600"/>
        <v>3.4126731934222443E-2</v>
      </c>
      <c r="AH4431" s="339" t="str">
        <f>VLOOKUP(B4431,'MF PF'!A:B,2)</f>
        <v>Coinv</v>
      </c>
      <c r="AI4431" s="358">
        <f t="shared" si="597"/>
        <v>0</v>
      </c>
      <c r="AJ4431" s="94">
        <f t="shared" si="598"/>
        <v>43131</v>
      </c>
    </row>
    <row r="4432" spans="1:36" ht="12.75" customHeight="1">
      <c r="A4432" s="8">
        <v>43159</v>
      </c>
      <c r="B4432" s="94" t="s">
        <v>394</v>
      </c>
      <c r="C4432" s="6" t="s">
        <v>297</v>
      </c>
      <c r="D4432" s="98">
        <v>10203462.119999999</v>
      </c>
      <c r="E4432" s="9">
        <f t="shared" si="599"/>
        <v>10203462.119999999</v>
      </c>
      <c r="F4432" s="98"/>
      <c r="G4432" s="98"/>
      <c r="H4432" s="98">
        <v>0</v>
      </c>
      <c r="I4432" s="98">
        <v>0</v>
      </c>
      <c r="J4432" s="98"/>
      <c r="K4432" s="93">
        <v>1</v>
      </c>
      <c r="L4432" s="93">
        <f t="shared" si="594"/>
        <v>0</v>
      </c>
      <c r="M4432" s="95">
        <f t="shared" ca="1" si="595"/>
        <v>0</v>
      </c>
      <c r="N4432" s="95">
        <f>IF(P4432="Hedge Fund",IF(A4432=Summary!$AD$3,M4432-E4432,M4432),IF(A4432=Summary!$AD$3,L4432-D4432,L4432))</f>
        <v>0</v>
      </c>
      <c r="P4432" s="107" t="s">
        <v>155</v>
      </c>
      <c r="Q4432" s="107">
        <v>0</v>
      </c>
      <c r="R4432" s="107">
        <v>0</v>
      </c>
      <c r="S4432" s="107">
        <v>0</v>
      </c>
      <c r="T4432" s="107">
        <v>0</v>
      </c>
      <c r="U4432" s="107"/>
      <c r="V4432" s="107"/>
      <c r="W4432" s="107"/>
      <c r="X4432" s="107"/>
      <c r="Y4432" s="107"/>
      <c r="Z4432" s="107"/>
      <c r="AA4432" s="107"/>
      <c r="AB4432" s="107"/>
      <c r="AF4432" s="94">
        <f t="shared" si="596"/>
        <v>43159</v>
      </c>
      <c r="AG4432" s="185">
        <f t="shared" si="600"/>
        <v>8.4529714584560267E-3</v>
      </c>
      <c r="AH4432" s="339" t="str">
        <f>VLOOKUP(B4432,'MF PF'!A:B,2)</f>
        <v>Coinv</v>
      </c>
      <c r="AI4432" s="358">
        <f t="shared" si="597"/>
        <v>0</v>
      </c>
      <c r="AJ4432" s="94">
        <f t="shared" si="598"/>
        <v>43159</v>
      </c>
    </row>
    <row r="4433" spans="1:36" ht="12.75" customHeight="1">
      <c r="A4433" s="8">
        <v>43188</v>
      </c>
      <c r="B4433" s="94" t="s">
        <v>394</v>
      </c>
      <c r="C4433" s="6" t="s">
        <v>297</v>
      </c>
      <c r="D4433" s="110">
        <v>10310951.2764144</v>
      </c>
      <c r="E4433" s="9">
        <f t="shared" si="599"/>
        <v>10310951.2764144</v>
      </c>
      <c r="F4433" s="98"/>
      <c r="G4433" s="98"/>
      <c r="H4433" s="98">
        <v>0</v>
      </c>
      <c r="I4433" s="98">
        <v>0</v>
      </c>
      <c r="J4433" s="98"/>
      <c r="K4433" s="93">
        <v>1</v>
      </c>
      <c r="L4433" s="93">
        <f t="shared" si="594"/>
        <v>0</v>
      </c>
      <c r="M4433" s="95">
        <f t="shared" ca="1" si="595"/>
        <v>0</v>
      </c>
      <c r="N4433" s="95">
        <f>IF(P4433="Hedge Fund",IF(A4433=Summary!$AD$3,M4433-E4433,M4433),IF(A4433=Summary!$AD$3,L4433-D4433,L4433))</f>
        <v>0</v>
      </c>
      <c r="P4433" s="107" t="s">
        <v>155</v>
      </c>
      <c r="Q4433" s="107">
        <v>0</v>
      </c>
      <c r="R4433" s="107">
        <v>0</v>
      </c>
      <c r="S4433" s="107">
        <v>0</v>
      </c>
      <c r="T4433" s="107">
        <v>0</v>
      </c>
      <c r="U4433" s="107"/>
      <c r="V4433" s="107"/>
      <c r="W4433" s="107"/>
      <c r="X4433" s="107"/>
      <c r="Y4433" s="107"/>
      <c r="Z4433" s="107"/>
      <c r="AA4433" s="107"/>
      <c r="AB4433" s="107"/>
      <c r="AF4433" s="94">
        <f t="shared" si="596"/>
        <v>43188</v>
      </c>
      <c r="AG4433" s="185">
        <f t="shared" si="600"/>
        <v>1.0534576906372717E-2</v>
      </c>
      <c r="AH4433" s="339" t="str">
        <f>VLOOKUP(B4433,'MF PF'!A:B,2)</f>
        <v>Coinv</v>
      </c>
      <c r="AI4433" s="358">
        <f t="shared" si="597"/>
        <v>0</v>
      </c>
      <c r="AJ4433" s="94">
        <f t="shared" si="598"/>
        <v>43190</v>
      </c>
    </row>
    <row r="4434" spans="1:36" ht="12.75" customHeight="1">
      <c r="A4434" s="8">
        <v>43220</v>
      </c>
      <c r="B4434" s="94" t="s">
        <v>394</v>
      </c>
      <c r="C4434" s="6" t="s">
        <v>297</v>
      </c>
      <c r="D4434" s="110">
        <v>10095913.02</v>
      </c>
      <c r="E4434" s="9">
        <f t="shared" si="599"/>
        <v>10095913.02</v>
      </c>
      <c r="F4434" s="98"/>
      <c r="G4434" s="98"/>
      <c r="H4434" s="98">
        <v>0</v>
      </c>
      <c r="I4434" s="98">
        <v>-337500</v>
      </c>
      <c r="J4434" s="98"/>
      <c r="K4434" s="93">
        <v>1</v>
      </c>
      <c r="L4434" s="93">
        <f t="shared" si="594"/>
        <v>-337500</v>
      </c>
      <c r="M4434" s="95">
        <f t="shared" ca="1" si="595"/>
        <v>-337500</v>
      </c>
      <c r="N4434" s="95">
        <f>IF(P4434="Hedge Fund",IF(A4434=Summary!$AD$3,M4434-E4434,M4434),IF(A4434=Summary!$AD$3,L4434-D4434,L4434))</f>
        <v>-337500</v>
      </c>
      <c r="P4434" s="107" t="s">
        <v>155</v>
      </c>
      <c r="Q4434" s="107">
        <v>0</v>
      </c>
      <c r="R4434" s="107">
        <v>0</v>
      </c>
      <c r="S4434" s="107">
        <v>0</v>
      </c>
      <c r="T4434" s="107">
        <v>0</v>
      </c>
      <c r="U4434" s="107"/>
      <c r="V4434" s="107"/>
      <c r="W4434" s="107"/>
      <c r="X4434" s="107"/>
      <c r="Y4434" s="107"/>
      <c r="Z4434" s="107"/>
      <c r="AA4434" s="107"/>
      <c r="AB4434" s="107"/>
      <c r="AF4434" s="94">
        <f t="shared" si="596"/>
        <v>43220</v>
      </c>
      <c r="AG4434" s="185">
        <f t="shared" si="600"/>
        <v>1.1876861824158036E-2</v>
      </c>
      <c r="AH4434" s="339" t="str">
        <f>VLOOKUP(B4434,'MF PF'!A:B,2)</f>
        <v>Coinv</v>
      </c>
      <c r="AI4434" s="358">
        <f t="shared" si="597"/>
        <v>0</v>
      </c>
      <c r="AJ4434" s="94">
        <f t="shared" si="598"/>
        <v>43220</v>
      </c>
    </row>
    <row r="4435" spans="1:36" ht="12.75" customHeight="1">
      <c r="A4435" s="8">
        <v>43251</v>
      </c>
      <c r="B4435" s="358" t="s">
        <v>394</v>
      </c>
      <c r="C4435" s="6" t="s">
        <v>297</v>
      </c>
      <c r="D4435" s="110">
        <v>10212787.85</v>
      </c>
      <c r="E4435" s="9">
        <f t="shared" si="599"/>
        <v>10212787.85</v>
      </c>
      <c r="F4435" s="98"/>
      <c r="G4435" s="98"/>
      <c r="H4435" s="98">
        <v>0</v>
      </c>
      <c r="I4435" s="98">
        <v>0</v>
      </c>
      <c r="J4435" s="98"/>
      <c r="K4435" s="93">
        <v>1</v>
      </c>
      <c r="L4435" s="93">
        <f t="shared" si="594"/>
        <v>0</v>
      </c>
      <c r="M4435" s="95">
        <f t="shared" ca="1" si="595"/>
        <v>0</v>
      </c>
      <c r="N4435" s="95">
        <f>IF(P4435="Hedge Fund",IF(A4435=Summary!$AD$3,M4435-E4435,M4435),IF(A4435=Summary!$AD$3,L4435-D4435,L4435))</f>
        <v>0</v>
      </c>
      <c r="P4435" s="107" t="s">
        <v>155</v>
      </c>
      <c r="Q4435" s="107">
        <v>0</v>
      </c>
      <c r="R4435" s="107">
        <v>0</v>
      </c>
      <c r="S4435" s="107">
        <v>0</v>
      </c>
      <c r="T4435" s="107">
        <v>0</v>
      </c>
      <c r="U4435" s="107"/>
      <c r="V4435" s="107"/>
      <c r="W4435" s="107"/>
      <c r="X4435" s="107"/>
      <c r="Y4435" s="107"/>
      <c r="Z4435" s="107"/>
      <c r="AA4435" s="107"/>
      <c r="AB4435" s="107"/>
      <c r="AF4435" s="94">
        <f t="shared" si="596"/>
        <v>43251</v>
      </c>
      <c r="AG4435" s="185">
        <f t="shared" si="600"/>
        <v>1.1576449774128417E-2</v>
      </c>
      <c r="AH4435" s="339" t="str">
        <f>VLOOKUP(B4435,'MF PF'!A:B,2)</f>
        <v>Coinv</v>
      </c>
      <c r="AI4435" s="358">
        <f t="shared" si="597"/>
        <v>0</v>
      </c>
      <c r="AJ4435" s="94">
        <f t="shared" si="598"/>
        <v>43251</v>
      </c>
    </row>
    <row r="4436" spans="1:36" ht="12.75" customHeight="1">
      <c r="A4436" s="8">
        <v>43280</v>
      </c>
      <c r="B4436" s="358" t="s">
        <v>394</v>
      </c>
      <c r="C4436" s="6" t="s">
        <v>297</v>
      </c>
      <c r="D4436" s="110">
        <v>10323346.939999999</v>
      </c>
      <c r="E4436" s="9">
        <f t="shared" si="599"/>
        <v>10323346.939999999</v>
      </c>
      <c r="F4436" s="98"/>
      <c r="G4436" s="98"/>
      <c r="H4436" s="98">
        <v>0</v>
      </c>
      <c r="I4436" s="98">
        <v>0</v>
      </c>
      <c r="J4436" s="98"/>
      <c r="K4436" s="93">
        <v>1</v>
      </c>
      <c r="L4436" s="93">
        <f t="shared" si="594"/>
        <v>0</v>
      </c>
      <c r="M4436" s="95">
        <f t="shared" ca="1" si="595"/>
        <v>0</v>
      </c>
      <c r="N4436" s="95">
        <f>IF(P4436="Hedge Fund",IF(A4436=Summary!$AD$3,M4436-E4436,M4436),IF(A4436=Summary!$AD$3,L4436-D4436,L4436))</f>
        <v>0</v>
      </c>
      <c r="P4436" s="107" t="s">
        <v>155</v>
      </c>
      <c r="Q4436" s="107">
        <v>0</v>
      </c>
      <c r="R4436" s="107">
        <v>0</v>
      </c>
      <c r="S4436" s="107">
        <v>0</v>
      </c>
      <c r="T4436" s="107">
        <v>0</v>
      </c>
      <c r="U4436" s="107"/>
      <c r="V4436" s="107"/>
      <c r="W4436" s="107"/>
      <c r="X4436" s="107"/>
      <c r="Y4436" s="107"/>
      <c r="Z4436" s="107"/>
      <c r="AA4436" s="107"/>
      <c r="AB4436" s="107"/>
      <c r="AF4436" s="94">
        <f t="shared" si="596"/>
        <v>43280</v>
      </c>
      <c r="AG4436" s="185">
        <f t="shared" si="600"/>
        <v>1.0825554356345579E-2</v>
      </c>
      <c r="AH4436" s="339" t="str">
        <f>VLOOKUP(B4436,'MF PF'!A:B,2)</f>
        <v>Coinv</v>
      </c>
      <c r="AI4436" s="358">
        <f t="shared" si="597"/>
        <v>0</v>
      </c>
      <c r="AJ4436" s="94">
        <f t="shared" si="598"/>
        <v>43281</v>
      </c>
    </row>
    <row r="4437" spans="1:36" ht="12.75" customHeight="1">
      <c r="A4437" s="8">
        <v>43312</v>
      </c>
      <c r="B4437" s="358" t="s">
        <v>394</v>
      </c>
      <c r="C4437" s="6" t="s">
        <v>297</v>
      </c>
      <c r="D4437" s="110">
        <v>10105198.85</v>
      </c>
      <c r="E4437" s="9">
        <f t="shared" si="599"/>
        <v>10105198.85</v>
      </c>
      <c r="F4437" s="98"/>
      <c r="G4437" s="98"/>
      <c r="H4437" s="98">
        <v>0</v>
      </c>
      <c r="I4437" s="98">
        <v>-337500</v>
      </c>
      <c r="J4437" s="98"/>
      <c r="K4437" s="93">
        <v>1</v>
      </c>
      <c r="L4437" s="93">
        <f t="shared" si="594"/>
        <v>-337500</v>
      </c>
      <c r="M4437" s="95">
        <f t="shared" ca="1" si="595"/>
        <v>-337500</v>
      </c>
      <c r="N4437" s="95">
        <f>IF(P4437="Hedge Fund",IF(A4437=Summary!$AD$3,M4437-E4437,M4437),IF(A4437=Summary!$AD$3,L4437-D4437,L4437))</f>
        <v>-337500</v>
      </c>
      <c r="P4437" s="107" t="s">
        <v>155</v>
      </c>
      <c r="Q4437" s="107">
        <v>0</v>
      </c>
      <c r="R4437" s="107">
        <v>0</v>
      </c>
      <c r="S4437" s="107">
        <v>0</v>
      </c>
      <c r="T4437" s="107">
        <v>0</v>
      </c>
      <c r="U4437" s="107"/>
      <c r="V4437" s="107"/>
      <c r="W4437" s="107"/>
      <c r="X4437" s="107"/>
      <c r="Y4437" s="107"/>
      <c r="Z4437" s="107"/>
      <c r="AA4437" s="107"/>
      <c r="AB4437" s="107"/>
      <c r="AF4437" s="94">
        <f t="shared" si="596"/>
        <v>43312</v>
      </c>
      <c r="AG4437" s="185">
        <f t="shared" si="600"/>
        <v>1.1561358026004775E-2</v>
      </c>
      <c r="AH4437" s="339" t="str">
        <f>VLOOKUP(B4437,'MF PF'!A:B,2)</f>
        <v>Coinv</v>
      </c>
      <c r="AI4437" s="358">
        <f t="shared" si="597"/>
        <v>0</v>
      </c>
      <c r="AJ4437" s="94">
        <f t="shared" si="598"/>
        <v>43312</v>
      </c>
    </row>
    <row r="4438" spans="1:36" ht="12.75" customHeight="1">
      <c r="A4438" s="8">
        <v>43343</v>
      </c>
      <c r="B4438" s="358" t="s">
        <v>394</v>
      </c>
      <c r="C4438" s="6" t="s">
        <v>297</v>
      </c>
      <c r="D4438" s="110">
        <v>10222181.18</v>
      </c>
      <c r="E4438" s="9">
        <f t="shared" si="599"/>
        <v>10222181.18</v>
      </c>
      <c r="F4438" s="98"/>
      <c r="G4438" s="98"/>
      <c r="H4438" s="98">
        <v>0</v>
      </c>
      <c r="I4438" s="98">
        <v>0</v>
      </c>
      <c r="J4438" s="98"/>
      <c r="K4438" s="93">
        <v>1</v>
      </c>
      <c r="L4438" s="93">
        <f t="shared" si="594"/>
        <v>0</v>
      </c>
      <c r="M4438" s="95">
        <f t="shared" ca="1" si="595"/>
        <v>0</v>
      </c>
      <c r="N4438" s="95">
        <f>IF(P4438="Hedge Fund",IF(A4438=Summary!$AD$3,M4438-E4438,M4438),IF(A4438=Summary!$AD$3,L4438-D4438,L4438))</f>
        <v>0</v>
      </c>
      <c r="P4438" s="107" t="s">
        <v>155</v>
      </c>
      <c r="Q4438" s="107">
        <v>0</v>
      </c>
      <c r="R4438" s="107">
        <v>0</v>
      </c>
      <c r="S4438" s="107">
        <v>0</v>
      </c>
      <c r="T4438" s="107">
        <v>0</v>
      </c>
      <c r="U4438" s="107"/>
      <c r="V4438" s="107"/>
      <c r="W4438" s="107"/>
      <c r="X4438" s="107"/>
      <c r="Y4438" s="107"/>
      <c r="Z4438" s="107"/>
      <c r="AA4438" s="107"/>
      <c r="AB4438" s="107"/>
      <c r="AF4438" s="94">
        <f t="shared" si="596"/>
        <v>43343</v>
      </c>
      <c r="AG4438" s="185">
        <f t="shared" si="600"/>
        <v>1.1576450076487221E-2</v>
      </c>
      <c r="AH4438" s="339" t="str">
        <f>VLOOKUP(B4438,'MF PF'!A:B,2)</f>
        <v>Coinv</v>
      </c>
      <c r="AI4438" s="358">
        <f t="shared" si="597"/>
        <v>0</v>
      </c>
      <c r="AJ4438" s="94">
        <f t="shared" si="598"/>
        <v>43343</v>
      </c>
    </row>
    <row r="4439" spans="1:36" ht="12.75" customHeight="1">
      <c r="A4439" s="8">
        <v>43371</v>
      </c>
      <c r="B4439" s="358" t="s">
        <v>394</v>
      </c>
      <c r="C4439" s="6" t="s">
        <v>297</v>
      </c>
      <c r="D4439" s="110">
        <v>10328880.869999999</v>
      </c>
      <c r="E4439" s="9">
        <f t="shared" si="599"/>
        <v>10328880.869999999</v>
      </c>
      <c r="F4439" s="98"/>
      <c r="G4439" s="98"/>
      <c r="H4439" s="98">
        <v>0</v>
      </c>
      <c r="I4439" s="98">
        <v>0</v>
      </c>
      <c r="J4439" s="98"/>
      <c r="K4439" s="93">
        <v>1</v>
      </c>
      <c r="L4439" s="93">
        <f t="shared" si="594"/>
        <v>0</v>
      </c>
      <c r="M4439" s="95">
        <f t="shared" ca="1" si="595"/>
        <v>0</v>
      </c>
      <c r="N4439" s="95">
        <f>IF(P4439="Hedge Fund",IF(A4439=Summary!$AD$3,M4439-E4439,M4439),IF(A4439=Summary!$AD$3,L4439-D4439,L4439))</f>
        <v>0</v>
      </c>
      <c r="P4439" s="107" t="s">
        <v>155</v>
      </c>
      <c r="Q4439" s="107">
        <v>0</v>
      </c>
      <c r="R4439" s="107">
        <v>0</v>
      </c>
      <c r="S4439" s="107">
        <v>0</v>
      </c>
      <c r="T4439" s="107">
        <v>0</v>
      </c>
      <c r="U4439" s="107"/>
      <c r="V4439" s="107"/>
      <c r="W4439" s="107"/>
      <c r="X4439" s="107"/>
      <c r="Y4439" s="107"/>
      <c r="Z4439" s="107"/>
      <c r="AA4439" s="107"/>
      <c r="AB4439" s="107"/>
      <c r="AF4439" s="94">
        <f t="shared" si="596"/>
        <v>43371</v>
      </c>
      <c r="AG4439" s="185">
        <f t="shared" si="600"/>
        <v>1.0438055060964846E-2</v>
      </c>
      <c r="AH4439" s="339" t="str">
        <f>VLOOKUP(B4439,'MF PF'!A:B,2)</f>
        <v>Coinv</v>
      </c>
      <c r="AI4439" s="358">
        <f t="shared" si="597"/>
        <v>0</v>
      </c>
      <c r="AJ4439" s="94">
        <f t="shared" si="598"/>
        <v>43373</v>
      </c>
    </row>
    <row r="4440" spans="1:36" ht="12.75" customHeight="1">
      <c r="A4440" s="8">
        <v>43404</v>
      </c>
      <c r="B4440" s="358" t="s">
        <v>394</v>
      </c>
      <c r="C4440" s="6" t="s">
        <v>297</v>
      </c>
      <c r="D4440" s="110">
        <v>10114553.65</v>
      </c>
      <c r="E4440" s="9">
        <f t="shared" si="599"/>
        <v>10114553.65</v>
      </c>
      <c r="F4440" s="98"/>
      <c r="G4440" s="98"/>
      <c r="H4440" s="98">
        <v>0</v>
      </c>
      <c r="I4440" s="98">
        <v>-337500</v>
      </c>
      <c r="J4440" s="98"/>
      <c r="K4440" s="93">
        <v>1</v>
      </c>
      <c r="L4440" s="93">
        <f t="shared" si="594"/>
        <v>-337500</v>
      </c>
      <c r="M4440" s="95">
        <f t="shared" ca="1" si="595"/>
        <v>-337500</v>
      </c>
      <c r="N4440" s="95">
        <f>IF(P4440="Hedge Fund",IF(A4440=Summary!$AD$3,M4440-E4440,M4440),IF(A4440=Summary!$AD$3,L4440-D4440,L4440))</f>
        <v>-337500</v>
      </c>
      <c r="P4440" s="107" t="s">
        <v>155</v>
      </c>
      <c r="Q4440" s="107">
        <v>0</v>
      </c>
      <c r="R4440" s="107">
        <v>0</v>
      </c>
      <c r="S4440" s="107">
        <v>0</v>
      </c>
      <c r="T4440" s="107">
        <v>0</v>
      </c>
      <c r="U4440" s="107"/>
      <c r="V4440" s="107"/>
      <c r="W4440" s="107"/>
      <c r="X4440" s="107"/>
      <c r="Y4440" s="107"/>
      <c r="Z4440" s="107"/>
      <c r="AA4440" s="107"/>
      <c r="AB4440" s="107"/>
      <c r="AF4440" s="94">
        <f t="shared" si="596"/>
        <v>43404</v>
      </c>
      <c r="AG4440" s="185">
        <f t="shared" si="600"/>
        <v>1.1925084774455419E-2</v>
      </c>
      <c r="AH4440" s="339" t="str">
        <f>VLOOKUP(B4440,'MF PF'!A:B,2)</f>
        <v>Coinv</v>
      </c>
      <c r="AI4440" s="358">
        <f t="shared" si="597"/>
        <v>0</v>
      </c>
      <c r="AJ4440" s="94">
        <f t="shared" si="598"/>
        <v>43404</v>
      </c>
    </row>
    <row r="4441" spans="1:36" ht="12.75" customHeight="1">
      <c r="A4441" s="8">
        <v>43434</v>
      </c>
      <c r="B4441" s="358" t="s">
        <v>394</v>
      </c>
      <c r="C4441" s="6" t="s">
        <v>297</v>
      </c>
      <c r="D4441" s="110">
        <v>10227846.08</v>
      </c>
      <c r="E4441" s="9" t="str">
        <f t="shared" si="599"/>
        <v/>
      </c>
      <c r="F4441" s="93"/>
      <c r="G4441" s="93"/>
      <c r="H4441" s="93"/>
      <c r="I4441" s="93"/>
      <c r="K4441" s="93"/>
      <c r="L4441" s="93">
        <f t="shared" si="594"/>
        <v>0</v>
      </c>
      <c r="M4441" s="95" t="e">
        <f t="shared" ca="1" si="595"/>
        <v>#DIV/0!</v>
      </c>
      <c r="N4441" s="95">
        <f>IF(P4441="Hedge Fund",IF(A4441=Summary!$AD$3,M4441-E4441,M4441),IF(A4441=Summary!$AD$3,L4441-D4441,L4441))</f>
        <v>0</v>
      </c>
      <c r="P4441" s="95" t="s">
        <v>155</v>
      </c>
      <c r="Q4441" s="95"/>
      <c r="R4441" s="95"/>
      <c r="S4441" s="95"/>
      <c r="T4441" s="95"/>
      <c r="U4441" s="95"/>
      <c r="V4441" s="95"/>
      <c r="W4441" s="95"/>
      <c r="X4441" s="95"/>
      <c r="Y4441" s="95"/>
      <c r="Z4441" s="95"/>
      <c r="AA4441" s="95"/>
      <c r="AB4441" s="95"/>
      <c r="AF4441" s="94">
        <f t="shared" si="596"/>
        <v>43434</v>
      </c>
      <c r="AG4441" s="185">
        <f t="shared" si="600"/>
        <v>1.1200932232931393E-2</v>
      </c>
      <c r="AH4441" s="339" t="str">
        <f>VLOOKUP(B4441,'MF PF'!A:B,2)</f>
        <v>Coinv</v>
      </c>
      <c r="AI4441" s="358">
        <f t="shared" si="597"/>
        <v>0</v>
      </c>
      <c r="AJ4441" s="94">
        <f t="shared" si="598"/>
        <v>43434</v>
      </c>
    </row>
    <row r="4442" spans="1:36" ht="12.75" customHeight="1">
      <c r="A4442" s="8">
        <v>43465</v>
      </c>
      <c r="B4442" s="358" t="s">
        <v>394</v>
      </c>
      <c r="C4442" s="6" t="s">
        <v>297</v>
      </c>
      <c r="D4442" s="93">
        <v>10345621.1</v>
      </c>
      <c r="E4442" s="95"/>
      <c r="F4442" s="93"/>
      <c r="G4442" s="93"/>
      <c r="H4442" s="93"/>
      <c r="I4442" s="93"/>
      <c r="K4442" s="93"/>
      <c r="L4442" s="93">
        <f t="shared" si="594"/>
        <v>0</v>
      </c>
      <c r="M4442" s="95" t="e">
        <f t="shared" ca="1" si="595"/>
        <v>#DIV/0!</v>
      </c>
      <c r="N4442" s="95">
        <f>IF(P4442="Hedge Fund",IF(A4442=Summary!$AD$3,M4442-E4442,M4442),IF(A4442=Summary!$AD$3,L4442-D4442,L4442))</f>
        <v>0</v>
      </c>
      <c r="P4442" s="95" t="s">
        <v>155</v>
      </c>
      <c r="Q4442" s="95"/>
      <c r="R4442" s="95"/>
      <c r="S4442" s="95"/>
      <c r="T4442" s="95"/>
      <c r="U4442" s="95"/>
      <c r="V4442" s="95"/>
      <c r="W4442" s="95"/>
      <c r="X4442" s="95"/>
      <c r="Y4442" s="95"/>
      <c r="Z4442" s="95"/>
      <c r="AA4442" s="95"/>
      <c r="AB4442" s="95"/>
      <c r="AF4442" s="94">
        <f t="shared" si="596"/>
        <v>43465</v>
      </c>
      <c r="AG4442" s="185">
        <f t="shared" si="600"/>
        <v>1.1515134181604658E-2</v>
      </c>
      <c r="AH4442" s="339" t="str">
        <f>VLOOKUP(B4442,'MF PF'!A:B,2)</f>
        <v>Coinv</v>
      </c>
      <c r="AI4442" s="358">
        <f t="shared" si="597"/>
        <v>0</v>
      </c>
      <c r="AJ4442" s="94">
        <f t="shared" si="598"/>
        <v>43465</v>
      </c>
    </row>
    <row r="4443" spans="1:36" ht="12.75" customHeight="1">
      <c r="A4443" s="8">
        <v>43496</v>
      </c>
      <c r="B4443" s="358" t="s">
        <v>394</v>
      </c>
      <c r="C4443" s="6" t="s">
        <v>297</v>
      </c>
      <c r="D4443" s="93">
        <v>10123979.609999999</v>
      </c>
      <c r="F4443" s="93"/>
      <c r="G4443" s="93"/>
      <c r="H4443" s="93"/>
      <c r="I4443" s="93">
        <v>-337500</v>
      </c>
      <c r="K4443" s="93"/>
      <c r="L4443" s="93">
        <f t="shared" si="594"/>
        <v>-337500</v>
      </c>
      <c r="M4443" s="95" t="e">
        <f t="shared" ca="1" si="595"/>
        <v>#DIV/0!</v>
      </c>
      <c r="N4443" s="95">
        <f>IF(P4443="Hedge Fund",IF(A4443=Summary!$AD$3,M4443-E4443,M4443),IF(A4443=Summary!$AD$3,L4443-D4443,L4443))</f>
        <v>-10461479.609999999</v>
      </c>
      <c r="P4443" s="95" t="s">
        <v>155</v>
      </c>
      <c r="Q4443" s="95"/>
      <c r="R4443" s="95"/>
      <c r="S4443" s="95"/>
      <c r="T4443" s="95"/>
      <c r="U4443" s="95"/>
      <c r="V4443" s="95"/>
      <c r="W4443" s="95"/>
      <c r="X4443" s="95"/>
      <c r="Y4443" s="95"/>
      <c r="Z4443" s="95"/>
      <c r="AA4443" s="95"/>
      <c r="AB4443" s="95"/>
      <c r="AF4443" s="94">
        <f t="shared" si="596"/>
        <v>43496</v>
      </c>
      <c r="AG4443" s="185">
        <f t="shared" si="600"/>
        <v>1.1198796948014955E-2</v>
      </c>
      <c r="AH4443" s="339" t="str">
        <f>VLOOKUP(B4443,'MF PF'!A:B,2)</f>
        <v>Coinv</v>
      </c>
      <c r="AI4443" s="358">
        <f t="shared" si="597"/>
        <v>0</v>
      </c>
      <c r="AJ4443" s="94">
        <f t="shared" si="598"/>
        <v>43496</v>
      </c>
    </row>
    <row r="4444" spans="1:36" ht="12.75" customHeight="1">
      <c r="A4444" s="8">
        <v>42675</v>
      </c>
      <c r="B4444" s="94" t="s">
        <v>395</v>
      </c>
      <c r="C4444" s="6" t="s">
        <v>297</v>
      </c>
      <c r="D4444" s="98">
        <v>4000000</v>
      </c>
      <c r="E4444" s="9">
        <f t="shared" ref="E4444:E4469" si="601">IF(K4444="","",D4444/K4444)</f>
        <v>4000000</v>
      </c>
      <c r="F4444" s="98"/>
      <c r="G4444" s="98">
        <v>4000000</v>
      </c>
      <c r="H4444" s="98">
        <v>0</v>
      </c>
      <c r="I4444" s="98">
        <v>0</v>
      </c>
      <c r="J4444" s="98"/>
      <c r="K4444" s="93">
        <v>1</v>
      </c>
      <c r="L4444" s="93">
        <f t="shared" si="594"/>
        <v>4000000</v>
      </c>
      <c r="M4444" s="95">
        <f t="shared" ca="1" si="595"/>
        <v>4000000</v>
      </c>
      <c r="N4444" s="95">
        <f>IF(P4444="Hedge Fund",IF(A4444=Summary!$AD$3,M4444-E4444,M4444),IF(A4444=Summary!$AD$3,L4444-D4444,L4444))</f>
        <v>4000000</v>
      </c>
      <c r="P4444" s="107" t="s">
        <v>155</v>
      </c>
      <c r="Q4444" s="107">
        <v>0</v>
      </c>
      <c r="R4444" s="107">
        <v>0</v>
      </c>
      <c r="S4444" s="107">
        <v>0</v>
      </c>
      <c r="T4444" s="107">
        <v>0</v>
      </c>
      <c r="U4444" s="107"/>
      <c r="V4444" s="107"/>
      <c r="W4444" s="107"/>
      <c r="X4444" s="107"/>
      <c r="Y4444" s="107"/>
      <c r="Z4444" s="107"/>
      <c r="AA4444" s="107"/>
      <c r="AB4444" s="107"/>
      <c r="AF4444" s="94">
        <f t="shared" si="596"/>
        <v>42675</v>
      </c>
      <c r="AG4444" s="185">
        <f t="shared" si="600"/>
        <v>-1</v>
      </c>
      <c r="AH4444" s="339" t="str">
        <f>VLOOKUP(B4444,'MF PF'!A:B,2)</f>
        <v>Coinv</v>
      </c>
      <c r="AI4444" s="358">
        <f t="shared" si="597"/>
        <v>0</v>
      </c>
      <c r="AJ4444" s="94">
        <f t="shared" si="598"/>
        <v>42704</v>
      </c>
    </row>
    <row r="4445" spans="1:36" ht="12.75" customHeight="1">
      <c r="A4445" s="8">
        <v>42704</v>
      </c>
      <c r="B4445" s="94" t="s">
        <v>395</v>
      </c>
      <c r="C4445" s="6" t="s">
        <v>297</v>
      </c>
      <c r="D4445" s="98">
        <v>4000000</v>
      </c>
      <c r="E4445" s="9">
        <f t="shared" si="601"/>
        <v>4000000</v>
      </c>
      <c r="F4445" s="98"/>
      <c r="G4445" s="98"/>
      <c r="H4445" s="98">
        <v>0</v>
      </c>
      <c r="I4445" s="98">
        <v>-140000</v>
      </c>
      <c r="J4445" s="98"/>
      <c r="K4445" s="93">
        <v>1</v>
      </c>
      <c r="L4445" s="93">
        <f t="shared" si="594"/>
        <v>-140000</v>
      </c>
      <c r="M4445" s="95">
        <f t="shared" ca="1" si="595"/>
        <v>-140000</v>
      </c>
      <c r="N4445" s="95">
        <f>IF(P4445="Hedge Fund",IF(A4445=Summary!$AD$3,M4445-E4445,M4445),IF(A4445=Summary!$AD$3,L4445-D4445,L4445))</f>
        <v>-140000</v>
      </c>
      <c r="P4445" s="107" t="s">
        <v>155</v>
      </c>
      <c r="Q4445" s="107">
        <v>0</v>
      </c>
      <c r="R4445" s="107">
        <v>0</v>
      </c>
      <c r="S4445" s="107">
        <v>0</v>
      </c>
      <c r="T4445" s="107">
        <v>0</v>
      </c>
      <c r="U4445" s="107"/>
      <c r="V4445" s="107"/>
      <c r="W4445" s="107"/>
      <c r="X4445" s="107"/>
      <c r="Y4445" s="107"/>
      <c r="Z4445" s="107"/>
      <c r="AA4445" s="107"/>
      <c r="AB4445" s="107"/>
      <c r="AF4445" s="94">
        <f t="shared" si="596"/>
        <v>42704</v>
      </c>
      <c r="AG4445" s="185">
        <f t="shared" si="600"/>
        <v>3.499999999999992E-2</v>
      </c>
      <c r="AH4445" s="339" t="str">
        <f>VLOOKUP(B4445,'MF PF'!A:B,2)</f>
        <v>Coinv</v>
      </c>
      <c r="AI4445" s="358">
        <f t="shared" si="597"/>
        <v>0</v>
      </c>
      <c r="AJ4445" s="94">
        <f t="shared" si="598"/>
        <v>42704</v>
      </c>
    </row>
    <row r="4446" spans="1:36" ht="12.75" customHeight="1">
      <c r="A4446" s="8">
        <v>42734</v>
      </c>
      <c r="B4446" s="94" t="s">
        <v>395</v>
      </c>
      <c r="C4446" s="6" t="s">
        <v>297</v>
      </c>
      <c r="D4446" s="98">
        <v>4000000</v>
      </c>
      <c r="E4446" s="9">
        <f t="shared" si="601"/>
        <v>4000000</v>
      </c>
      <c r="F4446" s="98"/>
      <c r="G4446" s="98"/>
      <c r="H4446" s="98">
        <v>0</v>
      </c>
      <c r="I4446" s="98">
        <v>0</v>
      </c>
      <c r="J4446" s="98"/>
      <c r="K4446" s="93">
        <v>1</v>
      </c>
      <c r="L4446" s="93">
        <f t="shared" si="594"/>
        <v>0</v>
      </c>
      <c r="M4446" s="95">
        <f t="shared" ca="1" si="595"/>
        <v>0</v>
      </c>
      <c r="N4446" s="95">
        <f>IF(P4446="Hedge Fund",IF(A4446=Summary!$AD$3,M4446-E4446,M4446),IF(A4446=Summary!$AD$3,L4446-D4446,L4446))</f>
        <v>0</v>
      </c>
      <c r="P4446" s="107" t="s">
        <v>155</v>
      </c>
      <c r="Q4446" s="107">
        <v>0</v>
      </c>
      <c r="R4446" s="107">
        <v>0</v>
      </c>
      <c r="S4446" s="107">
        <v>0</v>
      </c>
      <c r="T4446" s="107">
        <v>0</v>
      </c>
      <c r="U4446" s="107"/>
      <c r="V4446" s="107"/>
      <c r="W4446" s="107"/>
      <c r="X4446" s="107"/>
      <c r="Y4446" s="107"/>
      <c r="Z4446" s="107"/>
      <c r="AA4446" s="107"/>
      <c r="AB4446" s="107"/>
      <c r="AF4446" s="94">
        <f t="shared" si="596"/>
        <v>42734</v>
      </c>
      <c r="AG4446" s="185">
        <f t="shared" si="600"/>
        <v>0</v>
      </c>
      <c r="AH4446" s="339" t="str">
        <f>VLOOKUP(B4446,'MF PF'!A:B,2)</f>
        <v>Coinv</v>
      </c>
      <c r="AI4446" s="358">
        <f t="shared" si="597"/>
        <v>0</v>
      </c>
      <c r="AJ4446" s="94">
        <f t="shared" si="598"/>
        <v>42735</v>
      </c>
    </row>
    <row r="4447" spans="1:36" ht="12.75" customHeight="1">
      <c r="A4447" s="8">
        <v>42762</v>
      </c>
      <c r="B4447" s="94" t="s">
        <v>395</v>
      </c>
      <c r="C4447" s="6" t="s">
        <v>297</v>
      </c>
      <c r="D4447" s="98">
        <v>4000000</v>
      </c>
      <c r="E4447" s="9">
        <f t="shared" si="601"/>
        <v>4000000</v>
      </c>
      <c r="F4447" s="98"/>
      <c r="G4447" s="98"/>
      <c r="H4447" s="98">
        <v>0</v>
      </c>
      <c r="I4447" s="98">
        <v>0</v>
      </c>
      <c r="J4447" s="98"/>
      <c r="K4447" s="93">
        <v>1</v>
      </c>
      <c r="L4447" s="93">
        <f t="shared" si="594"/>
        <v>0</v>
      </c>
      <c r="M4447" s="95">
        <f t="shared" ca="1" si="595"/>
        <v>0</v>
      </c>
      <c r="N4447" s="95">
        <f>IF(P4447="Hedge Fund",IF(A4447=Summary!$AD$3,M4447-E4447,M4447),IF(A4447=Summary!$AD$3,L4447-D4447,L4447))</f>
        <v>0</v>
      </c>
      <c r="P4447" s="107" t="s">
        <v>155</v>
      </c>
      <c r="Q4447" s="107">
        <v>0</v>
      </c>
      <c r="R4447" s="107">
        <v>0</v>
      </c>
      <c r="S4447" s="107">
        <v>0</v>
      </c>
      <c r="T4447" s="107">
        <v>0</v>
      </c>
      <c r="U4447" s="107"/>
      <c r="V4447" s="107"/>
      <c r="W4447" s="107"/>
      <c r="X4447" s="107"/>
      <c r="Y4447" s="107"/>
      <c r="Z4447" s="107"/>
      <c r="AA4447" s="107"/>
      <c r="AB4447" s="107"/>
      <c r="AF4447" s="94">
        <f t="shared" si="596"/>
        <v>42762</v>
      </c>
      <c r="AG4447" s="185">
        <f t="shared" si="600"/>
        <v>0</v>
      </c>
      <c r="AH4447" s="339" t="str">
        <f>VLOOKUP(B4447,'MF PF'!A:B,2)</f>
        <v>Coinv</v>
      </c>
      <c r="AI4447" s="358">
        <f t="shared" si="597"/>
        <v>0</v>
      </c>
      <c r="AJ4447" s="94">
        <f t="shared" si="598"/>
        <v>42766</v>
      </c>
    </row>
    <row r="4448" spans="1:36" ht="12.75" customHeight="1">
      <c r="A4448" s="8">
        <v>42794</v>
      </c>
      <c r="B4448" s="94" t="s">
        <v>395</v>
      </c>
      <c r="C4448" s="6" t="s">
        <v>297</v>
      </c>
      <c r="D4448" s="98">
        <v>4000000</v>
      </c>
      <c r="E4448" s="9">
        <f t="shared" si="601"/>
        <v>4000000</v>
      </c>
      <c r="F4448" s="98"/>
      <c r="G4448" s="98"/>
      <c r="H4448" s="98">
        <v>0</v>
      </c>
      <c r="I4448" s="98">
        <v>-140000</v>
      </c>
      <c r="J4448" s="98"/>
      <c r="K4448" s="93">
        <v>1</v>
      </c>
      <c r="L4448" s="93">
        <f t="shared" si="594"/>
        <v>-140000</v>
      </c>
      <c r="M4448" s="95">
        <f t="shared" ca="1" si="595"/>
        <v>-140000</v>
      </c>
      <c r="N4448" s="95">
        <f>IF(P4448="Hedge Fund",IF(A4448=Summary!$AD$3,M4448-E4448,M4448),IF(A4448=Summary!$AD$3,L4448-D4448,L4448))</f>
        <v>-140000</v>
      </c>
      <c r="P4448" s="107" t="s">
        <v>155</v>
      </c>
      <c r="Q4448" s="107">
        <v>0</v>
      </c>
      <c r="R4448" s="107">
        <v>0</v>
      </c>
      <c r="S4448" s="107">
        <v>0</v>
      </c>
      <c r="T4448" s="107">
        <v>0</v>
      </c>
      <c r="U4448" s="107"/>
      <c r="V4448" s="107"/>
      <c r="W4448" s="107"/>
      <c r="X4448" s="107"/>
      <c r="Y4448" s="107"/>
      <c r="Z4448" s="107"/>
      <c r="AA4448" s="107"/>
      <c r="AB4448" s="107"/>
      <c r="AF4448" s="94">
        <f t="shared" si="596"/>
        <v>42794</v>
      </c>
      <c r="AG4448" s="185">
        <f t="shared" si="600"/>
        <v>3.499999999999992E-2</v>
      </c>
      <c r="AH4448" s="339" t="str">
        <f>VLOOKUP(B4448,'MF PF'!A:B,2)</f>
        <v>Coinv</v>
      </c>
      <c r="AI4448" s="358">
        <f t="shared" si="597"/>
        <v>0</v>
      </c>
      <c r="AJ4448" s="94">
        <f t="shared" si="598"/>
        <v>42794</v>
      </c>
    </row>
    <row r="4449" spans="1:36" ht="12.75" customHeight="1">
      <c r="A4449" s="8">
        <v>42825</v>
      </c>
      <c r="B4449" s="94" t="s">
        <v>395</v>
      </c>
      <c r="C4449" s="6" t="s">
        <v>297</v>
      </c>
      <c r="D4449" s="98">
        <v>4000000</v>
      </c>
      <c r="E4449" s="9">
        <f t="shared" si="601"/>
        <v>4000000</v>
      </c>
      <c r="F4449" s="98"/>
      <c r="G4449" s="98"/>
      <c r="H4449" s="98">
        <v>0</v>
      </c>
      <c r="I4449" s="98">
        <v>0</v>
      </c>
      <c r="J4449" s="98"/>
      <c r="K4449" s="93">
        <v>1</v>
      </c>
      <c r="L4449" s="93">
        <f t="shared" si="594"/>
        <v>0</v>
      </c>
      <c r="M4449" s="95">
        <f t="shared" ca="1" si="595"/>
        <v>0</v>
      </c>
      <c r="N4449" s="95">
        <f>IF(P4449="Hedge Fund",IF(A4449=Summary!$AD$3,M4449-E4449,M4449),IF(A4449=Summary!$AD$3,L4449-D4449,L4449))</f>
        <v>0</v>
      </c>
      <c r="P4449" s="107" t="s">
        <v>155</v>
      </c>
      <c r="Q4449" s="107">
        <v>0</v>
      </c>
      <c r="R4449" s="107">
        <v>0</v>
      </c>
      <c r="S4449" s="107">
        <v>0</v>
      </c>
      <c r="T4449" s="107">
        <v>0</v>
      </c>
      <c r="U4449" s="107"/>
      <c r="V4449" s="107"/>
      <c r="W4449" s="107"/>
      <c r="X4449" s="107"/>
      <c r="Y4449" s="107"/>
      <c r="Z4449" s="107"/>
      <c r="AA4449" s="107"/>
      <c r="AB4449" s="107"/>
      <c r="AF4449" s="94">
        <f t="shared" si="596"/>
        <v>42825</v>
      </c>
      <c r="AG4449" s="185">
        <f t="shared" si="600"/>
        <v>0</v>
      </c>
      <c r="AH4449" s="339" t="str">
        <f>VLOOKUP(B4449,'MF PF'!A:B,2)</f>
        <v>Coinv</v>
      </c>
      <c r="AI4449" s="358">
        <f t="shared" si="597"/>
        <v>0</v>
      </c>
      <c r="AJ4449" s="94">
        <f t="shared" si="598"/>
        <v>42825</v>
      </c>
    </row>
    <row r="4450" spans="1:36" ht="12.75" customHeight="1">
      <c r="A4450" s="8">
        <v>42853</v>
      </c>
      <c r="B4450" s="94" t="s">
        <v>395</v>
      </c>
      <c r="C4450" s="6" t="s">
        <v>297</v>
      </c>
      <c r="D4450" s="98">
        <v>4000000</v>
      </c>
      <c r="E4450" s="95">
        <f t="shared" si="601"/>
        <v>4000000</v>
      </c>
      <c r="F4450" s="98"/>
      <c r="G4450" s="98"/>
      <c r="H4450" s="98">
        <v>0</v>
      </c>
      <c r="I4450" s="98">
        <v>0</v>
      </c>
      <c r="J4450" s="98"/>
      <c r="K4450" s="93">
        <v>1</v>
      </c>
      <c r="L4450" s="93">
        <f t="shared" si="594"/>
        <v>0</v>
      </c>
      <c r="M4450" s="95">
        <f t="shared" ca="1" si="595"/>
        <v>0</v>
      </c>
      <c r="N4450" s="95">
        <f>IF(P4450="Hedge Fund",IF(A4450=Summary!$AD$3,M4450-E4450,M4450),IF(A4450=Summary!$AD$3,L4450-D4450,L4450))</f>
        <v>0</v>
      </c>
      <c r="P4450" s="107" t="s">
        <v>155</v>
      </c>
      <c r="Q4450" s="107">
        <v>0</v>
      </c>
      <c r="R4450" s="107">
        <v>0</v>
      </c>
      <c r="S4450" s="107">
        <v>0</v>
      </c>
      <c r="T4450" s="107">
        <v>0</v>
      </c>
      <c r="U4450" s="107"/>
      <c r="V4450" s="107"/>
      <c r="W4450" s="107"/>
      <c r="X4450" s="107"/>
      <c r="Y4450" s="107"/>
      <c r="Z4450" s="107"/>
      <c r="AA4450" s="107"/>
      <c r="AB4450" s="107"/>
      <c r="AF4450" s="94">
        <f t="shared" si="596"/>
        <v>42853</v>
      </c>
      <c r="AG4450" s="185">
        <f t="shared" si="600"/>
        <v>0</v>
      </c>
      <c r="AH4450" s="339" t="str">
        <f>VLOOKUP(B4450,'MF PF'!A:B,2)</f>
        <v>Coinv</v>
      </c>
      <c r="AI4450" s="358">
        <f t="shared" si="597"/>
        <v>0</v>
      </c>
      <c r="AJ4450" s="94">
        <f t="shared" si="598"/>
        <v>42855</v>
      </c>
    </row>
    <row r="4451" spans="1:36" ht="12.75" customHeight="1">
      <c r="A4451" s="8">
        <v>42886</v>
      </c>
      <c r="B4451" s="94" t="s">
        <v>395</v>
      </c>
      <c r="C4451" s="6" t="s">
        <v>297</v>
      </c>
      <c r="D4451" s="98">
        <v>4000000</v>
      </c>
      <c r="E4451" s="95">
        <f t="shared" si="601"/>
        <v>4000000</v>
      </c>
      <c r="F4451" s="98"/>
      <c r="G4451" s="98"/>
      <c r="H4451" s="98">
        <v>0</v>
      </c>
      <c r="I4451" s="98">
        <v>-140000</v>
      </c>
      <c r="J4451" s="98"/>
      <c r="K4451" s="93">
        <v>1</v>
      </c>
      <c r="L4451" s="93">
        <f t="shared" si="594"/>
        <v>-140000</v>
      </c>
      <c r="M4451" s="95">
        <f t="shared" ca="1" si="595"/>
        <v>-140000</v>
      </c>
      <c r="N4451" s="95">
        <f>IF(P4451="Hedge Fund",IF(A4451=Summary!$AD$3,M4451-E4451,M4451),IF(A4451=Summary!$AD$3,L4451-D4451,L4451))</f>
        <v>-140000</v>
      </c>
      <c r="P4451" s="107" t="s">
        <v>155</v>
      </c>
      <c r="Q4451" s="107">
        <v>0</v>
      </c>
      <c r="R4451" s="107">
        <v>0</v>
      </c>
      <c r="S4451" s="107">
        <v>0</v>
      </c>
      <c r="T4451" s="107">
        <v>0</v>
      </c>
      <c r="U4451" s="107"/>
      <c r="V4451" s="107"/>
      <c r="W4451" s="107"/>
      <c r="X4451" s="107"/>
      <c r="Y4451" s="107"/>
      <c r="Z4451" s="107"/>
      <c r="AA4451" s="107"/>
      <c r="AB4451" s="107"/>
      <c r="AF4451" s="94">
        <f t="shared" si="596"/>
        <v>42886</v>
      </c>
      <c r="AG4451" s="185">
        <f t="shared" si="600"/>
        <v>3.499999999999992E-2</v>
      </c>
      <c r="AH4451" s="339" t="str">
        <f>VLOOKUP(B4451,'MF PF'!A:B,2)</f>
        <v>Coinv</v>
      </c>
      <c r="AI4451" s="358">
        <f t="shared" si="597"/>
        <v>0</v>
      </c>
      <c r="AJ4451" s="94">
        <f t="shared" si="598"/>
        <v>42886</v>
      </c>
    </row>
    <row r="4452" spans="1:36" ht="12.75" customHeight="1">
      <c r="A4452" s="8">
        <v>42916</v>
      </c>
      <c r="B4452" s="94" t="s">
        <v>395</v>
      </c>
      <c r="C4452" s="6" t="s">
        <v>297</v>
      </c>
      <c r="D4452" s="98">
        <v>4000000</v>
      </c>
      <c r="E4452" s="95">
        <f t="shared" si="601"/>
        <v>4000000</v>
      </c>
      <c r="F4452" s="98"/>
      <c r="G4452" s="98"/>
      <c r="H4452" s="98">
        <v>0</v>
      </c>
      <c r="I4452" s="98">
        <v>0</v>
      </c>
      <c r="J4452" s="98"/>
      <c r="K4452" s="93">
        <v>1</v>
      </c>
      <c r="L4452" s="93">
        <f t="shared" si="594"/>
        <v>0</v>
      </c>
      <c r="M4452" s="95">
        <f t="shared" ca="1" si="595"/>
        <v>0</v>
      </c>
      <c r="N4452" s="95">
        <f>IF(P4452="Hedge Fund",IF(A4452=Summary!$AD$3,M4452-E4452,M4452),IF(A4452=Summary!$AD$3,L4452-D4452,L4452))</f>
        <v>0</v>
      </c>
      <c r="P4452" s="107" t="s">
        <v>155</v>
      </c>
      <c r="Q4452" s="107">
        <v>0</v>
      </c>
      <c r="R4452" s="107">
        <v>0</v>
      </c>
      <c r="S4452" s="107">
        <v>0</v>
      </c>
      <c r="T4452" s="107">
        <v>0</v>
      </c>
      <c r="U4452" s="107"/>
      <c r="V4452" s="107"/>
      <c r="W4452" s="107"/>
      <c r="X4452" s="107"/>
      <c r="Y4452" s="107"/>
      <c r="Z4452" s="107"/>
      <c r="AA4452" s="107"/>
      <c r="AB4452" s="107"/>
      <c r="AF4452" s="94">
        <f t="shared" si="596"/>
        <v>42916</v>
      </c>
      <c r="AG4452" s="185">
        <f t="shared" si="600"/>
        <v>0</v>
      </c>
      <c r="AH4452" s="339" t="str">
        <f>VLOOKUP(B4452,'MF PF'!A:B,2)</f>
        <v>Coinv</v>
      </c>
      <c r="AI4452" s="358">
        <f t="shared" si="597"/>
        <v>0</v>
      </c>
      <c r="AJ4452" s="94">
        <f t="shared" si="598"/>
        <v>42916</v>
      </c>
    </row>
    <row r="4453" spans="1:36" ht="12.75" customHeight="1">
      <c r="A4453" s="8">
        <v>42947</v>
      </c>
      <c r="B4453" s="94" t="s">
        <v>395</v>
      </c>
      <c r="C4453" s="6" t="s">
        <v>297</v>
      </c>
      <c r="D4453" s="98">
        <v>4000000</v>
      </c>
      <c r="E4453" s="95">
        <f t="shared" si="601"/>
        <v>4000000</v>
      </c>
      <c r="F4453" s="98"/>
      <c r="G4453" s="98"/>
      <c r="H4453" s="98">
        <v>0</v>
      </c>
      <c r="I4453" s="98">
        <v>0</v>
      </c>
      <c r="J4453" s="98"/>
      <c r="K4453" s="93">
        <v>1</v>
      </c>
      <c r="L4453" s="93">
        <f t="shared" si="594"/>
        <v>0</v>
      </c>
      <c r="M4453" s="95">
        <f t="shared" ca="1" si="595"/>
        <v>0</v>
      </c>
      <c r="N4453" s="95">
        <f>IF(P4453="Hedge Fund",IF(A4453=Summary!$AD$3,M4453-E4453,M4453),IF(A4453=Summary!$AD$3,L4453-D4453,L4453))</f>
        <v>0</v>
      </c>
      <c r="P4453" s="107" t="s">
        <v>155</v>
      </c>
      <c r="Q4453" s="107">
        <v>0</v>
      </c>
      <c r="R4453" s="107">
        <v>0</v>
      </c>
      <c r="S4453" s="107">
        <v>0</v>
      </c>
      <c r="T4453" s="107">
        <v>0</v>
      </c>
      <c r="U4453" s="107"/>
      <c r="V4453" s="107"/>
      <c r="W4453" s="107"/>
      <c r="X4453" s="107"/>
      <c r="Y4453" s="107"/>
      <c r="Z4453" s="107"/>
      <c r="AA4453" s="107"/>
      <c r="AB4453" s="107"/>
      <c r="AF4453" s="94">
        <f t="shared" si="596"/>
        <v>42947</v>
      </c>
      <c r="AG4453" s="185">
        <f t="shared" si="600"/>
        <v>0</v>
      </c>
      <c r="AH4453" s="339" t="str">
        <f>VLOOKUP(B4453,'MF PF'!A:B,2)</f>
        <v>Coinv</v>
      </c>
      <c r="AI4453" s="358">
        <f t="shared" si="597"/>
        <v>0</v>
      </c>
      <c r="AJ4453" s="94">
        <f t="shared" si="598"/>
        <v>42947</v>
      </c>
    </row>
    <row r="4454" spans="1:36" ht="12.75" customHeight="1">
      <c r="A4454" s="8">
        <v>42978</v>
      </c>
      <c r="B4454" s="94" t="s">
        <v>395</v>
      </c>
      <c r="C4454" s="6" t="s">
        <v>297</v>
      </c>
      <c r="D4454" s="98">
        <v>4000000</v>
      </c>
      <c r="E4454" s="95">
        <f t="shared" si="601"/>
        <v>4000000</v>
      </c>
      <c r="F4454" s="98"/>
      <c r="G4454" s="98"/>
      <c r="H4454" s="98">
        <v>0</v>
      </c>
      <c r="I4454" s="98">
        <v>-140000</v>
      </c>
      <c r="J4454" s="98"/>
      <c r="K4454" s="93">
        <v>1</v>
      </c>
      <c r="L4454" s="93">
        <f t="shared" si="594"/>
        <v>-140000</v>
      </c>
      <c r="M4454" s="95">
        <f t="shared" ca="1" si="595"/>
        <v>-140000</v>
      </c>
      <c r="N4454" s="95">
        <f>IF(P4454="Hedge Fund",IF(A4454=Summary!$AD$3,M4454-E4454,M4454),IF(A4454=Summary!$AD$3,L4454-D4454,L4454))</f>
        <v>-140000</v>
      </c>
      <c r="P4454" s="107" t="s">
        <v>155</v>
      </c>
      <c r="Q4454" s="107">
        <v>0</v>
      </c>
      <c r="R4454" s="107">
        <v>0</v>
      </c>
      <c r="S4454" s="107">
        <v>0</v>
      </c>
      <c r="T4454" s="107">
        <v>0</v>
      </c>
      <c r="U4454" s="107"/>
      <c r="V4454" s="107"/>
      <c r="W4454" s="107"/>
      <c r="X4454" s="107"/>
      <c r="Y4454" s="107"/>
      <c r="Z4454" s="107"/>
      <c r="AA4454" s="107"/>
      <c r="AB4454" s="107"/>
      <c r="AF4454" s="94">
        <f t="shared" si="596"/>
        <v>42978</v>
      </c>
      <c r="AG4454" s="185">
        <f t="shared" si="600"/>
        <v>3.499999999999992E-2</v>
      </c>
      <c r="AH4454" s="339" t="str">
        <f>VLOOKUP(B4454,'MF PF'!A:B,2)</f>
        <v>Coinv</v>
      </c>
      <c r="AI4454" s="358">
        <f t="shared" si="597"/>
        <v>0</v>
      </c>
      <c r="AJ4454" s="94">
        <f t="shared" si="598"/>
        <v>42978</v>
      </c>
    </row>
    <row r="4455" spans="1:36" ht="12.75" customHeight="1">
      <c r="A4455" s="8">
        <v>43007</v>
      </c>
      <c r="B4455" s="94" t="s">
        <v>395</v>
      </c>
      <c r="C4455" s="6" t="s">
        <v>297</v>
      </c>
      <c r="D4455" s="98">
        <v>4000000</v>
      </c>
      <c r="E4455" s="95">
        <f t="shared" si="601"/>
        <v>4000000</v>
      </c>
      <c r="F4455" s="98"/>
      <c r="G4455" s="98"/>
      <c r="H4455" s="98">
        <v>0</v>
      </c>
      <c r="I4455" s="98">
        <v>0</v>
      </c>
      <c r="J4455" s="98"/>
      <c r="K4455" s="93">
        <v>1</v>
      </c>
      <c r="L4455" s="93">
        <f t="shared" si="594"/>
        <v>0</v>
      </c>
      <c r="M4455" s="95">
        <f t="shared" ca="1" si="595"/>
        <v>0</v>
      </c>
      <c r="N4455" s="95">
        <f>IF(P4455="Hedge Fund",IF(A4455=Summary!$AD$3,M4455-E4455,M4455),IF(A4455=Summary!$AD$3,L4455-D4455,L4455))</f>
        <v>0</v>
      </c>
      <c r="P4455" s="107" t="s">
        <v>155</v>
      </c>
      <c r="Q4455" s="107">
        <v>0</v>
      </c>
      <c r="R4455" s="107">
        <v>0</v>
      </c>
      <c r="S4455" s="107">
        <v>0</v>
      </c>
      <c r="T4455" s="107">
        <v>0</v>
      </c>
      <c r="U4455" s="107"/>
      <c r="V4455" s="107"/>
      <c r="W4455" s="107"/>
      <c r="X4455" s="107"/>
      <c r="Y4455" s="107"/>
      <c r="Z4455" s="107"/>
      <c r="AA4455" s="107"/>
      <c r="AB4455" s="107"/>
      <c r="AF4455" s="94">
        <f t="shared" si="596"/>
        <v>43007</v>
      </c>
      <c r="AG4455" s="185">
        <f t="shared" si="600"/>
        <v>0</v>
      </c>
      <c r="AH4455" s="339" t="str">
        <f>VLOOKUP(B4455,'MF PF'!A:B,2)</f>
        <v>Coinv</v>
      </c>
      <c r="AI4455" s="358">
        <f t="shared" si="597"/>
        <v>0</v>
      </c>
      <c r="AJ4455" s="94">
        <f t="shared" si="598"/>
        <v>43008</v>
      </c>
    </row>
    <row r="4456" spans="1:36" ht="12.75" customHeight="1">
      <c r="A4456" s="8">
        <v>43039</v>
      </c>
      <c r="B4456" s="94" t="s">
        <v>395</v>
      </c>
      <c r="C4456" s="6" t="s">
        <v>297</v>
      </c>
      <c r="D4456" s="98">
        <v>4000000</v>
      </c>
      <c r="E4456" s="95">
        <f t="shared" si="601"/>
        <v>4000000</v>
      </c>
      <c r="F4456" s="98"/>
      <c r="G4456" s="98"/>
      <c r="H4456" s="98">
        <v>0</v>
      </c>
      <c r="I4456" s="98">
        <v>0</v>
      </c>
      <c r="J4456" s="98"/>
      <c r="K4456" s="93">
        <v>1</v>
      </c>
      <c r="L4456" s="93">
        <f t="shared" si="594"/>
        <v>0</v>
      </c>
      <c r="M4456" s="95">
        <f t="shared" ca="1" si="595"/>
        <v>0</v>
      </c>
      <c r="N4456" s="95">
        <f>IF(P4456="Hedge Fund",IF(A4456=Summary!$AD$3,M4456-E4456,M4456),IF(A4456=Summary!$AD$3,L4456-D4456,L4456))</f>
        <v>0</v>
      </c>
      <c r="P4456" s="107" t="s">
        <v>155</v>
      </c>
      <c r="Q4456" s="107">
        <v>0</v>
      </c>
      <c r="R4456" s="107">
        <v>0</v>
      </c>
      <c r="S4456" s="107">
        <v>0</v>
      </c>
      <c r="T4456" s="107">
        <v>0</v>
      </c>
      <c r="U4456" s="107"/>
      <c r="V4456" s="107"/>
      <c r="W4456" s="107"/>
      <c r="X4456" s="107"/>
      <c r="Y4456" s="107"/>
      <c r="Z4456" s="107"/>
      <c r="AA4456" s="107"/>
      <c r="AB4456" s="107"/>
      <c r="AF4456" s="94">
        <f t="shared" si="596"/>
        <v>43039</v>
      </c>
      <c r="AG4456" s="185">
        <f t="shared" si="600"/>
        <v>0</v>
      </c>
      <c r="AH4456" s="339" t="str">
        <f>VLOOKUP(B4456,'MF PF'!A:B,2)</f>
        <v>Coinv</v>
      </c>
      <c r="AI4456" s="358">
        <f t="shared" si="597"/>
        <v>0</v>
      </c>
      <c r="AJ4456" s="94">
        <f t="shared" si="598"/>
        <v>43039</v>
      </c>
    </row>
    <row r="4457" spans="1:36" ht="12.75" customHeight="1">
      <c r="A4457" s="8">
        <v>43069</v>
      </c>
      <c r="B4457" s="94" t="s">
        <v>395</v>
      </c>
      <c r="C4457" s="6" t="s">
        <v>297</v>
      </c>
      <c r="D4457" s="98">
        <v>4000000</v>
      </c>
      <c r="E4457" s="95">
        <f t="shared" si="601"/>
        <v>4000000</v>
      </c>
      <c r="F4457" s="98"/>
      <c r="G4457" s="98"/>
      <c r="H4457" s="98">
        <v>0</v>
      </c>
      <c r="I4457" s="98">
        <v>-140000</v>
      </c>
      <c r="J4457" s="98"/>
      <c r="K4457" s="93">
        <v>1</v>
      </c>
      <c r="L4457" s="93">
        <f t="shared" si="594"/>
        <v>-140000</v>
      </c>
      <c r="M4457" s="95">
        <f t="shared" ca="1" si="595"/>
        <v>-140000</v>
      </c>
      <c r="N4457" s="95">
        <f>IF(P4457="Hedge Fund",IF(A4457=Summary!$AD$3,M4457-E4457,M4457),IF(A4457=Summary!$AD$3,L4457-D4457,L4457))</f>
        <v>-140000</v>
      </c>
      <c r="P4457" s="107" t="s">
        <v>155</v>
      </c>
      <c r="Q4457" s="107">
        <v>0</v>
      </c>
      <c r="R4457" s="107">
        <v>0</v>
      </c>
      <c r="S4457" s="107">
        <v>0</v>
      </c>
      <c r="T4457" s="107">
        <v>0</v>
      </c>
      <c r="U4457" s="107"/>
      <c r="V4457" s="107"/>
      <c r="W4457" s="107"/>
      <c r="X4457" s="107"/>
      <c r="Y4457" s="107"/>
      <c r="Z4457" s="107"/>
      <c r="AA4457" s="107"/>
      <c r="AB4457" s="107"/>
      <c r="AF4457" s="94">
        <f t="shared" si="596"/>
        <v>43069</v>
      </c>
      <c r="AG4457" s="185">
        <f t="shared" si="600"/>
        <v>3.499999999999992E-2</v>
      </c>
      <c r="AH4457" s="339" t="str">
        <f>VLOOKUP(B4457,'MF PF'!A:B,2)</f>
        <v>Coinv</v>
      </c>
      <c r="AI4457" s="358">
        <f t="shared" si="597"/>
        <v>0</v>
      </c>
      <c r="AJ4457" s="94">
        <f t="shared" si="598"/>
        <v>43069</v>
      </c>
    </row>
    <row r="4458" spans="1:36" ht="12.75" customHeight="1">
      <c r="A4458" s="8">
        <v>43098</v>
      </c>
      <c r="B4458" s="94" t="s">
        <v>395</v>
      </c>
      <c r="C4458" s="6" t="s">
        <v>297</v>
      </c>
      <c r="D4458" s="98">
        <v>4000000</v>
      </c>
      <c r="E4458" s="95">
        <f t="shared" si="601"/>
        <v>4000000</v>
      </c>
      <c r="F4458" s="98"/>
      <c r="G4458" s="98"/>
      <c r="H4458" s="98">
        <v>0</v>
      </c>
      <c r="I4458" s="98">
        <v>0</v>
      </c>
      <c r="J4458" s="98"/>
      <c r="K4458" s="93">
        <v>1</v>
      </c>
      <c r="L4458" s="93">
        <f t="shared" si="594"/>
        <v>0</v>
      </c>
      <c r="M4458" s="95">
        <f t="shared" ca="1" si="595"/>
        <v>0</v>
      </c>
      <c r="N4458" s="95">
        <f>IF(P4458="Hedge Fund",IF(A4458=Summary!$AD$3,M4458-E4458,M4458),IF(A4458=Summary!$AD$3,L4458-D4458,L4458))</f>
        <v>0</v>
      </c>
      <c r="P4458" s="107" t="s">
        <v>155</v>
      </c>
      <c r="Q4458" s="107">
        <v>0</v>
      </c>
      <c r="R4458" s="107">
        <v>0</v>
      </c>
      <c r="S4458" s="107">
        <v>0</v>
      </c>
      <c r="T4458" s="107">
        <v>0</v>
      </c>
      <c r="U4458" s="107"/>
      <c r="V4458" s="107"/>
      <c r="W4458" s="107"/>
      <c r="X4458" s="107"/>
      <c r="Y4458" s="107"/>
      <c r="Z4458" s="107"/>
      <c r="AA4458" s="107"/>
      <c r="AB4458" s="107"/>
      <c r="AF4458" s="94">
        <f t="shared" si="596"/>
        <v>43098</v>
      </c>
      <c r="AG4458" s="185">
        <f t="shared" si="600"/>
        <v>0</v>
      </c>
      <c r="AH4458" s="339" t="str">
        <f>VLOOKUP(B4458,'MF PF'!A:B,2)</f>
        <v>Coinv</v>
      </c>
      <c r="AI4458" s="358">
        <f t="shared" si="597"/>
        <v>0</v>
      </c>
      <c r="AJ4458" s="94">
        <f t="shared" si="598"/>
        <v>43100</v>
      </c>
    </row>
    <row r="4459" spans="1:36" ht="12.75" customHeight="1">
      <c r="A4459" s="8">
        <v>43131</v>
      </c>
      <c r="B4459" s="94" t="s">
        <v>395</v>
      </c>
      <c r="C4459" s="6" t="s">
        <v>297</v>
      </c>
      <c r="D4459" s="98">
        <v>4000000</v>
      </c>
      <c r="E4459" s="95">
        <f t="shared" si="601"/>
        <v>4000000</v>
      </c>
      <c r="F4459" s="98"/>
      <c r="G4459" s="98"/>
      <c r="H4459" s="98">
        <v>0</v>
      </c>
      <c r="I4459" s="98">
        <v>0</v>
      </c>
      <c r="J4459" s="98"/>
      <c r="K4459" s="93">
        <v>1</v>
      </c>
      <c r="L4459" s="93">
        <f t="shared" si="594"/>
        <v>0</v>
      </c>
      <c r="M4459" s="95">
        <f t="shared" ca="1" si="595"/>
        <v>0</v>
      </c>
      <c r="N4459" s="95">
        <f>IF(P4459="Hedge Fund",IF(A4459=Summary!$AD$3,M4459-E4459,M4459),IF(A4459=Summary!$AD$3,L4459-D4459,L4459))</f>
        <v>0</v>
      </c>
      <c r="P4459" s="107" t="s">
        <v>155</v>
      </c>
      <c r="Q4459" s="107">
        <v>0</v>
      </c>
      <c r="R4459" s="107">
        <v>0</v>
      </c>
      <c r="S4459" s="107">
        <v>0</v>
      </c>
      <c r="T4459" s="107">
        <v>0</v>
      </c>
      <c r="U4459" s="107"/>
      <c r="V4459" s="107"/>
      <c r="W4459" s="107"/>
      <c r="X4459" s="107"/>
      <c r="Y4459" s="107"/>
      <c r="Z4459" s="107"/>
      <c r="AA4459" s="107"/>
      <c r="AB4459" s="107"/>
      <c r="AF4459" s="94">
        <f t="shared" si="596"/>
        <v>43131</v>
      </c>
      <c r="AG4459" s="185">
        <f t="shared" si="600"/>
        <v>0</v>
      </c>
      <c r="AH4459" s="339" t="str">
        <f>VLOOKUP(B4459,'MF PF'!A:B,2)</f>
        <v>Coinv</v>
      </c>
      <c r="AI4459" s="358">
        <f t="shared" si="597"/>
        <v>0</v>
      </c>
      <c r="AJ4459" s="94">
        <f t="shared" si="598"/>
        <v>43131</v>
      </c>
    </row>
    <row r="4460" spans="1:36" ht="12.75" customHeight="1">
      <c r="A4460" s="8">
        <v>43159</v>
      </c>
      <c r="B4460" s="94" t="s">
        <v>395</v>
      </c>
      <c r="C4460" s="6" t="s">
        <v>297</v>
      </c>
      <c r="D4460" s="98">
        <v>3932770.77</v>
      </c>
      <c r="E4460" s="95">
        <f t="shared" si="601"/>
        <v>3932770.77</v>
      </c>
      <c r="F4460" s="98"/>
      <c r="G4460" s="98"/>
      <c r="H4460" s="98">
        <v>0</v>
      </c>
      <c r="I4460" s="98">
        <v>-140000</v>
      </c>
      <c r="J4460" s="98"/>
      <c r="K4460" s="93">
        <v>1</v>
      </c>
      <c r="L4460" s="93">
        <f t="shared" si="594"/>
        <v>-140000</v>
      </c>
      <c r="M4460" s="95">
        <f t="shared" ca="1" si="595"/>
        <v>-140000</v>
      </c>
      <c r="N4460" s="95">
        <f>IF(P4460="Hedge Fund",IF(A4460=Summary!$AD$3,M4460-E4460,M4460),IF(A4460=Summary!$AD$3,L4460-D4460,L4460))</f>
        <v>-140000</v>
      </c>
      <c r="P4460" s="107" t="s">
        <v>155</v>
      </c>
      <c r="Q4460" s="107">
        <v>0</v>
      </c>
      <c r="R4460" s="107">
        <v>0</v>
      </c>
      <c r="S4460" s="107">
        <v>0</v>
      </c>
      <c r="T4460" s="107">
        <v>0</v>
      </c>
      <c r="U4460" s="107"/>
      <c r="V4460" s="107"/>
      <c r="W4460" s="107"/>
      <c r="X4460" s="107"/>
      <c r="Y4460" s="107"/>
      <c r="Z4460" s="107"/>
      <c r="AA4460" s="107"/>
      <c r="AB4460" s="107"/>
      <c r="AF4460" s="94">
        <f t="shared" si="596"/>
        <v>43159</v>
      </c>
      <c r="AG4460" s="185">
        <f t="shared" si="600"/>
        <v>1.8192692499999996E-2</v>
      </c>
      <c r="AH4460" s="339" t="str">
        <f>VLOOKUP(B4460,'MF PF'!A:B,2)</f>
        <v>Coinv</v>
      </c>
      <c r="AI4460" s="358">
        <f t="shared" si="597"/>
        <v>0</v>
      </c>
      <c r="AJ4460" s="94">
        <f t="shared" si="598"/>
        <v>43159</v>
      </c>
    </row>
    <row r="4461" spans="1:36" ht="12.75" customHeight="1">
      <c r="A4461" s="8">
        <v>43188</v>
      </c>
      <c r="B4461" s="94" t="s">
        <v>395</v>
      </c>
      <c r="C4461" s="6" t="s">
        <v>297</v>
      </c>
      <c r="D4461" s="110">
        <v>4000000</v>
      </c>
      <c r="E4461" s="95">
        <f t="shared" si="601"/>
        <v>4000000</v>
      </c>
      <c r="F4461" s="98"/>
      <c r="G4461" s="98"/>
      <c r="H4461" s="98">
        <v>0</v>
      </c>
      <c r="I4461" s="98">
        <v>0</v>
      </c>
      <c r="J4461" s="98"/>
      <c r="K4461" s="93">
        <v>1</v>
      </c>
      <c r="L4461" s="93">
        <f t="shared" si="594"/>
        <v>0</v>
      </c>
      <c r="M4461" s="95">
        <f t="shared" ca="1" si="595"/>
        <v>0</v>
      </c>
      <c r="N4461" s="95">
        <f>IF(P4461="Hedge Fund",IF(A4461=Summary!$AD$3,M4461-E4461,M4461),IF(A4461=Summary!$AD$3,L4461-D4461,L4461))</f>
        <v>0</v>
      </c>
      <c r="P4461" s="107" t="s">
        <v>155</v>
      </c>
      <c r="Q4461" s="107">
        <v>0</v>
      </c>
      <c r="R4461" s="107">
        <v>0</v>
      </c>
      <c r="S4461" s="107">
        <v>0</v>
      </c>
      <c r="T4461" s="107">
        <v>0</v>
      </c>
      <c r="U4461" s="107"/>
      <c r="V4461" s="107"/>
      <c r="W4461" s="107"/>
      <c r="X4461" s="107"/>
      <c r="Y4461" s="107"/>
      <c r="Z4461" s="107"/>
      <c r="AA4461" s="107"/>
      <c r="AB4461" s="107"/>
      <c r="AF4461" s="94">
        <f t="shared" si="596"/>
        <v>43188</v>
      </c>
      <c r="AG4461" s="185">
        <f t="shared" si="600"/>
        <v>1.7094622069722121E-2</v>
      </c>
      <c r="AH4461" s="339" t="str">
        <f>VLOOKUP(B4461,'MF PF'!A:B,2)</f>
        <v>Coinv</v>
      </c>
      <c r="AI4461" s="358">
        <f t="shared" si="597"/>
        <v>0</v>
      </c>
      <c r="AJ4461" s="94">
        <f t="shared" si="598"/>
        <v>43190</v>
      </c>
    </row>
    <row r="4462" spans="1:36" ht="12.75" customHeight="1">
      <c r="A4462" s="8">
        <v>43220</v>
      </c>
      <c r="B4462" s="94" t="s">
        <v>395</v>
      </c>
      <c r="C4462" s="6" t="s">
        <v>297</v>
      </c>
      <c r="D4462" s="110">
        <v>4000000</v>
      </c>
      <c r="E4462" s="95">
        <f t="shared" si="601"/>
        <v>4000000</v>
      </c>
      <c r="F4462" s="98"/>
      <c r="G4462" s="98"/>
      <c r="H4462" s="98">
        <v>0</v>
      </c>
      <c r="I4462" s="98">
        <v>0</v>
      </c>
      <c r="J4462" s="98"/>
      <c r="K4462" s="93">
        <v>1</v>
      </c>
      <c r="L4462" s="93">
        <f t="shared" si="594"/>
        <v>0</v>
      </c>
      <c r="M4462" s="95">
        <f t="shared" ca="1" si="595"/>
        <v>0</v>
      </c>
      <c r="N4462" s="95">
        <f>IF(P4462="Hedge Fund",IF(A4462=Summary!$AD$3,M4462-E4462,M4462),IF(A4462=Summary!$AD$3,L4462-D4462,L4462))</f>
        <v>0</v>
      </c>
      <c r="P4462" s="107" t="s">
        <v>155</v>
      </c>
      <c r="Q4462" s="107">
        <v>0</v>
      </c>
      <c r="R4462" s="107">
        <v>0</v>
      </c>
      <c r="S4462" s="107">
        <v>0</v>
      </c>
      <c r="T4462" s="107">
        <v>0</v>
      </c>
      <c r="U4462" s="107"/>
      <c r="V4462" s="107"/>
      <c r="W4462" s="107"/>
      <c r="X4462" s="107"/>
      <c r="Y4462" s="107"/>
      <c r="Z4462" s="107"/>
      <c r="AA4462" s="107"/>
      <c r="AB4462" s="107"/>
      <c r="AF4462" s="94">
        <f t="shared" si="596"/>
        <v>43220</v>
      </c>
      <c r="AG4462" s="185">
        <f t="shared" ref="AG4462:AG4493" si="602">IF(C4462&lt;&gt;C4461,D4462/G4462-1,(D4462-G4462-I4462-H4462)/(D4461)-1)</f>
        <v>0</v>
      </c>
      <c r="AH4462" s="339" t="str">
        <f>VLOOKUP(B4462,'MF PF'!A:B,2)</f>
        <v>Coinv</v>
      </c>
      <c r="AI4462" s="358">
        <f t="shared" si="597"/>
        <v>0</v>
      </c>
      <c r="AJ4462" s="94">
        <f t="shared" si="598"/>
        <v>43220</v>
      </c>
    </row>
    <row r="4463" spans="1:36" ht="12.75" customHeight="1">
      <c r="A4463" s="8">
        <v>43251</v>
      </c>
      <c r="B4463" s="358" t="s">
        <v>395</v>
      </c>
      <c r="C4463" s="6" t="s">
        <v>297</v>
      </c>
      <c r="D4463" s="110">
        <v>4000000</v>
      </c>
      <c r="E4463" s="95">
        <f t="shared" si="601"/>
        <v>4000000</v>
      </c>
      <c r="F4463" s="98"/>
      <c r="G4463" s="98"/>
      <c r="H4463" s="98">
        <v>0</v>
      </c>
      <c r="I4463" s="98">
        <v>-140000</v>
      </c>
      <c r="J4463" s="98"/>
      <c r="K4463" s="93">
        <v>1</v>
      </c>
      <c r="L4463" s="93">
        <f t="shared" si="594"/>
        <v>-140000</v>
      </c>
      <c r="M4463" s="95">
        <f t="shared" ca="1" si="595"/>
        <v>-140000</v>
      </c>
      <c r="N4463" s="95">
        <f>IF(P4463="Hedge Fund",IF(A4463=Summary!$AD$3,M4463-E4463,M4463),IF(A4463=Summary!$AD$3,L4463-D4463,L4463))</f>
        <v>-140000</v>
      </c>
      <c r="P4463" s="107" t="s">
        <v>155</v>
      </c>
      <c r="Q4463" s="107">
        <v>0</v>
      </c>
      <c r="R4463" s="107">
        <v>0</v>
      </c>
      <c r="S4463" s="107">
        <v>0</v>
      </c>
      <c r="T4463" s="107">
        <v>0</v>
      </c>
      <c r="U4463" s="107"/>
      <c r="V4463" s="107"/>
      <c r="W4463" s="107"/>
      <c r="X4463" s="107"/>
      <c r="Y4463" s="107"/>
      <c r="Z4463" s="107"/>
      <c r="AA4463" s="107"/>
      <c r="AB4463" s="107"/>
      <c r="AF4463" s="94">
        <f t="shared" si="596"/>
        <v>43251</v>
      </c>
      <c r="AG4463" s="185">
        <f t="shared" si="602"/>
        <v>3.499999999999992E-2</v>
      </c>
      <c r="AH4463" s="339" t="str">
        <f>VLOOKUP(B4463,'MF PF'!A:B,2)</f>
        <v>Coinv</v>
      </c>
      <c r="AI4463" s="358">
        <f t="shared" si="597"/>
        <v>0</v>
      </c>
      <c r="AJ4463" s="94">
        <f t="shared" si="598"/>
        <v>43251</v>
      </c>
    </row>
    <row r="4464" spans="1:36" ht="12.75" customHeight="1">
      <c r="A4464" s="8">
        <v>43280</v>
      </c>
      <c r="B4464" s="358" t="s">
        <v>395</v>
      </c>
      <c r="C4464" s="6" t="s">
        <v>297</v>
      </c>
      <c r="D4464" s="110">
        <v>4000000</v>
      </c>
      <c r="E4464" s="95">
        <f t="shared" si="601"/>
        <v>4000000</v>
      </c>
      <c r="F4464" s="98"/>
      <c r="G4464" s="98"/>
      <c r="H4464" s="98">
        <v>0</v>
      </c>
      <c r="I4464" s="98">
        <v>0</v>
      </c>
      <c r="J4464" s="98"/>
      <c r="K4464" s="93">
        <v>1</v>
      </c>
      <c r="L4464" s="93">
        <f t="shared" si="594"/>
        <v>0</v>
      </c>
      <c r="M4464" s="95">
        <f t="shared" ca="1" si="595"/>
        <v>0</v>
      </c>
      <c r="N4464" s="95">
        <f>IF(P4464="Hedge Fund",IF(A4464=Summary!$AD$3,M4464-E4464,M4464),IF(A4464=Summary!$AD$3,L4464-D4464,L4464))</f>
        <v>0</v>
      </c>
      <c r="P4464" s="107" t="s">
        <v>155</v>
      </c>
      <c r="Q4464" s="107">
        <v>0</v>
      </c>
      <c r="R4464" s="107">
        <v>0</v>
      </c>
      <c r="S4464" s="107">
        <v>0</v>
      </c>
      <c r="T4464" s="107">
        <v>0</v>
      </c>
      <c r="U4464" s="107"/>
      <c r="V4464" s="107"/>
      <c r="W4464" s="107"/>
      <c r="X4464" s="107"/>
      <c r="Y4464" s="107"/>
      <c r="Z4464" s="107"/>
      <c r="AA4464" s="107"/>
      <c r="AB4464" s="107"/>
      <c r="AF4464" s="94">
        <f t="shared" si="596"/>
        <v>43280</v>
      </c>
      <c r="AG4464" s="185">
        <f t="shared" si="602"/>
        <v>0</v>
      </c>
      <c r="AH4464" s="339" t="str">
        <f>VLOOKUP(B4464,'MF PF'!A:B,2)</f>
        <v>Coinv</v>
      </c>
      <c r="AI4464" s="358">
        <f t="shared" si="597"/>
        <v>0</v>
      </c>
      <c r="AJ4464" s="94">
        <f t="shared" si="598"/>
        <v>43281</v>
      </c>
    </row>
    <row r="4465" spans="1:36" ht="12.75" customHeight="1">
      <c r="A4465" s="8">
        <v>43312</v>
      </c>
      <c r="B4465" s="358" t="s">
        <v>395</v>
      </c>
      <c r="C4465" s="6" t="s">
        <v>297</v>
      </c>
      <c r="D4465" s="110">
        <v>4000000</v>
      </c>
      <c r="E4465" s="95">
        <f t="shared" si="601"/>
        <v>4000000</v>
      </c>
      <c r="F4465" s="98"/>
      <c r="G4465" s="98"/>
      <c r="H4465" s="98">
        <v>0</v>
      </c>
      <c r="I4465" s="98">
        <v>0</v>
      </c>
      <c r="J4465" s="98"/>
      <c r="K4465" s="93">
        <v>1</v>
      </c>
      <c r="L4465" s="93">
        <f t="shared" si="594"/>
        <v>0</v>
      </c>
      <c r="M4465" s="95">
        <f t="shared" ca="1" si="595"/>
        <v>0</v>
      </c>
      <c r="N4465" s="95">
        <f>IF(P4465="Hedge Fund",IF(A4465=Summary!$AD$3,M4465-E4465,M4465),IF(A4465=Summary!$AD$3,L4465-D4465,L4465))</f>
        <v>0</v>
      </c>
      <c r="P4465" s="107" t="s">
        <v>155</v>
      </c>
      <c r="Q4465" s="107">
        <v>0</v>
      </c>
      <c r="R4465" s="107">
        <v>0</v>
      </c>
      <c r="S4465" s="107">
        <v>0</v>
      </c>
      <c r="T4465" s="107">
        <v>0</v>
      </c>
      <c r="U4465" s="107"/>
      <c r="V4465" s="107"/>
      <c r="W4465" s="107"/>
      <c r="X4465" s="107"/>
      <c r="Y4465" s="107"/>
      <c r="Z4465" s="107"/>
      <c r="AA4465" s="107"/>
      <c r="AB4465" s="107"/>
      <c r="AF4465" s="94">
        <f t="shared" si="596"/>
        <v>43312</v>
      </c>
      <c r="AG4465" s="185">
        <f t="shared" si="602"/>
        <v>0</v>
      </c>
      <c r="AH4465" s="339" t="str">
        <f>VLOOKUP(B4465,'MF PF'!A:B,2)</f>
        <v>Coinv</v>
      </c>
      <c r="AI4465" s="358">
        <f t="shared" si="597"/>
        <v>0</v>
      </c>
      <c r="AJ4465" s="94">
        <f t="shared" si="598"/>
        <v>43312</v>
      </c>
    </row>
    <row r="4466" spans="1:36" ht="12.75" customHeight="1">
      <c r="A4466" s="8">
        <v>43343</v>
      </c>
      <c r="B4466" s="358" t="s">
        <v>395</v>
      </c>
      <c r="C4466" s="6" t="s">
        <v>297</v>
      </c>
      <c r="D4466" s="110">
        <v>4000000</v>
      </c>
      <c r="E4466" s="95">
        <f t="shared" si="601"/>
        <v>4000000</v>
      </c>
      <c r="F4466" s="98"/>
      <c r="G4466" s="98"/>
      <c r="H4466" s="98">
        <v>0</v>
      </c>
      <c r="I4466" s="98">
        <v>-140000</v>
      </c>
      <c r="J4466" s="98"/>
      <c r="K4466" s="93">
        <v>1</v>
      </c>
      <c r="L4466" s="93">
        <f t="shared" si="594"/>
        <v>-140000</v>
      </c>
      <c r="M4466" s="95">
        <f t="shared" ca="1" si="595"/>
        <v>-140000</v>
      </c>
      <c r="N4466" s="95">
        <f>IF(P4466="Hedge Fund",IF(A4466=Summary!$AD$3,M4466-E4466,M4466),IF(A4466=Summary!$AD$3,L4466-D4466,L4466))</f>
        <v>-140000</v>
      </c>
      <c r="P4466" s="107" t="s">
        <v>155</v>
      </c>
      <c r="Q4466" s="107">
        <v>0</v>
      </c>
      <c r="R4466" s="107">
        <v>0</v>
      </c>
      <c r="S4466" s="107">
        <v>0</v>
      </c>
      <c r="T4466" s="107">
        <v>0</v>
      </c>
      <c r="U4466" s="107"/>
      <c r="V4466" s="107"/>
      <c r="W4466" s="107"/>
      <c r="X4466" s="107"/>
      <c r="Y4466" s="107"/>
      <c r="Z4466" s="107"/>
      <c r="AA4466" s="107"/>
      <c r="AB4466" s="107"/>
      <c r="AF4466" s="94">
        <f t="shared" si="596"/>
        <v>43343</v>
      </c>
      <c r="AG4466" s="185">
        <f t="shared" si="602"/>
        <v>3.499999999999992E-2</v>
      </c>
      <c r="AH4466" s="339" t="str">
        <f>VLOOKUP(B4466,'MF PF'!A:B,2)</f>
        <v>Coinv</v>
      </c>
      <c r="AI4466" s="358">
        <f t="shared" si="597"/>
        <v>0</v>
      </c>
      <c r="AJ4466" s="94">
        <f t="shared" si="598"/>
        <v>43343</v>
      </c>
    </row>
    <row r="4467" spans="1:36" ht="12.75" customHeight="1">
      <c r="A4467" s="8">
        <v>43371</v>
      </c>
      <c r="B4467" s="358" t="s">
        <v>395</v>
      </c>
      <c r="C4467" s="6" t="s">
        <v>297</v>
      </c>
      <c r="D4467" s="110">
        <v>4000000</v>
      </c>
      <c r="E4467" s="95">
        <f t="shared" si="601"/>
        <v>4000000</v>
      </c>
      <c r="F4467" s="98"/>
      <c r="G4467" s="98"/>
      <c r="H4467" s="98">
        <v>0</v>
      </c>
      <c r="I4467" s="98">
        <v>0</v>
      </c>
      <c r="J4467" s="98"/>
      <c r="K4467" s="93">
        <v>1</v>
      </c>
      <c r="L4467" s="93">
        <f t="shared" si="594"/>
        <v>0</v>
      </c>
      <c r="M4467" s="95">
        <f t="shared" ca="1" si="595"/>
        <v>0</v>
      </c>
      <c r="N4467" s="95">
        <f>IF(P4467="Hedge Fund",IF(A4467=Summary!$AD$3,M4467-E4467,M4467),IF(A4467=Summary!$AD$3,L4467-D4467,L4467))</f>
        <v>0</v>
      </c>
      <c r="P4467" s="107" t="s">
        <v>155</v>
      </c>
      <c r="Q4467" s="107">
        <v>0</v>
      </c>
      <c r="R4467" s="107">
        <v>0</v>
      </c>
      <c r="S4467" s="107">
        <v>0</v>
      </c>
      <c r="T4467" s="107">
        <v>0</v>
      </c>
      <c r="U4467" s="107"/>
      <c r="V4467" s="107"/>
      <c r="W4467" s="107"/>
      <c r="X4467" s="107"/>
      <c r="Y4467" s="107"/>
      <c r="Z4467" s="107"/>
      <c r="AA4467" s="107"/>
      <c r="AB4467" s="107"/>
      <c r="AF4467" s="94">
        <f t="shared" si="596"/>
        <v>43371</v>
      </c>
      <c r="AG4467" s="185">
        <f t="shared" si="602"/>
        <v>0</v>
      </c>
      <c r="AH4467" s="339" t="str">
        <f>VLOOKUP(B4467,'MF PF'!A:B,2)</f>
        <v>Coinv</v>
      </c>
      <c r="AI4467" s="358">
        <f t="shared" si="597"/>
        <v>0</v>
      </c>
      <c r="AJ4467" s="94">
        <f t="shared" si="598"/>
        <v>43373</v>
      </c>
    </row>
    <row r="4468" spans="1:36" ht="12.75" customHeight="1">
      <c r="A4468" s="8">
        <v>43404</v>
      </c>
      <c r="B4468" s="358" t="s">
        <v>395</v>
      </c>
      <c r="C4468" s="6" t="s">
        <v>297</v>
      </c>
      <c r="D4468" s="110">
        <v>4000000</v>
      </c>
      <c r="E4468" s="95">
        <f t="shared" si="601"/>
        <v>4000000</v>
      </c>
      <c r="F4468" s="98"/>
      <c r="G4468" s="98"/>
      <c r="H4468" s="98">
        <v>0</v>
      </c>
      <c r="I4468" s="98">
        <v>0</v>
      </c>
      <c r="J4468" s="98"/>
      <c r="K4468" s="93">
        <v>1</v>
      </c>
      <c r="L4468" s="93">
        <f t="shared" si="594"/>
        <v>0</v>
      </c>
      <c r="M4468" s="95">
        <f t="shared" ca="1" si="595"/>
        <v>0</v>
      </c>
      <c r="N4468" s="95">
        <f>IF(P4468="Hedge Fund",IF(A4468=Summary!$AD$3,M4468-E4468,M4468),IF(A4468=Summary!$AD$3,L4468-D4468,L4468))</f>
        <v>0</v>
      </c>
      <c r="P4468" s="107" t="s">
        <v>155</v>
      </c>
      <c r="Q4468" s="107">
        <v>0</v>
      </c>
      <c r="R4468" s="107">
        <v>0</v>
      </c>
      <c r="S4468" s="107">
        <v>0</v>
      </c>
      <c r="T4468" s="107">
        <v>0</v>
      </c>
      <c r="U4468" s="107"/>
      <c r="V4468" s="107"/>
      <c r="W4468" s="107"/>
      <c r="X4468" s="107"/>
      <c r="Y4468" s="107"/>
      <c r="Z4468" s="107"/>
      <c r="AA4468" s="107"/>
      <c r="AB4468" s="107"/>
      <c r="AF4468" s="94">
        <f t="shared" si="596"/>
        <v>43404</v>
      </c>
      <c r="AG4468" s="185">
        <f t="shared" si="602"/>
        <v>0</v>
      </c>
      <c r="AH4468" s="339" t="str">
        <f>VLOOKUP(B4468,'MF PF'!A:B,2)</f>
        <v>Coinv</v>
      </c>
      <c r="AI4468" s="358">
        <f t="shared" si="597"/>
        <v>0</v>
      </c>
      <c r="AJ4468" s="94">
        <f t="shared" si="598"/>
        <v>43404</v>
      </c>
    </row>
    <row r="4469" spans="1:36" ht="12.75" customHeight="1">
      <c r="A4469" s="8">
        <v>43434</v>
      </c>
      <c r="B4469" s="358" t="s">
        <v>395</v>
      </c>
      <c r="C4469" s="6" t="s">
        <v>297</v>
      </c>
      <c r="D4469" s="110">
        <v>4000000</v>
      </c>
      <c r="E4469" s="95" t="str">
        <f t="shared" si="601"/>
        <v/>
      </c>
      <c r="F4469" s="93"/>
      <c r="G4469" s="93"/>
      <c r="H4469" s="93"/>
      <c r="I4469" s="93">
        <v>-140000</v>
      </c>
      <c r="K4469" s="93"/>
      <c r="L4469" s="93">
        <f t="shared" si="594"/>
        <v>-140000</v>
      </c>
      <c r="M4469" s="95" t="e">
        <f t="shared" ca="1" si="595"/>
        <v>#DIV/0!</v>
      </c>
      <c r="N4469" s="95">
        <f>IF(P4469="Hedge Fund",IF(A4469=Summary!$AD$3,M4469-E4469,M4469),IF(A4469=Summary!$AD$3,L4469-D4469,L4469))</f>
        <v>-140000</v>
      </c>
      <c r="P4469" s="95" t="s">
        <v>155</v>
      </c>
      <c r="Q4469" s="95"/>
      <c r="R4469" s="95"/>
      <c r="S4469" s="95"/>
      <c r="T4469" s="95"/>
      <c r="U4469" s="95"/>
      <c r="V4469" s="95"/>
      <c r="W4469" s="95"/>
      <c r="X4469" s="95"/>
      <c r="Y4469" s="95"/>
      <c r="Z4469" s="95"/>
      <c r="AA4469" s="95"/>
      <c r="AB4469" s="95"/>
      <c r="AF4469" s="94">
        <f t="shared" si="596"/>
        <v>43434</v>
      </c>
      <c r="AG4469" s="185">
        <f t="shared" si="602"/>
        <v>3.499999999999992E-2</v>
      </c>
      <c r="AH4469" s="339" t="str">
        <f>VLOOKUP(B4469,'MF PF'!A:B,2)</f>
        <v>Coinv</v>
      </c>
      <c r="AI4469" s="358">
        <f t="shared" si="597"/>
        <v>0</v>
      </c>
      <c r="AJ4469" s="94">
        <f t="shared" si="598"/>
        <v>43434</v>
      </c>
    </row>
    <row r="4470" spans="1:36" ht="12.75" customHeight="1">
      <c r="A4470" s="8">
        <v>43465</v>
      </c>
      <c r="B4470" s="358" t="s">
        <v>395</v>
      </c>
      <c r="C4470" s="6" t="s">
        <v>297</v>
      </c>
      <c r="D4470" s="110">
        <v>4000000</v>
      </c>
      <c r="E4470" s="95"/>
      <c r="F4470" s="93"/>
      <c r="G4470" s="93"/>
      <c r="H4470" s="93"/>
      <c r="I4470" s="93"/>
      <c r="K4470" s="93"/>
      <c r="L4470" s="93">
        <f t="shared" si="594"/>
        <v>0</v>
      </c>
      <c r="M4470" s="95" t="e">
        <f t="shared" ca="1" si="595"/>
        <v>#DIV/0!</v>
      </c>
      <c r="N4470" s="95">
        <f>IF(P4470="Hedge Fund",IF(A4470=Summary!$AD$3,M4470-E4470,M4470),IF(A4470=Summary!$AD$3,L4470-D4470,L4470))</f>
        <v>0</v>
      </c>
      <c r="P4470" s="95" t="s">
        <v>155</v>
      </c>
      <c r="Q4470" s="95"/>
      <c r="R4470" s="95"/>
      <c r="S4470" s="95"/>
      <c r="T4470" s="95"/>
      <c r="U4470" s="95"/>
      <c r="V4470" s="95"/>
      <c r="W4470" s="95"/>
      <c r="X4470" s="95"/>
      <c r="Y4470" s="95"/>
      <c r="Z4470" s="95"/>
      <c r="AA4470" s="95"/>
      <c r="AB4470" s="95"/>
      <c r="AF4470" s="94">
        <f t="shared" si="596"/>
        <v>43465</v>
      </c>
      <c r="AG4470" s="185">
        <f t="shared" si="602"/>
        <v>0</v>
      </c>
      <c r="AH4470" s="339" t="str">
        <f>VLOOKUP(B4470,'MF PF'!A:B,2)</f>
        <v>Coinv</v>
      </c>
      <c r="AI4470" s="358">
        <f t="shared" si="597"/>
        <v>0</v>
      </c>
      <c r="AJ4470" s="94">
        <f t="shared" si="598"/>
        <v>43465</v>
      </c>
    </row>
    <row r="4471" spans="1:36" ht="12.75" customHeight="1">
      <c r="A4471" s="8">
        <v>43496</v>
      </c>
      <c r="B4471" s="358" t="s">
        <v>395</v>
      </c>
      <c r="C4471" s="6" t="s">
        <v>297</v>
      </c>
      <c r="D4471" s="110">
        <v>4000000</v>
      </c>
      <c r="E4471" s="95"/>
      <c r="F4471" s="93"/>
      <c r="G4471" s="93"/>
      <c r="H4471" s="93"/>
      <c r="I4471" s="93">
        <v>-140000</v>
      </c>
      <c r="K4471" s="93"/>
      <c r="L4471" s="93">
        <f t="shared" si="594"/>
        <v>-140000</v>
      </c>
      <c r="M4471" s="95" t="e">
        <f t="shared" ca="1" si="595"/>
        <v>#DIV/0!</v>
      </c>
      <c r="N4471" s="95">
        <f>IF(P4471="Hedge Fund",IF(A4471=Summary!$AD$3,M4471-E4471,M4471),IF(A4471=Summary!$AD$3,L4471-D4471,L4471))</f>
        <v>-4140000</v>
      </c>
      <c r="P4471" s="95" t="s">
        <v>155</v>
      </c>
      <c r="Q4471" s="95"/>
      <c r="R4471" s="95"/>
      <c r="S4471" s="95"/>
      <c r="T4471" s="95"/>
      <c r="U4471" s="95"/>
      <c r="V4471" s="95"/>
      <c r="W4471" s="95"/>
      <c r="X4471" s="95"/>
      <c r="Y4471" s="95"/>
      <c r="Z4471" s="95"/>
      <c r="AA4471" s="95"/>
      <c r="AB4471" s="95"/>
      <c r="AF4471" s="94">
        <f t="shared" si="596"/>
        <v>43496</v>
      </c>
      <c r="AG4471" s="185">
        <f t="shared" si="602"/>
        <v>3.499999999999992E-2</v>
      </c>
      <c r="AH4471" s="339" t="str">
        <f>VLOOKUP(B4471,'MF PF'!A:B,2)</f>
        <v>Coinv</v>
      </c>
      <c r="AI4471" s="358">
        <f t="shared" si="597"/>
        <v>0</v>
      </c>
      <c r="AJ4471" s="94">
        <f t="shared" si="598"/>
        <v>43496</v>
      </c>
    </row>
    <row r="4472" spans="1:36" ht="12.75" customHeight="1">
      <c r="A4472" s="8">
        <v>42487</v>
      </c>
      <c r="B4472" s="94" t="s">
        <v>408</v>
      </c>
      <c r="C4472" s="6" t="s">
        <v>297</v>
      </c>
      <c r="D4472" s="98">
        <v>30000000</v>
      </c>
      <c r="E4472" s="95">
        <f t="shared" ref="E4472:E4499" si="603">IF(K4472="","",D4472/K4472)</f>
        <v>30000000</v>
      </c>
      <c r="F4472" s="98"/>
      <c r="G4472" s="98">
        <v>30000000</v>
      </c>
      <c r="H4472" s="98">
        <v>0</v>
      </c>
      <c r="I4472" s="98">
        <v>0</v>
      </c>
      <c r="J4472" s="98"/>
      <c r="K4472" s="93">
        <v>1</v>
      </c>
      <c r="L4472" s="93">
        <f t="shared" si="594"/>
        <v>30000000</v>
      </c>
      <c r="M4472" s="95">
        <f t="shared" ca="1" si="595"/>
        <v>30000000</v>
      </c>
      <c r="N4472" s="95">
        <f>IF(P4472="Hedge Fund",IF(A4472=Summary!$AD$3,M4472-E4472,M4472),IF(A4472=Summary!$AD$3,L4472-D4472,L4472))</f>
        <v>30000000</v>
      </c>
      <c r="P4472" s="107" t="s">
        <v>155</v>
      </c>
      <c r="Q4472" s="107">
        <v>0</v>
      </c>
      <c r="R4472" s="107">
        <v>0</v>
      </c>
      <c r="S4472" s="107">
        <v>0</v>
      </c>
      <c r="T4472" s="107">
        <v>0</v>
      </c>
      <c r="U4472" s="107"/>
      <c r="V4472" s="107"/>
      <c r="W4472" s="107"/>
      <c r="X4472" s="107"/>
      <c r="Y4472" s="107"/>
      <c r="Z4472" s="107"/>
      <c r="AA4472" s="107"/>
      <c r="AB4472" s="107"/>
      <c r="AF4472" s="94">
        <f t="shared" si="596"/>
        <v>42487</v>
      </c>
      <c r="AG4472" s="185">
        <f t="shared" si="602"/>
        <v>-1</v>
      </c>
      <c r="AH4472" s="339" t="str">
        <f>VLOOKUP(B4472,'MF PF'!A:B,2)</f>
        <v>Coinv</v>
      </c>
      <c r="AI4472" s="358">
        <f t="shared" si="597"/>
        <v>0</v>
      </c>
      <c r="AJ4472" s="94">
        <f t="shared" si="598"/>
        <v>42490</v>
      </c>
    </row>
    <row r="4473" spans="1:36" ht="12.75" customHeight="1">
      <c r="A4473" s="8">
        <v>42489</v>
      </c>
      <c r="B4473" s="94" t="s">
        <v>408</v>
      </c>
      <c r="C4473" s="6" t="s">
        <v>297</v>
      </c>
      <c r="D4473" s="98">
        <v>29999989.285714298</v>
      </c>
      <c r="E4473" s="95">
        <f t="shared" si="603"/>
        <v>29999989.285714298</v>
      </c>
      <c r="F4473" s="98"/>
      <c r="G4473" s="98"/>
      <c r="H4473" s="98">
        <v>0</v>
      </c>
      <c r="I4473" s="98">
        <v>0</v>
      </c>
      <c r="J4473" s="98"/>
      <c r="K4473" s="93">
        <v>1</v>
      </c>
      <c r="L4473" s="93">
        <f t="shared" si="594"/>
        <v>0</v>
      </c>
      <c r="M4473" s="95">
        <f t="shared" ca="1" si="595"/>
        <v>0</v>
      </c>
      <c r="N4473" s="95">
        <f>IF(P4473="Hedge Fund",IF(A4473=Summary!$AD$3,M4473-E4473,M4473),IF(A4473=Summary!$AD$3,L4473-D4473,L4473))</f>
        <v>0</v>
      </c>
      <c r="P4473" s="107" t="s">
        <v>155</v>
      </c>
      <c r="Q4473" s="107">
        <v>0</v>
      </c>
      <c r="R4473" s="107">
        <v>0</v>
      </c>
      <c r="S4473" s="107">
        <v>0</v>
      </c>
      <c r="T4473" s="107">
        <v>0</v>
      </c>
      <c r="U4473" s="107"/>
      <c r="V4473" s="107"/>
      <c r="W4473" s="107"/>
      <c r="X4473" s="107"/>
      <c r="Y4473" s="107"/>
      <c r="Z4473" s="107"/>
      <c r="AA4473" s="107"/>
      <c r="AB4473" s="107"/>
      <c r="AF4473" s="94">
        <f t="shared" si="596"/>
        <v>42489</v>
      </c>
      <c r="AG4473" s="185">
        <f t="shared" si="602"/>
        <v>-3.5714285673282831E-7</v>
      </c>
      <c r="AH4473" s="339" t="str">
        <f>VLOOKUP(B4473,'MF PF'!A:B,2)</f>
        <v>Coinv</v>
      </c>
      <c r="AI4473" s="358">
        <f t="shared" si="597"/>
        <v>0</v>
      </c>
      <c r="AJ4473" s="94">
        <f t="shared" si="598"/>
        <v>42490</v>
      </c>
    </row>
    <row r="4474" spans="1:36" ht="12.75" customHeight="1">
      <c r="A4474" s="8">
        <v>42521</v>
      </c>
      <c r="B4474" s="94" t="s">
        <v>408</v>
      </c>
      <c r="C4474" s="6" t="s">
        <v>297</v>
      </c>
      <c r="D4474" s="98">
        <v>29322203.8983973</v>
      </c>
      <c r="E4474" s="95">
        <f t="shared" si="603"/>
        <v>29322203.8983973</v>
      </c>
      <c r="F4474" s="98"/>
      <c r="G4474" s="98"/>
      <c r="H4474" s="98">
        <v>0</v>
      </c>
      <c r="I4474" s="98">
        <v>-1049999.9999999998</v>
      </c>
      <c r="J4474" s="98"/>
      <c r="K4474" s="93">
        <v>1</v>
      </c>
      <c r="L4474" s="93">
        <f t="shared" si="594"/>
        <v>-1049999.9999999998</v>
      </c>
      <c r="M4474" s="95">
        <f t="shared" ca="1" si="595"/>
        <v>-1049999.9999999998</v>
      </c>
      <c r="N4474" s="95">
        <f>IF(P4474="Hedge Fund",IF(A4474=Summary!$AD$3,M4474-E4474,M4474),IF(A4474=Summary!$AD$3,L4474-D4474,L4474))</f>
        <v>-1049999.9999999998</v>
      </c>
      <c r="P4474" s="107" t="s">
        <v>155</v>
      </c>
      <c r="Q4474" s="107">
        <v>2.3249997892637903E-2</v>
      </c>
      <c r="R4474" s="107">
        <v>2.3249997892637927E-2</v>
      </c>
      <c r="S4474" s="107">
        <v>0</v>
      </c>
      <c r="T4474" s="107">
        <v>0</v>
      </c>
      <c r="U4474" s="107"/>
      <c r="V4474" s="107"/>
      <c r="W4474" s="107"/>
      <c r="X4474" s="107"/>
      <c r="Y4474" s="107"/>
      <c r="Z4474" s="107"/>
      <c r="AA4474" s="107"/>
      <c r="AB4474" s="107"/>
      <c r="AF4474" s="94">
        <f t="shared" si="596"/>
        <v>42521</v>
      </c>
      <c r="AG4474" s="185">
        <f t="shared" si="602"/>
        <v>1.240715818722804E-2</v>
      </c>
      <c r="AH4474" s="339" t="str">
        <f>VLOOKUP(B4474,'MF PF'!A:B,2)</f>
        <v>Coinv</v>
      </c>
      <c r="AI4474" s="358">
        <f t="shared" si="597"/>
        <v>0</v>
      </c>
      <c r="AJ4474" s="94">
        <f t="shared" si="598"/>
        <v>42521</v>
      </c>
    </row>
    <row r="4475" spans="1:36" ht="12.75" customHeight="1">
      <c r="A4475" s="8">
        <v>42551</v>
      </c>
      <c r="B4475" s="94" t="s">
        <v>408</v>
      </c>
      <c r="C4475" s="6" t="s">
        <v>297</v>
      </c>
      <c r="D4475" s="98">
        <v>29650291.704686102</v>
      </c>
      <c r="E4475" s="95">
        <f t="shared" si="603"/>
        <v>29650291.704686102</v>
      </c>
      <c r="F4475" s="98"/>
      <c r="G4475" s="98"/>
      <c r="H4475" s="98">
        <v>0</v>
      </c>
      <c r="I4475" s="98">
        <v>0</v>
      </c>
      <c r="J4475" s="98"/>
      <c r="K4475" s="93">
        <v>1</v>
      </c>
      <c r="L4475" s="93">
        <f t="shared" si="594"/>
        <v>0</v>
      </c>
      <c r="M4475" s="95">
        <f t="shared" ca="1" si="595"/>
        <v>0</v>
      </c>
      <c r="N4475" s="95">
        <f>IF(P4475="Hedge Fund",IF(A4475=Summary!$AD$3,M4475-E4475,M4475),IF(A4475=Summary!$AD$3,L4475-D4475,L4475))</f>
        <v>0</v>
      </c>
      <c r="P4475" s="107" t="s">
        <v>155</v>
      </c>
      <c r="Q4475" s="107">
        <v>2.74057587912887E-2</v>
      </c>
      <c r="R4475" s="107">
        <v>5.0655756683926662E-2</v>
      </c>
      <c r="S4475" s="107">
        <v>0</v>
      </c>
      <c r="T4475" s="107">
        <v>0</v>
      </c>
      <c r="U4475" s="107"/>
      <c r="V4475" s="107"/>
      <c r="W4475" s="107"/>
      <c r="X4475" s="107"/>
      <c r="Y4475" s="107"/>
      <c r="Z4475" s="107"/>
      <c r="AA4475" s="107"/>
      <c r="AB4475" s="107"/>
      <c r="AF4475" s="94">
        <f t="shared" si="596"/>
        <v>42551</v>
      </c>
      <c r="AG4475" s="185">
        <f t="shared" si="602"/>
        <v>1.1189056846669487E-2</v>
      </c>
      <c r="AH4475" s="339" t="str">
        <f>VLOOKUP(B4475,'MF PF'!A:B,2)</f>
        <v>Coinv</v>
      </c>
      <c r="AI4475" s="358">
        <f t="shared" si="597"/>
        <v>0</v>
      </c>
      <c r="AJ4475" s="94">
        <f t="shared" si="598"/>
        <v>42551</v>
      </c>
    </row>
    <row r="4476" spans="1:36" ht="12.75" customHeight="1">
      <c r="A4476" s="8">
        <v>42580</v>
      </c>
      <c r="B4476" s="94" t="s">
        <v>408</v>
      </c>
      <c r="C4476" s="6" t="s">
        <v>297</v>
      </c>
      <c r="D4476" s="98">
        <v>30003938.835981801</v>
      </c>
      <c r="E4476" s="95">
        <f t="shared" si="603"/>
        <v>30003938.835981801</v>
      </c>
      <c r="F4476" s="98"/>
      <c r="G4476" s="98"/>
      <c r="H4476" s="98">
        <v>0</v>
      </c>
      <c r="I4476" s="98">
        <v>0</v>
      </c>
      <c r="J4476" s="98"/>
      <c r="K4476" s="93">
        <v>1</v>
      </c>
      <c r="L4476" s="93">
        <f t="shared" si="594"/>
        <v>0</v>
      </c>
      <c r="M4476" s="95">
        <f t="shared" ca="1" si="595"/>
        <v>0</v>
      </c>
      <c r="N4476" s="95">
        <f>IF(P4476="Hedge Fund",IF(A4476=Summary!$AD$3,M4476-E4476,M4476),IF(A4476=Summary!$AD$3,L4476-D4476,L4476))</f>
        <v>0</v>
      </c>
      <c r="P4476" s="107" t="s">
        <v>155</v>
      </c>
      <c r="Q4476" s="107">
        <v>2.55482077909641E-2</v>
      </c>
      <c r="R4476" s="107">
        <v>7.6203964474890765E-2</v>
      </c>
      <c r="S4476" s="107">
        <v>0</v>
      </c>
      <c r="T4476" s="107">
        <v>0</v>
      </c>
      <c r="U4476" s="107"/>
      <c r="V4476" s="107"/>
      <c r="W4476" s="107"/>
      <c r="X4476" s="107"/>
      <c r="Y4476" s="107"/>
      <c r="Z4476" s="107"/>
      <c r="AA4476" s="107"/>
      <c r="AB4476" s="107"/>
      <c r="AF4476" s="94">
        <f t="shared" si="596"/>
        <v>42580</v>
      </c>
      <c r="AG4476" s="185">
        <f t="shared" si="602"/>
        <v>1.1927273256465476E-2</v>
      </c>
      <c r="AH4476" s="339" t="str">
        <f>VLOOKUP(B4476,'MF PF'!A:B,2)</f>
        <v>Coinv</v>
      </c>
      <c r="AI4476" s="358">
        <f t="shared" si="597"/>
        <v>0</v>
      </c>
      <c r="AJ4476" s="94">
        <f t="shared" si="598"/>
        <v>42582</v>
      </c>
    </row>
    <row r="4477" spans="1:36" ht="12.75" customHeight="1">
      <c r="A4477" s="8">
        <v>42613</v>
      </c>
      <c r="B4477" s="94" t="s">
        <v>408</v>
      </c>
      <c r="C4477" s="6" t="s">
        <v>297</v>
      </c>
      <c r="D4477" s="98">
        <v>29717264.358937398</v>
      </c>
      <c r="E4477" s="95">
        <f t="shared" si="603"/>
        <v>29717264.358937398</v>
      </c>
      <c r="F4477" s="98"/>
      <c r="G4477" s="98"/>
      <c r="H4477" s="98">
        <v>0</v>
      </c>
      <c r="I4477" s="98">
        <v>-700000</v>
      </c>
      <c r="J4477" s="98"/>
      <c r="K4477" s="93">
        <v>1</v>
      </c>
      <c r="L4477" s="93">
        <f t="shared" si="594"/>
        <v>-700000</v>
      </c>
      <c r="M4477" s="95">
        <f t="shared" ca="1" si="595"/>
        <v>-700000</v>
      </c>
      <c r="N4477" s="95">
        <f>IF(P4477="Hedge Fund",IF(A4477=Summary!$AD$3,M4477-E4477,M4477),IF(A4477=Summary!$AD$3,L4477-D4477,L4477))</f>
        <v>-700000</v>
      </c>
      <c r="P4477" s="107" t="s">
        <v>155</v>
      </c>
      <c r="Q4477" s="107">
        <v>2.98506325920645E-2</v>
      </c>
      <c r="R4477" s="107">
        <v>0.10605459706695528</v>
      </c>
      <c r="S4477" s="107">
        <v>0</v>
      </c>
      <c r="T4477" s="107">
        <v>0</v>
      </c>
      <c r="U4477" s="107"/>
      <c r="V4477" s="107"/>
      <c r="W4477" s="107"/>
      <c r="X4477" s="107"/>
      <c r="Y4477" s="107"/>
      <c r="Z4477" s="107"/>
      <c r="AA4477" s="107"/>
      <c r="AB4477" s="107"/>
      <c r="AF4477" s="94">
        <f t="shared" si="596"/>
        <v>42613</v>
      </c>
      <c r="AG4477" s="185">
        <f t="shared" si="602"/>
        <v>1.3775708756609051E-2</v>
      </c>
      <c r="AH4477" s="339" t="str">
        <f>VLOOKUP(B4477,'MF PF'!A:B,2)</f>
        <v>Coinv</v>
      </c>
      <c r="AI4477" s="358">
        <f t="shared" si="597"/>
        <v>0</v>
      </c>
      <c r="AJ4477" s="94">
        <f t="shared" si="598"/>
        <v>42613</v>
      </c>
    </row>
    <row r="4478" spans="1:36" s="358" customFormat="1" ht="12.75" customHeight="1">
      <c r="A4478" s="94">
        <v>42643</v>
      </c>
      <c r="B4478" s="94" t="s">
        <v>408</v>
      </c>
      <c r="C4478" s="358" t="s">
        <v>297</v>
      </c>
      <c r="D4478" s="98">
        <v>29604490.160641208</v>
      </c>
      <c r="E4478" s="95">
        <f t="shared" si="603"/>
        <v>29604490.160641208</v>
      </c>
      <c r="F4478" s="98"/>
      <c r="G4478" s="98"/>
      <c r="H4478" s="98">
        <v>0</v>
      </c>
      <c r="I4478" s="98">
        <v>-350000</v>
      </c>
      <c r="J4478" s="98"/>
      <c r="K4478" s="93">
        <v>1</v>
      </c>
      <c r="L4478" s="93">
        <f t="shared" si="594"/>
        <v>-350000</v>
      </c>
      <c r="M4478" s="95">
        <f t="shared" ca="1" si="595"/>
        <v>-350000</v>
      </c>
      <c r="N4478" s="95">
        <f>IF(P4478="Hedge Fund",IF(A4478=Summary!$AD$3,M4478-E4478,M4478),IF(A4478=Summary!$AD$3,L4478-D4478,L4478))</f>
        <v>-350000</v>
      </c>
      <c r="O4478" s="95"/>
      <c r="P4478" s="107" t="s">
        <v>155</v>
      </c>
      <c r="Q4478" s="107">
        <v>4.1666666666666701E-3</v>
      </c>
      <c r="R4478" s="107">
        <v>0.12329691623627545</v>
      </c>
      <c r="S4478" s="107">
        <v>0</v>
      </c>
      <c r="T4478" s="107">
        <v>0</v>
      </c>
      <c r="U4478" s="107"/>
      <c r="V4478" s="107"/>
      <c r="W4478" s="107"/>
      <c r="X4478" s="107"/>
      <c r="Y4478" s="107"/>
      <c r="Z4478" s="107"/>
      <c r="AA4478" s="107"/>
      <c r="AB4478" s="107"/>
      <c r="AF4478" s="94">
        <f t="shared" si="596"/>
        <v>42643</v>
      </c>
      <c r="AG4478" s="185">
        <f t="shared" si="602"/>
        <v>7.9827604196167634E-3</v>
      </c>
      <c r="AH4478" s="339" t="str">
        <f>VLOOKUP(B4478,'MF PF'!A:B,2)</f>
        <v>Coinv</v>
      </c>
      <c r="AI4478" s="358">
        <f t="shared" si="597"/>
        <v>0</v>
      </c>
      <c r="AJ4478" s="94">
        <f t="shared" si="598"/>
        <v>42643</v>
      </c>
    </row>
    <row r="4479" spans="1:36" ht="12.75" customHeight="1">
      <c r="A4479" s="8">
        <v>42674</v>
      </c>
      <c r="B4479" s="94" t="s">
        <v>408</v>
      </c>
      <c r="C4479" s="6" t="s">
        <v>297</v>
      </c>
      <c r="D4479" s="98">
        <v>30011116.047060501</v>
      </c>
      <c r="E4479" s="95">
        <f t="shared" si="603"/>
        <v>30011116.047060501</v>
      </c>
      <c r="F4479" s="98"/>
      <c r="G4479" s="98"/>
      <c r="H4479" s="98">
        <v>0</v>
      </c>
      <c r="I4479" s="98">
        <v>0</v>
      </c>
      <c r="J4479" s="98"/>
      <c r="K4479" s="93">
        <v>1</v>
      </c>
      <c r="L4479" s="93">
        <f t="shared" si="594"/>
        <v>0</v>
      </c>
      <c r="M4479" s="95">
        <f t="shared" ca="1" si="595"/>
        <v>0</v>
      </c>
      <c r="N4479" s="95">
        <f>IF(P4479="Hedge Fund",IF(A4479=Summary!$AD$3,M4479-E4479,M4479),IF(A4479=Summary!$AD$3,L4479-D4479,L4479))</f>
        <v>0</v>
      </c>
      <c r="P4479" s="107" t="s">
        <v>155</v>
      </c>
      <c r="Q4479" s="107">
        <v>4.3055555555555503E-3</v>
      </c>
      <c r="R4479" s="107">
        <v>0.15264916209162502</v>
      </c>
      <c r="S4479" s="107">
        <v>0</v>
      </c>
      <c r="T4479" s="107">
        <v>0</v>
      </c>
      <c r="U4479" s="107"/>
      <c r="V4479" s="107"/>
      <c r="W4479" s="107"/>
      <c r="X4479" s="107"/>
      <c r="Y4479" s="107"/>
      <c r="Z4479" s="107"/>
      <c r="AA4479" s="107"/>
      <c r="AB4479" s="107"/>
      <c r="AF4479" s="94">
        <f t="shared" si="596"/>
        <v>42674</v>
      </c>
      <c r="AG4479" s="185">
        <f t="shared" si="602"/>
        <v>1.3735277460035222E-2</v>
      </c>
      <c r="AH4479" s="339" t="str">
        <f>VLOOKUP(B4479,'MF PF'!A:B,2)</f>
        <v>Coinv</v>
      </c>
      <c r="AI4479" s="358">
        <f t="shared" si="597"/>
        <v>0</v>
      </c>
      <c r="AJ4479" s="94">
        <f t="shared" si="598"/>
        <v>42674</v>
      </c>
    </row>
    <row r="4480" spans="1:36" ht="12.75" customHeight="1">
      <c r="A4480" s="8">
        <v>42704</v>
      </c>
      <c r="B4480" s="94" t="s">
        <v>408</v>
      </c>
      <c r="C4480" s="6" t="s">
        <v>297</v>
      </c>
      <c r="D4480" s="98">
        <v>29283663</v>
      </c>
      <c r="E4480" s="95">
        <f t="shared" si="603"/>
        <v>29283663</v>
      </c>
      <c r="F4480" s="98"/>
      <c r="G4480" s="98"/>
      <c r="H4480" s="98">
        <v>0</v>
      </c>
      <c r="I4480" s="98">
        <v>-1050000</v>
      </c>
      <c r="J4480" s="98"/>
      <c r="K4480" s="93">
        <v>1</v>
      </c>
      <c r="L4480" s="93">
        <f t="shared" si="594"/>
        <v>-1050000</v>
      </c>
      <c r="M4480" s="95">
        <f t="shared" ca="1" si="595"/>
        <v>-1050000</v>
      </c>
      <c r="N4480" s="95">
        <f>IF(P4480="Hedge Fund",IF(A4480=Summary!$AD$3,M4480-E4480,M4480),IF(A4480=Summary!$AD$3,L4480-D4480,L4480))</f>
        <v>-1050000</v>
      </c>
      <c r="P4480" s="107" t="s">
        <v>155</v>
      </c>
      <c r="Q4480" s="107">
        <v>4.1666666666666701E-3</v>
      </c>
      <c r="R4480" s="107">
        <v>0.17598585617866802</v>
      </c>
      <c r="S4480" s="107">
        <v>0</v>
      </c>
      <c r="T4480" s="107">
        <v>0</v>
      </c>
      <c r="U4480" s="107"/>
      <c r="V4480" s="107"/>
      <c r="W4480" s="107"/>
      <c r="X4480" s="107"/>
      <c r="Y4480" s="107"/>
      <c r="Z4480" s="107"/>
      <c r="AA4480" s="107"/>
      <c r="AB4480" s="107"/>
      <c r="AF4480" s="94">
        <f t="shared" si="596"/>
        <v>42704</v>
      </c>
      <c r="AG4480" s="185">
        <f t="shared" si="602"/>
        <v>1.0747582743464434E-2</v>
      </c>
      <c r="AH4480" s="339" t="str">
        <f>VLOOKUP(B4480,'MF PF'!A:B,2)</f>
        <v>Coinv</v>
      </c>
      <c r="AI4480" s="358">
        <f t="shared" si="597"/>
        <v>0</v>
      </c>
      <c r="AJ4480" s="94">
        <f t="shared" si="598"/>
        <v>42704</v>
      </c>
    </row>
    <row r="4481" spans="1:36" ht="12.75" customHeight="1">
      <c r="A4481" s="8">
        <v>42734</v>
      </c>
      <c r="B4481" s="94" t="s">
        <v>408</v>
      </c>
      <c r="C4481" s="6" t="s">
        <v>297</v>
      </c>
      <c r="D4481" s="98">
        <v>29571609.140000001</v>
      </c>
      <c r="E4481" s="95">
        <f t="shared" si="603"/>
        <v>29571609.140000001</v>
      </c>
      <c r="F4481" s="98"/>
      <c r="G4481" s="98"/>
      <c r="H4481" s="98">
        <v>0</v>
      </c>
      <c r="I4481" s="98">
        <v>0</v>
      </c>
      <c r="J4481" s="98"/>
      <c r="K4481" s="93">
        <v>1</v>
      </c>
      <c r="L4481" s="93">
        <f t="shared" ref="L4481:L4544" si="604">G4481+H4481+I4481</f>
        <v>0</v>
      </c>
      <c r="M4481" s="95">
        <f t="shared" ref="M4481:M4544" ca="1" si="605">IF(A4481&gt;INDIRECT("A"&amp;ROW()-1),I4481/K4481,E4481)</f>
        <v>0</v>
      </c>
      <c r="N4481" s="95">
        <f>IF(P4481="Hedge Fund",IF(A4481=Summary!$AD$3,M4481-E4481,M4481),IF(A4481=Summary!$AD$3,L4481-D4481,L4481))</f>
        <v>0</v>
      </c>
      <c r="P4481" s="107" t="s">
        <v>155</v>
      </c>
      <c r="Q4481" s="107">
        <v>4.1666666666666597E-3</v>
      </c>
      <c r="R4481" s="107">
        <v>0.19685104933018499</v>
      </c>
      <c r="S4481" s="107">
        <v>0</v>
      </c>
      <c r="T4481" s="107">
        <v>0</v>
      </c>
      <c r="U4481" s="107"/>
      <c r="V4481" s="107"/>
      <c r="W4481" s="107"/>
      <c r="X4481" s="107"/>
      <c r="Y4481" s="107"/>
      <c r="Z4481" s="107"/>
      <c r="AA4481" s="107"/>
      <c r="AB4481" s="107"/>
      <c r="AF4481" s="94">
        <f t="shared" ref="AF4481:AF4544" si="606">A4481</f>
        <v>42734</v>
      </c>
      <c r="AG4481" s="185">
        <f t="shared" si="602"/>
        <v>9.8329959609220197E-3</v>
      </c>
      <c r="AH4481" s="339" t="str">
        <f>VLOOKUP(B4481,'MF PF'!A:B,2)</f>
        <v>Coinv</v>
      </c>
      <c r="AI4481" s="358">
        <f t="shared" ref="AI4481:AI4544" si="607">AF4481-A4481</f>
        <v>0</v>
      </c>
      <c r="AJ4481" s="94">
        <f t="shared" ref="AJ4481:AJ4544" si="608">EOMONTH(A4481,0)</f>
        <v>42735</v>
      </c>
    </row>
    <row r="4482" spans="1:36" ht="12.75" customHeight="1">
      <c r="A4482" s="8">
        <v>42762</v>
      </c>
      <c r="B4482" s="94" t="s">
        <v>408</v>
      </c>
      <c r="C4482" s="6" t="s">
        <v>297</v>
      </c>
      <c r="D4482" s="98">
        <v>29849244.050000001</v>
      </c>
      <c r="E4482" s="95">
        <f t="shared" si="603"/>
        <v>29849244.050000001</v>
      </c>
      <c r="F4482" s="98"/>
      <c r="G4482" s="98"/>
      <c r="H4482" s="98">
        <v>0</v>
      </c>
      <c r="I4482" s="98">
        <v>0</v>
      </c>
      <c r="J4482" s="98"/>
      <c r="K4482" s="93">
        <v>1</v>
      </c>
      <c r="L4482" s="93">
        <f t="shared" si="604"/>
        <v>0</v>
      </c>
      <c r="M4482" s="95">
        <f t="shared" ca="1" si="605"/>
        <v>0</v>
      </c>
      <c r="N4482" s="95">
        <f>IF(P4482="Hedge Fund",IF(A4482=Summary!$AD$3,M4482-E4482,M4482),IF(A4482=Summary!$AD$3,L4482-D4482,L4482))</f>
        <v>0</v>
      </c>
      <c r="P4482" s="107" t="s">
        <v>155</v>
      </c>
      <c r="Q4482" s="107">
        <v>3.8888888888888901E-3</v>
      </c>
      <c r="R4482" s="107">
        <v>0.21695989226283702</v>
      </c>
      <c r="S4482" s="107">
        <v>0</v>
      </c>
      <c r="T4482" s="107">
        <v>0</v>
      </c>
      <c r="U4482" s="107"/>
      <c r="V4482" s="107"/>
      <c r="W4482" s="107"/>
      <c r="X4482" s="107"/>
      <c r="Y4482" s="107"/>
      <c r="Z4482" s="107"/>
      <c r="AA4482" s="107"/>
      <c r="AB4482" s="107"/>
      <c r="AF4482" s="94">
        <f t="shared" si="606"/>
        <v>42762</v>
      </c>
      <c r="AG4482" s="185">
        <f t="shared" si="602"/>
        <v>9.3885628166394675E-3</v>
      </c>
      <c r="AH4482" s="339" t="str">
        <f>VLOOKUP(B4482,'MF PF'!A:B,2)</f>
        <v>Coinv</v>
      </c>
      <c r="AI4482" s="358">
        <f t="shared" si="607"/>
        <v>0</v>
      </c>
      <c r="AJ4482" s="94">
        <f t="shared" si="608"/>
        <v>42766</v>
      </c>
    </row>
    <row r="4483" spans="1:36" ht="12.75" customHeight="1">
      <c r="A4483" s="8">
        <v>42794</v>
      </c>
      <c r="B4483" s="94" t="s">
        <v>408</v>
      </c>
      <c r="C4483" s="6" t="s">
        <v>297</v>
      </c>
      <c r="D4483" s="98">
        <v>29173209.593673799</v>
      </c>
      <c r="E4483" s="95">
        <f t="shared" si="603"/>
        <v>29173209.593673799</v>
      </c>
      <c r="F4483" s="98"/>
      <c r="G4483" s="98"/>
      <c r="H4483" s="98">
        <v>0</v>
      </c>
      <c r="I4483" s="98">
        <v>-1050000</v>
      </c>
      <c r="J4483" s="98"/>
      <c r="K4483" s="93">
        <v>1</v>
      </c>
      <c r="L4483" s="93">
        <f t="shared" si="604"/>
        <v>-1050000</v>
      </c>
      <c r="M4483" s="95">
        <f t="shared" ca="1" si="605"/>
        <v>-1050000</v>
      </c>
      <c r="N4483" s="95">
        <f>IF(P4483="Hedge Fund",IF(A4483=Summary!$AD$3,M4483-E4483,M4483),IF(A4483=Summary!$AD$3,L4483-D4483,L4483))</f>
        <v>-1050000</v>
      </c>
      <c r="P4483" s="107" t="s">
        <v>155</v>
      </c>
      <c r="Q4483" s="107">
        <v>4.4444444444444496E-3</v>
      </c>
      <c r="R4483" s="107">
        <v>0.243989177325909</v>
      </c>
      <c r="S4483" s="107">
        <v>0</v>
      </c>
      <c r="T4483" s="107">
        <v>0</v>
      </c>
      <c r="U4483" s="107"/>
      <c r="V4483" s="107"/>
      <c r="W4483" s="107"/>
      <c r="X4483" s="107"/>
      <c r="Y4483" s="107"/>
      <c r="Z4483" s="107"/>
      <c r="AA4483" s="107"/>
      <c r="AB4483" s="107"/>
      <c r="AF4483" s="94">
        <f t="shared" si="606"/>
        <v>42794</v>
      </c>
      <c r="AG4483" s="185">
        <f t="shared" si="602"/>
        <v>1.2528476200180272E-2</v>
      </c>
      <c r="AH4483" s="339" t="str">
        <f>VLOOKUP(B4483,'MF PF'!A:B,2)</f>
        <v>Coinv</v>
      </c>
      <c r="AI4483" s="358">
        <f t="shared" si="607"/>
        <v>0</v>
      </c>
      <c r="AJ4483" s="94">
        <f t="shared" si="608"/>
        <v>42794</v>
      </c>
    </row>
    <row r="4484" spans="1:36" ht="12.75" customHeight="1">
      <c r="A4484" s="8">
        <v>42825</v>
      </c>
      <c r="B4484" s="94" t="s">
        <v>408</v>
      </c>
      <c r="C4484" s="6" t="s">
        <v>297</v>
      </c>
      <c r="D4484" s="98">
        <v>29669203.509999998</v>
      </c>
      <c r="E4484" s="95">
        <f t="shared" si="603"/>
        <v>29669203.509999998</v>
      </c>
      <c r="F4484" s="98"/>
      <c r="G4484" s="98"/>
      <c r="H4484" s="98">
        <v>0</v>
      </c>
      <c r="I4484" s="98">
        <v>0</v>
      </c>
      <c r="J4484" s="98"/>
      <c r="K4484" s="93">
        <v>1</v>
      </c>
      <c r="L4484" s="93">
        <f t="shared" si="604"/>
        <v>0</v>
      </c>
      <c r="M4484" s="95">
        <f t="shared" ca="1" si="605"/>
        <v>0</v>
      </c>
      <c r="N4484" s="95">
        <f>IF(P4484="Hedge Fund",IF(A4484=Summary!$AD$3,M4484-E4484,M4484),IF(A4484=Summary!$AD$3,L4484-D4484,L4484))</f>
        <v>0</v>
      </c>
      <c r="P4484" s="107" t="s">
        <v>155</v>
      </c>
      <c r="Q4484" s="107">
        <v>4.3055555555555547E-3</v>
      </c>
      <c r="R4484" s="107">
        <v>0.27972485000000002</v>
      </c>
      <c r="S4484" s="107">
        <v>0</v>
      </c>
      <c r="T4484" s="107">
        <v>0</v>
      </c>
      <c r="U4484" s="107"/>
      <c r="V4484" s="107"/>
      <c r="W4484" s="107"/>
      <c r="X4484" s="107"/>
      <c r="Y4484" s="107"/>
      <c r="Z4484" s="107"/>
      <c r="AA4484" s="107"/>
      <c r="AB4484" s="107"/>
      <c r="AF4484" s="94">
        <f t="shared" si="606"/>
        <v>42825</v>
      </c>
      <c r="AG4484" s="185">
        <f t="shared" si="602"/>
        <v>1.7001691731366897E-2</v>
      </c>
      <c r="AH4484" s="339" t="str">
        <f>VLOOKUP(B4484,'MF PF'!A:B,2)</f>
        <v>Coinv</v>
      </c>
      <c r="AI4484" s="358">
        <f t="shared" si="607"/>
        <v>0</v>
      </c>
      <c r="AJ4484" s="94">
        <f t="shared" si="608"/>
        <v>42825</v>
      </c>
    </row>
    <row r="4485" spans="1:36" ht="12.75" customHeight="1">
      <c r="A4485" s="8">
        <v>42853</v>
      </c>
      <c r="B4485" s="94" t="s">
        <v>408</v>
      </c>
      <c r="C4485" s="6" t="s">
        <v>297</v>
      </c>
      <c r="D4485" s="98">
        <v>30034146.32</v>
      </c>
      <c r="E4485" s="95">
        <f t="shared" si="603"/>
        <v>30034146.32</v>
      </c>
      <c r="F4485" s="98"/>
      <c r="G4485" s="98"/>
      <c r="H4485" s="98">
        <v>0</v>
      </c>
      <c r="I4485" s="98">
        <v>0</v>
      </c>
      <c r="J4485" s="98"/>
      <c r="K4485" s="93">
        <v>1</v>
      </c>
      <c r="L4485" s="93">
        <f t="shared" si="604"/>
        <v>0</v>
      </c>
      <c r="M4485" s="95">
        <f t="shared" ca="1" si="605"/>
        <v>0</v>
      </c>
      <c r="N4485" s="95">
        <f>IF(P4485="Hedge Fund",IF(A4485=Summary!$AD$3,M4485-E4485,M4485),IF(A4485=Summary!$AD$3,L4485-D4485,L4485))</f>
        <v>0</v>
      </c>
      <c r="P4485" s="107" t="s">
        <v>155</v>
      </c>
      <c r="Q4485" s="107">
        <v>3.8888899999999999E-3</v>
      </c>
      <c r="R4485" s="107">
        <v>0.30606998000000002</v>
      </c>
      <c r="S4485" s="107">
        <v>0</v>
      </c>
      <c r="T4485" s="107">
        <v>0</v>
      </c>
      <c r="U4485" s="107"/>
      <c r="V4485" s="107"/>
      <c r="W4485" s="107"/>
      <c r="X4485" s="107"/>
      <c r="Y4485" s="107"/>
      <c r="Z4485" s="107"/>
      <c r="AA4485" s="107"/>
      <c r="AB4485" s="107"/>
      <c r="AF4485" s="94">
        <f t="shared" si="606"/>
        <v>42853</v>
      </c>
      <c r="AG4485" s="185">
        <f t="shared" si="602"/>
        <v>1.2300391207906936E-2</v>
      </c>
      <c r="AH4485" s="339" t="str">
        <f>VLOOKUP(B4485,'MF PF'!A:B,2)</f>
        <v>Coinv</v>
      </c>
      <c r="AI4485" s="358">
        <f t="shared" si="607"/>
        <v>0</v>
      </c>
      <c r="AJ4485" s="94">
        <f t="shared" si="608"/>
        <v>42855</v>
      </c>
    </row>
    <row r="4486" spans="1:36" ht="12.75" customHeight="1">
      <c r="A4486" s="8">
        <v>42886</v>
      </c>
      <c r="B4486" s="94" t="s">
        <v>408</v>
      </c>
      <c r="C4486" s="6" t="s">
        <v>297</v>
      </c>
      <c r="D4486" s="98">
        <v>29388526.884210601</v>
      </c>
      <c r="E4486" s="95">
        <f t="shared" si="603"/>
        <v>29388526.884210601</v>
      </c>
      <c r="F4486" s="98"/>
      <c r="G4486" s="98"/>
      <c r="H4486" s="98">
        <v>0</v>
      </c>
      <c r="I4486" s="98">
        <v>-1050000</v>
      </c>
      <c r="J4486" s="98"/>
      <c r="K4486" s="93">
        <v>1</v>
      </c>
      <c r="L4486" s="93">
        <f t="shared" si="604"/>
        <v>-1050000</v>
      </c>
      <c r="M4486" s="95">
        <f t="shared" ca="1" si="605"/>
        <v>-1050000</v>
      </c>
      <c r="N4486" s="95">
        <f>IF(P4486="Hedge Fund",IF(A4486=Summary!$AD$3,M4486-E4486,M4486),IF(A4486=Summary!$AD$3,L4486-D4486,L4486))</f>
        <v>-1050000</v>
      </c>
      <c r="P4486" s="107" t="s">
        <v>155</v>
      </c>
      <c r="Q4486" s="107">
        <v>1.07429130462531E-2</v>
      </c>
      <c r="R4486" s="107">
        <v>0.33572165218501199</v>
      </c>
      <c r="S4486" s="107">
        <v>0</v>
      </c>
      <c r="T4486" s="107">
        <v>0</v>
      </c>
      <c r="U4486" s="107"/>
      <c r="V4486" s="107"/>
      <c r="W4486" s="107"/>
      <c r="X4486" s="107"/>
      <c r="Y4486" s="107"/>
      <c r="Z4486" s="107"/>
      <c r="AA4486" s="107"/>
      <c r="AB4486" s="107"/>
      <c r="AF4486" s="94">
        <f t="shared" si="606"/>
        <v>42886</v>
      </c>
      <c r="AG4486" s="185">
        <f t="shared" si="602"/>
        <v>1.3464027240931431E-2</v>
      </c>
      <c r="AH4486" s="339" t="str">
        <f>VLOOKUP(B4486,'MF PF'!A:B,2)</f>
        <v>Coinv</v>
      </c>
      <c r="AI4486" s="358">
        <f t="shared" si="607"/>
        <v>0</v>
      </c>
      <c r="AJ4486" s="94">
        <f t="shared" si="608"/>
        <v>42886</v>
      </c>
    </row>
    <row r="4487" spans="1:36" ht="12.75" customHeight="1">
      <c r="A4487" s="8">
        <v>42916</v>
      </c>
      <c r="B4487" s="94" t="s">
        <v>408</v>
      </c>
      <c r="C4487" s="6" t="s">
        <v>297</v>
      </c>
      <c r="D4487" s="98">
        <v>29725696.643229801</v>
      </c>
      <c r="E4487" s="95">
        <f t="shared" si="603"/>
        <v>29725696.643229801</v>
      </c>
      <c r="F4487" s="98"/>
      <c r="G4487" s="98"/>
      <c r="H4487" s="98">
        <v>0</v>
      </c>
      <c r="I4487" s="98">
        <v>0</v>
      </c>
      <c r="J4487" s="98"/>
      <c r="K4487" s="93">
        <v>1</v>
      </c>
      <c r="L4487" s="93">
        <f t="shared" si="604"/>
        <v>0</v>
      </c>
      <c r="M4487" s="95">
        <f t="shared" ca="1" si="605"/>
        <v>0</v>
      </c>
      <c r="N4487" s="95">
        <f>IF(P4487="Hedge Fund",IF(A4487=Summary!$AD$3,M4487-E4487,M4487),IF(A4487=Summary!$AD$3,L4487-D4487,L4487))</f>
        <v>0</v>
      </c>
      <c r="P4487" s="107" t="s">
        <v>155</v>
      </c>
      <c r="Q4487" s="107">
        <v>5.9582999999999997E-2</v>
      </c>
      <c r="R4487" s="107">
        <v>0.37268499999999999</v>
      </c>
      <c r="S4487" s="107">
        <v>0</v>
      </c>
      <c r="T4487" s="107">
        <v>0</v>
      </c>
      <c r="U4487" s="107"/>
      <c r="V4487" s="107"/>
      <c r="W4487" s="107"/>
      <c r="X4487" s="107"/>
      <c r="Y4487" s="107"/>
      <c r="Z4487" s="107"/>
      <c r="AA4487" s="107"/>
      <c r="AB4487" s="107"/>
      <c r="AF4487" s="94">
        <f t="shared" si="606"/>
        <v>42916</v>
      </c>
      <c r="AG4487" s="185">
        <f t="shared" si="602"/>
        <v>1.1472836333295433E-2</v>
      </c>
      <c r="AH4487" s="339" t="str">
        <f>VLOOKUP(B4487,'MF PF'!A:B,2)</f>
        <v>Coinv</v>
      </c>
      <c r="AI4487" s="358">
        <f t="shared" si="607"/>
        <v>0</v>
      </c>
      <c r="AJ4487" s="94">
        <f t="shared" si="608"/>
        <v>42916</v>
      </c>
    </row>
    <row r="4488" spans="1:36" ht="12.75" customHeight="1">
      <c r="A4488" s="8">
        <v>42947</v>
      </c>
      <c r="B4488" s="94" t="s">
        <v>408</v>
      </c>
      <c r="C4488" s="6" t="s">
        <v>297</v>
      </c>
      <c r="D4488" s="98">
        <v>30120000</v>
      </c>
      <c r="E4488" s="95">
        <f t="shared" si="603"/>
        <v>30120000</v>
      </c>
      <c r="F4488" s="98"/>
      <c r="G4488" s="98"/>
      <c r="H4488" s="98">
        <v>0</v>
      </c>
      <c r="I4488" s="98">
        <v>0</v>
      </c>
      <c r="J4488" s="98"/>
      <c r="K4488" s="93">
        <v>1</v>
      </c>
      <c r="L4488" s="93">
        <f t="shared" si="604"/>
        <v>0</v>
      </c>
      <c r="M4488" s="95">
        <f t="shared" ca="1" si="605"/>
        <v>0</v>
      </c>
      <c r="N4488" s="95">
        <f>IF(P4488="Hedge Fund",IF(A4488=Summary!$AD$3,M4488-E4488,M4488),IF(A4488=Summary!$AD$3,L4488-D4488,L4488))</f>
        <v>0</v>
      </c>
      <c r="P4488" s="107" t="s">
        <v>155</v>
      </c>
      <c r="Q4488" s="107">
        <v>6.3889000000000001E-2</v>
      </c>
      <c r="R4488" s="107">
        <v>0.4091204</v>
      </c>
      <c r="S4488" s="107">
        <v>0</v>
      </c>
      <c r="T4488" s="107">
        <v>0</v>
      </c>
      <c r="U4488" s="107"/>
      <c r="V4488" s="107"/>
      <c r="W4488" s="107"/>
      <c r="X4488" s="107"/>
      <c r="Y4488" s="107"/>
      <c r="Z4488" s="107"/>
      <c r="AA4488" s="107"/>
      <c r="AB4488" s="107"/>
      <c r="AF4488" s="94">
        <f t="shared" si="606"/>
        <v>42947</v>
      </c>
      <c r="AG4488" s="185">
        <f t="shared" si="602"/>
        <v>1.3264730563009586E-2</v>
      </c>
      <c r="AH4488" s="339" t="str">
        <f>VLOOKUP(B4488,'MF PF'!A:B,2)</f>
        <v>Coinv</v>
      </c>
      <c r="AI4488" s="358">
        <f t="shared" si="607"/>
        <v>0</v>
      </c>
      <c r="AJ4488" s="94">
        <f t="shared" si="608"/>
        <v>42947</v>
      </c>
    </row>
    <row r="4489" spans="1:36" ht="12.75" customHeight="1">
      <c r="A4489" s="8">
        <v>42978</v>
      </c>
      <c r="B4489" s="94" t="s">
        <v>408</v>
      </c>
      <c r="C4489" s="6" t="s">
        <v>297</v>
      </c>
      <c r="D4489" s="98">
        <v>29449328.25</v>
      </c>
      <c r="E4489" s="95">
        <f t="shared" si="603"/>
        <v>29449328.25</v>
      </c>
      <c r="F4489" s="98"/>
      <c r="G4489" s="98"/>
      <c r="H4489" s="98">
        <v>0</v>
      </c>
      <c r="I4489" s="98">
        <v>-1050000</v>
      </c>
      <c r="J4489" s="98"/>
      <c r="K4489" s="93">
        <v>1</v>
      </c>
      <c r="L4489" s="93">
        <f t="shared" si="604"/>
        <v>-1050000</v>
      </c>
      <c r="M4489" s="95">
        <f t="shared" ca="1" si="605"/>
        <v>-1050000</v>
      </c>
      <c r="N4489" s="95">
        <f>IF(P4489="Hedge Fund",IF(A4489=Summary!$AD$3,M4489-E4489,M4489),IF(A4489=Summary!$AD$3,L4489-D4489,L4489))</f>
        <v>-1050000</v>
      </c>
      <c r="P4489" s="107" t="s">
        <v>155</v>
      </c>
      <c r="Q4489" s="107">
        <v>6.8199999999999997E-2</v>
      </c>
      <c r="R4489" s="107">
        <v>0.48299999999999998</v>
      </c>
      <c r="S4489" s="107">
        <v>0</v>
      </c>
      <c r="T4489" s="107">
        <v>0</v>
      </c>
      <c r="U4489" s="107"/>
      <c r="V4489" s="107"/>
      <c r="W4489" s="107"/>
      <c r="X4489" s="107"/>
      <c r="Y4489" s="107"/>
      <c r="Z4489" s="107"/>
      <c r="AA4489" s="107"/>
      <c r="AB4489" s="107"/>
      <c r="AF4489" s="94">
        <f t="shared" si="606"/>
        <v>42978</v>
      </c>
      <c r="AG4489" s="185">
        <f t="shared" si="602"/>
        <v>1.2593899402390418E-2</v>
      </c>
      <c r="AH4489" s="339" t="str">
        <f>VLOOKUP(B4489,'MF PF'!A:B,2)</f>
        <v>Coinv</v>
      </c>
      <c r="AI4489" s="358">
        <f t="shared" si="607"/>
        <v>0</v>
      </c>
      <c r="AJ4489" s="94">
        <f t="shared" si="608"/>
        <v>42978</v>
      </c>
    </row>
    <row r="4490" spans="1:36" ht="12.75" customHeight="1">
      <c r="A4490" s="8">
        <v>43007</v>
      </c>
      <c r="B4490" s="94" t="s">
        <v>408</v>
      </c>
      <c r="C4490" s="6" t="s">
        <v>297</v>
      </c>
      <c r="D4490" s="98">
        <v>29702703</v>
      </c>
      <c r="E4490" s="95">
        <f t="shared" si="603"/>
        <v>29702703</v>
      </c>
      <c r="F4490" s="98"/>
      <c r="G4490" s="98"/>
      <c r="H4490" s="98">
        <v>0</v>
      </c>
      <c r="I4490" s="98">
        <v>0</v>
      </c>
      <c r="J4490" s="98"/>
      <c r="K4490" s="93">
        <v>1</v>
      </c>
      <c r="L4490" s="93">
        <f t="shared" si="604"/>
        <v>0</v>
      </c>
      <c r="M4490" s="95">
        <f t="shared" ca="1" si="605"/>
        <v>0</v>
      </c>
      <c r="N4490" s="95">
        <f>IF(P4490="Hedge Fund",IF(A4490=Summary!$AD$3,M4490-E4490,M4490),IF(A4490=Summary!$AD$3,L4490-D4490,L4490))</f>
        <v>0</v>
      </c>
      <c r="P4490" s="107" t="s">
        <v>155</v>
      </c>
      <c r="Q4490" s="107">
        <v>4.0277777777777803E-3</v>
      </c>
      <c r="R4490" s="107">
        <v>0.46650838256895905</v>
      </c>
      <c r="S4490" s="107">
        <v>0</v>
      </c>
      <c r="T4490" s="107">
        <v>0</v>
      </c>
      <c r="U4490" s="107"/>
      <c r="V4490" s="107"/>
      <c r="W4490" s="107"/>
      <c r="X4490" s="107"/>
      <c r="Y4490" s="107"/>
      <c r="Z4490" s="107"/>
      <c r="AA4490" s="107"/>
      <c r="AB4490" s="107"/>
      <c r="AF4490" s="94">
        <f t="shared" si="606"/>
        <v>43007</v>
      </c>
      <c r="AG4490" s="185">
        <f t="shared" si="602"/>
        <v>8.6037531263551958E-3</v>
      </c>
      <c r="AH4490" s="339" t="str">
        <f>VLOOKUP(B4490,'MF PF'!A:B,2)</f>
        <v>Coinv</v>
      </c>
      <c r="AI4490" s="358">
        <f t="shared" si="607"/>
        <v>0</v>
      </c>
      <c r="AJ4490" s="94">
        <f t="shared" si="608"/>
        <v>43008</v>
      </c>
    </row>
    <row r="4491" spans="1:36" ht="12.75" customHeight="1">
      <c r="A4491" s="8">
        <v>43039</v>
      </c>
      <c r="B4491" s="94" t="s">
        <v>408</v>
      </c>
      <c r="C4491" s="6" t="s">
        <v>297</v>
      </c>
      <c r="D4491" s="98">
        <v>28997985.784473099</v>
      </c>
      <c r="E4491" s="95">
        <f t="shared" si="603"/>
        <v>28997985.784473099</v>
      </c>
      <c r="F4491" s="98"/>
      <c r="G4491" s="98"/>
      <c r="H4491" s="98">
        <v>0</v>
      </c>
      <c r="I4491" s="98">
        <v>0</v>
      </c>
      <c r="J4491" s="98"/>
      <c r="K4491" s="93">
        <v>1</v>
      </c>
      <c r="L4491" s="93">
        <f t="shared" si="604"/>
        <v>0</v>
      </c>
      <c r="M4491" s="95">
        <f t="shared" ca="1" si="605"/>
        <v>0</v>
      </c>
      <c r="N4491" s="95">
        <f>IF(P4491="Hedge Fund",IF(A4491=Summary!$AD$3,M4491-E4491,M4491),IF(A4491=Summary!$AD$3,L4491-D4491,L4491))</f>
        <v>0</v>
      </c>
      <c r="P4491" s="107" t="s">
        <v>155</v>
      </c>
      <c r="Q4491" s="107">
        <v>4.4444444444444696E-3</v>
      </c>
      <c r="R4491" s="107">
        <v>0.49805931373997997</v>
      </c>
      <c r="S4491" s="107">
        <v>0</v>
      </c>
      <c r="T4491" s="107">
        <v>0</v>
      </c>
      <c r="U4491" s="107"/>
      <c r="V4491" s="107"/>
      <c r="W4491" s="107"/>
      <c r="X4491" s="107"/>
      <c r="Y4491" s="107"/>
      <c r="Z4491" s="107"/>
      <c r="AA4491" s="107"/>
      <c r="AB4491" s="107"/>
      <c r="AF4491" s="94">
        <f t="shared" si="606"/>
        <v>43039</v>
      </c>
      <c r="AG4491" s="185">
        <f t="shared" si="602"/>
        <v>-2.3725693096917855E-2</v>
      </c>
      <c r="AH4491" s="339" t="str">
        <f>VLOOKUP(B4491,'MF PF'!A:B,2)</f>
        <v>Coinv</v>
      </c>
      <c r="AI4491" s="358">
        <f t="shared" si="607"/>
        <v>0</v>
      </c>
      <c r="AJ4491" s="94">
        <f t="shared" si="608"/>
        <v>43039</v>
      </c>
    </row>
    <row r="4492" spans="1:36" ht="12.75" customHeight="1">
      <c r="A4492" s="8">
        <v>43069</v>
      </c>
      <c r="B4492" s="94" t="s">
        <v>408</v>
      </c>
      <c r="C4492" s="6" t="s">
        <v>297</v>
      </c>
      <c r="D4492" s="98">
        <v>29359187.583866201</v>
      </c>
      <c r="E4492" s="95">
        <f t="shared" si="603"/>
        <v>29359187.583866201</v>
      </c>
      <c r="F4492" s="98"/>
      <c r="G4492" s="98"/>
      <c r="H4492" s="98">
        <v>0</v>
      </c>
      <c r="I4492" s="98">
        <v>-1050000</v>
      </c>
      <c r="J4492" s="98"/>
      <c r="K4492" s="93">
        <v>1</v>
      </c>
      <c r="L4492" s="93">
        <f t="shared" si="604"/>
        <v>-1050000</v>
      </c>
      <c r="M4492" s="95">
        <f t="shared" ca="1" si="605"/>
        <v>-1050000</v>
      </c>
      <c r="N4492" s="95">
        <f>IF(P4492="Hedge Fund",IF(A4492=Summary!$AD$3,M4492-E4492,M4492),IF(A4492=Summary!$AD$3,L4492-D4492,L4492))</f>
        <v>-1050000</v>
      </c>
      <c r="P4492" s="107" t="s">
        <v>155</v>
      </c>
      <c r="Q4492" s="107">
        <v>4.1666666666666293E-3</v>
      </c>
      <c r="R4492" s="107">
        <v>0.53104735610904796</v>
      </c>
      <c r="S4492" s="107">
        <v>0</v>
      </c>
      <c r="T4492" s="107">
        <v>0</v>
      </c>
      <c r="U4492" s="107"/>
      <c r="V4492" s="107"/>
      <c r="W4492" s="107"/>
      <c r="X4492" s="107"/>
      <c r="Y4492" s="107"/>
      <c r="Z4492" s="107"/>
      <c r="AA4492" s="107"/>
      <c r="AB4492" s="107"/>
      <c r="AF4492" s="94">
        <f t="shared" si="606"/>
        <v>43069</v>
      </c>
      <c r="AG4492" s="185">
        <f t="shared" si="602"/>
        <v>4.8665511111076087E-2</v>
      </c>
      <c r="AH4492" s="339" t="str">
        <f>VLOOKUP(B4492,'MF PF'!A:B,2)</f>
        <v>Coinv</v>
      </c>
      <c r="AI4492" s="358">
        <f t="shared" si="607"/>
        <v>0</v>
      </c>
      <c r="AJ4492" s="94">
        <f t="shared" si="608"/>
        <v>43069</v>
      </c>
    </row>
    <row r="4493" spans="1:36" ht="12.75" customHeight="1">
      <c r="A4493" s="8">
        <v>43098</v>
      </c>
      <c r="B4493" s="94" t="s">
        <v>408</v>
      </c>
      <c r="C4493" s="6" t="s">
        <v>297</v>
      </c>
      <c r="D4493" s="98">
        <v>29768504.07</v>
      </c>
      <c r="E4493" s="95">
        <f t="shared" si="603"/>
        <v>29768504.07</v>
      </c>
      <c r="F4493" s="98"/>
      <c r="G4493" s="98"/>
      <c r="H4493" s="98">
        <v>0</v>
      </c>
      <c r="I4493" s="98">
        <v>0</v>
      </c>
      <c r="J4493" s="98"/>
      <c r="K4493" s="93">
        <v>1</v>
      </c>
      <c r="L4493" s="93">
        <f t="shared" si="604"/>
        <v>0</v>
      </c>
      <c r="M4493" s="95">
        <f t="shared" ca="1" si="605"/>
        <v>0</v>
      </c>
      <c r="N4493" s="95">
        <f>IF(P4493="Hedge Fund",IF(A4493=Summary!$AD$3,M4493-E4493,M4493),IF(A4493=Summary!$AD$3,L4493-D4493,L4493))</f>
        <v>0</v>
      </c>
      <c r="P4493" s="107" t="s">
        <v>155</v>
      </c>
      <c r="Q4493" s="107">
        <v>4.0280000000000003E-3</v>
      </c>
      <c r="R4493" s="107">
        <v>0.56840400000000002</v>
      </c>
      <c r="S4493" s="107">
        <v>0</v>
      </c>
      <c r="T4493" s="107">
        <v>0</v>
      </c>
      <c r="U4493" s="107"/>
      <c r="V4493" s="107"/>
      <c r="W4493" s="107"/>
      <c r="X4493" s="107"/>
      <c r="Y4493" s="107"/>
      <c r="Z4493" s="107"/>
      <c r="AA4493" s="107"/>
      <c r="AB4493" s="107"/>
      <c r="AF4493" s="94">
        <f t="shared" si="606"/>
        <v>43098</v>
      </c>
      <c r="AG4493" s="185">
        <f t="shared" si="602"/>
        <v>1.3941682989849769E-2</v>
      </c>
      <c r="AH4493" s="339" t="str">
        <f>VLOOKUP(B4493,'MF PF'!A:B,2)</f>
        <v>Coinv</v>
      </c>
      <c r="AI4493" s="358">
        <f t="shared" si="607"/>
        <v>0</v>
      </c>
      <c r="AJ4493" s="94">
        <f t="shared" si="608"/>
        <v>43100</v>
      </c>
    </row>
    <row r="4494" spans="1:36" s="358" customFormat="1" ht="12.75" customHeight="1">
      <c r="A4494" s="94">
        <v>43131</v>
      </c>
      <c r="B4494" s="94" t="s">
        <v>408</v>
      </c>
      <c r="C4494" s="358" t="s">
        <v>297</v>
      </c>
      <c r="D4494" s="98">
        <v>29846675.48</v>
      </c>
      <c r="E4494" s="95">
        <f t="shared" si="603"/>
        <v>29846675.48</v>
      </c>
      <c r="F4494" s="98"/>
      <c r="G4494" s="98"/>
      <c r="H4494" s="98">
        <v>0</v>
      </c>
      <c r="I4494" s="98">
        <v>0</v>
      </c>
      <c r="J4494" s="98"/>
      <c r="K4494" s="93">
        <v>1</v>
      </c>
      <c r="L4494" s="93">
        <f t="shared" si="604"/>
        <v>0</v>
      </c>
      <c r="M4494" s="95">
        <f t="shared" ca="1" si="605"/>
        <v>0</v>
      </c>
      <c r="N4494" s="95">
        <f>IF(P4494="Hedge Fund",IF(A4494=Summary!$AD$3,M4494-E4494,M4494),IF(A4494=Summary!$AD$3,L4494-D4494,L4494))</f>
        <v>0</v>
      </c>
      <c r="O4494" s="95"/>
      <c r="P4494" s="107" t="s">
        <v>155</v>
      </c>
      <c r="Q4494" s="107">
        <v>4.5830000000000003E-3</v>
      </c>
      <c r="R4494" s="107">
        <v>0.60749600000000004</v>
      </c>
      <c r="S4494" s="107">
        <v>0</v>
      </c>
      <c r="T4494" s="107">
        <v>0</v>
      </c>
      <c r="U4494" s="107"/>
      <c r="V4494" s="107"/>
      <c r="W4494" s="107"/>
      <c r="X4494" s="107"/>
      <c r="Y4494" s="107"/>
      <c r="Z4494" s="107"/>
      <c r="AA4494" s="107"/>
      <c r="AB4494" s="107"/>
      <c r="AF4494" s="94">
        <f t="shared" si="606"/>
        <v>43131</v>
      </c>
      <c r="AG4494" s="185">
        <f t="shared" ref="AG4494:AG4525" si="609">IF(C4494&lt;&gt;C4493,D4494/G4494-1,(D4494-G4494-I4494-H4494)/(D4493)-1)</f>
        <v>2.6259771003669385E-3</v>
      </c>
      <c r="AH4494" s="339" t="str">
        <f>VLOOKUP(B4494,'MF PF'!A:B,2)</f>
        <v>Coinv</v>
      </c>
      <c r="AI4494" s="358">
        <f t="shared" si="607"/>
        <v>0</v>
      </c>
      <c r="AJ4494" s="94">
        <f t="shared" si="608"/>
        <v>43131</v>
      </c>
    </row>
    <row r="4495" spans="1:36" s="358" customFormat="1" ht="12.75" customHeight="1">
      <c r="A4495" s="94">
        <v>43159</v>
      </c>
      <c r="B4495" s="94" t="s">
        <v>408</v>
      </c>
      <c r="C4495" s="358" t="s">
        <v>297</v>
      </c>
      <c r="D4495" s="98">
        <v>30452765.579999998</v>
      </c>
      <c r="E4495" s="95">
        <f t="shared" si="603"/>
        <v>30452765.579999998</v>
      </c>
      <c r="F4495" s="98"/>
      <c r="G4495" s="98"/>
      <c r="H4495" s="98">
        <v>0</v>
      </c>
      <c r="I4495" s="98">
        <v>-1050000</v>
      </c>
      <c r="J4495" s="98"/>
      <c r="K4495" s="93">
        <v>1</v>
      </c>
      <c r="L4495" s="93">
        <f t="shared" si="604"/>
        <v>-1050000</v>
      </c>
      <c r="M4495" s="95">
        <f t="shared" ca="1" si="605"/>
        <v>-1050000</v>
      </c>
      <c r="N4495" s="95">
        <f>IF(P4495="Hedge Fund",IF(A4495=Summary!$AD$3,M4495-E4495,M4495),IF(A4495=Summary!$AD$3,L4495-D4495,L4495))</f>
        <v>-1050000</v>
      </c>
      <c r="O4495" s="95"/>
      <c r="P4495" s="107" t="s">
        <v>155</v>
      </c>
      <c r="Q4495" s="107">
        <v>3.8890000000000001E-3</v>
      </c>
      <c r="R4495" s="107">
        <v>0.63493299999999997</v>
      </c>
      <c r="S4495" s="107">
        <v>0</v>
      </c>
      <c r="T4495" s="107">
        <v>0</v>
      </c>
      <c r="U4495" s="107"/>
      <c r="V4495" s="107"/>
      <c r="W4495" s="107"/>
      <c r="X4495" s="107"/>
      <c r="Y4495" s="107"/>
      <c r="Z4495" s="107"/>
      <c r="AA4495" s="107"/>
      <c r="AB4495" s="107"/>
      <c r="AF4495" s="94">
        <f t="shared" si="606"/>
        <v>43159</v>
      </c>
      <c r="AG4495" s="185">
        <f t="shared" si="609"/>
        <v>5.5486585134405741E-2</v>
      </c>
      <c r="AH4495" s="339" t="str">
        <f>VLOOKUP(B4495,'MF PF'!A:B,2)</f>
        <v>Coinv</v>
      </c>
      <c r="AI4495" s="358">
        <f t="shared" si="607"/>
        <v>0</v>
      </c>
      <c r="AJ4495" s="94">
        <f t="shared" si="608"/>
        <v>43159</v>
      </c>
    </row>
    <row r="4496" spans="1:36" s="358" customFormat="1" ht="12.75" customHeight="1">
      <c r="A4496" s="94">
        <v>43188</v>
      </c>
      <c r="B4496" s="94" t="s">
        <v>408</v>
      </c>
      <c r="C4496" s="358" t="s">
        <v>297</v>
      </c>
      <c r="D4496" s="110">
        <v>29849416.3667624</v>
      </c>
      <c r="E4496" s="95">
        <f t="shared" si="603"/>
        <v>29849416.3667624</v>
      </c>
      <c r="F4496" s="98"/>
      <c r="G4496" s="98"/>
      <c r="H4496" s="98">
        <v>0</v>
      </c>
      <c r="I4496" s="110">
        <f>-1050000*0</f>
        <v>0</v>
      </c>
      <c r="J4496" s="110"/>
      <c r="K4496" s="93">
        <v>1</v>
      </c>
      <c r="L4496" s="93">
        <f t="shared" si="604"/>
        <v>0</v>
      </c>
      <c r="M4496" s="95">
        <f t="shared" ca="1" si="605"/>
        <v>0</v>
      </c>
      <c r="N4496" s="95">
        <f>IF(P4496="Hedge Fund",IF(A4496=Summary!$AD$3,M4496-E4496,M4496),IF(A4496=Summary!$AD$3,L4496-D4496,L4496))</f>
        <v>0</v>
      </c>
      <c r="O4496" s="95"/>
      <c r="P4496" s="107" t="s">
        <v>155</v>
      </c>
      <c r="Q4496" s="107">
        <f>3889/10^6</f>
        <v>3.8890000000000001E-3</v>
      </c>
      <c r="R4496" s="109">
        <f>596198/10^6</f>
        <v>0.59619800000000001</v>
      </c>
      <c r="S4496" s="107">
        <v>0</v>
      </c>
      <c r="T4496" s="107">
        <v>0</v>
      </c>
      <c r="U4496" s="107"/>
      <c r="V4496" s="107"/>
      <c r="W4496" s="107"/>
      <c r="X4496" s="107"/>
      <c r="Y4496" s="107"/>
      <c r="Z4496" s="107"/>
      <c r="AA4496" s="107"/>
      <c r="AB4496" s="107"/>
      <c r="AF4496" s="94">
        <f t="shared" si="606"/>
        <v>43188</v>
      </c>
      <c r="AG4496" s="185">
        <f t="shared" si="609"/>
        <v>-1.9812624625260677E-2</v>
      </c>
      <c r="AH4496" s="339" t="str">
        <f>VLOOKUP(B4496,'MF PF'!A:B,2)</f>
        <v>Coinv</v>
      </c>
      <c r="AI4496" s="358">
        <f t="shared" si="607"/>
        <v>0</v>
      </c>
      <c r="AJ4496" s="94">
        <f t="shared" si="608"/>
        <v>43190</v>
      </c>
    </row>
    <row r="4497" spans="1:36" s="358" customFormat="1" ht="12.75" customHeight="1">
      <c r="A4497" s="94">
        <v>43220</v>
      </c>
      <c r="B4497" s="94" t="s">
        <v>408</v>
      </c>
      <c r="C4497" s="358" t="s">
        <v>297</v>
      </c>
      <c r="D4497" s="110">
        <v>30289645.559999999</v>
      </c>
      <c r="E4497" s="95">
        <f t="shared" si="603"/>
        <v>30289645.559999999</v>
      </c>
      <c r="F4497" s="98"/>
      <c r="G4497" s="98"/>
      <c r="H4497" s="98">
        <v>0</v>
      </c>
      <c r="I4497" s="110">
        <f>-1050000*0</f>
        <v>0</v>
      </c>
      <c r="J4497" s="110"/>
      <c r="K4497" s="93">
        <v>1</v>
      </c>
      <c r="L4497" s="93">
        <f t="shared" si="604"/>
        <v>0</v>
      </c>
      <c r="M4497" s="95">
        <f t="shared" ca="1" si="605"/>
        <v>0</v>
      </c>
      <c r="N4497" s="95">
        <f>IF(P4497="Hedge Fund",IF(A4497=Summary!$AD$3,M4497-E4497,M4497),IF(A4497=Summary!$AD$3,L4497-D4497,L4497))</f>
        <v>0</v>
      </c>
      <c r="O4497" s="95"/>
      <c r="P4497" s="107" t="s">
        <v>155</v>
      </c>
      <c r="Q4497" s="107">
        <f>4444.44/10^6</f>
        <v>4.44444E-3</v>
      </c>
      <c r="R4497" s="109">
        <f>31762.4/10^6</f>
        <v>3.1762400000000003E-2</v>
      </c>
      <c r="S4497" s="107">
        <v>0</v>
      </c>
      <c r="T4497" s="107">
        <v>0</v>
      </c>
      <c r="U4497" s="107"/>
      <c r="V4497" s="107"/>
      <c r="W4497" s="107"/>
      <c r="X4497" s="107"/>
      <c r="Y4497" s="107"/>
      <c r="Z4497" s="107"/>
      <c r="AA4497" s="107"/>
      <c r="AB4497" s="107"/>
      <c r="AF4497" s="94">
        <f t="shared" si="606"/>
        <v>43220</v>
      </c>
      <c r="AG4497" s="185">
        <f t="shared" si="609"/>
        <v>1.4748335037056082E-2</v>
      </c>
      <c r="AH4497" s="339" t="str">
        <f>VLOOKUP(B4497,'MF PF'!A:B,2)</f>
        <v>Coinv</v>
      </c>
      <c r="AI4497" s="358">
        <f t="shared" si="607"/>
        <v>0</v>
      </c>
      <c r="AJ4497" s="94">
        <f t="shared" si="608"/>
        <v>43220</v>
      </c>
    </row>
    <row r="4498" spans="1:36" s="358" customFormat="1" ht="12.75" customHeight="1">
      <c r="A4498" s="94">
        <v>43251</v>
      </c>
      <c r="B4498" s="358" t="s">
        <v>408</v>
      </c>
      <c r="C4498" s="358" t="s">
        <v>297</v>
      </c>
      <c r="D4498" s="110">
        <v>30704653.75</v>
      </c>
      <c r="E4498" s="95">
        <f t="shared" si="603"/>
        <v>30704653.75</v>
      </c>
      <c r="F4498" s="98"/>
      <c r="G4498" s="98"/>
      <c r="H4498" s="98">
        <v>0</v>
      </c>
      <c r="I4498" s="98">
        <f>-1050000*0</f>
        <v>0</v>
      </c>
      <c r="J4498" s="98"/>
      <c r="K4498" s="93">
        <v>1</v>
      </c>
      <c r="L4498" s="93">
        <f t="shared" si="604"/>
        <v>0</v>
      </c>
      <c r="M4498" s="95">
        <f t="shared" ca="1" si="605"/>
        <v>0</v>
      </c>
      <c r="N4498" s="95">
        <f>IF(P4498="Hedge Fund",IF(A4498=Summary!$AD$3,M4498-E4498,M4498),IF(A4498=Summary!$AD$3,L4498-D4498,L4498))</f>
        <v>0</v>
      </c>
      <c r="O4498" s="95"/>
      <c r="P4498" s="107" t="s">
        <v>155</v>
      </c>
      <c r="Q4498" s="109">
        <f>4305.56/10^6</f>
        <v>4.3055600000000008E-3</v>
      </c>
      <c r="R4498" s="109">
        <f>627960.794208125/10^6</f>
        <v>0.62796079420812501</v>
      </c>
      <c r="S4498" s="107">
        <v>0</v>
      </c>
      <c r="T4498" s="107">
        <v>0</v>
      </c>
      <c r="U4498" s="107"/>
      <c r="V4498" s="107"/>
      <c r="W4498" s="107"/>
      <c r="X4498" s="107"/>
      <c r="Y4498" s="107"/>
      <c r="Z4498" s="107"/>
      <c r="AA4498" s="107"/>
      <c r="AB4498" s="107"/>
      <c r="AF4498" s="94">
        <f t="shared" si="606"/>
        <v>43251</v>
      </c>
      <c r="AG4498" s="185">
        <f t="shared" si="609"/>
        <v>1.3701322096289381E-2</v>
      </c>
      <c r="AH4498" s="339" t="str">
        <f>VLOOKUP(B4498,'MF PF'!A:B,2)</f>
        <v>Coinv</v>
      </c>
      <c r="AI4498" s="358">
        <f t="shared" si="607"/>
        <v>0</v>
      </c>
      <c r="AJ4498" s="94">
        <f t="shared" si="608"/>
        <v>43251</v>
      </c>
    </row>
    <row r="4499" spans="1:36" s="358" customFormat="1" ht="12.75" customHeight="1">
      <c r="A4499" s="94">
        <v>43280</v>
      </c>
      <c r="B4499" s="358" t="s">
        <v>408</v>
      </c>
      <c r="C4499" s="358" t="s">
        <v>297</v>
      </c>
      <c r="D4499" s="110">
        <v>30088729.640000001</v>
      </c>
      <c r="E4499" s="95">
        <f t="shared" si="603"/>
        <v>30088729.640000001</v>
      </c>
      <c r="F4499" s="98"/>
      <c r="G4499" s="98"/>
      <c r="H4499" s="98">
        <v>0</v>
      </c>
      <c r="I4499" s="98">
        <f>-1050000*0</f>
        <v>0</v>
      </c>
      <c r="J4499" s="98"/>
      <c r="K4499" s="93">
        <v>1</v>
      </c>
      <c r="L4499" s="93">
        <f t="shared" si="604"/>
        <v>0</v>
      </c>
      <c r="M4499" s="95">
        <f t="shared" ca="1" si="605"/>
        <v>0</v>
      </c>
      <c r="N4499" s="95">
        <f>IF(P4499="Hedge Fund",IF(A4499=Summary!$AD$3,M4499-E4499,M4499),IF(A4499=Summary!$AD$3,L4499-D4499,L4499))</f>
        <v>0</v>
      </c>
      <c r="O4499" s="95"/>
      <c r="P4499" s="107" t="s">
        <v>155</v>
      </c>
      <c r="Q4499" s="109">
        <f>4027.78/10^6</f>
        <v>4.0277799999999999E-3</v>
      </c>
      <c r="R4499" s="109">
        <f>689204.895147779/10^6</f>
        <v>0.68920489514777905</v>
      </c>
      <c r="S4499" s="107">
        <v>0</v>
      </c>
      <c r="T4499" s="107">
        <v>0</v>
      </c>
      <c r="U4499" s="107"/>
      <c r="V4499" s="107"/>
      <c r="W4499" s="107"/>
      <c r="X4499" s="107"/>
      <c r="Y4499" s="107"/>
      <c r="Z4499" s="107"/>
      <c r="AA4499" s="107"/>
      <c r="AB4499" s="107"/>
      <c r="AF4499" s="94">
        <f t="shared" si="606"/>
        <v>43280</v>
      </c>
      <c r="AG4499" s="185">
        <f t="shared" si="609"/>
        <v>-2.0059633794111686E-2</v>
      </c>
      <c r="AH4499" s="339" t="str">
        <f>VLOOKUP(B4499,'MF PF'!A:B,2)</f>
        <v>Coinv</v>
      </c>
      <c r="AI4499" s="358">
        <f t="shared" si="607"/>
        <v>0</v>
      </c>
      <c r="AJ4499" s="94">
        <f t="shared" si="608"/>
        <v>43281</v>
      </c>
    </row>
    <row r="4500" spans="1:36" s="358" customFormat="1" ht="12.75" customHeight="1">
      <c r="A4500" s="94">
        <v>43312</v>
      </c>
      <c r="B4500" s="358" t="s">
        <v>408</v>
      </c>
      <c r="C4500" s="358" t="s">
        <v>297</v>
      </c>
      <c r="D4500" s="110">
        <v>29514207.190000001</v>
      </c>
      <c r="E4500" s="95">
        <f t="shared" ref="E4500:E4506" si="610">D4500/K4500</f>
        <v>29514207.190000001</v>
      </c>
      <c r="F4500" s="98"/>
      <c r="G4500" s="98"/>
      <c r="H4500" s="98">
        <v>0</v>
      </c>
      <c r="I4500" s="110">
        <v>-1049949.1200000001</v>
      </c>
      <c r="J4500" s="110"/>
      <c r="K4500" s="93">
        <v>1</v>
      </c>
      <c r="L4500" s="93">
        <f t="shared" si="604"/>
        <v>-1049949.1200000001</v>
      </c>
      <c r="M4500" s="95">
        <f t="shared" ca="1" si="605"/>
        <v>-1049949.1200000001</v>
      </c>
      <c r="N4500" s="95">
        <f>IF(P4500="Hedge Fund",IF(A4500=Summary!$AD$3,M4500-E4500,M4500),IF(A4500=Summary!$AD$3,L4500-D4500,L4500))</f>
        <v>-1049949.1200000001</v>
      </c>
      <c r="O4500" s="95"/>
      <c r="P4500" s="107" t="s">
        <v>155</v>
      </c>
      <c r="Q4500" s="109">
        <f>4444.44444444444/10^6</f>
        <v>4.4444444444444401E-3</v>
      </c>
      <c r="R4500" s="109">
        <f>723485.037027995/10^6</f>
        <v>0.72348503702799494</v>
      </c>
      <c r="S4500" s="107">
        <v>0</v>
      </c>
      <c r="T4500" s="107">
        <v>0</v>
      </c>
      <c r="U4500" s="107"/>
      <c r="V4500" s="107"/>
      <c r="W4500" s="107"/>
      <c r="X4500" s="107"/>
      <c r="Y4500" s="107"/>
      <c r="Z4500" s="107"/>
      <c r="AA4500" s="107"/>
      <c r="AB4500" s="107"/>
      <c r="AF4500" s="94">
        <f t="shared" si="606"/>
        <v>43312</v>
      </c>
      <c r="AG4500" s="185">
        <f t="shared" si="609"/>
        <v>1.5800822290880978E-2</v>
      </c>
      <c r="AH4500" s="339" t="str">
        <f>VLOOKUP(B4500,'MF PF'!A:B,2)</f>
        <v>Coinv</v>
      </c>
      <c r="AI4500" s="358">
        <f t="shared" si="607"/>
        <v>0</v>
      </c>
      <c r="AJ4500" s="94">
        <f t="shared" si="608"/>
        <v>43312</v>
      </c>
    </row>
    <row r="4501" spans="1:36" s="358" customFormat="1" ht="12.75" customHeight="1">
      <c r="A4501" s="94">
        <v>43343</v>
      </c>
      <c r="B4501" s="358" t="s">
        <v>408</v>
      </c>
      <c r="C4501" s="358" t="s">
        <v>297</v>
      </c>
      <c r="D4501" s="110">
        <v>29881298.626140095</v>
      </c>
      <c r="E4501" s="95">
        <f t="shared" si="610"/>
        <v>29881298.626140095</v>
      </c>
      <c r="F4501" s="98"/>
      <c r="G4501" s="98"/>
      <c r="H4501" s="98">
        <v>0</v>
      </c>
      <c r="I4501" s="110">
        <v>0</v>
      </c>
      <c r="J4501" s="110"/>
      <c r="K4501" s="93">
        <v>1</v>
      </c>
      <c r="L4501" s="93">
        <f t="shared" si="604"/>
        <v>0</v>
      </c>
      <c r="M4501" s="95">
        <f t="shared" ca="1" si="605"/>
        <v>0</v>
      </c>
      <c r="N4501" s="95">
        <f>IF(P4501="Hedge Fund",IF(A4501=Summary!$AD$3,M4501-E4501,M4501),IF(A4501=Summary!$AD$3,L4501-D4501,L4501))</f>
        <v>0</v>
      </c>
      <c r="O4501" s="95"/>
      <c r="P4501" s="107" t="s">
        <v>155</v>
      </c>
      <c r="Q4501" s="109">
        <f>4305.55555555556/10^6</f>
        <v>4.3055555555555599E-3</v>
      </c>
      <c r="R4501" s="109">
        <f>750013.393930642/10^6</f>
        <v>0.75001339393064204</v>
      </c>
      <c r="S4501" s="107">
        <v>0</v>
      </c>
      <c r="T4501" s="107">
        <v>0</v>
      </c>
      <c r="U4501" s="107"/>
      <c r="V4501" s="107"/>
      <c r="W4501" s="107"/>
      <c r="X4501" s="107"/>
      <c r="Y4501" s="107"/>
      <c r="Z4501" s="107"/>
      <c r="AA4501" s="107"/>
      <c r="AB4501" s="107"/>
      <c r="AF4501" s="94">
        <f t="shared" si="606"/>
        <v>43343</v>
      </c>
      <c r="AG4501" s="185">
        <f t="shared" si="609"/>
        <v>1.2437787462048933E-2</v>
      </c>
      <c r="AH4501" s="339" t="str">
        <f>VLOOKUP(B4501,'MF PF'!A:B,2)</f>
        <v>Coinv</v>
      </c>
      <c r="AI4501" s="358">
        <f t="shared" si="607"/>
        <v>0</v>
      </c>
      <c r="AJ4501" s="94">
        <f t="shared" si="608"/>
        <v>43343</v>
      </c>
    </row>
    <row r="4502" spans="1:36" s="358" customFormat="1" ht="12.75" customHeight="1">
      <c r="A4502" s="94">
        <v>43371</v>
      </c>
      <c r="B4502" s="358" t="s">
        <v>408</v>
      </c>
      <c r="C4502" s="358" t="s">
        <v>297</v>
      </c>
      <c r="D4502" s="110">
        <v>30441498.859999999</v>
      </c>
      <c r="E4502" s="95">
        <f t="shared" si="610"/>
        <v>30441498.859999999</v>
      </c>
      <c r="F4502" s="98"/>
      <c r="G4502" s="98"/>
      <c r="H4502" s="98">
        <v>0</v>
      </c>
      <c r="I4502" s="110">
        <v>0</v>
      </c>
      <c r="J4502" s="110"/>
      <c r="K4502" s="93">
        <v>1</v>
      </c>
      <c r="L4502" s="93">
        <f t="shared" si="604"/>
        <v>0</v>
      </c>
      <c r="M4502" s="95">
        <f t="shared" ca="1" si="605"/>
        <v>0</v>
      </c>
      <c r="N4502" s="95">
        <f>IF(P4502="Hedge Fund",IF(A4502=Summary!$AD$3,M4502-E4502,M4502),IF(A4502=Summary!$AD$3,L4502-D4502,L4502))</f>
        <v>0</v>
      </c>
      <c r="O4502" s="95"/>
      <c r="P4502" s="107" t="s">
        <v>155</v>
      </c>
      <c r="Q4502" s="109">
        <f>40292.0800615623/10^6</f>
        <v>4.0292080061562298E-2</v>
      </c>
      <c r="R4502" s="109">
        <f>122777.777777778/10^6</f>
        <v>0.122777777777778</v>
      </c>
      <c r="S4502" s="107">
        <v>0</v>
      </c>
      <c r="T4502" s="107">
        <v>0</v>
      </c>
      <c r="U4502" s="107"/>
      <c r="V4502" s="107"/>
      <c r="W4502" s="107"/>
      <c r="X4502" s="107"/>
      <c r="Y4502" s="107"/>
      <c r="Z4502" s="107"/>
      <c r="AA4502" s="107"/>
      <c r="AB4502" s="107"/>
      <c r="AF4502" s="94">
        <f t="shared" si="606"/>
        <v>43371</v>
      </c>
      <c r="AG4502" s="185">
        <f t="shared" si="609"/>
        <v>1.8747519673386615E-2</v>
      </c>
      <c r="AH4502" s="339" t="str">
        <f>VLOOKUP(B4502,'MF PF'!A:B,2)</f>
        <v>Coinv</v>
      </c>
      <c r="AI4502" s="358">
        <f t="shared" si="607"/>
        <v>0</v>
      </c>
      <c r="AJ4502" s="94">
        <f t="shared" si="608"/>
        <v>43373</v>
      </c>
    </row>
    <row r="4503" spans="1:36" s="358" customFormat="1" ht="12.75" customHeight="1">
      <c r="A4503" s="94">
        <v>43404</v>
      </c>
      <c r="B4503" s="358" t="s">
        <v>408</v>
      </c>
      <c r="C4503" s="358" t="s">
        <v>297</v>
      </c>
      <c r="D4503" s="110">
        <v>29230085.91</v>
      </c>
      <c r="E4503" s="95">
        <f t="shared" si="610"/>
        <v>29230085.91</v>
      </c>
      <c r="F4503" s="98"/>
      <c r="G4503" s="98"/>
      <c r="H4503" s="98">
        <v>0</v>
      </c>
      <c r="I4503" s="110">
        <v>0</v>
      </c>
      <c r="J4503" s="110"/>
      <c r="K4503" s="93">
        <v>1</v>
      </c>
      <c r="L4503" s="93">
        <f t="shared" si="604"/>
        <v>0</v>
      </c>
      <c r="M4503" s="95">
        <f t="shared" ca="1" si="605"/>
        <v>0</v>
      </c>
      <c r="N4503" s="95">
        <f>IF(P4503="Hedge Fund",IF(A4503=Summary!$AD$3,M4503-E4503,M4503),IF(A4503=Summary!$AD$3,L4503-D4503,L4503))</f>
        <v>0</v>
      </c>
      <c r="O4503" s="95"/>
      <c r="P4503" s="107" t="s">
        <v>155</v>
      </c>
      <c r="Q4503" s="109">
        <v>-1.1202119999999999E-2</v>
      </c>
      <c r="R4503" s="109">
        <v>0.12736111111111098</v>
      </c>
      <c r="S4503" s="107">
        <v>0</v>
      </c>
      <c r="T4503" s="107">
        <v>0</v>
      </c>
      <c r="U4503" s="107"/>
      <c r="V4503" s="107"/>
      <c r="W4503" s="107"/>
      <c r="X4503" s="107"/>
      <c r="Y4503" s="107"/>
      <c r="Z4503" s="107"/>
      <c r="AA4503" s="107"/>
      <c r="AB4503" s="107"/>
      <c r="AF4503" s="94">
        <f t="shared" si="606"/>
        <v>43404</v>
      </c>
      <c r="AG4503" s="185">
        <f t="shared" si="609"/>
        <v>-3.9794786569848917E-2</v>
      </c>
      <c r="AH4503" s="339" t="str">
        <f>VLOOKUP(B4503,'MF PF'!A:B,2)</f>
        <v>Coinv</v>
      </c>
      <c r="AI4503" s="358">
        <f t="shared" si="607"/>
        <v>0</v>
      </c>
      <c r="AJ4503" s="94">
        <f t="shared" si="608"/>
        <v>43404</v>
      </c>
    </row>
    <row r="4504" spans="1:36" s="358" customFormat="1" ht="12.75" customHeight="1">
      <c r="A4504" s="94">
        <v>43434</v>
      </c>
      <c r="B4504" s="358" t="s">
        <v>408</v>
      </c>
      <c r="C4504" s="358" t="s">
        <v>297</v>
      </c>
      <c r="D4504" s="110">
        <v>29644504.110574983</v>
      </c>
      <c r="E4504" s="95">
        <f t="shared" si="610"/>
        <v>29644504.110574983</v>
      </c>
      <c r="F4504" s="93"/>
      <c r="G4504" s="93"/>
      <c r="H4504" s="93"/>
      <c r="I4504" s="93"/>
      <c r="J4504" s="93"/>
      <c r="K4504" s="93">
        <v>1</v>
      </c>
      <c r="L4504" s="93">
        <f t="shared" si="604"/>
        <v>0</v>
      </c>
      <c r="M4504" s="95">
        <f t="shared" ca="1" si="605"/>
        <v>0</v>
      </c>
      <c r="N4504" s="95">
        <f>IF(P4504="Hedge Fund",IF(A4504=Summary!$AD$3,M4504-E4504,M4504),IF(A4504=Summary!$AD$3,L4504-D4504,L4504))</f>
        <v>0</v>
      </c>
      <c r="O4504" s="95"/>
      <c r="P4504" s="95" t="s">
        <v>155</v>
      </c>
      <c r="Q4504" s="109">
        <f>29898.9189589903/10^6</f>
        <v>2.98989189589903E-2</v>
      </c>
      <c r="R4504" s="109">
        <f>131527.777777778/10^6</f>
        <v>0.13152777777777802</v>
      </c>
      <c r="S4504" s="95"/>
      <c r="T4504" s="95"/>
      <c r="U4504" s="95"/>
      <c r="V4504" s="95"/>
      <c r="W4504" s="95"/>
      <c r="X4504" s="95"/>
      <c r="Y4504" s="95"/>
      <c r="Z4504" s="95"/>
      <c r="AA4504" s="95"/>
      <c r="AB4504" s="95"/>
      <c r="AF4504" s="94">
        <f t="shared" si="606"/>
        <v>43434</v>
      </c>
      <c r="AG4504" s="185">
        <f t="shared" si="609"/>
        <v>1.4177796187496039E-2</v>
      </c>
      <c r="AH4504" s="339" t="str">
        <f>VLOOKUP(B4504,'MF PF'!A:B,2)</f>
        <v>Coinv</v>
      </c>
      <c r="AI4504" s="358">
        <f t="shared" si="607"/>
        <v>0</v>
      </c>
      <c r="AJ4504" s="94">
        <f t="shared" si="608"/>
        <v>43434</v>
      </c>
    </row>
    <row r="4505" spans="1:36" s="358" customFormat="1" ht="12.75" customHeight="1">
      <c r="A4505" s="94">
        <v>43465</v>
      </c>
      <c r="B4505" s="358" t="s">
        <v>408</v>
      </c>
      <c r="C4505" s="358" t="s">
        <v>297</v>
      </c>
      <c r="D4505" s="110">
        <v>30074563.143117987</v>
      </c>
      <c r="E4505" s="95">
        <f t="shared" si="610"/>
        <v>30074563.143117987</v>
      </c>
      <c r="F4505" s="93"/>
      <c r="G4505" s="93"/>
      <c r="H4505" s="93"/>
      <c r="I4505" s="93"/>
      <c r="J4505" s="93"/>
      <c r="K4505" s="93">
        <v>1</v>
      </c>
      <c r="L4505" s="93">
        <f t="shared" si="604"/>
        <v>0</v>
      </c>
      <c r="M4505" s="95">
        <f t="shared" ca="1" si="605"/>
        <v>0</v>
      </c>
      <c r="N4505" s="95">
        <f>IF(P4505="Hedge Fund",IF(A4505=Summary!$AD$3,M4505-E4505,M4505),IF(A4505=Summary!$AD$3,L4505-D4505,L4505))</f>
        <v>0</v>
      </c>
      <c r="O4505" s="95"/>
      <c r="P4505" s="95" t="s">
        <v>155</v>
      </c>
      <c r="Q4505" s="95">
        <f>4305.55555555556/10^6</f>
        <v>4.3055555555555599E-3</v>
      </c>
      <c r="R4505" s="95">
        <f>840028.319746523/10^6</f>
        <v>0.84002831974652303</v>
      </c>
      <c r="S4505" s="95"/>
      <c r="T4505" s="95"/>
      <c r="U4505" s="95"/>
      <c r="V4505" s="95"/>
      <c r="W4505" s="95"/>
      <c r="X4505" s="95"/>
      <c r="Y4505" s="95"/>
      <c r="Z4505" s="95"/>
      <c r="AA4505" s="95"/>
      <c r="AB4505" s="95"/>
      <c r="AF4505" s="94">
        <f t="shared" si="606"/>
        <v>43465</v>
      </c>
      <c r="AG4505" s="185">
        <f t="shared" si="609"/>
        <v>1.4507209529930787E-2</v>
      </c>
      <c r="AH4505" s="339" t="str">
        <f>VLOOKUP(B4505,'MF PF'!A:B,2)</f>
        <v>Coinv</v>
      </c>
      <c r="AI4505" s="358">
        <f t="shared" si="607"/>
        <v>0</v>
      </c>
      <c r="AJ4505" s="94">
        <f t="shared" si="608"/>
        <v>43465</v>
      </c>
    </row>
    <row r="4506" spans="1:36" s="358" customFormat="1" ht="12.75" customHeight="1">
      <c r="A4506" s="94">
        <v>43496</v>
      </c>
      <c r="B4506" s="358" t="s">
        <v>408</v>
      </c>
      <c r="C4506" s="358" t="s">
        <v>297</v>
      </c>
      <c r="D4506" s="110">
        <v>29473063.710000001</v>
      </c>
      <c r="E4506" s="95">
        <f t="shared" si="610"/>
        <v>29473063.710000001</v>
      </c>
      <c r="F4506" s="93"/>
      <c r="G4506" s="93"/>
      <c r="H4506" s="93"/>
      <c r="I4506" s="93">
        <v>-1050000</v>
      </c>
      <c r="J4506" s="93"/>
      <c r="K4506" s="93">
        <v>1</v>
      </c>
      <c r="L4506" s="93">
        <f t="shared" si="604"/>
        <v>-1050000</v>
      </c>
      <c r="M4506" s="95">
        <f t="shared" ca="1" si="605"/>
        <v>-1050000</v>
      </c>
      <c r="N4506" s="95">
        <f>IF(P4506="Hedge Fund",IF(A4506=Summary!$AD$3,M4506-E4506,M4506),IF(A4506=Summary!$AD$3,L4506-D4506,L4506))</f>
        <v>-30523063.710000001</v>
      </c>
      <c r="O4506" s="95"/>
      <c r="P4506" s="95" t="s">
        <v>155</v>
      </c>
      <c r="Q4506" s="95">
        <f>4305.55555555556/10^6</f>
        <v>4.3055555555555599E-3</v>
      </c>
      <c r="R4506" s="95">
        <f>872371.61/10^6</f>
        <v>0.87237160999999996</v>
      </c>
      <c r="S4506" s="95"/>
      <c r="T4506" s="95"/>
      <c r="U4506" s="95"/>
      <c r="V4506" s="95"/>
      <c r="W4506" s="95"/>
      <c r="X4506" s="95"/>
      <c r="Y4506" s="95"/>
      <c r="Z4506" s="95"/>
      <c r="AA4506" s="95"/>
      <c r="AB4506" s="95"/>
      <c r="AF4506" s="94">
        <f t="shared" si="606"/>
        <v>43496</v>
      </c>
      <c r="AG4506" s="185">
        <f t="shared" si="609"/>
        <v>1.4912953672766571E-2</v>
      </c>
      <c r="AH4506" s="339" t="str">
        <f>VLOOKUP(B4506,'MF PF'!A:B,2)</f>
        <v>Coinv</v>
      </c>
      <c r="AI4506" s="358">
        <f t="shared" si="607"/>
        <v>0</v>
      </c>
      <c r="AJ4506" s="94">
        <f t="shared" si="608"/>
        <v>43496</v>
      </c>
    </row>
    <row r="4507" spans="1:36" s="358" customFormat="1" ht="12.75" customHeight="1">
      <c r="A4507" s="94">
        <v>42114</v>
      </c>
      <c r="B4507" s="101" t="s">
        <v>93</v>
      </c>
      <c r="C4507" s="358" t="s">
        <v>297</v>
      </c>
      <c r="D4507" s="98">
        <v>64557926.877264522</v>
      </c>
      <c r="E4507" s="95">
        <f>IF(K4507="","",D4507/K4507)</f>
        <v>64557926.877264522</v>
      </c>
      <c r="F4507" s="98"/>
      <c r="G4507" s="98">
        <v>64557926.877264522</v>
      </c>
      <c r="H4507" s="98">
        <v>0</v>
      </c>
      <c r="I4507" s="98">
        <v>0</v>
      </c>
      <c r="J4507" s="98"/>
      <c r="K4507" s="93">
        <v>1</v>
      </c>
      <c r="L4507" s="93">
        <f t="shared" si="604"/>
        <v>64557926.877264522</v>
      </c>
      <c r="M4507" s="95">
        <f t="shared" ca="1" si="605"/>
        <v>64557926.877264522</v>
      </c>
      <c r="N4507" s="95">
        <f>IF(P4507="Hedge Fund",IF(A4507=Summary!$AD$3,M4507-E4507,M4507),IF(A4507=Summary!$AD$3,L4507-D4507,L4507))</f>
        <v>64557926.877264522</v>
      </c>
      <c r="O4507" s="95"/>
      <c r="P4507" s="107" t="s">
        <v>155</v>
      </c>
      <c r="Q4507" s="107">
        <v>0</v>
      </c>
      <c r="R4507" s="107">
        <v>0</v>
      </c>
      <c r="S4507" s="107">
        <v>0</v>
      </c>
      <c r="T4507" s="107">
        <v>0</v>
      </c>
      <c r="U4507" s="107"/>
      <c r="V4507" s="107"/>
      <c r="W4507" s="107"/>
      <c r="X4507" s="107"/>
      <c r="Y4507" s="107"/>
      <c r="Z4507" s="107"/>
      <c r="AA4507" s="107"/>
      <c r="AB4507" s="107"/>
      <c r="AF4507" s="94">
        <f t="shared" si="606"/>
        <v>42114</v>
      </c>
      <c r="AG4507" s="185">
        <f t="shared" si="609"/>
        <v>-1</v>
      </c>
      <c r="AH4507" s="339" t="str">
        <f>VLOOKUP(B4507,'MF PF'!A:B,2)</f>
        <v>Coinv</v>
      </c>
      <c r="AI4507" s="358">
        <f t="shared" si="607"/>
        <v>0</v>
      </c>
      <c r="AJ4507" s="94">
        <f t="shared" si="608"/>
        <v>42124</v>
      </c>
    </row>
    <row r="4508" spans="1:36" s="358" customFormat="1" ht="12.75" customHeight="1">
      <c r="A4508" s="94">
        <v>42466</v>
      </c>
      <c r="B4508" s="94" t="s">
        <v>33</v>
      </c>
      <c r="C4508" s="358" t="s">
        <v>297</v>
      </c>
      <c r="D4508" s="98">
        <v>5882317.2199999997</v>
      </c>
      <c r="E4508" s="95">
        <f t="shared" ref="E4508:E4531" si="611">D4508/K4508</f>
        <v>5882317.2199999997</v>
      </c>
      <c r="F4508" s="98"/>
      <c r="G4508" s="98">
        <v>5882317.2199999997</v>
      </c>
      <c r="H4508" s="98"/>
      <c r="I4508" s="98">
        <v>0</v>
      </c>
      <c r="J4508" s="98"/>
      <c r="K4508" s="93">
        <v>1</v>
      </c>
      <c r="L4508" s="93">
        <f t="shared" si="604"/>
        <v>5882317.2199999997</v>
      </c>
      <c r="M4508" s="95">
        <f t="shared" ca="1" si="605"/>
        <v>0</v>
      </c>
      <c r="N4508" s="95">
        <f>IF(P4508="Hedge Fund",IF(A4508=Summary!$AD$3,M4508-E4508,M4508),IF(A4508=Summary!$AD$3,L4508-D4508,L4508))</f>
        <v>5882317.2199999997</v>
      </c>
      <c r="O4508" s="95"/>
      <c r="P4508" s="107" t="s">
        <v>155</v>
      </c>
      <c r="Q4508" s="107">
        <v>0</v>
      </c>
      <c r="R4508" s="107">
        <v>0</v>
      </c>
      <c r="S4508" s="107">
        <v>0</v>
      </c>
      <c r="T4508" s="107">
        <v>0</v>
      </c>
      <c r="U4508" s="107"/>
      <c r="V4508" s="107"/>
      <c r="W4508" s="107"/>
      <c r="X4508" s="107"/>
      <c r="Y4508" s="107"/>
      <c r="Z4508" s="107"/>
      <c r="AA4508" s="107"/>
      <c r="AB4508" s="107"/>
      <c r="AF4508" s="94">
        <f t="shared" si="606"/>
        <v>42466</v>
      </c>
      <c r="AG4508" s="185">
        <f t="shared" si="609"/>
        <v>-1</v>
      </c>
      <c r="AH4508" s="339" t="str">
        <f>VLOOKUP(B4508,'MF PF'!A:B,2)</f>
        <v>FdMgt2</v>
      </c>
      <c r="AI4508" s="358">
        <f t="shared" si="607"/>
        <v>0</v>
      </c>
      <c r="AJ4508" s="94">
        <f t="shared" si="608"/>
        <v>42490</v>
      </c>
    </row>
    <row r="4509" spans="1:36" s="358" customFormat="1" ht="12.75" customHeight="1">
      <c r="A4509" s="94">
        <v>42489</v>
      </c>
      <c r="B4509" s="94" t="s">
        <v>33</v>
      </c>
      <c r="C4509" s="358" t="s">
        <v>297</v>
      </c>
      <c r="D4509" s="98">
        <v>5882317.2199999997</v>
      </c>
      <c r="E4509" s="95">
        <f t="shared" si="611"/>
        <v>5882317.2199999997</v>
      </c>
      <c r="F4509" s="98"/>
      <c r="G4509" s="98">
        <v>0</v>
      </c>
      <c r="H4509" s="98"/>
      <c r="I4509" s="98">
        <v>0</v>
      </c>
      <c r="J4509" s="98"/>
      <c r="K4509" s="93">
        <v>1</v>
      </c>
      <c r="L4509" s="93">
        <f t="shared" si="604"/>
        <v>0</v>
      </c>
      <c r="M4509" s="95">
        <f t="shared" ca="1" si="605"/>
        <v>0</v>
      </c>
      <c r="N4509" s="95">
        <f>IF(P4509="Hedge Fund",IF(A4509=Summary!$AD$3,M4509-E4509,M4509),IF(A4509=Summary!$AD$3,L4509-D4509,L4509))</f>
        <v>0</v>
      </c>
      <c r="O4509" s="95"/>
      <c r="P4509" s="107" t="s">
        <v>155</v>
      </c>
      <c r="Q4509" s="107">
        <v>0.01</v>
      </c>
      <c r="R4509" s="107">
        <v>0</v>
      </c>
      <c r="S4509" s="107">
        <v>0</v>
      </c>
      <c r="T4509" s="107">
        <v>0</v>
      </c>
      <c r="U4509" s="107"/>
      <c r="V4509" s="107"/>
      <c r="W4509" s="107"/>
      <c r="X4509" s="107"/>
      <c r="Y4509" s="107"/>
      <c r="Z4509" s="107"/>
      <c r="AA4509" s="107"/>
      <c r="AB4509" s="107"/>
      <c r="AF4509" s="94">
        <f t="shared" si="606"/>
        <v>42489</v>
      </c>
      <c r="AG4509" s="185">
        <f t="shared" si="609"/>
        <v>0</v>
      </c>
      <c r="AH4509" s="339" t="str">
        <f>VLOOKUP(B4509,'MF PF'!A:B,2)</f>
        <v>FdMgt2</v>
      </c>
      <c r="AI4509" s="358">
        <f t="shared" si="607"/>
        <v>0</v>
      </c>
      <c r="AJ4509" s="94">
        <f t="shared" si="608"/>
        <v>42490</v>
      </c>
    </row>
    <row r="4510" spans="1:36" s="358" customFormat="1" ht="12.75" customHeight="1">
      <c r="A4510" s="94">
        <v>42521</v>
      </c>
      <c r="B4510" s="94" t="s">
        <v>33</v>
      </c>
      <c r="C4510" s="358" t="s">
        <v>297</v>
      </c>
      <c r="D4510" s="98">
        <v>5882317.2199999997</v>
      </c>
      <c r="E4510" s="95">
        <f t="shared" si="611"/>
        <v>5882317.2199999997</v>
      </c>
      <c r="F4510" s="98"/>
      <c r="G4510" s="98">
        <v>0</v>
      </c>
      <c r="H4510" s="98"/>
      <c r="I4510" s="98">
        <v>0</v>
      </c>
      <c r="J4510" s="98"/>
      <c r="K4510" s="93">
        <v>1</v>
      </c>
      <c r="L4510" s="93">
        <f t="shared" si="604"/>
        <v>0</v>
      </c>
      <c r="M4510" s="95">
        <f t="shared" ca="1" si="605"/>
        <v>0</v>
      </c>
      <c r="N4510" s="95">
        <f>IF(P4510="Hedge Fund",IF(A4510=Summary!$AD$3,M4510-E4510,M4510),IF(A4510=Summary!$AD$3,L4510-D4510,L4510))</f>
        <v>0</v>
      </c>
      <c r="O4510" s="95"/>
      <c r="P4510" s="107" t="s">
        <v>155</v>
      </c>
      <c r="Q4510" s="107">
        <v>0.01</v>
      </c>
      <c r="R4510" s="107">
        <v>0</v>
      </c>
      <c r="S4510" s="107">
        <v>0</v>
      </c>
      <c r="T4510" s="107">
        <v>0</v>
      </c>
      <c r="U4510" s="107"/>
      <c r="V4510" s="107"/>
      <c r="W4510" s="107"/>
      <c r="X4510" s="107"/>
      <c r="Y4510" s="107"/>
      <c r="Z4510" s="107"/>
      <c r="AA4510" s="107"/>
      <c r="AB4510" s="107"/>
      <c r="AF4510" s="94">
        <f t="shared" si="606"/>
        <v>42521</v>
      </c>
      <c r="AG4510" s="185">
        <f t="shared" si="609"/>
        <v>0</v>
      </c>
      <c r="AH4510" s="339" t="str">
        <f>VLOOKUP(B4510,'MF PF'!A:B,2)</f>
        <v>FdMgt2</v>
      </c>
      <c r="AI4510" s="358">
        <f t="shared" si="607"/>
        <v>0</v>
      </c>
      <c r="AJ4510" s="94">
        <f t="shared" si="608"/>
        <v>42521</v>
      </c>
    </row>
    <row r="4511" spans="1:36" s="358" customFormat="1" ht="12.75" customHeight="1">
      <c r="A4511" s="94">
        <v>42551</v>
      </c>
      <c r="B4511" s="94" t="s">
        <v>33</v>
      </c>
      <c r="C4511" s="358" t="s">
        <v>297</v>
      </c>
      <c r="D4511" s="98">
        <v>7165813.2800000003</v>
      </c>
      <c r="E4511" s="95">
        <f t="shared" si="611"/>
        <v>5723736.7302228762</v>
      </c>
      <c r="F4511" s="98"/>
      <c r="G4511" s="98">
        <v>1482030.3800000001</v>
      </c>
      <c r="H4511" s="98"/>
      <c r="I4511" s="98">
        <v>0</v>
      </c>
      <c r="J4511" s="98"/>
      <c r="K4511" s="93">
        <v>1.2519466945714974</v>
      </c>
      <c r="L4511" s="93">
        <f t="shared" si="604"/>
        <v>1482030.3800000001</v>
      </c>
      <c r="M4511" s="95">
        <f t="shared" ca="1" si="605"/>
        <v>0</v>
      </c>
      <c r="N4511" s="95">
        <f>IF(P4511="Hedge Fund",IF(A4511=Summary!$AD$3,M4511-E4511,M4511),IF(A4511=Summary!$AD$3,L4511-D4511,L4511))</f>
        <v>1482030.3800000001</v>
      </c>
      <c r="O4511" s="95"/>
      <c r="P4511" s="107" t="s">
        <v>155</v>
      </c>
      <c r="Q4511" s="107">
        <v>0.01</v>
      </c>
      <c r="R4511" s="107">
        <v>0</v>
      </c>
      <c r="S4511" s="107">
        <v>0</v>
      </c>
      <c r="T4511" s="107">
        <v>0</v>
      </c>
      <c r="U4511" s="107"/>
      <c r="V4511" s="107"/>
      <c r="W4511" s="107"/>
      <c r="X4511" s="107"/>
      <c r="Y4511" s="107"/>
      <c r="Z4511" s="107"/>
      <c r="AA4511" s="107"/>
      <c r="AB4511" s="107"/>
      <c r="AF4511" s="94">
        <f t="shared" si="606"/>
        <v>42551</v>
      </c>
      <c r="AG4511" s="185">
        <f t="shared" si="609"/>
        <v>-3.3751039356561541E-2</v>
      </c>
      <c r="AH4511" s="339" t="str">
        <f>VLOOKUP(B4511,'MF PF'!A:B,2)</f>
        <v>FdMgt2</v>
      </c>
      <c r="AI4511" s="358">
        <f t="shared" si="607"/>
        <v>0</v>
      </c>
      <c r="AJ4511" s="94">
        <f t="shared" si="608"/>
        <v>42551</v>
      </c>
    </row>
    <row r="4512" spans="1:36" s="358" customFormat="1" ht="12.75" customHeight="1">
      <c r="A4512" s="94">
        <v>42580</v>
      </c>
      <c r="B4512" s="94" t="s">
        <v>33</v>
      </c>
      <c r="C4512" s="358" t="s">
        <v>297</v>
      </c>
      <c r="D4512" s="98">
        <v>7165813.2800000003</v>
      </c>
      <c r="E4512" s="95">
        <f t="shared" si="611"/>
        <v>4270671.7252963977</v>
      </c>
      <c r="F4512" s="98"/>
      <c r="G4512" s="98">
        <v>2438115.8699999996</v>
      </c>
      <c r="H4512" s="98"/>
      <c r="I4512" s="98">
        <v>0</v>
      </c>
      <c r="J4512" s="98"/>
      <c r="K4512" s="93">
        <v>1.6779124552128089</v>
      </c>
      <c r="L4512" s="93">
        <f t="shared" si="604"/>
        <v>2438115.8699999996</v>
      </c>
      <c r="M4512" s="95">
        <f t="shared" ca="1" si="605"/>
        <v>0</v>
      </c>
      <c r="N4512" s="95">
        <f>IF(P4512="Hedge Fund",IF(A4512=Summary!$AD$3,M4512-E4512,M4512),IF(A4512=Summary!$AD$3,L4512-D4512,L4512))</f>
        <v>2438115.8699999996</v>
      </c>
      <c r="O4512" s="95"/>
      <c r="P4512" s="107" t="s">
        <v>155</v>
      </c>
      <c r="Q4512" s="107">
        <v>0.01</v>
      </c>
      <c r="R4512" s="107">
        <v>0</v>
      </c>
      <c r="S4512" s="107">
        <v>0</v>
      </c>
      <c r="T4512" s="107">
        <v>0</v>
      </c>
      <c r="U4512" s="107"/>
      <c r="V4512" s="107"/>
      <c r="W4512" s="107"/>
      <c r="X4512" s="107"/>
      <c r="Y4512" s="107"/>
      <c r="Z4512" s="107"/>
      <c r="AA4512" s="107"/>
      <c r="AB4512" s="107"/>
      <c r="AF4512" s="94">
        <f t="shared" si="606"/>
        <v>42580</v>
      </c>
      <c r="AG4512" s="185">
        <f t="shared" si="609"/>
        <v>-0.34024272957332768</v>
      </c>
      <c r="AH4512" s="339" t="str">
        <f>VLOOKUP(B4512,'MF PF'!A:B,2)</f>
        <v>FdMgt2</v>
      </c>
      <c r="AI4512" s="358">
        <f t="shared" si="607"/>
        <v>0</v>
      </c>
      <c r="AJ4512" s="94">
        <f t="shared" si="608"/>
        <v>42582</v>
      </c>
    </row>
    <row r="4513" spans="1:36" s="358" customFormat="1" ht="12.75" customHeight="1">
      <c r="A4513" s="94">
        <v>42613</v>
      </c>
      <c r="B4513" s="94" t="s">
        <v>33</v>
      </c>
      <c r="C4513" s="358" t="s">
        <v>297</v>
      </c>
      <c r="D4513" s="98">
        <v>7165813.2800000003</v>
      </c>
      <c r="E4513" s="95">
        <f t="shared" si="611"/>
        <v>4270671.7252963977</v>
      </c>
      <c r="F4513" s="98"/>
      <c r="G4513" s="98">
        <v>0</v>
      </c>
      <c r="H4513" s="98"/>
      <c r="I4513" s="98">
        <v>0</v>
      </c>
      <c r="J4513" s="98"/>
      <c r="K4513" s="93">
        <v>1.6779124552128089</v>
      </c>
      <c r="L4513" s="93">
        <f t="shared" si="604"/>
        <v>0</v>
      </c>
      <c r="M4513" s="95">
        <f t="shared" ca="1" si="605"/>
        <v>0</v>
      </c>
      <c r="N4513" s="95">
        <f>IF(P4513="Hedge Fund",IF(A4513=Summary!$AD$3,M4513-E4513,M4513),IF(A4513=Summary!$AD$3,L4513-D4513,L4513))</f>
        <v>0</v>
      </c>
      <c r="O4513" s="95"/>
      <c r="P4513" s="107" t="s">
        <v>155</v>
      </c>
      <c r="Q4513" s="107">
        <v>0.01</v>
      </c>
      <c r="R4513" s="107">
        <v>0</v>
      </c>
      <c r="S4513" s="107">
        <v>0</v>
      </c>
      <c r="T4513" s="107">
        <v>0</v>
      </c>
      <c r="U4513" s="107"/>
      <c r="V4513" s="107"/>
      <c r="W4513" s="107"/>
      <c r="X4513" s="107"/>
      <c r="Y4513" s="107"/>
      <c r="Z4513" s="107"/>
      <c r="AA4513" s="107"/>
      <c r="AB4513" s="107"/>
      <c r="AF4513" s="94">
        <f t="shared" si="606"/>
        <v>42613</v>
      </c>
      <c r="AG4513" s="185">
        <f t="shared" si="609"/>
        <v>0</v>
      </c>
      <c r="AH4513" s="339" t="str">
        <f>VLOOKUP(B4513,'MF PF'!A:B,2)</f>
        <v>FdMgt2</v>
      </c>
      <c r="AI4513" s="358">
        <f t="shared" si="607"/>
        <v>0</v>
      </c>
      <c r="AJ4513" s="94">
        <f t="shared" si="608"/>
        <v>42613</v>
      </c>
    </row>
    <row r="4514" spans="1:36" s="358" customFormat="1" ht="12.75" customHeight="1">
      <c r="A4514" s="94">
        <v>42643</v>
      </c>
      <c r="B4514" s="94" t="s">
        <v>33</v>
      </c>
      <c r="C4514" s="358" t="s">
        <v>297</v>
      </c>
      <c r="D4514" s="98">
        <v>9258070.5699999984</v>
      </c>
      <c r="E4514" s="95">
        <f t="shared" si="611"/>
        <v>5517612.4005979812</v>
      </c>
      <c r="F4514" s="98"/>
      <c r="G4514" s="98">
        <v>0</v>
      </c>
      <c r="H4514" s="98"/>
      <c r="I4514" s="98">
        <v>0</v>
      </c>
      <c r="J4514" s="98"/>
      <c r="K4514" s="93">
        <v>1.6779124552128089</v>
      </c>
      <c r="L4514" s="93">
        <f t="shared" si="604"/>
        <v>0</v>
      </c>
      <c r="M4514" s="95">
        <f t="shared" ca="1" si="605"/>
        <v>0</v>
      </c>
      <c r="N4514" s="95">
        <f>IF(P4514="Hedge Fund",IF(A4514=Summary!$AD$3,M4514-E4514,M4514),IF(A4514=Summary!$AD$3,L4514-D4514,L4514))</f>
        <v>0</v>
      </c>
      <c r="O4514" s="95"/>
      <c r="P4514" s="107" t="s">
        <v>155</v>
      </c>
      <c r="Q4514" s="107">
        <v>0.01</v>
      </c>
      <c r="R4514" s="107">
        <v>0</v>
      </c>
      <c r="S4514" s="107">
        <v>0</v>
      </c>
      <c r="T4514" s="107">
        <v>0</v>
      </c>
      <c r="U4514" s="107"/>
      <c r="V4514" s="107"/>
      <c r="W4514" s="107"/>
      <c r="X4514" s="107"/>
      <c r="Y4514" s="107"/>
      <c r="Z4514" s="107"/>
      <c r="AA4514" s="107"/>
      <c r="AB4514" s="107"/>
      <c r="AF4514" s="94">
        <f t="shared" si="606"/>
        <v>42643</v>
      </c>
      <c r="AG4514" s="185">
        <f t="shared" si="609"/>
        <v>0.29197764555762995</v>
      </c>
      <c r="AH4514" s="339" t="str">
        <f>VLOOKUP(B4514,'MF PF'!A:B,2)</f>
        <v>FdMgt2</v>
      </c>
      <c r="AI4514" s="358">
        <f t="shared" si="607"/>
        <v>0</v>
      </c>
      <c r="AJ4514" s="94">
        <f t="shared" si="608"/>
        <v>42643</v>
      </c>
    </row>
    <row r="4515" spans="1:36" s="358" customFormat="1" ht="12.75" customHeight="1">
      <c r="A4515" s="94">
        <v>42674</v>
      </c>
      <c r="B4515" s="94" t="s">
        <v>33</v>
      </c>
      <c r="C4515" s="358" t="s">
        <v>297</v>
      </c>
      <c r="D4515" s="98">
        <v>9258070.5699999984</v>
      </c>
      <c r="E4515" s="95">
        <f t="shared" si="611"/>
        <v>5517612.4005979812</v>
      </c>
      <c r="F4515" s="98"/>
      <c r="G4515" s="98">
        <v>0</v>
      </c>
      <c r="H4515" s="98"/>
      <c r="I4515" s="98">
        <v>0</v>
      </c>
      <c r="J4515" s="98"/>
      <c r="K4515" s="93">
        <v>1.6779124552128089</v>
      </c>
      <c r="L4515" s="93">
        <f t="shared" si="604"/>
        <v>0</v>
      </c>
      <c r="M4515" s="95">
        <f t="shared" ca="1" si="605"/>
        <v>0</v>
      </c>
      <c r="N4515" s="95">
        <f>IF(P4515="Hedge Fund",IF(A4515=Summary!$AD$3,M4515-E4515,M4515),IF(A4515=Summary!$AD$3,L4515-D4515,L4515))</f>
        <v>0</v>
      </c>
      <c r="O4515" s="95"/>
      <c r="P4515" s="107" t="s">
        <v>155</v>
      </c>
      <c r="Q4515" s="107">
        <v>0.01</v>
      </c>
      <c r="R4515" s="107">
        <v>0</v>
      </c>
      <c r="S4515" s="107">
        <v>0</v>
      </c>
      <c r="T4515" s="107">
        <v>0</v>
      </c>
      <c r="U4515" s="107"/>
      <c r="V4515" s="107"/>
      <c r="W4515" s="107"/>
      <c r="X4515" s="107"/>
      <c r="Y4515" s="107"/>
      <c r="Z4515" s="107"/>
      <c r="AA4515" s="107"/>
      <c r="AB4515" s="107"/>
      <c r="AF4515" s="94">
        <f t="shared" si="606"/>
        <v>42674</v>
      </c>
      <c r="AG4515" s="185">
        <f t="shared" si="609"/>
        <v>0</v>
      </c>
      <c r="AH4515" s="339" t="str">
        <f>VLOOKUP(B4515,'MF PF'!A:B,2)</f>
        <v>FdMgt2</v>
      </c>
      <c r="AI4515" s="358">
        <f t="shared" si="607"/>
        <v>0</v>
      </c>
      <c r="AJ4515" s="94">
        <f t="shared" si="608"/>
        <v>42674</v>
      </c>
    </row>
    <row r="4516" spans="1:36" s="358" customFormat="1" ht="12.75" customHeight="1">
      <c r="A4516" s="94">
        <v>42704</v>
      </c>
      <c r="B4516" s="94" t="s">
        <v>33</v>
      </c>
      <c r="C4516" s="358" t="s">
        <v>297</v>
      </c>
      <c r="D4516" s="98">
        <v>17698070.57</v>
      </c>
      <c r="E4516" s="95">
        <f t="shared" si="611"/>
        <v>5517612.4005979812</v>
      </c>
      <c r="F4516" s="98"/>
      <c r="G4516" s="98">
        <v>8440000</v>
      </c>
      <c r="H4516" s="98"/>
      <c r="I4516" s="98">
        <v>0</v>
      </c>
      <c r="J4516" s="98"/>
      <c r="K4516" s="93">
        <v>3.2075595901013161</v>
      </c>
      <c r="L4516" s="93">
        <f t="shared" si="604"/>
        <v>8440000</v>
      </c>
      <c r="M4516" s="95">
        <f t="shared" ca="1" si="605"/>
        <v>0</v>
      </c>
      <c r="N4516" s="95">
        <f>IF(P4516="Hedge Fund",IF(A4516=Summary!$AD$3,M4516-E4516,M4516),IF(A4516=Summary!$AD$3,L4516-D4516,L4516))</f>
        <v>8440000</v>
      </c>
      <c r="O4516" s="95"/>
      <c r="P4516" s="107" t="s">
        <v>155</v>
      </c>
      <c r="Q4516" s="107">
        <v>0.01</v>
      </c>
      <c r="R4516" s="107">
        <v>0</v>
      </c>
      <c r="S4516" s="107">
        <v>0</v>
      </c>
      <c r="T4516" s="107">
        <v>0</v>
      </c>
      <c r="U4516" s="107"/>
      <c r="V4516" s="107"/>
      <c r="W4516" s="107"/>
      <c r="X4516" s="107"/>
      <c r="Y4516" s="107"/>
      <c r="Z4516" s="107"/>
      <c r="AA4516" s="107"/>
      <c r="AB4516" s="107"/>
      <c r="AF4516" s="94">
        <f t="shared" si="606"/>
        <v>42704</v>
      </c>
      <c r="AG4516" s="185">
        <f t="shared" si="609"/>
        <v>2.2204460492503131E-16</v>
      </c>
      <c r="AH4516" s="339" t="str">
        <f>VLOOKUP(B4516,'MF PF'!A:B,2)</f>
        <v>FdMgt2</v>
      </c>
      <c r="AI4516" s="358">
        <f t="shared" si="607"/>
        <v>0</v>
      </c>
      <c r="AJ4516" s="94">
        <f t="shared" si="608"/>
        <v>42704</v>
      </c>
    </row>
    <row r="4517" spans="1:36" s="358" customFormat="1" ht="12.75" customHeight="1">
      <c r="A4517" s="94">
        <v>42734</v>
      </c>
      <c r="B4517" s="94" t="s">
        <v>33</v>
      </c>
      <c r="C4517" s="358" t="s">
        <v>297</v>
      </c>
      <c r="D4517" s="98">
        <v>20366787.039999999</v>
      </c>
      <c r="E4517" s="95">
        <f t="shared" si="611"/>
        <v>6349620.784241355</v>
      </c>
      <c r="F4517" s="98"/>
      <c r="G4517" s="98">
        <v>0</v>
      </c>
      <c r="H4517" s="98"/>
      <c r="I4517" s="98">
        <v>0</v>
      </c>
      <c r="J4517" s="98"/>
      <c r="K4517" s="93">
        <v>3.2075595901013161</v>
      </c>
      <c r="L4517" s="93">
        <f t="shared" si="604"/>
        <v>0</v>
      </c>
      <c r="M4517" s="95">
        <f t="shared" ca="1" si="605"/>
        <v>0</v>
      </c>
      <c r="N4517" s="95">
        <f>IF(P4517="Hedge Fund",IF(A4517=Summary!$AD$3,M4517-E4517,M4517),IF(A4517=Summary!$AD$3,L4517-D4517,L4517))</f>
        <v>0</v>
      </c>
      <c r="O4517" s="95"/>
      <c r="P4517" s="107" t="s">
        <v>155</v>
      </c>
      <c r="Q4517" s="107">
        <v>0.01</v>
      </c>
      <c r="R4517" s="107">
        <v>0</v>
      </c>
      <c r="S4517" s="107">
        <v>0</v>
      </c>
      <c r="T4517" s="107">
        <v>0</v>
      </c>
      <c r="U4517" s="107"/>
      <c r="V4517" s="107"/>
      <c r="W4517" s="107"/>
      <c r="X4517" s="107"/>
      <c r="Y4517" s="107"/>
      <c r="Z4517" s="107"/>
      <c r="AA4517" s="107"/>
      <c r="AB4517" s="107"/>
      <c r="AF4517" s="94">
        <f t="shared" si="606"/>
        <v>42734</v>
      </c>
      <c r="AG4517" s="185">
        <f t="shared" si="609"/>
        <v>0.15079137917574692</v>
      </c>
      <c r="AH4517" s="339" t="str">
        <f>VLOOKUP(B4517,'MF PF'!A:B,2)</f>
        <v>FdMgt2</v>
      </c>
      <c r="AI4517" s="358">
        <f t="shared" si="607"/>
        <v>0</v>
      </c>
      <c r="AJ4517" s="94">
        <f t="shared" si="608"/>
        <v>42735</v>
      </c>
    </row>
    <row r="4518" spans="1:36" s="358" customFormat="1" ht="12.75" customHeight="1">
      <c r="A4518" s="94">
        <v>42762</v>
      </c>
      <c r="B4518" s="94" t="s">
        <v>33</v>
      </c>
      <c r="C4518" s="358" t="s">
        <v>297</v>
      </c>
      <c r="D4518" s="98">
        <v>20366787.039999999</v>
      </c>
      <c r="E4518" s="95">
        <f t="shared" si="611"/>
        <v>6349620.784241355</v>
      </c>
      <c r="F4518" s="98"/>
      <c r="G4518" s="98">
        <v>0</v>
      </c>
      <c r="H4518" s="98"/>
      <c r="I4518" s="98">
        <v>0</v>
      </c>
      <c r="J4518" s="98"/>
      <c r="K4518" s="93">
        <v>3.2075595901013161</v>
      </c>
      <c r="L4518" s="93">
        <f t="shared" si="604"/>
        <v>0</v>
      </c>
      <c r="M4518" s="95">
        <f t="shared" ca="1" si="605"/>
        <v>0</v>
      </c>
      <c r="N4518" s="95">
        <f>IF(P4518="Hedge Fund",IF(A4518=Summary!$AD$3,M4518-E4518,M4518),IF(A4518=Summary!$AD$3,L4518-D4518,L4518))</f>
        <v>0</v>
      </c>
      <c r="O4518" s="95"/>
      <c r="P4518" s="107" t="s">
        <v>155</v>
      </c>
      <c r="Q4518" s="107">
        <v>0.01</v>
      </c>
      <c r="R4518" s="107">
        <v>0</v>
      </c>
      <c r="S4518" s="107">
        <v>0</v>
      </c>
      <c r="T4518" s="107">
        <v>0</v>
      </c>
      <c r="U4518" s="107"/>
      <c r="V4518" s="107"/>
      <c r="W4518" s="107"/>
      <c r="X4518" s="107"/>
      <c r="Y4518" s="107"/>
      <c r="Z4518" s="107"/>
      <c r="AA4518" s="107"/>
      <c r="AB4518" s="107"/>
      <c r="AF4518" s="94">
        <f t="shared" si="606"/>
        <v>42762</v>
      </c>
      <c r="AG4518" s="185">
        <f t="shared" si="609"/>
        <v>0</v>
      </c>
      <c r="AH4518" s="339" t="str">
        <f>VLOOKUP(B4518,'MF PF'!A:B,2)</f>
        <v>FdMgt2</v>
      </c>
      <c r="AI4518" s="358">
        <f t="shared" si="607"/>
        <v>0</v>
      </c>
      <c r="AJ4518" s="94">
        <f t="shared" si="608"/>
        <v>42766</v>
      </c>
    </row>
    <row r="4519" spans="1:36" s="358" customFormat="1" ht="12.75" customHeight="1">
      <c r="A4519" s="94">
        <v>42794</v>
      </c>
      <c r="B4519" s="94" t="s">
        <v>33</v>
      </c>
      <c r="C4519" s="358" t="s">
        <v>297</v>
      </c>
      <c r="D4519" s="98">
        <v>20366787.039999999</v>
      </c>
      <c r="E4519" s="95">
        <f t="shared" si="611"/>
        <v>6349620.784241355</v>
      </c>
      <c r="F4519" s="98"/>
      <c r="G4519" s="98">
        <v>0</v>
      </c>
      <c r="H4519" s="98"/>
      <c r="I4519" s="98">
        <v>0</v>
      </c>
      <c r="J4519" s="98"/>
      <c r="K4519" s="93">
        <v>3.2075595901013161</v>
      </c>
      <c r="L4519" s="93">
        <f t="shared" si="604"/>
        <v>0</v>
      </c>
      <c r="M4519" s="95">
        <f t="shared" ca="1" si="605"/>
        <v>0</v>
      </c>
      <c r="N4519" s="95">
        <f>IF(P4519="Hedge Fund",IF(A4519=Summary!$AD$3,M4519-E4519,M4519),IF(A4519=Summary!$AD$3,L4519-D4519,L4519))</f>
        <v>0</v>
      </c>
      <c r="O4519" s="95"/>
      <c r="P4519" s="107" t="s">
        <v>155</v>
      </c>
      <c r="Q4519" s="107">
        <v>0.01</v>
      </c>
      <c r="R4519" s="107">
        <v>0</v>
      </c>
      <c r="S4519" s="107">
        <v>0</v>
      </c>
      <c r="T4519" s="107">
        <v>0</v>
      </c>
      <c r="U4519" s="107"/>
      <c r="V4519" s="107"/>
      <c r="W4519" s="107"/>
      <c r="X4519" s="107"/>
      <c r="Y4519" s="107"/>
      <c r="Z4519" s="107"/>
      <c r="AA4519" s="107"/>
      <c r="AB4519" s="107"/>
      <c r="AF4519" s="94">
        <f t="shared" si="606"/>
        <v>42794</v>
      </c>
      <c r="AG4519" s="185">
        <f t="shared" si="609"/>
        <v>0</v>
      </c>
      <c r="AH4519" s="339" t="str">
        <f>VLOOKUP(B4519,'MF PF'!A:B,2)</f>
        <v>FdMgt2</v>
      </c>
      <c r="AI4519" s="358">
        <f t="shared" si="607"/>
        <v>0</v>
      </c>
      <c r="AJ4519" s="94">
        <f t="shared" si="608"/>
        <v>42794</v>
      </c>
    </row>
    <row r="4520" spans="1:36" s="358" customFormat="1" ht="12.75" customHeight="1">
      <c r="A4520" s="94">
        <v>42825</v>
      </c>
      <c r="B4520" s="94" t="s">
        <v>33</v>
      </c>
      <c r="C4520" s="358" t="s">
        <v>297</v>
      </c>
      <c r="D4520" s="98">
        <v>20166787.039999999</v>
      </c>
      <c r="E4520" s="95">
        <f t="shared" si="611"/>
        <v>6287268.084507511</v>
      </c>
      <c r="F4520" s="98"/>
      <c r="G4520" s="98">
        <v>0</v>
      </c>
      <c r="H4520" s="98"/>
      <c r="I4520" s="98">
        <v>0</v>
      </c>
      <c r="J4520" s="98"/>
      <c r="K4520" s="93">
        <v>3.2075595901013161</v>
      </c>
      <c r="L4520" s="93">
        <f t="shared" si="604"/>
        <v>0</v>
      </c>
      <c r="M4520" s="95">
        <f t="shared" ca="1" si="605"/>
        <v>0</v>
      </c>
      <c r="N4520" s="95">
        <f>IF(P4520="Hedge Fund",IF(A4520=Summary!$AD$3,M4520-E4520,M4520),IF(A4520=Summary!$AD$3,L4520-D4520,L4520))</f>
        <v>0</v>
      </c>
      <c r="O4520" s="95"/>
      <c r="P4520" s="107" t="s">
        <v>155</v>
      </c>
      <c r="Q4520" s="107">
        <v>6.6666666666666666E-2</v>
      </c>
      <c r="R4520" s="107">
        <v>0</v>
      </c>
      <c r="S4520" s="107">
        <v>0</v>
      </c>
      <c r="T4520" s="107">
        <v>0</v>
      </c>
      <c r="U4520" s="107"/>
      <c r="V4520" s="107"/>
      <c r="W4520" s="107"/>
      <c r="X4520" s="107"/>
      <c r="Y4520" s="107"/>
      <c r="Z4520" s="107"/>
      <c r="AA4520" s="107"/>
      <c r="AB4520" s="107"/>
      <c r="AF4520" s="94">
        <f t="shared" si="606"/>
        <v>42825</v>
      </c>
      <c r="AG4520" s="185">
        <f t="shared" si="609"/>
        <v>-9.8199092280585321E-3</v>
      </c>
      <c r="AH4520" s="339" t="str">
        <f>VLOOKUP(B4520,'MF PF'!A:B,2)</f>
        <v>FdMgt2</v>
      </c>
      <c r="AI4520" s="358">
        <f t="shared" si="607"/>
        <v>0</v>
      </c>
      <c r="AJ4520" s="94">
        <f t="shared" si="608"/>
        <v>42825</v>
      </c>
    </row>
    <row r="4521" spans="1:36" s="358" customFormat="1" ht="12.75" customHeight="1">
      <c r="A4521" s="94">
        <v>42853</v>
      </c>
      <c r="B4521" s="94" t="s">
        <v>33</v>
      </c>
      <c r="C4521" s="358" t="s">
        <v>297</v>
      </c>
      <c r="D4521" s="98">
        <v>20610000</v>
      </c>
      <c r="E4521" s="95">
        <f t="shared" si="611"/>
        <v>6425445.707572653</v>
      </c>
      <c r="F4521" s="98"/>
      <c r="G4521" s="98">
        <v>0</v>
      </c>
      <c r="H4521" s="98"/>
      <c r="I4521" s="98">
        <v>0</v>
      </c>
      <c r="J4521" s="98"/>
      <c r="K4521" s="93">
        <v>3.2075595901013161</v>
      </c>
      <c r="L4521" s="93">
        <f t="shared" si="604"/>
        <v>0</v>
      </c>
      <c r="M4521" s="95">
        <f t="shared" ca="1" si="605"/>
        <v>0</v>
      </c>
      <c r="N4521" s="95">
        <f>IF(P4521="Hedge Fund",IF(A4521=Summary!$AD$3,M4521-E4521,M4521),IF(A4521=Summary!$AD$3,L4521-D4521,L4521))</f>
        <v>0</v>
      </c>
      <c r="O4521" s="95"/>
      <c r="P4521" s="107" t="s">
        <v>155</v>
      </c>
      <c r="Q4521" s="107">
        <v>6.6666666666666666E-2</v>
      </c>
      <c r="R4521" s="107">
        <v>0</v>
      </c>
      <c r="S4521" s="107">
        <v>0</v>
      </c>
      <c r="T4521" s="107">
        <v>0</v>
      </c>
      <c r="U4521" s="107"/>
      <c r="V4521" s="107"/>
      <c r="W4521" s="107"/>
      <c r="X4521" s="107"/>
      <c r="Y4521" s="107"/>
      <c r="Z4521" s="107"/>
      <c r="AA4521" s="107"/>
      <c r="AB4521" s="107"/>
      <c r="AF4521" s="94">
        <f t="shared" si="606"/>
        <v>42853</v>
      </c>
      <c r="AG4521" s="185">
        <f t="shared" si="609"/>
        <v>2.1977370967467769E-2</v>
      </c>
      <c r="AH4521" s="339" t="str">
        <f>VLOOKUP(B4521,'MF PF'!A:B,2)</f>
        <v>FdMgt2</v>
      </c>
      <c r="AI4521" s="358">
        <f t="shared" si="607"/>
        <v>0</v>
      </c>
      <c r="AJ4521" s="94">
        <f t="shared" si="608"/>
        <v>42855</v>
      </c>
    </row>
    <row r="4522" spans="1:36" s="358" customFormat="1" ht="12.75" customHeight="1">
      <c r="A4522" s="94">
        <v>42886</v>
      </c>
      <c r="B4522" s="94" t="s">
        <v>33</v>
      </c>
      <c r="C4522" s="358" t="s">
        <v>297</v>
      </c>
      <c r="D4522" s="98">
        <v>20610000</v>
      </c>
      <c r="E4522" s="95">
        <f t="shared" si="611"/>
        <v>6425445.707572653</v>
      </c>
      <c r="F4522" s="98"/>
      <c r="G4522" s="98">
        <v>0</v>
      </c>
      <c r="H4522" s="98"/>
      <c r="I4522" s="98">
        <v>0</v>
      </c>
      <c r="J4522" s="98"/>
      <c r="K4522" s="93">
        <v>3.2075595901013161</v>
      </c>
      <c r="L4522" s="93">
        <f t="shared" si="604"/>
        <v>0</v>
      </c>
      <c r="M4522" s="95">
        <f t="shared" ca="1" si="605"/>
        <v>0</v>
      </c>
      <c r="N4522" s="95">
        <f>IF(P4522="Hedge Fund",IF(A4522=Summary!$AD$3,M4522-E4522,M4522),IF(A4522=Summary!$AD$3,L4522-D4522,L4522))</f>
        <v>0</v>
      </c>
      <c r="O4522" s="95"/>
      <c r="P4522" s="107" t="s">
        <v>155</v>
      </c>
      <c r="Q4522" s="107">
        <v>6.6666666666666666E-2</v>
      </c>
      <c r="R4522" s="107">
        <v>0</v>
      </c>
      <c r="S4522" s="107">
        <v>0</v>
      </c>
      <c r="T4522" s="107">
        <v>0</v>
      </c>
      <c r="U4522" s="107"/>
      <c r="V4522" s="107"/>
      <c r="W4522" s="107"/>
      <c r="X4522" s="107"/>
      <c r="Y4522" s="107"/>
      <c r="Z4522" s="107"/>
      <c r="AA4522" s="107"/>
      <c r="AB4522" s="107"/>
      <c r="AF4522" s="94">
        <f t="shared" si="606"/>
        <v>42886</v>
      </c>
      <c r="AG4522" s="185">
        <f t="shared" si="609"/>
        <v>0</v>
      </c>
      <c r="AH4522" s="339" t="str">
        <f>VLOOKUP(B4522,'MF PF'!A:B,2)</f>
        <v>FdMgt2</v>
      </c>
      <c r="AI4522" s="358">
        <f t="shared" si="607"/>
        <v>0</v>
      </c>
      <c r="AJ4522" s="94">
        <f t="shared" si="608"/>
        <v>42886</v>
      </c>
    </row>
    <row r="4523" spans="1:36" s="358" customFormat="1" ht="12.75" customHeight="1">
      <c r="A4523" s="94">
        <v>42916</v>
      </c>
      <c r="B4523" s="94" t="s">
        <v>33</v>
      </c>
      <c r="C4523" s="358" t="s">
        <v>297</v>
      </c>
      <c r="D4523" s="98">
        <v>20580000</v>
      </c>
      <c r="E4523" s="95">
        <f t="shared" si="611"/>
        <v>6416092.8026125766</v>
      </c>
      <c r="F4523" s="98"/>
      <c r="G4523" s="98">
        <v>0</v>
      </c>
      <c r="H4523" s="98"/>
      <c r="I4523" s="98">
        <v>0</v>
      </c>
      <c r="J4523" s="98"/>
      <c r="K4523" s="93">
        <v>3.2075595901013161</v>
      </c>
      <c r="L4523" s="93">
        <f t="shared" si="604"/>
        <v>0</v>
      </c>
      <c r="M4523" s="95">
        <f t="shared" ca="1" si="605"/>
        <v>0</v>
      </c>
      <c r="N4523" s="95">
        <f>IF(P4523="Hedge Fund",IF(A4523=Summary!$AD$3,M4523-E4523,M4523),IF(A4523=Summary!$AD$3,L4523-D4523,L4523))</f>
        <v>0</v>
      </c>
      <c r="O4523" s="95"/>
      <c r="P4523" s="107" t="s">
        <v>155</v>
      </c>
      <c r="Q4523" s="107">
        <v>6.6666666666666666E-2</v>
      </c>
      <c r="R4523" s="107">
        <v>0</v>
      </c>
      <c r="S4523" s="107">
        <v>0</v>
      </c>
      <c r="T4523" s="107">
        <v>0</v>
      </c>
      <c r="U4523" s="107"/>
      <c r="V4523" s="107"/>
      <c r="W4523" s="107"/>
      <c r="X4523" s="107"/>
      <c r="Y4523" s="107"/>
      <c r="Z4523" s="107"/>
      <c r="AA4523" s="107"/>
      <c r="AB4523" s="107"/>
      <c r="AF4523" s="94">
        <f t="shared" si="606"/>
        <v>42916</v>
      </c>
      <c r="AG4523" s="185">
        <f t="shared" si="609"/>
        <v>-1.4556040756914523E-3</v>
      </c>
      <c r="AH4523" s="339" t="str">
        <f>VLOOKUP(B4523,'MF PF'!A:B,2)</f>
        <v>FdMgt2</v>
      </c>
      <c r="AI4523" s="358">
        <f t="shared" si="607"/>
        <v>0</v>
      </c>
      <c r="AJ4523" s="94">
        <f t="shared" si="608"/>
        <v>42916</v>
      </c>
    </row>
    <row r="4524" spans="1:36" s="358" customFormat="1" ht="12.75" customHeight="1">
      <c r="A4524" s="94">
        <v>42947</v>
      </c>
      <c r="B4524" s="94" t="s">
        <v>33</v>
      </c>
      <c r="C4524" s="358" t="s">
        <v>297</v>
      </c>
      <c r="D4524" s="98">
        <v>20513333.333333332</v>
      </c>
      <c r="E4524" s="95">
        <f t="shared" si="611"/>
        <v>6395308.569367961</v>
      </c>
      <c r="F4524" s="98"/>
      <c r="G4524" s="98">
        <v>0</v>
      </c>
      <c r="H4524" s="98"/>
      <c r="I4524" s="98">
        <v>0</v>
      </c>
      <c r="J4524" s="98"/>
      <c r="K4524" s="93">
        <v>3.2075595901013161</v>
      </c>
      <c r="L4524" s="93">
        <f t="shared" si="604"/>
        <v>0</v>
      </c>
      <c r="M4524" s="95">
        <f t="shared" ca="1" si="605"/>
        <v>0</v>
      </c>
      <c r="N4524" s="95">
        <f>IF(P4524="Hedge Fund",IF(A4524=Summary!$AD$3,M4524-E4524,M4524),IF(A4524=Summary!$AD$3,L4524-D4524,L4524))</f>
        <v>0</v>
      </c>
      <c r="O4524" s="95"/>
      <c r="P4524" s="107" t="s">
        <v>155</v>
      </c>
      <c r="Q4524" s="107">
        <v>6.6666666666666666E-2</v>
      </c>
      <c r="R4524" s="107">
        <v>0</v>
      </c>
      <c r="S4524" s="107">
        <v>0</v>
      </c>
      <c r="T4524" s="107">
        <v>0</v>
      </c>
      <c r="U4524" s="107"/>
      <c r="V4524" s="107"/>
      <c r="W4524" s="107"/>
      <c r="X4524" s="107"/>
      <c r="Y4524" s="107"/>
      <c r="Z4524" s="107"/>
      <c r="AA4524" s="107"/>
      <c r="AB4524" s="107"/>
      <c r="AF4524" s="94">
        <f t="shared" si="606"/>
        <v>42947</v>
      </c>
      <c r="AG4524" s="185">
        <f t="shared" si="609"/>
        <v>-3.2393909944931076E-3</v>
      </c>
      <c r="AH4524" s="339" t="str">
        <f>VLOOKUP(B4524,'MF PF'!A:B,2)</f>
        <v>FdMgt2</v>
      </c>
      <c r="AI4524" s="358">
        <f t="shared" si="607"/>
        <v>0</v>
      </c>
      <c r="AJ4524" s="94">
        <f t="shared" si="608"/>
        <v>42947</v>
      </c>
    </row>
    <row r="4525" spans="1:36" s="358" customFormat="1" ht="12.75" customHeight="1">
      <c r="A4525" s="94">
        <v>42978</v>
      </c>
      <c r="B4525" s="94" t="s">
        <v>33</v>
      </c>
      <c r="C4525" s="358" t="s">
        <v>297</v>
      </c>
      <c r="D4525" s="98">
        <v>22863291.360000003</v>
      </c>
      <c r="E4525" s="95">
        <f t="shared" si="611"/>
        <v>6358398.9127377104</v>
      </c>
      <c r="F4525" s="98"/>
      <c r="G4525" s="98">
        <v>2482676.38</v>
      </c>
      <c r="H4525" s="98"/>
      <c r="I4525" s="98">
        <v>0</v>
      </c>
      <c r="J4525" s="98"/>
      <c r="K4525" s="93">
        <v>3.5957623410821586</v>
      </c>
      <c r="L4525" s="93">
        <f t="shared" si="604"/>
        <v>2482676.38</v>
      </c>
      <c r="M4525" s="95">
        <f t="shared" ca="1" si="605"/>
        <v>0</v>
      </c>
      <c r="N4525" s="95">
        <f>IF(P4525="Hedge Fund",IF(A4525=Summary!$AD$3,M4525-E4525,M4525),IF(A4525=Summary!$AD$3,L4525-D4525,L4525))</f>
        <v>2482676.38</v>
      </c>
      <c r="O4525" s="95"/>
      <c r="P4525" s="107" t="s">
        <v>155</v>
      </c>
      <c r="Q4525" s="107">
        <v>6.6666666666666666E-2</v>
      </c>
      <c r="R4525" s="107">
        <v>0</v>
      </c>
      <c r="S4525" s="107">
        <v>0</v>
      </c>
      <c r="T4525" s="107">
        <v>0</v>
      </c>
      <c r="U4525" s="107"/>
      <c r="V4525" s="107"/>
      <c r="W4525" s="107"/>
      <c r="X4525" s="107"/>
      <c r="Y4525" s="107"/>
      <c r="Z4525" s="107"/>
      <c r="AA4525" s="107"/>
      <c r="AB4525" s="107"/>
      <c r="AF4525" s="94">
        <f t="shared" si="606"/>
        <v>42978</v>
      </c>
      <c r="AG4525" s="185">
        <f t="shared" si="609"/>
        <v>-6.4698579785502641E-3</v>
      </c>
      <c r="AH4525" s="339" t="str">
        <f>VLOOKUP(B4525,'MF PF'!A:B,2)</f>
        <v>FdMgt2</v>
      </c>
      <c r="AI4525" s="358">
        <f t="shared" si="607"/>
        <v>0</v>
      </c>
      <c r="AJ4525" s="94">
        <f t="shared" si="608"/>
        <v>42978</v>
      </c>
    </row>
    <row r="4526" spans="1:36" s="358" customFormat="1" ht="12.75" customHeight="1">
      <c r="A4526" s="94">
        <v>43007</v>
      </c>
      <c r="B4526" s="94" t="s">
        <v>33</v>
      </c>
      <c r="C4526" s="358" t="s">
        <v>297</v>
      </c>
      <c r="D4526" s="98">
        <v>26280631.400000002</v>
      </c>
      <c r="E4526" s="95">
        <f t="shared" si="611"/>
        <v>7308778.753183878</v>
      </c>
      <c r="F4526" s="98"/>
      <c r="G4526" s="98">
        <v>0</v>
      </c>
      <c r="H4526" s="98"/>
      <c r="I4526" s="98">
        <v>0</v>
      </c>
      <c r="J4526" s="98"/>
      <c r="K4526" s="93">
        <v>3.5957623410821586</v>
      </c>
      <c r="L4526" s="93">
        <f t="shared" si="604"/>
        <v>0</v>
      </c>
      <c r="M4526" s="95">
        <f t="shared" ca="1" si="605"/>
        <v>0</v>
      </c>
      <c r="N4526" s="95">
        <f>IF(P4526="Hedge Fund",IF(A4526=Summary!$AD$3,M4526-E4526,M4526),IF(A4526=Summary!$AD$3,L4526-D4526,L4526))</f>
        <v>0</v>
      </c>
      <c r="O4526" s="95"/>
      <c r="P4526" s="107" t="s">
        <v>155</v>
      </c>
      <c r="Q4526" s="107">
        <v>6.6666666666666666E-2</v>
      </c>
      <c r="R4526" s="107">
        <v>0</v>
      </c>
      <c r="S4526" s="107">
        <v>0</v>
      </c>
      <c r="T4526" s="107">
        <v>0</v>
      </c>
      <c r="U4526" s="107"/>
      <c r="V4526" s="107"/>
      <c r="W4526" s="107"/>
      <c r="X4526" s="107"/>
      <c r="Y4526" s="107"/>
      <c r="Z4526" s="107"/>
      <c r="AA4526" s="107"/>
      <c r="AB4526" s="107"/>
      <c r="AF4526" s="94">
        <f t="shared" si="606"/>
        <v>43007</v>
      </c>
      <c r="AG4526" s="185">
        <f t="shared" ref="AG4526:AG4542" si="612">IF(C4526&lt;&gt;C4525,D4526/G4526-1,(D4526-G4526-I4526-H4526)/(D4525)-1)</f>
        <v>0.14946842019337314</v>
      </c>
      <c r="AH4526" s="339" t="str">
        <f>VLOOKUP(B4526,'MF PF'!A:B,2)</f>
        <v>FdMgt2</v>
      </c>
      <c r="AI4526" s="358">
        <f t="shared" si="607"/>
        <v>0</v>
      </c>
      <c r="AJ4526" s="94">
        <f t="shared" si="608"/>
        <v>43008</v>
      </c>
    </row>
    <row r="4527" spans="1:36" s="358" customFormat="1" ht="12.75" customHeight="1">
      <c r="A4527" s="94">
        <v>43039</v>
      </c>
      <c r="B4527" s="94" t="s">
        <v>33</v>
      </c>
      <c r="C4527" s="358" t="s">
        <v>297</v>
      </c>
      <c r="D4527" s="98">
        <v>29023668.82</v>
      </c>
      <c r="E4527" s="95">
        <f t="shared" si="611"/>
        <v>8071631.5670810472</v>
      </c>
      <c r="F4527" s="98"/>
      <c r="G4527" s="98">
        <v>0</v>
      </c>
      <c r="H4527" s="98"/>
      <c r="I4527" s="98">
        <v>0</v>
      </c>
      <c r="J4527" s="98"/>
      <c r="K4527" s="93">
        <v>3.5957623410821586</v>
      </c>
      <c r="L4527" s="93">
        <f t="shared" si="604"/>
        <v>0</v>
      </c>
      <c r="M4527" s="95">
        <f t="shared" ca="1" si="605"/>
        <v>0</v>
      </c>
      <c r="N4527" s="95">
        <f>IF(P4527="Hedge Fund",IF(A4527=Summary!$AD$3,M4527-E4527,M4527),IF(A4527=Summary!$AD$3,L4527-D4527,L4527))</f>
        <v>0</v>
      </c>
      <c r="O4527" s="95"/>
      <c r="P4527" s="107" t="s">
        <v>155</v>
      </c>
      <c r="Q4527" s="107">
        <v>6.6666666666666666E-2</v>
      </c>
      <c r="R4527" s="107">
        <v>0</v>
      </c>
      <c r="S4527" s="107">
        <v>0</v>
      </c>
      <c r="T4527" s="107">
        <v>0</v>
      </c>
      <c r="U4527" s="107"/>
      <c r="V4527" s="107"/>
      <c r="W4527" s="107"/>
      <c r="X4527" s="107"/>
      <c r="Y4527" s="107"/>
      <c r="Z4527" s="107"/>
      <c r="AA4527" s="107"/>
      <c r="AB4527" s="107"/>
      <c r="AF4527" s="94">
        <f t="shared" si="606"/>
        <v>43039</v>
      </c>
      <c r="AG4527" s="185">
        <f t="shared" si="612"/>
        <v>0.10437486749271918</v>
      </c>
      <c r="AH4527" s="339" t="str">
        <f>VLOOKUP(B4527,'MF PF'!A:B,2)</f>
        <v>FdMgt2</v>
      </c>
      <c r="AI4527" s="358">
        <f t="shared" si="607"/>
        <v>0</v>
      </c>
      <c r="AJ4527" s="94">
        <f t="shared" si="608"/>
        <v>43039</v>
      </c>
    </row>
    <row r="4528" spans="1:36" s="358" customFormat="1" ht="12.75" customHeight="1">
      <c r="A4528" s="94">
        <v>43069</v>
      </c>
      <c r="B4528" s="94" t="s">
        <v>33</v>
      </c>
      <c r="C4528" s="358" t="s">
        <v>297</v>
      </c>
      <c r="D4528" s="98">
        <v>28970000</v>
      </c>
      <c r="E4528" s="95">
        <f t="shared" si="611"/>
        <v>8056705.992221212</v>
      </c>
      <c r="F4528" s="98"/>
      <c r="G4528" s="98">
        <v>0</v>
      </c>
      <c r="H4528" s="98"/>
      <c r="I4528" s="98">
        <v>0</v>
      </c>
      <c r="J4528" s="98"/>
      <c r="K4528" s="93">
        <v>3.5957623410821586</v>
      </c>
      <c r="L4528" s="93">
        <f t="shared" si="604"/>
        <v>0</v>
      </c>
      <c r="M4528" s="95">
        <f t="shared" ca="1" si="605"/>
        <v>0</v>
      </c>
      <c r="N4528" s="95">
        <f>IF(P4528="Hedge Fund",IF(A4528=Summary!$AD$3,M4528-E4528,M4528),IF(A4528=Summary!$AD$3,L4528-D4528,L4528))</f>
        <v>0</v>
      </c>
      <c r="O4528" s="95"/>
      <c r="P4528" s="107" t="s">
        <v>155</v>
      </c>
      <c r="Q4528" s="107">
        <v>6.6666666666666666E-2</v>
      </c>
      <c r="R4528" s="107">
        <v>0</v>
      </c>
      <c r="S4528" s="107">
        <v>0</v>
      </c>
      <c r="T4528" s="107">
        <v>0</v>
      </c>
      <c r="U4528" s="107"/>
      <c r="V4528" s="107"/>
      <c r="W4528" s="107"/>
      <c r="X4528" s="107"/>
      <c r="Y4528" s="107"/>
      <c r="Z4528" s="107"/>
      <c r="AA4528" s="107"/>
      <c r="AB4528" s="107"/>
      <c r="AF4528" s="94">
        <f t="shared" si="606"/>
        <v>43069</v>
      </c>
      <c r="AG4528" s="185">
        <f t="shared" si="612"/>
        <v>-1.8491397601332338E-3</v>
      </c>
      <c r="AH4528" s="339" t="str">
        <f>VLOOKUP(B4528,'MF PF'!A:B,2)</f>
        <v>FdMgt2</v>
      </c>
      <c r="AI4528" s="358">
        <f t="shared" si="607"/>
        <v>0</v>
      </c>
      <c r="AJ4528" s="94">
        <f t="shared" si="608"/>
        <v>43069</v>
      </c>
    </row>
    <row r="4529" spans="1:36" s="358" customFormat="1" ht="12.75" customHeight="1">
      <c r="A4529" s="94">
        <v>43098</v>
      </c>
      <c r="B4529" s="94" t="s">
        <v>33</v>
      </c>
      <c r="C4529" s="358" t="s">
        <v>297</v>
      </c>
      <c r="D4529" s="98">
        <v>28920000</v>
      </c>
      <c r="E4529" s="95">
        <f t="shared" si="611"/>
        <v>8042800.7350720549</v>
      </c>
      <c r="F4529" s="98"/>
      <c r="G4529" s="98">
        <v>0</v>
      </c>
      <c r="H4529" s="98"/>
      <c r="I4529" s="98">
        <v>0</v>
      </c>
      <c r="J4529" s="98"/>
      <c r="K4529" s="93">
        <v>3.5957623410821586</v>
      </c>
      <c r="L4529" s="93">
        <f t="shared" si="604"/>
        <v>0</v>
      </c>
      <c r="M4529" s="95">
        <f t="shared" ca="1" si="605"/>
        <v>0</v>
      </c>
      <c r="N4529" s="95">
        <f>IF(P4529="Hedge Fund",IF(A4529=Summary!$AD$3,M4529-E4529,M4529),IF(A4529=Summary!$AD$3,L4529-D4529,L4529))</f>
        <v>0</v>
      </c>
      <c r="O4529" s="95"/>
      <c r="P4529" s="107" t="s">
        <v>155</v>
      </c>
      <c r="Q4529" s="107">
        <v>6.6666666666666666E-2</v>
      </c>
      <c r="R4529" s="107">
        <v>0</v>
      </c>
      <c r="S4529" s="107">
        <v>0</v>
      </c>
      <c r="T4529" s="107">
        <v>0</v>
      </c>
      <c r="U4529" s="107"/>
      <c r="V4529" s="107"/>
      <c r="W4529" s="107"/>
      <c r="X4529" s="107"/>
      <c r="Y4529" s="107"/>
      <c r="Z4529" s="107"/>
      <c r="AA4529" s="107"/>
      <c r="AB4529" s="107"/>
      <c r="AF4529" s="94">
        <f t="shared" si="606"/>
        <v>43098</v>
      </c>
      <c r="AG4529" s="185">
        <f t="shared" si="612"/>
        <v>-1.7259233690024578E-3</v>
      </c>
      <c r="AH4529" s="339" t="str">
        <f>VLOOKUP(B4529,'MF PF'!A:B,2)</f>
        <v>FdMgt2</v>
      </c>
      <c r="AI4529" s="358">
        <f t="shared" si="607"/>
        <v>0</v>
      </c>
      <c r="AJ4529" s="94">
        <f t="shared" si="608"/>
        <v>43100</v>
      </c>
    </row>
    <row r="4530" spans="1:36" s="358" customFormat="1" ht="12.75" customHeight="1">
      <c r="A4530" s="94">
        <v>43131</v>
      </c>
      <c r="B4530" s="94" t="s">
        <v>33</v>
      </c>
      <c r="C4530" s="358" t="s">
        <v>297</v>
      </c>
      <c r="D4530" s="98">
        <v>28920000</v>
      </c>
      <c r="E4530" s="95">
        <f t="shared" si="611"/>
        <v>8042800.7350720549</v>
      </c>
      <c r="F4530" s="98"/>
      <c r="G4530" s="98">
        <v>3650000</v>
      </c>
      <c r="H4530" s="98"/>
      <c r="I4530" s="98">
        <v>0</v>
      </c>
      <c r="J4530" s="98"/>
      <c r="K4530" s="93">
        <v>3.5957623410821586</v>
      </c>
      <c r="L4530" s="93">
        <f t="shared" si="604"/>
        <v>3650000</v>
      </c>
      <c r="M4530" s="95">
        <f t="shared" ca="1" si="605"/>
        <v>0</v>
      </c>
      <c r="N4530" s="95">
        <f>IF(P4530="Hedge Fund",IF(A4530=Summary!$AD$3,M4530-E4530,M4530),IF(A4530=Summary!$AD$3,L4530-D4530,L4530))</f>
        <v>3650000</v>
      </c>
      <c r="O4530" s="95"/>
      <c r="P4530" s="107" t="s">
        <v>155</v>
      </c>
      <c r="Q4530" s="107">
        <v>6.6666666666666666E-2</v>
      </c>
      <c r="R4530" s="107">
        <v>0</v>
      </c>
      <c r="S4530" s="107">
        <v>0</v>
      </c>
      <c r="T4530" s="107">
        <v>0</v>
      </c>
      <c r="U4530" s="107"/>
      <c r="V4530" s="107"/>
      <c r="W4530" s="107"/>
      <c r="X4530" s="107"/>
      <c r="Y4530" s="107"/>
      <c r="Z4530" s="107"/>
      <c r="AA4530" s="107"/>
      <c r="AB4530" s="107"/>
      <c r="AF4530" s="94">
        <f t="shared" si="606"/>
        <v>43131</v>
      </c>
      <c r="AG4530" s="185">
        <f t="shared" si="612"/>
        <v>-0.12621023513139695</v>
      </c>
      <c r="AH4530" s="339" t="str">
        <f>VLOOKUP(B4530,'MF PF'!A:B,2)</f>
        <v>FdMgt2</v>
      </c>
      <c r="AI4530" s="358">
        <f t="shared" si="607"/>
        <v>0</v>
      </c>
      <c r="AJ4530" s="94">
        <f t="shared" si="608"/>
        <v>43131</v>
      </c>
    </row>
    <row r="4531" spans="1:36" s="358" customFormat="1" ht="12.75" customHeight="1">
      <c r="A4531" s="94">
        <v>43159</v>
      </c>
      <c r="B4531" s="94" t="s">
        <v>33</v>
      </c>
      <c r="C4531" s="358" t="s">
        <v>297</v>
      </c>
      <c r="D4531" s="98">
        <v>30915762.989999998</v>
      </c>
      <c r="E4531" s="95">
        <f t="shared" si="611"/>
        <v>8597832.68676644</v>
      </c>
      <c r="F4531" s="98"/>
      <c r="G4531" s="98">
        <v>1000000</v>
      </c>
      <c r="H4531" s="98"/>
      <c r="I4531" s="98">
        <v>0</v>
      </c>
      <c r="J4531" s="98"/>
      <c r="K4531" s="93">
        <v>3.5957623410821586</v>
      </c>
      <c r="L4531" s="93">
        <f t="shared" si="604"/>
        <v>1000000</v>
      </c>
      <c r="M4531" s="95">
        <f t="shared" ca="1" si="605"/>
        <v>0</v>
      </c>
      <c r="N4531" s="95">
        <f>IF(P4531="Hedge Fund",IF(A4531=Summary!$AD$3,M4531-E4531,M4531),IF(A4531=Summary!$AD$3,L4531-D4531,L4531))</f>
        <v>1000000</v>
      </c>
      <c r="O4531" s="95"/>
      <c r="P4531" s="107" t="s">
        <v>155</v>
      </c>
      <c r="Q4531" s="107">
        <v>6.6666666666666666E-2</v>
      </c>
      <c r="R4531" s="107">
        <v>0</v>
      </c>
      <c r="S4531" s="107">
        <v>0</v>
      </c>
      <c r="T4531" s="107">
        <v>0</v>
      </c>
      <c r="U4531" s="107"/>
      <c r="V4531" s="98"/>
      <c r="W4531" s="107"/>
      <c r="X4531" s="107"/>
      <c r="Y4531" s="107"/>
      <c r="Z4531" s="107"/>
      <c r="AA4531" s="107"/>
      <c r="AB4531" s="107"/>
      <c r="AF4531" s="94">
        <f t="shared" si="606"/>
        <v>43159</v>
      </c>
      <c r="AG4531" s="185">
        <f t="shared" si="612"/>
        <v>3.4431638658367847E-2</v>
      </c>
      <c r="AH4531" s="339" t="str">
        <f>VLOOKUP(B4531,'MF PF'!A:B,2)</f>
        <v>FdMgt2</v>
      </c>
      <c r="AI4531" s="358">
        <f t="shared" si="607"/>
        <v>0</v>
      </c>
      <c r="AJ4531" s="94">
        <f t="shared" si="608"/>
        <v>43159</v>
      </c>
    </row>
    <row r="4532" spans="1:36" s="358" customFormat="1" ht="12.75" customHeight="1">
      <c r="A4532" s="94">
        <v>43188</v>
      </c>
      <c r="B4532" s="94" t="s">
        <v>33</v>
      </c>
      <c r="C4532" s="358" t="s">
        <v>297</v>
      </c>
      <c r="D4532" s="110">
        <v>28961664.705082446</v>
      </c>
      <c r="E4532" s="95">
        <f t="shared" ref="E4532:E4538" si="613">IF(K4532="","",D4532/K4532)</f>
        <v>1.3974170941520785</v>
      </c>
      <c r="F4532" s="98"/>
      <c r="G4532" s="98">
        <v>0</v>
      </c>
      <c r="H4532" s="98"/>
      <c r="I4532" s="98">
        <v>0</v>
      </c>
      <c r="J4532" s="98"/>
      <c r="K4532" s="93">
        <v>20725139.850000001</v>
      </c>
      <c r="L4532" s="93">
        <f t="shared" si="604"/>
        <v>0</v>
      </c>
      <c r="M4532" s="95">
        <f t="shared" ca="1" si="605"/>
        <v>0</v>
      </c>
      <c r="N4532" s="95">
        <f>IF(P4532="Hedge Fund",IF(A4532=Summary!$AD$3,M4532-E4532,M4532),IF(A4532=Summary!$AD$3,L4532-D4532,L4532))</f>
        <v>0</v>
      </c>
      <c r="O4532" s="95"/>
      <c r="P4532" s="107" t="s">
        <v>155</v>
      </c>
      <c r="Q4532" s="109">
        <f t="shared" ref="Q4532:Q4538" si="614">0.2/3</f>
        <v>6.6666666666666666E-2</v>
      </c>
      <c r="R4532" s="107">
        <v>0</v>
      </c>
      <c r="S4532" s="107">
        <v>0</v>
      </c>
      <c r="T4532" s="107">
        <v>0</v>
      </c>
      <c r="U4532" s="107"/>
      <c r="V4532" s="98"/>
      <c r="W4532" s="107"/>
      <c r="X4532" s="107"/>
      <c r="Y4532" s="107"/>
      <c r="Z4532" s="107"/>
      <c r="AA4532" s="107"/>
      <c r="AB4532" s="107"/>
      <c r="AF4532" s="94">
        <f t="shared" si="606"/>
        <v>43188</v>
      </c>
      <c r="AG4532" s="185">
        <f t="shared" si="612"/>
        <v>-6.3207182871392265E-2</v>
      </c>
      <c r="AH4532" s="339" t="str">
        <f>VLOOKUP(B4532,'MF PF'!A:B,2)</f>
        <v>FdMgt2</v>
      </c>
      <c r="AI4532" s="358">
        <f t="shared" si="607"/>
        <v>0</v>
      </c>
      <c r="AJ4532" s="94">
        <f t="shared" si="608"/>
        <v>43190</v>
      </c>
    </row>
    <row r="4533" spans="1:36" s="358" customFormat="1" ht="12.75" customHeight="1">
      <c r="A4533" s="94">
        <v>43220</v>
      </c>
      <c r="B4533" s="94" t="s">
        <v>33</v>
      </c>
      <c r="C4533" s="358" t="s">
        <v>297</v>
      </c>
      <c r="D4533" s="110">
        <v>28961664.705082446</v>
      </c>
      <c r="E4533" s="95">
        <f t="shared" si="613"/>
        <v>1.3974170941520785</v>
      </c>
      <c r="F4533" s="98"/>
      <c r="G4533" s="98">
        <v>0</v>
      </c>
      <c r="H4533" s="98"/>
      <c r="I4533" s="98">
        <v>0</v>
      </c>
      <c r="J4533" s="98"/>
      <c r="K4533" s="93">
        <v>20725139.850000001</v>
      </c>
      <c r="L4533" s="93">
        <f t="shared" si="604"/>
        <v>0</v>
      </c>
      <c r="M4533" s="95">
        <f t="shared" ca="1" si="605"/>
        <v>0</v>
      </c>
      <c r="N4533" s="95">
        <f>IF(P4533="Hedge Fund",IF(A4533=Summary!$AD$3,M4533-E4533,M4533),IF(A4533=Summary!$AD$3,L4533-D4533,L4533))</f>
        <v>0</v>
      </c>
      <c r="O4533" s="95"/>
      <c r="P4533" s="107" t="s">
        <v>155</v>
      </c>
      <c r="Q4533" s="109">
        <f t="shared" si="614"/>
        <v>6.6666666666666666E-2</v>
      </c>
      <c r="R4533" s="107">
        <v>0</v>
      </c>
      <c r="S4533" s="107">
        <v>0</v>
      </c>
      <c r="T4533" s="107">
        <v>0</v>
      </c>
      <c r="U4533" s="107"/>
      <c r="V4533" s="98"/>
      <c r="W4533" s="107"/>
      <c r="X4533" s="107"/>
      <c r="Y4533" s="107"/>
      <c r="Z4533" s="107"/>
      <c r="AA4533" s="107"/>
      <c r="AB4533" s="107"/>
      <c r="AF4533" s="94">
        <f t="shared" si="606"/>
        <v>43220</v>
      </c>
      <c r="AG4533" s="185">
        <f t="shared" si="612"/>
        <v>0</v>
      </c>
      <c r="AH4533" s="339" t="str">
        <f>VLOOKUP(B4533,'MF PF'!A:B,2)</f>
        <v>FdMgt2</v>
      </c>
      <c r="AI4533" s="358">
        <f t="shared" si="607"/>
        <v>0</v>
      </c>
      <c r="AJ4533" s="94">
        <f t="shared" si="608"/>
        <v>43220</v>
      </c>
    </row>
    <row r="4534" spans="1:36" s="358" customFormat="1" ht="12.75" customHeight="1">
      <c r="A4534" s="94">
        <v>43251</v>
      </c>
      <c r="B4534" s="358" t="s">
        <v>33</v>
      </c>
      <c r="C4534" s="358" t="s">
        <v>297</v>
      </c>
      <c r="D4534" s="110">
        <v>31846892.637449495</v>
      </c>
      <c r="E4534" s="95">
        <f t="shared" si="613"/>
        <v>1.5366310127673031</v>
      </c>
      <c r="F4534" s="98"/>
      <c r="G4534" s="98">
        <v>0</v>
      </c>
      <c r="H4534" s="98"/>
      <c r="I4534" s="98">
        <v>0</v>
      </c>
      <c r="J4534" s="98"/>
      <c r="K4534" s="93">
        <v>20725139.850000001</v>
      </c>
      <c r="L4534" s="93">
        <f t="shared" si="604"/>
        <v>0</v>
      </c>
      <c r="M4534" s="95">
        <f t="shared" ca="1" si="605"/>
        <v>0</v>
      </c>
      <c r="N4534" s="95">
        <f>IF(P4534="Hedge Fund",IF(A4534=Summary!$AD$3,M4534-E4534,M4534),IF(A4534=Summary!$AD$3,L4534-D4534,L4534))</f>
        <v>0</v>
      </c>
      <c r="O4534" s="95"/>
      <c r="P4534" s="107" t="s">
        <v>155</v>
      </c>
      <c r="Q4534" s="109">
        <f t="shared" si="614"/>
        <v>6.6666666666666666E-2</v>
      </c>
      <c r="R4534" s="107">
        <v>0</v>
      </c>
      <c r="S4534" s="107">
        <v>0</v>
      </c>
      <c r="T4534" s="107">
        <v>0</v>
      </c>
      <c r="U4534" s="107"/>
      <c r="V4534" s="107"/>
      <c r="W4534" s="107"/>
      <c r="X4534" s="107"/>
      <c r="Y4534" s="107"/>
      <c r="Z4534" s="107"/>
      <c r="AA4534" s="107"/>
      <c r="AB4534" s="107"/>
      <c r="AF4534" s="94">
        <f t="shared" si="606"/>
        <v>43251</v>
      </c>
      <c r="AG4534" s="185">
        <f t="shared" si="612"/>
        <v>9.9622309758344851E-2</v>
      </c>
      <c r="AH4534" s="339" t="str">
        <f>VLOOKUP(B4534,'MF PF'!A:B,2)</f>
        <v>FdMgt2</v>
      </c>
      <c r="AI4534" s="358">
        <f t="shared" si="607"/>
        <v>0</v>
      </c>
      <c r="AJ4534" s="94">
        <f t="shared" si="608"/>
        <v>43251</v>
      </c>
    </row>
    <row r="4535" spans="1:36" s="358" customFormat="1" ht="12.75" customHeight="1">
      <c r="A4535" s="94">
        <v>43280</v>
      </c>
      <c r="B4535" s="358" t="s">
        <v>33</v>
      </c>
      <c r="C4535" s="358" t="s">
        <v>297</v>
      </c>
      <c r="D4535" s="110">
        <v>32262811.969999999</v>
      </c>
      <c r="E4535" s="95">
        <f t="shared" si="613"/>
        <v>1.5566993614279518</v>
      </c>
      <c r="F4535" s="98"/>
      <c r="G4535" s="98">
        <v>0</v>
      </c>
      <c r="H4535" s="98"/>
      <c r="I4535" s="98">
        <v>0</v>
      </c>
      <c r="J4535" s="98"/>
      <c r="K4535" s="93">
        <v>20725139.850000001</v>
      </c>
      <c r="L4535" s="93">
        <f t="shared" si="604"/>
        <v>0</v>
      </c>
      <c r="M4535" s="95">
        <f t="shared" ca="1" si="605"/>
        <v>0</v>
      </c>
      <c r="N4535" s="95">
        <f>IF(P4535="Hedge Fund",IF(A4535=Summary!$AD$3,M4535-E4535,M4535),IF(A4535=Summary!$AD$3,L4535-D4535,L4535))</f>
        <v>0</v>
      </c>
      <c r="O4535" s="95"/>
      <c r="P4535" s="107" t="s">
        <v>155</v>
      </c>
      <c r="Q4535" s="109">
        <f t="shared" si="614"/>
        <v>6.6666666666666666E-2</v>
      </c>
      <c r="R4535" s="107">
        <v>0</v>
      </c>
      <c r="S4535" s="107">
        <v>0</v>
      </c>
      <c r="T4535" s="107">
        <v>0</v>
      </c>
      <c r="U4535" s="107"/>
      <c r="V4535" s="107"/>
      <c r="W4535" s="107"/>
      <c r="X4535" s="107"/>
      <c r="Y4535" s="107"/>
      <c r="Z4535" s="107"/>
      <c r="AA4535" s="107"/>
      <c r="AB4535" s="107"/>
      <c r="AF4535" s="94">
        <f t="shared" si="606"/>
        <v>43280</v>
      </c>
      <c r="AG4535" s="185">
        <f t="shared" si="612"/>
        <v>1.3059965921492056E-2</v>
      </c>
      <c r="AH4535" s="339" t="str">
        <f>VLOOKUP(B4535,'MF PF'!A:B,2)</f>
        <v>FdMgt2</v>
      </c>
      <c r="AI4535" s="358">
        <f t="shared" si="607"/>
        <v>0</v>
      </c>
      <c r="AJ4535" s="94">
        <f t="shared" si="608"/>
        <v>43281</v>
      </c>
    </row>
    <row r="4536" spans="1:36" s="358" customFormat="1" ht="12.75" customHeight="1">
      <c r="A4536" s="94">
        <v>43312</v>
      </c>
      <c r="B4536" s="358" t="s">
        <v>33</v>
      </c>
      <c r="C4536" s="358" t="s">
        <v>297</v>
      </c>
      <c r="D4536" s="110">
        <v>32262811.970753297</v>
      </c>
      <c r="E4536" s="95">
        <f t="shared" si="613"/>
        <v>1.5566993614642988</v>
      </c>
      <c r="F4536" s="98"/>
      <c r="G4536" s="98">
        <v>0</v>
      </c>
      <c r="H4536" s="98"/>
      <c r="I4536" s="98">
        <v>0</v>
      </c>
      <c r="J4536" s="98"/>
      <c r="K4536" s="93">
        <v>20725139.850000001</v>
      </c>
      <c r="L4536" s="93">
        <f t="shared" si="604"/>
        <v>0</v>
      </c>
      <c r="M4536" s="95">
        <f t="shared" ca="1" si="605"/>
        <v>0</v>
      </c>
      <c r="N4536" s="95">
        <f>IF(P4536="Hedge Fund",IF(A4536=Summary!$AD$3,M4536-E4536,M4536),IF(A4536=Summary!$AD$3,L4536-D4536,L4536))</f>
        <v>0</v>
      </c>
      <c r="O4536" s="95"/>
      <c r="P4536" s="107" t="s">
        <v>155</v>
      </c>
      <c r="Q4536" s="109">
        <f t="shared" si="614"/>
        <v>6.6666666666666666E-2</v>
      </c>
      <c r="R4536" s="107">
        <v>0</v>
      </c>
      <c r="S4536" s="107">
        <v>0</v>
      </c>
      <c r="T4536" s="107">
        <v>0</v>
      </c>
      <c r="U4536" s="107"/>
      <c r="V4536" s="107"/>
      <c r="W4536" s="107"/>
      <c r="X4536" s="107"/>
      <c r="Y4536" s="107"/>
      <c r="Z4536" s="107"/>
      <c r="AA4536" s="107"/>
      <c r="AB4536" s="107"/>
      <c r="AF4536" s="94">
        <f t="shared" si="606"/>
        <v>43312</v>
      </c>
      <c r="AG4536" s="185">
        <f t="shared" si="612"/>
        <v>2.3348878386286742E-11</v>
      </c>
      <c r="AH4536" s="339" t="str">
        <f>VLOOKUP(B4536,'MF PF'!A:B,2)</f>
        <v>FdMgt2</v>
      </c>
      <c r="AI4536" s="358">
        <f t="shared" si="607"/>
        <v>0</v>
      </c>
      <c r="AJ4536" s="94">
        <f t="shared" si="608"/>
        <v>43312</v>
      </c>
    </row>
    <row r="4537" spans="1:36" s="358" customFormat="1" ht="12.75" customHeight="1">
      <c r="A4537" s="94">
        <v>43343</v>
      </c>
      <c r="B4537" s="358" t="s">
        <v>33</v>
      </c>
      <c r="C4537" s="358" t="s">
        <v>297</v>
      </c>
      <c r="D4537" s="110">
        <v>32262423.420308426</v>
      </c>
      <c r="E4537" s="95">
        <f t="shared" si="613"/>
        <v>1.5566806136803184</v>
      </c>
      <c r="F4537" s="98"/>
      <c r="G4537" s="98">
        <v>0</v>
      </c>
      <c r="H4537" s="98"/>
      <c r="I4537" s="98">
        <v>0</v>
      </c>
      <c r="J4537" s="98"/>
      <c r="K4537" s="93">
        <v>20725139.850000001</v>
      </c>
      <c r="L4537" s="93">
        <f t="shared" si="604"/>
        <v>0</v>
      </c>
      <c r="M4537" s="95">
        <f t="shared" ca="1" si="605"/>
        <v>0</v>
      </c>
      <c r="N4537" s="95">
        <f>IF(P4537="Hedge Fund",IF(A4537=Summary!$AD$3,M4537-E4537,M4537),IF(A4537=Summary!$AD$3,L4537-D4537,L4537))</f>
        <v>0</v>
      </c>
      <c r="O4537" s="95"/>
      <c r="P4537" s="107" t="s">
        <v>155</v>
      </c>
      <c r="Q4537" s="109">
        <f t="shared" si="614"/>
        <v>6.6666666666666666E-2</v>
      </c>
      <c r="R4537" s="107">
        <v>0</v>
      </c>
      <c r="S4537" s="107">
        <v>0</v>
      </c>
      <c r="T4537" s="107">
        <v>0</v>
      </c>
      <c r="U4537" s="107"/>
      <c r="V4537" s="107"/>
      <c r="W4537" s="107"/>
      <c r="X4537" s="107"/>
      <c r="Y4537" s="107"/>
      <c r="Z4537" s="107"/>
      <c r="AA4537" s="107"/>
      <c r="AB4537" s="107"/>
      <c r="AF4537" s="94">
        <f t="shared" si="606"/>
        <v>43343</v>
      </c>
      <c r="AG4537" s="185">
        <f t="shared" si="612"/>
        <v>-1.2043291366614639E-5</v>
      </c>
      <c r="AH4537" s="339" t="str">
        <f>VLOOKUP(B4537,'MF PF'!A:B,2)</f>
        <v>FdMgt2</v>
      </c>
      <c r="AI4537" s="358">
        <f t="shared" si="607"/>
        <v>0</v>
      </c>
      <c r="AJ4537" s="94">
        <f t="shared" si="608"/>
        <v>43343</v>
      </c>
    </row>
    <row r="4538" spans="1:36" s="358" customFormat="1" ht="12.75" customHeight="1">
      <c r="A4538" s="94">
        <v>43371</v>
      </c>
      <c r="B4538" s="358" t="s">
        <v>33</v>
      </c>
      <c r="C4538" s="358" t="s">
        <v>297</v>
      </c>
      <c r="D4538" s="110">
        <v>32430250.136189248</v>
      </c>
      <c r="E4538" s="95">
        <f t="shared" si="613"/>
        <v>1.5647783499125216</v>
      </c>
      <c r="F4538" s="98"/>
      <c r="G4538" s="98">
        <v>0</v>
      </c>
      <c r="H4538" s="98"/>
      <c r="I4538" s="98">
        <v>0</v>
      </c>
      <c r="J4538" s="98"/>
      <c r="K4538" s="93">
        <v>20725139.850000001</v>
      </c>
      <c r="L4538" s="93">
        <f t="shared" si="604"/>
        <v>0</v>
      </c>
      <c r="M4538" s="95">
        <f t="shared" ca="1" si="605"/>
        <v>0</v>
      </c>
      <c r="N4538" s="95">
        <f>IF(P4538="Hedge Fund",IF(A4538=Summary!$AD$3,M4538-E4538,M4538),IF(A4538=Summary!$AD$3,L4538-D4538,L4538))</f>
        <v>0</v>
      </c>
      <c r="O4538" s="95"/>
      <c r="P4538" s="107" t="s">
        <v>155</v>
      </c>
      <c r="Q4538" s="109">
        <f t="shared" si="614"/>
        <v>6.6666666666666666E-2</v>
      </c>
      <c r="R4538" s="107">
        <v>0</v>
      </c>
      <c r="S4538" s="107">
        <v>0</v>
      </c>
      <c r="T4538" s="107">
        <v>0</v>
      </c>
      <c r="U4538" s="107"/>
      <c r="V4538" s="107"/>
      <c r="W4538" s="107"/>
      <c r="X4538" s="107"/>
      <c r="Y4538" s="107"/>
      <c r="Z4538" s="107"/>
      <c r="AA4538" s="107"/>
      <c r="AB4538" s="107"/>
      <c r="AF4538" s="94">
        <f t="shared" si="606"/>
        <v>43371</v>
      </c>
      <c r="AG4538" s="185">
        <f t="shared" si="612"/>
        <v>5.2019252767967483E-3</v>
      </c>
      <c r="AH4538" s="339" t="str">
        <f>VLOOKUP(B4538,'MF PF'!A:B,2)</f>
        <v>FdMgt2</v>
      </c>
      <c r="AI4538" s="358">
        <f t="shared" si="607"/>
        <v>0</v>
      </c>
      <c r="AJ4538" s="94">
        <f t="shared" si="608"/>
        <v>43373</v>
      </c>
    </row>
    <row r="4539" spans="1:36" s="358" customFormat="1" ht="12.75" customHeight="1">
      <c r="A4539" s="94">
        <v>43404</v>
      </c>
      <c r="B4539" s="358" t="s">
        <v>33</v>
      </c>
      <c r="C4539" s="358" t="s">
        <v>297</v>
      </c>
      <c r="D4539" s="110">
        <v>32430250.136189248</v>
      </c>
      <c r="E4539" s="95">
        <v>1.5647783499125216</v>
      </c>
      <c r="F4539" s="98"/>
      <c r="G4539" s="98">
        <v>0</v>
      </c>
      <c r="H4539" s="98"/>
      <c r="I4539" s="98">
        <v>0</v>
      </c>
      <c r="J4539" s="98"/>
      <c r="K4539" s="93">
        <v>20725139.850000001</v>
      </c>
      <c r="L4539" s="93">
        <f t="shared" si="604"/>
        <v>0</v>
      </c>
      <c r="M4539" s="95">
        <f t="shared" ca="1" si="605"/>
        <v>0</v>
      </c>
      <c r="N4539" s="95">
        <f>IF(P4539="Hedge Fund",IF(A4539=Summary!$AD$3,M4539-E4539,M4539),IF(A4539=Summary!$AD$3,L4539-D4539,L4539))</f>
        <v>0</v>
      </c>
      <c r="O4539" s="95"/>
      <c r="P4539" s="107" t="s">
        <v>155</v>
      </c>
      <c r="Q4539" s="109">
        <v>6.6666666666666666E-2</v>
      </c>
      <c r="R4539" s="107">
        <v>0</v>
      </c>
      <c r="S4539" s="107">
        <v>0</v>
      </c>
      <c r="T4539" s="107">
        <v>0</v>
      </c>
      <c r="U4539" s="107"/>
      <c r="V4539" s="107"/>
      <c r="W4539" s="107"/>
      <c r="X4539" s="107"/>
      <c r="Y4539" s="107"/>
      <c r="Z4539" s="107"/>
      <c r="AA4539" s="107"/>
      <c r="AB4539" s="107"/>
      <c r="AF4539" s="94">
        <f t="shared" si="606"/>
        <v>43404</v>
      </c>
      <c r="AG4539" s="185">
        <f t="shared" si="612"/>
        <v>0</v>
      </c>
      <c r="AH4539" s="339" t="str">
        <f>VLOOKUP(B4539,'MF PF'!A:B,2)</f>
        <v>FdMgt2</v>
      </c>
      <c r="AI4539" s="358">
        <f t="shared" si="607"/>
        <v>0</v>
      </c>
      <c r="AJ4539" s="94">
        <f t="shared" si="608"/>
        <v>43404</v>
      </c>
    </row>
    <row r="4540" spans="1:36" s="358" customFormat="1" ht="12.75" customHeight="1">
      <c r="A4540" s="94">
        <v>43434</v>
      </c>
      <c r="B4540" s="358" t="s">
        <v>33</v>
      </c>
      <c r="C4540" s="358" t="s">
        <v>297</v>
      </c>
      <c r="D4540" s="110">
        <v>32430250.136189248</v>
      </c>
      <c r="E4540" s="95">
        <v>1.5647783499125216</v>
      </c>
      <c r="F4540" s="98"/>
      <c r="G4540" s="98">
        <v>0</v>
      </c>
      <c r="H4540" s="98"/>
      <c r="I4540" s="98">
        <v>0</v>
      </c>
      <c r="J4540" s="98"/>
      <c r="K4540" s="93">
        <v>20725139.850000001</v>
      </c>
      <c r="L4540" s="93">
        <f t="shared" si="604"/>
        <v>0</v>
      </c>
      <c r="M4540" s="95">
        <f t="shared" ca="1" si="605"/>
        <v>0</v>
      </c>
      <c r="N4540" s="95">
        <f>IF(P4540="Hedge Fund",IF(A4540=Summary!$AD$3,M4540-E4540,M4540),IF(A4540=Summary!$AD$3,L4540-D4540,L4540))</f>
        <v>0</v>
      </c>
      <c r="O4540" s="95"/>
      <c r="P4540" s="107" t="s">
        <v>155</v>
      </c>
      <c r="Q4540" s="109">
        <v>6.6666666666666666E-2</v>
      </c>
      <c r="R4540" s="107">
        <v>0</v>
      </c>
      <c r="S4540" s="107">
        <v>0</v>
      </c>
      <c r="T4540" s="107">
        <v>0</v>
      </c>
      <c r="U4540" s="107"/>
      <c r="V4540" s="107"/>
      <c r="W4540" s="107"/>
      <c r="X4540" s="107"/>
      <c r="Y4540" s="107"/>
      <c r="Z4540" s="107"/>
      <c r="AA4540" s="107"/>
      <c r="AB4540" s="107"/>
      <c r="AF4540" s="94">
        <f t="shared" si="606"/>
        <v>43434</v>
      </c>
      <c r="AG4540" s="185">
        <f t="shared" si="612"/>
        <v>0</v>
      </c>
      <c r="AH4540" s="339" t="str">
        <f>VLOOKUP(B4540,'MF PF'!A:B,2)</f>
        <v>FdMgt2</v>
      </c>
      <c r="AI4540" s="358">
        <f t="shared" si="607"/>
        <v>0</v>
      </c>
      <c r="AJ4540" s="94">
        <f t="shared" si="608"/>
        <v>43434</v>
      </c>
    </row>
    <row r="4541" spans="1:36" s="358" customFormat="1" ht="12.75" customHeight="1">
      <c r="A4541" s="94">
        <v>43465</v>
      </c>
      <c r="B4541" s="358" t="s">
        <v>33</v>
      </c>
      <c r="C4541" s="358" t="s">
        <v>297</v>
      </c>
      <c r="D4541" s="110">
        <v>32430250.136189248</v>
      </c>
      <c r="E4541" s="95">
        <f>D4541/K4541</f>
        <v>1.5647783499125216</v>
      </c>
      <c r="F4541" s="98"/>
      <c r="G4541" s="98">
        <v>0</v>
      </c>
      <c r="H4541" s="98"/>
      <c r="I4541" s="98">
        <v>0</v>
      </c>
      <c r="J4541" s="98"/>
      <c r="K4541" s="93">
        <v>20725139.850000001</v>
      </c>
      <c r="L4541" s="93">
        <f t="shared" si="604"/>
        <v>0</v>
      </c>
      <c r="M4541" s="95">
        <f t="shared" ca="1" si="605"/>
        <v>0</v>
      </c>
      <c r="N4541" s="95">
        <f>IF(P4541="Hedge Fund",IF(A4541=Summary!$AD$3,M4541-E4541,M4541),IF(A4541=Summary!$AD$3,L4541-D4541,L4541))</f>
        <v>0</v>
      </c>
      <c r="O4541" s="95"/>
      <c r="P4541" s="107" t="s">
        <v>155</v>
      </c>
      <c r="Q4541" s="109">
        <v>6.6666666666666666E-2</v>
      </c>
      <c r="R4541" s="107">
        <v>0</v>
      </c>
      <c r="S4541" s="107">
        <v>0</v>
      </c>
      <c r="T4541" s="107">
        <v>0</v>
      </c>
      <c r="U4541" s="107"/>
      <c r="V4541" s="107"/>
      <c r="W4541" s="107"/>
      <c r="X4541" s="107"/>
      <c r="Y4541" s="107"/>
      <c r="Z4541" s="107"/>
      <c r="AA4541" s="107"/>
      <c r="AB4541" s="107"/>
      <c r="AF4541" s="94">
        <f t="shared" si="606"/>
        <v>43465</v>
      </c>
      <c r="AG4541" s="185">
        <f t="shared" si="612"/>
        <v>0</v>
      </c>
      <c r="AH4541" s="339" t="str">
        <f>VLOOKUP(B4541,'MF PF'!A:B,2)</f>
        <v>FdMgt2</v>
      </c>
      <c r="AI4541" s="358">
        <f t="shared" si="607"/>
        <v>0</v>
      </c>
      <c r="AJ4541" s="94">
        <f t="shared" si="608"/>
        <v>43465</v>
      </c>
    </row>
    <row r="4542" spans="1:36" s="358" customFormat="1" ht="12.75" customHeight="1">
      <c r="A4542" s="94">
        <v>43496</v>
      </c>
      <c r="B4542" s="358" t="s">
        <v>33</v>
      </c>
      <c r="C4542" s="358" t="s">
        <v>297</v>
      </c>
      <c r="D4542" s="110">
        <f>32430250.14+50000000</f>
        <v>82430250.140000001</v>
      </c>
      <c r="E4542" s="95">
        <f>D4542/K4542</f>
        <v>1.5648000000297657</v>
      </c>
      <c r="F4542" s="98"/>
      <c r="G4542" s="98">
        <v>50000000</v>
      </c>
      <c r="H4542" s="98"/>
      <c r="I4542" s="98">
        <v>0</v>
      </c>
      <c r="J4542" s="98"/>
      <c r="K4542" s="93">
        <v>52677818.340000004</v>
      </c>
      <c r="L4542" s="93">
        <f t="shared" si="604"/>
        <v>50000000</v>
      </c>
      <c r="M4542" s="95">
        <f t="shared" ca="1" si="605"/>
        <v>0</v>
      </c>
      <c r="N4542" s="95">
        <f>IF(P4542="Hedge Fund",IF(A4542=Summary!$AD$3,M4542-E4542,M4542),IF(A4542=Summary!$AD$3,L4542-D4542,L4542))</f>
        <v>-32430250.140000001</v>
      </c>
      <c r="O4542" s="95"/>
      <c r="P4542" s="107" t="s">
        <v>155</v>
      </c>
      <c r="Q4542" s="109">
        <v>6.6666666666666666E-2</v>
      </c>
      <c r="R4542" s="107">
        <v>0</v>
      </c>
      <c r="S4542" s="107">
        <v>0</v>
      </c>
      <c r="T4542" s="107">
        <v>0</v>
      </c>
      <c r="U4542" s="107"/>
      <c r="V4542" s="107"/>
      <c r="W4542" s="107"/>
      <c r="X4542" s="107"/>
      <c r="Y4542" s="107"/>
      <c r="Z4542" s="107"/>
      <c r="AA4542" s="107"/>
      <c r="AB4542" s="107"/>
      <c r="AF4542" s="94">
        <f t="shared" si="606"/>
        <v>43496</v>
      </c>
      <c r="AG4542" s="185">
        <f t="shared" si="612"/>
        <v>1.1750600492632657E-10</v>
      </c>
      <c r="AH4542" s="339" t="str">
        <f>VLOOKUP(B4542,'MF PF'!A:B,2)</f>
        <v>FdMgt2</v>
      </c>
      <c r="AI4542" s="358">
        <f t="shared" si="607"/>
        <v>0</v>
      </c>
      <c r="AJ4542" s="94">
        <f t="shared" si="608"/>
        <v>43496</v>
      </c>
    </row>
    <row r="4543" spans="1:36" s="358" customFormat="1" ht="12.75" customHeight="1">
      <c r="A4543" s="94">
        <v>42156</v>
      </c>
      <c r="B4543" s="94" t="s">
        <v>78</v>
      </c>
      <c r="C4543" s="358" t="s">
        <v>297</v>
      </c>
      <c r="D4543" s="98">
        <v>6000000</v>
      </c>
      <c r="E4543" s="99">
        <f t="shared" ref="E4543:E4574" si="615">IF(K4543="","",D4543/K4543)</f>
        <v>1</v>
      </c>
      <c r="F4543" s="98"/>
      <c r="G4543" s="98">
        <v>6000000</v>
      </c>
      <c r="H4543" s="98">
        <v>0</v>
      </c>
      <c r="I4543" s="98">
        <v>0</v>
      </c>
      <c r="J4543" s="98"/>
      <c r="K4543" s="100">
        <v>6000000</v>
      </c>
      <c r="L4543" s="93">
        <f t="shared" si="604"/>
        <v>6000000</v>
      </c>
      <c r="M4543" s="95">
        <f t="shared" ca="1" si="605"/>
        <v>1</v>
      </c>
      <c r="N4543" s="95">
        <f>IF(P4543="Hedge Fund",IF(A4543=Summary!$AD$3,M4543-E4543,M4543),IF(A4543=Summary!$AD$3,L4543-D4543,L4543))</f>
        <v>6000000</v>
      </c>
      <c r="O4543" s="95"/>
      <c r="P4543" s="107" t="s">
        <v>155</v>
      </c>
      <c r="Q4543" s="107">
        <v>0</v>
      </c>
      <c r="R4543" s="107">
        <v>0</v>
      </c>
      <c r="S4543" s="107">
        <v>0</v>
      </c>
      <c r="T4543" s="107">
        <v>0</v>
      </c>
      <c r="U4543" s="107"/>
      <c r="V4543" s="107"/>
      <c r="W4543" s="107"/>
      <c r="X4543" s="107"/>
      <c r="Y4543" s="107"/>
      <c r="Z4543" s="107"/>
      <c r="AA4543" s="107"/>
      <c r="AB4543" s="107"/>
      <c r="AF4543" s="94">
        <f t="shared" si="606"/>
        <v>42156</v>
      </c>
      <c r="AG4543" s="185">
        <f>IF(C4543&lt;&gt;C4541,D4543/G4543-1,(D4543-G4543-I4543-H4543)/(D4541)-1)</f>
        <v>-1</v>
      </c>
      <c r="AH4543" s="339" t="str">
        <f>VLOOKUP(B4543,'MF PF'!A:B,2)</f>
        <v>FdMgt2</v>
      </c>
      <c r="AI4543" s="358">
        <f t="shared" si="607"/>
        <v>0</v>
      </c>
      <c r="AJ4543" s="94">
        <f t="shared" si="608"/>
        <v>42185</v>
      </c>
    </row>
    <row r="4544" spans="1:36" s="358" customFormat="1" ht="12.75" customHeight="1">
      <c r="A4544" s="94">
        <v>42185</v>
      </c>
      <c r="B4544" s="94" t="s">
        <v>78</v>
      </c>
      <c r="C4544" s="358" t="s">
        <v>297</v>
      </c>
      <c r="D4544" s="98">
        <v>6029534.29</v>
      </c>
      <c r="E4544" s="99">
        <f t="shared" si="615"/>
        <v>0.93397272517868668</v>
      </c>
      <c r="F4544" s="98"/>
      <c r="G4544" s="98">
        <v>0</v>
      </c>
      <c r="H4544" s="98">
        <v>0</v>
      </c>
      <c r="I4544" s="98">
        <v>0</v>
      </c>
      <c r="J4544" s="98"/>
      <c r="K4544" s="100">
        <v>6455792.688000001</v>
      </c>
      <c r="L4544" s="93">
        <f t="shared" si="604"/>
        <v>0</v>
      </c>
      <c r="M4544" s="95">
        <f t="shared" ca="1" si="605"/>
        <v>0</v>
      </c>
      <c r="N4544" s="95">
        <f>IF(P4544="Hedge Fund",IF(A4544=Summary!$AD$3,M4544-E4544,M4544),IF(A4544=Summary!$AD$3,L4544-D4544,L4544))</f>
        <v>0</v>
      </c>
      <c r="O4544" s="95"/>
      <c r="P4544" s="107" t="s">
        <v>155</v>
      </c>
      <c r="Q4544" s="107">
        <v>4.8571248447222218E-3</v>
      </c>
      <c r="R4544" s="107">
        <v>0</v>
      </c>
      <c r="S4544" s="107">
        <v>0</v>
      </c>
      <c r="T4544" s="107">
        <v>0</v>
      </c>
      <c r="U4544" s="107"/>
      <c r="V4544" s="107"/>
      <c r="W4544" s="107"/>
      <c r="X4544" s="107"/>
      <c r="Y4544" s="107"/>
      <c r="Z4544" s="107"/>
      <c r="AA4544" s="107"/>
      <c r="AB4544" s="107"/>
      <c r="AF4544" s="94">
        <f t="shared" si="606"/>
        <v>42185</v>
      </c>
      <c r="AG4544" s="185">
        <f t="shared" ref="AG4544:AG4587" si="616">IF(C4544&lt;&gt;C4543,D4544/G4544-1,(D4544-G4544-I4544-H4544)/(D4543)-1)</f>
        <v>4.9223816666665865E-3</v>
      </c>
      <c r="AH4544" s="339" t="str">
        <f>VLOOKUP(B4544,'MF PF'!A:B,2)</f>
        <v>FdMgt2</v>
      </c>
      <c r="AI4544" s="358">
        <f t="shared" si="607"/>
        <v>0</v>
      </c>
      <c r="AJ4544" s="94">
        <f t="shared" si="608"/>
        <v>42185</v>
      </c>
    </row>
    <row r="4545" spans="1:36" s="358" customFormat="1" ht="12.75" customHeight="1">
      <c r="A4545" s="94">
        <v>42216</v>
      </c>
      <c r="B4545" s="94" t="s">
        <v>78</v>
      </c>
      <c r="C4545" s="358" t="s">
        <v>297</v>
      </c>
      <c r="D4545" s="98">
        <v>6065516.9800000004</v>
      </c>
      <c r="E4545" s="99">
        <f t="shared" si="615"/>
        <v>0.93954643111055236</v>
      </c>
      <c r="F4545" s="98"/>
      <c r="G4545" s="98">
        <v>0</v>
      </c>
      <c r="H4545" s="98">
        <v>0</v>
      </c>
      <c r="I4545" s="98">
        <v>0</v>
      </c>
      <c r="J4545" s="98"/>
      <c r="K4545" s="100">
        <v>6455792.688000001</v>
      </c>
      <c r="L4545" s="93">
        <f t="shared" ref="L4545:L4608" si="617">G4545+H4545+I4545</f>
        <v>0</v>
      </c>
      <c r="M4545" s="95">
        <f t="shared" ref="M4545:M4608" ca="1" si="618">IF(A4545&gt;INDIRECT("A"&amp;ROW()-1),I4545/K4545,E4545)</f>
        <v>0</v>
      </c>
      <c r="N4545" s="95">
        <f>IF(P4545="Hedge Fund",IF(A4545=Summary!$AD$3,M4545-E4545,M4545),IF(A4545=Summary!$AD$3,L4545-D4545,L4545))</f>
        <v>0</v>
      </c>
      <c r="O4545" s="95"/>
      <c r="P4545" s="107" t="s">
        <v>155</v>
      </c>
      <c r="Q4545" s="107">
        <v>5.2230840661111116E-3</v>
      </c>
      <c r="R4545" s="107">
        <v>0</v>
      </c>
      <c r="S4545" s="107">
        <v>0</v>
      </c>
      <c r="T4545" s="107">
        <v>0</v>
      </c>
      <c r="U4545" s="107"/>
      <c r="V4545" s="107"/>
      <c r="W4545" s="107"/>
      <c r="X4545" s="107"/>
      <c r="Y4545" s="107"/>
      <c r="Z4545" s="107"/>
      <c r="AA4545" s="107"/>
      <c r="AB4545" s="107"/>
      <c r="AF4545" s="94">
        <f t="shared" ref="AF4545:AF4608" si="619">A4545</f>
        <v>42216</v>
      </c>
      <c r="AG4545" s="185">
        <f t="shared" si="616"/>
        <v>5.9677395084523077E-3</v>
      </c>
      <c r="AH4545" s="339" t="str">
        <f>VLOOKUP(B4545,'MF PF'!A:B,2)</f>
        <v>FdMgt2</v>
      </c>
      <c r="AI4545" s="358">
        <f t="shared" ref="AI4545:AI4608" si="620">AF4545-A4545</f>
        <v>0</v>
      </c>
      <c r="AJ4545" s="94">
        <f t="shared" ref="AJ4545:AJ4608" si="621">EOMONTH(A4545,0)</f>
        <v>42216</v>
      </c>
    </row>
    <row r="4546" spans="1:36" s="358" customFormat="1" ht="12.75" customHeight="1">
      <c r="A4546" s="94">
        <v>42247</v>
      </c>
      <c r="B4546" s="94" t="s">
        <v>78</v>
      </c>
      <c r="C4546" s="358" t="s">
        <v>297</v>
      </c>
      <c r="D4546" s="98">
        <v>6110664.9000000004</v>
      </c>
      <c r="E4546" s="99">
        <f t="shared" si="615"/>
        <v>0.94653982792205804</v>
      </c>
      <c r="F4546" s="98"/>
      <c r="G4546" s="98">
        <v>0</v>
      </c>
      <c r="H4546" s="98">
        <v>-9.3132257461547852E-10</v>
      </c>
      <c r="I4546" s="98">
        <v>0</v>
      </c>
      <c r="J4546" s="98"/>
      <c r="K4546" s="100">
        <v>6455792.6880000001</v>
      </c>
      <c r="L4546" s="93">
        <f t="shared" si="617"/>
        <v>-9.3132257461547852E-10</v>
      </c>
      <c r="M4546" s="95">
        <f t="shared" ca="1" si="618"/>
        <v>0</v>
      </c>
      <c r="N4546" s="95">
        <f>IF(P4546="Hedge Fund",IF(A4546=Summary!$AD$3,M4546-E4546,M4546),IF(A4546=Summary!$AD$3,L4546-D4546,L4546))</f>
        <v>-9.3132257461547852E-10</v>
      </c>
      <c r="O4546" s="95"/>
      <c r="P4546" s="107" t="s">
        <v>155</v>
      </c>
      <c r="Q4546" s="107">
        <v>5.2619614416666675E-3</v>
      </c>
      <c r="R4546" s="107">
        <v>0</v>
      </c>
      <c r="S4546" s="107">
        <v>0</v>
      </c>
      <c r="T4546" s="107">
        <v>0</v>
      </c>
      <c r="U4546" s="107"/>
      <c r="V4546" s="107"/>
      <c r="W4546" s="107"/>
      <c r="X4546" s="107"/>
      <c r="Y4546" s="107"/>
      <c r="Z4546" s="107"/>
      <c r="AA4546" s="107"/>
      <c r="AB4546" s="107"/>
      <c r="AF4546" s="94">
        <f t="shared" si="619"/>
        <v>42247</v>
      </c>
      <c r="AG4546" s="185">
        <f t="shared" si="616"/>
        <v>7.4433754202434255E-3</v>
      </c>
      <c r="AH4546" s="339" t="str">
        <f>VLOOKUP(B4546,'MF PF'!A:B,2)</f>
        <v>FdMgt2</v>
      </c>
      <c r="AI4546" s="358">
        <f t="shared" si="620"/>
        <v>0</v>
      </c>
      <c r="AJ4546" s="94">
        <f t="shared" si="621"/>
        <v>42247</v>
      </c>
    </row>
    <row r="4547" spans="1:36" s="358" customFormat="1" ht="12.75" customHeight="1">
      <c r="A4547" s="94">
        <v>42277</v>
      </c>
      <c r="B4547" s="94" t="s">
        <v>78</v>
      </c>
      <c r="C4547" s="358" t="s">
        <v>297</v>
      </c>
      <c r="D4547" s="98">
        <v>43164193.439999998</v>
      </c>
      <c r="E4547" s="99">
        <f t="shared" si="615"/>
        <v>6.6861182702216286</v>
      </c>
      <c r="F4547" s="98"/>
      <c r="G4547" s="98">
        <v>37000000</v>
      </c>
      <c r="H4547" s="98">
        <v>0</v>
      </c>
      <c r="I4547" s="98">
        <v>0</v>
      </c>
      <c r="J4547" s="98"/>
      <c r="K4547" s="100">
        <v>6455792.6880000001</v>
      </c>
      <c r="L4547" s="93">
        <f t="shared" si="617"/>
        <v>37000000</v>
      </c>
      <c r="M4547" s="95">
        <f t="shared" ca="1" si="618"/>
        <v>0</v>
      </c>
      <c r="N4547" s="95">
        <f>IF(P4547="Hedge Fund",IF(A4547=Summary!$AD$3,M4547-E4547,M4547),IF(A4547=Summary!$AD$3,L4547-D4547,L4547))</f>
        <v>37000000</v>
      </c>
      <c r="O4547" s="95"/>
      <c r="P4547" s="107" t="s">
        <v>155</v>
      </c>
      <c r="Q4547" s="107">
        <v>3.5970161200000003E-2</v>
      </c>
      <c r="R4547" s="107">
        <v>0</v>
      </c>
      <c r="S4547" s="107">
        <v>0</v>
      </c>
      <c r="T4547" s="107">
        <v>0</v>
      </c>
      <c r="U4547" s="107"/>
      <c r="V4547" s="107"/>
      <c r="W4547" s="107"/>
      <c r="X4547" s="107"/>
      <c r="Y4547" s="107"/>
      <c r="Z4547" s="107"/>
      <c r="AA4547" s="107"/>
      <c r="AB4547" s="107"/>
      <c r="AF4547" s="94">
        <f t="shared" si="619"/>
        <v>42277</v>
      </c>
      <c r="AG4547" s="185">
        <f t="shared" si="616"/>
        <v>8.7598552491394699E-3</v>
      </c>
      <c r="AH4547" s="339" t="str">
        <f>VLOOKUP(B4547,'MF PF'!A:B,2)</f>
        <v>FdMgt2</v>
      </c>
      <c r="AI4547" s="358">
        <f t="shared" si="620"/>
        <v>0</v>
      </c>
      <c r="AJ4547" s="94">
        <f t="shared" si="621"/>
        <v>42277</v>
      </c>
    </row>
    <row r="4548" spans="1:36" s="358" customFormat="1" ht="12.75" customHeight="1">
      <c r="A4548" s="94">
        <v>42307</v>
      </c>
      <c r="B4548" s="94" t="s">
        <v>78</v>
      </c>
      <c r="C4548" s="358" t="s">
        <v>297</v>
      </c>
      <c r="D4548" s="98">
        <v>43162911.119999997</v>
      </c>
      <c r="E4548" s="99">
        <f t="shared" si="615"/>
        <v>6.6859196393079703</v>
      </c>
      <c r="F4548" s="98"/>
      <c r="G4548" s="98">
        <v>7.4505805969238281E-9</v>
      </c>
      <c r="H4548" s="98">
        <v>0</v>
      </c>
      <c r="I4548" s="98">
        <v>0</v>
      </c>
      <c r="J4548" s="98"/>
      <c r="K4548" s="100">
        <v>6455792.688000001</v>
      </c>
      <c r="L4548" s="93">
        <f t="shared" si="617"/>
        <v>7.4505805969238281E-9</v>
      </c>
      <c r="M4548" s="95">
        <f t="shared" ca="1" si="618"/>
        <v>0</v>
      </c>
      <c r="N4548" s="95">
        <f>IF(P4548="Hedge Fund",IF(A4548=Summary!$AD$3,M4548-E4548,M4548),IF(A4548=Summary!$AD$3,L4548-D4548,L4548))</f>
        <v>7.4505805969238281E-9</v>
      </c>
      <c r="O4548" s="95"/>
      <c r="P4548" s="107" t="s">
        <v>155</v>
      </c>
      <c r="Q4548" s="107">
        <v>3.5969092599999995E-2</v>
      </c>
      <c r="R4548" s="107">
        <v>0</v>
      </c>
      <c r="S4548" s="107">
        <v>0</v>
      </c>
      <c r="T4548" s="107">
        <v>0</v>
      </c>
      <c r="U4548" s="107"/>
      <c r="V4548" s="107"/>
      <c r="W4548" s="107"/>
      <c r="X4548" s="107"/>
      <c r="Y4548" s="107"/>
      <c r="Z4548" s="107"/>
      <c r="AA4548" s="107"/>
      <c r="AB4548" s="107"/>
      <c r="AF4548" s="94">
        <f t="shared" si="619"/>
        <v>42307</v>
      </c>
      <c r="AG4548" s="185">
        <f t="shared" si="616"/>
        <v>-2.9707956938684887E-5</v>
      </c>
      <c r="AH4548" s="339" t="str">
        <f>VLOOKUP(B4548,'MF PF'!A:B,2)</f>
        <v>FdMgt2</v>
      </c>
      <c r="AI4548" s="358">
        <f t="shared" si="620"/>
        <v>0</v>
      </c>
      <c r="AJ4548" s="94">
        <f t="shared" si="621"/>
        <v>42308</v>
      </c>
    </row>
    <row r="4549" spans="1:36" s="358" customFormat="1" ht="12.75" customHeight="1">
      <c r="A4549" s="94">
        <v>42338</v>
      </c>
      <c r="B4549" s="94" t="s">
        <v>78</v>
      </c>
      <c r="C4549" s="358" t="s">
        <v>297</v>
      </c>
      <c r="D4549" s="98">
        <v>43509559.960000001</v>
      </c>
      <c r="E4549" s="99">
        <f t="shared" si="615"/>
        <v>6.7396154218017843</v>
      </c>
      <c r="F4549" s="98"/>
      <c r="G4549" s="98">
        <v>0</v>
      </c>
      <c r="H4549" s="98">
        <v>0</v>
      </c>
      <c r="I4549" s="98">
        <v>0</v>
      </c>
      <c r="J4549" s="98"/>
      <c r="K4549" s="100">
        <v>6455792.688000001</v>
      </c>
      <c r="L4549" s="93">
        <f t="shared" si="617"/>
        <v>0</v>
      </c>
      <c r="M4549" s="95">
        <f t="shared" ca="1" si="618"/>
        <v>0</v>
      </c>
      <c r="N4549" s="95">
        <f>IF(P4549="Hedge Fund",IF(A4549=Summary!$AD$3,M4549-E4549,M4549),IF(A4549=Summary!$AD$3,L4549-D4549,L4549))</f>
        <v>0</v>
      </c>
      <c r="O4549" s="95"/>
      <c r="P4549" s="107" t="s">
        <v>155</v>
      </c>
      <c r="Q4549" s="107">
        <v>3.7466565521111113E-2</v>
      </c>
      <c r="R4549" s="107">
        <v>0</v>
      </c>
      <c r="S4549" s="107">
        <v>0</v>
      </c>
      <c r="T4549" s="107">
        <v>0</v>
      </c>
      <c r="U4549" s="107"/>
      <c r="V4549" s="107"/>
      <c r="W4549" s="107"/>
      <c r="X4549" s="107"/>
      <c r="Y4549" s="107"/>
      <c r="Z4549" s="107"/>
      <c r="AA4549" s="107"/>
      <c r="AB4549" s="107"/>
      <c r="AF4549" s="94">
        <f t="shared" si="619"/>
        <v>42338</v>
      </c>
      <c r="AG4549" s="185">
        <f t="shared" si="616"/>
        <v>8.0311737787162052E-3</v>
      </c>
      <c r="AH4549" s="339" t="str">
        <f>VLOOKUP(B4549,'MF PF'!A:B,2)</f>
        <v>FdMgt2</v>
      </c>
      <c r="AI4549" s="358">
        <f t="shared" si="620"/>
        <v>0</v>
      </c>
      <c r="AJ4549" s="94">
        <f t="shared" si="621"/>
        <v>42338</v>
      </c>
    </row>
    <row r="4550" spans="1:36" s="358" customFormat="1" ht="12.75" customHeight="1">
      <c r="A4550" s="94">
        <v>42369</v>
      </c>
      <c r="B4550" s="94" t="s">
        <v>78</v>
      </c>
      <c r="C4550" s="358" t="s">
        <v>297</v>
      </c>
      <c r="D4550" s="98">
        <v>43776643.130000003</v>
      </c>
      <c r="E4550" s="99">
        <f t="shared" si="615"/>
        <v>6.7809865102037481</v>
      </c>
      <c r="F4550" s="98"/>
      <c r="G4550" s="98">
        <v>0</v>
      </c>
      <c r="H4550" s="98">
        <v>0</v>
      </c>
      <c r="I4550" s="98">
        <v>0</v>
      </c>
      <c r="J4550" s="98"/>
      <c r="K4550" s="100">
        <v>6455792.688000001</v>
      </c>
      <c r="L4550" s="93">
        <f t="shared" si="617"/>
        <v>0</v>
      </c>
      <c r="M4550" s="95">
        <f t="shared" ca="1" si="618"/>
        <v>0</v>
      </c>
      <c r="N4550" s="95">
        <f>IF(P4550="Hedge Fund",IF(A4550=Summary!$AD$3,M4550-E4550,M4550),IF(A4550=Summary!$AD$3,L4550-D4550,L4550))</f>
        <v>0</v>
      </c>
      <c r="O4550" s="95"/>
      <c r="P4550" s="107" t="s">
        <v>155</v>
      </c>
      <c r="Q4550" s="107">
        <v>3.7696553806388887E-2</v>
      </c>
      <c r="R4550" s="107">
        <v>0</v>
      </c>
      <c r="S4550" s="107">
        <v>0</v>
      </c>
      <c r="T4550" s="107">
        <v>0</v>
      </c>
      <c r="U4550" s="107"/>
      <c r="V4550" s="107"/>
      <c r="W4550" s="107"/>
      <c r="X4550" s="107"/>
      <c r="Y4550" s="107"/>
      <c r="Z4550" s="107"/>
      <c r="AA4550" s="107"/>
      <c r="AB4550" s="107"/>
      <c r="AF4550" s="94">
        <f t="shared" si="619"/>
        <v>42369</v>
      </c>
      <c r="AG4550" s="185">
        <f t="shared" si="616"/>
        <v>6.1384939366324609E-3</v>
      </c>
      <c r="AH4550" s="339" t="str">
        <f>VLOOKUP(B4550,'MF PF'!A:B,2)</f>
        <v>FdMgt2</v>
      </c>
      <c r="AI4550" s="358">
        <f t="shared" si="620"/>
        <v>0</v>
      </c>
      <c r="AJ4550" s="94">
        <f t="shared" si="621"/>
        <v>42369</v>
      </c>
    </row>
    <row r="4551" spans="1:36" s="358" customFormat="1" ht="12.75" customHeight="1">
      <c r="A4551" s="94">
        <v>42398</v>
      </c>
      <c r="B4551" s="94" t="s">
        <v>78</v>
      </c>
      <c r="C4551" s="358" t="s">
        <v>297</v>
      </c>
      <c r="D4551" s="98">
        <v>43879503.289999999</v>
      </c>
      <c r="E4551" s="99">
        <f t="shared" si="615"/>
        <v>6.7969195125430577</v>
      </c>
      <c r="F4551" s="98"/>
      <c r="G4551" s="98">
        <v>0</v>
      </c>
      <c r="H4551" s="98">
        <v>-7.4505805969238281E-9</v>
      </c>
      <c r="I4551" s="98">
        <v>0</v>
      </c>
      <c r="J4551" s="98"/>
      <c r="K4551" s="100">
        <v>6455792.6880000001</v>
      </c>
      <c r="L4551" s="93">
        <f t="shared" si="617"/>
        <v>-7.4505805969238281E-9</v>
      </c>
      <c r="M4551" s="95">
        <f t="shared" ca="1" si="618"/>
        <v>0</v>
      </c>
      <c r="N4551" s="95">
        <f>IF(P4551="Hedge Fund",IF(A4551=Summary!$AD$3,M4551-E4551,M4551),IF(A4551=Summary!$AD$3,L4551-D4551,L4551))</f>
        <v>-7.4505805969238281E-9</v>
      </c>
      <c r="O4551" s="95"/>
      <c r="P4551" s="107" t="s">
        <v>155</v>
      </c>
      <c r="Q4551" s="107">
        <v>3.5347377650277782E-2</v>
      </c>
      <c r="R4551" s="107">
        <v>0</v>
      </c>
      <c r="S4551" s="107">
        <v>0</v>
      </c>
      <c r="T4551" s="107">
        <v>0</v>
      </c>
      <c r="U4551" s="107"/>
      <c r="V4551" s="107"/>
      <c r="W4551" s="107"/>
      <c r="X4551" s="107"/>
      <c r="Y4551" s="107"/>
      <c r="Z4551" s="107"/>
      <c r="AA4551" s="107"/>
      <c r="AB4551" s="107"/>
      <c r="AF4551" s="94">
        <f t="shared" si="619"/>
        <v>42398</v>
      </c>
      <c r="AG4551" s="185">
        <f t="shared" si="616"/>
        <v>2.3496584627229478E-3</v>
      </c>
      <c r="AH4551" s="339" t="str">
        <f>VLOOKUP(B4551,'MF PF'!A:B,2)</f>
        <v>FdMgt2</v>
      </c>
      <c r="AI4551" s="358">
        <f t="shared" si="620"/>
        <v>0</v>
      </c>
      <c r="AJ4551" s="94">
        <f t="shared" si="621"/>
        <v>42400</v>
      </c>
    </row>
    <row r="4552" spans="1:36" s="358" customFormat="1" ht="12.75" customHeight="1">
      <c r="A4552" s="94">
        <v>42429</v>
      </c>
      <c r="B4552" s="94" t="s">
        <v>78</v>
      </c>
      <c r="C4552" s="358" t="s">
        <v>297</v>
      </c>
      <c r="D4552" s="98">
        <v>44314968.920000002</v>
      </c>
      <c r="E4552" s="99">
        <f t="shared" si="615"/>
        <v>6.864372984338929</v>
      </c>
      <c r="F4552" s="98"/>
      <c r="G4552" s="98">
        <v>7.4505805969238281E-9</v>
      </c>
      <c r="H4552" s="98">
        <v>0</v>
      </c>
      <c r="I4552" s="98">
        <v>0</v>
      </c>
      <c r="J4552" s="98"/>
      <c r="K4552" s="100">
        <v>6455792.688000001</v>
      </c>
      <c r="L4552" s="93">
        <f t="shared" si="617"/>
        <v>7.4505805969238281E-9</v>
      </c>
      <c r="M4552" s="95">
        <f t="shared" ca="1" si="618"/>
        <v>0</v>
      </c>
      <c r="N4552" s="95">
        <f>IF(P4552="Hedge Fund",IF(A4552=Summary!$AD$3,M4552-E4552,M4552),IF(A4552=Summary!$AD$3,L4552-D4552,L4552))</f>
        <v>7.4505805969238281E-9</v>
      </c>
      <c r="O4552" s="95"/>
      <c r="P4552" s="107" t="s">
        <v>155</v>
      </c>
      <c r="Q4552" s="107">
        <v>3.8160112125555555E-2</v>
      </c>
      <c r="R4552" s="107">
        <v>0</v>
      </c>
      <c r="S4552" s="107">
        <v>0</v>
      </c>
      <c r="T4552" s="107">
        <v>0</v>
      </c>
      <c r="U4552" s="107"/>
      <c r="V4552" s="107"/>
      <c r="W4552" s="107"/>
      <c r="X4552" s="107"/>
      <c r="Y4552" s="107"/>
      <c r="Z4552" s="107"/>
      <c r="AA4552" s="107"/>
      <c r="AB4552" s="107"/>
      <c r="AF4552" s="94">
        <f t="shared" si="619"/>
        <v>42429</v>
      </c>
      <c r="AG4552" s="185">
        <f t="shared" si="616"/>
        <v>9.9241239610667886E-3</v>
      </c>
      <c r="AH4552" s="339" t="str">
        <f>VLOOKUP(B4552,'MF PF'!A:B,2)</f>
        <v>FdMgt2</v>
      </c>
      <c r="AI4552" s="358">
        <f t="shared" si="620"/>
        <v>0</v>
      </c>
      <c r="AJ4552" s="94">
        <f t="shared" si="621"/>
        <v>42429</v>
      </c>
    </row>
    <row r="4553" spans="1:36" s="358" customFormat="1" ht="12.75" customHeight="1">
      <c r="A4553" s="94">
        <v>42460</v>
      </c>
      <c r="B4553" s="94" t="s">
        <v>78</v>
      </c>
      <c r="C4553" s="358" t="s">
        <v>297</v>
      </c>
      <c r="D4553" s="98">
        <v>44597788.93</v>
      </c>
      <c r="E4553" s="99">
        <f t="shared" si="615"/>
        <v>6.9081817036811257</v>
      </c>
      <c r="F4553" s="98"/>
      <c r="G4553" s="98">
        <v>0</v>
      </c>
      <c r="H4553" s="98">
        <v>0</v>
      </c>
      <c r="I4553" s="98">
        <v>0</v>
      </c>
      <c r="J4553" s="98"/>
      <c r="K4553" s="100">
        <v>6455792.688000001</v>
      </c>
      <c r="L4553" s="93">
        <f t="shared" si="617"/>
        <v>0</v>
      </c>
      <c r="M4553" s="95">
        <f t="shared" ca="1" si="618"/>
        <v>0</v>
      </c>
      <c r="N4553" s="95">
        <f>IF(P4553="Hedge Fund",IF(A4553=Summary!$AD$3,M4553-E4553,M4553),IF(A4553=Summary!$AD$3,L4553-D4553,L4553))</f>
        <v>0</v>
      </c>
      <c r="O4553" s="95"/>
      <c r="P4553" s="107" t="s">
        <v>155</v>
      </c>
      <c r="Q4553" s="107">
        <v>3.8403651578611107E-2</v>
      </c>
      <c r="R4553" s="107">
        <v>0</v>
      </c>
      <c r="S4553" s="107">
        <v>0</v>
      </c>
      <c r="T4553" s="107">
        <v>0</v>
      </c>
      <c r="U4553" s="107"/>
      <c r="V4553" s="107"/>
      <c r="W4553" s="107"/>
      <c r="X4553" s="107"/>
      <c r="Y4553" s="107"/>
      <c r="Z4553" s="107"/>
      <c r="AA4553" s="107"/>
      <c r="AB4553" s="107"/>
      <c r="AF4553" s="94">
        <f t="shared" si="619"/>
        <v>42460</v>
      </c>
      <c r="AG4553" s="185">
        <f t="shared" si="616"/>
        <v>6.3820423864127118E-3</v>
      </c>
      <c r="AH4553" s="339" t="str">
        <f>VLOOKUP(B4553,'MF PF'!A:B,2)</f>
        <v>FdMgt2</v>
      </c>
      <c r="AI4553" s="358">
        <f t="shared" si="620"/>
        <v>0</v>
      </c>
      <c r="AJ4553" s="94">
        <f t="shared" si="621"/>
        <v>42460</v>
      </c>
    </row>
    <row r="4554" spans="1:36" s="358" customFormat="1" ht="12.75" customHeight="1">
      <c r="A4554" s="94">
        <v>42489</v>
      </c>
      <c r="B4554" s="94" t="s">
        <v>78</v>
      </c>
      <c r="C4554" s="358" t="s">
        <v>297</v>
      </c>
      <c r="D4554" s="98">
        <v>44872543.729999997</v>
      </c>
      <c r="E4554" s="99">
        <f t="shared" si="615"/>
        <v>6.9507411248519304</v>
      </c>
      <c r="F4554" s="98"/>
      <c r="G4554" s="98">
        <v>0</v>
      </c>
      <c r="H4554" s="98">
        <v>0</v>
      </c>
      <c r="I4554" s="98">
        <v>0</v>
      </c>
      <c r="J4554" s="98"/>
      <c r="K4554" s="100">
        <v>6455792.688000001</v>
      </c>
      <c r="L4554" s="93">
        <f t="shared" si="617"/>
        <v>0</v>
      </c>
      <c r="M4554" s="95">
        <f t="shared" ca="1" si="618"/>
        <v>0</v>
      </c>
      <c r="N4554" s="95">
        <f>IF(P4554="Hedge Fund",IF(A4554=Summary!$AD$3,M4554-E4554,M4554),IF(A4554=Summary!$AD$3,L4554-D4554,L4554))</f>
        <v>0</v>
      </c>
      <c r="O4554" s="95"/>
      <c r="P4554" s="107" t="s">
        <v>155</v>
      </c>
      <c r="Q4554" s="107">
        <v>3.6147326893611109E-2</v>
      </c>
      <c r="R4554" s="107">
        <v>0</v>
      </c>
      <c r="S4554" s="107">
        <v>0</v>
      </c>
      <c r="T4554" s="107">
        <v>0</v>
      </c>
      <c r="U4554" s="107"/>
      <c r="V4554" s="107"/>
      <c r="W4554" s="107"/>
      <c r="X4554" s="107"/>
      <c r="Y4554" s="107"/>
      <c r="Z4554" s="107"/>
      <c r="AA4554" s="107"/>
      <c r="AB4554" s="107"/>
      <c r="AF4554" s="94">
        <f t="shared" si="619"/>
        <v>42489</v>
      </c>
      <c r="AG4554" s="185">
        <f t="shared" si="616"/>
        <v>6.160726946155215E-3</v>
      </c>
      <c r="AH4554" s="339" t="str">
        <f>VLOOKUP(B4554,'MF PF'!A:B,2)</f>
        <v>FdMgt2</v>
      </c>
      <c r="AI4554" s="358">
        <f t="shared" si="620"/>
        <v>0</v>
      </c>
      <c r="AJ4554" s="94">
        <f t="shared" si="621"/>
        <v>42490</v>
      </c>
    </row>
    <row r="4555" spans="1:36" s="358" customFormat="1" ht="12.75" customHeight="1">
      <c r="A4555" s="94">
        <v>42521</v>
      </c>
      <c r="B4555" s="94" t="s">
        <v>78</v>
      </c>
      <c r="C4555" s="358" t="s">
        <v>297</v>
      </c>
      <c r="D4555" s="98">
        <v>45159838.82</v>
      </c>
      <c r="E4555" s="99">
        <f t="shared" si="615"/>
        <v>6.9952430325005501</v>
      </c>
      <c r="F4555" s="98"/>
      <c r="G4555" s="98">
        <v>0</v>
      </c>
      <c r="H4555" s="98">
        <v>-7.4505805969238281E-9</v>
      </c>
      <c r="I4555" s="98">
        <v>0</v>
      </c>
      <c r="J4555" s="98"/>
      <c r="K4555" s="100">
        <v>6455792.6880000001</v>
      </c>
      <c r="L4555" s="93">
        <f t="shared" si="617"/>
        <v>-7.4505805969238281E-9</v>
      </c>
      <c r="M4555" s="95">
        <f t="shared" ca="1" si="618"/>
        <v>0</v>
      </c>
      <c r="N4555" s="95">
        <f>IF(P4555="Hedge Fund",IF(A4555=Summary!$AD$3,M4555-E4555,M4555),IF(A4555=Summary!$AD$3,L4555-D4555,L4555))</f>
        <v>-7.4505805969238281E-9</v>
      </c>
      <c r="O4555" s="95"/>
      <c r="P4555" s="107" t="s">
        <v>155</v>
      </c>
      <c r="Q4555" s="107">
        <v>4.0142078951111111E-2</v>
      </c>
      <c r="R4555" s="107">
        <v>0</v>
      </c>
      <c r="S4555" s="107">
        <v>0</v>
      </c>
      <c r="T4555" s="107">
        <v>0</v>
      </c>
      <c r="U4555" s="107"/>
      <c r="V4555" s="107"/>
      <c r="W4555" s="107"/>
      <c r="X4555" s="107"/>
      <c r="Y4555" s="107"/>
      <c r="Z4555" s="107"/>
      <c r="AA4555" s="107"/>
      <c r="AB4555" s="107"/>
      <c r="AF4555" s="94">
        <f t="shared" si="619"/>
        <v>42521</v>
      </c>
      <c r="AG4555" s="185">
        <f t="shared" si="616"/>
        <v>6.4024694416406902E-3</v>
      </c>
      <c r="AH4555" s="339" t="str">
        <f>VLOOKUP(B4555,'MF PF'!A:B,2)</f>
        <v>FdMgt2</v>
      </c>
      <c r="AI4555" s="358">
        <f t="shared" si="620"/>
        <v>0</v>
      </c>
      <c r="AJ4555" s="94">
        <f t="shared" si="621"/>
        <v>42521</v>
      </c>
    </row>
    <row r="4556" spans="1:36" s="358" customFormat="1" ht="12.75" customHeight="1">
      <c r="A4556" s="94">
        <v>42551</v>
      </c>
      <c r="B4556" s="94" t="s">
        <v>78</v>
      </c>
      <c r="C4556" s="358" t="s">
        <v>297</v>
      </c>
      <c r="D4556" s="98">
        <v>45431340.859999999</v>
      </c>
      <c r="E4556" s="99">
        <f t="shared" si="615"/>
        <v>7.0372986022998498</v>
      </c>
      <c r="F4556" s="98"/>
      <c r="G4556" s="98">
        <v>7.4505805969238281E-9</v>
      </c>
      <c r="H4556" s="98">
        <v>0</v>
      </c>
      <c r="I4556" s="98">
        <v>0</v>
      </c>
      <c r="J4556" s="98"/>
      <c r="K4556" s="100">
        <v>6455792.688000001</v>
      </c>
      <c r="L4556" s="93">
        <f t="shared" si="617"/>
        <v>7.4505805969238281E-9</v>
      </c>
      <c r="M4556" s="95">
        <f t="shared" ca="1" si="618"/>
        <v>0</v>
      </c>
      <c r="N4556" s="95">
        <f>IF(P4556="Hedge Fund",IF(A4556=Summary!$AD$3,M4556-E4556,M4556),IF(A4556=Summary!$AD$3,L4556-D4556,L4556))</f>
        <v>7.4505805969238281E-9</v>
      </c>
      <c r="O4556" s="95"/>
      <c r="P4556" s="107" t="s">
        <v>155</v>
      </c>
      <c r="Q4556" s="107">
        <v>3.7859450716666666E-2</v>
      </c>
      <c r="R4556" s="107">
        <v>0</v>
      </c>
      <c r="S4556" s="107">
        <v>0</v>
      </c>
      <c r="T4556" s="107">
        <v>0</v>
      </c>
      <c r="U4556" s="107"/>
      <c r="V4556" s="107"/>
      <c r="W4556" s="107"/>
      <c r="X4556" s="107"/>
      <c r="Y4556" s="107"/>
      <c r="Z4556" s="107"/>
      <c r="AA4556" s="107"/>
      <c r="AB4556" s="107"/>
      <c r="AF4556" s="94">
        <f t="shared" si="619"/>
        <v>42551</v>
      </c>
      <c r="AG4556" s="185">
        <f t="shared" si="616"/>
        <v>6.0120241146597309E-3</v>
      </c>
      <c r="AH4556" s="339" t="str">
        <f>VLOOKUP(B4556,'MF PF'!A:B,2)</f>
        <v>FdMgt2</v>
      </c>
      <c r="AI4556" s="358">
        <f t="shared" si="620"/>
        <v>0</v>
      </c>
      <c r="AJ4556" s="94">
        <f t="shared" si="621"/>
        <v>42551</v>
      </c>
    </row>
    <row r="4557" spans="1:36" s="358" customFormat="1" ht="12.75" customHeight="1">
      <c r="A4557" s="94">
        <v>42580</v>
      </c>
      <c r="B4557" s="94" t="s">
        <v>78</v>
      </c>
      <c r="C4557" s="358" t="s">
        <v>297</v>
      </c>
      <c r="D4557" s="98">
        <v>45716828.810000002</v>
      </c>
      <c r="E4557" s="99">
        <f t="shared" si="615"/>
        <v>7.0815205846027629</v>
      </c>
      <c r="F4557" s="98"/>
      <c r="G4557" s="98">
        <v>0</v>
      </c>
      <c r="H4557" s="98">
        <v>-7.4505805969238281E-9</v>
      </c>
      <c r="I4557" s="98">
        <v>0</v>
      </c>
      <c r="J4557" s="98"/>
      <c r="K4557" s="100">
        <v>6455792.6880000001</v>
      </c>
      <c r="L4557" s="93">
        <f t="shared" si="617"/>
        <v>-7.4505805969238281E-9</v>
      </c>
      <c r="M4557" s="95">
        <f t="shared" ca="1" si="618"/>
        <v>0</v>
      </c>
      <c r="N4557" s="95">
        <f>IF(P4557="Hedge Fund",IF(A4557=Summary!$AD$3,M4557-E4557,M4557),IF(A4557=Summary!$AD$3,L4557-D4557,L4557))</f>
        <v>-7.4505805969238281E-9</v>
      </c>
      <c r="O4557" s="95"/>
      <c r="P4557" s="107" t="s">
        <v>155</v>
      </c>
      <c r="Q4557" s="107">
        <v>3.6827445430277779E-2</v>
      </c>
      <c r="R4557" s="107">
        <v>0</v>
      </c>
      <c r="S4557" s="107">
        <v>0</v>
      </c>
      <c r="T4557" s="107">
        <v>0</v>
      </c>
      <c r="U4557" s="107"/>
      <c r="V4557" s="107"/>
      <c r="W4557" s="107"/>
      <c r="X4557" s="107"/>
      <c r="Y4557" s="107"/>
      <c r="Z4557" s="107"/>
      <c r="AA4557" s="107"/>
      <c r="AB4557" s="107"/>
      <c r="AF4557" s="94">
        <f t="shared" si="619"/>
        <v>42580</v>
      </c>
      <c r="AG4557" s="185">
        <f t="shared" si="616"/>
        <v>6.2839428596166425E-3</v>
      </c>
      <c r="AH4557" s="339" t="str">
        <f>VLOOKUP(B4557,'MF PF'!A:B,2)</f>
        <v>FdMgt2</v>
      </c>
      <c r="AI4557" s="358">
        <f t="shared" si="620"/>
        <v>0</v>
      </c>
      <c r="AJ4557" s="94">
        <f t="shared" si="621"/>
        <v>42582</v>
      </c>
    </row>
    <row r="4558" spans="1:36" s="358" customFormat="1" ht="12.75" customHeight="1">
      <c r="A4558" s="94">
        <v>42613</v>
      </c>
      <c r="B4558" s="94" t="s">
        <v>78</v>
      </c>
      <c r="C4558" s="358" t="s">
        <v>297</v>
      </c>
      <c r="D4558" s="98">
        <v>46004700.630000003</v>
      </c>
      <c r="E4558" s="99">
        <f t="shared" si="615"/>
        <v>7.1261118275240367</v>
      </c>
      <c r="F4558" s="98"/>
      <c r="G4558" s="98">
        <v>7.4505805969238281E-9</v>
      </c>
      <c r="H4558" s="98">
        <v>0</v>
      </c>
      <c r="I4558" s="98">
        <v>0</v>
      </c>
      <c r="J4558" s="98"/>
      <c r="K4558" s="100">
        <v>6455792.688000001</v>
      </c>
      <c r="L4558" s="93">
        <f t="shared" si="617"/>
        <v>7.4505805969238281E-9</v>
      </c>
      <c r="M4558" s="95">
        <f t="shared" ca="1" si="618"/>
        <v>0</v>
      </c>
      <c r="N4558" s="95">
        <f>IF(P4558="Hedge Fund",IF(A4558=Summary!$AD$3,M4558-E4558,M4558),IF(A4558=Summary!$AD$3,L4558-D4558,L4558))</f>
        <v>7.4505805969238281E-9</v>
      </c>
      <c r="O4558" s="95"/>
      <c r="P4558" s="107" t="s">
        <v>155</v>
      </c>
      <c r="Q4558" s="107">
        <v>4.2170975577500006E-2</v>
      </c>
      <c r="R4558" s="107">
        <v>0</v>
      </c>
      <c r="S4558" s="107">
        <v>0</v>
      </c>
      <c r="T4558" s="107">
        <v>0</v>
      </c>
      <c r="U4558" s="107"/>
      <c r="V4558" s="107"/>
      <c r="W4558" s="107"/>
      <c r="X4558" s="107"/>
      <c r="Y4558" s="107"/>
      <c r="Z4558" s="107"/>
      <c r="AA4558" s="107"/>
      <c r="AB4558" s="107"/>
      <c r="AF4558" s="94">
        <f t="shared" si="619"/>
        <v>42613</v>
      </c>
      <c r="AG4558" s="185">
        <f t="shared" si="616"/>
        <v>6.2968457675922629E-3</v>
      </c>
      <c r="AH4558" s="339" t="str">
        <f>VLOOKUP(B4558,'MF PF'!A:B,2)</f>
        <v>FdMgt2</v>
      </c>
      <c r="AI4558" s="358">
        <f t="shared" si="620"/>
        <v>0</v>
      </c>
      <c r="AJ4558" s="94">
        <f t="shared" si="621"/>
        <v>42613</v>
      </c>
    </row>
    <row r="4559" spans="1:36" s="358" customFormat="1" ht="12.75" customHeight="1">
      <c r="A4559" s="94">
        <v>42643</v>
      </c>
      <c r="B4559" s="94" t="s">
        <v>78</v>
      </c>
      <c r="C4559" s="358" t="s">
        <v>297</v>
      </c>
      <c r="D4559" s="98">
        <v>43164193.439999998</v>
      </c>
      <c r="E4559" s="99">
        <f t="shared" si="615"/>
        <v>6.6861182702216286</v>
      </c>
      <c r="F4559" s="98"/>
      <c r="G4559" s="98">
        <v>0</v>
      </c>
      <c r="H4559" s="98">
        <v>-7.4505805969238281E-9</v>
      </c>
      <c r="I4559" s="98">
        <v>0</v>
      </c>
      <c r="J4559" s="98"/>
      <c r="K4559" s="100">
        <v>6455792.6880000001</v>
      </c>
      <c r="L4559" s="93">
        <f t="shared" si="617"/>
        <v>-7.4505805969238281E-9</v>
      </c>
      <c r="M4559" s="95">
        <f t="shared" ca="1" si="618"/>
        <v>0</v>
      </c>
      <c r="N4559" s="95">
        <f>IF(P4559="Hedge Fund",IF(A4559=Summary!$AD$3,M4559-E4559,M4559),IF(A4559=Summary!$AD$3,L4559-D4559,L4559))</f>
        <v>-7.4505805969238281E-9</v>
      </c>
      <c r="O4559" s="95"/>
      <c r="P4559" s="107" t="s">
        <v>155</v>
      </c>
      <c r="Q4559" s="107">
        <v>3.5970161200000003E-2</v>
      </c>
      <c r="R4559" s="107">
        <v>0</v>
      </c>
      <c r="S4559" s="107">
        <v>0</v>
      </c>
      <c r="T4559" s="107">
        <v>0</v>
      </c>
      <c r="U4559" s="107"/>
      <c r="V4559" s="107"/>
      <c r="W4559" s="107"/>
      <c r="X4559" s="107"/>
      <c r="Y4559" s="107"/>
      <c r="Z4559" s="107"/>
      <c r="AA4559" s="107"/>
      <c r="AB4559" s="107"/>
      <c r="AF4559" s="94">
        <f t="shared" si="619"/>
        <v>42643</v>
      </c>
      <c r="AG4559" s="185">
        <f t="shared" si="616"/>
        <v>-6.174384684828671E-2</v>
      </c>
      <c r="AH4559" s="339" t="str">
        <f>VLOOKUP(B4559,'MF PF'!A:B,2)</f>
        <v>FdMgt2</v>
      </c>
      <c r="AI4559" s="358">
        <f t="shared" si="620"/>
        <v>0</v>
      </c>
      <c r="AJ4559" s="94">
        <f t="shared" si="621"/>
        <v>42643</v>
      </c>
    </row>
    <row r="4560" spans="1:36" s="358" customFormat="1" ht="12.75" customHeight="1">
      <c r="A4560" s="94">
        <v>42674</v>
      </c>
      <c r="B4560" s="94" t="s">
        <v>78</v>
      </c>
      <c r="C4560" s="358" t="s">
        <v>297</v>
      </c>
      <c r="D4560" s="98">
        <v>46568592.829999998</v>
      </c>
      <c r="E4560" s="99">
        <f t="shared" si="615"/>
        <v>7.2134585295097056</v>
      </c>
      <c r="F4560" s="98"/>
      <c r="G4560" s="98">
        <v>7.4505805969238281E-9</v>
      </c>
      <c r="H4560" s="98">
        <v>0</v>
      </c>
      <c r="I4560" s="98">
        <v>0</v>
      </c>
      <c r="J4560" s="98"/>
      <c r="K4560" s="100">
        <v>6455792.688000001</v>
      </c>
      <c r="L4560" s="93">
        <f t="shared" si="617"/>
        <v>7.4505805969238281E-9</v>
      </c>
      <c r="M4560" s="95">
        <f t="shared" ca="1" si="618"/>
        <v>0</v>
      </c>
      <c r="N4560" s="95">
        <f>IF(P4560="Hedge Fund",IF(A4560=Summary!$AD$3,M4560-E4560,M4560),IF(A4560=Summary!$AD$3,L4560-D4560,L4560))</f>
        <v>7.4505805969238281E-9</v>
      </c>
      <c r="O4560" s="95"/>
      <c r="P4560" s="107" t="s">
        <v>155</v>
      </c>
      <c r="Q4560" s="107">
        <v>4.0100732714722219E-2</v>
      </c>
      <c r="R4560" s="107">
        <v>0</v>
      </c>
      <c r="S4560" s="107">
        <v>0</v>
      </c>
      <c r="T4560" s="107">
        <v>0</v>
      </c>
      <c r="U4560" s="107"/>
      <c r="V4560" s="107"/>
      <c r="W4560" s="107"/>
      <c r="X4560" s="107"/>
      <c r="Y4560" s="107"/>
      <c r="Z4560" s="107"/>
      <c r="AA4560" s="107"/>
      <c r="AB4560" s="107"/>
      <c r="AF4560" s="94">
        <f t="shared" si="619"/>
        <v>42674</v>
      </c>
      <c r="AG4560" s="185">
        <f t="shared" si="616"/>
        <v>7.8870914030450878E-2</v>
      </c>
      <c r="AH4560" s="339" t="str">
        <f>VLOOKUP(B4560,'MF PF'!A:B,2)</f>
        <v>FdMgt2</v>
      </c>
      <c r="AI4560" s="358">
        <f t="shared" si="620"/>
        <v>0</v>
      </c>
      <c r="AJ4560" s="94">
        <f t="shared" si="621"/>
        <v>42674</v>
      </c>
    </row>
    <row r="4561" spans="1:36" s="358" customFormat="1" ht="12.75" customHeight="1">
      <c r="A4561" s="94">
        <v>42704</v>
      </c>
      <c r="B4561" s="94" t="s">
        <v>78</v>
      </c>
      <c r="C4561" s="358" t="s">
        <v>297</v>
      </c>
      <c r="D4561" s="98">
        <v>46845538.100000001</v>
      </c>
      <c r="E4561" s="99">
        <f t="shared" si="615"/>
        <v>7.2563572537074004</v>
      </c>
      <c r="F4561" s="98"/>
      <c r="G4561" s="98">
        <v>0</v>
      </c>
      <c r="H4561" s="98">
        <v>0</v>
      </c>
      <c r="I4561" s="98">
        <v>0</v>
      </c>
      <c r="J4561" s="98"/>
      <c r="K4561" s="100">
        <v>6455792.688000001</v>
      </c>
      <c r="L4561" s="93">
        <f t="shared" si="617"/>
        <v>0</v>
      </c>
      <c r="M4561" s="95">
        <f t="shared" ca="1" si="618"/>
        <v>0</v>
      </c>
      <c r="N4561" s="95">
        <f>IF(P4561="Hedge Fund",IF(A4561=Summary!$AD$3,M4561-E4561,M4561),IF(A4561=Summary!$AD$3,L4561-D4561,L4561))</f>
        <v>0</v>
      </c>
      <c r="O4561" s="95"/>
      <c r="P4561" s="107" t="s">
        <v>155</v>
      </c>
      <c r="Q4561" s="107">
        <v>3.9037948416666669E-2</v>
      </c>
      <c r="R4561" s="107">
        <v>0</v>
      </c>
      <c r="S4561" s="107">
        <v>0</v>
      </c>
      <c r="T4561" s="107">
        <v>0</v>
      </c>
      <c r="U4561" s="107"/>
      <c r="V4561" s="107"/>
      <c r="W4561" s="107"/>
      <c r="X4561" s="107"/>
      <c r="Y4561" s="107"/>
      <c r="Z4561" s="107"/>
      <c r="AA4561" s="107"/>
      <c r="AB4561" s="107"/>
      <c r="AF4561" s="94">
        <f t="shared" si="619"/>
        <v>42704</v>
      </c>
      <c r="AG4561" s="185">
        <f t="shared" si="616"/>
        <v>5.9470396928462677E-3</v>
      </c>
      <c r="AH4561" s="339" t="str">
        <f>VLOOKUP(B4561,'MF PF'!A:B,2)</f>
        <v>FdMgt2</v>
      </c>
      <c r="AI4561" s="358">
        <f t="shared" si="620"/>
        <v>0</v>
      </c>
      <c r="AJ4561" s="94">
        <f t="shared" si="621"/>
        <v>42704</v>
      </c>
    </row>
    <row r="4562" spans="1:36" s="358" customFormat="1" ht="12.75" customHeight="1">
      <c r="A4562" s="94">
        <v>42734</v>
      </c>
      <c r="B4562" s="94" t="s">
        <v>78</v>
      </c>
      <c r="C4562" s="358" t="s">
        <v>297</v>
      </c>
      <c r="D4562" s="98">
        <v>47131785.739999995</v>
      </c>
      <c r="E4562" s="99">
        <f t="shared" si="615"/>
        <v>7.3006969117221425</v>
      </c>
      <c r="F4562" s="98"/>
      <c r="G4562" s="98">
        <v>0</v>
      </c>
      <c r="H4562" s="98">
        <v>0</v>
      </c>
      <c r="I4562" s="98">
        <v>0</v>
      </c>
      <c r="J4562" s="98"/>
      <c r="K4562" s="100">
        <v>6455792.688000001</v>
      </c>
      <c r="L4562" s="93">
        <f t="shared" si="617"/>
        <v>0</v>
      </c>
      <c r="M4562" s="95">
        <f t="shared" ca="1" si="618"/>
        <v>0</v>
      </c>
      <c r="N4562" s="95">
        <f>IF(P4562="Hedge Fund",IF(A4562=Summary!$AD$3,M4562-E4562,M4562),IF(A4562=Summary!$AD$3,L4562-D4562,L4562))</f>
        <v>0</v>
      </c>
      <c r="O4562" s="95"/>
      <c r="P4562" s="107" t="s">
        <v>155</v>
      </c>
      <c r="Q4562" s="107">
        <v>3.9276488116666668E-2</v>
      </c>
      <c r="R4562" s="107">
        <v>0</v>
      </c>
      <c r="S4562" s="107">
        <v>0</v>
      </c>
      <c r="T4562" s="107">
        <v>0</v>
      </c>
      <c r="U4562" s="107"/>
      <c r="V4562" s="107"/>
      <c r="W4562" s="107"/>
      <c r="X4562" s="107"/>
      <c r="Y4562" s="107"/>
      <c r="Z4562" s="107"/>
      <c r="AA4562" s="107"/>
      <c r="AB4562" s="107"/>
      <c r="AF4562" s="94">
        <f t="shared" si="619"/>
        <v>42734</v>
      </c>
      <c r="AG4562" s="185">
        <f t="shared" si="616"/>
        <v>6.1104568676091375E-3</v>
      </c>
      <c r="AH4562" s="339" t="str">
        <f>VLOOKUP(B4562,'MF PF'!A:B,2)</f>
        <v>FdMgt2</v>
      </c>
      <c r="AI4562" s="358">
        <f t="shared" si="620"/>
        <v>0</v>
      </c>
      <c r="AJ4562" s="94">
        <f t="shared" si="621"/>
        <v>42735</v>
      </c>
    </row>
    <row r="4563" spans="1:36" s="358" customFormat="1" ht="12.75" customHeight="1">
      <c r="A4563" s="94">
        <v>42762</v>
      </c>
      <c r="B4563" s="94" t="s">
        <v>78</v>
      </c>
      <c r="C4563" s="358" t="s">
        <v>297</v>
      </c>
      <c r="D4563" s="98">
        <v>47423009.82</v>
      </c>
      <c r="E4563" s="99">
        <f t="shared" si="615"/>
        <v>7.3458074185296693</v>
      </c>
      <c r="F4563" s="98"/>
      <c r="G4563" s="98">
        <v>0</v>
      </c>
      <c r="H4563" s="98">
        <v>0</v>
      </c>
      <c r="I4563" s="98">
        <v>0</v>
      </c>
      <c r="J4563" s="98"/>
      <c r="K4563" s="100">
        <v>6455792.688000001</v>
      </c>
      <c r="L4563" s="93">
        <f t="shared" si="617"/>
        <v>0</v>
      </c>
      <c r="M4563" s="95">
        <f t="shared" ca="1" si="618"/>
        <v>0</v>
      </c>
      <c r="N4563" s="95">
        <f>IF(P4563="Hedge Fund",IF(A4563=Summary!$AD$3,M4563-E4563,M4563),IF(A4563=Summary!$AD$3,L4563-D4563,L4563))</f>
        <v>0</v>
      </c>
      <c r="O4563" s="95"/>
      <c r="P4563" s="107" t="s">
        <v>155</v>
      </c>
      <c r="Q4563" s="107">
        <v>3.6884563193333331E-2</v>
      </c>
      <c r="R4563" s="107">
        <v>0</v>
      </c>
      <c r="S4563" s="107">
        <v>0</v>
      </c>
      <c r="T4563" s="107">
        <v>0</v>
      </c>
      <c r="U4563" s="107"/>
      <c r="V4563" s="107"/>
      <c r="W4563" s="107"/>
      <c r="X4563" s="107"/>
      <c r="Y4563" s="107"/>
      <c r="Z4563" s="107"/>
      <c r="AA4563" s="107"/>
      <c r="AB4563" s="107"/>
      <c r="AF4563" s="94">
        <f t="shared" si="619"/>
        <v>42762</v>
      </c>
      <c r="AG4563" s="185">
        <f t="shared" si="616"/>
        <v>6.1789315942011314E-3</v>
      </c>
      <c r="AH4563" s="339" t="str">
        <f>VLOOKUP(B4563,'MF PF'!A:B,2)</f>
        <v>FdMgt2</v>
      </c>
      <c r="AI4563" s="358">
        <f t="shared" si="620"/>
        <v>0</v>
      </c>
      <c r="AJ4563" s="94">
        <f t="shared" si="621"/>
        <v>42766</v>
      </c>
    </row>
    <row r="4564" spans="1:36" s="358" customFormat="1" ht="12.75" customHeight="1">
      <c r="A4564" s="94">
        <v>42794</v>
      </c>
      <c r="B4564" s="94" t="s">
        <v>78</v>
      </c>
      <c r="C4564" s="358" t="s">
        <v>297</v>
      </c>
      <c r="D4564" s="98">
        <v>47683967.149999999</v>
      </c>
      <c r="E4564" s="99">
        <f t="shared" si="615"/>
        <v>7.3862296164860988</v>
      </c>
      <c r="F4564" s="98"/>
      <c r="G4564" s="98">
        <v>0</v>
      </c>
      <c r="H4564" s="98">
        <v>-7.4505805969238281E-9</v>
      </c>
      <c r="I4564" s="98">
        <v>0</v>
      </c>
      <c r="J4564" s="98"/>
      <c r="K4564" s="100">
        <v>6455792.6880000001</v>
      </c>
      <c r="L4564" s="93">
        <f t="shared" si="617"/>
        <v>-7.4505805969238281E-9</v>
      </c>
      <c r="M4564" s="95">
        <f t="shared" ca="1" si="618"/>
        <v>0</v>
      </c>
      <c r="N4564" s="95">
        <f>IF(P4564="Hedge Fund",IF(A4564=Summary!$AD$3,M4564-E4564,M4564),IF(A4564=Summary!$AD$3,L4564-D4564,L4564))</f>
        <v>-7.4505805969238281E-9</v>
      </c>
      <c r="O4564" s="95"/>
      <c r="P4564" s="107" t="s">
        <v>155</v>
      </c>
      <c r="Q4564" s="107">
        <v>4.2385748577777778E-2</v>
      </c>
      <c r="R4564" s="107">
        <v>0</v>
      </c>
      <c r="S4564" s="107">
        <v>0</v>
      </c>
      <c r="T4564" s="107">
        <v>0</v>
      </c>
      <c r="U4564" s="107"/>
      <c r="V4564" s="107"/>
      <c r="W4564" s="107"/>
      <c r="X4564" s="107"/>
      <c r="Y4564" s="107"/>
      <c r="Z4564" s="107"/>
      <c r="AA4564" s="107"/>
      <c r="AB4564" s="107"/>
      <c r="AF4564" s="94">
        <f t="shared" si="619"/>
        <v>42794</v>
      </c>
      <c r="AG4564" s="185">
        <f t="shared" si="616"/>
        <v>5.5027576484600882E-3</v>
      </c>
      <c r="AH4564" s="339" t="str">
        <f>VLOOKUP(B4564,'MF PF'!A:B,2)</f>
        <v>FdMgt2</v>
      </c>
      <c r="AI4564" s="358">
        <f t="shared" si="620"/>
        <v>0</v>
      </c>
      <c r="AJ4564" s="94">
        <f t="shared" si="621"/>
        <v>42794</v>
      </c>
    </row>
    <row r="4565" spans="1:36" s="358" customFormat="1" ht="12.75" customHeight="1">
      <c r="A4565" s="94">
        <v>42825</v>
      </c>
      <c r="B4565" s="94" t="s">
        <v>78</v>
      </c>
      <c r="C4565" s="358" t="s">
        <v>297</v>
      </c>
      <c r="D4565" s="98">
        <v>47979602.689999998</v>
      </c>
      <c r="E4565" s="99">
        <f t="shared" si="615"/>
        <v>7.4320234568845862</v>
      </c>
      <c r="F4565" s="98"/>
      <c r="G4565" s="98">
        <v>0</v>
      </c>
      <c r="H4565" s="98">
        <v>0</v>
      </c>
      <c r="I4565" s="98">
        <v>0</v>
      </c>
      <c r="J4565" s="98"/>
      <c r="K4565" s="100">
        <v>6455792.6880000001</v>
      </c>
      <c r="L4565" s="93">
        <f t="shared" si="617"/>
        <v>0</v>
      </c>
      <c r="M4565" s="95">
        <f t="shared" ca="1" si="618"/>
        <v>0</v>
      </c>
      <c r="N4565" s="95">
        <f>IF(P4565="Hedge Fund",IF(A4565=Summary!$AD$3,M4565-E4565,M4565),IF(A4565=Summary!$AD$3,L4565-D4565,L4565))</f>
        <v>0</v>
      </c>
      <c r="O4565" s="95"/>
      <c r="P4565" s="107" t="s">
        <v>155</v>
      </c>
      <c r="Q4565" s="107">
        <v>4.1315768983055556E-2</v>
      </c>
      <c r="R4565" s="107">
        <v>0</v>
      </c>
      <c r="S4565" s="107">
        <v>0</v>
      </c>
      <c r="T4565" s="107">
        <v>0</v>
      </c>
      <c r="U4565" s="107"/>
      <c r="V4565" s="107"/>
      <c r="W4565" s="107"/>
      <c r="X4565" s="107"/>
      <c r="Y4565" s="107"/>
      <c r="Z4565" s="107"/>
      <c r="AA4565" s="107"/>
      <c r="AB4565" s="107"/>
      <c r="AF4565" s="94">
        <f t="shared" si="619"/>
        <v>42825</v>
      </c>
      <c r="AG4565" s="185">
        <f t="shared" si="616"/>
        <v>6.1998939616332294E-3</v>
      </c>
      <c r="AH4565" s="339" t="str">
        <f>VLOOKUP(B4565,'MF PF'!A:B,2)</f>
        <v>FdMgt2</v>
      </c>
      <c r="AI4565" s="358">
        <f t="shared" si="620"/>
        <v>0</v>
      </c>
      <c r="AJ4565" s="94">
        <f t="shared" si="621"/>
        <v>42825</v>
      </c>
    </row>
    <row r="4566" spans="1:36" s="358" customFormat="1" ht="12.75" customHeight="1">
      <c r="A4566" s="94">
        <v>42853</v>
      </c>
      <c r="B4566" s="94" t="s">
        <v>78</v>
      </c>
      <c r="C4566" s="358" t="s">
        <v>297</v>
      </c>
      <c r="D4566" s="98">
        <v>48266683.539999999</v>
      </c>
      <c r="E4566" s="99">
        <f t="shared" si="615"/>
        <v>7.4764921788331122</v>
      </c>
      <c r="F4566" s="98"/>
      <c r="G4566" s="98">
        <v>7.4505805969238281E-9</v>
      </c>
      <c r="H4566" s="98">
        <v>0</v>
      </c>
      <c r="I4566" s="98">
        <v>0</v>
      </c>
      <c r="J4566" s="98"/>
      <c r="K4566" s="100">
        <v>6455792.688000001</v>
      </c>
      <c r="L4566" s="93">
        <f t="shared" si="617"/>
        <v>7.4505805969238281E-9</v>
      </c>
      <c r="M4566" s="95">
        <f t="shared" ca="1" si="618"/>
        <v>0</v>
      </c>
      <c r="N4566" s="95">
        <f>IF(P4566="Hedge Fund",IF(A4566=Summary!$AD$3,M4566-E4566,M4566),IF(A4566=Summary!$AD$3,L4566-D4566,L4566))</f>
        <v>7.4505805969238281E-9</v>
      </c>
      <c r="O4566" s="95"/>
      <c r="P4566" s="107" t="s">
        <v>155</v>
      </c>
      <c r="Q4566" s="107">
        <v>3.754075386444445E-2</v>
      </c>
      <c r="R4566" s="107">
        <v>0</v>
      </c>
      <c r="S4566" s="107">
        <v>0</v>
      </c>
      <c r="T4566" s="107">
        <v>0</v>
      </c>
      <c r="U4566" s="107"/>
      <c r="V4566" s="107"/>
      <c r="W4566" s="107"/>
      <c r="X4566" s="107"/>
      <c r="Y4566" s="107"/>
      <c r="Z4566" s="107"/>
      <c r="AA4566" s="107"/>
      <c r="AB4566" s="107"/>
      <c r="AF4566" s="94">
        <f t="shared" si="619"/>
        <v>42853</v>
      </c>
      <c r="AG4566" s="185">
        <f t="shared" si="616"/>
        <v>5.9833936486479722E-3</v>
      </c>
      <c r="AH4566" s="339" t="str">
        <f>VLOOKUP(B4566,'MF PF'!A:B,2)</f>
        <v>FdMgt2</v>
      </c>
      <c r="AI4566" s="358">
        <f t="shared" si="620"/>
        <v>0</v>
      </c>
      <c r="AJ4566" s="94">
        <f t="shared" si="621"/>
        <v>42855</v>
      </c>
    </row>
    <row r="4567" spans="1:36" s="358" customFormat="1" ht="12.75" customHeight="1">
      <c r="A4567" s="94">
        <v>42886</v>
      </c>
      <c r="B4567" s="94" t="s">
        <v>78</v>
      </c>
      <c r="C4567" s="358" t="s">
        <v>297</v>
      </c>
      <c r="D4567" s="98">
        <v>48567053.369999997</v>
      </c>
      <c r="E4567" s="99">
        <f t="shared" si="615"/>
        <v>7.523019359075179</v>
      </c>
      <c r="F4567" s="98"/>
      <c r="G4567" s="98">
        <v>0</v>
      </c>
      <c r="H4567" s="98">
        <v>0</v>
      </c>
      <c r="I4567" s="98">
        <v>0</v>
      </c>
      <c r="J4567" s="98"/>
      <c r="K4567" s="100">
        <v>6455792.688000001</v>
      </c>
      <c r="L4567" s="93">
        <f t="shared" si="617"/>
        <v>0</v>
      </c>
      <c r="M4567" s="95">
        <f t="shared" ca="1" si="618"/>
        <v>0</v>
      </c>
      <c r="N4567" s="95">
        <f>IF(P4567="Hedge Fund",IF(A4567=Summary!$AD$3,M4567-E4567,M4567),IF(A4567=Summary!$AD$3,L4567-D4567,L4567))</f>
        <v>0</v>
      </c>
      <c r="O4567" s="95"/>
      <c r="P4567" s="107" t="s">
        <v>155</v>
      </c>
      <c r="Q4567" s="107">
        <v>4.4519798922499992E-2</v>
      </c>
      <c r="R4567" s="107">
        <v>0</v>
      </c>
      <c r="S4567" s="107">
        <v>0</v>
      </c>
      <c r="T4567" s="107">
        <v>0</v>
      </c>
      <c r="U4567" s="107"/>
      <c r="V4567" s="107"/>
      <c r="W4567" s="107"/>
      <c r="X4567" s="107"/>
      <c r="Y4567" s="107"/>
      <c r="Z4567" s="107"/>
      <c r="AA4567" s="107"/>
      <c r="AB4567" s="107"/>
      <c r="AF4567" s="94">
        <f t="shared" si="619"/>
        <v>42886</v>
      </c>
      <c r="AG4567" s="185">
        <f t="shared" si="616"/>
        <v>6.2231296614998488E-3</v>
      </c>
      <c r="AH4567" s="339" t="str">
        <f>VLOOKUP(B4567,'MF PF'!A:B,2)</f>
        <v>FdMgt2</v>
      </c>
      <c r="AI4567" s="358">
        <f t="shared" si="620"/>
        <v>0</v>
      </c>
      <c r="AJ4567" s="94">
        <f t="shared" si="621"/>
        <v>42886</v>
      </c>
    </row>
    <row r="4568" spans="1:36" s="358" customFormat="1" ht="12.75" customHeight="1">
      <c r="A4568" s="94">
        <v>42916</v>
      </c>
      <c r="B4568" s="94" t="s">
        <v>78</v>
      </c>
      <c r="C4568" s="358" t="s">
        <v>297</v>
      </c>
      <c r="D4568" s="98">
        <v>48835531.810000002</v>
      </c>
      <c r="E4568" s="99">
        <f t="shared" si="615"/>
        <v>7.5646065743057811</v>
      </c>
      <c r="F4568" s="98"/>
      <c r="G4568" s="98">
        <v>7.4505805969238281E-9</v>
      </c>
      <c r="H4568" s="98">
        <v>0</v>
      </c>
      <c r="I4568" s="98">
        <v>0</v>
      </c>
      <c r="J4568" s="98"/>
      <c r="K4568" s="100">
        <v>6455792.6880000019</v>
      </c>
      <c r="L4568" s="93">
        <f t="shared" si="617"/>
        <v>7.4505805969238281E-9</v>
      </c>
      <c r="M4568" s="95">
        <f t="shared" ca="1" si="618"/>
        <v>0</v>
      </c>
      <c r="N4568" s="95">
        <f>IF(P4568="Hedge Fund",IF(A4568=Summary!$AD$3,M4568-E4568,M4568),IF(A4568=Summary!$AD$3,L4568-D4568,L4568))</f>
        <v>7.4505805969238281E-9</v>
      </c>
      <c r="O4568" s="95"/>
      <c r="P4568" s="107" t="s">
        <v>155</v>
      </c>
      <c r="Q4568" s="107">
        <v>4.0696276508333337E-2</v>
      </c>
      <c r="R4568" s="107">
        <v>0</v>
      </c>
      <c r="S4568" s="107">
        <v>0</v>
      </c>
      <c r="T4568" s="107">
        <v>0</v>
      </c>
      <c r="U4568" s="107"/>
      <c r="V4568" s="107"/>
      <c r="W4568" s="107"/>
      <c r="X4568" s="107"/>
      <c r="Y4568" s="107"/>
      <c r="Z4568" s="107"/>
      <c r="AA4568" s="107"/>
      <c r="AB4568" s="107"/>
      <c r="AF4568" s="94">
        <f t="shared" si="619"/>
        <v>42916</v>
      </c>
      <c r="AG4568" s="185">
        <f t="shared" si="616"/>
        <v>5.5279952430846713E-3</v>
      </c>
      <c r="AH4568" s="339" t="str">
        <f>VLOOKUP(B4568,'MF PF'!A:B,2)</f>
        <v>FdMgt2</v>
      </c>
      <c r="AI4568" s="358">
        <f t="shared" si="620"/>
        <v>0</v>
      </c>
      <c r="AJ4568" s="94">
        <f t="shared" si="621"/>
        <v>42916</v>
      </c>
    </row>
    <row r="4569" spans="1:36" s="358" customFormat="1" ht="12.75" customHeight="1">
      <c r="A4569" s="94">
        <v>42947</v>
      </c>
      <c r="B4569" s="94" t="s">
        <v>78</v>
      </c>
      <c r="C4569" s="358" t="s">
        <v>297</v>
      </c>
      <c r="D4569" s="98">
        <v>49113008.232000001</v>
      </c>
      <c r="E4569" s="99">
        <f t="shared" si="615"/>
        <v>7.6075875737600827</v>
      </c>
      <c r="F4569" s="98"/>
      <c r="G4569" s="98">
        <v>0</v>
      </c>
      <c r="H4569" s="98">
        <v>-1.4901161193847656E-8</v>
      </c>
      <c r="I4569" s="98">
        <v>0</v>
      </c>
      <c r="J4569" s="98"/>
      <c r="K4569" s="100">
        <v>6455792.6880000001</v>
      </c>
      <c r="L4569" s="93">
        <f t="shared" si="617"/>
        <v>-1.4901161193847656E-8</v>
      </c>
      <c r="M4569" s="95">
        <f t="shared" ca="1" si="618"/>
        <v>0</v>
      </c>
      <c r="N4569" s="95">
        <f>IF(P4569="Hedge Fund",IF(A4569=Summary!$AD$3,M4569-E4569,M4569),IF(A4569=Summary!$AD$3,L4569-D4569,L4569))</f>
        <v>-1.4901161193847656E-8</v>
      </c>
      <c r="O4569" s="95"/>
      <c r="P4569" s="107" t="s">
        <v>155</v>
      </c>
      <c r="Q4569" s="107">
        <v>4.2291757088666664E-2</v>
      </c>
      <c r="R4569" s="107">
        <v>0</v>
      </c>
      <c r="S4569" s="107">
        <v>0</v>
      </c>
      <c r="T4569" s="107">
        <v>0</v>
      </c>
      <c r="U4569" s="107"/>
      <c r="V4569" s="107"/>
      <c r="W4569" s="107"/>
      <c r="X4569" s="107"/>
      <c r="Y4569" s="107"/>
      <c r="Z4569" s="107"/>
      <c r="AA4569" s="107"/>
      <c r="AB4569" s="107"/>
      <c r="AF4569" s="94">
        <f t="shared" si="619"/>
        <v>42947</v>
      </c>
      <c r="AG4569" s="185">
        <f t="shared" si="616"/>
        <v>5.681855233594435E-3</v>
      </c>
      <c r="AH4569" s="339" t="str">
        <f>VLOOKUP(B4569,'MF PF'!A:B,2)</f>
        <v>FdMgt2</v>
      </c>
      <c r="AI4569" s="358">
        <f t="shared" si="620"/>
        <v>0</v>
      </c>
      <c r="AJ4569" s="94">
        <f t="shared" si="621"/>
        <v>42947</v>
      </c>
    </row>
    <row r="4570" spans="1:36" s="358" customFormat="1" ht="12.75" customHeight="1">
      <c r="A4570" s="94">
        <v>42978</v>
      </c>
      <c r="B4570" s="94" t="s">
        <v>78</v>
      </c>
      <c r="C4570" s="358" t="s">
        <v>297</v>
      </c>
      <c r="D4570" s="98">
        <v>37218551.07</v>
      </c>
      <c r="E4570" s="99">
        <f t="shared" si="615"/>
        <v>5.7651403737269442</v>
      </c>
      <c r="F4570" s="98"/>
      <c r="G4570" s="98">
        <v>7.4505805969238281E-9</v>
      </c>
      <c r="H4570" s="98">
        <v>0</v>
      </c>
      <c r="I4570" s="98">
        <v>0</v>
      </c>
      <c r="J4570" s="98"/>
      <c r="K4570" s="100">
        <v>6455792.688000001</v>
      </c>
      <c r="L4570" s="93">
        <f t="shared" si="617"/>
        <v>7.4505805969238281E-9</v>
      </c>
      <c r="M4570" s="95">
        <f t="shared" ca="1" si="618"/>
        <v>0</v>
      </c>
      <c r="N4570" s="95">
        <f>IF(P4570="Hedge Fund",IF(A4570=Summary!$AD$3,M4570-E4570,M4570),IF(A4570=Summary!$AD$3,L4570-D4570,L4570))</f>
        <v>7.4505805969238281E-9</v>
      </c>
      <c r="O4570" s="95"/>
      <c r="P4570" s="107" t="s">
        <v>155</v>
      </c>
      <c r="Q4570" s="107">
        <v>3.2049307865833335E-2</v>
      </c>
      <c r="R4570" s="107">
        <v>0</v>
      </c>
      <c r="S4570" s="107">
        <v>0</v>
      </c>
      <c r="T4570" s="107">
        <v>0</v>
      </c>
      <c r="U4570" s="107"/>
      <c r="V4570" s="107"/>
      <c r="W4570" s="107"/>
      <c r="X4570" s="107"/>
      <c r="Y4570" s="107"/>
      <c r="Z4570" s="107"/>
      <c r="AA4570" s="107"/>
      <c r="AB4570" s="107"/>
      <c r="AF4570" s="94">
        <f t="shared" si="619"/>
        <v>42978</v>
      </c>
      <c r="AG4570" s="185">
        <f t="shared" si="616"/>
        <v>-0.2421854736694804</v>
      </c>
      <c r="AH4570" s="339" t="str">
        <f>VLOOKUP(B4570,'MF PF'!A:B,2)</f>
        <v>FdMgt2</v>
      </c>
      <c r="AI4570" s="358">
        <f t="shared" si="620"/>
        <v>0</v>
      </c>
      <c r="AJ4570" s="94">
        <f t="shared" si="621"/>
        <v>42978</v>
      </c>
    </row>
    <row r="4571" spans="1:36" ht="12.75" customHeight="1">
      <c r="A4571" s="8">
        <v>43007</v>
      </c>
      <c r="B4571" s="94" t="s">
        <v>78</v>
      </c>
      <c r="C4571" s="358" t="s">
        <v>297</v>
      </c>
      <c r="D4571" s="98">
        <v>37503984.410000004</v>
      </c>
      <c r="E4571" s="99">
        <f t="shared" si="615"/>
        <v>5.8093538969602063</v>
      </c>
      <c r="F4571" s="98"/>
      <c r="G4571" s="98">
        <v>0</v>
      </c>
      <c r="H4571" s="98">
        <v>-7.4505805969238281E-9</v>
      </c>
      <c r="I4571" s="98">
        <v>0</v>
      </c>
      <c r="J4571" s="98"/>
      <c r="K4571" s="100">
        <v>6455792.6880000001</v>
      </c>
      <c r="L4571" s="93">
        <f t="shared" si="617"/>
        <v>-7.4505805969238281E-9</v>
      </c>
      <c r="M4571" s="95">
        <f t="shared" ca="1" si="618"/>
        <v>0</v>
      </c>
      <c r="N4571" s="95">
        <f>IF(P4571="Hedge Fund",IF(A4571=Summary!$AD$3,M4571-E4571,M4571),IF(A4571=Summary!$AD$3,L4571-D4571,L4571))</f>
        <v>-7.4505805969238281E-9</v>
      </c>
      <c r="O4571" s="95"/>
      <c r="P4571" s="107" t="s">
        <v>155</v>
      </c>
      <c r="Q4571" s="107">
        <v>3.0211542996944448E-2</v>
      </c>
      <c r="R4571" s="107">
        <v>0</v>
      </c>
      <c r="S4571" s="107">
        <v>0</v>
      </c>
      <c r="T4571" s="107">
        <v>0</v>
      </c>
      <c r="U4571" s="107"/>
      <c r="V4571" s="107"/>
      <c r="W4571" s="107"/>
      <c r="X4571" s="107"/>
      <c r="Y4571" s="107"/>
      <c r="Z4571" s="107"/>
      <c r="AA4571" s="107"/>
      <c r="AB4571" s="107"/>
      <c r="AF4571" s="94">
        <f t="shared" si="619"/>
        <v>43007</v>
      </c>
      <c r="AG4571" s="185">
        <f t="shared" si="616"/>
        <v>7.6691147772833812E-3</v>
      </c>
      <c r="AH4571" s="339" t="str">
        <f>VLOOKUP(B4571,'MF PF'!A:B,2)</f>
        <v>FdMgt2</v>
      </c>
      <c r="AI4571" s="358">
        <f t="shared" si="620"/>
        <v>0</v>
      </c>
      <c r="AJ4571" s="94">
        <f t="shared" si="621"/>
        <v>43008</v>
      </c>
    </row>
    <row r="4572" spans="1:36" ht="12.75" customHeight="1">
      <c r="A4572" s="8">
        <v>43039</v>
      </c>
      <c r="B4572" s="94" t="s">
        <v>78</v>
      </c>
      <c r="C4572" s="358" t="s">
        <v>297</v>
      </c>
      <c r="D4572" s="98">
        <v>37000828.369999997</v>
      </c>
      <c r="E4572" s="99">
        <f t="shared" si="615"/>
        <v>5.7314152046389246</v>
      </c>
      <c r="F4572" s="98"/>
      <c r="G4572" s="98">
        <v>0</v>
      </c>
      <c r="H4572" s="98">
        <v>0</v>
      </c>
      <c r="I4572" s="98">
        <v>0</v>
      </c>
      <c r="J4572" s="98"/>
      <c r="K4572" s="100">
        <v>6455792.688000001</v>
      </c>
      <c r="L4572" s="93">
        <f t="shared" si="617"/>
        <v>0</v>
      </c>
      <c r="M4572" s="95">
        <f t="shared" ca="1" si="618"/>
        <v>0</v>
      </c>
      <c r="N4572" s="95">
        <f>IF(P4572="Hedge Fund",IF(A4572=Summary!$AD$3,M4572-E4572,M4572),IF(A4572=Summary!$AD$3,L4572-D4572,L4572))</f>
        <v>0</v>
      </c>
      <c r="O4572" s="95"/>
      <c r="P4572" s="107" t="s">
        <v>155</v>
      </c>
      <c r="Q4572" s="107">
        <v>3.2889625217777781E-2</v>
      </c>
      <c r="R4572" s="107">
        <v>0</v>
      </c>
      <c r="S4572" s="107">
        <v>0</v>
      </c>
      <c r="T4572" s="107">
        <v>0</v>
      </c>
      <c r="U4572" s="107"/>
      <c r="V4572" s="107"/>
      <c r="W4572" s="107"/>
      <c r="X4572" s="107"/>
      <c r="Y4572" s="107"/>
      <c r="Z4572" s="107"/>
      <c r="AA4572" s="107"/>
      <c r="AB4572" s="107"/>
      <c r="AE4572" s="358"/>
      <c r="AF4572" s="94">
        <f t="shared" si="619"/>
        <v>43039</v>
      </c>
      <c r="AG4572" s="185">
        <f t="shared" si="616"/>
        <v>-1.3416068930154679E-2</v>
      </c>
      <c r="AH4572" s="339" t="str">
        <f>VLOOKUP(B4572,'MF PF'!A:B,2)</f>
        <v>FdMgt2</v>
      </c>
      <c r="AI4572" s="358">
        <f t="shared" si="620"/>
        <v>0</v>
      </c>
      <c r="AJ4572" s="94">
        <f t="shared" si="621"/>
        <v>43039</v>
      </c>
    </row>
    <row r="4573" spans="1:36" ht="12.75" customHeight="1">
      <c r="A4573" s="8">
        <v>43069</v>
      </c>
      <c r="B4573" s="94" t="s">
        <v>78</v>
      </c>
      <c r="C4573" s="358" t="s">
        <v>297</v>
      </c>
      <c r="D4573" s="98">
        <v>36413162.460000001</v>
      </c>
      <c r="E4573" s="99">
        <f t="shared" si="615"/>
        <v>5.6403859633975895</v>
      </c>
      <c r="F4573" s="98"/>
      <c r="G4573" s="98">
        <v>0</v>
      </c>
      <c r="H4573" s="98">
        <v>0</v>
      </c>
      <c r="I4573" s="98">
        <v>0</v>
      </c>
      <c r="J4573" s="98"/>
      <c r="K4573" s="100">
        <v>6455792.688000001</v>
      </c>
      <c r="L4573" s="93">
        <f t="shared" si="617"/>
        <v>0</v>
      </c>
      <c r="M4573" s="95">
        <f t="shared" ca="1" si="618"/>
        <v>0</v>
      </c>
      <c r="N4573" s="95">
        <f>IF(P4573="Hedge Fund",IF(A4573=Summary!$AD$3,M4573-E4573,M4573),IF(A4573=Summary!$AD$3,L4573-D4573,L4573))</f>
        <v>0</v>
      </c>
      <c r="O4573" s="95"/>
      <c r="P4573" s="107" t="s">
        <v>155</v>
      </c>
      <c r="Q4573" s="107">
        <v>3.0344302050000004E-2</v>
      </c>
      <c r="R4573" s="107">
        <v>0</v>
      </c>
      <c r="S4573" s="107">
        <v>0</v>
      </c>
      <c r="T4573" s="107">
        <v>0</v>
      </c>
      <c r="U4573" s="107"/>
      <c r="V4573" s="107"/>
      <c r="W4573" s="107"/>
      <c r="X4573" s="107"/>
      <c r="Y4573" s="107"/>
      <c r="Z4573" s="107"/>
      <c r="AA4573" s="107"/>
      <c r="AB4573" s="107"/>
      <c r="AE4573" s="358"/>
      <c r="AF4573" s="94">
        <f t="shared" si="619"/>
        <v>43069</v>
      </c>
      <c r="AG4573" s="185">
        <f t="shared" si="616"/>
        <v>-1.588250684885939E-2</v>
      </c>
      <c r="AH4573" s="339" t="str">
        <f>VLOOKUP(B4573,'MF PF'!A:B,2)</f>
        <v>FdMgt2</v>
      </c>
      <c r="AI4573" s="358">
        <f t="shared" si="620"/>
        <v>0</v>
      </c>
      <c r="AJ4573" s="94">
        <f t="shared" si="621"/>
        <v>43069</v>
      </c>
    </row>
    <row r="4574" spans="1:36" s="358" customFormat="1" ht="12.75" customHeight="1">
      <c r="A4574" s="94">
        <v>43098</v>
      </c>
      <c r="B4574" s="94" t="s">
        <v>78</v>
      </c>
      <c r="C4574" s="358" t="s">
        <v>297</v>
      </c>
      <c r="D4574" s="98">
        <v>36282978.420000002</v>
      </c>
      <c r="E4574" s="99">
        <f t="shared" si="615"/>
        <v>5.620220501727486</v>
      </c>
      <c r="F4574" s="98"/>
      <c r="G4574" s="98">
        <v>0</v>
      </c>
      <c r="H4574" s="98">
        <v>0</v>
      </c>
      <c r="I4574" s="98">
        <v>0</v>
      </c>
      <c r="J4574" s="98"/>
      <c r="K4574" s="100">
        <v>6455792.688000001</v>
      </c>
      <c r="L4574" s="93">
        <f t="shared" si="617"/>
        <v>0</v>
      </c>
      <c r="M4574" s="95">
        <f t="shared" ca="1" si="618"/>
        <v>0</v>
      </c>
      <c r="N4574" s="95">
        <f>IF(P4574="Hedge Fund",IF(A4574=Summary!$AD$3,M4574-E4574,M4574),IF(A4574=Summary!$AD$3,L4574-D4574,L4574))</f>
        <v>0</v>
      </c>
      <c r="O4574" s="95"/>
      <c r="P4574" s="107" t="s">
        <v>155</v>
      </c>
      <c r="Q4574" s="107">
        <v>2.9227954838333334E-2</v>
      </c>
      <c r="R4574" s="107">
        <v>0</v>
      </c>
      <c r="S4574" s="107">
        <v>0</v>
      </c>
      <c r="T4574" s="107">
        <v>0</v>
      </c>
      <c r="U4574" s="107"/>
      <c r="V4574" s="107"/>
      <c r="W4574" s="107"/>
      <c r="X4574" s="107"/>
      <c r="Y4574" s="107"/>
      <c r="Z4574" s="107"/>
      <c r="AA4574" s="107"/>
      <c r="AB4574" s="107"/>
      <c r="AF4574" s="94">
        <f t="shared" si="619"/>
        <v>43098</v>
      </c>
      <c r="AG4574" s="185">
        <f t="shared" si="616"/>
        <v>-3.5751918044197861E-3</v>
      </c>
      <c r="AH4574" s="339" t="str">
        <f>VLOOKUP(B4574,'MF PF'!A:B,2)</f>
        <v>FdMgt2</v>
      </c>
      <c r="AI4574" s="358">
        <f t="shared" si="620"/>
        <v>0</v>
      </c>
      <c r="AJ4574" s="94">
        <f t="shared" si="621"/>
        <v>43100</v>
      </c>
    </row>
    <row r="4575" spans="1:36" ht="12.75" customHeight="1">
      <c r="A4575" s="8">
        <v>43131</v>
      </c>
      <c r="B4575" s="94" t="s">
        <v>78</v>
      </c>
      <c r="C4575" s="358" t="s">
        <v>297</v>
      </c>
      <c r="D4575" s="98">
        <v>36114709.079999998</v>
      </c>
      <c r="E4575" s="99">
        <f t="shared" ref="E4575:E4606" si="622">IF(K4575="","",D4575/K4575)</f>
        <v>0.83985742378084227</v>
      </c>
      <c r="F4575" s="98"/>
      <c r="G4575" s="98">
        <v>0</v>
      </c>
      <c r="H4575" s="98">
        <v>0</v>
      </c>
      <c r="I4575" s="98">
        <v>0</v>
      </c>
      <c r="J4575" s="98"/>
      <c r="K4575" s="100">
        <f t="shared" ref="K4575:K4587" si="623">43000000+1000</f>
        <v>43001000</v>
      </c>
      <c r="L4575" s="93">
        <f t="shared" si="617"/>
        <v>0</v>
      </c>
      <c r="M4575" s="95">
        <f t="shared" ca="1" si="618"/>
        <v>0</v>
      </c>
      <c r="N4575" s="95">
        <f>IF(P4575="Hedge Fund",IF(A4575=Summary!$AD$3,M4575-E4575,M4575),IF(A4575=Summary!$AD$3,L4575-D4575,L4575))</f>
        <v>0</v>
      </c>
      <c r="O4575" s="95"/>
      <c r="P4575" s="107" t="s">
        <v>155</v>
      </c>
      <c r="Q4575" s="107">
        <v>3.3105149989999992E-2</v>
      </c>
      <c r="R4575" s="107">
        <v>0</v>
      </c>
      <c r="S4575" s="107">
        <v>0</v>
      </c>
      <c r="T4575" s="107">
        <v>0</v>
      </c>
      <c r="U4575" s="107"/>
      <c r="V4575" s="107"/>
      <c r="W4575" s="107"/>
      <c r="X4575" s="107"/>
      <c r="Y4575" s="107"/>
      <c r="Z4575" s="107"/>
      <c r="AA4575" s="107"/>
      <c r="AB4575" s="107"/>
      <c r="AE4575" s="358"/>
      <c r="AF4575" s="94">
        <f t="shared" si="619"/>
        <v>43131</v>
      </c>
      <c r="AG4575" s="185">
        <f t="shared" si="616"/>
        <v>-4.6376936879924946E-3</v>
      </c>
      <c r="AH4575" s="339" t="str">
        <f>VLOOKUP(B4575,'MF PF'!A:B,2)</f>
        <v>FdMgt2</v>
      </c>
      <c r="AI4575" s="358">
        <f t="shared" si="620"/>
        <v>0</v>
      </c>
      <c r="AJ4575" s="94">
        <f t="shared" si="621"/>
        <v>43131</v>
      </c>
    </row>
    <row r="4576" spans="1:36" ht="12.75" customHeight="1">
      <c r="A4576" s="8">
        <v>43159</v>
      </c>
      <c r="B4576" s="94" t="s">
        <v>78</v>
      </c>
      <c r="C4576" s="358" t="s">
        <v>297</v>
      </c>
      <c r="D4576" s="98">
        <v>35559287.539999999</v>
      </c>
      <c r="E4576" s="99">
        <f t="shared" si="622"/>
        <v>0.82694094416408914</v>
      </c>
      <c r="F4576" s="98"/>
      <c r="G4576" s="98">
        <v>0</v>
      </c>
      <c r="H4576" s="98">
        <v>0</v>
      </c>
      <c r="I4576" s="98">
        <v>0</v>
      </c>
      <c r="J4576" s="98"/>
      <c r="K4576" s="100">
        <f t="shared" si="623"/>
        <v>43001000</v>
      </c>
      <c r="L4576" s="93">
        <f t="shared" si="617"/>
        <v>0</v>
      </c>
      <c r="M4576" s="95">
        <f t="shared" ca="1" si="618"/>
        <v>0</v>
      </c>
      <c r="N4576" s="95">
        <f>IF(P4576="Hedge Fund",IF(A4576=Summary!$AD$3,M4576-E4576,M4576),IF(A4576=Summary!$AD$3,L4576-D4576,L4576))</f>
        <v>0</v>
      </c>
      <c r="O4576" s="95"/>
      <c r="P4576" s="107" t="s">
        <v>155</v>
      </c>
      <c r="Q4576" s="107">
        <v>2.7657223642222225E-2</v>
      </c>
      <c r="R4576" s="107">
        <v>0</v>
      </c>
      <c r="S4576" s="107">
        <v>0</v>
      </c>
      <c r="T4576" s="107">
        <v>0</v>
      </c>
      <c r="U4576" s="107"/>
      <c r="V4576" s="107"/>
      <c r="W4576" s="107"/>
      <c r="X4576" s="107"/>
      <c r="Y4576" s="107"/>
      <c r="Z4576" s="107"/>
      <c r="AA4576" s="107"/>
      <c r="AB4576" s="107"/>
      <c r="AE4576" s="358"/>
      <c r="AF4576" s="94">
        <f t="shared" si="619"/>
        <v>43159</v>
      </c>
      <c r="AG4576" s="185">
        <f t="shared" si="616"/>
        <v>-1.5379371844575829E-2</v>
      </c>
      <c r="AH4576" s="339" t="str">
        <f>VLOOKUP(B4576,'MF PF'!A:B,2)</f>
        <v>FdMgt2</v>
      </c>
      <c r="AI4576" s="358">
        <f t="shared" si="620"/>
        <v>0</v>
      </c>
      <c r="AJ4576" s="94">
        <f t="shared" si="621"/>
        <v>43159</v>
      </c>
    </row>
    <row r="4577" spans="1:36" ht="12.75" customHeight="1">
      <c r="A4577" s="8">
        <v>43188</v>
      </c>
      <c r="B4577" s="94" t="s">
        <v>78</v>
      </c>
      <c r="C4577" s="358" t="s">
        <v>297</v>
      </c>
      <c r="D4577" s="110">
        <v>58431109.219999999</v>
      </c>
      <c r="E4577" s="99">
        <f t="shared" si="622"/>
        <v>1.3588314043859444</v>
      </c>
      <c r="F4577" s="98"/>
      <c r="G4577" s="98">
        <v>0</v>
      </c>
      <c r="H4577" s="98">
        <v>0</v>
      </c>
      <c r="I4577" s="98">
        <v>0</v>
      </c>
      <c r="J4577" s="98"/>
      <c r="K4577" s="100">
        <f t="shared" si="623"/>
        <v>43001000</v>
      </c>
      <c r="L4577" s="93">
        <f t="shared" si="617"/>
        <v>0</v>
      </c>
      <c r="M4577" s="95">
        <f t="shared" ca="1" si="618"/>
        <v>0</v>
      </c>
      <c r="N4577" s="95">
        <f>IF(P4577="Hedge Fund",IF(A4577=Summary!$AD$3,M4577-E4577,M4577),IF(A4577=Summary!$AD$3,L4577-D4577,L4577))</f>
        <v>0</v>
      </c>
      <c r="O4577" s="95"/>
      <c r="P4577" s="107" t="s">
        <v>155</v>
      </c>
      <c r="Q4577" s="107">
        <v>2.7657223642222225E-2</v>
      </c>
      <c r="R4577" s="107">
        <v>0</v>
      </c>
      <c r="S4577" s="107">
        <v>0</v>
      </c>
      <c r="T4577" s="107">
        <v>0</v>
      </c>
      <c r="U4577" s="107"/>
      <c r="V4577" s="107"/>
      <c r="W4577" s="107"/>
      <c r="X4577" s="107"/>
      <c r="Y4577" s="107"/>
      <c r="Z4577" s="107"/>
      <c r="AA4577" s="107"/>
      <c r="AB4577" s="107"/>
      <c r="AE4577" s="358"/>
      <c r="AF4577" s="94">
        <f t="shared" si="619"/>
        <v>43188</v>
      </c>
      <c r="AG4577" s="185">
        <f t="shared" si="616"/>
        <v>0.64320247289184018</v>
      </c>
      <c r="AH4577" s="339" t="str">
        <f>VLOOKUP(B4577,'MF PF'!A:B,2)</f>
        <v>FdMgt2</v>
      </c>
      <c r="AI4577" s="358">
        <f t="shared" si="620"/>
        <v>0</v>
      </c>
      <c r="AJ4577" s="94">
        <f t="shared" si="621"/>
        <v>43190</v>
      </c>
    </row>
    <row r="4578" spans="1:36" ht="12.75" customHeight="1">
      <c r="A4578" s="8">
        <v>43220</v>
      </c>
      <c r="B4578" s="94" t="s">
        <v>78</v>
      </c>
      <c r="C4578" s="358" t="s">
        <v>297</v>
      </c>
      <c r="D4578" s="110">
        <v>58574142.509999998</v>
      </c>
      <c r="E4578" s="99">
        <f t="shared" si="622"/>
        <v>1.3621576826120323</v>
      </c>
      <c r="F4578" s="98"/>
      <c r="G4578" s="98">
        <v>0</v>
      </c>
      <c r="H4578" s="98">
        <v>0</v>
      </c>
      <c r="I4578" s="98">
        <v>0</v>
      </c>
      <c r="J4578" s="98"/>
      <c r="K4578" s="100">
        <f t="shared" si="623"/>
        <v>43001000</v>
      </c>
      <c r="L4578" s="93">
        <f t="shared" si="617"/>
        <v>0</v>
      </c>
      <c r="M4578" s="95">
        <f t="shared" ca="1" si="618"/>
        <v>0</v>
      </c>
      <c r="N4578" s="95">
        <f>IF(P4578="Hedge Fund",IF(A4578=Summary!$AD$3,M4578-E4578,M4578),IF(A4578=Summary!$AD$3,L4578-D4578,L4578))</f>
        <v>0</v>
      </c>
      <c r="O4578" s="95"/>
      <c r="P4578" s="107" t="s">
        <v>155</v>
      </c>
      <c r="Q4578" s="107">
        <v>2.7657223642222225E-2</v>
      </c>
      <c r="R4578" s="107">
        <v>0</v>
      </c>
      <c r="S4578" s="107">
        <v>0</v>
      </c>
      <c r="T4578" s="107">
        <v>0</v>
      </c>
      <c r="U4578" s="107"/>
      <c r="V4578" s="107"/>
      <c r="W4578" s="107"/>
      <c r="X4578" s="107"/>
      <c r="Y4578" s="107"/>
      <c r="Z4578" s="107"/>
      <c r="AA4578" s="107"/>
      <c r="AB4578" s="107"/>
      <c r="AE4578" s="358"/>
      <c r="AF4578" s="94">
        <f t="shared" si="619"/>
        <v>43220</v>
      </c>
      <c r="AG4578" s="185">
        <f t="shared" si="616"/>
        <v>2.4478961962104417E-3</v>
      </c>
      <c r="AH4578" s="339" t="str">
        <f>VLOOKUP(B4578,'MF PF'!A:B,2)</f>
        <v>FdMgt2</v>
      </c>
      <c r="AI4578" s="358">
        <f t="shared" si="620"/>
        <v>0</v>
      </c>
      <c r="AJ4578" s="94">
        <f t="shared" si="621"/>
        <v>43220</v>
      </c>
    </row>
    <row r="4579" spans="1:36" ht="12.75" customHeight="1">
      <c r="A4579" s="8">
        <v>43251</v>
      </c>
      <c r="B4579" s="358" t="s">
        <v>78</v>
      </c>
      <c r="C4579" s="358" t="s">
        <v>297</v>
      </c>
      <c r="D4579" s="110">
        <v>58439031.590000004</v>
      </c>
      <c r="E4579" s="9">
        <f t="shared" si="622"/>
        <v>1.3590156412641567</v>
      </c>
      <c r="F4579" s="98"/>
      <c r="G4579" s="98">
        <v>0</v>
      </c>
      <c r="H4579" s="98">
        <v>0</v>
      </c>
      <c r="I4579" s="98">
        <v>0</v>
      </c>
      <c r="J4579" s="98"/>
      <c r="K4579" s="100">
        <f t="shared" si="623"/>
        <v>43001000</v>
      </c>
      <c r="L4579" s="93">
        <f t="shared" si="617"/>
        <v>0</v>
      </c>
      <c r="M4579" s="95">
        <f t="shared" ca="1" si="618"/>
        <v>0</v>
      </c>
      <c r="N4579" s="95">
        <f>IF(P4579="Hedge Fund",IF(A4579=Summary!$AD$3,M4579-E4579,M4579),IF(A4579=Summary!$AD$3,L4579-D4579,L4579))</f>
        <v>0</v>
      </c>
      <c r="O4579" s="95"/>
      <c r="P4579" s="107" t="s">
        <v>155</v>
      </c>
      <c r="Q4579" s="107">
        <v>2.7657223642222225E-2</v>
      </c>
      <c r="R4579" s="107">
        <v>0</v>
      </c>
      <c r="S4579" s="107">
        <v>0</v>
      </c>
      <c r="T4579" s="107">
        <v>0</v>
      </c>
      <c r="U4579" s="107"/>
      <c r="V4579" s="107"/>
      <c r="W4579" s="107"/>
      <c r="X4579" s="107"/>
      <c r="Y4579" s="107"/>
      <c r="Z4579" s="107"/>
      <c r="AA4579" s="107"/>
      <c r="AB4579" s="107"/>
      <c r="AE4579" s="358"/>
      <c r="AF4579" s="94">
        <f t="shared" si="619"/>
        <v>43251</v>
      </c>
      <c r="AG4579" s="185">
        <f t="shared" si="616"/>
        <v>-2.3066649243209669E-3</v>
      </c>
      <c r="AH4579" s="339" t="str">
        <f>VLOOKUP(B4579,'MF PF'!A:B,2)</f>
        <v>FdMgt2</v>
      </c>
      <c r="AI4579" s="358">
        <f t="shared" si="620"/>
        <v>0</v>
      </c>
      <c r="AJ4579" s="94">
        <f t="shared" si="621"/>
        <v>43251</v>
      </c>
    </row>
    <row r="4580" spans="1:36" ht="12.75" customHeight="1">
      <c r="A4580" s="8">
        <v>43280</v>
      </c>
      <c r="B4580" s="358" t="s">
        <v>78</v>
      </c>
      <c r="C4580" s="358" t="s">
        <v>297</v>
      </c>
      <c r="D4580" s="110">
        <v>62354903.359999999</v>
      </c>
      <c r="E4580" s="9">
        <f t="shared" si="622"/>
        <v>1.4500803088300271</v>
      </c>
      <c r="F4580" s="98"/>
      <c r="G4580" s="98">
        <v>0</v>
      </c>
      <c r="H4580" s="98">
        <v>0</v>
      </c>
      <c r="I4580" s="98">
        <v>0</v>
      </c>
      <c r="J4580" s="98"/>
      <c r="K4580" s="100">
        <f t="shared" si="623"/>
        <v>43001000</v>
      </c>
      <c r="L4580" s="93">
        <f t="shared" si="617"/>
        <v>0</v>
      </c>
      <c r="M4580" s="95">
        <f t="shared" ca="1" si="618"/>
        <v>0</v>
      </c>
      <c r="N4580" s="95">
        <f>IF(P4580="Hedge Fund",IF(A4580=Summary!$AD$3,M4580-E4580,M4580),IF(A4580=Summary!$AD$3,L4580-D4580,L4580))</f>
        <v>0</v>
      </c>
      <c r="O4580" s="95"/>
      <c r="P4580" s="107" t="s">
        <v>155</v>
      </c>
      <c r="Q4580" s="107">
        <v>2.7657223642222225E-2</v>
      </c>
      <c r="R4580" s="107">
        <v>0</v>
      </c>
      <c r="S4580" s="107">
        <v>0</v>
      </c>
      <c r="T4580" s="107">
        <v>0</v>
      </c>
      <c r="U4580" s="107"/>
      <c r="V4580" s="107"/>
      <c r="W4580" s="107"/>
      <c r="X4580" s="107"/>
      <c r="Y4580" s="107"/>
      <c r="Z4580" s="107"/>
      <c r="AA4580" s="107"/>
      <c r="AB4580" s="107"/>
      <c r="AE4580" s="358"/>
      <c r="AF4580" s="94">
        <f t="shared" si="619"/>
        <v>43280</v>
      </c>
      <c r="AG4580" s="185">
        <f t="shared" si="616"/>
        <v>6.7007814186128112E-2</v>
      </c>
      <c r="AH4580" s="339" t="str">
        <f>VLOOKUP(B4580,'MF PF'!A:B,2)</f>
        <v>FdMgt2</v>
      </c>
      <c r="AI4580" s="358">
        <f t="shared" si="620"/>
        <v>0</v>
      </c>
      <c r="AJ4580" s="94">
        <f t="shared" si="621"/>
        <v>43281</v>
      </c>
    </row>
    <row r="4581" spans="1:36" ht="12.75" customHeight="1">
      <c r="A4581" s="8">
        <v>43312</v>
      </c>
      <c r="B4581" s="358" t="s">
        <v>78</v>
      </c>
      <c r="C4581" s="6" t="s">
        <v>297</v>
      </c>
      <c r="D4581" s="110">
        <v>62482244.009999998</v>
      </c>
      <c r="E4581" s="9">
        <f t="shared" si="622"/>
        <v>1.4530416504267343</v>
      </c>
      <c r="F4581" s="98"/>
      <c r="G4581" s="98">
        <v>0</v>
      </c>
      <c r="H4581" s="98">
        <v>0</v>
      </c>
      <c r="I4581" s="98">
        <v>0</v>
      </c>
      <c r="J4581" s="98"/>
      <c r="K4581" s="100">
        <f t="shared" si="623"/>
        <v>43001000</v>
      </c>
      <c r="L4581" s="93">
        <f t="shared" si="617"/>
        <v>0</v>
      </c>
      <c r="M4581" s="95">
        <f t="shared" ca="1" si="618"/>
        <v>0</v>
      </c>
      <c r="N4581" s="95">
        <f>IF(P4581="Hedge Fund",IF(A4581=Summary!$AD$3,M4581-E4581,M4581),IF(A4581=Summary!$AD$3,L4581-D4581,L4581))</f>
        <v>0</v>
      </c>
      <c r="O4581" s="95"/>
      <c r="P4581" s="107" t="s">
        <v>155</v>
      </c>
      <c r="Q4581" s="107">
        <v>2.7657223642222225E-2</v>
      </c>
      <c r="R4581" s="107">
        <v>0</v>
      </c>
      <c r="S4581" s="107">
        <v>0</v>
      </c>
      <c r="T4581" s="107">
        <v>0</v>
      </c>
      <c r="U4581" s="107"/>
      <c r="V4581" s="107"/>
      <c r="W4581" s="107"/>
      <c r="X4581" s="107"/>
      <c r="Y4581" s="107"/>
      <c r="Z4581" s="107"/>
      <c r="AA4581" s="107"/>
      <c r="AB4581" s="107"/>
      <c r="AE4581" s="358"/>
      <c r="AF4581" s="94">
        <f t="shared" si="619"/>
        <v>43312</v>
      </c>
      <c r="AG4581" s="185">
        <f t="shared" si="616"/>
        <v>2.0421914418631282E-3</v>
      </c>
      <c r="AH4581" s="339" t="str">
        <f>VLOOKUP(B4581,'MF PF'!A:B,2)</f>
        <v>FdMgt2</v>
      </c>
      <c r="AI4581" s="358">
        <f t="shared" si="620"/>
        <v>0</v>
      </c>
      <c r="AJ4581" s="94">
        <f t="shared" si="621"/>
        <v>43312</v>
      </c>
    </row>
    <row r="4582" spans="1:36" ht="12.75" customHeight="1">
      <c r="A4582" s="8">
        <v>43343</v>
      </c>
      <c r="B4582" s="358" t="s">
        <v>78</v>
      </c>
      <c r="C4582" s="6" t="s">
        <v>297</v>
      </c>
      <c r="D4582" s="110">
        <v>63199695.780000001</v>
      </c>
      <c r="E4582" s="95">
        <f t="shared" si="622"/>
        <v>1.4697261872979699</v>
      </c>
      <c r="F4582" s="98"/>
      <c r="G4582" s="98">
        <v>0</v>
      </c>
      <c r="H4582" s="98">
        <v>0</v>
      </c>
      <c r="I4582" s="98">
        <v>0</v>
      </c>
      <c r="J4582" s="98"/>
      <c r="K4582" s="100">
        <f t="shared" si="623"/>
        <v>43001000</v>
      </c>
      <c r="L4582" s="93">
        <f t="shared" si="617"/>
        <v>0</v>
      </c>
      <c r="M4582" s="95">
        <f t="shared" ca="1" si="618"/>
        <v>0</v>
      </c>
      <c r="N4582" s="95">
        <f>IF(P4582="Hedge Fund",IF(A4582=Summary!$AD$3,M4582-E4582,M4582),IF(A4582=Summary!$AD$3,L4582-D4582,L4582))</f>
        <v>0</v>
      </c>
      <c r="O4582" s="95"/>
      <c r="P4582" s="107" t="s">
        <v>155</v>
      </c>
      <c r="Q4582" s="107">
        <v>2.7657223642222225E-2</v>
      </c>
      <c r="R4582" s="107">
        <v>0</v>
      </c>
      <c r="S4582" s="107">
        <v>0</v>
      </c>
      <c r="T4582" s="107">
        <v>0</v>
      </c>
      <c r="U4582" s="107"/>
      <c r="V4582" s="107"/>
      <c r="W4582" s="107"/>
      <c r="X4582" s="107"/>
      <c r="Y4582" s="107"/>
      <c r="Z4582" s="107"/>
      <c r="AA4582" s="107"/>
      <c r="AB4582" s="107"/>
      <c r="AE4582" s="358"/>
      <c r="AF4582" s="94">
        <f t="shared" si="619"/>
        <v>43343</v>
      </c>
      <c r="AG4582" s="185">
        <f t="shared" si="616"/>
        <v>1.1482490447769056E-2</v>
      </c>
      <c r="AH4582" s="339" t="str">
        <f>VLOOKUP(B4582,'MF PF'!A:B,2)</f>
        <v>FdMgt2</v>
      </c>
      <c r="AI4582" s="358">
        <f t="shared" si="620"/>
        <v>0</v>
      </c>
      <c r="AJ4582" s="94">
        <f t="shared" si="621"/>
        <v>43343</v>
      </c>
    </row>
    <row r="4583" spans="1:36" ht="12.75" customHeight="1">
      <c r="A4583" s="8">
        <v>43371</v>
      </c>
      <c r="B4583" s="358" t="s">
        <v>78</v>
      </c>
      <c r="C4583" s="6" t="s">
        <v>297</v>
      </c>
      <c r="D4583" s="110">
        <v>63801975.060000002</v>
      </c>
      <c r="E4583" s="9">
        <f t="shared" si="622"/>
        <v>1.4837323564568266</v>
      </c>
      <c r="F4583" s="98"/>
      <c r="G4583" s="98">
        <v>0</v>
      </c>
      <c r="H4583" s="98">
        <v>0</v>
      </c>
      <c r="I4583" s="98">
        <v>0</v>
      </c>
      <c r="J4583" s="98"/>
      <c r="K4583" s="100">
        <f t="shared" si="623"/>
        <v>43001000</v>
      </c>
      <c r="L4583" s="93">
        <f t="shared" si="617"/>
        <v>0</v>
      </c>
      <c r="M4583" s="95">
        <f t="shared" ca="1" si="618"/>
        <v>0</v>
      </c>
      <c r="N4583" s="95">
        <f>IF(P4583="Hedge Fund",IF(A4583=Summary!$AD$3,M4583-E4583,M4583),IF(A4583=Summary!$AD$3,L4583-D4583,L4583))</f>
        <v>0</v>
      </c>
      <c r="O4583" s="95"/>
      <c r="P4583" s="107" t="s">
        <v>155</v>
      </c>
      <c r="Q4583" s="107">
        <v>2.7657223642222225E-2</v>
      </c>
      <c r="R4583" s="107">
        <v>0</v>
      </c>
      <c r="S4583" s="107">
        <v>0</v>
      </c>
      <c r="T4583" s="107">
        <v>0</v>
      </c>
      <c r="U4583" s="107"/>
      <c r="V4583" s="107"/>
      <c r="W4583" s="107"/>
      <c r="X4583" s="107"/>
      <c r="Y4583" s="107"/>
      <c r="Z4583" s="107"/>
      <c r="AA4583" s="107"/>
      <c r="AB4583" s="107"/>
      <c r="AE4583" s="358"/>
      <c r="AF4583" s="94">
        <f t="shared" si="619"/>
        <v>43371</v>
      </c>
      <c r="AG4583" s="185">
        <f t="shared" si="616"/>
        <v>9.5297813156656197E-3</v>
      </c>
      <c r="AH4583" s="339" t="str">
        <f>VLOOKUP(B4583,'MF PF'!A:B,2)</f>
        <v>FdMgt2</v>
      </c>
      <c r="AI4583" s="358">
        <f t="shared" si="620"/>
        <v>0</v>
      </c>
      <c r="AJ4583" s="94">
        <f t="shared" si="621"/>
        <v>43373</v>
      </c>
    </row>
    <row r="4584" spans="1:36" ht="12.75" customHeight="1">
      <c r="A4584" s="8">
        <v>43404</v>
      </c>
      <c r="B4584" s="358" t="s">
        <v>78</v>
      </c>
      <c r="C4584" s="6" t="s">
        <v>297</v>
      </c>
      <c r="D4584" s="110">
        <v>61725396.090000004</v>
      </c>
      <c r="E4584" s="9">
        <f t="shared" si="622"/>
        <v>1.4354409453268528</v>
      </c>
      <c r="F4584" s="98"/>
      <c r="G4584" s="98">
        <v>0</v>
      </c>
      <c r="H4584" s="98">
        <v>0</v>
      </c>
      <c r="I4584" s="98">
        <v>0</v>
      </c>
      <c r="J4584" s="98"/>
      <c r="K4584" s="100">
        <f t="shared" si="623"/>
        <v>43001000</v>
      </c>
      <c r="L4584" s="93">
        <f t="shared" si="617"/>
        <v>0</v>
      </c>
      <c r="M4584" s="95">
        <f t="shared" ca="1" si="618"/>
        <v>0</v>
      </c>
      <c r="N4584" s="95">
        <f>IF(P4584="Hedge Fund",IF(A4584=Summary!$AD$3,M4584-E4584,M4584),IF(A4584=Summary!$AD$3,L4584-D4584,L4584))</f>
        <v>0</v>
      </c>
      <c r="O4584" s="95"/>
      <c r="P4584" s="107" t="s">
        <v>155</v>
      </c>
      <c r="Q4584" s="107">
        <v>1.298443E-2</v>
      </c>
      <c r="R4584" s="107">
        <v>0</v>
      </c>
      <c r="S4584" s="107">
        <v>0</v>
      </c>
      <c r="T4584" s="107">
        <v>0</v>
      </c>
      <c r="U4584" s="107"/>
      <c r="V4584" s="107"/>
      <c r="W4584" s="107"/>
      <c r="X4584" s="107"/>
      <c r="Y4584" s="107"/>
      <c r="Z4584" s="107"/>
      <c r="AA4584" s="107"/>
      <c r="AB4584" s="107"/>
      <c r="AE4584" s="358"/>
      <c r="AF4584" s="94">
        <f t="shared" si="619"/>
        <v>43404</v>
      </c>
      <c r="AG4584" s="185">
        <f t="shared" si="616"/>
        <v>-3.2547252150848971E-2</v>
      </c>
      <c r="AH4584" s="339" t="str">
        <f>VLOOKUP(B4584,'MF PF'!A:B,2)</f>
        <v>FdMgt2</v>
      </c>
      <c r="AI4584" s="358">
        <f t="shared" si="620"/>
        <v>0</v>
      </c>
      <c r="AJ4584" s="94">
        <f t="shared" si="621"/>
        <v>43404</v>
      </c>
    </row>
    <row r="4585" spans="1:36" ht="12.75" customHeight="1">
      <c r="A4585" s="8">
        <v>43434</v>
      </c>
      <c r="B4585" s="358" t="s">
        <v>78</v>
      </c>
      <c r="C4585" s="6" t="s">
        <v>297</v>
      </c>
      <c r="D4585" s="110">
        <v>62180526.399999999</v>
      </c>
      <c r="E4585" s="9">
        <f t="shared" si="622"/>
        <v>1.446025124997093</v>
      </c>
      <c r="F4585" s="98"/>
      <c r="G4585" s="98">
        <v>0</v>
      </c>
      <c r="H4585" s="98">
        <v>0</v>
      </c>
      <c r="I4585" s="98">
        <v>0</v>
      </c>
      <c r="J4585" s="98"/>
      <c r="K4585" s="100">
        <f t="shared" si="623"/>
        <v>43001000</v>
      </c>
      <c r="L4585" s="93">
        <f t="shared" si="617"/>
        <v>0</v>
      </c>
      <c r="M4585" s="95">
        <f t="shared" ca="1" si="618"/>
        <v>0</v>
      </c>
      <c r="N4585" s="95">
        <f>IF(P4585="Hedge Fund",IF(A4585=Summary!$AD$3,M4585-E4585,M4585),IF(A4585=Summary!$AD$3,L4585-D4585,L4585))</f>
        <v>0</v>
      </c>
      <c r="O4585" s="95"/>
      <c r="P4585" s="107" t="s">
        <v>155</v>
      </c>
      <c r="Q4585" s="107">
        <v>1.2956979999999996E-2</v>
      </c>
      <c r="R4585" s="107">
        <v>0</v>
      </c>
      <c r="S4585" s="107">
        <v>0</v>
      </c>
      <c r="T4585" s="107">
        <v>0</v>
      </c>
      <c r="U4585" s="107"/>
      <c r="V4585" s="107"/>
      <c r="W4585" s="107"/>
      <c r="X4585" s="107"/>
      <c r="Y4585" s="107"/>
      <c r="Z4585" s="107"/>
      <c r="AA4585" s="107"/>
      <c r="AB4585" s="107"/>
      <c r="AE4585" s="358"/>
      <c r="AF4585" s="94">
        <f t="shared" si="619"/>
        <v>43434</v>
      </c>
      <c r="AG4585" s="185">
        <f t="shared" si="616"/>
        <v>7.3734692497782195E-3</v>
      </c>
      <c r="AH4585" s="339" t="str">
        <f>VLOOKUP(B4585,'MF PF'!A:B,2)</f>
        <v>FdMgt2</v>
      </c>
      <c r="AI4585" s="358">
        <f t="shared" si="620"/>
        <v>0</v>
      </c>
      <c r="AJ4585" s="94">
        <f t="shared" si="621"/>
        <v>43434</v>
      </c>
    </row>
    <row r="4586" spans="1:36" ht="12.75" customHeight="1">
      <c r="A4586" s="8">
        <v>43465</v>
      </c>
      <c r="B4586" s="358" t="s">
        <v>78</v>
      </c>
      <c r="C4586" s="6" t="s">
        <v>297</v>
      </c>
      <c r="D4586" s="110">
        <v>62691287.979999997</v>
      </c>
      <c r="E4586" s="9">
        <f t="shared" si="622"/>
        <v>1.4579030250459291</v>
      </c>
      <c r="F4586" s="98"/>
      <c r="G4586" s="98">
        <v>0</v>
      </c>
      <c r="H4586" s="98">
        <v>0</v>
      </c>
      <c r="I4586" s="98">
        <v>0</v>
      </c>
      <c r="J4586" s="98"/>
      <c r="K4586" s="100">
        <f t="shared" si="623"/>
        <v>43001000</v>
      </c>
      <c r="L4586" s="93">
        <f t="shared" si="617"/>
        <v>0</v>
      </c>
      <c r="M4586" s="95">
        <f t="shared" ca="1" si="618"/>
        <v>0</v>
      </c>
      <c r="N4586" s="95">
        <f>IF(P4586="Hedge Fund",IF(A4586=Summary!$AD$3,M4586-E4586,M4586),IF(A4586=Summary!$AD$3,L4586-D4586,L4586))</f>
        <v>0</v>
      </c>
      <c r="O4586" s="95"/>
      <c r="P4586" s="107" t="s">
        <v>155</v>
      </c>
      <c r="Q4586" s="107">
        <v>1.2956979999999996E-2</v>
      </c>
      <c r="R4586" s="107">
        <v>0</v>
      </c>
      <c r="S4586" s="107">
        <v>0</v>
      </c>
      <c r="T4586" s="107">
        <v>0</v>
      </c>
      <c r="U4586" s="107"/>
      <c r="V4586" s="107"/>
      <c r="W4586" s="107"/>
      <c r="X4586" s="107"/>
      <c r="Y4586" s="107"/>
      <c r="Z4586" s="107"/>
      <c r="AA4586" s="107"/>
      <c r="AB4586" s="107"/>
      <c r="AE4586" s="358"/>
      <c r="AF4586" s="94">
        <f t="shared" si="619"/>
        <v>43465</v>
      </c>
      <c r="AG4586" s="185">
        <f t="shared" si="616"/>
        <v>8.2141726609763488E-3</v>
      </c>
      <c r="AH4586" s="339" t="str">
        <f>VLOOKUP(B4586,'MF PF'!A:B,2)</f>
        <v>FdMgt2</v>
      </c>
      <c r="AI4586" s="358">
        <f t="shared" si="620"/>
        <v>0</v>
      </c>
      <c r="AJ4586" s="94">
        <f t="shared" si="621"/>
        <v>43465</v>
      </c>
    </row>
    <row r="4587" spans="1:36" ht="12.75" customHeight="1">
      <c r="A4587" s="8">
        <v>43496</v>
      </c>
      <c r="B4587" s="358" t="s">
        <v>78</v>
      </c>
      <c r="C4587" s="6" t="s">
        <v>297</v>
      </c>
      <c r="D4587" s="110">
        <v>65719920.649999999</v>
      </c>
      <c r="E4587" s="95">
        <f t="shared" si="622"/>
        <v>1.5283347050068603</v>
      </c>
      <c r="F4587" s="98"/>
      <c r="G4587" s="98">
        <v>0</v>
      </c>
      <c r="H4587" s="98">
        <v>0</v>
      </c>
      <c r="I4587" s="98">
        <v>0</v>
      </c>
      <c r="J4587" s="98"/>
      <c r="K4587" s="100">
        <f t="shared" si="623"/>
        <v>43001000</v>
      </c>
      <c r="L4587" s="93">
        <f t="shared" si="617"/>
        <v>0</v>
      </c>
      <c r="M4587" s="95">
        <f t="shared" ca="1" si="618"/>
        <v>0</v>
      </c>
      <c r="N4587" s="95">
        <f>IF(P4587="Hedge Fund",IF(A4587=Summary!$AD$3,M4587-E4587,M4587),IF(A4587=Summary!$AD$3,L4587-D4587,L4587))</f>
        <v>-65719920.649999999</v>
      </c>
      <c r="O4587" s="95"/>
      <c r="P4587" s="107" t="s">
        <v>155</v>
      </c>
      <c r="Q4587" s="107">
        <v>1.2956979999999996E-2</v>
      </c>
      <c r="R4587" s="107">
        <v>0</v>
      </c>
      <c r="S4587" s="107">
        <v>0</v>
      </c>
      <c r="T4587" s="107">
        <v>0</v>
      </c>
      <c r="U4587" s="107"/>
      <c r="V4587" s="107"/>
      <c r="W4587" s="107"/>
      <c r="X4587" s="107"/>
      <c r="Y4587" s="107"/>
      <c r="Z4587" s="107"/>
      <c r="AA4587" s="107"/>
      <c r="AB4587" s="107"/>
      <c r="AE4587" s="358"/>
      <c r="AF4587" s="94">
        <f t="shared" si="619"/>
        <v>43496</v>
      </c>
      <c r="AG4587" s="185">
        <f t="shared" si="616"/>
        <v>4.8310263955116284E-2</v>
      </c>
      <c r="AH4587" s="339" t="str">
        <f>VLOOKUP(B4587,'MF PF'!A:B,2)</f>
        <v>FdMgt2</v>
      </c>
      <c r="AI4587" s="358">
        <f t="shared" si="620"/>
        <v>0</v>
      </c>
      <c r="AJ4587" s="94">
        <f t="shared" si="621"/>
        <v>43496</v>
      </c>
    </row>
    <row r="4588" spans="1:36" ht="12.75" customHeight="1">
      <c r="A4588" s="8">
        <v>41262</v>
      </c>
      <c r="B4588" s="94" t="s">
        <v>19</v>
      </c>
      <c r="C4588" s="6" t="s">
        <v>297</v>
      </c>
      <c r="D4588" s="98">
        <v>50000000</v>
      </c>
      <c r="E4588" s="95">
        <f t="shared" si="622"/>
        <v>1000</v>
      </c>
      <c r="F4588" s="98"/>
      <c r="G4588" s="98">
        <v>50000000</v>
      </c>
      <c r="H4588" s="98">
        <v>0</v>
      </c>
      <c r="I4588" s="98">
        <v>0</v>
      </c>
      <c r="J4588" s="98"/>
      <c r="K4588" s="98">
        <v>50000</v>
      </c>
      <c r="L4588" s="93">
        <f t="shared" si="617"/>
        <v>50000000</v>
      </c>
      <c r="M4588" s="95">
        <f t="shared" ca="1" si="618"/>
        <v>1000</v>
      </c>
      <c r="N4588" s="95">
        <f ca="1">IF(P4588="Hedge Fund",IF(A4588=Summary!$AD$3,M4588-E4588,M4588),IF(A4588=Summary!$AD$3,L4588-D4588,L4588))</f>
        <v>1000</v>
      </c>
      <c r="O4588" s="95"/>
      <c r="P4588" s="107" t="s">
        <v>139</v>
      </c>
      <c r="Q4588" s="107">
        <v>0</v>
      </c>
      <c r="R4588" s="107">
        <v>0</v>
      </c>
      <c r="S4588" s="107">
        <v>0</v>
      </c>
      <c r="T4588" s="107">
        <v>0</v>
      </c>
      <c r="U4588" s="107" t="s">
        <v>0</v>
      </c>
      <c r="V4588" s="107">
        <v>2.6789999999999998</v>
      </c>
      <c r="W4588" s="107" t="s">
        <v>15</v>
      </c>
      <c r="X4588" s="107">
        <v>0.25</v>
      </c>
      <c r="Y4588" s="107" t="s">
        <v>137</v>
      </c>
      <c r="Z4588" s="107">
        <v>7.0709999999999997</v>
      </c>
      <c r="AA4588" s="107" t="s">
        <v>149</v>
      </c>
      <c r="AB4588" s="107">
        <v>0</v>
      </c>
      <c r="AE4588" s="358"/>
      <c r="AF4588" s="94">
        <f t="shared" si="619"/>
        <v>41262</v>
      </c>
      <c r="AG4588" s="185">
        <f>IF(C4588&lt;&gt;C4586,D4588/G4588-1,(D4588-G4588-I4588-H4588)/(D4586)-1)</f>
        <v>-1</v>
      </c>
      <c r="AH4588" s="339" t="str">
        <f>VLOOKUP(B4588,'MF PF'!A:B,2)</f>
        <v>FdMgt2</v>
      </c>
      <c r="AI4588" s="358">
        <f t="shared" si="620"/>
        <v>0</v>
      </c>
      <c r="AJ4588" s="94">
        <f t="shared" si="621"/>
        <v>41274</v>
      </c>
    </row>
    <row r="4589" spans="1:36" ht="12.75" customHeight="1">
      <c r="A4589" s="8">
        <v>41274</v>
      </c>
      <c r="B4589" s="94" t="s">
        <v>19</v>
      </c>
      <c r="C4589" s="6" t="s">
        <v>297</v>
      </c>
      <c r="D4589" s="98">
        <v>65719262.410500407</v>
      </c>
      <c r="E4589" s="95">
        <f t="shared" si="622"/>
        <v>1314.3900000000003</v>
      </c>
      <c r="F4589" s="98"/>
      <c r="G4589" s="98">
        <v>65719262.410500407</v>
      </c>
      <c r="H4589" s="98">
        <v>0</v>
      </c>
      <c r="I4589" s="98">
        <v>0</v>
      </c>
      <c r="J4589" s="98"/>
      <c r="K4589" s="98">
        <v>49999.819239723671</v>
      </c>
      <c r="L4589" s="93">
        <f t="shared" si="617"/>
        <v>65719262.410500407</v>
      </c>
      <c r="M4589" s="95">
        <f t="shared" ca="1" si="618"/>
        <v>0</v>
      </c>
      <c r="N4589" s="95">
        <f ca="1">IF(P4589="Hedge Fund",IF(A4589=Summary!$AD$3,M4589-E4589,M4589),IF(A4589=Summary!$AD$3,L4589-D4589,L4589))</f>
        <v>0</v>
      </c>
      <c r="O4589" s="95"/>
      <c r="P4589" s="107" t="s">
        <v>139</v>
      </c>
      <c r="Q4589" s="107">
        <v>1.5170961304347828E-2</v>
      </c>
      <c r="R4589" s="107">
        <v>0</v>
      </c>
      <c r="S4589" s="107">
        <v>3.0341922608695658E-3</v>
      </c>
      <c r="T4589" s="107">
        <v>0</v>
      </c>
      <c r="U4589" s="107" t="s">
        <v>0</v>
      </c>
      <c r="V4589" s="107">
        <v>3.5212508100000002</v>
      </c>
      <c r="W4589" s="107" t="s">
        <v>15</v>
      </c>
      <c r="X4589" s="107">
        <v>0.32859750000000004</v>
      </c>
      <c r="Y4589" s="107" t="s">
        <v>137</v>
      </c>
      <c r="Z4589" s="107">
        <v>9.2940516899999999</v>
      </c>
      <c r="AA4589" s="107" t="s">
        <v>149</v>
      </c>
      <c r="AB4589" s="107">
        <v>0</v>
      </c>
      <c r="AE4589" s="358"/>
      <c r="AF4589" s="94">
        <f t="shared" si="619"/>
        <v>41274</v>
      </c>
      <c r="AG4589" s="185">
        <f t="shared" ref="AG4589:AG4620" si="624">IF(C4589&lt;&gt;C4588,D4589/G4589-1,(D4589-G4589-I4589-H4589)/(D4588)-1)</f>
        <v>-1</v>
      </c>
      <c r="AH4589" s="339" t="str">
        <f>VLOOKUP(B4589,'MF PF'!A:B,2)</f>
        <v>FdMgt2</v>
      </c>
      <c r="AI4589" s="358">
        <f t="shared" si="620"/>
        <v>0</v>
      </c>
      <c r="AJ4589" s="94">
        <f t="shared" si="621"/>
        <v>41274</v>
      </c>
    </row>
    <row r="4590" spans="1:36" ht="12.75" customHeight="1">
      <c r="A4590" s="8">
        <v>41305</v>
      </c>
      <c r="B4590" s="94" t="s">
        <v>19</v>
      </c>
      <c r="C4590" s="6" t="s">
        <v>297</v>
      </c>
      <c r="D4590" s="98">
        <v>62213438.039310001</v>
      </c>
      <c r="E4590" s="95">
        <f t="shared" si="622"/>
        <v>1244.27</v>
      </c>
      <c r="F4590" s="98"/>
      <c r="G4590" s="98">
        <v>162.95389903336763</v>
      </c>
      <c r="H4590" s="98">
        <v>0</v>
      </c>
      <c r="I4590" s="98">
        <v>0</v>
      </c>
      <c r="J4590" s="98"/>
      <c r="K4590" s="98">
        <v>49999.950203179375</v>
      </c>
      <c r="L4590" s="93">
        <f t="shared" si="617"/>
        <v>162.95389903336763</v>
      </c>
      <c r="M4590" s="95">
        <f t="shared" ca="1" si="618"/>
        <v>0</v>
      </c>
      <c r="N4590" s="95">
        <f ca="1">IF(P4590="Hedge Fund",IF(A4590=Summary!$AD$3,M4590-E4590,M4590),IF(A4590=Summary!$AD$3,L4590-D4590,L4590))</f>
        <v>0</v>
      </c>
      <c r="O4590" s="95"/>
      <c r="P4590" s="107" t="s">
        <v>139</v>
      </c>
      <c r="Q4590" s="107">
        <v>3.3333333333333333E-2</v>
      </c>
      <c r="R4590" s="107">
        <v>0</v>
      </c>
      <c r="S4590" s="107">
        <v>6.6666666666666671E-3</v>
      </c>
      <c r="T4590" s="107">
        <v>0</v>
      </c>
      <c r="U4590" s="107" t="s">
        <v>0</v>
      </c>
      <c r="V4590" s="107">
        <v>3.3333993299999998</v>
      </c>
      <c r="W4590" s="107" t="s">
        <v>15</v>
      </c>
      <c r="X4590" s="107">
        <v>0.3110675</v>
      </c>
      <c r="Y4590" s="107" t="s">
        <v>137</v>
      </c>
      <c r="Z4590" s="107">
        <v>8.7982331699999996</v>
      </c>
      <c r="AA4590" s="107" t="s">
        <v>149</v>
      </c>
      <c r="AB4590" s="107">
        <v>0</v>
      </c>
      <c r="AE4590" s="358"/>
      <c r="AF4590" s="94">
        <f t="shared" si="619"/>
        <v>41305</v>
      </c>
      <c r="AG4590" s="185">
        <f t="shared" si="624"/>
        <v>-5.334794086990946E-2</v>
      </c>
      <c r="AH4590" s="339" t="str">
        <f>VLOOKUP(B4590,'MF PF'!A:B,2)</f>
        <v>FdMgt2</v>
      </c>
      <c r="AI4590" s="358">
        <f t="shared" si="620"/>
        <v>0</v>
      </c>
      <c r="AJ4590" s="94">
        <f t="shared" si="621"/>
        <v>41305</v>
      </c>
    </row>
    <row r="4591" spans="1:36" ht="12.75" customHeight="1">
      <c r="A4591" s="8">
        <v>41333</v>
      </c>
      <c r="B4591" s="94" t="s">
        <v>19</v>
      </c>
      <c r="C4591" s="6" t="s">
        <v>297</v>
      </c>
      <c r="D4591" s="98">
        <v>57041331.74453</v>
      </c>
      <c r="E4591" s="95">
        <f t="shared" si="622"/>
        <v>1140.83</v>
      </c>
      <c r="F4591" s="98"/>
      <c r="G4591" s="98">
        <v>0</v>
      </c>
      <c r="H4591" s="98">
        <v>-111.44576312601566</v>
      </c>
      <c r="I4591" s="98">
        <v>0</v>
      </c>
      <c r="J4591" s="98"/>
      <c r="K4591" s="98">
        <v>49999.852514861988</v>
      </c>
      <c r="L4591" s="93">
        <f t="shared" si="617"/>
        <v>-111.44576312601566</v>
      </c>
      <c r="M4591" s="95">
        <f t="shared" ca="1" si="618"/>
        <v>0</v>
      </c>
      <c r="N4591" s="95">
        <f ca="1">IF(P4591="Hedge Fund",IF(A4591=Summary!$AD$3,M4591-E4591,M4591),IF(A4591=Summary!$AD$3,L4591-D4591,L4591))</f>
        <v>0</v>
      </c>
      <c r="O4591" s="95"/>
      <c r="P4591" s="107" t="s">
        <v>139</v>
      </c>
      <c r="Q4591" s="107">
        <v>3.3333333333333333E-2</v>
      </c>
      <c r="R4591" s="107">
        <v>0</v>
      </c>
      <c r="S4591" s="107">
        <v>6.6666666666666671E-3</v>
      </c>
      <c r="T4591" s="107">
        <v>0</v>
      </c>
      <c r="U4591" s="107" t="s">
        <v>0</v>
      </c>
      <c r="V4591" s="107">
        <v>3.0562835699999997</v>
      </c>
      <c r="W4591" s="107" t="s">
        <v>15</v>
      </c>
      <c r="X4591" s="107">
        <v>0.2852075</v>
      </c>
      <c r="Y4591" s="107" t="s">
        <v>137</v>
      </c>
      <c r="Z4591" s="107">
        <v>8.0668089299999988</v>
      </c>
      <c r="AA4591" s="107" t="s">
        <v>149</v>
      </c>
      <c r="AB4591" s="107">
        <v>0</v>
      </c>
      <c r="AE4591" s="358"/>
      <c r="AF4591" s="94">
        <f t="shared" si="619"/>
        <v>41333</v>
      </c>
      <c r="AG4591" s="185">
        <f t="shared" si="624"/>
        <v>-8.3133082048108542E-2</v>
      </c>
      <c r="AH4591" s="339" t="str">
        <f>VLOOKUP(B4591,'MF PF'!A:B,2)</f>
        <v>FdMgt2</v>
      </c>
      <c r="AI4591" s="358">
        <f t="shared" si="620"/>
        <v>0</v>
      </c>
      <c r="AJ4591" s="94">
        <f t="shared" si="621"/>
        <v>41333</v>
      </c>
    </row>
    <row r="4592" spans="1:36" ht="12.75" customHeight="1">
      <c r="A4592" s="8">
        <v>41361</v>
      </c>
      <c r="B4592" s="94" t="s">
        <v>19</v>
      </c>
      <c r="C4592" s="6" t="s">
        <v>297</v>
      </c>
      <c r="D4592" s="98">
        <v>57321785.130564995</v>
      </c>
      <c r="E4592" s="95">
        <f t="shared" si="622"/>
        <v>1146.44</v>
      </c>
      <c r="F4592" s="98"/>
      <c r="G4592" s="98">
        <v>0</v>
      </c>
      <c r="H4592" s="98">
        <v>-45.786573387682438</v>
      </c>
      <c r="I4592" s="98">
        <v>0</v>
      </c>
      <c r="J4592" s="98"/>
      <c r="K4592" s="98">
        <v>49999.812576816053</v>
      </c>
      <c r="L4592" s="93">
        <f t="shared" si="617"/>
        <v>-45.786573387682438</v>
      </c>
      <c r="M4592" s="95">
        <f t="shared" ca="1" si="618"/>
        <v>0</v>
      </c>
      <c r="N4592" s="95">
        <f ca="1">IF(P4592="Hedge Fund",IF(A4592=Summary!$AD$3,M4592-E4592,M4592),IF(A4592=Summary!$AD$3,L4592-D4592,L4592))</f>
        <v>0</v>
      </c>
      <c r="O4592" s="95"/>
      <c r="P4592" s="107" t="s">
        <v>139</v>
      </c>
      <c r="Q4592" s="107">
        <v>3.3333333333333333E-2</v>
      </c>
      <c r="R4592" s="107">
        <v>0</v>
      </c>
      <c r="S4592" s="107">
        <v>6.6666666666666671E-3</v>
      </c>
      <c r="T4592" s="107">
        <v>0</v>
      </c>
      <c r="U4592" s="107" t="s">
        <v>0</v>
      </c>
      <c r="V4592" s="107">
        <v>3.0713127600000001</v>
      </c>
      <c r="W4592" s="107" t="s">
        <v>15</v>
      </c>
      <c r="X4592" s="107">
        <v>0.28661000000000003</v>
      </c>
      <c r="Y4592" s="107" t="s">
        <v>137</v>
      </c>
      <c r="Z4592" s="107">
        <v>8.1064772400000003</v>
      </c>
      <c r="AA4592" s="107" t="s">
        <v>149</v>
      </c>
      <c r="AB4592" s="107">
        <v>0</v>
      </c>
      <c r="AE4592" s="358"/>
      <c r="AF4592" s="94">
        <f t="shared" si="619"/>
        <v>41361</v>
      </c>
      <c r="AG4592" s="185">
        <f t="shared" si="624"/>
        <v>4.9174723666103315E-3</v>
      </c>
      <c r="AH4592" s="339" t="str">
        <f>VLOOKUP(B4592,'MF PF'!A:B,2)</f>
        <v>FdMgt2</v>
      </c>
      <c r="AI4592" s="358">
        <f t="shared" si="620"/>
        <v>0</v>
      </c>
      <c r="AJ4592" s="94">
        <f t="shared" si="621"/>
        <v>41364</v>
      </c>
    </row>
    <row r="4593" spans="1:36" ht="12.75" customHeight="1">
      <c r="A4593" s="8">
        <v>41394</v>
      </c>
      <c r="B4593" s="94" t="s">
        <v>19</v>
      </c>
      <c r="C4593" s="6" t="s">
        <v>297</v>
      </c>
      <c r="D4593" s="98">
        <v>56000990.289800003</v>
      </c>
      <c r="E4593" s="95">
        <f t="shared" si="622"/>
        <v>1120.02</v>
      </c>
      <c r="F4593" s="98"/>
      <c r="G4593" s="98">
        <v>200.20751448720694</v>
      </c>
      <c r="H4593" s="98">
        <v>0</v>
      </c>
      <c r="I4593" s="98">
        <v>0</v>
      </c>
      <c r="J4593" s="98"/>
      <c r="K4593" s="98">
        <v>49999.991330333389</v>
      </c>
      <c r="L4593" s="93">
        <f t="shared" si="617"/>
        <v>200.20751448720694</v>
      </c>
      <c r="M4593" s="95">
        <f t="shared" ca="1" si="618"/>
        <v>0</v>
      </c>
      <c r="N4593" s="95">
        <f ca="1">IF(P4593="Hedge Fund",IF(A4593=Summary!$AD$3,M4593-E4593,M4593),IF(A4593=Summary!$AD$3,L4593-D4593,L4593))</f>
        <v>0</v>
      </c>
      <c r="O4593" s="95"/>
      <c r="P4593" s="107" t="s">
        <v>139</v>
      </c>
      <c r="Q4593" s="107">
        <v>3.3333333333333333E-2</v>
      </c>
      <c r="R4593" s="107">
        <v>0</v>
      </c>
      <c r="S4593" s="107">
        <v>6.6666666666666671E-3</v>
      </c>
      <c r="T4593" s="107">
        <v>0</v>
      </c>
      <c r="U4593" s="107" t="s">
        <v>0</v>
      </c>
      <c r="V4593" s="107">
        <v>3.0005335799999999</v>
      </c>
      <c r="W4593" s="107" t="s">
        <v>15</v>
      </c>
      <c r="X4593" s="107">
        <v>0.280005</v>
      </c>
      <c r="Y4593" s="107" t="s">
        <v>137</v>
      </c>
      <c r="Z4593" s="107">
        <v>7.9196614199999997</v>
      </c>
      <c r="AA4593" s="107" t="s">
        <v>149</v>
      </c>
      <c r="AB4593" s="107">
        <v>0</v>
      </c>
      <c r="AE4593" s="358"/>
      <c r="AF4593" s="94">
        <f t="shared" si="619"/>
        <v>41394</v>
      </c>
      <c r="AG4593" s="185">
        <f t="shared" si="624"/>
        <v>-2.3045253131432908E-2</v>
      </c>
      <c r="AH4593" s="339" t="str">
        <f>VLOOKUP(B4593,'MF PF'!A:B,2)</f>
        <v>FdMgt2</v>
      </c>
      <c r="AI4593" s="358">
        <f t="shared" si="620"/>
        <v>0</v>
      </c>
      <c r="AJ4593" s="94">
        <f t="shared" si="621"/>
        <v>41394</v>
      </c>
    </row>
    <row r="4594" spans="1:36" ht="12.75" customHeight="1">
      <c r="A4594" s="8">
        <v>41425</v>
      </c>
      <c r="B4594" s="94" t="s">
        <v>19</v>
      </c>
      <c r="C4594" s="6" t="s">
        <v>297</v>
      </c>
      <c r="D4594" s="98">
        <v>56809260.847825803</v>
      </c>
      <c r="E4594" s="95">
        <f t="shared" si="622"/>
        <v>1136.19</v>
      </c>
      <c r="F4594" s="98"/>
      <c r="G4594" s="98">
        <v>0</v>
      </c>
      <c r="H4594" s="98">
        <v>-229.30178569257259</v>
      </c>
      <c r="I4594" s="98">
        <v>0</v>
      </c>
      <c r="J4594" s="98"/>
      <c r="K4594" s="98">
        <v>49999.789513924436</v>
      </c>
      <c r="L4594" s="93">
        <f t="shared" si="617"/>
        <v>-229.30178569257259</v>
      </c>
      <c r="M4594" s="95">
        <f t="shared" ca="1" si="618"/>
        <v>0</v>
      </c>
      <c r="N4594" s="95">
        <f ca="1">IF(P4594="Hedge Fund",IF(A4594=Summary!$AD$3,M4594-E4594,M4594),IF(A4594=Summary!$AD$3,L4594-D4594,L4594))</f>
        <v>0</v>
      </c>
      <c r="O4594" s="95"/>
      <c r="P4594" s="107" t="s">
        <v>139</v>
      </c>
      <c r="Q4594" s="107">
        <v>3.3333333333333333E-2</v>
      </c>
      <c r="R4594" s="107">
        <v>0</v>
      </c>
      <c r="S4594" s="107">
        <v>6.6666666666666671E-3</v>
      </c>
      <c r="T4594" s="107">
        <v>0</v>
      </c>
      <c r="U4594" s="107" t="s">
        <v>0</v>
      </c>
      <c r="V4594" s="107">
        <v>3.0438530100000003</v>
      </c>
      <c r="W4594" s="107" t="s">
        <v>15</v>
      </c>
      <c r="X4594" s="107">
        <v>0.28404750000000001</v>
      </c>
      <c r="Y4594" s="107" t="s">
        <v>137</v>
      </c>
      <c r="Z4594" s="107">
        <v>8.0339994900000011</v>
      </c>
      <c r="AA4594" s="107" t="s">
        <v>149</v>
      </c>
      <c r="AB4594" s="107">
        <v>0</v>
      </c>
      <c r="AE4594" s="358"/>
      <c r="AF4594" s="94">
        <f t="shared" si="619"/>
        <v>41425</v>
      </c>
      <c r="AG4594" s="185">
        <f t="shared" si="624"/>
        <v>1.4437242192103739E-2</v>
      </c>
      <c r="AH4594" s="339" t="str">
        <f>VLOOKUP(B4594,'MF PF'!A:B,2)</f>
        <v>FdMgt2</v>
      </c>
      <c r="AI4594" s="358">
        <f t="shared" si="620"/>
        <v>0</v>
      </c>
      <c r="AJ4594" s="94">
        <f t="shared" si="621"/>
        <v>41425</v>
      </c>
    </row>
    <row r="4595" spans="1:36" ht="12.75" customHeight="1">
      <c r="A4595" s="8">
        <v>41453</v>
      </c>
      <c r="B4595" s="94" t="s">
        <v>19</v>
      </c>
      <c r="C4595" s="6" t="s">
        <v>297</v>
      </c>
      <c r="D4595" s="98">
        <v>55882347.575962074</v>
      </c>
      <c r="E4595" s="9">
        <f t="shared" si="622"/>
        <v>1117.6500000000001</v>
      </c>
      <c r="F4595" s="98"/>
      <c r="G4595" s="98">
        <v>82.825724422931671</v>
      </c>
      <c r="H4595" s="98">
        <v>0</v>
      </c>
      <c r="I4595" s="98">
        <v>0</v>
      </c>
      <c r="J4595" s="98"/>
      <c r="K4595" s="98">
        <v>49999.863620956537</v>
      </c>
      <c r="L4595" s="93">
        <f t="shared" si="617"/>
        <v>82.825724422931671</v>
      </c>
      <c r="M4595" s="95">
        <f t="shared" ca="1" si="618"/>
        <v>0</v>
      </c>
      <c r="N4595" s="95">
        <f ca="1">IF(P4595="Hedge Fund",IF(A4595=Summary!$AD$3,M4595-E4595,M4595),IF(A4595=Summary!$AD$3,L4595-D4595,L4595))</f>
        <v>0</v>
      </c>
      <c r="O4595" s="95"/>
      <c r="P4595" s="107" t="s">
        <v>139</v>
      </c>
      <c r="Q4595" s="107">
        <v>3.3333333333333333E-2</v>
      </c>
      <c r="R4595" s="107">
        <v>0</v>
      </c>
      <c r="S4595" s="107">
        <v>6.6666666666666671E-3</v>
      </c>
      <c r="T4595" s="107">
        <v>0</v>
      </c>
      <c r="U4595" s="107" t="s">
        <v>0</v>
      </c>
      <c r="V4595" s="107">
        <v>2.9941843500000003</v>
      </c>
      <c r="W4595" s="107" t="s">
        <v>15</v>
      </c>
      <c r="X4595" s="107">
        <v>0.27941250000000001</v>
      </c>
      <c r="Y4595" s="107" t="s">
        <v>137</v>
      </c>
      <c r="Z4595" s="107">
        <v>7.902903150000002</v>
      </c>
      <c r="AA4595" s="107" t="s">
        <v>149</v>
      </c>
      <c r="AB4595" s="107">
        <v>0</v>
      </c>
      <c r="AE4595" s="358"/>
      <c r="AF4595" s="94">
        <f t="shared" si="619"/>
        <v>41453</v>
      </c>
      <c r="AG4595" s="185">
        <f t="shared" si="624"/>
        <v>-1.6317693343542716E-2</v>
      </c>
      <c r="AH4595" s="339" t="str">
        <f>VLOOKUP(B4595,'MF PF'!A:B,2)</f>
        <v>FdMgt2</v>
      </c>
      <c r="AI4595" s="358">
        <f t="shared" si="620"/>
        <v>0</v>
      </c>
      <c r="AJ4595" s="94">
        <f t="shared" si="621"/>
        <v>41455</v>
      </c>
    </row>
    <row r="4596" spans="1:36" ht="12.75" customHeight="1">
      <c r="A4596" s="8">
        <v>41486</v>
      </c>
      <c r="B4596" s="94" t="s">
        <v>19</v>
      </c>
      <c r="C4596" s="6" t="s">
        <v>297</v>
      </c>
      <c r="D4596" s="98">
        <v>51967128.741489731</v>
      </c>
      <c r="E4596" s="9">
        <f t="shared" si="622"/>
        <v>1039.3399999999999</v>
      </c>
      <c r="F4596" s="98"/>
      <c r="G4596" s="98">
        <v>270.48568476736546</v>
      </c>
      <c r="H4596" s="98">
        <v>0</v>
      </c>
      <c r="I4596" s="98">
        <v>0</v>
      </c>
      <c r="J4596" s="98"/>
      <c r="K4596" s="98">
        <v>50000.123868502829</v>
      </c>
      <c r="L4596" s="93">
        <f t="shared" si="617"/>
        <v>270.48568476736546</v>
      </c>
      <c r="M4596" s="95">
        <f t="shared" ca="1" si="618"/>
        <v>0</v>
      </c>
      <c r="N4596" s="95">
        <f ca="1">IF(P4596="Hedge Fund",IF(A4596=Summary!$AD$3,M4596-E4596,M4596),IF(A4596=Summary!$AD$3,L4596-D4596,L4596))</f>
        <v>0</v>
      </c>
      <c r="O4596" s="95"/>
      <c r="P4596" s="107" t="s">
        <v>139</v>
      </c>
      <c r="Q4596" s="107">
        <v>3.3333333333333333E-2</v>
      </c>
      <c r="R4596" s="107">
        <v>0</v>
      </c>
      <c r="S4596" s="107">
        <v>6.6666666666666671E-3</v>
      </c>
      <c r="T4596" s="107">
        <v>0</v>
      </c>
      <c r="U4596" s="107" t="s">
        <v>0</v>
      </c>
      <c r="V4596" s="107">
        <v>2.7843918599999999</v>
      </c>
      <c r="W4596" s="107" t="s">
        <v>15</v>
      </c>
      <c r="X4596" s="107">
        <v>0.25983499999999998</v>
      </c>
      <c r="Y4596" s="107" t="s">
        <v>137</v>
      </c>
      <c r="Z4596" s="107">
        <v>7.3491731400000004</v>
      </c>
      <c r="AA4596" s="107" t="s">
        <v>149</v>
      </c>
      <c r="AB4596" s="107">
        <v>0</v>
      </c>
      <c r="AE4596" s="358"/>
      <c r="AF4596" s="94">
        <f t="shared" si="619"/>
        <v>41486</v>
      </c>
      <c r="AG4596" s="185">
        <f t="shared" si="624"/>
        <v>-7.0066657719321856E-2</v>
      </c>
      <c r="AH4596" s="339" t="str">
        <f>VLOOKUP(B4596,'MF PF'!A:B,2)</f>
        <v>FdMgt2</v>
      </c>
      <c r="AI4596" s="358">
        <f t="shared" si="620"/>
        <v>0</v>
      </c>
      <c r="AJ4596" s="94">
        <f t="shared" si="621"/>
        <v>41486</v>
      </c>
    </row>
    <row r="4597" spans="1:36" ht="12.75" customHeight="1">
      <c r="A4597" s="8">
        <v>41516</v>
      </c>
      <c r="B4597" s="94" t="s">
        <v>19</v>
      </c>
      <c r="C4597" s="6" t="s">
        <v>297</v>
      </c>
      <c r="D4597" s="98">
        <v>51496411.199453689</v>
      </c>
      <c r="E4597" s="9">
        <f t="shared" si="622"/>
        <v>1029.9300000000003</v>
      </c>
      <c r="F4597" s="98"/>
      <c r="G4597" s="98">
        <v>0</v>
      </c>
      <c r="H4597" s="98">
        <v>-216.37643344700336</v>
      </c>
      <c r="I4597" s="98">
        <v>0</v>
      </c>
      <c r="J4597" s="98"/>
      <c r="K4597" s="98">
        <v>49999.913780017749</v>
      </c>
      <c r="L4597" s="93">
        <f t="shared" si="617"/>
        <v>-216.37643344700336</v>
      </c>
      <c r="M4597" s="95">
        <f t="shared" ca="1" si="618"/>
        <v>0</v>
      </c>
      <c r="N4597" s="95">
        <f ca="1">IF(P4597="Hedge Fund",IF(A4597=Summary!$AD$3,M4597-E4597,M4597),IF(A4597=Summary!$AD$3,L4597-D4597,L4597))</f>
        <v>0</v>
      </c>
      <c r="O4597" s="95"/>
      <c r="P4597" s="107" t="s">
        <v>139</v>
      </c>
      <c r="Q4597" s="107">
        <v>3.3333333333333333E-2</v>
      </c>
      <c r="R4597" s="107">
        <v>0</v>
      </c>
      <c r="S4597" s="107">
        <v>6.6666666666666671E-3</v>
      </c>
      <c r="T4597" s="107">
        <v>0</v>
      </c>
      <c r="U4597" s="107" t="s">
        <v>0</v>
      </c>
      <c r="V4597" s="107">
        <v>2.7591824700000003</v>
      </c>
      <c r="W4597" s="107" t="s">
        <v>15</v>
      </c>
      <c r="X4597" s="107">
        <v>0.2574825</v>
      </c>
      <c r="Y4597" s="107" t="s">
        <v>137</v>
      </c>
      <c r="Z4597" s="107">
        <v>7.2826350300000016</v>
      </c>
      <c r="AA4597" s="107" t="s">
        <v>149</v>
      </c>
      <c r="AB4597" s="107">
        <v>0</v>
      </c>
      <c r="AE4597" s="358"/>
      <c r="AF4597" s="94">
        <f t="shared" si="619"/>
        <v>41516</v>
      </c>
      <c r="AG4597" s="185">
        <f t="shared" si="624"/>
        <v>-9.0538226181996473E-3</v>
      </c>
      <c r="AH4597" s="339" t="str">
        <f>VLOOKUP(B4597,'MF PF'!A:B,2)</f>
        <v>FdMgt2</v>
      </c>
      <c r="AI4597" s="358">
        <f t="shared" si="620"/>
        <v>0</v>
      </c>
      <c r="AJ4597" s="94">
        <f t="shared" si="621"/>
        <v>41517</v>
      </c>
    </row>
    <row r="4598" spans="1:36" ht="12.75" customHeight="1">
      <c r="A4598" s="8">
        <v>41547</v>
      </c>
      <c r="B4598" s="94" t="s">
        <v>19</v>
      </c>
      <c r="C4598" s="6" t="s">
        <v>297</v>
      </c>
      <c r="D4598" s="98">
        <v>56652346.486825034</v>
      </c>
      <c r="E4598" s="9">
        <f t="shared" si="622"/>
        <v>1133.05</v>
      </c>
      <c r="F4598" s="98"/>
      <c r="G4598" s="98">
        <v>0</v>
      </c>
      <c r="H4598" s="98">
        <v>-55.82162407040596</v>
      </c>
      <c r="I4598" s="98">
        <v>0</v>
      </c>
      <c r="J4598" s="98"/>
      <c r="K4598" s="98">
        <v>49999.864513326895</v>
      </c>
      <c r="L4598" s="93">
        <f t="shared" si="617"/>
        <v>-55.82162407040596</v>
      </c>
      <c r="M4598" s="95">
        <f t="shared" ca="1" si="618"/>
        <v>0</v>
      </c>
      <c r="N4598" s="95">
        <f ca="1">IF(P4598="Hedge Fund",IF(A4598=Summary!$AD$3,M4598-E4598,M4598),IF(A4598=Summary!$AD$3,L4598-D4598,L4598))</f>
        <v>0</v>
      </c>
      <c r="O4598" s="95"/>
      <c r="P4598" s="107" t="s">
        <v>139</v>
      </c>
      <c r="Q4598" s="107">
        <v>3.3333333333333333E-2</v>
      </c>
      <c r="R4598" s="107">
        <v>0</v>
      </c>
      <c r="S4598" s="107">
        <v>6.6666666666666671E-3</v>
      </c>
      <c r="T4598" s="107">
        <v>0</v>
      </c>
      <c r="U4598" s="107" t="s">
        <v>0</v>
      </c>
      <c r="V4598" s="107">
        <v>3.0354409499999999</v>
      </c>
      <c r="W4598" s="107" t="s">
        <v>15</v>
      </c>
      <c r="X4598" s="107">
        <v>0.28326249999999997</v>
      </c>
      <c r="Y4598" s="107" t="s">
        <v>137</v>
      </c>
      <c r="Z4598" s="107">
        <v>8.0117965500000015</v>
      </c>
      <c r="AA4598" s="107" t="s">
        <v>149</v>
      </c>
      <c r="AB4598" s="107">
        <v>0</v>
      </c>
      <c r="AE4598" s="358"/>
      <c r="AF4598" s="94">
        <f t="shared" si="619"/>
        <v>41547</v>
      </c>
      <c r="AG4598" s="185">
        <f t="shared" si="624"/>
        <v>0.10012330935112068</v>
      </c>
      <c r="AH4598" s="339" t="str">
        <f>VLOOKUP(B4598,'MF PF'!A:B,2)</f>
        <v>FdMgt2</v>
      </c>
      <c r="AI4598" s="358">
        <f t="shared" si="620"/>
        <v>0</v>
      </c>
      <c r="AJ4598" s="94">
        <f t="shared" si="621"/>
        <v>41547</v>
      </c>
    </row>
    <row r="4599" spans="1:36" ht="12.75" customHeight="1">
      <c r="A4599" s="8">
        <v>41578</v>
      </c>
      <c r="B4599" s="94" t="s">
        <v>19</v>
      </c>
      <c r="C4599" s="6" t="s">
        <v>297</v>
      </c>
      <c r="D4599" s="98">
        <v>59214739.683031447</v>
      </c>
      <c r="E4599" s="9">
        <f t="shared" si="622"/>
        <v>1184.29</v>
      </c>
      <c r="F4599" s="98"/>
      <c r="G4599" s="98">
        <v>400.13854353874922</v>
      </c>
      <c r="H4599" s="98">
        <v>0</v>
      </c>
      <c r="I4599" s="98">
        <v>0</v>
      </c>
      <c r="J4599" s="98"/>
      <c r="K4599" s="98">
        <v>50000.202385422024</v>
      </c>
      <c r="L4599" s="93">
        <f t="shared" si="617"/>
        <v>400.13854353874922</v>
      </c>
      <c r="M4599" s="95">
        <f t="shared" ca="1" si="618"/>
        <v>0</v>
      </c>
      <c r="N4599" s="95">
        <f ca="1">IF(P4599="Hedge Fund",IF(A4599=Summary!$AD$3,M4599-E4599,M4599),IF(A4599=Summary!$AD$3,L4599-D4599,L4599))</f>
        <v>0</v>
      </c>
      <c r="O4599" s="95"/>
      <c r="P4599" s="107" t="s">
        <v>139</v>
      </c>
      <c r="Q4599" s="107">
        <v>3.3333333333333333E-2</v>
      </c>
      <c r="R4599" s="107">
        <v>0</v>
      </c>
      <c r="S4599" s="107">
        <v>6.6666666666666671E-3</v>
      </c>
      <c r="T4599" s="107">
        <v>0</v>
      </c>
      <c r="U4599" s="107" t="s">
        <v>0</v>
      </c>
      <c r="V4599" s="107">
        <v>3.17271291</v>
      </c>
      <c r="W4599" s="107" t="s">
        <v>15</v>
      </c>
      <c r="X4599" s="107">
        <v>0.29607250000000002</v>
      </c>
      <c r="Y4599" s="107" t="s">
        <v>137</v>
      </c>
      <c r="Z4599" s="107">
        <v>8.3741145900000014</v>
      </c>
      <c r="AA4599" s="107" t="s">
        <v>149</v>
      </c>
      <c r="AB4599" s="107">
        <v>0</v>
      </c>
      <c r="AE4599" s="358"/>
      <c r="AF4599" s="94">
        <f t="shared" si="619"/>
        <v>41578</v>
      </c>
      <c r="AG4599" s="185">
        <f t="shared" si="624"/>
        <v>4.5223070473500826E-2</v>
      </c>
      <c r="AH4599" s="339" t="str">
        <f>VLOOKUP(B4599,'MF PF'!A:B,2)</f>
        <v>FdMgt2</v>
      </c>
      <c r="AI4599" s="358">
        <f t="shared" si="620"/>
        <v>0</v>
      </c>
      <c r="AJ4599" s="94">
        <f t="shared" si="621"/>
        <v>41578</v>
      </c>
    </row>
    <row r="4600" spans="1:36" ht="12.75" customHeight="1">
      <c r="A4600" s="8">
        <v>41607</v>
      </c>
      <c r="B4600" s="94" t="s">
        <v>19</v>
      </c>
      <c r="C4600" s="6" t="s">
        <v>297</v>
      </c>
      <c r="D4600" s="98">
        <v>57274374.746451333</v>
      </c>
      <c r="E4600" s="9">
        <f t="shared" si="622"/>
        <v>1145.49</v>
      </c>
      <c r="F4600" s="98"/>
      <c r="G4600" s="98">
        <v>0</v>
      </c>
      <c r="H4600" s="98">
        <v>-357.08402574062347</v>
      </c>
      <c r="I4600" s="98">
        <v>0</v>
      </c>
      <c r="J4600" s="98"/>
      <c r="K4600" s="98">
        <v>49999.890655048352</v>
      </c>
      <c r="L4600" s="93">
        <f t="shared" si="617"/>
        <v>-357.08402574062347</v>
      </c>
      <c r="M4600" s="95">
        <f t="shared" ca="1" si="618"/>
        <v>0</v>
      </c>
      <c r="N4600" s="95">
        <f ca="1">IF(P4600="Hedge Fund",IF(A4600=Summary!$AD$3,M4600-E4600,M4600),IF(A4600=Summary!$AD$3,L4600-D4600,L4600))</f>
        <v>0</v>
      </c>
      <c r="O4600" s="95"/>
      <c r="P4600" s="107" t="s">
        <v>139</v>
      </c>
      <c r="Q4600" s="107">
        <v>3.3333333333333333E-2</v>
      </c>
      <c r="R4600" s="107">
        <v>0</v>
      </c>
      <c r="S4600" s="107">
        <v>6.6666666666666671E-3</v>
      </c>
      <c r="T4600" s="107">
        <v>0</v>
      </c>
      <c r="U4600" s="107" t="s">
        <v>0</v>
      </c>
      <c r="V4600" s="107">
        <v>3.0687677099999999</v>
      </c>
      <c r="W4600" s="107" t="s">
        <v>15</v>
      </c>
      <c r="X4600" s="107">
        <v>0.28637250000000003</v>
      </c>
      <c r="Y4600" s="107" t="s">
        <v>137</v>
      </c>
      <c r="Z4600" s="107">
        <v>8.099759790000002</v>
      </c>
      <c r="AA4600" s="107" t="s">
        <v>149</v>
      </c>
      <c r="AB4600" s="107">
        <v>0</v>
      </c>
      <c r="AE4600" s="358"/>
      <c r="AF4600" s="94">
        <f t="shared" si="619"/>
        <v>41607</v>
      </c>
      <c r="AG4600" s="185">
        <f t="shared" si="624"/>
        <v>-3.2762245733730766E-2</v>
      </c>
      <c r="AH4600" s="339" t="str">
        <f>VLOOKUP(B4600,'MF PF'!A:B,2)</f>
        <v>FdMgt2</v>
      </c>
      <c r="AI4600" s="358">
        <f t="shared" si="620"/>
        <v>0</v>
      </c>
      <c r="AJ4600" s="94">
        <f t="shared" si="621"/>
        <v>41608</v>
      </c>
    </row>
    <row r="4601" spans="1:36" ht="12.75" customHeight="1">
      <c r="A4601" s="8">
        <v>41639</v>
      </c>
      <c r="B4601" s="94" t="s">
        <v>19</v>
      </c>
      <c r="C4601" s="6" t="s">
        <v>297</v>
      </c>
      <c r="D4601" s="98">
        <v>62937256.873457022</v>
      </c>
      <c r="E4601" s="9">
        <f t="shared" si="622"/>
        <v>1258.7499999999998</v>
      </c>
      <c r="F4601" s="98"/>
      <c r="G4601" s="98">
        <v>0</v>
      </c>
      <c r="H4601" s="98">
        <v>-105.48858507722616</v>
      </c>
      <c r="I4601" s="98">
        <v>0</v>
      </c>
      <c r="J4601" s="98"/>
      <c r="K4601" s="98">
        <v>49999.806850809953</v>
      </c>
      <c r="L4601" s="93">
        <f t="shared" si="617"/>
        <v>-105.48858507722616</v>
      </c>
      <c r="M4601" s="95">
        <f t="shared" ca="1" si="618"/>
        <v>0</v>
      </c>
      <c r="N4601" s="95">
        <f ca="1">IF(P4601="Hedge Fund",IF(A4601=Summary!$AD$3,M4601-E4601,M4601),IF(A4601=Summary!$AD$3,L4601-D4601,L4601))</f>
        <v>0</v>
      </c>
      <c r="O4601" s="95"/>
      <c r="P4601" s="107" t="s">
        <v>139</v>
      </c>
      <c r="Q4601" s="107">
        <v>3.3333333333333333E-2</v>
      </c>
      <c r="R4601" s="107">
        <v>0</v>
      </c>
      <c r="S4601" s="107">
        <v>6.6666666666666671E-3</v>
      </c>
      <c r="T4601" s="107">
        <v>0</v>
      </c>
      <c r="U4601" s="107" t="s">
        <v>0</v>
      </c>
      <c r="V4601" s="107">
        <v>3.3721912499999998</v>
      </c>
      <c r="W4601" s="107" t="s">
        <v>15</v>
      </c>
      <c r="X4601" s="107">
        <v>0.31468750000000001</v>
      </c>
      <c r="Y4601" s="107" t="s">
        <v>137</v>
      </c>
      <c r="Z4601" s="107">
        <v>8.9006212500000021</v>
      </c>
      <c r="AA4601" s="107" t="s">
        <v>149</v>
      </c>
      <c r="AB4601" s="107">
        <v>0</v>
      </c>
      <c r="AE4601" s="358"/>
      <c r="AF4601" s="94">
        <f t="shared" si="619"/>
        <v>41639</v>
      </c>
      <c r="AG4601" s="185">
        <f t="shared" si="624"/>
        <v>9.8874717369858978E-2</v>
      </c>
      <c r="AH4601" s="339" t="str">
        <f>VLOOKUP(B4601,'MF PF'!A:B,2)</f>
        <v>FdMgt2</v>
      </c>
      <c r="AI4601" s="358">
        <f t="shared" si="620"/>
        <v>0</v>
      </c>
      <c r="AJ4601" s="94">
        <f t="shared" si="621"/>
        <v>41639</v>
      </c>
    </row>
    <row r="4602" spans="1:36" ht="12.75" customHeight="1">
      <c r="A4602" s="8">
        <v>41669</v>
      </c>
      <c r="B4602" s="94" t="s">
        <v>19</v>
      </c>
      <c r="C4602" s="6" t="s">
        <v>297</v>
      </c>
      <c r="D4602" s="98">
        <v>69559589.841135517</v>
      </c>
      <c r="E4602" s="9">
        <f t="shared" si="622"/>
        <v>1391.19</v>
      </c>
      <c r="F4602" s="98"/>
      <c r="G4602" s="98">
        <v>358.54835721850395</v>
      </c>
      <c r="H4602" s="98">
        <v>0</v>
      </c>
      <c r="I4602" s="98">
        <v>0</v>
      </c>
      <c r="J4602" s="98"/>
      <c r="K4602" s="98">
        <v>50000.064578623707</v>
      </c>
      <c r="L4602" s="93">
        <f t="shared" si="617"/>
        <v>358.54835721850395</v>
      </c>
      <c r="M4602" s="95">
        <f t="shared" ca="1" si="618"/>
        <v>0</v>
      </c>
      <c r="N4602" s="95">
        <f ca="1">IF(P4602="Hedge Fund",IF(A4602=Summary!$AD$3,M4602-E4602,M4602),IF(A4602=Summary!$AD$3,L4602-D4602,L4602))</f>
        <v>0</v>
      </c>
      <c r="O4602" s="95"/>
      <c r="P4602" s="107" t="s">
        <v>139</v>
      </c>
      <c r="Q4602" s="107">
        <v>3.3333333333333333E-2</v>
      </c>
      <c r="R4602" s="107">
        <v>0</v>
      </c>
      <c r="S4602" s="107">
        <v>6.6666666666666671E-3</v>
      </c>
      <c r="T4602" s="107">
        <v>0</v>
      </c>
      <c r="U4602" s="107" t="s">
        <v>0</v>
      </c>
      <c r="V4602" s="107">
        <v>3.72699801</v>
      </c>
      <c r="W4602" s="107" t="s">
        <v>15</v>
      </c>
      <c r="X4602" s="107">
        <v>0.34779750000000004</v>
      </c>
      <c r="Y4602" s="107" t="s">
        <v>137</v>
      </c>
      <c r="Z4602" s="107">
        <v>9.8371044900000033</v>
      </c>
      <c r="AA4602" s="107" t="s">
        <v>149</v>
      </c>
      <c r="AB4602" s="107">
        <v>0</v>
      </c>
      <c r="AE4602" s="358"/>
      <c r="AF4602" s="94">
        <f t="shared" si="619"/>
        <v>41669</v>
      </c>
      <c r="AG4602" s="185">
        <f t="shared" si="624"/>
        <v>0.1052154915590866</v>
      </c>
      <c r="AH4602" s="339" t="str">
        <f>VLOOKUP(B4602,'MF PF'!A:B,2)</f>
        <v>FdMgt2</v>
      </c>
      <c r="AI4602" s="358">
        <f t="shared" si="620"/>
        <v>0</v>
      </c>
      <c r="AJ4602" s="94">
        <f t="shared" si="621"/>
        <v>41670</v>
      </c>
    </row>
    <row r="4603" spans="1:36" ht="12.75" customHeight="1">
      <c r="A4603" s="8">
        <v>41698</v>
      </c>
      <c r="B4603" s="94" t="s">
        <v>19</v>
      </c>
      <c r="C4603" s="6" t="s">
        <v>297</v>
      </c>
      <c r="D4603" s="98">
        <v>71305982.316969454</v>
      </c>
      <c r="E4603" s="9">
        <f t="shared" si="622"/>
        <v>1426.1200000000001</v>
      </c>
      <c r="F4603" s="98"/>
      <c r="G4603" s="98">
        <v>0</v>
      </c>
      <c r="H4603" s="98">
        <v>-109.77989739179611</v>
      </c>
      <c r="I4603" s="98">
        <v>0</v>
      </c>
      <c r="J4603" s="98"/>
      <c r="K4603" s="98">
        <v>49999.987600601249</v>
      </c>
      <c r="L4603" s="93">
        <f t="shared" si="617"/>
        <v>-109.77989739179611</v>
      </c>
      <c r="M4603" s="95">
        <f t="shared" ca="1" si="618"/>
        <v>0</v>
      </c>
      <c r="N4603" s="95">
        <f ca="1">IF(P4603="Hedge Fund",IF(A4603=Summary!$AD$3,M4603-E4603,M4603),IF(A4603=Summary!$AD$3,L4603-D4603,L4603))</f>
        <v>0</v>
      </c>
      <c r="O4603" s="95"/>
      <c r="P4603" s="107" t="s">
        <v>139</v>
      </c>
      <c r="Q4603" s="107">
        <v>3.3333333333333333E-2</v>
      </c>
      <c r="R4603" s="107">
        <v>0</v>
      </c>
      <c r="S4603" s="107">
        <v>6.6666666666666671E-3</v>
      </c>
      <c r="T4603" s="107">
        <v>0</v>
      </c>
      <c r="U4603" s="107" t="s">
        <v>0</v>
      </c>
      <c r="V4603" s="107">
        <v>3.8205754799999996</v>
      </c>
      <c r="W4603" s="107" t="s">
        <v>15</v>
      </c>
      <c r="X4603" s="107">
        <v>0.35652999999999996</v>
      </c>
      <c r="Y4603" s="107" t="s">
        <v>137</v>
      </c>
      <c r="Z4603" s="107">
        <v>10.084094520000003</v>
      </c>
      <c r="AA4603" s="107" t="s">
        <v>149</v>
      </c>
      <c r="AB4603" s="107">
        <v>0</v>
      </c>
      <c r="AE4603" s="358"/>
      <c r="AF4603" s="94">
        <f t="shared" si="619"/>
        <v>41698</v>
      </c>
      <c r="AG4603" s="185">
        <f t="shared" si="624"/>
        <v>2.5108001063837371E-2</v>
      </c>
      <c r="AH4603" s="339" t="str">
        <f>VLOOKUP(B4603,'MF PF'!A:B,2)</f>
        <v>FdMgt2</v>
      </c>
      <c r="AI4603" s="358">
        <f t="shared" si="620"/>
        <v>0</v>
      </c>
      <c r="AJ4603" s="94">
        <f t="shared" si="621"/>
        <v>41698</v>
      </c>
    </row>
    <row r="4604" spans="1:36" ht="12.75" customHeight="1">
      <c r="A4604" s="8">
        <v>41729</v>
      </c>
      <c r="B4604" s="94" t="s">
        <v>19</v>
      </c>
      <c r="C4604" s="6" t="s">
        <v>297</v>
      </c>
      <c r="D4604" s="98">
        <v>67879116.421086162</v>
      </c>
      <c r="E4604" s="9">
        <f t="shared" si="622"/>
        <v>1357.58</v>
      </c>
      <c r="F4604" s="98"/>
      <c r="G4604" s="98">
        <v>133.25426192581654</v>
      </c>
      <c r="H4604" s="98">
        <v>0</v>
      </c>
      <c r="I4604" s="98">
        <v>0</v>
      </c>
      <c r="J4604" s="98"/>
      <c r="K4604" s="98">
        <v>50000.085756335662</v>
      </c>
      <c r="L4604" s="93">
        <f t="shared" si="617"/>
        <v>133.25426192581654</v>
      </c>
      <c r="M4604" s="95">
        <f t="shared" ca="1" si="618"/>
        <v>0</v>
      </c>
      <c r="N4604" s="95">
        <f ca="1">IF(P4604="Hedge Fund",IF(A4604=Summary!$AD$3,M4604-E4604,M4604),IF(A4604=Summary!$AD$3,L4604-D4604,L4604))</f>
        <v>0</v>
      </c>
      <c r="O4604" s="95"/>
      <c r="P4604" s="107" t="s">
        <v>139</v>
      </c>
      <c r="Q4604" s="107">
        <v>3.3333333333333333E-2</v>
      </c>
      <c r="R4604" s="107">
        <v>0</v>
      </c>
      <c r="S4604" s="107">
        <v>6.6666666666666671E-3</v>
      </c>
      <c r="T4604" s="107">
        <v>0</v>
      </c>
      <c r="U4604" s="107" t="s">
        <v>0</v>
      </c>
      <c r="V4604" s="107">
        <v>3.6369568199999995</v>
      </c>
      <c r="W4604" s="107" t="s">
        <v>15</v>
      </c>
      <c r="X4604" s="107">
        <v>0.339395</v>
      </c>
      <c r="Y4604" s="107" t="s">
        <v>137</v>
      </c>
      <c r="Z4604" s="107">
        <v>9.5994481800000031</v>
      </c>
      <c r="AA4604" s="107" t="s">
        <v>149</v>
      </c>
      <c r="AB4604" s="107">
        <v>0</v>
      </c>
      <c r="AE4604" s="358"/>
      <c r="AF4604" s="94">
        <f t="shared" si="619"/>
        <v>41729</v>
      </c>
      <c r="AG4604" s="185">
        <f t="shared" si="624"/>
        <v>-4.8060471769556634E-2</v>
      </c>
      <c r="AH4604" s="339" t="str">
        <f>VLOOKUP(B4604,'MF PF'!A:B,2)</f>
        <v>FdMgt2</v>
      </c>
      <c r="AI4604" s="358">
        <f t="shared" si="620"/>
        <v>0</v>
      </c>
      <c r="AJ4604" s="94">
        <f t="shared" si="621"/>
        <v>41729</v>
      </c>
    </row>
    <row r="4605" spans="1:36" ht="12.75" customHeight="1">
      <c r="A4605" s="8">
        <v>41759</v>
      </c>
      <c r="B4605" s="94" t="s">
        <v>19</v>
      </c>
      <c r="C4605" s="6" t="s">
        <v>297</v>
      </c>
      <c r="D4605" s="98">
        <v>63560487.165880002</v>
      </c>
      <c r="E4605" s="9">
        <f t="shared" si="622"/>
        <v>1271.21</v>
      </c>
      <c r="F4605" s="98"/>
      <c r="G4605" s="98">
        <v>0</v>
      </c>
      <c r="H4605" s="98">
        <v>-121.84843145310879</v>
      </c>
      <c r="I4605" s="98">
        <v>0</v>
      </c>
      <c r="J4605" s="98"/>
      <c r="K4605" s="98">
        <v>49999.989904012713</v>
      </c>
      <c r="L4605" s="93">
        <f t="shared" si="617"/>
        <v>-121.84843145310879</v>
      </c>
      <c r="M4605" s="95">
        <f t="shared" ca="1" si="618"/>
        <v>0</v>
      </c>
      <c r="N4605" s="95">
        <f ca="1">IF(P4605="Hedge Fund",IF(A4605=Summary!$AD$3,M4605-E4605,M4605),IF(A4605=Summary!$AD$3,L4605-D4605,L4605))</f>
        <v>0</v>
      </c>
      <c r="O4605" s="95"/>
      <c r="P4605" s="107" t="s">
        <v>139</v>
      </c>
      <c r="Q4605" s="107">
        <v>3.3333333333333333E-2</v>
      </c>
      <c r="R4605" s="107">
        <v>0</v>
      </c>
      <c r="S4605" s="107">
        <v>6.6666666666666671E-3</v>
      </c>
      <c r="T4605" s="107">
        <v>0</v>
      </c>
      <c r="U4605" s="107" t="s">
        <v>0</v>
      </c>
      <c r="V4605" s="107">
        <v>3.4055715900000001</v>
      </c>
      <c r="W4605" s="107" t="s">
        <v>15</v>
      </c>
      <c r="X4605" s="107">
        <v>0.31780250000000004</v>
      </c>
      <c r="Y4605" s="107" t="s">
        <v>137</v>
      </c>
      <c r="Z4605" s="107">
        <v>8.988725910000003</v>
      </c>
      <c r="AA4605" s="107" t="s">
        <v>149</v>
      </c>
      <c r="AB4605" s="107">
        <v>0</v>
      </c>
      <c r="AE4605" s="358"/>
      <c r="AF4605" s="94">
        <f t="shared" si="619"/>
        <v>41759</v>
      </c>
      <c r="AG4605" s="185">
        <f t="shared" si="624"/>
        <v>-6.3620560114321045E-2</v>
      </c>
      <c r="AH4605" s="339" t="str">
        <f>VLOOKUP(B4605,'MF PF'!A:B,2)</f>
        <v>FdMgt2</v>
      </c>
      <c r="AI4605" s="358">
        <f t="shared" si="620"/>
        <v>0</v>
      </c>
      <c r="AJ4605" s="94">
        <f t="shared" si="621"/>
        <v>41759</v>
      </c>
    </row>
    <row r="4606" spans="1:36" ht="12.75" customHeight="1">
      <c r="A4606" s="8">
        <v>41789</v>
      </c>
      <c r="B4606" s="94" t="s">
        <v>19</v>
      </c>
      <c r="C4606" s="6" t="s">
        <v>297</v>
      </c>
      <c r="D4606" s="98">
        <v>62681149.760169737</v>
      </c>
      <c r="E4606" s="9">
        <f t="shared" si="622"/>
        <v>1253.6199999999997</v>
      </c>
      <c r="F4606" s="98"/>
      <c r="G4606" s="98">
        <v>162.41670133918524</v>
      </c>
      <c r="H4606" s="98">
        <v>0</v>
      </c>
      <c r="I4606" s="98">
        <v>0</v>
      </c>
      <c r="J4606" s="98"/>
      <c r="K4606" s="98">
        <v>50000.119462173345</v>
      </c>
      <c r="L4606" s="93">
        <f t="shared" si="617"/>
        <v>162.41670133918524</v>
      </c>
      <c r="M4606" s="95">
        <f t="shared" ca="1" si="618"/>
        <v>0</v>
      </c>
      <c r="N4606" s="95">
        <f ca="1">IF(P4606="Hedge Fund",IF(A4606=Summary!$AD$3,M4606-E4606,M4606),IF(A4606=Summary!$AD$3,L4606-D4606,L4606))</f>
        <v>0</v>
      </c>
      <c r="O4606" s="95"/>
      <c r="P4606" s="107" t="s">
        <v>139</v>
      </c>
      <c r="Q4606" s="107">
        <v>3.3333333333333333E-2</v>
      </c>
      <c r="R4606" s="107">
        <v>0</v>
      </c>
      <c r="S4606" s="107">
        <v>6.6666666666666671E-3</v>
      </c>
      <c r="T4606" s="107">
        <v>0</v>
      </c>
      <c r="U4606" s="107" t="s">
        <v>0</v>
      </c>
      <c r="V4606" s="107">
        <v>3.3584479799999998</v>
      </c>
      <c r="W4606" s="107" t="s">
        <v>15</v>
      </c>
      <c r="X4606" s="107">
        <v>0.31340499999999999</v>
      </c>
      <c r="Y4606" s="107" t="s">
        <v>137</v>
      </c>
      <c r="Z4606" s="107">
        <v>8.8643470200000021</v>
      </c>
      <c r="AA4606" s="107" t="s">
        <v>149</v>
      </c>
      <c r="AB4606" s="107">
        <v>0</v>
      </c>
      <c r="AE4606" s="358"/>
      <c r="AF4606" s="94">
        <f t="shared" si="619"/>
        <v>41789</v>
      </c>
      <c r="AG4606" s="185">
        <f t="shared" si="624"/>
        <v>-1.3837210217037654E-2</v>
      </c>
      <c r="AH4606" s="339" t="str">
        <f>VLOOKUP(B4606,'MF PF'!A:B,2)</f>
        <v>FdMgt2</v>
      </c>
      <c r="AI4606" s="358">
        <f t="shared" si="620"/>
        <v>0</v>
      </c>
      <c r="AJ4606" s="94">
        <f t="shared" si="621"/>
        <v>41790</v>
      </c>
    </row>
    <row r="4607" spans="1:36" ht="12.75" customHeight="1">
      <c r="A4607" s="8">
        <v>41820</v>
      </c>
      <c r="B4607" s="94" t="s">
        <v>19</v>
      </c>
      <c r="C4607" s="6" t="s">
        <v>297</v>
      </c>
      <c r="D4607" s="98">
        <v>70171356.072159603</v>
      </c>
      <c r="E4607" s="9">
        <f t="shared" ref="E4607:E4638" si="625">IF(K4607="","",D4607/K4607)</f>
        <v>1403.4300000000003</v>
      </c>
      <c r="F4607" s="98"/>
      <c r="G4607" s="98">
        <v>0</v>
      </c>
      <c r="H4607" s="98">
        <v>-311.58463834226131</v>
      </c>
      <c r="I4607" s="98">
        <v>0</v>
      </c>
      <c r="J4607" s="98"/>
      <c r="K4607" s="98">
        <v>49999.897445657843</v>
      </c>
      <c r="L4607" s="93">
        <f t="shared" si="617"/>
        <v>-311.58463834226131</v>
      </c>
      <c r="M4607" s="95">
        <f t="shared" ca="1" si="618"/>
        <v>0</v>
      </c>
      <c r="N4607" s="95">
        <f ca="1">IF(P4607="Hedge Fund",IF(A4607=Summary!$AD$3,M4607-E4607,M4607),IF(A4607=Summary!$AD$3,L4607-D4607,L4607))</f>
        <v>0</v>
      </c>
      <c r="O4607" s="95"/>
      <c r="P4607" s="107" t="s">
        <v>139</v>
      </c>
      <c r="Q4607" s="107">
        <v>3.3333333333333333E-2</v>
      </c>
      <c r="R4607" s="107">
        <v>0</v>
      </c>
      <c r="S4607" s="107">
        <v>6.6666666666666671E-3</v>
      </c>
      <c r="T4607" s="107">
        <v>0</v>
      </c>
      <c r="U4607" s="107" t="s">
        <v>0</v>
      </c>
      <c r="V4607" s="107">
        <v>3.7597889700000002</v>
      </c>
      <c r="W4607" s="107" t="s">
        <v>15</v>
      </c>
      <c r="X4607" s="107">
        <v>0.35085750000000004</v>
      </c>
      <c r="Y4607" s="107" t="s">
        <v>137</v>
      </c>
      <c r="Z4607" s="107">
        <v>9.9236535300000046</v>
      </c>
      <c r="AA4607" s="107" t="s">
        <v>149</v>
      </c>
      <c r="AB4607" s="107">
        <v>0</v>
      </c>
      <c r="AE4607" s="358"/>
      <c r="AF4607" s="94">
        <f t="shared" si="619"/>
        <v>41820</v>
      </c>
      <c r="AG4607" s="185">
        <f t="shared" si="624"/>
        <v>0.11950192243263547</v>
      </c>
      <c r="AH4607" s="339" t="str">
        <f>VLOOKUP(B4607,'MF PF'!A:B,2)</f>
        <v>FdMgt2</v>
      </c>
      <c r="AI4607" s="358">
        <f t="shared" si="620"/>
        <v>0</v>
      </c>
      <c r="AJ4607" s="94">
        <f t="shared" si="621"/>
        <v>41820</v>
      </c>
    </row>
    <row r="4608" spans="1:36" ht="12.75" customHeight="1">
      <c r="A4608" s="8">
        <v>41851</v>
      </c>
      <c r="B4608" s="94" t="s">
        <v>19</v>
      </c>
      <c r="C4608" s="6" t="s">
        <v>297</v>
      </c>
      <c r="D4608" s="98">
        <v>74898465.341994569</v>
      </c>
      <c r="E4608" s="9">
        <f t="shared" si="625"/>
        <v>1497.97</v>
      </c>
      <c r="F4608" s="98"/>
      <c r="G4608" s="98">
        <v>118.96532249450684</v>
      </c>
      <c r="H4608" s="98">
        <v>0</v>
      </c>
      <c r="I4608" s="98">
        <v>0</v>
      </c>
      <c r="J4608" s="98"/>
      <c r="K4608" s="98">
        <v>49999.976863351447</v>
      </c>
      <c r="L4608" s="93">
        <f t="shared" si="617"/>
        <v>118.96532249450684</v>
      </c>
      <c r="M4608" s="95">
        <f t="shared" ca="1" si="618"/>
        <v>0</v>
      </c>
      <c r="N4608" s="95">
        <f ca="1">IF(P4608="Hedge Fund",IF(A4608=Summary!$AD$3,M4608-E4608,M4608),IF(A4608=Summary!$AD$3,L4608-D4608,L4608))</f>
        <v>0</v>
      </c>
      <c r="O4608" s="95"/>
      <c r="P4608" s="107" t="s">
        <v>139</v>
      </c>
      <c r="Q4608" s="107">
        <v>3.3333333333333333E-2</v>
      </c>
      <c r="R4608" s="107">
        <v>0</v>
      </c>
      <c r="S4608" s="107">
        <v>6.6666666666666671E-3</v>
      </c>
      <c r="T4608" s="107">
        <v>0</v>
      </c>
      <c r="U4608" s="107" t="s">
        <v>0</v>
      </c>
      <c r="V4608" s="107">
        <v>4.0130616300000002</v>
      </c>
      <c r="W4608" s="107" t="s">
        <v>15</v>
      </c>
      <c r="X4608" s="107">
        <v>0.37449250000000001</v>
      </c>
      <c r="Y4608" s="107" t="s">
        <v>137</v>
      </c>
      <c r="Z4608" s="107">
        <v>10.592145870000005</v>
      </c>
      <c r="AA4608" s="107" t="s">
        <v>149</v>
      </c>
      <c r="AB4608" s="107">
        <v>0</v>
      </c>
      <c r="AE4608" s="358"/>
      <c r="AF4608" s="94">
        <f t="shared" si="619"/>
        <v>41851</v>
      </c>
      <c r="AG4608" s="185">
        <f t="shared" si="624"/>
        <v>6.7363530778164593E-2</v>
      </c>
      <c r="AH4608" s="339" t="str">
        <f>VLOOKUP(B4608,'MF PF'!A:B,2)</f>
        <v>FdMgt2</v>
      </c>
      <c r="AI4608" s="358">
        <f t="shared" si="620"/>
        <v>0</v>
      </c>
      <c r="AJ4608" s="94">
        <f t="shared" si="621"/>
        <v>41851</v>
      </c>
    </row>
    <row r="4609" spans="1:36" ht="12.75" customHeight="1">
      <c r="A4609" s="8">
        <v>41880</v>
      </c>
      <c r="B4609" s="94" t="s">
        <v>19</v>
      </c>
      <c r="C4609" s="358" t="s">
        <v>297</v>
      </c>
      <c r="D4609" s="98">
        <v>73088746.202739105</v>
      </c>
      <c r="E4609" s="9">
        <f t="shared" si="625"/>
        <v>1461.77</v>
      </c>
      <c r="F4609" s="98"/>
      <c r="G4609" s="98">
        <v>280.02319785952568</v>
      </c>
      <c r="H4609" s="98">
        <v>0</v>
      </c>
      <c r="I4609" s="98">
        <v>0</v>
      </c>
      <c r="J4609" s="98"/>
      <c r="K4609" s="98">
        <v>50000.168427823191</v>
      </c>
      <c r="L4609" s="93">
        <f t="shared" ref="L4609:L4672" si="626">G4609+H4609+I4609</f>
        <v>280.02319785952568</v>
      </c>
      <c r="M4609" s="95">
        <f t="shared" ref="M4609:M4672" ca="1" si="627">IF(A4609&gt;INDIRECT("A"&amp;ROW()-1),I4609/K4609,E4609)</f>
        <v>0</v>
      </c>
      <c r="N4609" s="95">
        <f ca="1">IF(P4609="Hedge Fund",IF(A4609=Summary!$AD$3,M4609-E4609,M4609),IF(A4609=Summary!$AD$3,L4609-D4609,L4609))</f>
        <v>0</v>
      </c>
      <c r="O4609" s="95"/>
      <c r="P4609" s="107" t="s">
        <v>139</v>
      </c>
      <c r="Q4609" s="107">
        <v>3.3333333333333333E-2</v>
      </c>
      <c r="R4609" s="107">
        <v>0</v>
      </c>
      <c r="S4609" s="107">
        <v>6.6666666666666671E-3</v>
      </c>
      <c r="T4609" s="107">
        <v>0</v>
      </c>
      <c r="U4609" s="107" t="s">
        <v>0</v>
      </c>
      <c r="V4609" s="107">
        <v>3.91608183</v>
      </c>
      <c r="W4609" s="107" t="s">
        <v>15</v>
      </c>
      <c r="X4609" s="107">
        <v>0.3654425</v>
      </c>
      <c r="Y4609" s="107" t="s">
        <v>137</v>
      </c>
      <c r="Z4609" s="107">
        <v>10.336175670000005</v>
      </c>
      <c r="AA4609" s="107" t="s">
        <v>149</v>
      </c>
      <c r="AB4609" s="107">
        <v>0</v>
      </c>
      <c r="AE4609" s="358"/>
      <c r="AF4609" s="94">
        <f t="shared" ref="AF4609:AF4672" si="628">A4609</f>
        <v>41880</v>
      </c>
      <c r="AG4609" s="185">
        <f t="shared" si="624"/>
        <v>-2.4166038038144988E-2</v>
      </c>
      <c r="AH4609" s="339" t="str">
        <f>VLOOKUP(B4609,'MF PF'!A:B,2)</f>
        <v>FdMgt2</v>
      </c>
      <c r="AI4609" s="358">
        <f t="shared" ref="AI4609:AI4672" si="629">AF4609-A4609</f>
        <v>0</v>
      </c>
      <c r="AJ4609" s="94">
        <f t="shared" ref="AJ4609:AJ4672" si="630">EOMONTH(A4609,0)</f>
        <v>41882</v>
      </c>
    </row>
    <row r="4610" spans="1:36" ht="12.75" customHeight="1">
      <c r="A4610" s="8">
        <v>41912</v>
      </c>
      <c r="B4610" s="94" t="s">
        <v>19</v>
      </c>
      <c r="C4610" s="6" t="s">
        <v>297</v>
      </c>
      <c r="D4610" s="98">
        <v>68006387.162528455</v>
      </c>
      <c r="E4610" s="9">
        <f t="shared" si="625"/>
        <v>1360.1300000000003</v>
      </c>
      <c r="F4610" s="98"/>
      <c r="G4610" s="98">
        <v>0</v>
      </c>
      <c r="H4610" s="98">
        <v>-341.92120671272278</v>
      </c>
      <c r="I4610" s="98">
        <v>0</v>
      </c>
      <c r="J4610" s="98"/>
      <c r="K4610" s="98">
        <v>49999.917039200991</v>
      </c>
      <c r="L4610" s="93">
        <f t="shared" si="626"/>
        <v>-341.92120671272278</v>
      </c>
      <c r="M4610" s="95">
        <f t="shared" ca="1" si="627"/>
        <v>0</v>
      </c>
      <c r="N4610" s="95">
        <f ca="1">IF(P4610="Hedge Fund",IF(A4610=Summary!$AD$3,M4610-E4610,M4610),IF(A4610=Summary!$AD$3,L4610-D4610,L4610))</f>
        <v>0</v>
      </c>
      <c r="O4610" s="95"/>
      <c r="P4610" s="107" t="s">
        <v>139</v>
      </c>
      <c r="Q4610" s="107">
        <v>3.3333333333333333E-2</v>
      </c>
      <c r="R4610" s="107">
        <v>0</v>
      </c>
      <c r="S4610" s="107">
        <v>6.6666666666666671E-3</v>
      </c>
      <c r="T4610" s="107">
        <v>0</v>
      </c>
      <c r="U4610" s="107" t="s">
        <v>0</v>
      </c>
      <c r="V4610" s="107">
        <v>3.6437882700000004</v>
      </c>
      <c r="W4610" s="107" t="s">
        <v>15</v>
      </c>
      <c r="X4610" s="107">
        <v>0.34003250000000002</v>
      </c>
      <c r="Y4610" s="107" t="s">
        <v>137</v>
      </c>
      <c r="Z4610" s="107">
        <v>9.617479230000006</v>
      </c>
      <c r="AA4610" s="107" t="s">
        <v>149</v>
      </c>
      <c r="AB4610" s="107">
        <v>0</v>
      </c>
      <c r="AE4610" s="358"/>
      <c r="AF4610" s="94">
        <f t="shared" si="628"/>
        <v>41912</v>
      </c>
      <c r="AG4610" s="185">
        <f t="shared" si="624"/>
        <v>-6.9532142539523778E-2</v>
      </c>
      <c r="AH4610" s="339" t="str">
        <f>VLOOKUP(B4610,'MF PF'!A:B,2)</f>
        <v>FdMgt2</v>
      </c>
      <c r="AI4610" s="358">
        <f t="shared" si="629"/>
        <v>0</v>
      </c>
      <c r="AJ4610" s="94">
        <f t="shared" si="630"/>
        <v>41912</v>
      </c>
    </row>
    <row r="4611" spans="1:36" ht="12.75" customHeight="1">
      <c r="A4611" s="8">
        <v>41943</v>
      </c>
      <c r="B4611" s="94" t="s">
        <v>19</v>
      </c>
      <c r="C4611" s="6" t="s">
        <v>297</v>
      </c>
      <c r="D4611" s="98">
        <v>70523903.345223695</v>
      </c>
      <c r="E4611" s="9">
        <f t="shared" si="625"/>
        <v>1410.48</v>
      </c>
      <c r="F4611" s="98"/>
      <c r="G4611" s="98">
        <v>20.359771475195885</v>
      </c>
      <c r="H4611" s="98">
        <v>0</v>
      </c>
      <c r="I4611" s="98">
        <v>0</v>
      </c>
      <c r="J4611" s="98"/>
      <c r="K4611" s="98">
        <v>49999.931473841316</v>
      </c>
      <c r="L4611" s="93">
        <f t="shared" si="626"/>
        <v>20.359771475195885</v>
      </c>
      <c r="M4611" s="95">
        <f t="shared" ca="1" si="627"/>
        <v>0</v>
      </c>
      <c r="N4611" s="95">
        <f ca="1">IF(P4611="Hedge Fund",IF(A4611=Summary!$AD$3,M4611-E4611,M4611),IF(A4611=Summary!$AD$3,L4611-D4611,L4611))</f>
        <v>0</v>
      </c>
      <c r="O4611" s="95"/>
      <c r="P4611" s="107" t="s">
        <v>139</v>
      </c>
      <c r="Q4611" s="107">
        <v>3.3333333333333333E-2</v>
      </c>
      <c r="R4611" s="107">
        <v>0</v>
      </c>
      <c r="S4611" s="107">
        <v>6.6666666666666671E-3</v>
      </c>
      <c r="T4611" s="107">
        <v>0</v>
      </c>
      <c r="U4611" s="107" t="s">
        <v>0</v>
      </c>
      <c r="V4611" s="107">
        <v>3.77867592</v>
      </c>
      <c r="W4611" s="107" t="s">
        <v>15</v>
      </c>
      <c r="X4611" s="107">
        <v>0.35261999999999999</v>
      </c>
      <c r="Y4611" s="107" t="s">
        <v>137</v>
      </c>
      <c r="Z4611" s="107">
        <v>9.973504080000005</v>
      </c>
      <c r="AA4611" s="107" t="s">
        <v>149</v>
      </c>
      <c r="AB4611" s="107">
        <v>0</v>
      </c>
      <c r="AE4611" s="358"/>
      <c r="AF4611" s="94">
        <f t="shared" si="628"/>
        <v>41943</v>
      </c>
      <c r="AG4611" s="185">
        <f t="shared" si="624"/>
        <v>3.7018520288501833E-2</v>
      </c>
      <c r="AH4611" s="339" t="str">
        <f>VLOOKUP(B4611,'MF PF'!A:B,2)</f>
        <v>FdMgt2</v>
      </c>
      <c r="AI4611" s="358">
        <f t="shared" si="629"/>
        <v>0</v>
      </c>
      <c r="AJ4611" s="94">
        <f t="shared" si="630"/>
        <v>41943</v>
      </c>
    </row>
    <row r="4612" spans="1:36" ht="12.75" customHeight="1">
      <c r="A4612" s="8">
        <v>41971</v>
      </c>
      <c r="B4612" s="94" t="s">
        <v>19</v>
      </c>
      <c r="C4612" s="6" t="s">
        <v>297</v>
      </c>
      <c r="D4612" s="98">
        <v>67412499.174794555</v>
      </c>
      <c r="E4612" s="9">
        <f t="shared" si="625"/>
        <v>1348.25</v>
      </c>
      <c r="F4612" s="98"/>
      <c r="G4612" s="98">
        <v>91.565188005566597</v>
      </c>
      <c r="H4612" s="98">
        <v>0</v>
      </c>
      <c r="I4612" s="98">
        <v>0</v>
      </c>
      <c r="J4612" s="98"/>
      <c r="K4612" s="98">
        <v>49999.999387943302</v>
      </c>
      <c r="L4612" s="93">
        <f t="shared" si="626"/>
        <v>91.565188005566597</v>
      </c>
      <c r="M4612" s="95">
        <f t="shared" ca="1" si="627"/>
        <v>0</v>
      </c>
      <c r="N4612" s="95">
        <f ca="1">IF(P4612="Hedge Fund",IF(A4612=Summary!$AD$3,M4612-E4612,M4612),IF(A4612=Summary!$AD$3,L4612-D4612,L4612))</f>
        <v>0</v>
      </c>
      <c r="O4612" s="95"/>
      <c r="P4612" s="107" t="s">
        <v>139</v>
      </c>
      <c r="Q4612" s="107">
        <v>3.3333333333333333E-2</v>
      </c>
      <c r="R4612" s="107">
        <v>0</v>
      </c>
      <c r="S4612" s="107">
        <v>6.6666666666666671E-3</v>
      </c>
      <c r="T4612" s="107">
        <v>0</v>
      </c>
      <c r="U4612" s="107" t="s">
        <v>0</v>
      </c>
      <c r="V4612" s="107">
        <v>3.6119617499999999</v>
      </c>
      <c r="W4612" s="107" t="s">
        <v>15</v>
      </c>
      <c r="X4612" s="107">
        <v>0.33706249999999999</v>
      </c>
      <c r="Y4612" s="107" t="s">
        <v>137</v>
      </c>
      <c r="Z4612" s="107">
        <v>9.5334757500000045</v>
      </c>
      <c r="AA4612" s="107" t="s">
        <v>149</v>
      </c>
      <c r="AB4612" s="107">
        <v>0</v>
      </c>
      <c r="AE4612" s="358"/>
      <c r="AF4612" s="94">
        <f t="shared" si="628"/>
        <v>41971</v>
      </c>
      <c r="AG4612" s="185">
        <f t="shared" si="624"/>
        <v>-4.4119732289716995E-2</v>
      </c>
      <c r="AH4612" s="339" t="str">
        <f>VLOOKUP(B4612,'MF PF'!A:B,2)</f>
        <v>FdMgt2</v>
      </c>
      <c r="AI4612" s="358">
        <f t="shared" si="629"/>
        <v>0</v>
      </c>
      <c r="AJ4612" s="94">
        <f t="shared" si="630"/>
        <v>41973</v>
      </c>
    </row>
    <row r="4613" spans="1:36" ht="12.75" customHeight="1">
      <c r="A4613" s="8">
        <v>42004</v>
      </c>
      <c r="B4613" s="94" t="s">
        <v>19</v>
      </c>
      <c r="C4613" s="6" t="s">
        <v>297</v>
      </c>
      <c r="D4613" s="98">
        <v>74106782.462648049</v>
      </c>
      <c r="E4613" s="9">
        <f t="shared" si="625"/>
        <v>1482.1399999999999</v>
      </c>
      <c r="F4613" s="98"/>
      <c r="G4613" s="98">
        <v>0</v>
      </c>
      <c r="H4613" s="98">
        <v>-216.63019822537899</v>
      </c>
      <c r="I4613" s="98">
        <v>0</v>
      </c>
      <c r="J4613" s="98"/>
      <c r="K4613" s="98">
        <v>49999.853227527798</v>
      </c>
      <c r="L4613" s="93">
        <f t="shared" si="626"/>
        <v>-216.63019822537899</v>
      </c>
      <c r="M4613" s="95">
        <f t="shared" ca="1" si="627"/>
        <v>0</v>
      </c>
      <c r="N4613" s="95">
        <f ca="1">IF(P4613="Hedge Fund",IF(A4613=Summary!$AD$3,M4613-E4613,M4613),IF(A4613=Summary!$AD$3,L4613-D4613,L4613))</f>
        <v>0</v>
      </c>
      <c r="O4613" s="95"/>
      <c r="P4613" s="107" t="s">
        <v>139</v>
      </c>
      <c r="Q4613" s="107">
        <v>3.3333333333333333E-2</v>
      </c>
      <c r="R4613" s="107">
        <v>0</v>
      </c>
      <c r="S4613" s="107">
        <v>6.6666666666666671E-3</v>
      </c>
      <c r="T4613" s="107">
        <v>0</v>
      </c>
      <c r="U4613" s="107" t="s">
        <v>0</v>
      </c>
      <c r="V4613" s="107">
        <v>3.9706530600000001</v>
      </c>
      <c r="W4613" s="107" t="s">
        <v>15</v>
      </c>
      <c r="X4613" s="107">
        <v>0.37053500000000006</v>
      </c>
      <c r="Y4613" s="107" t="s">
        <v>137</v>
      </c>
      <c r="Z4613" s="107">
        <v>10.480211940000006</v>
      </c>
      <c r="AA4613" s="107" t="s">
        <v>149</v>
      </c>
      <c r="AB4613" s="107">
        <v>0</v>
      </c>
      <c r="AE4613" s="358"/>
      <c r="AF4613" s="94">
        <f t="shared" si="628"/>
        <v>42004</v>
      </c>
      <c r="AG4613" s="185">
        <f t="shared" si="624"/>
        <v>9.9306508436862506E-2</v>
      </c>
      <c r="AH4613" s="339" t="str">
        <f>VLOOKUP(B4613,'MF PF'!A:B,2)</f>
        <v>FdMgt2</v>
      </c>
      <c r="AI4613" s="358">
        <f t="shared" si="629"/>
        <v>0</v>
      </c>
      <c r="AJ4613" s="94">
        <f t="shared" si="630"/>
        <v>42004</v>
      </c>
    </row>
    <row r="4614" spans="1:36" ht="12.75" customHeight="1">
      <c r="A4614" s="8">
        <v>42034</v>
      </c>
      <c r="B4614" s="94" t="s">
        <v>19</v>
      </c>
      <c r="C4614" s="6" t="s">
        <v>297</v>
      </c>
      <c r="D4614" s="98">
        <v>74258043.618664622</v>
      </c>
      <c r="E4614" s="9">
        <f t="shared" si="625"/>
        <v>1485.1600000000003</v>
      </c>
      <c r="F4614" s="98"/>
      <c r="G4614" s="98">
        <v>261.59926941990852</v>
      </c>
      <c r="H4614" s="98">
        <v>0</v>
      </c>
      <c r="I4614" s="98">
        <v>0</v>
      </c>
      <c r="J4614" s="98"/>
      <c r="K4614" s="98">
        <v>50000.029369673706</v>
      </c>
      <c r="L4614" s="93">
        <f t="shared" si="626"/>
        <v>261.59926941990852</v>
      </c>
      <c r="M4614" s="95">
        <f t="shared" ca="1" si="627"/>
        <v>0</v>
      </c>
      <c r="N4614" s="95">
        <f ca="1">IF(P4614="Hedge Fund",IF(A4614=Summary!$AD$3,M4614-E4614,M4614),IF(A4614=Summary!$AD$3,L4614-D4614,L4614))</f>
        <v>0</v>
      </c>
      <c r="O4614" s="95"/>
      <c r="P4614" s="107" t="s">
        <v>139</v>
      </c>
      <c r="Q4614" s="107">
        <v>3.3333333333333333E-2</v>
      </c>
      <c r="R4614" s="107">
        <v>0</v>
      </c>
      <c r="S4614" s="107">
        <v>6.6666666666666671E-3</v>
      </c>
      <c r="T4614" s="107">
        <v>0</v>
      </c>
      <c r="U4614" s="107" t="s">
        <v>0</v>
      </c>
      <c r="V4614" s="107">
        <v>3.9787436400000002</v>
      </c>
      <c r="W4614" s="107" t="s">
        <v>15</v>
      </c>
      <c r="X4614" s="107">
        <v>0.37129000000000001</v>
      </c>
      <c r="Y4614" s="107" t="s">
        <v>137</v>
      </c>
      <c r="Z4614" s="107">
        <v>10.501566360000005</v>
      </c>
      <c r="AA4614" s="107" t="s">
        <v>149</v>
      </c>
      <c r="AB4614" s="107">
        <v>0</v>
      </c>
      <c r="AE4614" s="358"/>
      <c r="AF4614" s="94">
        <f t="shared" si="628"/>
        <v>42034</v>
      </c>
      <c r="AG4614" s="185">
        <f t="shared" si="624"/>
        <v>2.0375942893386956E-3</v>
      </c>
      <c r="AH4614" s="339" t="str">
        <f>VLOOKUP(B4614,'MF PF'!A:B,2)</f>
        <v>FdMgt2</v>
      </c>
      <c r="AI4614" s="358">
        <f t="shared" si="629"/>
        <v>0</v>
      </c>
      <c r="AJ4614" s="94">
        <f t="shared" si="630"/>
        <v>42035</v>
      </c>
    </row>
    <row r="4615" spans="1:36" ht="12.75" customHeight="1">
      <c r="A4615" s="8">
        <v>42062</v>
      </c>
      <c r="B4615" s="94" t="s">
        <v>19</v>
      </c>
      <c r="C4615" s="6" t="s">
        <v>297</v>
      </c>
      <c r="D4615" s="98">
        <v>72468164.967020229</v>
      </c>
      <c r="E4615" s="9">
        <f t="shared" si="625"/>
        <v>1449.36</v>
      </c>
      <c r="F4615" s="98"/>
      <c r="G4615" s="98">
        <v>122.39978994429111</v>
      </c>
      <c r="H4615" s="98">
        <v>0</v>
      </c>
      <c r="I4615" s="98">
        <v>0</v>
      </c>
      <c r="J4615" s="98"/>
      <c r="K4615" s="98">
        <v>50000.113820596838</v>
      </c>
      <c r="L4615" s="93">
        <f t="shared" si="626"/>
        <v>122.39978994429111</v>
      </c>
      <c r="M4615" s="95">
        <f t="shared" ca="1" si="627"/>
        <v>0</v>
      </c>
      <c r="N4615" s="95">
        <f ca="1">IF(P4615="Hedge Fund",IF(A4615=Summary!$AD$3,M4615-E4615,M4615),IF(A4615=Summary!$AD$3,L4615-D4615,L4615))</f>
        <v>0</v>
      </c>
      <c r="O4615" s="95"/>
      <c r="P4615" s="107" t="s">
        <v>139</v>
      </c>
      <c r="Q4615" s="107">
        <v>3.3333333333333333E-2</v>
      </c>
      <c r="R4615" s="107">
        <v>0</v>
      </c>
      <c r="S4615" s="107">
        <v>6.6666666666666671E-3</v>
      </c>
      <c r="T4615" s="107">
        <v>0</v>
      </c>
      <c r="U4615" s="107" t="s">
        <v>0</v>
      </c>
      <c r="V4615" s="107">
        <v>3.8828354399999996</v>
      </c>
      <c r="W4615" s="107" t="s">
        <v>15</v>
      </c>
      <c r="X4615" s="107">
        <v>0.36234</v>
      </c>
      <c r="Y4615" s="107" t="s">
        <v>137</v>
      </c>
      <c r="Z4615" s="107">
        <v>10.248424560000004</v>
      </c>
      <c r="AA4615" s="107" t="s">
        <v>149</v>
      </c>
      <c r="AB4615" s="107">
        <v>0</v>
      </c>
      <c r="AE4615" s="358"/>
      <c r="AF4615" s="94">
        <f t="shared" si="628"/>
        <v>42062</v>
      </c>
      <c r="AG4615" s="185">
        <f t="shared" si="624"/>
        <v>-2.4105146920197384E-2</v>
      </c>
      <c r="AH4615" s="339" t="str">
        <f>VLOOKUP(B4615,'MF PF'!A:B,2)</f>
        <v>FdMgt2</v>
      </c>
      <c r="AI4615" s="358">
        <f t="shared" si="629"/>
        <v>0</v>
      </c>
      <c r="AJ4615" s="94">
        <f t="shared" si="630"/>
        <v>42063</v>
      </c>
    </row>
    <row r="4616" spans="1:36" ht="12.75" customHeight="1">
      <c r="A4616" s="8">
        <v>42094</v>
      </c>
      <c r="B4616" s="94" t="s">
        <v>19</v>
      </c>
      <c r="C4616" s="6" t="s">
        <v>297</v>
      </c>
      <c r="D4616" s="98">
        <v>72893499.448669106</v>
      </c>
      <c r="E4616" s="9">
        <f t="shared" si="625"/>
        <v>1457.87</v>
      </c>
      <c r="F4616" s="98"/>
      <c r="G4616" s="98">
        <v>0</v>
      </c>
      <c r="H4616" s="98">
        <v>-166.48696440458298</v>
      </c>
      <c r="I4616" s="98">
        <v>0</v>
      </c>
      <c r="J4616" s="98"/>
      <c r="K4616" s="98">
        <v>49999.999621824383</v>
      </c>
      <c r="L4616" s="93">
        <f t="shared" si="626"/>
        <v>-166.48696440458298</v>
      </c>
      <c r="M4616" s="95">
        <f t="shared" ca="1" si="627"/>
        <v>0</v>
      </c>
      <c r="N4616" s="95">
        <f ca="1">IF(P4616="Hedge Fund",IF(A4616=Summary!$AD$3,M4616-E4616,M4616),IF(A4616=Summary!$AD$3,L4616-D4616,L4616))</f>
        <v>0</v>
      </c>
      <c r="O4616" s="95"/>
      <c r="P4616" s="107" t="s">
        <v>139</v>
      </c>
      <c r="Q4616" s="107">
        <v>3.3333333333333333E-2</v>
      </c>
      <c r="R4616" s="107">
        <v>0</v>
      </c>
      <c r="S4616" s="107">
        <v>6.6666666666666671E-3</v>
      </c>
      <c r="T4616" s="107">
        <v>0</v>
      </c>
      <c r="U4616" s="107" t="s">
        <v>0</v>
      </c>
      <c r="V4616" s="107">
        <v>3.9056337299999995</v>
      </c>
      <c r="W4616" s="107" t="s">
        <v>15</v>
      </c>
      <c r="X4616" s="107">
        <v>0.3644675</v>
      </c>
      <c r="Y4616" s="107" t="s">
        <v>137</v>
      </c>
      <c r="Z4616" s="107">
        <v>10.308598770000003</v>
      </c>
      <c r="AA4616" s="107" t="s">
        <v>149</v>
      </c>
      <c r="AB4616" s="107">
        <v>0</v>
      </c>
      <c r="AE4616" s="358"/>
      <c r="AF4616" s="94">
        <f t="shared" si="628"/>
        <v>42094</v>
      </c>
      <c r="AG4616" s="185">
        <f t="shared" si="624"/>
        <v>5.871557101065239E-3</v>
      </c>
      <c r="AH4616" s="339" t="str">
        <f>VLOOKUP(B4616,'MF PF'!A:B,2)</f>
        <v>FdMgt2</v>
      </c>
      <c r="AI4616" s="358">
        <f t="shared" si="629"/>
        <v>0</v>
      </c>
      <c r="AJ4616" s="94">
        <f t="shared" si="630"/>
        <v>42094</v>
      </c>
    </row>
    <row r="4617" spans="1:36" ht="12.75" customHeight="1">
      <c r="A4617" s="8">
        <v>42124</v>
      </c>
      <c r="B4617" s="94" t="s">
        <v>19</v>
      </c>
      <c r="C4617" s="6" t="s">
        <v>297</v>
      </c>
      <c r="D4617" s="98">
        <v>92115550.803931519</v>
      </c>
      <c r="E4617" s="9">
        <f t="shared" si="625"/>
        <v>1842.31</v>
      </c>
      <c r="F4617" s="98"/>
      <c r="G4617" s="98">
        <v>51.500648245215416</v>
      </c>
      <c r="H4617" s="98">
        <v>0</v>
      </c>
      <c r="I4617" s="98">
        <v>0</v>
      </c>
      <c r="J4617" s="98"/>
      <c r="K4617" s="98">
        <v>50000.027576212211</v>
      </c>
      <c r="L4617" s="93">
        <f t="shared" si="626"/>
        <v>51.500648245215416</v>
      </c>
      <c r="M4617" s="95">
        <f t="shared" ca="1" si="627"/>
        <v>0</v>
      </c>
      <c r="N4617" s="95">
        <f ca="1">IF(P4617="Hedge Fund",IF(A4617=Summary!$AD$3,M4617-E4617,M4617),IF(A4617=Summary!$AD$3,L4617-D4617,L4617))</f>
        <v>0</v>
      </c>
      <c r="O4617" s="95"/>
      <c r="P4617" s="107" t="s">
        <v>139</v>
      </c>
      <c r="Q4617" s="107">
        <v>3.3333333333333333E-2</v>
      </c>
      <c r="R4617" s="107">
        <v>0</v>
      </c>
      <c r="S4617" s="107">
        <v>6.6666666666666671E-3</v>
      </c>
      <c r="T4617" s="107">
        <v>0</v>
      </c>
      <c r="U4617" s="107" t="s">
        <v>0</v>
      </c>
      <c r="V4617" s="107">
        <v>4.9355484899999995</v>
      </c>
      <c r="W4617" s="107" t="s">
        <v>15</v>
      </c>
      <c r="X4617" s="107">
        <v>0.46057749999999997</v>
      </c>
      <c r="Y4617" s="107" t="s">
        <v>137</v>
      </c>
      <c r="Z4617" s="107">
        <v>13.026974010000005</v>
      </c>
      <c r="AA4617" s="107" t="s">
        <v>149</v>
      </c>
      <c r="AB4617" s="107">
        <v>0</v>
      </c>
      <c r="AE4617" s="358"/>
      <c r="AF4617" s="94">
        <f t="shared" si="628"/>
        <v>42124</v>
      </c>
      <c r="AG4617" s="185">
        <f t="shared" si="624"/>
        <v>0.26369978118762316</v>
      </c>
      <c r="AH4617" s="339" t="str">
        <f>VLOOKUP(B4617,'MF PF'!A:B,2)</f>
        <v>FdMgt2</v>
      </c>
      <c r="AI4617" s="358">
        <f t="shared" si="629"/>
        <v>0</v>
      </c>
      <c r="AJ4617" s="94">
        <f t="shared" si="630"/>
        <v>42124</v>
      </c>
    </row>
    <row r="4618" spans="1:36" ht="12.75" customHeight="1">
      <c r="A4618" s="8">
        <v>42153</v>
      </c>
      <c r="B4618" s="94" t="s">
        <v>19</v>
      </c>
      <c r="C4618" s="6" t="s">
        <v>297</v>
      </c>
      <c r="D4618" s="98">
        <v>111374907.3837744</v>
      </c>
      <c r="E4618" s="9">
        <f t="shared" si="625"/>
        <v>2227.5</v>
      </c>
      <c r="F4618" s="98"/>
      <c r="G4618" s="98">
        <v>0</v>
      </c>
      <c r="H4618" s="98">
        <v>-154.04223829507828</v>
      </c>
      <c r="I4618" s="98">
        <v>0</v>
      </c>
      <c r="J4618" s="98"/>
      <c r="K4618" s="98">
        <v>49999.95842144754</v>
      </c>
      <c r="L4618" s="93">
        <f t="shared" si="626"/>
        <v>-154.04223829507828</v>
      </c>
      <c r="M4618" s="95">
        <f t="shared" ca="1" si="627"/>
        <v>0</v>
      </c>
      <c r="N4618" s="95">
        <f ca="1">IF(P4618="Hedge Fund",IF(A4618=Summary!$AD$3,M4618-E4618,M4618),IF(A4618=Summary!$AD$3,L4618-D4618,L4618))</f>
        <v>0</v>
      </c>
      <c r="O4618" s="95"/>
      <c r="P4618" s="107" t="s">
        <v>139</v>
      </c>
      <c r="Q4618" s="107">
        <v>3.3333333333333333E-2</v>
      </c>
      <c r="R4618" s="107">
        <v>0</v>
      </c>
      <c r="S4618" s="107">
        <v>6.6666666666666671E-3</v>
      </c>
      <c r="T4618" s="107">
        <v>0</v>
      </c>
      <c r="U4618" s="107" t="s">
        <v>0</v>
      </c>
      <c r="V4618" s="107">
        <v>5.9674724999999995</v>
      </c>
      <c r="W4618" s="107" t="s">
        <v>15</v>
      </c>
      <c r="X4618" s="107">
        <v>0.55687500000000001</v>
      </c>
      <c r="Y4618" s="107" t="s">
        <v>137</v>
      </c>
      <c r="Z4618" s="107">
        <v>15.750652500000008</v>
      </c>
      <c r="AA4618" s="107" t="s">
        <v>149</v>
      </c>
      <c r="AB4618" s="107">
        <v>0</v>
      </c>
      <c r="AE4618" s="358"/>
      <c r="AF4618" s="94">
        <f t="shared" si="628"/>
        <v>42153</v>
      </c>
      <c r="AG4618" s="185">
        <f t="shared" si="624"/>
        <v>0.20907990511911678</v>
      </c>
      <c r="AH4618" s="339" t="str">
        <f>VLOOKUP(B4618,'MF PF'!A:B,2)</f>
        <v>FdMgt2</v>
      </c>
      <c r="AI4618" s="358">
        <f t="shared" si="629"/>
        <v>0</v>
      </c>
      <c r="AJ4618" s="94">
        <f t="shared" si="630"/>
        <v>42155</v>
      </c>
    </row>
    <row r="4619" spans="1:36" ht="12.75" customHeight="1">
      <c r="A4619" s="8">
        <v>42185</v>
      </c>
      <c r="B4619" s="94" t="s">
        <v>19</v>
      </c>
      <c r="C4619" s="6" t="s">
        <v>297</v>
      </c>
      <c r="D4619" s="98">
        <v>108181634.11686856</v>
      </c>
      <c r="E4619" s="9">
        <f t="shared" si="625"/>
        <v>2163.6300000000006</v>
      </c>
      <c r="F4619" s="98"/>
      <c r="G4619" s="98">
        <v>224.077471986413</v>
      </c>
      <c r="H4619" s="98">
        <v>0</v>
      </c>
      <c r="I4619" s="98">
        <v>0</v>
      </c>
      <c r="J4619" s="98"/>
      <c r="K4619" s="98">
        <v>50000.061986970293</v>
      </c>
      <c r="L4619" s="93">
        <f t="shared" si="626"/>
        <v>224.077471986413</v>
      </c>
      <c r="M4619" s="95">
        <f t="shared" ca="1" si="627"/>
        <v>0</v>
      </c>
      <c r="N4619" s="95">
        <f ca="1">IF(P4619="Hedge Fund",IF(A4619=Summary!$AD$3,M4619-E4619,M4619),IF(A4619=Summary!$AD$3,L4619-D4619,L4619))</f>
        <v>0</v>
      </c>
      <c r="O4619" s="95"/>
      <c r="P4619" s="107" t="s">
        <v>139</v>
      </c>
      <c r="Q4619" s="107">
        <v>3.3333333333333333E-2</v>
      </c>
      <c r="R4619" s="107">
        <v>0</v>
      </c>
      <c r="S4619" s="107">
        <v>6.6666666666666671E-3</v>
      </c>
      <c r="T4619" s="107">
        <v>0</v>
      </c>
      <c r="U4619" s="107" t="s">
        <v>0</v>
      </c>
      <c r="V4619" s="107">
        <v>5.7963647700000003</v>
      </c>
      <c r="W4619" s="107" t="s">
        <v>15</v>
      </c>
      <c r="X4619" s="107">
        <v>0.54090749999999999</v>
      </c>
      <c r="Y4619" s="107" t="s">
        <v>137</v>
      </c>
      <c r="Z4619" s="107">
        <v>15.299027730000008</v>
      </c>
      <c r="AA4619" s="107" t="s">
        <v>149</v>
      </c>
      <c r="AB4619" s="107">
        <v>0</v>
      </c>
      <c r="AE4619" s="358"/>
      <c r="AF4619" s="94">
        <f t="shared" si="628"/>
        <v>42185</v>
      </c>
      <c r="AG4619" s="185">
        <f t="shared" si="624"/>
        <v>-2.8673400673400407E-2</v>
      </c>
      <c r="AH4619" s="339" t="str">
        <f>VLOOKUP(B4619,'MF PF'!A:B,2)</f>
        <v>FdMgt2</v>
      </c>
      <c r="AI4619" s="358">
        <f t="shared" si="629"/>
        <v>0</v>
      </c>
      <c r="AJ4619" s="94">
        <f t="shared" si="630"/>
        <v>42185</v>
      </c>
    </row>
    <row r="4620" spans="1:36" ht="12.75" customHeight="1">
      <c r="A4620" s="8">
        <v>42216</v>
      </c>
      <c r="B4620" s="94" t="s">
        <v>19</v>
      </c>
      <c r="C4620" s="6" t="s">
        <v>297</v>
      </c>
      <c r="D4620" s="98">
        <v>88780727.979023203</v>
      </c>
      <c r="E4620" s="9">
        <f t="shared" si="625"/>
        <v>1775.61</v>
      </c>
      <c r="F4620" s="98"/>
      <c r="G4620" s="98">
        <v>117.91433888673782</v>
      </c>
      <c r="H4620" s="98">
        <v>0</v>
      </c>
      <c r="I4620" s="98">
        <v>0</v>
      </c>
      <c r="J4620" s="98"/>
      <c r="K4620" s="98">
        <v>50000.128394761916</v>
      </c>
      <c r="L4620" s="93">
        <f t="shared" si="626"/>
        <v>117.91433888673782</v>
      </c>
      <c r="M4620" s="95">
        <f t="shared" ca="1" si="627"/>
        <v>0</v>
      </c>
      <c r="N4620" s="95">
        <f ca="1">IF(P4620="Hedge Fund",IF(A4620=Summary!$AD$3,M4620-E4620,M4620),IF(A4620=Summary!$AD$3,L4620-D4620,L4620))</f>
        <v>0</v>
      </c>
      <c r="O4620" s="95"/>
      <c r="P4620" s="107" t="s">
        <v>139</v>
      </c>
      <c r="Q4620" s="107">
        <v>3.3333333333333333E-2</v>
      </c>
      <c r="R4620" s="107">
        <v>0</v>
      </c>
      <c r="S4620" s="107">
        <v>6.6666666666666671E-3</v>
      </c>
      <c r="T4620" s="107">
        <v>0</v>
      </c>
      <c r="U4620" s="107" t="s">
        <v>0</v>
      </c>
      <c r="V4620" s="107">
        <v>4.7568591899999992</v>
      </c>
      <c r="W4620" s="107" t="s">
        <v>15</v>
      </c>
      <c r="X4620" s="107">
        <v>0.44390249999999998</v>
      </c>
      <c r="Y4620" s="107" t="s">
        <v>137</v>
      </c>
      <c r="Z4620" s="107">
        <v>12.555338310000005</v>
      </c>
      <c r="AA4620" s="107" t="s">
        <v>149</v>
      </c>
      <c r="AB4620" s="107">
        <v>0</v>
      </c>
      <c r="AE4620" s="358"/>
      <c r="AF4620" s="94">
        <f t="shared" si="628"/>
        <v>42216</v>
      </c>
      <c r="AG4620" s="185">
        <f t="shared" si="624"/>
        <v>-0.17933750225315814</v>
      </c>
      <c r="AH4620" s="339" t="str">
        <f>VLOOKUP(B4620,'MF PF'!A:B,2)</f>
        <v>FdMgt2</v>
      </c>
      <c r="AI4620" s="358">
        <f t="shared" si="629"/>
        <v>0</v>
      </c>
      <c r="AJ4620" s="94">
        <f t="shared" si="630"/>
        <v>42216</v>
      </c>
    </row>
    <row r="4621" spans="1:36" ht="12.75" customHeight="1">
      <c r="A4621" s="8">
        <v>42247</v>
      </c>
      <c r="B4621" s="94" t="s">
        <v>19</v>
      </c>
      <c r="C4621" s="6" t="s">
        <v>297</v>
      </c>
      <c r="D4621" s="98">
        <v>78704201.448774502</v>
      </c>
      <c r="E4621" s="9">
        <f t="shared" si="625"/>
        <v>1574.0800000000002</v>
      </c>
      <c r="F4621" s="98"/>
      <c r="G4621" s="98">
        <v>0</v>
      </c>
      <c r="H4621" s="98">
        <v>-0.65485234558582306</v>
      </c>
      <c r="I4621" s="98">
        <v>0</v>
      </c>
      <c r="J4621" s="98"/>
      <c r="K4621" s="98">
        <v>50000.127978739642</v>
      </c>
      <c r="L4621" s="93">
        <f t="shared" si="626"/>
        <v>-0.65485234558582306</v>
      </c>
      <c r="M4621" s="95">
        <f t="shared" ca="1" si="627"/>
        <v>0</v>
      </c>
      <c r="N4621" s="95">
        <f ca="1">IF(P4621="Hedge Fund",IF(A4621=Summary!$AD$3,M4621-E4621,M4621),IF(A4621=Summary!$AD$3,L4621-D4621,L4621))</f>
        <v>0</v>
      </c>
      <c r="O4621" s="95"/>
      <c r="P4621" s="107" t="s">
        <v>139</v>
      </c>
      <c r="Q4621" s="107">
        <v>3.3333333333333333E-2</v>
      </c>
      <c r="R4621" s="107">
        <v>0</v>
      </c>
      <c r="S4621" s="107">
        <v>6.6666666666666671E-3</v>
      </c>
      <c r="T4621" s="107">
        <v>0</v>
      </c>
      <c r="U4621" s="107" t="s">
        <v>0</v>
      </c>
      <c r="V4621" s="107">
        <v>4.2169603199999992</v>
      </c>
      <c r="W4621" s="107" t="s">
        <v>15</v>
      </c>
      <c r="X4621" s="107">
        <v>0.39351999999999998</v>
      </c>
      <c r="Y4621" s="107" t="s">
        <v>137</v>
      </c>
      <c r="Z4621" s="107">
        <v>11.130319680000005</v>
      </c>
      <c r="AA4621" s="107" t="s">
        <v>149</v>
      </c>
      <c r="AB4621" s="107">
        <v>0</v>
      </c>
      <c r="AE4621" s="358"/>
      <c r="AF4621" s="94">
        <f t="shared" si="628"/>
        <v>42247</v>
      </c>
      <c r="AG4621" s="185">
        <f t="shared" ref="AG4621:AG4652" si="631">IF(C4621&lt;&gt;C4620,D4621/G4621-1,(D4621-G4621-I4621-H4621)/(D4620)-1)</f>
        <v>-0.11349902287101321</v>
      </c>
      <c r="AH4621" s="339" t="str">
        <f>VLOOKUP(B4621,'MF PF'!A:B,2)</f>
        <v>FdMgt2</v>
      </c>
      <c r="AI4621" s="358">
        <f t="shared" si="629"/>
        <v>0</v>
      </c>
      <c r="AJ4621" s="94">
        <f t="shared" si="630"/>
        <v>42247</v>
      </c>
    </row>
    <row r="4622" spans="1:36" ht="12.75" customHeight="1">
      <c r="A4622" s="8">
        <v>42277</v>
      </c>
      <c r="B4622" s="94" t="s">
        <v>19</v>
      </c>
      <c r="C4622" s="6" t="s">
        <v>297</v>
      </c>
      <c r="D4622" s="98">
        <v>78829820.461431265</v>
      </c>
      <c r="E4622" s="9">
        <f t="shared" si="625"/>
        <v>1576.6</v>
      </c>
      <c r="F4622" s="98"/>
      <c r="G4622" s="98">
        <v>0</v>
      </c>
      <c r="H4622" s="98">
        <v>-381.30984964966774</v>
      </c>
      <c r="I4622" s="98">
        <v>0</v>
      </c>
      <c r="J4622" s="98"/>
      <c r="K4622" s="98">
        <v>49999.886122942582</v>
      </c>
      <c r="L4622" s="93">
        <f t="shared" si="626"/>
        <v>-381.30984964966774</v>
      </c>
      <c r="M4622" s="95">
        <f t="shared" ca="1" si="627"/>
        <v>0</v>
      </c>
      <c r="N4622" s="95">
        <f ca="1">IF(P4622="Hedge Fund",IF(A4622=Summary!$AD$3,M4622-E4622,M4622),IF(A4622=Summary!$AD$3,L4622-D4622,L4622))</f>
        <v>0</v>
      </c>
      <c r="O4622" s="95"/>
      <c r="P4622" s="107" t="s">
        <v>139</v>
      </c>
      <c r="Q4622" s="107">
        <v>3.3333333333333333E-2</v>
      </c>
      <c r="R4622" s="107">
        <v>0</v>
      </c>
      <c r="S4622" s="107">
        <v>6.6666666666666671E-3</v>
      </c>
      <c r="T4622" s="107">
        <v>0</v>
      </c>
      <c r="U4622" s="107" t="s">
        <v>0</v>
      </c>
      <c r="V4622" s="107">
        <v>4.2237113999999991</v>
      </c>
      <c r="W4622" s="107" t="s">
        <v>15</v>
      </c>
      <c r="X4622" s="107">
        <v>0.39415</v>
      </c>
      <c r="Y4622" s="107" t="s">
        <v>137</v>
      </c>
      <c r="Z4622" s="107">
        <v>11.148138600000005</v>
      </c>
      <c r="AA4622" s="107" t="s">
        <v>149</v>
      </c>
      <c r="AB4622" s="107">
        <v>0</v>
      </c>
      <c r="AE4622" s="358"/>
      <c r="AF4622" s="94">
        <f t="shared" si="628"/>
        <v>42277</v>
      </c>
      <c r="AG4622" s="185">
        <f t="shared" si="631"/>
        <v>1.6009351494203905E-3</v>
      </c>
      <c r="AH4622" s="339" t="str">
        <f>VLOOKUP(B4622,'MF PF'!A:B,2)</f>
        <v>FdMgt2</v>
      </c>
      <c r="AI4622" s="358">
        <f t="shared" si="629"/>
        <v>0</v>
      </c>
      <c r="AJ4622" s="94">
        <f t="shared" si="630"/>
        <v>42277</v>
      </c>
    </row>
    <row r="4623" spans="1:36" s="358" customFormat="1" ht="12.75" customHeight="1">
      <c r="A4623" s="94">
        <v>42307</v>
      </c>
      <c r="B4623" s="94" t="s">
        <v>19</v>
      </c>
      <c r="C4623" s="358" t="s">
        <v>297</v>
      </c>
      <c r="D4623" s="98">
        <v>86709789.018429056</v>
      </c>
      <c r="E4623" s="95">
        <f t="shared" si="625"/>
        <v>1734.2000000000003</v>
      </c>
      <c r="F4623" s="98"/>
      <c r="G4623" s="98">
        <v>0</v>
      </c>
      <c r="H4623" s="98">
        <v>-13.495977982878685</v>
      </c>
      <c r="I4623" s="98">
        <v>0</v>
      </c>
      <c r="J4623" s="98"/>
      <c r="K4623" s="98">
        <v>49999.878340692565</v>
      </c>
      <c r="L4623" s="93">
        <f t="shared" si="626"/>
        <v>-13.495977982878685</v>
      </c>
      <c r="M4623" s="95">
        <f t="shared" ca="1" si="627"/>
        <v>0</v>
      </c>
      <c r="N4623" s="95">
        <f ca="1">IF(P4623="Hedge Fund",IF(A4623=Summary!$AD$3,M4623-E4623,M4623),IF(A4623=Summary!$AD$3,L4623-D4623,L4623))</f>
        <v>0</v>
      </c>
      <c r="O4623" s="95"/>
      <c r="P4623" s="107" t="s">
        <v>139</v>
      </c>
      <c r="Q4623" s="107">
        <v>3.3333333333333333E-2</v>
      </c>
      <c r="R4623" s="107">
        <v>0</v>
      </c>
      <c r="S4623" s="107">
        <v>6.6666666666666671E-3</v>
      </c>
      <c r="T4623" s="107">
        <v>0</v>
      </c>
      <c r="U4623" s="107" t="s">
        <v>0</v>
      </c>
      <c r="V4623" s="107">
        <v>4.6459217999999991</v>
      </c>
      <c r="W4623" s="107" t="s">
        <v>15</v>
      </c>
      <c r="X4623" s="107">
        <v>0.43355000000000005</v>
      </c>
      <c r="Y4623" s="107" t="s">
        <v>137</v>
      </c>
      <c r="Z4623" s="107">
        <v>12.262528200000006</v>
      </c>
      <c r="AA4623" s="107" t="s">
        <v>149</v>
      </c>
      <c r="AB4623" s="107">
        <v>0</v>
      </c>
      <c r="AF4623" s="94">
        <f t="shared" si="628"/>
        <v>42307</v>
      </c>
      <c r="AG4623" s="185">
        <f t="shared" si="631"/>
        <v>9.9961943422555155E-2</v>
      </c>
      <c r="AH4623" s="339" t="str">
        <f>VLOOKUP(B4623,'MF PF'!A:B,2)</f>
        <v>FdMgt2</v>
      </c>
      <c r="AI4623" s="358">
        <f t="shared" si="629"/>
        <v>0</v>
      </c>
      <c r="AJ4623" s="94">
        <f t="shared" si="630"/>
        <v>42308</v>
      </c>
    </row>
    <row r="4624" spans="1:36" ht="12.75" customHeight="1">
      <c r="A4624" s="8">
        <v>42338</v>
      </c>
      <c r="B4624" s="94" t="s">
        <v>19</v>
      </c>
      <c r="C4624" s="6" t="s">
        <v>297</v>
      </c>
      <c r="D4624" s="98">
        <v>80853670.232222617</v>
      </c>
      <c r="E4624" s="9">
        <f t="shared" si="625"/>
        <v>1617.0700000000002</v>
      </c>
      <c r="F4624" s="98"/>
      <c r="G4624" s="98">
        <v>366.96383887529373</v>
      </c>
      <c r="H4624" s="98">
        <v>0</v>
      </c>
      <c r="I4624" s="98">
        <v>0</v>
      </c>
      <c r="J4624" s="98"/>
      <c r="K4624" s="98">
        <v>50000.105272018285</v>
      </c>
      <c r="L4624" s="93">
        <f t="shared" si="626"/>
        <v>366.96383887529373</v>
      </c>
      <c r="M4624" s="95">
        <f t="shared" ca="1" si="627"/>
        <v>0</v>
      </c>
      <c r="N4624" s="95">
        <f ca="1">IF(P4624="Hedge Fund",IF(A4624=Summary!$AD$3,M4624-E4624,M4624),IF(A4624=Summary!$AD$3,L4624-D4624,L4624))</f>
        <v>0</v>
      </c>
      <c r="O4624" s="95"/>
      <c r="P4624" s="107" t="s">
        <v>139</v>
      </c>
      <c r="Q4624" s="107">
        <v>3.3333333333333333E-2</v>
      </c>
      <c r="R4624" s="107">
        <v>0</v>
      </c>
      <c r="S4624" s="107">
        <v>6.6666666666666671E-3</v>
      </c>
      <c r="T4624" s="107">
        <v>0</v>
      </c>
      <c r="U4624" s="107" t="s">
        <v>0</v>
      </c>
      <c r="V4624" s="107">
        <v>4.3321305299999988</v>
      </c>
      <c r="W4624" s="107" t="s">
        <v>15</v>
      </c>
      <c r="X4624" s="107">
        <v>0.4042675</v>
      </c>
      <c r="Y4624" s="107" t="s">
        <v>137</v>
      </c>
      <c r="Z4624" s="107">
        <v>11.434301970000003</v>
      </c>
      <c r="AA4624" s="107" t="s">
        <v>149</v>
      </c>
      <c r="AB4624" s="107">
        <v>0</v>
      </c>
      <c r="AE4624" s="358"/>
      <c r="AF4624" s="94">
        <f t="shared" si="628"/>
        <v>42338</v>
      </c>
      <c r="AG4624" s="185">
        <f t="shared" si="631"/>
        <v>-6.7541229385307266E-2</v>
      </c>
      <c r="AH4624" s="339" t="str">
        <f>VLOOKUP(B4624,'MF PF'!A:B,2)</f>
        <v>FdMgt2</v>
      </c>
      <c r="AI4624" s="358">
        <f t="shared" si="629"/>
        <v>0</v>
      </c>
      <c r="AJ4624" s="94">
        <f t="shared" si="630"/>
        <v>42338</v>
      </c>
    </row>
    <row r="4625" spans="1:36" ht="12.75" customHeight="1">
      <c r="A4625" s="8">
        <v>42369</v>
      </c>
      <c r="B4625" s="94" t="s">
        <v>19</v>
      </c>
      <c r="C4625" s="6" t="s">
        <v>297</v>
      </c>
      <c r="D4625" s="98">
        <v>78275984.417652145</v>
      </c>
      <c r="E4625" s="9">
        <f t="shared" si="625"/>
        <v>1565.52</v>
      </c>
      <c r="F4625" s="98"/>
      <c r="G4625" s="98">
        <v>0</v>
      </c>
      <c r="H4625" s="98">
        <v>-180.38779792189598</v>
      </c>
      <c r="I4625" s="98">
        <v>0</v>
      </c>
      <c r="J4625" s="98"/>
      <c r="K4625" s="98">
        <v>49999.990046535429</v>
      </c>
      <c r="L4625" s="93">
        <f t="shared" si="626"/>
        <v>-180.38779792189598</v>
      </c>
      <c r="M4625" s="95">
        <f t="shared" ca="1" si="627"/>
        <v>0</v>
      </c>
      <c r="N4625" s="95">
        <f ca="1">IF(P4625="Hedge Fund",IF(A4625=Summary!$AD$3,M4625-E4625,M4625),IF(A4625=Summary!$AD$3,L4625-D4625,L4625))</f>
        <v>0</v>
      </c>
      <c r="O4625" s="95"/>
      <c r="P4625" s="107" t="s">
        <v>139</v>
      </c>
      <c r="Q4625" s="107">
        <v>3.3333333333333333E-2</v>
      </c>
      <c r="R4625" s="107">
        <v>0</v>
      </c>
      <c r="S4625" s="107">
        <v>6.6666666666666671E-3</v>
      </c>
      <c r="T4625" s="107">
        <v>0</v>
      </c>
      <c r="U4625" s="107" t="s">
        <v>0</v>
      </c>
      <c r="V4625" s="107">
        <v>4.1940280799999989</v>
      </c>
      <c r="W4625" s="107" t="s">
        <v>15</v>
      </c>
      <c r="X4625" s="107">
        <v>0.39138000000000001</v>
      </c>
      <c r="Y4625" s="107" t="s">
        <v>137</v>
      </c>
      <c r="Z4625" s="107">
        <v>11.069791920000004</v>
      </c>
      <c r="AA4625" s="107" t="s">
        <v>149</v>
      </c>
      <c r="AB4625" s="107">
        <v>0</v>
      </c>
      <c r="AE4625" s="358"/>
      <c r="AF4625" s="94">
        <f t="shared" si="628"/>
        <v>42369</v>
      </c>
      <c r="AG4625" s="185">
        <f t="shared" si="631"/>
        <v>-3.1878644709258164E-2</v>
      </c>
      <c r="AH4625" s="339" t="str">
        <f>VLOOKUP(B4625,'MF PF'!A:B,2)</f>
        <v>FdMgt2</v>
      </c>
      <c r="AI4625" s="358">
        <f t="shared" si="629"/>
        <v>0</v>
      </c>
      <c r="AJ4625" s="94">
        <f t="shared" si="630"/>
        <v>42369</v>
      </c>
    </row>
    <row r="4626" spans="1:36" ht="12.75" customHeight="1">
      <c r="A4626" s="8">
        <v>42398</v>
      </c>
      <c r="B4626" s="94" t="s">
        <v>19</v>
      </c>
      <c r="C4626" s="6" t="s">
        <v>297</v>
      </c>
      <c r="D4626" s="98">
        <v>63262715.536859512</v>
      </c>
      <c r="E4626" s="9">
        <f t="shared" si="625"/>
        <v>1265.25</v>
      </c>
      <c r="F4626" s="98"/>
      <c r="G4626" s="98">
        <v>228.13048055768013</v>
      </c>
      <c r="H4626" s="98">
        <v>0</v>
      </c>
      <c r="I4626" s="98">
        <v>0</v>
      </c>
      <c r="J4626" s="98"/>
      <c r="K4626" s="98">
        <v>50000.170351202934</v>
      </c>
      <c r="L4626" s="93">
        <f t="shared" si="626"/>
        <v>228.13048055768013</v>
      </c>
      <c r="M4626" s="95">
        <f t="shared" ca="1" si="627"/>
        <v>0</v>
      </c>
      <c r="N4626" s="95">
        <f ca="1">IF(P4626="Hedge Fund",IF(A4626=Summary!$AD$3,M4626-E4626,M4626),IF(A4626=Summary!$AD$3,L4626-D4626,L4626))</f>
        <v>0</v>
      </c>
      <c r="O4626" s="95"/>
      <c r="P4626" s="107" t="s">
        <v>139</v>
      </c>
      <c r="Q4626" s="107">
        <v>3.3333333333333333E-2</v>
      </c>
      <c r="R4626" s="107">
        <v>0</v>
      </c>
      <c r="S4626" s="107">
        <v>6.6666666666666671E-3</v>
      </c>
      <c r="T4626" s="107">
        <v>0</v>
      </c>
      <c r="U4626" s="107" t="s">
        <v>0</v>
      </c>
      <c r="V4626" s="107">
        <v>3.3896047499999993</v>
      </c>
      <c r="W4626" s="107" t="s">
        <v>15</v>
      </c>
      <c r="X4626" s="107">
        <v>0.3163125</v>
      </c>
      <c r="Y4626" s="107" t="s">
        <v>137</v>
      </c>
      <c r="Z4626" s="107">
        <v>8.9465827500000028</v>
      </c>
      <c r="AA4626" s="107" t="s">
        <v>149</v>
      </c>
      <c r="AB4626" s="107">
        <v>0</v>
      </c>
      <c r="AE4626" s="358"/>
      <c r="AF4626" s="94">
        <f t="shared" si="628"/>
        <v>42398</v>
      </c>
      <c r="AG4626" s="185">
        <f t="shared" si="631"/>
        <v>-0.19180208493024675</v>
      </c>
      <c r="AH4626" s="339" t="str">
        <f>VLOOKUP(B4626,'MF PF'!A:B,2)</f>
        <v>FdMgt2</v>
      </c>
      <c r="AI4626" s="358">
        <f t="shared" si="629"/>
        <v>0</v>
      </c>
      <c r="AJ4626" s="94">
        <f t="shared" si="630"/>
        <v>42400</v>
      </c>
    </row>
    <row r="4627" spans="1:36" ht="12.75" customHeight="1">
      <c r="A4627" s="8">
        <v>42429</v>
      </c>
      <c r="B4627" s="94" t="s">
        <v>19</v>
      </c>
      <c r="C4627" s="6" t="s">
        <v>297</v>
      </c>
      <c r="D4627" s="98">
        <v>66387548.122993052</v>
      </c>
      <c r="E4627" s="9">
        <f t="shared" si="625"/>
        <v>1327.7499999999998</v>
      </c>
      <c r="F4627" s="98"/>
      <c r="G4627" s="98">
        <v>0</v>
      </c>
      <c r="H4627" s="98">
        <v>-178.06081663072109</v>
      </c>
      <c r="I4627" s="98">
        <v>0</v>
      </c>
      <c r="J4627" s="98"/>
      <c r="K4627" s="98">
        <v>50000.036244016614</v>
      </c>
      <c r="L4627" s="93">
        <f t="shared" si="626"/>
        <v>-178.06081663072109</v>
      </c>
      <c r="M4627" s="95">
        <f t="shared" ca="1" si="627"/>
        <v>0</v>
      </c>
      <c r="N4627" s="95">
        <f ca="1">IF(P4627="Hedge Fund",IF(A4627=Summary!$AD$3,M4627-E4627,M4627),IF(A4627=Summary!$AD$3,L4627-D4627,L4627))</f>
        <v>0</v>
      </c>
      <c r="O4627" s="95"/>
      <c r="P4627" s="107" t="s">
        <v>139</v>
      </c>
      <c r="Q4627" s="107">
        <v>3.3333333333333333E-2</v>
      </c>
      <c r="R4627" s="107">
        <v>0</v>
      </c>
      <c r="S4627" s="107">
        <v>6.6666666666666671E-3</v>
      </c>
      <c r="T4627" s="107">
        <v>0</v>
      </c>
      <c r="U4627" s="107" t="s">
        <v>0</v>
      </c>
      <c r="V4627" s="107">
        <v>3.5570422499999994</v>
      </c>
      <c r="W4627" s="107" t="s">
        <v>15</v>
      </c>
      <c r="X4627" s="107">
        <v>0.3319375</v>
      </c>
      <c r="Y4627" s="107" t="s">
        <v>137</v>
      </c>
      <c r="Z4627" s="107">
        <v>9.3885202500000027</v>
      </c>
      <c r="AA4627" s="107" t="s">
        <v>149</v>
      </c>
      <c r="AB4627" s="107">
        <v>0</v>
      </c>
      <c r="AE4627" s="358"/>
      <c r="AF4627" s="94">
        <f t="shared" si="628"/>
        <v>42429</v>
      </c>
      <c r="AG4627" s="185">
        <f t="shared" si="631"/>
        <v>4.9397352301916442E-2</v>
      </c>
      <c r="AH4627" s="339" t="str">
        <f>VLOOKUP(B4627,'MF PF'!A:B,2)</f>
        <v>FdMgt2</v>
      </c>
      <c r="AI4627" s="358">
        <f t="shared" si="629"/>
        <v>0</v>
      </c>
      <c r="AJ4627" s="94">
        <f t="shared" si="630"/>
        <v>42429</v>
      </c>
    </row>
    <row r="4628" spans="1:36" ht="12.75" customHeight="1">
      <c r="A4628" s="8">
        <v>42460</v>
      </c>
      <c r="B4628" s="94" t="s">
        <v>19</v>
      </c>
      <c r="C4628" s="6" t="s">
        <v>297</v>
      </c>
      <c r="D4628" s="98">
        <v>74258403.319707036</v>
      </c>
      <c r="E4628" s="9">
        <f t="shared" si="625"/>
        <v>1327.75</v>
      </c>
      <c r="F4628" s="98"/>
      <c r="G4628" s="98">
        <v>0</v>
      </c>
      <c r="H4628" s="98">
        <v>0</v>
      </c>
      <c r="I4628" s="98">
        <v>0</v>
      </c>
      <c r="J4628" s="98"/>
      <c r="K4628" s="98">
        <v>55928.000993942413</v>
      </c>
      <c r="L4628" s="93">
        <f t="shared" si="626"/>
        <v>0</v>
      </c>
      <c r="M4628" s="95">
        <f t="shared" ca="1" si="627"/>
        <v>0</v>
      </c>
      <c r="N4628" s="95">
        <f ca="1">IF(P4628="Hedge Fund",IF(A4628=Summary!$AD$3,M4628-E4628,M4628),IF(A4628=Summary!$AD$3,L4628-D4628,L4628))</f>
        <v>0</v>
      </c>
      <c r="O4628" s="95"/>
      <c r="P4628" s="107" t="s">
        <v>139</v>
      </c>
      <c r="Q4628" s="107">
        <v>3.3333333333333333E-2</v>
      </c>
      <c r="R4628" s="107">
        <v>0</v>
      </c>
      <c r="S4628" s="107">
        <v>6.6666666666666671E-3</v>
      </c>
      <c r="T4628" s="107">
        <v>0</v>
      </c>
      <c r="U4628" s="107" t="s">
        <v>0</v>
      </c>
      <c r="V4628" s="107">
        <v>3.5570422499999994</v>
      </c>
      <c r="W4628" s="107" t="s">
        <v>15</v>
      </c>
      <c r="X4628" s="107">
        <v>0.3319375</v>
      </c>
      <c r="Y4628" s="107" t="s">
        <v>137</v>
      </c>
      <c r="Z4628" s="107">
        <v>9.3885202500000027</v>
      </c>
      <c r="AA4628" s="107" t="s">
        <v>149</v>
      </c>
      <c r="AB4628" s="107">
        <v>0</v>
      </c>
      <c r="AE4628" s="358"/>
      <c r="AF4628" s="94">
        <f t="shared" si="628"/>
        <v>42460</v>
      </c>
      <c r="AG4628" s="185">
        <f t="shared" si="631"/>
        <v>0.11855920905727713</v>
      </c>
      <c r="AH4628" s="339" t="str">
        <f>VLOOKUP(B4628,'MF PF'!A:B,2)</f>
        <v>FdMgt2</v>
      </c>
      <c r="AI4628" s="358">
        <f t="shared" si="629"/>
        <v>0</v>
      </c>
      <c r="AJ4628" s="94">
        <f t="shared" si="630"/>
        <v>42460</v>
      </c>
    </row>
    <row r="4629" spans="1:36" ht="12.75" customHeight="1">
      <c r="A4629" s="8">
        <v>42489</v>
      </c>
      <c r="B4629" s="94" t="s">
        <v>19</v>
      </c>
      <c r="C4629" s="358" t="s">
        <v>297</v>
      </c>
      <c r="D4629" s="98">
        <v>87638884.141781285</v>
      </c>
      <c r="E4629" s="9">
        <f t="shared" si="625"/>
        <v>1542.49</v>
      </c>
      <c r="F4629" s="98"/>
      <c r="G4629" s="98">
        <v>10000000</v>
      </c>
      <c r="H4629" s="98">
        <v>0</v>
      </c>
      <c r="I4629" s="98">
        <v>0</v>
      </c>
      <c r="J4629" s="98"/>
      <c r="K4629" s="98">
        <v>56816.500685113868</v>
      </c>
      <c r="L4629" s="93">
        <f t="shared" si="626"/>
        <v>10000000</v>
      </c>
      <c r="M4629" s="95">
        <f t="shared" ca="1" si="627"/>
        <v>0</v>
      </c>
      <c r="N4629" s="95">
        <f ca="1">IF(P4629="Hedge Fund",IF(A4629=Summary!$AD$3,M4629-E4629,M4629),IF(A4629=Summary!$AD$3,L4629-D4629,L4629))</f>
        <v>0</v>
      </c>
      <c r="O4629" s="95"/>
      <c r="P4629" s="107" t="s">
        <v>139</v>
      </c>
      <c r="Q4629" s="107">
        <v>3.3333333333333333E-2</v>
      </c>
      <c r="R4629" s="107">
        <v>0</v>
      </c>
      <c r="S4629" s="107">
        <v>6.6666666666666671E-3</v>
      </c>
      <c r="T4629" s="107">
        <v>0</v>
      </c>
      <c r="U4629" s="107" t="s">
        <v>0</v>
      </c>
      <c r="V4629" s="107">
        <v>4.1323307099999997</v>
      </c>
      <c r="W4629" s="107" t="s">
        <v>15</v>
      </c>
      <c r="X4629" s="107">
        <v>0.85876588259999997</v>
      </c>
      <c r="Y4629" s="107" t="s">
        <v>137</v>
      </c>
      <c r="Z4629" s="107">
        <v>10.906946790000001</v>
      </c>
      <c r="AA4629" s="107" t="s">
        <v>149</v>
      </c>
      <c r="AB4629" s="107">
        <v>0.57829492589999998</v>
      </c>
      <c r="AE4629" s="358"/>
      <c r="AF4629" s="94">
        <f t="shared" si="628"/>
        <v>42489</v>
      </c>
      <c r="AG4629" s="185">
        <f t="shared" si="631"/>
        <v>4.5523209104296969E-2</v>
      </c>
      <c r="AH4629" s="339" t="str">
        <f>VLOOKUP(B4629,'MF PF'!A:B,2)</f>
        <v>FdMgt2</v>
      </c>
      <c r="AI4629" s="358">
        <f t="shared" si="629"/>
        <v>0</v>
      </c>
      <c r="AJ4629" s="94">
        <f t="shared" si="630"/>
        <v>42490</v>
      </c>
    </row>
    <row r="4630" spans="1:36" ht="12.75" customHeight="1">
      <c r="A4630" s="8">
        <v>42521</v>
      </c>
      <c r="B4630" s="94" t="s">
        <v>19</v>
      </c>
      <c r="C4630" s="6" t="s">
        <v>297</v>
      </c>
      <c r="D4630" s="98">
        <v>86791425.474924549</v>
      </c>
      <c r="E4630" s="9">
        <f t="shared" si="625"/>
        <v>1527.58</v>
      </c>
      <c r="F4630" s="98"/>
      <c r="G4630" s="98">
        <v>0</v>
      </c>
      <c r="H4630" s="98">
        <v>-324.6416416913271</v>
      </c>
      <c r="I4630" s="98">
        <v>0</v>
      </c>
      <c r="J4630" s="98"/>
      <c r="K4630" s="98">
        <v>56816.288164891237</v>
      </c>
      <c r="L4630" s="93">
        <f t="shared" si="626"/>
        <v>-324.6416416913271</v>
      </c>
      <c r="M4630" s="95">
        <f t="shared" ca="1" si="627"/>
        <v>0</v>
      </c>
      <c r="N4630" s="95">
        <f ca="1">IF(P4630="Hedge Fund",IF(A4630=Summary!$AD$3,M4630-E4630,M4630),IF(A4630=Summary!$AD$3,L4630-D4630,L4630))</f>
        <v>0</v>
      </c>
      <c r="O4630" s="95"/>
      <c r="P4630" s="107" t="s">
        <v>139</v>
      </c>
      <c r="Q4630" s="107">
        <v>3.3333333333333333E-2</v>
      </c>
      <c r="R4630" s="107">
        <v>0</v>
      </c>
      <c r="S4630" s="107">
        <v>6.6666666666666671E-3</v>
      </c>
      <c r="T4630" s="107">
        <v>0</v>
      </c>
      <c r="U4630" s="107" t="s">
        <v>0</v>
      </c>
      <c r="V4630" s="107">
        <v>4.0923868199999998</v>
      </c>
      <c r="W4630" s="107" t="s">
        <v>15</v>
      </c>
      <c r="X4630" s="107">
        <v>0.85046488919999996</v>
      </c>
      <c r="Y4630" s="107" t="s">
        <v>137</v>
      </c>
      <c r="Z4630" s="107">
        <v>10.80151818</v>
      </c>
      <c r="AA4630" s="107" t="s">
        <v>149</v>
      </c>
      <c r="AB4630" s="107">
        <v>0.57270501779999994</v>
      </c>
      <c r="AE4630" s="358"/>
      <c r="AF4630" s="94">
        <f t="shared" si="628"/>
        <v>42521</v>
      </c>
      <c r="AG4630" s="185">
        <f t="shared" si="631"/>
        <v>-9.666189083883836E-3</v>
      </c>
      <c r="AH4630" s="339" t="str">
        <f>VLOOKUP(B4630,'MF PF'!A:B,2)</f>
        <v>FdMgt2</v>
      </c>
      <c r="AI4630" s="358">
        <f t="shared" si="629"/>
        <v>0</v>
      </c>
      <c r="AJ4630" s="94">
        <f t="shared" si="630"/>
        <v>42521</v>
      </c>
    </row>
    <row r="4631" spans="1:36" ht="12.75" customHeight="1">
      <c r="A4631" s="8">
        <v>42551</v>
      </c>
      <c r="B4631" s="94" t="s">
        <v>19</v>
      </c>
      <c r="C4631" s="6" t="s">
        <v>297</v>
      </c>
      <c r="D4631" s="98">
        <v>86099971.131198362</v>
      </c>
      <c r="E4631" s="9">
        <f t="shared" si="625"/>
        <v>1515.41</v>
      </c>
      <c r="F4631" s="98"/>
      <c r="G4631" s="98">
        <v>0</v>
      </c>
      <c r="H4631" s="98">
        <v>-0.11675947904586792</v>
      </c>
      <c r="I4631" s="98">
        <v>0</v>
      </c>
      <c r="J4631" s="98"/>
      <c r="K4631" s="98">
        <v>56816.288087843132</v>
      </c>
      <c r="L4631" s="93">
        <f t="shared" si="626"/>
        <v>-0.11675947904586792</v>
      </c>
      <c r="M4631" s="95">
        <f t="shared" ca="1" si="627"/>
        <v>0</v>
      </c>
      <c r="N4631" s="95">
        <f ca="1">IF(P4631="Hedge Fund",IF(A4631=Summary!$AD$3,M4631-E4631,M4631),IF(A4631=Summary!$AD$3,L4631-D4631,L4631))</f>
        <v>0</v>
      </c>
      <c r="O4631" s="95"/>
      <c r="P4631" s="107" t="s">
        <v>139</v>
      </c>
      <c r="Q4631" s="107">
        <v>3.3333333333333333E-2</v>
      </c>
      <c r="R4631" s="107">
        <v>0</v>
      </c>
      <c r="S4631" s="107">
        <v>6.6666666666666671E-3</v>
      </c>
      <c r="T4631" s="107">
        <v>0</v>
      </c>
      <c r="U4631" s="107" t="s">
        <v>0</v>
      </c>
      <c r="V4631" s="107">
        <v>4.0597833899999998</v>
      </c>
      <c r="W4631" s="107" t="s">
        <v>15</v>
      </c>
      <c r="X4631" s="107">
        <v>0.84368936340000011</v>
      </c>
      <c r="Y4631" s="107" t="s">
        <v>137</v>
      </c>
      <c r="Z4631" s="107">
        <v>10.715464110000003</v>
      </c>
      <c r="AA4631" s="107" t="s">
        <v>149</v>
      </c>
      <c r="AB4631" s="107">
        <v>0.56814236309999999</v>
      </c>
      <c r="AE4631" s="358"/>
      <c r="AF4631" s="94">
        <f t="shared" si="628"/>
        <v>42551</v>
      </c>
      <c r="AG4631" s="185">
        <f t="shared" si="631"/>
        <v>-7.9668495267021244E-3</v>
      </c>
      <c r="AH4631" s="339" t="str">
        <f>VLOOKUP(B4631,'MF PF'!A:B,2)</f>
        <v>FdMgt2</v>
      </c>
      <c r="AI4631" s="358">
        <f t="shared" si="629"/>
        <v>0</v>
      </c>
      <c r="AJ4631" s="94">
        <f t="shared" si="630"/>
        <v>42551</v>
      </c>
    </row>
    <row r="4632" spans="1:36" ht="12.75" customHeight="1">
      <c r="A4632" s="8">
        <v>42580</v>
      </c>
      <c r="B4632" s="94" t="s">
        <v>19</v>
      </c>
      <c r="C4632" s="6" t="s">
        <v>297</v>
      </c>
      <c r="D4632" s="98">
        <v>94231012.532591999</v>
      </c>
      <c r="E4632" s="9">
        <f t="shared" si="625"/>
        <v>1658.5199999999998</v>
      </c>
      <c r="F4632" s="98"/>
      <c r="G4632" s="98">
        <v>62.413142427802086</v>
      </c>
      <c r="H4632" s="98">
        <v>0</v>
      </c>
      <c r="I4632" s="98">
        <v>0</v>
      </c>
      <c r="J4632" s="98"/>
      <c r="K4632" s="98">
        <v>56816.325719672968</v>
      </c>
      <c r="L4632" s="93">
        <f t="shared" si="626"/>
        <v>62.413142427802086</v>
      </c>
      <c r="M4632" s="95">
        <f t="shared" ca="1" si="627"/>
        <v>0</v>
      </c>
      <c r="N4632" s="95">
        <f ca="1">IF(P4632="Hedge Fund",IF(A4632=Summary!$AD$3,M4632-E4632,M4632),IF(A4632=Summary!$AD$3,L4632-D4632,L4632))</f>
        <v>0</v>
      </c>
      <c r="O4632" s="95"/>
      <c r="P4632" s="107" t="s">
        <v>139</v>
      </c>
      <c r="Q4632" s="107">
        <v>3.3333333333333333E-2</v>
      </c>
      <c r="R4632" s="107">
        <v>0</v>
      </c>
      <c r="S4632" s="107">
        <v>6.6666666666666671E-3</v>
      </c>
      <c r="T4632" s="107">
        <v>0</v>
      </c>
      <c r="U4632" s="107" t="s">
        <v>0</v>
      </c>
      <c r="V4632" s="107">
        <v>4.4431750799999987</v>
      </c>
      <c r="W4632" s="107" t="s">
        <v>15</v>
      </c>
      <c r="X4632" s="107">
        <v>0.92336442480000003</v>
      </c>
      <c r="Y4632" s="107" t="s">
        <v>137</v>
      </c>
      <c r="Z4632" s="107">
        <v>11.727394920000004</v>
      </c>
      <c r="AA4632" s="107" t="s">
        <v>149</v>
      </c>
      <c r="AB4632" s="107">
        <v>0.62179573320000003</v>
      </c>
      <c r="AE4632" s="358"/>
      <c r="AF4632" s="94">
        <f t="shared" si="628"/>
        <v>42580</v>
      </c>
      <c r="AG4632" s="185">
        <f t="shared" si="631"/>
        <v>9.4436489134953394E-2</v>
      </c>
      <c r="AH4632" s="339" t="str">
        <f>VLOOKUP(B4632,'MF PF'!A:B,2)</f>
        <v>FdMgt2</v>
      </c>
      <c r="AI4632" s="358">
        <f t="shared" si="629"/>
        <v>0</v>
      </c>
      <c r="AJ4632" s="94">
        <f t="shared" si="630"/>
        <v>42582</v>
      </c>
    </row>
    <row r="4633" spans="1:36" ht="12.75" customHeight="1">
      <c r="A4633" s="8">
        <v>42613</v>
      </c>
      <c r="B4633" s="94" t="s">
        <v>19</v>
      </c>
      <c r="C4633" s="6" t="s">
        <v>297</v>
      </c>
      <c r="D4633" s="98">
        <v>97101597.688332304</v>
      </c>
      <c r="E4633" s="9">
        <f t="shared" si="625"/>
        <v>1709.04</v>
      </c>
      <c r="F4633" s="98"/>
      <c r="G4633" s="98">
        <v>224.38038241863251</v>
      </c>
      <c r="H4633" s="98">
        <v>0</v>
      </c>
      <c r="I4633" s="98">
        <v>0</v>
      </c>
      <c r="J4633" s="98"/>
      <c r="K4633" s="98">
        <v>56816.457009977712</v>
      </c>
      <c r="L4633" s="93">
        <f t="shared" si="626"/>
        <v>224.38038241863251</v>
      </c>
      <c r="M4633" s="95">
        <f t="shared" ca="1" si="627"/>
        <v>0</v>
      </c>
      <c r="N4633" s="95">
        <f ca="1">IF(P4633="Hedge Fund",IF(A4633=Summary!$AD$3,M4633-E4633,M4633),IF(A4633=Summary!$AD$3,L4633-D4633,L4633))</f>
        <v>0</v>
      </c>
      <c r="O4633" s="95"/>
      <c r="P4633" s="107" t="s">
        <v>139</v>
      </c>
      <c r="Q4633" s="107">
        <v>3.3333333333333333E-2</v>
      </c>
      <c r="R4633" s="107">
        <v>0</v>
      </c>
      <c r="S4633" s="107">
        <v>6.6666666666666671E-3</v>
      </c>
      <c r="T4633" s="107">
        <v>0</v>
      </c>
      <c r="U4633" s="107" t="s">
        <v>0</v>
      </c>
      <c r="V4633" s="107">
        <v>4.578518159999998</v>
      </c>
      <c r="W4633" s="107" t="s">
        <v>15</v>
      </c>
      <c r="X4633" s="107">
        <v>0.95149092960000003</v>
      </c>
      <c r="Y4633" s="107" t="s">
        <v>137</v>
      </c>
      <c r="Z4633" s="107">
        <v>12.084621840000004</v>
      </c>
      <c r="AA4633" s="107" t="s">
        <v>149</v>
      </c>
      <c r="AB4633" s="107">
        <v>0.64073618639999996</v>
      </c>
      <c r="AE4633" s="358"/>
      <c r="AF4633" s="94">
        <f t="shared" si="628"/>
        <v>42613</v>
      </c>
      <c r="AG4633" s="185">
        <f t="shared" si="631"/>
        <v>3.0460892844222709E-2</v>
      </c>
      <c r="AH4633" s="339" t="str">
        <f>VLOOKUP(B4633,'MF PF'!A:B,2)</f>
        <v>FdMgt2</v>
      </c>
      <c r="AI4633" s="358">
        <f t="shared" si="629"/>
        <v>0</v>
      </c>
      <c r="AJ4633" s="94">
        <f t="shared" si="630"/>
        <v>42613</v>
      </c>
    </row>
    <row r="4634" spans="1:36" ht="12.75" customHeight="1">
      <c r="A4634" s="8">
        <v>42643</v>
      </c>
      <c r="B4634" s="94" t="s">
        <v>19</v>
      </c>
      <c r="C4634" s="6" t="s">
        <v>297</v>
      </c>
      <c r="D4634" s="98">
        <v>95200452.512183696</v>
      </c>
      <c r="E4634" s="9">
        <f t="shared" si="625"/>
        <v>1675.5799999999997</v>
      </c>
      <c r="F4634" s="98"/>
      <c r="G4634" s="98">
        <v>0</v>
      </c>
      <c r="H4634" s="98">
        <v>-66.524594739079475</v>
      </c>
      <c r="I4634" s="98">
        <v>0</v>
      </c>
      <c r="J4634" s="98"/>
      <c r="K4634" s="98">
        <v>56816.417307549455</v>
      </c>
      <c r="L4634" s="93">
        <f t="shared" si="626"/>
        <v>-66.524594739079475</v>
      </c>
      <c r="M4634" s="95">
        <f t="shared" ca="1" si="627"/>
        <v>0</v>
      </c>
      <c r="N4634" s="95">
        <f ca="1">IF(P4634="Hedge Fund",IF(A4634=Summary!$AD$3,M4634-E4634,M4634),IF(A4634=Summary!$AD$3,L4634-D4634,L4634))</f>
        <v>0</v>
      </c>
      <c r="O4634" s="95"/>
      <c r="P4634" s="107" t="s">
        <v>139</v>
      </c>
      <c r="Q4634" s="107">
        <v>3.3333333333333333E-2</v>
      </c>
      <c r="R4634" s="107">
        <v>0</v>
      </c>
      <c r="S4634" s="107">
        <v>6.6666666666666671E-3</v>
      </c>
      <c r="T4634" s="107">
        <v>0</v>
      </c>
      <c r="U4634" s="107" t="s">
        <v>0</v>
      </c>
      <c r="V4634" s="107">
        <v>4.4888788199999983</v>
      </c>
      <c r="W4634" s="107" t="s">
        <v>15</v>
      </c>
      <c r="X4634" s="107">
        <v>0.93286240919999996</v>
      </c>
      <c r="Y4634" s="107" t="s">
        <v>137</v>
      </c>
      <c r="Z4634" s="107">
        <v>11.848026180000003</v>
      </c>
      <c r="AA4634" s="107" t="s">
        <v>149</v>
      </c>
      <c r="AB4634" s="107">
        <v>0.62819169779999995</v>
      </c>
      <c r="AE4634" s="358"/>
      <c r="AF4634" s="94">
        <f t="shared" si="628"/>
        <v>42643</v>
      </c>
      <c r="AG4634" s="185">
        <f t="shared" si="631"/>
        <v>-1.9578242756167374E-2</v>
      </c>
      <c r="AH4634" s="339" t="str">
        <f>VLOOKUP(B4634,'MF PF'!A:B,2)</f>
        <v>FdMgt2</v>
      </c>
      <c r="AI4634" s="358">
        <f t="shared" si="629"/>
        <v>0</v>
      </c>
      <c r="AJ4634" s="94">
        <f t="shared" si="630"/>
        <v>42643</v>
      </c>
    </row>
    <row r="4635" spans="1:36" ht="12.75" customHeight="1">
      <c r="A4635" s="8">
        <v>42674</v>
      </c>
      <c r="B4635" s="94" t="s">
        <v>19</v>
      </c>
      <c r="C4635" s="6" t="s">
        <v>297</v>
      </c>
      <c r="D4635" s="98">
        <v>97927163.872442886</v>
      </c>
      <c r="E4635" s="9">
        <f t="shared" si="625"/>
        <v>1723.57</v>
      </c>
      <c r="F4635" s="98"/>
      <c r="G4635" s="98">
        <v>91.493669882416725</v>
      </c>
      <c r="H4635" s="98">
        <v>0</v>
      </c>
      <c r="I4635" s="98">
        <v>0</v>
      </c>
      <c r="J4635" s="98"/>
      <c r="K4635" s="98">
        <v>56816.470391363793</v>
      </c>
      <c r="L4635" s="93">
        <f t="shared" si="626"/>
        <v>91.493669882416725</v>
      </c>
      <c r="M4635" s="95">
        <f t="shared" ca="1" si="627"/>
        <v>0</v>
      </c>
      <c r="N4635" s="95">
        <f ca="1">IF(P4635="Hedge Fund",IF(A4635=Summary!$AD$3,M4635-E4635,M4635),IF(A4635=Summary!$AD$3,L4635-D4635,L4635))</f>
        <v>0</v>
      </c>
      <c r="O4635" s="95"/>
      <c r="P4635" s="107" t="s">
        <v>139</v>
      </c>
      <c r="Q4635" s="107">
        <v>3.3333333333333333E-2</v>
      </c>
      <c r="R4635" s="107">
        <v>0</v>
      </c>
      <c r="S4635" s="107">
        <v>6.6666666666666671E-3</v>
      </c>
      <c r="T4635" s="107">
        <v>0</v>
      </c>
      <c r="U4635" s="107" t="s">
        <v>0</v>
      </c>
      <c r="V4635" s="107">
        <v>4.6174440300000006</v>
      </c>
      <c r="W4635" s="107" t="s">
        <v>15</v>
      </c>
      <c r="X4635" s="107">
        <v>0</v>
      </c>
      <c r="Y4635" s="107" t="s">
        <v>137</v>
      </c>
      <c r="Z4635" s="107">
        <v>12.187363469999999</v>
      </c>
      <c r="AA4635" s="107" t="s">
        <v>149</v>
      </c>
      <c r="AB4635" s="107">
        <v>0.64616639299999989</v>
      </c>
      <c r="AE4635" s="358"/>
      <c r="AF4635" s="94">
        <f t="shared" si="628"/>
        <v>42674</v>
      </c>
      <c r="AG4635" s="185">
        <f t="shared" si="631"/>
        <v>2.8640828847324551E-2</v>
      </c>
      <c r="AH4635" s="339" t="str">
        <f>VLOOKUP(B4635,'MF PF'!A:B,2)</f>
        <v>FdMgt2</v>
      </c>
      <c r="AI4635" s="358">
        <f t="shared" si="629"/>
        <v>0</v>
      </c>
      <c r="AJ4635" s="94">
        <f t="shared" si="630"/>
        <v>42674</v>
      </c>
    </row>
    <row r="4636" spans="1:36" ht="12.75" customHeight="1">
      <c r="A4636" s="8">
        <v>42704</v>
      </c>
      <c r="B4636" s="94" t="s">
        <v>19</v>
      </c>
      <c r="C4636" s="6" t="s">
        <v>297</v>
      </c>
      <c r="D4636" s="98">
        <v>103433048.199292</v>
      </c>
      <c r="E4636" s="9">
        <f t="shared" si="625"/>
        <v>1820.4799999999998</v>
      </c>
      <c r="F4636" s="98"/>
      <c r="G4636" s="98">
        <v>0</v>
      </c>
      <c r="H4636" s="98">
        <v>-199.81877794861794</v>
      </c>
      <c r="I4636" s="98">
        <v>0</v>
      </c>
      <c r="J4636" s="98"/>
      <c r="K4636" s="98">
        <v>56816.360629774572</v>
      </c>
      <c r="L4636" s="93">
        <f t="shared" si="626"/>
        <v>-199.81877794861794</v>
      </c>
      <c r="M4636" s="95">
        <f t="shared" ca="1" si="627"/>
        <v>0</v>
      </c>
      <c r="N4636" s="95">
        <f ca="1">IF(P4636="Hedge Fund",IF(A4636=Summary!$AD$3,M4636-E4636,M4636),IF(A4636=Summary!$AD$3,L4636-D4636,L4636))</f>
        <v>0</v>
      </c>
      <c r="O4636" s="95"/>
      <c r="P4636" s="107" t="s">
        <v>139</v>
      </c>
      <c r="Q4636" s="107">
        <v>3.3333333333333333E-2</v>
      </c>
      <c r="R4636" s="107">
        <v>0</v>
      </c>
      <c r="S4636" s="107">
        <v>6.6666666666666671E-3</v>
      </c>
      <c r="T4636" s="107">
        <v>0</v>
      </c>
      <c r="U4636" s="107" t="s">
        <v>0</v>
      </c>
      <c r="V4636" s="107">
        <v>4.8770659199999997</v>
      </c>
      <c r="W4636" s="107" t="s">
        <v>15</v>
      </c>
      <c r="X4636" s="107">
        <v>0</v>
      </c>
      <c r="Y4636" s="107" t="s">
        <v>137</v>
      </c>
      <c r="Z4636" s="107">
        <v>12.87261408</v>
      </c>
      <c r="AA4636" s="107" t="s">
        <v>149</v>
      </c>
      <c r="AB4636" s="107">
        <v>0.68249795199999996</v>
      </c>
      <c r="AE4636" s="358"/>
      <c r="AF4636" s="94">
        <f t="shared" si="628"/>
        <v>42704</v>
      </c>
      <c r="AG4636" s="185">
        <f t="shared" si="631"/>
        <v>5.6226320950121034E-2</v>
      </c>
      <c r="AH4636" s="339" t="str">
        <f>VLOOKUP(B4636,'MF PF'!A:B,2)</f>
        <v>FdMgt2</v>
      </c>
      <c r="AI4636" s="358">
        <f t="shared" si="629"/>
        <v>0</v>
      </c>
      <c r="AJ4636" s="94">
        <f t="shared" si="630"/>
        <v>42704</v>
      </c>
    </row>
    <row r="4637" spans="1:36" ht="12.75" customHeight="1">
      <c r="A4637" s="8">
        <v>42734</v>
      </c>
      <c r="B4637" s="94" t="s">
        <v>19</v>
      </c>
      <c r="C4637" s="6" t="s">
        <v>297</v>
      </c>
      <c r="D4637" s="98">
        <v>105802499.43129019</v>
      </c>
      <c r="E4637" s="9">
        <f t="shared" si="625"/>
        <v>1862.18</v>
      </c>
      <c r="F4637" s="98"/>
      <c r="G4637" s="98">
        <v>208.99373658001423</v>
      </c>
      <c r="H4637" s="98">
        <v>0</v>
      </c>
      <c r="I4637" s="98">
        <v>0</v>
      </c>
      <c r="J4637" s="98"/>
      <c r="K4637" s="98">
        <v>56816.472860459347</v>
      </c>
      <c r="L4637" s="93">
        <f t="shared" si="626"/>
        <v>208.99373658001423</v>
      </c>
      <c r="M4637" s="95">
        <f t="shared" ca="1" si="627"/>
        <v>0</v>
      </c>
      <c r="N4637" s="95">
        <f ca="1">IF(P4637="Hedge Fund",IF(A4637=Summary!$AD$3,M4637-E4637,M4637),IF(A4637=Summary!$AD$3,L4637-D4637,L4637))</f>
        <v>0</v>
      </c>
      <c r="O4637" s="95"/>
      <c r="P4637" s="107" t="s">
        <v>139</v>
      </c>
      <c r="Q4637" s="107">
        <v>3.3333333333333333E-2</v>
      </c>
      <c r="R4637" s="107">
        <v>0</v>
      </c>
      <c r="S4637" s="107">
        <v>6.6666666666666671E-3</v>
      </c>
      <c r="T4637" s="107">
        <v>0</v>
      </c>
      <c r="U4637" s="107" t="s">
        <v>0</v>
      </c>
      <c r="V4637" s="107">
        <v>4.9887802199999998</v>
      </c>
      <c r="W4637" s="107" t="s">
        <v>15</v>
      </c>
      <c r="X4637" s="107">
        <v>0</v>
      </c>
      <c r="Y4637" s="107" t="s">
        <v>137</v>
      </c>
      <c r="Z4637" s="107">
        <v>13.167474780000001</v>
      </c>
      <c r="AA4637" s="107" t="s">
        <v>149</v>
      </c>
      <c r="AB4637" s="107">
        <v>0.69813128199999996</v>
      </c>
      <c r="AE4637" s="358"/>
      <c r="AF4637" s="94">
        <f t="shared" si="628"/>
        <v>42734</v>
      </c>
      <c r="AG4637" s="185">
        <f t="shared" si="631"/>
        <v>2.2906046756899334E-2</v>
      </c>
      <c r="AH4637" s="339" t="str">
        <f>VLOOKUP(B4637,'MF PF'!A:B,2)</f>
        <v>FdMgt2</v>
      </c>
      <c r="AI4637" s="358">
        <f t="shared" si="629"/>
        <v>0</v>
      </c>
      <c r="AJ4637" s="94">
        <f t="shared" si="630"/>
        <v>42735</v>
      </c>
    </row>
    <row r="4638" spans="1:36" ht="12.75" customHeight="1">
      <c r="A4638" s="8">
        <v>42762</v>
      </c>
      <c r="B4638" s="94" t="s">
        <v>19</v>
      </c>
      <c r="C4638" s="6" t="s">
        <v>297</v>
      </c>
      <c r="D4638" s="98">
        <v>105821795.07890099</v>
      </c>
      <c r="E4638" s="9">
        <f t="shared" si="625"/>
        <v>1862.5199999999998</v>
      </c>
      <c r="F4638" s="98"/>
      <c r="G4638" s="98">
        <v>0</v>
      </c>
      <c r="H4638" s="98">
        <v>-21.953161731362343</v>
      </c>
      <c r="I4638" s="98">
        <v>0</v>
      </c>
      <c r="J4638" s="98"/>
      <c r="K4638" s="98">
        <v>56816.461073653438</v>
      </c>
      <c r="L4638" s="93">
        <f t="shared" si="626"/>
        <v>-21.953161731362343</v>
      </c>
      <c r="M4638" s="95">
        <f t="shared" ca="1" si="627"/>
        <v>0</v>
      </c>
      <c r="N4638" s="95">
        <f ca="1">IF(P4638="Hedge Fund",IF(A4638=Summary!$AD$3,M4638-E4638,M4638),IF(A4638=Summary!$AD$3,L4638-D4638,L4638))</f>
        <v>0</v>
      </c>
      <c r="O4638" s="95"/>
      <c r="P4638" s="107" t="s">
        <v>139</v>
      </c>
      <c r="Q4638" s="107">
        <v>3.3333333333333333E-2</v>
      </c>
      <c r="R4638" s="107">
        <v>0</v>
      </c>
      <c r="S4638" s="107">
        <v>6.6666666666666671E-3</v>
      </c>
      <c r="T4638" s="107">
        <v>0</v>
      </c>
      <c r="U4638" s="107" t="s">
        <v>0</v>
      </c>
      <c r="V4638" s="107">
        <v>4.9896910800000001</v>
      </c>
      <c r="W4638" s="107" t="s">
        <v>15</v>
      </c>
      <c r="X4638" s="107">
        <v>0</v>
      </c>
      <c r="Y4638" s="107" t="s">
        <v>137</v>
      </c>
      <c r="Z4638" s="107">
        <v>13.16987892</v>
      </c>
      <c r="AA4638" s="107" t="s">
        <v>149</v>
      </c>
      <c r="AB4638" s="107">
        <v>0.69825874799999987</v>
      </c>
      <c r="AE4638" s="358"/>
      <c r="AF4638" s="94">
        <f t="shared" si="628"/>
        <v>42762</v>
      </c>
      <c r="AG4638" s="185">
        <f t="shared" si="631"/>
        <v>1.8258170531293416E-4</v>
      </c>
      <c r="AH4638" s="339" t="str">
        <f>VLOOKUP(B4638,'MF PF'!A:B,2)</f>
        <v>FdMgt2</v>
      </c>
      <c r="AI4638" s="358">
        <f t="shared" si="629"/>
        <v>0</v>
      </c>
      <c r="AJ4638" s="94">
        <f t="shared" si="630"/>
        <v>42766</v>
      </c>
    </row>
    <row r="4639" spans="1:36" ht="12.75" customHeight="1">
      <c r="A4639" s="8">
        <v>42794</v>
      </c>
      <c r="B4639" s="94" t="s">
        <v>19</v>
      </c>
      <c r="C4639" s="6" t="s">
        <v>297</v>
      </c>
      <c r="D4639" s="98">
        <v>113962660.29977046</v>
      </c>
      <c r="E4639" s="9">
        <f t="shared" ref="E4639:E4645" si="632">IF(K4639="","",D4639/K4639)</f>
        <v>2005.8</v>
      </c>
      <c r="F4639" s="98"/>
      <c r="G4639" s="98">
        <v>202.67823639512062</v>
      </c>
      <c r="H4639" s="98">
        <v>0</v>
      </c>
      <c r="I4639" s="98">
        <v>0</v>
      </c>
      <c r="J4639" s="98"/>
      <c r="K4639" s="98">
        <v>56816.562119737988</v>
      </c>
      <c r="L4639" s="93">
        <f t="shared" si="626"/>
        <v>202.67823639512062</v>
      </c>
      <c r="M4639" s="95">
        <f t="shared" ca="1" si="627"/>
        <v>0</v>
      </c>
      <c r="N4639" s="95">
        <f ca="1">IF(P4639="Hedge Fund",IF(A4639=Summary!$AD$3,M4639-E4639,M4639),IF(A4639=Summary!$AD$3,L4639-D4639,L4639))</f>
        <v>0</v>
      </c>
      <c r="O4639" s="95"/>
      <c r="P4639" s="107" t="s">
        <v>139</v>
      </c>
      <c r="Q4639" s="107">
        <v>3.3333333333333333E-2</v>
      </c>
      <c r="R4639" s="107">
        <v>0</v>
      </c>
      <c r="S4639" s="107">
        <v>6.6666666666666671E-3</v>
      </c>
      <c r="T4639" s="107">
        <v>0</v>
      </c>
      <c r="U4639" s="107" t="s">
        <v>0</v>
      </c>
      <c r="V4639" s="107">
        <v>5.3735382000000005</v>
      </c>
      <c r="W4639" s="107" t="s">
        <v>15</v>
      </c>
      <c r="X4639" s="107">
        <v>0</v>
      </c>
      <c r="Y4639" s="107" t="s">
        <v>137</v>
      </c>
      <c r="Z4639" s="107">
        <v>14.183011799999999</v>
      </c>
      <c r="AA4639" s="107" t="s">
        <v>149</v>
      </c>
      <c r="AB4639" s="107">
        <v>0.75197441999999992</v>
      </c>
      <c r="AE4639" s="358"/>
      <c r="AF4639" s="94">
        <f t="shared" si="628"/>
        <v>42794</v>
      </c>
      <c r="AG4639" s="185">
        <f t="shared" si="631"/>
        <v>7.6928032987565231E-2</v>
      </c>
      <c r="AH4639" s="339" t="str">
        <f>VLOOKUP(B4639,'MF PF'!A:B,2)</f>
        <v>FdMgt2</v>
      </c>
      <c r="AI4639" s="358">
        <f t="shared" si="629"/>
        <v>0</v>
      </c>
      <c r="AJ4639" s="94">
        <f t="shared" si="630"/>
        <v>42794</v>
      </c>
    </row>
    <row r="4640" spans="1:36" ht="12.75" customHeight="1">
      <c r="A4640" s="8">
        <v>42825</v>
      </c>
      <c r="B4640" s="94" t="s">
        <v>19</v>
      </c>
      <c r="C4640" s="6" t="s">
        <v>297</v>
      </c>
      <c r="D4640" s="98">
        <v>134448281.32020485</v>
      </c>
      <c r="E4640" s="9">
        <f t="shared" si="632"/>
        <v>2366.36</v>
      </c>
      <c r="F4640" s="98"/>
      <c r="G4640" s="98">
        <v>0</v>
      </c>
      <c r="H4640" s="98">
        <v>-158.61745834350586</v>
      </c>
      <c r="I4640" s="98">
        <v>0</v>
      </c>
      <c r="J4640" s="98"/>
      <c r="K4640" s="98">
        <v>56816.495089591117</v>
      </c>
      <c r="L4640" s="93">
        <f t="shared" si="626"/>
        <v>-158.61745834350586</v>
      </c>
      <c r="M4640" s="95">
        <f t="shared" ca="1" si="627"/>
        <v>0</v>
      </c>
      <c r="N4640" s="95">
        <f ca="1">IF(P4640="Hedge Fund",IF(A4640=Summary!$AD$3,M4640-E4640,M4640),IF(A4640=Summary!$AD$3,L4640-D4640,L4640))</f>
        <v>0</v>
      </c>
      <c r="O4640" s="95"/>
      <c r="P4640" s="107" t="s">
        <v>139</v>
      </c>
      <c r="Q4640" s="107">
        <v>3.3333333333333333E-2</v>
      </c>
      <c r="R4640" s="107">
        <v>0</v>
      </c>
      <c r="S4640" s="107">
        <v>6.6666666666666671E-3</v>
      </c>
      <c r="T4640" s="107">
        <v>0</v>
      </c>
      <c r="U4640" s="107" t="s">
        <v>0</v>
      </c>
      <c r="V4640" s="107">
        <v>4.5698671048000001</v>
      </c>
      <c r="W4640" s="107" t="s">
        <v>15</v>
      </c>
      <c r="X4640" s="107">
        <v>0</v>
      </c>
      <c r="Y4640" s="107" t="s">
        <v>137</v>
      </c>
      <c r="Z4640" s="107">
        <v>16.732531560000002</v>
      </c>
      <c r="AA4640" s="107" t="s">
        <v>149</v>
      </c>
      <c r="AB4640" s="107">
        <v>1.4770109212</v>
      </c>
      <c r="AE4640" s="358"/>
      <c r="AF4640" s="94">
        <f t="shared" si="628"/>
        <v>42825</v>
      </c>
      <c r="AG4640" s="185">
        <f t="shared" si="631"/>
        <v>0.17975869977066505</v>
      </c>
      <c r="AH4640" s="339" t="str">
        <f>VLOOKUP(B4640,'MF PF'!A:B,2)</f>
        <v>FdMgt2</v>
      </c>
      <c r="AI4640" s="358">
        <f t="shared" si="629"/>
        <v>0</v>
      </c>
      <c r="AJ4640" s="94">
        <f t="shared" si="630"/>
        <v>42825</v>
      </c>
    </row>
    <row r="4641" spans="1:36" ht="12.75" customHeight="1">
      <c r="A4641" s="8">
        <v>42853</v>
      </c>
      <c r="B4641" s="94" t="s">
        <v>19</v>
      </c>
      <c r="C4641" s="6" t="s">
        <v>297</v>
      </c>
      <c r="D4641" s="98">
        <v>138096674.5</v>
      </c>
      <c r="E4641" s="9">
        <f t="shared" si="632"/>
        <v>2430.58</v>
      </c>
      <c r="F4641" s="98"/>
      <c r="G4641" s="98">
        <v>0</v>
      </c>
      <c r="H4641" s="98">
        <v>-362.13485836982727</v>
      </c>
      <c r="I4641" s="98">
        <v>0</v>
      </c>
      <c r="J4641" s="98"/>
      <c r="K4641" s="98">
        <v>56816.346098462098</v>
      </c>
      <c r="L4641" s="93">
        <f t="shared" si="626"/>
        <v>-362.13485836982727</v>
      </c>
      <c r="M4641" s="95">
        <f t="shared" ca="1" si="627"/>
        <v>0</v>
      </c>
      <c r="N4641" s="95">
        <f ca="1">IF(P4641="Hedge Fund",IF(A4641=Summary!$AD$3,M4641-E4641,M4641),IF(A4641=Summary!$AD$3,L4641-D4641,L4641))</f>
        <v>0</v>
      </c>
      <c r="O4641" s="95"/>
      <c r="P4641" s="107" t="s">
        <v>139</v>
      </c>
      <c r="Q4641" s="107">
        <v>3.3333333333333333E-2</v>
      </c>
      <c r="R4641" s="107">
        <v>0</v>
      </c>
      <c r="S4641" s="107">
        <v>6.6666666666666671E-3</v>
      </c>
      <c r="T4641" s="107">
        <v>0</v>
      </c>
      <c r="U4641" s="107" t="s">
        <v>0</v>
      </c>
      <c r="V4641" s="107">
        <v>4.6938874843999994</v>
      </c>
      <c r="W4641" s="107" t="s">
        <v>15</v>
      </c>
      <c r="X4641" s="107">
        <v>0</v>
      </c>
      <c r="Y4641" s="107" t="s">
        <v>137</v>
      </c>
      <c r="Z4641" s="107">
        <v>17.186631179999999</v>
      </c>
      <c r="AA4641" s="107" t="s">
        <v>149</v>
      </c>
      <c r="AB4641" s="107">
        <v>1.5170951185999999</v>
      </c>
      <c r="AE4641" s="358"/>
      <c r="AF4641" s="94">
        <f t="shared" si="628"/>
        <v>42853</v>
      </c>
      <c r="AG4641" s="185">
        <f t="shared" si="631"/>
        <v>2.7138727835155807E-2</v>
      </c>
      <c r="AH4641" s="339" t="str">
        <f>VLOOKUP(B4641,'MF PF'!A:B,2)</f>
        <v>FdMgt2</v>
      </c>
      <c r="AI4641" s="358">
        <f t="shared" si="629"/>
        <v>0</v>
      </c>
      <c r="AJ4641" s="94">
        <f t="shared" si="630"/>
        <v>42855</v>
      </c>
    </row>
    <row r="4642" spans="1:36" ht="12.75" customHeight="1">
      <c r="A4642" s="8">
        <v>42886</v>
      </c>
      <c r="B4642" s="94" t="s">
        <v>19</v>
      </c>
      <c r="C4642" s="6" t="s">
        <v>297</v>
      </c>
      <c r="D4642" s="98">
        <v>126196955.430124</v>
      </c>
      <c r="E4642" s="9">
        <f t="shared" si="632"/>
        <v>2221.13</v>
      </c>
      <c r="F4642" s="98"/>
      <c r="G4642" s="98">
        <v>464.62044687569141</v>
      </c>
      <c r="H4642" s="98">
        <v>0</v>
      </c>
      <c r="I4642" s="98">
        <v>0</v>
      </c>
      <c r="J4642" s="98"/>
      <c r="K4642" s="98">
        <v>56816.555280476154</v>
      </c>
      <c r="L4642" s="93">
        <f t="shared" si="626"/>
        <v>464.62044687569141</v>
      </c>
      <c r="M4642" s="95">
        <f t="shared" ca="1" si="627"/>
        <v>0</v>
      </c>
      <c r="N4642" s="95">
        <f ca="1">IF(P4642="Hedge Fund",IF(A4642=Summary!$AD$3,M4642-E4642,M4642),IF(A4642=Summary!$AD$3,L4642-D4642,L4642))</f>
        <v>0</v>
      </c>
      <c r="O4642" s="95"/>
      <c r="P4642" s="107" t="s">
        <v>139</v>
      </c>
      <c r="Q4642" s="107">
        <v>3.3333333333333333E-2</v>
      </c>
      <c r="R4642" s="107">
        <v>0</v>
      </c>
      <c r="S4642" s="107">
        <v>6.6666666666666671E-3</v>
      </c>
      <c r="T4642" s="107">
        <v>0</v>
      </c>
      <c r="U4642" s="107" t="s">
        <v>0</v>
      </c>
      <c r="V4642" s="107">
        <v>4.2894018333999995</v>
      </c>
      <c r="W4642" s="107" t="s">
        <v>15</v>
      </c>
      <c r="X4642" s="107">
        <v>0</v>
      </c>
      <c r="Y4642" s="107" t="s">
        <v>137</v>
      </c>
      <c r="Z4642" s="107">
        <v>15.70561023</v>
      </c>
      <c r="AA4642" s="107" t="s">
        <v>149</v>
      </c>
      <c r="AB4642" s="107">
        <v>1.3863627120999999</v>
      </c>
      <c r="AE4642" s="358"/>
      <c r="AF4642" s="94">
        <f t="shared" si="628"/>
        <v>42886</v>
      </c>
      <c r="AG4642" s="185">
        <f t="shared" si="631"/>
        <v>-8.61728476330752E-2</v>
      </c>
      <c r="AH4642" s="339" t="str">
        <f>VLOOKUP(B4642,'MF PF'!A:B,2)</f>
        <v>FdMgt2</v>
      </c>
      <c r="AI4642" s="358">
        <f t="shared" si="629"/>
        <v>0</v>
      </c>
      <c r="AJ4642" s="94">
        <f t="shared" si="630"/>
        <v>42886</v>
      </c>
    </row>
    <row r="4643" spans="1:36" ht="12.75" customHeight="1">
      <c r="A4643" s="8">
        <v>42916</v>
      </c>
      <c r="B4643" s="94" t="s">
        <v>19</v>
      </c>
      <c r="C4643" s="6" t="s">
        <v>297</v>
      </c>
      <c r="D4643" s="98">
        <v>115215909.67337903</v>
      </c>
      <c r="E4643" s="95">
        <f t="shared" si="632"/>
        <v>2027.86</v>
      </c>
      <c r="F4643" s="98"/>
      <c r="G4643" s="98">
        <v>0</v>
      </c>
      <c r="H4643" s="98">
        <v>-110.11768732964993</v>
      </c>
      <c r="I4643" s="98">
        <v>0</v>
      </c>
      <c r="J4643" s="98"/>
      <c r="K4643" s="98">
        <v>56816.500978065073</v>
      </c>
      <c r="L4643" s="93">
        <f t="shared" si="626"/>
        <v>-110.11768732964993</v>
      </c>
      <c r="M4643" s="95">
        <f t="shared" ca="1" si="627"/>
        <v>0</v>
      </c>
      <c r="N4643" s="95">
        <f ca="1">IF(P4643="Hedge Fund",IF(A4643=Summary!$AD$3,M4643-E4643,M4643),IF(A4643=Summary!$AD$3,L4643-D4643,L4643))</f>
        <v>0</v>
      </c>
      <c r="O4643" s="95"/>
      <c r="P4643" s="107" t="s">
        <v>139</v>
      </c>
      <c r="Q4643" s="107">
        <v>3.3333333333333333E-2</v>
      </c>
      <c r="R4643" s="107">
        <v>0</v>
      </c>
      <c r="S4643" s="107">
        <v>6.6666666666666671E-3</v>
      </c>
      <c r="T4643" s="107">
        <v>0</v>
      </c>
      <c r="U4643" s="107" t="s">
        <v>0</v>
      </c>
      <c r="V4643" s="107">
        <v>3.9161626747999998</v>
      </c>
      <c r="W4643" s="107" t="s">
        <v>15</v>
      </c>
      <c r="X4643" s="107">
        <v>0</v>
      </c>
      <c r="Y4643" s="107" t="s">
        <v>137</v>
      </c>
      <c r="Z4643" s="107">
        <v>14.338998059999998</v>
      </c>
      <c r="AA4643" s="107" t="s">
        <v>149</v>
      </c>
      <c r="AB4643" s="107">
        <v>1.2657293761999999</v>
      </c>
      <c r="AE4643" s="358"/>
      <c r="AF4643" s="94">
        <f t="shared" si="628"/>
        <v>42916</v>
      </c>
      <c r="AG4643" s="185">
        <f t="shared" si="631"/>
        <v>-8.7014267512482424E-2</v>
      </c>
      <c r="AH4643" s="339" t="str">
        <f>VLOOKUP(B4643,'MF PF'!A:B,2)</f>
        <v>FdMgt2</v>
      </c>
      <c r="AI4643" s="358">
        <f t="shared" si="629"/>
        <v>0</v>
      </c>
      <c r="AJ4643" s="94">
        <f t="shared" si="630"/>
        <v>42916</v>
      </c>
    </row>
    <row r="4644" spans="1:36" ht="12.75" customHeight="1">
      <c r="A4644" s="8">
        <v>42947</v>
      </c>
      <c r="B4644" s="94" t="s">
        <v>19</v>
      </c>
      <c r="C4644" s="6" t="s">
        <v>297</v>
      </c>
      <c r="D4644" s="98">
        <v>123246172.59999999</v>
      </c>
      <c r="E4644" s="9">
        <f t="shared" si="632"/>
        <v>2169.1999999999998</v>
      </c>
      <c r="F4644" s="98"/>
      <c r="G4644" s="98">
        <v>0</v>
      </c>
      <c r="H4644" s="98">
        <v>-181.32161875069141</v>
      </c>
      <c r="I4644" s="98">
        <v>0</v>
      </c>
      <c r="J4644" s="98"/>
      <c r="K4644" s="98">
        <v>56816.417388899135</v>
      </c>
      <c r="L4644" s="93">
        <f t="shared" si="626"/>
        <v>-181.32161875069141</v>
      </c>
      <c r="M4644" s="95">
        <f t="shared" ca="1" si="627"/>
        <v>0</v>
      </c>
      <c r="N4644" s="95">
        <f ca="1">IF(P4644="Hedge Fund",IF(A4644=Summary!$AD$3,M4644-E4644,M4644),IF(A4644=Summary!$AD$3,L4644-D4644,L4644))</f>
        <v>0</v>
      </c>
      <c r="O4644" s="95"/>
      <c r="P4644" s="107" t="s">
        <v>139</v>
      </c>
      <c r="Q4644" s="107">
        <v>3.3333333333333333E-2</v>
      </c>
      <c r="R4644" s="107">
        <v>0</v>
      </c>
      <c r="S4644" s="107">
        <v>6.6666666666666671E-3</v>
      </c>
      <c r="T4644" s="107">
        <v>0</v>
      </c>
      <c r="U4644" s="107" t="s">
        <v>0</v>
      </c>
      <c r="V4644" s="107">
        <v>4.1891156559999994</v>
      </c>
      <c r="W4644" s="107" t="s">
        <v>15</v>
      </c>
      <c r="X4644" s="107">
        <v>0</v>
      </c>
      <c r="Y4644" s="107" t="s">
        <v>137</v>
      </c>
      <c r="Z4644" s="107">
        <v>15.3384132</v>
      </c>
      <c r="AA4644" s="107" t="s">
        <v>149</v>
      </c>
      <c r="AB4644" s="107">
        <v>1.3539495639999999</v>
      </c>
      <c r="AE4644" s="358"/>
      <c r="AF4644" s="94">
        <f t="shared" si="628"/>
        <v>42947</v>
      </c>
      <c r="AG4644" s="185">
        <f t="shared" si="631"/>
        <v>6.9699091653269818E-2</v>
      </c>
      <c r="AH4644" s="339" t="str">
        <f>VLOOKUP(B4644,'MF PF'!A:B,2)</f>
        <v>FdMgt2</v>
      </c>
      <c r="AI4644" s="358">
        <f t="shared" si="629"/>
        <v>0</v>
      </c>
      <c r="AJ4644" s="94">
        <f t="shared" si="630"/>
        <v>42947</v>
      </c>
    </row>
    <row r="4645" spans="1:36" ht="12.75" customHeight="1">
      <c r="A4645" s="8">
        <v>42978</v>
      </c>
      <c r="B4645" s="94" t="s">
        <v>19</v>
      </c>
      <c r="C4645" s="6" t="s">
        <v>297</v>
      </c>
      <c r="D4645" s="98">
        <v>121613800</v>
      </c>
      <c r="E4645" s="95">
        <f t="shared" si="632"/>
        <v>2140.4699999999998</v>
      </c>
      <c r="F4645" s="98"/>
      <c r="G4645" s="98">
        <v>0</v>
      </c>
      <c r="H4645" s="98">
        <v>-36.928416922688484</v>
      </c>
      <c r="I4645" s="98">
        <v>0</v>
      </c>
      <c r="J4645" s="98"/>
      <c r="K4645" s="98">
        <v>56816.400136418641</v>
      </c>
      <c r="L4645" s="93">
        <f t="shared" si="626"/>
        <v>-36.928416922688484</v>
      </c>
      <c r="M4645" s="95">
        <f t="shared" ca="1" si="627"/>
        <v>0</v>
      </c>
      <c r="N4645" s="95">
        <f ca="1">IF(P4645="Hedge Fund",IF(A4645=Summary!$AD$3,M4645-E4645,M4645),IF(A4645=Summary!$AD$3,L4645-D4645,L4645))</f>
        <v>0</v>
      </c>
      <c r="O4645" s="95"/>
      <c r="P4645" s="107" t="s">
        <v>139</v>
      </c>
      <c r="Q4645" s="107">
        <v>3.3333333333333333E-2</v>
      </c>
      <c r="R4645" s="107">
        <v>0</v>
      </c>
      <c r="S4645" s="107">
        <v>6.6666666666666671E-3</v>
      </c>
      <c r="T4645" s="107">
        <v>0</v>
      </c>
      <c r="U4645" s="107" t="s">
        <v>0</v>
      </c>
      <c r="V4645" s="107">
        <v>4.1336328545999992</v>
      </c>
      <c r="W4645" s="107" t="s">
        <v>15</v>
      </c>
      <c r="X4645" s="107">
        <v>0</v>
      </c>
      <c r="Y4645" s="107" t="s">
        <v>137</v>
      </c>
      <c r="Z4645" s="107">
        <v>15.135263369999999</v>
      </c>
      <c r="AA4645" s="107" t="s">
        <v>149</v>
      </c>
      <c r="AB4645" s="107">
        <v>1.3360171598999999</v>
      </c>
      <c r="AE4645" s="358"/>
      <c r="AF4645" s="94">
        <f t="shared" si="628"/>
        <v>42978</v>
      </c>
      <c r="AG4645" s="185">
        <f t="shared" si="631"/>
        <v>-1.3244514106583116E-2</v>
      </c>
      <c r="AH4645" s="339" t="str">
        <f>VLOOKUP(B4645,'MF PF'!A:B,2)</f>
        <v>FdMgt2</v>
      </c>
      <c r="AI4645" s="358">
        <f t="shared" si="629"/>
        <v>0</v>
      </c>
      <c r="AJ4645" s="94">
        <f t="shared" si="630"/>
        <v>42978</v>
      </c>
    </row>
    <row r="4646" spans="1:36" ht="12.75" customHeight="1">
      <c r="A4646" s="8">
        <v>43007</v>
      </c>
      <c r="B4646" s="94" t="s">
        <v>19</v>
      </c>
      <c r="C4646" s="6" t="s">
        <v>297</v>
      </c>
      <c r="D4646" s="98">
        <v>124489600</v>
      </c>
      <c r="E4646" s="104">
        <f>D4646/K4645</f>
        <v>2191.0856671857964</v>
      </c>
      <c r="F4646" s="98"/>
      <c r="G4646" s="98">
        <v>0</v>
      </c>
      <c r="H4646" s="98">
        <v>-1.4901161193847656E-8</v>
      </c>
      <c r="I4646" s="98">
        <v>0</v>
      </c>
      <c r="J4646" s="98"/>
      <c r="K4646" s="103">
        <v>56816.400136418641</v>
      </c>
      <c r="L4646" s="93">
        <f t="shared" si="626"/>
        <v>-1.4901161193847656E-8</v>
      </c>
      <c r="M4646" s="95">
        <f t="shared" ca="1" si="627"/>
        <v>0</v>
      </c>
      <c r="N4646" s="95">
        <f ca="1">IF(P4646="Hedge Fund",IF(A4646=Summary!$AD$3,M4646-E4646,M4646),IF(A4646=Summary!$AD$3,L4646-D4646,L4646))</f>
        <v>0</v>
      </c>
      <c r="O4646" s="95"/>
      <c r="P4646" s="107" t="s">
        <v>139</v>
      </c>
      <c r="Q4646" s="107">
        <v>3.3333333333333333E-2</v>
      </c>
      <c r="R4646" s="107">
        <v>0</v>
      </c>
      <c r="S4646" s="107">
        <v>6.6666666666666671E-3</v>
      </c>
      <c r="T4646" s="107">
        <v>0</v>
      </c>
      <c r="U4646" s="107" t="s">
        <v>0</v>
      </c>
      <c r="V4646" s="107">
        <v>4.1336328545999992</v>
      </c>
      <c r="W4646" s="107" t="s">
        <v>15</v>
      </c>
      <c r="X4646" s="107">
        <v>0</v>
      </c>
      <c r="Y4646" s="107" t="s">
        <v>137</v>
      </c>
      <c r="Z4646" s="107">
        <v>15.135263369999999</v>
      </c>
      <c r="AA4646" s="107" t="s">
        <v>149</v>
      </c>
      <c r="AB4646" s="107">
        <v>1.3360171598999999</v>
      </c>
      <c r="AE4646" s="358"/>
      <c r="AF4646" s="94">
        <f t="shared" si="628"/>
        <v>43007</v>
      </c>
      <c r="AG4646" s="185">
        <f t="shared" si="631"/>
        <v>2.3646987430702815E-2</v>
      </c>
      <c r="AH4646" s="339" t="str">
        <f>VLOOKUP(B4646,'MF PF'!A:B,2)</f>
        <v>FdMgt2</v>
      </c>
      <c r="AI4646" s="358">
        <f t="shared" si="629"/>
        <v>0</v>
      </c>
      <c r="AJ4646" s="94">
        <f t="shared" si="630"/>
        <v>43008</v>
      </c>
    </row>
    <row r="4647" spans="1:36" s="358" customFormat="1" ht="12.75" customHeight="1">
      <c r="A4647" s="94">
        <v>43039</v>
      </c>
      <c r="B4647" s="94" t="s">
        <v>19</v>
      </c>
      <c r="C4647" s="358" t="s">
        <v>297</v>
      </c>
      <c r="D4647" s="98">
        <v>121116367.48999999</v>
      </c>
      <c r="E4647" s="95">
        <f>IF(K4647="","",D4647/K4647)</f>
        <v>2131.71</v>
      </c>
      <c r="F4647" s="98"/>
      <c r="G4647" s="98">
        <v>279.15519501268864</v>
      </c>
      <c r="H4647" s="98">
        <v>0</v>
      </c>
      <c r="I4647" s="98">
        <v>0</v>
      </c>
      <c r="J4647" s="98"/>
      <c r="K4647" s="98">
        <v>56816.531090063843</v>
      </c>
      <c r="L4647" s="93">
        <f t="shared" si="626"/>
        <v>279.15519501268864</v>
      </c>
      <c r="M4647" s="95">
        <f t="shared" ca="1" si="627"/>
        <v>0</v>
      </c>
      <c r="N4647" s="95">
        <f ca="1">IF(P4647="Hedge Fund",IF(A4647=Summary!$AD$3,M4647-E4647,M4647),IF(A4647=Summary!$AD$3,L4647-D4647,L4647))</f>
        <v>0</v>
      </c>
      <c r="O4647" s="95"/>
      <c r="P4647" s="107" t="s">
        <v>139</v>
      </c>
      <c r="Q4647" s="107">
        <v>3.3333333333333333E-2</v>
      </c>
      <c r="R4647" s="107">
        <v>0</v>
      </c>
      <c r="S4647" s="107">
        <v>6.6666666666666671E-3</v>
      </c>
      <c r="T4647" s="107">
        <v>0</v>
      </c>
      <c r="U4647" s="107" t="s">
        <v>0</v>
      </c>
      <c r="V4647" s="107">
        <v>4.1167157178</v>
      </c>
      <c r="W4647" s="107" t="s">
        <v>15</v>
      </c>
      <c r="X4647" s="107">
        <v>0</v>
      </c>
      <c r="Y4647" s="107" t="s">
        <v>137</v>
      </c>
      <c r="Z4647" s="107">
        <v>15.07332141</v>
      </c>
      <c r="AA4647" s="107" t="s">
        <v>149</v>
      </c>
      <c r="AB4647" s="107">
        <v>1.3305494306999999</v>
      </c>
      <c r="AF4647" s="94">
        <f t="shared" si="628"/>
        <v>43039</v>
      </c>
      <c r="AG4647" s="185">
        <f t="shared" si="631"/>
        <v>-2.7098742908604589E-2</v>
      </c>
      <c r="AH4647" s="339" t="str">
        <f>VLOOKUP(B4647,'MF PF'!A:B,2)</f>
        <v>FdMgt2</v>
      </c>
      <c r="AI4647" s="358">
        <f t="shared" si="629"/>
        <v>0</v>
      </c>
      <c r="AJ4647" s="94">
        <f t="shared" si="630"/>
        <v>43039</v>
      </c>
    </row>
    <row r="4648" spans="1:36" s="358" customFormat="1" ht="12.75" customHeight="1">
      <c r="A4648" s="94">
        <v>43069</v>
      </c>
      <c r="B4648" s="94" t="s">
        <v>19</v>
      </c>
      <c r="C4648" s="358" t="s">
        <v>297</v>
      </c>
      <c r="D4648" s="98">
        <v>112134034.73999999</v>
      </c>
      <c r="E4648" s="95">
        <f>IF(K4648="","",D4648/K4648)</f>
        <v>1973.62</v>
      </c>
      <c r="F4648" s="98"/>
      <c r="G4648" s="98">
        <v>0</v>
      </c>
      <c r="H4648" s="98">
        <v>-207.34997180104256</v>
      </c>
      <c r="I4648" s="98">
        <v>0</v>
      </c>
      <c r="J4648" s="98"/>
      <c r="K4648" s="98">
        <v>56816.426029326823</v>
      </c>
      <c r="L4648" s="93">
        <f t="shared" si="626"/>
        <v>-207.34997180104256</v>
      </c>
      <c r="M4648" s="95">
        <f t="shared" ca="1" si="627"/>
        <v>0</v>
      </c>
      <c r="N4648" s="95">
        <f ca="1">IF(P4648="Hedge Fund",IF(A4648=Summary!$AD$3,M4648-E4648,M4648),IF(A4648=Summary!$AD$3,L4648-D4648,L4648))</f>
        <v>0</v>
      </c>
      <c r="O4648" s="95"/>
      <c r="P4648" s="107" t="s">
        <v>139</v>
      </c>
      <c r="Q4648" s="107">
        <v>3.3333333333333333E-2</v>
      </c>
      <c r="R4648" s="107">
        <v>0</v>
      </c>
      <c r="S4648" s="107">
        <v>6.6666666666666671E-3</v>
      </c>
      <c r="T4648" s="107">
        <v>0</v>
      </c>
      <c r="U4648" s="107" t="s">
        <v>0</v>
      </c>
      <c r="V4648" s="107">
        <v>3.8114154715999993</v>
      </c>
      <c r="W4648" s="107" t="s">
        <v>15</v>
      </c>
      <c r="X4648" s="107">
        <v>0</v>
      </c>
      <c r="Y4648" s="107" t="s">
        <v>137</v>
      </c>
      <c r="Z4648" s="107">
        <v>13.95546702</v>
      </c>
      <c r="AA4648" s="107" t="s">
        <v>149</v>
      </c>
      <c r="AB4648" s="107">
        <v>1.2318743953999998</v>
      </c>
      <c r="AF4648" s="94">
        <f t="shared" si="628"/>
        <v>43069</v>
      </c>
      <c r="AG4648" s="185">
        <f t="shared" si="631"/>
        <v>-7.4161119476852E-2</v>
      </c>
      <c r="AH4648" s="339" t="str">
        <f>VLOOKUP(B4648,'MF PF'!A:B,2)</f>
        <v>FdMgt2</v>
      </c>
      <c r="AI4648" s="358">
        <f t="shared" si="629"/>
        <v>0</v>
      </c>
      <c r="AJ4648" s="94">
        <f t="shared" si="630"/>
        <v>43069</v>
      </c>
    </row>
    <row r="4649" spans="1:36" s="358" customFormat="1" ht="12.75" customHeight="1">
      <c r="A4649" s="94">
        <v>43098</v>
      </c>
      <c r="B4649" s="94" t="s">
        <v>19</v>
      </c>
      <c r="C4649" s="358" t="s">
        <v>297</v>
      </c>
      <c r="D4649" s="98">
        <v>111686400</v>
      </c>
      <c r="E4649" s="95">
        <f>IF(K4649="","",D4649/K4649)</f>
        <v>1965.7399999999998</v>
      </c>
      <c r="F4649" s="98"/>
      <c r="G4649" s="98">
        <v>78.69711109995842</v>
      </c>
      <c r="H4649" s="98">
        <v>0</v>
      </c>
      <c r="I4649" s="98">
        <v>0</v>
      </c>
      <c r="J4649" s="98"/>
      <c r="K4649" s="98">
        <v>56816.466063670683</v>
      </c>
      <c r="L4649" s="93">
        <f t="shared" si="626"/>
        <v>78.69711109995842</v>
      </c>
      <c r="M4649" s="95">
        <f t="shared" ca="1" si="627"/>
        <v>0</v>
      </c>
      <c r="N4649" s="95">
        <f ca="1">IF(P4649="Hedge Fund",IF(A4649=Summary!$AD$3,M4649-E4649,M4649),IF(A4649=Summary!$AD$3,L4649-D4649,L4649))</f>
        <v>0</v>
      </c>
      <c r="O4649" s="95"/>
      <c r="P4649" s="107" t="s">
        <v>139</v>
      </c>
      <c r="Q4649" s="107">
        <v>3.3333333333333333E-2</v>
      </c>
      <c r="R4649" s="107">
        <v>0</v>
      </c>
      <c r="S4649" s="107">
        <v>6.6666666666666671E-3</v>
      </c>
      <c r="T4649" s="107">
        <v>0</v>
      </c>
      <c r="U4649" s="107" t="s">
        <v>0</v>
      </c>
      <c r="V4649" s="107">
        <v>3.7961977731999998</v>
      </c>
      <c r="W4649" s="107" t="s">
        <v>15</v>
      </c>
      <c r="X4649" s="107">
        <v>0</v>
      </c>
      <c r="Y4649" s="107" t="s">
        <v>137</v>
      </c>
      <c r="Z4649" s="107">
        <v>13.899747540000002</v>
      </c>
      <c r="AA4649" s="107" t="s">
        <v>149</v>
      </c>
      <c r="AB4649" s="107">
        <v>1.2269559358</v>
      </c>
      <c r="AF4649" s="94">
        <f t="shared" si="628"/>
        <v>43098</v>
      </c>
      <c r="AG4649" s="185">
        <f t="shared" si="631"/>
        <v>-3.992663227976978E-3</v>
      </c>
      <c r="AH4649" s="339" t="str">
        <f>VLOOKUP(B4649,'MF PF'!A:B,2)</f>
        <v>FdMgt2</v>
      </c>
      <c r="AI4649" s="358">
        <f t="shared" si="629"/>
        <v>0</v>
      </c>
      <c r="AJ4649" s="94">
        <f t="shared" si="630"/>
        <v>43100</v>
      </c>
    </row>
    <row r="4650" spans="1:36" s="358" customFormat="1" ht="12.75" customHeight="1">
      <c r="A4650" s="94">
        <v>43131</v>
      </c>
      <c r="B4650" s="94" t="s">
        <v>19</v>
      </c>
      <c r="C4650" s="358" t="s">
        <v>297</v>
      </c>
      <c r="D4650" s="98">
        <v>115981510.2</v>
      </c>
      <c r="E4650" s="95">
        <f>IF(K4650="","",D4650/K4650)</f>
        <v>2041.34</v>
      </c>
      <c r="F4650" s="98"/>
      <c r="G4650" s="98">
        <v>0</v>
      </c>
      <c r="H4650" s="98">
        <v>-214.63441351056099</v>
      </c>
      <c r="I4650" s="98">
        <v>0</v>
      </c>
      <c r="J4650" s="98"/>
      <c r="K4650" s="98">
        <v>56816.360919787985</v>
      </c>
      <c r="L4650" s="93">
        <f t="shared" si="626"/>
        <v>-214.63441351056099</v>
      </c>
      <c r="M4650" s="95">
        <f t="shared" ca="1" si="627"/>
        <v>0</v>
      </c>
      <c r="N4650" s="95">
        <f ca="1">IF(P4650="Hedge Fund",IF(A4650=Summary!$AD$3,M4650-E4650,M4650),IF(A4650=Summary!$AD$3,L4650-D4650,L4650))</f>
        <v>0</v>
      </c>
      <c r="O4650" s="95"/>
      <c r="P4650" s="107" t="s">
        <v>139</v>
      </c>
      <c r="Q4650" s="107">
        <v>3.3333333333333333E-2</v>
      </c>
      <c r="R4650" s="107">
        <v>0</v>
      </c>
      <c r="S4650" s="107">
        <v>6.6666666666666671E-3</v>
      </c>
      <c r="T4650" s="107">
        <v>0</v>
      </c>
      <c r="U4650" s="107" t="s">
        <v>0</v>
      </c>
      <c r="V4650" s="107">
        <v>3.9421949811999992</v>
      </c>
      <c r="W4650" s="107" t="s">
        <v>15</v>
      </c>
      <c r="X4650" s="107">
        <v>0</v>
      </c>
      <c r="Y4650" s="107" t="s">
        <v>137</v>
      </c>
      <c r="Z4650" s="107">
        <v>14.434315139999999</v>
      </c>
      <c r="AA4650" s="107" t="s">
        <v>149</v>
      </c>
      <c r="AB4650" s="107">
        <v>1.2741431878</v>
      </c>
      <c r="AF4650" s="94">
        <f t="shared" si="628"/>
        <v>43131</v>
      </c>
      <c r="AG4650" s="185">
        <f t="shared" si="631"/>
        <v>3.845879923082407E-2</v>
      </c>
      <c r="AH4650" s="339" t="str">
        <f>VLOOKUP(B4650,'MF PF'!A:B,2)</f>
        <v>FdMgt2</v>
      </c>
      <c r="AI4650" s="358">
        <f t="shared" si="629"/>
        <v>0</v>
      </c>
      <c r="AJ4650" s="94">
        <f t="shared" si="630"/>
        <v>43131</v>
      </c>
    </row>
    <row r="4651" spans="1:36" s="358" customFormat="1" ht="12.75" customHeight="1">
      <c r="A4651" s="94">
        <v>43159</v>
      </c>
      <c r="B4651" s="94" t="s">
        <v>19</v>
      </c>
      <c r="C4651" s="358" t="s">
        <v>297</v>
      </c>
      <c r="D4651" s="93">
        <f t="shared" ref="D4651:D4657" si="633">E4651*K4651</f>
        <v>107170997.11216848</v>
      </c>
      <c r="E4651" s="107">
        <v>1886.27</v>
      </c>
      <c r="F4651" s="98"/>
      <c r="G4651" s="98">
        <v>0</v>
      </c>
      <c r="H4651" s="98">
        <v>0</v>
      </c>
      <c r="I4651" s="98">
        <v>0</v>
      </c>
      <c r="J4651" s="98"/>
      <c r="K4651" s="98">
        <v>56816.360919787985</v>
      </c>
      <c r="L4651" s="93">
        <f t="shared" si="626"/>
        <v>0</v>
      </c>
      <c r="M4651" s="95">
        <f t="shared" ca="1" si="627"/>
        <v>0</v>
      </c>
      <c r="N4651" s="95">
        <f ca="1">IF(P4651="Hedge Fund",IF(A4651=Summary!$AD$3,M4651-E4651,M4651),IF(A4651=Summary!$AD$3,L4651-D4651,L4651))</f>
        <v>0</v>
      </c>
      <c r="O4651" s="95"/>
      <c r="P4651" s="107" t="s">
        <v>139</v>
      </c>
      <c r="Q4651" s="107">
        <v>3.3333333333333333E-2</v>
      </c>
      <c r="R4651" s="107">
        <v>0</v>
      </c>
      <c r="S4651" s="107">
        <v>6.6666666666666671E-3</v>
      </c>
      <c r="T4651" s="107">
        <v>0</v>
      </c>
      <c r="U4651" s="107" t="s">
        <v>0</v>
      </c>
      <c r="V4651" s="107">
        <v>3.6427269999999998</v>
      </c>
      <c r="W4651" s="107" t="s">
        <v>15</v>
      </c>
      <c r="X4651" s="107">
        <v>0</v>
      </c>
      <c r="Y4651" s="107" t="s">
        <v>137</v>
      </c>
      <c r="Z4651" s="107">
        <v>14.434315139999999</v>
      </c>
      <c r="AA4651" s="107" t="s">
        <v>149</v>
      </c>
      <c r="AB4651" s="107">
        <v>1.2741431878</v>
      </c>
      <c r="AF4651" s="94">
        <f t="shared" si="628"/>
        <v>43159</v>
      </c>
      <c r="AG4651" s="185">
        <f t="shared" si="631"/>
        <v>-7.5964807430413339E-2</v>
      </c>
      <c r="AH4651" s="339" t="str">
        <f>VLOOKUP(B4651,'MF PF'!A:B,2)</f>
        <v>FdMgt2</v>
      </c>
      <c r="AI4651" s="358">
        <f t="shared" si="629"/>
        <v>0</v>
      </c>
      <c r="AJ4651" s="94">
        <f t="shared" si="630"/>
        <v>43159</v>
      </c>
    </row>
    <row r="4652" spans="1:36" s="358" customFormat="1" ht="12.75" customHeight="1">
      <c r="A4652" s="94">
        <v>43188</v>
      </c>
      <c r="B4652" s="94" t="s">
        <v>19</v>
      </c>
      <c r="C4652" s="358" t="s">
        <v>297</v>
      </c>
      <c r="D4652" s="93">
        <f t="shared" si="633"/>
        <v>86433748.071999997</v>
      </c>
      <c r="E4652" s="109">
        <v>1901.6</v>
      </c>
      <c r="F4652" s="98"/>
      <c r="G4652" s="98">
        <v>0</v>
      </c>
      <c r="H4652" s="98">
        <v>0</v>
      </c>
      <c r="I4652" s="98">
        <v>0</v>
      </c>
      <c r="J4652" s="98"/>
      <c r="K4652" s="110">
        <v>45453.17</v>
      </c>
      <c r="L4652" s="93">
        <f t="shared" si="626"/>
        <v>0</v>
      </c>
      <c r="M4652" s="95">
        <f t="shared" ca="1" si="627"/>
        <v>0</v>
      </c>
      <c r="N4652" s="95">
        <f ca="1">IF(P4652="Hedge Fund",IF(A4652=Summary!$AD$3,M4652-E4652,M4652),IF(A4652=Summary!$AD$3,L4652-D4652,L4652))</f>
        <v>0</v>
      </c>
      <c r="O4652" s="95"/>
      <c r="P4652" s="107" t="s">
        <v>139</v>
      </c>
      <c r="Q4652" s="109">
        <f>0.1/3</f>
        <v>3.3333333333333333E-2</v>
      </c>
      <c r="R4652" s="107">
        <v>0</v>
      </c>
      <c r="S4652" s="107">
        <v>0</v>
      </c>
      <c r="T4652" s="107">
        <v>0</v>
      </c>
      <c r="U4652" s="107" t="s">
        <v>0</v>
      </c>
      <c r="V4652" s="109">
        <f>3.642727*0</f>
        <v>0</v>
      </c>
      <c r="W4652" s="107" t="s">
        <v>15</v>
      </c>
      <c r="X4652" s="107">
        <v>0</v>
      </c>
      <c r="Y4652" s="107" t="s">
        <v>137</v>
      </c>
      <c r="Z4652" s="109">
        <f>14.43431514*0</f>
        <v>0</v>
      </c>
      <c r="AA4652" s="107" t="s">
        <v>149</v>
      </c>
      <c r="AB4652" s="109">
        <f>1.2741431878*0</f>
        <v>0</v>
      </c>
      <c r="AF4652" s="94">
        <f t="shared" si="628"/>
        <v>43188</v>
      </c>
      <c r="AG4652" s="185">
        <f t="shared" si="631"/>
        <v>-0.19349683775419424</v>
      </c>
      <c r="AH4652" s="339" t="str">
        <f>VLOOKUP(B4652,'MF PF'!A:B,2)</f>
        <v>FdMgt2</v>
      </c>
      <c r="AI4652" s="358">
        <f t="shared" si="629"/>
        <v>0</v>
      </c>
      <c r="AJ4652" s="94">
        <f t="shared" si="630"/>
        <v>43190</v>
      </c>
    </row>
    <row r="4653" spans="1:36" s="358" customFormat="1" ht="12.75" customHeight="1">
      <c r="A4653" s="94">
        <v>43220</v>
      </c>
      <c r="B4653" s="94" t="s">
        <v>19</v>
      </c>
      <c r="C4653" s="358" t="s">
        <v>297</v>
      </c>
      <c r="D4653" s="93">
        <f t="shared" si="633"/>
        <v>87936884.403899997</v>
      </c>
      <c r="E4653" s="109">
        <v>1934.67</v>
      </c>
      <c r="F4653" s="98"/>
      <c r="G4653" s="98">
        <v>0</v>
      </c>
      <c r="H4653" s="98">
        <v>0</v>
      </c>
      <c r="I4653" s="98">
        <v>0</v>
      </c>
      <c r="J4653" s="98"/>
      <c r="K4653" s="110">
        <v>45453.17</v>
      </c>
      <c r="L4653" s="93">
        <f t="shared" si="626"/>
        <v>0</v>
      </c>
      <c r="M4653" s="95">
        <f t="shared" ca="1" si="627"/>
        <v>0</v>
      </c>
      <c r="N4653" s="95">
        <f ca="1">IF(P4653="Hedge Fund",IF(A4653=Summary!$AD$3,M4653-E4653,M4653),IF(A4653=Summary!$AD$3,L4653-D4653,L4653))</f>
        <v>0</v>
      </c>
      <c r="O4653" s="95"/>
      <c r="P4653" s="107" t="s">
        <v>139</v>
      </c>
      <c r="Q4653" s="109">
        <f>0.1/3</f>
        <v>3.3333333333333333E-2</v>
      </c>
      <c r="R4653" s="107">
        <v>0</v>
      </c>
      <c r="S4653" s="107">
        <v>0</v>
      </c>
      <c r="T4653" s="107">
        <v>0</v>
      </c>
      <c r="U4653" s="107" t="s">
        <v>0</v>
      </c>
      <c r="V4653" s="109">
        <f>3.642727*0</f>
        <v>0</v>
      </c>
      <c r="W4653" s="107" t="s">
        <v>15</v>
      </c>
      <c r="X4653" s="107">
        <v>0</v>
      </c>
      <c r="Y4653" s="107" t="s">
        <v>137</v>
      </c>
      <c r="Z4653" s="109">
        <f>14.43431514*0</f>
        <v>0</v>
      </c>
      <c r="AA4653" s="107" t="s">
        <v>149</v>
      </c>
      <c r="AB4653" s="109">
        <f>1.2741431878*0</f>
        <v>0</v>
      </c>
      <c r="AF4653" s="94">
        <f t="shared" si="628"/>
        <v>43220</v>
      </c>
      <c r="AG4653" s="185">
        <f t="shared" ref="AG4653:AG4662" si="634">IF(C4653&lt;&gt;C4652,D4653/G4653-1,(D4653-G4653-I4653-H4653)/(D4652)-1)</f>
        <v>1.7390618426588178E-2</v>
      </c>
      <c r="AH4653" s="339" t="str">
        <f>VLOOKUP(B4653,'MF PF'!A:B,2)</f>
        <v>FdMgt2</v>
      </c>
      <c r="AI4653" s="358">
        <f t="shared" si="629"/>
        <v>0</v>
      </c>
      <c r="AJ4653" s="94">
        <f t="shared" si="630"/>
        <v>43220</v>
      </c>
    </row>
    <row r="4654" spans="1:36" ht="12.75" customHeight="1">
      <c r="A4654" s="8">
        <v>43251</v>
      </c>
      <c r="B4654" s="94" t="s">
        <v>19</v>
      </c>
      <c r="C4654" s="6" t="s">
        <v>297</v>
      </c>
      <c r="D4654" s="93">
        <f t="shared" si="633"/>
        <v>96242542.158000007</v>
      </c>
      <c r="E4654" s="109">
        <v>2117.4</v>
      </c>
      <c r="F4654" s="98"/>
      <c r="G4654" s="98">
        <v>0</v>
      </c>
      <c r="H4654" s="98">
        <v>0</v>
      </c>
      <c r="I4654" s="98">
        <v>0</v>
      </c>
      <c r="J4654" s="98"/>
      <c r="K4654" s="110">
        <v>45453.17</v>
      </c>
      <c r="L4654" s="93">
        <f t="shared" si="626"/>
        <v>0</v>
      </c>
      <c r="M4654" s="95">
        <f t="shared" ca="1" si="627"/>
        <v>0</v>
      </c>
      <c r="N4654" s="95">
        <f ca="1">IF(P4654="Hedge Fund",IF(A4654=Summary!$AD$3,M4654-E4654,M4654),IF(A4654=Summary!$AD$3,L4654-D4654,L4654))</f>
        <v>0</v>
      </c>
      <c r="O4654" s="95"/>
      <c r="P4654" s="107" t="s">
        <v>139</v>
      </c>
      <c r="Q4654" s="109">
        <f>0.1/3</f>
        <v>3.3333333333333333E-2</v>
      </c>
      <c r="R4654" s="107">
        <v>0</v>
      </c>
      <c r="S4654" s="107">
        <v>0</v>
      </c>
      <c r="T4654" s="107">
        <v>0</v>
      </c>
      <c r="U4654" s="107"/>
      <c r="V4654" s="109"/>
      <c r="W4654" s="107"/>
      <c r="X4654" s="107"/>
      <c r="Y4654" s="107"/>
      <c r="Z4654" s="109"/>
      <c r="AA4654" s="107"/>
      <c r="AB4654" s="109"/>
      <c r="AF4654" s="94">
        <f t="shared" si="628"/>
        <v>43251</v>
      </c>
      <c r="AG4654" s="185">
        <f t="shared" si="634"/>
        <v>9.4450216315961066E-2</v>
      </c>
      <c r="AH4654" s="339" t="str">
        <f>VLOOKUP(B4654,'MF PF'!A:B,2)</f>
        <v>FdMgt2</v>
      </c>
      <c r="AI4654" s="358">
        <f t="shared" si="629"/>
        <v>0</v>
      </c>
      <c r="AJ4654" s="94">
        <f t="shared" si="630"/>
        <v>43251</v>
      </c>
    </row>
    <row r="4655" spans="1:36" ht="12.75" customHeight="1">
      <c r="A4655" s="8">
        <v>43280</v>
      </c>
      <c r="B4655" s="94" t="s">
        <v>19</v>
      </c>
      <c r="C4655" s="6" t="s">
        <v>297</v>
      </c>
      <c r="D4655" s="93">
        <f t="shared" si="633"/>
        <v>87461898.777400002</v>
      </c>
      <c r="E4655" s="109">
        <v>1924.22</v>
      </c>
      <c r="F4655" s="98"/>
      <c r="G4655" s="98">
        <v>0</v>
      </c>
      <c r="H4655" s="98">
        <v>0</v>
      </c>
      <c r="I4655" s="98">
        <v>0</v>
      </c>
      <c r="J4655" s="98"/>
      <c r="K4655" s="110">
        <v>45453.17</v>
      </c>
      <c r="L4655" s="93">
        <f t="shared" si="626"/>
        <v>0</v>
      </c>
      <c r="M4655" s="95">
        <f t="shared" ca="1" si="627"/>
        <v>0</v>
      </c>
      <c r="N4655" s="95">
        <f ca="1">IF(P4655="Hedge Fund",IF(A4655=Summary!$AD$3,M4655-E4655,M4655),IF(A4655=Summary!$AD$3,L4655-D4655,L4655))</f>
        <v>0</v>
      </c>
      <c r="O4655" s="95"/>
      <c r="P4655" s="107" t="s">
        <v>139</v>
      </c>
      <c r="Q4655" s="109">
        <f>0.1/3</f>
        <v>3.3333333333333333E-2</v>
      </c>
      <c r="R4655" s="107">
        <v>0</v>
      </c>
      <c r="S4655" s="107">
        <v>0</v>
      </c>
      <c r="T4655" s="107">
        <v>0</v>
      </c>
      <c r="U4655" s="107"/>
      <c r="V4655" s="109"/>
      <c r="W4655" s="107"/>
      <c r="X4655" s="107"/>
      <c r="Y4655" s="107"/>
      <c r="Z4655" s="109"/>
      <c r="AA4655" s="107"/>
      <c r="AB4655" s="109"/>
      <c r="AF4655" s="94">
        <f t="shared" si="628"/>
        <v>43280</v>
      </c>
      <c r="AG4655" s="185">
        <f t="shared" si="634"/>
        <v>-9.1234532917729316E-2</v>
      </c>
      <c r="AH4655" s="339" t="str">
        <f>VLOOKUP(B4655,'MF PF'!A:B,2)</f>
        <v>FdMgt2</v>
      </c>
      <c r="AI4655" s="358">
        <f t="shared" si="629"/>
        <v>0</v>
      </c>
      <c r="AJ4655" s="94">
        <f t="shared" si="630"/>
        <v>43281</v>
      </c>
    </row>
    <row r="4656" spans="1:36" ht="12.75" customHeight="1">
      <c r="A4656" s="8">
        <v>43312</v>
      </c>
      <c r="B4656" s="358" t="s">
        <v>19</v>
      </c>
      <c r="C4656" s="6" t="s">
        <v>297</v>
      </c>
      <c r="D4656" s="335">
        <f t="shared" si="633"/>
        <v>92901734.163000003</v>
      </c>
      <c r="E4656" s="111">
        <v>2043.9</v>
      </c>
      <c r="F4656" s="98"/>
      <c r="G4656" s="98">
        <v>0</v>
      </c>
      <c r="H4656" s="98">
        <v>0</v>
      </c>
      <c r="I4656" s="98">
        <v>0</v>
      </c>
      <c r="J4656" s="98"/>
      <c r="K4656" s="7">
        <v>45453.17</v>
      </c>
      <c r="L4656" s="93">
        <f t="shared" si="626"/>
        <v>0</v>
      </c>
      <c r="M4656" s="95">
        <f t="shared" ca="1" si="627"/>
        <v>0</v>
      </c>
      <c r="N4656" s="95">
        <f ca="1">IF(P4656="Hedge Fund",IF(A4656=Summary!$AD$3,M4656-E4656,M4656),IF(A4656=Summary!$AD$3,L4656-D4656,L4656))</f>
        <v>0</v>
      </c>
      <c r="O4656" s="95"/>
      <c r="P4656" s="107" t="s">
        <v>139</v>
      </c>
      <c r="Q4656" s="109">
        <f>0.1/3</f>
        <v>3.3333333333333333E-2</v>
      </c>
      <c r="R4656" s="107">
        <v>0</v>
      </c>
      <c r="S4656" s="107">
        <v>0</v>
      </c>
      <c r="T4656" s="107">
        <v>0</v>
      </c>
      <c r="U4656" s="107"/>
      <c r="V4656" s="107"/>
      <c r="W4656" s="107"/>
      <c r="X4656" s="107"/>
      <c r="Y4656" s="107"/>
      <c r="Z4656" s="107"/>
      <c r="AA4656" s="107"/>
      <c r="AB4656" s="107"/>
      <c r="AF4656" s="94">
        <f t="shared" si="628"/>
        <v>43312</v>
      </c>
      <c r="AG4656" s="185">
        <f t="shared" si="634"/>
        <v>6.2196630322935986E-2</v>
      </c>
      <c r="AH4656" s="339" t="str">
        <f>VLOOKUP(B4656,'MF PF'!A:B,2)</f>
        <v>FdMgt2</v>
      </c>
      <c r="AI4656" s="358">
        <f t="shared" si="629"/>
        <v>0</v>
      </c>
      <c r="AJ4656" s="94">
        <f t="shared" si="630"/>
        <v>43312</v>
      </c>
    </row>
    <row r="4657" spans="1:36" ht="12.75" customHeight="1">
      <c r="A4657" s="8">
        <v>43343</v>
      </c>
      <c r="B4657" s="358" t="s">
        <v>19</v>
      </c>
      <c r="C4657" s="6" t="s">
        <v>297</v>
      </c>
      <c r="D4657" s="335">
        <f t="shared" si="633"/>
        <v>89177301.413199991</v>
      </c>
      <c r="E4657" s="111">
        <v>1961.96</v>
      </c>
      <c r="F4657" s="98"/>
      <c r="G4657" s="98">
        <v>0</v>
      </c>
      <c r="H4657" s="98">
        <v>0</v>
      </c>
      <c r="I4657" s="98">
        <v>0</v>
      </c>
      <c r="J4657" s="98">
        <v>50000000</v>
      </c>
      <c r="K4657" s="7">
        <v>45453.17</v>
      </c>
      <c r="L4657" s="93">
        <f t="shared" si="626"/>
        <v>0</v>
      </c>
      <c r="M4657" s="95">
        <f t="shared" ca="1" si="627"/>
        <v>0</v>
      </c>
      <c r="N4657" s="95">
        <f ca="1">IF(P4657="Hedge Fund",IF(A4657=Summary!$AD$3,M4657-E4657,M4657),IF(A4657=Summary!$AD$3,L4657-D4657,L4657))</f>
        <v>0</v>
      </c>
      <c r="O4657" s="95"/>
      <c r="P4657" s="107" t="s">
        <v>139</v>
      </c>
      <c r="Q4657" s="109">
        <v>3.3333333333333333E-2</v>
      </c>
      <c r="R4657" s="107">
        <v>0</v>
      </c>
      <c r="S4657" s="107">
        <v>0</v>
      </c>
      <c r="T4657" s="107">
        <v>0</v>
      </c>
      <c r="U4657" s="107"/>
      <c r="V4657" s="107"/>
      <c r="W4657" s="107"/>
      <c r="X4657" s="107"/>
      <c r="Y4657" s="107"/>
      <c r="Z4657" s="107"/>
      <c r="AA4657" s="107"/>
      <c r="AB4657" s="107"/>
      <c r="AF4657" s="94">
        <f t="shared" si="628"/>
        <v>43343</v>
      </c>
      <c r="AG4657" s="185">
        <f t="shared" si="634"/>
        <v>-4.0090023973775701E-2</v>
      </c>
      <c r="AH4657" s="339" t="str">
        <f>VLOOKUP(B4657,'MF PF'!A:B,2)</f>
        <v>FdMgt2</v>
      </c>
      <c r="AI4657" s="358">
        <f t="shared" si="629"/>
        <v>0</v>
      </c>
      <c r="AJ4657" s="94">
        <f t="shared" si="630"/>
        <v>43343</v>
      </c>
    </row>
    <row r="4658" spans="1:36" ht="12.75" customHeight="1">
      <c r="A4658" s="8">
        <v>43371</v>
      </c>
      <c r="B4658" s="358" t="s">
        <v>19</v>
      </c>
      <c r="C4658" s="6" t="s">
        <v>297</v>
      </c>
      <c r="D4658" s="93">
        <v>88272015.094042137</v>
      </c>
      <c r="E4658" s="111">
        <v>1942.04</v>
      </c>
      <c r="F4658" s="93">
        <v>0</v>
      </c>
      <c r="G4658" s="98">
        <v>0</v>
      </c>
      <c r="H4658" s="93">
        <v>0</v>
      </c>
      <c r="I4658" s="93">
        <v>0</v>
      </c>
      <c r="J4658" s="98">
        <v>50000000</v>
      </c>
      <c r="K4658" s="7">
        <v>45453.17</v>
      </c>
      <c r="L4658" s="93">
        <f t="shared" si="626"/>
        <v>0</v>
      </c>
      <c r="M4658" s="95">
        <f t="shared" ca="1" si="627"/>
        <v>0</v>
      </c>
      <c r="N4658" s="95">
        <f ca="1">IF(P4658="Hedge Fund",IF(A4658=Summary!$AD$3,M4658-E4658,M4658),IF(A4658=Summary!$AD$3,L4658-D4658,L4658))</f>
        <v>0</v>
      </c>
      <c r="O4658" s="95"/>
      <c r="P4658" s="95" t="s">
        <v>139</v>
      </c>
      <c r="Q4658" s="109">
        <v>3.3333333333333333E-2</v>
      </c>
      <c r="R4658" s="95">
        <v>0</v>
      </c>
      <c r="S4658" s="95"/>
      <c r="T4658" s="95"/>
      <c r="U4658" s="95"/>
      <c r="V4658" s="95"/>
      <c r="W4658" s="95"/>
      <c r="X4658" s="95"/>
      <c r="Y4658" s="95"/>
      <c r="Z4658" s="95"/>
      <c r="AA4658" s="95"/>
      <c r="AB4658" s="95"/>
      <c r="AF4658" s="94">
        <f t="shared" si="628"/>
        <v>43371</v>
      </c>
      <c r="AG4658" s="185">
        <f t="shared" si="634"/>
        <v>-1.0151533011334757E-2</v>
      </c>
      <c r="AH4658" s="339" t="str">
        <f>VLOOKUP(B4658,'MF PF'!A:B,2)</f>
        <v>FdMgt2</v>
      </c>
      <c r="AI4658" s="358">
        <f t="shared" si="629"/>
        <v>0</v>
      </c>
      <c r="AJ4658" s="94">
        <f t="shared" si="630"/>
        <v>43373</v>
      </c>
    </row>
    <row r="4659" spans="1:36" ht="12.75" customHeight="1">
      <c r="A4659" s="8">
        <v>43404</v>
      </c>
      <c r="B4659" s="358" t="s">
        <v>19</v>
      </c>
      <c r="C4659" s="6" t="s">
        <v>297</v>
      </c>
      <c r="D4659" s="93">
        <v>83873806.972081661</v>
      </c>
      <c r="E4659" s="9">
        <v>1845.28</v>
      </c>
      <c r="F4659" s="93">
        <v>50</v>
      </c>
      <c r="G4659" s="93">
        <v>0</v>
      </c>
      <c r="H4659" s="93">
        <v>0</v>
      </c>
      <c r="I4659" s="93">
        <v>0</v>
      </c>
      <c r="J4659" s="98">
        <v>50000000</v>
      </c>
      <c r="K4659" s="7">
        <v>45453.17</v>
      </c>
      <c r="L4659" s="93">
        <f t="shared" si="626"/>
        <v>0</v>
      </c>
      <c r="M4659" s="95">
        <f t="shared" ca="1" si="627"/>
        <v>0</v>
      </c>
      <c r="N4659" s="95">
        <f ca="1">IF(P4659="Hedge Fund",IF(A4659=Summary!$AD$3,M4659-E4659,M4659),IF(A4659=Summary!$AD$3,L4659-D4659,L4659))</f>
        <v>0</v>
      </c>
      <c r="O4659" s="95"/>
      <c r="P4659" s="95" t="s">
        <v>139</v>
      </c>
      <c r="Q4659" s="95">
        <v>3.3333333333333E-2</v>
      </c>
      <c r="R4659" s="95">
        <v>0</v>
      </c>
      <c r="S4659" s="95"/>
      <c r="T4659" s="95"/>
      <c r="U4659" s="95"/>
      <c r="V4659" s="95"/>
      <c r="W4659" s="95"/>
      <c r="X4659" s="95"/>
      <c r="Y4659" s="95"/>
      <c r="Z4659" s="95"/>
      <c r="AA4659" s="95"/>
      <c r="AB4659" s="95"/>
      <c r="AF4659" s="94">
        <f t="shared" si="628"/>
        <v>43404</v>
      </c>
      <c r="AG4659" s="185">
        <f t="shared" si="634"/>
        <v>-4.9825622733034591E-2</v>
      </c>
      <c r="AH4659" s="339" t="str">
        <f>VLOOKUP(B4659,'MF PF'!A:B,2)</f>
        <v>FdMgt2</v>
      </c>
      <c r="AI4659" s="358">
        <f t="shared" si="629"/>
        <v>0</v>
      </c>
      <c r="AJ4659" s="94">
        <f t="shared" si="630"/>
        <v>43404</v>
      </c>
    </row>
    <row r="4660" spans="1:36" ht="12.75" customHeight="1">
      <c r="A4660" s="8">
        <v>43434</v>
      </c>
      <c r="B4660" s="358" t="s">
        <v>19</v>
      </c>
      <c r="C4660" s="6" t="s">
        <v>297</v>
      </c>
      <c r="D4660" s="93">
        <v>83725935.274831742</v>
      </c>
      <c r="E4660" s="9">
        <v>1842.03</v>
      </c>
      <c r="F4660" s="93">
        <v>48</v>
      </c>
      <c r="G4660" s="93">
        <v>0</v>
      </c>
      <c r="H4660" s="93">
        <v>0</v>
      </c>
      <c r="I4660" s="93">
        <v>0</v>
      </c>
      <c r="J4660" s="93">
        <v>48000000</v>
      </c>
      <c r="K4660" s="7">
        <v>45453.17</v>
      </c>
      <c r="L4660" s="93">
        <f t="shared" si="626"/>
        <v>0</v>
      </c>
      <c r="M4660" s="95">
        <f t="shared" ca="1" si="627"/>
        <v>0</v>
      </c>
      <c r="N4660" s="95">
        <f ca="1">IF(P4660="Hedge Fund",IF(A4660=Summary!$AD$3,M4660-E4660,M4660),IF(A4660=Summary!$AD$3,L4660-D4660,L4660))</f>
        <v>0</v>
      </c>
      <c r="O4660" s="95"/>
      <c r="P4660" s="95" t="s">
        <v>139</v>
      </c>
      <c r="Q4660" s="95">
        <f>0.166666666666667/5</f>
        <v>3.3333333333333395E-2</v>
      </c>
      <c r="R4660" s="95">
        <v>0</v>
      </c>
      <c r="S4660" s="95"/>
      <c r="T4660" s="95"/>
      <c r="U4660" s="95"/>
      <c r="V4660" s="95"/>
      <c r="W4660" s="95"/>
      <c r="X4660" s="95"/>
      <c r="Y4660" s="95"/>
      <c r="Z4660" s="95"/>
      <c r="AA4660" s="95"/>
      <c r="AB4660" s="95"/>
      <c r="AF4660" s="94">
        <f t="shared" si="628"/>
        <v>43434</v>
      </c>
      <c r="AG4660" s="185">
        <f t="shared" si="634"/>
        <v>-1.7630259384689984E-3</v>
      </c>
      <c r="AH4660" s="339" t="str">
        <f>VLOOKUP(B4660,'MF PF'!A:B,2)</f>
        <v>FdMgt2</v>
      </c>
      <c r="AI4660" s="358">
        <f t="shared" si="629"/>
        <v>0</v>
      </c>
      <c r="AJ4660" s="94">
        <f t="shared" si="630"/>
        <v>43434</v>
      </c>
    </row>
    <row r="4661" spans="1:36" ht="12.75" customHeight="1">
      <c r="A4661" s="8">
        <v>43465</v>
      </c>
      <c r="B4661" s="358" t="s">
        <v>19</v>
      </c>
      <c r="C4661" s="6" t="s">
        <v>297</v>
      </c>
      <c r="D4661" s="93">
        <v>84631052.115302578</v>
      </c>
      <c r="E4661" s="9">
        <v>1861.94</v>
      </c>
      <c r="F4661" s="93">
        <v>48</v>
      </c>
      <c r="G4661" s="93">
        <v>0</v>
      </c>
      <c r="H4661" s="93">
        <v>0</v>
      </c>
      <c r="I4661" s="93">
        <v>0</v>
      </c>
      <c r="J4661" s="93">
        <v>48000000</v>
      </c>
      <c r="K4661" s="7">
        <v>45453.17</v>
      </c>
      <c r="L4661" s="93">
        <f t="shared" si="626"/>
        <v>0</v>
      </c>
      <c r="M4661" s="95">
        <f t="shared" ca="1" si="627"/>
        <v>0</v>
      </c>
      <c r="N4661" s="95">
        <f ca="1">IF(P4661="Hedge Fund",IF(A4661=Summary!$AD$3,M4661-E4661,M4661),IF(A4661=Summary!$AD$3,L4661-D4661,L4661))</f>
        <v>0</v>
      </c>
      <c r="O4661" s="95"/>
      <c r="P4661" s="95" t="s">
        <v>139</v>
      </c>
      <c r="Q4661" s="95">
        <f>0.166666666666667/5</f>
        <v>3.3333333333333395E-2</v>
      </c>
      <c r="R4661" s="95">
        <v>0</v>
      </c>
      <c r="S4661" s="95"/>
      <c r="T4661" s="95"/>
      <c r="U4661" s="95"/>
      <c r="V4661" s="95"/>
      <c r="W4661" s="95"/>
      <c r="X4661" s="95"/>
      <c r="Y4661" s="95"/>
      <c r="Z4661" s="95"/>
      <c r="AA4661" s="95"/>
      <c r="AB4661" s="95"/>
      <c r="AF4661" s="94">
        <f t="shared" si="628"/>
        <v>43465</v>
      </c>
      <c r="AG4661" s="185">
        <f t="shared" si="634"/>
        <v>1.0810471540267264E-2</v>
      </c>
      <c r="AH4661" s="339" t="str">
        <f>VLOOKUP(B4661,'MF PF'!A:B,2)</f>
        <v>FdMgt2</v>
      </c>
      <c r="AI4661" s="358">
        <f t="shared" si="629"/>
        <v>0</v>
      </c>
      <c r="AJ4661" s="94">
        <f t="shared" si="630"/>
        <v>43465</v>
      </c>
    </row>
    <row r="4662" spans="1:36" ht="12.75" customHeight="1">
      <c r="A4662" s="8">
        <v>43496</v>
      </c>
      <c r="B4662" s="358" t="s">
        <v>19</v>
      </c>
      <c r="C4662" s="6" t="s">
        <v>297</v>
      </c>
      <c r="D4662" s="93">
        <v>88401063.1799528</v>
      </c>
      <c r="E4662" s="9">
        <v>1944.88</v>
      </c>
      <c r="F4662" s="93">
        <v>48</v>
      </c>
      <c r="G4662" s="93">
        <v>0</v>
      </c>
      <c r="H4662" s="93">
        <v>0</v>
      </c>
      <c r="I4662" s="93">
        <v>0</v>
      </c>
      <c r="J4662" s="93">
        <v>48000000</v>
      </c>
      <c r="K4662" s="7">
        <v>45453.17</v>
      </c>
      <c r="L4662" s="93">
        <f t="shared" si="626"/>
        <v>0</v>
      </c>
      <c r="M4662" s="95">
        <f t="shared" ca="1" si="627"/>
        <v>0</v>
      </c>
      <c r="N4662" s="95">
        <f ca="1">IF(P4662="Hedge Fund",IF(A4662=Summary!$AD$3,M4662-E4662,M4662),IF(A4662=Summary!$AD$3,L4662-D4662,L4662))</f>
        <v>-1944.88</v>
      </c>
      <c r="O4662" s="95"/>
      <c r="P4662" s="95" t="s">
        <v>139</v>
      </c>
      <c r="Q4662" s="95">
        <v>3.3333333333333333E-2</v>
      </c>
      <c r="R4662" s="95">
        <v>0</v>
      </c>
      <c r="S4662" s="95"/>
      <c r="T4662" s="95"/>
      <c r="U4662" s="95"/>
      <c r="V4662" s="95"/>
      <c r="W4662" s="95"/>
      <c r="X4662" s="95"/>
      <c r="Y4662" s="95"/>
      <c r="Z4662" s="95"/>
      <c r="AA4662" s="95"/>
      <c r="AB4662" s="95"/>
      <c r="AF4662" s="94">
        <f t="shared" si="628"/>
        <v>43496</v>
      </c>
      <c r="AG4662" s="185">
        <f t="shared" si="634"/>
        <v>4.4546427941293931E-2</v>
      </c>
      <c r="AH4662" s="339" t="str">
        <f>VLOOKUP(B4662,'MF PF'!A:B,2)</f>
        <v>FdMgt2</v>
      </c>
      <c r="AI4662" s="358">
        <f t="shared" si="629"/>
        <v>0</v>
      </c>
      <c r="AJ4662" s="94">
        <f t="shared" si="630"/>
        <v>43496</v>
      </c>
    </row>
    <row r="4663" spans="1:36" ht="12.75" customHeight="1">
      <c r="A4663" s="8">
        <v>43451</v>
      </c>
      <c r="B4663" s="358" t="s">
        <v>425</v>
      </c>
      <c r="C4663" s="6" t="s">
        <v>297</v>
      </c>
      <c r="D4663" s="93"/>
      <c r="F4663" s="93"/>
      <c r="G4663" s="382">
        <v>10002000</v>
      </c>
      <c r="H4663" s="93"/>
      <c r="I4663" s="93"/>
      <c r="K4663" s="7">
        <v>1</v>
      </c>
      <c r="L4663" s="93">
        <f t="shared" si="626"/>
        <v>10002000</v>
      </c>
      <c r="M4663" s="95">
        <f t="shared" ca="1" si="627"/>
        <v>0</v>
      </c>
      <c r="N4663" s="95">
        <f>IF(P4663="Hedge Fund",IF(A4663=Summary!$AD$3,M4663-E4663,M4663),IF(A4663=Summary!$AD$3,L4663-D4663,L4663))</f>
        <v>10002000</v>
      </c>
      <c r="O4663" s="95"/>
      <c r="P4663" s="95" t="s">
        <v>155</v>
      </c>
      <c r="Q4663" s="109"/>
      <c r="R4663" s="109"/>
      <c r="S4663" s="95"/>
      <c r="T4663" s="95"/>
      <c r="U4663" s="95"/>
      <c r="V4663" s="95"/>
      <c r="W4663" s="95"/>
      <c r="X4663" s="95"/>
      <c r="Y4663" s="95"/>
      <c r="Z4663" s="95"/>
      <c r="AA4663" s="95"/>
      <c r="AB4663" s="95"/>
      <c r="AF4663" s="94">
        <f t="shared" si="628"/>
        <v>43451</v>
      </c>
      <c r="AG4663" s="185" t="e">
        <f>IF(C4663&lt;&gt;#REF!,D4663/G4663-1,(D4663-G4663-I4663-H4663)/(#REF!)-1)</f>
        <v>#REF!</v>
      </c>
      <c r="AH4663" s="339" t="str">
        <f>VLOOKUP(B4663,'MF PF'!A:B,2)</f>
        <v>FdMgt2</v>
      </c>
      <c r="AI4663" s="358">
        <f t="shared" si="629"/>
        <v>0</v>
      </c>
      <c r="AJ4663" s="94">
        <f t="shared" si="630"/>
        <v>43465</v>
      </c>
    </row>
    <row r="4664" spans="1:36" ht="12.75" customHeight="1">
      <c r="A4664" s="8">
        <v>43454</v>
      </c>
      <c r="B4664" s="358" t="s">
        <v>425</v>
      </c>
      <c r="C4664" s="6" t="s">
        <v>297</v>
      </c>
      <c r="D4664" s="93"/>
      <c r="F4664" s="93"/>
      <c r="G4664" s="381">
        <v>15003000</v>
      </c>
      <c r="H4664" s="93"/>
      <c r="I4664" s="93"/>
      <c r="K4664" s="7">
        <v>1</v>
      </c>
      <c r="L4664" s="93">
        <f t="shared" si="626"/>
        <v>15003000</v>
      </c>
      <c r="M4664" s="95">
        <f t="shared" ca="1" si="627"/>
        <v>0</v>
      </c>
      <c r="N4664" s="95">
        <f>IF(P4664="Hedge Fund",IF(A4664=Summary!$AD$3,M4664-E4664,M4664),IF(A4664=Summary!$AD$3,L4664-D4664,L4664))</f>
        <v>15003000</v>
      </c>
      <c r="O4664" s="95"/>
      <c r="P4664" s="95" t="s">
        <v>155</v>
      </c>
      <c r="Q4664" s="109"/>
      <c r="R4664" s="109"/>
      <c r="S4664" s="95"/>
      <c r="T4664" s="95"/>
      <c r="U4664" s="95"/>
      <c r="V4664" s="95"/>
      <c r="W4664" s="95"/>
      <c r="X4664" s="95"/>
      <c r="Y4664" s="95"/>
      <c r="Z4664" s="95"/>
      <c r="AA4664" s="95"/>
      <c r="AB4664" s="95"/>
      <c r="AF4664" s="94">
        <f t="shared" si="628"/>
        <v>43454</v>
      </c>
      <c r="AG4664" s="185" t="e">
        <f t="shared" ref="AG4664:AG4695" si="635">IF(C4664&lt;&gt;C4663,D4664/G4664-1,(D4664-G4664-I4664-H4664)/(D4663)-1)</f>
        <v>#DIV/0!</v>
      </c>
      <c r="AH4664" s="339" t="str">
        <f>VLOOKUP(B4664,'MF PF'!A:B,2)</f>
        <v>FdMgt2</v>
      </c>
      <c r="AI4664" s="358">
        <f t="shared" si="629"/>
        <v>0</v>
      </c>
      <c r="AJ4664" s="94">
        <f t="shared" si="630"/>
        <v>43465</v>
      </c>
    </row>
    <row r="4665" spans="1:36" ht="12.75" customHeight="1">
      <c r="A4665" s="8">
        <v>43465</v>
      </c>
      <c r="B4665" s="358" t="s">
        <v>425</v>
      </c>
      <c r="C4665" s="6" t="s">
        <v>297</v>
      </c>
      <c r="D4665" s="93">
        <v>25099112.979999997</v>
      </c>
      <c r="F4665" s="93"/>
      <c r="G4665" s="93"/>
      <c r="H4665" s="93"/>
      <c r="I4665" s="93"/>
      <c r="K4665" s="7">
        <v>1</v>
      </c>
      <c r="L4665" s="93">
        <f t="shared" si="626"/>
        <v>0</v>
      </c>
      <c r="M4665" s="95">
        <f t="shared" ca="1" si="627"/>
        <v>0</v>
      </c>
      <c r="N4665" s="95">
        <f>IF(P4665="Hedge Fund",IF(A4665=Summary!$AD$3,M4665-E4665,M4665),IF(A4665=Summary!$AD$3,L4665-D4665,L4665))</f>
        <v>0</v>
      </c>
      <c r="O4665" s="95"/>
      <c r="P4665" s="95" t="s">
        <v>155</v>
      </c>
      <c r="Q4665" s="95"/>
      <c r="R4665" s="95"/>
      <c r="S4665" s="95"/>
      <c r="T4665" s="95"/>
      <c r="U4665" s="95"/>
      <c r="V4665" s="95"/>
      <c r="W4665" s="95"/>
      <c r="X4665" s="95"/>
      <c r="Y4665" s="95"/>
      <c r="Z4665" s="95"/>
      <c r="AA4665" s="95"/>
      <c r="AB4665" s="95"/>
      <c r="AF4665" s="94">
        <f t="shared" si="628"/>
        <v>43465</v>
      </c>
      <c r="AG4665" s="185" t="e">
        <f t="shared" si="635"/>
        <v>#DIV/0!</v>
      </c>
      <c r="AH4665" s="339" t="str">
        <f>VLOOKUP(B4665,'MF PF'!A:B,2)</f>
        <v>FdMgt2</v>
      </c>
      <c r="AI4665" s="358">
        <f t="shared" si="629"/>
        <v>0</v>
      </c>
      <c r="AJ4665" s="94">
        <f t="shared" si="630"/>
        <v>43465</v>
      </c>
    </row>
    <row r="4666" spans="1:36" ht="12.75" customHeight="1">
      <c r="A4666" s="8">
        <v>43496</v>
      </c>
      <c r="B4666" s="358" t="s">
        <v>425</v>
      </c>
      <c r="C4666" s="6" t="s">
        <v>297</v>
      </c>
      <c r="D4666" s="93">
        <v>25441247.149999999</v>
      </c>
      <c r="F4666" s="93"/>
      <c r="G4666" s="93"/>
      <c r="H4666" s="93"/>
      <c r="I4666" s="93"/>
      <c r="K4666" s="7">
        <v>1</v>
      </c>
      <c r="L4666" s="93">
        <f t="shared" si="626"/>
        <v>0</v>
      </c>
      <c r="M4666" s="95">
        <f t="shared" ca="1" si="627"/>
        <v>0</v>
      </c>
      <c r="N4666" s="95">
        <f>IF(P4666="Hedge Fund",IF(A4666=Summary!$AD$3,M4666-E4666,M4666),IF(A4666=Summary!$AD$3,L4666-D4666,L4666))</f>
        <v>-25441247.149999999</v>
      </c>
      <c r="O4666" s="95"/>
      <c r="P4666" s="95" t="s">
        <v>155</v>
      </c>
      <c r="Q4666" s="95"/>
      <c r="R4666" s="95"/>
      <c r="S4666" s="95"/>
      <c r="T4666" s="95"/>
      <c r="U4666" s="95"/>
      <c r="V4666" s="95"/>
      <c r="W4666" s="95"/>
      <c r="X4666" s="95"/>
      <c r="Y4666" s="95"/>
      <c r="Z4666" s="95"/>
      <c r="AA4666" s="95"/>
      <c r="AB4666" s="95"/>
      <c r="AF4666" s="94">
        <f t="shared" si="628"/>
        <v>43496</v>
      </c>
      <c r="AG4666" s="185">
        <f t="shared" si="635"/>
        <v>1.3631325149722651E-2</v>
      </c>
      <c r="AH4666" s="339" t="str">
        <f>VLOOKUP(B4666,'MF PF'!A:B,2)</f>
        <v>FdMgt2</v>
      </c>
      <c r="AI4666" s="358">
        <f t="shared" si="629"/>
        <v>0</v>
      </c>
      <c r="AJ4666" s="94">
        <f t="shared" si="630"/>
        <v>43496</v>
      </c>
    </row>
    <row r="4667" spans="1:36" ht="12.75" customHeight="1">
      <c r="A4667" s="8">
        <v>42643</v>
      </c>
      <c r="B4667" s="94" t="s">
        <v>35</v>
      </c>
      <c r="C4667" s="6" t="s">
        <v>297</v>
      </c>
      <c r="D4667" s="102">
        <v>496062.01360000001</v>
      </c>
      <c r="E4667" s="9">
        <f t="shared" ref="E4667:E4690" si="636">D4667/K4667</f>
        <v>1537984.5083555414</v>
      </c>
      <c r="F4667" s="98">
        <v>15</v>
      </c>
      <c r="G4667" s="98">
        <v>160000</v>
      </c>
      <c r="H4667" s="98"/>
      <c r="I4667" s="98">
        <v>0</v>
      </c>
      <c r="J4667" s="98"/>
      <c r="K4667" s="103">
        <v>0.32254031877759565</v>
      </c>
      <c r="L4667" s="93">
        <f t="shared" si="626"/>
        <v>160000</v>
      </c>
      <c r="M4667" s="95">
        <f t="shared" ca="1" si="627"/>
        <v>1537984.5083555414</v>
      </c>
      <c r="N4667" s="95">
        <f>IF(P4667="Hedge Fund",IF(A4667=Summary!$AD$3,M4667-E4667,M4667),IF(A4667=Summary!$AD$3,L4667-D4667,L4667))</f>
        <v>160000</v>
      </c>
      <c r="O4667" s="95"/>
      <c r="P4667" s="107" t="s">
        <v>155</v>
      </c>
      <c r="Q4667" s="107">
        <v>0</v>
      </c>
      <c r="R4667" s="107">
        <v>1.7687474500000001E-2</v>
      </c>
      <c r="S4667" s="107">
        <v>0</v>
      </c>
      <c r="T4667" s="107">
        <v>0</v>
      </c>
      <c r="U4667" s="107"/>
      <c r="V4667" s="107"/>
      <c r="W4667" s="107"/>
      <c r="X4667" s="107"/>
      <c r="Y4667" s="107"/>
      <c r="Z4667" s="107"/>
      <c r="AA4667" s="107"/>
      <c r="AB4667" s="107"/>
      <c r="AF4667" s="94">
        <f t="shared" si="628"/>
        <v>42643</v>
      </c>
      <c r="AG4667" s="185">
        <f t="shared" si="635"/>
        <v>-0.986790662752553</v>
      </c>
      <c r="AH4667" s="339" t="str">
        <f>VLOOKUP(B4667,'MF PF'!A:B,2)</f>
        <v>Coinv</v>
      </c>
      <c r="AI4667" s="358">
        <f t="shared" si="629"/>
        <v>0</v>
      </c>
      <c r="AJ4667" s="94">
        <f t="shared" si="630"/>
        <v>42643</v>
      </c>
    </row>
    <row r="4668" spans="1:36" ht="12.75" customHeight="1">
      <c r="A4668" s="8">
        <v>42674</v>
      </c>
      <c r="B4668" s="94" t="s">
        <v>35</v>
      </c>
      <c r="C4668" s="6" t="s">
        <v>297</v>
      </c>
      <c r="D4668" s="98">
        <v>674534.48360000004</v>
      </c>
      <c r="E4668" s="9">
        <f t="shared" si="636"/>
        <v>2091318.3386078263</v>
      </c>
      <c r="F4668" s="98">
        <v>15</v>
      </c>
      <c r="G4668" s="98">
        <v>0</v>
      </c>
      <c r="H4668" s="98"/>
      <c r="I4668" s="98">
        <v>0</v>
      </c>
      <c r="J4668" s="98"/>
      <c r="K4668" s="7">
        <v>0.32254031877759565</v>
      </c>
      <c r="L4668" s="93">
        <f t="shared" si="626"/>
        <v>0</v>
      </c>
      <c r="M4668" s="95">
        <f t="shared" ca="1" si="627"/>
        <v>0</v>
      </c>
      <c r="N4668" s="95">
        <f>IF(P4668="Hedge Fund",IF(A4668=Summary!$AD$3,M4668-E4668,M4668),IF(A4668=Summary!$AD$3,L4668-D4668,L4668))</f>
        <v>0</v>
      </c>
      <c r="O4668" s="95"/>
      <c r="P4668" s="107" t="s">
        <v>155</v>
      </c>
      <c r="Q4668" s="107">
        <v>0</v>
      </c>
      <c r="R4668" s="107">
        <v>0</v>
      </c>
      <c r="S4668" s="107">
        <v>0</v>
      </c>
      <c r="T4668" s="107">
        <v>0</v>
      </c>
      <c r="U4668" s="107"/>
      <c r="V4668" s="107"/>
      <c r="W4668" s="107"/>
      <c r="X4668" s="107"/>
      <c r="Y4668" s="107"/>
      <c r="Z4668" s="107"/>
      <c r="AA4668" s="107"/>
      <c r="AB4668" s="107"/>
      <c r="AF4668" s="94">
        <f t="shared" si="628"/>
        <v>42674</v>
      </c>
      <c r="AG4668" s="185">
        <f t="shared" si="635"/>
        <v>0.35977854604265547</v>
      </c>
      <c r="AH4668" s="339" t="str">
        <f>VLOOKUP(B4668,'MF PF'!A:B,2)</f>
        <v>Coinv</v>
      </c>
      <c r="AI4668" s="358">
        <f t="shared" si="629"/>
        <v>0</v>
      </c>
      <c r="AJ4668" s="94">
        <f t="shared" si="630"/>
        <v>42674</v>
      </c>
    </row>
    <row r="4669" spans="1:36" ht="12.75" customHeight="1">
      <c r="A4669" s="8">
        <v>42704</v>
      </c>
      <c r="B4669" s="94" t="s">
        <v>35</v>
      </c>
      <c r="C4669" s="6" t="s">
        <v>297</v>
      </c>
      <c r="D4669" s="98">
        <v>3630475.2766999998</v>
      </c>
      <c r="E4669" s="9">
        <f t="shared" si="636"/>
        <v>2127022.3215122861</v>
      </c>
      <c r="F4669" s="98">
        <v>15</v>
      </c>
      <c r="G4669" s="98">
        <v>2895000</v>
      </c>
      <c r="H4669" s="98"/>
      <c r="I4669" s="98">
        <v>0</v>
      </c>
      <c r="J4669" s="98"/>
      <c r="K4669" s="7">
        <v>1.706834592181796</v>
      </c>
      <c r="L4669" s="93">
        <f t="shared" si="626"/>
        <v>2895000</v>
      </c>
      <c r="M4669" s="95">
        <f t="shared" ca="1" si="627"/>
        <v>0</v>
      </c>
      <c r="N4669" s="95">
        <f>IF(P4669="Hedge Fund",IF(A4669=Summary!$AD$3,M4669-E4669,M4669),IF(A4669=Summary!$AD$3,L4669-D4669,L4669))</f>
        <v>2895000</v>
      </c>
      <c r="O4669" s="95"/>
      <c r="P4669" s="107" t="s">
        <v>155</v>
      </c>
      <c r="Q4669" s="107">
        <v>0</v>
      </c>
      <c r="R4669" s="107">
        <v>0</v>
      </c>
      <c r="S4669" s="107">
        <v>0</v>
      </c>
      <c r="T4669" s="107">
        <v>0</v>
      </c>
      <c r="U4669" s="107"/>
      <c r="V4669" s="107"/>
      <c r="W4669" s="107"/>
      <c r="X4669" s="107"/>
      <c r="Y4669" s="107"/>
      <c r="Z4669" s="107"/>
      <c r="AA4669" s="107"/>
      <c r="AB4669" s="107"/>
      <c r="AF4669" s="94">
        <f t="shared" si="628"/>
        <v>42704</v>
      </c>
      <c r="AG4669" s="185">
        <f t="shared" si="635"/>
        <v>9.0344963203004669E-2</v>
      </c>
      <c r="AH4669" s="339" t="str">
        <f>VLOOKUP(B4669,'MF PF'!A:B,2)</f>
        <v>Coinv</v>
      </c>
      <c r="AI4669" s="358">
        <f t="shared" si="629"/>
        <v>0</v>
      </c>
      <c r="AJ4669" s="94">
        <f t="shared" si="630"/>
        <v>42704</v>
      </c>
    </row>
    <row r="4670" spans="1:36" ht="12.75" customHeight="1">
      <c r="A4670" s="8">
        <v>42734</v>
      </c>
      <c r="B4670" s="94" t="s">
        <v>35</v>
      </c>
      <c r="C4670" s="6" t="s">
        <v>297</v>
      </c>
      <c r="D4670" s="98">
        <v>3644232.1653875099</v>
      </c>
      <c r="E4670" s="9">
        <f t="shared" si="636"/>
        <v>2135082.2054345617</v>
      </c>
      <c r="F4670" s="98">
        <v>15</v>
      </c>
      <c r="G4670" s="98">
        <v>0</v>
      </c>
      <c r="H4670" s="98"/>
      <c r="I4670" s="98">
        <v>0</v>
      </c>
      <c r="J4670" s="98"/>
      <c r="K4670" s="7">
        <v>1.706834592181796</v>
      </c>
      <c r="L4670" s="93">
        <f t="shared" si="626"/>
        <v>0</v>
      </c>
      <c r="M4670" s="95">
        <f t="shared" ca="1" si="627"/>
        <v>0</v>
      </c>
      <c r="N4670" s="95">
        <f>IF(P4670="Hedge Fund",IF(A4670=Summary!$AD$3,M4670-E4670,M4670),IF(A4670=Summary!$AD$3,L4670-D4670,L4670))</f>
        <v>0</v>
      </c>
      <c r="O4670" s="95"/>
      <c r="P4670" s="107" t="s">
        <v>155</v>
      </c>
      <c r="Q4670" s="107">
        <v>0</v>
      </c>
      <c r="R4670" s="107">
        <v>3.10122195E-2</v>
      </c>
      <c r="S4670" s="107">
        <v>0</v>
      </c>
      <c r="T4670" s="107">
        <v>0</v>
      </c>
      <c r="U4670" s="107"/>
      <c r="V4670" s="107"/>
      <c r="W4670" s="107"/>
      <c r="X4670" s="107"/>
      <c r="Y4670" s="107"/>
      <c r="Z4670" s="107"/>
      <c r="AA4670" s="107"/>
      <c r="AB4670" s="107"/>
      <c r="AF4670" s="94">
        <f t="shared" si="628"/>
        <v>42734</v>
      </c>
      <c r="AG4670" s="185">
        <f t="shared" si="635"/>
        <v>3.7892803666230712E-3</v>
      </c>
      <c r="AH4670" s="339" t="str">
        <f>VLOOKUP(B4670,'MF PF'!A:B,2)</f>
        <v>Coinv</v>
      </c>
      <c r="AI4670" s="358">
        <f t="shared" si="629"/>
        <v>0</v>
      </c>
      <c r="AJ4670" s="94">
        <f t="shared" si="630"/>
        <v>42735</v>
      </c>
    </row>
    <row r="4671" spans="1:36" ht="12.75" customHeight="1">
      <c r="A4671" s="8">
        <v>42762</v>
      </c>
      <c r="B4671" s="94" t="s">
        <v>35</v>
      </c>
      <c r="C4671" s="6" t="s">
        <v>297</v>
      </c>
      <c r="D4671" s="98">
        <v>3745933.7941000001</v>
      </c>
      <c r="E4671" s="9">
        <f t="shared" si="636"/>
        <v>2194667.1407167134</v>
      </c>
      <c r="F4671" s="98">
        <v>15</v>
      </c>
      <c r="G4671" s="98">
        <v>0</v>
      </c>
      <c r="H4671" s="98"/>
      <c r="I4671" s="98">
        <v>0</v>
      </c>
      <c r="J4671" s="98"/>
      <c r="K4671" s="7">
        <v>1.706834592181796</v>
      </c>
      <c r="L4671" s="93">
        <f t="shared" si="626"/>
        <v>0</v>
      </c>
      <c r="M4671" s="95">
        <f t="shared" ca="1" si="627"/>
        <v>0</v>
      </c>
      <c r="N4671" s="95">
        <f>IF(P4671="Hedge Fund",IF(A4671=Summary!$AD$3,M4671-E4671,M4671),IF(A4671=Summary!$AD$3,L4671-D4671,L4671))</f>
        <v>0</v>
      </c>
      <c r="O4671" s="95"/>
      <c r="P4671" s="107" t="s">
        <v>155</v>
      </c>
      <c r="Q4671" s="107">
        <v>0</v>
      </c>
      <c r="R4671" s="107">
        <v>3.4409200000000001E-2</v>
      </c>
      <c r="S4671" s="107">
        <v>0</v>
      </c>
      <c r="T4671" s="107">
        <v>0</v>
      </c>
      <c r="U4671" s="107"/>
      <c r="V4671" s="107"/>
      <c r="W4671" s="107"/>
      <c r="X4671" s="107"/>
      <c r="Y4671" s="107"/>
      <c r="Z4671" s="107"/>
      <c r="AA4671" s="107"/>
      <c r="AB4671" s="107"/>
      <c r="AF4671" s="94">
        <f t="shared" si="628"/>
        <v>42762</v>
      </c>
      <c r="AG4671" s="185">
        <f t="shared" si="635"/>
        <v>2.7907560247791174E-2</v>
      </c>
      <c r="AH4671" s="339" t="str">
        <f>VLOOKUP(B4671,'MF PF'!A:B,2)</f>
        <v>Coinv</v>
      </c>
      <c r="AI4671" s="358">
        <f t="shared" si="629"/>
        <v>0</v>
      </c>
      <c r="AJ4671" s="94">
        <f t="shared" si="630"/>
        <v>42766</v>
      </c>
    </row>
    <row r="4672" spans="1:36" ht="12.75" customHeight="1">
      <c r="A4672" s="8">
        <v>42794</v>
      </c>
      <c r="B4672" s="94" t="s">
        <v>35</v>
      </c>
      <c r="C4672" s="6" t="s">
        <v>297</v>
      </c>
      <c r="D4672" s="98">
        <v>3968825.1388948201</v>
      </c>
      <c r="E4672" s="9">
        <f t="shared" si="636"/>
        <v>1835307.9704590959</v>
      </c>
      <c r="F4672" s="98">
        <v>15</v>
      </c>
      <c r="G4672" s="98">
        <v>1000000</v>
      </c>
      <c r="H4672" s="98"/>
      <c r="I4672" s="98">
        <v>-797553.71</v>
      </c>
      <c r="J4672" s="98"/>
      <c r="K4672" s="7">
        <v>2.1624845545143208</v>
      </c>
      <c r="L4672" s="93">
        <f t="shared" si="626"/>
        <v>202446.29000000004</v>
      </c>
      <c r="M4672" s="95">
        <f t="shared" ca="1" si="627"/>
        <v>-368813.59838388534</v>
      </c>
      <c r="N4672" s="95">
        <f>IF(P4672="Hedge Fund",IF(A4672=Summary!$AD$3,M4672-E4672,M4672),IF(A4672=Summary!$AD$3,L4672-D4672,L4672))</f>
        <v>202446.29000000004</v>
      </c>
      <c r="O4672" s="95"/>
      <c r="P4672" s="107" t="s">
        <v>155</v>
      </c>
      <c r="Q4672" s="107">
        <v>0</v>
      </c>
      <c r="R4672" s="107">
        <v>3.4409200000000001E-2</v>
      </c>
      <c r="S4672" s="107">
        <v>0</v>
      </c>
      <c r="T4672" s="107">
        <v>0</v>
      </c>
      <c r="U4672" s="107"/>
      <c r="V4672" s="107"/>
      <c r="W4672" s="107"/>
      <c r="X4672" s="107"/>
      <c r="Y4672" s="107"/>
      <c r="Z4672" s="107"/>
      <c r="AA4672" s="107"/>
      <c r="AB4672" s="107"/>
      <c r="AF4672" s="94">
        <f t="shared" si="628"/>
        <v>42794</v>
      </c>
      <c r="AG4672" s="185">
        <f t="shared" si="635"/>
        <v>5.4579327661961052E-3</v>
      </c>
      <c r="AH4672" s="339" t="str">
        <f>VLOOKUP(B4672,'MF PF'!A:B,2)</f>
        <v>Coinv</v>
      </c>
      <c r="AI4672" s="358">
        <f t="shared" si="629"/>
        <v>0</v>
      </c>
      <c r="AJ4672" s="94">
        <f t="shared" si="630"/>
        <v>42794</v>
      </c>
    </row>
    <row r="4673" spans="1:36" ht="12.75" customHeight="1">
      <c r="A4673" s="8">
        <v>42825</v>
      </c>
      <c r="B4673" s="94" t="s">
        <v>35</v>
      </c>
      <c r="C4673" s="6" t="s">
        <v>297</v>
      </c>
      <c r="D4673" s="98">
        <v>3969364.9099581363</v>
      </c>
      <c r="E4673" s="9">
        <f t="shared" si="636"/>
        <v>1835557.5773578777</v>
      </c>
      <c r="F4673" s="98">
        <v>15</v>
      </c>
      <c r="G4673" s="98">
        <v>0</v>
      </c>
      <c r="H4673" s="98"/>
      <c r="I4673" s="98">
        <v>0</v>
      </c>
      <c r="J4673" s="98"/>
      <c r="K4673" s="7">
        <v>2.1624845545143208</v>
      </c>
      <c r="L4673" s="93">
        <f t="shared" ref="L4673:L4736" si="637">G4673+H4673+I4673</f>
        <v>0</v>
      </c>
      <c r="M4673" s="95">
        <f t="shared" ref="M4673:M4736" ca="1" si="638">IF(A4673&gt;INDIRECT("A"&amp;ROW()-1),I4673/K4673,E4673)</f>
        <v>0</v>
      </c>
      <c r="N4673" s="95">
        <f>IF(P4673="Hedge Fund",IF(A4673=Summary!$AD$3,M4673-E4673,M4673),IF(A4673=Summary!$AD$3,L4673-D4673,L4673))</f>
        <v>0</v>
      </c>
      <c r="O4673" s="95"/>
      <c r="P4673" s="107" t="s">
        <v>155</v>
      </c>
      <c r="Q4673" s="107">
        <v>0</v>
      </c>
      <c r="R4673" s="107">
        <v>3.4409200000000001E-2</v>
      </c>
      <c r="S4673" s="107">
        <v>0</v>
      </c>
      <c r="T4673" s="107">
        <v>0</v>
      </c>
      <c r="U4673" s="107"/>
      <c r="V4673" s="107"/>
      <c r="W4673" s="107"/>
      <c r="X4673" s="107"/>
      <c r="Y4673" s="107"/>
      <c r="Z4673" s="107"/>
      <c r="AA4673" s="107"/>
      <c r="AB4673" s="107"/>
      <c r="AF4673" s="94">
        <f t="shared" ref="AF4673:AF4736" si="639">A4673</f>
        <v>42825</v>
      </c>
      <c r="AG4673" s="185">
        <f t="shared" si="635"/>
        <v>1.3600273240221838E-4</v>
      </c>
      <c r="AH4673" s="339" t="str">
        <f>VLOOKUP(B4673,'MF PF'!A:B,2)</f>
        <v>Coinv</v>
      </c>
      <c r="AI4673" s="358">
        <f t="shared" ref="AI4673:AI4736" si="640">AF4673-A4673</f>
        <v>0</v>
      </c>
      <c r="AJ4673" s="94">
        <f t="shared" ref="AJ4673:AJ4736" si="641">EOMONTH(A4673,0)</f>
        <v>42825</v>
      </c>
    </row>
    <row r="4674" spans="1:36" ht="12.75" customHeight="1">
      <c r="A4674" s="8">
        <v>42853</v>
      </c>
      <c r="B4674" s="94" t="s">
        <v>35</v>
      </c>
      <c r="C4674" s="6" t="s">
        <v>297</v>
      </c>
      <c r="D4674" s="98">
        <v>4015699.8499999996</v>
      </c>
      <c r="E4674" s="9">
        <f t="shared" si="636"/>
        <v>1856984.2922655686</v>
      </c>
      <c r="F4674" s="98">
        <v>15</v>
      </c>
      <c r="G4674" s="98">
        <v>0</v>
      </c>
      <c r="H4674" s="98"/>
      <c r="I4674" s="98">
        <v>0</v>
      </c>
      <c r="J4674" s="98"/>
      <c r="K4674" s="7">
        <v>2.1624845545143208</v>
      </c>
      <c r="L4674" s="93">
        <f t="shared" si="637"/>
        <v>0</v>
      </c>
      <c r="M4674" s="95">
        <f t="shared" ca="1" si="638"/>
        <v>0</v>
      </c>
      <c r="N4674" s="95">
        <f>IF(P4674="Hedge Fund",IF(A4674=Summary!$AD$3,M4674-E4674,M4674),IF(A4674=Summary!$AD$3,L4674-D4674,L4674))</f>
        <v>0</v>
      </c>
      <c r="O4674" s="95"/>
      <c r="P4674" s="107" t="s">
        <v>155</v>
      </c>
      <c r="Q4674" s="107">
        <v>0</v>
      </c>
      <c r="R4674" s="107">
        <v>3.9908079999999999E-2</v>
      </c>
      <c r="S4674" s="107">
        <v>0</v>
      </c>
      <c r="T4674" s="107">
        <v>0</v>
      </c>
      <c r="U4674" s="107"/>
      <c r="V4674" s="107"/>
      <c r="W4674" s="107"/>
      <c r="X4674" s="107"/>
      <c r="Y4674" s="107"/>
      <c r="Z4674" s="107"/>
      <c r="AA4674" s="107"/>
      <c r="AB4674" s="107"/>
      <c r="AF4674" s="94">
        <f t="shared" si="639"/>
        <v>42853</v>
      </c>
      <c r="AG4674" s="185">
        <f t="shared" si="635"/>
        <v>1.1673136910547166E-2</v>
      </c>
      <c r="AH4674" s="339" t="str">
        <f>VLOOKUP(B4674,'MF PF'!A:B,2)</f>
        <v>Coinv</v>
      </c>
      <c r="AI4674" s="358">
        <f t="shared" si="640"/>
        <v>0</v>
      </c>
      <c r="AJ4674" s="94">
        <f t="shared" si="641"/>
        <v>42855</v>
      </c>
    </row>
    <row r="4675" spans="1:36" ht="12.75" customHeight="1">
      <c r="A4675" s="8">
        <v>42886</v>
      </c>
      <c r="B4675" s="94" t="s">
        <v>35</v>
      </c>
      <c r="C4675" s="6" t="s">
        <v>297</v>
      </c>
      <c r="D4675" s="98">
        <v>5558178.2314845603</v>
      </c>
      <c r="E4675" s="9">
        <f t="shared" si="636"/>
        <v>1839929.0417435162</v>
      </c>
      <c r="F4675" s="98">
        <v>15</v>
      </c>
      <c r="G4675" s="98">
        <v>1594000</v>
      </c>
      <c r="H4675" s="98"/>
      <c r="I4675" s="98">
        <v>-105000</v>
      </c>
      <c r="J4675" s="98"/>
      <c r="K4675" s="7">
        <v>3.0208655363239618</v>
      </c>
      <c r="L4675" s="93">
        <f t="shared" si="637"/>
        <v>1489000</v>
      </c>
      <c r="M4675" s="95">
        <f t="shared" ca="1" si="638"/>
        <v>-34758.250156269009</v>
      </c>
      <c r="N4675" s="95">
        <f>IF(P4675="Hedge Fund",IF(A4675=Summary!$AD$3,M4675-E4675,M4675),IF(A4675=Summary!$AD$3,L4675-D4675,L4675))</f>
        <v>1489000</v>
      </c>
      <c r="O4675" s="95"/>
      <c r="P4675" s="107" t="s">
        <v>155</v>
      </c>
      <c r="Q4675" s="107">
        <v>0</v>
      </c>
      <c r="R4675" s="107">
        <v>4.2722732499999999E-2</v>
      </c>
      <c r="S4675" s="107">
        <v>0</v>
      </c>
      <c r="T4675" s="107">
        <v>0</v>
      </c>
      <c r="U4675" s="107"/>
      <c r="V4675" s="107"/>
      <c r="W4675" s="107"/>
      <c r="X4675" s="107"/>
      <c r="Y4675" s="107"/>
      <c r="Z4675" s="107"/>
      <c r="AA4675" s="107"/>
      <c r="AB4675" s="107"/>
      <c r="AF4675" s="94">
        <f t="shared" si="639"/>
        <v>42886</v>
      </c>
      <c r="AG4675" s="185">
        <f t="shared" si="635"/>
        <v>1.3317325368468635E-2</v>
      </c>
      <c r="AH4675" s="339" t="str">
        <f>VLOOKUP(B4675,'MF PF'!A:B,2)</f>
        <v>Coinv</v>
      </c>
      <c r="AI4675" s="358">
        <f t="shared" si="640"/>
        <v>0</v>
      </c>
      <c r="AJ4675" s="94">
        <f t="shared" si="641"/>
        <v>42886</v>
      </c>
    </row>
    <row r="4676" spans="1:36" ht="12.75" customHeight="1">
      <c r="A4676" s="8">
        <v>42916</v>
      </c>
      <c r="B4676" s="94" t="s">
        <v>35</v>
      </c>
      <c r="C4676" s="6" t="s">
        <v>297</v>
      </c>
      <c r="D4676" s="98">
        <v>5618716.6995986504</v>
      </c>
      <c r="E4676" s="9">
        <f t="shared" si="636"/>
        <v>1859969.1485891053</v>
      </c>
      <c r="F4676" s="98">
        <v>15</v>
      </c>
      <c r="G4676" s="98">
        <v>0</v>
      </c>
      <c r="H4676" s="98"/>
      <c r="I4676" s="98">
        <v>0</v>
      </c>
      <c r="J4676" s="98"/>
      <c r="K4676" s="7">
        <v>3.0208655363239618</v>
      </c>
      <c r="L4676" s="93">
        <f t="shared" si="637"/>
        <v>0</v>
      </c>
      <c r="M4676" s="95">
        <f t="shared" ca="1" si="638"/>
        <v>0</v>
      </c>
      <c r="N4676" s="95">
        <f>IF(P4676="Hedge Fund",IF(A4676=Summary!$AD$3,M4676-E4676,M4676),IF(A4676=Summary!$AD$3,L4676-D4676,L4676))</f>
        <v>0</v>
      </c>
      <c r="O4676" s="95"/>
      <c r="P4676" s="107" t="s">
        <v>155</v>
      </c>
      <c r="Q4676" s="107">
        <v>0</v>
      </c>
      <c r="R4676" s="107">
        <v>4.590897E-2</v>
      </c>
      <c r="S4676" s="107">
        <v>0</v>
      </c>
      <c r="T4676" s="107">
        <v>0</v>
      </c>
      <c r="U4676" s="107"/>
      <c r="V4676" s="107"/>
      <c r="W4676" s="107"/>
      <c r="X4676" s="107"/>
      <c r="Y4676" s="107"/>
      <c r="Z4676" s="107"/>
      <c r="AA4676" s="107"/>
      <c r="AB4676" s="107"/>
      <c r="AF4676" s="94">
        <f t="shared" si="639"/>
        <v>42916</v>
      </c>
      <c r="AG4676" s="185">
        <f t="shared" si="635"/>
        <v>1.0891782449718335E-2</v>
      </c>
      <c r="AH4676" s="339" t="str">
        <f>VLOOKUP(B4676,'MF PF'!A:B,2)</f>
        <v>Coinv</v>
      </c>
      <c r="AI4676" s="358">
        <f t="shared" si="640"/>
        <v>0</v>
      </c>
      <c r="AJ4676" s="94">
        <f t="shared" si="641"/>
        <v>42916</v>
      </c>
    </row>
    <row r="4677" spans="1:36" ht="12.75" customHeight="1">
      <c r="A4677" s="8">
        <v>42947</v>
      </c>
      <c r="B4677" s="94" t="s">
        <v>35</v>
      </c>
      <c r="C4677" s="6" t="s">
        <v>297</v>
      </c>
      <c r="D4677" s="98">
        <v>5611088.6100000003</v>
      </c>
      <c r="E4677" s="9">
        <f t="shared" si="636"/>
        <v>1857444.0148130644</v>
      </c>
      <c r="F4677" s="98">
        <v>15</v>
      </c>
      <c r="G4677" s="98">
        <v>0</v>
      </c>
      <c r="H4677" s="98"/>
      <c r="I4677" s="98">
        <v>-69730</v>
      </c>
      <c r="J4677" s="98"/>
      <c r="K4677" s="7">
        <v>3.0208655363239618</v>
      </c>
      <c r="L4677" s="93">
        <f t="shared" si="637"/>
        <v>-69730</v>
      </c>
      <c r="M4677" s="95">
        <f t="shared" ca="1" si="638"/>
        <v>-23082.78841330131</v>
      </c>
      <c r="N4677" s="95">
        <f>IF(P4677="Hedge Fund",IF(A4677=Summary!$AD$3,M4677-E4677,M4677),IF(A4677=Summary!$AD$3,L4677-D4677,L4677))</f>
        <v>-69730</v>
      </c>
      <c r="O4677" s="95"/>
      <c r="P4677" s="107" t="s">
        <v>155</v>
      </c>
      <c r="Q4677" s="107">
        <v>0</v>
      </c>
      <c r="R4677" s="107">
        <v>4.6735140000000001E-2</v>
      </c>
      <c r="S4677" s="107">
        <v>0</v>
      </c>
      <c r="T4677" s="107">
        <v>0</v>
      </c>
      <c r="U4677" s="107"/>
      <c r="V4677" s="107"/>
      <c r="W4677" s="107"/>
      <c r="X4677" s="107"/>
      <c r="Y4677" s="107"/>
      <c r="Z4677" s="107"/>
      <c r="AA4677" s="107"/>
      <c r="AB4677" s="107"/>
      <c r="AF4677" s="94">
        <f t="shared" si="639"/>
        <v>42947</v>
      </c>
      <c r="AG4677" s="185">
        <f t="shared" si="635"/>
        <v>1.1052685821619335E-2</v>
      </c>
      <c r="AH4677" s="339" t="str">
        <f>VLOOKUP(B4677,'MF PF'!A:B,2)</f>
        <v>Coinv</v>
      </c>
      <c r="AI4677" s="358">
        <f t="shared" si="640"/>
        <v>0</v>
      </c>
      <c r="AJ4677" s="94">
        <f t="shared" si="641"/>
        <v>42947</v>
      </c>
    </row>
    <row r="4678" spans="1:36" ht="12.75" customHeight="1">
      <c r="A4678" s="8">
        <v>42978</v>
      </c>
      <c r="B4678" s="94" t="s">
        <v>35</v>
      </c>
      <c r="C4678" s="6" t="s">
        <v>297</v>
      </c>
      <c r="D4678" s="98">
        <v>5460800</v>
      </c>
      <c r="E4678" s="9">
        <f t="shared" si="636"/>
        <v>1807693.8328890838</v>
      </c>
      <c r="F4678" s="98">
        <v>15</v>
      </c>
      <c r="G4678" s="98">
        <v>0</v>
      </c>
      <c r="H4678" s="98"/>
      <c r="I4678" s="98">
        <v>-52602</v>
      </c>
      <c r="J4678" s="98"/>
      <c r="K4678" s="7">
        <v>3.0208655363239618</v>
      </c>
      <c r="L4678" s="93">
        <f t="shared" si="637"/>
        <v>-52602</v>
      </c>
      <c r="M4678" s="95">
        <f t="shared" ca="1" si="638"/>
        <v>-17412.890235429164</v>
      </c>
      <c r="N4678" s="95">
        <f>IF(P4678="Hedge Fund",IF(A4678=Summary!$AD$3,M4678-E4678,M4678),IF(A4678=Summary!$AD$3,L4678-D4678,L4678))</f>
        <v>-52602</v>
      </c>
      <c r="O4678" s="95"/>
      <c r="P4678" s="107" t="s">
        <v>155</v>
      </c>
      <c r="Q4678" s="107">
        <v>0</v>
      </c>
      <c r="R4678" s="107">
        <v>4.944117E-2</v>
      </c>
      <c r="S4678" s="107">
        <v>0</v>
      </c>
      <c r="T4678" s="107">
        <v>0</v>
      </c>
      <c r="U4678" s="107"/>
      <c r="V4678" s="107"/>
      <c r="W4678" s="107"/>
      <c r="X4678" s="107"/>
      <c r="Y4678" s="107"/>
      <c r="Z4678" s="107"/>
      <c r="AA4678" s="107"/>
      <c r="AB4678" s="107"/>
      <c r="AF4678" s="94">
        <f t="shared" si="639"/>
        <v>42978</v>
      </c>
      <c r="AG4678" s="185">
        <f t="shared" si="635"/>
        <v>-1.7409564665563204E-2</v>
      </c>
      <c r="AH4678" s="339" t="str">
        <f>VLOOKUP(B4678,'MF PF'!A:B,2)</f>
        <v>Coinv</v>
      </c>
      <c r="AI4678" s="358">
        <f t="shared" si="640"/>
        <v>0</v>
      </c>
      <c r="AJ4678" s="94">
        <f t="shared" si="641"/>
        <v>42978</v>
      </c>
    </row>
    <row r="4679" spans="1:36" ht="12.75" customHeight="1">
      <c r="A4679" s="8">
        <v>43007</v>
      </c>
      <c r="B4679" s="94" t="s">
        <v>35</v>
      </c>
      <c r="C4679" s="6" t="s">
        <v>297</v>
      </c>
      <c r="D4679" s="98">
        <v>5480500</v>
      </c>
      <c r="E4679" s="9">
        <f t="shared" si="636"/>
        <v>1814215.1426803074</v>
      </c>
      <c r="F4679" s="98">
        <v>15</v>
      </c>
      <c r="G4679" s="98">
        <v>0</v>
      </c>
      <c r="H4679" s="98"/>
      <c r="I4679" s="98">
        <v>-105000</v>
      </c>
      <c r="J4679" s="98"/>
      <c r="K4679" s="7">
        <v>3.0208655363239618</v>
      </c>
      <c r="L4679" s="93">
        <f t="shared" si="637"/>
        <v>-105000</v>
      </c>
      <c r="M4679" s="95">
        <f t="shared" ca="1" si="638"/>
        <v>-34758.250156269009</v>
      </c>
      <c r="N4679" s="95">
        <f>IF(P4679="Hedge Fund",IF(A4679=Summary!$AD$3,M4679-E4679,M4679),IF(A4679=Summary!$AD$3,L4679-D4679,L4679))</f>
        <v>-105000</v>
      </c>
      <c r="O4679" s="95"/>
      <c r="P4679" s="107" t="s">
        <v>155</v>
      </c>
      <c r="Q4679" s="107">
        <v>0</v>
      </c>
      <c r="R4679" s="107">
        <v>5.28E-2</v>
      </c>
      <c r="S4679" s="107">
        <v>0</v>
      </c>
      <c r="T4679" s="107">
        <v>0</v>
      </c>
      <c r="U4679" s="107"/>
      <c r="V4679" s="107"/>
      <c r="W4679" s="107"/>
      <c r="X4679" s="107"/>
      <c r="Y4679" s="107"/>
      <c r="Z4679" s="107"/>
      <c r="AA4679" s="107"/>
      <c r="AB4679" s="107"/>
      <c r="AF4679" s="94">
        <f t="shared" si="639"/>
        <v>43007</v>
      </c>
      <c r="AG4679" s="185">
        <f t="shared" si="635"/>
        <v>2.2835481980662209E-2</v>
      </c>
      <c r="AH4679" s="339" t="str">
        <f>VLOOKUP(B4679,'MF PF'!A:B,2)</f>
        <v>Coinv</v>
      </c>
      <c r="AI4679" s="358">
        <f t="shared" si="640"/>
        <v>0</v>
      </c>
      <c r="AJ4679" s="94">
        <f t="shared" si="641"/>
        <v>43008</v>
      </c>
    </row>
    <row r="4680" spans="1:36" ht="12.75" customHeight="1">
      <c r="A4680" s="8">
        <v>43039</v>
      </c>
      <c r="B4680" s="94" t="s">
        <v>35</v>
      </c>
      <c r="C4680" s="6" t="s">
        <v>297</v>
      </c>
      <c r="D4680" s="103">
        <v>5538206.4699999997</v>
      </c>
      <c r="E4680" s="9">
        <f t="shared" si="636"/>
        <v>1833317.7704888335</v>
      </c>
      <c r="F4680" s="98">
        <v>15</v>
      </c>
      <c r="G4680" s="98">
        <v>0</v>
      </c>
      <c r="H4680" s="98"/>
      <c r="I4680" s="98">
        <v>-41178.33</v>
      </c>
      <c r="J4680" s="98"/>
      <c r="K4680" s="7">
        <v>3.0208655363239618</v>
      </c>
      <c r="L4680" s="93">
        <f t="shared" si="637"/>
        <v>-41178.33</v>
      </c>
      <c r="M4680" s="95">
        <f t="shared" ca="1" si="638"/>
        <v>-13631.301858641873</v>
      </c>
      <c r="N4680" s="95">
        <f>IF(P4680="Hedge Fund",IF(A4680=Summary!$AD$3,M4680-E4680,M4680),IF(A4680=Summary!$AD$3,L4680-D4680,L4680))</f>
        <v>-41178.33</v>
      </c>
      <c r="O4680" s="95"/>
      <c r="P4680" s="107" t="s">
        <v>155</v>
      </c>
      <c r="Q4680" s="107">
        <v>0</v>
      </c>
      <c r="R4680" s="107">
        <v>5.6530030000000002E-2</v>
      </c>
      <c r="S4680" s="107">
        <v>0</v>
      </c>
      <c r="T4680" s="107">
        <v>0</v>
      </c>
      <c r="U4680" s="107"/>
      <c r="V4680" s="107"/>
      <c r="W4680" s="107"/>
      <c r="X4680" s="107"/>
      <c r="Y4680" s="107"/>
      <c r="Z4680" s="107"/>
      <c r="AA4680" s="107"/>
      <c r="AB4680" s="107"/>
      <c r="AF4680" s="94">
        <f t="shared" si="639"/>
        <v>43039</v>
      </c>
      <c r="AG4680" s="185">
        <f t="shared" si="635"/>
        <v>1.8043025271416768E-2</v>
      </c>
      <c r="AH4680" s="339" t="str">
        <f>VLOOKUP(B4680,'MF PF'!A:B,2)</f>
        <v>Coinv</v>
      </c>
      <c r="AI4680" s="358">
        <f t="shared" si="640"/>
        <v>0</v>
      </c>
      <c r="AJ4680" s="94">
        <f t="shared" si="641"/>
        <v>43039</v>
      </c>
    </row>
    <row r="4681" spans="1:36" ht="12.75" customHeight="1">
      <c r="A4681" s="8">
        <v>43069</v>
      </c>
      <c r="B4681" s="94" t="s">
        <v>35</v>
      </c>
      <c r="C4681" s="6" t="s">
        <v>297</v>
      </c>
      <c r="D4681" s="103">
        <v>5482523.2199999997</v>
      </c>
      <c r="E4681" s="9">
        <f t="shared" si="636"/>
        <v>1814884.8911267947</v>
      </c>
      <c r="F4681" s="98">
        <v>15</v>
      </c>
      <c r="G4681" s="98">
        <v>0</v>
      </c>
      <c r="H4681" s="98"/>
      <c r="I4681" s="98">
        <v>-13800</v>
      </c>
      <c r="J4681" s="98"/>
      <c r="K4681" s="7">
        <v>3.0208655363239618</v>
      </c>
      <c r="L4681" s="93">
        <f t="shared" si="637"/>
        <v>-13800</v>
      </c>
      <c r="M4681" s="95">
        <f t="shared" ca="1" si="638"/>
        <v>-4568.2271633953551</v>
      </c>
      <c r="N4681" s="95">
        <f>IF(P4681="Hedge Fund",IF(A4681=Summary!$AD$3,M4681-E4681,M4681),IF(A4681=Summary!$AD$3,L4681-D4681,L4681))</f>
        <v>-13800</v>
      </c>
      <c r="O4681" s="95"/>
      <c r="P4681" s="107" t="s">
        <v>155</v>
      </c>
      <c r="Q4681" s="107">
        <v>0</v>
      </c>
      <c r="R4681" s="107">
        <v>5.912564E-2</v>
      </c>
      <c r="S4681" s="107">
        <v>0</v>
      </c>
      <c r="T4681" s="107">
        <v>0</v>
      </c>
      <c r="U4681" s="107"/>
      <c r="V4681" s="107"/>
      <c r="W4681" s="107"/>
      <c r="X4681" s="107"/>
      <c r="Y4681" s="107"/>
      <c r="Z4681" s="107"/>
      <c r="AA4681" s="107"/>
      <c r="AB4681" s="107"/>
      <c r="AF4681" s="94">
        <f t="shared" si="639"/>
        <v>43069</v>
      </c>
      <c r="AG4681" s="185">
        <f t="shared" si="635"/>
        <v>-7.5626017604937257E-3</v>
      </c>
      <c r="AH4681" s="339" t="str">
        <f>VLOOKUP(B4681,'MF PF'!A:B,2)</f>
        <v>Coinv</v>
      </c>
      <c r="AI4681" s="358">
        <f t="shared" si="640"/>
        <v>0</v>
      </c>
      <c r="AJ4681" s="94">
        <f t="shared" si="641"/>
        <v>43069</v>
      </c>
    </row>
    <row r="4682" spans="1:36" ht="12.75" customHeight="1">
      <c r="A4682" s="8">
        <v>43098</v>
      </c>
      <c r="B4682" s="94" t="s">
        <v>35</v>
      </c>
      <c r="C4682" s="6" t="s">
        <v>297</v>
      </c>
      <c r="D4682" s="103">
        <v>5995971.9500000002</v>
      </c>
      <c r="E4682" s="9">
        <f t="shared" si="636"/>
        <v>1817445.7951705558</v>
      </c>
      <c r="F4682" s="98">
        <v>15</v>
      </c>
      <c r="G4682" s="98">
        <v>505000</v>
      </c>
      <c r="H4682" s="98"/>
      <c r="I4682" s="98">
        <v>-53922</v>
      </c>
      <c r="J4682" s="98"/>
      <c r="K4682" s="7">
        <v>3.2991200980700039</v>
      </c>
      <c r="L4682" s="93">
        <f t="shared" si="637"/>
        <v>451078</v>
      </c>
      <c r="M4682" s="95">
        <f t="shared" ca="1" si="638"/>
        <v>-16344.358009744643</v>
      </c>
      <c r="N4682" s="95">
        <f>IF(P4682="Hedge Fund",IF(A4682=Summary!$AD$3,M4682-E4682,M4682),IF(A4682=Summary!$AD$3,L4682-D4682,L4682))</f>
        <v>451078</v>
      </c>
      <c r="O4682" s="95"/>
      <c r="P4682" s="107" t="s">
        <v>155</v>
      </c>
      <c r="Q4682" s="107">
        <v>0</v>
      </c>
      <c r="R4682" s="107">
        <v>6.2408319999999996E-2</v>
      </c>
      <c r="S4682" s="107">
        <v>0</v>
      </c>
      <c r="T4682" s="107">
        <v>0</v>
      </c>
      <c r="U4682" s="107"/>
      <c r="V4682" s="107"/>
      <c r="W4682" s="107"/>
      <c r="X4682" s="107"/>
      <c r="Y4682" s="107"/>
      <c r="Z4682" s="107"/>
      <c r="AA4682" s="107"/>
      <c r="AB4682" s="107"/>
      <c r="AF4682" s="94">
        <f t="shared" si="639"/>
        <v>43098</v>
      </c>
      <c r="AG4682" s="185">
        <f t="shared" si="635"/>
        <v>1.1376281959458945E-2</v>
      </c>
      <c r="AH4682" s="339" t="str">
        <f>VLOOKUP(B4682,'MF PF'!A:B,2)</f>
        <v>Coinv</v>
      </c>
      <c r="AI4682" s="358">
        <f t="shared" si="640"/>
        <v>0</v>
      </c>
      <c r="AJ4682" s="94">
        <f t="shared" si="641"/>
        <v>43100</v>
      </c>
    </row>
    <row r="4683" spans="1:36" ht="12.75" customHeight="1">
      <c r="A4683" s="8">
        <v>43131</v>
      </c>
      <c r="B4683" s="94" t="s">
        <v>35</v>
      </c>
      <c r="C4683" s="6" t="s">
        <v>297</v>
      </c>
      <c r="D4683" s="103">
        <v>5480500</v>
      </c>
      <c r="E4683" s="9">
        <f t="shared" si="636"/>
        <v>1661200.5131932332</v>
      </c>
      <c r="F4683" s="98">
        <v>15</v>
      </c>
      <c r="G4683" s="98">
        <v>0</v>
      </c>
      <c r="H4683" s="98"/>
      <c r="I4683" s="98">
        <v>-35000</v>
      </c>
      <c r="J4683" s="98"/>
      <c r="K4683" s="7">
        <v>3.2991200980700039</v>
      </c>
      <c r="L4683" s="93">
        <f t="shared" si="637"/>
        <v>-35000</v>
      </c>
      <c r="M4683" s="95">
        <f t="shared" ca="1" si="638"/>
        <v>-10608.889327937808</v>
      </c>
      <c r="N4683" s="95">
        <f>IF(P4683="Hedge Fund",IF(A4683=Summary!$AD$3,M4683-E4683,M4683),IF(A4683=Summary!$AD$3,L4683-D4683,L4683))</f>
        <v>-35000</v>
      </c>
      <c r="O4683" s="95"/>
      <c r="P4683" s="107" t="s">
        <v>155</v>
      </c>
      <c r="Q4683" s="107">
        <v>0</v>
      </c>
      <c r="R4683" s="107">
        <v>6.703524000000001E-2</v>
      </c>
      <c r="S4683" s="107">
        <v>0</v>
      </c>
      <c r="T4683" s="107">
        <v>0</v>
      </c>
      <c r="U4683" s="107"/>
      <c r="V4683" s="107"/>
      <c r="W4683" s="107"/>
      <c r="X4683" s="107"/>
      <c r="Y4683" s="107"/>
      <c r="Z4683" s="107"/>
      <c r="AA4683" s="107"/>
      <c r="AB4683" s="107"/>
      <c r="AF4683" s="94">
        <f t="shared" si="639"/>
        <v>43131</v>
      </c>
      <c r="AG4683" s="185">
        <f t="shared" si="635"/>
        <v>-8.0132454588951241E-2</v>
      </c>
      <c r="AH4683" s="339" t="str">
        <f>VLOOKUP(B4683,'MF PF'!A:B,2)</f>
        <v>Coinv</v>
      </c>
      <c r="AI4683" s="358">
        <f t="shared" si="640"/>
        <v>0</v>
      </c>
      <c r="AJ4683" s="94">
        <f t="shared" si="641"/>
        <v>43131</v>
      </c>
    </row>
    <row r="4684" spans="1:36" ht="12.75" customHeight="1">
      <c r="A4684" s="8">
        <v>43159</v>
      </c>
      <c r="B4684" s="94" t="s">
        <v>35</v>
      </c>
      <c r="C4684" s="6" t="s">
        <v>297</v>
      </c>
      <c r="D4684" s="103">
        <v>5995978.0199999996</v>
      </c>
      <c r="E4684" s="9">
        <f t="shared" si="636"/>
        <v>1817447.6350550761</v>
      </c>
      <c r="F4684" s="98">
        <v>15</v>
      </c>
      <c r="G4684" s="98">
        <v>0</v>
      </c>
      <c r="H4684" s="98"/>
      <c r="I4684" s="98">
        <v>-104900</v>
      </c>
      <c r="J4684" s="98"/>
      <c r="K4684" s="7">
        <v>3.2991200980700039</v>
      </c>
      <c r="L4684" s="93">
        <f t="shared" si="637"/>
        <v>-104900</v>
      </c>
      <c r="M4684" s="95">
        <f t="shared" ca="1" si="638"/>
        <v>-31796.35687144789</v>
      </c>
      <c r="N4684" s="95">
        <f>IF(P4684="Hedge Fund",IF(A4684=Summary!$AD$3,M4684-E4684,M4684),IF(A4684=Summary!$AD$3,L4684-D4684,L4684))</f>
        <v>-104900</v>
      </c>
      <c r="O4684" s="95"/>
      <c r="P4684" s="107" t="s">
        <v>155</v>
      </c>
      <c r="Q4684" s="107">
        <v>0</v>
      </c>
      <c r="R4684" s="107">
        <v>6.977179E-2</v>
      </c>
      <c r="S4684" s="107">
        <v>0</v>
      </c>
      <c r="T4684" s="107">
        <v>0</v>
      </c>
      <c r="U4684" s="107"/>
      <c r="V4684" s="107"/>
      <c r="W4684" s="107"/>
      <c r="X4684" s="107"/>
      <c r="Y4684" s="107"/>
      <c r="Z4684" s="107"/>
      <c r="AA4684" s="107"/>
      <c r="AB4684" s="107"/>
      <c r="AF4684" s="94">
        <f t="shared" si="639"/>
        <v>43159</v>
      </c>
      <c r="AG4684" s="185">
        <f t="shared" si="635"/>
        <v>0.1131973396587902</v>
      </c>
      <c r="AH4684" s="339" t="str">
        <f>VLOOKUP(B4684,'MF PF'!A:B,2)</f>
        <v>Coinv</v>
      </c>
      <c r="AI4684" s="358">
        <f t="shared" si="640"/>
        <v>0</v>
      </c>
      <c r="AJ4684" s="94">
        <f t="shared" si="641"/>
        <v>43159</v>
      </c>
    </row>
    <row r="4685" spans="1:36" ht="12.75" customHeight="1">
      <c r="A4685" s="8">
        <v>43188</v>
      </c>
      <c r="B4685" s="94" t="s">
        <v>35</v>
      </c>
      <c r="C4685" s="6" t="s">
        <v>297</v>
      </c>
      <c r="D4685" s="110">
        <v>6056956.9890000001</v>
      </c>
      <c r="E4685" s="9">
        <f t="shared" si="636"/>
        <v>1835931.0388680121</v>
      </c>
      <c r="F4685" s="110">
        <v>15</v>
      </c>
      <c r="G4685" s="98">
        <v>0</v>
      </c>
      <c r="H4685" s="98"/>
      <c r="I4685" s="110">
        <v>-76167.56</v>
      </c>
      <c r="J4685" s="110"/>
      <c r="K4685" s="7">
        <v>3.2991200980700039</v>
      </c>
      <c r="L4685" s="93">
        <f t="shared" si="637"/>
        <v>-76167.56</v>
      </c>
      <c r="M4685" s="95">
        <f t="shared" ca="1" si="638"/>
        <v>-23087.234697687505</v>
      </c>
      <c r="N4685" s="95">
        <f>IF(P4685="Hedge Fund",IF(A4685=Summary!$AD$3,M4685-E4685,M4685),IF(A4685=Summary!$AD$3,L4685-D4685,L4685))</f>
        <v>-76167.56</v>
      </c>
      <c r="O4685" s="95"/>
      <c r="P4685" s="107" t="s">
        <v>155</v>
      </c>
      <c r="Q4685" s="107">
        <v>0</v>
      </c>
      <c r="R4685" s="109">
        <f>76990.031/10^6</f>
        <v>7.6990031E-2</v>
      </c>
      <c r="S4685" s="107">
        <v>0</v>
      </c>
      <c r="T4685" s="107">
        <v>0</v>
      </c>
      <c r="U4685" s="107"/>
      <c r="V4685" s="107"/>
      <c r="W4685" s="107"/>
      <c r="X4685" s="107"/>
      <c r="Y4685" s="107"/>
      <c r="Z4685" s="107"/>
      <c r="AA4685" s="107"/>
      <c r="AB4685" s="107"/>
      <c r="AF4685" s="94">
        <f t="shared" si="639"/>
        <v>43188</v>
      </c>
      <c r="AG4685" s="185">
        <f t="shared" si="635"/>
        <v>2.2873087349976728E-2</v>
      </c>
      <c r="AH4685" s="339" t="str">
        <f>VLOOKUP(B4685,'MF PF'!A:B,2)</f>
        <v>Coinv</v>
      </c>
      <c r="AI4685" s="358">
        <f t="shared" si="640"/>
        <v>0</v>
      </c>
      <c r="AJ4685" s="94">
        <f t="shared" si="641"/>
        <v>43190</v>
      </c>
    </row>
    <row r="4686" spans="1:36" ht="12.75" customHeight="1">
      <c r="A4686" s="8">
        <v>43220</v>
      </c>
      <c r="B4686" s="94" t="s">
        <v>35</v>
      </c>
      <c r="C4686" s="6" t="s">
        <v>297</v>
      </c>
      <c r="D4686" s="110">
        <v>6056956.9890000001</v>
      </c>
      <c r="E4686" s="9">
        <f t="shared" si="636"/>
        <v>1835931.0388680121</v>
      </c>
      <c r="F4686" s="110">
        <v>15</v>
      </c>
      <c r="G4686" s="98">
        <v>0</v>
      </c>
      <c r="H4686" s="98"/>
      <c r="I4686" s="110">
        <v>-35000</v>
      </c>
      <c r="J4686" s="110"/>
      <c r="K4686" s="7">
        <v>3.2991200980700039</v>
      </c>
      <c r="L4686" s="93">
        <f t="shared" si="637"/>
        <v>-35000</v>
      </c>
      <c r="M4686" s="95">
        <f t="shared" ca="1" si="638"/>
        <v>-10608.889327937808</v>
      </c>
      <c r="N4686" s="95">
        <f>IF(P4686="Hedge Fund",IF(A4686=Summary!$AD$3,M4686-E4686,M4686),IF(A4686=Summary!$AD$3,L4686-D4686,L4686))</f>
        <v>-35000</v>
      </c>
      <c r="O4686" s="95"/>
      <c r="P4686" s="107" t="s">
        <v>155</v>
      </c>
      <c r="Q4686" s="107">
        <v>0</v>
      </c>
      <c r="R4686" s="109">
        <f>76990.031/10^6</f>
        <v>7.6990031E-2</v>
      </c>
      <c r="S4686" s="107">
        <v>0</v>
      </c>
      <c r="T4686" s="107">
        <v>0</v>
      </c>
      <c r="U4686" s="107"/>
      <c r="V4686" s="107"/>
      <c r="W4686" s="107"/>
      <c r="X4686" s="107"/>
      <c r="Y4686" s="107"/>
      <c r="Z4686" s="107"/>
      <c r="AA4686" s="107"/>
      <c r="AB4686" s="107"/>
      <c r="AF4686" s="94">
        <f t="shared" si="639"/>
        <v>43220</v>
      </c>
      <c r="AG4686" s="185">
        <f t="shared" si="635"/>
        <v>5.7784792039241584E-3</v>
      </c>
      <c r="AH4686" s="339" t="str">
        <f>VLOOKUP(B4686,'MF PF'!A:B,2)</f>
        <v>Coinv</v>
      </c>
      <c r="AI4686" s="358">
        <f t="shared" si="640"/>
        <v>0</v>
      </c>
      <c r="AJ4686" s="94">
        <f t="shared" si="641"/>
        <v>43220</v>
      </c>
    </row>
    <row r="4687" spans="1:36" ht="12.75" customHeight="1">
      <c r="A4687" s="8">
        <v>43251</v>
      </c>
      <c r="B4687" s="358" t="s">
        <v>35</v>
      </c>
      <c r="C4687" s="6" t="s">
        <v>297</v>
      </c>
      <c r="D4687" s="110">
        <v>5984925.5465000002</v>
      </c>
      <c r="E4687" s="9">
        <f t="shared" si="636"/>
        <v>1814097.5073933201</v>
      </c>
      <c r="F4687" s="98">
        <v>15</v>
      </c>
      <c r="G4687" s="98">
        <v>0</v>
      </c>
      <c r="H4687" s="98"/>
      <c r="I4687" s="110">
        <v>-105000</v>
      </c>
      <c r="J4687" s="110"/>
      <c r="K4687" s="7">
        <v>3.2991200980700039</v>
      </c>
      <c r="L4687" s="93">
        <f t="shared" si="637"/>
        <v>-105000</v>
      </c>
      <c r="M4687" s="95">
        <f t="shared" ca="1" si="638"/>
        <v>-31826.667983813426</v>
      </c>
      <c r="N4687" s="95">
        <f>IF(P4687="Hedge Fund",IF(A4687=Summary!$AD$3,M4687-E4687,M4687),IF(A4687=Summary!$AD$3,L4687-D4687,L4687))</f>
        <v>-105000</v>
      </c>
      <c r="O4687" s="95"/>
      <c r="P4687" s="107" t="s">
        <v>155</v>
      </c>
      <c r="Q4687" s="107">
        <v>0</v>
      </c>
      <c r="R4687" s="109">
        <f t="shared" ref="R4687:R4695" si="642">80567.3235/10^6</f>
        <v>8.0567323499999996E-2</v>
      </c>
      <c r="S4687" s="107">
        <v>0</v>
      </c>
      <c r="T4687" s="107">
        <v>0</v>
      </c>
      <c r="U4687" s="107"/>
      <c r="V4687" s="107"/>
      <c r="W4687" s="107"/>
      <c r="X4687" s="107"/>
      <c r="Y4687" s="107"/>
      <c r="Z4687" s="107"/>
      <c r="AA4687" s="107"/>
      <c r="AB4687" s="107"/>
      <c r="AF4687" s="94">
        <f t="shared" si="639"/>
        <v>43251</v>
      </c>
      <c r="AG4687" s="185">
        <f t="shared" si="635"/>
        <v>5.4430892542036702E-3</v>
      </c>
      <c r="AH4687" s="339" t="str">
        <f>VLOOKUP(B4687,'MF PF'!A:B,2)</f>
        <v>Coinv</v>
      </c>
      <c r="AI4687" s="358">
        <f t="shared" si="640"/>
        <v>0</v>
      </c>
      <c r="AJ4687" s="94">
        <f t="shared" si="641"/>
        <v>43251</v>
      </c>
    </row>
    <row r="4688" spans="1:36" ht="12.75" customHeight="1">
      <c r="A4688" s="8">
        <v>43280</v>
      </c>
      <c r="B4688" s="358" t="s">
        <v>35</v>
      </c>
      <c r="C4688" s="6" t="s">
        <v>297</v>
      </c>
      <c r="D4688" s="110">
        <v>5208303.2494999999</v>
      </c>
      <c r="E4688" s="9">
        <f t="shared" si="636"/>
        <v>1578694.6502938387</v>
      </c>
      <c r="F4688" s="98">
        <v>15</v>
      </c>
      <c r="G4688" s="98">
        <v>0</v>
      </c>
      <c r="H4688" s="98"/>
      <c r="I4688" s="110">
        <v>-839000</v>
      </c>
      <c r="J4688" s="110"/>
      <c r="K4688" s="7">
        <v>3.2991200980700039</v>
      </c>
      <c r="L4688" s="93">
        <f t="shared" si="637"/>
        <v>-839000</v>
      </c>
      <c r="M4688" s="95">
        <f t="shared" ca="1" si="638"/>
        <v>-254310.23274685204</v>
      </c>
      <c r="N4688" s="95">
        <f>IF(P4688="Hedge Fund",IF(A4688=Summary!$AD$3,M4688-E4688,M4688),IF(A4688=Summary!$AD$3,L4688-D4688,L4688))</f>
        <v>-839000</v>
      </c>
      <c r="O4688" s="95"/>
      <c r="P4688" s="107" t="s">
        <v>155</v>
      </c>
      <c r="Q4688" s="107">
        <v>0</v>
      </c>
      <c r="R4688" s="109">
        <f t="shared" si="642"/>
        <v>8.0567323499999996E-2</v>
      </c>
      <c r="S4688" s="107">
        <v>0</v>
      </c>
      <c r="T4688" s="107">
        <v>0</v>
      </c>
      <c r="U4688" s="107"/>
      <c r="V4688" s="107"/>
      <c r="W4688" s="107"/>
      <c r="X4688" s="107"/>
      <c r="Y4688" s="107"/>
      <c r="Z4688" s="107"/>
      <c r="AA4688" s="107"/>
      <c r="AB4688" s="107"/>
      <c r="AF4688" s="94">
        <f t="shared" si="639"/>
        <v>43280</v>
      </c>
      <c r="AG4688" s="185">
        <f t="shared" si="635"/>
        <v>1.0422469338232432E-2</v>
      </c>
      <c r="AH4688" s="339" t="str">
        <f>VLOOKUP(B4688,'MF PF'!A:B,2)</f>
        <v>Coinv</v>
      </c>
      <c r="AI4688" s="358">
        <f t="shared" si="640"/>
        <v>0</v>
      </c>
      <c r="AJ4688" s="94">
        <f t="shared" si="641"/>
        <v>43281</v>
      </c>
    </row>
    <row r="4689" spans="1:36" ht="12.75" customHeight="1">
      <c r="A4689" s="8">
        <v>43312</v>
      </c>
      <c r="B4689" s="358" t="s">
        <v>35</v>
      </c>
      <c r="C4689" s="6" t="s">
        <v>297</v>
      </c>
      <c r="D4689" s="110">
        <v>5208303.2494999999</v>
      </c>
      <c r="E4689" s="9">
        <f t="shared" si="636"/>
        <v>1578694.6502938387</v>
      </c>
      <c r="F4689" s="98">
        <v>15</v>
      </c>
      <c r="G4689" s="98">
        <v>0</v>
      </c>
      <c r="H4689" s="98"/>
      <c r="I4689" s="98">
        <v>0</v>
      </c>
      <c r="J4689" s="98"/>
      <c r="K4689" s="7">
        <v>3.2991200980700039</v>
      </c>
      <c r="L4689" s="93">
        <f t="shared" si="637"/>
        <v>0</v>
      </c>
      <c r="M4689" s="95">
        <f t="shared" ca="1" si="638"/>
        <v>0</v>
      </c>
      <c r="N4689" s="95">
        <f>IF(P4689="Hedge Fund",IF(A4689=Summary!$AD$3,M4689-E4689,M4689),IF(A4689=Summary!$AD$3,L4689-D4689,L4689))</f>
        <v>0</v>
      </c>
      <c r="O4689" s="95"/>
      <c r="P4689" s="107" t="s">
        <v>155</v>
      </c>
      <c r="Q4689" s="107">
        <v>0</v>
      </c>
      <c r="R4689" s="107">
        <f t="shared" si="642"/>
        <v>8.0567323499999996E-2</v>
      </c>
      <c r="S4689" s="107">
        <v>0</v>
      </c>
      <c r="T4689" s="107">
        <v>0</v>
      </c>
      <c r="U4689" s="107"/>
      <c r="V4689" s="107"/>
      <c r="W4689" s="107"/>
      <c r="X4689" s="107"/>
      <c r="Y4689" s="107"/>
      <c r="Z4689" s="107"/>
      <c r="AA4689" s="107"/>
      <c r="AB4689" s="107"/>
      <c r="AF4689" s="94">
        <f t="shared" si="639"/>
        <v>43312</v>
      </c>
      <c r="AG4689" s="185">
        <f t="shared" si="635"/>
        <v>0</v>
      </c>
      <c r="AH4689" s="339" t="str">
        <f>VLOOKUP(B4689,'MF PF'!A:B,2)</f>
        <v>Coinv</v>
      </c>
      <c r="AI4689" s="358">
        <f t="shared" si="640"/>
        <v>0</v>
      </c>
      <c r="AJ4689" s="94">
        <f t="shared" si="641"/>
        <v>43312</v>
      </c>
    </row>
    <row r="4690" spans="1:36" ht="12.75" customHeight="1">
      <c r="A4690" s="8">
        <v>43343</v>
      </c>
      <c r="B4690" s="358" t="s">
        <v>35</v>
      </c>
      <c r="C4690" s="6" t="s">
        <v>297</v>
      </c>
      <c r="D4690" s="110">
        <v>5208303.2494999999</v>
      </c>
      <c r="E4690" s="9">
        <f t="shared" si="636"/>
        <v>1578694.6502938387</v>
      </c>
      <c r="F4690" s="98">
        <v>15</v>
      </c>
      <c r="G4690" s="98">
        <v>0</v>
      </c>
      <c r="H4690" s="98"/>
      <c r="I4690" s="98">
        <v>0</v>
      </c>
      <c r="J4690" s="98"/>
      <c r="K4690" s="7">
        <v>3.2991200980700039</v>
      </c>
      <c r="L4690" s="93">
        <f t="shared" si="637"/>
        <v>0</v>
      </c>
      <c r="M4690" s="95">
        <f t="shared" ca="1" si="638"/>
        <v>0</v>
      </c>
      <c r="N4690" s="95">
        <f>IF(P4690="Hedge Fund",IF(A4690=Summary!$AD$3,M4690-E4690,M4690),IF(A4690=Summary!$AD$3,L4690-D4690,L4690))</f>
        <v>0</v>
      </c>
      <c r="O4690" s="95"/>
      <c r="P4690" s="107" t="s">
        <v>155</v>
      </c>
      <c r="Q4690" s="107">
        <v>0</v>
      </c>
      <c r="R4690" s="107">
        <f t="shared" si="642"/>
        <v>8.0567323499999996E-2</v>
      </c>
      <c r="S4690" s="107">
        <v>0</v>
      </c>
      <c r="T4690" s="107">
        <v>0</v>
      </c>
      <c r="U4690" s="107"/>
      <c r="V4690" s="107"/>
      <c r="W4690" s="107"/>
      <c r="X4690" s="107"/>
      <c r="Y4690" s="107"/>
      <c r="Z4690" s="107"/>
      <c r="AA4690" s="107"/>
      <c r="AB4690" s="107"/>
      <c r="AF4690" s="94">
        <f t="shared" si="639"/>
        <v>43343</v>
      </c>
      <c r="AG4690" s="185">
        <f t="shared" si="635"/>
        <v>0</v>
      </c>
      <c r="AH4690" s="339" t="str">
        <f>VLOOKUP(B4690,'MF PF'!A:B,2)</f>
        <v>Coinv</v>
      </c>
      <c r="AI4690" s="358">
        <f t="shared" si="640"/>
        <v>0</v>
      </c>
      <c r="AJ4690" s="94">
        <f t="shared" si="641"/>
        <v>43343</v>
      </c>
    </row>
    <row r="4691" spans="1:36" ht="12.75" customHeight="1">
      <c r="A4691" s="8">
        <v>43371</v>
      </c>
      <c r="B4691" s="358" t="s">
        <v>35</v>
      </c>
      <c r="C4691" s="6" t="s">
        <v>297</v>
      </c>
      <c r="D4691" s="110">
        <v>5736464.4972999981</v>
      </c>
      <c r="E4691" s="9">
        <f t="shared" ref="E4691:E4722" si="643">IF(K4691="","",D4691/K4691)</f>
        <v>1738786.1995857165</v>
      </c>
      <c r="F4691" s="98">
        <v>15</v>
      </c>
      <c r="G4691" s="98">
        <v>500000</v>
      </c>
      <c r="H4691" s="98">
        <v>0</v>
      </c>
      <c r="I4691" s="110">
        <v>-839000</v>
      </c>
      <c r="J4691" s="98"/>
      <c r="K4691" s="7">
        <v>3.2991200980700039</v>
      </c>
      <c r="L4691" s="93">
        <f t="shared" si="637"/>
        <v>-339000</v>
      </c>
      <c r="M4691" s="95">
        <f t="shared" ca="1" si="638"/>
        <v>-254310.23274685204</v>
      </c>
      <c r="N4691" s="95">
        <f>IF(P4691="Hedge Fund",IF(A4691=Summary!$AD$3,M4691-E4691,M4691),IF(A4691=Summary!$AD$3,L4691-D4691,L4691))</f>
        <v>-339000</v>
      </c>
      <c r="O4691" s="95"/>
      <c r="P4691" s="107" t="s">
        <v>155</v>
      </c>
      <c r="Q4691" s="107">
        <v>0</v>
      </c>
      <c r="R4691" s="107">
        <f t="shared" si="642"/>
        <v>8.0567323499999996E-2</v>
      </c>
      <c r="S4691" s="107">
        <v>0</v>
      </c>
      <c r="T4691" s="107">
        <v>0</v>
      </c>
      <c r="U4691" s="107"/>
      <c r="V4691" s="107"/>
      <c r="W4691" s="107"/>
      <c r="X4691" s="107"/>
      <c r="Y4691" s="107"/>
      <c r="Z4691" s="107"/>
      <c r="AA4691" s="107"/>
      <c r="AB4691" s="107"/>
      <c r="AF4691" s="94">
        <f t="shared" si="639"/>
        <v>43371</v>
      </c>
      <c r="AG4691" s="185">
        <f t="shared" si="635"/>
        <v>0.16649592127402446</v>
      </c>
      <c r="AH4691" s="339" t="str">
        <f>VLOOKUP(B4691,'MF PF'!A:B,2)</f>
        <v>Coinv</v>
      </c>
      <c r="AI4691" s="358">
        <f t="shared" si="640"/>
        <v>0</v>
      </c>
      <c r="AJ4691" s="94">
        <f t="shared" si="641"/>
        <v>43373</v>
      </c>
    </row>
    <row r="4692" spans="1:36" ht="12.75" customHeight="1">
      <c r="A4692" s="8">
        <v>43404</v>
      </c>
      <c r="B4692" s="358" t="s">
        <v>35</v>
      </c>
      <c r="C4692" s="6" t="s">
        <v>297</v>
      </c>
      <c r="D4692" s="110">
        <v>5736464.4972999981</v>
      </c>
      <c r="E4692" s="9">
        <f t="shared" si="643"/>
        <v>1738786.1995857165</v>
      </c>
      <c r="F4692" s="98">
        <v>15</v>
      </c>
      <c r="G4692" s="98"/>
      <c r="H4692" s="98">
        <v>0</v>
      </c>
      <c r="I4692" s="110"/>
      <c r="J4692" s="98"/>
      <c r="K4692" s="7">
        <v>3.2991200980700039</v>
      </c>
      <c r="L4692" s="93">
        <f t="shared" si="637"/>
        <v>0</v>
      </c>
      <c r="M4692" s="95">
        <f t="shared" ca="1" si="638"/>
        <v>0</v>
      </c>
      <c r="N4692" s="95">
        <f>IF(P4692="Hedge Fund",IF(A4692=Summary!$AD$3,M4692-E4692,M4692),IF(A4692=Summary!$AD$3,L4692-D4692,L4692))</f>
        <v>0</v>
      </c>
      <c r="O4692" s="95"/>
      <c r="P4692" s="107" t="s">
        <v>155</v>
      </c>
      <c r="Q4692" s="107">
        <v>0</v>
      </c>
      <c r="R4692" s="107">
        <f t="shared" si="642"/>
        <v>8.0567323499999996E-2</v>
      </c>
      <c r="S4692" s="107">
        <v>0</v>
      </c>
      <c r="T4692" s="107">
        <v>0</v>
      </c>
      <c r="U4692" s="107"/>
      <c r="V4692" s="107"/>
      <c r="W4692" s="107"/>
      <c r="X4692" s="107"/>
      <c r="Y4692" s="107"/>
      <c r="Z4692" s="107"/>
      <c r="AA4692" s="107"/>
      <c r="AB4692" s="107"/>
      <c r="AF4692" s="94">
        <f t="shared" si="639"/>
        <v>43404</v>
      </c>
      <c r="AG4692" s="185">
        <f t="shared" si="635"/>
        <v>0</v>
      </c>
      <c r="AH4692" s="339" t="str">
        <f>VLOOKUP(B4692,'MF PF'!A:B,2)</f>
        <v>Coinv</v>
      </c>
      <c r="AI4692" s="358">
        <f t="shared" si="640"/>
        <v>0</v>
      </c>
      <c r="AJ4692" s="94">
        <f t="shared" si="641"/>
        <v>43404</v>
      </c>
    </row>
    <row r="4693" spans="1:36" ht="12.75" customHeight="1">
      <c r="A4693" s="8">
        <v>43434</v>
      </c>
      <c r="B4693" s="358" t="s">
        <v>35</v>
      </c>
      <c r="C4693" s="6" t="s">
        <v>297</v>
      </c>
      <c r="D4693" s="110">
        <v>5736464.4972999981</v>
      </c>
      <c r="E4693" s="9">
        <f t="shared" si="643"/>
        <v>1738786.1995857165</v>
      </c>
      <c r="F4693" s="98">
        <v>15</v>
      </c>
      <c r="G4693" s="98"/>
      <c r="H4693" s="98">
        <v>0</v>
      </c>
      <c r="I4693" s="110"/>
      <c r="J4693" s="98"/>
      <c r="K4693" s="7">
        <v>3.2991200980700039</v>
      </c>
      <c r="L4693" s="93">
        <f t="shared" si="637"/>
        <v>0</v>
      </c>
      <c r="M4693" s="95">
        <f t="shared" ca="1" si="638"/>
        <v>0</v>
      </c>
      <c r="N4693" s="95">
        <f>IF(P4693="Hedge Fund",IF(A4693=Summary!$AD$3,M4693-E4693,M4693),IF(A4693=Summary!$AD$3,L4693-D4693,L4693))</f>
        <v>0</v>
      </c>
      <c r="O4693" s="95"/>
      <c r="P4693" s="107" t="s">
        <v>155</v>
      </c>
      <c r="Q4693" s="107">
        <v>0</v>
      </c>
      <c r="R4693" s="107">
        <f t="shared" si="642"/>
        <v>8.0567323499999996E-2</v>
      </c>
      <c r="S4693" s="107">
        <v>0</v>
      </c>
      <c r="T4693" s="107">
        <v>0</v>
      </c>
      <c r="U4693" s="107"/>
      <c r="V4693" s="107"/>
      <c r="W4693" s="107"/>
      <c r="X4693" s="107"/>
      <c r="Y4693" s="107"/>
      <c r="Z4693" s="107"/>
      <c r="AA4693" s="107"/>
      <c r="AB4693" s="107"/>
      <c r="AF4693" s="94">
        <f t="shared" si="639"/>
        <v>43434</v>
      </c>
      <c r="AG4693" s="185">
        <f t="shared" si="635"/>
        <v>0</v>
      </c>
      <c r="AH4693" s="339" t="str">
        <f>VLOOKUP(B4693,'MF PF'!A:B,2)</f>
        <v>Coinv</v>
      </c>
      <c r="AI4693" s="358">
        <f t="shared" si="640"/>
        <v>0</v>
      </c>
      <c r="AJ4693" s="94">
        <f t="shared" si="641"/>
        <v>43434</v>
      </c>
    </row>
    <row r="4694" spans="1:36" ht="12.75" customHeight="1">
      <c r="A4694" s="8">
        <v>43465</v>
      </c>
      <c r="B4694" s="358" t="s">
        <v>35</v>
      </c>
      <c r="C4694" s="6" t="s">
        <v>297</v>
      </c>
      <c r="D4694" s="110">
        <v>5736464.4972999981</v>
      </c>
      <c r="E4694" s="9">
        <f t="shared" si="643"/>
        <v>1738786.1995857165</v>
      </c>
      <c r="F4694" s="98">
        <v>15</v>
      </c>
      <c r="G4694" s="98"/>
      <c r="H4694" s="98">
        <v>0</v>
      </c>
      <c r="I4694" s="110"/>
      <c r="J4694" s="98"/>
      <c r="K4694" s="7">
        <v>3.2991200980700039</v>
      </c>
      <c r="L4694" s="93">
        <f t="shared" si="637"/>
        <v>0</v>
      </c>
      <c r="M4694" s="95">
        <f t="shared" ca="1" si="638"/>
        <v>0</v>
      </c>
      <c r="N4694" s="95">
        <f>IF(P4694="Hedge Fund",IF(A4694=Summary!$AD$3,M4694-E4694,M4694),IF(A4694=Summary!$AD$3,L4694-D4694,L4694))</f>
        <v>0</v>
      </c>
      <c r="O4694" s="95"/>
      <c r="P4694" s="107" t="s">
        <v>155</v>
      </c>
      <c r="Q4694" s="107">
        <v>0</v>
      </c>
      <c r="R4694" s="107">
        <f t="shared" si="642"/>
        <v>8.0567323499999996E-2</v>
      </c>
      <c r="S4694" s="107">
        <v>0</v>
      </c>
      <c r="T4694" s="107">
        <v>0</v>
      </c>
      <c r="U4694" s="107"/>
      <c r="V4694" s="107"/>
      <c r="W4694" s="107"/>
      <c r="X4694" s="107"/>
      <c r="Y4694" s="107"/>
      <c r="Z4694" s="107"/>
      <c r="AA4694" s="107"/>
      <c r="AB4694" s="107"/>
      <c r="AF4694" s="94">
        <f t="shared" si="639"/>
        <v>43465</v>
      </c>
      <c r="AG4694" s="185">
        <f t="shared" si="635"/>
        <v>0</v>
      </c>
      <c r="AH4694" s="339" t="str">
        <f>VLOOKUP(B4694,'MF PF'!A:B,2)</f>
        <v>Coinv</v>
      </c>
      <c r="AI4694" s="358">
        <f t="shared" si="640"/>
        <v>0</v>
      </c>
      <c r="AJ4694" s="94">
        <f t="shared" si="641"/>
        <v>43465</v>
      </c>
    </row>
    <row r="4695" spans="1:36" ht="12.75" customHeight="1">
      <c r="A4695" s="8">
        <v>43496</v>
      </c>
      <c r="B4695" s="358" t="s">
        <v>35</v>
      </c>
      <c r="C4695" s="6" t="s">
        <v>297</v>
      </c>
      <c r="D4695" s="110">
        <v>4455170.6739303023</v>
      </c>
      <c r="E4695" s="9">
        <f t="shared" si="643"/>
        <v>1350411.789051448</v>
      </c>
      <c r="F4695" s="98">
        <v>15</v>
      </c>
      <c r="G4695" s="98"/>
      <c r="H4695" s="98">
        <v>0</v>
      </c>
      <c r="I4695" s="110">
        <v>-1472800</v>
      </c>
      <c r="J4695" s="98"/>
      <c r="K4695" s="7">
        <v>3.2991200980700039</v>
      </c>
      <c r="L4695" s="93">
        <f t="shared" si="637"/>
        <v>-1472800</v>
      </c>
      <c r="M4695" s="95">
        <f t="shared" ca="1" si="638"/>
        <v>-446422.06291962299</v>
      </c>
      <c r="N4695" s="95">
        <f>IF(P4695="Hedge Fund",IF(A4695=Summary!$AD$3,M4695-E4695,M4695),IF(A4695=Summary!$AD$3,L4695-D4695,L4695))</f>
        <v>-5927970.6739303023</v>
      </c>
      <c r="O4695" s="95"/>
      <c r="P4695" s="107" t="s">
        <v>155</v>
      </c>
      <c r="Q4695" s="107">
        <v>0</v>
      </c>
      <c r="R4695" s="107">
        <f t="shared" si="642"/>
        <v>8.0567323499999996E-2</v>
      </c>
      <c r="S4695" s="107">
        <v>0</v>
      </c>
      <c r="T4695" s="107">
        <v>0</v>
      </c>
      <c r="U4695" s="107"/>
      <c r="V4695" s="107"/>
      <c r="W4695" s="107"/>
      <c r="X4695" s="107"/>
      <c r="Y4695" s="107"/>
      <c r="Z4695" s="107"/>
      <c r="AA4695" s="107"/>
      <c r="AB4695" s="107"/>
      <c r="AF4695" s="94">
        <f t="shared" si="639"/>
        <v>43496</v>
      </c>
      <c r="AG4695" s="185">
        <f t="shared" si="635"/>
        <v>3.3384007993153553E-2</v>
      </c>
      <c r="AH4695" s="339" t="str">
        <f>VLOOKUP(B4695,'MF PF'!A:B,2)</f>
        <v>Coinv</v>
      </c>
      <c r="AI4695" s="358">
        <f t="shared" si="640"/>
        <v>0</v>
      </c>
      <c r="AJ4695" s="94">
        <f t="shared" si="641"/>
        <v>43496</v>
      </c>
    </row>
    <row r="4696" spans="1:36" ht="12.75" customHeight="1">
      <c r="A4696" s="8">
        <v>43100</v>
      </c>
      <c r="B4696" s="94" t="s">
        <v>165</v>
      </c>
      <c r="C4696" s="6" t="s">
        <v>297</v>
      </c>
      <c r="D4696" s="98">
        <v>999999.5</v>
      </c>
      <c r="E4696" s="9">
        <f t="shared" si="643"/>
        <v>1006989.190505153</v>
      </c>
      <c r="F4696" s="98"/>
      <c r="G4696" s="98">
        <v>1000000</v>
      </c>
      <c r="H4696" s="98">
        <v>0</v>
      </c>
      <c r="I4696" s="98">
        <v>0</v>
      </c>
      <c r="J4696" s="98"/>
      <c r="K4696" s="7">
        <v>0.99305882270528978</v>
      </c>
      <c r="L4696" s="93">
        <f t="shared" si="637"/>
        <v>1000000</v>
      </c>
      <c r="M4696" s="95">
        <f t="shared" ca="1" si="638"/>
        <v>1006989.190505153</v>
      </c>
      <c r="N4696" s="95">
        <f>IF(P4696="Hedge Fund",IF(A4696=Summary!$AD$3,M4696-E4696,M4696),IF(A4696=Summary!$AD$3,L4696-D4696,L4696))</f>
        <v>1000000</v>
      </c>
      <c r="O4696" s="95"/>
      <c r="P4696" s="107" t="s">
        <v>155</v>
      </c>
      <c r="Q4696" s="107">
        <v>0</v>
      </c>
      <c r="R4696" s="107">
        <v>0</v>
      </c>
      <c r="S4696" s="107">
        <v>0</v>
      </c>
      <c r="T4696" s="107">
        <v>0</v>
      </c>
      <c r="U4696" s="107"/>
      <c r="V4696" s="107"/>
      <c r="W4696" s="107"/>
      <c r="X4696" s="107"/>
      <c r="Y4696" s="107"/>
      <c r="Z4696" s="107"/>
      <c r="AA4696" s="107"/>
      <c r="AB4696" s="107"/>
      <c r="AF4696" s="94">
        <f t="shared" si="639"/>
        <v>43100</v>
      </c>
      <c r="AG4696" s="185">
        <f>IF(C4696&lt;&gt;C4694,D4696/G4696-1,(D4696-G4696-I4696-H4696)/(D4694)-1)</f>
        <v>-1.0000000871617005</v>
      </c>
      <c r="AH4696" s="339" t="str">
        <f>VLOOKUP(B4696,'MF PF'!A:B,2)</f>
        <v>Coinv</v>
      </c>
      <c r="AI4696" s="358">
        <f t="shared" si="640"/>
        <v>0</v>
      </c>
      <c r="AJ4696" s="94">
        <f t="shared" si="641"/>
        <v>43100</v>
      </c>
    </row>
    <row r="4697" spans="1:36" ht="12.75" customHeight="1">
      <c r="A4697" s="8">
        <v>43131</v>
      </c>
      <c r="B4697" s="94" t="s">
        <v>165</v>
      </c>
      <c r="C4697" s="6" t="s">
        <v>297</v>
      </c>
      <c r="D4697" s="98">
        <v>999946.76</v>
      </c>
      <c r="E4697" s="9">
        <f t="shared" si="643"/>
        <v>1006936.0818686915</v>
      </c>
      <c r="F4697" s="98"/>
      <c r="G4697" s="98"/>
      <c r="H4697" s="98">
        <v>0</v>
      </c>
      <c r="I4697" s="98">
        <v>0</v>
      </c>
      <c r="J4697" s="98"/>
      <c r="K4697" s="7">
        <v>0.99305882270528978</v>
      </c>
      <c r="L4697" s="93">
        <f t="shared" si="637"/>
        <v>0</v>
      </c>
      <c r="M4697" s="95">
        <f t="shared" ca="1" si="638"/>
        <v>0</v>
      </c>
      <c r="N4697" s="95">
        <f>IF(P4697="Hedge Fund",IF(A4697=Summary!$AD$3,M4697-E4697,M4697),IF(A4697=Summary!$AD$3,L4697-D4697,L4697))</f>
        <v>0</v>
      </c>
      <c r="O4697" s="95"/>
      <c r="P4697" s="107" t="s">
        <v>155</v>
      </c>
      <c r="Q4697" s="107">
        <v>0</v>
      </c>
      <c r="R4697" s="107">
        <v>0</v>
      </c>
      <c r="S4697" s="107">
        <v>0</v>
      </c>
      <c r="T4697" s="107">
        <v>0</v>
      </c>
      <c r="U4697" s="107"/>
      <c r="V4697" s="107"/>
      <c r="W4697" s="107"/>
      <c r="X4697" s="107"/>
      <c r="Y4697" s="107"/>
      <c r="Z4697" s="107"/>
      <c r="AA4697" s="107"/>
      <c r="AB4697" s="107"/>
      <c r="AF4697" s="94">
        <f t="shared" si="639"/>
        <v>43131</v>
      </c>
      <c r="AG4697" s="185">
        <f t="shared" ref="AG4697:AG4728" si="644">IF(C4697&lt;&gt;C4696,D4697/G4697-1,(D4697-G4697-I4697-H4697)/(D4696)-1)</f>
        <v>-5.2740026370012849E-5</v>
      </c>
      <c r="AH4697" s="339" t="str">
        <f>VLOOKUP(B4697,'MF PF'!A:B,2)</f>
        <v>Coinv</v>
      </c>
      <c r="AI4697" s="358">
        <f t="shared" si="640"/>
        <v>0</v>
      </c>
      <c r="AJ4697" s="94">
        <f t="shared" si="641"/>
        <v>43131</v>
      </c>
    </row>
    <row r="4698" spans="1:36" ht="12.75" customHeight="1">
      <c r="A4698" s="8">
        <v>43159</v>
      </c>
      <c r="B4698" s="94" t="s">
        <v>165</v>
      </c>
      <c r="C4698" s="6" t="s">
        <v>297</v>
      </c>
      <c r="D4698" s="98">
        <v>989534.53</v>
      </c>
      <c r="E4698" s="9">
        <f t="shared" si="643"/>
        <v>996451.07356713386</v>
      </c>
      <c r="F4698" s="98"/>
      <c r="G4698" s="98"/>
      <c r="H4698" s="98">
        <v>0</v>
      </c>
      <c r="I4698" s="98">
        <v>0</v>
      </c>
      <c r="J4698" s="98"/>
      <c r="K4698" s="7">
        <v>0.99305882270528978</v>
      </c>
      <c r="L4698" s="93">
        <f t="shared" si="637"/>
        <v>0</v>
      </c>
      <c r="M4698" s="95">
        <f t="shared" ca="1" si="638"/>
        <v>0</v>
      </c>
      <c r="N4698" s="95">
        <f>IF(P4698="Hedge Fund",IF(A4698=Summary!$AD$3,M4698-E4698,M4698),IF(A4698=Summary!$AD$3,L4698-D4698,L4698))</f>
        <v>0</v>
      </c>
      <c r="O4698" s="95"/>
      <c r="P4698" s="107" t="s">
        <v>155</v>
      </c>
      <c r="Q4698" s="107">
        <v>0</v>
      </c>
      <c r="R4698" s="107">
        <v>0</v>
      </c>
      <c r="S4698" s="107">
        <v>0</v>
      </c>
      <c r="T4698" s="107">
        <v>0</v>
      </c>
      <c r="U4698" s="107"/>
      <c r="V4698" s="107"/>
      <c r="W4698" s="107"/>
      <c r="X4698" s="107"/>
      <c r="Y4698" s="107"/>
      <c r="Z4698" s="107"/>
      <c r="AA4698" s="107"/>
      <c r="AB4698" s="107"/>
      <c r="AF4698" s="94">
        <f t="shared" si="639"/>
        <v>43159</v>
      </c>
      <c r="AG4698" s="185">
        <f t="shared" si="644"/>
        <v>-1.0412784376640172E-2</v>
      </c>
      <c r="AH4698" s="339" t="str">
        <f>VLOOKUP(B4698,'MF PF'!A:B,2)</f>
        <v>Coinv</v>
      </c>
      <c r="AI4698" s="358">
        <f t="shared" si="640"/>
        <v>0</v>
      </c>
      <c r="AJ4698" s="94">
        <f t="shared" si="641"/>
        <v>43159</v>
      </c>
    </row>
    <row r="4699" spans="1:36" ht="12.75" customHeight="1">
      <c r="A4699" s="8">
        <v>43188</v>
      </c>
      <c r="B4699" s="94" t="s">
        <v>165</v>
      </c>
      <c r="C4699" s="6" t="s">
        <v>297</v>
      </c>
      <c r="D4699" s="110">
        <v>978868.91578947369</v>
      </c>
      <c r="E4699" s="9">
        <f t="shared" si="643"/>
        <v>985710.90997695387</v>
      </c>
      <c r="F4699" s="98"/>
      <c r="G4699" s="98"/>
      <c r="H4699" s="98">
        <v>0</v>
      </c>
      <c r="I4699" s="98">
        <v>0</v>
      </c>
      <c r="J4699" s="98"/>
      <c r="K4699" s="7">
        <v>0.99305882270528978</v>
      </c>
      <c r="L4699" s="93">
        <f t="shared" si="637"/>
        <v>0</v>
      </c>
      <c r="M4699" s="95">
        <f t="shared" ca="1" si="638"/>
        <v>0</v>
      </c>
      <c r="N4699" s="95">
        <f>IF(P4699="Hedge Fund",IF(A4699=Summary!$AD$3,M4699-E4699,M4699),IF(A4699=Summary!$AD$3,L4699-D4699,L4699))</f>
        <v>0</v>
      </c>
      <c r="O4699" s="95"/>
      <c r="P4699" s="107" t="s">
        <v>155</v>
      </c>
      <c r="Q4699" s="107">
        <v>0</v>
      </c>
      <c r="R4699" s="107">
        <v>0</v>
      </c>
      <c r="S4699" s="107">
        <v>0</v>
      </c>
      <c r="T4699" s="107">
        <v>0</v>
      </c>
      <c r="U4699" s="107"/>
      <c r="V4699" s="107"/>
      <c r="W4699" s="107"/>
      <c r="X4699" s="107"/>
      <c r="Y4699" s="107"/>
      <c r="Z4699" s="107"/>
      <c r="AA4699" s="107"/>
      <c r="AB4699" s="107"/>
      <c r="AF4699" s="94">
        <f t="shared" si="639"/>
        <v>43188</v>
      </c>
      <c r="AG4699" s="185">
        <f t="shared" si="644"/>
        <v>-1.0778415393474239E-2</v>
      </c>
      <c r="AH4699" s="339" t="str">
        <f>VLOOKUP(B4699,'MF PF'!A:B,2)</f>
        <v>Coinv</v>
      </c>
      <c r="AI4699" s="358">
        <f t="shared" si="640"/>
        <v>0</v>
      </c>
      <c r="AJ4699" s="94">
        <f t="shared" si="641"/>
        <v>43190</v>
      </c>
    </row>
    <row r="4700" spans="1:36" ht="12.75" customHeight="1">
      <c r="A4700" s="8">
        <v>43220</v>
      </c>
      <c r="B4700" s="94" t="s">
        <v>165</v>
      </c>
      <c r="C4700" s="6" t="s">
        <v>297</v>
      </c>
      <c r="D4700" s="110">
        <v>978596.59</v>
      </c>
      <c r="E4700" s="9">
        <f t="shared" si="643"/>
        <v>985436.68071354344</v>
      </c>
      <c r="F4700" s="98"/>
      <c r="G4700" s="98"/>
      <c r="H4700" s="98">
        <v>0</v>
      </c>
      <c r="I4700" s="98">
        <v>0</v>
      </c>
      <c r="J4700" s="98"/>
      <c r="K4700" s="7">
        <v>0.99305882270528978</v>
      </c>
      <c r="L4700" s="93">
        <f t="shared" si="637"/>
        <v>0</v>
      </c>
      <c r="M4700" s="95">
        <f t="shared" ca="1" si="638"/>
        <v>0</v>
      </c>
      <c r="N4700" s="95">
        <f>IF(P4700="Hedge Fund",IF(A4700=Summary!$AD$3,M4700-E4700,M4700),IF(A4700=Summary!$AD$3,L4700-D4700,L4700))</f>
        <v>0</v>
      </c>
      <c r="O4700" s="95"/>
      <c r="P4700" s="107" t="s">
        <v>155</v>
      </c>
      <c r="Q4700" s="107">
        <v>0</v>
      </c>
      <c r="R4700" s="107">
        <v>0</v>
      </c>
      <c r="S4700" s="107">
        <v>0</v>
      </c>
      <c r="T4700" s="107">
        <v>0</v>
      </c>
      <c r="U4700" s="107"/>
      <c r="V4700" s="107"/>
      <c r="W4700" s="107"/>
      <c r="X4700" s="107"/>
      <c r="Y4700" s="107"/>
      <c r="Z4700" s="107"/>
      <c r="AA4700" s="107"/>
      <c r="AB4700" s="107"/>
      <c r="AF4700" s="94">
        <f t="shared" si="639"/>
        <v>43220</v>
      </c>
      <c r="AG4700" s="185">
        <f t="shared" si="644"/>
        <v>-2.7820455331761806E-4</v>
      </c>
      <c r="AH4700" s="339" t="str">
        <f>VLOOKUP(B4700,'MF PF'!A:B,2)</f>
        <v>Coinv</v>
      </c>
      <c r="AI4700" s="358">
        <f t="shared" si="640"/>
        <v>0</v>
      </c>
      <c r="AJ4700" s="94">
        <f t="shared" si="641"/>
        <v>43220</v>
      </c>
    </row>
    <row r="4701" spans="1:36" ht="12.75" customHeight="1">
      <c r="A4701" s="8">
        <v>43251</v>
      </c>
      <c r="B4701" s="358" t="s">
        <v>165</v>
      </c>
      <c r="C4701" s="6" t="s">
        <v>297</v>
      </c>
      <c r="D4701" s="110">
        <v>968896.22894736845</v>
      </c>
      <c r="E4701" s="9">
        <f t="shared" si="643"/>
        <v>975668.51710546447</v>
      </c>
      <c r="F4701" s="98"/>
      <c r="G4701" s="98"/>
      <c r="H4701" s="98">
        <v>0</v>
      </c>
      <c r="I4701" s="98">
        <v>0</v>
      </c>
      <c r="J4701" s="98"/>
      <c r="K4701" s="7">
        <v>0.99305882270528978</v>
      </c>
      <c r="L4701" s="93">
        <f t="shared" si="637"/>
        <v>0</v>
      </c>
      <c r="M4701" s="95">
        <f t="shared" ca="1" si="638"/>
        <v>0</v>
      </c>
      <c r="N4701" s="95">
        <f>IF(P4701="Hedge Fund",IF(A4701=Summary!$AD$3,M4701-E4701,M4701),IF(A4701=Summary!$AD$3,L4701-D4701,L4701))</f>
        <v>0</v>
      </c>
      <c r="O4701" s="95"/>
      <c r="P4701" s="107" t="s">
        <v>155</v>
      </c>
      <c r="Q4701" s="107">
        <v>0</v>
      </c>
      <c r="R4701" s="107">
        <v>0</v>
      </c>
      <c r="S4701" s="107">
        <v>0</v>
      </c>
      <c r="T4701" s="107">
        <v>0</v>
      </c>
      <c r="U4701" s="107"/>
      <c r="V4701" s="107"/>
      <c r="W4701" s="107"/>
      <c r="X4701" s="107"/>
      <c r="Y4701" s="107"/>
      <c r="Z4701" s="107"/>
      <c r="AA4701" s="107"/>
      <c r="AB4701" s="107"/>
      <c r="AF4701" s="94">
        <f t="shared" si="639"/>
        <v>43251</v>
      </c>
      <c r="AG4701" s="185">
        <f t="shared" si="644"/>
        <v>-9.9125228431784507E-3</v>
      </c>
      <c r="AH4701" s="339" t="str">
        <f>VLOOKUP(B4701,'MF PF'!A:B,2)</f>
        <v>Coinv</v>
      </c>
      <c r="AI4701" s="358">
        <f t="shared" si="640"/>
        <v>0</v>
      </c>
      <c r="AJ4701" s="94">
        <f t="shared" si="641"/>
        <v>43251</v>
      </c>
    </row>
    <row r="4702" spans="1:36" ht="12.75" customHeight="1">
      <c r="A4702" s="8">
        <v>43280</v>
      </c>
      <c r="B4702" s="358" t="s">
        <v>165</v>
      </c>
      <c r="C4702" s="6" t="s">
        <v>297</v>
      </c>
      <c r="D4702" s="110">
        <v>945890.25263157894</v>
      </c>
      <c r="E4702" s="9">
        <f t="shared" si="643"/>
        <v>952501.73605505633</v>
      </c>
      <c r="F4702" s="98"/>
      <c r="G4702" s="98"/>
      <c r="H4702" s="98">
        <v>0</v>
      </c>
      <c r="I4702" s="98">
        <v>0</v>
      </c>
      <c r="J4702" s="98"/>
      <c r="K4702" s="7">
        <v>0.99305882270528978</v>
      </c>
      <c r="L4702" s="93">
        <f t="shared" si="637"/>
        <v>0</v>
      </c>
      <c r="M4702" s="95">
        <f t="shared" ca="1" si="638"/>
        <v>0</v>
      </c>
      <c r="N4702" s="95">
        <f>IF(P4702="Hedge Fund",IF(A4702=Summary!$AD$3,M4702-E4702,M4702),IF(A4702=Summary!$AD$3,L4702-D4702,L4702))</f>
        <v>0</v>
      </c>
      <c r="O4702" s="95"/>
      <c r="P4702" s="107" t="s">
        <v>155</v>
      </c>
      <c r="Q4702" s="107">
        <v>0</v>
      </c>
      <c r="R4702" s="107">
        <v>0</v>
      </c>
      <c r="S4702" s="107">
        <v>0</v>
      </c>
      <c r="T4702" s="107">
        <v>0</v>
      </c>
      <c r="U4702" s="107"/>
      <c r="V4702" s="107"/>
      <c r="W4702" s="107"/>
      <c r="X4702" s="107"/>
      <c r="Y4702" s="107"/>
      <c r="Z4702" s="107"/>
      <c r="AA4702" s="107"/>
      <c r="AB4702" s="107"/>
      <c r="AF4702" s="94">
        <f t="shared" si="639"/>
        <v>43280</v>
      </c>
      <c r="AG4702" s="185">
        <f t="shared" si="644"/>
        <v>-2.3744520443416017E-2</v>
      </c>
      <c r="AH4702" s="339" t="str">
        <f>VLOOKUP(B4702,'MF PF'!A:B,2)</f>
        <v>Coinv</v>
      </c>
      <c r="AI4702" s="358">
        <f t="shared" si="640"/>
        <v>0</v>
      </c>
      <c r="AJ4702" s="94">
        <f t="shared" si="641"/>
        <v>43281</v>
      </c>
    </row>
    <row r="4703" spans="1:36" ht="12.75" customHeight="1">
      <c r="A4703" s="8">
        <v>38747</v>
      </c>
      <c r="B4703" s="94" t="s">
        <v>397</v>
      </c>
      <c r="C4703" s="6" t="s">
        <v>297</v>
      </c>
      <c r="D4703" s="103">
        <v>9005953.0999999996</v>
      </c>
      <c r="E4703" s="9">
        <f t="shared" si="643"/>
        <v>9005953.0999999996</v>
      </c>
      <c r="F4703" s="98"/>
      <c r="G4703" s="98">
        <v>9005953.0999999996</v>
      </c>
      <c r="H4703" s="98"/>
      <c r="I4703" s="98">
        <v>0</v>
      </c>
      <c r="J4703" s="98"/>
      <c r="K4703" s="7">
        <v>1</v>
      </c>
      <c r="L4703" s="93">
        <f t="shared" si="637"/>
        <v>9005953.0999999996</v>
      </c>
      <c r="M4703" s="95">
        <f t="shared" ca="1" si="638"/>
        <v>9005953.0999999996</v>
      </c>
      <c r="N4703" s="95">
        <f>IF(P4703="Hedge Fund",IF(A4703=Summary!$AD$3,M4703-E4703,M4703),IF(A4703=Summary!$AD$3,L4703-D4703,L4703))</f>
        <v>9005953.0999999996</v>
      </c>
      <c r="O4703" s="95"/>
      <c r="P4703" s="107" t="s">
        <v>155</v>
      </c>
      <c r="Q4703" s="107">
        <v>0</v>
      </c>
      <c r="R4703" s="107">
        <v>0</v>
      </c>
      <c r="S4703" s="107">
        <v>0</v>
      </c>
      <c r="T4703" s="95"/>
      <c r="U4703" s="95"/>
      <c r="V4703" s="95"/>
      <c r="W4703" s="95"/>
      <c r="X4703" s="95"/>
      <c r="Y4703" s="95"/>
      <c r="Z4703" s="95"/>
      <c r="AA4703" s="95"/>
      <c r="AB4703" s="95"/>
      <c r="AF4703" s="94">
        <f t="shared" si="639"/>
        <v>38747</v>
      </c>
      <c r="AG4703" s="185">
        <f t="shared" si="644"/>
        <v>-1</v>
      </c>
      <c r="AH4703" s="339" t="str">
        <f>VLOOKUP(B4703,'MF PF'!A:B,2)</f>
        <v>Coinv</v>
      </c>
      <c r="AI4703" s="358">
        <f t="shared" si="640"/>
        <v>0</v>
      </c>
      <c r="AJ4703" s="94">
        <f t="shared" si="641"/>
        <v>38748</v>
      </c>
    </row>
    <row r="4704" spans="1:36" ht="12.75" customHeight="1">
      <c r="A4704" s="8">
        <v>38775</v>
      </c>
      <c r="B4704" s="94" t="s">
        <v>397</v>
      </c>
      <c r="C4704" s="6" t="s">
        <v>297</v>
      </c>
      <c r="D4704" s="103">
        <v>9005953.0999999996</v>
      </c>
      <c r="E4704" s="9">
        <f t="shared" si="643"/>
        <v>9005953.0999999996</v>
      </c>
      <c r="F4704" s="98"/>
      <c r="G4704" s="98"/>
      <c r="H4704" s="98"/>
      <c r="I4704" s="98">
        <v>0</v>
      </c>
      <c r="J4704" s="98"/>
      <c r="K4704" s="7">
        <v>1</v>
      </c>
      <c r="L4704" s="93">
        <f t="shared" si="637"/>
        <v>0</v>
      </c>
      <c r="M4704" s="95">
        <f t="shared" ca="1" si="638"/>
        <v>0</v>
      </c>
      <c r="N4704" s="95">
        <f>IF(P4704="Hedge Fund",IF(A4704=Summary!$AD$3,M4704-E4704,M4704),IF(A4704=Summary!$AD$3,L4704-D4704,L4704))</f>
        <v>0</v>
      </c>
      <c r="O4704" s="95"/>
      <c r="P4704" s="107" t="s">
        <v>155</v>
      </c>
      <c r="Q4704" s="107">
        <v>0</v>
      </c>
      <c r="R4704" s="107">
        <v>0</v>
      </c>
      <c r="S4704" s="107">
        <v>0</v>
      </c>
      <c r="T4704" s="95"/>
      <c r="U4704" s="95"/>
      <c r="V4704" s="95"/>
      <c r="W4704" s="95"/>
      <c r="X4704" s="95"/>
      <c r="Y4704" s="95"/>
      <c r="Z4704" s="95"/>
      <c r="AA4704" s="95"/>
      <c r="AB4704" s="95"/>
      <c r="AF4704" s="94">
        <f t="shared" si="639"/>
        <v>38775</v>
      </c>
      <c r="AG4704" s="185">
        <f t="shared" si="644"/>
        <v>0</v>
      </c>
      <c r="AH4704" s="339" t="str">
        <f>VLOOKUP(B4704,'MF PF'!A:B,2)</f>
        <v>Coinv</v>
      </c>
      <c r="AI4704" s="358">
        <f t="shared" si="640"/>
        <v>0</v>
      </c>
      <c r="AJ4704" s="94">
        <f t="shared" si="641"/>
        <v>38776</v>
      </c>
    </row>
    <row r="4705" spans="1:36" ht="12.75" customHeight="1">
      <c r="A4705" s="8">
        <v>38807</v>
      </c>
      <c r="B4705" s="94" t="s">
        <v>397</v>
      </c>
      <c r="C4705" s="6" t="s">
        <v>297</v>
      </c>
      <c r="D4705" s="98">
        <v>8850861.3900000006</v>
      </c>
      <c r="E4705" s="9">
        <f t="shared" si="643"/>
        <v>8850861.3900000006</v>
      </c>
      <c r="F4705" s="98"/>
      <c r="G4705" s="98"/>
      <c r="H4705" s="98">
        <v>0</v>
      </c>
      <c r="I4705" s="98">
        <v>0</v>
      </c>
      <c r="J4705" s="98"/>
      <c r="K4705" s="7">
        <v>1</v>
      </c>
      <c r="L4705" s="93">
        <f t="shared" si="637"/>
        <v>0</v>
      </c>
      <c r="M4705" s="95">
        <f t="shared" ca="1" si="638"/>
        <v>0</v>
      </c>
      <c r="N4705" s="95">
        <f>IF(P4705="Hedge Fund",IF(A4705=Summary!$AD$3,M4705-E4705,M4705),IF(A4705=Summary!$AD$3,L4705-D4705,L4705))</f>
        <v>0</v>
      </c>
      <c r="O4705" s="95"/>
      <c r="P4705" s="107" t="s">
        <v>155</v>
      </c>
      <c r="Q4705" s="107">
        <v>0</v>
      </c>
      <c r="R4705" s="107">
        <v>0</v>
      </c>
      <c r="S4705" s="107">
        <v>0</v>
      </c>
      <c r="T4705" s="95"/>
      <c r="U4705" s="95"/>
      <c r="V4705" s="95"/>
      <c r="W4705" s="95"/>
      <c r="X4705" s="95"/>
      <c r="Y4705" s="95"/>
      <c r="Z4705" s="95"/>
      <c r="AA4705" s="95"/>
      <c r="AB4705" s="95"/>
      <c r="AF4705" s="94">
        <f t="shared" si="639"/>
        <v>38807</v>
      </c>
      <c r="AG4705" s="185">
        <f t="shared" si="644"/>
        <v>-1.7221021282022742E-2</v>
      </c>
      <c r="AH4705" s="339" t="str">
        <f>VLOOKUP(B4705,'MF PF'!A:B,2)</f>
        <v>Coinv</v>
      </c>
      <c r="AI4705" s="358">
        <f t="shared" si="640"/>
        <v>0</v>
      </c>
      <c r="AJ4705" s="94">
        <f t="shared" si="641"/>
        <v>38807</v>
      </c>
    </row>
    <row r="4706" spans="1:36" ht="12.75" customHeight="1">
      <c r="A4706" s="8">
        <v>38837</v>
      </c>
      <c r="B4706" s="94" t="s">
        <v>397</v>
      </c>
      <c r="C4706" s="6" t="s">
        <v>297</v>
      </c>
      <c r="D4706" s="98">
        <v>9501453.4678000007</v>
      </c>
      <c r="E4706" s="9">
        <f t="shared" si="643"/>
        <v>9501453.4678000007</v>
      </c>
      <c r="F4706" s="98"/>
      <c r="G4706" s="98"/>
      <c r="H4706" s="98">
        <v>0</v>
      </c>
      <c r="I4706" s="98">
        <v>0</v>
      </c>
      <c r="J4706" s="98"/>
      <c r="K4706" s="7">
        <v>1</v>
      </c>
      <c r="L4706" s="93">
        <f t="shared" si="637"/>
        <v>0</v>
      </c>
      <c r="M4706" s="95">
        <f t="shared" ca="1" si="638"/>
        <v>0</v>
      </c>
      <c r="N4706" s="95">
        <f>IF(P4706="Hedge Fund",IF(A4706=Summary!$AD$3,M4706-E4706,M4706),IF(A4706=Summary!$AD$3,L4706-D4706,L4706))</f>
        <v>0</v>
      </c>
      <c r="O4706" s="95"/>
      <c r="P4706" s="107" t="s">
        <v>155</v>
      </c>
      <c r="Q4706" s="107">
        <v>0</v>
      </c>
      <c r="R4706" s="107">
        <v>0</v>
      </c>
      <c r="S4706" s="107">
        <v>0</v>
      </c>
      <c r="T4706" s="95"/>
      <c r="U4706" s="95"/>
      <c r="V4706" s="95"/>
      <c r="W4706" s="95"/>
      <c r="X4706" s="95"/>
      <c r="Y4706" s="95"/>
      <c r="Z4706" s="95"/>
      <c r="AA4706" s="95"/>
      <c r="AB4706" s="95"/>
      <c r="AF4706" s="94">
        <f t="shared" si="639"/>
        <v>38837</v>
      </c>
      <c r="AG4706" s="185">
        <f t="shared" si="644"/>
        <v>7.3506074621737971E-2</v>
      </c>
      <c r="AH4706" s="339" t="str">
        <f>VLOOKUP(B4706,'MF PF'!A:B,2)</f>
        <v>Coinv</v>
      </c>
      <c r="AI4706" s="358">
        <f t="shared" si="640"/>
        <v>0</v>
      </c>
      <c r="AJ4706" s="94">
        <f t="shared" si="641"/>
        <v>38837</v>
      </c>
    </row>
    <row r="4707" spans="1:36" ht="12.75" customHeight="1">
      <c r="A4707" s="8">
        <v>38868</v>
      </c>
      <c r="B4707" s="94" t="s">
        <v>397</v>
      </c>
      <c r="C4707" s="6" t="s">
        <v>297</v>
      </c>
      <c r="D4707" s="98">
        <v>9883443.0380000006</v>
      </c>
      <c r="E4707" s="9">
        <f t="shared" si="643"/>
        <v>9883443.0380000006</v>
      </c>
      <c r="F4707" s="98"/>
      <c r="G4707" s="98"/>
      <c r="H4707" s="98">
        <v>0</v>
      </c>
      <c r="I4707" s="98">
        <v>0</v>
      </c>
      <c r="J4707" s="98"/>
      <c r="K4707" s="7">
        <v>1</v>
      </c>
      <c r="L4707" s="93">
        <f t="shared" si="637"/>
        <v>0</v>
      </c>
      <c r="M4707" s="95">
        <f t="shared" ca="1" si="638"/>
        <v>0</v>
      </c>
      <c r="N4707" s="95">
        <f>IF(P4707="Hedge Fund",IF(A4707=Summary!$AD$3,M4707-E4707,M4707),IF(A4707=Summary!$AD$3,L4707-D4707,L4707))</f>
        <v>0</v>
      </c>
      <c r="O4707" s="95"/>
      <c r="P4707" s="107" t="s">
        <v>155</v>
      </c>
      <c r="Q4707" s="107">
        <v>0</v>
      </c>
      <c r="R4707" s="107">
        <v>0</v>
      </c>
      <c r="S4707" s="107">
        <v>0</v>
      </c>
      <c r="T4707" s="107">
        <v>0</v>
      </c>
      <c r="U4707" s="107"/>
      <c r="V4707" s="107"/>
      <c r="W4707" s="107"/>
      <c r="X4707" s="107"/>
      <c r="Y4707" s="107"/>
      <c r="Z4707" s="107"/>
      <c r="AA4707" s="107"/>
      <c r="AB4707" s="107"/>
      <c r="AF4707" s="94">
        <f t="shared" si="639"/>
        <v>38868</v>
      </c>
      <c r="AG4707" s="185">
        <f t="shared" si="644"/>
        <v>4.0203277476919208E-2</v>
      </c>
      <c r="AH4707" s="339" t="str">
        <f>VLOOKUP(B4707,'MF PF'!A:B,2)</f>
        <v>Coinv</v>
      </c>
      <c r="AI4707" s="358">
        <f t="shared" si="640"/>
        <v>0</v>
      </c>
      <c r="AJ4707" s="94">
        <f t="shared" si="641"/>
        <v>38868</v>
      </c>
    </row>
    <row r="4708" spans="1:36" ht="12.75" customHeight="1">
      <c r="A4708" s="8">
        <v>38898</v>
      </c>
      <c r="B4708" s="94" t="s">
        <v>397</v>
      </c>
      <c r="C4708" s="6" t="s">
        <v>297</v>
      </c>
      <c r="D4708" s="98">
        <v>9418784.0607000012</v>
      </c>
      <c r="E4708" s="9">
        <f t="shared" si="643"/>
        <v>9418784.0607000012</v>
      </c>
      <c r="F4708" s="98"/>
      <c r="G4708" s="98"/>
      <c r="H4708" s="98">
        <v>0</v>
      </c>
      <c r="I4708" s="98">
        <v>-409619</v>
      </c>
      <c r="J4708" s="98"/>
      <c r="K4708" s="7">
        <v>1</v>
      </c>
      <c r="L4708" s="93">
        <f t="shared" si="637"/>
        <v>-409619</v>
      </c>
      <c r="M4708" s="95">
        <f t="shared" ca="1" si="638"/>
        <v>-409619</v>
      </c>
      <c r="N4708" s="95">
        <f>IF(P4708="Hedge Fund",IF(A4708=Summary!$AD$3,M4708-E4708,M4708),IF(A4708=Summary!$AD$3,L4708-D4708,L4708))</f>
        <v>-409619</v>
      </c>
      <c r="O4708" s="95"/>
      <c r="P4708" s="107" t="s">
        <v>155</v>
      </c>
      <c r="Q4708" s="107">
        <v>0</v>
      </c>
      <c r="R4708" s="107">
        <v>0</v>
      </c>
      <c r="S4708" s="107">
        <v>0</v>
      </c>
      <c r="T4708" s="107">
        <v>0</v>
      </c>
      <c r="U4708" s="107"/>
      <c r="V4708" s="107"/>
      <c r="W4708" s="107"/>
      <c r="X4708" s="107"/>
      <c r="Y4708" s="107"/>
      <c r="Z4708" s="107"/>
      <c r="AA4708" s="107"/>
      <c r="AB4708" s="107"/>
      <c r="AF4708" s="94">
        <f t="shared" si="639"/>
        <v>38898</v>
      </c>
      <c r="AG4708" s="185">
        <f t="shared" si="644"/>
        <v>-5.5689072207307788E-3</v>
      </c>
      <c r="AH4708" s="339" t="str">
        <f>VLOOKUP(B4708,'MF PF'!A:B,2)</f>
        <v>Coinv</v>
      </c>
      <c r="AI4708" s="358">
        <f t="shared" si="640"/>
        <v>0</v>
      </c>
      <c r="AJ4708" s="94">
        <f t="shared" si="641"/>
        <v>38898</v>
      </c>
    </row>
    <row r="4709" spans="1:36" ht="12.75" customHeight="1">
      <c r="A4709" s="8">
        <v>38929</v>
      </c>
      <c r="B4709" s="94" t="s">
        <v>397</v>
      </c>
      <c r="C4709" s="6" t="s">
        <v>297</v>
      </c>
      <c r="D4709" s="98">
        <v>9975706.5765000004</v>
      </c>
      <c r="E4709" s="95">
        <f t="shared" si="643"/>
        <v>9975706.5765000004</v>
      </c>
      <c r="F4709" s="98"/>
      <c r="G4709" s="98"/>
      <c r="H4709" s="98">
        <v>0</v>
      </c>
      <c r="I4709" s="98">
        <v>0</v>
      </c>
      <c r="J4709" s="98"/>
      <c r="K4709" s="93">
        <v>1</v>
      </c>
      <c r="L4709" s="93">
        <f t="shared" si="637"/>
        <v>0</v>
      </c>
      <c r="M4709" s="95">
        <f t="shared" ca="1" si="638"/>
        <v>0</v>
      </c>
      <c r="N4709" s="95">
        <f>IF(P4709="Hedge Fund",IF(A4709=Summary!$AD$3,M4709-E4709,M4709),IF(A4709=Summary!$AD$3,L4709-D4709,L4709))</f>
        <v>0</v>
      </c>
      <c r="O4709" s="95"/>
      <c r="P4709" s="107" t="s">
        <v>155</v>
      </c>
      <c r="Q4709" s="107">
        <v>0</v>
      </c>
      <c r="R4709" s="107">
        <v>0</v>
      </c>
      <c r="S4709" s="107">
        <v>0</v>
      </c>
      <c r="T4709" s="107">
        <v>0</v>
      </c>
      <c r="U4709" s="107"/>
      <c r="V4709" s="107"/>
      <c r="W4709" s="107"/>
      <c r="X4709" s="107"/>
      <c r="Y4709" s="107"/>
      <c r="Z4709" s="107"/>
      <c r="AA4709" s="107"/>
      <c r="AB4709" s="107"/>
      <c r="AF4709" s="94">
        <f t="shared" si="639"/>
        <v>38929</v>
      </c>
      <c r="AG4709" s="185">
        <f t="shared" si="644"/>
        <v>5.9128918574932188E-2</v>
      </c>
      <c r="AH4709" s="339" t="str">
        <f>VLOOKUP(B4709,'MF PF'!A:B,2)</f>
        <v>Coinv</v>
      </c>
      <c r="AI4709" s="358">
        <f t="shared" si="640"/>
        <v>0</v>
      </c>
      <c r="AJ4709" s="94">
        <f t="shared" si="641"/>
        <v>38929</v>
      </c>
    </row>
    <row r="4710" spans="1:36" ht="12.75" customHeight="1">
      <c r="A4710" s="8">
        <v>38960</v>
      </c>
      <c r="B4710" s="94" t="s">
        <v>397</v>
      </c>
      <c r="C4710" s="6" t="s">
        <v>297</v>
      </c>
      <c r="D4710" s="98">
        <v>9352477.5504999999</v>
      </c>
      <c r="E4710" s="9">
        <f t="shared" si="643"/>
        <v>9352477.5504999999</v>
      </c>
      <c r="F4710" s="98"/>
      <c r="G4710" s="98"/>
      <c r="H4710" s="98">
        <v>0</v>
      </c>
      <c r="I4710" s="98">
        <v>0</v>
      </c>
      <c r="J4710" s="98"/>
      <c r="K4710" s="7">
        <v>1</v>
      </c>
      <c r="L4710" s="93">
        <f t="shared" si="637"/>
        <v>0</v>
      </c>
      <c r="M4710" s="95">
        <f t="shared" ca="1" si="638"/>
        <v>0</v>
      </c>
      <c r="N4710" s="95">
        <f>IF(P4710="Hedge Fund",IF(A4710=Summary!$AD$3,M4710-E4710,M4710),IF(A4710=Summary!$AD$3,L4710-D4710,L4710))</f>
        <v>0</v>
      </c>
      <c r="O4710" s="95"/>
      <c r="P4710" s="107" t="s">
        <v>155</v>
      </c>
      <c r="Q4710" s="107">
        <v>0</v>
      </c>
      <c r="R4710" s="107">
        <v>0</v>
      </c>
      <c r="S4710" s="107">
        <v>0</v>
      </c>
      <c r="T4710" s="107">
        <v>0</v>
      </c>
      <c r="U4710" s="107"/>
      <c r="V4710" s="107"/>
      <c r="W4710" s="107"/>
      <c r="X4710" s="107"/>
      <c r="Y4710" s="107"/>
      <c r="Z4710" s="107"/>
      <c r="AA4710" s="107"/>
      <c r="AB4710" s="107"/>
      <c r="AF4710" s="94">
        <f t="shared" si="639"/>
        <v>38960</v>
      </c>
      <c r="AG4710" s="185">
        <f t="shared" si="644"/>
        <v>-6.2474674973716171E-2</v>
      </c>
      <c r="AH4710" s="339" t="str">
        <f>VLOOKUP(B4710,'MF PF'!A:B,2)</f>
        <v>Coinv</v>
      </c>
      <c r="AI4710" s="358">
        <f t="shared" si="640"/>
        <v>0</v>
      </c>
      <c r="AJ4710" s="94">
        <f t="shared" si="641"/>
        <v>38960</v>
      </c>
    </row>
    <row r="4711" spans="1:36" ht="12.75" customHeight="1">
      <c r="A4711" s="8">
        <v>38990</v>
      </c>
      <c r="B4711" s="94" t="s">
        <v>397</v>
      </c>
      <c r="C4711" s="6" t="s">
        <v>297</v>
      </c>
      <c r="D4711" s="98">
        <v>10421864.596500002</v>
      </c>
      <c r="E4711" s="9">
        <f t="shared" si="643"/>
        <v>10421864.596500002</v>
      </c>
      <c r="F4711" s="98"/>
      <c r="G4711" s="98"/>
      <c r="H4711" s="98">
        <v>0</v>
      </c>
      <c r="I4711" s="98">
        <v>0</v>
      </c>
      <c r="J4711" s="98"/>
      <c r="K4711" s="7">
        <v>1</v>
      </c>
      <c r="L4711" s="93">
        <f t="shared" si="637"/>
        <v>0</v>
      </c>
      <c r="M4711" s="95">
        <f t="shared" ca="1" si="638"/>
        <v>0</v>
      </c>
      <c r="N4711" s="95">
        <f>IF(P4711="Hedge Fund",IF(A4711=Summary!$AD$3,M4711-E4711,M4711),IF(A4711=Summary!$AD$3,L4711-D4711,L4711))</f>
        <v>0</v>
      </c>
      <c r="O4711" s="95"/>
      <c r="P4711" s="107" t="s">
        <v>155</v>
      </c>
      <c r="Q4711" s="107">
        <v>0</v>
      </c>
      <c r="R4711" s="107">
        <v>0</v>
      </c>
      <c r="S4711" s="107">
        <v>0</v>
      </c>
      <c r="T4711" s="107">
        <v>0</v>
      </c>
      <c r="U4711" s="107"/>
      <c r="V4711" s="107"/>
      <c r="W4711" s="107"/>
      <c r="X4711" s="107"/>
      <c r="Y4711" s="107"/>
      <c r="Z4711" s="107"/>
      <c r="AA4711" s="107"/>
      <c r="AB4711" s="107"/>
      <c r="AF4711" s="94">
        <f t="shared" si="639"/>
        <v>38990</v>
      </c>
      <c r="AG4711" s="185">
        <f t="shared" si="644"/>
        <v>0.11434264773432479</v>
      </c>
      <c r="AH4711" s="339" t="str">
        <f>VLOOKUP(B4711,'MF PF'!A:B,2)</f>
        <v>Coinv</v>
      </c>
      <c r="AI4711" s="358">
        <f t="shared" si="640"/>
        <v>0</v>
      </c>
      <c r="AJ4711" s="94">
        <f t="shared" si="641"/>
        <v>38990</v>
      </c>
    </row>
    <row r="4712" spans="1:36" ht="12.75" customHeight="1">
      <c r="A4712" s="8">
        <v>39021</v>
      </c>
      <c r="B4712" s="94" t="s">
        <v>397</v>
      </c>
      <c r="C4712" s="6" t="s">
        <v>297</v>
      </c>
      <c r="D4712" s="98">
        <v>12168472.222199999</v>
      </c>
      <c r="E4712" s="9">
        <f t="shared" si="643"/>
        <v>12168472.222199999</v>
      </c>
      <c r="F4712" s="98"/>
      <c r="G4712" s="98"/>
      <c r="H4712" s="98">
        <v>0</v>
      </c>
      <c r="I4712" s="98">
        <v>0</v>
      </c>
      <c r="J4712" s="98"/>
      <c r="K4712" s="7">
        <v>1</v>
      </c>
      <c r="L4712" s="93">
        <f t="shared" si="637"/>
        <v>0</v>
      </c>
      <c r="M4712" s="95">
        <f t="shared" ca="1" si="638"/>
        <v>0</v>
      </c>
      <c r="N4712" s="95">
        <f>IF(P4712="Hedge Fund",IF(A4712=Summary!$AD$3,M4712-E4712,M4712),IF(A4712=Summary!$AD$3,L4712-D4712,L4712))</f>
        <v>0</v>
      </c>
      <c r="O4712" s="95"/>
      <c r="P4712" s="107" t="s">
        <v>155</v>
      </c>
      <c r="Q4712" s="107">
        <v>0</v>
      </c>
      <c r="R4712" s="107">
        <v>0</v>
      </c>
      <c r="S4712" s="107">
        <v>0</v>
      </c>
      <c r="T4712" s="107">
        <v>0</v>
      </c>
      <c r="U4712" s="107"/>
      <c r="V4712" s="107"/>
      <c r="W4712" s="107"/>
      <c r="X4712" s="107"/>
      <c r="Y4712" s="107"/>
      <c r="Z4712" s="107"/>
      <c r="AA4712" s="107"/>
      <c r="AB4712" s="107"/>
      <c r="AF4712" s="94">
        <f t="shared" si="639"/>
        <v>39021</v>
      </c>
      <c r="AG4712" s="185">
        <f t="shared" si="644"/>
        <v>0.1675907040940221</v>
      </c>
      <c r="AH4712" s="339" t="str">
        <f>VLOOKUP(B4712,'MF PF'!A:B,2)</f>
        <v>Coinv</v>
      </c>
      <c r="AI4712" s="358">
        <f t="shared" si="640"/>
        <v>0</v>
      </c>
      <c r="AJ4712" s="94">
        <f t="shared" si="641"/>
        <v>39021</v>
      </c>
    </row>
    <row r="4713" spans="1:36" ht="12.75" customHeight="1">
      <c r="A4713" s="8">
        <v>39051</v>
      </c>
      <c r="B4713" s="94" t="s">
        <v>397</v>
      </c>
      <c r="C4713" s="6" t="s">
        <v>297</v>
      </c>
      <c r="D4713" s="98">
        <v>11944091.729500001</v>
      </c>
      <c r="E4713" s="9">
        <f t="shared" si="643"/>
        <v>11944091.729500001</v>
      </c>
      <c r="F4713" s="98"/>
      <c r="G4713" s="98"/>
      <c r="H4713" s="98">
        <v>0</v>
      </c>
      <c r="I4713" s="98">
        <v>-1648157.33</v>
      </c>
      <c r="J4713" s="98"/>
      <c r="K4713" s="7">
        <v>1</v>
      </c>
      <c r="L4713" s="93">
        <f t="shared" si="637"/>
        <v>-1648157.33</v>
      </c>
      <c r="M4713" s="95">
        <f t="shared" ca="1" si="638"/>
        <v>-1648157.33</v>
      </c>
      <c r="N4713" s="95">
        <f>IF(P4713="Hedge Fund",IF(A4713=Summary!$AD$3,M4713-E4713,M4713),IF(A4713=Summary!$AD$3,L4713-D4713,L4713))</f>
        <v>-1648157.33</v>
      </c>
      <c r="O4713" s="95"/>
      <c r="P4713" s="107" t="s">
        <v>155</v>
      </c>
      <c r="Q4713" s="107">
        <v>0</v>
      </c>
      <c r="R4713" s="107">
        <v>0</v>
      </c>
      <c r="S4713" s="107">
        <v>0</v>
      </c>
      <c r="T4713" s="107">
        <v>0</v>
      </c>
      <c r="U4713" s="107"/>
      <c r="V4713" s="107"/>
      <c r="W4713" s="107"/>
      <c r="X4713" s="107"/>
      <c r="Y4713" s="107"/>
      <c r="Z4713" s="107"/>
      <c r="AA4713" s="107"/>
      <c r="AB4713" s="107"/>
      <c r="AF4713" s="94">
        <f t="shared" si="639"/>
        <v>39051</v>
      </c>
      <c r="AG4713" s="185">
        <f t="shared" si="644"/>
        <v>0.11700538993732379</v>
      </c>
      <c r="AH4713" s="339" t="str">
        <f>VLOOKUP(B4713,'MF PF'!A:B,2)</f>
        <v>Coinv</v>
      </c>
      <c r="AI4713" s="358">
        <f t="shared" si="640"/>
        <v>0</v>
      </c>
      <c r="AJ4713" s="94">
        <f t="shared" si="641"/>
        <v>39051</v>
      </c>
    </row>
    <row r="4714" spans="1:36" ht="12.75" customHeight="1">
      <c r="A4714" s="8">
        <v>39082</v>
      </c>
      <c r="B4714" s="94" t="s">
        <v>397</v>
      </c>
      <c r="C4714" s="6" t="s">
        <v>297</v>
      </c>
      <c r="D4714" s="98">
        <v>13165898.005399998</v>
      </c>
      <c r="E4714" s="9">
        <f t="shared" si="643"/>
        <v>13165898.005399998</v>
      </c>
      <c r="F4714" s="98"/>
      <c r="G4714" s="98"/>
      <c r="H4714" s="98">
        <v>0</v>
      </c>
      <c r="I4714" s="98">
        <v>0</v>
      </c>
      <c r="J4714" s="98"/>
      <c r="K4714" s="7">
        <v>1</v>
      </c>
      <c r="L4714" s="93">
        <f t="shared" si="637"/>
        <v>0</v>
      </c>
      <c r="M4714" s="95">
        <f t="shared" ca="1" si="638"/>
        <v>0</v>
      </c>
      <c r="N4714" s="95">
        <f>IF(P4714="Hedge Fund",IF(A4714=Summary!$AD$3,M4714-E4714,M4714),IF(A4714=Summary!$AD$3,L4714-D4714,L4714))</f>
        <v>0</v>
      </c>
      <c r="O4714" s="95"/>
      <c r="P4714" s="107" t="s">
        <v>155</v>
      </c>
      <c r="Q4714" s="107">
        <v>0</v>
      </c>
      <c r="R4714" s="107">
        <v>0</v>
      </c>
      <c r="S4714" s="107">
        <v>0</v>
      </c>
      <c r="T4714" s="107">
        <v>0</v>
      </c>
      <c r="U4714" s="107"/>
      <c r="V4714" s="107"/>
      <c r="W4714" s="107"/>
      <c r="X4714" s="107"/>
      <c r="Y4714" s="107"/>
      <c r="Z4714" s="107"/>
      <c r="AA4714" s="107"/>
      <c r="AB4714" s="107"/>
      <c r="AF4714" s="94">
        <f t="shared" si="639"/>
        <v>39082</v>
      </c>
      <c r="AG4714" s="185">
        <f t="shared" si="644"/>
        <v>0.10229377867907119</v>
      </c>
      <c r="AH4714" s="339" t="str">
        <f>VLOOKUP(B4714,'MF PF'!A:B,2)</f>
        <v>Coinv</v>
      </c>
      <c r="AI4714" s="358">
        <f t="shared" si="640"/>
        <v>0</v>
      </c>
      <c r="AJ4714" s="94">
        <f t="shared" si="641"/>
        <v>39082</v>
      </c>
    </row>
    <row r="4715" spans="1:36" ht="12.75" customHeight="1">
      <c r="A4715" s="8">
        <v>39113</v>
      </c>
      <c r="B4715" s="94" t="s">
        <v>397</v>
      </c>
      <c r="C4715" s="6" t="s">
        <v>297</v>
      </c>
      <c r="D4715" s="98">
        <v>13654606.895299999</v>
      </c>
      <c r="E4715" s="9">
        <f t="shared" si="643"/>
        <v>13654606.895299999</v>
      </c>
      <c r="F4715" s="98"/>
      <c r="G4715" s="98"/>
      <c r="H4715" s="98">
        <v>0</v>
      </c>
      <c r="I4715" s="98">
        <v>0</v>
      </c>
      <c r="J4715" s="98"/>
      <c r="K4715" s="7">
        <v>1</v>
      </c>
      <c r="L4715" s="93">
        <f t="shared" si="637"/>
        <v>0</v>
      </c>
      <c r="M4715" s="95">
        <f t="shared" ca="1" si="638"/>
        <v>0</v>
      </c>
      <c r="N4715" s="95">
        <f>IF(P4715="Hedge Fund",IF(A4715=Summary!$AD$3,M4715-E4715,M4715),IF(A4715=Summary!$AD$3,L4715-D4715,L4715))</f>
        <v>0</v>
      </c>
      <c r="O4715" s="95"/>
      <c r="P4715" s="107" t="s">
        <v>155</v>
      </c>
      <c r="Q4715" s="107">
        <v>0</v>
      </c>
      <c r="R4715" s="107">
        <v>0</v>
      </c>
      <c r="S4715" s="107">
        <v>0</v>
      </c>
      <c r="T4715" s="107">
        <v>0</v>
      </c>
      <c r="U4715" s="107"/>
      <c r="V4715" s="107"/>
      <c r="W4715" s="107"/>
      <c r="X4715" s="107"/>
      <c r="Y4715" s="107"/>
      <c r="Z4715" s="107"/>
      <c r="AA4715" s="107"/>
      <c r="AB4715" s="107"/>
      <c r="AF4715" s="94">
        <f t="shared" si="639"/>
        <v>39113</v>
      </c>
      <c r="AG4715" s="185">
        <f t="shared" si="644"/>
        <v>3.7119297878470237E-2</v>
      </c>
      <c r="AH4715" s="339" t="str">
        <f>VLOOKUP(B4715,'MF PF'!A:B,2)</f>
        <v>Coinv</v>
      </c>
      <c r="AI4715" s="358">
        <f t="shared" si="640"/>
        <v>0</v>
      </c>
      <c r="AJ4715" s="94">
        <f t="shared" si="641"/>
        <v>39113</v>
      </c>
    </row>
    <row r="4716" spans="1:36" ht="12.75" customHeight="1">
      <c r="A4716" s="8">
        <v>39141</v>
      </c>
      <c r="B4716" s="94" t="s">
        <v>397</v>
      </c>
      <c r="C4716" s="6" t="s">
        <v>297</v>
      </c>
      <c r="D4716" s="98">
        <v>13648686.7699</v>
      </c>
      <c r="E4716" s="9">
        <f t="shared" si="643"/>
        <v>13648686.7699</v>
      </c>
      <c r="F4716" s="98"/>
      <c r="G4716" s="98"/>
      <c r="H4716" s="98">
        <v>0</v>
      </c>
      <c r="I4716" s="98">
        <v>0</v>
      </c>
      <c r="J4716" s="98"/>
      <c r="K4716" s="7">
        <v>1</v>
      </c>
      <c r="L4716" s="93">
        <f t="shared" si="637"/>
        <v>0</v>
      </c>
      <c r="M4716" s="95">
        <f t="shared" ca="1" si="638"/>
        <v>0</v>
      </c>
      <c r="N4716" s="95">
        <f>IF(P4716="Hedge Fund",IF(A4716=Summary!$AD$3,M4716-E4716,M4716),IF(A4716=Summary!$AD$3,L4716-D4716,L4716))</f>
        <v>0</v>
      </c>
      <c r="O4716" s="95"/>
      <c r="P4716" s="107" t="s">
        <v>155</v>
      </c>
      <c r="Q4716" s="107">
        <v>0</v>
      </c>
      <c r="R4716" s="107">
        <v>0</v>
      </c>
      <c r="S4716" s="107">
        <v>0</v>
      </c>
      <c r="T4716" s="107">
        <v>0</v>
      </c>
      <c r="U4716" s="107"/>
      <c r="V4716" s="107"/>
      <c r="W4716" s="107"/>
      <c r="X4716" s="107"/>
      <c r="Y4716" s="107"/>
      <c r="Z4716" s="107"/>
      <c r="AA4716" s="107"/>
      <c r="AB4716" s="107"/>
      <c r="AF4716" s="94">
        <f t="shared" si="639"/>
        <v>39141</v>
      </c>
      <c r="AG4716" s="185">
        <f t="shared" si="644"/>
        <v>-4.3356249252679557E-4</v>
      </c>
      <c r="AH4716" s="339" t="str">
        <f>VLOOKUP(B4716,'MF PF'!A:B,2)</f>
        <v>Coinv</v>
      </c>
      <c r="AI4716" s="358">
        <f t="shared" si="640"/>
        <v>0</v>
      </c>
      <c r="AJ4716" s="94">
        <f t="shared" si="641"/>
        <v>39141</v>
      </c>
    </row>
    <row r="4717" spans="1:36" ht="12.75" customHeight="1">
      <c r="A4717" s="8">
        <v>39171</v>
      </c>
      <c r="B4717" s="94" t="s">
        <v>397</v>
      </c>
      <c r="C4717" s="6" t="s">
        <v>297</v>
      </c>
      <c r="D4717" s="98">
        <v>16072364.949200001</v>
      </c>
      <c r="E4717" s="9">
        <f t="shared" si="643"/>
        <v>16072364.949200001</v>
      </c>
      <c r="F4717" s="98"/>
      <c r="G4717" s="98"/>
      <c r="H4717" s="98">
        <v>0</v>
      </c>
      <c r="I4717" s="98">
        <v>-832219.91</v>
      </c>
      <c r="J4717" s="98"/>
      <c r="K4717" s="7">
        <v>1</v>
      </c>
      <c r="L4717" s="93">
        <f t="shared" si="637"/>
        <v>-832219.91</v>
      </c>
      <c r="M4717" s="95">
        <f t="shared" ca="1" si="638"/>
        <v>-832219.91</v>
      </c>
      <c r="N4717" s="95">
        <f>IF(P4717="Hedge Fund",IF(A4717=Summary!$AD$3,M4717-E4717,M4717),IF(A4717=Summary!$AD$3,L4717-D4717,L4717))</f>
        <v>-832219.91</v>
      </c>
      <c r="O4717" s="95"/>
      <c r="P4717" s="107" t="s">
        <v>155</v>
      </c>
      <c r="Q4717" s="107">
        <v>0</v>
      </c>
      <c r="R4717" s="107">
        <v>0</v>
      </c>
      <c r="S4717" s="107">
        <v>0</v>
      </c>
      <c r="T4717" s="107">
        <v>0</v>
      </c>
      <c r="U4717" s="107"/>
      <c r="V4717" s="107"/>
      <c r="W4717" s="107"/>
      <c r="X4717" s="107"/>
      <c r="Y4717" s="107"/>
      <c r="Z4717" s="107"/>
      <c r="AA4717" s="107"/>
      <c r="AB4717" s="107"/>
      <c r="AF4717" s="94">
        <f t="shared" si="639"/>
        <v>39171</v>
      </c>
      <c r="AG4717" s="185">
        <f t="shared" si="644"/>
        <v>0.23855028283602819</v>
      </c>
      <c r="AH4717" s="339" t="str">
        <f>VLOOKUP(B4717,'MF PF'!A:B,2)</f>
        <v>Coinv</v>
      </c>
      <c r="AI4717" s="358">
        <f t="shared" si="640"/>
        <v>0</v>
      </c>
      <c r="AJ4717" s="94">
        <f t="shared" si="641"/>
        <v>39172</v>
      </c>
    </row>
    <row r="4718" spans="1:36" ht="12.75" customHeight="1">
      <c r="A4718" s="8">
        <v>39202</v>
      </c>
      <c r="B4718" s="94" t="s">
        <v>397</v>
      </c>
      <c r="C4718" s="6" t="s">
        <v>297</v>
      </c>
      <c r="D4718" s="98">
        <v>18884341.082600001</v>
      </c>
      <c r="E4718" s="9">
        <f t="shared" si="643"/>
        <v>18884341.082600001</v>
      </c>
      <c r="F4718" s="98"/>
      <c r="G4718" s="98"/>
      <c r="H4718" s="98">
        <v>0</v>
      </c>
      <c r="I4718" s="98">
        <v>0</v>
      </c>
      <c r="J4718" s="98"/>
      <c r="K4718" s="7">
        <v>1</v>
      </c>
      <c r="L4718" s="93">
        <f t="shared" si="637"/>
        <v>0</v>
      </c>
      <c r="M4718" s="95">
        <f t="shared" ca="1" si="638"/>
        <v>0</v>
      </c>
      <c r="N4718" s="95">
        <f>IF(P4718="Hedge Fund",IF(A4718=Summary!$AD$3,M4718-E4718,M4718),IF(A4718=Summary!$AD$3,L4718-D4718,L4718))</f>
        <v>0</v>
      </c>
      <c r="O4718" s="95"/>
      <c r="P4718" s="107" t="s">
        <v>155</v>
      </c>
      <c r="Q4718" s="107">
        <v>0</v>
      </c>
      <c r="R4718" s="107">
        <v>0</v>
      </c>
      <c r="S4718" s="107">
        <v>0</v>
      </c>
      <c r="T4718" s="107">
        <v>0</v>
      </c>
      <c r="U4718" s="107"/>
      <c r="V4718" s="107"/>
      <c r="W4718" s="107"/>
      <c r="X4718" s="107"/>
      <c r="Y4718" s="107"/>
      <c r="Z4718" s="107"/>
      <c r="AA4718" s="107"/>
      <c r="AB4718" s="107"/>
      <c r="AF4718" s="94">
        <f t="shared" si="639"/>
        <v>39202</v>
      </c>
      <c r="AG4718" s="185">
        <f t="shared" si="644"/>
        <v>0.17495721023557054</v>
      </c>
      <c r="AH4718" s="339" t="str">
        <f>VLOOKUP(B4718,'MF PF'!A:B,2)</f>
        <v>Coinv</v>
      </c>
      <c r="AI4718" s="358">
        <f t="shared" si="640"/>
        <v>0</v>
      </c>
      <c r="AJ4718" s="94">
        <f t="shared" si="641"/>
        <v>39202</v>
      </c>
    </row>
    <row r="4719" spans="1:36" ht="12.75" customHeight="1">
      <c r="A4719" s="8">
        <v>39233</v>
      </c>
      <c r="B4719" s="94" t="s">
        <v>397</v>
      </c>
      <c r="C4719" s="6" t="s">
        <v>297</v>
      </c>
      <c r="D4719" s="98">
        <v>20933279.1941</v>
      </c>
      <c r="E4719" s="9">
        <f t="shared" si="643"/>
        <v>20933279.1941</v>
      </c>
      <c r="F4719" s="98"/>
      <c r="G4719" s="98"/>
      <c r="H4719" s="98">
        <v>0</v>
      </c>
      <c r="I4719" s="98">
        <v>-1571283.66</v>
      </c>
      <c r="J4719" s="98"/>
      <c r="K4719" s="7">
        <v>1</v>
      </c>
      <c r="L4719" s="93">
        <f t="shared" si="637"/>
        <v>-1571283.66</v>
      </c>
      <c r="M4719" s="95">
        <f t="shared" ca="1" si="638"/>
        <v>-1571283.66</v>
      </c>
      <c r="N4719" s="95">
        <f>IF(P4719="Hedge Fund",IF(A4719=Summary!$AD$3,M4719-E4719,M4719),IF(A4719=Summary!$AD$3,L4719-D4719,L4719))</f>
        <v>-1571283.66</v>
      </c>
      <c r="O4719" s="95"/>
      <c r="P4719" s="107" t="s">
        <v>155</v>
      </c>
      <c r="Q4719" s="107">
        <v>0</v>
      </c>
      <c r="R4719" s="107">
        <v>0</v>
      </c>
      <c r="S4719" s="107">
        <v>0</v>
      </c>
      <c r="T4719" s="107">
        <v>0</v>
      </c>
      <c r="U4719" s="107"/>
      <c r="V4719" s="107"/>
      <c r="W4719" s="107"/>
      <c r="X4719" s="107"/>
      <c r="Y4719" s="107"/>
      <c r="Z4719" s="107"/>
      <c r="AA4719" s="107"/>
      <c r="AB4719" s="107"/>
      <c r="AF4719" s="94">
        <f t="shared" si="639"/>
        <v>39233</v>
      </c>
      <c r="AG4719" s="185">
        <f t="shared" si="644"/>
        <v>0.19170495574429469</v>
      </c>
      <c r="AH4719" s="339" t="str">
        <f>VLOOKUP(B4719,'MF PF'!A:B,2)</f>
        <v>Coinv</v>
      </c>
      <c r="AI4719" s="358">
        <f t="shared" si="640"/>
        <v>0</v>
      </c>
      <c r="AJ4719" s="94">
        <f t="shared" si="641"/>
        <v>39233</v>
      </c>
    </row>
    <row r="4720" spans="1:36" ht="12.75" customHeight="1">
      <c r="A4720" s="8">
        <v>39262</v>
      </c>
      <c r="B4720" s="94" t="s">
        <v>397</v>
      </c>
      <c r="C4720" s="6" t="s">
        <v>297</v>
      </c>
      <c r="D4720" s="98">
        <v>17347487.535700001</v>
      </c>
      <c r="E4720" s="9">
        <f t="shared" si="643"/>
        <v>17347487.535700001</v>
      </c>
      <c r="F4720" s="98"/>
      <c r="G4720" s="98"/>
      <c r="H4720" s="98">
        <v>0</v>
      </c>
      <c r="I4720" s="98">
        <v>-2328706.88</v>
      </c>
      <c r="J4720" s="98"/>
      <c r="K4720" s="7">
        <v>1</v>
      </c>
      <c r="L4720" s="93">
        <f t="shared" si="637"/>
        <v>-2328706.88</v>
      </c>
      <c r="M4720" s="95">
        <f t="shared" ca="1" si="638"/>
        <v>-2328706.88</v>
      </c>
      <c r="N4720" s="95">
        <f>IF(P4720="Hedge Fund",IF(A4720=Summary!$AD$3,M4720-E4720,M4720),IF(A4720=Summary!$AD$3,L4720-D4720,L4720))</f>
        <v>-2328706.88</v>
      </c>
      <c r="O4720" s="95"/>
      <c r="P4720" s="107" t="s">
        <v>155</v>
      </c>
      <c r="Q4720" s="107">
        <v>0</v>
      </c>
      <c r="R4720" s="107">
        <v>0</v>
      </c>
      <c r="S4720" s="107">
        <v>0</v>
      </c>
      <c r="T4720" s="107">
        <v>0</v>
      </c>
      <c r="U4720" s="107"/>
      <c r="V4720" s="107"/>
      <c r="W4720" s="107"/>
      <c r="X4720" s="107"/>
      <c r="Y4720" s="107"/>
      <c r="Z4720" s="107"/>
      <c r="AA4720" s="107"/>
      <c r="AB4720" s="107"/>
      <c r="AF4720" s="94">
        <f t="shared" si="639"/>
        <v>39262</v>
      </c>
      <c r="AG4720" s="185">
        <f t="shared" si="644"/>
        <v>-6.0051975934774071E-2</v>
      </c>
      <c r="AH4720" s="339" t="str">
        <f>VLOOKUP(B4720,'MF PF'!A:B,2)</f>
        <v>Coinv</v>
      </c>
      <c r="AI4720" s="358">
        <f t="shared" si="640"/>
        <v>0</v>
      </c>
      <c r="AJ4720" s="94">
        <f t="shared" si="641"/>
        <v>39263</v>
      </c>
    </row>
    <row r="4721" spans="1:36" ht="12.75" customHeight="1">
      <c r="A4721" s="8">
        <v>39294</v>
      </c>
      <c r="B4721" s="94" t="s">
        <v>397</v>
      </c>
      <c r="C4721" s="6" t="s">
        <v>297</v>
      </c>
      <c r="D4721" s="98">
        <v>16650986.466100002</v>
      </c>
      <c r="E4721" s="9">
        <f t="shared" si="643"/>
        <v>16650986.466100002</v>
      </c>
      <c r="F4721" s="98"/>
      <c r="G4721" s="98"/>
      <c r="H4721" s="98">
        <v>0</v>
      </c>
      <c r="I4721" s="98">
        <v>0</v>
      </c>
      <c r="J4721" s="98"/>
      <c r="K4721" s="7">
        <v>1</v>
      </c>
      <c r="L4721" s="93">
        <f t="shared" si="637"/>
        <v>0</v>
      </c>
      <c r="M4721" s="95">
        <f t="shared" ca="1" si="638"/>
        <v>0</v>
      </c>
      <c r="N4721" s="95">
        <f>IF(P4721="Hedge Fund",IF(A4721=Summary!$AD$3,M4721-E4721,M4721),IF(A4721=Summary!$AD$3,L4721-D4721,L4721))</f>
        <v>0</v>
      </c>
      <c r="O4721" s="95"/>
      <c r="P4721" s="107" t="s">
        <v>155</v>
      </c>
      <c r="Q4721" s="107">
        <v>0</v>
      </c>
      <c r="R4721" s="107">
        <v>0</v>
      </c>
      <c r="S4721" s="107">
        <v>0</v>
      </c>
      <c r="T4721" s="107">
        <v>0</v>
      </c>
      <c r="U4721" s="107"/>
      <c r="V4721" s="107"/>
      <c r="W4721" s="107"/>
      <c r="X4721" s="107"/>
      <c r="Y4721" s="107"/>
      <c r="Z4721" s="107"/>
      <c r="AA4721" s="107"/>
      <c r="AB4721" s="107"/>
      <c r="AF4721" s="94">
        <f t="shared" si="639"/>
        <v>39294</v>
      </c>
      <c r="AG4721" s="185">
        <f t="shared" si="644"/>
        <v>-4.0149968009295045E-2</v>
      </c>
      <c r="AH4721" s="339" t="str">
        <f>VLOOKUP(B4721,'MF PF'!A:B,2)</f>
        <v>Coinv</v>
      </c>
      <c r="AI4721" s="358">
        <f t="shared" si="640"/>
        <v>0</v>
      </c>
      <c r="AJ4721" s="94">
        <f t="shared" si="641"/>
        <v>39294</v>
      </c>
    </row>
    <row r="4722" spans="1:36" ht="12.75" customHeight="1">
      <c r="A4722" s="8">
        <v>39325</v>
      </c>
      <c r="B4722" s="94" t="s">
        <v>397</v>
      </c>
      <c r="C4722" s="6" t="s">
        <v>297</v>
      </c>
      <c r="D4722" s="98">
        <v>17279581.752300002</v>
      </c>
      <c r="E4722" s="9">
        <f t="shared" si="643"/>
        <v>17279581.752300002</v>
      </c>
      <c r="F4722" s="98"/>
      <c r="G4722" s="98"/>
      <c r="H4722" s="98">
        <v>0</v>
      </c>
      <c r="I4722" s="98">
        <v>-2134414.79</v>
      </c>
      <c r="J4722" s="98"/>
      <c r="K4722" s="7">
        <v>1</v>
      </c>
      <c r="L4722" s="93">
        <f t="shared" si="637"/>
        <v>-2134414.79</v>
      </c>
      <c r="M4722" s="95">
        <f t="shared" ca="1" si="638"/>
        <v>-2134414.79</v>
      </c>
      <c r="N4722" s="95">
        <f>IF(P4722="Hedge Fund",IF(A4722=Summary!$AD$3,M4722-E4722,M4722),IF(A4722=Summary!$AD$3,L4722-D4722,L4722))</f>
        <v>-2134414.79</v>
      </c>
      <c r="O4722" s="95"/>
      <c r="P4722" s="107" t="s">
        <v>155</v>
      </c>
      <c r="Q4722" s="107">
        <v>0</v>
      </c>
      <c r="R4722" s="107">
        <v>0</v>
      </c>
      <c r="S4722" s="107">
        <v>0</v>
      </c>
      <c r="T4722" s="107">
        <v>0</v>
      </c>
      <c r="U4722" s="107"/>
      <c r="V4722" s="107"/>
      <c r="W4722" s="107"/>
      <c r="X4722" s="107"/>
      <c r="Y4722" s="107"/>
      <c r="Z4722" s="107"/>
      <c r="AA4722" s="107"/>
      <c r="AB4722" s="107"/>
      <c r="AF4722" s="94">
        <f t="shared" si="639"/>
        <v>39325</v>
      </c>
      <c r="AG4722" s="185">
        <f t="shared" si="644"/>
        <v>0.1659367198349031</v>
      </c>
      <c r="AH4722" s="339" t="str">
        <f>VLOOKUP(B4722,'MF PF'!A:B,2)</f>
        <v>Coinv</v>
      </c>
      <c r="AI4722" s="358">
        <f t="shared" si="640"/>
        <v>0</v>
      </c>
      <c r="AJ4722" s="94">
        <f t="shared" si="641"/>
        <v>39325</v>
      </c>
    </row>
    <row r="4723" spans="1:36" ht="12.75" customHeight="1">
      <c r="A4723" s="8">
        <v>39355</v>
      </c>
      <c r="B4723" s="94" t="s">
        <v>397</v>
      </c>
      <c r="C4723" s="6" t="s">
        <v>297</v>
      </c>
      <c r="D4723" s="98">
        <v>17240114.835999999</v>
      </c>
      <c r="E4723" s="9">
        <f t="shared" ref="E4723:E4754" si="645">IF(K4723="","",D4723/K4723)</f>
        <v>17240114.835999999</v>
      </c>
      <c r="F4723" s="98"/>
      <c r="G4723" s="98"/>
      <c r="H4723" s="98">
        <v>0</v>
      </c>
      <c r="I4723" s="98">
        <v>0</v>
      </c>
      <c r="J4723" s="98"/>
      <c r="K4723" s="7">
        <v>1</v>
      </c>
      <c r="L4723" s="93">
        <f t="shared" si="637"/>
        <v>0</v>
      </c>
      <c r="M4723" s="95">
        <f t="shared" ca="1" si="638"/>
        <v>0</v>
      </c>
      <c r="N4723" s="95">
        <f>IF(P4723="Hedge Fund",IF(A4723=Summary!$AD$3,M4723-E4723,M4723),IF(A4723=Summary!$AD$3,L4723-D4723,L4723))</f>
        <v>0</v>
      </c>
      <c r="O4723" s="95"/>
      <c r="P4723" s="107" t="s">
        <v>155</v>
      </c>
      <c r="Q4723" s="107">
        <v>0</v>
      </c>
      <c r="R4723" s="107">
        <v>0</v>
      </c>
      <c r="S4723" s="107">
        <v>0</v>
      </c>
      <c r="T4723" s="107">
        <v>0</v>
      </c>
      <c r="U4723" s="107"/>
      <c r="V4723" s="107"/>
      <c r="W4723" s="107"/>
      <c r="X4723" s="107"/>
      <c r="Y4723" s="107"/>
      <c r="Z4723" s="107"/>
      <c r="AA4723" s="107"/>
      <c r="AB4723" s="107"/>
      <c r="AF4723" s="94">
        <f t="shared" si="639"/>
        <v>39355</v>
      </c>
      <c r="AG4723" s="185">
        <f t="shared" si="644"/>
        <v>-2.2840203464270514E-3</v>
      </c>
      <c r="AH4723" s="339" t="str">
        <f>VLOOKUP(B4723,'MF PF'!A:B,2)</f>
        <v>Coinv</v>
      </c>
      <c r="AI4723" s="358">
        <f t="shared" si="640"/>
        <v>0</v>
      </c>
      <c r="AJ4723" s="94">
        <f t="shared" si="641"/>
        <v>39355</v>
      </c>
    </row>
    <row r="4724" spans="1:36" ht="12.75" customHeight="1">
      <c r="A4724" s="8">
        <v>39386</v>
      </c>
      <c r="B4724" s="94" t="s">
        <v>397</v>
      </c>
      <c r="C4724" s="6" t="s">
        <v>297</v>
      </c>
      <c r="D4724" s="98">
        <v>17627440.259099998</v>
      </c>
      <c r="E4724" s="9">
        <f t="shared" si="645"/>
        <v>17627440.259099998</v>
      </c>
      <c r="F4724" s="98"/>
      <c r="G4724" s="98"/>
      <c r="H4724" s="98">
        <v>0</v>
      </c>
      <c r="I4724" s="98">
        <v>0</v>
      </c>
      <c r="J4724" s="98"/>
      <c r="K4724" s="7">
        <v>1</v>
      </c>
      <c r="L4724" s="93">
        <f t="shared" si="637"/>
        <v>0</v>
      </c>
      <c r="M4724" s="95">
        <f t="shared" ca="1" si="638"/>
        <v>0</v>
      </c>
      <c r="N4724" s="95">
        <f>IF(P4724="Hedge Fund",IF(A4724=Summary!$AD$3,M4724-E4724,M4724),IF(A4724=Summary!$AD$3,L4724-D4724,L4724))</f>
        <v>0</v>
      </c>
      <c r="O4724" s="95"/>
      <c r="P4724" s="107" t="s">
        <v>155</v>
      </c>
      <c r="Q4724" s="107">
        <v>0</v>
      </c>
      <c r="R4724" s="107">
        <v>0</v>
      </c>
      <c r="S4724" s="107">
        <v>0</v>
      </c>
      <c r="T4724" s="107">
        <v>0</v>
      </c>
      <c r="U4724" s="107"/>
      <c r="V4724" s="107"/>
      <c r="W4724" s="107"/>
      <c r="X4724" s="107"/>
      <c r="Y4724" s="107"/>
      <c r="Z4724" s="107"/>
      <c r="AA4724" s="107"/>
      <c r="AB4724" s="107"/>
      <c r="AF4724" s="94">
        <f t="shared" si="639"/>
        <v>39386</v>
      </c>
      <c r="AG4724" s="185">
        <f t="shared" si="644"/>
        <v>2.2466522223576035E-2</v>
      </c>
      <c r="AH4724" s="339" t="str">
        <f>VLOOKUP(B4724,'MF PF'!A:B,2)</f>
        <v>Coinv</v>
      </c>
      <c r="AI4724" s="358">
        <f t="shared" si="640"/>
        <v>0</v>
      </c>
      <c r="AJ4724" s="94">
        <f t="shared" si="641"/>
        <v>39386</v>
      </c>
    </row>
    <row r="4725" spans="1:36" ht="12.75" customHeight="1">
      <c r="A4725" s="8">
        <v>39416</v>
      </c>
      <c r="B4725" s="94" t="s">
        <v>397</v>
      </c>
      <c r="C4725" s="6" t="s">
        <v>297</v>
      </c>
      <c r="D4725" s="98">
        <v>17281942.715799998</v>
      </c>
      <c r="E4725" s="9">
        <f t="shared" si="645"/>
        <v>17281942.715799998</v>
      </c>
      <c r="F4725" s="98"/>
      <c r="G4725" s="98"/>
      <c r="H4725" s="98">
        <v>0</v>
      </c>
      <c r="I4725" s="98">
        <v>-3066750.1</v>
      </c>
      <c r="J4725" s="98"/>
      <c r="K4725" s="7">
        <v>1</v>
      </c>
      <c r="L4725" s="93">
        <f t="shared" si="637"/>
        <v>-3066750.1</v>
      </c>
      <c r="M4725" s="95">
        <f t="shared" ca="1" si="638"/>
        <v>-3066750.1</v>
      </c>
      <c r="N4725" s="95">
        <f>IF(P4725="Hedge Fund",IF(A4725=Summary!$AD$3,M4725-E4725,M4725),IF(A4725=Summary!$AD$3,L4725-D4725,L4725))</f>
        <v>-3066750.1</v>
      </c>
      <c r="O4725" s="95"/>
      <c r="P4725" s="107" t="s">
        <v>155</v>
      </c>
      <c r="Q4725" s="107">
        <v>0</v>
      </c>
      <c r="R4725" s="107">
        <v>0</v>
      </c>
      <c r="S4725" s="107">
        <v>0</v>
      </c>
      <c r="T4725" s="107">
        <v>0</v>
      </c>
      <c r="U4725" s="107"/>
      <c r="V4725" s="107"/>
      <c r="W4725" s="107"/>
      <c r="X4725" s="107"/>
      <c r="Y4725" s="107"/>
      <c r="Z4725" s="107"/>
      <c r="AA4725" s="107"/>
      <c r="AB4725" s="107"/>
      <c r="AF4725" s="94">
        <f t="shared" si="639"/>
        <v>39416</v>
      </c>
      <c r="AG4725" s="185">
        <f t="shared" si="644"/>
        <v>0.15437593415159534</v>
      </c>
      <c r="AH4725" s="339" t="str">
        <f>VLOOKUP(B4725,'MF PF'!A:B,2)</f>
        <v>Coinv</v>
      </c>
      <c r="AI4725" s="358">
        <f t="shared" si="640"/>
        <v>0</v>
      </c>
      <c r="AJ4725" s="94">
        <f t="shared" si="641"/>
        <v>39416</v>
      </c>
    </row>
    <row r="4726" spans="1:36" ht="12.75" customHeight="1">
      <c r="A4726" s="8">
        <v>39447</v>
      </c>
      <c r="B4726" s="94" t="s">
        <v>397</v>
      </c>
      <c r="C4726" s="6" t="s">
        <v>297</v>
      </c>
      <c r="D4726" s="98">
        <v>14607353.548899999</v>
      </c>
      <c r="E4726" s="9">
        <f t="shared" si="645"/>
        <v>14607353.548899999</v>
      </c>
      <c r="F4726" s="98"/>
      <c r="G4726" s="98"/>
      <c r="H4726" s="98">
        <v>0</v>
      </c>
      <c r="I4726" s="98">
        <v>0</v>
      </c>
      <c r="J4726" s="98"/>
      <c r="K4726" s="7">
        <v>1</v>
      </c>
      <c r="L4726" s="93">
        <f t="shared" si="637"/>
        <v>0</v>
      </c>
      <c r="M4726" s="95">
        <f t="shared" ca="1" si="638"/>
        <v>0</v>
      </c>
      <c r="N4726" s="95">
        <f>IF(P4726="Hedge Fund",IF(A4726=Summary!$AD$3,M4726-E4726,M4726),IF(A4726=Summary!$AD$3,L4726-D4726,L4726))</f>
        <v>0</v>
      </c>
      <c r="O4726" s="95"/>
      <c r="P4726" s="107" t="s">
        <v>155</v>
      </c>
      <c r="Q4726" s="107">
        <v>0</v>
      </c>
      <c r="R4726" s="107">
        <v>0</v>
      </c>
      <c r="S4726" s="107">
        <v>0</v>
      </c>
      <c r="T4726" s="107">
        <v>0</v>
      </c>
      <c r="U4726" s="107"/>
      <c r="V4726" s="107"/>
      <c r="W4726" s="107"/>
      <c r="X4726" s="107"/>
      <c r="Y4726" s="107"/>
      <c r="Z4726" s="107"/>
      <c r="AA4726" s="107"/>
      <c r="AB4726" s="107"/>
      <c r="AF4726" s="94">
        <f t="shared" si="639"/>
        <v>39447</v>
      </c>
      <c r="AG4726" s="185">
        <f t="shared" si="644"/>
        <v>-0.1547620664460807</v>
      </c>
      <c r="AH4726" s="339" t="str">
        <f>VLOOKUP(B4726,'MF PF'!A:B,2)</f>
        <v>Coinv</v>
      </c>
      <c r="AI4726" s="358">
        <f t="shared" si="640"/>
        <v>0</v>
      </c>
      <c r="AJ4726" s="94">
        <f t="shared" si="641"/>
        <v>39447</v>
      </c>
    </row>
    <row r="4727" spans="1:36" ht="12.75" customHeight="1">
      <c r="A4727" s="8">
        <v>39478</v>
      </c>
      <c r="B4727" s="94" t="s">
        <v>397</v>
      </c>
      <c r="C4727" s="6" t="s">
        <v>297</v>
      </c>
      <c r="D4727" s="98">
        <v>13312883.375400001</v>
      </c>
      <c r="E4727" s="9">
        <f t="shared" si="645"/>
        <v>13312883.375400001</v>
      </c>
      <c r="F4727" s="98"/>
      <c r="G4727" s="98"/>
      <c r="H4727" s="98">
        <v>0</v>
      </c>
      <c r="I4727" s="98">
        <v>0</v>
      </c>
      <c r="J4727" s="98"/>
      <c r="K4727" s="93">
        <v>1</v>
      </c>
      <c r="L4727" s="93">
        <f t="shared" si="637"/>
        <v>0</v>
      </c>
      <c r="M4727" s="95">
        <f t="shared" ca="1" si="638"/>
        <v>0</v>
      </c>
      <c r="N4727" s="95">
        <f>IF(P4727="Hedge Fund",IF(A4727=Summary!$AD$3,M4727-E4727,M4727),IF(A4727=Summary!$AD$3,L4727-D4727,L4727))</f>
        <v>0</v>
      </c>
      <c r="O4727" s="95"/>
      <c r="P4727" s="107" t="s">
        <v>155</v>
      </c>
      <c r="Q4727" s="107">
        <v>0</v>
      </c>
      <c r="R4727" s="107">
        <v>0</v>
      </c>
      <c r="S4727" s="107">
        <v>0</v>
      </c>
      <c r="T4727" s="107">
        <v>0</v>
      </c>
      <c r="U4727" s="107"/>
      <c r="V4727" s="107"/>
      <c r="W4727" s="107"/>
      <c r="X4727" s="107"/>
      <c r="Y4727" s="107"/>
      <c r="Z4727" s="107"/>
      <c r="AA4727" s="107"/>
      <c r="AB4727" s="107"/>
      <c r="AF4727" s="94">
        <f t="shared" si="639"/>
        <v>39478</v>
      </c>
      <c r="AG4727" s="185">
        <f t="shared" si="644"/>
        <v>-8.8617706771222604E-2</v>
      </c>
      <c r="AH4727" s="339" t="str">
        <f>VLOOKUP(B4727,'MF PF'!A:B,2)</f>
        <v>Coinv</v>
      </c>
      <c r="AI4727" s="358">
        <f t="shared" si="640"/>
        <v>0</v>
      </c>
      <c r="AJ4727" s="94">
        <f t="shared" si="641"/>
        <v>39478</v>
      </c>
    </row>
    <row r="4728" spans="1:36" ht="12.75" customHeight="1">
      <c r="A4728" s="8">
        <v>39507</v>
      </c>
      <c r="B4728" s="94" t="s">
        <v>397</v>
      </c>
      <c r="C4728" s="6" t="s">
        <v>297</v>
      </c>
      <c r="D4728" s="98">
        <v>13858374.7568</v>
      </c>
      <c r="E4728" s="9">
        <f t="shared" si="645"/>
        <v>13858374.7568</v>
      </c>
      <c r="F4728" s="98"/>
      <c r="G4728" s="98"/>
      <c r="H4728" s="98">
        <v>0</v>
      </c>
      <c r="I4728" s="98">
        <v>0</v>
      </c>
      <c r="J4728" s="98"/>
      <c r="K4728" s="93">
        <v>1</v>
      </c>
      <c r="L4728" s="93">
        <f t="shared" si="637"/>
        <v>0</v>
      </c>
      <c r="M4728" s="95">
        <f t="shared" ca="1" si="638"/>
        <v>0</v>
      </c>
      <c r="N4728" s="95">
        <f>IF(P4728="Hedge Fund",IF(A4728=Summary!$AD$3,M4728-E4728,M4728),IF(A4728=Summary!$AD$3,L4728-D4728,L4728))</f>
        <v>0</v>
      </c>
      <c r="O4728" s="95"/>
      <c r="P4728" s="107" t="s">
        <v>155</v>
      </c>
      <c r="Q4728" s="107">
        <v>0</v>
      </c>
      <c r="R4728" s="107">
        <v>0</v>
      </c>
      <c r="S4728" s="107">
        <v>0</v>
      </c>
      <c r="T4728" s="107">
        <v>0</v>
      </c>
      <c r="U4728" s="107"/>
      <c r="V4728" s="107"/>
      <c r="W4728" s="107"/>
      <c r="X4728" s="107"/>
      <c r="Y4728" s="107"/>
      <c r="Z4728" s="107"/>
      <c r="AA4728" s="107"/>
      <c r="AB4728" s="107"/>
      <c r="AF4728" s="94">
        <f t="shared" si="639"/>
        <v>39507</v>
      </c>
      <c r="AG4728" s="185">
        <f t="shared" si="644"/>
        <v>4.097469841942547E-2</v>
      </c>
      <c r="AH4728" s="339" t="str">
        <f>VLOOKUP(B4728,'MF PF'!A:B,2)</f>
        <v>Coinv</v>
      </c>
      <c r="AI4728" s="358">
        <f t="shared" si="640"/>
        <v>0</v>
      </c>
      <c r="AJ4728" s="94">
        <f t="shared" si="641"/>
        <v>39507</v>
      </c>
    </row>
    <row r="4729" spans="1:36" ht="12.75" customHeight="1">
      <c r="A4729" s="8">
        <v>39538</v>
      </c>
      <c r="B4729" s="94" t="s">
        <v>397</v>
      </c>
      <c r="C4729" s="6" t="s">
        <v>297</v>
      </c>
      <c r="D4729" s="98">
        <v>13198675.3157</v>
      </c>
      <c r="E4729" s="9">
        <f t="shared" si="645"/>
        <v>13198675.3157</v>
      </c>
      <c r="F4729" s="98"/>
      <c r="G4729" s="98"/>
      <c r="H4729" s="98">
        <v>0</v>
      </c>
      <c r="I4729" s="98">
        <v>0</v>
      </c>
      <c r="J4729" s="98"/>
      <c r="K4729" s="93">
        <v>1</v>
      </c>
      <c r="L4729" s="93">
        <f t="shared" si="637"/>
        <v>0</v>
      </c>
      <c r="M4729" s="95">
        <f t="shared" ca="1" si="638"/>
        <v>0</v>
      </c>
      <c r="N4729" s="95">
        <f>IF(P4729="Hedge Fund",IF(A4729=Summary!$AD$3,M4729-E4729,M4729),IF(A4729=Summary!$AD$3,L4729-D4729,L4729))</f>
        <v>0</v>
      </c>
      <c r="O4729" s="95"/>
      <c r="P4729" s="107" t="s">
        <v>155</v>
      </c>
      <c r="Q4729" s="107">
        <v>0</v>
      </c>
      <c r="R4729" s="107">
        <v>0</v>
      </c>
      <c r="S4729" s="107">
        <v>0</v>
      </c>
      <c r="T4729" s="107">
        <v>0</v>
      </c>
      <c r="U4729" s="107"/>
      <c r="V4729" s="107"/>
      <c r="W4729" s="107"/>
      <c r="X4729" s="107"/>
      <c r="Y4729" s="107"/>
      <c r="Z4729" s="107"/>
      <c r="AA4729" s="107"/>
      <c r="AB4729" s="107"/>
      <c r="AF4729" s="94">
        <f t="shared" si="639"/>
        <v>39538</v>
      </c>
      <c r="AG4729" s="185">
        <f t="shared" ref="AG4729:AG4760" si="646">IF(C4729&lt;&gt;C4728,D4729/G4729-1,(D4729-G4729-I4729-H4729)/(D4728)-1)</f>
        <v>-4.7602944261288638E-2</v>
      </c>
      <c r="AH4729" s="339" t="str">
        <f>VLOOKUP(B4729,'MF PF'!A:B,2)</f>
        <v>Coinv</v>
      </c>
      <c r="AI4729" s="358">
        <f t="shared" si="640"/>
        <v>0</v>
      </c>
      <c r="AJ4729" s="94">
        <f t="shared" si="641"/>
        <v>39538</v>
      </c>
    </row>
    <row r="4730" spans="1:36" ht="12.75" customHeight="1">
      <c r="A4730" s="8">
        <v>39568</v>
      </c>
      <c r="B4730" s="94" t="s">
        <v>397</v>
      </c>
      <c r="C4730" s="6" t="s">
        <v>297</v>
      </c>
      <c r="D4730" s="98">
        <v>13212696.137141576</v>
      </c>
      <c r="E4730" s="9">
        <f t="shared" si="645"/>
        <v>13212696.137141576</v>
      </c>
      <c r="F4730" s="98"/>
      <c r="G4730" s="98"/>
      <c r="H4730" s="98">
        <v>0</v>
      </c>
      <c r="I4730" s="98">
        <v>0</v>
      </c>
      <c r="J4730" s="98"/>
      <c r="K4730" s="7">
        <v>1</v>
      </c>
      <c r="L4730" s="93">
        <f t="shared" si="637"/>
        <v>0</v>
      </c>
      <c r="M4730" s="95">
        <f t="shared" ca="1" si="638"/>
        <v>0</v>
      </c>
      <c r="N4730" s="95">
        <f>IF(P4730="Hedge Fund",IF(A4730=Summary!$AD$3,M4730-E4730,M4730),IF(A4730=Summary!$AD$3,L4730-D4730,L4730))</f>
        <v>0</v>
      </c>
      <c r="O4730" s="95"/>
      <c r="P4730" s="107" t="s">
        <v>155</v>
      </c>
      <c r="Q4730" s="107">
        <v>0</v>
      </c>
      <c r="R4730" s="107">
        <v>0</v>
      </c>
      <c r="S4730" s="107">
        <v>0</v>
      </c>
      <c r="T4730" s="107">
        <v>0</v>
      </c>
      <c r="U4730" s="107"/>
      <c r="V4730" s="107"/>
      <c r="W4730" s="107"/>
      <c r="X4730" s="107"/>
      <c r="Y4730" s="107"/>
      <c r="Z4730" s="107"/>
      <c r="AA4730" s="107"/>
      <c r="AB4730" s="107"/>
      <c r="AF4730" s="94">
        <f t="shared" si="639"/>
        <v>39568</v>
      </c>
      <c r="AG4730" s="185">
        <f t="shared" si="646"/>
        <v>1.06229004852465E-3</v>
      </c>
      <c r="AH4730" s="339" t="str">
        <f>VLOOKUP(B4730,'MF PF'!A:B,2)</f>
        <v>Coinv</v>
      </c>
      <c r="AI4730" s="358">
        <f t="shared" si="640"/>
        <v>0</v>
      </c>
      <c r="AJ4730" s="94">
        <f t="shared" si="641"/>
        <v>39568</v>
      </c>
    </row>
    <row r="4731" spans="1:36" ht="12.75" customHeight="1">
      <c r="A4731" s="8">
        <v>39598</v>
      </c>
      <c r="B4731" s="94" t="s">
        <v>397</v>
      </c>
      <c r="C4731" s="6" t="s">
        <v>297</v>
      </c>
      <c r="D4731" s="98">
        <v>12541219.000179252</v>
      </c>
      <c r="E4731" s="9">
        <f t="shared" si="645"/>
        <v>12541219.000179252</v>
      </c>
      <c r="F4731" s="98"/>
      <c r="G4731" s="98"/>
      <c r="H4731" s="98">
        <v>0</v>
      </c>
      <c r="I4731" s="98">
        <v>0</v>
      </c>
      <c r="J4731" s="98"/>
      <c r="K4731" s="7">
        <v>1</v>
      </c>
      <c r="L4731" s="93">
        <f t="shared" si="637"/>
        <v>0</v>
      </c>
      <c r="M4731" s="95">
        <f t="shared" ca="1" si="638"/>
        <v>0</v>
      </c>
      <c r="N4731" s="95">
        <f>IF(P4731="Hedge Fund",IF(A4731=Summary!$AD$3,M4731-E4731,M4731),IF(A4731=Summary!$AD$3,L4731-D4731,L4731))</f>
        <v>0</v>
      </c>
      <c r="O4731" s="95"/>
      <c r="P4731" s="107" t="s">
        <v>155</v>
      </c>
      <c r="Q4731" s="107">
        <v>0</v>
      </c>
      <c r="R4731" s="107">
        <v>0</v>
      </c>
      <c r="S4731" s="107">
        <v>0</v>
      </c>
      <c r="T4731" s="107">
        <v>0</v>
      </c>
      <c r="U4731" s="107"/>
      <c r="V4731" s="107"/>
      <c r="W4731" s="107"/>
      <c r="X4731" s="107"/>
      <c r="Y4731" s="107"/>
      <c r="Z4731" s="107"/>
      <c r="AA4731" s="107"/>
      <c r="AB4731" s="107"/>
      <c r="AF4731" s="94">
        <f t="shared" si="639"/>
        <v>39598</v>
      </c>
      <c r="AG4731" s="185">
        <f t="shared" si="646"/>
        <v>-5.0820599368418651E-2</v>
      </c>
      <c r="AH4731" s="339" t="str">
        <f>VLOOKUP(B4731,'MF PF'!A:B,2)</f>
        <v>Coinv</v>
      </c>
      <c r="AI4731" s="358">
        <f t="shared" si="640"/>
        <v>0</v>
      </c>
      <c r="AJ4731" s="94">
        <f t="shared" si="641"/>
        <v>39599</v>
      </c>
    </row>
    <row r="4732" spans="1:36" ht="12.75" customHeight="1">
      <c r="A4732" s="8">
        <v>39629</v>
      </c>
      <c r="B4732" s="94" t="s">
        <v>397</v>
      </c>
      <c r="C4732" s="6" t="s">
        <v>297</v>
      </c>
      <c r="D4732" s="98">
        <v>11973988.358993264</v>
      </c>
      <c r="E4732" s="9">
        <f t="shared" si="645"/>
        <v>11973988.358993264</v>
      </c>
      <c r="F4732" s="98"/>
      <c r="G4732" s="98"/>
      <c r="H4732" s="98">
        <v>0</v>
      </c>
      <c r="I4732" s="98">
        <v>0</v>
      </c>
      <c r="J4732" s="98"/>
      <c r="K4732" s="7">
        <v>1</v>
      </c>
      <c r="L4732" s="93">
        <f t="shared" si="637"/>
        <v>0</v>
      </c>
      <c r="M4732" s="95">
        <f t="shared" ca="1" si="638"/>
        <v>0</v>
      </c>
      <c r="N4732" s="95">
        <f>IF(P4732="Hedge Fund",IF(A4732=Summary!$AD$3,M4732-E4732,M4732),IF(A4732=Summary!$AD$3,L4732-D4732,L4732))</f>
        <v>0</v>
      </c>
      <c r="O4732" s="95"/>
      <c r="P4732" s="107" t="s">
        <v>155</v>
      </c>
      <c r="Q4732" s="107">
        <v>0</v>
      </c>
      <c r="R4732" s="107">
        <v>0</v>
      </c>
      <c r="S4732" s="107">
        <v>0</v>
      </c>
      <c r="T4732" s="107">
        <v>0</v>
      </c>
      <c r="U4732" s="107"/>
      <c r="V4732" s="107"/>
      <c r="W4732" s="107"/>
      <c r="X4732" s="107"/>
      <c r="Y4732" s="107"/>
      <c r="Z4732" s="107"/>
      <c r="AA4732" s="107"/>
      <c r="AB4732" s="107"/>
      <c r="AF4732" s="94">
        <f t="shared" si="639"/>
        <v>39629</v>
      </c>
      <c r="AG4732" s="185">
        <f t="shared" si="646"/>
        <v>-4.522930675063408E-2</v>
      </c>
      <c r="AH4732" s="339" t="str">
        <f>VLOOKUP(B4732,'MF PF'!A:B,2)</f>
        <v>Coinv</v>
      </c>
      <c r="AI4732" s="358">
        <f t="shared" si="640"/>
        <v>0</v>
      </c>
      <c r="AJ4732" s="94">
        <f t="shared" si="641"/>
        <v>39629</v>
      </c>
    </row>
    <row r="4733" spans="1:36" ht="12.75" customHeight="1">
      <c r="A4733" s="8">
        <v>39660</v>
      </c>
      <c r="B4733" s="94" t="s">
        <v>397</v>
      </c>
      <c r="C4733" s="6" t="s">
        <v>297</v>
      </c>
      <c r="D4733" s="98">
        <v>10851614.452166066</v>
      </c>
      <c r="E4733" s="9">
        <f t="shared" si="645"/>
        <v>10851614.452166066</v>
      </c>
      <c r="F4733" s="98"/>
      <c r="G4733" s="98"/>
      <c r="H4733" s="98">
        <v>0</v>
      </c>
      <c r="I4733" s="98">
        <v>0</v>
      </c>
      <c r="J4733" s="98"/>
      <c r="K4733" s="7">
        <v>1</v>
      </c>
      <c r="L4733" s="93">
        <f t="shared" si="637"/>
        <v>0</v>
      </c>
      <c r="M4733" s="95">
        <f t="shared" ca="1" si="638"/>
        <v>0</v>
      </c>
      <c r="N4733" s="95">
        <f>IF(P4733="Hedge Fund",IF(A4733=Summary!$AD$3,M4733-E4733,M4733),IF(A4733=Summary!$AD$3,L4733-D4733,L4733))</f>
        <v>0</v>
      </c>
      <c r="O4733" s="95"/>
      <c r="P4733" s="107" t="s">
        <v>155</v>
      </c>
      <c r="Q4733" s="107">
        <v>0</v>
      </c>
      <c r="R4733" s="107">
        <v>0</v>
      </c>
      <c r="S4733" s="107">
        <v>0</v>
      </c>
      <c r="T4733" s="107">
        <v>0</v>
      </c>
      <c r="U4733" s="107"/>
      <c r="V4733" s="107"/>
      <c r="W4733" s="107"/>
      <c r="X4733" s="107"/>
      <c r="Y4733" s="107"/>
      <c r="Z4733" s="107"/>
      <c r="AA4733" s="107"/>
      <c r="AB4733" s="107"/>
      <c r="AF4733" s="94">
        <f t="shared" si="639"/>
        <v>39660</v>
      </c>
      <c r="AG4733" s="185">
        <f t="shared" si="646"/>
        <v>-9.3734340904400582E-2</v>
      </c>
      <c r="AH4733" s="339" t="str">
        <f>VLOOKUP(B4733,'MF PF'!A:B,2)</f>
        <v>Coinv</v>
      </c>
      <c r="AI4733" s="358">
        <f t="shared" si="640"/>
        <v>0</v>
      </c>
      <c r="AJ4733" s="94">
        <f t="shared" si="641"/>
        <v>39660</v>
      </c>
    </row>
    <row r="4734" spans="1:36" ht="12.75" customHeight="1">
      <c r="A4734" s="8">
        <v>39689</v>
      </c>
      <c r="B4734" s="94" t="s">
        <v>397</v>
      </c>
      <c r="C4734" s="6" t="s">
        <v>297</v>
      </c>
      <c r="D4734" s="98">
        <v>8959547.3835000005</v>
      </c>
      <c r="E4734" s="9">
        <f t="shared" si="645"/>
        <v>8959547.3835000005</v>
      </c>
      <c r="F4734" s="98"/>
      <c r="G4734" s="98"/>
      <c r="H4734" s="98">
        <v>0</v>
      </c>
      <c r="I4734" s="98">
        <v>0</v>
      </c>
      <c r="J4734" s="98"/>
      <c r="K4734" s="7">
        <v>1</v>
      </c>
      <c r="L4734" s="93">
        <f t="shared" si="637"/>
        <v>0</v>
      </c>
      <c r="M4734" s="95">
        <f t="shared" ca="1" si="638"/>
        <v>0</v>
      </c>
      <c r="N4734" s="95">
        <f>IF(P4734="Hedge Fund",IF(A4734=Summary!$AD$3,M4734-E4734,M4734),IF(A4734=Summary!$AD$3,L4734-D4734,L4734))</f>
        <v>0</v>
      </c>
      <c r="O4734" s="95"/>
      <c r="P4734" s="107" t="s">
        <v>155</v>
      </c>
      <c r="Q4734" s="107">
        <v>0</v>
      </c>
      <c r="R4734" s="107">
        <v>0</v>
      </c>
      <c r="S4734" s="107">
        <v>0</v>
      </c>
      <c r="T4734" s="107">
        <v>0</v>
      </c>
      <c r="U4734" s="107"/>
      <c r="V4734" s="107"/>
      <c r="W4734" s="107"/>
      <c r="X4734" s="107"/>
      <c r="Y4734" s="107"/>
      <c r="Z4734" s="107"/>
      <c r="AA4734" s="107"/>
      <c r="AB4734" s="107"/>
      <c r="AF4734" s="94">
        <f t="shared" si="639"/>
        <v>39689</v>
      </c>
      <c r="AG4734" s="185">
        <f t="shared" si="646"/>
        <v>-0.17435811758759956</v>
      </c>
      <c r="AH4734" s="339" t="str">
        <f>VLOOKUP(B4734,'MF PF'!A:B,2)</f>
        <v>Coinv</v>
      </c>
      <c r="AI4734" s="358">
        <f t="shared" si="640"/>
        <v>0</v>
      </c>
      <c r="AJ4734" s="94">
        <f t="shared" si="641"/>
        <v>39691</v>
      </c>
    </row>
    <row r="4735" spans="1:36" ht="12.75" customHeight="1">
      <c r="A4735" s="8">
        <v>39721</v>
      </c>
      <c r="B4735" s="94" t="s">
        <v>397</v>
      </c>
      <c r="C4735" s="6" t="s">
        <v>297</v>
      </c>
      <c r="D4735" s="98">
        <v>7731420.3601257904</v>
      </c>
      <c r="E4735" s="9">
        <f t="shared" si="645"/>
        <v>7731420.3601257904</v>
      </c>
      <c r="F4735" s="98"/>
      <c r="G4735" s="98"/>
      <c r="H4735" s="98">
        <v>0</v>
      </c>
      <c r="I4735" s="98">
        <v>0</v>
      </c>
      <c r="J4735" s="98"/>
      <c r="K4735" s="7">
        <v>1</v>
      </c>
      <c r="L4735" s="93">
        <f t="shared" si="637"/>
        <v>0</v>
      </c>
      <c r="M4735" s="95">
        <f t="shared" ca="1" si="638"/>
        <v>0</v>
      </c>
      <c r="N4735" s="95">
        <f>IF(P4735="Hedge Fund",IF(A4735=Summary!$AD$3,M4735-E4735,M4735),IF(A4735=Summary!$AD$3,L4735-D4735,L4735))</f>
        <v>0</v>
      </c>
      <c r="O4735" s="95"/>
      <c r="P4735" s="107" t="s">
        <v>155</v>
      </c>
      <c r="Q4735" s="107">
        <v>0</v>
      </c>
      <c r="R4735" s="107">
        <v>0</v>
      </c>
      <c r="S4735" s="107">
        <v>0</v>
      </c>
      <c r="T4735" s="107">
        <v>0</v>
      </c>
      <c r="U4735" s="107"/>
      <c r="V4735" s="107"/>
      <c r="W4735" s="107"/>
      <c r="X4735" s="107"/>
      <c r="Y4735" s="107"/>
      <c r="Z4735" s="107"/>
      <c r="AA4735" s="107"/>
      <c r="AB4735" s="107"/>
      <c r="AF4735" s="94">
        <f t="shared" si="639"/>
        <v>39721</v>
      </c>
      <c r="AG4735" s="185">
        <f t="shared" si="646"/>
        <v>-0.13707467250365146</v>
      </c>
      <c r="AH4735" s="339" t="str">
        <f>VLOOKUP(B4735,'MF PF'!A:B,2)</f>
        <v>Coinv</v>
      </c>
      <c r="AI4735" s="358">
        <f t="shared" si="640"/>
        <v>0</v>
      </c>
      <c r="AJ4735" s="94">
        <f t="shared" si="641"/>
        <v>39721</v>
      </c>
    </row>
    <row r="4736" spans="1:36" ht="12.75" customHeight="1">
      <c r="A4736" s="8">
        <v>39752</v>
      </c>
      <c r="B4736" s="94" t="s">
        <v>397</v>
      </c>
      <c r="C4736" s="6" t="s">
        <v>297</v>
      </c>
      <c r="D4736" s="98">
        <v>5292774.6245671185</v>
      </c>
      <c r="E4736" s="9">
        <f t="shared" si="645"/>
        <v>5292774.6245671185</v>
      </c>
      <c r="F4736" s="98"/>
      <c r="G4736" s="98"/>
      <c r="H4736" s="98">
        <v>0</v>
      </c>
      <c r="I4736" s="98">
        <v>0</v>
      </c>
      <c r="J4736" s="98"/>
      <c r="K4736" s="93">
        <v>1</v>
      </c>
      <c r="L4736" s="93">
        <f t="shared" si="637"/>
        <v>0</v>
      </c>
      <c r="M4736" s="95">
        <f t="shared" ca="1" si="638"/>
        <v>0</v>
      </c>
      <c r="N4736" s="95">
        <f>IF(P4736="Hedge Fund",IF(A4736=Summary!$AD$3,M4736-E4736,M4736),IF(A4736=Summary!$AD$3,L4736-D4736,L4736))</f>
        <v>0</v>
      </c>
      <c r="O4736" s="95"/>
      <c r="P4736" s="107" t="s">
        <v>155</v>
      </c>
      <c r="Q4736" s="107">
        <v>0</v>
      </c>
      <c r="R4736" s="107">
        <v>0</v>
      </c>
      <c r="S4736" s="107">
        <v>0</v>
      </c>
      <c r="T4736" s="107">
        <v>0</v>
      </c>
      <c r="U4736" s="107"/>
      <c r="V4736" s="107"/>
      <c r="W4736" s="107"/>
      <c r="X4736" s="107"/>
      <c r="Y4736" s="107"/>
      <c r="Z4736" s="107"/>
      <c r="AA4736" s="107"/>
      <c r="AB4736" s="107"/>
      <c r="AF4736" s="94">
        <f t="shared" si="639"/>
        <v>39752</v>
      </c>
      <c r="AG4736" s="185">
        <f t="shared" si="646"/>
        <v>-0.31542014558357234</v>
      </c>
      <c r="AH4736" s="339" t="str">
        <f>VLOOKUP(B4736,'MF PF'!A:B,2)</f>
        <v>Coinv</v>
      </c>
      <c r="AI4736" s="358">
        <f t="shared" si="640"/>
        <v>0</v>
      </c>
      <c r="AJ4736" s="94">
        <f t="shared" si="641"/>
        <v>39752</v>
      </c>
    </row>
    <row r="4737" spans="1:36" ht="12.75" customHeight="1">
      <c r="A4737" s="8">
        <v>39780</v>
      </c>
      <c r="B4737" s="94" t="s">
        <v>397</v>
      </c>
      <c r="C4737" s="6" t="s">
        <v>297</v>
      </c>
      <c r="D4737" s="98">
        <v>5177830.7596805431</v>
      </c>
      <c r="E4737" s="9">
        <f t="shared" si="645"/>
        <v>5177830.7596805431</v>
      </c>
      <c r="F4737" s="98"/>
      <c r="G4737" s="98"/>
      <c r="H4737" s="98">
        <v>0</v>
      </c>
      <c r="I4737" s="98">
        <v>0</v>
      </c>
      <c r="J4737" s="98"/>
      <c r="K4737" s="7">
        <v>1</v>
      </c>
      <c r="L4737" s="93">
        <f t="shared" ref="L4737:L4800" si="647">G4737+H4737+I4737</f>
        <v>0</v>
      </c>
      <c r="M4737" s="95">
        <f t="shared" ref="M4737:M4800" ca="1" si="648">IF(A4737&gt;INDIRECT("A"&amp;ROW()-1),I4737/K4737,E4737)</f>
        <v>0</v>
      </c>
      <c r="N4737" s="95">
        <f>IF(P4737="Hedge Fund",IF(A4737=Summary!$AD$3,M4737-E4737,M4737),IF(A4737=Summary!$AD$3,L4737-D4737,L4737))</f>
        <v>0</v>
      </c>
      <c r="O4737" s="95"/>
      <c r="P4737" s="107" t="s">
        <v>155</v>
      </c>
      <c r="Q4737" s="107">
        <v>0</v>
      </c>
      <c r="R4737" s="107">
        <v>0</v>
      </c>
      <c r="S4737" s="107">
        <v>0</v>
      </c>
      <c r="T4737" s="107">
        <v>0</v>
      </c>
      <c r="U4737" s="107"/>
      <c r="V4737" s="107"/>
      <c r="W4737" s="107"/>
      <c r="X4737" s="107"/>
      <c r="Y4737" s="107"/>
      <c r="Z4737" s="107"/>
      <c r="AA4737" s="107"/>
      <c r="AB4737" s="107"/>
      <c r="AF4737" s="94">
        <f t="shared" ref="AF4737:AF4800" si="649">A4737</f>
        <v>39780</v>
      </c>
      <c r="AG4737" s="185">
        <f t="shared" si="646"/>
        <v>-2.1717128168097011E-2</v>
      </c>
      <c r="AH4737" s="339" t="str">
        <f>VLOOKUP(B4737,'MF PF'!A:B,2)</f>
        <v>Coinv</v>
      </c>
      <c r="AI4737" s="358">
        <f t="shared" ref="AI4737:AI4800" si="650">AF4737-A4737</f>
        <v>0</v>
      </c>
      <c r="AJ4737" s="94">
        <f t="shared" ref="AJ4737:AJ4800" si="651">EOMONTH(A4737,0)</f>
        <v>39782</v>
      </c>
    </row>
    <row r="4738" spans="1:36" ht="12.75" customHeight="1">
      <c r="A4738" s="8">
        <v>39813</v>
      </c>
      <c r="B4738" s="94" t="s">
        <v>397</v>
      </c>
      <c r="C4738" s="6" t="s">
        <v>297</v>
      </c>
      <c r="D4738" s="98">
        <v>4669857.4962914446</v>
      </c>
      <c r="E4738" s="9">
        <f t="shared" si="645"/>
        <v>4669857.4962914446</v>
      </c>
      <c r="F4738" s="98"/>
      <c r="G4738" s="98"/>
      <c r="H4738" s="98">
        <v>0</v>
      </c>
      <c r="I4738" s="98">
        <v>0</v>
      </c>
      <c r="J4738" s="98"/>
      <c r="K4738" s="7">
        <v>1</v>
      </c>
      <c r="L4738" s="93">
        <f t="shared" si="647"/>
        <v>0</v>
      </c>
      <c r="M4738" s="95">
        <f t="shared" ca="1" si="648"/>
        <v>0</v>
      </c>
      <c r="N4738" s="95">
        <f>IF(P4738="Hedge Fund",IF(A4738=Summary!$AD$3,M4738-E4738,M4738),IF(A4738=Summary!$AD$3,L4738-D4738,L4738))</f>
        <v>0</v>
      </c>
      <c r="O4738" s="95"/>
      <c r="P4738" s="107" t="s">
        <v>155</v>
      </c>
      <c r="Q4738" s="107">
        <v>0</v>
      </c>
      <c r="R4738" s="107">
        <v>0</v>
      </c>
      <c r="S4738" s="107">
        <v>0</v>
      </c>
      <c r="T4738" s="107">
        <v>0</v>
      </c>
      <c r="U4738" s="107"/>
      <c r="V4738" s="107"/>
      <c r="W4738" s="107"/>
      <c r="X4738" s="107"/>
      <c r="Y4738" s="107"/>
      <c r="Z4738" s="107"/>
      <c r="AA4738" s="107"/>
      <c r="AB4738" s="107"/>
      <c r="AF4738" s="94">
        <f t="shared" si="649"/>
        <v>39813</v>
      </c>
      <c r="AG4738" s="185">
        <f t="shared" si="646"/>
        <v>-9.8105420390456888E-2</v>
      </c>
      <c r="AH4738" s="339" t="str">
        <f>VLOOKUP(B4738,'MF PF'!A:B,2)</f>
        <v>Coinv</v>
      </c>
      <c r="AI4738" s="358">
        <f t="shared" si="650"/>
        <v>0</v>
      </c>
      <c r="AJ4738" s="94">
        <f t="shared" si="651"/>
        <v>39813</v>
      </c>
    </row>
    <row r="4739" spans="1:36" ht="12.75" customHeight="1">
      <c r="A4739" s="8">
        <v>39843</v>
      </c>
      <c r="B4739" s="94" t="s">
        <v>397</v>
      </c>
      <c r="C4739" s="6" t="s">
        <v>297</v>
      </c>
      <c r="D4739" s="98">
        <v>4318747.7726973919</v>
      </c>
      <c r="E4739" s="9">
        <f t="shared" si="645"/>
        <v>4318747.7726973919</v>
      </c>
      <c r="F4739" s="98"/>
      <c r="G4739" s="98"/>
      <c r="H4739" s="98">
        <v>0</v>
      </c>
      <c r="I4739" s="98">
        <v>0</v>
      </c>
      <c r="J4739" s="98"/>
      <c r="K4739" s="7">
        <v>1</v>
      </c>
      <c r="L4739" s="93">
        <f t="shared" si="647"/>
        <v>0</v>
      </c>
      <c r="M4739" s="95">
        <f t="shared" ca="1" si="648"/>
        <v>0</v>
      </c>
      <c r="N4739" s="95">
        <f>IF(P4739="Hedge Fund",IF(A4739=Summary!$AD$3,M4739-E4739,M4739),IF(A4739=Summary!$AD$3,L4739-D4739,L4739))</f>
        <v>0</v>
      </c>
      <c r="O4739" s="95"/>
      <c r="P4739" s="107" t="s">
        <v>155</v>
      </c>
      <c r="Q4739" s="107">
        <v>0</v>
      </c>
      <c r="R4739" s="107">
        <v>0</v>
      </c>
      <c r="S4739" s="107">
        <v>0</v>
      </c>
      <c r="T4739" s="107">
        <v>0</v>
      </c>
      <c r="U4739" s="107"/>
      <c r="V4739" s="107"/>
      <c r="W4739" s="107"/>
      <c r="X4739" s="107"/>
      <c r="Y4739" s="107"/>
      <c r="Z4739" s="107"/>
      <c r="AA4739" s="107"/>
      <c r="AB4739" s="107"/>
      <c r="AF4739" s="94">
        <f t="shared" si="649"/>
        <v>39843</v>
      </c>
      <c r="AG4739" s="185">
        <f t="shared" si="646"/>
        <v>-7.5186389279091603E-2</v>
      </c>
      <c r="AH4739" s="339" t="str">
        <f>VLOOKUP(B4739,'MF PF'!A:B,2)</f>
        <v>Coinv</v>
      </c>
      <c r="AI4739" s="358">
        <f t="shared" si="650"/>
        <v>0</v>
      </c>
      <c r="AJ4739" s="94">
        <f t="shared" si="651"/>
        <v>39844</v>
      </c>
    </row>
    <row r="4740" spans="1:36" ht="12.75" customHeight="1">
      <c r="A4740" s="8">
        <v>39871</v>
      </c>
      <c r="B4740" s="94" t="s">
        <v>397</v>
      </c>
      <c r="C4740" s="6" t="s">
        <v>297</v>
      </c>
      <c r="D4740" s="98">
        <v>4224381.8455724195</v>
      </c>
      <c r="E4740" s="9">
        <f t="shared" si="645"/>
        <v>4224381.8455724195</v>
      </c>
      <c r="F4740" s="98"/>
      <c r="G4740" s="98"/>
      <c r="H4740" s="98">
        <v>0</v>
      </c>
      <c r="I4740" s="98">
        <v>0</v>
      </c>
      <c r="J4740" s="98"/>
      <c r="K4740" s="93">
        <v>1</v>
      </c>
      <c r="L4740" s="93">
        <f t="shared" si="647"/>
        <v>0</v>
      </c>
      <c r="M4740" s="95">
        <f t="shared" ca="1" si="648"/>
        <v>0</v>
      </c>
      <c r="N4740" s="95">
        <f>IF(P4740="Hedge Fund",IF(A4740=Summary!$AD$3,M4740-E4740,M4740),IF(A4740=Summary!$AD$3,L4740-D4740,L4740))</f>
        <v>0</v>
      </c>
      <c r="O4740" s="95"/>
      <c r="P4740" s="107" t="s">
        <v>155</v>
      </c>
      <c r="Q4740" s="107">
        <v>0</v>
      </c>
      <c r="R4740" s="107">
        <v>0</v>
      </c>
      <c r="S4740" s="107">
        <v>0</v>
      </c>
      <c r="T4740" s="107">
        <v>0</v>
      </c>
      <c r="U4740" s="107"/>
      <c r="V4740" s="107"/>
      <c r="W4740" s="107"/>
      <c r="X4740" s="107"/>
      <c r="Y4740" s="107"/>
      <c r="Z4740" s="107"/>
      <c r="AA4740" s="107"/>
      <c r="AB4740" s="107"/>
      <c r="AF4740" s="94">
        <f t="shared" si="649"/>
        <v>39871</v>
      </c>
      <c r="AG4740" s="185">
        <f t="shared" si="646"/>
        <v>-2.1850298302101057E-2</v>
      </c>
      <c r="AH4740" s="339" t="str">
        <f>VLOOKUP(B4740,'MF PF'!A:B,2)</f>
        <v>Coinv</v>
      </c>
      <c r="AI4740" s="358">
        <f t="shared" si="650"/>
        <v>0</v>
      </c>
      <c r="AJ4740" s="94">
        <f t="shared" si="651"/>
        <v>39872</v>
      </c>
    </row>
    <row r="4741" spans="1:36" ht="12.75" customHeight="1">
      <c r="A4741" s="8">
        <v>39903</v>
      </c>
      <c r="B4741" s="94" t="s">
        <v>397</v>
      </c>
      <c r="C4741" s="6" t="s">
        <v>297</v>
      </c>
      <c r="D4741" s="98">
        <v>4152757.4557141424</v>
      </c>
      <c r="E4741" s="9">
        <f t="shared" si="645"/>
        <v>4152757.4557141424</v>
      </c>
      <c r="F4741" s="98"/>
      <c r="G4741" s="98"/>
      <c r="H4741" s="98">
        <v>0</v>
      </c>
      <c r="I4741" s="98">
        <v>0</v>
      </c>
      <c r="J4741" s="98"/>
      <c r="K4741" s="93">
        <v>1</v>
      </c>
      <c r="L4741" s="93">
        <f t="shared" si="647"/>
        <v>0</v>
      </c>
      <c r="M4741" s="95">
        <f t="shared" ca="1" si="648"/>
        <v>0</v>
      </c>
      <c r="N4741" s="95">
        <f>IF(P4741="Hedge Fund",IF(A4741=Summary!$AD$3,M4741-E4741,M4741),IF(A4741=Summary!$AD$3,L4741-D4741,L4741))</f>
        <v>0</v>
      </c>
      <c r="O4741" s="95"/>
      <c r="P4741" s="107" t="s">
        <v>155</v>
      </c>
      <c r="Q4741" s="107">
        <v>0</v>
      </c>
      <c r="R4741" s="107">
        <v>0</v>
      </c>
      <c r="S4741" s="107">
        <v>0</v>
      </c>
      <c r="T4741" s="107">
        <v>0</v>
      </c>
      <c r="U4741" s="107"/>
      <c r="V4741" s="107"/>
      <c r="W4741" s="107"/>
      <c r="X4741" s="107"/>
      <c r="Y4741" s="107"/>
      <c r="Z4741" s="107"/>
      <c r="AA4741" s="107"/>
      <c r="AB4741" s="107"/>
      <c r="AF4741" s="94">
        <f t="shared" si="649"/>
        <v>39903</v>
      </c>
      <c r="AG4741" s="185">
        <f t="shared" si="646"/>
        <v>-1.6954998974192281E-2</v>
      </c>
      <c r="AH4741" s="339" t="str">
        <f>VLOOKUP(B4741,'MF PF'!A:B,2)</f>
        <v>Coinv</v>
      </c>
      <c r="AI4741" s="358">
        <f t="shared" si="650"/>
        <v>0</v>
      </c>
      <c r="AJ4741" s="94">
        <f t="shared" si="651"/>
        <v>39903</v>
      </c>
    </row>
    <row r="4742" spans="1:36" ht="12.75" customHeight="1">
      <c r="A4742" s="8">
        <v>39933</v>
      </c>
      <c r="B4742" s="94" t="s">
        <v>397</v>
      </c>
      <c r="C4742" s="6" t="s">
        <v>297</v>
      </c>
      <c r="D4742" s="98">
        <v>4184828.7385757361</v>
      </c>
      <c r="E4742" s="9">
        <f t="shared" si="645"/>
        <v>4184828.7385757361</v>
      </c>
      <c r="F4742" s="98"/>
      <c r="G4742" s="98"/>
      <c r="H4742" s="98">
        <v>0</v>
      </c>
      <c r="I4742" s="98">
        <v>0</v>
      </c>
      <c r="J4742" s="98"/>
      <c r="K4742" s="93">
        <v>1</v>
      </c>
      <c r="L4742" s="93">
        <f t="shared" si="647"/>
        <v>0</v>
      </c>
      <c r="M4742" s="95">
        <f t="shared" ca="1" si="648"/>
        <v>0</v>
      </c>
      <c r="N4742" s="95">
        <f>IF(P4742="Hedge Fund",IF(A4742=Summary!$AD$3,M4742-E4742,M4742),IF(A4742=Summary!$AD$3,L4742-D4742,L4742))</f>
        <v>0</v>
      </c>
      <c r="O4742" s="95"/>
      <c r="P4742" s="107" t="s">
        <v>155</v>
      </c>
      <c r="Q4742" s="107">
        <v>0</v>
      </c>
      <c r="R4742" s="107">
        <v>0</v>
      </c>
      <c r="S4742" s="107">
        <v>0</v>
      </c>
      <c r="T4742" s="107">
        <v>0</v>
      </c>
      <c r="U4742" s="107"/>
      <c r="V4742" s="107"/>
      <c r="W4742" s="107"/>
      <c r="X4742" s="107"/>
      <c r="Y4742" s="107"/>
      <c r="Z4742" s="107"/>
      <c r="AA4742" s="107"/>
      <c r="AB4742" s="107"/>
      <c r="AF4742" s="94">
        <f t="shared" si="649"/>
        <v>39933</v>
      </c>
      <c r="AG4742" s="185">
        <f t="shared" si="646"/>
        <v>7.7228885153077798E-3</v>
      </c>
      <c r="AH4742" s="339" t="str">
        <f>VLOOKUP(B4742,'MF PF'!A:B,2)</f>
        <v>Coinv</v>
      </c>
      <c r="AI4742" s="358">
        <f t="shared" si="650"/>
        <v>0</v>
      </c>
      <c r="AJ4742" s="94">
        <f t="shared" si="651"/>
        <v>39933</v>
      </c>
    </row>
    <row r="4743" spans="1:36" ht="12.75" customHeight="1">
      <c r="A4743" s="8">
        <v>39962</v>
      </c>
      <c r="B4743" s="94" t="s">
        <v>397</v>
      </c>
      <c r="C4743" s="6" t="s">
        <v>297</v>
      </c>
      <c r="D4743" s="98">
        <v>4284028.4058595886</v>
      </c>
      <c r="E4743" s="9">
        <f t="shared" si="645"/>
        <v>4284028.4058595886</v>
      </c>
      <c r="F4743" s="98"/>
      <c r="G4743" s="98"/>
      <c r="H4743" s="98">
        <v>0</v>
      </c>
      <c r="I4743" s="98">
        <v>0</v>
      </c>
      <c r="J4743" s="98"/>
      <c r="K4743" s="7">
        <v>1</v>
      </c>
      <c r="L4743" s="93">
        <f t="shared" si="647"/>
        <v>0</v>
      </c>
      <c r="M4743" s="95">
        <f t="shared" ca="1" si="648"/>
        <v>0</v>
      </c>
      <c r="N4743" s="95">
        <f>IF(P4743="Hedge Fund",IF(A4743=Summary!$AD$3,M4743-E4743,M4743),IF(A4743=Summary!$AD$3,L4743-D4743,L4743))</f>
        <v>0</v>
      </c>
      <c r="O4743" s="95"/>
      <c r="P4743" s="107" t="s">
        <v>155</v>
      </c>
      <c r="Q4743" s="107">
        <v>0</v>
      </c>
      <c r="R4743" s="107">
        <v>0</v>
      </c>
      <c r="S4743" s="107">
        <v>0</v>
      </c>
      <c r="T4743" s="107">
        <v>0</v>
      </c>
      <c r="U4743" s="107"/>
      <c r="V4743" s="107"/>
      <c r="W4743" s="107"/>
      <c r="X4743" s="107"/>
      <c r="Y4743" s="107"/>
      <c r="Z4743" s="107"/>
      <c r="AA4743" s="107"/>
      <c r="AB4743" s="107"/>
      <c r="AF4743" s="94">
        <f t="shared" si="649"/>
        <v>39962</v>
      </c>
      <c r="AG4743" s="185">
        <f t="shared" si="646"/>
        <v>2.370459425721072E-2</v>
      </c>
      <c r="AH4743" s="339" t="str">
        <f>VLOOKUP(B4743,'MF PF'!A:B,2)</f>
        <v>Coinv</v>
      </c>
      <c r="AI4743" s="358">
        <f t="shared" si="650"/>
        <v>0</v>
      </c>
      <c r="AJ4743" s="94">
        <f t="shared" si="651"/>
        <v>39964</v>
      </c>
    </row>
    <row r="4744" spans="1:36" ht="12.75" customHeight="1">
      <c r="A4744" s="8">
        <v>39994</v>
      </c>
      <c r="B4744" s="94" t="s">
        <v>397</v>
      </c>
      <c r="C4744" s="6" t="s">
        <v>297</v>
      </c>
      <c r="D4744" s="98">
        <v>4039300.7496487615</v>
      </c>
      <c r="E4744" s="9">
        <f t="shared" si="645"/>
        <v>4039300.7496487615</v>
      </c>
      <c r="F4744" s="98"/>
      <c r="G4744" s="98"/>
      <c r="H4744" s="98">
        <v>0</v>
      </c>
      <c r="I4744" s="98">
        <v>0</v>
      </c>
      <c r="J4744" s="98"/>
      <c r="K4744" s="7">
        <v>1</v>
      </c>
      <c r="L4744" s="93">
        <f t="shared" si="647"/>
        <v>0</v>
      </c>
      <c r="M4744" s="95">
        <f t="shared" ca="1" si="648"/>
        <v>0</v>
      </c>
      <c r="N4744" s="95">
        <f>IF(P4744="Hedge Fund",IF(A4744=Summary!$AD$3,M4744-E4744,M4744),IF(A4744=Summary!$AD$3,L4744-D4744,L4744))</f>
        <v>0</v>
      </c>
      <c r="O4744" s="95"/>
      <c r="P4744" s="107" t="s">
        <v>155</v>
      </c>
      <c r="Q4744" s="107">
        <v>0</v>
      </c>
      <c r="R4744" s="107">
        <v>0</v>
      </c>
      <c r="S4744" s="107">
        <v>0</v>
      </c>
      <c r="T4744" s="107">
        <v>0</v>
      </c>
      <c r="U4744" s="107"/>
      <c r="V4744" s="107"/>
      <c r="W4744" s="107"/>
      <c r="X4744" s="107"/>
      <c r="Y4744" s="107"/>
      <c r="Z4744" s="107"/>
      <c r="AA4744" s="107"/>
      <c r="AB4744" s="107"/>
      <c r="AF4744" s="94">
        <f t="shared" si="649"/>
        <v>39994</v>
      </c>
      <c r="AG4744" s="185">
        <f t="shared" si="646"/>
        <v>-5.7125591388725305E-2</v>
      </c>
      <c r="AH4744" s="339" t="str">
        <f>VLOOKUP(B4744,'MF PF'!A:B,2)</f>
        <v>Coinv</v>
      </c>
      <c r="AI4744" s="358">
        <f t="shared" si="650"/>
        <v>0</v>
      </c>
      <c r="AJ4744" s="94">
        <f t="shared" si="651"/>
        <v>39994</v>
      </c>
    </row>
    <row r="4745" spans="1:36" ht="12.75" customHeight="1">
      <c r="A4745" s="8">
        <v>40025</v>
      </c>
      <c r="B4745" s="94" t="s">
        <v>397</v>
      </c>
      <c r="C4745" s="6" t="s">
        <v>297</v>
      </c>
      <c r="D4745" s="98">
        <v>4199125.3059773697</v>
      </c>
      <c r="E4745" s="9">
        <f t="shared" si="645"/>
        <v>4199125.3059773697</v>
      </c>
      <c r="F4745" s="98"/>
      <c r="G4745" s="98"/>
      <c r="H4745" s="98">
        <v>0</v>
      </c>
      <c r="I4745" s="98">
        <v>0</v>
      </c>
      <c r="J4745" s="98"/>
      <c r="K4745" s="7">
        <v>1</v>
      </c>
      <c r="L4745" s="93">
        <f t="shared" si="647"/>
        <v>0</v>
      </c>
      <c r="M4745" s="95">
        <f t="shared" ca="1" si="648"/>
        <v>0</v>
      </c>
      <c r="N4745" s="95">
        <f>IF(P4745="Hedge Fund",IF(A4745=Summary!$AD$3,M4745-E4745,M4745),IF(A4745=Summary!$AD$3,L4745-D4745,L4745))</f>
        <v>0</v>
      </c>
      <c r="O4745" s="95"/>
      <c r="P4745" s="107" t="s">
        <v>155</v>
      </c>
      <c r="Q4745" s="107">
        <v>0</v>
      </c>
      <c r="R4745" s="107">
        <v>0</v>
      </c>
      <c r="S4745" s="107">
        <v>0</v>
      </c>
      <c r="T4745" s="107">
        <v>0</v>
      </c>
      <c r="U4745" s="107"/>
      <c r="V4745" s="107"/>
      <c r="W4745" s="107"/>
      <c r="X4745" s="107"/>
      <c r="Y4745" s="107"/>
      <c r="Z4745" s="107"/>
      <c r="AA4745" s="107"/>
      <c r="AB4745" s="107"/>
      <c r="AF4745" s="94">
        <f t="shared" si="649"/>
        <v>40025</v>
      </c>
      <c r="AG4745" s="185">
        <f t="shared" si="646"/>
        <v>3.9567382137243978E-2</v>
      </c>
      <c r="AH4745" s="339" t="str">
        <f>VLOOKUP(B4745,'MF PF'!A:B,2)</f>
        <v>Coinv</v>
      </c>
      <c r="AI4745" s="358">
        <f t="shared" si="650"/>
        <v>0</v>
      </c>
      <c r="AJ4745" s="94">
        <f t="shared" si="651"/>
        <v>40025</v>
      </c>
    </row>
    <row r="4746" spans="1:36" ht="12.75" customHeight="1">
      <c r="A4746" s="8">
        <v>40056</v>
      </c>
      <c r="B4746" s="94" t="s">
        <v>397</v>
      </c>
      <c r="C4746" s="6" t="s">
        <v>297</v>
      </c>
      <c r="D4746" s="98">
        <v>4518652.24</v>
      </c>
      <c r="E4746" s="9">
        <f t="shared" si="645"/>
        <v>4518652.24</v>
      </c>
      <c r="F4746" s="98"/>
      <c r="G4746" s="98"/>
      <c r="H4746" s="98">
        <v>0</v>
      </c>
      <c r="I4746" s="98">
        <v>0</v>
      </c>
      <c r="J4746" s="98"/>
      <c r="K4746" s="7">
        <v>1</v>
      </c>
      <c r="L4746" s="93">
        <f t="shared" si="647"/>
        <v>0</v>
      </c>
      <c r="M4746" s="95">
        <f t="shared" ca="1" si="648"/>
        <v>0</v>
      </c>
      <c r="N4746" s="95">
        <f>IF(P4746="Hedge Fund",IF(A4746=Summary!$AD$3,M4746-E4746,M4746),IF(A4746=Summary!$AD$3,L4746-D4746,L4746))</f>
        <v>0</v>
      </c>
      <c r="O4746" s="95"/>
      <c r="P4746" s="107" t="s">
        <v>155</v>
      </c>
      <c r="Q4746" s="107">
        <v>0</v>
      </c>
      <c r="R4746" s="107">
        <v>0</v>
      </c>
      <c r="S4746" s="107">
        <v>0</v>
      </c>
      <c r="T4746" s="107">
        <v>0</v>
      </c>
      <c r="U4746" s="107"/>
      <c r="V4746" s="107"/>
      <c r="W4746" s="107"/>
      <c r="X4746" s="107"/>
      <c r="Y4746" s="107"/>
      <c r="Z4746" s="107"/>
      <c r="AA4746" s="107"/>
      <c r="AB4746" s="107"/>
      <c r="AF4746" s="94">
        <f t="shared" si="649"/>
        <v>40056</v>
      </c>
      <c r="AG4746" s="185">
        <f t="shared" si="646"/>
        <v>7.609368874222211E-2</v>
      </c>
      <c r="AH4746" s="339" t="str">
        <f>VLOOKUP(B4746,'MF PF'!A:B,2)</f>
        <v>Coinv</v>
      </c>
      <c r="AI4746" s="358">
        <f t="shared" si="650"/>
        <v>0</v>
      </c>
      <c r="AJ4746" s="94">
        <f t="shared" si="651"/>
        <v>40056</v>
      </c>
    </row>
    <row r="4747" spans="1:36" ht="12.75" customHeight="1">
      <c r="A4747" s="8">
        <v>40086</v>
      </c>
      <c r="B4747" s="94" t="s">
        <v>397</v>
      </c>
      <c r="C4747" s="6" t="s">
        <v>297</v>
      </c>
      <c r="D4747" s="98">
        <v>6526871.8700000001</v>
      </c>
      <c r="E4747" s="9">
        <f t="shared" si="645"/>
        <v>6526871.8700000001</v>
      </c>
      <c r="F4747" s="98"/>
      <c r="G4747" s="98"/>
      <c r="H4747" s="98">
        <v>0</v>
      </c>
      <c r="I4747" s="98">
        <v>0</v>
      </c>
      <c r="J4747" s="98"/>
      <c r="K4747" s="7">
        <v>1</v>
      </c>
      <c r="L4747" s="93">
        <f t="shared" si="647"/>
        <v>0</v>
      </c>
      <c r="M4747" s="95">
        <f t="shared" ca="1" si="648"/>
        <v>0</v>
      </c>
      <c r="N4747" s="95">
        <f>IF(P4747="Hedge Fund",IF(A4747=Summary!$AD$3,M4747-E4747,M4747),IF(A4747=Summary!$AD$3,L4747-D4747,L4747))</f>
        <v>0</v>
      </c>
      <c r="O4747" s="95"/>
      <c r="P4747" s="107" t="s">
        <v>155</v>
      </c>
      <c r="Q4747" s="107">
        <v>0</v>
      </c>
      <c r="R4747" s="107">
        <v>0</v>
      </c>
      <c r="S4747" s="107">
        <v>0</v>
      </c>
      <c r="T4747" s="107">
        <v>0</v>
      </c>
      <c r="U4747" s="107"/>
      <c r="V4747" s="107"/>
      <c r="W4747" s="107"/>
      <c r="X4747" s="107"/>
      <c r="Y4747" s="107"/>
      <c r="Z4747" s="107"/>
      <c r="AA4747" s="107"/>
      <c r="AB4747" s="107"/>
      <c r="AF4747" s="94">
        <f t="shared" si="649"/>
        <v>40086</v>
      </c>
      <c r="AG4747" s="185">
        <f t="shared" si="646"/>
        <v>0.44442889678980912</v>
      </c>
      <c r="AH4747" s="339" t="str">
        <f>VLOOKUP(B4747,'MF PF'!A:B,2)</f>
        <v>Coinv</v>
      </c>
      <c r="AI4747" s="358">
        <f t="shared" si="650"/>
        <v>0</v>
      </c>
      <c r="AJ4747" s="94">
        <f t="shared" si="651"/>
        <v>40086</v>
      </c>
    </row>
    <row r="4748" spans="1:36" s="358" customFormat="1" ht="12.75" customHeight="1">
      <c r="A4748" s="94">
        <v>40116</v>
      </c>
      <c r="B4748" s="94" t="s">
        <v>397</v>
      </c>
      <c r="C4748" s="358" t="s">
        <v>297</v>
      </c>
      <c r="D4748" s="98">
        <v>6667129.0700000003</v>
      </c>
      <c r="E4748" s="95">
        <f t="shared" si="645"/>
        <v>6667129.0700000003</v>
      </c>
      <c r="F4748" s="98"/>
      <c r="G4748" s="98"/>
      <c r="H4748" s="98">
        <v>0</v>
      </c>
      <c r="I4748" s="98">
        <v>0</v>
      </c>
      <c r="J4748" s="98"/>
      <c r="K4748" s="93">
        <v>1</v>
      </c>
      <c r="L4748" s="93">
        <f t="shared" si="647"/>
        <v>0</v>
      </c>
      <c r="M4748" s="95">
        <f t="shared" ca="1" si="648"/>
        <v>0</v>
      </c>
      <c r="N4748" s="95">
        <f>IF(P4748="Hedge Fund",IF(A4748=Summary!$AD$3,M4748-E4748,M4748),IF(A4748=Summary!$AD$3,L4748-D4748,L4748))</f>
        <v>0</v>
      </c>
      <c r="O4748" s="95"/>
      <c r="P4748" s="107" t="s">
        <v>155</v>
      </c>
      <c r="Q4748" s="107">
        <v>0</v>
      </c>
      <c r="R4748" s="107">
        <v>0</v>
      </c>
      <c r="S4748" s="107">
        <v>0</v>
      </c>
      <c r="T4748" s="107">
        <v>0</v>
      </c>
      <c r="U4748" s="107"/>
      <c r="V4748" s="107"/>
      <c r="W4748" s="107"/>
      <c r="X4748" s="107"/>
      <c r="Y4748" s="107"/>
      <c r="Z4748" s="107"/>
      <c r="AA4748" s="107"/>
      <c r="AB4748" s="107"/>
      <c r="AF4748" s="94">
        <f t="shared" si="649"/>
        <v>40116</v>
      </c>
      <c r="AG4748" s="185">
        <f t="shared" si="646"/>
        <v>2.1489191575013944E-2</v>
      </c>
      <c r="AH4748" s="339" t="str">
        <f>VLOOKUP(B4748,'MF PF'!A:B,2)</f>
        <v>Coinv</v>
      </c>
      <c r="AI4748" s="358">
        <f t="shared" si="650"/>
        <v>0</v>
      </c>
      <c r="AJ4748" s="94">
        <f t="shared" si="651"/>
        <v>40117</v>
      </c>
    </row>
    <row r="4749" spans="1:36" ht="12.75" customHeight="1">
      <c r="A4749" s="8">
        <v>40147</v>
      </c>
      <c r="B4749" s="94" t="s">
        <v>397</v>
      </c>
      <c r="C4749" s="6" t="s">
        <v>297</v>
      </c>
      <c r="D4749" s="98">
        <v>8278917.5700000012</v>
      </c>
      <c r="E4749" s="9">
        <f t="shared" si="645"/>
        <v>8278917.5700000012</v>
      </c>
      <c r="F4749" s="98"/>
      <c r="G4749" s="98"/>
      <c r="H4749" s="98">
        <v>0</v>
      </c>
      <c r="I4749" s="98">
        <v>0</v>
      </c>
      <c r="J4749" s="98"/>
      <c r="K4749" s="7">
        <v>1</v>
      </c>
      <c r="L4749" s="93">
        <f t="shared" si="647"/>
        <v>0</v>
      </c>
      <c r="M4749" s="95">
        <f t="shared" ca="1" si="648"/>
        <v>0</v>
      </c>
      <c r="N4749" s="95">
        <f>IF(P4749="Hedge Fund",IF(A4749=Summary!$AD$3,M4749-E4749,M4749),IF(A4749=Summary!$AD$3,L4749-D4749,L4749))</f>
        <v>0</v>
      </c>
      <c r="O4749" s="95"/>
      <c r="P4749" s="107" t="s">
        <v>155</v>
      </c>
      <c r="Q4749" s="107">
        <v>0</v>
      </c>
      <c r="R4749" s="107">
        <v>0</v>
      </c>
      <c r="S4749" s="107">
        <v>0</v>
      </c>
      <c r="T4749" s="107">
        <v>0</v>
      </c>
      <c r="U4749" s="107"/>
      <c r="V4749" s="107"/>
      <c r="W4749" s="107"/>
      <c r="X4749" s="107"/>
      <c r="Y4749" s="107"/>
      <c r="Z4749" s="107"/>
      <c r="AA4749" s="107"/>
      <c r="AB4749" s="107"/>
      <c r="AF4749" s="94">
        <f t="shared" si="649"/>
        <v>40147</v>
      </c>
      <c r="AG4749" s="185">
        <f t="shared" si="646"/>
        <v>0.24175150699459924</v>
      </c>
      <c r="AH4749" s="339" t="str">
        <f>VLOOKUP(B4749,'MF PF'!A:B,2)</f>
        <v>Coinv</v>
      </c>
      <c r="AI4749" s="358">
        <f t="shared" si="650"/>
        <v>0</v>
      </c>
      <c r="AJ4749" s="94">
        <f t="shared" si="651"/>
        <v>40147</v>
      </c>
    </row>
    <row r="4750" spans="1:36" ht="12.75" customHeight="1">
      <c r="A4750" s="8">
        <v>40178</v>
      </c>
      <c r="B4750" s="94" t="s">
        <v>397</v>
      </c>
      <c r="C4750" s="6" t="s">
        <v>297</v>
      </c>
      <c r="D4750" s="98">
        <v>6543605.8300000001</v>
      </c>
      <c r="E4750" s="9">
        <f t="shared" si="645"/>
        <v>6543605.8300000001</v>
      </c>
      <c r="F4750" s="98"/>
      <c r="G4750" s="98"/>
      <c r="H4750" s="98">
        <v>0</v>
      </c>
      <c r="I4750" s="98">
        <v>-1835991.59</v>
      </c>
      <c r="J4750" s="98"/>
      <c r="K4750" s="93">
        <v>1</v>
      </c>
      <c r="L4750" s="93">
        <f t="shared" si="647"/>
        <v>-1835991.59</v>
      </c>
      <c r="M4750" s="95">
        <f t="shared" ca="1" si="648"/>
        <v>-1835991.59</v>
      </c>
      <c r="N4750" s="95">
        <f>IF(P4750="Hedge Fund",IF(A4750=Summary!$AD$3,M4750-E4750,M4750),IF(A4750=Summary!$AD$3,L4750-D4750,L4750))</f>
        <v>-1835991.59</v>
      </c>
      <c r="O4750" s="95"/>
      <c r="P4750" s="107" t="s">
        <v>155</v>
      </c>
      <c r="Q4750" s="107">
        <v>0</v>
      </c>
      <c r="R4750" s="107">
        <v>0</v>
      </c>
      <c r="S4750" s="107">
        <v>0</v>
      </c>
      <c r="T4750" s="107">
        <v>0</v>
      </c>
      <c r="U4750" s="107"/>
      <c r="V4750" s="107"/>
      <c r="W4750" s="107"/>
      <c r="X4750" s="107"/>
      <c r="Y4750" s="107"/>
      <c r="Z4750" s="107"/>
      <c r="AA4750" s="107"/>
      <c r="AB4750" s="107"/>
      <c r="AF4750" s="94">
        <f t="shared" si="649"/>
        <v>40178</v>
      </c>
      <c r="AG4750" s="185">
        <f t="shared" si="646"/>
        <v>1.2160991959242251E-2</v>
      </c>
      <c r="AH4750" s="339" t="str">
        <f>VLOOKUP(B4750,'MF PF'!A:B,2)</f>
        <v>Coinv</v>
      </c>
      <c r="AI4750" s="358">
        <f t="shared" si="650"/>
        <v>0</v>
      </c>
      <c r="AJ4750" s="94">
        <f t="shared" si="651"/>
        <v>40178</v>
      </c>
    </row>
    <row r="4751" spans="1:36" ht="12.75" customHeight="1">
      <c r="A4751" s="8">
        <v>40207</v>
      </c>
      <c r="B4751" s="94" t="s">
        <v>397</v>
      </c>
      <c r="C4751" s="6" t="s">
        <v>297</v>
      </c>
      <c r="D4751" s="98">
        <v>6530913.1100000003</v>
      </c>
      <c r="E4751" s="95">
        <f t="shared" si="645"/>
        <v>6530913.1100000003</v>
      </c>
      <c r="F4751" s="98"/>
      <c r="G4751" s="98"/>
      <c r="H4751" s="98">
        <v>0</v>
      </c>
      <c r="I4751" s="98">
        <v>0</v>
      </c>
      <c r="J4751" s="98"/>
      <c r="K4751" s="7">
        <v>1</v>
      </c>
      <c r="L4751" s="93">
        <f t="shared" si="647"/>
        <v>0</v>
      </c>
      <c r="M4751" s="95">
        <f t="shared" ca="1" si="648"/>
        <v>0</v>
      </c>
      <c r="N4751" s="95">
        <f>IF(P4751="Hedge Fund",IF(A4751=Summary!$AD$3,M4751-E4751,M4751),IF(A4751=Summary!$AD$3,L4751-D4751,L4751))</f>
        <v>0</v>
      </c>
      <c r="O4751" s="95"/>
      <c r="P4751" s="107" t="s">
        <v>155</v>
      </c>
      <c r="Q4751" s="107">
        <v>0</v>
      </c>
      <c r="R4751" s="107">
        <v>0</v>
      </c>
      <c r="S4751" s="107">
        <v>0</v>
      </c>
      <c r="T4751" s="107">
        <v>0</v>
      </c>
      <c r="U4751" s="107"/>
      <c r="V4751" s="107"/>
      <c r="W4751" s="107"/>
      <c r="X4751" s="107"/>
      <c r="Y4751" s="107"/>
      <c r="Z4751" s="107"/>
      <c r="AA4751" s="107"/>
      <c r="AB4751" s="107"/>
      <c r="AF4751" s="94">
        <f t="shared" si="649"/>
        <v>40207</v>
      </c>
      <c r="AG4751" s="185">
        <f t="shared" si="646"/>
        <v>-1.9397134133306571E-3</v>
      </c>
      <c r="AH4751" s="339" t="str">
        <f>VLOOKUP(B4751,'MF PF'!A:B,2)</f>
        <v>Coinv</v>
      </c>
      <c r="AI4751" s="358">
        <f t="shared" si="650"/>
        <v>0</v>
      </c>
      <c r="AJ4751" s="94">
        <f t="shared" si="651"/>
        <v>40209</v>
      </c>
    </row>
    <row r="4752" spans="1:36" ht="12.75" customHeight="1">
      <c r="A4752" s="8">
        <v>40235</v>
      </c>
      <c r="B4752" s="94" t="s">
        <v>397</v>
      </c>
      <c r="C4752" s="6" t="s">
        <v>297</v>
      </c>
      <c r="D4752" s="98">
        <v>6800882.0099999998</v>
      </c>
      <c r="E4752" s="95">
        <f t="shared" si="645"/>
        <v>6800882.0099999998</v>
      </c>
      <c r="F4752" s="98"/>
      <c r="G4752" s="98"/>
      <c r="H4752" s="98">
        <v>0</v>
      </c>
      <c r="I4752" s="98">
        <v>0</v>
      </c>
      <c r="J4752" s="98"/>
      <c r="K4752" s="93">
        <v>1</v>
      </c>
      <c r="L4752" s="93">
        <f t="shared" si="647"/>
        <v>0</v>
      </c>
      <c r="M4752" s="95">
        <f t="shared" ca="1" si="648"/>
        <v>0</v>
      </c>
      <c r="N4752" s="95">
        <f>IF(P4752="Hedge Fund",IF(A4752=Summary!$AD$3,M4752-E4752,M4752),IF(A4752=Summary!$AD$3,L4752-D4752,L4752))</f>
        <v>0</v>
      </c>
      <c r="O4752" s="95"/>
      <c r="P4752" s="107" t="s">
        <v>155</v>
      </c>
      <c r="Q4752" s="107">
        <v>0</v>
      </c>
      <c r="R4752" s="107">
        <v>0</v>
      </c>
      <c r="S4752" s="107">
        <v>0</v>
      </c>
      <c r="T4752" s="107">
        <v>0</v>
      </c>
      <c r="U4752" s="107"/>
      <c r="V4752" s="107"/>
      <c r="W4752" s="107"/>
      <c r="X4752" s="107"/>
      <c r="Y4752" s="107"/>
      <c r="Z4752" s="107"/>
      <c r="AA4752" s="107"/>
      <c r="AB4752" s="107"/>
      <c r="AF4752" s="94">
        <f t="shared" si="649"/>
        <v>40235</v>
      </c>
      <c r="AG4752" s="185">
        <f t="shared" si="646"/>
        <v>4.1337083414358711E-2</v>
      </c>
      <c r="AH4752" s="339" t="str">
        <f>VLOOKUP(B4752,'MF PF'!A:B,2)</f>
        <v>Coinv</v>
      </c>
      <c r="AI4752" s="358">
        <f t="shared" si="650"/>
        <v>0</v>
      </c>
      <c r="AJ4752" s="94">
        <f t="shared" si="651"/>
        <v>40237</v>
      </c>
    </row>
    <row r="4753" spans="1:36" ht="12.75" customHeight="1">
      <c r="A4753" s="8">
        <v>40268</v>
      </c>
      <c r="B4753" s="94" t="s">
        <v>397</v>
      </c>
      <c r="C4753" s="6" t="s">
        <v>297</v>
      </c>
      <c r="D4753" s="98">
        <v>7315920.7999999998</v>
      </c>
      <c r="E4753" s="95">
        <f t="shared" si="645"/>
        <v>7315920.7999999998</v>
      </c>
      <c r="F4753" s="98"/>
      <c r="G4753" s="98"/>
      <c r="H4753" s="98">
        <v>0</v>
      </c>
      <c r="I4753" s="98">
        <v>0</v>
      </c>
      <c r="J4753" s="98"/>
      <c r="K4753" s="93">
        <v>1</v>
      </c>
      <c r="L4753" s="93">
        <f t="shared" si="647"/>
        <v>0</v>
      </c>
      <c r="M4753" s="95">
        <f t="shared" ca="1" si="648"/>
        <v>0</v>
      </c>
      <c r="N4753" s="95">
        <f>IF(P4753="Hedge Fund",IF(A4753=Summary!$AD$3,M4753-E4753,M4753),IF(A4753=Summary!$AD$3,L4753-D4753,L4753))</f>
        <v>0</v>
      </c>
      <c r="O4753" s="95"/>
      <c r="P4753" s="107" t="s">
        <v>155</v>
      </c>
      <c r="Q4753" s="107">
        <v>0</v>
      </c>
      <c r="R4753" s="107">
        <v>0</v>
      </c>
      <c r="S4753" s="107">
        <v>0</v>
      </c>
      <c r="T4753" s="107">
        <v>0</v>
      </c>
      <c r="U4753" s="107"/>
      <c r="V4753" s="107"/>
      <c r="W4753" s="107"/>
      <c r="X4753" s="107"/>
      <c r="Y4753" s="107"/>
      <c r="Z4753" s="107"/>
      <c r="AA4753" s="107"/>
      <c r="AB4753" s="107"/>
      <c r="AF4753" s="94">
        <f t="shared" si="649"/>
        <v>40268</v>
      </c>
      <c r="AG4753" s="185">
        <f t="shared" si="646"/>
        <v>7.5731175639084602E-2</v>
      </c>
      <c r="AH4753" s="339" t="str">
        <f>VLOOKUP(B4753,'MF PF'!A:B,2)</f>
        <v>Coinv</v>
      </c>
      <c r="AI4753" s="358">
        <f t="shared" si="650"/>
        <v>0</v>
      </c>
      <c r="AJ4753" s="94">
        <f t="shared" si="651"/>
        <v>40268</v>
      </c>
    </row>
    <row r="4754" spans="1:36" ht="12.75" customHeight="1">
      <c r="A4754" s="8">
        <v>40298</v>
      </c>
      <c r="B4754" s="94" t="s">
        <v>397</v>
      </c>
      <c r="C4754" s="6" t="s">
        <v>297</v>
      </c>
      <c r="D4754" s="98">
        <v>7671479.3700000001</v>
      </c>
      <c r="E4754" s="95">
        <f t="shared" si="645"/>
        <v>7671479.3700000001</v>
      </c>
      <c r="F4754" s="98"/>
      <c r="G4754" s="98"/>
      <c r="H4754" s="98">
        <v>0</v>
      </c>
      <c r="I4754" s="98">
        <v>0</v>
      </c>
      <c r="J4754" s="98"/>
      <c r="K4754" s="93">
        <v>1</v>
      </c>
      <c r="L4754" s="93">
        <f t="shared" si="647"/>
        <v>0</v>
      </c>
      <c r="M4754" s="95">
        <f t="shared" ca="1" si="648"/>
        <v>0</v>
      </c>
      <c r="N4754" s="95">
        <f>IF(P4754="Hedge Fund",IF(A4754=Summary!$AD$3,M4754-E4754,M4754),IF(A4754=Summary!$AD$3,L4754-D4754,L4754))</f>
        <v>0</v>
      </c>
      <c r="O4754" s="95"/>
      <c r="P4754" s="107" t="s">
        <v>155</v>
      </c>
      <c r="Q4754" s="107">
        <v>0</v>
      </c>
      <c r="R4754" s="107">
        <v>0</v>
      </c>
      <c r="S4754" s="107">
        <v>0</v>
      </c>
      <c r="T4754" s="107">
        <v>0</v>
      </c>
      <c r="U4754" s="107"/>
      <c r="V4754" s="107"/>
      <c r="W4754" s="107"/>
      <c r="X4754" s="107"/>
      <c r="Y4754" s="107"/>
      <c r="Z4754" s="107"/>
      <c r="AA4754" s="107"/>
      <c r="AB4754" s="107"/>
      <c r="AF4754" s="94">
        <f t="shared" si="649"/>
        <v>40298</v>
      </c>
      <c r="AG4754" s="185">
        <f t="shared" si="646"/>
        <v>4.8600658716808409E-2</v>
      </c>
      <c r="AH4754" s="339" t="str">
        <f>VLOOKUP(B4754,'MF PF'!A:B,2)</f>
        <v>Coinv</v>
      </c>
      <c r="AI4754" s="358">
        <f t="shared" si="650"/>
        <v>0</v>
      </c>
      <c r="AJ4754" s="94">
        <f t="shared" si="651"/>
        <v>40298</v>
      </c>
    </row>
    <row r="4755" spans="1:36">
      <c r="A4755" s="8">
        <v>40329</v>
      </c>
      <c r="B4755" s="94" t="s">
        <v>397</v>
      </c>
      <c r="C4755" s="6" t="s">
        <v>297</v>
      </c>
      <c r="D4755" s="98">
        <v>6458096.7400000002</v>
      </c>
      <c r="E4755" s="95">
        <f t="shared" ref="E4755:E4786" si="652">IF(K4755="","",D4755/K4755)</f>
        <v>6458096.7400000002</v>
      </c>
      <c r="F4755" s="98"/>
      <c r="G4755" s="98"/>
      <c r="H4755" s="98">
        <v>0</v>
      </c>
      <c r="I4755" s="98">
        <v>-468343.73</v>
      </c>
      <c r="J4755" s="98"/>
      <c r="K4755" s="7">
        <v>1</v>
      </c>
      <c r="L4755" s="93">
        <f t="shared" si="647"/>
        <v>-468343.73</v>
      </c>
      <c r="M4755" s="95">
        <f t="shared" ca="1" si="648"/>
        <v>-468343.73</v>
      </c>
      <c r="N4755" s="95">
        <f>IF(P4755="Hedge Fund",IF(A4755=Summary!$AD$3,M4755-E4755,M4755),IF(A4755=Summary!$AD$3,L4755-D4755,L4755))</f>
        <v>-468343.73</v>
      </c>
      <c r="O4755" s="95"/>
      <c r="P4755" s="107" t="s">
        <v>155</v>
      </c>
      <c r="Q4755" s="107">
        <v>0</v>
      </c>
      <c r="R4755" s="107">
        <v>0</v>
      </c>
      <c r="S4755" s="107">
        <v>0</v>
      </c>
      <c r="T4755" s="107">
        <v>0</v>
      </c>
      <c r="U4755" s="107"/>
      <c r="V4755" s="107"/>
      <c r="W4755" s="107"/>
      <c r="X4755" s="107"/>
      <c r="Y4755" s="107"/>
      <c r="Z4755" s="107"/>
      <c r="AA4755" s="107"/>
      <c r="AB4755" s="107"/>
      <c r="AF4755" s="94">
        <f t="shared" si="649"/>
        <v>40329</v>
      </c>
      <c r="AG4755" s="185">
        <f t="shared" si="646"/>
        <v>-9.7118021709546642E-2</v>
      </c>
      <c r="AH4755" s="339" t="str">
        <f>VLOOKUP(B4755,'MF PF'!A:B,2)</f>
        <v>Coinv</v>
      </c>
      <c r="AI4755" s="358">
        <f t="shared" si="650"/>
        <v>0</v>
      </c>
      <c r="AJ4755" s="94">
        <f t="shared" si="651"/>
        <v>40329</v>
      </c>
    </row>
    <row r="4756" spans="1:36">
      <c r="A4756" s="8">
        <v>40359</v>
      </c>
      <c r="B4756" s="94" t="s">
        <v>397</v>
      </c>
      <c r="C4756" s="6" t="s">
        <v>297</v>
      </c>
      <c r="D4756" s="98">
        <v>7782077.1200000001</v>
      </c>
      <c r="E4756" s="95">
        <f t="shared" si="652"/>
        <v>7782077.1200000001</v>
      </c>
      <c r="F4756" s="98"/>
      <c r="G4756" s="98"/>
      <c r="H4756" s="98">
        <v>0</v>
      </c>
      <c r="I4756" s="98">
        <v>0</v>
      </c>
      <c r="J4756" s="98"/>
      <c r="K4756" s="7">
        <v>1</v>
      </c>
      <c r="L4756" s="93">
        <f t="shared" si="647"/>
        <v>0</v>
      </c>
      <c r="M4756" s="95">
        <f t="shared" ca="1" si="648"/>
        <v>0</v>
      </c>
      <c r="N4756" s="95">
        <f>IF(P4756="Hedge Fund",IF(A4756=Summary!$AD$3,M4756-E4756,M4756),IF(A4756=Summary!$AD$3,L4756-D4756,L4756))</f>
        <v>0</v>
      </c>
      <c r="O4756" s="95"/>
      <c r="P4756" s="107" t="s">
        <v>155</v>
      </c>
      <c r="Q4756" s="107">
        <v>0</v>
      </c>
      <c r="R4756" s="107">
        <v>0</v>
      </c>
      <c r="S4756" s="107">
        <v>0</v>
      </c>
      <c r="T4756" s="107">
        <v>0</v>
      </c>
      <c r="U4756" s="107"/>
      <c r="V4756" s="107"/>
      <c r="W4756" s="107"/>
      <c r="X4756" s="107"/>
      <c r="Y4756" s="107"/>
      <c r="Z4756" s="107"/>
      <c r="AA4756" s="107"/>
      <c r="AB4756" s="107"/>
      <c r="AF4756" s="94">
        <f t="shared" si="649"/>
        <v>40359</v>
      </c>
      <c r="AG4756" s="185">
        <f t="shared" si="646"/>
        <v>0.20501092400792986</v>
      </c>
      <c r="AH4756" s="339" t="str">
        <f>VLOOKUP(B4756,'MF PF'!A:B,2)</f>
        <v>Coinv</v>
      </c>
      <c r="AI4756" s="358">
        <f t="shared" si="650"/>
        <v>0</v>
      </c>
      <c r="AJ4756" s="94">
        <f t="shared" si="651"/>
        <v>40359</v>
      </c>
    </row>
    <row r="4757" spans="1:36">
      <c r="A4757" s="8">
        <v>40389</v>
      </c>
      <c r="B4757" s="94" t="s">
        <v>397</v>
      </c>
      <c r="C4757" s="6" t="s">
        <v>297</v>
      </c>
      <c r="D4757" s="98">
        <v>8892084.9900000002</v>
      </c>
      <c r="E4757" s="95">
        <f t="shared" si="652"/>
        <v>8892084.9900000002</v>
      </c>
      <c r="F4757" s="98"/>
      <c r="G4757" s="98"/>
      <c r="H4757" s="98">
        <v>0</v>
      </c>
      <c r="I4757" s="98">
        <v>0</v>
      </c>
      <c r="J4757" s="98"/>
      <c r="K4757" s="7">
        <v>1</v>
      </c>
      <c r="L4757" s="93">
        <f t="shared" si="647"/>
        <v>0</v>
      </c>
      <c r="M4757" s="95">
        <f t="shared" ca="1" si="648"/>
        <v>0</v>
      </c>
      <c r="N4757" s="95">
        <f>IF(P4757="Hedge Fund",IF(A4757=Summary!$AD$3,M4757-E4757,M4757),IF(A4757=Summary!$AD$3,L4757-D4757,L4757))</f>
        <v>0</v>
      </c>
      <c r="O4757" s="95"/>
      <c r="P4757" s="107" t="s">
        <v>155</v>
      </c>
      <c r="Q4757" s="107">
        <v>0</v>
      </c>
      <c r="R4757" s="107">
        <v>0</v>
      </c>
      <c r="S4757" s="107">
        <v>0</v>
      </c>
      <c r="T4757" s="107">
        <v>0</v>
      </c>
      <c r="U4757" s="107"/>
      <c r="V4757" s="107"/>
      <c r="W4757" s="107"/>
      <c r="X4757" s="107"/>
      <c r="Y4757" s="107"/>
      <c r="Z4757" s="107"/>
      <c r="AA4757" s="107"/>
      <c r="AB4757" s="107"/>
      <c r="AF4757" s="94">
        <f t="shared" si="649"/>
        <v>40389</v>
      </c>
      <c r="AG4757" s="185">
        <f t="shared" si="646"/>
        <v>0.14263645205304787</v>
      </c>
      <c r="AH4757" s="339" t="str">
        <f>VLOOKUP(B4757,'MF PF'!A:B,2)</f>
        <v>Coinv</v>
      </c>
      <c r="AI4757" s="358">
        <f t="shared" si="650"/>
        <v>0</v>
      </c>
      <c r="AJ4757" s="94">
        <f t="shared" si="651"/>
        <v>40390</v>
      </c>
    </row>
    <row r="4758" spans="1:36">
      <c r="A4758" s="8">
        <v>40421</v>
      </c>
      <c r="B4758" s="94" t="s">
        <v>397</v>
      </c>
      <c r="C4758" s="6" t="s">
        <v>297</v>
      </c>
      <c r="D4758" s="98">
        <v>8548219.9499999993</v>
      </c>
      <c r="E4758" s="95">
        <f t="shared" si="652"/>
        <v>8548219.9499999993</v>
      </c>
      <c r="F4758" s="98"/>
      <c r="G4758" s="98"/>
      <c r="H4758" s="98">
        <v>0</v>
      </c>
      <c r="I4758" s="98">
        <v>0</v>
      </c>
      <c r="J4758" s="98"/>
      <c r="K4758" s="7">
        <v>1</v>
      </c>
      <c r="L4758" s="93">
        <f t="shared" si="647"/>
        <v>0</v>
      </c>
      <c r="M4758" s="95">
        <f t="shared" ca="1" si="648"/>
        <v>0</v>
      </c>
      <c r="N4758" s="95">
        <f>IF(P4758="Hedge Fund",IF(A4758=Summary!$AD$3,M4758-E4758,M4758),IF(A4758=Summary!$AD$3,L4758-D4758,L4758))</f>
        <v>0</v>
      </c>
      <c r="O4758" s="95"/>
      <c r="P4758" s="107" t="s">
        <v>155</v>
      </c>
      <c r="Q4758" s="107">
        <v>0</v>
      </c>
      <c r="R4758" s="107">
        <v>0</v>
      </c>
      <c r="S4758" s="107">
        <v>0</v>
      </c>
      <c r="T4758" s="107">
        <v>0</v>
      </c>
      <c r="U4758" s="107"/>
      <c r="V4758" s="107"/>
      <c r="W4758" s="107"/>
      <c r="X4758" s="107"/>
      <c r="Y4758" s="107"/>
      <c r="Z4758" s="107"/>
      <c r="AA4758" s="107"/>
      <c r="AB4758" s="107"/>
      <c r="AF4758" s="94">
        <f t="shared" si="649"/>
        <v>40421</v>
      </c>
      <c r="AG4758" s="185">
        <f t="shared" si="646"/>
        <v>-3.8670912433553029E-2</v>
      </c>
      <c r="AH4758" s="339" t="str">
        <f>VLOOKUP(B4758,'MF PF'!A:B,2)</f>
        <v>Coinv</v>
      </c>
      <c r="AI4758" s="358">
        <f t="shared" si="650"/>
        <v>0</v>
      </c>
      <c r="AJ4758" s="94">
        <f t="shared" si="651"/>
        <v>40421</v>
      </c>
    </row>
    <row r="4759" spans="1:36">
      <c r="A4759" s="8">
        <v>40451</v>
      </c>
      <c r="B4759" s="94" t="s">
        <v>397</v>
      </c>
      <c r="C4759" s="6" t="s">
        <v>297</v>
      </c>
      <c r="D4759" s="98">
        <v>9010054.2200000007</v>
      </c>
      <c r="E4759" s="95">
        <f t="shared" si="652"/>
        <v>9010054.2200000007</v>
      </c>
      <c r="F4759" s="98"/>
      <c r="G4759" s="98"/>
      <c r="H4759" s="98">
        <v>0</v>
      </c>
      <c r="I4759" s="98">
        <v>0</v>
      </c>
      <c r="J4759" s="98"/>
      <c r="K4759" s="7">
        <v>1</v>
      </c>
      <c r="L4759" s="93">
        <f t="shared" si="647"/>
        <v>0</v>
      </c>
      <c r="M4759" s="95">
        <f t="shared" ca="1" si="648"/>
        <v>0</v>
      </c>
      <c r="N4759" s="95">
        <f>IF(P4759="Hedge Fund",IF(A4759=Summary!$AD$3,M4759-E4759,M4759),IF(A4759=Summary!$AD$3,L4759-D4759,L4759))</f>
        <v>0</v>
      </c>
      <c r="O4759" s="95"/>
      <c r="P4759" s="107" t="s">
        <v>155</v>
      </c>
      <c r="Q4759" s="107">
        <v>0</v>
      </c>
      <c r="R4759" s="107">
        <v>0</v>
      </c>
      <c r="S4759" s="107">
        <v>0</v>
      </c>
      <c r="T4759" s="107">
        <v>0</v>
      </c>
      <c r="U4759" s="107"/>
      <c r="V4759" s="107"/>
      <c r="W4759" s="107"/>
      <c r="X4759" s="107"/>
      <c r="Y4759" s="107"/>
      <c r="Z4759" s="107"/>
      <c r="AA4759" s="107"/>
      <c r="AB4759" s="107"/>
      <c r="AF4759" s="94">
        <f t="shared" si="649"/>
        <v>40451</v>
      </c>
      <c r="AG4759" s="185">
        <f t="shared" si="646"/>
        <v>5.4026952125863614E-2</v>
      </c>
      <c r="AH4759" s="339" t="str">
        <f>VLOOKUP(B4759,'MF PF'!A:B,2)</f>
        <v>Coinv</v>
      </c>
      <c r="AI4759" s="358">
        <f t="shared" si="650"/>
        <v>0</v>
      </c>
      <c r="AJ4759" s="94">
        <f t="shared" si="651"/>
        <v>40451</v>
      </c>
    </row>
    <row r="4760" spans="1:36">
      <c r="A4760" s="8">
        <v>40480</v>
      </c>
      <c r="B4760" s="94" t="s">
        <v>397</v>
      </c>
      <c r="C4760" s="6" t="s">
        <v>297</v>
      </c>
      <c r="D4760" s="98">
        <v>9492515.5800000001</v>
      </c>
      <c r="E4760" s="95">
        <f t="shared" si="652"/>
        <v>9492515.5800000001</v>
      </c>
      <c r="F4760" s="98"/>
      <c r="G4760" s="98"/>
      <c r="H4760" s="98">
        <v>0</v>
      </c>
      <c r="I4760" s="98">
        <v>0</v>
      </c>
      <c r="J4760" s="98"/>
      <c r="K4760" s="7">
        <v>1</v>
      </c>
      <c r="L4760" s="93">
        <f t="shared" si="647"/>
        <v>0</v>
      </c>
      <c r="M4760" s="95">
        <f t="shared" ca="1" si="648"/>
        <v>0</v>
      </c>
      <c r="N4760" s="95">
        <f>IF(P4760="Hedge Fund",IF(A4760=Summary!$AD$3,M4760-E4760,M4760),IF(A4760=Summary!$AD$3,L4760-D4760,L4760))</f>
        <v>0</v>
      </c>
      <c r="O4760" s="95"/>
      <c r="P4760" s="107" t="s">
        <v>155</v>
      </c>
      <c r="Q4760" s="107">
        <v>0</v>
      </c>
      <c r="R4760" s="107">
        <v>0</v>
      </c>
      <c r="S4760" s="107">
        <v>0</v>
      </c>
      <c r="T4760" s="107">
        <v>0</v>
      </c>
      <c r="U4760" s="107"/>
      <c r="V4760" s="107"/>
      <c r="W4760" s="107"/>
      <c r="X4760" s="107"/>
      <c r="Y4760" s="107"/>
      <c r="Z4760" s="107"/>
      <c r="AA4760" s="107"/>
      <c r="AB4760" s="107"/>
      <c r="AF4760" s="94">
        <f t="shared" si="649"/>
        <v>40480</v>
      </c>
      <c r="AG4760" s="185">
        <f t="shared" si="646"/>
        <v>5.3546998521835754E-2</v>
      </c>
      <c r="AH4760" s="339" t="str">
        <f>VLOOKUP(B4760,'MF PF'!A:B,2)</f>
        <v>Coinv</v>
      </c>
      <c r="AI4760" s="358">
        <f t="shared" si="650"/>
        <v>0</v>
      </c>
      <c r="AJ4760" s="94">
        <f t="shared" si="651"/>
        <v>40482</v>
      </c>
    </row>
    <row r="4761" spans="1:36">
      <c r="A4761" s="8">
        <v>40512</v>
      </c>
      <c r="B4761" s="94" t="s">
        <v>397</v>
      </c>
      <c r="C4761" s="6" t="s">
        <v>297</v>
      </c>
      <c r="D4761" s="98">
        <v>10907065.949999999</v>
      </c>
      <c r="E4761" s="95">
        <f t="shared" si="652"/>
        <v>10907065.949999999</v>
      </c>
      <c r="F4761" s="98"/>
      <c r="G4761" s="98"/>
      <c r="H4761" s="98">
        <v>0</v>
      </c>
      <c r="I4761" s="98">
        <v>0</v>
      </c>
      <c r="J4761" s="98"/>
      <c r="K4761" s="7">
        <v>1</v>
      </c>
      <c r="L4761" s="93">
        <f t="shared" si="647"/>
        <v>0</v>
      </c>
      <c r="M4761" s="95">
        <f t="shared" ca="1" si="648"/>
        <v>0</v>
      </c>
      <c r="N4761" s="95">
        <f>IF(P4761="Hedge Fund",IF(A4761=Summary!$AD$3,M4761-E4761,M4761),IF(A4761=Summary!$AD$3,L4761-D4761,L4761))</f>
        <v>0</v>
      </c>
      <c r="O4761" s="95"/>
      <c r="P4761" s="107" t="s">
        <v>155</v>
      </c>
      <c r="Q4761" s="107">
        <v>0</v>
      </c>
      <c r="R4761" s="107">
        <v>0</v>
      </c>
      <c r="S4761" s="107">
        <v>0</v>
      </c>
      <c r="T4761" s="107">
        <v>0</v>
      </c>
      <c r="U4761" s="107"/>
      <c r="V4761" s="107"/>
      <c r="W4761" s="107"/>
      <c r="X4761" s="107"/>
      <c r="Y4761" s="107"/>
      <c r="Z4761" s="107"/>
      <c r="AA4761" s="107"/>
      <c r="AB4761" s="107"/>
      <c r="AF4761" s="94">
        <f t="shared" si="649"/>
        <v>40512</v>
      </c>
      <c r="AG4761" s="185">
        <f t="shared" ref="AG4761:AG4792" si="653">IF(C4761&lt;&gt;C4760,D4761/G4761-1,(D4761-G4761-I4761-H4761)/(D4760)-1)</f>
        <v>0.14901743990606109</v>
      </c>
      <c r="AH4761" s="339" t="str">
        <f>VLOOKUP(B4761,'MF PF'!A:B,2)</f>
        <v>Coinv</v>
      </c>
      <c r="AI4761" s="358">
        <f t="shared" si="650"/>
        <v>0</v>
      </c>
      <c r="AJ4761" s="94">
        <f t="shared" si="651"/>
        <v>40512</v>
      </c>
    </row>
    <row r="4762" spans="1:36">
      <c r="A4762" s="8">
        <v>40543</v>
      </c>
      <c r="B4762" s="94" t="s">
        <v>397</v>
      </c>
      <c r="C4762" s="6" t="s">
        <v>297</v>
      </c>
      <c r="D4762" s="98">
        <v>9254283.2300000004</v>
      </c>
      <c r="E4762" s="95">
        <f t="shared" si="652"/>
        <v>9254283.2300000004</v>
      </c>
      <c r="F4762" s="98"/>
      <c r="G4762" s="98"/>
      <c r="H4762" s="98">
        <v>0</v>
      </c>
      <c r="I4762" s="98">
        <v>-2011987.9699999997</v>
      </c>
      <c r="J4762" s="98"/>
      <c r="K4762" s="7">
        <v>1</v>
      </c>
      <c r="L4762" s="93">
        <f t="shared" si="647"/>
        <v>-2011987.9699999997</v>
      </c>
      <c r="M4762" s="95">
        <f t="shared" ca="1" si="648"/>
        <v>-2011987.9699999997</v>
      </c>
      <c r="N4762" s="95">
        <f>IF(P4762="Hedge Fund",IF(A4762=Summary!$AD$3,M4762-E4762,M4762),IF(A4762=Summary!$AD$3,L4762-D4762,L4762))</f>
        <v>-2011987.9699999997</v>
      </c>
      <c r="O4762" s="95"/>
      <c r="P4762" s="107" t="s">
        <v>155</v>
      </c>
      <c r="Q4762" s="107">
        <v>0</v>
      </c>
      <c r="R4762" s="107">
        <v>0</v>
      </c>
      <c r="S4762" s="107">
        <v>0</v>
      </c>
      <c r="T4762" s="107">
        <v>0</v>
      </c>
      <c r="U4762" s="107"/>
      <c r="V4762" s="107"/>
      <c r="W4762" s="107"/>
      <c r="X4762" s="107"/>
      <c r="Y4762" s="107"/>
      <c r="Z4762" s="107"/>
      <c r="AA4762" s="107"/>
      <c r="AB4762" s="107"/>
      <c r="AF4762" s="94">
        <f t="shared" si="649"/>
        <v>40543</v>
      </c>
      <c r="AG4762" s="185">
        <f t="shared" si="653"/>
        <v>3.2933261029745697E-2</v>
      </c>
      <c r="AH4762" s="339" t="str">
        <f>VLOOKUP(B4762,'MF PF'!A:B,2)</f>
        <v>Coinv</v>
      </c>
      <c r="AI4762" s="358">
        <f t="shared" si="650"/>
        <v>0</v>
      </c>
      <c r="AJ4762" s="94">
        <f t="shared" si="651"/>
        <v>40543</v>
      </c>
    </row>
    <row r="4763" spans="1:36">
      <c r="A4763" s="8">
        <v>40574</v>
      </c>
      <c r="B4763" s="94" t="s">
        <v>397</v>
      </c>
      <c r="C4763" s="6" t="s">
        <v>297</v>
      </c>
      <c r="D4763" s="98">
        <v>9927969.2599999998</v>
      </c>
      <c r="E4763" s="95">
        <f t="shared" si="652"/>
        <v>9927969.2599999998</v>
      </c>
      <c r="F4763" s="98"/>
      <c r="G4763" s="98"/>
      <c r="H4763" s="98">
        <v>0</v>
      </c>
      <c r="I4763" s="98">
        <v>0</v>
      </c>
      <c r="J4763" s="98"/>
      <c r="K4763" s="7">
        <v>1</v>
      </c>
      <c r="L4763" s="93">
        <f t="shared" si="647"/>
        <v>0</v>
      </c>
      <c r="M4763" s="95">
        <f t="shared" ca="1" si="648"/>
        <v>0</v>
      </c>
      <c r="N4763" s="95">
        <f>IF(P4763="Hedge Fund",IF(A4763=Summary!$AD$3,M4763-E4763,M4763),IF(A4763=Summary!$AD$3,L4763-D4763,L4763))</f>
        <v>0</v>
      </c>
      <c r="O4763" s="95"/>
      <c r="P4763" s="107" t="s">
        <v>155</v>
      </c>
      <c r="Q4763" s="107">
        <v>0</v>
      </c>
      <c r="R4763" s="107">
        <v>0</v>
      </c>
      <c r="S4763" s="107">
        <v>0</v>
      </c>
      <c r="T4763" s="107">
        <v>0</v>
      </c>
      <c r="U4763" s="107"/>
      <c r="V4763" s="107"/>
      <c r="W4763" s="107"/>
      <c r="X4763" s="107"/>
      <c r="Y4763" s="107"/>
      <c r="Z4763" s="107"/>
      <c r="AA4763" s="107"/>
      <c r="AB4763" s="107"/>
      <c r="AF4763" s="94">
        <f t="shared" si="649"/>
        <v>40574</v>
      </c>
      <c r="AG4763" s="185">
        <f t="shared" si="653"/>
        <v>7.2797213274830685E-2</v>
      </c>
      <c r="AH4763" s="339" t="str">
        <f>VLOOKUP(B4763,'MF PF'!A:B,2)</f>
        <v>Coinv</v>
      </c>
      <c r="AI4763" s="358">
        <f t="shared" si="650"/>
        <v>0</v>
      </c>
      <c r="AJ4763" s="94">
        <f t="shared" si="651"/>
        <v>40574</v>
      </c>
    </row>
    <row r="4764" spans="1:36">
      <c r="A4764" s="8">
        <v>40602</v>
      </c>
      <c r="B4764" s="94" t="s">
        <v>397</v>
      </c>
      <c r="C4764" s="6" t="s">
        <v>297</v>
      </c>
      <c r="D4764" s="98">
        <v>10574605.560000001</v>
      </c>
      <c r="E4764" s="95">
        <f t="shared" si="652"/>
        <v>10574605.560000001</v>
      </c>
      <c r="F4764" s="98"/>
      <c r="G4764" s="98"/>
      <c r="H4764" s="98">
        <v>0</v>
      </c>
      <c r="I4764" s="98">
        <v>0</v>
      </c>
      <c r="J4764" s="98"/>
      <c r="K4764" s="7">
        <v>1</v>
      </c>
      <c r="L4764" s="93">
        <f t="shared" si="647"/>
        <v>0</v>
      </c>
      <c r="M4764" s="95">
        <f t="shared" ca="1" si="648"/>
        <v>0</v>
      </c>
      <c r="N4764" s="95">
        <f>IF(P4764="Hedge Fund",IF(A4764=Summary!$AD$3,M4764-E4764,M4764),IF(A4764=Summary!$AD$3,L4764-D4764,L4764))</f>
        <v>0</v>
      </c>
      <c r="O4764" s="95"/>
      <c r="P4764" s="107" t="s">
        <v>155</v>
      </c>
      <c r="Q4764" s="107">
        <v>0</v>
      </c>
      <c r="R4764" s="107">
        <v>0</v>
      </c>
      <c r="S4764" s="107">
        <v>0</v>
      </c>
      <c r="T4764" s="107">
        <v>0</v>
      </c>
      <c r="U4764" s="107"/>
      <c r="V4764" s="107"/>
      <c r="W4764" s="107"/>
      <c r="X4764" s="107"/>
      <c r="Y4764" s="107"/>
      <c r="Z4764" s="107"/>
      <c r="AA4764" s="107"/>
      <c r="AB4764" s="107"/>
      <c r="AF4764" s="94">
        <f t="shared" si="649"/>
        <v>40602</v>
      </c>
      <c r="AG4764" s="185">
        <f t="shared" si="653"/>
        <v>6.5132786279396671E-2</v>
      </c>
      <c r="AH4764" s="339" t="str">
        <f>VLOOKUP(B4764,'MF PF'!A:B,2)</f>
        <v>Coinv</v>
      </c>
      <c r="AI4764" s="358">
        <f t="shared" si="650"/>
        <v>0</v>
      </c>
      <c r="AJ4764" s="94">
        <f t="shared" si="651"/>
        <v>40602</v>
      </c>
    </row>
    <row r="4765" spans="1:36">
      <c r="A4765" s="8">
        <v>40633</v>
      </c>
      <c r="B4765" s="94" t="s">
        <v>397</v>
      </c>
      <c r="C4765" s="6" t="s">
        <v>297</v>
      </c>
      <c r="D4765" s="98">
        <v>11518178.51</v>
      </c>
      <c r="E4765" s="95">
        <f t="shared" si="652"/>
        <v>11518178.51</v>
      </c>
      <c r="F4765" s="98"/>
      <c r="G4765" s="98"/>
      <c r="H4765" s="98">
        <v>0</v>
      </c>
      <c r="I4765" s="98">
        <v>0</v>
      </c>
      <c r="J4765" s="98"/>
      <c r="K4765" s="7">
        <v>1</v>
      </c>
      <c r="L4765" s="93">
        <f t="shared" si="647"/>
        <v>0</v>
      </c>
      <c r="M4765" s="95">
        <f t="shared" ca="1" si="648"/>
        <v>0</v>
      </c>
      <c r="N4765" s="95">
        <f>IF(P4765="Hedge Fund",IF(A4765=Summary!$AD$3,M4765-E4765,M4765),IF(A4765=Summary!$AD$3,L4765-D4765,L4765))</f>
        <v>0</v>
      </c>
      <c r="O4765" s="95"/>
      <c r="P4765" s="107" t="s">
        <v>155</v>
      </c>
      <c r="Q4765" s="107">
        <v>0</v>
      </c>
      <c r="R4765" s="107">
        <v>0</v>
      </c>
      <c r="S4765" s="107">
        <v>0</v>
      </c>
      <c r="T4765" s="107">
        <v>0</v>
      </c>
      <c r="U4765" s="107"/>
      <c r="V4765" s="107"/>
      <c r="W4765" s="107"/>
      <c r="X4765" s="107"/>
      <c r="Y4765" s="107"/>
      <c r="Z4765" s="107"/>
      <c r="AA4765" s="107"/>
      <c r="AB4765" s="107"/>
      <c r="AF4765" s="94">
        <f t="shared" si="649"/>
        <v>40633</v>
      </c>
      <c r="AG4765" s="185">
        <f t="shared" si="653"/>
        <v>8.9230084720058223E-2</v>
      </c>
      <c r="AH4765" s="339" t="str">
        <f>VLOOKUP(B4765,'MF PF'!A:B,2)</f>
        <v>Coinv</v>
      </c>
      <c r="AI4765" s="358">
        <f t="shared" si="650"/>
        <v>0</v>
      </c>
      <c r="AJ4765" s="94">
        <f t="shared" si="651"/>
        <v>40633</v>
      </c>
    </row>
    <row r="4766" spans="1:36">
      <c r="A4766" s="8">
        <v>40662</v>
      </c>
      <c r="B4766" s="94" t="s">
        <v>397</v>
      </c>
      <c r="C4766" s="6" t="s">
        <v>297</v>
      </c>
      <c r="D4766" s="98">
        <v>12316067.75</v>
      </c>
      <c r="E4766" s="95">
        <f t="shared" si="652"/>
        <v>12316067.75</v>
      </c>
      <c r="F4766" s="98"/>
      <c r="G4766" s="98"/>
      <c r="H4766" s="98">
        <v>0</v>
      </c>
      <c r="I4766" s="98">
        <v>0</v>
      </c>
      <c r="J4766" s="98"/>
      <c r="K4766" s="7">
        <v>1</v>
      </c>
      <c r="L4766" s="93">
        <f t="shared" si="647"/>
        <v>0</v>
      </c>
      <c r="M4766" s="95">
        <f t="shared" ca="1" si="648"/>
        <v>0</v>
      </c>
      <c r="N4766" s="95">
        <f>IF(P4766="Hedge Fund",IF(A4766=Summary!$AD$3,M4766-E4766,M4766),IF(A4766=Summary!$AD$3,L4766-D4766,L4766))</f>
        <v>0</v>
      </c>
      <c r="O4766" s="95"/>
      <c r="P4766" s="107" t="s">
        <v>155</v>
      </c>
      <c r="Q4766" s="107">
        <v>0</v>
      </c>
      <c r="R4766" s="107">
        <v>0</v>
      </c>
      <c r="S4766" s="107">
        <v>0</v>
      </c>
      <c r="T4766" s="107">
        <v>0</v>
      </c>
      <c r="U4766" s="107"/>
      <c r="V4766" s="107"/>
      <c r="W4766" s="107"/>
      <c r="X4766" s="107"/>
      <c r="Y4766" s="107"/>
      <c r="Z4766" s="107"/>
      <c r="AA4766" s="107"/>
      <c r="AB4766" s="107"/>
      <c r="AF4766" s="94">
        <f t="shared" si="649"/>
        <v>40662</v>
      </c>
      <c r="AG4766" s="185">
        <f t="shared" si="653"/>
        <v>6.9272171750704992E-2</v>
      </c>
      <c r="AH4766" s="339" t="str">
        <f>VLOOKUP(B4766,'MF PF'!A:B,2)</f>
        <v>Coinv</v>
      </c>
      <c r="AI4766" s="358">
        <f t="shared" si="650"/>
        <v>0</v>
      </c>
      <c r="AJ4766" s="94">
        <f t="shared" si="651"/>
        <v>40663</v>
      </c>
    </row>
    <row r="4767" spans="1:36">
      <c r="A4767" s="8">
        <v>40694</v>
      </c>
      <c r="B4767" s="94" t="s">
        <v>397</v>
      </c>
      <c r="C4767" s="6" t="s">
        <v>297</v>
      </c>
      <c r="D4767" s="98">
        <v>12753495.609999999</v>
      </c>
      <c r="E4767" s="95">
        <f t="shared" si="652"/>
        <v>12753495.609999999</v>
      </c>
      <c r="F4767" s="98"/>
      <c r="G4767" s="98"/>
      <c r="H4767" s="98">
        <v>0</v>
      </c>
      <c r="I4767" s="98">
        <v>0</v>
      </c>
      <c r="J4767" s="98"/>
      <c r="K4767" s="7">
        <v>1</v>
      </c>
      <c r="L4767" s="93">
        <f t="shared" si="647"/>
        <v>0</v>
      </c>
      <c r="M4767" s="95">
        <f t="shared" ca="1" si="648"/>
        <v>0</v>
      </c>
      <c r="N4767" s="95">
        <f>IF(P4767="Hedge Fund",IF(A4767=Summary!$AD$3,M4767-E4767,M4767),IF(A4767=Summary!$AD$3,L4767-D4767,L4767))</f>
        <v>0</v>
      </c>
      <c r="O4767" s="95"/>
      <c r="P4767" s="107" t="s">
        <v>155</v>
      </c>
      <c r="Q4767" s="107">
        <v>0</v>
      </c>
      <c r="R4767" s="107">
        <v>0</v>
      </c>
      <c r="S4767" s="107">
        <v>0</v>
      </c>
      <c r="T4767" s="107">
        <v>0</v>
      </c>
      <c r="U4767" s="107"/>
      <c r="V4767" s="107"/>
      <c r="W4767" s="107"/>
      <c r="X4767" s="107"/>
      <c r="Y4767" s="107"/>
      <c r="Z4767" s="107"/>
      <c r="AA4767" s="107"/>
      <c r="AB4767" s="107"/>
      <c r="AF4767" s="94">
        <f t="shared" si="649"/>
        <v>40694</v>
      </c>
      <c r="AG4767" s="185">
        <f t="shared" si="653"/>
        <v>3.551684424600543E-2</v>
      </c>
      <c r="AH4767" s="339" t="str">
        <f>VLOOKUP(B4767,'MF PF'!A:B,2)</f>
        <v>Coinv</v>
      </c>
      <c r="AI4767" s="358">
        <f t="shared" si="650"/>
        <v>0</v>
      </c>
      <c r="AJ4767" s="94">
        <f t="shared" si="651"/>
        <v>40694</v>
      </c>
    </row>
    <row r="4768" spans="1:36">
      <c r="A4768" s="8">
        <v>40724</v>
      </c>
      <c r="B4768" s="94" t="s">
        <v>397</v>
      </c>
      <c r="C4768" s="6" t="s">
        <v>297</v>
      </c>
      <c r="D4768" s="98">
        <v>10370453.630000001</v>
      </c>
      <c r="E4768" s="95">
        <f t="shared" si="652"/>
        <v>10370453.630000001</v>
      </c>
      <c r="F4768" s="98"/>
      <c r="G4768" s="98"/>
      <c r="H4768" s="98">
        <v>0</v>
      </c>
      <c r="I4768" s="98">
        <v>-2978130.2</v>
      </c>
      <c r="J4768" s="98"/>
      <c r="K4768" s="7">
        <v>1</v>
      </c>
      <c r="L4768" s="93">
        <f t="shared" si="647"/>
        <v>-2978130.2</v>
      </c>
      <c r="M4768" s="95">
        <f t="shared" ca="1" si="648"/>
        <v>-2978130.2</v>
      </c>
      <c r="N4768" s="95">
        <f>IF(P4768="Hedge Fund",IF(A4768=Summary!$AD$3,M4768-E4768,M4768),IF(A4768=Summary!$AD$3,L4768-D4768,L4768))</f>
        <v>-2978130.2</v>
      </c>
      <c r="O4768" s="95"/>
      <c r="P4768" s="107" t="s">
        <v>155</v>
      </c>
      <c r="Q4768" s="107">
        <v>0</v>
      </c>
      <c r="R4768" s="107">
        <v>0</v>
      </c>
      <c r="S4768" s="107">
        <v>0</v>
      </c>
      <c r="T4768" s="107">
        <v>0</v>
      </c>
      <c r="U4768" s="107"/>
      <c r="V4768" s="107"/>
      <c r="W4768" s="107"/>
      <c r="X4768" s="107"/>
      <c r="Y4768" s="107"/>
      <c r="Z4768" s="107"/>
      <c r="AA4768" s="107"/>
      <c r="AB4768" s="107"/>
      <c r="AF4768" s="94">
        <f t="shared" si="649"/>
        <v>40724</v>
      </c>
      <c r="AG4768" s="185">
        <f t="shared" si="653"/>
        <v>4.6660793103139087E-2</v>
      </c>
      <c r="AH4768" s="339" t="str">
        <f>VLOOKUP(B4768,'MF PF'!A:B,2)</f>
        <v>Coinv</v>
      </c>
      <c r="AI4768" s="358">
        <f t="shared" si="650"/>
        <v>0</v>
      </c>
      <c r="AJ4768" s="94">
        <f t="shared" si="651"/>
        <v>40724</v>
      </c>
    </row>
    <row r="4769" spans="1:36">
      <c r="A4769" s="8">
        <v>40753</v>
      </c>
      <c r="B4769" s="94" t="s">
        <v>397</v>
      </c>
      <c r="C4769" s="6" t="s">
        <v>297</v>
      </c>
      <c r="D4769" s="98">
        <v>10458301.76</v>
      </c>
      <c r="E4769" s="95">
        <f t="shared" si="652"/>
        <v>10458301.76</v>
      </c>
      <c r="F4769" s="98"/>
      <c r="G4769" s="98"/>
      <c r="H4769" s="98">
        <v>0</v>
      </c>
      <c r="I4769" s="98">
        <v>0</v>
      </c>
      <c r="J4769" s="98"/>
      <c r="K4769" s="7">
        <v>1</v>
      </c>
      <c r="L4769" s="93">
        <f t="shared" si="647"/>
        <v>0</v>
      </c>
      <c r="M4769" s="95">
        <f t="shared" ca="1" si="648"/>
        <v>0</v>
      </c>
      <c r="N4769" s="95">
        <f>IF(P4769="Hedge Fund",IF(A4769=Summary!$AD$3,M4769-E4769,M4769),IF(A4769=Summary!$AD$3,L4769-D4769,L4769))</f>
        <v>0</v>
      </c>
      <c r="O4769" s="95"/>
      <c r="P4769" s="107" t="s">
        <v>155</v>
      </c>
      <c r="Q4769" s="107">
        <v>0</v>
      </c>
      <c r="R4769" s="107">
        <v>0</v>
      </c>
      <c r="S4769" s="107">
        <v>0</v>
      </c>
      <c r="T4769" s="107">
        <v>0</v>
      </c>
      <c r="U4769" s="107"/>
      <c r="V4769" s="107"/>
      <c r="W4769" s="107"/>
      <c r="X4769" s="107"/>
      <c r="Y4769" s="107"/>
      <c r="Z4769" s="107"/>
      <c r="AA4769" s="107"/>
      <c r="AB4769" s="107"/>
      <c r="AF4769" s="94">
        <f t="shared" si="649"/>
        <v>40753</v>
      </c>
      <c r="AG4769" s="185">
        <f t="shared" si="653"/>
        <v>8.4710016682267852E-3</v>
      </c>
      <c r="AH4769" s="339" t="str">
        <f>VLOOKUP(B4769,'MF PF'!A:B,2)</f>
        <v>Coinv</v>
      </c>
      <c r="AI4769" s="358">
        <f t="shared" si="650"/>
        <v>0</v>
      </c>
      <c r="AJ4769" s="94">
        <f t="shared" si="651"/>
        <v>40755</v>
      </c>
    </row>
    <row r="4770" spans="1:36">
      <c r="A4770" s="8">
        <v>40786</v>
      </c>
      <c r="B4770" s="94" t="s">
        <v>397</v>
      </c>
      <c r="C4770" s="6" t="s">
        <v>297</v>
      </c>
      <c r="D4770" s="98">
        <v>9288797.9000000004</v>
      </c>
      <c r="E4770" s="95">
        <f t="shared" si="652"/>
        <v>9288797.9000000004</v>
      </c>
      <c r="F4770" s="98"/>
      <c r="G4770" s="98"/>
      <c r="H4770" s="98">
        <v>0</v>
      </c>
      <c r="I4770" s="98">
        <v>0</v>
      </c>
      <c r="J4770" s="98"/>
      <c r="K4770" s="7">
        <v>1</v>
      </c>
      <c r="L4770" s="93">
        <f t="shared" si="647"/>
        <v>0</v>
      </c>
      <c r="M4770" s="95">
        <f t="shared" ca="1" si="648"/>
        <v>0</v>
      </c>
      <c r="N4770" s="95">
        <f>IF(P4770="Hedge Fund",IF(A4770=Summary!$AD$3,M4770-E4770,M4770),IF(A4770=Summary!$AD$3,L4770-D4770,L4770))</f>
        <v>0</v>
      </c>
      <c r="O4770" s="95"/>
      <c r="P4770" s="107" t="s">
        <v>155</v>
      </c>
      <c r="Q4770" s="107">
        <v>0</v>
      </c>
      <c r="R4770" s="107">
        <v>0</v>
      </c>
      <c r="S4770" s="107">
        <v>0</v>
      </c>
      <c r="T4770" s="107">
        <v>0</v>
      </c>
      <c r="U4770" s="107"/>
      <c r="V4770" s="107"/>
      <c r="W4770" s="107"/>
      <c r="X4770" s="107"/>
      <c r="Y4770" s="107"/>
      <c r="Z4770" s="107"/>
      <c r="AA4770" s="107"/>
      <c r="AB4770" s="107"/>
      <c r="AF4770" s="94">
        <f t="shared" si="649"/>
        <v>40786</v>
      </c>
      <c r="AG4770" s="185">
        <f t="shared" si="653"/>
        <v>-0.1118254078757811</v>
      </c>
      <c r="AH4770" s="339" t="str">
        <f>VLOOKUP(B4770,'MF PF'!A:B,2)</f>
        <v>Coinv</v>
      </c>
      <c r="AI4770" s="358">
        <f t="shared" si="650"/>
        <v>0</v>
      </c>
      <c r="AJ4770" s="94">
        <f t="shared" si="651"/>
        <v>40786</v>
      </c>
    </row>
    <row r="4771" spans="1:36">
      <c r="A4771" s="8">
        <v>40816</v>
      </c>
      <c r="B4771" s="94" t="s">
        <v>397</v>
      </c>
      <c r="C4771" s="6" t="s">
        <v>297</v>
      </c>
      <c r="D4771" s="98">
        <v>8044249.4800000014</v>
      </c>
      <c r="E4771" s="95">
        <f t="shared" si="652"/>
        <v>8044249.4800000014</v>
      </c>
      <c r="F4771" s="98"/>
      <c r="G4771" s="98"/>
      <c r="H4771" s="98">
        <v>0</v>
      </c>
      <c r="I4771" s="98">
        <v>0</v>
      </c>
      <c r="J4771" s="98"/>
      <c r="K4771" s="7">
        <v>1</v>
      </c>
      <c r="L4771" s="93">
        <f t="shared" si="647"/>
        <v>0</v>
      </c>
      <c r="M4771" s="95">
        <f t="shared" ca="1" si="648"/>
        <v>0</v>
      </c>
      <c r="N4771" s="95">
        <f>IF(P4771="Hedge Fund",IF(A4771=Summary!$AD$3,M4771-E4771,M4771),IF(A4771=Summary!$AD$3,L4771-D4771,L4771))</f>
        <v>0</v>
      </c>
      <c r="O4771" s="95"/>
      <c r="P4771" s="107" t="s">
        <v>155</v>
      </c>
      <c r="Q4771" s="107">
        <v>0</v>
      </c>
      <c r="R4771" s="107">
        <v>0</v>
      </c>
      <c r="S4771" s="107">
        <v>0</v>
      </c>
      <c r="T4771" s="107">
        <v>0</v>
      </c>
      <c r="U4771" s="107"/>
      <c r="V4771" s="107"/>
      <c r="W4771" s="107"/>
      <c r="X4771" s="107"/>
      <c r="Y4771" s="107"/>
      <c r="Z4771" s="107"/>
      <c r="AA4771" s="107"/>
      <c r="AB4771" s="107"/>
      <c r="AF4771" s="94">
        <f t="shared" si="649"/>
        <v>40816</v>
      </c>
      <c r="AG4771" s="185">
        <f t="shared" si="653"/>
        <v>-0.13398379783890002</v>
      </c>
      <c r="AH4771" s="339" t="str">
        <f>VLOOKUP(B4771,'MF PF'!A:B,2)</f>
        <v>Coinv</v>
      </c>
      <c r="AI4771" s="358">
        <f t="shared" si="650"/>
        <v>0</v>
      </c>
      <c r="AJ4771" s="94">
        <f t="shared" si="651"/>
        <v>40816</v>
      </c>
    </row>
    <row r="4772" spans="1:36">
      <c r="A4772" s="8">
        <v>40847</v>
      </c>
      <c r="B4772" s="94" t="s">
        <v>397</v>
      </c>
      <c r="C4772" s="6" t="s">
        <v>297</v>
      </c>
      <c r="D4772" s="98">
        <v>9118415.7899999991</v>
      </c>
      <c r="E4772" s="95">
        <f t="shared" si="652"/>
        <v>9118415.7899999991</v>
      </c>
      <c r="F4772" s="98"/>
      <c r="G4772" s="98"/>
      <c r="H4772" s="98">
        <v>0</v>
      </c>
      <c r="I4772" s="98">
        <v>0</v>
      </c>
      <c r="J4772" s="98"/>
      <c r="K4772" s="7">
        <v>1</v>
      </c>
      <c r="L4772" s="93">
        <f t="shared" si="647"/>
        <v>0</v>
      </c>
      <c r="M4772" s="95">
        <f t="shared" ca="1" si="648"/>
        <v>0</v>
      </c>
      <c r="N4772" s="95">
        <f>IF(P4772="Hedge Fund",IF(A4772=Summary!$AD$3,M4772-E4772,M4772),IF(A4772=Summary!$AD$3,L4772-D4772,L4772))</f>
        <v>0</v>
      </c>
      <c r="O4772" s="95"/>
      <c r="P4772" s="107" t="s">
        <v>155</v>
      </c>
      <c r="Q4772" s="107">
        <v>0</v>
      </c>
      <c r="R4772" s="107">
        <v>0</v>
      </c>
      <c r="S4772" s="107">
        <v>0</v>
      </c>
      <c r="T4772" s="107">
        <v>0</v>
      </c>
      <c r="U4772" s="107"/>
      <c r="V4772" s="107"/>
      <c r="W4772" s="107"/>
      <c r="X4772" s="107"/>
      <c r="Y4772" s="107"/>
      <c r="Z4772" s="107"/>
      <c r="AA4772" s="107"/>
      <c r="AB4772" s="107"/>
      <c r="AF4772" s="94">
        <f t="shared" si="649"/>
        <v>40847</v>
      </c>
      <c r="AG4772" s="185">
        <f t="shared" si="653"/>
        <v>0.13353219746237865</v>
      </c>
      <c r="AH4772" s="339" t="str">
        <f>VLOOKUP(B4772,'MF PF'!A:B,2)</f>
        <v>Coinv</v>
      </c>
      <c r="AI4772" s="358">
        <f t="shared" si="650"/>
        <v>0</v>
      </c>
      <c r="AJ4772" s="94">
        <f t="shared" si="651"/>
        <v>40847</v>
      </c>
    </row>
    <row r="4773" spans="1:36">
      <c r="A4773" s="8">
        <v>40877</v>
      </c>
      <c r="B4773" s="94" t="s">
        <v>397</v>
      </c>
      <c r="C4773" s="6" t="s">
        <v>297</v>
      </c>
      <c r="D4773" s="98">
        <v>8604088.0899999999</v>
      </c>
      <c r="E4773" s="95">
        <f t="shared" si="652"/>
        <v>8604088.0899999999</v>
      </c>
      <c r="F4773" s="98"/>
      <c r="G4773" s="98"/>
      <c r="H4773" s="98">
        <v>0</v>
      </c>
      <c r="I4773" s="98">
        <v>0</v>
      </c>
      <c r="J4773" s="98"/>
      <c r="K4773" s="7">
        <v>1</v>
      </c>
      <c r="L4773" s="93">
        <f t="shared" si="647"/>
        <v>0</v>
      </c>
      <c r="M4773" s="95">
        <f t="shared" ca="1" si="648"/>
        <v>0</v>
      </c>
      <c r="N4773" s="95">
        <f>IF(P4773="Hedge Fund",IF(A4773=Summary!$AD$3,M4773-E4773,M4773),IF(A4773=Summary!$AD$3,L4773-D4773,L4773))</f>
        <v>0</v>
      </c>
      <c r="O4773" s="95"/>
      <c r="P4773" s="107" t="s">
        <v>155</v>
      </c>
      <c r="Q4773" s="107">
        <v>0</v>
      </c>
      <c r="R4773" s="107">
        <v>0</v>
      </c>
      <c r="S4773" s="107">
        <v>0</v>
      </c>
      <c r="T4773" s="107">
        <v>0</v>
      </c>
      <c r="U4773" s="107"/>
      <c r="V4773" s="107"/>
      <c r="W4773" s="107"/>
      <c r="X4773" s="107"/>
      <c r="Y4773" s="107"/>
      <c r="Z4773" s="107"/>
      <c r="AA4773" s="107"/>
      <c r="AB4773" s="107"/>
      <c r="AF4773" s="94">
        <f t="shared" si="649"/>
        <v>40877</v>
      </c>
      <c r="AG4773" s="185">
        <f t="shared" si="653"/>
        <v>-5.640537916290822E-2</v>
      </c>
      <c r="AH4773" s="339" t="str">
        <f>VLOOKUP(B4773,'MF PF'!A:B,2)</f>
        <v>Coinv</v>
      </c>
      <c r="AI4773" s="358">
        <f t="shared" si="650"/>
        <v>0</v>
      </c>
      <c r="AJ4773" s="94">
        <f t="shared" si="651"/>
        <v>40877</v>
      </c>
    </row>
    <row r="4774" spans="1:36">
      <c r="A4774" s="8">
        <v>40907</v>
      </c>
      <c r="B4774" s="94" t="s">
        <v>397</v>
      </c>
      <c r="C4774" s="6" t="s">
        <v>297</v>
      </c>
      <c r="D4774" s="98">
        <v>7934380.5999999996</v>
      </c>
      <c r="E4774" s="95">
        <f t="shared" si="652"/>
        <v>7934380.5999999996</v>
      </c>
      <c r="F4774" s="98"/>
      <c r="G4774" s="98"/>
      <c r="H4774" s="98">
        <v>0</v>
      </c>
      <c r="I4774" s="98">
        <v>-600506.10366267851</v>
      </c>
      <c r="J4774" s="98"/>
      <c r="K4774" s="7">
        <v>1</v>
      </c>
      <c r="L4774" s="93">
        <f t="shared" si="647"/>
        <v>-600506.10366267851</v>
      </c>
      <c r="M4774" s="95">
        <f t="shared" ca="1" si="648"/>
        <v>-600506.10366267851</v>
      </c>
      <c r="N4774" s="95">
        <f>IF(P4774="Hedge Fund",IF(A4774=Summary!$AD$3,M4774-E4774,M4774),IF(A4774=Summary!$AD$3,L4774-D4774,L4774))</f>
        <v>-600506.10366267851</v>
      </c>
      <c r="O4774" s="95"/>
      <c r="P4774" s="107" t="s">
        <v>155</v>
      </c>
      <c r="Q4774" s="107">
        <v>0</v>
      </c>
      <c r="R4774" s="107">
        <v>0</v>
      </c>
      <c r="S4774" s="107">
        <v>0</v>
      </c>
      <c r="T4774" s="107">
        <v>0</v>
      </c>
      <c r="U4774" s="107"/>
      <c r="V4774" s="107"/>
      <c r="W4774" s="107"/>
      <c r="X4774" s="107"/>
      <c r="Y4774" s="107"/>
      <c r="Z4774" s="107"/>
      <c r="AA4774" s="107"/>
      <c r="AB4774" s="107"/>
      <c r="AF4774" s="94">
        <f t="shared" si="649"/>
        <v>40907</v>
      </c>
      <c r="AG4774" s="185">
        <f t="shared" si="653"/>
        <v>-8.0428495865528804E-3</v>
      </c>
      <c r="AH4774" s="339" t="str">
        <f>VLOOKUP(B4774,'MF PF'!A:B,2)</f>
        <v>Coinv</v>
      </c>
      <c r="AI4774" s="358">
        <f t="shared" si="650"/>
        <v>0</v>
      </c>
      <c r="AJ4774" s="94">
        <f t="shared" si="651"/>
        <v>40908</v>
      </c>
    </row>
    <row r="4775" spans="1:36">
      <c r="A4775" s="8">
        <v>40939</v>
      </c>
      <c r="B4775" s="94" t="s">
        <v>397</v>
      </c>
      <c r="C4775" s="6" t="s">
        <v>297</v>
      </c>
      <c r="D4775" s="98">
        <v>8635682.4299999997</v>
      </c>
      <c r="E4775" s="95">
        <f t="shared" si="652"/>
        <v>8635682.4299999997</v>
      </c>
      <c r="F4775" s="98"/>
      <c r="G4775" s="98"/>
      <c r="H4775" s="98">
        <v>0</v>
      </c>
      <c r="I4775" s="98">
        <v>0</v>
      </c>
      <c r="J4775" s="98"/>
      <c r="K4775" s="7">
        <v>1</v>
      </c>
      <c r="L4775" s="93">
        <f t="shared" si="647"/>
        <v>0</v>
      </c>
      <c r="M4775" s="95">
        <f t="shared" ca="1" si="648"/>
        <v>0</v>
      </c>
      <c r="N4775" s="95">
        <f>IF(P4775="Hedge Fund",IF(A4775=Summary!$AD$3,M4775-E4775,M4775),IF(A4775=Summary!$AD$3,L4775-D4775,L4775))</f>
        <v>0</v>
      </c>
      <c r="O4775" s="95"/>
      <c r="P4775" s="107" t="s">
        <v>155</v>
      </c>
      <c r="Q4775" s="107">
        <v>0</v>
      </c>
      <c r="R4775" s="107">
        <v>0</v>
      </c>
      <c r="S4775" s="107">
        <v>0</v>
      </c>
      <c r="T4775" s="107">
        <v>0</v>
      </c>
      <c r="U4775" s="107"/>
      <c r="V4775" s="107"/>
      <c r="W4775" s="107"/>
      <c r="X4775" s="107"/>
      <c r="Y4775" s="107"/>
      <c r="Z4775" s="107"/>
      <c r="AA4775" s="107"/>
      <c r="AB4775" s="107"/>
      <c r="AF4775" s="94">
        <f t="shared" si="649"/>
        <v>40939</v>
      </c>
      <c r="AG4775" s="185">
        <f t="shared" si="653"/>
        <v>8.838772241402193E-2</v>
      </c>
      <c r="AH4775" s="339" t="str">
        <f>VLOOKUP(B4775,'MF PF'!A:B,2)</f>
        <v>Coinv</v>
      </c>
      <c r="AI4775" s="358">
        <f t="shared" si="650"/>
        <v>0</v>
      </c>
      <c r="AJ4775" s="94">
        <f t="shared" si="651"/>
        <v>40939</v>
      </c>
    </row>
    <row r="4776" spans="1:36">
      <c r="A4776" s="8">
        <v>40968</v>
      </c>
      <c r="B4776" s="94" t="s">
        <v>397</v>
      </c>
      <c r="C4776" s="6" t="s">
        <v>297</v>
      </c>
      <c r="D4776" s="98">
        <v>9925296.3699999992</v>
      </c>
      <c r="E4776" s="95">
        <f t="shared" si="652"/>
        <v>9925296.3699999992</v>
      </c>
      <c r="F4776" s="98"/>
      <c r="G4776" s="98"/>
      <c r="H4776" s="98">
        <v>0</v>
      </c>
      <c r="I4776" s="98">
        <v>0</v>
      </c>
      <c r="J4776" s="98"/>
      <c r="K4776" s="7">
        <v>1</v>
      </c>
      <c r="L4776" s="93">
        <f t="shared" si="647"/>
        <v>0</v>
      </c>
      <c r="M4776" s="95">
        <f t="shared" ca="1" si="648"/>
        <v>0</v>
      </c>
      <c r="N4776" s="95">
        <f>IF(P4776="Hedge Fund",IF(A4776=Summary!$AD$3,M4776-E4776,M4776),IF(A4776=Summary!$AD$3,L4776-D4776,L4776))</f>
        <v>0</v>
      </c>
      <c r="O4776" s="95"/>
      <c r="P4776" s="107" t="s">
        <v>155</v>
      </c>
      <c r="Q4776" s="107">
        <v>0</v>
      </c>
      <c r="R4776" s="107">
        <v>0</v>
      </c>
      <c r="S4776" s="107">
        <v>0</v>
      </c>
      <c r="T4776" s="107">
        <v>0</v>
      </c>
      <c r="U4776" s="107"/>
      <c r="V4776" s="107"/>
      <c r="W4776" s="107"/>
      <c r="X4776" s="107"/>
      <c r="Y4776" s="107"/>
      <c r="Z4776" s="107"/>
      <c r="AA4776" s="107"/>
      <c r="AB4776" s="107"/>
      <c r="AF4776" s="94">
        <f t="shared" si="649"/>
        <v>40968</v>
      </c>
      <c r="AG4776" s="185">
        <f t="shared" si="653"/>
        <v>0.14933549843379312</v>
      </c>
      <c r="AH4776" s="339" t="str">
        <f>VLOOKUP(B4776,'MF PF'!A:B,2)</f>
        <v>Coinv</v>
      </c>
      <c r="AI4776" s="358">
        <f t="shared" si="650"/>
        <v>0</v>
      </c>
      <c r="AJ4776" s="94">
        <f t="shared" si="651"/>
        <v>40968</v>
      </c>
    </row>
    <row r="4777" spans="1:36">
      <c r="A4777" s="8">
        <v>40998</v>
      </c>
      <c r="B4777" s="94" t="s">
        <v>397</v>
      </c>
      <c r="C4777" s="6" t="s">
        <v>297</v>
      </c>
      <c r="D4777" s="98">
        <v>9822358.0399999991</v>
      </c>
      <c r="E4777" s="95">
        <f t="shared" si="652"/>
        <v>9822358.0399999991</v>
      </c>
      <c r="F4777" s="98"/>
      <c r="G4777" s="98"/>
      <c r="H4777" s="98">
        <v>0</v>
      </c>
      <c r="I4777" s="98">
        <v>0</v>
      </c>
      <c r="J4777" s="98"/>
      <c r="K4777" s="7">
        <v>1</v>
      </c>
      <c r="L4777" s="93">
        <f t="shared" si="647"/>
        <v>0</v>
      </c>
      <c r="M4777" s="95">
        <f t="shared" ca="1" si="648"/>
        <v>0</v>
      </c>
      <c r="N4777" s="95">
        <f>IF(P4777="Hedge Fund",IF(A4777=Summary!$AD$3,M4777-E4777,M4777),IF(A4777=Summary!$AD$3,L4777-D4777,L4777))</f>
        <v>0</v>
      </c>
      <c r="O4777" s="95"/>
      <c r="P4777" s="107" t="s">
        <v>155</v>
      </c>
      <c r="Q4777" s="107">
        <v>0</v>
      </c>
      <c r="R4777" s="107">
        <v>0</v>
      </c>
      <c r="S4777" s="107">
        <v>0</v>
      </c>
      <c r="T4777" s="107">
        <v>0</v>
      </c>
      <c r="U4777" s="107"/>
      <c r="V4777" s="107"/>
      <c r="W4777" s="107"/>
      <c r="X4777" s="107"/>
      <c r="Y4777" s="107"/>
      <c r="Z4777" s="107"/>
      <c r="AA4777" s="107"/>
      <c r="AB4777" s="107"/>
      <c r="AF4777" s="94">
        <f t="shared" si="649"/>
        <v>40998</v>
      </c>
      <c r="AG4777" s="185">
        <f t="shared" si="653"/>
        <v>-1.0371310453876181E-2</v>
      </c>
      <c r="AH4777" s="339" t="str">
        <f>VLOOKUP(B4777,'MF PF'!A:B,2)</f>
        <v>Coinv</v>
      </c>
      <c r="AI4777" s="358">
        <f t="shared" si="650"/>
        <v>0</v>
      </c>
      <c r="AJ4777" s="94">
        <f t="shared" si="651"/>
        <v>40999</v>
      </c>
    </row>
    <row r="4778" spans="1:36">
      <c r="A4778" s="8">
        <v>41029</v>
      </c>
      <c r="B4778" s="94" t="s">
        <v>397</v>
      </c>
      <c r="C4778" s="6" t="s">
        <v>297</v>
      </c>
      <c r="D4778" s="98">
        <v>10107152.790000001</v>
      </c>
      <c r="E4778" s="95">
        <f t="shared" si="652"/>
        <v>10107152.790000001</v>
      </c>
      <c r="F4778" s="98"/>
      <c r="G4778" s="98"/>
      <c r="H4778" s="98">
        <v>0</v>
      </c>
      <c r="I4778" s="98">
        <v>0</v>
      </c>
      <c r="J4778" s="98"/>
      <c r="K4778" s="93">
        <v>1</v>
      </c>
      <c r="L4778" s="93">
        <f t="shared" si="647"/>
        <v>0</v>
      </c>
      <c r="M4778" s="95">
        <f t="shared" ca="1" si="648"/>
        <v>0</v>
      </c>
      <c r="N4778" s="95">
        <f>IF(P4778="Hedge Fund",IF(A4778=Summary!$AD$3,M4778-E4778,M4778),IF(A4778=Summary!$AD$3,L4778-D4778,L4778))</f>
        <v>0</v>
      </c>
      <c r="O4778" s="95"/>
      <c r="P4778" s="107" t="s">
        <v>155</v>
      </c>
      <c r="Q4778" s="107">
        <v>0</v>
      </c>
      <c r="R4778" s="107">
        <v>0</v>
      </c>
      <c r="S4778" s="107">
        <v>0</v>
      </c>
      <c r="T4778" s="107">
        <v>0</v>
      </c>
      <c r="U4778" s="107"/>
      <c r="V4778" s="107"/>
      <c r="W4778" s="107"/>
      <c r="X4778" s="107"/>
      <c r="Y4778" s="107"/>
      <c r="Z4778" s="107"/>
      <c r="AA4778" s="107"/>
      <c r="AB4778" s="107"/>
      <c r="AF4778" s="94">
        <f t="shared" si="649"/>
        <v>41029</v>
      </c>
      <c r="AG4778" s="185">
        <f t="shared" si="653"/>
        <v>2.8994539685910592E-2</v>
      </c>
      <c r="AH4778" s="339" t="str">
        <f>VLOOKUP(B4778,'MF PF'!A:B,2)</f>
        <v>Coinv</v>
      </c>
      <c r="AI4778" s="358">
        <f t="shared" si="650"/>
        <v>0</v>
      </c>
      <c r="AJ4778" s="94">
        <f t="shared" si="651"/>
        <v>41029</v>
      </c>
    </row>
    <row r="4779" spans="1:36">
      <c r="A4779" s="8">
        <v>41060</v>
      </c>
      <c r="B4779" s="94" t="s">
        <v>397</v>
      </c>
      <c r="C4779" s="6" t="s">
        <v>297</v>
      </c>
      <c r="D4779" s="98">
        <v>9913889.6500000004</v>
      </c>
      <c r="E4779" s="95">
        <f t="shared" si="652"/>
        <v>9913889.6500000004</v>
      </c>
      <c r="F4779" s="98"/>
      <c r="G4779" s="98"/>
      <c r="H4779" s="98">
        <v>0</v>
      </c>
      <c r="I4779" s="98">
        <v>0</v>
      </c>
      <c r="J4779" s="98"/>
      <c r="K4779" s="93">
        <v>1</v>
      </c>
      <c r="L4779" s="93">
        <f t="shared" si="647"/>
        <v>0</v>
      </c>
      <c r="M4779" s="95">
        <f t="shared" ca="1" si="648"/>
        <v>0</v>
      </c>
      <c r="N4779" s="95">
        <f>IF(P4779="Hedge Fund",IF(A4779=Summary!$AD$3,M4779-E4779,M4779),IF(A4779=Summary!$AD$3,L4779-D4779,L4779))</f>
        <v>0</v>
      </c>
      <c r="O4779" s="95"/>
      <c r="P4779" s="107" t="s">
        <v>155</v>
      </c>
      <c r="Q4779" s="107">
        <v>0</v>
      </c>
      <c r="R4779" s="107">
        <v>0</v>
      </c>
      <c r="S4779" s="107">
        <v>0</v>
      </c>
      <c r="T4779" s="107">
        <v>0</v>
      </c>
      <c r="U4779" s="107"/>
      <c r="V4779" s="107"/>
      <c r="W4779" s="107"/>
      <c r="X4779" s="107"/>
      <c r="Y4779" s="107"/>
      <c r="Z4779" s="107"/>
      <c r="AA4779" s="107"/>
      <c r="AB4779" s="107"/>
      <c r="AF4779" s="94">
        <f t="shared" si="649"/>
        <v>41060</v>
      </c>
      <c r="AG4779" s="185">
        <f t="shared" si="653"/>
        <v>-1.9121422621731332E-2</v>
      </c>
      <c r="AH4779" s="339" t="str">
        <f>VLOOKUP(B4779,'MF PF'!A:B,2)</f>
        <v>Coinv</v>
      </c>
      <c r="AI4779" s="358">
        <f t="shared" si="650"/>
        <v>0</v>
      </c>
      <c r="AJ4779" s="94">
        <f t="shared" si="651"/>
        <v>41060</v>
      </c>
    </row>
    <row r="4780" spans="1:36">
      <c r="A4780" s="8">
        <v>41089</v>
      </c>
      <c r="B4780" s="94" t="s">
        <v>397</v>
      </c>
      <c r="C4780" s="6" t="s">
        <v>297</v>
      </c>
      <c r="D4780" s="98">
        <v>9542944.9800000004</v>
      </c>
      <c r="E4780" s="95">
        <f t="shared" si="652"/>
        <v>9542944.9800000004</v>
      </c>
      <c r="F4780" s="98"/>
      <c r="G4780" s="98"/>
      <c r="H4780" s="98">
        <v>0</v>
      </c>
      <c r="I4780" s="98">
        <v>0</v>
      </c>
      <c r="J4780" s="98"/>
      <c r="K4780" s="93">
        <v>1</v>
      </c>
      <c r="L4780" s="93">
        <f t="shared" si="647"/>
        <v>0</v>
      </c>
      <c r="M4780" s="95">
        <f t="shared" ca="1" si="648"/>
        <v>0</v>
      </c>
      <c r="N4780" s="95">
        <f>IF(P4780="Hedge Fund",IF(A4780=Summary!$AD$3,M4780-E4780,M4780),IF(A4780=Summary!$AD$3,L4780-D4780,L4780))</f>
        <v>0</v>
      </c>
      <c r="O4780" s="95"/>
      <c r="P4780" s="107" t="s">
        <v>155</v>
      </c>
      <c r="Q4780" s="107">
        <v>0</v>
      </c>
      <c r="R4780" s="107">
        <v>0</v>
      </c>
      <c r="S4780" s="107">
        <v>0</v>
      </c>
      <c r="T4780" s="107">
        <v>0</v>
      </c>
      <c r="U4780" s="107"/>
      <c r="V4780" s="107"/>
      <c r="W4780" s="107"/>
      <c r="X4780" s="107"/>
      <c r="Y4780" s="107"/>
      <c r="Z4780" s="107"/>
      <c r="AA4780" s="107"/>
      <c r="AB4780" s="107"/>
      <c r="AF4780" s="94">
        <f t="shared" si="649"/>
        <v>41089</v>
      </c>
      <c r="AG4780" s="185">
        <f t="shared" si="653"/>
        <v>-3.7416663196367161E-2</v>
      </c>
      <c r="AH4780" s="339" t="str">
        <f>VLOOKUP(B4780,'MF PF'!A:B,2)</f>
        <v>Coinv</v>
      </c>
      <c r="AI4780" s="358">
        <f t="shared" si="650"/>
        <v>0</v>
      </c>
      <c r="AJ4780" s="94">
        <f t="shared" si="651"/>
        <v>41090</v>
      </c>
    </row>
    <row r="4781" spans="1:36">
      <c r="A4781" s="8">
        <v>41121</v>
      </c>
      <c r="B4781" s="94" t="s">
        <v>397</v>
      </c>
      <c r="C4781" s="6" t="s">
        <v>297</v>
      </c>
      <c r="D4781" s="98">
        <v>9757848.9900000002</v>
      </c>
      <c r="E4781" s="95">
        <f t="shared" si="652"/>
        <v>9757848.9900000002</v>
      </c>
      <c r="F4781" s="98"/>
      <c r="G4781" s="98"/>
      <c r="H4781" s="98">
        <v>0</v>
      </c>
      <c r="I4781" s="98">
        <v>0</v>
      </c>
      <c r="J4781" s="98"/>
      <c r="K4781" s="7">
        <v>1</v>
      </c>
      <c r="L4781" s="93">
        <f t="shared" si="647"/>
        <v>0</v>
      </c>
      <c r="M4781" s="95">
        <f t="shared" ca="1" si="648"/>
        <v>0</v>
      </c>
      <c r="N4781" s="95">
        <f>IF(P4781="Hedge Fund",IF(A4781=Summary!$AD$3,M4781-E4781,M4781),IF(A4781=Summary!$AD$3,L4781-D4781,L4781))</f>
        <v>0</v>
      </c>
      <c r="O4781" s="95"/>
      <c r="P4781" s="107" t="s">
        <v>155</v>
      </c>
      <c r="Q4781" s="107">
        <v>0</v>
      </c>
      <c r="R4781" s="107">
        <v>0</v>
      </c>
      <c r="S4781" s="107">
        <v>0</v>
      </c>
      <c r="T4781" s="107">
        <v>0</v>
      </c>
      <c r="U4781" s="107"/>
      <c r="V4781" s="107"/>
      <c r="W4781" s="107"/>
      <c r="X4781" s="107"/>
      <c r="Y4781" s="107"/>
      <c r="Z4781" s="107"/>
      <c r="AA4781" s="107"/>
      <c r="AB4781" s="107"/>
      <c r="AF4781" s="94">
        <f t="shared" si="649"/>
        <v>41121</v>
      </c>
      <c r="AG4781" s="185">
        <f t="shared" si="653"/>
        <v>2.2519674005287982E-2</v>
      </c>
      <c r="AH4781" s="339" t="str">
        <f>VLOOKUP(B4781,'MF PF'!A:B,2)</f>
        <v>Coinv</v>
      </c>
      <c r="AI4781" s="358">
        <f t="shared" si="650"/>
        <v>0</v>
      </c>
      <c r="AJ4781" s="94">
        <f t="shared" si="651"/>
        <v>41121</v>
      </c>
    </row>
    <row r="4782" spans="1:36">
      <c r="A4782" s="8">
        <v>41152</v>
      </c>
      <c r="B4782" s="94" t="s">
        <v>397</v>
      </c>
      <c r="C4782" s="6" t="s">
        <v>297</v>
      </c>
      <c r="D4782" s="98">
        <v>11299019.74</v>
      </c>
      <c r="E4782" s="95">
        <f t="shared" si="652"/>
        <v>11299019.74</v>
      </c>
      <c r="F4782" s="98"/>
      <c r="G4782" s="98"/>
      <c r="H4782" s="98">
        <v>0</v>
      </c>
      <c r="I4782" s="98">
        <v>0</v>
      </c>
      <c r="J4782" s="98"/>
      <c r="K4782" s="7">
        <v>1</v>
      </c>
      <c r="L4782" s="93">
        <f t="shared" si="647"/>
        <v>0</v>
      </c>
      <c r="M4782" s="95">
        <f t="shared" ca="1" si="648"/>
        <v>0</v>
      </c>
      <c r="N4782" s="95">
        <f>IF(P4782="Hedge Fund",IF(A4782=Summary!$AD$3,M4782-E4782,M4782),IF(A4782=Summary!$AD$3,L4782-D4782,L4782))</f>
        <v>0</v>
      </c>
      <c r="O4782" s="95"/>
      <c r="P4782" s="107" t="s">
        <v>155</v>
      </c>
      <c r="Q4782" s="107">
        <v>0</v>
      </c>
      <c r="R4782" s="107">
        <v>0</v>
      </c>
      <c r="S4782" s="107">
        <v>0</v>
      </c>
      <c r="T4782" s="107">
        <v>0</v>
      </c>
      <c r="U4782" s="107"/>
      <c r="V4782" s="107"/>
      <c r="W4782" s="107"/>
      <c r="X4782" s="107"/>
      <c r="Y4782" s="107"/>
      <c r="Z4782" s="107"/>
      <c r="AA4782" s="107"/>
      <c r="AB4782" s="107"/>
      <c r="AF4782" s="94">
        <f t="shared" si="649"/>
        <v>41152</v>
      </c>
      <c r="AG4782" s="185">
        <f t="shared" si="653"/>
        <v>0.15794164795739474</v>
      </c>
      <c r="AH4782" s="339" t="str">
        <f>VLOOKUP(B4782,'MF PF'!A:B,2)</f>
        <v>Coinv</v>
      </c>
      <c r="AI4782" s="358">
        <f t="shared" si="650"/>
        <v>0</v>
      </c>
      <c r="AJ4782" s="94">
        <f t="shared" si="651"/>
        <v>41152</v>
      </c>
    </row>
    <row r="4783" spans="1:36">
      <c r="A4783" s="8">
        <v>41180</v>
      </c>
      <c r="B4783" s="94" t="s">
        <v>397</v>
      </c>
      <c r="C4783" s="6" t="s">
        <v>297</v>
      </c>
      <c r="D4783" s="98">
        <v>12259013.873834601</v>
      </c>
      <c r="E4783" s="95">
        <f t="shared" si="652"/>
        <v>12259013.873834601</v>
      </c>
      <c r="F4783" s="98"/>
      <c r="G4783" s="98"/>
      <c r="H4783" s="98">
        <v>0</v>
      </c>
      <c r="I4783" s="98">
        <v>0</v>
      </c>
      <c r="J4783" s="98"/>
      <c r="K4783" s="7">
        <v>1</v>
      </c>
      <c r="L4783" s="93">
        <f t="shared" si="647"/>
        <v>0</v>
      </c>
      <c r="M4783" s="95">
        <f t="shared" ca="1" si="648"/>
        <v>0</v>
      </c>
      <c r="N4783" s="95">
        <f>IF(P4783="Hedge Fund",IF(A4783=Summary!$AD$3,M4783-E4783,M4783),IF(A4783=Summary!$AD$3,L4783-D4783,L4783))</f>
        <v>0</v>
      </c>
      <c r="O4783" s="95"/>
      <c r="P4783" s="107" t="s">
        <v>155</v>
      </c>
      <c r="Q4783" s="107">
        <v>0</v>
      </c>
      <c r="R4783" s="107">
        <v>1.2259013873834601</v>
      </c>
      <c r="S4783" s="107">
        <v>0</v>
      </c>
      <c r="T4783" s="107">
        <v>0</v>
      </c>
      <c r="U4783" s="107"/>
      <c r="V4783" s="107"/>
      <c r="W4783" s="107"/>
      <c r="X4783" s="107"/>
      <c r="Y4783" s="107"/>
      <c r="Z4783" s="107"/>
      <c r="AA4783" s="107"/>
      <c r="AB4783" s="107"/>
      <c r="AF4783" s="94">
        <f t="shared" si="649"/>
        <v>41180</v>
      </c>
      <c r="AG4783" s="185">
        <f t="shared" si="653"/>
        <v>8.4962603475777332E-2</v>
      </c>
      <c r="AH4783" s="339" t="str">
        <f>VLOOKUP(B4783,'MF PF'!A:B,2)</f>
        <v>Coinv</v>
      </c>
      <c r="AI4783" s="358">
        <f t="shared" si="650"/>
        <v>0</v>
      </c>
      <c r="AJ4783" s="94">
        <f t="shared" si="651"/>
        <v>41182</v>
      </c>
    </row>
    <row r="4784" spans="1:36" s="358" customFormat="1">
      <c r="A4784" s="94">
        <v>41213</v>
      </c>
      <c r="B4784" s="94" t="s">
        <v>397</v>
      </c>
      <c r="C4784" s="358" t="s">
        <v>297</v>
      </c>
      <c r="D4784" s="98">
        <v>12360190.223033275</v>
      </c>
      <c r="E4784" s="95">
        <f t="shared" si="652"/>
        <v>12360190.223033275</v>
      </c>
      <c r="F4784" s="98"/>
      <c r="G4784" s="98"/>
      <c r="H4784" s="98">
        <v>0</v>
      </c>
      <c r="I4784" s="98">
        <v>0</v>
      </c>
      <c r="J4784" s="98"/>
      <c r="K4784" s="93">
        <v>1</v>
      </c>
      <c r="L4784" s="93">
        <f t="shared" si="647"/>
        <v>0</v>
      </c>
      <c r="M4784" s="95">
        <f t="shared" ca="1" si="648"/>
        <v>0</v>
      </c>
      <c r="N4784" s="95">
        <f>IF(P4784="Hedge Fund",IF(A4784=Summary!$AD$3,M4784-E4784,M4784),IF(A4784=Summary!$AD$3,L4784-D4784,L4784))</f>
        <v>0</v>
      </c>
      <c r="O4784" s="95"/>
      <c r="P4784" s="107" t="s">
        <v>155</v>
      </c>
      <c r="Q4784" s="107">
        <v>0</v>
      </c>
      <c r="R4784" s="107">
        <v>1.2360190223033276</v>
      </c>
      <c r="S4784" s="107">
        <v>0</v>
      </c>
      <c r="T4784" s="107">
        <v>0</v>
      </c>
      <c r="U4784" s="107"/>
      <c r="V4784" s="107"/>
      <c r="W4784" s="107"/>
      <c r="X4784" s="107"/>
      <c r="Y4784" s="107"/>
      <c r="Z4784" s="107"/>
      <c r="AA4784" s="107"/>
      <c r="AB4784" s="107"/>
      <c r="AF4784" s="94">
        <f t="shared" si="649"/>
        <v>41213</v>
      </c>
      <c r="AG4784" s="185">
        <f t="shared" si="653"/>
        <v>8.2532208740397905E-3</v>
      </c>
      <c r="AH4784" s="339" t="str">
        <f>VLOOKUP(B4784,'MF PF'!A:B,2)</f>
        <v>Coinv</v>
      </c>
      <c r="AI4784" s="358">
        <f t="shared" si="650"/>
        <v>0</v>
      </c>
      <c r="AJ4784" s="94">
        <f t="shared" si="651"/>
        <v>41213</v>
      </c>
    </row>
    <row r="4785" spans="1:36" s="358" customFormat="1">
      <c r="A4785" s="94">
        <v>41243</v>
      </c>
      <c r="B4785" s="94" t="s">
        <v>397</v>
      </c>
      <c r="C4785" s="358" t="s">
        <v>297</v>
      </c>
      <c r="D4785" s="98">
        <v>12522151.163343713</v>
      </c>
      <c r="E4785" s="95">
        <f t="shared" si="652"/>
        <v>12522151.163343713</v>
      </c>
      <c r="F4785" s="98"/>
      <c r="G4785" s="98"/>
      <c r="H4785" s="98">
        <v>0</v>
      </c>
      <c r="I4785" s="98">
        <v>0</v>
      </c>
      <c r="J4785" s="98"/>
      <c r="K4785" s="93">
        <v>1</v>
      </c>
      <c r="L4785" s="93">
        <f t="shared" si="647"/>
        <v>0</v>
      </c>
      <c r="M4785" s="95">
        <f t="shared" ca="1" si="648"/>
        <v>0</v>
      </c>
      <c r="N4785" s="95">
        <f>IF(P4785="Hedge Fund",IF(A4785=Summary!$AD$3,M4785-E4785,M4785),IF(A4785=Summary!$AD$3,L4785-D4785,L4785))</f>
        <v>0</v>
      </c>
      <c r="O4785" s="95"/>
      <c r="P4785" s="107" t="s">
        <v>155</v>
      </c>
      <c r="Q4785" s="107">
        <v>0</v>
      </c>
      <c r="R4785" s="107">
        <v>1.2522151163343713</v>
      </c>
      <c r="S4785" s="107">
        <v>0</v>
      </c>
      <c r="T4785" s="107">
        <v>0</v>
      </c>
      <c r="U4785" s="107"/>
      <c r="V4785" s="107"/>
      <c r="W4785" s="107"/>
      <c r="X4785" s="107"/>
      <c r="Y4785" s="107"/>
      <c r="Z4785" s="107"/>
      <c r="AA4785" s="107"/>
      <c r="AB4785" s="107"/>
      <c r="AF4785" s="94">
        <f t="shared" si="649"/>
        <v>41243</v>
      </c>
      <c r="AG4785" s="185">
        <f t="shared" si="653"/>
        <v>1.3103434282801141E-2</v>
      </c>
      <c r="AH4785" s="339" t="str">
        <f>VLOOKUP(B4785,'MF PF'!A:B,2)</f>
        <v>Coinv</v>
      </c>
      <c r="AI4785" s="358">
        <f t="shared" si="650"/>
        <v>0</v>
      </c>
      <c r="AJ4785" s="94">
        <f t="shared" si="651"/>
        <v>41243</v>
      </c>
    </row>
    <row r="4786" spans="1:36" s="358" customFormat="1">
      <c r="A4786" s="94">
        <v>41274</v>
      </c>
      <c r="B4786" s="94" t="s">
        <v>397</v>
      </c>
      <c r="C4786" s="358" t="s">
        <v>297</v>
      </c>
      <c r="D4786" s="98">
        <v>11663643.111214403</v>
      </c>
      <c r="E4786" s="95">
        <f t="shared" si="652"/>
        <v>11663643.111214403</v>
      </c>
      <c r="F4786" s="98"/>
      <c r="G4786" s="98"/>
      <c r="H4786" s="98">
        <v>0</v>
      </c>
      <c r="I4786" s="98">
        <v>-2477026.73</v>
      </c>
      <c r="J4786" s="98"/>
      <c r="K4786" s="93">
        <v>1</v>
      </c>
      <c r="L4786" s="93">
        <f t="shared" si="647"/>
        <v>-2477026.73</v>
      </c>
      <c r="M4786" s="95">
        <f t="shared" ca="1" si="648"/>
        <v>-2477026.73</v>
      </c>
      <c r="N4786" s="95">
        <f>IF(P4786="Hedge Fund",IF(A4786=Summary!$AD$3,M4786-E4786,M4786),IF(A4786=Summary!$AD$3,L4786-D4786,L4786))</f>
        <v>-2477026.73</v>
      </c>
      <c r="O4786" s="95"/>
      <c r="P4786" s="107" t="s">
        <v>155</v>
      </c>
      <c r="Q4786" s="107">
        <v>0</v>
      </c>
      <c r="R4786" s="107">
        <v>1.1663643111214403</v>
      </c>
      <c r="S4786" s="107">
        <v>0</v>
      </c>
      <c r="T4786" s="107">
        <v>0</v>
      </c>
      <c r="U4786" s="107"/>
      <c r="V4786" s="107"/>
      <c r="W4786" s="107"/>
      <c r="X4786" s="107"/>
      <c r="Y4786" s="107"/>
      <c r="Z4786" s="107"/>
      <c r="AA4786" s="107"/>
      <c r="AB4786" s="107"/>
      <c r="AF4786" s="94">
        <f t="shared" si="649"/>
        <v>41274</v>
      </c>
      <c r="AG4786" s="185">
        <f t="shared" si="653"/>
        <v>0.12925244686460946</v>
      </c>
      <c r="AH4786" s="339" t="str">
        <f>VLOOKUP(B4786,'MF PF'!A:B,2)</f>
        <v>Coinv</v>
      </c>
      <c r="AI4786" s="358">
        <f t="shared" si="650"/>
        <v>0</v>
      </c>
      <c r="AJ4786" s="94">
        <f t="shared" si="651"/>
        <v>41274</v>
      </c>
    </row>
    <row r="4787" spans="1:36">
      <c r="A4787" s="8">
        <v>41305</v>
      </c>
      <c r="B4787" s="94" t="s">
        <v>397</v>
      </c>
      <c r="C4787" s="6" t="s">
        <v>297</v>
      </c>
      <c r="D4787" s="98">
        <v>12249015.800824463</v>
      </c>
      <c r="E4787" s="9">
        <f t="shared" ref="E4787:E4818" si="654">IF(K4787="","",D4787/K4787)</f>
        <v>12249015.800824463</v>
      </c>
      <c r="F4787" s="98"/>
      <c r="G4787" s="98"/>
      <c r="H4787" s="98">
        <v>0</v>
      </c>
      <c r="I4787" s="98">
        <v>0</v>
      </c>
      <c r="J4787" s="98"/>
      <c r="K4787" s="93">
        <v>1</v>
      </c>
      <c r="L4787" s="93">
        <f t="shared" si="647"/>
        <v>0</v>
      </c>
      <c r="M4787" s="95">
        <f t="shared" ca="1" si="648"/>
        <v>0</v>
      </c>
      <c r="N4787" s="95">
        <f>IF(P4787="Hedge Fund",IF(A4787=Summary!$AD$3,M4787-E4787,M4787),IF(A4787=Summary!$AD$3,L4787-D4787,L4787))</f>
        <v>0</v>
      </c>
      <c r="P4787" s="107" t="s">
        <v>155</v>
      </c>
      <c r="Q4787" s="107">
        <v>0</v>
      </c>
      <c r="R4787" s="107">
        <v>1.2249015800824463</v>
      </c>
      <c r="S4787" s="107">
        <v>0</v>
      </c>
      <c r="T4787" s="107">
        <v>0</v>
      </c>
      <c r="U4787" s="107"/>
      <c r="V4787" s="107"/>
      <c r="W4787" s="107"/>
      <c r="X4787" s="107"/>
      <c r="Y4787" s="107"/>
      <c r="Z4787" s="107"/>
      <c r="AA4787" s="107"/>
      <c r="AB4787" s="107"/>
      <c r="AF4787" s="94">
        <f t="shared" si="649"/>
        <v>41305</v>
      </c>
      <c r="AG4787" s="185">
        <f t="shared" si="653"/>
        <v>5.0187808734239558E-2</v>
      </c>
      <c r="AH4787" s="339" t="str">
        <f>VLOOKUP(B4787,'MF PF'!A:B,2)</f>
        <v>Coinv</v>
      </c>
      <c r="AI4787" s="358">
        <f t="shared" si="650"/>
        <v>0</v>
      </c>
      <c r="AJ4787" s="94">
        <f t="shared" si="651"/>
        <v>41305</v>
      </c>
    </row>
    <row r="4788" spans="1:36" s="358" customFormat="1">
      <c r="A4788" s="94">
        <v>41333</v>
      </c>
      <c r="B4788" s="94" t="s">
        <v>397</v>
      </c>
      <c r="C4788" s="358" t="s">
        <v>297</v>
      </c>
      <c r="D4788" s="98">
        <v>12311712.423821142</v>
      </c>
      <c r="E4788" s="95">
        <f t="shared" si="654"/>
        <v>12311712.423821142</v>
      </c>
      <c r="F4788" s="98"/>
      <c r="G4788" s="98"/>
      <c r="H4788" s="98">
        <v>0</v>
      </c>
      <c r="I4788" s="98">
        <v>0</v>
      </c>
      <c r="J4788" s="98"/>
      <c r="K4788" s="93">
        <v>1</v>
      </c>
      <c r="L4788" s="93">
        <f t="shared" si="647"/>
        <v>0</v>
      </c>
      <c r="M4788" s="95">
        <f t="shared" ca="1" si="648"/>
        <v>0</v>
      </c>
      <c r="N4788" s="95">
        <f>IF(P4788="Hedge Fund",IF(A4788=Summary!$AD$3,M4788-E4788,M4788),IF(A4788=Summary!$AD$3,L4788-D4788,L4788))</f>
        <v>0</v>
      </c>
      <c r="O4788" s="95"/>
      <c r="P4788" s="107" t="s">
        <v>155</v>
      </c>
      <c r="Q4788" s="107">
        <v>0</v>
      </c>
      <c r="R4788" s="107">
        <v>1.2311712423821142</v>
      </c>
      <c r="S4788" s="107">
        <v>0</v>
      </c>
      <c r="T4788" s="107">
        <v>0</v>
      </c>
      <c r="U4788" s="107"/>
      <c r="V4788" s="107"/>
      <c r="W4788" s="107"/>
      <c r="X4788" s="107"/>
      <c r="Y4788" s="107"/>
      <c r="Z4788" s="107"/>
      <c r="AA4788" s="107"/>
      <c r="AB4788" s="107"/>
      <c r="AF4788" s="94">
        <f t="shared" si="649"/>
        <v>41333</v>
      </c>
      <c r="AG4788" s="185">
        <f t="shared" si="653"/>
        <v>5.1185029080016431E-3</v>
      </c>
      <c r="AH4788" s="339" t="str">
        <f>VLOOKUP(B4788,'MF PF'!A:B,2)</f>
        <v>Coinv</v>
      </c>
      <c r="AI4788" s="358">
        <f t="shared" si="650"/>
        <v>0</v>
      </c>
      <c r="AJ4788" s="94">
        <f t="shared" si="651"/>
        <v>41333</v>
      </c>
    </row>
    <row r="4789" spans="1:36" s="358" customFormat="1">
      <c r="A4789" s="94">
        <v>41361</v>
      </c>
      <c r="B4789" s="94" t="s">
        <v>397</v>
      </c>
      <c r="C4789" s="358" t="s">
        <v>297</v>
      </c>
      <c r="D4789" s="98">
        <v>11729882.238661507</v>
      </c>
      <c r="E4789" s="95">
        <f t="shared" si="654"/>
        <v>11729882.238661507</v>
      </c>
      <c r="F4789" s="98"/>
      <c r="G4789" s="98"/>
      <c r="H4789" s="98">
        <v>0</v>
      </c>
      <c r="I4789" s="98">
        <v>-662953.29</v>
      </c>
      <c r="J4789" s="98"/>
      <c r="K4789" s="93">
        <v>1</v>
      </c>
      <c r="L4789" s="93">
        <f t="shared" si="647"/>
        <v>-662953.29</v>
      </c>
      <c r="M4789" s="95">
        <f t="shared" ca="1" si="648"/>
        <v>-662953.29</v>
      </c>
      <c r="N4789" s="95">
        <f>IF(P4789="Hedge Fund",IF(A4789=Summary!$AD$3,M4789-E4789,M4789),IF(A4789=Summary!$AD$3,L4789-D4789,L4789))</f>
        <v>-662953.29</v>
      </c>
      <c r="O4789" s="95"/>
      <c r="P4789" s="107" t="s">
        <v>155</v>
      </c>
      <c r="Q4789" s="107">
        <v>0</v>
      </c>
      <c r="R4789" s="107">
        <v>1.1729882238661506</v>
      </c>
      <c r="S4789" s="107">
        <v>0</v>
      </c>
      <c r="T4789" s="107">
        <v>0</v>
      </c>
      <c r="U4789" s="107"/>
      <c r="V4789" s="107"/>
      <c r="W4789" s="107"/>
      <c r="X4789" s="107"/>
      <c r="Y4789" s="107"/>
      <c r="Z4789" s="107"/>
      <c r="AA4789" s="107"/>
      <c r="AB4789" s="107"/>
      <c r="AF4789" s="94">
        <f t="shared" si="649"/>
        <v>41361</v>
      </c>
      <c r="AG4789" s="185">
        <f t="shared" si="653"/>
        <v>6.5891000413074163E-3</v>
      </c>
      <c r="AH4789" s="339" t="str">
        <f>VLOOKUP(B4789,'MF PF'!A:B,2)</f>
        <v>Coinv</v>
      </c>
      <c r="AI4789" s="358">
        <f t="shared" si="650"/>
        <v>0</v>
      </c>
      <c r="AJ4789" s="94">
        <f t="shared" si="651"/>
        <v>41364</v>
      </c>
    </row>
    <row r="4790" spans="1:36" s="358" customFormat="1">
      <c r="A4790" s="94">
        <v>41394</v>
      </c>
      <c r="B4790" s="94" t="s">
        <v>397</v>
      </c>
      <c r="C4790" s="358" t="s">
        <v>297</v>
      </c>
      <c r="D4790" s="98">
        <v>11735901.6124679</v>
      </c>
      <c r="E4790" s="95">
        <f t="shared" si="654"/>
        <v>11735901.6124679</v>
      </c>
      <c r="F4790" s="98"/>
      <c r="G4790" s="98"/>
      <c r="H4790" s="98">
        <v>0</v>
      </c>
      <c r="I4790" s="98">
        <v>0</v>
      </c>
      <c r="J4790" s="98"/>
      <c r="K4790" s="93">
        <v>1</v>
      </c>
      <c r="L4790" s="93">
        <f t="shared" si="647"/>
        <v>0</v>
      </c>
      <c r="M4790" s="95">
        <f t="shared" ca="1" si="648"/>
        <v>0</v>
      </c>
      <c r="N4790" s="95">
        <f>IF(P4790="Hedge Fund",IF(A4790=Summary!$AD$3,M4790-E4790,M4790),IF(A4790=Summary!$AD$3,L4790-D4790,L4790))</f>
        <v>0</v>
      </c>
      <c r="O4790" s="95"/>
      <c r="P4790" s="107" t="s">
        <v>155</v>
      </c>
      <c r="Q4790" s="107">
        <v>0</v>
      </c>
      <c r="R4790" s="107">
        <v>1.1735901612467901</v>
      </c>
      <c r="S4790" s="107">
        <v>0</v>
      </c>
      <c r="T4790" s="107">
        <v>0</v>
      </c>
      <c r="U4790" s="107"/>
      <c r="V4790" s="107"/>
      <c r="W4790" s="107"/>
      <c r="X4790" s="107"/>
      <c r="Y4790" s="107"/>
      <c r="Z4790" s="107"/>
      <c r="AA4790" s="107"/>
      <c r="AB4790" s="107"/>
      <c r="AF4790" s="94">
        <f t="shared" si="649"/>
        <v>41394</v>
      </c>
      <c r="AG4790" s="185">
        <f t="shared" si="653"/>
        <v>5.1316574914572755E-4</v>
      </c>
      <c r="AH4790" s="339" t="str">
        <f>VLOOKUP(B4790,'MF PF'!A:B,2)</f>
        <v>Coinv</v>
      </c>
      <c r="AI4790" s="358">
        <f t="shared" si="650"/>
        <v>0</v>
      </c>
      <c r="AJ4790" s="94">
        <f t="shared" si="651"/>
        <v>41394</v>
      </c>
    </row>
    <row r="4791" spans="1:36" s="358" customFormat="1">
      <c r="A4791" s="94">
        <v>41425</v>
      </c>
      <c r="B4791" s="94" t="s">
        <v>397</v>
      </c>
      <c r="C4791" s="358" t="s">
        <v>297</v>
      </c>
      <c r="D4791" s="98">
        <v>13266416.386573002</v>
      </c>
      <c r="E4791" s="95">
        <f t="shared" si="654"/>
        <v>13266416.386573002</v>
      </c>
      <c r="F4791" s="98"/>
      <c r="G4791" s="98"/>
      <c r="H4791" s="98">
        <v>0</v>
      </c>
      <c r="I4791" s="98">
        <v>0</v>
      </c>
      <c r="J4791" s="98"/>
      <c r="K4791" s="93">
        <v>1</v>
      </c>
      <c r="L4791" s="93">
        <f t="shared" si="647"/>
        <v>0</v>
      </c>
      <c r="M4791" s="95">
        <f t="shared" ca="1" si="648"/>
        <v>0</v>
      </c>
      <c r="N4791" s="95">
        <f>IF(P4791="Hedge Fund",IF(A4791=Summary!$AD$3,M4791-E4791,M4791),IF(A4791=Summary!$AD$3,L4791-D4791,L4791))</f>
        <v>0</v>
      </c>
      <c r="O4791" s="95"/>
      <c r="P4791" s="107" t="s">
        <v>155</v>
      </c>
      <c r="Q4791" s="107">
        <v>0</v>
      </c>
      <c r="R4791" s="107">
        <v>1.3266416386573003</v>
      </c>
      <c r="S4791" s="107">
        <v>0</v>
      </c>
      <c r="T4791" s="107">
        <v>0</v>
      </c>
      <c r="U4791" s="107"/>
      <c r="V4791" s="107"/>
      <c r="W4791" s="107"/>
      <c r="X4791" s="107"/>
      <c r="Y4791" s="107"/>
      <c r="Z4791" s="107"/>
      <c r="AA4791" s="107"/>
      <c r="AB4791" s="107"/>
      <c r="AF4791" s="94">
        <f t="shared" si="649"/>
        <v>41425</v>
      </c>
      <c r="AG4791" s="185">
        <f t="shared" si="653"/>
        <v>0.13041305428797445</v>
      </c>
      <c r="AH4791" s="339" t="str">
        <f>VLOOKUP(B4791,'MF PF'!A:B,2)</f>
        <v>Coinv</v>
      </c>
      <c r="AI4791" s="358">
        <f t="shared" si="650"/>
        <v>0</v>
      </c>
      <c r="AJ4791" s="94">
        <f t="shared" si="651"/>
        <v>41425</v>
      </c>
    </row>
    <row r="4792" spans="1:36" s="358" customFormat="1">
      <c r="A4792" s="94">
        <v>41453</v>
      </c>
      <c r="B4792" s="94" t="s">
        <v>397</v>
      </c>
      <c r="C4792" s="358" t="s">
        <v>297</v>
      </c>
      <c r="D4792" s="98">
        <v>11808721.390754219</v>
      </c>
      <c r="E4792" s="95">
        <f t="shared" si="654"/>
        <v>11808721.390754219</v>
      </c>
      <c r="F4792" s="98"/>
      <c r="G4792" s="98"/>
      <c r="H4792" s="98">
        <v>0</v>
      </c>
      <c r="I4792" s="98">
        <v>0</v>
      </c>
      <c r="J4792" s="98"/>
      <c r="K4792" s="93">
        <v>1</v>
      </c>
      <c r="L4792" s="93">
        <f t="shared" si="647"/>
        <v>0</v>
      </c>
      <c r="M4792" s="95">
        <f t="shared" ca="1" si="648"/>
        <v>0</v>
      </c>
      <c r="N4792" s="95">
        <f>IF(P4792="Hedge Fund",IF(A4792=Summary!$AD$3,M4792-E4792,M4792),IF(A4792=Summary!$AD$3,L4792-D4792,L4792))</f>
        <v>0</v>
      </c>
      <c r="O4792" s="95"/>
      <c r="P4792" s="107" t="s">
        <v>155</v>
      </c>
      <c r="Q4792" s="107">
        <v>0</v>
      </c>
      <c r="R4792" s="107">
        <v>1.180872139075422</v>
      </c>
      <c r="S4792" s="107">
        <v>0</v>
      </c>
      <c r="T4792" s="107">
        <v>0</v>
      </c>
      <c r="U4792" s="107"/>
      <c r="V4792" s="107"/>
      <c r="W4792" s="107"/>
      <c r="X4792" s="107"/>
      <c r="Y4792" s="107"/>
      <c r="Z4792" s="107"/>
      <c r="AA4792" s="107"/>
      <c r="AB4792" s="107"/>
      <c r="AF4792" s="94">
        <f t="shared" si="649"/>
        <v>41453</v>
      </c>
      <c r="AG4792" s="185">
        <f t="shared" si="653"/>
        <v>-0.10987858011860097</v>
      </c>
      <c r="AH4792" s="339" t="str">
        <f>VLOOKUP(B4792,'MF PF'!A:B,2)</f>
        <v>Coinv</v>
      </c>
      <c r="AI4792" s="358">
        <f t="shared" si="650"/>
        <v>0</v>
      </c>
      <c r="AJ4792" s="94">
        <f t="shared" si="651"/>
        <v>41455</v>
      </c>
    </row>
    <row r="4793" spans="1:36">
      <c r="A4793" s="8">
        <v>41486</v>
      </c>
      <c r="B4793" s="94" t="s">
        <v>397</v>
      </c>
      <c r="C4793" s="6" t="s">
        <v>297</v>
      </c>
      <c r="D4793" s="98">
        <v>11736773.782846084</v>
      </c>
      <c r="E4793" s="9">
        <f t="shared" si="654"/>
        <v>11736773.782846084</v>
      </c>
      <c r="F4793" s="98"/>
      <c r="G4793" s="98"/>
      <c r="H4793" s="98">
        <v>0</v>
      </c>
      <c r="I4793" s="98">
        <v>0</v>
      </c>
      <c r="J4793" s="98"/>
      <c r="K4793" s="93">
        <v>1</v>
      </c>
      <c r="L4793" s="93">
        <f t="shared" si="647"/>
        <v>0</v>
      </c>
      <c r="M4793" s="95">
        <f t="shared" ca="1" si="648"/>
        <v>0</v>
      </c>
      <c r="N4793" s="95">
        <f>IF(P4793="Hedge Fund",IF(A4793=Summary!$AD$3,M4793-E4793,M4793),IF(A4793=Summary!$AD$3,L4793-D4793,L4793))</f>
        <v>0</v>
      </c>
      <c r="P4793" s="107" t="s">
        <v>155</v>
      </c>
      <c r="Q4793" s="107">
        <v>0</v>
      </c>
      <c r="R4793" s="107">
        <v>1.1736773782846084</v>
      </c>
      <c r="S4793" s="107">
        <v>0</v>
      </c>
      <c r="T4793" s="107">
        <v>0</v>
      </c>
      <c r="U4793" s="107"/>
      <c r="V4793" s="107"/>
      <c r="W4793" s="107"/>
      <c r="X4793" s="107"/>
      <c r="Y4793" s="107"/>
      <c r="Z4793" s="107"/>
      <c r="AA4793" s="107"/>
      <c r="AB4793" s="107"/>
      <c r="AF4793" s="94">
        <f t="shared" si="649"/>
        <v>41486</v>
      </c>
      <c r="AG4793" s="185">
        <f t="shared" ref="AG4793:AG4824" si="655">IF(C4793&lt;&gt;C4792,D4793/G4793-1,(D4793-G4793-I4793-H4793)/(D4792)-1)</f>
        <v>-6.0927517490985128E-3</v>
      </c>
      <c r="AH4793" s="339" t="str">
        <f>VLOOKUP(B4793,'MF PF'!A:B,2)</f>
        <v>Coinv</v>
      </c>
      <c r="AI4793" s="358">
        <f t="shared" si="650"/>
        <v>0</v>
      </c>
      <c r="AJ4793" s="94">
        <f t="shared" si="651"/>
        <v>41486</v>
      </c>
    </row>
    <row r="4794" spans="1:36" s="358" customFormat="1" ht="12.75" customHeight="1">
      <c r="A4794" s="94">
        <v>41516</v>
      </c>
      <c r="B4794" s="94" t="s">
        <v>397</v>
      </c>
      <c r="C4794" s="358" t="s">
        <v>297</v>
      </c>
      <c r="D4794" s="98">
        <v>11566719.12818744</v>
      </c>
      <c r="E4794" s="95">
        <f t="shared" si="654"/>
        <v>11566719.12818744</v>
      </c>
      <c r="F4794" s="98"/>
      <c r="G4794" s="98"/>
      <c r="H4794" s="98">
        <v>0</v>
      </c>
      <c r="I4794" s="98">
        <v>0</v>
      </c>
      <c r="J4794" s="98"/>
      <c r="K4794" s="93">
        <v>1</v>
      </c>
      <c r="L4794" s="93">
        <f t="shared" si="647"/>
        <v>0</v>
      </c>
      <c r="M4794" s="95">
        <f t="shared" ca="1" si="648"/>
        <v>0</v>
      </c>
      <c r="N4794" s="95">
        <f>IF(P4794="Hedge Fund",IF(A4794=Summary!$AD$3,M4794-E4794,M4794),IF(A4794=Summary!$AD$3,L4794-D4794,L4794))</f>
        <v>0</v>
      </c>
      <c r="O4794" s="95"/>
      <c r="P4794" s="107" t="s">
        <v>155</v>
      </c>
      <c r="Q4794" s="107">
        <v>0</v>
      </c>
      <c r="R4794" s="107">
        <v>1.1566719128187442</v>
      </c>
      <c r="S4794" s="107">
        <v>0</v>
      </c>
      <c r="T4794" s="107">
        <v>0</v>
      </c>
      <c r="U4794" s="107"/>
      <c r="V4794" s="107"/>
      <c r="W4794" s="107"/>
      <c r="X4794" s="107"/>
      <c r="Y4794" s="107"/>
      <c r="Z4794" s="107"/>
      <c r="AA4794" s="107"/>
      <c r="AB4794" s="107"/>
      <c r="AF4794" s="94">
        <f t="shared" si="649"/>
        <v>41516</v>
      </c>
      <c r="AG4794" s="185">
        <f t="shared" si="655"/>
        <v>-1.4489045951212587E-2</v>
      </c>
      <c r="AH4794" s="339" t="str">
        <f>VLOOKUP(B4794,'MF PF'!A:B,2)</f>
        <v>Coinv</v>
      </c>
      <c r="AI4794" s="358">
        <f t="shared" si="650"/>
        <v>0</v>
      </c>
      <c r="AJ4794" s="94">
        <f t="shared" si="651"/>
        <v>41517</v>
      </c>
    </row>
    <row r="4795" spans="1:36" s="358" customFormat="1" ht="12.75" customHeight="1">
      <c r="A4795" s="94">
        <v>41547</v>
      </c>
      <c r="B4795" s="94" t="s">
        <v>397</v>
      </c>
      <c r="C4795" s="358" t="s">
        <v>297</v>
      </c>
      <c r="D4795" s="98">
        <v>11750427.537092499</v>
      </c>
      <c r="E4795" s="95">
        <f t="shared" si="654"/>
        <v>11750427.537092499</v>
      </c>
      <c r="F4795" s="98"/>
      <c r="G4795" s="98"/>
      <c r="H4795" s="98">
        <v>0</v>
      </c>
      <c r="I4795" s="98">
        <v>0</v>
      </c>
      <c r="J4795" s="98"/>
      <c r="K4795" s="93">
        <v>1</v>
      </c>
      <c r="L4795" s="93">
        <f t="shared" si="647"/>
        <v>0</v>
      </c>
      <c r="M4795" s="95">
        <f t="shared" ca="1" si="648"/>
        <v>0</v>
      </c>
      <c r="N4795" s="95">
        <f>IF(P4795="Hedge Fund",IF(A4795=Summary!$AD$3,M4795-E4795,M4795),IF(A4795=Summary!$AD$3,L4795-D4795,L4795))</f>
        <v>0</v>
      </c>
      <c r="O4795" s="95"/>
      <c r="P4795" s="107" t="s">
        <v>155</v>
      </c>
      <c r="Q4795" s="107">
        <v>0</v>
      </c>
      <c r="R4795" s="107">
        <v>1.1750427537092498</v>
      </c>
      <c r="S4795" s="107">
        <v>0</v>
      </c>
      <c r="T4795" s="107">
        <v>0</v>
      </c>
      <c r="U4795" s="107"/>
      <c r="V4795" s="107"/>
      <c r="W4795" s="107"/>
      <c r="X4795" s="107"/>
      <c r="Y4795" s="107"/>
      <c r="Z4795" s="107"/>
      <c r="AA4795" s="107"/>
      <c r="AB4795" s="107"/>
      <c r="AF4795" s="94">
        <f t="shared" si="649"/>
        <v>41547</v>
      </c>
      <c r="AG4795" s="185">
        <f t="shared" si="655"/>
        <v>1.5882499338759848E-2</v>
      </c>
      <c r="AH4795" s="339" t="str">
        <f>VLOOKUP(B4795,'MF PF'!A:B,2)</f>
        <v>Coinv</v>
      </c>
      <c r="AI4795" s="358">
        <f t="shared" si="650"/>
        <v>0</v>
      </c>
      <c r="AJ4795" s="94">
        <f t="shared" si="651"/>
        <v>41547</v>
      </c>
    </row>
    <row r="4796" spans="1:36" s="358" customFormat="1" ht="12.75" customHeight="1">
      <c r="A4796" s="94">
        <v>41578</v>
      </c>
      <c r="B4796" s="94" t="s">
        <v>397</v>
      </c>
      <c r="C4796" s="358" t="s">
        <v>297</v>
      </c>
      <c r="D4796" s="98">
        <v>11887180.954927858</v>
      </c>
      <c r="E4796" s="95">
        <f t="shared" si="654"/>
        <v>11887180.954927858</v>
      </c>
      <c r="F4796" s="98"/>
      <c r="G4796" s="98"/>
      <c r="H4796" s="98">
        <v>0</v>
      </c>
      <c r="I4796" s="98">
        <v>0</v>
      </c>
      <c r="J4796" s="98"/>
      <c r="K4796" s="93">
        <v>1</v>
      </c>
      <c r="L4796" s="93">
        <f t="shared" si="647"/>
        <v>0</v>
      </c>
      <c r="M4796" s="95">
        <f t="shared" ca="1" si="648"/>
        <v>0</v>
      </c>
      <c r="N4796" s="95">
        <f>IF(P4796="Hedge Fund",IF(A4796=Summary!$AD$3,M4796-E4796,M4796),IF(A4796=Summary!$AD$3,L4796-D4796,L4796))</f>
        <v>0</v>
      </c>
      <c r="O4796" s="95"/>
      <c r="P4796" s="107" t="s">
        <v>155</v>
      </c>
      <c r="Q4796" s="107">
        <v>0</v>
      </c>
      <c r="R4796" s="107">
        <v>1.1887180954927858</v>
      </c>
      <c r="S4796" s="107">
        <v>0</v>
      </c>
      <c r="T4796" s="107">
        <v>0</v>
      </c>
      <c r="U4796" s="107"/>
      <c r="V4796" s="107"/>
      <c r="W4796" s="107"/>
      <c r="X4796" s="107"/>
      <c r="Y4796" s="107"/>
      <c r="Z4796" s="107"/>
      <c r="AA4796" s="107"/>
      <c r="AB4796" s="107"/>
      <c r="AF4796" s="94">
        <f t="shared" si="649"/>
        <v>41578</v>
      </c>
      <c r="AG4796" s="185">
        <f t="shared" si="655"/>
        <v>1.1638165284086011E-2</v>
      </c>
      <c r="AH4796" s="339" t="str">
        <f>VLOOKUP(B4796,'MF PF'!A:B,2)</f>
        <v>Coinv</v>
      </c>
      <c r="AI4796" s="358">
        <f t="shared" si="650"/>
        <v>0</v>
      </c>
      <c r="AJ4796" s="94">
        <f t="shared" si="651"/>
        <v>41578</v>
      </c>
    </row>
    <row r="4797" spans="1:36" s="358" customFormat="1" ht="12.75" customHeight="1">
      <c r="A4797" s="94">
        <v>41607</v>
      </c>
      <c r="B4797" s="94" t="s">
        <v>397</v>
      </c>
      <c r="C4797" s="358" t="s">
        <v>297</v>
      </c>
      <c r="D4797" s="98">
        <v>11702406.115568081</v>
      </c>
      <c r="E4797" s="95">
        <f t="shared" si="654"/>
        <v>11702406.115568081</v>
      </c>
      <c r="F4797" s="98"/>
      <c r="G4797" s="98"/>
      <c r="H4797" s="98">
        <v>0</v>
      </c>
      <c r="I4797" s="98">
        <v>0</v>
      </c>
      <c r="J4797" s="98"/>
      <c r="K4797" s="93">
        <v>1</v>
      </c>
      <c r="L4797" s="93">
        <f t="shared" si="647"/>
        <v>0</v>
      </c>
      <c r="M4797" s="95">
        <f t="shared" ca="1" si="648"/>
        <v>0</v>
      </c>
      <c r="N4797" s="95">
        <f>IF(P4797="Hedge Fund",IF(A4797=Summary!$AD$3,M4797-E4797,M4797),IF(A4797=Summary!$AD$3,L4797-D4797,L4797))</f>
        <v>0</v>
      </c>
      <c r="O4797" s="95"/>
      <c r="P4797" s="107" t="s">
        <v>155</v>
      </c>
      <c r="Q4797" s="107">
        <v>0</v>
      </c>
      <c r="R4797" s="107">
        <v>1.1702406115568083</v>
      </c>
      <c r="S4797" s="107">
        <v>0</v>
      </c>
      <c r="T4797" s="107">
        <v>0</v>
      </c>
      <c r="U4797" s="107"/>
      <c r="V4797" s="107"/>
      <c r="W4797" s="107"/>
      <c r="X4797" s="107"/>
      <c r="Y4797" s="107"/>
      <c r="Z4797" s="107"/>
      <c r="AA4797" s="107"/>
      <c r="AB4797" s="107"/>
      <c r="AF4797" s="94">
        <f t="shared" si="649"/>
        <v>41607</v>
      </c>
      <c r="AG4797" s="185">
        <f t="shared" si="655"/>
        <v>-1.5544041944038689E-2</v>
      </c>
      <c r="AH4797" s="339" t="str">
        <f>VLOOKUP(B4797,'MF PF'!A:B,2)</f>
        <v>Coinv</v>
      </c>
      <c r="AI4797" s="358">
        <f t="shared" si="650"/>
        <v>0</v>
      </c>
      <c r="AJ4797" s="94">
        <f t="shared" si="651"/>
        <v>41608</v>
      </c>
    </row>
    <row r="4798" spans="1:36" s="358" customFormat="1" ht="12.75" customHeight="1">
      <c r="A4798" s="94">
        <v>41639</v>
      </c>
      <c r="B4798" s="94" t="s">
        <v>397</v>
      </c>
      <c r="C4798" s="358" t="s">
        <v>297</v>
      </c>
      <c r="D4798" s="98">
        <v>11764090.47267909</v>
      </c>
      <c r="E4798" s="95">
        <f t="shared" si="654"/>
        <v>11764090.47267909</v>
      </c>
      <c r="F4798" s="98"/>
      <c r="G4798" s="98"/>
      <c r="H4798" s="98">
        <v>0</v>
      </c>
      <c r="I4798" s="98">
        <v>0</v>
      </c>
      <c r="J4798" s="98"/>
      <c r="K4798" s="93">
        <v>1</v>
      </c>
      <c r="L4798" s="93">
        <f t="shared" si="647"/>
        <v>0</v>
      </c>
      <c r="M4798" s="95">
        <f t="shared" ca="1" si="648"/>
        <v>0</v>
      </c>
      <c r="N4798" s="95">
        <f>IF(P4798="Hedge Fund",IF(A4798=Summary!$AD$3,M4798-E4798,M4798),IF(A4798=Summary!$AD$3,L4798-D4798,L4798))</f>
        <v>0</v>
      </c>
      <c r="O4798" s="95"/>
      <c r="P4798" s="107" t="s">
        <v>155</v>
      </c>
      <c r="Q4798" s="107">
        <v>0</v>
      </c>
      <c r="R4798" s="107">
        <v>1.176409047267909</v>
      </c>
      <c r="S4798" s="107">
        <v>0</v>
      </c>
      <c r="T4798" s="107">
        <v>0</v>
      </c>
      <c r="U4798" s="107"/>
      <c r="V4798" s="107"/>
      <c r="W4798" s="107"/>
      <c r="X4798" s="107"/>
      <c r="Y4798" s="107"/>
      <c r="Z4798" s="107"/>
      <c r="AA4798" s="107"/>
      <c r="AB4798" s="107"/>
      <c r="AF4798" s="94">
        <f t="shared" si="649"/>
        <v>41639</v>
      </c>
      <c r="AG4798" s="185">
        <f t="shared" si="655"/>
        <v>5.2710832714093492E-3</v>
      </c>
      <c r="AH4798" s="339" t="str">
        <f>VLOOKUP(B4798,'MF PF'!A:B,2)</f>
        <v>Coinv</v>
      </c>
      <c r="AI4798" s="358">
        <f t="shared" si="650"/>
        <v>0</v>
      </c>
      <c r="AJ4798" s="94">
        <f t="shared" si="651"/>
        <v>41639</v>
      </c>
    </row>
    <row r="4799" spans="1:36" s="358" customFormat="1" ht="12.75" customHeight="1">
      <c r="A4799" s="94">
        <v>41669</v>
      </c>
      <c r="B4799" s="94" t="s">
        <v>397</v>
      </c>
      <c r="C4799" s="358" t="s">
        <v>297</v>
      </c>
      <c r="D4799" s="98">
        <v>11676868.879779583</v>
      </c>
      <c r="E4799" s="95">
        <f t="shared" si="654"/>
        <v>11676868.879779583</v>
      </c>
      <c r="F4799" s="98"/>
      <c r="G4799" s="98"/>
      <c r="H4799" s="98">
        <v>0</v>
      </c>
      <c r="I4799" s="98">
        <v>0</v>
      </c>
      <c r="J4799" s="98"/>
      <c r="K4799" s="93">
        <v>1</v>
      </c>
      <c r="L4799" s="93">
        <f t="shared" si="647"/>
        <v>0</v>
      </c>
      <c r="M4799" s="95">
        <f t="shared" ca="1" si="648"/>
        <v>0</v>
      </c>
      <c r="N4799" s="95">
        <f>IF(P4799="Hedge Fund",IF(A4799=Summary!$AD$3,M4799-E4799,M4799),IF(A4799=Summary!$AD$3,L4799-D4799,L4799))</f>
        <v>0</v>
      </c>
      <c r="O4799" s="95"/>
      <c r="P4799" s="107" t="s">
        <v>155</v>
      </c>
      <c r="Q4799" s="107">
        <v>0</v>
      </c>
      <c r="R4799" s="107">
        <v>1.1676868879779583</v>
      </c>
      <c r="S4799" s="107">
        <v>0</v>
      </c>
      <c r="T4799" s="107">
        <v>0</v>
      </c>
      <c r="U4799" s="107"/>
      <c r="V4799" s="107"/>
      <c r="W4799" s="107"/>
      <c r="X4799" s="107"/>
      <c r="Y4799" s="107"/>
      <c r="Z4799" s="107"/>
      <c r="AA4799" s="107"/>
      <c r="AB4799" s="107"/>
      <c r="AF4799" s="94">
        <f t="shared" si="649"/>
        <v>41669</v>
      </c>
      <c r="AG4799" s="185">
        <f t="shared" si="655"/>
        <v>-7.4142232331577684E-3</v>
      </c>
      <c r="AH4799" s="339" t="str">
        <f>VLOOKUP(B4799,'MF PF'!A:B,2)</f>
        <v>Coinv</v>
      </c>
      <c r="AI4799" s="358">
        <f t="shared" si="650"/>
        <v>0</v>
      </c>
      <c r="AJ4799" s="94">
        <f t="shared" si="651"/>
        <v>41670</v>
      </c>
    </row>
    <row r="4800" spans="1:36" s="358" customFormat="1" ht="12.75" customHeight="1">
      <c r="A4800" s="94">
        <v>41698</v>
      </c>
      <c r="B4800" s="94" t="s">
        <v>397</v>
      </c>
      <c r="C4800" s="358" t="s">
        <v>297</v>
      </c>
      <c r="D4800" s="98">
        <v>11583844.626509063</v>
      </c>
      <c r="E4800" s="95">
        <f t="shared" si="654"/>
        <v>11583844.626509063</v>
      </c>
      <c r="F4800" s="98"/>
      <c r="G4800" s="98"/>
      <c r="H4800" s="98">
        <v>0</v>
      </c>
      <c r="I4800" s="98">
        <v>0</v>
      </c>
      <c r="J4800" s="98"/>
      <c r="K4800" s="93">
        <v>1</v>
      </c>
      <c r="L4800" s="93">
        <f t="shared" si="647"/>
        <v>0</v>
      </c>
      <c r="M4800" s="95">
        <f t="shared" ca="1" si="648"/>
        <v>0</v>
      </c>
      <c r="N4800" s="95">
        <f>IF(P4800="Hedge Fund",IF(A4800=Summary!$AD$3,M4800-E4800,M4800),IF(A4800=Summary!$AD$3,L4800-D4800,L4800))</f>
        <v>0</v>
      </c>
      <c r="O4800" s="95"/>
      <c r="P4800" s="107" t="s">
        <v>155</v>
      </c>
      <c r="Q4800" s="107">
        <v>0</v>
      </c>
      <c r="R4800" s="107">
        <v>1.1583844626509063</v>
      </c>
      <c r="S4800" s="107">
        <v>0</v>
      </c>
      <c r="T4800" s="107">
        <v>0</v>
      </c>
      <c r="U4800" s="107"/>
      <c r="V4800" s="107"/>
      <c r="W4800" s="107"/>
      <c r="X4800" s="107"/>
      <c r="Y4800" s="107"/>
      <c r="Z4800" s="107"/>
      <c r="AA4800" s="107"/>
      <c r="AB4800" s="107"/>
      <c r="AF4800" s="94">
        <f t="shared" si="649"/>
        <v>41698</v>
      </c>
      <c r="AG4800" s="185">
        <f t="shared" si="655"/>
        <v>-7.9665408790884351E-3</v>
      </c>
      <c r="AH4800" s="339" t="str">
        <f>VLOOKUP(B4800,'MF PF'!A:B,2)</f>
        <v>Coinv</v>
      </c>
      <c r="AI4800" s="358">
        <f t="shared" si="650"/>
        <v>0</v>
      </c>
      <c r="AJ4800" s="94">
        <f t="shared" si="651"/>
        <v>41698</v>
      </c>
    </row>
    <row r="4801" spans="1:36" s="358" customFormat="1" ht="12.75" customHeight="1">
      <c r="A4801" s="94">
        <v>41729</v>
      </c>
      <c r="B4801" s="94" t="s">
        <v>397</v>
      </c>
      <c r="C4801" s="358" t="s">
        <v>297</v>
      </c>
      <c r="D4801" s="98">
        <v>11430571.1</v>
      </c>
      <c r="E4801" s="95">
        <f t="shared" si="654"/>
        <v>11430571.1</v>
      </c>
      <c r="F4801" s="98"/>
      <c r="G4801" s="98"/>
      <c r="H4801" s="98">
        <v>0</v>
      </c>
      <c r="I4801" s="98">
        <v>0</v>
      </c>
      <c r="J4801" s="98"/>
      <c r="K4801" s="93">
        <v>1</v>
      </c>
      <c r="L4801" s="93">
        <f t="shared" ref="L4801:L4864" si="656">G4801+H4801+I4801</f>
        <v>0</v>
      </c>
      <c r="M4801" s="95">
        <f t="shared" ref="M4801:M4864" ca="1" si="657">IF(A4801&gt;INDIRECT("A"&amp;ROW()-1),I4801/K4801,E4801)</f>
        <v>0</v>
      </c>
      <c r="N4801" s="95">
        <f>IF(P4801="Hedge Fund",IF(A4801=Summary!$AD$3,M4801-E4801,M4801),IF(A4801=Summary!$AD$3,L4801-D4801,L4801))</f>
        <v>0</v>
      </c>
      <c r="O4801" s="95"/>
      <c r="P4801" s="107" t="s">
        <v>155</v>
      </c>
      <c r="Q4801" s="107">
        <v>0</v>
      </c>
      <c r="R4801" s="107">
        <v>1.14305711</v>
      </c>
      <c r="S4801" s="107">
        <v>0</v>
      </c>
      <c r="T4801" s="107">
        <v>0</v>
      </c>
      <c r="U4801" s="107"/>
      <c r="V4801" s="107"/>
      <c r="W4801" s="107"/>
      <c r="X4801" s="107"/>
      <c r="Y4801" s="107"/>
      <c r="Z4801" s="107"/>
      <c r="AA4801" s="107"/>
      <c r="AB4801" s="107"/>
      <c r="AF4801" s="94">
        <f t="shared" ref="AF4801:AF4864" si="658">A4801</f>
        <v>41729</v>
      </c>
      <c r="AG4801" s="185">
        <f t="shared" si="655"/>
        <v>-1.3231662841739489E-2</v>
      </c>
      <c r="AH4801" s="339" t="str">
        <f>VLOOKUP(B4801,'MF PF'!A:B,2)</f>
        <v>Coinv</v>
      </c>
      <c r="AI4801" s="358">
        <f t="shared" ref="AI4801:AI4864" si="659">AF4801-A4801</f>
        <v>0</v>
      </c>
      <c r="AJ4801" s="94">
        <f t="shared" ref="AJ4801:AJ4864" si="660">EOMONTH(A4801,0)</f>
        <v>41729</v>
      </c>
    </row>
    <row r="4802" spans="1:36" s="358" customFormat="1" ht="12.75" customHeight="1">
      <c r="A4802" s="94">
        <v>41759</v>
      </c>
      <c r="B4802" s="94" t="s">
        <v>397</v>
      </c>
      <c r="C4802" s="358" t="s">
        <v>297</v>
      </c>
      <c r="D4802" s="98">
        <v>12077816.77</v>
      </c>
      <c r="E4802" s="95">
        <f t="shared" si="654"/>
        <v>12077816.77</v>
      </c>
      <c r="F4802" s="98"/>
      <c r="G4802" s="98"/>
      <c r="H4802" s="98">
        <v>0</v>
      </c>
      <c r="I4802" s="98">
        <v>0</v>
      </c>
      <c r="J4802" s="98"/>
      <c r="K4802" s="93">
        <v>1</v>
      </c>
      <c r="L4802" s="93">
        <f t="shared" si="656"/>
        <v>0</v>
      </c>
      <c r="M4802" s="95">
        <f t="shared" ca="1" si="657"/>
        <v>0</v>
      </c>
      <c r="N4802" s="95">
        <f>IF(P4802="Hedge Fund",IF(A4802=Summary!$AD$3,M4802-E4802,M4802),IF(A4802=Summary!$AD$3,L4802-D4802,L4802))</f>
        <v>0</v>
      </c>
      <c r="O4802" s="95"/>
      <c r="P4802" s="107" t="s">
        <v>155</v>
      </c>
      <c r="Q4802" s="107">
        <v>0</v>
      </c>
      <c r="R4802" s="107">
        <v>1.2077816770000001</v>
      </c>
      <c r="S4802" s="107">
        <v>0</v>
      </c>
      <c r="T4802" s="107">
        <v>0</v>
      </c>
      <c r="U4802" s="107"/>
      <c r="V4802" s="107"/>
      <c r="W4802" s="107"/>
      <c r="X4802" s="107"/>
      <c r="Y4802" s="107"/>
      <c r="Z4802" s="107"/>
      <c r="AA4802" s="107"/>
      <c r="AB4802" s="107"/>
      <c r="AF4802" s="94">
        <f t="shared" si="658"/>
        <v>41759</v>
      </c>
      <c r="AG4802" s="185">
        <f t="shared" si="655"/>
        <v>5.6624088537448491E-2</v>
      </c>
      <c r="AH4802" s="339" t="str">
        <f>VLOOKUP(B4802,'MF PF'!A:B,2)</f>
        <v>Coinv</v>
      </c>
      <c r="AI4802" s="358">
        <f t="shared" si="659"/>
        <v>0</v>
      </c>
      <c r="AJ4802" s="94">
        <f t="shared" si="660"/>
        <v>41759</v>
      </c>
    </row>
    <row r="4803" spans="1:36" s="358" customFormat="1" ht="12.75" customHeight="1">
      <c r="A4803" s="94">
        <v>41789</v>
      </c>
      <c r="B4803" s="94" t="s">
        <v>397</v>
      </c>
      <c r="C4803" s="358" t="s">
        <v>297</v>
      </c>
      <c r="D4803" s="98">
        <v>10377040.9767846</v>
      </c>
      <c r="E4803" s="95">
        <f t="shared" si="654"/>
        <v>10377040.9767846</v>
      </c>
      <c r="F4803" s="98"/>
      <c r="G4803" s="98"/>
      <c r="H4803" s="98">
        <v>0</v>
      </c>
      <c r="I4803" s="98">
        <v>-346558.62999999902</v>
      </c>
      <c r="J4803" s="98"/>
      <c r="K4803" s="93">
        <v>1</v>
      </c>
      <c r="L4803" s="93">
        <f t="shared" si="656"/>
        <v>-346558.62999999902</v>
      </c>
      <c r="M4803" s="95">
        <f t="shared" ca="1" si="657"/>
        <v>-346558.62999999902</v>
      </c>
      <c r="N4803" s="95">
        <f>IF(P4803="Hedge Fund",IF(A4803=Summary!$AD$3,M4803-E4803,M4803),IF(A4803=Summary!$AD$3,L4803-D4803,L4803))</f>
        <v>-346558.62999999902</v>
      </c>
      <c r="O4803" s="95"/>
      <c r="P4803" s="107" t="s">
        <v>155</v>
      </c>
      <c r="Q4803" s="107">
        <v>0</v>
      </c>
      <c r="R4803" s="107">
        <v>1.0377040976784602</v>
      </c>
      <c r="S4803" s="107">
        <v>0</v>
      </c>
      <c r="T4803" s="107">
        <v>0</v>
      </c>
      <c r="U4803" s="107"/>
      <c r="V4803" s="107"/>
      <c r="W4803" s="107"/>
      <c r="X4803" s="107"/>
      <c r="Y4803" s="107"/>
      <c r="Z4803" s="107"/>
      <c r="AA4803" s="107"/>
      <c r="AB4803" s="107"/>
      <c r="AF4803" s="94">
        <f t="shared" si="658"/>
        <v>41789</v>
      </c>
      <c r="AG4803" s="185">
        <f t="shared" si="655"/>
        <v>-0.11212433414117784</v>
      </c>
      <c r="AH4803" s="339" t="str">
        <f>VLOOKUP(B4803,'MF PF'!A:B,2)</f>
        <v>Coinv</v>
      </c>
      <c r="AI4803" s="358">
        <f t="shared" si="659"/>
        <v>0</v>
      </c>
      <c r="AJ4803" s="94">
        <f t="shared" si="660"/>
        <v>41790</v>
      </c>
    </row>
    <row r="4804" spans="1:36" s="358" customFormat="1" ht="12.75" customHeight="1">
      <c r="A4804" s="94">
        <v>41820</v>
      </c>
      <c r="B4804" s="94" t="s">
        <v>397</v>
      </c>
      <c r="C4804" s="358" t="s">
        <v>297</v>
      </c>
      <c r="D4804" s="98">
        <v>9796896.9100000001</v>
      </c>
      <c r="E4804" s="95">
        <f t="shared" si="654"/>
        <v>9796896.9100000001</v>
      </c>
      <c r="F4804" s="98"/>
      <c r="G4804" s="98"/>
      <c r="H4804" s="98">
        <v>0</v>
      </c>
      <c r="I4804" s="98">
        <v>0</v>
      </c>
      <c r="J4804" s="98"/>
      <c r="K4804" s="93">
        <v>1</v>
      </c>
      <c r="L4804" s="93">
        <f t="shared" si="656"/>
        <v>0</v>
      </c>
      <c r="M4804" s="95">
        <f t="shared" ca="1" si="657"/>
        <v>0</v>
      </c>
      <c r="N4804" s="95">
        <f>IF(P4804="Hedge Fund",IF(A4804=Summary!$AD$3,M4804-E4804,M4804),IF(A4804=Summary!$AD$3,L4804-D4804,L4804))</f>
        <v>0</v>
      </c>
      <c r="O4804" s="95"/>
      <c r="P4804" s="107" t="s">
        <v>155</v>
      </c>
      <c r="Q4804" s="107">
        <v>0</v>
      </c>
      <c r="R4804" s="107">
        <v>0.97968969100000014</v>
      </c>
      <c r="S4804" s="107">
        <v>0</v>
      </c>
      <c r="T4804" s="107">
        <v>0</v>
      </c>
      <c r="U4804" s="107"/>
      <c r="V4804" s="107"/>
      <c r="W4804" s="107"/>
      <c r="X4804" s="107"/>
      <c r="Y4804" s="107"/>
      <c r="Z4804" s="107"/>
      <c r="AA4804" s="107"/>
      <c r="AB4804" s="107"/>
      <c r="AF4804" s="94">
        <f t="shared" si="658"/>
        <v>41820</v>
      </c>
      <c r="AG4804" s="185">
        <f t="shared" si="655"/>
        <v>-5.5906502449252327E-2</v>
      </c>
      <c r="AH4804" s="339" t="str">
        <f>VLOOKUP(B4804,'MF PF'!A:B,2)</f>
        <v>Coinv</v>
      </c>
      <c r="AI4804" s="358">
        <f t="shared" si="659"/>
        <v>0</v>
      </c>
      <c r="AJ4804" s="94">
        <f t="shared" si="660"/>
        <v>41820</v>
      </c>
    </row>
    <row r="4805" spans="1:36" s="358" customFormat="1" ht="12.75" customHeight="1">
      <c r="A4805" s="94">
        <v>41851</v>
      </c>
      <c r="B4805" s="94" t="s">
        <v>397</v>
      </c>
      <c r="C4805" s="358" t="s">
        <v>297</v>
      </c>
      <c r="D4805" s="98">
        <v>9352044.7416898012</v>
      </c>
      <c r="E4805" s="95">
        <f t="shared" si="654"/>
        <v>9352044.7416898012</v>
      </c>
      <c r="F4805" s="98"/>
      <c r="G4805" s="98"/>
      <c r="H4805" s="98">
        <v>0</v>
      </c>
      <c r="I4805" s="98">
        <v>0</v>
      </c>
      <c r="J4805" s="98"/>
      <c r="K4805" s="93">
        <v>1</v>
      </c>
      <c r="L4805" s="93">
        <f t="shared" si="656"/>
        <v>0</v>
      </c>
      <c r="M4805" s="95">
        <f t="shared" ca="1" si="657"/>
        <v>0</v>
      </c>
      <c r="N4805" s="95">
        <f>IF(P4805="Hedge Fund",IF(A4805=Summary!$AD$3,M4805-E4805,M4805),IF(A4805=Summary!$AD$3,L4805-D4805,L4805))</f>
        <v>0</v>
      </c>
      <c r="O4805" s="95"/>
      <c r="P4805" s="107" t="s">
        <v>155</v>
      </c>
      <c r="Q4805" s="107">
        <v>0</v>
      </c>
      <c r="R4805" s="107">
        <v>0.93520447416898012</v>
      </c>
      <c r="S4805" s="107">
        <v>0</v>
      </c>
      <c r="T4805" s="107">
        <v>0</v>
      </c>
      <c r="U4805" s="107"/>
      <c r="V4805" s="107"/>
      <c r="W4805" s="107"/>
      <c r="X4805" s="107"/>
      <c r="Y4805" s="107"/>
      <c r="Z4805" s="107"/>
      <c r="AA4805" s="107"/>
      <c r="AB4805" s="107"/>
      <c r="AF4805" s="94">
        <f t="shared" si="658"/>
        <v>41851</v>
      </c>
      <c r="AG4805" s="185">
        <f t="shared" si="655"/>
        <v>-4.5407456299363935E-2</v>
      </c>
      <c r="AH4805" s="339" t="str">
        <f>VLOOKUP(B4805,'MF PF'!A:B,2)</f>
        <v>Coinv</v>
      </c>
      <c r="AI4805" s="358">
        <f t="shared" si="659"/>
        <v>0</v>
      </c>
      <c r="AJ4805" s="94">
        <f t="shared" si="660"/>
        <v>41851</v>
      </c>
    </row>
    <row r="4806" spans="1:36" s="358" customFormat="1" ht="12.75" customHeight="1">
      <c r="A4806" s="94">
        <v>41880</v>
      </c>
      <c r="B4806" s="94" t="s">
        <v>397</v>
      </c>
      <c r="C4806" s="358" t="s">
        <v>297</v>
      </c>
      <c r="D4806" s="98">
        <v>8890893.009968942</v>
      </c>
      <c r="E4806" s="95">
        <f t="shared" si="654"/>
        <v>8890893.009968942</v>
      </c>
      <c r="F4806" s="98"/>
      <c r="G4806" s="98"/>
      <c r="H4806" s="98">
        <v>0</v>
      </c>
      <c r="I4806" s="98">
        <v>0</v>
      </c>
      <c r="J4806" s="98"/>
      <c r="K4806" s="93">
        <v>1</v>
      </c>
      <c r="L4806" s="93">
        <f t="shared" si="656"/>
        <v>0</v>
      </c>
      <c r="M4806" s="95">
        <f t="shared" ca="1" si="657"/>
        <v>0</v>
      </c>
      <c r="N4806" s="95">
        <f>IF(P4806="Hedge Fund",IF(A4806=Summary!$AD$3,M4806-E4806,M4806),IF(A4806=Summary!$AD$3,L4806-D4806,L4806))</f>
        <v>0</v>
      </c>
      <c r="O4806" s="95"/>
      <c r="P4806" s="107" t="s">
        <v>155</v>
      </c>
      <c r="Q4806" s="107">
        <v>0</v>
      </c>
      <c r="R4806" s="107">
        <v>0.88908930099689421</v>
      </c>
      <c r="S4806" s="107">
        <v>0</v>
      </c>
      <c r="T4806" s="107">
        <v>0</v>
      </c>
      <c r="U4806" s="107"/>
      <c r="V4806" s="107"/>
      <c r="W4806" s="107"/>
      <c r="X4806" s="107"/>
      <c r="Y4806" s="107"/>
      <c r="Z4806" s="107"/>
      <c r="AA4806" s="107"/>
      <c r="AB4806" s="107"/>
      <c r="AF4806" s="94">
        <f t="shared" si="658"/>
        <v>41880</v>
      </c>
      <c r="AG4806" s="185">
        <f t="shared" si="655"/>
        <v>-4.931025721734672E-2</v>
      </c>
      <c r="AH4806" s="339" t="str">
        <f>VLOOKUP(B4806,'MF PF'!A:B,2)</f>
        <v>Coinv</v>
      </c>
      <c r="AI4806" s="358">
        <f t="shared" si="659"/>
        <v>0</v>
      </c>
      <c r="AJ4806" s="94">
        <f t="shared" si="660"/>
        <v>41882</v>
      </c>
    </row>
    <row r="4807" spans="1:36" s="358" customFormat="1" ht="12.75" customHeight="1">
      <c r="A4807" s="94">
        <v>41912</v>
      </c>
      <c r="B4807" s="94" t="s">
        <v>397</v>
      </c>
      <c r="C4807" s="358" t="s">
        <v>297</v>
      </c>
      <c r="D4807" s="98">
        <v>8044295.8954608878</v>
      </c>
      <c r="E4807" s="95">
        <f t="shared" si="654"/>
        <v>8044295.8954608878</v>
      </c>
      <c r="F4807" s="98"/>
      <c r="G4807" s="98"/>
      <c r="H4807" s="98">
        <v>0</v>
      </c>
      <c r="I4807" s="98">
        <v>0</v>
      </c>
      <c r="J4807" s="98"/>
      <c r="K4807" s="93">
        <v>1</v>
      </c>
      <c r="L4807" s="93">
        <f t="shared" si="656"/>
        <v>0</v>
      </c>
      <c r="M4807" s="95">
        <f t="shared" ca="1" si="657"/>
        <v>0</v>
      </c>
      <c r="N4807" s="95">
        <f>IF(P4807="Hedge Fund",IF(A4807=Summary!$AD$3,M4807-E4807,M4807),IF(A4807=Summary!$AD$3,L4807-D4807,L4807))</f>
        <v>0</v>
      </c>
      <c r="O4807" s="95"/>
      <c r="P4807" s="107" t="s">
        <v>155</v>
      </c>
      <c r="Q4807" s="107">
        <v>0</v>
      </c>
      <c r="R4807" s="107">
        <v>0.80442958954608879</v>
      </c>
      <c r="S4807" s="107">
        <v>0</v>
      </c>
      <c r="T4807" s="107">
        <v>0</v>
      </c>
      <c r="U4807" s="107"/>
      <c r="V4807" s="107"/>
      <c r="W4807" s="107"/>
      <c r="X4807" s="107"/>
      <c r="Y4807" s="107"/>
      <c r="Z4807" s="107"/>
      <c r="AA4807" s="107"/>
      <c r="AB4807" s="107"/>
      <c r="AF4807" s="94">
        <f t="shared" si="658"/>
        <v>41912</v>
      </c>
      <c r="AG4807" s="185">
        <f t="shared" si="655"/>
        <v>-9.5220706576808922E-2</v>
      </c>
      <c r="AH4807" s="339" t="str">
        <f>VLOOKUP(B4807,'MF PF'!A:B,2)</f>
        <v>Coinv</v>
      </c>
      <c r="AI4807" s="358">
        <f t="shared" si="659"/>
        <v>0</v>
      </c>
      <c r="AJ4807" s="94">
        <f t="shared" si="660"/>
        <v>41912</v>
      </c>
    </row>
    <row r="4808" spans="1:36" s="358" customFormat="1" ht="12.75" customHeight="1">
      <c r="A4808" s="94">
        <v>41943</v>
      </c>
      <c r="B4808" s="94" t="s">
        <v>397</v>
      </c>
      <c r="C4808" s="358" t="s">
        <v>297</v>
      </c>
      <c r="D4808" s="98">
        <v>8771280.3446469381</v>
      </c>
      <c r="E4808" s="95">
        <f t="shared" si="654"/>
        <v>8771280.3446469381</v>
      </c>
      <c r="F4808" s="98"/>
      <c r="G4808" s="98"/>
      <c r="H4808" s="98">
        <v>0</v>
      </c>
      <c r="I4808" s="98">
        <v>0</v>
      </c>
      <c r="J4808" s="98"/>
      <c r="K4808" s="93">
        <v>1</v>
      </c>
      <c r="L4808" s="93">
        <f t="shared" si="656"/>
        <v>0</v>
      </c>
      <c r="M4808" s="95">
        <f t="shared" ca="1" si="657"/>
        <v>0</v>
      </c>
      <c r="N4808" s="95">
        <f>IF(P4808="Hedge Fund",IF(A4808=Summary!$AD$3,M4808-E4808,M4808),IF(A4808=Summary!$AD$3,L4808-D4808,L4808))</f>
        <v>0</v>
      </c>
      <c r="O4808" s="95"/>
      <c r="P4808" s="107" t="s">
        <v>155</v>
      </c>
      <c r="Q4808" s="107">
        <v>0</v>
      </c>
      <c r="R4808" s="107">
        <v>0.87712803446469378</v>
      </c>
      <c r="S4808" s="107">
        <v>0</v>
      </c>
      <c r="T4808" s="107">
        <v>0</v>
      </c>
      <c r="U4808" s="107"/>
      <c r="V4808" s="107"/>
      <c r="W4808" s="107"/>
      <c r="X4808" s="107"/>
      <c r="Y4808" s="107"/>
      <c r="Z4808" s="107"/>
      <c r="AA4808" s="107"/>
      <c r="AB4808" s="107"/>
      <c r="AF4808" s="94">
        <f t="shared" si="658"/>
        <v>41943</v>
      </c>
      <c r="AG4808" s="185">
        <f t="shared" si="655"/>
        <v>9.0372663889236371E-2</v>
      </c>
      <c r="AH4808" s="339" t="str">
        <f>VLOOKUP(B4808,'MF PF'!A:B,2)</f>
        <v>Coinv</v>
      </c>
      <c r="AI4808" s="358">
        <f t="shared" si="659"/>
        <v>0</v>
      </c>
      <c r="AJ4808" s="94">
        <f t="shared" si="660"/>
        <v>41943</v>
      </c>
    </row>
    <row r="4809" spans="1:36" s="358" customFormat="1" ht="12.75" customHeight="1">
      <c r="A4809" s="94">
        <v>41971</v>
      </c>
      <c r="B4809" s="94" t="s">
        <v>397</v>
      </c>
      <c r="C4809" s="358" t="s">
        <v>297</v>
      </c>
      <c r="D4809" s="98">
        <v>8579195.0304291267</v>
      </c>
      <c r="E4809" s="95">
        <f t="shared" si="654"/>
        <v>8579195.0304291267</v>
      </c>
      <c r="F4809" s="98"/>
      <c r="G4809" s="98"/>
      <c r="H4809" s="98">
        <v>0</v>
      </c>
      <c r="I4809" s="98">
        <v>0</v>
      </c>
      <c r="J4809" s="98"/>
      <c r="K4809" s="93">
        <v>1</v>
      </c>
      <c r="L4809" s="93">
        <f t="shared" si="656"/>
        <v>0</v>
      </c>
      <c r="M4809" s="95">
        <f t="shared" ca="1" si="657"/>
        <v>0</v>
      </c>
      <c r="N4809" s="95">
        <f>IF(P4809="Hedge Fund",IF(A4809=Summary!$AD$3,M4809-E4809,M4809),IF(A4809=Summary!$AD$3,L4809-D4809,L4809))</f>
        <v>0</v>
      </c>
      <c r="O4809" s="95"/>
      <c r="P4809" s="107" t="s">
        <v>155</v>
      </c>
      <c r="Q4809" s="107">
        <v>0</v>
      </c>
      <c r="R4809" s="107">
        <v>0.85791950304291265</v>
      </c>
      <c r="S4809" s="107">
        <v>0</v>
      </c>
      <c r="T4809" s="107">
        <v>0</v>
      </c>
      <c r="U4809" s="107"/>
      <c r="V4809" s="107"/>
      <c r="W4809" s="107"/>
      <c r="X4809" s="107"/>
      <c r="Y4809" s="107"/>
      <c r="Z4809" s="107"/>
      <c r="AA4809" s="107"/>
      <c r="AB4809" s="107"/>
      <c r="AF4809" s="94">
        <f t="shared" si="658"/>
        <v>41971</v>
      </c>
      <c r="AG4809" s="185">
        <f t="shared" si="655"/>
        <v>-2.1899347264055957E-2</v>
      </c>
      <c r="AH4809" s="339" t="str">
        <f>VLOOKUP(B4809,'MF PF'!A:B,2)</f>
        <v>Coinv</v>
      </c>
      <c r="AI4809" s="358">
        <f t="shared" si="659"/>
        <v>0</v>
      </c>
      <c r="AJ4809" s="94">
        <f t="shared" si="660"/>
        <v>41973</v>
      </c>
    </row>
    <row r="4810" spans="1:36" s="358" customFormat="1" ht="12.75" customHeight="1">
      <c r="A4810" s="94">
        <v>42004</v>
      </c>
      <c r="B4810" s="94" t="s">
        <v>397</v>
      </c>
      <c r="C4810" s="358" t="s">
        <v>297</v>
      </c>
      <c r="D4810" s="98">
        <v>7981146.8548097275</v>
      </c>
      <c r="E4810" s="95">
        <f t="shared" si="654"/>
        <v>7981146.8548097275</v>
      </c>
      <c r="F4810" s="98"/>
      <c r="G4810" s="98"/>
      <c r="H4810" s="98">
        <v>0</v>
      </c>
      <c r="I4810" s="98">
        <v>0</v>
      </c>
      <c r="J4810" s="98"/>
      <c r="K4810" s="93">
        <v>1</v>
      </c>
      <c r="L4810" s="93">
        <f t="shared" si="656"/>
        <v>0</v>
      </c>
      <c r="M4810" s="95">
        <f t="shared" ca="1" si="657"/>
        <v>0</v>
      </c>
      <c r="N4810" s="95">
        <f>IF(P4810="Hedge Fund",IF(A4810=Summary!$AD$3,M4810-E4810,M4810),IF(A4810=Summary!$AD$3,L4810-D4810,L4810))</f>
        <v>0</v>
      </c>
      <c r="O4810" s="95"/>
      <c r="P4810" s="107" t="s">
        <v>155</v>
      </c>
      <c r="Q4810" s="107">
        <v>0</v>
      </c>
      <c r="R4810" s="107">
        <v>0.79811468548097286</v>
      </c>
      <c r="S4810" s="107">
        <v>0</v>
      </c>
      <c r="T4810" s="107">
        <v>0</v>
      </c>
      <c r="U4810" s="107"/>
      <c r="V4810" s="107"/>
      <c r="W4810" s="107"/>
      <c r="X4810" s="107"/>
      <c r="Y4810" s="107"/>
      <c r="Z4810" s="107"/>
      <c r="AA4810" s="107"/>
      <c r="AB4810" s="107"/>
      <c r="AF4810" s="94">
        <f t="shared" si="658"/>
        <v>42004</v>
      </c>
      <c r="AG4810" s="185">
        <f t="shared" si="655"/>
        <v>-6.9709124632114206E-2</v>
      </c>
      <c r="AH4810" s="339" t="str">
        <f>VLOOKUP(B4810,'MF PF'!A:B,2)</f>
        <v>Coinv</v>
      </c>
      <c r="AI4810" s="358">
        <f t="shared" si="659"/>
        <v>0</v>
      </c>
      <c r="AJ4810" s="94">
        <f t="shared" si="660"/>
        <v>42004</v>
      </c>
    </row>
    <row r="4811" spans="1:36" s="358" customFormat="1" ht="12.75" customHeight="1">
      <c r="A4811" s="94">
        <v>42034</v>
      </c>
      <c r="B4811" s="94" t="s">
        <v>397</v>
      </c>
      <c r="C4811" s="358" t="s">
        <v>297</v>
      </c>
      <c r="D4811" s="98">
        <v>7732859.4476359673</v>
      </c>
      <c r="E4811" s="95">
        <f t="shared" si="654"/>
        <v>7732859.4476359673</v>
      </c>
      <c r="F4811" s="98"/>
      <c r="G4811" s="98"/>
      <c r="H4811" s="98">
        <v>0</v>
      </c>
      <c r="I4811" s="98">
        <v>0</v>
      </c>
      <c r="J4811" s="98"/>
      <c r="K4811" s="93">
        <v>1</v>
      </c>
      <c r="L4811" s="93">
        <f t="shared" si="656"/>
        <v>0</v>
      </c>
      <c r="M4811" s="95">
        <f t="shared" ca="1" si="657"/>
        <v>0</v>
      </c>
      <c r="N4811" s="95">
        <f>IF(P4811="Hedge Fund",IF(A4811=Summary!$AD$3,M4811-E4811,M4811),IF(A4811=Summary!$AD$3,L4811-D4811,L4811))</f>
        <v>0</v>
      </c>
      <c r="O4811" s="95"/>
      <c r="P4811" s="107" t="s">
        <v>155</v>
      </c>
      <c r="Q4811" s="107">
        <v>0</v>
      </c>
      <c r="R4811" s="107">
        <v>0.77328594476359669</v>
      </c>
      <c r="S4811" s="107">
        <v>0</v>
      </c>
      <c r="T4811" s="107">
        <v>0</v>
      </c>
      <c r="U4811" s="107"/>
      <c r="V4811" s="107"/>
      <c r="W4811" s="107"/>
      <c r="X4811" s="107"/>
      <c r="Y4811" s="107"/>
      <c r="Z4811" s="107"/>
      <c r="AA4811" s="107"/>
      <c r="AB4811" s="107"/>
      <c r="AF4811" s="94">
        <f t="shared" si="658"/>
        <v>42034</v>
      </c>
      <c r="AG4811" s="185">
        <f t="shared" si="655"/>
        <v>-3.1109239272315015E-2</v>
      </c>
      <c r="AH4811" s="339" t="str">
        <f>VLOOKUP(B4811,'MF PF'!A:B,2)</f>
        <v>Coinv</v>
      </c>
      <c r="AI4811" s="358">
        <f t="shared" si="659"/>
        <v>0</v>
      </c>
      <c r="AJ4811" s="94">
        <f t="shared" si="660"/>
        <v>42035</v>
      </c>
    </row>
    <row r="4812" spans="1:36" s="358" customFormat="1" ht="12.75" customHeight="1">
      <c r="A4812" s="94">
        <v>42062</v>
      </c>
      <c r="B4812" s="94" t="s">
        <v>397</v>
      </c>
      <c r="C4812" s="358" t="s">
        <v>297</v>
      </c>
      <c r="D4812" s="98">
        <v>7482915.7060653726</v>
      </c>
      <c r="E4812" s="95">
        <f t="shared" si="654"/>
        <v>7482915.7060653726</v>
      </c>
      <c r="F4812" s="98"/>
      <c r="G4812" s="98"/>
      <c r="H4812" s="98">
        <v>0</v>
      </c>
      <c r="I4812" s="98">
        <v>0</v>
      </c>
      <c r="J4812" s="98"/>
      <c r="K4812" s="93">
        <v>1</v>
      </c>
      <c r="L4812" s="93">
        <f t="shared" si="656"/>
        <v>0</v>
      </c>
      <c r="M4812" s="95">
        <f t="shared" ca="1" si="657"/>
        <v>0</v>
      </c>
      <c r="N4812" s="95">
        <f>IF(P4812="Hedge Fund",IF(A4812=Summary!$AD$3,M4812-E4812,M4812),IF(A4812=Summary!$AD$3,L4812-D4812,L4812))</f>
        <v>0</v>
      </c>
      <c r="O4812" s="95"/>
      <c r="P4812" s="107" t="s">
        <v>155</v>
      </c>
      <c r="Q4812" s="107">
        <v>0</v>
      </c>
      <c r="R4812" s="107">
        <v>0.74829157060653728</v>
      </c>
      <c r="S4812" s="107">
        <v>0</v>
      </c>
      <c r="T4812" s="107">
        <v>0</v>
      </c>
      <c r="U4812" s="107"/>
      <c r="V4812" s="107"/>
      <c r="W4812" s="107"/>
      <c r="X4812" s="107"/>
      <c r="Y4812" s="107"/>
      <c r="Z4812" s="107"/>
      <c r="AA4812" s="107"/>
      <c r="AB4812" s="107"/>
      <c r="AF4812" s="94">
        <f t="shared" si="658"/>
        <v>42062</v>
      </c>
      <c r="AG4812" s="185">
        <f t="shared" si="655"/>
        <v>-3.2322292065841918E-2</v>
      </c>
      <c r="AH4812" s="339" t="str">
        <f>VLOOKUP(B4812,'MF PF'!A:B,2)</f>
        <v>Coinv</v>
      </c>
      <c r="AI4812" s="358">
        <f t="shared" si="659"/>
        <v>0</v>
      </c>
      <c r="AJ4812" s="94">
        <f t="shared" si="660"/>
        <v>42063</v>
      </c>
    </row>
    <row r="4813" spans="1:36" s="358" customFormat="1" ht="12.75" customHeight="1">
      <c r="A4813" s="94">
        <v>42094</v>
      </c>
      <c r="B4813" s="94" t="s">
        <v>397</v>
      </c>
      <c r="C4813" s="358" t="s">
        <v>297</v>
      </c>
      <c r="D4813" s="98">
        <v>6302512.1139103901</v>
      </c>
      <c r="E4813" s="95">
        <f t="shared" si="654"/>
        <v>6302512.1139103901</v>
      </c>
      <c r="F4813" s="98"/>
      <c r="G4813" s="98"/>
      <c r="H4813" s="98">
        <v>0</v>
      </c>
      <c r="I4813" s="98">
        <v>0</v>
      </c>
      <c r="J4813" s="98"/>
      <c r="K4813" s="93">
        <v>1</v>
      </c>
      <c r="L4813" s="93">
        <f t="shared" si="656"/>
        <v>0</v>
      </c>
      <c r="M4813" s="95">
        <f t="shared" ca="1" si="657"/>
        <v>0</v>
      </c>
      <c r="N4813" s="95">
        <f>IF(P4813="Hedge Fund",IF(A4813=Summary!$AD$3,M4813-E4813,M4813),IF(A4813=Summary!$AD$3,L4813-D4813,L4813))</f>
        <v>0</v>
      </c>
      <c r="O4813" s="95"/>
      <c r="P4813" s="107" t="s">
        <v>155</v>
      </c>
      <c r="Q4813" s="107">
        <v>0</v>
      </c>
      <c r="R4813" s="107">
        <v>0.63025121139103901</v>
      </c>
      <c r="S4813" s="107">
        <v>0</v>
      </c>
      <c r="T4813" s="107">
        <v>0</v>
      </c>
      <c r="U4813" s="107"/>
      <c r="V4813" s="107"/>
      <c r="W4813" s="107"/>
      <c r="X4813" s="107"/>
      <c r="Y4813" s="107"/>
      <c r="Z4813" s="107"/>
      <c r="AA4813" s="107"/>
      <c r="AB4813" s="107"/>
      <c r="AF4813" s="94">
        <f t="shared" si="658"/>
        <v>42094</v>
      </c>
      <c r="AG4813" s="185">
        <f t="shared" si="655"/>
        <v>-0.15774647724525237</v>
      </c>
      <c r="AH4813" s="339" t="str">
        <f>VLOOKUP(B4813,'MF PF'!A:B,2)</f>
        <v>Coinv</v>
      </c>
      <c r="AI4813" s="358">
        <f t="shared" si="659"/>
        <v>0</v>
      </c>
      <c r="AJ4813" s="94">
        <f t="shared" si="660"/>
        <v>42094</v>
      </c>
    </row>
    <row r="4814" spans="1:36" s="358" customFormat="1" ht="12.75" customHeight="1">
      <c r="A4814" s="94">
        <v>42124</v>
      </c>
      <c r="B4814" s="94" t="s">
        <v>397</v>
      </c>
      <c r="C4814" s="358" t="s">
        <v>297</v>
      </c>
      <c r="D4814" s="98">
        <v>6469526.0955323968</v>
      </c>
      <c r="E4814" s="95">
        <f t="shared" si="654"/>
        <v>6469526.0955323968</v>
      </c>
      <c r="F4814" s="98"/>
      <c r="G4814" s="98"/>
      <c r="H4814" s="98">
        <v>0</v>
      </c>
      <c r="I4814" s="98">
        <v>0</v>
      </c>
      <c r="J4814" s="98"/>
      <c r="K4814" s="93">
        <v>1</v>
      </c>
      <c r="L4814" s="93">
        <f t="shared" si="656"/>
        <v>0</v>
      </c>
      <c r="M4814" s="95">
        <f t="shared" ca="1" si="657"/>
        <v>0</v>
      </c>
      <c r="N4814" s="95">
        <f>IF(P4814="Hedge Fund",IF(A4814=Summary!$AD$3,M4814-E4814,M4814),IF(A4814=Summary!$AD$3,L4814-D4814,L4814))</f>
        <v>0</v>
      </c>
      <c r="O4814" s="95"/>
      <c r="P4814" s="107" t="s">
        <v>155</v>
      </c>
      <c r="Q4814" s="107">
        <v>0</v>
      </c>
      <c r="R4814" s="107">
        <v>0.64695260955323974</v>
      </c>
      <c r="S4814" s="107">
        <v>0</v>
      </c>
      <c r="T4814" s="107">
        <v>0</v>
      </c>
      <c r="U4814" s="107"/>
      <c r="V4814" s="107"/>
      <c r="W4814" s="107"/>
      <c r="X4814" s="107"/>
      <c r="Y4814" s="107"/>
      <c r="Z4814" s="107"/>
      <c r="AA4814" s="107"/>
      <c r="AB4814" s="107"/>
      <c r="AF4814" s="94">
        <f t="shared" si="658"/>
        <v>42124</v>
      </c>
      <c r="AG4814" s="185">
        <f t="shared" si="655"/>
        <v>2.6499589148490044E-2</v>
      </c>
      <c r="AH4814" s="339" t="str">
        <f>VLOOKUP(B4814,'MF PF'!A:B,2)</f>
        <v>Coinv</v>
      </c>
      <c r="AI4814" s="358">
        <f t="shared" si="659"/>
        <v>0</v>
      </c>
      <c r="AJ4814" s="94">
        <f t="shared" si="660"/>
        <v>42124</v>
      </c>
    </row>
    <row r="4815" spans="1:36" s="358" customFormat="1" ht="12.75" customHeight="1">
      <c r="A4815" s="94">
        <v>42153</v>
      </c>
      <c r="B4815" s="94" t="s">
        <v>397</v>
      </c>
      <c r="C4815" s="358" t="s">
        <v>297</v>
      </c>
      <c r="D4815" s="98">
        <v>6014644.6195175694</v>
      </c>
      <c r="E4815" s="95">
        <f t="shared" si="654"/>
        <v>6014644.6195175694</v>
      </c>
      <c r="F4815" s="98"/>
      <c r="G4815" s="98"/>
      <c r="H4815" s="98">
        <v>0</v>
      </c>
      <c r="I4815" s="98">
        <v>0</v>
      </c>
      <c r="J4815" s="98"/>
      <c r="K4815" s="93">
        <v>1</v>
      </c>
      <c r="L4815" s="93">
        <f t="shared" si="656"/>
        <v>0</v>
      </c>
      <c r="M4815" s="95">
        <f t="shared" ca="1" si="657"/>
        <v>0</v>
      </c>
      <c r="N4815" s="95">
        <f>IF(P4815="Hedge Fund",IF(A4815=Summary!$AD$3,M4815-E4815,M4815),IF(A4815=Summary!$AD$3,L4815-D4815,L4815))</f>
        <v>0</v>
      </c>
      <c r="O4815" s="95"/>
      <c r="P4815" s="107" t="s">
        <v>155</v>
      </c>
      <c r="Q4815" s="107">
        <v>0</v>
      </c>
      <c r="R4815" s="107">
        <v>0.60146446195175696</v>
      </c>
      <c r="S4815" s="107">
        <v>0</v>
      </c>
      <c r="T4815" s="107">
        <v>0</v>
      </c>
      <c r="U4815" s="107"/>
      <c r="V4815" s="107"/>
      <c r="W4815" s="107"/>
      <c r="X4815" s="107"/>
      <c r="Y4815" s="107"/>
      <c r="Z4815" s="107"/>
      <c r="AA4815" s="107"/>
      <c r="AB4815" s="107"/>
      <c r="AF4815" s="94">
        <f t="shared" si="658"/>
        <v>42153</v>
      </c>
      <c r="AG4815" s="185">
        <f t="shared" si="655"/>
        <v>-7.0311406013023214E-2</v>
      </c>
      <c r="AH4815" s="339" t="str">
        <f>VLOOKUP(B4815,'MF PF'!A:B,2)</f>
        <v>Coinv</v>
      </c>
      <c r="AI4815" s="358">
        <f t="shared" si="659"/>
        <v>0</v>
      </c>
      <c r="AJ4815" s="94">
        <f t="shared" si="660"/>
        <v>42155</v>
      </c>
    </row>
    <row r="4816" spans="1:36" s="358" customFormat="1" ht="12.75" customHeight="1">
      <c r="A4816" s="94">
        <v>42185</v>
      </c>
      <c r="B4816" s="94" t="s">
        <v>397</v>
      </c>
      <c r="C4816" s="358" t="s">
        <v>297</v>
      </c>
      <c r="D4816" s="98">
        <v>5053632.1086379457</v>
      </c>
      <c r="E4816" s="95">
        <f t="shared" si="654"/>
        <v>5053632.1086379457</v>
      </c>
      <c r="F4816" s="98"/>
      <c r="G4816" s="98"/>
      <c r="H4816" s="98">
        <v>0</v>
      </c>
      <c r="I4816" s="98">
        <v>0</v>
      </c>
      <c r="J4816" s="98"/>
      <c r="K4816" s="93">
        <v>1</v>
      </c>
      <c r="L4816" s="93">
        <f t="shared" si="656"/>
        <v>0</v>
      </c>
      <c r="M4816" s="95">
        <f t="shared" ca="1" si="657"/>
        <v>0</v>
      </c>
      <c r="N4816" s="95">
        <f>IF(P4816="Hedge Fund",IF(A4816=Summary!$AD$3,M4816-E4816,M4816),IF(A4816=Summary!$AD$3,L4816-D4816,L4816))</f>
        <v>0</v>
      </c>
      <c r="O4816" s="95"/>
      <c r="P4816" s="107" t="s">
        <v>155</v>
      </c>
      <c r="Q4816" s="107">
        <v>0</v>
      </c>
      <c r="R4816" s="107">
        <v>0.50536321086379465</v>
      </c>
      <c r="S4816" s="107">
        <v>0</v>
      </c>
      <c r="T4816" s="107">
        <v>0</v>
      </c>
      <c r="U4816" s="107"/>
      <c r="V4816" s="107"/>
      <c r="W4816" s="107"/>
      <c r="X4816" s="107"/>
      <c r="Y4816" s="107"/>
      <c r="Z4816" s="107"/>
      <c r="AA4816" s="107"/>
      <c r="AB4816" s="107"/>
      <c r="AF4816" s="94">
        <f t="shared" si="658"/>
        <v>42185</v>
      </c>
      <c r="AG4816" s="185">
        <f t="shared" si="655"/>
        <v>-0.1597787686010792</v>
      </c>
      <c r="AH4816" s="339" t="str">
        <f>VLOOKUP(B4816,'MF PF'!A:B,2)</f>
        <v>Coinv</v>
      </c>
      <c r="AI4816" s="358">
        <f t="shared" si="659"/>
        <v>0</v>
      </c>
      <c r="AJ4816" s="94">
        <f t="shared" si="660"/>
        <v>42185</v>
      </c>
    </row>
    <row r="4817" spans="1:36" s="358" customFormat="1" ht="12.75" customHeight="1">
      <c r="A4817" s="94">
        <v>42216</v>
      </c>
      <c r="B4817" s="94" t="s">
        <v>397</v>
      </c>
      <c r="C4817" s="358" t="s">
        <v>297</v>
      </c>
      <c r="D4817" s="98">
        <v>4574254.4232739527</v>
      </c>
      <c r="E4817" s="95">
        <f t="shared" si="654"/>
        <v>4574254.4232739527</v>
      </c>
      <c r="F4817" s="98"/>
      <c r="G4817" s="98"/>
      <c r="H4817" s="98">
        <v>0</v>
      </c>
      <c r="I4817" s="98">
        <v>0</v>
      </c>
      <c r="J4817" s="98"/>
      <c r="K4817" s="93">
        <v>1</v>
      </c>
      <c r="L4817" s="93">
        <f t="shared" si="656"/>
        <v>0</v>
      </c>
      <c r="M4817" s="95">
        <f t="shared" ca="1" si="657"/>
        <v>0</v>
      </c>
      <c r="N4817" s="95">
        <f>IF(P4817="Hedge Fund",IF(A4817=Summary!$AD$3,M4817-E4817,M4817),IF(A4817=Summary!$AD$3,L4817-D4817,L4817))</f>
        <v>0</v>
      </c>
      <c r="O4817" s="95"/>
      <c r="P4817" s="107" t="s">
        <v>155</v>
      </c>
      <c r="Q4817" s="107">
        <v>0</v>
      </c>
      <c r="R4817" s="107">
        <v>0.45742544232739529</v>
      </c>
      <c r="S4817" s="107">
        <v>0</v>
      </c>
      <c r="T4817" s="107">
        <v>0</v>
      </c>
      <c r="U4817" s="107"/>
      <c r="V4817" s="107"/>
      <c r="W4817" s="107"/>
      <c r="X4817" s="107"/>
      <c r="Y4817" s="107"/>
      <c r="Z4817" s="107"/>
      <c r="AA4817" s="107"/>
      <c r="AB4817" s="107"/>
      <c r="AF4817" s="94">
        <f t="shared" si="658"/>
        <v>42216</v>
      </c>
      <c r="AG4817" s="185">
        <f t="shared" si="655"/>
        <v>-9.4858049628229635E-2</v>
      </c>
      <c r="AH4817" s="339" t="str">
        <f>VLOOKUP(B4817,'MF PF'!A:B,2)</f>
        <v>Coinv</v>
      </c>
      <c r="AI4817" s="358">
        <f t="shared" si="659"/>
        <v>0</v>
      </c>
      <c r="AJ4817" s="94">
        <f t="shared" si="660"/>
        <v>42216</v>
      </c>
    </row>
    <row r="4818" spans="1:36" s="358" customFormat="1" ht="12.75" customHeight="1">
      <c r="A4818" s="94">
        <v>42247</v>
      </c>
      <c r="B4818" s="94" t="s">
        <v>397</v>
      </c>
      <c r="C4818" s="358" t="s">
        <v>297</v>
      </c>
      <c r="D4818" s="98">
        <v>3346522.7698141458</v>
      </c>
      <c r="E4818" s="95">
        <f t="shared" si="654"/>
        <v>3346522.7698141458</v>
      </c>
      <c r="F4818" s="98"/>
      <c r="G4818" s="98"/>
      <c r="H4818" s="98">
        <v>0</v>
      </c>
      <c r="I4818" s="98">
        <v>0</v>
      </c>
      <c r="J4818" s="98"/>
      <c r="K4818" s="93">
        <v>1</v>
      </c>
      <c r="L4818" s="93">
        <f t="shared" si="656"/>
        <v>0</v>
      </c>
      <c r="M4818" s="95">
        <f t="shared" ca="1" si="657"/>
        <v>0</v>
      </c>
      <c r="N4818" s="95">
        <f>IF(P4818="Hedge Fund",IF(A4818=Summary!$AD$3,M4818-E4818,M4818),IF(A4818=Summary!$AD$3,L4818-D4818,L4818))</f>
        <v>0</v>
      </c>
      <c r="O4818" s="95"/>
      <c r="P4818" s="107" t="s">
        <v>155</v>
      </c>
      <c r="Q4818" s="107">
        <v>0</v>
      </c>
      <c r="R4818" s="107">
        <v>0.33465227698141459</v>
      </c>
      <c r="S4818" s="107">
        <v>0</v>
      </c>
      <c r="T4818" s="107">
        <v>0</v>
      </c>
      <c r="U4818" s="107"/>
      <c r="V4818" s="107"/>
      <c r="W4818" s="107"/>
      <c r="X4818" s="107"/>
      <c r="Y4818" s="107"/>
      <c r="Z4818" s="107"/>
      <c r="AA4818" s="107"/>
      <c r="AB4818" s="107"/>
      <c r="AF4818" s="94">
        <f t="shared" si="658"/>
        <v>42247</v>
      </c>
      <c r="AG4818" s="185">
        <f t="shared" si="655"/>
        <v>-0.26840038612917305</v>
      </c>
      <c r="AH4818" s="339" t="str">
        <f>VLOOKUP(B4818,'MF PF'!A:B,2)</f>
        <v>Coinv</v>
      </c>
      <c r="AI4818" s="358">
        <f t="shared" si="659"/>
        <v>0</v>
      </c>
      <c r="AJ4818" s="94">
        <f t="shared" si="660"/>
        <v>42247</v>
      </c>
    </row>
    <row r="4819" spans="1:36" s="358" customFormat="1" ht="12.75" customHeight="1">
      <c r="A4819" s="94">
        <v>42277</v>
      </c>
      <c r="B4819" s="94" t="s">
        <v>397</v>
      </c>
      <c r="C4819" s="358" t="s">
        <v>297</v>
      </c>
      <c r="D4819" s="98">
        <v>3919614.6482686936</v>
      </c>
      <c r="E4819" s="95">
        <f t="shared" ref="E4819:E4850" si="661">IF(K4819="","",D4819/K4819)</f>
        <v>3919614.6482686936</v>
      </c>
      <c r="F4819" s="98"/>
      <c r="G4819" s="98"/>
      <c r="H4819" s="98">
        <v>0</v>
      </c>
      <c r="I4819" s="98">
        <v>0</v>
      </c>
      <c r="J4819" s="98"/>
      <c r="K4819" s="93">
        <v>1</v>
      </c>
      <c r="L4819" s="93">
        <f t="shared" si="656"/>
        <v>0</v>
      </c>
      <c r="M4819" s="95">
        <f t="shared" ca="1" si="657"/>
        <v>0</v>
      </c>
      <c r="N4819" s="95">
        <f>IF(P4819="Hedge Fund",IF(A4819=Summary!$AD$3,M4819-E4819,M4819),IF(A4819=Summary!$AD$3,L4819-D4819,L4819))</f>
        <v>0</v>
      </c>
      <c r="O4819" s="95"/>
      <c r="P4819" s="107" t="s">
        <v>155</v>
      </c>
      <c r="Q4819" s="107">
        <v>0</v>
      </c>
      <c r="R4819" s="107">
        <v>0.39196146482686939</v>
      </c>
      <c r="S4819" s="107">
        <v>0</v>
      </c>
      <c r="T4819" s="107">
        <v>0</v>
      </c>
      <c r="U4819" s="107"/>
      <c r="V4819" s="107"/>
      <c r="W4819" s="107"/>
      <c r="X4819" s="107"/>
      <c r="Y4819" s="107"/>
      <c r="Z4819" s="107"/>
      <c r="AA4819" s="107"/>
      <c r="AB4819" s="107"/>
      <c r="AF4819" s="94">
        <f t="shared" si="658"/>
        <v>42277</v>
      </c>
      <c r="AG4819" s="185">
        <f t="shared" si="655"/>
        <v>0.17124995640964236</v>
      </c>
      <c r="AH4819" s="339" t="str">
        <f>VLOOKUP(B4819,'MF PF'!A:B,2)</f>
        <v>Coinv</v>
      </c>
      <c r="AI4819" s="358">
        <f t="shared" si="659"/>
        <v>0</v>
      </c>
      <c r="AJ4819" s="94">
        <f t="shared" si="660"/>
        <v>42277</v>
      </c>
    </row>
    <row r="4820" spans="1:36" s="358" customFormat="1" ht="12.75" customHeight="1">
      <c r="A4820" s="94">
        <v>42307</v>
      </c>
      <c r="B4820" s="94" t="s">
        <v>397</v>
      </c>
      <c r="C4820" s="358" t="s">
        <v>297</v>
      </c>
      <c r="D4820" s="98">
        <v>4174230.9565974711</v>
      </c>
      <c r="E4820" s="95">
        <f t="shared" si="661"/>
        <v>4174230.9565974711</v>
      </c>
      <c r="F4820" s="98"/>
      <c r="G4820" s="98"/>
      <c r="H4820" s="98">
        <v>0</v>
      </c>
      <c r="I4820" s="98">
        <v>0</v>
      </c>
      <c r="J4820" s="98"/>
      <c r="K4820" s="93">
        <v>1</v>
      </c>
      <c r="L4820" s="93">
        <f t="shared" si="656"/>
        <v>0</v>
      </c>
      <c r="M4820" s="95">
        <f t="shared" ca="1" si="657"/>
        <v>0</v>
      </c>
      <c r="N4820" s="95">
        <f>IF(P4820="Hedge Fund",IF(A4820=Summary!$AD$3,M4820-E4820,M4820),IF(A4820=Summary!$AD$3,L4820-D4820,L4820))</f>
        <v>0</v>
      </c>
      <c r="O4820" s="95"/>
      <c r="P4820" s="107" t="s">
        <v>155</v>
      </c>
      <c r="Q4820" s="107">
        <v>0</v>
      </c>
      <c r="R4820" s="107">
        <v>0.41742309565974711</v>
      </c>
      <c r="S4820" s="107">
        <v>0</v>
      </c>
      <c r="T4820" s="107">
        <v>0</v>
      </c>
      <c r="U4820" s="107"/>
      <c r="V4820" s="107"/>
      <c r="W4820" s="107"/>
      <c r="X4820" s="107"/>
      <c r="Y4820" s="107"/>
      <c r="Z4820" s="107"/>
      <c r="AA4820" s="107"/>
      <c r="AB4820" s="107"/>
      <c r="AF4820" s="94">
        <f t="shared" si="658"/>
        <v>42307</v>
      </c>
      <c r="AG4820" s="185">
        <f t="shared" si="655"/>
        <v>6.4959525661851147E-2</v>
      </c>
      <c r="AH4820" s="339" t="str">
        <f>VLOOKUP(B4820,'MF PF'!A:B,2)</f>
        <v>Coinv</v>
      </c>
      <c r="AI4820" s="358">
        <f t="shared" si="659"/>
        <v>0</v>
      </c>
      <c r="AJ4820" s="94">
        <f t="shared" si="660"/>
        <v>42308</v>
      </c>
    </row>
    <row r="4821" spans="1:36" s="358" customFormat="1" ht="12.75" customHeight="1">
      <c r="A4821" s="94">
        <v>42338</v>
      </c>
      <c r="B4821" s="94" t="s">
        <v>397</v>
      </c>
      <c r="C4821" s="358" t="s">
        <v>297</v>
      </c>
      <c r="D4821" s="98">
        <v>3550027.1552387862</v>
      </c>
      <c r="E4821" s="95">
        <f t="shared" si="661"/>
        <v>3550027.1552387862</v>
      </c>
      <c r="F4821" s="98"/>
      <c r="G4821" s="98"/>
      <c r="H4821" s="98">
        <v>0</v>
      </c>
      <c r="I4821" s="98">
        <v>0</v>
      </c>
      <c r="J4821" s="98"/>
      <c r="K4821" s="93">
        <v>1</v>
      </c>
      <c r="L4821" s="93">
        <f t="shared" si="656"/>
        <v>0</v>
      </c>
      <c r="M4821" s="95">
        <f t="shared" ca="1" si="657"/>
        <v>0</v>
      </c>
      <c r="N4821" s="95">
        <f>IF(P4821="Hedge Fund",IF(A4821=Summary!$AD$3,M4821-E4821,M4821),IF(A4821=Summary!$AD$3,L4821-D4821,L4821))</f>
        <v>0</v>
      </c>
      <c r="O4821" s="95"/>
      <c r="P4821" s="107" t="s">
        <v>155</v>
      </c>
      <c r="Q4821" s="107">
        <v>0</v>
      </c>
      <c r="R4821" s="107">
        <v>0.35500271552387863</v>
      </c>
      <c r="S4821" s="107">
        <v>0</v>
      </c>
      <c r="T4821" s="107">
        <v>0</v>
      </c>
      <c r="U4821" s="107"/>
      <c r="V4821" s="107"/>
      <c r="W4821" s="107"/>
      <c r="X4821" s="107"/>
      <c r="Y4821" s="107"/>
      <c r="Z4821" s="107"/>
      <c r="AA4821" s="107"/>
      <c r="AB4821" s="107"/>
      <c r="AF4821" s="94">
        <f t="shared" si="658"/>
        <v>42338</v>
      </c>
      <c r="AG4821" s="185">
        <f t="shared" si="655"/>
        <v>-0.14953743763797156</v>
      </c>
      <c r="AH4821" s="339" t="str">
        <f>VLOOKUP(B4821,'MF PF'!A:B,2)</f>
        <v>Coinv</v>
      </c>
      <c r="AI4821" s="358">
        <f t="shared" si="659"/>
        <v>0</v>
      </c>
      <c r="AJ4821" s="94">
        <f t="shared" si="660"/>
        <v>42338</v>
      </c>
    </row>
    <row r="4822" spans="1:36" s="358" customFormat="1" ht="12.75" customHeight="1">
      <c r="A4822" s="94">
        <v>42369</v>
      </c>
      <c r="B4822" s="94" t="s">
        <v>397</v>
      </c>
      <c r="C4822" s="358" t="s">
        <v>297</v>
      </c>
      <c r="D4822" s="98">
        <v>3542318.3312115283</v>
      </c>
      <c r="E4822" s="95">
        <f t="shared" si="661"/>
        <v>3542318.3312115283</v>
      </c>
      <c r="F4822" s="98"/>
      <c r="G4822" s="98"/>
      <c r="H4822" s="98">
        <v>0</v>
      </c>
      <c r="I4822" s="98">
        <v>0</v>
      </c>
      <c r="J4822" s="98"/>
      <c r="K4822" s="93">
        <v>1</v>
      </c>
      <c r="L4822" s="93">
        <f t="shared" si="656"/>
        <v>0</v>
      </c>
      <c r="M4822" s="95">
        <f t="shared" ca="1" si="657"/>
        <v>0</v>
      </c>
      <c r="N4822" s="95">
        <f>IF(P4822="Hedge Fund",IF(A4822=Summary!$AD$3,M4822-E4822,M4822),IF(A4822=Summary!$AD$3,L4822-D4822,L4822))</f>
        <v>0</v>
      </c>
      <c r="O4822" s="95"/>
      <c r="P4822" s="107" t="s">
        <v>155</v>
      </c>
      <c r="Q4822" s="107">
        <v>0</v>
      </c>
      <c r="R4822" s="107">
        <v>0.35423183312115286</v>
      </c>
      <c r="S4822" s="107">
        <v>0</v>
      </c>
      <c r="T4822" s="107">
        <v>0</v>
      </c>
      <c r="U4822" s="107"/>
      <c r="V4822" s="107"/>
      <c r="W4822" s="107"/>
      <c r="X4822" s="107"/>
      <c r="Y4822" s="107"/>
      <c r="Z4822" s="107"/>
      <c r="AA4822" s="107"/>
      <c r="AB4822" s="107"/>
      <c r="AF4822" s="94">
        <f t="shared" si="658"/>
        <v>42369</v>
      </c>
      <c r="AG4822" s="185">
        <f t="shared" si="655"/>
        <v>-2.1714831155255077E-3</v>
      </c>
      <c r="AH4822" s="339" t="str">
        <f>VLOOKUP(B4822,'MF PF'!A:B,2)</f>
        <v>Coinv</v>
      </c>
      <c r="AI4822" s="358">
        <f t="shared" si="659"/>
        <v>0</v>
      </c>
      <c r="AJ4822" s="94">
        <f t="shared" si="660"/>
        <v>42369</v>
      </c>
    </row>
    <row r="4823" spans="1:36" s="358" customFormat="1" ht="12.75" customHeight="1">
      <c r="A4823" s="94">
        <v>42398</v>
      </c>
      <c r="B4823" s="94" t="s">
        <v>397</v>
      </c>
      <c r="C4823" s="358" t="s">
        <v>297</v>
      </c>
      <c r="D4823" s="98">
        <v>2908506.6755012688</v>
      </c>
      <c r="E4823" s="95">
        <f t="shared" si="661"/>
        <v>2908506.6755012688</v>
      </c>
      <c r="F4823" s="98"/>
      <c r="G4823" s="98"/>
      <c r="H4823" s="98">
        <v>0</v>
      </c>
      <c r="I4823" s="98">
        <v>0</v>
      </c>
      <c r="J4823" s="98"/>
      <c r="K4823" s="93">
        <v>1</v>
      </c>
      <c r="L4823" s="93">
        <f t="shared" si="656"/>
        <v>0</v>
      </c>
      <c r="M4823" s="95">
        <f t="shared" ca="1" si="657"/>
        <v>0</v>
      </c>
      <c r="N4823" s="95">
        <f>IF(P4823="Hedge Fund",IF(A4823=Summary!$AD$3,M4823-E4823,M4823),IF(A4823=Summary!$AD$3,L4823-D4823,L4823))</f>
        <v>0</v>
      </c>
      <c r="O4823" s="95"/>
      <c r="P4823" s="107" t="s">
        <v>155</v>
      </c>
      <c r="Q4823" s="107">
        <v>0</v>
      </c>
      <c r="R4823" s="107">
        <v>0.2908506675501269</v>
      </c>
      <c r="S4823" s="107">
        <v>0</v>
      </c>
      <c r="T4823" s="107">
        <v>0</v>
      </c>
      <c r="U4823" s="107"/>
      <c r="V4823" s="107"/>
      <c r="W4823" s="107"/>
      <c r="X4823" s="107"/>
      <c r="Y4823" s="107"/>
      <c r="Z4823" s="107"/>
      <c r="AA4823" s="107"/>
      <c r="AB4823" s="107"/>
      <c r="AF4823" s="94">
        <f t="shared" si="658"/>
        <v>42398</v>
      </c>
      <c r="AG4823" s="185">
        <f t="shared" si="655"/>
        <v>-0.17892566292693579</v>
      </c>
      <c r="AH4823" s="339" t="str">
        <f>VLOOKUP(B4823,'MF PF'!A:B,2)</f>
        <v>Coinv</v>
      </c>
      <c r="AI4823" s="358">
        <f t="shared" si="659"/>
        <v>0</v>
      </c>
      <c r="AJ4823" s="94">
        <f t="shared" si="660"/>
        <v>42400</v>
      </c>
    </row>
    <row r="4824" spans="1:36" s="358" customFormat="1" ht="12.75" customHeight="1">
      <c r="A4824" s="94">
        <v>42429</v>
      </c>
      <c r="B4824" s="94" t="s">
        <v>397</v>
      </c>
      <c r="C4824" s="358" t="s">
        <v>297</v>
      </c>
      <c r="D4824" s="98">
        <v>3186703.4429349126</v>
      </c>
      <c r="E4824" s="95">
        <f t="shared" si="661"/>
        <v>3186703.4429349126</v>
      </c>
      <c r="F4824" s="98"/>
      <c r="G4824" s="98"/>
      <c r="H4824" s="98">
        <v>0</v>
      </c>
      <c r="I4824" s="98">
        <v>0</v>
      </c>
      <c r="J4824" s="98"/>
      <c r="K4824" s="93">
        <v>1</v>
      </c>
      <c r="L4824" s="93">
        <f t="shared" si="656"/>
        <v>0</v>
      </c>
      <c r="M4824" s="95">
        <f t="shared" ca="1" si="657"/>
        <v>0</v>
      </c>
      <c r="N4824" s="95">
        <f>IF(P4824="Hedge Fund",IF(A4824=Summary!$AD$3,M4824-E4824,M4824),IF(A4824=Summary!$AD$3,L4824-D4824,L4824))</f>
        <v>0</v>
      </c>
      <c r="O4824" s="95"/>
      <c r="P4824" s="107" t="s">
        <v>155</v>
      </c>
      <c r="Q4824" s="107">
        <v>0</v>
      </c>
      <c r="R4824" s="107">
        <v>0.31867034429349128</v>
      </c>
      <c r="S4824" s="107">
        <v>0</v>
      </c>
      <c r="T4824" s="107">
        <v>0</v>
      </c>
      <c r="U4824" s="107"/>
      <c r="V4824" s="107"/>
      <c r="W4824" s="107"/>
      <c r="X4824" s="107"/>
      <c r="Y4824" s="107"/>
      <c r="Z4824" s="107"/>
      <c r="AA4824" s="107"/>
      <c r="AB4824" s="107"/>
      <c r="AF4824" s="94">
        <f t="shared" si="658"/>
        <v>42429</v>
      </c>
      <c r="AG4824" s="185">
        <f t="shared" si="655"/>
        <v>9.5649348092246678E-2</v>
      </c>
      <c r="AH4824" s="339" t="str">
        <f>VLOOKUP(B4824,'MF PF'!A:B,2)</f>
        <v>Coinv</v>
      </c>
      <c r="AI4824" s="358">
        <f t="shared" si="659"/>
        <v>0</v>
      </c>
      <c r="AJ4824" s="94">
        <f t="shared" si="660"/>
        <v>42429</v>
      </c>
    </row>
    <row r="4825" spans="1:36" s="358" customFormat="1" ht="12.75" customHeight="1">
      <c r="A4825" s="94">
        <v>42460</v>
      </c>
      <c r="B4825" s="94" t="s">
        <v>397</v>
      </c>
      <c r="C4825" s="358" t="s">
        <v>297</v>
      </c>
      <c r="D4825" s="98">
        <v>3870898.4679717189</v>
      </c>
      <c r="E4825" s="95">
        <f t="shared" si="661"/>
        <v>3870898.4679717189</v>
      </c>
      <c r="F4825" s="98"/>
      <c r="G4825" s="98"/>
      <c r="H4825" s="98">
        <v>0</v>
      </c>
      <c r="I4825" s="98">
        <v>0</v>
      </c>
      <c r="J4825" s="98"/>
      <c r="K4825" s="93">
        <v>1</v>
      </c>
      <c r="L4825" s="93">
        <f t="shared" si="656"/>
        <v>0</v>
      </c>
      <c r="M4825" s="95">
        <f t="shared" ca="1" si="657"/>
        <v>0</v>
      </c>
      <c r="N4825" s="95">
        <f>IF(P4825="Hedge Fund",IF(A4825=Summary!$AD$3,M4825-E4825,M4825),IF(A4825=Summary!$AD$3,L4825-D4825,L4825))</f>
        <v>0</v>
      </c>
      <c r="O4825" s="95"/>
      <c r="P4825" s="107" t="s">
        <v>155</v>
      </c>
      <c r="Q4825" s="107">
        <v>0</v>
      </c>
      <c r="R4825" s="107">
        <v>0.3870898467971719</v>
      </c>
      <c r="S4825" s="107">
        <v>0</v>
      </c>
      <c r="T4825" s="107">
        <v>0</v>
      </c>
      <c r="U4825" s="107"/>
      <c r="V4825" s="107"/>
      <c r="W4825" s="107"/>
      <c r="X4825" s="107"/>
      <c r="Y4825" s="107"/>
      <c r="Z4825" s="107"/>
      <c r="AA4825" s="107"/>
      <c r="AB4825" s="107"/>
      <c r="AF4825" s="94">
        <f t="shared" si="658"/>
        <v>42460</v>
      </c>
      <c r="AG4825" s="185">
        <f t="shared" ref="AG4825:AG4859" si="662">IF(C4825&lt;&gt;C4824,D4825/G4825-1,(D4825-G4825-I4825-H4825)/(D4824)-1)</f>
        <v>0.21470307397247845</v>
      </c>
      <c r="AH4825" s="339" t="str">
        <f>VLOOKUP(B4825,'MF PF'!A:B,2)</f>
        <v>Coinv</v>
      </c>
      <c r="AI4825" s="358">
        <f t="shared" si="659"/>
        <v>0</v>
      </c>
      <c r="AJ4825" s="94">
        <f t="shared" si="660"/>
        <v>42460</v>
      </c>
    </row>
    <row r="4826" spans="1:36" s="358" customFormat="1" ht="12.75" customHeight="1">
      <c r="A4826" s="94">
        <v>42489</v>
      </c>
      <c r="B4826" s="94" t="s">
        <v>397</v>
      </c>
      <c r="C4826" s="358" t="s">
        <v>297</v>
      </c>
      <c r="D4826" s="98">
        <v>3469102.0631553303</v>
      </c>
      <c r="E4826" s="95">
        <f t="shared" si="661"/>
        <v>3469102.0631553303</v>
      </c>
      <c r="F4826" s="98"/>
      <c r="G4826" s="98"/>
      <c r="H4826" s="98">
        <v>0</v>
      </c>
      <c r="I4826" s="98">
        <v>0</v>
      </c>
      <c r="J4826" s="98"/>
      <c r="K4826" s="93">
        <v>1</v>
      </c>
      <c r="L4826" s="93">
        <f t="shared" si="656"/>
        <v>0</v>
      </c>
      <c r="M4826" s="95">
        <f t="shared" ca="1" si="657"/>
        <v>0</v>
      </c>
      <c r="N4826" s="95">
        <f>IF(P4826="Hedge Fund",IF(A4826=Summary!$AD$3,M4826-E4826,M4826),IF(A4826=Summary!$AD$3,L4826-D4826,L4826))</f>
        <v>0</v>
      </c>
      <c r="O4826" s="95"/>
      <c r="P4826" s="107" t="s">
        <v>155</v>
      </c>
      <c r="Q4826" s="107">
        <v>0</v>
      </c>
      <c r="R4826" s="107">
        <v>0.34691020631553304</v>
      </c>
      <c r="S4826" s="107">
        <v>0</v>
      </c>
      <c r="T4826" s="107">
        <v>0</v>
      </c>
      <c r="U4826" s="107"/>
      <c r="V4826" s="107"/>
      <c r="W4826" s="107"/>
      <c r="X4826" s="107"/>
      <c r="Y4826" s="107"/>
      <c r="Z4826" s="107"/>
      <c r="AA4826" s="107"/>
      <c r="AB4826" s="107"/>
      <c r="AF4826" s="94">
        <f t="shared" si="658"/>
        <v>42489</v>
      </c>
      <c r="AG4826" s="185">
        <f t="shared" si="662"/>
        <v>-0.1037992621457009</v>
      </c>
      <c r="AH4826" s="339" t="str">
        <f>VLOOKUP(B4826,'MF PF'!A:B,2)</f>
        <v>Coinv</v>
      </c>
      <c r="AI4826" s="358">
        <f t="shared" si="659"/>
        <v>0</v>
      </c>
      <c r="AJ4826" s="94">
        <f t="shared" si="660"/>
        <v>42490</v>
      </c>
    </row>
    <row r="4827" spans="1:36" s="358" customFormat="1" ht="12.75" customHeight="1">
      <c r="A4827" s="94">
        <v>42521</v>
      </c>
      <c r="B4827" s="94" t="s">
        <v>397</v>
      </c>
      <c r="C4827" s="358" t="s">
        <v>297</v>
      </c>
      <c r="D4827" s="98">
        <v>3610901.9761490626</v>
      </c>
      <c r="E4827" s="95">
        <f t="shared" si="661"/>
        <v>3610901.9761490626</v>
      </c>
      <c r="F4827" s="98"/>
      <c r="G4827" s="98"/>
      <c r="H4827" s="98">
        <v>0</v>
      </c>
      <c r="I4827" s="98">
        <v>0</v>
      </c>
      <c r="J4827" s="98"/>
      <c r="K4827" s="93">
        <v>1</v>
      </c>
      <c r="L4827" s="93">
        <f t="shared" si="656"/>
        <v>0</v>
      </c>
      <c r="M4827" s="95">
        <f t="shared" ca="1" si="657"/>
        <v>0</v>
      </c>
      <c r="N4827" s="95">
        <f>IF(P4827="Hedge Fund",IF(A4827=Summary!$AD$3,M4827-E4827,M4827),IF(A4827=Summary!$AD$3,L4827-D4827,L4827))</f>
        <v>0</v>
      </c>
      <c r="O4827" s="95"/>
      <c r="P4827" s="107" t="s">
        <v>155</v>
      </c>
      <c r="Q4827" s="107">
        <v>0</v>
      </c>
      <c r="R4827" s="107">
        <v>0.36109019761490629</v>
      </c>
      <c r="S4827" s="107">
        <v>0</v>
      </c>
      <c r="T4827" s="107">
        <v>0</v>
      </c>
      <c r="U4827" s="107"/>
      <c r="V4827" s="107"/>
      <c r="W4827" s="107"/>
      <c r="X4827" s="107"/>
      <c r="Y4827" s="107"/>
      <c r="Z4827" s="107"/>
      <c r="AA4827" s="107"/>
      <c r="AB4827" s="107"/>
      <c r="AF4827" s="94">
        <f t="shared" si="658"/>
        <v>42521</v>
      </c>
      <c r="AG4827" s="185">
        <f t="shared" si="662"/>
        <v>4.0875105549577739E-2</v>
      </c>
      <c r="AH4827" s="339" t="str">
        <f>VLOOKUP(B4827,'MF PF'!A:B,2)</f>
        <v>Coinv</v>
      </c>
      <c r="AI4827" s="358">
        <f t="shared" si="659"/>
        <v>0</v>
      </c>
      <c r="AJ4827" s="94">
        <f t="shared" si="660"/>
        <v>42521</v>
      </c>
    </row>
    <row r="4828" spans="1:36" s="358" customFormat="1" ht="12.75" customHeight="1">
      <c r="A4828" s="94">
        <v>42551</v>
      </c>
      <c r="B4828" s="94" t="s">
        <v>397</v>
      </c>
      <c r="C4828" s="358" t="s">
        <v>297</v>
      </c>
      <c r="D4828" s="98">
        <v>3561047.7545026601</v>
      </c>
      <c r="E4828" s="95">
        <f t="shared" si="661"/>
        <v>3561047.7545026601</v>
      </c>
      <c r="F4828" s="98"/>
      <c r="G4828" s="98"/>
      <c r="H4828" s="98">
        <v>0</v>
      </c>
      <c r="I4828" s="98">
        <v>0</v>
      </c>
      <c r="J4828" s="98"/>
      <c r="K4828" s="93">
        <v>1</v>
      </c>
      <c r="L4828" s="93">
        <f t="shared" si="656"/>
        <v>0</v>
      </c>
      <c r="M4828" s="95">
        <f t="shared" ca="1" si="657"/>
        <v>0</v>
      </c>
      <c r="N4828" s="95">
        <f>IF(P4828="Hedge Fund",IF(A4828=Summary!$AD$3,M4828-E4828,M4828),IF(A4828=Summary!$AD$3,L4828-D4828,L4828))</f>
        <v>0</v>
      </c>
      <c r="O4828" s="95"/>
      <c r="P4828" s="107" t="s">
        <v>155</v>
      </c>
      <c r="Q4828" s="107">
        <v>0</v>
      </c>
      <c r="R4828" s="107">
        <v>0.35610477545026603</v>
      </c>
      <c r="S4828" s="107">
        <v>0</v>
      </c>
      <c r="T4828" s="107">
        <v>0</v>
      </c>
      <c r="U4828" s="107"/>
      <c r="V4828" s="107"/>
      <c r="W4828" s="107"/>
      <c r="X4828" s="107"/>
      <c r="Y4828" s="107"/>
      <c r="Z4828" s="107"/>
      <c r="AA4828" s="107"/>
      <c r="AB4828" s="107"/>
      <c r="AF4828" s="94">
        <f t="shared" si="658"/>
        <v>42551</v>
      </c>
      <c r="AG4828" s="185">
        <f t="shared" si="662"/>
        <v>-1.3806584054538829E-2</v>
      </c>
      <c r="AH4828" s="339" t="str">
        <f>VLOOKUP(B4828,'MF PF'!A:B,2)</f>
        <v>Coinv</v>
      </c>
      <c r="AI4828" s="358">
        <f t="shared" si="659"/>
        <v>0</v>
      </c>
      <c r="AJ4828" s="94">
        <f t="shared" si="660"/>
        <v>42551</v>
      </c>
    </row>
    <row r="4829" spans="1:36" s="358" customFormat="1" ht="12.75" customHeight="1">
      <c r="A4829" s="94">
        <v>42580</v>
      </c>
      <c r="B4829" s="94" t="s">
        <v>397</v>
      </c>
      <c r="C4829" s="358" t="s">
        <v>297</v>
      </c>
      <c r="D4829" s="98">
        <v>3391406.3491183999</v>
      </c>
      <c r="E4829" s="95">
        <f t="shared" si="661"/>
        <v>3391406.3491183999</v>
      </c>
      <c r="F4829" s="98"/>
      <c r="G4829" s="98"/>
      <c r="H4829" s="98">
        <v>0</v>
      </c>
      <c r="I4829" s="98">
        <v>0</v>
      </c>
      <c r="J4829" s="98"/>
      <c r="K4829" s="93">
        <v>1</v>
      </c>
      <c r="L4829" s="93">
        <f t="shared" si="656"/>
        <v>0</v>
      </c>
      <c r="M4829" s="95">
        <f t="shared" ca="1" si="657"/>
        <v>0</v>
      </c>
      <c r="N4829" s="95">
        <f>IF(P4829="Hedge Fund",IF(A4829=Summary!$AD$3,M4829-E4829,M4829),IF(A4829=Summary!$AD$3,L4829-D4829,L4829))</f>
        <v>0</v>
      </c>
      <c r="O4829" s="95"/>
      <c r="P4829" s="107" t="s">
        <v>155</v>
      </c>
      <c r="Q4829" s="107">
        <v>0</v>
      </c>
      <c r="R4829" s="107">
        <v>0.33914063491183999</v>
      </c>
      <c r="S4829" s="107">
        <v>0</v>
      </c>
      <c r="T4829" s="107">
        <v>0</v>
      </c>
      <c r="U4829" s="107"/>
      <c r="V4829" s="107"/>
      <c r="W4829" s="107"/>
      <c r="X4829" s="107"/>
      <c r="Y4829" s="107"/>
      <c r="Z4829" s="107"/>
      <c r="AA4829" s="107"/>
      <c r="AB4829" s="107"/>
      <c r="AF4829" s="94">
        <f t="shared" si="658"/>
        <v>42580</v>
      </c>
      <c r="AG4829" s="185">
        <f t="shared" si="662"/>
        <v>-4.7638059660885523E-2</v>
      </c>
      <c r="AH4829" s="339" t="str">
        <f>VLOOKUP(B4829,'MF PF'!A:B,2)</f>
        <v>Coinv</v>
      </c>
      <c r="AI4829" s="358">
        <f t="shared" si="659"/>
        <v>0</v>
      </c>
      <c r="AJ4829" s="94">
        <f t="shared" si="660"/>
        <v>42582</v>
      </c>
    </row>
    <row r="4830" spans="1:36" s="358" customFormat="1" ht="12.75" customHeight="1">
      <c r="A4830" s="94">
        <v>42613</v>
      </c>
      <c r="B4830" s="94" t="s">
        <v>397</v>
      </c>
      <c r="C4830" s="358" t="s">
        <v>297</v>
      </c>
      <c r="D4830" s="98">
        <v>3201453.6413659099</v>
      </c>
      <c r="E4830" s="95">
        <f t="shared" si="661"/>
        <v>3201453.6413659099</v>
      </c>
      <c r="F4830" s="98"/>
      <c r="G4830" s="98"/>
      <c r="H4830" s="98">
        <v>0</v>
      </c>
      <c r="I4830" s="98">
        <v>0</v>
      </c>
      <c r="J4830" s="98"/>
      <c r="K4830" s="93">
        <v>1</v>
      </c>
      <c r="L4830" s="93">
        <f t="shared" si="656"/>
        <v>0</v>
      </c>
      <c r="M4830" s="95">
        <f t="shared" ca="1" si="657"/>
        <v>0</v>
      </c>
      <c r="N4830" s="95">
        <f>IF(P4830="Hedge Fund",IF(A4830=Summary!$AD$3,M4830-E4830,M4830),IF(A4830=Summary!$AD$3,L4830-D4830,L4830))</f>
        <v>0</v>
      </c>
      <c r="O4830" s="95"/>
      <c r="P4830" s="107" t="s">
        <v>155</v>
      </c>
      <c r="Q4830" s="107">
        <v>0</v>
      </c>
      <c r="R4830" s="107">
        <v>0.320145364136591</v>
      </c>
      <c r="S4830" s="107">
        <v>0</v>
      </c>
      <c r="T4830" s="107">
        <v>0</v>
      </c>
      <c r="U4830" s="107"/>
      <c r="V4830" s="107"/>
      <c r="W4830" s="107"/>
      <c r="X4830" s="107"/>
      <c r="Y4830" s="107"/>
      <c r="Z4830" s="107"/>
      <c r="AA4830" s="107"/>
      <c r="AB4830" s="107"/>
      <c r="AF4830" s="94">
        <f t="shared" si="658"/>
        <v>42613</v>
      </c>
      <c r="AG4830" s="185">
        <f t="shared" si="662"/>
        <v>-5.6010011245590907E-2</v>
      </c>
      <c r="AH4830" s="339" t="str">
        <f>VLOOKUP(B4830,'MF PF'!A:B,2)</f>
        <v>Coinv</v>
      </c>
      <c r="AI4830" s="358">
        <f t="shared" si="659"/>
        <v>0</v>
      </c>
      <c r="AJ4830" s="94">
        <f t="shared" si="660"/>
        <v>42613</v>
      </c>
    </row>
    <row r="4831" spans="1:36">
      <c r="A4831" s="94">
        <v>42643</v>
      </c>
      <c r="B4831" s="94" t="s">
        <v>397</v>
      </c>
      <c r="C4831" s="358" t="s">
        <v>297</v>
      </c>
      <c r="D4831" s="98">
        <v>3074181.7027843199</v>
      </c>
      <c r="E4831" s="9">
        <f t="shared" si="661"/>
        <v>3074181.7027843199</v>
      </c>
      <c r="F4831" s="98"/>
      <c r="G4831" s="98"/>
      <c r="H4831" s="98">
        <v>0</v>
      </c>
      <c r="I4831" s="98">
        <v>0</v>
      </c>
      <c r="J4831" s="98"/>
      <c r="K4831" s="7">
        <v>1</v>
      </c>
      <c r="L4831" s="93">
        <f t="shared" si="656"/>
        <v>0</v>
      </c>
      <c r="M4831" s="95">
        <f t="shared" ca="1" si="657"/>
        <v>0</v>
      </c>
      <c r="N4831" s="95">
        <f>IF(P4831="Hedge Fund",IF(A4831=Summary!$AD$3,M4831-E4831,M4831),IF(A4831=Summary!$AD$3,L4831-D4831,L4831))</f>
        <v>0</v>
      </c>
      <c r="O4831" s="95"/>
      <c r="P4831" s="107" t="s">
        <v>155</v>
      </c>
      <c r="Q4831" s="107">
        <v>0</v>
      </c>
      <c r="R4831" s="107">
        <v>0.30741817027843199</v>
      </c>
      <c r="S4831" s="107">
        <v>0</v>
      </c>
      <c r="T4831" s="107">
        <v>0</v>
      </c>
      <c r="U4831" s="107"/>
      <c r="V4831" s="107"/>
      <c r="W4831" s="107"/>
      <c r="X4831" s="107"/>
      <c r="Y4831" s="107"/>
      <c r="Z4831" s="107"/>
      <c r="AA4831" s="107"/>
      <c r="AB4831" s="107"/>
      <c r="AF4831" s="94">
        <f t="shared" si="658"/>
        <v>42643</v>
      </c>
      <c r="AG4831" s="185">
        <f t="shared" si="662"/>
        <v>-3.9754421846723731E-2</v>
      </c>
      <c r="AH4831" s="339" t="str">
        <f>VLOOKUP(B4831,'MF PF'!A:B,2)</f>
        <v>Coinv</v>
      </c>
      <c r="AI4831" s="358">
        <f t="shared" si="659"/>
        <v>0</v>
      </c>
      <c r="AJ4831" s="94">
        <f t="shared" si="660"/>
        <v>42643</v>
      </c>
    </row>
    <row r="4832" spans="1:36">
      <c r="A4832" s="94">
        <v>42674</v>
      </c>
      <c r="B4832" s="94" t="s">
        <v>397</v>
      </c>
      <c r="C4832" s="358" t="s">
        <v>297</v>
      </c>
      <c r="D4832" s="98">
        <v>2895554.0215577199</v>
      </c>
      <c r="E4832" s="9">
        <f t="shared" si="661"/>
        <v>2895554.0215577199</v>
      </c>
      <c r="F4832" s="98"/>
      <c r="G4832" s="98"/>
      <c r="H4832" s="98">
        <v>0</v>
      </c>
      <c r="I4832" s="98">
        <v>0</v>
      </c>
      <c r="J4832" s="98"/>
      <c r="K4832" s="7">
        <v>1</v>
      </c>
      <c r="L4832" s="93">
        <f t="shared" si="656"/>
        <v>0</v>
      </c>
      <c r="M4832" s="95">
        <f t="shared" ca="1" si="657"/>
        <v>0</v>
      </c>
      <c r="N4832" s="95">
        <f>IF(P4832="Hedge Fund",IF(A4832=Summary!$AD$3,M4832-E4832,M4832),IF(A4832=Summary!$AD$3,L4832-D4832,L4832))</f>
        <v>0</v>
      </c>
      <c r="O4832" s="95"/>
      <c r="P4832" s="107" t="s">
        <v>155</v>
      </c>
      <c r="Q4832" s="107">
        <v>0</v>
      </c>
      <c r="R4832" s="107">
        <v>0.28955540215577197</v>
      </c>
      <c r="S4832" s="107">
        <v>0</v>
      </c>
      <c r="T4832" s="107">
        <v>0</v>
      </c>
      <c r="U4832" s="107"/>
      <c r="V4832" s="107"/>
      <c r="W4832" s="107"/>
      <c r="X4832" s="107"/>
      <c r="Y4832" s="107"/>
      <c r="Z4832" s="107"/>
      <c r="AA4832" s="107"/>
      <c r="AB4832" s="107"/>
      <c r="AF4832" s="94">
        <f t="shared" si="658"/>
        <v>42674</v>
      </c>
      <c r="AG4832" s="185">
        <f t="shared" si="662"/>
        <v>-5.8105765532601716E-2</v>
      </c>
      <c r="AH4832" s="339" t="str">
        <f>VLOOKUP(B4832,'MF PF'!A:B,2)</f>
        <v>Coinv</v>
      </c>
      <c r="AI4832" s="358">
        <f t="shared" si="659"/>
        <v>0</v>
      </c>
      <c r="AJ4832" s="94">
        <f t="shared" si="660"/>
        <v>42674</v>
      </c>
    </row>
    <row r="4833" spans="1:36">
      <c r="A4833" s="94">
        <v>42704</v>
      </c>
      <c r="B4833" s="94" t="s">
        <v>397</v>
      </c>
      <c r="C4833" s="358" t="s">
        <v>297</v>
      </c>
      <c r="D4833" s="98">
        <v>3051675.0085303402</v>
      </c>
      <c r="E4833" s="9">
        <f t="shared" si="661"/>
        <v>3051675.0085303402</v>
      </c>
      <c r="F4833" s="98"/>
      <c r="G4833" s="98"/>
      <c r="H4833" s="98">
        <v>0</v>
      </c>
      <c r="I4833" s="98">
        <v>0</v>
      </c>
      <c r="J4833" s="98"/>
      <c r="K4833" s="7">
        <v>1</v>
      </c>
      <c r="L4833" s="93">
        <f t="shared" si="656"/>
        <v>0</v>
      </c>
      <c r="M4833" s="95">
        <f t="shared" ca="1" si="657"/>
        <v>0</v>
      </c>
      <c r="N4833" s="95">
        <f>IF(P4833="Hedge Fund",IF(A4833=Summary!$AD$3,M4833-E4833,M4833),IF(A4833=Summary!$AD$3,L4833-D4833,L4833))</f>
        <v>0</v>
      </c>
      <c r="O4833" s="95"/>
      <c r="P4833" s="107" t="s">
        <v>155</v>
      </c>
      <c r="Q4833" s="107">
        <v>0</v>
      </c>
      <c r="R4833" s="107">
        <v>0.30516750085303407</v>
      </c>
      <c r="S4833" s="107">
        <v>0</v>
      </c>
      <c r="T4833" s="107">
        <v>0</v>
      </c>
      <c r="U4833" s="107"/>
      <c r="V4833" s="107"/>
      <c r="W4833" s="107"/>
      <c r="X4833" s="107"/>
      <c r="Y4833" s="107"/>
      <c r="Z4833" s="107"/>
      <c r="AA4833" s="107"/>
      <c r="AB4833" s="107"/>
      <c r="AF4833" s="94">
        <f t="shared" si="658"/>
        <v>42704</v>
      </c>
      <c r="AG4833" s="185">
        <f t="shared" si="662"/>
        <v>5.3917483773496366E-2</v>
      </c>
      <c r="AH4833" s="339" t="str">
        <f>VLOOKUP(B4833,'MF PF'!A:B,2)</f>
        <v>Coinv</v>
      </c>
      <c r="AI4833" s="358">
        <f t="shared" si="659"/>
        <v>0</v>
      </c>
      <c r="AJ4833" s="94">
        <f t="shared" si="660"/>
        <v>42704</v>
      </c>
    </row>
    <row r="4834" spans="1:36">
      <c r="A4834" s="94">
        <v>42734</v>
      </c>
      <c r="B4834" s="94" t="s">
        <v>397</v>
      </c>
      <c r="C4834" s="358" t="s">
        <v>297</v>
      </c>
      <c r="D4834" s="98">
        <v>2948636.4878177601</v>
      </c>
      <c r="E4834" s="9">
        <f t="shared" si="661"/>
        <v>2948636.4878177601</v>
      </c>
      <c r="F4834" s="98"/>
      <c r="G4834" s="98"/>
      <c r="H4834" s="98">
        <v>0</v>
      </c>
      <c r="I4834" s="98">
        <v>0</v>
      </c>
      <c r="J4834" s="98"/>
      <c r="K4834" s="7">
        <v>1</v>
      </c>
      <c r="L4834" s="93">
        <f t="shared" si="656"/>
        <v>0</v>
      </c>
      <c r="M4834" s="95">
        <f t="shared" ca="1" si="657"/>
        <v>0</v>
      </c>
      <c r="N4834" s="95">
        <f>IF(P4834="Hedge Fund",IF(A4834=Summary!$AD$3,M4834-E4834,M4834),IF(A4834=Summary!$AD$3,L4834-D4834,L4834))</f>
        <v>0</v>
      </c>
      <c r="O4834" s="95"/>
      <c r="P4834" s="107" t="s">
        <v>155</v>
      </c>
      <c r="Q4834" s="107">
        <v>0</v>
      </c>
      <c r="R4834" s="107">
        <v>0.29486364878177601</v>
      </c>
      <c r="S4834" s="107">
        <v>0</v>
      </c>
      <c r="T4834" s="107">
        <v>0</v>
      </c>
      <c r="U4834" s="107"/>
      <c r="V4834" s="107"/>
      <c r="W4834" s="107"/>
      <c r="X4834" s="107"/>
      <c r="Y4834" s="107"/>
      <c r="Z4834" s="107"/>
      <c r="AA4834" s="107"/>
      <c r="AB4834" s="107"/>
      <c r="AF4834" s="94">
        <f t="shared" si="658"/>
        <v>42734</v>
      </c>
      <c r="AG4834" s="185">
        <f t="shared" si="662"/>
        <v>-3.3764578608323825E-2</v>
      </c>
      <c r="AH4834" s="339" t="str">
        <f>VLOOKUP(B4834,'MF PF'!A:B,2)</f>
        <v>Coinv</v>
      </c>
      <c r="AI4834" s="358">
        <f t="shared" si="659"/>
        <v>0</v>
      </c>
      <c r="AJ4834" s="94">
        <f t="shared" si="660"/>
        <v>42735</v>
      </c>
    </row>
    <row r="4835" spans="1:36">
      <c r="A4835" s="94">
        <v>42762</v>
      </c>
      <c r="B4835" s="94" t="s">
        <v>397</v>
      </c>
      <c r="C4835" s="358" t="s">
        <v>297</v>
      </c>
      <c r="D4835" s="98">
        <v>2926383.3195470301</v>
      </c>
      <c r="E4835" s="9">
        <f t="shared" si="661"/>
        <v>2926383.3195470301</v>
      </c>
      <c r="F4835" s="98"/>
      <c r="G4835" s="98"/>
      <c r="H4835" s="98">
        <v>0</v>
      </c>
      <c r="I4835" s="98">
        <v>0</v>
      </c>
      <c r="J4835" s="98"/>
      <c r="K4835" s="7">
        <v>1</v>
      </c>
      <c r="L4835" s="93">
        <f t="shared" si="656"/>
        <v>0</v>
      </c>
      <c r="M4835" s="95">
        <f t="shared" ca="1" si="657"/>
        <v>0</v>
      </c>
      <c r="N4835" s="95">
        <f>IF(P4835="Hedge Fund",IF(A4835=Summary!$AD$3,M4835-E4835,M4835),IF(A4835=Summary!$AD$3,L4835-D4835,L4835))</f>
        <v>0</v>
      </c>
      <c r="O4835" s="95"/>
      <c r="P4835" s="107" t="s">
        <v>155</v>
      </c>
      <c r="Q4835" s="107">
        <v>0</v>
      </c>
      <c r="R4835" s="107">
        <v>0.29263833195470301</v>
      </c>
      <c r="S4835" s="107">
        <v>0</v>
      </c>
      <c r="T4835" s="107">
        <v>0</v>
      </c>
      <c r="U4835" s="107"/>
      <c r="V4835" s="107"/>
      <c r="W4835" s="107"/>
      <c r="X4835" s="107"/>
      <c r="Y4835" s="107"/>
      <c r="Z4835" s="107"/>
      <c r="AA4835" s="107"/>
      <c r="AB4835" s="107"/>
      <c r="AF4835" s="94">
        <f t="shared" si="658"/>
        <v>42762</v>
      </c>
      <c r="AG4835" s="185">
        <f t="shared" si="662"/>
        <v>-7.5469351215955438E-3</v>
      </c>
      <c r="AH4835" s="339" t="str">
        <f>VLOOKUP(B4835,'MF PF'!A:B,2)</f>
        <v>Coinv</v>
      </c>
      <c r="AI4835" s="358">
        <f t="shared" si="659"/>
        <v>0</v>
      </c>
      <c r="AJ4835" s="94">
        <f t="shared" si="660"/>
        <v>42766</v>
      </c>
    </row>
    <row r="4836" spans="1:36">
      <c r="A4836" s="94">
        <v>42794</v>
      </c>
      <c r="B4836" s="94" t="s">
        <v>397</v>
      </c>
      <c r="C4836" s="358" t="s">
        <v>297</v>
      </c>
      <c r="D4836" s="98">
        <v>3304077.6886254</v>
      </c>
      <c r="E4836" s="9">
        <f t="shared" si="661"/>
        <v>3304077.6886254</v>
      </c>
      <c r="F4836" s="98"/>
      <c r="G4836" s="98"/>
      <c r="H4836" s="98">
        <v>0</v>
      </c>
      <c r="I4836" s="98">
        <v>0</v>
      </c>
      <c r="J4836" s="98"/>
      <c r="K4836" s="7">
        <v>1</v>
      </c>
      <c r="L4836" s="93">
        <f t="shared" si="656"/>
        <v>0</v>
      </c>
      <c r="M4836" s="95">
        <f t="shared" ca="1" si="657"/>
        <v>0</v>
      </c>
      <c r="N4836" s="95">
        <f>IF(P4836="Hedge Fund",IF(A4836=Summary!$AD$3,M4836-E4836,M4836),IF(A4836=Summary!$AD$3,L4836-D4836,L4836))</f>
        <v>0</v>
      </c>
      <c r="O4836" s="95"/>
      <c r="P4836" s="107" t="s">
        <v>155</v>
      </c>
      <c r="Q4836" s="107">
        <v>0</v>
      </c>
      <c r="R4836" s="107">
        <v>0.33040776886253997</v>
      </c>
      <c r="S4836" s="107">
        <v>0</v>
      </c>
      <c r="T4836" s="107">
        <v>0</v>
      </c>
      <c r="U4836" s="107"/>
      <c r="V4836" s="107"/>
      <c r="W4836" s="107"/>
      <c r="X4836" s="107"/>
      <c r="Y4836" s="107"/>
      <c r="Z4836" s="107"/>
      <c r="AA4836" s="107"/>
      <c r="AB4836" s="107"/>
      <c r="AF4836" s="94">
        <f t="shared" si="658"/>
        <v>42794</v>
      </c>
      <c r="AG4836" s="185">
        <f t="shared" si="662"/>
        <v>0.12906524123327512</v>
      </c>
      <c r="AH4836" s="339" t="str">
        <f>VLOOKUP(B4836,'MF PF'!A:B,2)</f>
        <v>Coinv</v>
      </c>
      <c r="AI4836" s="358">
        <f t="shared" si="659"/>
        <v>0</v>
      </c>
      <c r="AJ4836" s="94">
        <f t="shared" si="660"/>
        <v>42794</v>
      </c>
    </row>
    <row r="4837" spans="1:36">
      <c r="A4837" s="94">
        <v>42825</v>
      </c>
      <c r="B4837" s="94" t="s">
        <v>397</v>
      </c>
      <c r="C4837" s="358" t="s">
        <v>297</v>
      </c>
      <c r="D4837" s="98">
        <v>3941737.3756737304</v>
      </c>
      <c r="E4837" s="9">
        <f t="shared" si="661"/>
        <v>3941737.3756737304</v>
      </c>
      <c r="F4837" s="98"/>
      <c r="G4837" s="98"/>
      <c r="H4837" s="98">
        <v>0</v>
      </c>
      <c r="I4837" s="98">
        <v>0</v>
      </c>
      <c r="J4837" s="98"/>
      <c r="K4837" s="7">
        <v>1</v>
      </c>
      <c r="L4837" s="93">
        <f t="shared" si="656"/>
        <v>0</v>
      </c>
      <c r="M4837" s="95">
        <f t="shared" ca="1" si="657"/>
        <v>0</v>
      </c>
      <c r="N4837" s="95">
        <f>IF(P4837="Hedge Fund",IF(A4837=Summary!$AD$3,M4837-E4837,M4837),IF(A4837=Summary!$AD$3,L4837-D4837,L4837))</f>
        <v>0</v>
      </c>
      <c r="O4837" s="95"/>
      <c r="P4837" s="107" t="s">
        <v>155</v>
      </c>
      <c r="Q4837" s="107">
        <v>0</v>
      </c>
      <c r="R4837" s="107">
        <v>0.39417373756737306</v>
      </c>
      <c r="S4837" s="107">
        <v>0</v>
      </c>
      <c r="T4837" s="107">
        <v>0</v>
      </c>
      <c r="U4837" s="107"/>
      <c r="V4837" s="107"/>
      <c r="W4837" s="107"/>
      <c r="X4837" s="107"/>
      <c r="Y4837" s="107"/>
      <c r="Z4837" s="107"/>
      <c r="AA4837" s="107"/>
      <c r="AB4837" s="107"/>
      <c r="AF4837" s="94">
        <f t="shared" si="658"/>
        <v>42825</v>
      </c>
      <c r="AG4837" s="185">
        <f t="shared" si="662"/>
        <v>0.19299173540729209</v>
      </c>
      <c r="AH4837" s="339" t="str">
        <f>VLOOKUP(B4837,'MF PF'!A:B,2)</f>
        <v>Coinv</v>
      </c>
      <c r="AI4837" s="358">
        <f t="shared" si="659"/>
        <v>0</v>
      </c>
      <c r="AJ4837" s="94">
        <f t="shared" si="660"/>
        <v>42825</v>
      </c>
    </row>
    <row r="4838" spans="1:36">
      <c r="A4838" s="94">
        <v>42853</v>
      </c>
      <c r="B4838" s="94" t="s">
        <v>397</v>
      </c>
      <c r="C4838" s="358" t="s">
        <v>297</v>
      </c>
      <c r="D4838" s="98">
        <v>3852310.14</v>
      </c>
      <c r="E4838" s="9">
        <f t="shared" si="661"/>
        <v>3852310.14</v>
      </c>
      <c r="F4838" s="98"/>
      <c r="G4838" s="98"/>
      <c r="H4838" s="98">
        <v>0</v>
      </c>
      <c r="I4838" s="98">
        <v>0</v>
      </c>
      <c r="J4838" s="98"/>
      <c r="K4838" s="7">
        <v>1</v>
      </c>
      <c r="L4838" s="93">
        <f t="shared" si="656"/>
        <v>0</v>
      </c>
      <c r="M4838" s="95">
        <f t="shared" ca="1" si="657"/>
        <v>0</v>
      </c>
      <c r="N4838" s="95">
        <f>IF(P4838="Hedge Fund",IF(A4838=Summary!$AD$3,M4838-E4838,M4838),IF(A4838=Summary!$AD$3,L4838-D4838,L4838))</f>
        <v>0</v>
      </c>
      <c r="O4838" s="95"/>
      <c r="P4838" s="107" t="s">
        <v>155</v>
      </c>
      <c r="Q4838" s="107">
        <v>0</v>
      </c>
      <c r="R4838" s="107">
        <v>0.38523101400000004</v>
      </c>
      <c r="S4838" s="107">
        <v>0</v>
      </c>
      <c r="T4838" s="107">
        <v>0</v>
      </c>
      <c r="U4838" s="107"/>
      <c r="V4838" s="107"/>
      <c r="W4838" s="107"/>
      <c r="X4838" s="107"/>
      <c r="Y4838" s="107"/>
      <c r="Z4838" s="107"/>
      <c r="AA4838" s="107"/>
      <c r="AB4838" s="107"/>
      <c r="AF4838" s="94">
        <f t="shared" si="658"/>
        <v>42853</v>
      </c>
      <c r="AG4838" s="185">
        <f t="shared" si="662"/>
        <v>-2.2687263800380664E-2</v>
      </c>
      <c r="AH4838" s="339" t="str">
        <f>VLOOKUP(B4838,'MF PF'!A:B,2)</f>
        <v>Coinv</v>
      </c>
      <c r="AI4838" s="358">
        <f t="shared" si="659"/>
        <v>0</v>
      </c>
      <c r="AJ4838" s="94">
        <f t="shared" si="660"/>
        <v>42855</v>
      </c>
    </row>
    <row r="4839" spans="1:36">
      <c r="A4839" s="94">
        <v>42886</v>
      </c>
      <c r="B4839" s="94" t="s">
        <v>397</v>
      </c>
      <c r="C4839" s="358" t="s">
        <v>297</v>
      </c>
      <c r="D4839" s="98">
        <v>3847270.2890292201</v>
      </c>
      <c r="E4839" s="9">
        <f t="shared" si="661"/>
        <v>3847270.2890292201</v>
      </c>
      <c r="F4839" s="98"/>
      <c r="G4839" s="98"/>
      <c r="H4839" s="98">
        <v>0</v>
      </c>
      <c r="I4839" s="98">
        <v>0</v>
      </c>
      <c r="J4839" s="98"/>
      <c r="K4839" s="7">
        <v>1</v>
      </c>
      <c r="L4839" s="93">
        <f t="shared" si="656"/>
        <v>0</v>
      </c>
      <c r="M4839" s="95">
        <f t="shared" ca="1" si="657"/>
        <v>0</v>
      </c>
      <c r="N4839" s="95">
        <f>IF(P4839="Hedge Fund",IF(A4839=Summary!$AD$3,M4839-E4839,M4839),IF(A4839=Summary!$AD$3,L4839-D4839,L4839))</f>
        <v>0</v>
      </c>
      <c r="O4839" s="95"/>
      <c r="P4839" s="107" t="s">
        <v>155</v>
      </c>
      <c r="Q4839" s="107">
        <v>0</v>
      </c>
      <c r="R4839" s="107">
        <v>0.38472702890292204</v>
      </c>
      <c r="S4839" s="107">
        <v>0</v>
      </c>
      <c r="T4839" s="107">
        <v>0</v>
      </c>
      <c r="U4839" s="107"/>
      <c r="V4839" s="107"/>
      <c r="W4839" s="107"/>
      <c r="X4839" s="107"/>
      <c r="Y4839" s="107"/>
      <c r="Z4839" s="107"/>
      <c r="AA4839" s="107"/>
      <c r="AB4839" s="107"/>
      <c r="AF4839" s="94">
        <f t="shared" si="658"/>
        <v>42886</v>
      </c>
      <c r="AG4839" s="185">
        <f t="shared" si="662"/>
        <v>-1.3082671923138056E-3</v>
      </c>
      <c r="AH4839" s="339" t="str">
        <f>VLOOKUP(B4839,'MF PF'!A:B,2)</f>
        <v>Coinv</v>
      </c>
      <c r="AI4839" s="358">
        <f t="shared" si="659"/>
        <v>0</v>
      </c>
      <c r="AJ4839" s="94">
        <f t="shared" si="660"/>
        <v>42886</v>
      </c>
    </row>
    <row r="4840" spans="1:36">
      <c r="A4840" s="94">
        <v>42916</v>
      </c>
      <c r="B4840" s="94" t="s">
        <v>397</v>
      </c>
      <c r="C4840" s="358" t="s">
        <v>297</v>
      </c>
      <c r="D4840" s="98">
        <v>3855230.38996726</v>
      </c>
      <c r="E4840" s="9">
        <f t="shared" si="661"/>
        <v>3855230.38996726</v>
      </c>
      <c r="F4840" s="98"/>
      <c r="G4840" s="98"/>
      <c r="H4840" s="98">
        <v>0</v>
      </c>
      <c r="I4840" s="98">
        <v>0</v>
      </c>
      <c r="J4840" s="98"/>
      <c r="K4840" s="7">
        <v>1</v>
      </c>
      <c r="L4840" s="93">
        <f t="shared" si="656"/>
        <v>0</v>
      </c>
      <c r="M4840" s="95">
        <f t="shared" ca="1" si="657"/>
        <v>0</v>
      </c>
      <c r="N4840" s="95">
        <f>IF(P4840="Hedge Fund",IF(A4840=Summary!$AD$3,M4840-E4840,M4840),IF(A4840=Summary!$AD$3,L4840-D4840,L4840))</f>
        <v>0</v>
      </c>
      <c r="O4840" s="95"/>
      <c r="P4840" s="107" t="s">
        <v>155</v>
      </c>
      <c r="Q4840" s="107">
        <v>0</v>
      </c>
      <c r="R4840" s="107">
        <v>0.38552303899672602</v>
      </c>
      <c r="S4840" s="107">
        <v>0</v>
      </c>
      <c r="T4840" s="107">
        <v>0</v>
      </c>
      <c r="U4840" s="107"/>
      <c r="V4840" s="107"/>
      <c r="W4840" s="107"/>
      <c r="X4840" s="107"/>
      <c r="Y4840" s="107"/>
      <c r="Z4840" s="107"/>
      <c r="AA4840" s="107"/>
      <c r="AB4840" s="107"/>
      <c r="AF4840" s="94">
        <f t="shared" si="658"/>
        <v>42916</v>
      </c>
      <c r="AG4840" s="185">
        <f t="shared" si="662"/>
        <v>2.0690256571622712E-3</v>
      </c>
      <c r="AH4840" s="339" t="str">
        <f>VLOOKUP(B4840,'MF PF'!A:B,2)</f>
        <v>Coinv</v>
      </c>
      <c r="AI4840" s="358">
        <f t="shared" si="659"/>
        <v>0</v>
      </c>
      <c r="AJ4840" s="94">
        <f t="shared" si="660"/>
        <v>42916</v>
      </c>
    </row>
    <row r="4841" spans="1:36">
      <c r="A4841" s="94">
        <v>42947</v>
      </c>
      <c r="B4841" s="94" t="s">
        <v>397</v>
      </c>
      <c r="C4841" s="358" t="s">
        <v>297</v>
      </c>
      <c r="D4841" s="98">
        <v>3879680.6239999998</v>
      </c>
      <c r="E4841" s="9">
        <f t="shared" si="661"/>
        <v>3879680.6239999998</v>
      </c>
      <c r="F4841" s="98"/>
      <c r="G4841" s="98"/>
      <c r="H4841" s="98">
        <v>0</v>
      </c>
      <c r="I4841" s="98">
        <v>0</v>
      </c>
      <c r="J4841" s="98"/>
      <c r="K4841" s="7">
        <v>1</v>
      </c>
      <c r="L4841" s="93">
        <f t="shared" si="656"/>
        <v>0</v>
      </c>
      <c r="M4841" s="95">
        <f t="shared" ca="1" si="657"/>
        <v>0</v>
      </c>
      <c r="N4841" s="95">
        <f>IF(P4841="Hedge Fund",IF(A4841=Summary!$AD$3,M4841-E4841,M4841),IF(A4841=Summary!$AD$3,L4841-D4841,L4841))</f>
        <v>0</v>
      </c>
      <c r="O4841" s="95"/>
      <c r="P4841" s="107" t="s">
        <v>155</v>
      </c>
      <c r="Q4841" s="107">
        <v>0</v>
      </c>
      <c r="R4841" s="107">
        <v>0.38796806239999998</v>
      </c>
      <c r="S4841" s="107">
        <v>0</v>
      </c>
      <c r="T4841" s="107">
        <v>0</v>
      </c>
      <c r="U4841" s="107"/>
      <c r="V4841" s="107"/>
      <c r="W4841" s="107"/>
      <c r="X4841" s="107"/>
      <c r="Y4841" s="107"/>
      <c r="Z4841" s="107"/>
      <c r="AA4841" s="107"/>
      <c r="AB4841" s="107"/>
      <c r="AF4841" s="94">
        <f t="shared" si="658"/>
        <v>42947</v>
      </c>
      <c r="AG4841" s="185">
        <f t="shared" si="662"/>
        <v>6.3420941317460233E-3</v>
      </c>
      <c r="AH4841" s="339" t="str">
        <f>VLOOKUP(B4841,'MF PF'!A:B,2)</f>
        <v>Coinv</v>
      </c>
      <c r="AI4841" s="358">
        <f t="shared" si="659"/>
        <v>0</v>
      </c>
      <c r="AJ4841" s="94">
        <f t="shared" si="660"/>
        <v>42947</v>
      </c>
    </row>
    <row r="4842" spans="1:36">
      <c r="A4842" s="94">
        <v>42978</v>
      </c>
      <c r="B4842" s="94" t="s">
        <v>397</v>
      </c>
      <c r="C4842" s="358" t="s">
        <v>297</v>
      </c>
      <c r="D4842" s="98">
        <v>3750376.31</v>
      </c>
      <c r="E4842" s="9">
        <f t="shared" si="661"/>
        <v>3750376.31</v>
      </c>
      <c r="F4842" s="98"/>
      <c r="G4842" s="98"/>
      <c r="H4842" s="98">
        <v>0</v>
      </c>
      <c r="I4842" s="98">
        <v>0</v>
      </c>
      <c r="J4842" s="98"/>
      <c r="K4842" s="93">
        <v>1</v>
      </c>
      <c r="L4842" s="93">
        <f t="shared" si="656"/>
        <v>0</v>
      </c>
      <c r="M4842" s="95">
        <f t="shared" ca="1" si="657"/>
        <v>0</v>
      </c>
      <c r="N4842" s="95">
        <f>IF(P4842="Hedge Fund",IF(A4842=Summary!$AD$3,M4842-E4842,M4842),IF(A4842=Summary!$AD$3,L4842-D4842,L4842))</f>
        <v>0</v>
      </c>
      <c r="O4842" s="95"/>
      <c r="P4842" s="107" t="s">
        <v>155</v>
      </c>
      <c r="Q4842" s="107">
        <v>0</v>
      </c>
      <c r="R4842" s="107">
        <v>0.37503763100000004</v>
      </c>
      <c r="S4842" s="107">
        <v>0</v>
      </c>
      <c r="T4842" s="107">
        <v>0</v>
      </c>
      <c r="U4842" s="107"/>
      <c r="V4842" s="107"/>
      <c r="W4842" s="107"/>
      <c r="X4842" s="107"/>
      <c r="Y4842" s="107"/>
      <c r="Z4842" s="107"/>
      <c r="AA4842" s="107"/>
      <c r="AB4842" s="107"/>
      <c r="AF4842" s="94">
        <f t="shared" si="658"/>
        <v>42978</v>
      </c>
      <c r="AG4842" s="185">
        <f t="shared" si="662"/>
        <v>-3.3328597513958558E-2</v>
      </c>
      <c r="AH4842" s="339" t="str">
        <f>VLOOKUP(B4842,'MF PF'!A:B,2)</f>
        <v>Coinv</v>
      </c>
      <c r="AI4842" s="358">
        <f t="shared" si="659"/>
        <v>0</v>
      </c>
      <c r="AJ4842" s="94">
        <f t="shared" si="660"/>
        <v>42978</v>
      </c>
    </row>
    <row r="4843" spans="1:36">
      <c r="A4843" s="94">
        <v>43007</v>
      </c>
      <c r="B4843" s="94" t="s">
        <v>397</v>
      </c>
      <c r="C4843" s="358" t="s">
        <v>297</v>
      </c>
      <c r="D4843" s="98">
        <v>3493098</v>
      </c>
      <c r="E4843" s="9">
        <f t="shared" si="661"/>
        <v>3493098</v>
      </c>
      <c r="F4843" s="98"/>
      <c r="G4843" s="98"/>
      <c r="H4843" s="98">
        <v>0</v>
      </c>
      <c r="I4843" s="98">
        <v>0</v>
      </c>
      <c r="J4843" s="98"/>
      <c r="K4843" s="93">
        <v>1</v>
      </c>
      <c r="L4843" s="93">
        <f t="shared" si="656"/>
        <v>0</v>
      </c>
      <c r="M4843" s="95">
        <f t="shared" ca="1" si="657"/>
        <v>0</v>
      </c>
      <c r="N4843" s="95">
        <f>IF(P4843="Hedge Fund",IF(A4843=Summary!$AD$3,M4843-E4843,M4843),IF(A4843=Summary!$AD$3,L4843-D4843,L4843))</f>
        <v>0</v>
      </c>
      <c r="O4843" s="95"/>
      <c r="P4843" s="107" t="s">
        <v>155</v>
      </c>
      <c r="Q4843" s="107">
        <v>0</v>
      </c>
      <c r="R4843" s="107">
        <v>0.3493098</v>
      </c>
      <c r="S4843" s="107">
        <v>0</v>
      </c>
      <c r="T4843" s="107">
        <v>0</v>
      </c>
      <c r="U4843" s="107"/>
      <c r="V4843" s="107"/>
      <c r="W4843" s="107"/>
      <c r="X4843" s="107"/>
      <c r="Y4843" s="107"/>
      <c r="Z4843" s="107"/>
      <c r="AA4843" s="107"/>
      <c r="AB4843" s="107"/>
      <c r="AF4843" s="94">
        <f t="shared" si="658"/>
        <v>43007</v>
      </c>
      <c r="AG4843" s="185">
        <f t="shared" si="662"/>
        <v>-6.860066530230402E-2</v>
      </c>
      <c r="AH4843" s="339" t="str">
        <f>VLOOKUP(B4843,'MF PF'!A:B,2)</f>
        <v>Coinv</v>
      </c>
      <c r="AI4843" s="358">
        <f t="shared" si="659"/>
        <v>0</v>
      </c>
      <c r="AJ4843" s="94">
        <f t="shared" si="660"/>
        <v>43008</v>
      </c>
    </row>
    <row r="4844" spans="1:36">
      <c r="A4844" s="94">
        <v>43039</v>
      </c>
      <c r="B4844" s="94" t="s">
        <v>397</v>
      </c>
      <c r="C4844" s="358" t="s">
        <v>297</v>
      </c>
      <c r="D4844" s="98">
        <v>3538387.8279515295</v>
      </c>
      <c r="E4844" s="9">
        <f t="shared" si="661"/>
        <v>3538387.8279515295</v>
      </c>
      <c r="F4844" s="98"/>
      <c r="G4844" s="98"/>
      <c r="H4844" s="98">
        <v>0</v>
      </c>
      <c r="I4844" s="98">
        <v>0</v>
      </c>
      <c r="J4844" s="98"/>
      <c r="K4844" s="93">
        <v>1</v>
      </c>
      <c r="L4844" s="93">
        <f t="shared" si="656"/>
        <v>0</v>
      </c>
      <c r="M4844" s="95">
        <f t="shared" ca="1" si="657"/>
        <v>0</v>
      </c>
      <c r="N4844" s="95">
        <f>IF(P4844="Hedge Fund",IF(A4844=Summary!$AD$3,M4844-E4844,M4844),IF(A4844=Summary!$AD$3,L4844-D4844,L4844))</f>
        <v>0</v>
      </c>
      <c r="O4844" s="95"/>
      <c r="P4844" s="107" t="s">
        <v>155</v>
      </c>
      <c r="Q4844" s="107">
        <v>0</v>
      </c>
      <c r="R4844" s="107">
        <v>0.35383878279515302</v>
      </c>
      <c r="S4844" s="107">
        <v>0</v>
      </c>
      <c r="T4844" s="107">
        <v>0</v>
      </c>
      <c r="U4844" s="107"/>
      <c r="V4844" s="107"/>
      <c r="W4844" s="107"/>
      <c r="X4844" s="107"/>
      <c r="Y4844" s="107"/>
      <c r="Z4844" s="107"/>
      <c r="AA4844" s="107"/>
      <c r="AB4844" s="107"/>
      <c r="AF4844" s="94">
        <f t="shared" si="658"/>
        <v>43039</v>
      </c>
      <c r="AG4844" s="185">
        <f t="shared" si="662"/>
        <v>1.2965518846459467E-2</v>
      </c>
      <c r="AH4844" s="339" t="str">
        <f>VLOOKUP(B4844,'MF PF'!A:B,2)</f>
        <v>Coinv</v>
      </c>
      <c r="AI4844" s="358">
        <f t="shared" si="659"/>
        <v>0</v>
      </c>
      <c r="AJ4844" s="94">
        <f t="shared" si="660"/>
        <v>43039</v>
      </c>
    </row>
    <row r="4845" spans="1:36">
      <c r="A4845" s="94">
        <v>43069</v>
      </c>
      <c r="B4845" s="94" t="s">
        <v>397</v>
      </c>
      <c r="C4845" s="358" t="s">
        <v>297</v>
      </c>
      <c r="D4845" s="98">
        <v>3155560.26</v>
      </c>
      <c r="E4845" s="9">
        <f t="shared" si="661"/>
        <v>3155560.26</v>
      </c>
      <c r="F4845" s="98"/>
      <c r="G4845" s="98"/>
      <c r="H4845" s="98">
        <v>0</v>
      </c>
      <c r="I4845" s="98">
        <v>0</v>
      </c>
      <c r="J4845" s="98"/>
      <c r="K4845" s="7">
        <v>1</v>
      </c>
      <c r="L4845" s="93">
        <f t="shared" si="656"/>
        <v>0</v>
      </c>
      <c r="M4845" s="95">
        <f t="shared" ca="1" si="657"/>
        <v>0</v>
      </c>
      <c r="N4845" s="95">
        <f>IF(P4845="Hedge Fund",IF(A4845=Summary!$AD$3,M4845-E4845,M4845),IF(A4845=Summary!$AD$3,L4845-D4845,L4845))</f>
        <v>0</v>
      </c>
      <c r="O4845" s="95"/>
      <c r="P4845" s="107" t="s">
        <v>155</v>
      </c>
      <c r="Q4845" s="107">
        <v>0</v>
      </c>
      <c r="R4845" s="107">
        <v>0.31555602599999999</v>
      </c>
      <c r="S4845" s="107">
        <v>0</v>
      </c>
      <c r="T4845" s="107">
        <v>0</v>
      </c>
      <c r="U4845" s="107"/>
      <c r="V4845" s="107"/>
      <c r="W4845" s="107"/>
      <c r="X4845" s="107"/>
      <c r="Y4845" s="107"/>
      <c r="Z4845" s="107"/>
      <c r="AA4845" s="107"/>
      <c r="AB4845" s="107"/>
      <c r="AF4845" s="94">
        <f t="shared" si="658"/>
        <v>43069</v>
      </c>
      <c r="AG4845" s="185">
        <f t="shared" si="662"/>
        <v>-0.10819265342464146</v>
      </c>
      <c r="AH4845" s="339" t="str">
        <f>VLOOKUP(B4845,'MF PF'!A:B,2)</f>
        <v>Coinv</v>
      </c>
      <c r="AI4845" s="358">
        <f t="shared" si="659"/>
        <v>0</v>
      </c>
      <c r="AJ4845" s="94">
        <f t="shared" si="660"/>
        <v>43069</v>
      </c>
    </row>
    <row r="4846" spans="1:36">
      <c r="A4846" s="94">
        <v>43098</v>
      </c>
      <c r="B4846" s="94" t="s">
        <v>397</v>
      </c>
      <c r="C4846" s="358" t="s">
        <v>297</v>
      </c>
      <c r="D4846" s="98">
        <v>3205132.13</v>
      </c>
      <c r="E4846" s="9">
        <f t="shared" si="661"/>
        <v>3205132.13</v>
      </c>
      <c r="F4846" s="98"/>
      <c r="G4846" s="98"/>
      <c r="H4846" s="98">
        <v>0</v>
      </c>
      <c r="I4846" s="98">
        <v>0</v>
      </c>
      <c r="J4846" s="98"/>
      <c r="K4846" s="7">
        <v>1</v>
      </c>
      <c r="L4846" s="93">
        <f t="shared" si="656"/>
        <v>0</v>
      </c>
      <c r="M4846" s="95">
        <f t="shared" ca="1" si="657"/>
        <v>0</v>
      </c>
      <c r="N4846" s="95">
        <f>IF(P4846="Hedge Fund",IF(A4846=Summary!$AD$3,M4846-E4846,M4846),IF(A4846=Summary!$AD$3,L4846-D4846,L4846))</f>
        <v>0</v>
      </c>
      <c r="O4846" s="95"/>
      <c r="P4846" s="107" t="s">
        <v>155</v>
      </c>
      <c r="Q4846" s="107">
        <v>0</v>
      </c>
      <c r="R4846" s="107">
        <v>0.32051321300000002</v>
      </c>
      <c r="S4846" s="107">
        <v>0</v>
      </c>
      <c r="T4846" s="107">
        <v>0</v>
      </c>
      <c r="U4846" s="107"/>
      <c r="V4846" s="107"/>
      <c r="W4846" s="107"/>
      <c r="X4846" s="107"/>
      <c r="Y4846" s="107"/>
      <c r="Z4846" s="107"/>
      <c r="AA4846" s="107"/>
      <c r="AB4846" s="107"/>
      <c r="AF4846" s="94">
        <f t="shared" si="658"/>
        <v>43098</v>
      </c>
      <c r="AG4846" s="185">
        <f t="shared" si="662"/>
        <v>1.5709372002295385E-2</v>
      </c>
      <c r="AH4846" s="339" t="str">
        <f>VLOOKUP(B4846,'MF PF'!A:B,2)</f>
        <v>Coinv</v>
      </c>
      <c r="AI4846" s="358">
        <f t="shared" si="659"/>
        <v>0</v>
      </c>
      <c r="AJ4846" s="94">
        <f t="shared" si="660"/>
        <v>43100</v>
      </c>
    </row>
    <row r="4847" spans="1:36">
      <c r="A4847" s="94">
        <v>43131</v>
      </c>
      <c r="B4847" s="94" t="s">
        <v>397</v>
      </c>
      <c r="C4847" s="358" t="s">
        <v>297</v>
      </c>
      <c r="D4847" s="98">
        <v>3329627.1210000003</v>
      </c>
      <c r="E4847" s="9">
        <f t="shared" si="661"/>
        <v>3329627.1210000003</v>
      </c>
      <c r="F4847" s="98"/>
      <c r="G4847" s="98"/>
      <c r="H4847" s="98">
        <v>0</v>
      </c>
      <c r="I4847" s="98">
        <v>0</v>
      </c>
      <c r="J4847" s="98"/>
      <c r="K4847" s="7">
        <v>1</v>
      </c>
      <c r="L4847" s="93">
        <f t="shared" si="656"/>
        <v>0</v>
      </c>
      <c r="M4847" s="95">
        <f t="shared" ca="1" si="657"/>
        <v>0</v>
      </c>
      <c r="N4847" s="95">
        <f>IF(P4847="Hedge Fund",IF(A4847=Summary!$AD$3,M4847-E4847,M4847),IF(A4847=Summary!$AD$3,L4847-D4847,L4847))</f>
        <v>0</v>
      </c>
      <c r="O4847" s="95"/>
      <c r="P4847" s="107" t="s">
        <v>155</v>
      </c>
      <c r="Q4847" s="107">
        <v>0</v>
      </c>
      <c r="R4847" s="107">
        <v>0.33296271210000006</v>
      </c>
      <c r="S4847" s="107">
        <v>0</v>
      </c>
      <c r="T4847" s="107">
        <v>0</v>
      </c>
      <c r="U4847" s="107"/>
      <c r="V4847" s="107"/>
      <c r="W4847" s="107"/>
      <c r="X4847" s="107"/>
      <c r="Y4847" s="107"/>
      <c r="Z4847" s="107"/>
      <c r="AA4847" s="107"/>
      <c r="AB4847" s="107"/>
      <c r="AF4847" s="94">
        <f t="shared" si="658"/>
        <v>43131</v>
      </c>
      <c r="AG4847" s="185">
        <f t="shared" si="662"/>
        <v>3.8842389627163465E-2</v>
      </c>
      <c r="AH4847" s="339" t="str">
        <f>VLOOKUP(B4847,'MF PF'!A:B,2)</f>
        <v>Coinv</v>
      </c>
      <c r="AI4847" s="358">
        <f t="shared" si="659"/>
        <v>0</v>
      </c>
      <c r="AJ4847" s="94">
        <f t="shared" si="660"/>
        <v>43131</v>
      </c>
    </row>
    <row r="4848" spans="1:36">
      <c r="A4848" s="94">
        <v>43159</v>
      </c>
      <c r="B4848" s="94" t="s">
        <v>397</v>
      </c>
      <c r="C4848" s="358" t="s">
        <v>297</v>
      </c>
      <c r="D4848" s="98">
        <v>3847521.01</v>
      </c>
      <c r="E4848" s="9">
        <f t="shared" si="661"/>
        <v>3847521.01</v>
      </c>
      <c r="F4848" s="98"/>
      <c r="G4848" s="98"/>
      <c r="H4848" s="98">
        <v>0</v>
      </c>
      <c r="I4848" s="98">
        <v>0</v>
      </c>
      <c r="J4848" s="98"/>
      <c r="K4848" s="7">
        <v>1</v>
      </c>
      <c r="L4848" s="93">
        <f t="shared" si="656"/>
        <v>0</v>
      </c>
      <c r="M4848" s="95">
        <f t="shared" ca="1" si="657"/>
        <v>0</v>
      </c>
      <c r="N4848" s="95">
        <f>IF(P4848="Hedge Fund",IF(A4848=Summary!$AD$3,M4848-E4848,M4848),IF(A4848=Summary!$AD$3,L4848-D4848,L4848))</f>
        <v>0</v>
      </c>
      <c r="O4848" s="95"/>
      <c r="P4848" s="107" t="s">
        <v>155</v>
      </c>
      <c r="Q4848" s="107">
        <v>0</v>
      </c>
      <c r="R4848" s="107">
        <v>0.34627689090000002</v>
      </c>
      <c r="S4848" s="107">
        <v>0</v>
      </c>
      <c r="T4848" s="107">
        <v>0</v>
      </c>
      <c r="U4848" s="107"/>
      <c r="V4848" s="107"/>
      <c r="W4848" s="107"/>
      <c r="X4848" s="107"/>
      <c r="Y4848" s="107"/>
      <c r="Z4848" s="107"/>
      <c r="AA4848" s="107"/>
      <c r="AB4848" s="107"/>
      <c r="AF4848" s="94">
        <f t="shared" si="658"/>
        <v>43159</v>
      </c>
      <c r="AG4848" s="185">
        <f t="shared" si="662"/>
        <v>0.15554110721096559</v>
      </c>
      <c r="AH4848" s="339" t="str">
        <f>VLOOKUP(B4848,'MF PF'!A:B,2)</f>
        <v>Coinv</v>
      </c>
      <c r="AI4848" s="358">
        <f t="shared" si="659"/>
        <v>0</v>
      </c>
      <c r="AJ4848" s="94">
        <f t="shared" si="660"/>
        <v>43159</v>
      </c>
    </row>
    <row r="4849" spans="1:36">
      <c r="A4849" s="94">
        <v>43188</v>
      </c>
      <c r="B4849" s="94" t="s">
        <v>397</v>
      </c>
      <c r="C4849" s="358" t="s">
        <v>297</v>
      </c>
      <c r="D4849" s="110">
        <v>3839160.035813387</v>
      </c>
      <c r="E4849" s="9">
        <f t="shared" si="661"/>
        <v>3839160.035813387</v>
      </c>
      <c r="F4849" s="98"/>
      <c r="G4849" s="98"/>
      <c r="H4849" s="98">
        <v>0</v>
      </c>
      <c r="I4849" s="98">
        <v>0</v>
      </c>
      <c r="J4849" s="98"/>
      <c r="K4849" s="7">
        <v>1</v>
      </c>
      <c r="L4849" s="93">
        <f t="shared" si="656"/>
        <v>0</v>
      </c>
      <c r="M4849" s="95">
        <f t="shared" ca="1" si="657"/>
        <v>0</v>
      </c>
      <c r="N4849" s="95">
        <f>IF(P4849="Hedge Fund",IF(A4849=Summary!$AD$3,M4849-E4849,M4849),IF(A4849=Summary!$AD$3,L4849-D4849,L4849))</f>
        <v>0</v>
      </c>
      <c r="O4849" s="95"/>
      <c r="P4849" s="107" t="s">
        <v>155</v>
      </c>
      <c r="Q4849" s="107">
        <v>0</v>
      </c>
      <c r="R4849" s="109">
        <f t="shared" ref="R4849:R4858" si="663">(D4849/10^6)*0.1</f>
        <v>0.38391600358133871</v>
      </c>
      <c r="S4849" s="107">
        <v>0</v>
      </c>
      <c r="T4849" s="107">
        <v>0</v>
      </c>
      <c r="U4849" s="107"/>
      <c r="V4849" s="107"/>
      <c r="W4849" s="107"/>
      <c r="X4849" s="107"/>
      <c r="Y4849" s="107"/>
      <c r="Z4849" s="107"/>
      <c r="AA4849" s="107"/>
      <c r="AB4849" s="107"/>
      <c r="AF4849" s="94">
        <f t="shared" si="658"/>
        <v>43188</v>
      </c>
      <c r="AG4849" s="185">
        <f t="shared" si="662"/>
        <v>-2.1730808395540313E-3</v>
      </c>
      <c r="AH4849" s="339" t="str">
        <f>VLOOKUP(B4849,'MF PF'!A:B,2)</f>
        <v>Coinv</v>
      </c>
      <c r="AI4849" s="358">
        <f t="shared" si="659"/>
        <v>0</v>
      </c>
      <c r="AJ4849" s="94">
        <f t="shared" si="660"/>
        <v>43190</v>
      </c>
    </row>
    <row r="4850" spans="1:36">
      <c r="A4850" s="94">
        <v>43220</v>
      </c>
      <c r="B4850" s="94" t="s">
        <v>397</v>
      </c>
      <c r="C4850" s="358" t="s">
        <v>297</v>
      </c>
      <c r="D4850" s="110">
        <v>3716114.02</v>
      </c>
      <c r="E4850" s="9">
        <f t="shared" si="661"/>
        <v>3716114.02</v>
      </c>
      <c r="F4850" s="98"/>
      <c r="G4850" s="98"/>
      <c r="H4850" s="98">
        <v>0</v>
      </c>
      <c r="I4850" s="98">
        <v>0</v>
      </c>
      <c r="J4850" s="98"/>
      <c r="K4850" s="7">
        <v>1</v>
      </c>
      <c r="L4850" s="93">
        <f t="shared" si="656"/>
        <v>0</v>
      </c>
      <c r="M4850" s="95">
        <f t="shared" ca="1" si="657"/>
        <v>0</v>
      </c>
      <c r="N4850" s="95">
        <f>IF(P4850="Hedge Fund",IF(A4850=Summary!$AD$3,M4850-E4850,M4850),IF(A4850=Summary!$AD$3,L4850-D4850,L4850))</f>
        <v>0</v>
      </c>
      <c r="O4850" s="95"/>
      <c r="P4850" s="107" t="s">
        <v>155</v>
      </c>
      <c r="Q4850" s="107">
        <v>0</v>
      </c>
      <c r="R4850" s="109">
        <f t="shared" si="663"/>
        <v>0.37161140200000004</v>
      </c>
      <c r="S4850" s="107">
        <v>0</v>
      </c>
      <c r="T4850" s="107">
        <v>0</v>
      </c>
      <c r="U4850" s="107"/>
      <c r="V4850" s="107"/>
      <c r="W4850" s="107"/>
      <c r="X4850" s="107"/>
      <c r="Y4850" s="107"/>
      <c r="Z4850" s="107"/>
      <c r="AA4850" s="107"/>
      <c r="AB4850" s="107"/>
      <c r="AF4850" s="94">
        <f t="shared" si="658"/>
        <v>43220</v>
      </c>
      <c r="AG4850" s="185">
        <f t="shared" si="662"/>
        <v>-3.2050243976692649E-2</v>
      </c>
      <c r="AH4850" s="339" t="str">
        <f>VLOOKUP(B4850,'MF PF'!A:B,2)</f>
        <v>Coinv</v>
      </c>
      <c r="AI4850" s="358">
        <f t="shared" si="659"/>
        <v>0</v>
      </c>
      <c r="AJ4850" s="94">
        <f t="shared" si="660"/>
        <v>43220</v>
      </c>
    </row>
    <row r="4851" spans="1:36">
      <c r="A4851" s="94">
        <v>43251</v>
      </c>
      <c r="B4851" s="358" t="s">
        <v>397</v>
      </c>
      <c r="C4851" s="358" t="s">
        <v>297</v>
      </c>
      <c r="D4851" s="110">
        <v>3611732.0956333522</v>
      </c>
      <c r="E4851" s="9">
        <f t="shared" ref="E4851:E4859" si="664">IF(K4851="","",D4851/K4851)</f>
        <v>3611732.0956333522</v>
      </c>
      <c r="F4851" s="98"/>
      <c r="G4851" s="98"/>
      <c r="H4851" s="98">
        <v>0</v>
      </c>
      <c r="I4851" s="98">
        <v>0</v>
      </c>
      <c r="J4851" s="98"/>
      <c r="K4851" s="93">
        <v>1</v>
      </c>
      <c r="L4851" s="93">
        <f t="shared" si="656"/>
        <v>0</v>
      </c>
      <c r="M4851" s="95">
        <f t="shared" ca="1" si="657"/>
        <v>0</v>
      </c>
      <c r="N4851" s="95">
        <f>IF(P4851="Hedge Fund",IF(A4851=Summary!$AD$3,M4851-E4851,M4851),IF(A4851=Summary!$AD$3,L4851-D4851,L4851))</f>
        <v>0</v>
      </c>
      <c r="O4851" s="95"/>
      <c r="P4851" s="107" t="s">
        <v>155</v>
      </c>
      <c r="Q4851" s="107">
        <v>0</v>
      </c>
      <c r="R4851" s="109">
        <f t="shared" si="663"/>
        <v>0.36117320956333526</v>
      </c>
      <c r="S4851" s="107">
        <v>0</v>
      </c>
      <c r="T4851" s="107">
        <v>0</v>
      </c>
      <c r="U4851" s="107"/>
      <c r="V4851" s="107"/>
      <c r="W4851" s="107"/>
      <c r="X4851" s="107"/>
      <c r="Y4851" s="107"/>
      <c r="Z4851" s="107"/>
      <c r="AA4851" s="107"/>
      <c r="AB4851" s="107"/>
      <c r="AF4851" s="94">
        <f t="shared" si="658"/>
        <v>43251</v>
      </c>
      <c r="AG4851" s="185">
        <f t="shared" si="662"/>
        <v>-2.8088999370005308E-2</v>
      </c>
      <c r="AH4851" s="339" t="str">
        <f>VLOOKUP(B4851,'MF PF'!A:B,2)</f>
        <v>Coinv</v>
      </c>
      <c r="AI4851" s="358">
        <f t="shared" si="659"/>
        <v>0</v>
      </c>
      <c r="AJ4851" s="94">
        <f t="shared" si="660"/>
        <v>43251</v>
      </c>
    </row>
    <row r="4852" spans="1:36">
      <c r="A4852" s="94">
        <v>43280</v>
      </c>
      <c r="B4852" s="358" t="s">
        <v>397</v>
      </c>
      <c r="C4852" s="358" t="s">
        <v>297</v>
      </c>
      <c r="D4852" s="110">
        <v>3649853.4114958849</v>
      </c>
      <c r="E4852" s="9">
        <f t="shared" si="664"/>
        <v>3649853.4114958849</v>
      </c>
      <c r="F4852" s="98"/>
      <c r="G4852" s="98"/>
      <c r="H4852" s="98">
        <v>0</v>
      </c>
      <c r="I4852" s="98">
        <v>0</v>
      </c>
      <c r="J4852" s="98"/>
      <c r="K4852" s="7">
        <v>1</v>
      </c>
      <c r="L4852" s="93">
        <f t="shared" si="656"/>
        <v>0</v>
      </c>
      <c r="M4852" s="95">
        <f t="shared" ca="1" si="657"/>
        <v>0</v>
      </c>
      <c r="N4852" s="95">
        <f>IF(P4852="Hedge Fund",IF(A4852=Summary!$AD$3,M4852-E4852,M4852),IF(A4852=Summary!$AD$3,L4852-D4852,L4852))</f>
        <v>0</v>
      </c>
      <c r="O4852" s="95"/>
      <c r="P4852" s="107" t="s">
        <v>155</v>
      </c>
      <c r="Q4852" s="107">
        <v>0</v>
      </c>
      <c r="R4852" s="109">
        <f t="shared" si="663"/>
        <v>0.36498534114958847</v>
      </c>
      <c r="S4852" s="107">
        <v>0</v>
      </c>
      <c r="T4852" s="107">
        <v>0</v>
      </c>
      <c r="U4852" s="107"/>
      <c r="V4852" s="107"/>
      <c r="W4852" s="107"/>
      <c r="X4852" s="107"/>
      <c r="Y4852" s="107"/>
      <c r="Z4852" s="107"/>
      <c r="AA4852" s="107"/>
      <c r="AB4852" s="107"/>
      <c r="AF4852" s="94">
        <f t="shared" si="658"/>
        <v>43280</v>
      </c>
      <c r="AG4852" s="185">
        <f t="shared" si="662"/>
        <v>1.0554857019606123E-2</v>
      </c>
      <c r="AH4852" s="339" t="str">
        <f>VLOOKUP(B4852,'MF PF'!A:B,2)</f>
        <v>Coinv</v>
      </c>
      <c r="AI4852" s="358">
        <f t="shared" si="659"/>
        <v>0</v>
      </c>
      <c r="AJ4852" s="94">
        <f t="shared" si="660"/>
        <v>43281</v>
      </c>
    </row>
    <row r="4853" spans="1:36">
      <c r="A4853" s="94">
        <v>43312</v>
      </c>
      <c r="B4853" s="358" t="s">
        <v>397</v>
      </c>
      <c r="C4853" s="358" t="s">
        <v>297</v>
      </c>
      <c r="D4853" s="110">
        <v>3594298.138089078</v>
      </c>
      <c r="E4853" s="9">
        <f t="shared" si="664"/>
        <v>3594298.138089078</v>
      </c>
      <c r="F4853" s="98"/>
      <c r="G4853" s="98"/>
      <c r="H4853" s="98">
        <v>0</v>
      </c>
      <c r="I4853" s="98">
        <v>0</v>
      </c>
      <c r="J4853" s="98"/>
      <c r="K4853" s="7">
        <v>1</v>
      </c>
      <c r="L4853" s="93">
        <f t="shared" si="656"/>
        <v>0</v>
      </c>
      <c r="M4853" s="95">
        <f t="shared" ca="1" si="657"/>
        <v>0</v>
      </c>
      <c r="N4853" s="95">
        <f>IF(P4853="Hedge Fund",IF(A4853=Summary!$AD$3,M4853-E4853,M4853),IF(A4853=Summary!$AD$3,L4853-D4853,L4853))</f>
        <v>0</v>
      </c>
      <c r="O4853" s="95"/>
      <c r="P4853" s="107" t="s">
        <v>155</v>
      </c>
      <c r="Q4853" s="107">
        <v>0</v>
      </c>
      <c r="R4853" s="109">
        <f t="shared" si="663"/>
        <v>0.35942981380890782</v>
      </c>
      <c r="S4853" s="107">
        <v>0</v>
      </c>
      <c r="T4853" s="107">
        <v>0</v>
      </c>
      <c r="U4853" s="107"/>
      <c r="V4853" s="107"/>
      <c r="W4853" s="107"/>
      <c r="X4853" s="107"/>
      <c r="Y4853" s="107"/>
      <c r="Z4853" s="107"/>
      <c r="AA4853" s="107"/>
      <c r="AB4853" s="107"/>
      <c r="AF4853" s="94">
        <f t="shared" si="658"/>
        <v>43312</v>
      </c>
      <c r="AG4853" s="185">
        <f t="shared" si="662"/>
        <v>-1.5221234154726648E-2</v>
      </c>
      <c r="AH4853" s="339" t="str">
        <f>VLOOKUP(B4853,'MF PF'!A:B,2)</f>
        <v>Coinv</v>
      </c>
      <c r="AI4853" s="358">
        <f t="shared" si="659"/>
        <v>0</v>
      </c>
      <c r="AJ4853" s="94">
        <f t="shared" si="660"/>
        <v>43312</v>
      </c>
    </row>
    <row r="4854" spans="1:36">
      <c r="A4854" s="94">
        <v>43343</v>
      </c>
      <c r="B4854" s="358" t="s">
        <v>397</v>
      </c>
      <c r="C4854" s="358" t="s">
        <v>297</v>
      </c>
      <c r="D4854" s="110">
        <v>3491312.8513562307</v>
      </c>
      <c r="E4854" s="9">
        <f t="shared" si="664"/>
        <v>3491312.8513562307</v>
      </c>
      <c r="F4854" s="98"/>
      <c r="G4854" s="98"/>
      <c r="H4854" s="98">
        <v>0</v>
      </c>
      <c r="I4854" s="98">
        <v>0</v>
      </c>
      <c r="J4854" s="98"/>
      <c r="K4854" s="7">
        <v>1</v>
      </c>
      <c r="L4854" s="93">
        <f t="shared" si="656"/>
        <v>0</v>
      </c>
      <c r="M4854" s="95">
        <f t="shared" ca="1" si="657"/>
        <v>0</v>
      </c>
      <c r="N4854" s="95">
        <f>IF(P4854="Hedge Fund",IF(A4854=Summary!$AD$3,M4854-E4854,M4854),IF(A4854=Summary!$AD$3,L4854-D4854,L4854))</f>
        <v>0</v>
      </c>
      <c r="O4854" s="95"/>
      <c r="P4854" s="107" t="s">
        <v>155</v>
      </c>
      <c r="Q4854" s="107">
        <v>0</v>
      </c>
      <c r="R4854" s="109">
        <f t="shared" si="663"/>
        <v>0.34913128513562308</v>
      </c>
      <c r="S4854" s="107">
        <v>0</v>
      </c>
      <c r="T4854" s="107">
        <v>0</v>
      </c>
      <c r="U4854" s="107"/>
      <c r="V4854" s="107"/>
      <c r="W4854" s="107"/>
      <c r="X4854" s="107"/>
      <c r="Y4854" s="107"/>
      <c r="Z4854" s="107"/>
      <c r="AA4854" s="107"/>
      <c r="AB4854" s="107"/>
      <c r="AF4854" s="94">
        <f t="shared" si="658"/>
        <v>43343</v>
      </c>
      <c r="AG4854" s="185">
        <f t="shared" si="662"/>
        <v>-2.8652405219673827E-2</v>
      </c>
      <c r="AH4854" s="339" t="str">
        <f>VLOOKUP(B4854,'MF PF'!A:B,2)</f>
        <v>Coinv</v>
      </c>
      <c r="AI4854" s="358">
        <f t="shared" si="659"/>
        <v>0</v>
      </c>
      <c r="AJ4854" s="94">
        <f t="shared" si="660"/>
        <v>43343</v>
      </c>
    </row>
    <row r="4855" spans="1:36">
      <c r="A4855" s="94">
        <v>43371</v>
      </c>
      <c r="B4855" s="358" t="s">
        <v>397</v>
      </c>
      <c r="C4855" s="358" t="s">
        <v>297</v>
      </c>
      <c r="D4855" s="110">
        <v>3526984.3490090291</v>
      </c>
      <c r="E4855" s="9">
        <f t="shared" si="664"/>
        <v>3526984.3490090291</v>
      </c>
      <c r="F4855" s="98"/>
      <c r="G4855" s="98"/>
      <c r="H4855" s="98">
        <v>0</v>
      </c>
      <c r="I4855" s="98">
        <v>0</v>
      </c>
      <c r="J4855" s="98"/>
      <c r="K4855" s="7">
        <v>1</v>
      </c>
      <c r="L4855" s="93">
        <f t="shared" si="656"/>
        <v>0</v>
      </c>
      <c r="M4855" s="95">
        <f t="shared" ca="1" si="657"/>
        <v>0</v>
      </c>
      <c r="N4855" s="95">
        <f>IF(P4855="Hedge Fund",IF(A4855=Summary!$AD$3,M4855-E4855,M4855),IF(A4855=Summary!$AD$3,L4855-D4855,L4855))</f>
        <v>0</v>
      </c>
      <c r="O4855" s="95"/>
      <c r="P4855" s="107" t="s">
        <v>155</v>
      </c>
      <c r="Q4855" s="107">
        <v>0</v>
      </c>
      <c r="R4855" s="109">
        <f t="shared" si="663"/>
        <v>0.35269843490090291</v>
      </c>
      <c r="S4855" s="107">
        <v>0</v>
      </c>
      <c r="T4855" s="107">
        <v>0</v>
      </c>
      <c r="U4855" s="107"/>
      <c r="V4855" s="107"/>
      <c r="W4855" s="107"/>
      <c r="X4855" s="107"/>
      <c r="Y4855" s="107"/>
      <c r="Z4855" s="107"/>
      <c r="AA4855" s="107"/>
      <c r="AB4855" s="107"/>
      <c r="AF4855" s="94">
        <f t="shared" si="658"/>
        <v>43371</v>
      </c>
      <c r="AG4855" s="185">
        <f t="shared" si="662"/>
        <v>1.0217216036351839E-2</v>
      </c>
      <c r="AH4855" s="339" t="str">
        <f>VLOOKUP(B4855,'MF PF'!A:B,2)</f>
        <v>Coinv</v>
      </c>
      <c r="AI4855" s="358">
        <f t="shared" si="659"/>
        <v>0</v>
      </c>
      <c r="AJ4855" s="94">
        <f t="shared" si="660"/>
        <v>43373</v>
      </c>
    </row>
    <row r="4856" spans="1:36">
      <c r="A4856" s="94">
        <v>43404</v>
      </c>
      <c r="B4856" s="358" t="s">
        <v>397</v>
      </c>
      <c r="C4856" s="358" t="s">
        <v>297</v>
      </c>
      <c r="D4856" s="110">
        <v>3394021.7517306046</v>
      </c>
      <c r="E4856" s="9">
        <f t="shared" si="664"/>
        <v>3394021.7517306046</v>
      </c>
      <c r="F4856" s="98"/>
      <c r="G4856" s="98"/>
      <c r="H4856" s="98">
        <v>0</v>
      </c>
      <c r="I4856" s="98">
        <v>0</v>
      </c>
      <c r="J4856" s="98"/>
      <c r="K4856" s="7">
        <v>1</v>
      </c>
      <c r="L4856" s="93">
        <f t="shared" si="656"/>
        <v>0</v>
      </c>
      <c r="M4856" s="95">
        <f t="shared" ca="1" si="657"/>
        <v>0</v>
      </c>
      <c r="N4856" s="95">
        <f>IF(P4856="Hedge Fund",IF(A4856=Summary!$AD$3,M4856-E4856,M4856),IF(A4856=Summary!$AD$3,L4856-D4856,L4856))</f>
        <v>0</v>
      </c>
      <c r="O4856" s="95"/>
      <c r="P4856" s="107" t="s">
        <v>155</v>
      </c>
      <c r="Q4856" s="107">
        <v>0</v>
      </c>
      <c r="R4856" s="109">
        <f t="shared" si="663"/>
        <v>0.33940217517306048</v>
      </c>
      <c r="S4856" s="107">
        <v>0</v>
      </c>
      <c r="T4856" s="107">
        <v>0</v>
      </c>
      <c r="U4856" s="107"/>
      <c r="V4856" s="107"/>
      <c r="W4856" s="107"/>
      <c r="X4856" s="107"/>
      <c r="Y4856" s="107"/>
      <c r="Z4856" s="107"/>
      <c r="AA4856" s="107"/>
      <c r="AB4856" s="107"/>
      <c r="AF4856" s="94">
        <f t="shared" si="658"/>
        <v>43404</v>
      </c>
      <c r="AG4856" s="185">
        <f t="shared" si="662"/>
        <v>-3.7698663821908562E-2</v>
      </c>
      <c r="AH4856" s="339" t="str">
        <f>VLOOKUP(B4856,'MF PF'!A:B,2)</f>
        <v>Coinv</v>
      </c>
      <c r="AI4856" s="358">
        <f t="shared" si="659"/>
        <v>0</v>
      </c>
      <c r="AJ4856" s="94">
        <f t="shared" si="660"/>
        <v>43404</v>
      </c>
    </row>
    <row r="4857" spans="1:36">
      <c r="A4857" s="94">
        <v>43434</v>
      </c>
      <c r="B4857" s="358" t="s">
        <v>397</v>
      </c>
      <c r="C4857" s="358" t="s">
        <v>297</v>
      </c>
      <c r="D4857" s="110">
        <v>3408879.87717123</v>
      </c>
      <c r="E4857" s="9">
        <f t="shared" si="664"/>
        <v>3408879.87717123</v>
      </c>
      <c r="K4857" s="7">
        <v>1</v>
      </c>
      <c r="L4857" s="93">
        <f t="shared" si="656"/>
        <v>0</v>
      </c>
      <c r="M4857" s="95">
        <f t="shared" ca="1" si="657"/>
        <v>0</v>
      </c>
      <c r="N4857" s="95">
        <f>IF(P4857="Hedge Fund",IF(A4857=Summary!$AD$3,M4857-E4857,M4857),IF(A4857=Summary!$AD$3,L4857-D4857,L4857))</f>
        <v>0</v>
      </c>
      <c r="O4857" s="95"/>
      <c r="P4857" s="95" t="s">
        <v>155</v>
      </c>
      <c r="Q4857" s="95"/>
      <c r="R4857" s="109">
        <f t="shared" si="663"/>
        <v>0.34088798771712303</v>
      </c>
      <c r="AF4857" s="94">
        <f t="shared" si="658"/>
        <v>43434</v>
      </c>
      <c r="AG4857" s="185">
        <f t="shared" si="662"/>
        <v>4.3777343009216985E-3</v>
      </c>
      <c r="AH4857" s="339" t="str">
        <f>VLOOKUP(B4857,'MF PF'!A:B,2)</f>
        <v>Coinv</v>
      </c>
      <c r="AI4857" s="358">
        <f t="shared" si="659"/>
        <v>0</v>
      </c>
      <c r="AJ4857" s="94">
        <f t="shared" si="660"/>
        <v>43434</v>
      </c>
    </row>
    <row r="4858" spans="1:36">
      <c r="A4858" s="8">
        <v>43465</v>
      </c>
      <c r="B4858" s="6" t="s">
        <v>397</v>
      </c>
      <c r="C4858" s="6" t="s">
        <v>297</v>
      </c>
      <c r="D4858" s="7">
        <v>3363446.4459088747</v>
      </c>
      <c r="E4858" s="9">
        <f t="shared" si="664"/>
        <v>3363446.4459088747</v>
      </c>
      <c r="F4858" s="93"/>
      <c r="K4858" s="7">
        <v>1</v>
      </c>
      <c r="L4858" s="93">
        <f t="shared" si="656"/>
        <v>0</v>
      </c>
      <c r="M4858" s="95">
        <f t="shared" ca="1" si="657"/>
        <v>0</v>
      </c>
      <c r="N4858" s="95">
        <f>IF(P4858="Hedge Fund",IF(A4858=Summary!$AD$3,M4858-E4858,M4858),IF(A4858=Summary!$AD$3,L4858-D4858,L4858))</f>
        <v>0</v>
      </c>
      <c r="O4858" s="95"/>
      <c r="P4858" s="9" t="s">
        <v>155</v>
      </c>
      <c r="R4858" s="109">
        <f t="shared" si="663"/>
        <v>0.33634464459088753</v>
      </c>
      <c r="AF4858" s="94">
        <f t="shared" si="658"/>
        <v>43465</v>
      </c>
      <c r="AG4858" s="185">
        <f t="shared" si="662"/>
        <v>-1.3327964873921294E-2</v>
      </c>
      <c r="AH4858" s="339" t="str">
        <f>VLOOKUP(B4858,'MF PF'!A:B,2)</f>
        <v>Coinv</v>
      </c>
      <c r="AI4858" s="358">
        <f t="shared" si="659"/>
        <v>0</v>
      </c>
      <c r="AJ4858" s="94">
        <f t="shared" si="660"/>
        <v>43465</v>
      </c>
    </row>
    <row r="4859" spans="1:36">
      <c r="A4859" s="8">
        <v>43496</v>
      </c>
      <c r="B4859" s="6" t="s">
        <v>397</v>
      </c>
      <c r="C4859" s="6" t="s">
        <v>297</v>
      </c>
      <c r="D4859" s="7">
        <v>3375559.7545447224</v>
      </c>
      <c r="E4859" s="95">
        <f t="shared" si="664"/>
        <v>3375559.7545447224</v>
      </c>
      <c r="F4859" s="93"/>
      <c r="K4859" s="7">
        <v>1</v>
      </c>
      <c r="L4859" s="93">
        <f t="shared" si="656"/>
        <v>0</v>
      </c>
      <c r="M4859" s="95">
        <f t="shared" ca="1" si="657"/>
        <v>0</v>
      </c>
      <c r="N4859" s="95">
        <f>IF(P4859="Hedge Fund",IF(A4859=Summary!$AD$3,M4859-E4859,M4859),IF(A4859=Summary!$AD$3,L4859-D4859,L4859))</f>
        <v>-3375559.7545447224</v>
      </c>
      <c r="O4859" s="95"/>
      <c r="P4859" s="9" t="s">
        <v>155</v>
      </c>
      <c r="AF4859" s="94">
        <f t="shared" si="658"/>
        <v>43496</v>
      </c>
      <c r="AG4859" s="185">
        <f t="shared" si="662"/>
        <v>3.6014572643432441E-3</v>
      </c>
      <c r="AH4859" s="339" t="str">
        <f>VLOOKUP(B4859,'MF PF'!A:B,2)</f>
        <v>Coinv</v>
      </c>
      <c r="AI4859" s="358">
        <f t="shared" si="659"/>
        <v>0</v>
      </c>
      <c r="AJ4859" s="94">
        <f t="shared" si="660"/>
        <v>43496</v>
      </c>
    </row>
    <row r="4860" spans="1:36">
      <c r="A4860" s="8">
        <v>43201</v>
      </c>
      <c r="B4860" s="6" t="s">
        <v>424</v>
      </c>
      <c r="C4860" s="6" t="s">
        <v>297</v>
      </c>
      <c r="E4860" s="95"/>
      <c r="F4860" s="93"/>
      <c r="G4860" s="7">
        <v>27000000</v>
      </c>
      <c r="K4860" s="7">
        <v>2</v>
      </c>
      <c r="L4860" s="93">
        <f t="shared" si="656"/>
        <v>27000000</v>
      </c>
      <c r="M4860" s="95">
        <f t="shared" ca="1" si="657"/>
        <v>0</v>
      </c>
      <c r="N4860" s="95">
        <f>IF(P4860="Hedge Fund",IF(A4860=Summary!$AD$3,M4860-E4860,M4860),IF(A4860=Summary!$AD$3,L4860-D4860,L4860))</f>
        <v>27000000</v>
      </c>
      <c r="O4860" s="95"/>
      <c r="P4860" s="9" t="s">
        <v>155</v>
      </c>
      <c r="AF4860" s="94">
        <f t="shared" si="658"/>
        <v>43201</v>
      </c>
      <c r="AG4860" s="185" t="e">
        <f>IF(C4860&lt;&gt;#REF!,D4860/G4860-1,(D4860-G4860-I4860-H4860)/(#REF!)-1)</f>
        <v>#REF!</v>
      </c>
      <c r="AH4860" s="339" t="str">
        <f>VLOOKUP(B4860,'MF PF'!A:B,2)</f>
        <v>Coinv</v>
      </c>
      <c r="AI4860" s="358">
        <f t="shared" si="659"/>
        <v>0</v>
      </c>
      <c r="AJ4860" s="94">
        <f t="shared" si="660"/>
        <v>43220</v>
      </c>
    </row>
    <row r="4861" spans="1:36">
      <c r="A4861" s="8">
        <v>43293</v>
      </c>
      <c r="B4861" s="6" t="s">
        <v>424</v>
      </c>
      <c r="C4861" s="6" t="s">
        <v>297</v>
      </c>
      <c r="E4861" s="95"/>
      <c r="F4861" s="93"/>
      <c r="I4861" s="7">
        <v>-1215000</v>
      </c>
      <c r="K4861" s="7">
        <v>3</v>
      </c>
      <c r="L4861" s="93">
        <f t="shared" si="656"/>
        <v>-1215000</v>
      </c>
      <c r="M4861" s="95">
        <f t="shared" ca="1" si="657"/>
        <v>-405000</v>
      </c>
      <c r="N4861" s="95">
        <f>IF(P4861="Hedge Fund",IF(A4861=Summary!$AD$3,M4861-E4861,M4861),IF(A4861=Summary!$AD$3,L4861-D4861,L4861))</f>
        <v>-1215000</v>
      </c>
      <c r="O4861" s="95"/>
      <c r="P4861" s="9" t="s">
        <v>155</v>
      </c>
      <c r="AF4861" s="94">
        <f t="shared" si="658"/>
        <v>43293</v>
      </c>
      <c r="AG4861" s="185" t="e">
        <f t="shared" ref="AG4861:AG4892" si="665">IF(C4861&lt;&gt;C4860,D4861/G4861-1,(D4861-G4861-I4861-H4861)/(D4860)-1)</f>
        <v>#DIV/0!</v>
      </c>
      <c r="AH4861" s="339" t="str">
        <f>VLOOKUP(B4861,'MF PF'!A:B,2)</f>
        <v>Coinv</v>
      </c>
      <c r="AI4861" s="358">
        <f t="shared" si="659"/>
        <v>0</v>
      </c>
      <c r="AJ4861" s="94">
        <f t="shared" si="660"/>
        <v>43312</v>
      </c>
    </row>
    <row r="4862" spans="1:36">
      <c r="A4862" s="8">
        <v>43391</v>
      </c>
      <c r="B4862" s="6" t="s">
        <v>424</v>
      </c>
      <c r="C4862" s="6" t="s">
        <v>297</v>
      </c>
      <c r="E4862" s="95"/>
      <c r="F4862" s="93"/>
      <c r="I4862" s="7">
        <v>-1215000</v>
      </c>
      <c r="K4862" s="7">
        <v>4</v>
      </c>
      <c r="L4862" s="93">
        <f t="shared" si="656"/>
        <v>-1215000</v>
      </c>
      <c r="M4862" s="95">
        <f t="shared" ca="1" si="657"/>
        <v>-303750</v>
      </c>
      <c r="N4862" s="95">
        <f>IF(P4862="Hedge Fund",IF(A4862=Summary!$AD$3,M4862-E4862,M4862),IF(A4862=Summary!$AD$3,L4862-D4862,L4862))</f>
        <v>-1215000</v>
      </c>
      <c r="O4862" s="95"/>
      <c r="P4862" s="9" t="s">
        <v>155</v>
      </c>
      <c r="AF4862" s="94">
        <f t="shared" si="658"/>
        <v>43391</v>
      </c>
      <c r="AG4862" s="185" t="e">
        <f t="shared" si="665"/>
        <v>#DIV/0!</v>
      </c>
      <c r="AH4862" s="339" t="str">
        <f>VLOOKUP(B4862,'MF PF'!A:B,2)</f>
        <v>Coinv</v>
      </c>
      <c r="AI4862" s="358">
        <f t="shared" si="659"/>
        <v>0</v>
      </c>
      <c r="AJ4862" s="94">
        <f t="shared" si="660"/>
        <v>43404</v>
      </c>
    </row>
    <row r="4863" spans="1:36">
      <c r="A4863" s="8">
        <v>43465</v>
      </c>
      <c r="B4863" s="6" t="s">
        <v>424</v>
      </c>
      <c r="C4863" s="6" t="s">
        <v>297</v>
      </c>
      <c r="D4863" s="7">
        <v>28628228.225765876</v>
      </c>
      <c r="E4863" s="95"/>
      <c r="F4863" s="93"/>
      <c r="K4863" s="7">
        <v>6</v>
      </c>
      <c r="L4863" s="93">
        <f t="shared" si="656"/>
        <v>0</v>
      </c>
      <c r="M4863" s="95">
        <f t="shared" ca="1" si="657"/>
        <v>0</v>
      </c>
      <c r="N4863" s="95">
        <f>IF(P4863="Hedge Fund",IF(A4863=Summary!$AD$3,M4863-E4863,M4863),IF(A4863=Summary!$AD$3,L4863-D4863,L4863))</f>
        <v>0</v>
      </c>
      <c r="O4863" s="95"/>
      <c r="P4863" s="9" t="s">
        <v>155</v>
      </c>
      <c r="AF4863" s="94">
        <f t="shared" si="658"/>
        <v>43465</v>
      </c>
      <c r="AG4863" s="185" t="e">
        <f t="shared" si="665"/>
        <v>#DIV/0!</v>
      </c>
      <c r="AH4863" s="339" t="str">
        <f>VLOOKUP(B4863,'MF PF'!A:B,2)</f>
        <v>Coinv</v>
      </c>
      <c r="AI4863" s="358">
        <f t="shared" si="659"/>
        <v>0</v>
      </c>
      <c r="AJ4863" s="94">
        <f t="shared" si="660"/>
        <v>43465</v>
      </c>
    </row>
    <row r="4864" spans="1:36">
      <c r="A4864" s="8">
        <v>43473</v>
      </c>
      <c r="B4864" s="6" t="s">
        <v>424</v>
      </c>
      <c r="C4864" s="6" t="s">
        <v>297</v>
      </c>
      <c r="E4864" s="95"/>
      <c r="F4864" s="93"/>
      <c r="I4864" s="7">
        <v>-1215000</v>
      </c>
      <c r="K4864" s="7">
        <v>5</v>
      </c>
      <c r="L4864" s="93">
        <f t="shared" si="656"/>
        <v>-1215000</v>
      </c>
      <c r="M4864" s="95">
        <f t="shared" ca="1" si="657"/>
        <v>-243000</v>
      </c>
      <c r="N4864" s="95">
        <f>IF(P4864="Hedge Fund",IF(A4864=Summary!$AD$3,M4864-E4864,M4864),IF(A4864=Summary!$AD$3,L4864-D4864,L4864))</f>
        <v>-1215000</v>
      </c>
      <c r="O4864" s="95"/>
      <c r="P4864" s="9" t="s">
        <v>155</v>
      </c>
      <c r="AF4864" s="94">
        <f t="shared" si="658"/>
        <v>43473</v>
      </c>
      <c r="AG4864" s="185">
        <f t="shared" si="665"/>
        <v>-0.95755937145609027</v>
      </c>
      <c r="AH4864" s="339" t="str">
        <f>VLOOKUP(B4864,'MF PF'!A:B,2)</f>
        <v>Coinv</v>
      </c>
      <c r="AI4864" s="358">
        <f t="shared" si="659"/>
        <v>0</v>
      </c>
      <c r="AJ4864" s="94">
        <f t="shared" si="660"/>
        <v>43496</v>
      </c>
    </row>
    <row r="4865" spans="1:36">
      <c r="A4865" s="8">
        <v>43496</v>
      </c>
      <c r="B4865" s="6" t="s">
        <v>424</v>
      </c>
      <c r="C4865" s="6" t="s">
        <v>297</v>
      </c>
      <c r="D4865" s="7">
        <v>28333728</v>
      </c>
      <c r="E4865" s="95"/>
      <c r="F4865" s="93"/>
      <c r="K4865" s="7">
        <v>6</v>
      </c>
      <c r="L4865" s="93">
        <f t="shared" ref="L4865:L4909" si="666">G4865+H4865+I4865</f>
        <v>0</v>
      </c>
      <c r="M4865" s="95">
        <f t="shared" ref="M4865:M4909" ca="1" si="667">IF(A4865&gt;INDIRECT("A"&amp;ROW()-1),I4865/K4865,E4865)</f>
        <v>0</v>
      </c>
      <c r="N4865" s="95">
        <f>IF(P4865="Hedge Fund",IF(A4865=Summary!$AD$3,M4865-E4865,M4865),IF(A4865=Summary!$AD$3,L4865-D4865,L4865))</f>
        <v>-28333728</v>
      </c>
      <c r="O4865" s="95"/>
      <c r="P4865" s="9" t="s">
        <v>155</v>
      </c>
      <c r="AF4865" s="94">
        <f t="shared" ref="AF4865:AF4909" si="668">A4865</f>
        <v>43496</v>
      </c>
      <c r="AG4865" s="185" t="e">
        <f t="shared" si="665"/>
        <v>#DIV/0!</v>
      </c>
      <c r="AH4865" s="339" t="str">
        <f>VLOOKUP(B4865,'MF PF'!A:B,2)</f>
        <v>Coinv</v>
      </c>
      <c r="AI4865" s="358">
        <f t="shared" ref="AI4865:AI4909" si="669">AF4865-A4865</f>
        <v>0</v>
      </c>
      <c r="AJ4865" s="94">
        <f t="shared" ref="AJ4865:AJ4909" si="670">EOMONTH(A4865,0)</f>
        <v>43496</v>
      </c>
    </row>
    <row r="4866" spans="1:36">
      <c r="A4866" s="8">
        <v>42199</v>
      </c>
      <c r="B4866" s="94" t="s">
        <v>82</v>
      </c>
      <c r="C4866" s="6" t="s">
        <v>297</v>
      </c>
      <c r="D4866" s="98">
        <v>14696666.67</v>
      </c>
      <c r="E4866" s="95">
        <f t="shared" ref="E4866:E4902" si="671">IF(K4866="","",D4866/K4866)</f>
        <v>14696666.67</v>
      </c>
      <c r="F4866" s="98"/>
      <c r="G4866" s="98">
        <v>14696666.67</v>
      </c>
      <c r="H4866" s="98">
        <v>0</v>
      </c>
      <c r="I4866" s="98">
        <v>0</v>
      </c>
      <c r="J4866" s="98"/>
      <c r="K4866" s="7">
        <v>1</v>
      </c>
      <c r="L4866" s="93">
        <f t="shared" si="666"/>
        <v>14696666.67</v>
      </c>
      <c r="M4866" s="95">
        <f t="shared" ca="1" si="667"/>
        <v>14696666.67</v>
      </c>
      <c r="N4866" s="95">
        <f>IF(P4866="Hedge Fund",IF(A4866=Summary!$AD$3,M4866-E4866,M4866),IF(A4866=Summary!$AD$3,L4866-D4866,L4866))</f>
        <v>14696666.67</v>
      </c>
      <c r="O4866" s="95"/>
      <c r="P4866" s="107" t="s">
        <v>155</v>
      </c>
      <c r="Q4866" s="107">
        <v>0</v>
      </c>
      <c r="R4866" s="107">
        <v>0</v>
      </c>
      <c r="S4866" s="107">
        <v>0</v>
      </c>
      <c r="T4866" s="107">
        <v>0</v>
      </c>
      <c r="U4866" s="107"/>
      <c r="V4866" s="107"/>
      <c r="W4866" s="107"/>
      <c r="X4866" s="107"/>
      <c r="Y4866" s="107"/>
      <c r="Z4866" s="107"/>
      <c r="AA4866" s="107"/>
      <c r="AB4866" s="107"/>
      <c r="AF4866" s="94">
        <f t="shared" si="668"/>
        <v>42199</v>
      </c>
      <c r="AG4866" s="185">
        <f t="shared" si="665"/>
        <v>-1</v>
      </c>
      <c r="AH4866" s="339" t="str">
        <f>VLOOKUP(B4866,'MF PF'!A:B,2)</f>
        <v>Coinv</v>
      </c>
      <c r="AI4866" s="358">
        <f t="shared" si="669"/>
        <v>0</v>
      </c>
      <c r="AJ4866" s="94">
        <f t="shared" si="670"/>
        <v>42216</v>
      </c>
    </row>
    <row r="4867" spans="1:36">
      <c r="A4867" s="8">
        <v>42216</v>
      </c>
      <c r="B4867" s="94" t="s">
        <v>82</v>
      </c>
      <c r="C4867" s="6" t="s">
        <v>297</v>
      </c>
      <c r="D4867" s="98">
        <v>14645725.628252827</v>
      </c>
      <c r="E4867" s="95">
        <f t="shared" si="671"/>
        <v>14645725.628252827</v>
      </c>
      <c r="F4867" s="98"/>
      <c r="G4867" s="98"/>
      <c r="H4867" s="98">
        <v>0</v>
      </c>
      <c r="I4867" s="98">
        <v>-153333.32999999999</v>
      </c>
      <c r="J4867" s="98"/>
      <c r="K4867" s="7">
        <v>1</v>
      </c>
      <c r="L4867" s="93">
        <f t="shared" si="666"/>
        <v>-153333.32999999999</v>
      </c>
      <c r="M4867" s="95">
        <f t="shared" ca="1" si="667"/>
        <v>-153333.32999999999</v>
      </c>
      <c r="N4867" s="95">
        <f>IF(P4867="Hedge Fund",IF(A4867=Summary!$AD$3,M4867-E4867,M4867),IF(A4867=Summary!$AD$3,L4867-D4867,L4867))</f>
        <v>-153333.32999999999</v>
      </c>
      <c r="O4867" s="95"/>
      <c r="P4867" s="107" t="s">
        <v>155</v>
      </c>
      <c r="Q4867" s="107">
        <v>3.0710641666666667E-3</v>
      </c>
      <c r="R4867" s="107">
        <v>0.56573334322244551</v>
      </c>
      <c r="S4867" s="107">
        <v>0</v>
      </c>
      <c r="T4867" s="107">
        <v>0</v>
      </c>
      <c r="U4867" s="107"/>
      <c r="V4867" s="107"/>
      <c r="W4867" s="107"/>
      <c r="X4867" s="107"/>
      <c r="Y4867" s="107"/>
      <c r="Z4867" s="107"/>
      <c r="AA4867" s="107"/>
      <c r="AB4867" s="107"/>
      <c r="AF4867" s="94">
        <f t="shared" si="668"/>
        <v>42216</v>
      </c>
      <c r="AG4867" s="185">
        <f t="shared" si="665"/>
        <v>6.9670416123568391E-3</v>
      </c>
      <c r="AH4867" s="339" t="str">
        <f>VLOOKUP(B4867,'MF PF'!A:B,2)</f>
        <v>Coinv</v>
      </c>
      <c r="AI4867" s="358">
        <f t="shared" si="669"/>
        <v>0</v>
      </c>
      <c r="AJ4867" s="94">
        <f t="shared" si="670"/>
        <v>42216</v>
      </c>
    </row>
    <row r="4868" spans="1:36">
      <c r="A4868" s="8">
        <v>42247</v>
      </c>
      <c r="B4868" s="94" t="s">
        <v>82</v>
      </c>
      <c r="C4868" s="6" t="s">
        <v>297</v>
      </c>
      <c r="D4868" s="98">
        <v>14696851.377192808</v>
      </c>
      <c r="E4868" s="95">
        <f t="shared" si="671"/>
        <v>14696851.377192808</v>
      </c>
      <c r="F4868" s="98"/>
      <c r="G4868" s="98"/>
      <c r="H4868" s="98">
        <v>0</v>
      </c>
      <c r="I4868" s="98">
        <v>-148541.66737316063</v>
      </c>
      <c r="J4868" s="98"/>
      <c r="K4868" s="7">
        <v>1</v>
      </c>
      <c r="L4868" s="93">
        <f t="shared" si="666"/>
        <v>-148541.66737316063</v>
      </c>
      <c r="M4868" s="95">
        <f t="shared" ca="1" si="667"/>
        <v>-148541.66737316063</v>
      </c>
      <c r="N4868" s="95">
        <f>IF(P4868="Hedge Fund",IF(A4868=Summary!$AD$3,M4868-E4868,M4868),IF(A4868=Summary!$AD$3,L4868-D4868,L4868))</f>
        <v>-148541.66737316063</v>
      </c>
      <c r="O4868" s="95"/>
      <c r="P4868" s="107" t="s">
        <v>155</v>
      </c>
      <c r="Q4868" s="107">
        <v>5.6001758333333327E-3</v>
      </c>
      <c r="R4868" s="107">
        <v>0.57084591811644381</v>
      </c>
      <c r="S4868" s="107">
        <v>0</v>
      </c>
      <c r="T4868" s="107">
        <v>0</v>
      </c>
      <c r="U4868" s="107"/>
      <c r="V4868" s="107"/>
      <c r="W4868" s="107"/>
      <c r="X4868" s="107"/>
      <c r="Y4868" s="107"/>
      <c r="Z4868" s="107"/>
      <c r="AA4868" s="107"/>
      <c r="AB4868" s="107"/>
      <c r="AF4868" s="94">
        <f t="shared" si="668"/>
        <v>42247</v>
      </c>
      <c r="AG4868" s="185">
        <f t="shared" si="665"/>
        <v>1.3633152865295095E-2</v>
      </c>
      <c r="AH4868" s="339" t="str">
        <f>VLOOKUP(B4868,'MF PF'!A:B,2)</f>
        <v>Coinv</v>
      </c>
      <c r="AI4868" s="358">
        <f t="shared" si="669"/>
        <v>0</v>
      </c>
      <c r="AJ4868" s="94">
        <f t="shared" si="670"/>
        <v>42247</v>
      </c>
    </row>
    <row r="4869" spans="1:36">
      <c r="A4869" s="8">
        <v>42277</v>
      </c>
      <c r="B4869" s="94" t="s">
        <v>82</v>
      </c>
      <c r="C4869" s="6" t="s">
        <v>297</v>
      </c>
      <c r="D4869" s="98">
        <v>14747048.035198668</v>
      </c>
      <c r="E4869" s="95">
        <f t="shared" si="671"/>
        <v>14747048.035198668</v>
      </c>
      <c r="F4869" s="98"/>
      <c r="G4869" s="98"/>
      <c r="H4869" s="98">
        <v>0</v>
      </c>
      <c r="I4869" s="98">
        <v>-143541.67000000001</v>
      </c>
      <c r="J4869" s="98"/>
      <c r="K4869" s="7">
        <v>1</v>
      </c>
      <c r="L4869" s="93">
        <f t="shared" si="666"/>
        <v>-143541.67000000001</v>
      </c>
      <c r="M4869" s="95">
        <f t="shared" ca="1" si="667"/>
        <v>-143541.67000000001</v>
      </c>
      <c r="N4869" s="95">
        <f>IF(P4869="Hedge Fund",IF(A4869=Summary!$AD$3,M4869-E4869,M4869),IF(A4869=Summary!$AD$3,L4869-D4869,L4869))</f>
        <v>-143541.67000000001</v>
      </c>
      <c r="O4869" s="95"/>
      <c r="P4869" s="107" t="s">
        <v>155</v>
      </c>
      <c r="Q4869" s="107">
        <v>5.4195249999999997E-3</v>
      </c>
      <c r="R4869" s="107">
        <v>0.57586558391702969</v>
      </c>
      <c r="S4869" s="107">
        <v>0</v>
      </c>
      <c r="T4869" s="107">
        <v>0</v>
      </c>
      <c r="U4869" s="107"/>
      <c r="V4869" s="107"/>
      <c r="W4869" s="107"/>
      <c r="X4869" s="107"/>
      <c r="Y4869" s="107"/>
      <c r="Z4869" s="107"/>
      <c r="AA4869" s="107"/>
      <c r="AB4869" s="107"/>
      <c r="AF4869" s="94">
        <f t="shared" si="668"/>
        <v>42277</v>
      </c>
      <c r="AG4869" s="185">
        <f t="shared" si="665"/>
        <v>1.3182301639554694E-2</v>
      </c>
      <c r="AH4869" s="339" t="str">
        <f>VLOOKUP(B4869,'MF PF'!A:B,2)</f>
        <v>Coinv</v>
      </c>
      <c r="AI4869" s="358">
        <f t="shared" si="669"/>
        <v>0</v>
      </c>
      <c r="AJ4869" s="94">
        <f t="shared" si="670"/>
        <v>42277</v>
      </c>
    </row>
    <row r="4870" spans="1:36">
      <c r="A4870" s="8">
        <v>42307</v>
      </c>
      <c r="B4870" s="94" t="s">
        <v>82</v>
      </c>
      <c r="C4870" s="6" t="s">
        <v>297</v>
      </c>
      <c r="D4870" s="98">
        <v>14792962.810864134</v>
      </c>
      <c r="E4870" s="95">
        <f t="shared" si="671"/>
        <v>14792962.810864134</v>
      </c>
      <c r="F4870" s="98"/>
      <c r="G4870" s="98"/>
      <c r="H4870" s="98">
        <v>0</v>
      </c>
      <c r="I4870" s="98">
        <v>-143541.67000000001</v>
      </c>
      <c r="J4870" s="98"/>
      <c r="K4870" s="7">
        <v>1</v>
      </c>
      <c r="L4870" s="93">
        <f t="shared" si="666"/>
        <v>-143541.67000000001</v>
      </c>
      <c r="M4870" s="95">
        <f t="shared" ca="1" si="667"/>
        <v>-143541.67000000001</v>
      </c>
      <c r="N4870" s="95">
        <f>IF(P4870="Hedge Fund",IF(A4870=Summary!$AD$3,M4870-E4870,M4870),IF(A4870=Summary!$AD$3,L4870-D4870,L4870))</f>
        <v>-143541.67000000001</v>
      </c>
      <c r="O4870" s="95"/>
      <c r="P4870" s="107" t="s">
        <v>155</v>
      </c>
      <c r="Q4870" s="107">
        <v>5.4195249999999997E-3</v>
      </c>
      <c r="R4870" s="107">
        <v>0.58045706148357634</v>
      </c>
      <c r="S4870" s="107">
        <v>0</v>
      </c>
      <c r="T4870" s="107">
        <v>0</v>
      </c>
      <c r="U4870" s="107"/>
      <c r="V4870" s="107"/>
      <c r="W4870" s="107"/>
      <c r="X4870" s="107"/>
      <c r="Y4870" s="107"/>
      <c r="Z4870" s="107"/>
      <c r="AA4870" s="107"/>
      <c r="AB4870" s="107"/>
      <c r="AF4870" s="94">
        <f t="shared" si="668"/>
        <v>42307</v>
      </c>
      <c r="AG4870" s="185">
        <f t="shared" si="665"/>
        <v>1.2847075917381323E-2</v>
      </c>
      <c r="AH4870" s="339" t="str">
        <f>VLOOKUP(B4870,'MF PF'!A:B,2)</f>
        <v>Coinv</v>
      </c>
      <c r="AI4870" s="358">
        <f t="shared" si="669"/>
        <v>0</v>
      </c>
      <c r="AJ4870" s="94">
        <f t="shared" si="670"/>
        <v>42308</v>
      </c>
    </row>
    <row r="4871" spans="1:36">
      <c r="A4871" s="8">
        <v>42338</v>
      </c>
      <c r="B4871" s="94" t="s">
        <v>82</v>
      </c>
      <c r="C4871" s="6" t="s">
        <v>297</v>
      </c>
      <c r="D4871" s="98">
        <v>14851119.460035175</v>
      </c>
      <c r="E4871" s="95">
        <f t="shared" si="671"/>
        <v>14851119.460035175</v>
      </c>
      <c r="F4871" s="98"/>
      <c r="G4871" s="98"/>
      <c r="H4871" s="98">
        <v>0</v>
      </c>
      <c r="I4871" s="98">
        <v>-143541.67000000001</v>
      </c>
      <c r="J4871" s="98"/>
      <c r="K4871" s="7">
        <v>1</v>
      </c>
      <c r="L4871" s="93">
        <f t="shared" si="666"/>
        <v>-143541.67000000001</v>
      </c>
      <c r="M4871" s="95">
        <f t="shared" ca="1" si="667"/>
        <v>-143541.67000000001</v>
      </c>
      <c r="N4871" s="95">
        <f>IF(P4871="Hedge Fund",IF(A4871=Summary!$AD$3,M4871-E4871,M4871),IF(A4871=Summary!$AD$3,L4871-D4871,L4871))</f>
        <v>-143541.67000000001</v>
      </c>
      <c r="O4871" s="95"/>
      <c r="P4871" s="107" t="s">
        <v>155</v>
      </c>
      <c r="Q4871" s="107">
        <v>5.6001758333333327E-3</v>
      </c>
      <c r="R4871" s="107">
        <v>0.5862727264006804</v>
      </c>
      <c r="S4871" s="107">
        <v>0</v>
      </c>
      <c r="T4871" s="107">
        <v>0</v>
      </c>
      <c r="U4871" s="107"/>
      <c r="V4871" s="107"/>
      <c r="W4871" s="107"/>
      <c r="X4871" s="107"/>
      <c r="Y4871" s="107"/>
      <c r="Z4871" s="107"/>
      <c r="AA4871" s="107"/>
      <c r="AB4871" s="107"/>
      <c r="AF4871" s="94">
        <f t="shared" si="668"/>
        <v>42338</v>
      </c>
      <c r="AG4871" s="185">
        <f t="shared" si="665"/>
        <v>1.3634747937236069E-2</v>
      </c>
      <c r="AH4871" s="339" t="str">
        <f>VLOOKUP(B4871,'MF PF'!A:B,2)</f>
        <v>Coinv</v>
      </c>
      <c r="AI4871" s="358">
        <f t="shared" si="669"/>
        <v>0</v>
      </c>
      <c r="AJ4871" s="94">
        <f t="shared" si="670"/>
        <v>42338</v>
      </c>
    </row>
    <row r="4872" spans="1:36">
      <c r="A4872" s="8">
        <v>42369</v>
      </c>
      <c r="B4872" s="94" t="s">
        <v>82</v>
      </c>
      <c r="C4872" s="6" t="s">
        <v>297</v>
      </c>
      <c r="D4872" s="98">
        <v>14756596.616155753</v>
      </c>
      <c r="E4872" s="95">
        <f t="shared" si="671"/>
        <v>14756596.616155753</v>
      </c>
      <c r="F4872" s="98"/>
      <c r="G4872" s="98"/>
      <c r="H4872" s="98">
        <v>0</v>
      </c>
      <c r="I4872" s="98">
        <v>-293750</v>
      </c>
      <c r="J4872" s="98"/>
      <c r="K4872" s="7">
        <v>1</v>
      </c>
      <c r="L4872" s="93">
        <f t="shared" si="666"/>
        <v>-293750</v>
      </c>
      <c r="M4872" s="95">
        <f t="shared" ca="1" si="667"/>
        <v>-293750</v>
      </c>
      <c r="N4872" s="95">
        <f>IF(P4872="Hedge Fund",IF(A4872=Summary!$AD$3,M4872-E4872,M4872),IF(A4872=Summary!$AD$3,L4872-D4872,L4872))</f>
        <v>-293750</v>
      </c>
      <c r="O4872" s="95"/>
      <c r="P4872" s="107" t="s">
        <v>155</v>
      </c>
      <c r="Q4872" s="107">
        <v>5.6001758333333327E-3</v>
      </c>
      <c r="R4872" s="107">
        <v>0.57682044201273808</v>
      </c>
      <c r="S4872" s="107">
        <v>0</v>
      </c>
      <c r="T4872" s="107">
        <v>0</v>
      </c>
      <c r="U4872" s="107"/>
      <c r="V4872" s="107"/>
      <c r="W4872" s="107"/>
      <c r="X4872" s="107"/>
      <c r="Y4872" s="107"/>
      <c r="Z4872" s="107"/>
      <c r="AA4872" s="107"/>
      <c r="AB4872" s="107"/>
      <c r="AF4872" s="94">
        <f t="shared" si="668"/>
        <v>42369</v>
      </c>
      <c r="AG4872" s="185">
        <f t="shared" si="665"/>
        <v>1.3414958828976031E-2</v>
      </c>
      <c r="AH4872" s="339" t="str">
        <f>VLOOKUP(B4872,'MF PF'!A:B,2)</f>
        <v>Coinv</v>
      </c>
      <c r="AI4872" s="358">
        <f t="shared" si="669"/>
        <v>0</v>
      </c>
      <c r="AJ4872" s="94">
        <f t="shared" si="670"/>
        <v>42369</v>
      </c>
    </row>
    <row r="4873" spans="1:36">
      <c r="A4873" s="8">
        <v>42398</v>
      </c>
      <c r="B4873" s="94" t="s">
        <v>82</v>
      </c>
      <c r="C4873" s="6" t="s">
        <v>297</v>
      </c>
      <c r="D4873" s="98">
        <v>14794570.903602375</v>
      </c>
      <c r="E4873" s="95">
        <f t="shared" si="671"/>
        <v>14794570.903602375</v>
      </c>
      <c r="F4873" s="98"/>
      <c r="G4873" s="98"/>
      <c r="H4873" s="98">
        <v>0</v>
      </c>
      <c r="I4873" s="98">
        <v>-152463.91</v>
      </c>
      <c r="J4873" s="98"/>
      <c r="K4873" s="7">
        <v>1</v>
      </c>
      <c r="L4873" s="93">
        <f t="shared" si="666"/>
        <v>-152463.91</v>
      </c>
      <c r="M4873" s="95">
        <f t="shared" ca="1" si="667"/>
        <v>-152463.91</v>
      </c>
      <c r="N4873" s="95">
        <f>IF(P4873="Hedge Fund",IF(A4873=Summary!$AD$3,M4873-E4873,M4873),IF(A4873=Summary!$AD$3,L4873-D4873,L4873))</f>
        <v>-152463.91</v>
      </c>
      <c r="O4873" s="95"/>
      <c r="P4873" s="107" t="s">
        <v>155</v>
      </c>
      <c r="Q4873" s="107">
        <v>5.2388741666666667E-3</v>
      </c>
      <c r="R4873" s="107">
        <v>0.58061787075740046</v>
      </c>
      <c r="S4873" s="107">
        <v>0</v>
      </c>
      <c r="T4873" s="107">
        <v>0</v>
      </c>
      <c r="U4873" s="107"/>
      <c r="V4873" s="107"/>
      <c r="W4873" s="107"/>
      <c r="X4873" s="107"/>
      <c r="Y4873" s="107"/>
      <c r="Z4873" s="107"/>
      <c r="AA4873" s="107"/>
      <c r="AB4873" s="107"/>
      <c r="AF4873" s="94">
        <f t="shared" si="668"/>
        <v>42398</v>
      </c>
      <c r="AG4873" s="185">
        <f t="shared" si="665"/>
        <v>1.2905292622699127E-2</v>
      </c>
      <c r="AH4873" s="339" t="str">
        <f>VLOOKUP(B4873,'MF PF'!A:B,2)</f>
        <v>Coinv</v>
      </c>
      <c r="AI4873" s="358">
        <f t="shared" si="669"/>
        <v>0</v>
      </c>
      <c r="AJ4873" s="94">
        <f t="shared" si="670"/>
        <v>42400</v>
      </c>
    </row>
    <row r="4874" spans="1:36">
      <c r="A4874" s="8">
        <v>42429</v>
      </c>
      <c r="B4874" s="94" t="s">
        <v>82</v>
      </c>
      <c r="C4874" s="6" t="s">
        <v>297</v>
      </c>
      <c r="D4874" s="98">
        <v>14843893.495419782</v>
      </c>
      <c r="E4874" s="95">
        <f t="shared" si="671"/>
        <v>14843893.495419782</v>
      </c>
      <c r="F4874" s="98"/>
      <c r="G4874" s="98"/>
      <c r="H4874" s="98">
        <v>0</v>
      </c>
      <c r="I4874" s="98">
        <v>-158922.24333333335</v>
      </c>
      <c r="J4874" s="98"/>
      <c r="K4874" s="7">
        <v>1</v>
      </c>
      <c r="L4874" s="93">
        <f t="shared" si="666"/>
        <v>-158922.24333333335</v>
      </c>
      <c r="M4874" s="95">
        <f t="shared" ca="1" si="667"/>
        <v>-158922.24333333335</v>
      </c>
      <c r="N4874" s="95">
        <f>IF(P4874="Hedge Fund",IF(A4874=Summary!$AD$3,M4874-E4874,M4874),IF(A4874=Summary!$AD$3,L4874-D4874,L4874))</f>
        <v>-158922.24333333335</v>
      </c>
      <c r="O4874" s="95"/>
      <c r="P4874" s="107" t="s">
        <v>155</v>
      </c>
      <c r="Q4874" s="107">
        <v>5.6001758333333327E-3</v>
      </c>
      <c r="R4874" s="107">
        <v>0.58555012993914102</v>
      </c>
      <c r="S4874" s="107">
        <v>0</v>
      </c>
      <c r="T4874" s="107">
        <v>0</v>
      </c>
      <c r="U4874" s="107"/>
      <c r="V4874" s="107"/>
      <c r="W4874" s="107"/>
      <c r="X4874" s="107"/>
      <c r="Y4874" s="107"/>
      <c r="Z4874" s="107"/>
      <c r="AA4874" s="107"/>
      <c r="AB4874" s="107"/>
      <c r="AF4874" s="94">
        <f t="shared" si="668"/>
        <v>42429</v>
      </c>
      <c r="AG4874" s="185">
        <f t="shared" si="665"/>
        <v>1.4075760392620484E-2</v>
      </c>
      <c r="AH4874" s="339" t="str">
        <f>VLOOKUP(B4874,'MF PF'!A:B,2)</f>
        <v>Coinv</v>
      </c>
      <c r="AI4874" s="358">
        <f t="shared" si="669"/>
        <v>0</v>
      </c>
      <c r="AJ4874" s="94">
        <f t="shared" si="670"/>
        <v>42429</v>
      </c>
    </row>
    <row r="4875" spans="1:36">
      <c r="A4875" s="8">
        <v>42460</v>
      </c>
      <c r="B4875" s="94" t="s">
        <v>82</v>
      </c>
      <c r="C4875" s="6" t="s">
        <v>297</v>
      </c>
      <c r="D4875" s="98">
        <v>14904099.34772088</v>
      </c>
      <c r="E4875" s="95">
        <f t="shared" si="671"/>
        <v>14904099.34772088</v>
      </c>
      <c r="F4875" s="98"/>
      <c r="G4875" s="98"/>
      <c r="H4875" s="98">
        <v>0</v>
      </c>
      <c r="I4875" s="98">
        <v>-148669.09666666665</v>
      </c>
      <c r="J4875" s="98"/>
      <c r="K4875" s="7">
        <v>1</v>
      </c>
      <c r="L4875" s="93">
        <f t="shared" si="666"/>
        <v>-148669.09666666665</v>
      </c>
      <c r="M4875" s="95">
        <f t="shared" ca="1" si="667"/>
        <v>-148669.09666666665</v>
      </c>
      <c r="N4875" s="95">
        <f>IF(P4875="Hedge Fund",IF(A4875=Summary!$AD$3,M4875-E4875,M4875),IF(A4875=Summary!$AD$3,L4875-D4875,L4875))</f>
        <v>-148669.09666666665</v>
      </c>
      <c r="O4875" s="95"/>
      <c r="P4875" s="107" t="s">
        <v>155</v>
      </c>
      <c r="Q4875" s="107">
        <v>5.6001758333333327E-3</v>
      </c>
      <c r="R4875" s="107">
        <v>0.59157071516925086</v>
      </c>
      <c r="S4875" s="107">
        <v>0</v>
      </c>
      <c r="T4875" s="107">
        <v>0</v>
      </c>
      <c r="U4875" s="107"/>
      <c r="V4875" s="107"/>
      <c r="W4875" s="107"/>
      <c r="X4875" s="107"/>
      <c r="Y4875" s="107"/>
      <c r="Z4875" s="107"/>
      <c r="AA4875" s="107"/>
      <c r="AB4875" s="107"/>
      <c r="AF4875" s="94">
        <f t="shared" si="668"/>
        <v>42460</v>
      </c>
      <c r="AG4875" s="185">
        <f t="shared" si="665"/>
        <v>1.407143947995948E-2</v>
      </c>
      <c r="AH4875" s="339" t="str">
        <f>VLOOKUP(B4875,'MF PF'!A:B,2)</f>
        <v>Coinv</v>
      </c>
      <c r="AI4875" s="358">
        <f t="shared" si="669"/>
        <v>0</v>
      </c>
      <c r="AJ4875" s="94">
        <f t="shared" si="670"/>
        <v>42460</v>
      </c>
    </row>
    <row r="4876" spans="1:36">
      <c r="A4876" s="8">
        <v>42489</v>
      </c>
      <c r="B4876" s="94" t="s">
        <v>82</v>
      </c>
      <c r="C4876" s="6" t="s">
        <v>297</v>
      </c>
      <c r="D4876" s="98">
        <v>14944913.319970088</v>
      </c>
      <c r="E4876" s="95">
        <f t="shared" si="671"/>
        <v>14944913.319970088</v>
      </c>
      <c r="F4876" s="98"/>
      <c r="G4876" s="98"/>
      <c r="H4876" s="98">
        <v>0</v>
      </c>
      <c r="I4876" s="98">
        <v>-158327.3833333333</v>
      </c>
      <c r="J4876" s="98"/>
      <c r="K4876" s="7">
        <v>1</v>
      </c>
      <c r="L4876" s="93">
        <f t="shared" si="666"/>
        <v>-158327.3833333333</v>
      </c>
      <c r="M4876" s="95">
        <f t="shared" ca="1" si="667"/>
        <v>-158327.3833333333</v>
      </c>
      <c r="N4876" s="95">
        <f>IF(P4876="Hedge Fund",IF(A4876=Summary!$AD$3,M4876-E4876,M4876),IF(A4876=Summary!$AD$3,L4876-D4876,L4876))</f>
        <v>-158327.3833333333</v>
      </c>
      <c r="O4876" s="95"/>
      <c r="P4876" s="107" t="s">
        <v>155</v>
      </c>
      <c r="Q4876" s="107">
        <v>5.2388741666666667E-3</v>
      </c>
      <c r="R4876" s="107">
        <v>0.5956521123941716</v>
      </c>
      <c r="S4876" s="107">
        <v>0</v>
      </c>
      <c r="T4876" s="107">
        <v>0</v>
      </c>
      <c r="U4876" s="107"/>
      <c r="V4876" s="107"/>
      <c r="W4876" s="107"/>
      <c r="X4876" s="107"/>
      <c r="Y4876" s="107"/>
      <c r="Z4876" s="107"/>
      <c r="AA4876" s="107"/>
      <c r="AB4876" s="107"/>
      <c r="AF4876" s="94">
        <f t="shared" si="668"/>
        <v>42489</v>
      </c>
      <c r="AG4876" s="185">
        <f t="shared" si="665"/>
        <v>1.3361515576115091E-2</v>
      </c>
      <c r="AH4876" s="339" t="str">
        <f>VLOOKUP(B4876,'MF PF'!A:B,2)</f>
        <v>Coinv</v>
      </c>
      <c r="AI4876" s="358">
        <f t="shared" si="669"/>
        <v>0</v>
      </c>
      <c r="AJ4876" s="94">
        <f t="shared" si="670"/>
        <v>42490</v>
      </c>
    </row>
    <row r="4877" spans="1:36">
      <c r="A4877" s="8">
        <v>42521</v>
      </c>
      <c r="B4877" s="94" t="s">
        <v>82</v>
      </c>
      <c r="C4877" s="6" t="s">
        <v>297</v>
      </c>
      <c r="D4877" s="98">
        <v>15008517.709309621</v>
      </c>
      <c r="E4877" s="95">
        <f t="shared" si="671"/>
        <v>15008517.709309621</v>
      </c>
      <c r="F4877" s="98"/>
      <c r="G4877" s="98"/>
      <c r="H4877" s="98">
        <v>0</v>
      </c>
      <c r="I4877" s="98">
        <v>-147545.66</v>
      </c>
      <c r="J4877" s="98"/>
      <c r="K4877" s="7">
        <v>1</v>
      </c>
      <c r="L4877" s="93">
        <f t="shared" si="666"/>
        <v>-147545.66</v>
      </c>
      <c r="M4877" s="95">
        <f t="shared" ca="1" si="667"/>
        <v>-147545.66</v>
      </c>
      <c r="N4877" s="95">
        <f>IF(P4877="Hedge Fund",IF(A4877=Summary!$AD$3,M4877-E4877,M4877),IF(A4877=Summary!$AD$3,L4877-D4877,L4877))</f>
        <v>-147545.66</v>
      </c>
      <c r="O4877" s="95"/>
      <c r="P4877" s="107" t="s">
        <v>155</v>
      </c>
      <c r="Q4877" s="107">
        <v>5.7808266666666665E-3</v>
      </c>
      <c r="R4877" s="107">
        <v>0.60201255132812492</v>
      </c>
      <c r="S4877" s="107">
        <v>0</v>
      </c>
      <c r="T4877" s="107">
        <v>0</v>
      </c>
      <c r="U4877" s="107"/>
      <c r="V4877" s="107"/>
      <c r="W4877" s="107"/>
      <c r="X4877" s="107"/>
      <c r="Y4877" s="107"/>
      <c r="Z4877" s="107"/>
      <c r="AA4877" s="107"/>
      <c r="AB4877" s="107"/>
      <c r="AF4877" s="94">
        <f t="shared" si="668"/>
        <v>42521</v>
      </c>
      <c r="AG4877" s="185">
        <f t="shared" si="665"/>
        <v>1.4128556306672202E-2</v>
      </c>
      <c r="AH4877" s="339" t="str">
        <f>VLOOKUP(B4877,'MF PF'!A:B,2)</f>
        <v>Coinv</v>
      </c>
      <c r="AI4877" s="358">
        <f t="shared" si="669"/>
        <v>0</v>
      </c>
      <c r="AJ4877" s="94">
        <f t="shared" si="670"/>
        <v>42521</v>
      </c>
    </row>
    <row r="4878" spans="1:36">
      <c r="A4878" s="8">
        <v>42551</v>
      </c>
      <c r="B4878" s="94" t="s">
        <v>82</v>
      </c>
      <c r="C4878" s="6" t="s">
        <v>297</v>
      </c>
      <c r="D4878" s="98">
        <v>14654670.005635561</v>
      </c>
      <c r="E4878" s="95">
        <f t="shared" si="671"/>
        <v>14654670.005635561</v>
      </c>
      <c r="F4878" s="98"/>
      <c r="G4878" s="98"/>
      <c r="H4878" s="98">
        <v>0</v>
      </c>
      <c r="I4878" s="98">
        <v>-547875.67000000004</v>
      </c>
      <c r="J4878" s="98"/>
      <c r="K4878" s="7">
        <v>1</v>
      </c>
      <c r="L4878" s="93">
        <f t="shared" si="666"/>
        <v>-547875.67000000004</v>
      </c>
      <c r="M4878" s="95">
        <f t="shared" ca="1" si="667"/>
        <v>-547875.67000000004</v>
      </c>
      <c r="N4878" s="95">
        <f>IF(P4878="Hedge Fund",IF(A4878=Summary!$AD$3,M4878-E4878,M4878),IF(A4878=Summary!$AD$3,L4878-D4878,L4878))</f>
        <v>-547875.67000000004</v>
      </c>
      <c r="O4878" s="95"/>
      <c r="P4878" s="107" t="s">
        <v>155</v>
      </c>
      <c r="Q4878" s="107">
        <v>5.4195249999999997E-3</v>
      </c>
      <c r="R4878" s="107">
        <v>0.56662778096071897</v>
      </c>
      <c r="S4878" s="107">
        <v>0</v>
      </c>
      <c r="T4878" s="107">
        <v>0</v>
      </c>
      <c r="U4878" s="107"/>
      <c r="V4878" s="107"/>
      <c r="W4878" s="107"/>
      <c r="X4878" s="107"/>
      <c r="Y4878" s="107"/>
      <c r="Z4878" s="107"/>
      <c r="AA4878" s="107"/>
      <c r="AB4878" s="107"/>
      <c r="AF4878" s="94">
        <f t="shared" si="668"/>
        <v>42551</v>
      </c>
      <c r="AG4878" s="185">
        <f t="shared" si="665"/>
        <v>1.2927856706701046E-2</v>
      </c>
      <c r="AH4878" s="339" t="str">
        <f>VLOOKUP(B4878,'MF PF'!A:B,2)</f>
        <v>Coinv</v>
      </c>
      <c r="AI4878" s="358">
        <f t="shared" si="669"/>
        <v>0</v>
      </c>
      <c r="AJ4878" s="94">
        <f t="shared" si="670"/>
        <v>42551</v>
      </c>
    </row>
    <row r="4879" spans="1:36">
      <c r="A4879" s="8">
        <v>42580</v>
      </c>
      <c r="B4879" s="94" t="s">
        <v>82</v>
      </c>
      <c r="C4879" s="6" t="s">
        <v>297</v>
      </c>
      <c r="D4879" s="98">
        <v>14848729.8660897</v>
      </c>
      <c r="E4879" s="95">
        <f t="shared" si="671"/>
        <v>14848729.8660897</v>
      </c>
      <c r="F4879" s="98"/>
      <c r="G4879" s="98"/>
      <c r="H4879" s="98">
        <v>0</v>
      </c>
      <c r="I4879" s="98">
        <v>0</v>
      </c>
      <c r="J4879" s="98"/>
      <c r="K4879" s="7">
        <v>1</v>
      </c>
      <c r="L4879" s="93">
        <f t="shared" si="666"/>
        <v>0</v>
      </c>
      <c r="M4879" s="95">
        <f t="shared" ca="1" si="667"/>
        <v>0</v>
      </c>
      <c r="N4879" s="95">
        <f>IF(P4879="Hedge Fund",IF(A4879=Summary!$AD$3,M4879-E4879,M4879),IF(A4879=Summary!$AD$3,L4879-D4879,L4879))</f>
        <v>0</v>
      </c>
      <c r="O4879" s="95"/>
      <c r="P4879" s="107" t="s">
        <v>155</v>
      </c>
      <c r="Q4879" s="107">
        <v>5.2388741666666667E-3</v>
      </c>
      <c r="R4879" s="107">
        <v>0.58603376700613286</v>
      </c>
      <c r="S4879" s="107">
        <v>0</v>
      </c>
      <c r="T4879" s="107">
        <v>0</v>
      </c>
      <c r="U4879" s="107"/>
      <c r="V4879" s="107"/>
      <c r="W4879" s="107"/>
      <c r="X4879" s="107"/>
      <c r="Y4879" s="107"/>
      <c r="Z4879" s="107"/>
      <c r="AA4879" s="107"/>
      <c r="AB4879" s="107"/>
      <c r="AF4879" s="94">
        <f t="shared" si="668"/>
        <v>42580</v>
      </c>
      <c r="AG4879" s="185">
        <f t="shared" si="665"/>
        <v>1.3242185622706737E-2</v>
      </c>
      <c r="AH4879" s="339" t="str">
        <f>VLOOKUP(B4879,'MF PF'!A:B,2)</f>
        <v>Coinv</v>
      </c>
      <c r="AI4879" s="358">
        <f t="shared" si="669"/>
        <v>0</v>
      </c>
      <c r="AJ4879" s="94">
        <f t="shared" si="670"/>
        <v>42582</v>
      </c>
    </row>
    <row r="4880" spans="1:36">
      <c r="A4880" s="8">
        <v>42613</v>
      </c>
      <c r="B4880" s="94" t="s">
        <v>82</v>
      </c>
      <c r="C4880" s="6" t="s">
        <v>297</v>
      </c>
      <c r="D4880" s="98">
        <v>14760472.054414799</v>
      </c>
      <c r="E4880" s="95">
        <f t="shared" si="671"/>
        <v>14760472.054414799</v>
      </c>
      <c r="F4880" s="98"/>
      <c r="G4880" s="98"/>
      <c r="H4880" s="98">
        <v>0</v>
      </c>
      <c r="I4880" s="98">
        <v>-296317.45999999996</v>
      </c>
      <c r="J4880" s="98"/>
      <c r="K4880" s="7">
        <v>1</v>
      </c>
      <c r="L4880" s="93">
        <f t="shared" si="666"/>
        <v>-296317.45999999996</v>
      </c>
      <c r="M4880" s="95">
        <f t="shared" ca="1" si="667"/>
        <v>-296317.45999999996</v>
      </c>
      <c r="N4880" s="95">
        <f>IF(P4880="Hedge Fund",IF(A4880=Summary!$AD$3,M4880-E4880,M4880),IF(A4880=Summary!$AD$3,L4880-D4880,L4880))</f>
        <v>-296317.45999999996</v>
      </c>
      <c r="O4880" s="95"/>
      <c r="P4880" s="107" t="s">
        <v>155</v>
      </c>
      <c r="Q4880" s="107">
        <v>5.9614775000000004E-3</v>
      </c>
      <c r="R4880" s="107">
        <v>0.57720798583864286</v>
      </c>
      <c r="S4880" s="107">
        <v>0</v>
      </c>
      <c r="T4880" s="107">
        <v>0</v>
      </c>
      <c r="U4880" s="107"/>
      <c r="V4880" s="107"/>
      <c r="W4880" s="107"/>
      <c r="X4880" s="107"/>
      <c r="Y4880" s="107"/>
      <c r="Z4880" s="107"/>
      <c r="AA4880" s="107"/>
      <c r="AB4880" s="107"/>
      <c r="AF4880" s="94">
        <f t="shared" si="668"/>
        <v>42613</v>
      </c>
      <c r="AG4880" s="185">
        <f t="shared" si="665"/>
        <v>1.4011949183630135E-2</v>
      </c>
      <c r="AH4880" s="339" t="str">
        <f>VLOOKUP(B4880,'MF PF'!A:B,2)</f>
        <v>Coinv</v>
      </c>
      <c r="AI4880" s="358">
        <f t="shared" si="669"/>
        <v>0</v>
      </c>
      <c r="AJ4880" s="94">
        <f t="shared" si="670"/>
        <v>42613</v>
      </c>
    </row>
    <row r="4881" spans="1:36">
      <c r="A4881" s="8">
        <v>42643</v>
      </c>
      <c r="B4881" s="94" t="s">
        <v>82</v>
      </c>
      <c r="C4881" s="6" t="s">
        <v>297</v>
      </c>
      <c r="D4881" s="98">
        <v>14434308.1285714</v>
      </c>
      <c r="E4881" s="95">
        <f t="shared" si="671"/>
        <v>14434308.1285714</v>
      </c>
      <c r="F4881" s="98"/>
      <c r="G4881" s="98"/>
      <c r="H4881" s="98">
        <v>0</v>
      </c>
      <c r="I4881" s="98">
        <v>-524658.50268499996</v>
      </c>
      <c r="J4881" s="98"/>
      <c r="K4881" s="7">
        <v>1</v>
      </c>
      <c r="L4881" s="93">
        <f t="shared" si="666"/>
        <v>-524658.50268499996</v>
      </c>
      <c r="M4881" s="95">
        <f t="shared" ca="1" si="667"/>
        <v>-524658.50268499996</v>
      </c>
      <c r="N4881" s="95">
        <f>IF(P4881="Hedge Fund",IF(A4881=Summary!$AD$3,M4881-E4881,M4881),IF(A4881=Summary!$AD$3,L4881-D4881,L4881))</f>
        <v>-524658.50268499996</v>
      </c>
      <c r="O4881" s="95"/>
      <c r="P4881" s="107" t="s">
        <v>155</v>
      </c>
      <c r="Q4881" s="107">
        <v>5.4195249999999997E-3</v>
      </c>
      <c r="R4881" s="107">
        <v>0.34258568942631895</v>
      </c>
      <c r="S4881" s="107">
        <v>0</v>
      </c>
      <c r="T4881" s="107">
        <v>0</v>
      </c>
      <c r="U4881" s="107"/>
      <c r="V4881" s="107"/>
      <c r="W4881" s="107"/>
      <c r="X4881" s="107"/>
      <c r="Y4881" s="107"/>
      <c r="Z4881" s="107"/>
      <c r="AA4881" s="107"/>
      <c r="AB4881" s="107"/>
      <c r="AF4881" s="94">
        <f t="shared" si="668"/>
        <v>42643</v>
      </c>
      <c r="AG4881" s="185">
        <f t="shared" si="665"/>
        <v>1.3447711977628174E-2</v>
      </c>
      <c r="AH4881" s="339" t="str">
        <f>VLOOKUP(B4881,'MF PF'!A:B,2)</f>
        <v>Coinv</v>
      </c>
      <c r="AI4881" s="358">
        <f t="shared" si="669"/>
        <v>0</v>
      </c>
      <c r="AJ4881" s="94">
        <f t="shared" si="670"/>
        <v>42643</v>
      </c>
    </row>
    <row r="4882" spans="1:36">
      <c r="A4882" s="8">
        <v>42674</v>
      </c>
      <c r="B4882" s="94" t="s">
        <v>82</v>
      </c>
      <c r="C4882" s="6" t="s">
        <v>297</v>
      </c>
      <c r="D4882" s="98">
        <v>14336357.077197701</v>
      </c>
      <c r="E4882" s="95">
        <f t="shared" si="671"/>
        <v>14336357.077197701</v>
      </c>
      <c r="F4882" s="98"/>
      <c r="G4882" s="98"/>
      <c r="H4882" s="98">
        <v>0</v>
      </c>
      <c r="I4882" s="98">
        <v>-299100.94965416699</v>
      </c>
      <c r="J4882" s="98"/>
      <c r="K4882" s="7">
        <v>1</v>
      </c>
      <c r="L4882" s="93">
        <f t="shared" si="666"/>
        <v>-299100.94965416699</v>
      </c>
      <c r="M4882" s="95">
        <f t="shared" ca="1" si="667"/>
        <v>-299100.94965416699</v>
      </c>
      <c r="N4882" s="95">
        <f>IF(P4882="Hedge Fund",IF(A4882=Summary!$AD$3,M4882-E4882,M4882),IF(A4882=Summary!$AD$3,L4882-D4882,L4882))</f>
        <v>-299100.94965416699</v>
      </c>
      <c r="O4882" s="95"/>
      <c r="P4882" s="107" t="s">
        <v>155</v>
      </c>
      <c r="Q4882" s="107">
        <v>5.6001758333333327E-3</v>
      </c>
      <c r="R4882" s="107">
        <v>0.29304712999999999</v>
      </c>
      <c r="S4882" s="107">
        <v>0</v>
      </c>
      <c r="T4882" s="107">
        <v>0</v>
      </c>
      <c r="U4882" s="107"/>
      <c r="V4882" s="107"/>
      <c r="W4882" s="107"/>
      <c r="X4882" s="107"/>
      <c r="Y4882" s="107"/>
      <c r="Z4882" s="107"/>
      <c r="AA4882" s="107"/>
      <c r="AB4882" s="107"/>
      <c r="AF4882" s="94">
        <f t="shared" si="668"/>
        <v>42674</v>
      </c>
      <c r="AG4882" s="185">
        <f t="shared" si="665"/>
        <v>1.393554138437092E-2</v>
      </c>
      <c r="AH4882" s="339" t="str">
        <f>VLOOKUP(B4882,'MF PF'!A:B,2)</f>
        <v>Coinv</v>
      </c>
      <c r="AI4882" s="358">
        <f t="shared" si="669"/>
        <v>0</v>
      </c>
      <c r="AJ4882" s="94">
        <f t="shared" si="670"/>
        <v>42674</v>
      </c>
    </row>
    <row r="4883" spans="1:36">
      <c r="A4883" s="8">
        <v>42704</v>
      </c>
      <c r="B4883" s="94" t="s">
        <v>82</v>
      </c>
      <c r="C4883" s="6" t="s">
        <v>297</v>
      </c>
      <c r="D4883" s="98">
        <v>14385027.551208399</v>
      </c>
      <c r="E4883" s="95">
        <f t="shared" si="671"/>
        <v>14385027.551208399</v>
      </c>
      <c r="F4883" s="98"/>
      <c r="G4883" s="98"/>
      <c r="H4883" s="98">
        <v>0</v>
      </c>
      <c r="I4883" s="98">
        <v>-145042.85230930601</v>
      </c>
      <c r="J4883" s="98"/>
      <c r="K4883" s="7">
        <v>1</v>
      </c>
      <c r="L4883" s="93">
        <f t="shared" si="666"/>
        <v>-145042.85230930601</v>
      </c>
      <c r="M4883" s="95">
        <f t="shared" ca="1" si="667"/>
        <v>-145042.85230930601</v>
      </c>
      <c r="N4883" s="95">
        <f>IF(P4883="Hedge Fund",IF(A4883=Summary!$AD$3,M4883-E4883,M4883),IF(A4883=Summary!$AD$3,L4883-D4883,L4883))</f>
        <v>-145042.85230930601</v>
      </c>
      <c r="O4883" s="95"/>
      <c r="P4883" s="107" t="s">
        <v>155</v>
      </c>
      <c r="Q4883" s="107">
        <v>5.4195249999999997E-3</v>
      </c>
      <c r="R4883" s="107">
        <v>0.34123275109635498</v>
      </c>
      <c r="S4883" s="107">
        <v>0</v>
      </c>
      <c r="T4883" s="107">
        <v>0</v>
      </c>
      <c r="U4883" s="107"/>
      <c r="V4883" s="107"/>
      <c r="W4883" s="107"/>
      <c r="X4883" s="107"/>
      <c r="Y4883" s="107"/>
      <c r="Z4883" s="107"/>
      <c r="AA4883" s="107"/>
      <c r="AB4883" s="107"/>
      <c r="AF4883" s="94">
        <f t="shared" si="668"/>
        <v>42704</v>
      </c>
      <c r="AG4883" s="185">
        <f t="shared" si="665"/>
        <v>1.3512032748410618E-2</v>
      </c>
      <c r="AH4883" s="339" t="str">
        <f>VLOOKUP(B4883,'MF PF'!A:B,2)</f>
        <v>Coinv</v>
      </c>
      <c r="AI4883" s="358">
        <f t="shared" si="669"/>
        <v>0</v>
      </c>
      <c r="AJ4883" s="94">
        <f t="shared" si="670"/>
        <v>42704</v>
      </c>
    </row>
    <row r="4884" spans="1:36">
      <c r="A4884" s="8">
        <v>42734</v>
      </c>
      <c r="B4884" s="94" t="s">
        <v>82</v>
      </c>
      <c r="C4884" s="6" t="s">
        <v>297</v>
      </c>
      <c r="D4884" s="98">
        <v>14385501.470089899</v>
      </c>
      <c r="E4884" s="95">
        <f t="shared" si="671"/>
        <v>14385501.470089899</v>
      </c>
      <c r="F4884" s="98"/>
      <c r="G4884" s="98"/>
      <c r="H4884" s="98">
        <v>0</v>
      </c>
      <c r="I4884" s="98">
        <v>-210672.019654167</v>
      </c>
      <c r="J4884" s="98"/>
      <c r="K4884" s="7">
        <v>1</v>
      </c>
      <c r="L4884" s="93">
        <f t="shared" si="666"/>
        <v>-210672.019654167</v>
      </c>
      <c r="M4884" s="95">
        <f t="shared" ca="1" si="667"/>
        <v>-210672.019654167</v>
      </c>
      <c r="N4884" s="95">
        <f>IF(P4884="Hedge Fund",IF(A4884=Summary!$AD$3,M4884-E4884,M4884),IF(A4884=Summary!$AD$3,L4884-D4884,L4884))</f>
        <v>-210672.019654167</v>
      </c>
      <c r="O4884" s="95"/>
      <c r="P4884" s="107" t="s">
        <v>155</v>
      </c>
      <c r="Q4884" s="107">
        <v>5.4195249999999997E-3</v>
      </c>
      <c r="R4884" s="107">
        <v>0.38213621990000801</v>
      </c>
      <c r="S4884" s="107">
        <v>0</v>
      </c>
      <c r="T4884" s="107">
        <v>0</v>
      </c>
      <c r="U4884" s="107"/>
      <c r="V4884" s="107"/>
      <c r="W4884" s="107"/>
      <c r="X4884" s="107"/>
      <c r="Y4884" s="107"/>
      <c r="Z4884" s="107"/>
      <c r="AA4884" s="107"/>
      <c r="AB4884" s="107"/>
      <c r="AF4884" s="94">
        <f t="shared" si="668"/>
        <v>42734</v>
      </c>
      <c r="AG4884" s="185">
        <f t="shared" si="665"/>
        <v>1.4678174079543638E-2</v>
      </c>
      <c r="AH4884" s="339" t="str">
        <f>VLOOKUP(B4884,'MF PF'!A:B,2)</f>
        <v>Coinv</v>
      </c>
      <c r="AI4884" s="358">
        <f t="shared" si="669"/>
        <v>0</v>
      </c>
      <c r="AJ4884" s="94">
        <f t="shared" si="670"/>
        <v>42735</v>
      </c>
    </row>
    <row r="4885" spans="1:36">
      <c r="A4885" s="8">
        <v>42762</v>
      </c>
      <c r="B4885" s="94" t="s">
        <v>82</v>
      </c>
      <c r="C4885" s="6" t="s">
        <v>297</v>
      </c>
      <c r="D4885" s="98">
        <v>14358310.264785901</v>
      </c>
      <c r="E4885" s="95">
        <f t="shared" si="671"/>
        <v>14358310.264785901</v>
      </c>
      <c r="F4885" s="98"/>
      <c r="G4885" s="98"/>
      <c r="H4885" s="98">
        <v>0</v>
      </c>
      <c r="I4885" s="98">
        <v>-210672.02230930599</v>
      </c>
      <c r="J4885" s="98"/>
      <c r="K4885" s="7">
        <v>1</v>
      </c>
      <c r="L4885" s="93">
        <f t="shared" si="666"/>
        <v>-210672.02230930599</v>
      </c>
      <c r="M4885" s="95">
        <f t="shared" ca="1" si="667"/>
        <v>-210672.02230930599</v>
      </c>
      <c r="N4885" s="95">
        <f>IF(P4885="Hedge Fund",IF(A4885=Summary!$AD$3,M4885-E4885,M4885),IF(A4885=Summary!$AD$3,L4885-D4885,L4885))</f>
        <v>-210672.02230930599</v>
      </c>
      <c r="O4885" s="95"/>
      <c r="P4885" s="107" t="s">
        <v>155</v>
      </c>
      <c r="Q4885" s="107">
        <v>5.0582233333333329E-3</v>
      </c>
      <c r="R4885" s="107">
        <v>0.38213621990000801</v>
      </c>
      <c r="S4885" s="107">
        <v>0</v>
      </c>
      <c r="T4885" s="107">
        <v>0</v>
      </c>
      <c r="U4885" s="107"/>
      <c r="V4885" s="107"/>
      <c r="W4885" s="107"/>
      <c r="X4885" s="107"/>
      <c r="Y4885" s="107"/>
      <c r="Z4885" s="107"/>
      <c r="AA4885" s="107"/>
      <c r="AB4885" s="107"/>
      <c r="AF4885" s="94">
        <f t="shared" si="668"/>
        <v>42762</v>
      </c>
      <c r="AG4885" s="185">
        <f t="shared" si="665"/>
        <v>1.2754565239647464E-2</v>
      </c>
      <c r="AH4885" s="339" t="str">
        <f>VLOOKUP(B4885,'MF PF'!A:B,2)</f>
        <v>Coinv</v>
      </c>
      <c r="AI4885" s="358">
        <f t="shared" si="669"/>
        <v>0</v>
      </c>
      <c r="AJ4885" s="94">
        <f t="shared" si="670"/>
        <v>42766</v>
      </c>
    </row>
    <row r="4886" spans="1:36">
      <c r="A4886" s="8">
        <v>42794</v>
      </c>
      <c r="B4886" s="94" t="s">
        <v>82</v>
      </c>
      <c r="C4886" s="6" t="s">
        <v>297</v>
      </c>
      <c r="D4886" s="98">
        <v>14383894.4625721</v>
      </c>
      <c r="E4886" s="95">
        <f t="shared" si="671"/>
        <v>14383894.4625721</v>
      </c>
      <c r="F4886" s="98"/>
      <c r="G4886" s="98"/>
      <c r="H4886" s="98">
        <v>0</v>
      </c>
      <c r="I4886" s="98">
        <v>-196142.95230930601</v>
      </c>
      <c r="J4886" s="98"/>
      <c r="K4886" s="7">
        <v>1</v>
      </c>
      <c r="L4886" s="93">
        <f t="shared" si="666"/>
        <v>-196142.95230930601</v>
      </c>
      <c r="M4886" s="95">
        <f t="shared" ca="1" si="667"/>
        <v>-196142.95230930601</v>
      </c>
      <c r="N4886" s="95">
        <f>IF(P4886="Hedge Fund",IF(A4886=Summary!$AD$3,M4886-E4886,M4886),IF(A4886=Summary!$AD$3,L4886-D4886,L4886))</f>
        <v>-196142.95230930601</v>
      </c>
      <c r="O4886" s="95"/>
      <c r="P4886" s="107" t="s">
        <v>155</v>
      </c>
      <c r="Q4886" s="107">
        <v>5.7808266666666665E-3</v>
      </c>
      <c r="R4886" s="107">
        <v>0.399850109003759</v>
      </c>
      <c r="S4886" s="107">
        <v>0</v>
      </c>
      <c r="T4886" s="107">
        <v>0</v>
      </c>
      <c r="U4886" s="107"/>
      <c r="V4886" s="107"/>
      <c r="W4886" s="107"/>
      <c r="X4886" s="107"/>
      <c r="Y4886" s="107"/>
      <c r="Z4886" s="107"/>
      <c r="AA4886" s="107"/>
      <c r="AB4886" s="107"/>
      <c r="AF4886" s="94">
        <f t="shared" si="668"/>
        <v>42794</v>
      </c>
      <c r="AG4886" s="185">
        <f t="shared" si="665"/>
        <v>1.5442426442009438E-2</v>
      </c>
      <c r="AH4886" s="339" t="str">
        <f>VLOOKUP(B4886,'MF PF'!A:B,2)</f>
        <v>Coinv</v>
      </c>
      <c r="AI4886" s="358">
        <f t="shared" si="669"/>
        <v>0</v>
      </c>
      <c r="AJ4886" s="94">
        <f t="shared" si="670"/>
        <v>42794</v>
      </c>
    </row>
    <row r="4887" spans="1:36">
      <c r="A4887" s="8">
        <v>42825</v>
      </c>
      <c r="B4887" s="94" t="s">
        <v>82</v>
      </c>
      <c r="C4887" s="6" t="s">
        <v>297</v>
      </c>
      <c r="D4887" s="98">
        <v>14397196.8450264</v>
      </c>
      <c r="E4887" s="95">
        <f t="shared" si="671"/>
        <v>14397196.8450264</v>
      </c>
      <c r="F4887" s="98"/>
      <c r="G4887" s="98"/>
      <c r="H4887" s="98">
        <v>0</v>
      </c>
      <c r="I4887" s="98">
        <v>-210671.54434388899</v>
      </c>
      <c r="J4887" s="98"/>
      <c r="K4887" s="7">
        <v>1</v>
      </c>
      <c r="L4887" s="93">
        <f t="shared" si="666"/>
        <v>-210671.54434388899</v>
      </c>
      <c r="M4887" s="95">
        <f t="shared" ca="1" si="667"/>
        <v>-210671.54434388899</v>
      </c>
      <c r="N4887" s="95">
        <f>IF(P4887="Hedge Fund",IF(A4887=Summary!$AD$3,M4887-E4887,M4887),IF(A4887=Summary!$AD$3,L4887-D4887,L4887))</f>
        <v>-210671.54434388899</v>
      </c>
      <c r="O4887" s="95"/>
      <c r="P4887" s="107" t="s">
        <v>155</v>
      </c>
      <c r="Q4887" s="107">
        <v>5.6001758333333327E-3</v>
      </c>
      <c r="R4887" s="107">
        <v>0.46256726999999997</v>
      </c>
      <c r="S4887" s="107">
        <v>0</v>
      </c>
      <c r="T4887" s="107">
        <v>0</v>
      </c>
      <c r="U4887" s="107"/>
      <c r="V4887" s="107"/>
      <c r="W4887" s="107"/>
      <c r="X4887" s="107"/>
      <c r="Y4887" s="107"/>
      <c r="Z4887" s="107"/>
      <c r="AA4887" s="107"/>
      <c r="AB4887" s="107"/>
      <c r="AF4887" s="94">
        <f t="shared" si="668"/>
        <v>42825</v>
      </c>
      <c r="AG4887" s="185">
        <f t="shared" si="665"/>
        <v>1.5571160326640632E-2</v>
      </c>
      <c r="AH4887" s="339" t="str">
        <f>VLOOKUP(B4887,'MF PF'!A:B,2)</f>
        <v>Coinv</v>
      </c>
      <c r="AI4887" s="358">
        <f t="shared" si="669"/>
        <v>0</v>
      </c>
      <c r="AJ4887" s="94">
        <f t="shared" si="670"/>
        <v>42825</v>
      </c>
    </row>
    <row r="4888" spans="1:36">
      <c r="A4888" s="8">
        <v>42853</v>
      </c>
      <c r="B4888" s="94" t="s">
        <v>82</v>
      </c>
      <c r="C4888" s="6" t="s">
        <v>297</v>
      </c>
      <c r="D4888" s="98">
        <v>14577431.210000001</v>
      </c>
      <c r="E4888" s="95">
        <f t="shared" si="671"/>
        <v>14577431.210000001</v>
      </c>
      <c r="F4888" s="98"/>
      <c r="G4888" s="98"/>
      <c r="H4888" s="98">
        <v>0</v>
      </c>
      <c r="I4888" s="98">
        <v>-6255.5700000000006</v>
      </c>
      <c r="J4888" s="98"/>
      <c r="K4888" s="7">
        <v>1</v>
      </c>
      <c r="L4888" s="93">
        <f t="shared" si="666"/>
        <v>-6255.5700000000006</v>
      </c>
      <c r="M4888" s="95">
        <f t="shared" ca="1" si="667"/>
        <v>-6255.5700000000006</v>
      </c>
      <c r="N4888" s="95">
        <f>IF(P4888="Hedge Fund",IF(A4888=Summary!$AD$3,M4888-E4888,M4888),IF(A4888=Summary!$AD$3,L4888-D4888,L4888))</f>
        <v>-6255.5700000000006</v>
      </c>
      <c r="O4888" s="95"/>
      <c r="P4888" s="107" t="s">
        <v>155</v>
      </c>
      <c r="Q4888" s="107">
        <v>5.0582233333333329E-3</v>
      </c>
      <c r="R4888" s="107">
        <v>0.46279136999999998</v>
      </c>
      <c r="S4888" s="107">
        <v>0</v>
      </c>
      <c r="T4888" s="107">
        <v>0</v>
      </c>
      <c r="U4888" s="107"/>
      <c r="V4888" s="107"/>
      <c r="W4888" s="107"/>
      <c r="X4888" s="107"/>
      <c r="Y4888" s="107"/>
      <c r="Z4888" s="107"/>
      <c r="AA4888" s="107"/>
      <c r="AB4888" s="107"/>
      <c r="AF4888" s="94">
        <f t="shared" si="668"/>
        <v>42853</v>
      </c>
      <c r="AG4888" s="185">
        <f t="shared" si="665"/>
        <v>1.2953211446714796E-2</v>
      </c>
      <c r="AH4888" s="339" t="str">
        <f>VLOOKUP(B4888,'MF PF'!A:B,2)</f>
        <v>Coinv</v>
      </c>
      <c r="AI4888" s="358">
        <f t="shared" si="669"/>
        <v>0</v>
      </c>
      <c r="AJ4888" s="94">
        <f t="shared" si="670"/>
        <v>42855</v>
      </c>
    </row>
    <row r="4889" spans="1:36">
      <c r="A4889" s="8">
        <v>42886</v>
      </c>
      <c r="B4889" s="94" t="s">
        <v>82</v>
      </c>
      <c r="C4889" s="6" t="s">
        <v>297</v>
      </c>
      <c r="D4889" s="98">
        <v>14383072.065502601</v>
      </c>
      <c r="E4889" s="95">
        <f t="shared" si="671"/>
        <v>14383072.065502601</v>
      </c>
      <c r="F4889" s="98"/>
      <c r="G4889" s="98"/>
      <c r="H4889" s="98">
        <v>0</v>
      </c>
      <c r="I4889" s="98">
        <v>-199392.41</v>
      </c>
      <c r="J4889" s="98"/>
      <c r="K4889" s="7">
        <v>1</v>
      </c>
      <c r="L4889" s="93">
        <f t="shared" si="666"/>
        <v>-199392.41</v>
      </c>
      <c r="M4889" s="95">
        <f t="shared" ca="1" si="667"/>
        <v>-199392.41</v>
      </c>
      <c r="N4889" s="95">
        <f>IF(P4889="Hedge Fund",IF(A4889=Summary!$AD$3,M4889-E4889,M4889),IF(A4889=Summary!$AD$3,L4889-D4889,L4889))</f>
        <v>-199392.41</v>
      </c>
      <c r="O4889" s="95"/>
      <c r="P4889" s="107" t="s">
        <v>155</v>
      </c>
      <c r="Q4889" s="107">
        <v>5.9614775000000004E-3</v>
      </c>
      <c r="R4889" s="107">
        <v>0.46279136600375897</v>
      </c>
      <c r="S4889" s="107">
        <v>0</v>
      </c>
      <c r="T4889" s="107">
        <v>0</v>
      </c>
      <c r="U4889" s="107"/>
      <c r="V4889" s="107"/>
      <c r="W4889" s="107"/>
      <c r="X4889" s="107"/>
      <c r="Y4889" s="107"/>
      <c r="Z4889" s="107"/>
      <c r="AA4889" s="107"/>
      <c r="AB4889" s="107"/>
      <c r="AF4889" s="94">
        <f t="shared" si="668"/>
        <v>42886</v>
      </c>
      <c r="AG4889" s="185">
        <f t="shared" si="665"/>
        <v>3.4527794575689441E-4</v>
      </c>
      <c r="AH4889" s="339" t="str">
        <f>VLOOKUP(B4889,'MF PF'!A:B,2)</f>
        <v>Coinv</v>
      </c>
      <c r="AI4889" s="358">
        <f t="shared" si="669"/>
        <v>0</v>
      </c>
      <c r="AJ4889" s="94">
        <f t="shared" si="670"/>
        <v>42886</v>
      </c>
    </row>
    <row r="4890" spans="1:36">
      <c r="A4890" s="8">
        <v>42916</v>
      </c>
      <c r="B4890" s="94" t="s">
        <v>82</v>
      </c>
      <c r="C4890" s="6" t="s">
        <v>297</v>
      </c>
      <c r="D4890" s="98">
        <v>14498427.959645599</v>
      </c>
      <c r="E4890" s="95">
        <f t="shared" si="671"/>
        <v>14498427.959645599</v>
      </c>
      <c r="F4890" s="98"/>
      <c r="G4890" s="98"/>
      <c r="H4890" s="98">
        <v>0</v>
      </c>
      <c r="I4890" s="98">
        <v>-207039.27</v>
      </c>
      <c r="J4890" s="98"/>
      <c r="K4890" s="7">
        <v>1</v>
      </c>
      <c r="L4890" s="93">
        <f t="shared" si="666"/>
        <v>-207039.27</v>
      </c>
      <c r="M4890" s="95">
        <f t="shared" ca="1" si="667"/>
        <v>-207039.27</v>
      </c>
      <c r="N4890" s="95">
        <f>IF(P4890="Hedge Fund",IF(A4890=Summary!$AD$3,M4890-E4890,M4890),IF(A4890=Summary!$AD$3,L4890-D4890,L4890))</f>
        <v>-207039.27</v>
      </c>
      <c r="O4890" s="95"/>
      <c r="P4890" s="107" t="s">
        <v>155</v>
      </c>
      <c r="Q4890" s="107">
        <v>5.4195249999999997E-3</v>
      </c>
      <c r="R4890" s="107">
        <v>0.5680182579874391</v>
      </c>
      <c r="S4890" s="107">
        <v>0</v>
      </c>
      <c r="T4890" s="107">
        <v>0</v>
      </c>
      <c r="U4890" s="107"/>
      <c r="V4890" s="107"/>
      <c r="W4890" s="107"/>
      <c r="X4890" s="107"/>
      <c r="Y4890" s="107"/>
      <c r="Z4890" s="107"/>
      <c r="AA4890" s="107"/>
      <c r="AB4890" s="107"/>
      <c r="AF4890" s="94">
        <f t="shared" si="668"/>
        <v>42916</v>
      </c>
      <c r="AG4890" s="185">
        <f t="shared" si="665"/>
        <v>2.2414902927188507E-2</v>
      </c>
      <c r="AH4890" s="339" t="str">
        <f>VLOOKUP(B4890,'MF PF'!A:B,2)</f>
        <v>Coinv</v>
      </c>
      <c r="AI4890" s="358">
        <f t="shared" si="669"/>
        <v>0</v>
      </c>
      <c r="AJ4890" s="94">
        <f t="shared" si="670"/>
        <v>42916</v>
      </c>
    </row>
    <row r="4891" spans="1:36">
      <c r="A4891" s="8">
        <v>42947</v>
      </c>
      <c r="B4891" s="94" t="s">
        <v>82</v>
      </c>
      <c r="C4891" s="6" t="s">
        <v>297</v>
      </c>
      <c r="D4891" s="98">
        <v>14481671.02</v>
      </c>
      <c r="E4891" s="95">
        <f t="shared" si="671"/>
        <v>14481671.02</v>
      </c>
      <c r="F4891" s="98"/>
      <c r="G4891" s="98"/>
      <c r="H4891" s="98">
        <v>0</v>
      </c>
      <c r="I4891" s="98">
        <v>-208683.48</v>
      </c>
      <c r="J4891" s="98"/>
      <c r="K4891" s="7">
        <v>1</v>
      </c>
      <c r="L4891" s="93">
        <f t="shared" si="666"/>
        <v>-208683.48</v>
      </c>
      <c r="M4891" s="95">
        <f t="shared" ca="1" si="667"/>
        <v>-208683.48</v>
      </c>
      <c r="N4891" s="95">
        <f>IF(P4891="Hedge Fund",IF(A4891=Summary!$AD$3,M4891-E4891,M4891),IF(A4891=Summary!$AD$3,L4891-D4891,L4891))</f>
        <v>-208683.48</v>
      </c>
      <c r="O4891" s="95"/>
      <c r="P4891" s="107" t="s">
        <v>155</v>
      </c>
      <c r="Q4891" s="107">
        <v>5.6001758333333327E-3</v>
      </c>
      <c r="R4891" s="107">
        <v>0.56839817000000004</v>
      </c>
      <c r="S4891" s="107">
        <v>0</v>
      </c>
      <c r="T4891" s="107">
        <v>0</v>
      </c>
      <c r="U4891" s="107"/>
      <c r="V4891" s="107"/>
      <c r="W4891" s="107"/>
      <c r="X4891" s="107"/>
      <c r="Y4891" s="107"/>
      <c r="Z4891" s="107"/>
      <c r="AA4891" s="107"/>
      <c r="AB4891" s="107"/>
      <c r="AF4891" s="94">
        <f t="shared" si="668"/>
        <v>42947</v>
      </c>
      <c r="AG4891" s="185">
        <f t="shared" si="665"/>
        <v>1.3237748319238518E-2</v>
      </c>
      <c r="AH4891" s="339" t="str">
        <f>VLOOKUP(B4891,'MF PF'!A:B,2)</f>
        <v>Coinv</v>
      </c>
      <c r="AI4891" s="358">
        <f t="shared" si="669"/>
        <v>0</v>
      </c>
      <c r="AJ4891" s="94">
        <f t="shared" si="670"/>
        <v>42947</v>
      </c>
    </row>
    <row r="4892" spans="1:36">
      <c r="A4892" s="8">
        <v>42978</v>
      </c>
      <c r="B4892" s="94" t="s">
        <v>82</v>
      </c>
      <c r="C4892" s="6" t="s">
        <v>297</v>
      </c>
      <c r="D4892" s="98">
        <v>14380000</v>
      </c>
      <c r="E4892" s="95">
        <f t="shared" si="671"/>
        <v>14380000</v>
      </c>
      <c r="F4892" s="98"/>
      <c r="G4892" s="98"/>
      <c r="H4892" s="98">
        <v>0</v>
      </c>
      <c r="I4892" s="98">
        <v>-297811.01</v>
      </c>
      <c r="J4892" s="98"/>
      <c r="K4892" s="7">
        <v>1</v>
      </c>
      <c r="L4892" s="93">
        <f t="shared" si="666"/>
        <v>-297811.01</v>
      </c>
      <c r="M4892" s="95">
        <f t="shared" ca="1" si="667"/>
        <v>-297811.01</v>
      </c>
      <c r="N4892" s="95">
        <f>IF(P4892="Hedge Fund",IF(A4892=Summary!$AD$3,M4892-E4892,M4892),IF(A4892=Summary!$AD$3,L4892-D4892,L4892))</f>
        <v>-297811.01</v>
      </c>
      <c r="O4892" s="95"/>
      <c r="P4892" s="107" t="s">
        <v>155</v>
      </c>
      <c r="Q4892" s="107">
        <v>5.6001758333333327E-3</v>
      </c>
      <c r="R4892" s="107">
        <v>0.56848243999999992</v>
      </c>
      <c r="S4892" s="107">
        <v>0</v>
      </c>
      <c r="T4892" s="107">
        <v>0</v>
      </c>
      <c r="U4892" s="107"/>
      <c r="V4892" s="107"/>
      <c r="W4892" s="107"/>
      <c r="X4892" s="107"/>
      <c r="Y4892" s="107"/>
      <c r="Z4892" s="107"/>
      <c r="AA4892" s="107"/>
      <c r="AB4892" s="107"/>
      <c r="AF4892" s="94">
        <f t="shared" si="668"/>
        <v>42978</v>
      </c>
      <c r="AG4892" s="185">
        <f t="shared" si="665"/>
        <v>1.3544016414205329E-2</v>
      </c>
      <c r="AH4892" s="339" t="str">
        <f>VLOOKUP(B4892,'MF PF'!A:B,2)</f>
        <v>Coinv</v>
      </c>
      <c r="AI4892" s="358">
        <f t="shared" si="669"/>
        <v>0</v>
      </c>
      <c r="AJ4892" s="94">
        <f t="shared" si="670"/>
        <v>42978</v>
      </c>
    </row>
    <row r="4893" spans="1:36">
      <c r="A4893" s="8">
        <v>43007</v>
      </c>
      <c r="B4893" s="94" t="s">
        <v>82</v>
      </c>
      <c r="C4893" s="6" t="s">
        <v>297</v>
      </c>
      <c r="D4893" s="98">
        <v>14350536.189999999</v>
      </c>
      <c r="E4893" s="95">
        <f t="shared" si="671"/>
        <v>14350536.189999999</v>
      </c>
      <c r="F4893" s="98"/>
      <c r="G4893" s="98"/>
      <c r="H4893" s="98">
        <v>0</v>
      </c>
      <c r="I4893" s="98">
        <v>-211680.5</v>
      </c>
      <c r="J4893" s="98"/>
      <c r="K4893" s="7">
        <v>1</v>
      </c>
      <c r="L4893" s="93">
        <f t="shared" si="666"/>
        <v>-211680.5</v>
      </c>
      <c r="M4893" s="95">
        <f t="shared" ca="1" si="667"/>
        <v>-211680.5</v>
      </c>
      <c r="N4893" s="95">
        <f>IF(P4893="Hedge Fund",IF(A4893=Summary!$AD$3,M4893-E4893,M4893),IF(A4893=Summary!$AD$3,L4893-D4893,L4893))</f>
        <v>-211680.5</v>
      </c>
      <c r="O4893" s="95"/>
      <c r="P4893" s="107" t="s">
        <v>155</v>
      </c>
      <c r="Q4893" s="107">
        <v>5.2388741666666667E-3</v>
      </c>
      <c r="R4893" s="107">
        <v>0.56834859999999998</v>
      </c>
      <c r="S4893" s="107">
        <v>0</v>
      </c>
      <c r="T4893" s="107">
        <v>0</v>
      </c>
      <c r="U4893" s="107"/>
      <c r="V4893" s="107"/>
      <c r="W4893" s="107"/>
      <c r="X4893" s="107"/>
      <c r="Y4893" s="107"/>
      <c r="Z4893" s="107"/>
      <c r="AA4893" s="107"/>
      <c r="AB4893" s="107"/>
      <c r="AF4893" s="94">
        <f t="shared" si="668"/>
        <v>43007</v>
      </c>
      <c r="AG4893" s="185">
        <f t="shared" ref="AG4893:AG4909" si="672">IF(C4893&lt;&gt;C4892,D4893/G4893-1,(D4893-G4893-I4893-H4893)/(D4892)-1)</f>
        <v>1.2671536161335206E-2</v>
      </c>
      <c r="AH4893" s="339" t="str">
        <f>VLOOKUP(B4893,'MF PF'!A:B,2)</f>
        <v>Coinv</v>
      </c>
      <c r="AI4893" s="358">
        <f t="shared" si="669"/>
        <v>0</v>
      </c>
      <c r="AJ4893" s="94">
        <f t="shared" si="670"/>
        <v>43008</v>
      </c>
    </row>
    <row r="4894" spans="1:36">
      <c r="A4894" s="8">
        <v>43039</v>
      </c>
      <c r="B4894" s="94" t="s">
        <v>82</v>
      </c>
      <c r="C4894" s="6" t="s">
        <v>297</v>
      </c>
      <c r="D4894" s="98">
        <v>14407976.119999999</v>
      </c>
      <c r="E4894" s="95">
        <f t="shared" si="671"/>
        <v>14407976.119999999</v>
      </c>
      <c r="F4894" s="98"/>
      <c r="G4894" s="98"/>
      <c r="H4894" s="98">
        <v>0</v>
      </c>
      <c r="I4894" s="98">
        <v>-144079.96</v>
      </c>
      <c r="J4894" s="98"/>
      <c r="K4894" s="7">
        <v>1</v>
      </c>
      <c r="L4894" s="93">
        <f t="shared" si="666"/>
        <v>-144079.96</v>
      </c>
      <c r="M4894" s="95">
        <f t="shared" ca="1" si="667"/>
        <v>-144079.96</v>
      </c>
      <c r="N4894" s="95">
        <f>IF(P4894="Hedge Fund",IF(A4894=Summary!$AD$3,M4894-E4894,M4894),IF(A4894=Summary!$AD$3,L4894-D4894,L4894))</f>
        <v>-144079.96</v>
      </c>
      <c r="O4894" s="95"/>
      <c r="P4894" s="107" t="s">
        <v>155</v>
      </c>
      <c r="Q4894" s="107">
        <v>5.7808266666666665E-3</v>
      </c>
      <c r="R4894" s="107">
        <v>0.56834859999999998</v>
      </c>
      <c r="S4894" s="107">
        <v>0</v>
      </c>
      <c r="T4894" s="107">
        <v>0</v>
      </c>
      <c r="U4894" s="107"/>
      <c r="V4894" s="107"/>
      <c r="W4894" s="107"/>
      <c r="X4894" s="107"/>
      <c r="Y4894" s="107"/>
      <c r="Z4894" s="107"/>
      <c r="AA4894" s="107"/>
      <c r="AB4894" s="107"/>
      <c r="AF4894" s="94">
        <f t="shared" si="668"/>
        <v>43039</v>
      </c>
      <c r="AG4894" s="185">
        <f t="shared" si="672"/>
        <v>1.4042673202721678E-2</v>
      </c>
      <c r="AH4894" s="339" t="str">
        <f>VLOOKUP(B4894,'MF PF'!A:B,2)</f>
        <v>Coinv</v>
      </c>
      <c r="AI4894" s="358">
        <f t="shared" si="669"/>
        <v>0</v>
      </c>
      <c r="AJ4894" s="94">
        <f t="shared" si="670"/>
        <v>43039</v>
      </c>
    </row>
    <row r="4895" spans="1:36">
      <c r="A4895" s="8">
        <v>43069</v>
      </c>
      <c r="B4895" s="94" t="s">
        <v>82</v>
      </c>
      <c r="C4895" s="6" t="s">
        <v>297</v>
      </c>
      <c r="D4895" s="98">
        <v>14385290.359999999</v>
      </c>
      <c r="E4895" s="95">
        <f t="shared" si="671"/>
        <v>14385290.359999999</v>
      </c>
      <c r="F4895" s="98"/>
      <c r="G4895" s="98"/>
      <c r="H4895" s="98">
        <v>0</v>
      </c>
      <c r="I4895" s="98">
        <v>-211680.49</v>
      </c>
      <c r="J4895" s="98"/>
      <c r="K4895" s="7">
        <v>1</v>
      </c>
      <c r="L4895" s="93">
        <f t="shared" si="666"/>
        <v>-211680.49</v>
      </c>
      <c r="M4895" s="95">
        <f t="shared" ca="1" si="667"/>
        <v>-211680.49</v>
      </c>
      <c r="N4895" s="95">
        <f>IF(P4895="Hedge Fund",IF(A4895=Summary!$AD$3,M4895-E4895,M4895),IF(A4895=Summary!$AD$3,L4895-D4895,L4895))</f>
        <v>-211680.49</v>
      </c>
      <c r="O4895" s="95"/>
      <c r="P4895" s="107" t="s">
        <v>155</v>
      </c>
      <c r="Q4895" s="107">
        <v>5.4195249999999997E-3</v>
      </c>
      <c r="R4895" s="107">
        <v>0.56834859999999998</v>
      </c>
      <c r="S4895" s="107">
        <v>0</v>
      </c>
      <c r="T4895" s="107">
        <v>0</v>
      </c>
      <c r="U4895" s="107"/>
      <c r="V4895" s="107"/>
      <c r="W4895" s="107"/>
      <c r="X4895" s="107"/>
      <c r="Y4895" s="107"/>
      <c r="Z4895" s="107"/>
      <c r="AA4895" s="107"/>
      <c r="AB4895" s="107"/>
      <c r="AF4895" s="94">
        <f t="shared" si="668"/>
        <v>43069</v>
      </c>
      <c r="AG4895" s="185">
        <f t="shared" si="672"/>
        <v>1.3117368353883663E-2</v>
      </c>
      <c r="AH4895" s="339" t="str">
        <f>VLOOKUP(B4895,'MF PF'!A:B,2)</f>
        <v>Coinv</v>
      </c>
      <c r="AI4895" s="358">
        <f t="shared" si="669"/>
        <v>0</v>
      </c>
      <c r="AJ4895" s="94">
        <f t="shared" si="670"/>
        <v>43069</v>
      </c>
    </row>
    <row r="4896" spans="1:36">
      <c r="A4896" s="8">
        <v>43098</v>
      </c>
      <c r="B4896" s="94" t="s">
        <v>82</v>
      </c>
      <c r="C4896" s="6" t="s">
        <v>297</v>
      </c>
      <c r="D4896" s="98">
        <v>13793911.74</v>
      </c>
      <c r="E4896" s="95">
        <f t="shared" si="671"/>
        <v>13793911.74</v>
      </c>
      <c r="F4896" s="98"/>
      <c r="G4896" s="98"/>
      <c r="H4896" s="98">
        <v>0</v>
      </c>
      <c r="I4896" s="98">
        <v>-704838.91</v>
      </c>
      <c r="J4896" s="98"/>
      <c r="K4896" s="7">
        <v>1</v>
      </c>
      <c r="L4896" s="93">
        <f t="shared" si="666"/>
        <v>-704838.91</v>
      </c>
      <c r="M4896" s="95">
        <f t="shared" ca="1" si="667"/>
        <v>-704838.91</v>
      </c>
      <c r="N4896" s="95">
        <f>IF(P4896="Hedge Fund",IF(A4896=Summary!$AD$3,M4896-E4896,M4896),IF(A4896=Summary!$AD$3,L4896-D4896,L4896))</f>
        <v>-704838.91</v>
      </c>
      <c r="O4896" s="95"/>
      <c r="P4896" s="107" t="s">
        <v>155</v>
      </c>
      <c r="Q4896" s="107">
        <v>5.2388741666666667E-3</v>
      </c>
      <c r="R4896" s="107">
        <v>0.67098701000000005</v>
      </c>
      <c r="S4896" s="107">
        <v>0</v>
      </c>
      <c r="T4896" s="107">
        <v>0</v>
      </c>
      <c r="U4896" s="107"/>
      <c r="V4896" s="107"/>
      <c r="W4896" s="107"/>
      <c r="X4896" s="107"/>
      <c r="Y4896" s="107"/>
      <c r="Z4896" s="107"/>
      <c r="AA4896" s="107"/>
      <c r="AB4896" s="107"/>
      <c r="AF4896" s="94">
        <f t="shared" si="668"/>
        <v>43098</v>
      </c>
      <c r="AG4896" s="185">
        <f t="shared" si="672"/>
        <v>7.8872436468497842E-3</v>
      </c>
      <c r="AH4896" s="339" t="str">
        <f>VLOOKUP(B4896,'MF PF'!A:B,2)</f>
        <v>Coinv</v>
      </c>
      <c r="AI4896" s="358">
        <f t="shared" si="669"/>
        <v>0</v>
      </c>
      <c r="AJ4896" s="94">
        <f t="shared" si="670"/>
        <v>43100</v>
      </c>
    </row>
    <row r="4897" spans="1:36">
      <c r="A4897" s="8">
        <v>43131</v>
      </c>
      <c r="B4897" s="94" t="s">
        <v>82</v>
      </c>
      <c r="C4897" s="6" t="s">
        <v>297</v>
      </c>
      <c r="D4897" s="98">
        <v>13852986.49</v>
      </c>
      <c r="E4897" s="95">
        <f t="shared" si="671"/>
        <v>13852986.49</v>
      </c>
      <c r="F4897" s="98"/>
      <c r="G4897" s="98"/>
      <c r="H4897" s="98">
        <v>0</v>
      </c>
      <c r="I4897" s="98">
        <v>-138969.21</v>
      </c>
      <c r="J4897" s="98"/>
      <c r="K4897" s="7">
        <v>1</v>
      </c>
      <c r="L4897" s="93">
        <f t="shared" si="666"/>
        <v>-138969.21</v>
      </c>
      <c r="M4897" s="95">
        <f t="shared" ca="1" si="667"/>
        <v>-138969.21</v>
      </c>
      <c r="N4897" s="95">
        <f>IF(P4897="Hedge Fund",IF(A4897=Summary!$AD$3,M4897-E4897,M4897),IF(A4897=Summary!$AD$3,L4897-D4897,L4897))</f>
        <v>-138969.21</v>
      </c>
      <c r="O4897" s="95"/>
      <c r="P4897" s="107" t="s">
        <v>155</v>
      </c>
      <c r="Q4897" s="107">
        <v>5.9614775000000004E-3</v>
      </c>
      <c r="R4897" s="107">
        <v>0.67098701000000005</v>
      </c>
      <c r="S4897" s="107">
        <v>0</v>
      </c>
      <c r="T4897" s="107">
        <v>0</v>
      </c>
      <c r="U4897" s="107"/>
      <c r="V4897" s="107"/>
      <c r="W4897" s="107"/>
      <c r="X4897" s="107"/>
      <c r="Y4897" s="107"/>
      <c r="Z4897" s="107"/>
      <c r="AA4897" s="107"/>
      <c r="AB4897" s="107"/>
      <c r="AF4897" s="94">
        <f t="shared" si="668"/>
        <v>43131</v>
      </c>
      <c r="AG4897" s="185">
        <f t="shared" si="672"/>
        <v>1.4357345743028604E-2</v>
      </c>
      <c r="AH4897" s="339" t="str">
        <f>VLOOKUP(B4897,'MF PF'!A:B,2)</f>
        <v>Coinv</v>
      </c>
      <c r="AI4897" s="358">
        <f t="shared" si="669"/>
        <v>0</v>
      </c>
      <c r="AJ4897" s="94">
        <f t="shared" si="670"/>
        <v>43131</v>
      </c>
    </row>
    <row r="4898" spans="1:36">
      <c r="A4898" s="8">
        <v>43159</v>
      </c>
      <c r="B4898" s="94" t="s">
        <v>82</v>
      </c>
      <c r="C4898" s="6" t="s">
        <v>297</v>
      </c>
      <c r="D4898" s="98">
        <v>13825486.93</v>
      </c>
      <c r="E4898" s="95">
        <f t="shared" si="671"/>
        <v>13825486.93</v>
      </c>
      <c r="F4898" s="98"/>
      <c r="G4898" s="98"/>
      <c r="H4898" s="98">
        <v>0</v>
      </c>
      <c r="I4898" s="98">
        <v>-139553.93</v>
      </c>
      <c r="J4898" s="98"/>
      <c r="K4898" s="7">
        <v>1</v>
      </c>
      <c r="L4898" s="93">
        <f t="shared" si="666"/>
        <v>-139553.93</v>
      </c>
      <c r="M4898" s="95">
        <f t="shared" ca="1" si="667"/>
        <v>-139553.93</v>
      </c>
      <c r="N4898" s="95">
        <f>IF(P4898="Hedge Fund",IF(A4898=Summary!$AD$3,M4898-E4898,M4898),IF(A4898=Summary!$AD$3,L4898-D4898,L4898))</f>
        <v>-139553.93</v>
      </c>
      <c r="O4898" s="95"/>
      <c r="P4898" s="107" t="s">
        <v>155</v>
      </c>
      <c r="Q4898" s="107">
        <v>5.0582233333333329E-3</v>
      </c>
      <c r="R4898" s="107">
        <v>0.67098701000000005</v>
      </c>
      <c r="S4898" s="107">
        <v>0</v>
      </c>
      <c r="T4898" s="107">
        <v>0</v>
      </c>
      <c r="U4898" s="107"/>
      <c r="V4898" s="107"/>
      <c r="W4898" s="107"/>
      <c r="X4898" s="107"/>
      <c r="Y4898" s="107"/>
      <c r="Z4898" s="107"/>
      <c r="AA4898" s="107"/>
      <c r="AB4898" s="107"/>
      <c r="AF4898" s="94">
        <f t="shared" si="668"/>
        <v>43159</v>
      </c>
      <c r="AG4898" s="185">
        <f t="shared" si="672"/>
        <v>8.0888240294529901E-3</v>
      </c>
      <c r="AH4898" s="339" t="str">
        <f>VLOOKUP(B4898,'MF PF'!A:B,2)</f>
        <v>Coinv</v>
      </c>
      <c r="AI4898" s="358">
        <f t="shared" si="669"/>
        <v>0</v>
      </c>
      <c r="AJ4898" s="94">
        <f t="shared" si="670"/>
        <v>43159</v>
      </c>
    </row>
    <row r="4899" spans="1:36">
      <c r="A4899" s="8">
        <v>43188</v>
      </c>
      <c r="B4899" s="94" t="s">
        <v>82</v>
      </c>
      <c r="C4899" s="6" t="s">
        <v>297</v>
      </c>
      <c r="D4899" s="110">
        <v>14058249.32</v>
      </c>
      <c r="E4899" s="95">
        <f t="shared" si="671"/>
        <v>14058249.32</v>
      </c>
      <c r="F4899" s="98"/>
      <c r="G4899" s="98"/>
      <c r="H4899" s="98">
        <v>0</v>
      </c>
      <c r="I4899" s="110">
        <v>-205021.35</v>
      </c>
      <c r="J4899" s="110"/>
      <c r="K4899" s="7">
        <v>1</v>
      </c>
      <c r="L4899" s="93">
        <f t="shared" si="666"/>
        <v>-205021.35</v>
      </c>
      <c r="M4899" s="95">
        <f t="shared" ca="1" si="667"/>
        <v>-205021.35</v>
      </c>
      <c r="N4899" s="95">
        <f>IF(P4899="Hedge Fund",IF(A4899=Summary!$AD$3,M4899-E4899,M4899),IF(A4899=Summary!$AD$3,L4899-D4899,L4899))</f>
        <v>-205021.35</v>
      </c>
      <c r="O4899" s="95"/>
      <c r="P4899" s="107" t="s">
        <v>155</v>
      </c>
      <c r="Q4899" s="109">
        <f t="shared" ref="Q4899:Q4909" si="673">15*0.5%/12*86.7124%*29/30</f>
        <v>5.2388741666666667E-3</v>
      </c>
      <c r="R4899" s="109">
        <f>670987.01/10^6</f>
        <v>0.67098701000000005</v>
      </c>
      <c r="S4899" s="107">
        <v>0</v>
      </c>
      <c r="T4899" s="107">
        <v>0</v>
      </c>
      <c r="U4899" s="107"/>
      <c r="V4899" s="107"/>
      <c r="W4899" s="107"/>
      <c r="X4899" s="107"/>
      <c r="Y4899" s="107"/>
      <c r="Z4899" s="107"/>
      <c r="AA4899" s="107"/>
      <c r="AB4899" s="107"/>
      <c r="AF4899" s="94">
        <f t="shared" si="668"/>
        <v>43188</v>
      </c>
      <c r="AG4899" s="185">
        <f t="shared" si="672"/>
        <v>3.1664978037775349E-2</v>
      </c>
      <c r="AH4899" s="339" t="str">
        <f>VLOOKUP(B4899,'MF PF'!A:B,2)</f>
        <v>Coinv</v>
      </c>
      <c r="AI4899" s="358">
        <f t="shared" si="669"/>
        <v>0</v>
      </c>
      <c r="AJ4899" s="94">
        <f t="shared" si="670"/>
        <v>43190</v>
      </c>
    </row>
    <row r="4900" spans="1:36">
      <c r="A4900" s="8">
        <v>43220</v>
      </c>
      <c r="B4900" s="94" t="s">
        <v>82</v>
      </c>
      <c r="C4900" s="6" t="s">
        <v>297</v>
      </c>
      <c r="D4900" s="110">
        <v>14058249.32</v>
      </c>
      <c r="E4900" s="95">
        <f t="shared" si="671"/>
        <v>14058249.32</v>
      </c>
      <c r="F4900" s="98"/>
      <c r="G4900" s="98"/>
      <c r="H4900" s="98">
        <v>0</v>
      </c>
      <c r="I4900" s="110">
        <v>-139164.12</v>
      </c>
      <c r="J4900" s="110"/>
      <c r="K4900" s="7">
        <v>1</v>
      </c>
      <c r="L4900" s="93">
        <f t="shared" si="666"/>
        <v>-139164.12</v>
      </c>
      <c r="M4900" s="95">
        <f t="shared" ca="1" si="667"/>
        <v>-139164.12</v>
      </c>
      <c r="N4900" s="95">
        <f>IF(P4900="Hedge Fund",IF(A4900=Summary!$AD$3,M4900-E4900,M4900),IF(A4900=Summary!$AD$3,L4900-D4900,L4900))</f>
        <v>-139164.12</v>
      </c>
      <c r="O4900" s="95"/>
      <c r="P4900" s="107" t="s">
        <v>155</v>
      </c>
      <c r="Q4900" s="109">
        <f t="shared" si="673"/>
        <v>5.2388741666666667E-3</v>
      </c>
      <c r="R4900" s="109">
        <f>670937.43/10^6</f>
        <v>0.67093743000000006</v>
      </c>
      <c r="S4900" s="107">
        <v>0</v>
      </c>
      <c r="T4900" s="107">
        <v>0</v>
      </c>
      <c r="U4900" s="107"/>
      <c r="V4900" s="107"/>
      <c r="W4900" s="107"/>
      <c r="X4900" s="107"/>
      <c r="Y4900" s="107"/>
      <c r="Z4900" s="107"/>
      <c r="AA4900" s="107"/>
      <c r="AB4900" s="107"/>
      <c r="AF4900" s="94">
        <f t="shared" si="668"/>
        <v>43220</v>
      </c>
      <c r="AG4900" s="185">
        <f t="shared" si="672"/>
        <v>9.8991074089158637E-3</v>
      </c>
      <c r="AH4900" s="339" t="str">
        <f>VLOOKUP(B4900,'MF PF'!A:B,2)</f>
        <v>Coinv</v>
      </c>
      <c r="AI4900" s="358">
        <f t="shared" si="669"/>
        <v>0</v>
      </c>
      <c r="AJ4900" s="94">
        <f t="shared" si="670"/>
        <v>43220</v>
      </c>
    </row>
    <row r="4901" spans="1:36">
      <c r="A4901" s="8">
        <v>43251</v>
      </c>
      <c r="B4901" s="6" t="s">
        <v>82</v>
      </c>
      <c r="C4901" s="6" t="s">
        <v>297</v>
      </c>
      <c r="D4901" s="110">
        <v>13895942.915481418</v>
      </c>
      <c r="E4901" s="95">
        <f t="shared" si="671"/>
        <v>13895942.915481418</v>
      </c>
      <c r="F4901" s="98"/>
      <c r="G4901" s="98"/>
      <c r="H4901" s="98">
        <v>0</v>
      </c>
      <c r="I4901" s="110">
        <v>-343126.61</v>
      </c>
      <c r="J4901" s="110"/>
      <c r="K4901" s="7">
        <v>1</v>
      </c>
      <c r="L4901" s="93">
        <f t="shared" si="666"/>
        <v>-343126.61</v>
      </c>
      <c r="M4901" s="95">
        <f t="shared" ca="1" si="667"/>
        <v>-343126.61</v>
      </c>
      <c r="N4901" s="95">
        <f>IF(P4901="Hedge Fund",IF(A4901=Summary!$AD$3,M4901-E4901,M4901),IF(A4901=Summary!$AD$3,L4901-D4901,L4901))</f>
        <v>-343126.61</v>
      </c>
      <c r="O4901" s="95"/>
      <c r="P4901" s="107" t="s">
        <v>155</v>
      </c>
      <c r="Q4901" s="109">
        <f t="shared" si="673"/>
        <v>5.2388741666666667E-3</v>
      </c>
      <c r="R4901" s="109">
        <f>670937.43/10^6</f>
        <v>0.67093743000000006</v>
      </c>
      <c r="S4901" s="107">
        <v>0</v>
      </c>
      <c r="T4901" s="107">
        <v>0</v>
      </c>
      <c r="U4901" s="107"/>
      <c r="V4901" s="107"/>
      <c r="W4901" s="107"/>
      <c r="X4901" s="107"/>
      <c r="Y4901" s="107"/>
      <c r="Z4901" s="107"/>
      <c r="AA4901" s="107"/>
      <c r="AB4901" s="107"/>
      <c r="AF4901" s="94">
        <f t="shared" si="668"/>
        <v>43251</v>
      </c>
      <c r="AG4901" s="185">
        <f t="shared" si="672"/>
        <v>1.2862213591857019E-2</v>
      </c>
      <c r="AH4901" s="339" t="str">
        <f>VLOOKUP(B4901,'MF PF'!A:B,2)</f>
        <v>Coinv</v>
      </c>
      <c r="AI4901" s="358">
        <f t="shared" si="669"/>
        <v>0</v>
      </c>
      <c r="AJ4901" s="94">
        <f t="shared" si="670"/>
        <v>43251</v>
      </c>
    </row>
    <row r="4902" spans="1:36">
      <c r="A4902" s="8">
        <v>43280</v>
      </c>
      <c r="B4902" s="6" t="s">
        <v>82</v>
      </c>
      <c r="C4902" s="6" t="s">
        <v>297</v>
      </c>
      <c r="D4902" s="110">
        <v>14025870.263168195</v>
      </c>
      <c r="E4902" s="95">
        <f t="shared" si="671"/>
        <v>14025870.263168195</v>
      </c>
      <c r="F4902" s="98"/>
      <c r="G4902" s="98"/>
      <c r="H4902" s="98">
        <v>0</v>
      </c>
      <c r="I4902" s="110"/>
      <c r="J4902" s="110"/>
      <c r="K4902" s="7">
        <v>1</v>
      </c>
      <c r="L4902" s="93">
        <f t="shared" si="666"/>
        <v>0</v>
      </c>
      <c r="M4902" s="95">
        <f t="shared" ca="1" si="667"/>
        <v>0</v>
      </c>
      <c r="N4902" s="95">
        <f>IF(P4902="Hedge Fund",IF(A4902=Summary!$AD$3,M4902-E4902,M4902),IF(A4902=Summary!$AD$3,L4902-D4902,L4902))</f>
        <v>0</v>
      </c>
      <c r="O4902" s="95"/>
      <c r="P4902" s="107" t="s">
        <v>155</v>
      </c>
      <c r="Q4902" s="109">
        <f t="shared" si="673"/>
        <v>5.2388741666666667E-3</v>
      </c>
      <c r="R4902" s="109">
        <f>774024.130442449/10^6</f>
        <v>0.774024130442449</v>
      </c>
      <c r="S4902" s="107">
        <v>0</v>
      </c>
      <c r="T4902" s="107">
        <v>0</v>
      </c>
      <c r="U4902" s="107"/>
      <c r="V4902" s="107"/>
      <c r="W4902" s="107"/>
      <c r="X4902" s="107"/>
      <c r="Y4902" s="107"/>
      <c r="Z4902" s="107"/>
      <c r="AA4902" s="107"/>
      <c r="AB4902" s="107"/>
      <c r="AF4902" s="94">
        <f t="shared" si="668"/>
        <v>43280</v>
      </c>
      <c r="AG4902" s="185">
        <f t="shared" si="672"/>
        <v>9.3500202524599008E-3</v>
      </c>
      <c r="AH4902" s="339" t="str">
        <f>VLOOKUP(B4902,'MF PF'!A:B,2)</f>
        <v>Coinv</v>
      </c>
      <c r="AI4902" s="358">
        <f t="shared" si="669"/>
        <v>0</v>
      </c>
      <c r="AJ4902" s="94">
        <f t="shared" si="670"/>
        <v>43281</v>
      </c>
    </row>
    <row r="4903" spans="1:36">
      <c r="A4903" s="8">
        <v>43312</v>
      </c>
      <c r="B4903" s="6" t="s">
        <v>82</v>
      </c>
      <c r="C4903" s="6" t="s">
        <v>297</v>
      </c>
      <c r="D4903" s="110">
        <v>13868327.043732878</v>
      </c>
      <c r="E4903" s="95">
        <f>D4903/K4903</f>
        <v>13868327.043732878</v>
      </c>
      <c r="F4903" s="98"/>
      <c r="G4903" s="98"/>
      <c r="H4903" s="98">
        <v>0</v>
      </c>
      <c r="I4903" s="110">
        <v>-343622.32</v>
      </c>
      <c r="J4903" s="110"/>
      <c r="K4903" s="7">
        <v>1</v>
      </c>
      <c r="L4903" s="93">
        <f t="shared" si="666"/>
        <v>-343622.32</v>
      </c>
      <c r="M4903" s="95">
        <f t="shared" ca="1" si="667"/>
        <v>-343622.32</v>
      </c>
      <c r="N4903" s="95">
        <f>IF(P4903="Hedge Fund",IF(A4903=Summary!$AD$3,M4903-E4903,M4903),IF(A4903=Summary!$AD$3,L4903-D4903,L4903))</f>
        <v>-343622.32</v>
      </c>
      <c r="O4903" s="95"/>
      <c r="P4903" s="107" t="s">
        <v>155</v>
      </c>
      <c r="Q4903" s="109">
        <f t="shared" si="673"/>
        <v>5.2388741666666667E-3</v>
      </c>
      <c r="R4903" s="109">
        <f>774024.130442449/10^6</f>
        <v>0.774024130442449</v>
      </c>
      <c r="S4903" s="107">
        <v>0</v>
      </c>
      <c r="T4903" s="107">
        <v>0</v>
      </c>
      <c r="U4903" s="107"/>
      <c r="V4903" s="107"/>
      <c r="W4903" s="107"/>
      <c r="X4903" s="107"/>
      <c r="Y4903" s="107"/>
      <c r="Z4903" s="107"/>
      <c r="AA4903" s="107"/>
      <c r="AB4903" s="107"/>
      <c r="AF4903" s="94">
        <f t="shared" si="668"/>
        <v>43312</v>
      </c>
      <c r="AG4903" s="185">
        <f t="shared" si="672"/>
        <v>1.3266848835278733E-2</v>
      </c>
      <c r="AH4903" s="339" t="str">
        <f>VLOOKUP(B4903,'MF PF'!A:B,2)</f>
        <v>Coinv</v>
      </c>
      <c r="AI4903" s="358">
        <f t="shared" si="669"/>
        <v>0</v>
      </c>
      <c r="AJ4903" s="94">
        <f t="shared" si="670"/>
        <v>43312</v>
      </c>
    </row>
    <row r="4904" spans="1:36">
      <c r="A4904" s="8">
        <v>43343</v>
      </c>
      <c r="B4904" s="6" t="s">
        <v>82</v>
      </c>
      <c r="C4904" s="6" t="s">
        <v>297</v>
      </c>
      <c r="D4904" s="110">
        <v>13835310.430643592</v>
      </c>
      <c r="E4904" s="95">
        <f>D4904/K4904</f>
        <v>13835310.430643592</v>
      </c>
      <c r="F4904" s="98"/>
      <c r="G4904" s="98"/>
      <c r="H4904" s="98">
        <v>0</v>
      </c>
      <c r="I4904" s="110">
        <v>-209135.99</v>
      </c>
      <c r="J4904" s="110"/>
      <c r="K4904" s="7">
        <v>1</v>
      </c>
      <c r="L4904" s="93">
        <f t="shared" si="666"/>
        <v>-209135.99</v>
      </c>
      <c r="M4904" s="95">
        <f t="shared" ca="1" si="667"/>
        <v>-209135.99</v>
      </c>
      <c r="N4904" s="95">
        <f>IF(P4904="Hedge Fund",IF(A4904=Summary!$AD$3,M4904-E4904,M4904),IF(A4904=Summary!$AD$3,L4904-D4904,L4904))</f>
        <v>-209135.99</v>
      </c>
      <c r="O4904" s="95"/>
      <c r="P4904" s="107" t="s">
        <v>155</v>
      </c>
      <c r="Q4904" s="109">
        <f t="shared" si="673"/>
        <v>5.2388741666666667E-3</v>
      </c>
      <c r="R4904" s="109">
        <f>773024.441442449/10^6</f>
        <v>0.77302444144244897</v>
      </c>
      <c r="S4904" s="107">
        <v>0</v>
      </c>
      <c r="T4904" s="107">
        <v>0</v>
      </c>
      <c r="U4904" s="107"/>
      <c r="V4904" s="107"/>
      <c r="W4904" s="107"/>
      <c r="X4904" s="107"/>
      <c r="Y4904" s="107"/>
      <c r="Z4904" s="107"/>
      <c r="AA4904" s="107"/>
      <c r="AB4904" s="107"/>
      <c r="AF4904" s="94">
        <f t="shared" si="668"/>
        <v>43343</v>
      </c>
      <c r="AG4904" s="185">
        <f t="shared" si="672"/>
        <v>1.2699395994580476E-2</v>
      </c>
      <c r="AH4904" s="339" t="str">
        <f>VLOOKUP(B4904,'MF PF'!A:B,2)</f>
        <v>Coinv</v>
      </c>
      <c r="AI4904" s="358">
        <f t="shared" si="669"/>
        <v>0</v>
      </c>
      <c r="AJ4904" s="94">
        <f t="shared" si="670"/>
        <v>43343</v>
      </c>
    </row>
    <row r="4905" spans="1:36">
      <c r="A4905" s="8">
        <v>43371</v>
      </c>
      <c r="B4905" s="6" t="s">
        <v>82</v>
      </c>
      <c r="C4905" s="6" t="s">
        <v>297</v>
      </c>
      <c r="D4905" s="110">
        <v>13621237.322509421</v>
      </c>
      <c r="E4905" s="95">
        <f>IF(K4905="","",D4905/K4905)</f>
        <v>13621237.322509421</v>
      </c>
      <c r="F4905" s="98"/>
      <c r="G4905" s="98"/>
      <c r="H4905" s="98">
        <v>0</v>
      </c>
      <c r="I4905" s="110">
        <v>-379670.12</v>
      </c>
      <c r="J4905" s="110"/>
      <c r="K4905" s="7">
        <v>1</v>
      </c>
      <c r="L4905" s="93">
        <f t="shared" si="666"/>
        <v>-379670.12</v>
      </c>
      <c r="M4905" s="95">
        <f t="shared" ca="1" si="667"/>
        <v>-379670.12</v>
      </c>
      <c r="N4905" s="95">
        <f>IF(P4905="Hedge Fund",IF(A4905=Summary!$AD$3,M4905-E4905,M4905),IF(A4905=Summary!$AD$3,L4905-D4905,L4905))</f>
        <v>-379670.12</v>
      </c>
      <c r="O4905" s="95"/>
      <c r="P4905" s="107" t="s">
        <v>155</v>
      </c>
      <c r="Q4905" s="109">
        <f t="shared" si="673"/>
        <v>5.2388741666666667E-3</v>
      </c>
      <c r="R4905" s="109">
        <f>773024.441442449/10^6</f>
        <v>0.77302444144244897</v>
      </c>
      <c r="S4905" s="107">
        <v>0</v>
      </c>
      <c r="T4905" s="107">
        <v>0</v>
      </c>
      <c r="U4905" s="107"/>
      <c r="V4905" s="107"/>
      <c r="W4905" s="107"/>
      <c r="X4905" s="107"/>
      <c r="Y4905" s="107"/>
      <c r="Z4905" s="107"/>
      <c r="AA4905" s="107"/>
      <c r="AB4905" s="107"/>
      <c r="AF4905" s="94">
        <f t="shared" si="668"/>
        <v>43371</v>
      </c>
      <c r="AG4905" s="185">
        <f t="shared" si="672"/>
        <v>1.1969157663354713E-2</v>
      </c>
      <c r="AH4905" s="339" t="str">
        <f>VLOOKUP(B4905,'MF PF'!A:B,2)</f>
        <v>Coinv</v>
      </c>
      <c r="AI4905" s="358">
        <f t="shared" si="669"/>
        <v>0</v>
      </c>
      <c r="AJ4905" s="94">
        <f t="shared" si="670"/>
        <v>43373</v>
      </c>
    </row>
    <row r="4906" spans="1:36" s="358" customFormat="1">
      <c r="A4906" s="94">
        <v>43404</v>
      </c>
      <c r="B4906" s="358" t="s">
        <v>82</v>
      </c>
      <c r="C4906" s="358" t="s">
        <v>297</v>
      </c>
      <c r="D4906" s="93">
        <v>13608544.490167269</v>
      </c>
      <c r="E4906" s="95">
        <f>IF(K4906="","",D4906/K4906)</f>
        <v>13608544.490167269</v>
      </c>
      <c r="F4906" s="93"/>
      <c r="G4906" s="93"/>
      <c r="H4906" s="93"/>
      <c r="I4906" s="93">
        <v>-206872.98</v>
      </c>
      <c r="J4906" s="93"/>
      <c r="K4906" s="93">
        <v>1</v>
      </c>
      <c r="L4906" s="93">
        <f t="shared" si="666"/>
        <v>-206872.98</v>
      </c>
      <c r="M4906" s="95">
        <f t="shared" ca="1" si="667"/>
        <v>-206872.98</v>
      </c>
      <c r="N4906" s="95">
        <f>IF(P4906="Hedge Fund",IF(A4906=Summary!$AD$3,M4906-E4906,M4906),IF(A4906=Summary!$AD$3,L4906-D4906,L4906))</f>
        <v>-206872.98</v>
      </c>
      <c r="O4906" s="95"/>
      <c r="P4906" s="95" t="s">
        <v>155</v>
      </c>
      <c r="Q4906" s="109">
        <f t="shared" si="673"/>
        <v>5.2388741666666667E-3</v>
      </c>
      <c r="R4906" s="109">
        <v>0.77305576784740704</v>
      </c>
      <c r="S4906" s="95"/>
      <c r="T4906" s="95"/>
      <c r="U4906" s="95"/>
      <c r="V4906" s="95"/>
      <c r="W4906" s="95"/>
      <c r="X4906" s="95"/>
      <c r="Y4906" s="95"/>
      <c r="Z4906" s="95"/>
      <c r="AA4906" s="95"/>
      <c r="AB4906" s="95"/>
      <c r="AF4906" s="94">
        <f t="shared" si="668"/>
        <v>43404</v>
      </c>
      <c r="AG4906" s="185">
        <f t="shared" si="672"/>
        <v>1.425569080548672E-2</v>
      </c>
      <c r="AH4906" s="339" t="str">
        <f>VLOOKUP(B4906,'MF PF'!A:B,2)</f>
        <v>Coinv</v>
      </c>
      <c r="AI4906" s="358">
        <f t="shared" si="669"/>
        <v>0</v>
      </c>
      <c r="AJ4906" s="94">
        <f t="shared" si="670"/>
        <v>43404</v>
      </c>
    </row>
    <row r="4907" spans="1:36">
      <c r="A4907" s="8">
        <v>43434</v>
      </c>
      <c r="B4907" s="6" t="s">
        <v>82</v>
      </c>
      <c r="C4907" s="6" t="s">
        <v>297</v>
      </c>
      <c r="D4907" s="7">
        <v>13786878.914138872</v>
      </c>
      <c r="E4907" s="95">
        <f>IF(K4907="","",D4907/K4907)</f>
        <v>13786878.914138872</v>
      </c>
      <c r="F4907" s="93"/>
      <c r="K4907" s="7">
        <v>1</v>
      </c>
      <c r="L4907" s="93">
        <f t="shared" si="666"/>
        <v>0</v>
      </c>
      <c r="M4907" s="95">
        <f t="shared" ca="1" si="667"/>
        <v>0</v>
      </c>
      <c r="N4907" s="95">
        <f>IF(P4907="Hedge Fund",IF(A4907=Summary!$AD$3,M4907-E4907,M4907),IF(A4907=Summary!$AD$3,L4907-D4907,L4907))</f>
        <v>0</v>
      </c>
      <c r="O4907" s="95"/>
      <c r="P4907" s="9" t="s">
        <v>155</v>
      </c>
      <c r="Q4907" s="109">
        <f t="shared" si="673"/>
        <v>5.2388741666666667E-3</v>
      </c>
      <c r="R4907" s="109">
        <f>773055.767847407/10^6</f>
        <v>0.77305576784740704</v>
      </c>
      <c r="AF4907" s="94">
        <f t="shared" si="668"/>
        <v>43434</v>
      </c>
      <c r="AG4907" s="185">
        <f t="shared" si="672"/>
        <v>1.3104592052475272E-2</v>
      </c>
      <c r="AH4907" s="339" t="str">
        <f>VLOOKUP(B4907,'MF PF'!A:B,2)</f>
        <v>Coinv</v>
      </c>
      <c r="AI4907" s="358">
        <f t="shared" si="669"/>
        <v>0</v>
      </c>
      <c r="AJ4907" s="94">
        <f t="shared" si="670"/>
        <v>43434</v>
      </c>
    </row>
    <row r="4908" spans="1:36">
      <c r="A4908" s="8">
        <v>43465</v>
      </c>
      <c r="B4908" s="6" t="s">
        <v>82</v>
      </c>
      <c r="C4908" s="6" t="s">
        <v>297</v>
      </c>
      <c r="D4908" s="7">
        <v>13736298.593401488</v>
      </c>
      <c r="E4908" s="95">
        <f>IF(K4908="","",D4908/K4908)</f>
        <v>13736298.593401488</v>
      </c>
      <c r="F4908" s="93"/>
      <c r="I4908" s="7">
        <f>-131919.57-71454.84</f>
        <v>-203374.41</v>
      </c>
      <c r="K4908" s="7">
        <v>1</v>
      </c>
      <c r="L4908" s="93">
        <f t="shared" si="666"/>
        <v>-203374.41</v>
      </c>
      <c r="M4908" s="95">
        <f t="shared" ca="1" si="667"/>
        <v>-203374.41</v>
      </c>
      <c r="N4908" s="95">
        <f>IF(P4908="Hedge Fund",IF(A4908=Summary!$AD$3,M4908-E4908,M4908),IF(A4908=Summary!$AD$3,L4908-D4908,L4908))</f>
        <v>-203374.41</v>
      </c>
      <c r="O4908" s="95"/>
      <c r="P4908" s="9" t="s">
        <v>155</v>
      </c>
      <c r="Q4908" s="109">
        <f t="shared" si="673"/>
        <v>5.2388741666666667E-3</v>
      </c>
      <c r="R4908" s="109">
        <f>872372.225904963/10^6</f>
        <v>0.87237222590496299</v>
      </c>
      <c r="AF4908" s="94">
        <f t="shared" si="668"/>
        <v>43465</v>
      </c>
      <c r="AG4908" s="185">
        <f t="shared" si="672"/>
        <v>1.1082572800862112E-2</v>
      </c>
      <c r="AH4908" s="339" t="str">
        <f>VLOOKUP(B4908,'MF PF'!A:B,2)</f>
        <v>Coinv</v>
      </c>
      <c r="AI4908" s="358">
        <f t="shared" si="669"/>
        <v>0</v>
      </c>
      <c r="AJ4908" s="94">
        <f t="shared" si="670"/>
        <v>43465</v>
      </c>
    </row>
    <row r="4909" spans="1:36">
      <c r="A4909" s="8">
        <v>43496</v>
      </c>
      <c r="B4909" s="6" t="s">
        <v>82</v>
      </c>
      <c r="C4909" s="6" t="s">
        <v>297</v>
      </c>
      <c r="D4909" s="7">
        <v>13636236.025671065</v>
      </c>
      <c r="E4909" s="95">
        <f>IF(K4909="","",D4909/K4909)</f>
        <v>13636236.025671065</v>
      </c>
      <c r="F4909" s="93"/>
      <c r="I4909" s="7">
        <v>-282569.57</v>
      </c>
      <c r="K4909" s="7">
        <v>1</v>
      </c>
      <c r="L4909" s="93">
        <f t="shared" si="666"/>
        <v>-282569.57</v>
      </c>
      <c r="M4909" s="95">
        <f t="shared" ca="1" si="667"/>
        <v>-282569.57</v>
      </c>
      <c r="N4909" s="95">
        <f>IF(P4909="Hedge Fund",IF(A4909=Summary!$AD$3,M4909-E4909,M4909),IF(A4909=Summary!$AD$3,L4909-D4909,L4909))</f>
        <v>-13918805.595671065</v>
      </c>
      <c r="O4909" s="95"/>
      <c r="P4909" s="9" t="s">
        <v>155</v>
      </c>
      <c r="Q4909" s="109">
        <f t="shared" si="673"/>
        <v>5.2388741666666667E-3</v>
      </c>
      <c r="R4909" s="109">
        <f>872372.225904963/10^6</f>
        <v>0.87237222590496299</v>
      </c>
      <c r="AF4909" s="94">
        <f t="shared" si="668"/>
        <v>43496</v>
      </c>
      <c r="AG4909" s="185">
        <f t="shared" si="672"/>
        <v>1.3286476049468643E-2</v>
      </c>
      <c r="AH4909" s="339" t="str">
        <f>VLOOKUP(B4909,'MF PF'!A:B,2)</f>
        <v>Coinv</v>
      </c>
      <c r="AI4909" s="358">
        <f t="shared" si="669"/>
        <v>0</v>
      </c>
      <c r="AJ4909" s="94">
        <f t="shared" si="670"/>
        <v>43496</v>
      </c>
    </row>
    <row r="4910" spans="1:36">
      <c r="A4910" s="8">
        <v>43524</v>
      </c>
      <c r="B4910" s="6" t="s">
        <v>0</v>
      </c>
      <c r="C4910" s="6" t="s">
        <v>297</v>
      </c>
      <c r="D4910" s="7">
        <v>119757802.66433504</v>
      </c>
      <c r="E4910" s="9">
        <v>509.90800000000002</v>
      </c>
      <c r="F4910" s="7">
        <v>0</v>
      </c>
      <c r="G4910" s="7">
        <v>0</v>
      </c>
      <c r="H4910" s="7">
        <v>0</v>
      </c>
      <c r="I4910" s="7">
        <v>0</v>
      </c>
      <c r="K4910" s="7">
        <v>234861.57829999999</v>
      </c>
      <c r="P4910" s="9" t="s">
        <v>139</v>
      </c>
      <c r="Q4910" s="9">
        <v>0</v>
      </c>
      <c r="R4910" s="9">
        <v>0</v>
      </c>
      <c r="AF4910" s="94"/>
      <c r="AG4910" s="185"/>
      <c r="AI4910" s="358"/>
      <c r="AJ4910" s="94"/>
    </row>
    <row r="4911" spans="1:36">
      <c r="A4911" s="8">
        <v>43524</v>
      </c>
      <c r="B4911" s="6" t="s">
        <v>83</v>
      </c>
      <c r="C4911" s="6" t="s">
        <v>297</v>
      </c>
      <c r="P4911" s="9" t="s">
        <v>155</v>
      </c>
    </row>
    <row r="4912" spans="1:36">
      <c r="A4912" s="8">
        <v>43524</v>
      </c>
      <c r="B4912" s="6" t="s">
        <v>136</v>
      </c>
      <c r="C4912" s="6" t="s">
        <v>299</v>
      </c>
      <c r="D4912" s="7">
        <v>31866518.580000002</v>
      </c>
      <c r="F4912" s="7">
        <v>2.9649999999999999E-5</v>
      </c>
      <c r="G4912" s="7">
        <v>0</v>
      </c>
      <c r="H4912" s="7">
        <v>0</v>
      </c>
      <c r="I4912" s="7">
        <v>6499717.782491276</v>
      </c>
      <c r="K4912" s="7">
        <v>0</v>
      </c>
      <c r="P4912" s="9" t="s">
        <v>155</v>
      </c>
      <c r="Q4912" s="9">
        <v>0</v>
      </c>
      <c r="R4912" s="9">
        <v>0</v>
      </c>
    </row>
    <row r="4913" spans="1:18">
      <c r="A4913" s="8">
        <v>43524</v>
      </c>
      <c r="B4913" s="6" t="s">
        <v>136</v>
      </c>
      <c r="C4913" s="6" t="s">
        <v>300</v>
      </c>
      <c r="D4913" s="7">
        <v>6383931.7000000002</v>
      </c>
      <c r="F4913" s="7">
        <v>5.0000000000000004E-6</v>
      </c>
      <c r="G4913" s="7">
        <v>0</v>
      </c>
      <c r="H4913" s="7">
        <v>0</v>
      </c>
      <c r="I4913" s="7">
        <v>1397369.319488582</v>
      </c>
      <c r="K4913" s="7">
        <v>0</v>
      </c>
      <c r="P4913" s="9" t="s">
        <v>155</v>
      </c>
      <c r="Q4913" s="9">
        <v>0</v>
      </c>
      <c r="R4913" s="9">
        <v>0</v>
      </c>
    </row>
    <row r="4914" spans="1:18">
      <c r="A4914" s="8">
        <v>43524</v>
      </c>
      <c r="B4914" s="6" t="s">
        <v>136</v>
      </c>
      <c r="C4914" s="6" t="s">
        <v>343</v>
      </c>
      <c r="D4914" s="7">
        <v>10669450.029899999</v>
      </c>
      <c r="F4914" s="7">
        <v>3.0000000000000009E-6</v>
      </c>
      <c r="G4914" s="7">
        <v>0</v>
      </c>
      <c r="H4914" s="7">
        <v>0</v>
      </c>
      <c r="I4914" s="7">
        <v>648299.35349171329</v>
      </c>
      <c r="K4914" s="7">
        <v>0</v>
      </c>
      <c r="P4914" s="9" t="s">
        <v>155</v>
      </c>
      <c r="Q4914" s="9">
        <v>0</v>
      </c>
      <c r="R4914" s="9">
        <v>0</v>
      </c>
    </row>
    <row r="4915" spans="1:18">
      <c r="A4915" s="8">
        <v>43524</v>
      </c>
      <c r="B4915" s="6" t="s">
        <v>136</v>
      </c>
      <c r="C4915" s="6" t="s">
        <v>301</v>
      </c>
      <c r="D4915" s="7">
        <v>9912779.1287999991</v>
      </c>
      <c r="F4915" s="7">
        <v>1.06E-5</v>
      </c>
      <c r="G4915" s="7">
        <v>0</v>
      </c>
      <c r="H4915" s="7">
        <v>0</v>
      </c>
      <c r="I4915" s="7">
        <v>2290657.7156707207</v>
      </c>
      <c r="K4915" s="7">
        <v>0</v>
      </c>
      <c r="P4915" s="9" t="s">
        <v>155</v>
      </c>
      <c r="Q4915" s="9">
        <v>0</v>
      </c>
      <c r="R4915" s="9">
        <v>0.87427865118233927</v>
      </c>
    </row>
    <row r="4916" spans="1:18">
      <c r="A4916" s="8">
        <v>43524</v>
      </c>
      <c r="B4916" s="6" t="s">
        <v>136</v>
      </c>
      <c r="C4916" s="6" t="s">
        <v>302</v>
      </c>
      <c r="D4916" s="7">
        <v>12022439.048599999</v>
      </c>
      <c r="F4916" s="7">
        <v>1.2500000000000001E-5</v>
      </c>
      <c r="G4916" s="7">
        <v>0</v>
      </c>
      <c r="H4916" s="7">
        <v>0</v>
      </c>
      <c r="I4916" s="7">
        <v>2701247.3062154725</v>
      </c>
      <c r="K4916" s="7">
        <v>0</v>
      </c>
      <c r="P4916" s="9" t="s">
        <v>155</v>
      </c>
      <c r="Q4916" s="9">
        <v>0</v>
      </c>
      <c r="R4916" s="9">
        <v>0.84206071139609673</v>
      </c>
    </row>
    <row r="4917" spans="1:18">
      <c r="A4917" s="8">
        <v>43524</v>
      </c>
      <c r="B4917" s="6" t="s">
        <v>136</v>
      </c>
      <c r="C4917" s="6" t="s">
        <v>303</v>
      </c>
      <c r="D4917" s="7">
        <v>4944411.4968999997</v>
      </c>
      <c r="F4917" s="7">
        <v>5.0000000000000004E-6</v>
      </c>
      <c r="G4917" s="7">
        <v>0</v>
      </c>
      <c r="H4917" s="7">
        <v>0</v>
      </c>
      <c r="I4917" s="7">
        <v>1080498.9224861888</v>
      </c>
      <c r="K4917" s="7">
        <v>0</v>
      </c>
      <c r="P4917" s="9" t="s">
        <v>155</v>
      </c>
      <c r="Q4917" s="9">
        <v>0</v>
      </c>
      <c r="R4917" s="9">
        <v>0.22656353311895913</v>
      </c>
    </row>
    <row r="4918" spans="1:18">
      <c r="A4918" s="8">
        <v>43524</v>
      </c>
      <c r="B4918" s="6" t="s">
        <v>136</v>
      </c>
      <c r="C4918" s="6" t="s">
        <v>304</v>
      </c>
      <c r="D4918" s="7">
        <v>1567793.3910999999</v>
      </c>
      <c r="F4918" s="7">
        <v>1.3879999999999999E-6</v>
      </c>
      <c r="G4918" s="7">
        <v>0</v>
      </c>
      <c r="H4918" s="7">
        <v>0</v>
      </c>
      <c r="I4918" s="7">
        <v>387909.72309003037</v>
      </c>
      <c r="K4918" s="7">
        <v>0</v>
      </c>
      <c r="P4918" s="9" t="s">
        <v>155</v>
      </c>
      <c r="Q4918" s="9">
        <v>2.0874222692926661E-3</v>
      </c>
      <c r="R4918" s="9">
        <v>0.12325057889925219</v>
      </c>
    </row>
    <row r="4919" spans="1:18">
      <c r="A4919" s="8">
        <v>43524</v>
      </c>
      <c r="B4919" s="6" t="s">
        <v>136</v>
      </c>
      <c r="C4919" s="6" t="s">
        <v>305</v>
      </c>
      <c r="D4919" s="7">
        <v>8931922.4499999993</v>
      </c>
      <c r="F4919" s="7">
        <v>5.3600000000000004E-6</v>
      </c>
      <c r="G4919" s="7">
        <v>0</v>
      </c>
      <c r="H4919" s="7">
        <v>0</v>
      </c>
      <c r="I4919" s="7">
        <v>0</v>
      </c>
      <c r="K4919" s="7">
        <v>0</v>
      </c>
      <c r="P4919" s="9" t="s">
        <v>155</v>
      </c>
      <c r="Q4919" s="9">
        <v>0</v>
      </c>
      <c r="R4919" s="9">
        <v>0</v>
      </c>
    </row>
    <row r="4920" spans="1:18">
      <c r="A4920" s="8">
        <v>43524</v>
      </c>
      <c r="B4920" s="6" t="s">
        <v>136</v>
      </c>
      <c r="C4920" s="6" t="s">
        <v>306</v>
      </c>
      <c r="D4920" s="7">
        <v>4000045.4530000002</v>
      </c>
      <c r="F4920" s="7">
        <v>2.6299999999999998E-6</v>
      </c>
      <c r="G4920" s="7">
        <v>0</v>
      </c>
      <c r="H4920" s="7">
        <v>0</v>
      </c>
      <c r="I4920" s="7">
        <v>0</v>
      </c>
      <c r="K4920" s="7">
        <v>0</v>
      </c>
      <c r="P4920" s="9" t="s">
        <v>155</v>
      </c>
      <c r="Q4920" s="9">
        <v>1.0309954525183499E-2</v>
      </c>
      <c r="R4920" s="9">
        <v>0.24177272699999997</v>
      </c>
    </row>
    <row r="4921" spans="1:18">
      <c r="A4921" s="8">
        <v>43524</v>
      </c>
      <c r="B4921" s="6" t="s">
        <v>136</v>
      </c>
      <c r="C4921" s="6" t="s">
        <v>307</v>
      </c>
      <c r="D4921" s="7">
        <v>4250702.5650000004</v>
      </c>
      <c r="F4921" s="7">
        <v>2.7999999999999999E-6</v>
      </c>
      <c r="G4921" s="7">
        <v>0</v>
      </c>
      <c r="H4921" s="7">
        <v>0</v>
      </c>
      <c r="I4921" s="7">
        <v>0</v>
      </c>
      <c r="K4921" s="7">
        <v>0</v>
      </c>
      <c r="P4921" s="9" t="s">
        <v>155</v>
      </c>
      <c r="Q4921" s="9">
        <v>1.0953784875627601E-2</v>
      </c>
      <c r="R4921" s="9">
        <v>0.25600633500000003</v>
      </c>
    </row>
    <row r="4922" spans="1:18">
      <c r="A4922" s="8">
        <v>43524</v>
      </c>
      <c r="B4922" s="6" t="s">
        <v>136</v>
      </c>
      <c r="C4922" s="6" t="s">
        <v>308</v>
      </c>
      <c r="D4922" s="7">
        <v>8018758.6864999998</v>
      </c>
      <c r="F4922" s="7">
        <v>5.2000000000000002E-6</v>
      </c>
      <c r="G4922" s="7">
        <v>0</v>
      </c>
      <c r="H4922" s="7">
        <v>0</v>
      </c>
      <c r="I4922" s="7">
        <v>0</v>
      </c>
      <c r="K4922" s="7">
        <v>0</v>
      </c>
      <c r="P4922" s="9" t="s">
        <v>155</v>
      </c>
      <c r="Q4922" s="9">
        <v>1.1026972192880893E-2</v>
      </c>
      <c r="R4922" s="9">
        <v>0.49742800349999988</v>
      </c>
    </row>
    <row r="4923" spans="1:18">
      <c r="A4923" s="8">
        <v>43524</v>
      </c>
      <c r="B4923" s="6" t="s">
        <v>136</v>
      </c>
      <c r="C4923" s="6" t="s">
        <v>309</v>
      </c>
      <c r="D4923" s="7">
        <v>10339501.75</v>
      </c>
      <c r="F4923" s="7">
        <v>6.7699999999999996E-6</v>
      </c>
      <c r="G4923" s="7">
        <v>0</v>
      </c>
      <c r="H4923" s="7">
        <v>0</v>
      </c>
      <c r="I4923" s="7">
        <v>0</v>
      </c>
      <c r="K4923" s="7">
        <v>0</v>
      </c>
      <c r="P4923" s="9" t="s">
        <v>155</v>
      </c>
      <c r="Q4923" s="9">
        <v>0</v>
      </c>
      <c r="R4923" s="9">
        <v>0</v>
      </c>
    </row>
    <row r="4924" spans="1:18">
      <c r="A4924" s="8">
        <v>43524</v>
      </c>
      <c r="B4924" s="6" t="s">
        <v>136</v>
      </c>
      <c r="C4924" s="6" t="s">
        <v>310</v>
      </c>
      <c r="D4924" s="7">
        <v>3771143.4479999999</v>
      </c>
      <c r="F4924" s="7">
        <v>2.6699999999999998E-6</v>
      </c>
      <c r="G4924" s="7">
        <v>0</v>
      </c>
      <c r="H4924" s="7">
        <v>0</v>
      </c>
      <c r="I4924" s="7">
        <v>0</v>
      </c>
      <c r="K4924" s="7">
        <v>0</v>
      </c>
      <c r="P4924" s="9" t="s">
        <v>155</v>
      </c>
      <c r="Q4924" s="9">
        <v>9.6382589239621536E-3</v>
      </c>
      <c r="R4924" s="9">
        <v>0.19431943199999996</v>
      </c>
    </row>
    <row r="4925" spans="1:18">
      <c r="A4925" s="8">
        <v>43524</v>
      </c>
      <c r="B4925" s="6" t="s">
        <v>136</v>
      </c>
      <c r="C4925" s="6" t="s">
        <v>311</v>
      </c>
      <c r="D4925" s="7">
        <v>2497210.42</v>
      </c>
      <c r="F4925" s="7">
        <v>1.75E-6</v>
      </c>
      <c r="G4925" s="7">
        <v>0</v>
      </c>
      <c r="H4925" s="7">
        <v>0</v>
      </c>
      <c r="I4925" s="7">
        <v>502925.34753421688</v>
      </c>
      <c r="K4925" s="7">
        <v>0</v>
      </c>
      <c r="P4925" s="9" t="s">
        <v>155</v>
      </c>
      <c r="Q4925" s="9">
        <v>0</v>
      </c>
      <c r="R4925" s="9">
        <v>0</v>
      </c>
    </row>
    <row r="4926" spans="1:18">
      <c r="A4926" s="8">
        <v>43524</v>
      </c>
      <c r="B4926" s="6" t="s">
        <v>136</v>
      </c>
      <c r="C4926" s="6" t="s">
        <v>312</v>
      </c>
      <c r="D4926" s="7">
        <v>31004409.116499998</v>
      </c>
      <c r="F4926" s="7">
        <v>2.1999999999999999E-5</v>
      </c>
      <c r="G4926" s="7">
        <v>0</v>
      </c>
      <c r="H4926" s="7">
        <v>0</v>
      </c>
      <c r="I4926" s="7">
        <v>0</v>
      </c>
      <c r="K4926" s="7">
        <v>0</v>
      </c>
      <c r="P4926" s="9" t="s">
        <v>155</v>
      </c>
      <c r="Q4926" s="9">
        <v>7.9219968719529341E-2</v>
      </c>
      <c r="R4926" s="9">
        <v>1.5890133735000003</v>
      </c>
    </row>
    <row r="4927" spans="1:18">
      <c r="A4927" s="8">
        <v>43524</v>
      </c>
      <c r="B4927" s="6" t="s">
        <v>136</v>
      </c>
      <c r="C4927" s="6" t="s">
        <v>313</v>
      </c>
      <c r="D4927" s="7">
        <v>7138306.1294999998</v>
      </c>
      <c r="F4927" s="7">
        <v>5.0000000000000004E-6</v>
      </c>
      <c r="G4927" s="7">
        <v>0</v>
      </c>
      <c r="H4927" s="7">
        <v>0</v>
      </c>
      <c r="I4927" s="7">
        <v>0</v>
      </c>
      <c r="K4927" s="7">
        <v>0</v>
      </c>
      <c r="P4927" s="9" t="s">
        <v>155</v>
      </c>
      <c r="Q4927" s="9">
        <v>9.7314577033424474E-3</v>
      </c>
      <c r="R4927" s="9">
        <v>0.37734814049999993</v>
      </c>
    </row>
    <row r="4928" spans="1:18">
      <c r="A4928" s="8">
        <v>43524</v>
      </c>
      <c r="B4928" s="6" t="s">
        <v>136</v>
      </c>
      <c r="C4928" s="6" t="s">
        <v>314</v>
      </c>
      <c r="D4928" s="7">
        <v>1414737.8395</v>
      </c>
      <c r="F4928" s="7">
        <v>9.9999999999999995E-7</v>
      </c>
      <c r="G4928" s="7">
        <v>0</v>
      </c>
      <c r="H4928" s="7">
        <v>0</v>
      </c>
      <c r="I4928" s="7">
        <v>0</v>
      </c>
      <c r="K4928" s="7">
        <v>0</v>
      </c>
      <c r="P4928" s="9" t="s">
        <v>155</v>
      </c>
      <c r="Q4928" s="9">
        <v>3.3748361811757554E-3</v>
      </c>
      <c r="R4928" s="9">
        <v>7.3189030500000002E-2</v>
      </c>
    </row>
    <row r="4929" spans="1:18">
      <c r="A4929" s="8">
        <v>43524</v>
      </c>
      <c r="B4929" s="6" t="s">
        <v>136</v>
      </c>
      <c r="C4929" s="6" t="s">
        <v>315</v>
      </c>
      <c r="D4929" s="7">
        <v>8039105.4000000004</v>
      </c>
      <c r="F4929" s="7">
        <v>5.7980000000000002E-6</v>
      </c>
      <c r="G4929" s="7">
        <v>0</v>
      </c>
      <c r="H4929" s="7">
        <v>0</v>
      </c>
      <c r="I4929" s="7">
        <v>0</v>
      </c>
      <c r="K4929" s="7">
        <v>0</v>
      </c>
      <c r="P4929" s="9" t="s">
        <v>155</v>
      </c>
      <c r="Q4929" s="9">
        <v>0</v>
      </c>
      <c r="R4929" s="9">
        <v>0</v>
      </c>
    </row>
    <row r="4930" spans="1:18">
      <c r="A4930" s="8">
        <v>43524</v>
      </c>
      <c r="B4930" s="6" t="s">
        <v>136</v>
      </c>
      <c r="C4930" s="6" t="s">
        <v>350</v>
      </c>
      <c r="D4930" s="7">
        <v>3466327.08</v>
      </c>
      <c r="F4930" s="7">
        <v>2.5000000000000002E-6</v>
      </c>
      <c r="G4930" s="7">
        <v>0</v>
      </c>
      <c r="H4930" s="7">
        <v>0</v>
      </c>
      <c r="I4930" s="7">
        <v>0</v>
      </c>
      <c r="K4930" s="7">
        <v>0</v>
      </c>
      <c r="P4930" s="9" t="s">
        <v>155</v>
      </c>
      <c r="Q4930" s="9">
        <v>0</v>
      </c>
      <c r="R4930" s="9">
        <v>0</v>
      </c>
    </row>
    <row r="4931" spans="1:18">
      <c r="A4931" s="8">
        <v>43524</v>
      </c>
      <c r="B4931" s="6" t="s">
        <v>136</v>
      </c>
      <c r="C4931" s="6" t="s">
        <v>316</v>
      </c>
      <c r="D4931" s="7">
        <v>267703.565</v>
      </c>
      <c r="F4931" s="7">
        <v>2.05E-7</v>
      </c>
      <c r="G4931" s="7">
        <v>0</v>
      </c>
      <c r="H4931" s="7">
        <v>0</v>
      </c>
      <c r="I4931" s="7">
        <v>0</v>
      </c>
      <c r="K4931" s="7">
        <v>0</v>
      </c>
      <c r="P4931" s="9" t="s">
        <v>155</v>
      </c>
      <c r="Q4931" s="9">
        <v>6.7756197274419382E-4</v>
      </c>
      <c r="R4931" s="9">
        <v>1.1065335000000003E-2</v>
      </c>
    </row>
    <row r="4932" spans="1:18">
      <c r="A4932" s="8">
        <v>43524</v>
      </c>
      <c r="B4932" s="6" t="s">
        <v>136</v>
      </c>
      <c r="C4932" s="6" t="s">
        <v>317</v>
      </c>
      <c r="D4932" s="7">
        <v>6677722.3959999997</v>
      </c>
      <c r="F4932" s="7">
        <v>5.0000000000000004E-6</v>
      </c>
      <c r="G4932" s="7">
        <v>0</v>
      </c>
      <c r="H4932" s="7">
        <v>0</v>
      </c>
      <c r="I4932" s="7">
        <v>0</v>
      </c>
      <c r="K4932" s="7">
        <v>0</v>
      </c>
      <c r="P4932" s="9" t="s">
        <v>155</v>
      </c>
      <c r="Q4932" s="9">
        <v>1.104780513661691E-2</v>
      </c>
      <c r="R4932" s="9">
        <v>0.14588890399999999</v>
      </c>
    </row>
    <row r="4933" spans="1:18">
      <c r="A4933" s="8">
        <v>43524</v>
      </c>
      <c r="B4933" s="6" t="s">
        <v>136</v>
      </c>
      <c r="C4933" s="6" t="s">
        <v>318</v>
      </c>
      <c r="D4933" s="7">
        <v>6512685.5765000004</v>
      </c>
      <c r="F4933" s="7">
        <v>5.0000000000000004E-6</v>
      </c>
      <c r="G4933" s="7">
        <v>0</v>
      </c>
      <c r="H4933" s="7">
        <v>0</v>
      </c>
      <c r="I4933" s="7">
        <v>0</v>
      </c>
      <c r="K4933" s="7">
        <v>0</v>
      </c>
      <c r="P4933" s="9" t="s">
        <v>155</v>
      </c>
      <c r="Q4933" s="9">
        <v>1.6478235251219164E-2</v>
      </c>
      <c r="R4933" s="9">
        <v>0.26694451349999992</v>
      </c>
    </row>
    <row r="4934" spans="1:18">
      <c r="A4934" s="8">
        <v>43524</v>
      </c>
      <c r="B4934" s="6" t="s">
        <v>136</v>
      </c>
      <c r="C4934" s="6" t="s">
        <v>319</v>
      </c>
      <c r="D4934" s="7">
        <v>784422.27300000004</v>
      </c>
      <c r="F4934" s="7">
        <v>5.9999999999999997E-7</v>
      </c>
      <c r="G4934" s="7">
        <v>0</v>
      </c>
      <c r="H4934" s="7">
        <v>0</v>
      </c>
      <c r="I4934" s="7">
        <v>0</v>
      </c>
      <c r="K4934" s="7">
        <v>0</v>
      </c>
      <c r="P4934" s="9" t="s">
        <v>155</v>
      </c>
      <c r="Q4934" s="9">
        <v>1.8530017428375972E-3</v>
      </c>
      <c r="R4934" s="9">
        <v>3.2545106999999997E-2</v>
      </c>
    </row>
    <row r="4935" spans="1:18">
      <c r="A4935" s="8">
        <v>43524</v>
      </c>
      <c r="B4935" s="6" t="s">
        <v>136</v>
      </c>
      <c r="C4935" s="6" t="s">
        <v>340</v>
      </c>
      <c r="D4935" s="7">
        <v>6529365.4665000001</v>
      </c>
      <c r="F4935" s="7">
        <v>5.0000000000000004E-6</v>
      </c>
      <c r="G4935" s="7">
        <v>0</v>
      </c>
      <c r="H4935" s="7">
        <v>0</v>
      </c>
      <c r="I4935" s="7">
        <v>0</v>
      </c>
      <c r="K4935" s="7">
        <v>0</v>
      </c>
      <c r="P4935" s="9" t="s">
        <v>155</v>
      </c>
      <c r="Q4935" s="9">
        <v>1.6525930916930137E-2</v>
      </c>
      <c r="R4935" s="9">
        <v>0.26988802350000002</v>
      </c>
    </row>
    <row r="4936" spans="1:18">
      <c r="A4936" s="8">
        <v>43524</v>
      </c>
      <c r="B4936" s="6" t="s">
        <v>136</v>
      </c>
      <c r="C4936" s="6" t="s">
        <v>320</v>
      </c>
      <c r="D4936" s="7">
        <v>25058.68</v>
      </c>
      <c r="F4936" s="7">
        <v>2E-8</v>
      </c>
      <c r="G4936" s="7">
        <v>0</v>
      </c>
      <c r="H4936" s="7">
        <v>0</v>
      </c>
      <c r="I4936" s="7">
        <v>5589.4772779543273</v>
      </c>
      <c r="K4936" s="7">
        <v>0</v>
      </c>
      <c r="P4936" s="9" t="s">
        <v>155</v>
      </c>
      <c r="Q4936" s="9">
        <v>0</v>
      </c>
      <c r="R4936" s="9">
        <v>0</v>
      </c>
    </row>
    <row r="4937" spans="1:18">
      <c r="A4937" s="8">
        <v>43524</v>
      </c>
      <c r="B4937" s="6" t="s">
        <v>136</v>
      </c>
      <c r="C4937" s="6" t="s">
        <v>321</v>
      </c>
      <c r="D4937" s="7">
        <v>2947743.5797000001</v>
      </c>
      <c r="F4937" s="7">
        <v>2.5000000000000002E-6</v>
      </c>
      <c r="G4937" s="7">
        <v>0</v>
      </c>
      <c r="H4937" s="7">
        <v>0</v>
      </c>
      <c r="I4937" s="7">
        <v>698684.65974429087</v>
      </c>
      <c r="K4937" s="7">
        <v>0</v>
      </c>
      <c r="P4937" s="9" t="s">
        <v>155</v>
      </c>
      <c r="Q4937" s="9">
        <v>1.8873335130526021E-3</v>
      </c>
      <c r="R4937" s="9">
        <v>0.11204345034010461</v>
      </c>
    </row>
    <row r="4938" spans="1:18">
      <c r="A4938" s="8">
        <v>43524</v>
      </c>
      <c r="B4938" s="6" t="s">
        <v>136</v>
      </c>
      <c r="C4938" s="6" t="s">
        <v>322</v>
      </c>
      <c r="D4938" s="7">
        <v>412204.09</v>
      </c>
      <c r="F4938" s="7">
        <v>2.4999999999999999E-7</v>
      </c>
      <c r="G4938" s="7">
        <v>0</v>
      </c>
      <c r="H4938" s="7">
        <v>0</v>
      </c>
      <c r="I4938" s="7">
        <v>0</v>
      </c>
      <c r="K4938" s="7">
        <v>0</v>
      </c>
      <c r="P4938" s="9" t="s">
        <v>155</v>
      </c>
      <c r="Q4938" s="9">
        <v>0</v>
      </c>
      <c r="R4938" s="9">
        <v>0</v>
      </c>
    </row>
    <row r="4939" spans="1:18">
      <c r="A4939" s="8">
        <v>43524</v>
      </c>
      <c r="B4939" s="6" t="s">
        <v>136</v>
      </c>
      <c r="C4939" s="6" t="s">
        <v>323</v>
      </c>
      <c r="D4939" s="7">
        <v>2255591.5455</v>
      </c>
      <c r="F4939" s="7">
        <v>1.5E-6</v>
      </c>
      <c r="G4939" s="7">
        <v>0</v>
      </c>
      <c r="H4939" s="7">
        <v>0</v>
      </c>
      <c r="I4939" s="7">
        <v>0</v>
      </c>
      <c r="K4939" s="7">
        <v>0</v>
      </c>
      <c r="P4939" s="9" t="s">
        <v>155</v>
      </c>
      <c r="Q4939" s="9">
        <v>5.8064186807881219E-3</v>
      </c>
      <c r="R4939" s="9">
        <v>0.1333396845</v>
      </c>
    </row>
    <row r="4940" spans="1:18">
      <c r="A4940" s="8">
        <v>43524</v>
      </c>
      <c r="B4940" s="6" t="s">
        <v>136</v>
      </c>
      <c r="C4940" s="6" t="s">
        <v>324</v>
      </c>
      <c r="D4940" s="7">
        <v>28701945.104499999</v>
      </c>
      <c r="F4940" s="7">
        <v>2.2050000000000001E-5</v>
      </c>
      <c r="G4940" s="7">
        <v>0</v>
      </c>
      <c r="H4940" s="7">
        <v>0</v>
      </c>
      <c r="I4940" s="7">
        <v>0</v>
      </c>
      <c r="K4940" s="7">
        <v>0</v>
      </c>
      <c r="P4940" s="9" t="s">
        <v>155</v>
      </c>
      <c r="Q4940" s="9">
        <v>7.2614692397071093E-2</v>
      </c>
      <c r="R4940" s="9">
        <v>1.1738726654999998</v>
      </c>
    </row>
    <row r="4941" spans="1:18">
      <c r="A4941" s="8">
        <v>43524</v>
      </c>
      <c r="B4941" s="6" t="s">
        <v>175</v>
      </c>
      <c r="C4941" s="6" t="s">
        <v>298</v>
      </c>
      <c r="D4941" s="7">
        <v>25315697.1732</v>
      </c>
      <c r="F4941" s="7">
        <v>18.439024</v>
      </c>
      <c r="H4941" s="7">
        <v>0</v>
      </c>
      <c r="I4941" s="7">
        <v>0</v>
      </c>
      <c r="K4941" s="7">
        <v>0</v>
      </c>
      <c r="P4941" s="9" t="s">
        <v>155</v>
      </c>
      <c r="Q4941" s="9">
        <v>0</v>
      </c>
      <c r="R4941" s="9">
        <v>0</v>
      </c>
    </row>
    <row r="4942" spans="1:18">
      <c r="A4942" s="8">
        <v>43524</v>
      </c>
      <c r="B4942" s="6" t="s">
        <v>175</v>
      </c>
      <c r="C4942" s="6" t="s">
        <v>299</v>
      </c>
      <c r="D4942" s="7">
        <v>18371877.197500002</v>
      </c>
      <c r="F4942" s="7">
        <v>15</v>
      </c>
      <c r="H4942" s="7">
        <v>0</v>
      </c>
      <c r="I4942" s="7">
        <v>0</v>
      </c>
      <c r="K4942" s="7">
        <v>0</v>
      </c>
      <c r="P4942" s="9" t="s">
        <v>155</v>
      </c>
      <c r="Q4942" s="9">
        <v>0.11805673183342361</v>
      </c>
      <c r="R4942" s="9">
        <v>0.59503715250000022</v>
      </c>
    </row>
    <row r="4943" spans="1:18">
      <c r="A4943" s="8">
        <v>43524</v>
      </c>
      <c r="B4943" s="6" t="s">
        <v>175</v>
      </c>
      <c r="C4943" s="6" t="s">
        <v>300</v>
      </c>
      <c r="D4943" s="7">
        <v>1223846.7350000001</v>
      </c>
      <c r="F4943" s="7">
        <v>1</v>
      </c>
      <c r="H4943" s="7">
        <v>0</v>
      </c>
      <c r="I4943" s="7">
        <v>0</v>
      </c>
      <c r="K4943" s="7">
        <v>0</v>
      </c>
      <c r="P4943" s="9" t="s">
        <v>155</v>
      </c>
      <c r="Q4943" s="9">
        <v>7.8588461453155904E-3</v>
      </c>
      <c r="R4943" s="9">
        <v>3.9502365000000011E-2</v>
      </c>
    </row>
    <row r="4944" spans="1:18">
      <c r="A4944" s="8">
        <v>43524</v>
      </c>
      <c r="B4944" s="6" t="s">
        <v>175</v>
      </c>
      <c r="C4944" s="6" t="s">
        <v>301</v>
      </c>
      <c r="D4944" s="7">
        <v>36731749.359999999</v>
      </c>
      <c r="F4944" s="7">
        <v>28.810976</v>
      </c>
      <c r="H4944" s="7">
        <v>0</v>
      </c>
      <c r="I4944" s="7">
        <v>0</v>
      </c>
      <c r="K4944" s="7">
        <v>0</v>
      </c>
      <c r="P4944" s="9" t="s">
        <v>155</v>
      </c>
      <c r="Q4944" s="9">
        <v>0</v>
      </c>
      <c r="R4944" s="9">
        <v>0</v>
      </c>
    </row>
    <row r="4945" spans="1:18">
      <c r="A4945" s="8">
        <v>43524</v>
      </c>
      <c r="B4945" s="6" t="s">
        <v>175</v>
      </c>
      <c r="C4945" s="6" t="s">
        <v>302</v>
      </c>
      <c r="D4945" s="7">
        <v>345808.07500000001</v>
      </c>
      <c r="F4945" s="7">
        <v>0.28799999999999998</v>
      </c>
      <c r="H4945" s="7">
        <v>0</v>
      </c>
      <c r="I4945" s="7">
        <v>0</v>
      </c>
      <c r="K4945" s="7">
        <v>0</v>
      </c>
      <c r="P4945" s="9" t="s">
        <v>155</v>
      </c>
      <c r="Q4945" s="9">
        <v>2.1728943677925346E-3</v>
      </c>
      <c r="R4945" s="9">
        <v>1.0201425E-2</v>
      </c>
    </row>
    <row r="4946" spans="1:18">
      <c r="A4946" s="8">
        <v>43524</v>
      </c>
      <c r="B4946" s="6" t="s">
        <v>175</v>
      </c>
      <c r="C4946" s="6" t="s">
        <v>303</v>
      </c>
      <c r="D4946" s="7">
        <v>1200721.142</v>
      </c>
      <c r="F4946" s="7">
        <v>1</v>
      </c>
      <c r="H4946" s="7">
        <v>0</v>
      </c>
      <c r="I4946" s="7">
        <v>0</v>
      </c>
      <c r="K4946" s="7">
        <v>0</v>
      </c>
      <c r="P4946" s="9" t="s">
        <v>155</v>
      </c>
      <c r="Q4946" s="9">
        <v>7.5447691955267768E-3</v>
      </c>
      <c r="R4946" s="9">
        <v>3.5421378000000003E-2</v>
      </c>
    </row>
    <row r="4947" spans="1:18">
      <c r="A4947" s="8">
        <v>43524</v>
      </c>
      <c r="B4947" s="6" t="s">
        <v>175</v>
      </c>
      <c r="C4947" s="6" t="s">
        <v>325</v>
      </c>
      <c r="D4947" s="7">
        <v>6142067.5208000001</v>
      </c>
      <c r="F4947" s="7">
        <v>5</v>
      </c>
      <c r="H4947" s="7">
        <v>0</v>
      </c>
      <c r="I4947" s="7">
        <v>0</v>
      </c>
      <c r="K4947" s="7">
        <v>0</v>
      </c>
      <c r="P4947" s="9" t="s">
        <v>155</v>
      </c>
      <c r="Q4947" s="9">
        <v>2.5377903126851089E-2</v>
      </c>
      <c r="R4947" s="9">
        <v>9.9310219200000022E-2</v>
      </c>
    </row>
    <row r="4948" spans="1:18">
      <c r="A4948" s="8">
        <v>43524</v>
      </c>
      <c r="B4948" s="6" t="s">
        <v>175</v>
      </c>
      <c r="C4948" s="6" t="s">
        <v>326</v>
      </c>
      <c r="D4948" s="7">
        <v>3204708.9</v>
      </c>
      <c r="F4948" s="7">
        <v>2.5</v>
      </c>
      <c r="H4948" s="7">
        <v>0</v>
      </c>
      <c r="I4948" s="7">
        <v>0</v>
      </c>
      <c r="K4948" s="7">
        <v>0</v>
      </c>
      <c r="P4948" s="9" t="s">
        <v>155</v>
      </c>
      <c r="Q4948" s="9">
        <v>0</v>
      </c>
      <c r="R4948" s="9">
        <v>0</v>
      </c>
    </row>
    <row r="4949" spans="1:18">
      <c r="A4949" s="8">
        <v>43524</v>
      </c>
      <c r="B4949" s="6" t="s">
        <v>175</v>
      </c>
      <c r="C4949" s="6" t="s">
        <v>327</v>
      </c>
      <c r="D4949" s="7">
        <v>1944420.84</v>
      </c>
      <c r="F4949" s="7">
        <v>1.5</v>
      </c>
      <c r="H4949" s="7">
        <v>0</v>
      </c>
      <c r="I4949" s="7">
        <v>0</v>
      </c>
      <c r="K4949" s="7">
        <v>0</v>
      </c>
      <c r="P4949" s="9" t="s">
        <v>155</v>
      </c>
      <c r="Q4949" s="9">
        <v>0</v>
      </c>
      <c r="R4949" s="9">
        <v>0</v>
      </c>
    </row>
    <row r="4950" spans="1:18">
      <c r="A4950" s="8">
        <v>43524</v>
      </c>
      <c r="B4950" s="6" t="s">
        <v>175</v>
      </c>
      <c r="C4950" s="6" t="s">
        <v>328</v>
      </c>
      <c r="D4950" s="7">
        <v>1197709.8810000001</v>
      </c>
      <c r="F4950" s="7">
        <v>1</v>
      </c>
      <c r="H4950" s="7">
        <v>0</v>
      </c>
      <c r="I4950" s="7">
        <v>0</v>
      </c>
      <c r="K4950" s="7">
        <v>0</v>
      </c>
      <c r="P4950" s="9" t="s">
        <v>155</v>
      </c>
      <c r="Q4950" s="9">
        <v>7.6318538972126367E-3</v>
      </c>
      <c r="R4950" s="9">
        <v>3.4889979000000015E-2</v>
      </c>
    </row>
    <row r="4951" spans="1:18">
      <c r="A4951" s="8">
        <v>43524</v>
      </c>
      <c r="B4951" s="6" t="s">
        <v>175</v>
      </c>
      <c r="C4951" s="6" t="s">
        <v>304</v>
      </c>
      <c r="D4951" s="7">
        <v>1262502.19</v>
      </c>
      <c r="F4951" s="7">
        <v>1</v>
      </c>
      <c r="H4951" s="7">
        <v>0</v>
      </c>
      <c r="I4951" s="7">
        <v>0</v>
      </c>
      <c r="K4951" s="7">
        <v>0</v>
      </c>
      <c r="P4951" s="9" t="s">
        <v>155</v>
      </c>
      <c r="Q4951" s="9">
        <v>0</v>
      </c>
      <c r="R4951" s="9">
        <v>0</v>
      </c>
    </row>
    <row r="4952" spans="1:18">
      <c r="A4952" s="8">
        <v>43524</v>
      </c>
      <c r="B4952" s="6" t="s">
        <v>175</v>
      </c>
      <c r="C4952" s="6" t="s">
        <v>329</v>
      </c>
      <c r="D4952" s="7">
        <v>599213.36849999998</v>
      </c>
      <c r="F4952" s="7">
        <v>0.5</v>
      </c>
      <c r="H4952" s="7">
        <v>0</v>
      </c>
      <c r="I4952" s="7">
        <v>0</v>
      </c>
      <c r="K4952" s="7">
        <v>0</v>
      </c>
      <c r="P4952" s="9" t="s">
        <v>155</v>
      </c>
      <c r="Q4952" s="9">
        <v>3.735641063527266E-3</v>
      </c>
      <c r="R4952" s="9">
        <v>1.7508241499999997E-2</v>
      </c>
    </row>
    <row r="4953" spans="1:18">
      <c r="A4953" s="8">
        <v>43524</v>
      </c>
      <c r="B4953" s="6" t="s">
        <v>175</v>
      </c>
      <c r="C4953" s="6" t="s">
        <v>330</v>
      </c>
      <c r="D4953" s="7">
        <v>119842.553</v>
      </c>
      <c r="F4953" s="7">
        <v>0.1</v>
      </c>
      <c r="H4953" s="7">
        <v>0</v>
      </c>
      <c r="I4953" s="7">
        <v>0</v>
      </c>
      <c r="K4953" s="7">
        <v>0</v>
      </c>
      <c r="P4953" s="9" t="s">
        <v>155</v>
      </c>
      <c r="Q4953" s="9">
        <v>7.4712776898683882E-4</v>
      </c>
      <c r="R4953" s="9">
        <v>3.5016269999999989E-3</v>
      </c>
    </row>
    <row r="4954" spans="1:18">
      <c r="A4954" s="8">
        <v>43524</v>
      </c>
      <c r="B4954" s="6" t="s">
        <v>175</v>
      </c>
      <c r="C4954" s="6" t="s">
        <v>331</v>
      </c>
      <c r="D4954" s="7">
        <v>5992131.7725</v>
      </c>
      <c r="F4954" s="7">
        <v>5</v>
      </c>
      <c r="H4954" s="7">
        <v>0</v>
      </c>
      <c r="I4954" s="7">
        <v>0</v>
      </c>
      <c r="K4954" s="7">
        <v>0</v>
      </c>
      <c r="P4954" s="9" t="s">
        <v>155</v>
      </c>
      <c r="Q4954" s="9">
        <v>3.7356406246835658E-2</v>
      </c>
      <c r="R4954" s="9">
        <v>0.17508207749999993</v>
      </c>
    </row>
    <row r="4955" spans="1:18">
      <c r="A4955" s="8">
        <v>43524</v>
      </c>
      <c r="B4955" s="6" t="s">
        <v>175</v>
      </c>
      <c r="C4955" s="6" t="s">
        <v>332</v>
      </c>
      <c r="D4955" s="7">
        <v>1198426.7285</v>
      </c>
      <c r="F4955" s="7">
        <v>1</v>
      </c>
      <c r="H4955" s="7">
        <v>0</v>
      </c>
      <c r="I4955" s="7">
        <v>0</v>
      </c>
      <c r="K4955" s="7">
        <v>0</v>
      </c>
      <c r="P4955" s="9" t="s">
        <v>155</v>
      </c>
      <c r="Q4955" s="9">
        <v>7.4712821270545319E-3</v>
      </c>
      <c r="R4955" s="9">
        <v>3.5016481499999995E-2</v>
      </c>
    </row>
    <row r="4956" spans="1:18">
      <c r="A4956" s="8">
        <v>43524</v>
      </c>
      <c r="B4956" s="6" t="s">
        <v>175</v>
      </c>
      <c r="C4956" s="6" t="s">
        <v>305</v>
      </c>
      <c r="D4956" s="7">
        <v>5998650.5899999999</v>
      </c>
      <c r="F4956" s="7">
        <v>4.75</v>
      </c>
      <c r="H4956" s="7">
        <v>0</v>
      </c>
      <c r="I4956" s="7">
        <v>0</v>
      </c>
      <c r="K4956" s="7">
        <v>0</v>
      </c>
      <c r="P4956" s="9" t="s">
        <v>155</v>
      </c>
      <c r="Q4956" s="9">
        <v>0</v>
      </c>
      <c r="R4956" s="9">
        <v>0</v>
      </c>
    </row>
    <row r="4957" spans="1:18">
      <c r="A4957" s="8">
        <v>43524</v>
      </c>
      <c r="B4957" s="6" t="s">
        <v>175</v>
      </c>
      <c r="C4957" s="6" t="s">
        <v>333</v>
      </c>
      <c r="D4957" s="7">
        <v>180271.22</v>
      </c>
      <c r="F4957" s="7">
        <v>0.15</v>
      </c>
      <c r="H4957" s="7">
        <v>0</v>
      </c>
      <c r="I4957" s="7">
        <v>0</v>
      </c>
      <c r="K4957" s="7">
        <v>0</v>
      </c>
      <c r="P4957" s="9" t="s">
        <v>155</v>
      </c>
      <c r="Q4957" s="9">
        <v>1.1247222023610321E-3</v>
      </c>
      <c r="R4957" s="9">
        <v>5.3419800000000014E-3</v>
      </c>
    </row>
    <row r="4958" spans="1:18">
      <c r="A4958" s="8">
        <v>43524</v>
      </c>
      <c r="B4958" s="6" t="s">
        <v>175</v>
      </c>
      <c r="C4958" s="6" t="s">
        <v>334</v>
      </c>
      <c r="D4958" s="7">
        <v>120181.023</v>
      </c>
      <c r="F4958" s="7">
        <v>0.1</v>
      </c>
      <c r="H4958" s="7">
        <v>0</v>
      </c>
      <c r="I4958" s="7">
        <v>0</v>
      </c>
      <c r="K4958" s="7">
        <v>0</v>
      </c>
      <c r="P4958" s="9" t="s">
        <v>155</v>
      </c>
      <c r="Q4958" s="9">
        <v>7.4981556098257509E-4</v>
      </c>
      <c r="R4958" s="9">
        <v>3.5613570000000002E-3</v>
      </c>
    </row>
    <row r="4959" spans="1:18">
      <c r="A4959" s="8">
        <v>43524</v>
      </c>
      <c r="B4959" s="6" t="s">
        <v>175</v>
      </c>
      <c r="C4959" s="6" t="s">
        <v>335</v>
      </c>
      <c r="D4959" s="7">
        <v>300452.141</v>
      </c>
      <c r="F4959" s="7">
        <v>0.25</v>
      </c>
      <c r="H4959" s="7">
        <v>0</v>
      </c>
      <c r="I4959" s="7">
        <v>0</v>
      </c>
      <c r="K4959" s="7">
        <v>0</v>
      </c>
      <c r="P4959" s="9" t="s">
        <v>155</v>
      </c>
      <c r="Q4959" s="9">
        <v>1.8745369759326678E-3</v>
      </c>
      <c r="R4959" s="9">
        <v>8.9033190000000033E-3</v>
      </c>
    </row>
    <row r="4960" spans="1:18">
      <c r="A4960" s="8">
        <v>43524</v>
      </c>
      <c r="B4960" s="6" t="s">
        <v>175</v>
      </c>
      <c r="C4960" s="6" t="s">
        <v>336</v>
      </c>
      <c r="D4960" s="7">
        <v>252574.42</v>
      </c>
      <c r="F4960" s="7">
        <v>0.2</v>
      </c>
      <c r="H4960" s="7">
        <v>0</v>
      </c>
      <c r="I4960" s="7">
        <v>0</v>
      </c>
      <c r="K4960" s="7">
        <v>0</v>
      </c>
      <c r="P4960" s="9" t="s">
        <v>155</v>
      </c>
      <c r="Q4960" s="9">
        <v>0</v>
      </c>
      <c r="R4960" s="9">
        <v>0</v>
      </c>
    </row>
    <row r="4961" spans="1:18">
      <c r="A4961" s="8">
        <v>43524</v>
      </c>
      <c r="B4961" s="6" t="s">
        <v>175</v>
      </c>
      <c r="C4961" s="6" t="s">
        <v>337</v>
      </c>
      <c r="D4961" s="7">
        <v>429376.82</v>
      </c>
      <c r="F4961" s="7">
        <v>0.34</v>
      </c>
      <c r="H4961" s="7">
        <v>0</v>
      </c>
      <c r="I4961" s="7">
        <v>0</v>
      </c>
      <c r="K4961" s="7">
        <v>0</v>
      </c>
      <c r="P4961" s="9" t="s">
        <v>155</v>
      </c>
      <c r="Q4961" s="9">
        <v>0</v>
      </c>
      <c r="R4961" s="9">
        <v>0</v>
      </c>
    </row>
    <row r="4962" spans="1:18">
      <c r="A4962" s="8">
        <v>43524</v>
      </c>
      <c r="B4962" s="6" t="s">
        <v>175</v>
      </c>
      <c r="C4962" s="6" t="s">
        <v>338</v>
      </c>
      <c r="D4962" s="7">
        <v>600904.38399999996</v>
      </c>
      <c r="F4962" s="7">
        <v>0.5</v>
      </c>
      <c r="H4962" s="7">
        <v>0</v>
      </c>
      <c r="I4962" s="7">
        <v>0</v>
      </c>
      <c r="K4962" s="7">
        <v>0</v>
      </c>
      <c r="P4962" s="9" t="s">
        <v>155</v>
      </c>
      <c r="Q4962" s="9">
        <v>3.749074739276275E-3</v>
      </c>
      <c r="R4962" s="9">
        <v>1.7806656000000008E-2</v>
      </c>
    </row>
    <row r="4963" spans="1:18">
      <c r="A4963" s="8">
        <v>43524</v>
      </c>
      <c r="B4963" s="6" t="s">
        <v>175</v>
      </c>
      <c r="C4963" s="6" t="s">
        <v>339</v>
      </c>
      <c r="D4963" s="7">
        <v>6009042.2249999996</v>
      </c>
      <c r="F4963" s="7">
        <v>5</v>
      </c>
      <c r="H4963" s="7">
        <v>0</v>
      </c>
      <c r="I4963" s="7">
        <v>0</v>
      </c>
      <c r="K4963" s="7">
        <v>0</v>
      </c>
      <c r="P4963" s="9" t="s">
        <v>155</v>
      </c>
      <c r="Q4963" s="9">
        <v>3.7490742311805388E-2</v>
      </c>
      <c r="R4963" s="9">
        <v>0.178066275</v>
      </c>
    </row>
    <row r="4964" spans="1:18">
      <c r="A4964" s="8">
        <v>43524</v>
      </c>
      <c r="B4964" s="6" t="s">
        <v>273</v>
      </c>
      <c r="C4964" s="6" t="s">
        <v>298</v>
      </c>
      <c r="D4964" s="7">
        <v>345878.36839999998</v>
      </c>
      <c r="F4964" s="7">
        <v>1E-3</v>
      </c>
      <c r="G4964" s="7">
        <v>-14.039999999999992</v>
      </c>
      <c r="H4964" s="7">
        <v>0</v>
      </c>
      <c r="I4964" s="7">
        <v>0</v>
      </c>
      <c r="K4964" s="7">
        <v>0</v>
      </c>
      <c r="P4964" s="9" t="s">
        <v>155</v>
      </c>
      <c r="Q4964" s="9">
        <v>0</v>
      </c>
      <c r="R4964" s="9">
        <v>0</v>
      </c>
    </row>
    <row r="4965" spans="1:18">
      <c r="A4965" s="8">
        <v>43524</v>
      </c>
      <c r="B4965" s="6" t="s">
        <v>273</v>
      </c>
      <c r="C4965" s="6" t="s">
        <v>299</v>
      </c>
      <c r="D4965" s="7">
        <v>3119214.41</v>
      </c>
      <c r="F4965" s="7">
        <v>3.0791876600000001</v>
      </c>
      <c r="G4965" s="7">
        <v>-43230.44</v>
      </c>
      <c r="H4965" s="7">
        <v>0</v>
      </c>
      <c r="I4965" s="7">
        <v>0</v>
      </c>
      <c r="K4965" s="7">
        <v>0</v>
      </c>
      <c r="P4965" s="9" t="s">
        <v>155</v>
      </c>
      <c r="Q4965" s="9">
        <v>0</v>
      </c>
      <c r="R4965" s="9">
        <v>0</v>
      </c>
    </row>
    <row r="4966" spans="1:18">
      <c r="A4966" s="8">
        <v>43524</v>
      </c>
      <c r="B4966" s="6" t="s">
        <v>273</v>
      </c>
      <c r="C4966" s="6" t="s">
        <v>300</v>
      </c>
      <c r="D4966" s="7">
        <v>376297.79</v>
      </c>
      <c r="F4966" s="7">
        <v>0.37146900999999999</v>
      </c>
      <c r="G4966" s="7">
        <v>-5215.2700000000004</v>
      </c>
      <c r="H4966" s="7">
        <v>0</v>
      </c>
      <c r="I4966" s="7">
        <v>0</v>
      </c>
      <c r="K4966" s="7">
        <v>0</v>
      </c>
      <c r="P4966" s="9" t="s">
        <v>155</v>
      </c>
      <c r="Q4966" s="9">
        <v>0</v>
      </c>
      <c r="R4966" s="9">
        <v>0</v>
      </c>
    </row>
    <row r="4967" spans="1:18">
      <c r="A4967" s="8">
        <v>43524</v>
      </c>
      <c r="B4967" s="6" t="s">
        <v>273</v>
      </c>
      <c r="C4967" s="6" t="s">
        <v>358</v>
      </c>
      <c r="D4967" s="7">
        <v>772269.55</v>
      </c>
      <c r="F4967" s="7">
        <v>0.76235954000000006</v>
      </c>
      <c r="G4967" s="7">
        <v>-10703.19000000001</v>
      </c>
      <c r="H4967" s="7">
        <v>0</v>
      </c>
      <c r="I4967" s="7">
        <v>0</v>
      </c>
      <c r="K4967" s="7">
        <v>0</v>
      </c>
      <c r="P4967" s="9" t="s">
        <v>155</v>
      </c>
      <c r="Q4967" s="9">
        <v>0</v>
      </c>
      <c r="R4967" s="9">
        <v>0</v>
      </c>
    </row>
    <row r="4968" spans="1:18">
      <c r="A4968" s="8">
        <v>43524</v>
      </c>
      <c r="B4968" s="6" t="s">
        <v>273</v>
      </c>
      <c r="C4968" s="6" t="s">
        <v>359</v>
      </c>
      <c r="D4968" s="7">
        <v>708598.02</v>
      </c>
      <c r="F4968" s="7">
        <v>0.69950506999999995</v>
      </c>
      <c r="G4968" s="7">
        <v>-9820.7399999999907</v>
      </c>
      <c r="H4968" s="7">
        <v>0</v>
      </c>
      <c r="I4968" s="7">
        <v>0</v>
      </c>
      <c r="K4968" s="7">
        <v>0</v>
      </c>
      <c r="P4968" s="9" t="s">
        <v>155</v>
      </c>
      <c r="Q4968" s="9">
        <v>0</v>
      </c>
      <c r="R4968" s="9">
        <v>0</v>
      </c>
    </row>
    <row r="4969" spans="1:18">
      <c r="A4969" s="8">
        <v>43524</v>
      </c>
      <c r="B4969" s="6" t="s">
        <v>273</v>
      </c>
      <c r="C4969" s="6" t="s">
        <v>360</v>
      </c>
      <c r="D4969" s="7">
        <v>202599.83</v>
      </c>
      <c r="F4969" s="7">
        <v>0.2</v>
      </c>
      <c r="G4969" s="7">
        <v>-2807.91</v>
      </c>
      <c r="H4969" s="7">
        <v>0</v>
      </c>
      <c r="I4969" s="7">
        <v>0</v>
      </c>
      <c r="K4969" s="7">
        <v>0</v>
      </c>
      <c r="P4969" s="9" t="s">
        <v>155</v>
      </c>
      <c r="Q4969" s="9">
        <v>0</v>
      </c>
      <c r="R4969" s="9">
        <v>0</v>
      </c>
    </row>
    <row r="4970" spans="1:18">
      <c r="A4970" s="8">
        <v>43524</v>
      </c>
      <c r="B4970" s="6" t="s">
        <v>273</v>
      </c>
      <c r="C4970" s="6" t="s">
        <v>361</v>
      </c>
      <c r="D4970" s="7">
        <v>253249.78</v>
      </c>
      <c r="F4970" s="7">
        <v>0.25</v>
      </c>
      <c r="G4970" s="7">
        <v>-3509.8899999999994</v>
      </c>
      <c r="H4970" s="7">
        <v>0</v>
      </c>
      <c r="I4970" s="7">
        <v>0</v>
      </c>
      <c r="K4970" s="7">
        <v>0</v>
      </c>
      <c r="P4970" s="9" t="s">
        <v>155</v>
      </c>
      <c r="Q4970" s="9">
        <v>0</v>
      </c>
      <c r="R4970" s="9">
        <v>0</v>
      </c>
    </row>
    <row r="4971" spans="1:18">
      <c r="A4971" s="8">
        <v>43524</v>
      </c>
      <c r="B4971" s="6" t="s">
        <v>273</v>
      </c>
      <c r="C4971" s="6" t="s">
        <v>362</v>
      </c>
      <c r="D4971" s="7">
        <v>202599.83</v>
      </c>
      <c r="F4971" s="7">
        <v>0.2</v>
      </c>
      <c r="G4971" s="7">
        <v>-2807.91</v>
      </c>
      <c r="H4971" s="7">
        <v>0</v>
      </c>
      <c r="I4971" s="7">
        <v>0</v>
      </c>
      <c r="K4971" s="7">
        <v>0</v>
      </c>
      <c r="P4971" s="9" t="s">
        <v>155</v>
      </c>
      <c r="Q4971" s="9">
        <v>0</v>
      </c>
      <c r="R4971" s="9">
        <v>0</v>
      </c>
    </row>
    <row r="4972" spans="1:18">
      <c r="A4972" s="8">
        <v>43524</v>
      </c>
      <c r="B4972" s="6" t="s">
        <v>273</v>
      </c>
      <c r="C4972" s="6" t="s">
        <v>363</v>
      </c>
      <c r="D4972" s="7">
        <v>3007211.9023000002</v>
      </c>
      <c r="F4972" s="7">
        <v>3.00661801</v>
      </c>
      <c r="G4972" s="7">
        <v>-42211.590000000026</v>
      </c>
      <c r="H4972" s="7">
        <v>0</v>
      </c>
      <c r="I4972" s="7">
        <v>0</v>
      </c>
      <c r="K4972" s="7">
        <v>0</v>
      </c>
      <c r="P4972" s="9" t="s">
        <v>155</v>
      </c>
      <c r="Q4972" s="9">
        <v>2.413253659764588E-2</v>
      </c>
      <c r="R4972" s="9">
        <v>1.4356977698300917E-2</v>
      </c>
    </row>
    <row r="4973" spans="1:18">
      <c r="A4973" s="8">
        <v>43524</v>
      </c>
      <c r="B4973" s="6" t="s">
        <v>273</v>
      </c>
      <c r="C4973" s="6" t="s">
        <v>364</v>
      </c>
      <c r="D4973" s="7">
        <v>53157.299299999999</v>
      </c>
      <c r="F4973" s="7">
        <v>5.3146800000000001E-2</v>
      </c>
      <c r="G4973" s="7">
        <v>-746.14999999999964</v>
      </c>
      <c r="H4973" s="7">
        <v>0</v>
      </c>
      <c r="I4973" s="7">
        <v>0</v>
      </c>
      <c r="K4973" s="7">
        <v>0</v>
      </c>
      <c r="P4973" s="9" t="s">
        <v>155</v>
      </c>
      <c r="Q4973" s="9">
        <v>4.2658132552321351E-4</v>
      </c>
      <c r="R4973" s="9">
        <v>2.5378070670104827E-4</v>
      </c>
    </row>
    <row r="4974" spans="1:18">
      <c r="A4974" s="8">
        <v>43524</v>
      </c>
      <c r="B4974" s="6" t="s">
        <v>273</v>
      </c>
      <c r="C4974" s="6" t="s">
        <v>365</v>
      </c>
      <c r="D4974" s="7">
        <v>116699.00810000001</v>
      </c>
      <c r="F4974" s="7">
        <v>0.11667597</v>
      </c>
      <c r="G4974" s="7">
        <v>-1638.08</v>
      </c>
      <c r="H4974" s="7">
        <v>0</v>
      </c>
      <c r="I4974" s="7">
        <v>0</v>
      </c>
      <c r="K4974" s="7">
        <v>0</v>
      </c>
      <c r="P4974" s="9" t="s">
        <v>155</v>
      </c>
      <c r="Q4974" s="9">
        <v>9.3649645772288638E-4</v>
      </c>
      <c r="R4974" s="9">
        <v>5.5714188912851749E-4</v>
      </c>
    </row>
    <row r="4975" spans="1:18">
      <c r="A4975" s="8">
        <v>43524</v>
      </c>
      <c r="B4975" s="6" t="s">
        <v>273</v>
      </c>
      <c r="C4975" s="6" t="s">
        <v>366</v>
      </c>
      <c r="D4975" s="7">
        <v>71121.761100000003</v>
      </c>
      <c r="F4975" s="7">
        <v>7.1107710000000005E-2</v>
      </c>
      <c r="G4975" s="7">
        <v>-998.31999999999971</v>
      </c>
      <c r="H4975" s="7">
        <v>0</v>
      </c>
      <c r="I4975" s="7">
        <v>0</v>
      </c>
      <c r="K4975" s="7">
        <v>0</v>
      </c>
      <c r="P4975" s="9" t="s">
        <v>155</v>
      </c>
      <c r="Q4975" s="9">
        <v>5.7074407465210056E-4</v>
      </c>
      <c r="R4975" s="9">
        <v>3.3954889303416637E-4</v>
      </c>
    </row>
    <row r="4976" spans="1:18">
      <c r="A4976" s="8">
        <v>43524</v>
      </c>
      <c r="B4976" s="6" t="s">
        <v>273</v>
      </c>
      <c r="C4976" s="6" t="s">
        <v>367</v>
      </c>
      <c r="D4976" s="7">
        <v>112519.3</v>
      </c>
      <c r="F4976" s="7">
        <v>0.11107541</v>
      </c>
      <c r="G4976" s="7">
        <v>-1559.4500000000007</v>
      </c>
      <c r="H4976" s="7">
        <v>0</v>
      </c>
      <c r="I4976" s="7">
        <v>0</v>
      </c>
      <c r="K4976" s="7">
        <v>0</v>
      </c>
      <c r="P4976" s="9" t="s">
        <v>155</v>
      </c>
      <c r="Q4976" s="9">
        <v>0</v>
      </c>
      <c r="R4976" s="9">
        <v>0</v>
      </c>
    </row>
    <row r="4977" spans="1:18">
      <c r="A4977" s="8">
        <v>43524</v>
      </c>
      <c r="B4977" s="6" t="s">
        <v>273</v>
      </c>
      <c r="C4977" s="6" t="s">
        <v>368</v>
      </c>
      <c r="D4977" s="7">
        <v>1519498.69</v>
      </c>
      <c r="F4977" s="7">
        <v>1.5</v>
      </c>
      <c r="G4977" s="7">
        <v>-21059.339999999982</v>
      </c>
      <c r="H4977" s="7">
        <v>0</v>
      </c>
      <c r="I4977" s="7">
        <v>0</v>
      </c>
      <c r="K4977" s="7">
        <v>0</v>
      </c>
      <c r="P4977" s="9" t="s">
        <v>155</v>
      </c>
      <c r="Q4977" s="9">
        <v>0</v>
      </c>
      <c r="R4977" s="9">
        <v>0</v>
      </c>
    </row>
    <row r="4978" spans="1:18">
      <c r="A4978" s="8">
        <v>43524</v>
      </c>
      <c r="B4978" s="6" t="s">
        <v>273</v>
      </c>
      <c r="C4978" s="6" t="s">
        <v>369</v>
      </c>
      <c r="D4978" s="7">
        <v>7501481.4393999996</v>
      </c>
      <c r="F4978" s="7">
        <v>7.5</v>
      </c>
      <c r="G4978" s="7">
        <v>-105296.70999999996</v>
      </c>
      <c r="H4978" s="7">
        <v>0</v>
      </c>
      <c r="I4978" s="7">
        <v>0</v>
      </c>
      <c r="K4978" s="7">
        <v>0</v>
      </c>
      <c r="P4978" s="9" t="s">
        <v>155</v>
      </c>
      <c r="Q4978" s="9">
        <v>6.0198543306917839E-2</v>
      </c>
      <c r="R4978" s="9">
        <v>3.5813440643817883E-2</v>
      </c>
    </row>
    <row r="4979" spans="1:18">
      <c r="A4979" s="8">
        <v>43524</v>
      </c>
      <c r="B4979" s="6" t="s">
        <v>273</v>
      </c>
      <c r="C4979" s="6" t="s">
        <v>370</v>
      </c>
      <c r="D4979" s="7">
        <v>2025998.25</v>
      </c>
      <c r="F4979" s="7">
        <v>2</v>
      </c>
      <c r="G4979" s="7">
        <v>-28079.119999999995</v>
      </c>
      <c r="H4979" s="7">
        <v>0</v>
      </c>
      <c r="I4979" s="7">
        <v>0</v>
      </c>
      <c r="K4979" s="7">
        <v>0</v>
      </c>
      <c r="P4979" s="9" t="s">
        <v>155</v>
      </c>
      <c r="Q4979" s="9">
        <v>0</v>
      </c>
      <c r="R4979" s="9">
        <v>0</v>
      </c>
    </row>
    <row r="4980" spans="1:18">
      <c r="A4980" s="8">
        <v>43524</v>
      </c>
      <c r="B4980" s="6" t="s">
        <v>273</v>
      </c>
      <c r="C4980" s="6" t="s">
        <v>371</v>
      </c>
      <c r="D4980" s="7">
        <v>389659.59720000002</v>
      </c>
      <c r="F4980" s="7">
        <v>0.3</v>
      </c>
      <c r="G4980" s="7">
        <v>-4211.869999999999</v>
      </c>
      <c r="H4980" s="7">
        <v>0</v>
      </c>
      <c r="I4980" s="7">
        <v>0</v>
      </c>
      <c r="K4980" s="7">
        <v>0</v>
      </c>
      <c r="P4980" s="9" t="s">
        <v>155</v>
      </c>
      <c r="Q4980" s="9">
        <v>2.4079417322767135E-3</v>
      </c>
      <c r="R4980" s="9">
        <v>1.7244362825752715E-2</v>
      </c>
    </row>
    <row r="4981" spans="1:18">
      <c r="A4981" s="8">
        <v>43524</v>
      </c>
      <c r="B4981" s="6" t="s">
        <v>273</v>
      </c>
      <c r="C4981" s="6" t="s">
        <v>372</v>
      </c>
      <c r="D4981" s="7">
        <v>1000197.5341</v>
      </c>
      <c r="F4981" s="7">
        <v>1</v>
      </c>
      <c r="G4981" s="7">
        <v>-14039.559999999998</v>
      </c>
      <c r="H4981" s="7">
        <v>0</v>
      </c>
      <c r="I4981" s="7">
        <v>0</v>
      </c>
      <c r="K4981" s="7">
        <v>0</v>
      </c>
      <c r="P4981" s="9" t="s">
        <v>155</v>
      </c>
      <c r="Q4981" s="9">
        <v>8.0264724409223782E-3</v>
      </c>
      <c r="R4981" s="9">
        <v>4.775125919175718E-3</v>
      </c>
    </row>
    <row r="4982" spans="1:18">
      <c r="A4982" s="8">
        <v>43524</v>
      </c>
      <c r="B4982" s="6" t="s">
        <v>273</v>
      </c>
      <c r="C4982" s="6" t="s">
        <v>373</v>
      </c>
      <c r="D4982" s="7">
        <v>40280.805999999997</v>
      </c>
      <c r="F4982" s="7">
        <v>0.04</v>
      </c>
      <c r="G4982" s="7">
        <v>-561.58000000000038</v>
      </c>
      <c r="H4982" s="7">
        <v>0</v>
      </c>
      <c r="I4982" s="7">
        <v>0</v>
      </c>
      <c r="K4982" s="7">
        <v>0</v>
      </c>
      <c r="P4982" s="9" t="s">
        <v>155</v>
      </c>
      <c r="Q4982" s="9">
        <v>0</v>
      </c>
      <c r="R4982" s="9">
        <v>2.3916397676702872E-4</v>
      </c>
    </row>
    <row r="4983" spans="1:18">
      <c r="A4983" s="8">
        <v>43524</v>
      </c>
      <c r="B4983" s="6" t="s">
        <v>273</v>
      </c>
      <c r="C4983" s="6" t="s">
        <v>374</v>
      </c>
      <c r="D4983" s="7">
        <v>1000652.3606</v>
      </c>
      <c r="F4983" s="7">
        <v>1</v>
      </c>
      <c r="G4983" s="7">
        <v>-14039.559999999998</v>
      </c>
      <c r="H4983" s="7">
        <v>0</v>
      </c>
      <c r="I4983" s="7">
        <v>0</v>
      </c>
      <c r="K4983" s="7">
        <v>0</v>
      </c>
      <c r="P4983" s="9" t="s">
        <v>155</v>
      </c>
      <c r="Q4983" s="9">
        <v>7.4913742781942223E-3</v>
      </c>
      <c r="R4983" s="9">
        <v>4.8553894191757131E-3</v>
      </c>
    </row>
    <row r="4984" spans="1:18">
      <c r="A4984" s="8">
        <v>43524</v>
      </c>
      <c r="B4984" s="6" t="s">
        <v>273</v>
      </c>
      <c r="C4984" s="6" t="s">
        <v>302</v>
      </c>
      <c r="D4984" s="7">
        <v>913336.95</v>
      </c>
      <c r="F4984" s="7">
        <v>0.89862635999999985</v>
      </c>
      <c r="G4984" s="7">
        <v>-12616.319999999992</v>
      </c>
      <c r="H4984" s="7">
        <v>0</v>
      </c>
      <c r="I4984" s="7">
        <v>0</v>
      </c>
      <c r="K4984" s="7">
        <v>0</v>
      </c>
      <c r="P4984" s="9" t="s">
        <v>155</v>
      </c>
      <c r="Q4984" s="9">
        <v>0</v>
      </c>
      <c r="R4984" s="9">
        <v>0</v>
      </c>
    </row>
    <row r="4985" spans="1:18">
      <c r="A4985" s="8">
        <v>43524</v>
      </c>
      <c r="B4985" s="6" t="s">
        <v>273</v>
      </c>
      <c r="C4985" s="6" t="s">
        <v>303</v>
      </c>
      <c r="D4985" s="7">
        <v>1952956.83</v>
      </c>
      <c r="F4985" s="7">
        <v>1.9215016999999999</v>
      </c>
      <c r="G4985" s="7">
        <v>-26977.040000000008</v>
      </c>
      <c r="H4985" s="7">
        <v>0</v>
      </c>
      <c r="I4985" s="7">
        <v>0</v>
      </c>
      <c r="K4985" s="7">
        <v>0</v>
      </c>
      <c r="P4985" s="9" t="s">
        <v>155</v>
      </c>
      <c r="Q4985" s="9">
        <v>0</v>
      </c>
      <c r="R4985" s="9">
        <v>0</v>
      </c>
    </row>
    <row r="4986" spans="1:18">
      <c r="A4986" s="8">
        <v>43524</v>
      </c>
      <c r="B4986" s="6" t="s">
        <v>273</v>
      </c>
      <c r="C4986" s="6" t="s">
        <v>325</v>
      </c>
      <c r="D4986" s="7">
        <v>2459794.2999999998</v>
      </c>
      <c r="F4986" s="7">
        <v>2.4201758399999997</v>
      </c>
      <c r="G4986" s="7">
        <v>-33978.200000000012</v>
      </c>
      <c r="H4986" s="7">
        <v>0</v>
      </c>
      <c r="I4986" s="7">
        <v>0</v>
      </c>
      <c r="K4986" s="7">
        <v>0</v>
      </c>
      <c r="P4986" s="9" t="s">
        <v>155</v>
      </c>
      <c r="Q4986" s="9">
        <v>0</v>
      </c>
      <c r="R4986" s="9">
        <v>0</v>
      </c>
    </row>
    <row r="4987" spans="1:18">
      <c r="A4987" s="8">
        <v>43524</v>
      </c>
      <c r="B4987" s="6" t="s">
        <v>273</v>
      </c>
      <c r="C4987" s="6" t="s">
        <v>326</v>
      </c>
      <c r="D4987" s="7">
        <v>2680820.66</v>
      </c>
      <c r="F4987" s="7">
        <v>2.6376422499999999</v>
      </c>
      <c r="G4987" s="7">
        <v>-37031.339999999997</v>
      </c>
      <c r="H4987" s="7">
        <v>0</v>
      </c>
      <c r="I4987" s="7">
        <v>0</v>
      </c>
      <c r="K4987" s="7">
        <v>0</v>
      </c>
      <c r="P4987" s="9" t="s">
        <v>155</v>
      </c>
      <c r="Q4987" s="9">
        <v>0</v>
      </c>
      <c r="R4987" s="9">
        <v>0</v>
      </c>
    </row>
    <row r="4988" spans="1:18">
      <c r="A4988" s="8">
        <v>43524</v>
      </c>
      <c r="B4988" s="6" t="s">
        <v>273</v>
      </c>
      <c r="C4988" s="6" t="s">
        <v>327</v>
      </c>
      <c r="D4988" s="7">
        <v>2519877.23</v>
      </c>
      <c r="F4988" s="7">
        <v>2.4792910499999996</v>
      </c>
      <c r="G4988" s="7">
        <v>-34808.160000000003</v>
      </c>
      <c r="H4988" s="7">
        <v>0</v>
      </c>
      <c r="I4988" s="7">
        <v>0</v>
      </c>
      <c r="K4988" s="7">
        <v>0</v>
      </c>
      <c r="P4988" s="9" t="s">
        <v>155</v>
      </c>
      <c r="Q4988" s="9">
        <v>0</v>
      </c>
      <c r="R4988" s="9">
        <v>0</v>
      </c>
    </row>
    <row r="4989" spans="1:18">
      <c r="A4989" s="8">
        <v>43524</v>
      </c>
      <c r="B4989" s="6" t="s">
        <v>273</v>
      </c>
      <c r="C4989" s="6" t="s">
        <v>328</v>
      </c>
      <c r="D4989" s="7">
        <v>120233.93</v>
      </c>
      <c r="F4989" s="7">
        <v>0.11829707</v>
      </c>
      <c r="G4989" s="7">
        <v>-1660.8399999999983</v>
      </c>
      <c r="H4989" s="7">
        <v>0</v>
      </c>
      <c r="I4989" s="7">
        <v>0</v>
      </c>
      <c r="K4989" s="7">
        <v>0</v>
      </c>
      <c r="P4989" s="9" t="s">
        <v>155</v>
      </c>
      <c r="Q4989" s="9">
        <v>0</v>
      </c>
      <c r="R4989" s="9">
        <v>0</v>
      </c>
    </row>
    <row r="4990" spans="1:18">
      <c r="A4990" s="8">
        <v>43524</v>
      </c>
      <c r="B4990" s="6" t="s">
        <v>273</v>
      </c>
      <c r="C4990" s="6" t="s">
        <v>375</v>
      </c>
      <c r="D4990" s="7">
        <v>405120.73700000002</v>
      </c>
      <c r="F4990" s="7">
        <v>0.40368021000000004</v>
      </c>
      <c r="G4990" s="7">
        <v>-5667.489999999998</v>
      </c>
      <c r="H4990" s="7">
        <v>0</v>
      </c>
      <c r="I4990" s="7">
        <v>0</v>
      </c>
      <c r="K4990" s="7">
        <v>0</v>
      </c>
      <c r="P4990" s="9" t="s">
        <v>155</v>
      </c>
      <c r="Q4990" s="9">
        <v>3.2401280805107579E-3</v>
      </c>
      <c r="R4990" s="9">
        <v>1.9276229685803409E-3</v>
      </c>
    </row>
    <row r="4991" spans="1:18">
      <c r="A4991" s="8">
        <v>43524</v>
      </c>
      <c r="B4991" s="6" t="s">
        <v>273</v>
      </c>
      <c r="C4991" s="6" t="s">
        <v>376</v>
      </c>
      <c r="D4991" s="7">
        <v>379012.78230000002</v>
      </c>
      <c r="F4991" s="7">
        <v>0.37766508999999998</v>
      </c>
      <c r="G4991" s="7">
        <v>-5302.2499999999964</v>
      </c>
      <c r="H4991" s="7">
        <v>0</v>
      </c>
      <c r="I4991" s="7">
        <v>0</v>
      </c>
      <c r="K4991" s="7">
        <v>0</v>
      </c>
      <c r="P4991" s="9" t="s">
        <v>155</v>
      </c>
      <c r="Q4991" s="9">
        <v>3.0313184367834691E-3</v>
      </c>
      <c r="R4991" s="9">
        <v>1.8033977009310213E-3</v>
      </c>
    </row>
    <row r="4992" spans="1:18">
      <c r="A4992" s="8">
        <v>43524</v>
      </c>
      <c r="B4992" s="6" t="s">
        <v>273</v>
      </c>
      <c r="C4992" s="6" t="s">
        <v>377</v>
      </c>
      <c r="D4992" s="7">
        <v>3921831.6809999999</v>
      </c>
      <c r="F4992" s="7">
        <v>3.9078864599999998</v>
      </c>
      <c r="G4992" s="7">
        <v>-54865.010000000009</v>
      </c>
      <c r="H4992" s="7">
        <v>0</v>
      </c>
      <c r="I4992" s="7">
        <v>0</v>
      </c>
      <c r="K4992" s="7">
        <v>0</v>
      </c>
      <c r="P4992" s="9" t="s">
        <v>155</v>
      </c>
      <c r="Q4992" s="9">
        <v>3.1366542973443712E-2</v>
      </c>
      <c r="R4992" s="9">
        <v>1.8660648996957858E-2</v>
      </c>
    </row>
    <row r="4993" spans="1:18">
      <c r="A4993" s="8">
        <v>43524</v>
      </c>
      <c r="B4993" s="6" t="s">
        <v>273</v>
      </c>
      <c r="C4993" s="6" t="s">
        <v>378</v>
      </c>
      <c r="D4993" s="7">
        <v>275473.78460000001</v>
      </c>
      <c r="F4993" s="7">
        <v>0.27449425</v>
      </c>
      <c r="G4993" s="7">
        <v>-3853.7800000000025</v>
      </c>
      <c r="H4993" s="7">
        <v>0</v>
      </c>
      <c r="I4993" s="7">
        <v>0</v>
      </c>
      <c r="K4993" s="7">
        <v>0</v>
      </c>
      <c r="P4993" s="9" t="s">
        <v>155</v>
      </c>
      <c r="Q4993" s="9">
        <v>2.2032205328166572E-3</v>
      </c>
      <c r="R4993" s="9">
        <v>1.3107454226825939E-3</v>
      </c>
    </row>
    <row r="4994" spans="1:18">
      <c r="A4994" s="8">
        <v>43524</v>
      </c>
      <c r="B4994" s="6" t="s">
        <v>273</v>
      </c>
      <c r="C4994" s="6" t="s">
        <v>379</v>
      </c>
      <c r="D4994" s="7">
        <v>199711.6312</v>
      </c>
      <c r="F4994" s="7">
        <v>0.1990015</v>
      </c>
      <c r="G4994" s="7">
        <v>-2793.8999999999978</v>
      </c>
      <c r="H4994" s="7">
        <v>0</v>
      </c>
      <c r="I4994" s="7">
        <v>0</v>
      </c>
      <c r="K4994" s="7">
        <v>0</v>
      </c>
      <c r="P4994" s="9" t="s">
        <v>155</v>
      </c>
      <c r="Q4994" s="9">
        <v>1.5972800554522146E-3</v>
      </c>
      <c r="R4994" s="9">
        <v>9.5025875457306825E-4</v>
      </c>
    </row>
    <row r="4995" spans="1:18">
      <c r="A4995" s="8">
        <v>43524</v>
      </c>
      <c r="B4995" s="6" t="s">
        <v>273</v>
      </c>
      <c r="C4995" s="6" t="s">
        <v>380</v>
      </c>
      <c r="D4995" s="7">
        <v>32094.97</v>
      </c>
      <c r="F4995" s="7">
        <v>3.1578040000000002E-2</v>
      </c>
      <c r="G4995" s="7">
        <v>-443.34000000000015</v>
      </c>
      <c r="H4995" s="7">
        <v>0</v>
      </c>
      <c r="I4995" s="7">
        <v>0</v>
      </c>
      <c r="K4995" s="7">
        <v>0</v>
      </c>
      <c r="P4995" s="9" t="s">
        <v>155</v>
      </c>
      <c r="Q4995" s="9">
        <v>0</v>
      </c>
      <c r="R4995" s="9">
        <v>0</v>
      </c>
    </row>
    <row r="4996" spans="1:18">
      <c r="A4996" s="8">
        <v>43524</v>
      </c>
      <c r="B4996" s="6" t="s">
        <v>273</v>
      </c>
      <c r="C4996" s="6" t="s">
        <v>381</v>
      </c>
      <c r="D4996" s="7">
        <v>101637</v>
      </c>
      <c r="F4996" s="7">
        <v>0.1</v>
      </c>
      <c r="G4996" s="7">
        <v>-1403.9599999999991</v>
      </c>
      <c r="H4996" s="7">
        <v>0</v>
      </c>
      <c r="I4996" s="7">
        <v>0</v>
      </c>
      <c r="K4996" s="7">
        <v>0</v>
      </c>
      <c r="P4996" s="9" t="s">
        <v>155</v>
      </c>
      <c r="Q4996" s="9">
        <v>0</v>
      </c>
      <c r="R4996" s="9">
        <v>0</v>
      </c>
    </row>
    <row r="4997" spans="1:18">
      <c r="A4997" s="8">
        <v>43524</v>
      </c>
      <c r="B4997" s="6" t="s">
        <v>273</v>
      </c>
      <c r="C4997" s="6" t="s">
        <v>382</v>
      </c>
      <c r="D4997" s="7">
        <v>1100789.17</v>
      </c>
      <c r="F4997" s="7">
        <v>1.2</v>
      </c>
      <c r="G4997" s="7">
        <v>-16847.47</v>
      </c>
      <c r="H4997" s="7">
        <v>0</v>
      </c>
      <c r="I4997" s="7">
        <v>0</v>
      </c>
      <c r="K4997" s="7">
        <v>0</v>
      </c>
      <c r="P4997" s="9" t="s">
        <v>155</v>
      </c>
      <c r="Q4997" s="9">
        <v>9.6317669291068539E-3</v>
      </c>
      <c r="R4997" s="9">
        <v>0</v>
      </c>
    </row>
    <row r="4998" spans="1:18">
      <c r="A4998" s="8">
        <v>43524</v>
      </c>
      <c r="B4998" s="6" t="s">
        <v>273</v>
      </c>
      <c r="C4998" s="6" t="s">
        <v>383</v>
      </c>
      <c r="D4998" s="7">
        <v>161662.55499999999</v>
      </c>
      <c r="F4998" s="7">
        <v>0.16</v>
      </c>
      <c r="G4998" s="7">
        <v>-2246.33</v>
      </c>
      <c r="H4998" s="7">
        <v>0</v>
      </c>
      <c r="I4998" s="7">
        <v>0</v>
      </c>
      <c r="K4998" s="7">
        <v>0</v>
      </c>
      <c r="P4998" s="9" t="s">
        <v>155</v>
      </c>
      <c r="Q4998" s="9">
        <v>0</v>
      </c>
      <c r="R4998" s="9">
        <v>9.5665499334899641E-4</v>
      </c>
    </row>
    <row r="4999" spans="1:18">
      <c r="A4999" s="8">
        <v>43524</v>
      </c>
      <c r="B4999" s="6" t="s">
        <v>273</v>
      </c>
      <c r="C4999" s="6" t="s">
        <v>384</v>
      </c>
      <c r="D4999" s="7">
        <v>10035684.807700001</v>
      </c>
      <c r="F4999" s="7">
        <v>10</v>
      </c>
      <c r="G4999" s="7">
        <v>-140395.59999999998</v>
      </c>
      <c r="H4999" s="7">
        <v>0</v>
      </c>
      <c r="I4999" s="7">
        <v>0</v>
      </c>
      <c r="K4999" s="7">
        <v>0</v>
      </c>
      <c r="P4999" s="9" t="s">
        <v>155</v>
      </c>
      <c r="Q4999" s="9">
        <v>8.0264724409223775E-2</v>
      </c>
      <c r="R4999" s="9">
        <v>4.775125233431244E-2</v>
      </c>
    </row>
    <row r="5000" spans="1:18">
      <c r="A5000" s="8">
        <v>43524</v>
      </c>
      <c r="B5000" s="6" t="s">
        <v>273</v>
      </c>
      <c r="C5000" s="6" t="s">
        <v>385</v>
      </c>
      <c r="D5000" s="7">
        <v>1512992.7895</v>
      </c>
      <c r="F5000" s="7">
        <v>1.5076128999999998</v>
      </c>
      <c r="G5000" s="7">
        <v>-21166.22</v>
      </c>
      <c r="H5000" s="7">
        <v>0</v>
      </c>
      <c r="I5000" s="7">
        <v>0</v>
      </c>
      <c r="K5000" s="7">
        <v>0</v>
      </c>
      <c r="P5000" s="9" t="s">
        <v>155</v>
      </c>
      <c r="Q5000" s="9">
        <v>1.2100813393429064E-2</v>
      </c>
      <c r="R5000" s="9">
        <v>7.1990404646750886E-3</v>
      </c>
    </row>
    <row r="5001" spans="1:18">
      <c r="A5001" s="8">
        <v>43524</v>
      </c>
      <c r="B5001" s="6" t="s">
        <v>273</v>
      </c>
      <c r="C5001" s="6" t="s">
        <v>386</v>
      </c>
      <c r="D5001" s="7">
        <v>2005110.4833</v>
      </c>
      <c r="F5001" s="7">
        <v>2</v>
      </c>
      <c r="G5001" s="7">
        <v>-28079.119999999995</v>
      </c>
      <c r="H5001" s="7">
        <v>0</v>
      </c>
      <c r="I5001" s="7">
        <v>0</v>
      </c>
      <c r="K5001" s="7">
        <v>0</v>
      </c>
      <c r="P5001" s="9" t="s">
        <v>155</v>
      </c>
      <c r="Q5001" s="9">
        <v>1.6052944881844756E-2</v>
      </c>
      <c r="R5001" s="9">
        <v>9.1926366668624686E-3</v>
      </c>
    </row>
    <row r="5002" spans="1:18">
      <c r="A5002" s="8">
        <v>43524</v>
      </c>
      <c r="B5002" s="6" t="s">
        <v>273</v>
      </c>
      <c r="C5002" s="6" t="s">
        <v>329</v>
      </c>
      <c r="D5002" s="7">
        <v>51052.65</v>
      </c>
      <c r="F5002" s="7">
        <v>0.05</v>
      </c>
      <c r="G5002" s="7">
        <v>-701.96999999999935</v>
      </c>
      <c r="H5002" s="7">
        <v>0</v>
      </c>
      <c r="I5002" s="7">
        <v>0</v>
      </c>
      <c r="K5002" s="7">
        <v>0</v>
      </c>
      <c r="P5002" s="9" t="s">
        <v>155</v>
      </c>
      <c r="Q5002" s="9">
        <v>0</v>
      </c>
      <c r="R5002" s="9">
        <v>0</v>
      </c>
    </row>
    <row r="5003" spans="1:18">
      <c r="A5003" s="8">
        <v>43524</v>
      </c>
      <c r="B5003" s="6" t="s">
        <v>273</v>
      </c>
      <c r="C5003" s="6" t="s">
        <v>330</v>
      </c>
      <c r="D5003" s="7">
        <v>1025821.08</v>
      </c>
      <c r="F5003" s="7">
        <v>1</v>
      </c>
      <c r="G5003" s="7">
        <v>-14039.559999999998</v>
      </c>
      <c r="H5003" s="7">
        <v>0</v>
      </c>
      <c r="I5003" s="7">
        <v>0</v>
      </c>
      <c r="K5003" s="7">
        <v>0</v>
      </c>
      <c r="P5003" s="9" t="s">
        <v>155</v>
      </c>
      <c r="Q5003" s="9">
        <v>0</v>
      </c>
      <c r="R5003" s="9">
        <v>0</v>
      </c>
    </row>
    <row r="5004" spans="1:18">
      <c r="A5004" s="8">
        <v>43524</v>
      </c>
      <c r="B5004" s="6" t="s">
        <v>273</v>
      </c>
      <c r="C5004" s="6" t="s">
        <v>331</v>
      </c>
      <c r="D5004" s="7">
        <v>5065094.8810000001</v>
      </c>
      <c r="F5004" s="7">
        <v>5</v>
      </c>
      <c r="G5004" s="7">
        <v>-70197.799999999988</v>
      </c>
      <c r="H5004" s="7">
        <v>0</v>
      </c>
      <c r="I5004" s="7">
        <v>0</v>
      </c>
      <c r="K5004" s="7">
        <v>0</v>
      </c>
      <c r="P5004" s="9" t="s">
        <v>155</v>
      </c>
      <c r="Q5004" s="9">
        <v>4.0132362204611888E-2</v>
      </c>
      <c r="R5004" s="9">
        <v>2.3875178999999771E-2</v>
      </c>
    </row>
    <row r="5005" spans="1:18">
      <c r="A5005" s="8">
        <v>43524</v>
      </c>
      <c r="B5005" s="6" t="s">
        <v>273</v>
      </c>
      <c r="C5005" s="6" t="s">
        <v>332</v>
      </c>
      <c r="D5005" s="7">
        <v>5065097.4139999999</v>
      </c>
      <c r="F5005" s="7">
        <v>5</v>
      </c>
      <c r="G5005" s="7">
        <v>-70197.799999999988</v>
      </c>
      <c r="H5005" s="7">
        <v>0</v>
      </c>
      <c r="I5005" s="7">
        <v>0</v>
      </c>
      <c r="K5005" s="7">
        <v>0</v>
      </c>
      <c r="P5005" s="9" t="s">
        <v>155</v>
      </c>
      <c r="Q5005" s="9">
        <v>4.0132362204611888E-2</v>
      </c>
      <c r="R5005" s="9">
        <v>2.3875625999999837E-2</v>
      </c>
    </row>
    <row r="5006" spans="1:18">
      <c r="A5006" s="8">
        <v>43524</v>
      </c>
      <c r="B5006" s="6" t="s">
        <v>273</v>
      </c>
      <c r="C5006" s="6" t="s">
        <v>401</v>
      </c>
      <c r="D5006" s="7">
        <v>5065094.8810000001</v>
      </c>
      <c r="F5006" s="7">
        <v>5</v>
      </c>
      <c r="G5006" s="7">
        <v>-70197.799999999988</v>
      </c>
      <c r="H5006" s="7">
        <v>0</v>
      </c>
      <c r="I5006" s="7">
        <v>0</v>
      </c>
      <c r="K5006" s="7">
        <v>0</v>
      </c>
      <c r="P5006" s="9" t="s">
        <v>155</v>
      </c>
      <c r="Q5006" s="9">
        <v>4.0132362204611888E-2</v>
      </c>
      <c r="R5006" s="9">
        <v>2.3875178999999771E-2</v>
      </c>
    </row>
    <row r="5007" spans="1:18">
      <c r="A5007" s="8">
        <v>43524</v>
      </c>
      <c r="B5007" s="6" t="s">
        <v>273</v>
      </c>
      <c r="C5007" s="6" t="s">
        <v>402</v>
      </c>
      <c r="D5007" s="7">
        <v>10130194.828</v>
      </c>
      <c r="F5007" s="7">
        <v>10</v>
      </c>
      <c r="G5007" s="7">
        <v>-140395.59999999998</v>
      </c>
      <c r="H5007" s="7">
        <v>0</v>
      </c>
      <c r="I5007" s="7">
        <v>0</v>
      </c>
      <c r="K5007" s="7">
        <v>0</v>
      </c>
      <c r="P5007" s="9" t="s">
        <v>155</v>
      </c>
      <c r="Q5007" s="9">
        <v>8.0264724409223775E-2</v>
      </c>
      <c r="R5007" s="9">
        <v>4.775125200000023E-2</v>
      </c>
    </row>
    <row r="5008" spans="1:18">
      <c r="A5008" s="8">
        <v>43524</v>
      </c>
      <c r="B5008" s="6" t="s">
        <v>273</v>
      </c>
      <c r="C5008" s="6" t="s">
        <v>403</v>
      </c>
      <c r="D5008" s="7">
        <v>5065094.8810000001</v>
      </c>
      <c r="F5008" s="7">
        <v>5</v>
      </c>
      <c r="G5008" s="7">
        <v>-70197.799999999988</v>
      </c>
      <c r="H5008" s="7">
        <v>0</v>
      </c>
      <c r="I5008" s="7">
        <v>0</v>
      </c>
      <c r="K5008" s="7">
        <v>0</v>
      </c>
      <c r="P5008" s="9" t="s">
        <v>155</v>
      </c>
      <c r="Q5008" s="9">
        <v>4.0132362204611888E-2</v>
      </c>
      <c r="R5008" s="9">
        <v>2.3875178999999771E-2</v>
      </c>
    </row>
    <row r="5009" spans="1:18">
      <c r="A5009" s="8">
        <v>43524</v>
      </c>
      <c r="B5009" s="6" t="s">
        <v>273</v>
      </c>
      <c r="C5009" s="6" t="s">
        <v>404</v>
      </c>
      <c r="D5009" s="7">
        <v>1013018.9915</v>
      </c>
      <c r="F5009" s="7">
        <v>1</v>
      </c>
      <c r="G5009" s="7">
        <v>-14039.559999999998</v>
      </c>
      <c r="H5009" s="7">
        <v>0</v>
      </c>
      <c r="I5009" s="7">
        <v>0</v>
      </c>
      <c r="K5009" s="7">
        <v>0</v>
      </c>
      <c r="P5009" s="9" t="s">
        <v>155</v>
      </c>
      <c r="Q5009" s="9">
        <v>8.0264724409223782E-3</v>
      </c>
      <c r="R5009" s="9">
        <v>4.7750384999999951E-3</v>
      </c>
    </row>
    <row r="5010" spans="1:18">
      <c r="A5010" s="8">
        <v>43524</v>
      </c>
      <c r="B5010" s="6" t="s">
        <v>273</v>
      </c>
      <c r="C5010" s="6" t="s">
        <v>333</v>
      </c>
      <c r="D5010" s="7">
        <v>1793327.45</v>
      </c>
      <c r="F5010" s="7">
        <v>2</v>
      </c>
      <c r="G5010" s="7">
        <v>2000000</v>
      </c>
      <c r="H5010" s="7">
        <v>0</v>
      </c>
      <c r="I5010" s="7">
        <v>0</v>
      </c>
      <c r="K5010" s="7">
        <v>0</v>
      </c>
      <c r="P5010" s="9" t="s">
        <v>155</v>
      </c>
      <c r="Q5010" s="9">
        <v>0</v>
      </c>
      <c r="R5010" s="9">
        <v>0</v>
      </c>
    </row>
    <row r="5011" spans="1:18">
      <c r="A5011" s="8">
        <v>43524</v>
      </c>
      <c r="B5011" s="6" t="s">
        <v>273</v>
      </c>
      <c r="C5011" s="6" t="s">
        <v>334</v>
      </c>
      <c r="D5011" s="7">
        <v>1777274.5</v>
      </c>
      <c r="F5011" s="7">
        <v>2</v>
      </c>
      <c r="G5011" s="7">
        <v>2000000</v>
      </c>
      <c r="H5011" s="7">
        <v>0</v>
      </c>
      <c r="I5011" s="7">
        <v>0</v>
      </c>
      <c r="K5011" s="7">
        <v>0</v>
      </c>
      <c r="P5011" s="9" t="s">
        <v>155</v>
      </c>
      <c r="Q5011" s="9">
        <v>1.6052944881844756E-2</v>
      </c>
      <c r="R5011" s="9">
        <v>0</v>
      </c>
    </row>
    <row r="5012" spans="1:18">
      <c r="A5012" s="8">
        <v>43524</v>
      </c>
      <c r="B5012" s="6" t="s">
        <v>273</v>
      </c>
      <c r="C5012" s="6" t="s">
        <v>335</v>
      </c>
      <c r="D5012" s="7">
        <v>888637.25</v>
      </c>
      <c r="F5012" s="7">
        <v>1</v>
      </c>
      <c r="G5012" s="7">
        <v>1000000</v>
      </c>
      <c r="H5012" s="7">
        <v>0</v>
      </c>
      <c r="I5012" s="7">
        <v>0</v>
      </c>
      <c r="K5012" s="7">
        <v>0</v>
      </c>
      <c r="P5012" s="9" t="s">
        <v>155</v>
      </c>
      <c r="Q5012" s="9">
        <v>8.0264724409223782E-3</v>
      </c>
      <c r="R5012" s="9">
        <v>0</v>
      </c>
    </row>
    <row r="5013" spans="1:18">
      <c r="A5013" s="8">
        <v>43524</v>
      </c>
      <c r="B5013" s="6" t="s">
        <v>273</v>
      </c>
      <c r="C5013" s="6" t="s">
        <v>336</v>
      </c>
      <c r="D5013" s="7">
        <v>888637.25</v>
      </c>
      <c r="F5013" s="7">
        <v>1</v>
      </c>
      <c r="G5013" s="7">
        <v>1000000</v>
      </c>
      <c r="H5013" s="7">
        <v>0</v>
      </c>
      <c r="I5013" s="7">
        <v>0</v>
      </c>
      <c r="K5013" s="7">
        <v>0</v>
      </c>
      <c r="P5013" s="9" t="s">
        <v>155</v>
      </c>
      <c r="Q5013" s="9">
        <v>8.0264724409223782E-3</v>
      </c>
      <c r="R5013" s="9">
        <v>0</v>
      </c>
    </row>
    <row r="5014" spans="1:18">
      <c r="A5014" s="8">
        <v>43524</v>
      </c>
      <c r="B5014" s="6" t="s">
        <v>273</v>
      </c>
      <c r="C5014" s="6" t="s">
        <v>433</v>
      </c>
      <c r="D5014" s="7">
        <v>1016.36</v>
      </c>
      <c r="F5014" s="7">
        <v>1E-3</v>
      </c>
      <c r="G5014" s="7">
        <v>-14.029999999999987</v>
      </c>
      <c r="H5014" s="7">
        <v>0</v>
      </c>
      <c r="I5014" s="7">
        <v>0</v>
      </c>
      <c r="K5014" s="7">
        <v>0</v>
      </c>
      <c r="P5014" s="9" t="s">
        <v>155</v>
      </c>
      <c r="Q5014" s="9">
        <v>0</v>
      </c>
      <c r="R5014" s="9">
        <v>0</v>
      </c>
    </row>
    <row r="5015" spans="1:18">
      <c r="A5015" s="8">
        <v>43524</v>
      </c>
      <c r="B5015" s="6" t="s">
        <v>273</v>
      </c>
      <c r="C5015" s="6" t="s">
        <v>387</v>
      </c>
      <c r="D5015" s="7">
        <v>131367.29</v>
      </c>
      <c r="F5015" s="7">
        <v>0.12925114999999998</v>
      </c>
      <c r="G5015" s="7">
        <v>-1814.6299999999992</v>
      </c>
      <c r="H5015" s="7">
        <v>0</v>
      </c>
      <c r="I5015" s="7">
        <v>0</v>
      </c>
      <c r="K5015" s="7">
        <v>0</v>
      </c>
      <c r="P5015" s="9" t="s">
        <v>155</v>
      </c>
      <c r="Q5015" s="9">
        <v>0</v>
      </c>
      <c r="R5015" s="9">
        <v>0</v>
      </c>
    </row>
    <row r="5016" spans="1:18">
      <c r="A5016" s="8">
        <v>43524</v>
      </c>
      <c r="B5016" s="6" t="s">
        <v>273</v>
      </c>
      <c r="C5016" s="6" t="s">
        <v>388</v>
      </c>
      <c r="D5016" s="7">
        <v>5017842.4038000004</v>
      </c>
      <c r="F5016" s="7">
        <v>5</v>
      </c>
      <c r="G5016" s="7">
        <v>-70197.799999999988</v>
      </c>
      <c r="H5016" s="7">
        <v>0</v>
      </c>
      <c r="I5016" s="7">
        <v>0</v>
      </c>
      <c r="K5016" s="7">
        <v>0</v>
      </c>
      <c r="P5016" s="9" t="s">
        <v>155</v>
      </c>
      <c r="Q5016" s="9">
        <v>4.0132362204611888E-2</v>
      </c>
      <c r="R5016" s="9">
        <v>2.3875626167156081E-2</v>
      </c>
    </row>
    <row r="5017" spans="1:18">
      <c r="A5017" s="8">
        <v>43524</v>
      </c>
      <c r="B5017" s="6" t="s">
        <v>273</v>
      </c>
      <c r="C5017" s="6" t="s">
        <v>419</v>
      </c>
      <c r="D5017" s="7">
        <v>253254.8775</v>
      </c>
      <c r="F5017" s="7">
        <v>0.25</v>
      </c>
      <c r="G5017" s="7">
        <v>-3509.8899999999994</v>
      </c>
      <c r="H5017" s="7">
        <v>0</v>
      </c>
      <c r="I5017" s="7">
        <v>0</v>
      </c>
      <c r="K5017" s="7">
        <v>0</v>
      </c>
      <c r="P5017" s="9" t="s">
        <v>155</v>
      </c>
      <c r="Q5017" s="9">
        <v>2.0066181102305946E-3</v>
      </c>
      <c r="R5017" s="9">
        <v>1.1937824999999982E-3</v>
      </c>
    </row>
    <row r="5018" spans="1:18">
      <c r="A5018" s="8">
        <v>43524</v>
      </c>
      <c r="B5018" s="6" t="s">
        <v>273</v>
      </c>
      <c r="C5018" s="6" t="s">
        <v>418</v>
      </c>
      <c r="D5018" s="7">
        <v>253254.8775</v>
      </c>
      <c r="F5018" s="7">
        <v>0.25</v>
      </c>
      <c r="G5018" s="7">
        <v>-3509.8899999999994</v>
      </c>
      <c r="H5018" s="7">
        <v>0</v>
      </c>
      <c r="I5018" s="7">
        <v>0</v>
      </c>
      <c r="K5018" s="7">
        <v>0</v>
      </c>
      <c r="P5018" s="9" t="s">
        <v>155</v>
      </c>
      <c r="Q5018" s="9">
        <v>2.0066181102305946E-3</v>
      </c>
      <c r="R5018" s="9">
        <v>1.1937824999999982E-3</v>
      </c>
    </row>
    <row r="5019" spans="1:18">
      <c r="A5019" s="8">
        <v>43524</v>
      </c>
      <c r="B5019" s="6" t="s">
        <v>273</v>
      </c>
      <c r="C5019" s="6" t="s">
        <v>420</v>
      </c>
      <c r="D5019" s="7">
        <v>506509.74650000001</v>
      </c>
      <c r="F5019" s="7">
        <v>0.5</v>
      </c>
      <c r="G5019" s="7">
        <v>-7019.7799999999988</v>
      </c>
      <c r="H5019" s="7">
        <v>0</v>
      </c>
      <c r="I5019" s="7">
        <v>0</v>
      </c>
      <c r="K5019" s="7">
        <v>0</v>
      </c>
      <c r="P5019" s="9" t="s">
        <v>155</v>
      </c>
      <c r="Q5019" s="9">
        <v>4.0132362204611891E-3</v>
      </c>
      <c r="R5019" s="9">
        <v>2.3875634999999951E-3</v>
      </c>
    </row>
    <row r="5020" spans="1:18">
      <c r="A5020" s="8">
        <v>43524</v>
      </c>
      <c r="B5020" s="6" t="s">
        <v>273</v>
      </c>
      <c r="C5020" s="6" t="s">
        <v>434</v>
      </c>
      <c r="D5020" s="7">
        <v>222159.31</v>
      </c>
      <c r="F5020" s="7">
        <v>0.25</v>
      </c>
      <c r="G5020" s="7">
        <v>250000</v>
      </c>
      <c r="H5020" s="7">
        <v>0</v>
      </c>
      <c r="I5020" s="7">
        <v>0</v>
      </c>
      <c r="K5020" s="7">
        <v>0</v>
      </c>
      <c r="P5020" s="9" t="s">
        <v>155</v>
      </c>
      <c r="Q5020" s="9">
        <v>2.0066181102305946E-3</v>
      </c>
      <c r="R5020" s="9">
        <v>0</v>
      </c>
    </row>
    <row r="5021" spans="1:18">
      <c r="A5021" s="8">
        <v>43524</v>
      </c>
      <c r="B5021" s="6" t="s">
        <v>273</v>
      </c>
      <c r="C5021" s="6" t="s">
        <v>435</v>
      </c>
      <c r="D5021" s="7">
        <v>266591.18</v>
      </c>
      <c r="F5021" s="7">
        <v>0.3</v>
      </c>
      <c r="G5021" s="7">
        <v>300000</v>
      </c>
      <c r="H5021" s="7">
        <v>0</v>
      </c>
      <c r="I5021" s="7">
        <v>0</v>
      </c>
      <c r="K5021" s="7">
        <v>0</v>
      </c>
      <c r="P5021" s="9" t="s">
        <v>155</v>
      </c>
      <c r="Q5021" s="9">
        <v>2.4079417322767135E-3</v>
      </c>
      <c r="R5021" s="9">
        <v>0</v>
      </c>
    </row>
    <row r="5022" spans="1:18">
      <c r="A5022" s="8">
        <v>43524</v>
      </c>
      <c r="B5022" s="6" t="s">
        <v>273</v>
      </c>
      <c r="C5022" s="6" t="s">
        <v>436</v>
      </c>
      <c r="D5022" s="7">
        <v>266591.18</v>
      </c>
      <c r="F5022" s="7">
        <v>0.3</v>
      </c>
      <c r="G5022" s="7">
        <v>300000</v>
      </c>
      <c r="H5022" s="7">
        <v>0</v>
      </c>
      <c r="I5022" s="7">
        <v>0</v>
      </c>
      <c r="K5022" s="7">
        <v>0</v>
      </c>
      <c r="P5022" s="9" t="s">
        <v>155</v>
      </c>
      <c r="Q5022" s="9">
        <v>2.4079417322767135E-3</v>
      </c>
      <c r="R5022" s="9">
        <v>0</v>
      </c>
    </row>
    <row r="5023" spans="1:18">
      <c r="A5023" s="8">
        <v>43524</v>
      </c>
      <c r="B5023" s="6" t="s">
        <v>273</v>
      </c>
      <c r="C5023" s="6" t="s">
        <v>437</v>
      </c>
      <c r="D5023" s="7">
        <v>311023.03999999998</v>
      </c>
      <c r="F5023" s="7">
        <v>0.35</v>
      </c>
      <c r="G5023" s="7">
        <v>350000</v>
      </c>
      <c r="H5023" s="7">
        <v>0</v>
      </c>
      <c r="I5023" s="7">
        <v>0</v>
      </c>
      <c r="K5023" s="7">
        <v>0</v>
      </c>
      <c r="P5023" s="9" t="s">
        <v>155</v>
      </c>
      <c r="Q5023" s="9">
        <v>2.809265354322832E-3</v>
      </c>
      <c r="R5023" s="9">
        <v>0</v>
      </c>
    </row>
    <row r="5024" spans="1:18">
      <c r="A5024" s="8">
        <v>43524</v>
      </c>
      <c r="B5024" s="6" t="s">
        <v>273</v>
      </c>
      <c r="C5024" s="6" t="s">
        <v>438</v>
      </c>
      <c r="D5024" s="7">
        <v>666477.93999999994</v>
      </c>
      <c r="F5024" s="7">
        <v>0.75</v>
      </c>
      <c r="G5024" s="7">
        <v>750000</v>
      </c>
      <c r="H5024" s="7">
        <v>0</v>
      </c>
      <c r="I5024" s="7">
        <v>0</v>
      </c>
      <c r="K5024" s="7">
        <v>0</v>
      </c>
      <c r="P5024" s="9" t="s">
        <v>155</v>
      </c>
      <c r="Q5024" s="9">
        <v>6.0198543306917837E-3</v>
      </c>
      <c r="R5024" s="9">
        <v>0</v>
      </c>
    </row>
    <row r="5025" spans="1:18">
      <c r="A5025" s="8">
        <v>43524</v>
      </c>
      <c r="B5025" s="6" t="s">
        <v>273</v>
      </c>
      <c r="C5025" s="6" t="s">
        <v>439</v>
      </c>
      <c r="D5025" s="7">
        <v>88863.73</v>
      </c>
      <c r="F5025" s="7">
        <v>0.1</v>
      </c>
      <c r="G5025" s="7">
        <v>100000</v>
      </c>
      <c r="H5025" s="7">
        <v>0</v>
      </c>
      <c r="I5025" s="7">
        <v>0</v>
      </c>
      <c r="K5025" s="7">
        <v>0</v>
      </c>
      <c r="P5025" s="9" t="s">
        <v>155</v>
      </c>
      <c r="Q5025" s="9">
        <v>8.0264724409223793E-4</v>
      </c>
      <c r="R5025" s="9">
        <v>0</v>
      </c>
    </row>
    <row r="5026" spans="1:18">
      <c r="A5026" s="8">
        <v>43524</v>
      </c>
      <c r="B5026" s="6" t="s">
        <v>273</v>
      </c>
      <c r="C5026" s="6" t="s">
        <v>440</v>
      </c>
      <c r="D5026" s="7">
        <v>177727.45</v>
      </c>
      <c r="F5026" s="7">
        <v>0.2</v>
      </c>
      <c r="G5026" s="7">
        <v>200000</v>
      </c>
      <c r="H5026" s="7">
        <v>0</v>
      </c>
      <c r="I5026" s="7">
        <v>0</v>
      </c>
      <c r="K5026" s="7">
        <v>0</v>
      </c>
      <c r="P5026" s="9" t="s">
        <v>155</v>
      </c>
      <c r="Q5026" s="9">
        <v>1.6052944881844759E-3</v>
      </c>
      <c r="R5026" s="9">
        <v>0</v>
      </c>
    </row>
    <row r="5027" spans="1:18">
      <c r="A5027" s="8">
        <v>43524</v>
      </c>
      <c r="B5027" s="6" t="s">
        <v>273</v>
      </c>
      <c r="C5027" s="6" t="s">
        <v>441</v>
      </c>
      <c r="D5027" s="7">
        <v>222159.31</v>
      </c>
      <c r="F5027" s="7">
        <v>0.25</v>
      </c>
      <c r="G5027" s="7">
        <v>250000</v>
      </c>
      <c r="H5027" s="7">
        <v>0</v>
      </c>
      <c r="I5027" s="7">
        <v>0</v>
      </c>
      <c r="K5027" s="7">
        <v>0</v>
      </c>
      <c r="P5027" s="9" t="s">
        <v>155</v>
      </c>
      <c r="Q5027" s="9">
        <v>2.0066181102305946E-3</v>
      </c>
      <c r="R5027" s="9">
        <v>0</v>
      </c>
    </row>
    <row r="5028" spans="1:18">
      <c r="A5028" s="8">
        <v>43524</v>
      </c>
      <c r="B5028" s="6" t="s">
        <v>273</v>
      </c>
      <c r="C5028" s="6" t="s">
        <v>442</v>
      </c>
      <c r="D5028" s="7">
        <v>177727.45</v>
      </c>
      <c r="F5028" s="7">
        <v>0.2</v>
      </c>
      <c r="G5028" s="7">
        <v>200000</v>
      </c>
      <c r="H5028" s="7">
        <v>0</v>
      </c>
      <c r="I5028" s="7">
        <v>0</v>
      </c>
      <c r="K5028" s="7">
        <v>0</v>
      </c>
      <c r="P5028" s="9" t="s">
        <v>155</v>
      </c>
      <c r="Q5028" s="9">
        <v>1.6052944881844759E-3</v>
      </c>
      <c r="R5028" s="9">
        <v>0</v>
      </c>
    </row>
    <row r="5029" spans="1:18">
      <c r="A5029" s="8">
        <v>43524</v>
      </c>
      <c r="B5029" s="6" t="s">
        <v>273</v>
      </c>
      <c r="C5029" s="6" t="s">
        <v>443</v>
      </c>
      <c r="D5029" s="7">
        <v>222159.31</v>
      </c>
      <c r="F5029" s="7">
        <v>0.25</v>
      </c>
      <c r="G5029" s="7">
        <v>250000</v>
      </c>
      <c r="H5029" s="7">
        <v>0</v>
      </c>
      <c r="I5029" s="7">
        <v>0</v>
      </c>
      <c r="K5029" s="7">
        <v>0</v>
      </c>
      <c r="P5029" s="9" t="s">
        <v>155</v>
      </c>
      <c r="Q5029" s="9">
        <v>2.0066181102305946E-3</v>
      </c>
      <c r="R5029" s="9">
        <v>0</v>
      </c>
    </row>
    <row r="5030" spans="1:18">
      <c r="A5030" s="8">
        <v>43524</v>
      </c>
      <c r="B5030" s="6" t="s">
        <v>273</v>
      </c>
      <c r="C5030" s="6" t="s">
        <v>444</v>
      </c>
      <c r="D5030" s="7">
        <v>666477.93999999994</v>
      </c>
      <c r="F5030" s="7">
        <v>0.75</v>
      </c>
      <c r="G5030" s="7">
        <v>750000</v>
      </c>
      <c r="H5030" s="7">
        <v>0</v>
      </c>
      <c r="I5030" s="7">
        <v>0</v>
      </c>
      <c r="K5030" s="7">
        <v>0</v>
      </c>
      <c r="P5030" s="9" t="s">
        <v>155</v>
      </c>
      <c r="Q5030" s="9">
        <v>6.0198543306917837E-3</v>
      </c>
      <c r="R5030" s="9">
        <v>0</v>
      </c>
    </row>
    <row r="5031" spans="1:18">
      <c r="A5031" s="8">
        <v>43524</v>
      </c>
      <c r="B5031" s="6" t="s">
        <v>188</v>
      </c>
      <c r="C5031" s="6" t="s">
        <v>298</v>
      </c>
      <c r="D5031" s="7">
        <v>0</v>
      </c>
      <c r="F5031" s="7">
        <v>2.0000000000000002E-5</v>
      </c>
      <c r="H5031" s="7">
        <v>0</v>
      </c>
      <c r="I5031" s="7">
        <v>0</v>
      </c>
      <c r="K5031" s="7">
        <v>0</v>
      </c>
      <c r="P5031" s="9" t="s">
        <v>155</v>
      </c>
      <c r="Q5031" s="9">
        <v>0</v>
      </c>
      <c r="R5031" s="9">
        <v>0</v>
      </c>
    </row>
    <row r="5032" spans="1:18">
      <c r="A5032" s="8">
        <v>43524</v>
      </c>
      <c r="B5032" s="6" t="s">
        <v>188</v>
      </c>
      <c r="C5032" s="6" t="s">
        <v>343</v>
      </c>
      <c r="D5032" s="7">
        <v>0</v>
      </c>
      <c r="F5032" s="7">
        <v>3.3700000000000001E-7</v>
      </c>
      <c r="H5032" s="7">
        <v>0</v>
      </c>
      <c r="I5032" s="7">
        <v>0</v>
      </c>
      <c r="K5032" s="7">
        <v>0</v>
      </c>
      <c r="P5032" s="9" t="s">
        <v>155</v>
      </c>
      <c r="Q5032" s="9">
        <v>0</v>
      </c>
      <c r="R5032" s="9">
        <v>0</v>
      </c>
    </row>
    <row r="5033" spans="1:18">
      <c r="A5033" s="8">
        <v>43524</v>
      </c>
      <c r="B5033" s="6" t="s">
        <v>188</v>
      </c>
      <c r="C5033" s="6" t="s">
        <v>301</v>
      </c>
      <c r="D5033" s="7">
        <v>0</v>
      </c>
      <c r="F5033" s="7">
        <v>1.66E-4</v>
      </c>
      <c r="H5033" s="7">
        <v>0</v>
      </c>
      <c r="I5033" s="7">
        <v>0</v>
      </c>
      <c r="K5033" s="7">
        <v>0</v>
      </c>
      <c r="P5033" s="9" t="s">
        <v>155</v>
      </c>
      <c r="Q5033" s="9">
        <v>0</v>
      </c>
      <c r="R5033" s="9">
        <v>0</v>
      </c>
    </row>
    <row r="5034" spans="1:18">
      <c r="A5034" s="8">
        <v>43524</v>
      </c>
      <c r="B5034" s="6" t="s">
        <v>188</v>
      </c>
      <c r="C5034" s="6" t="s">
        <v>304</v>
      </c>
      <c r="D5034" s="7">
        <v>0</v>
      </c>
      <c r="F5034" s="7">
        <v>2.5000000000000002E-6</v>
      </c>
      <c r="H5034" s="7">
        <v>0</v>
      </c>
      <c r="I5034" s="7">
        <v>0</v>
      </c>
      <c r="K5034" s="7">
        <v>0</v>
      </c>
      <c r="P5034" s="9" t="s">
        <v>155</v>
      </c>
      <c r="Q5034" s="9">
        <v>0</v>
      </c>
      <c r="R5034" s="9">
        <v>0</v>
      </c>
    </row>
    <row r="5035" spans="1:18">
      <c r="A5035" s="8">
        <v>43524</v>
      </c>
      <c r="B5035" s="6" t="s">
        <v>188</v>
      </c>
      <c r="C5035" s="6" t="s">
        <v>305</v>
      </c>
      <c r="D5035" s="7">
        <v>0</v>
      </c>
      <c r="F5035" s="7">
        <v>2.16E-5</v>
      </c>
      <c r="H5035" s="7">
        <v>0</v>
      </c>
      <c r="I5035" s="7">
        <v>0</v>
      </c>
      <c r="K5035" s="7">
        <v>0</v>
      </c>
      <c r="P5035" s="9" t="s">
        <v>155</v>
      </c>
      <c r="Q5035" s="9">
        <v>0</v>
      </c>
      <c r="R5035" s="9">
        <v>0</v>
      </c>
    </row>
    <row r="5036" spans="1:18">
      <c r="A5036" s="8">
        <v>43524</v>
      </c>
      <c r="B5036" s="6" t="s">
        <v>189</v>
      </c>
      <c r="C5036" s="6" t="s">
        <v>298</v>
      </c>
      <c r="D5036" s="7">
        <v>1142173.6200000001</v>
      </c>
      <c r="F5036" s="7">
        <v>2.0000000000000002E-5</v>
      </c>
      <c r="H5036" s="7">
        <v>0</v>
      </c>
      <c r="I5036" s="7">
        <v>0</v>
      </c>
      <c r="K5036" s="7">
        <v>0</v>
      </c>
      <c r="P5036" s="9" t="s">
        <v>155</v>
      </c>
      <c r="Q5036" s="9">
        <v>0</v>
      </c>
      <c r="R5036" s="9">
        <v>0</v>
      </c>
    </row>
    <row r="5037" spans="1:18">
      <c r="A5037" s="8">
        <v>43524</v>
      </c>
      <c r="B5037" s="6" t="s">
        <v>189</v>
      </c>
      <c r="C5037" s="6" t="s">
        <v>343</v>
      </c>
      <c r="D5037" s="7">
        <v>138518.67610000001</v>
      </c>
      <c r="F5037" s="7">
        <v>2.8000000000000002E-7</v>
      </c>
      <c r="H5037" s="7">
        <v>0</v>
      </c>
      <c r="I5037" s="7">
        <v>0</v>
      </c>
      <c r="K5037" s="7">
        <v>0</v>
      </c>
      <c r="P5037" s="9" t="s">
        <v>155</v>
      </c>
      <c r="Q5037" s="9">
        <v>0</v>
      </c>
      <c r="R5037" s="9">
        <v>0</v>
      </c>
    </row>
    <row r="5038" spans="1:18">
      <c r="A5038" s="8">
        <v>43524</v>
      </c>
      <c r="B5038" s="6" t="s">
        <v>189</v>
      </c>
      <c r="C5038" s="6" t="s">
        <v>301</v>
      </c>
      <c r="D5038" s="7">
        <v>5369877.4000000004</v>
      </c>
      <c r="F5038" s="7">
        <v>1.072E-4</v>
      </c>
      <c r="H5038" s="7">
        <v>0</v>
      </c>
      <c r="I5038" s="7">
        <v>0</v>
      </c>
      <c r="K5038" s="7">
        <v>0</v>
      </c>
      <c r="P5038" s="9" t="s">
        <v>155</v>
      </c>
      <c r="Q5038" s="9">
        <v>0</v>
      </c>
      <c r="R5038" s="9">
        <v>0</v>
      </c>
    </row>
    <row r="5039" spans="1:18">
      <c r="A5039" s="8">
        <v>43524</v>
      </c>
      <c r="B5039" s="6" t="s">
        <v>189</v>
      </c>
      <c r="C5039" s="6" t="s">
        <v>304</v>
      </c>
      <c r="D5039" s="7">
        <v>7087481.9939000001</v>
      </c>
      <c r="F5039" s="7">
        <v>1.25E-4</v>
      </c>
      <c r="H5039" s="7">
        <v>0</v>
      </c>
      <c r="I5039" s="7">
        <v>0</v>
      </c>
      <c r="K5039" s="7">
        <v>0</v>
      </c>
      <c r="P5039" s="9" t="s">
        <v>155</v>
      </c>
      <c r="Q5039" s="9">
        <v>0</v>
      </c>
      <c r="R5039" s="9">
        <v>0.12252822610496444</v>
      </c>
    </row>
    <row r="5040" spans="1:18">
      <c r="A5040" s="8">
        <v>43524</v>
      </c>
      <c r="B5040" s="6" t="s">
        <v>189</v>
      </c>
      <c r="C5040" s="6" t="s">
        <v>305</v>
      </c>
      <c r="D5040" s="7">
        <v>605178.59</v>
      </c>
      <c r="F5040" s="7">
        <v>1.2E-5</v>
      </c>
      <c r="H5040" s="7">
        <v>0</v>
      </c>
      <c r="I5040" s="7">
        <v>0</v>
      </c>
      <c r="K5040" s="7">
        <v>0</v>
      </c>
      <c r="P5040" s="9" t="s">
        <v>155</v>
      </c>
      <c r="Q5040" s="9">
        <v>0</v>
      </c>
      <c r="R5040" s="9">
        <v>0</v>
      </c>
    </row>
    <row r="5041" spans="1:18">
      <c r="A5041" s="8">
        <v>43524</v>
      </c>
      <c r="B5041" s="6" t="s">
        <v>189</v>
      </c>
      <c r="C5041" s="6" t="s">
        <v>344</v>
      </c>
      <c r="D5041" s="7">
        <v>13220.22</v>
      </c>
      <c r="F5041" s="7">
        <v>2.0840000000000001E-7</v>
      </c>
      <c r="H5041" s="7">
        <v>0</v>
      </c>
      <c r="I5041" s="7">
        <v>0</v>
      </c>
      <c r="K5041" s="7">
        <v>0</v>
      </c>
      <c r="P5041" s="9" t="s">
        <v>155</v>
      </c>
      <c r="Q5041" s="9">
        <v>0</v>
      </c>
      <c r="R5041" s="9">
        <v>0</v>
      </c>
    </row>
    <row r="5042" spans="1:18">
      <c r="A5042" s="8">
        <v>43524</v>
      </c>
      <c r="B5042" s="6" t="s">
        <v>149</v>
      </c>
      <c r="C5042" s="6" t="s">
        <v>297</v>
      </c>
      <c r="D5042" s="7">
        <v>28207004.375027467</v>
      </c>
      <c r="E5042" s="9">
        <v>391.29719999999998</v>
      </c>
      <c r="F5042" s="7">
        <v>0</v>
      </c>
      <c r="G5042" s="7">
        <v>0</v>
      </c>
      <c r="H5042" s="7">
        <v>0</v>
      </c>
      <c r="I5042" s="7">
        <v>0</v>
      </c>
      <c r="K5042" s="7">
        <v>72085.876099999994</v>
      </c>
      <c r="P5042" s="9" t="s">
        <v>139</v>
      </c>
      <c r="Q5042" s="9">
        <v>0</v>
      </c>
      <c r="R5042" s="9">
        <v>0</v>
      </c>
    </row>
    <row r="5043" spans="1:18">
      <c r="A5043" s="8">
        <v>43524</v>
      </c>
      <c r="B5043" s="6" t="s">
        <v>15</v>
      </c>
      <c r="C5043" s="6" t="s">
        <v>297</v>
      </c>
      <c r="D5043" s="7">
        <v>17652345.283904888</v>
      </c>
      <c r="E5043" s="9">
        <v>1058.3182999999999</v>
      </c>
      <c r="F5043" s="7">
        <v>0</v>
      </c>
      <c r="G5043" s="7">
        <v>0</v>
      </c>
      <c r="H5043" s="7">
        <v>0</v>
      </c>
      <c r="I5043" s="7">
        <v>0</v>
      </c>
      <c r="K5043" s="7">
        <v>16679.618299999998</v>
      </c>
      <c r="P5043" s="9" t="s">
        <v>139</v>
      </c>
      <c r="Q5043" s="9">
        <v>1.0840871395759365E-2</v>
      </c>
      <c r="R5043" s="9">
        <v>0</v>
      </c>
    </row>
    <row r="5044" spans="1:18">
      <c r="A5044" s="8">
        <v>43524</v>
      </c>
      <c r="B5044" s="6" t="s">
        <v>393</v>
      </c>
      <c r="C5044" s="6" t="s">
        <v>297</v>
      </c>
      <c r="D5044" s="7">
        <v>27849846.491802927</v>
      </c>
      <c r="P5044" s="9" t="s">
        <v>155</v>
      </c>
    </row>
    <row r="5045" spans="1:18">
      <c r="A5045" s="8">
        <v>43524</v>
      </c>
      <c r="B5045" s="6" t="s">
        <v>407</v>
      </c>
      <c r="C5045" s="6" t="s">
        <v>297</v>
      </c>
      <c r="D5045" s="7">
        <v>4564693.8156732321</v>
      </c>
      <c r="I5045" s="7">
        <v>25000</v>
      </c>
      <c r="P5045" s="9" t="s">
        <v>155</v>
      </c>
    </row>
    <row r="5046" spans="1:18">
      <c r="A5046" s="8">
        <v>43524</v>
      </c>
      <c r="B5046" s="6" t="s">
        <v>394</v>
      </c>
      <c r="C5046" s="6" t="s">
        <v>297</v>
      </c>
      <c r="D5046" s="7">
        <v>10229778.399999999</v>
      </c>
      <c r="P5046" s="9" t="s">
        <v>155</v>
      </c>
    </row>
    <row r="5047" spans="1:18">
      <c r="A5047" s="8">
        <v>43524</v>
      </c>
      <c r="B5047" s="6" t="s">
        <v>395</v>
      </c>
      <c r="C5047" s="6" t="s">
        <v>297</v>
      </c>
      <c r="D5047" s="7">
        <v>4000000</v>
      </c>
      <c r="P5047" s="9" t="s">
        <v>155</v>
      </c>
    </row>
    <row r="5048" spans="1:18">
      <c r="A5048" s="8">
        <v>43524</v>
      </c>
      <c r="B5048" s="6" t="s">
        <v>396</v>
      </c>
      <c r="C5048" s="6" t="s">
        <v>297</v>
      </c>
      <c r="P5048" s="9" t="s">
        <v>155</v>
      </c>
    </row>
    <row r="5049" spans="1:18">
      <c r="A5049" s="8">
        <v>43524</v>
      </c>
      <c r="B5049" s="6" t="s">
        <v>19</v>
      </c>
      <c r="C5049" s="6" t="s">
        <v>297</v>
      </c>
      <c r="D5049" s="7">
        <v>90805606.237633541</v>
      </c>
      <c r="E5049" s="9">
        <v>1997.78</v>
      </c>
      <c r="F5049" s="7">
        <v>48</v>
      </c>
      <c r="G5049" s="7">
        <v>0</v>
      </c>
      <c r="H5049" s="7">
        <v>0</v>
      </c>
      <c r="I5049" s="7">
        <v>0</v>
      </c>
      <c r="K5049" s="7">
        <v>45453.17</v>
      </c>
      <c r="P5049" s="9" t="s">
        <v>139</v>
      </c>
      <c r="Q5049" s="9">
        <v>6.6666666666666666E-2</v>
      </c>
      <c r="R5049" s="9">
        <v>0</v>
      </c>
    </row>
    <row r="5050" spans="1:18">
      <c r="A5050" s="8">
        <v>43524</v>
      </c>
      <c r="B5050" s="6" t="s">
        <v>425</v>
      </c>
      <c r="C5050" s="6" t="s">
        <v>297</v>
      </c>
      <c r="D5050" s="7">
        <v>25758951.420258258</v>
      </c>
      <c r="P5050" s="9" t="s">
        <v>155</v>
      </c>
    </row>
    <row r="5051" spans="1:18">
      <c r="A5051" s="8">
        <v>43524</v>
      </c>
      <c r="B5051" s="6" t="s">
        <v>397</v>
      </c>
      <c r="C5051" s="6" t="s">
        <v>297</v>
      </c>
      <c r="D5051" s="7">
        <v>3309197.255508</v>
      </c>
      <c r="P5051" s="9" t="s">
        <v>155</v>
      </c>
    </row>
    <row r="5052" spans="1:18">
      <c r="A5052" s="8">
        <v>43524</v>
      </c>
      <c r="B5052" s="6" t="s">
        <v>424</v>
      </c>
      <c r="C5052" s="6" t="s">
        <v>297</v>
      </c>
      <c r="D5052" s="7">
        <v>28333748.164856054</v>
      </c>
      <c r="P5052" s="9" t="s">
        <v>155</v>
      </c>
    </row>
    <row r="5053" spans="1:18">
      <c r="A5053" s="8">
        <v>43524</v>
      </c>
      <c r="B5053" s="6" t="s">
        <v>82</v>
      </c>
      <c r="C5053" s="6" t="s">
        <v>297</v>
      </c>
      <c r="D5053" s="7">
        <v>13599723.187356602</v>
      </c>
      <c r="I5053" s="7">
        <v>199928.03563859832</v>
      </c>
      <c r="P5053" s="9" t="s">
        <v>155</v>
      </c>
    </row>
  </sheetData>
  <autoFilter ref="A2:AJ4909"/>
  <sortState ref="A3:BA4909">
    <sortCondition ref="B3:B4909"/>
    <sortCondition ref="C3:C4909"/>
    <sortCondition ref="A3:A4909"/>
    <sortCondition ref="D3:D4909"/>
  </sortState>
  <phoneticPr fontId="11" type="noConversion"/>
  <hyperlinks>
    <hyperlink ref="F1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AumChecking.AumChecking">
                <anchor moveWithCells="1" sizeWithCells="1">
                  <from>
                    <xdr:col>3</xdr:col>
                    <xdr:colOff>485775</xdr:colOff>
                    <xdr:row>2</xdr:row>
                    <xdr:rowOff>0</xdr:rowOff>
                  </from>
                  <to>
                    <xdr:col>4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" name="Button 63">
              <controlPr defaultSize="0" print="0" autoFill="0" autoPict="0" macro="[0]!get_data">
                <anchor moveWithCells="1" sizeWithCells="1">
                  <from>
                    <xdr:col>1</xdr:col>
                    <xdr:colOff>409575</xdr:colOff>
                    <xdr:row>0</xdr:row>
                    <xdr:rowOff>28575</xdr:rowOff>
                  </from>
                  <to>
                    <xdr:col>3</xdr:col>
                    <xdr:colOff>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K249"/>
  <sheetViews>
    <sheetView topLeftCell="A178" workbookViewId="0">
      <selection activeCell="G212" sqref="G212"/>
    </sheetView>
  </sheetViews>
  <sheetFormatPr defaultRowHeight="15"/>
  <cols>
    <col min="1" max="1" width="9.42578125" style="127"/>
    <col min="2" max="2" width="12.5703125" customWidth="1"/>
    <col min="3" max="3" width="15.5703125" style="129" customWidth="1"/>
    <col min="4" max="4" width="10.85546875" style="129" customWidth="1"/>
    <col min="5" max="5" width="12" style="129" customWidth="1"/>
    <col min="6" max="6" width="9.85546875" style="129" customWidth="1"/>
    <col min="7" max="8" width="10.85546875" style="129" customWidth="1"/>
    <col min="9" max="10" width="9.85546875" style="129" customWidth="1"/>
    <col min="11" max="11" width="12.28515625" style="129" customWidth="1"/>
    <col min="12" max="12" width="9.85546875" style="129" customWidth="1"/>
    <col min="13" max="13" width="10.85546875" style="129" customWidth="1"/>
    <col min="14" max="14" width="10.28515625" style="129" customWidth="1"/>
    <col min="15" max="15" width="8.85546875" style="129" customWidth="1"/>
    <col min="16" max="17" width="9.85546875" style="129" customWidth="1"/>
    <col min="18" max="18" width="10.85546875" style="129" customWidth="1"/>
    <col min="19" max="20" width="8.85546875" style="129" customWidth="1"/>
    <col min="21" max="22" width="9.85546875" style="129" customWidth="1"/>
    <col min="23" max="24" width="10.85546875" style="129" customWidth="1"/>
    <col min="25" max="26" width="9.85546875" style="129" customWidth="1"/>
    <col min="27" max="27" width="7.42578125" style="129" customWidth="1"/>
    <col min="28" max="28" width="17.28515625" style="129" customWidth="1"/>
    <col min="29" max="29" width="8.85546875" style="129" customWidth="1"/>
    <col min="30" max="30" width="18.28515625" style="129" customWidth="1"/>
    <col min="31" max="31" width="17.7109375" style="129" customWidth="1"/>
    <col min="32" max="32" width="9.85546875" customWidth="1"/>
    <col min="33" max="33" width="17.28515625" customWidth="1"/>
    <col min="34" max="35" width="12.28515625" customWidth="1"/>
    <col min="36" max="36" width="9.5703125" bestFit="1" customWidth="1"/>
    <col min="37" max="37" width="13.7109375" bestFit="1" customWidth="1"/>
    <col min="39" max="39" width="8.7109375" customWidth="1"/>
    <col min="40" max="40" width="19.5703125" bestFit="1" customWidth="1"/>
    <col min="41" max="41" width="18.28515625" bestFit="1" customWidth="1"/>
    <col min="42" max="42" width="17.7109375" bestFit="1" customWidth="1"/>
    <col min="44" max="44" width="10.7109375" bestFit="1" customWidth="1"/>
    <col min="45" max="45" width="9.85546875" bestFit="1" customWidth="1"/>
    <col min="46" max="46" width="19.140625" bestFit="1" customWidth="1"/>
    <col min="47" max="47" width="15.7109375" bestFit="1" customWidth="1"/>
    <col min="48" max="48" width="11.85546875" bestFit="1" customWidth="1"/>
    <col min="50" max="50" width="25" bestFit="1" customWidth="1"/>
    <col min="51" max="51" width="7.42578125" customWidth="1"/>
    <col min="52" max="52" width="8" customWidth="1"/>
    <col min="53" max="53" width="32.140625" bestFit="1" customWidth="1"/>
    <col min="54" max="54" width="9.85546875" bestFit="1" customWidth="1"/>
    <col min="55" max="55" width="10.7109375" bestFit="1" customWidth="1"/>
    <col min="56" max="56" width="16" bestFit="1" customWidth="1"/>
    <col min="58" max="58" width="9.85546875" bestFit="1" customWidth="1"/>
    <col min="59" max="59" width="12.28515625" bestFit="1" customWidth="1"/>
  </cols>
  <sheetData>
    <row r="2" spans="2:37">
      <c r="B2">
        <f>ROWS(B1:B8)</f>
        <v>8</v>
      </c>
      <c r="C2" s="129" t="str">
        <f ca="1">INDIRECT(ADDRESS($B$2,COLUMN()))</f>
        <v>Amsteel</v>
      </c>
      <c r="D2" s="129" t="str">
        <f t="shared" ref="D2:AI2" ca="1" si="0">INDIRECT(ADDRESS($B$2,COLUMN()))</f>
        <v>ARF</v>
      </c>
      <c r="E2" s="129" t="str">
        <f t="shared" ca="1" si="0"/>
        <v>ASM Equities</v>
      </c>
      <c r="F2" s="129" t="str">
        <f t="shared" ca="1" si="0"/>
        <v>BMTR4</v>
      </c>
      <c r="G2" s="129" t="str">
        <f t="shared" ca="1" si="0"/>
        <v>CHF</v>
      </c>
      <c r="H2" s="129" t="str">
        <f t="shared" ca="1" si="0"/>
        <v>CHF2</v>
      </c>
      <c r="I2" s="129" t="str">
        <f t="shared" ca="1" si="0"/>
        <v>COL</v>
      </c>
      <c r="J2" s="129" t="str">
        <f t="shared" ca="1" si="0"/>
        <v>Conrex</v>
      </c>
      <c r="K2" s="129" t="str">
        <f t="shared" ca="1" si="0"/>
        <v>DTK</v>
      </c>
      <c r="L2" s="129" t="str">
        <f t="shared" ca="1" si="0"/>
        <v>Gloves</v>
      </c>
      <c r="M2" s="129" t="str">
        <f t="shared" ca="1" si="0"/>
        <v>HRF</v>
      </c>
      <c r="N2" s="129" t="str">
        <f t="shared" ca="1" si="0"/>
        <v>New BMTR</v>
      </c>
      <c r="O2" s="129" t="str">
        <f t="shared" ca="1" si="0"/>
        <v>OPL</v>
      </c>
      <c r="P2" s="129" t="str">
        <f t="shared" ca="1" si="0"/>
        <v>RR</v>
      </c>
      <c r="Q2" s="129" t="str">
        <f t="shared" ca="1" si="0"/>
        <v>SamSen</v>
      </c>
      <c r="R2" s="129" t="str">
        <f t="shared" ca="1" si="0"/>
        <v>SKK</v>
      </c>
      <c r="S2" s="129" t="str">
        <f t="shared" ca="1" si="0"/>
        <v>SuperA</v>
      </c>
      <c r="T2" s="129" t="str">
        <f t="shared" ca="1" si="0"/>
        <v>Tanker</v>
      </c>
      <c r="U2" s="129" t="str">
        <f t="shared" ca="1" si="0"/>
        <v>William</v>
      </c>
      <c r="V2" s="129" t="str">
        <f t="shared" ca="1" si="0"/>
        <v>COTT</v>
      </c>
      <c r="W2" s="129" t="str">
        <f t="shared" ca="1" si="0"/>
        <v>COPT1</v>
      </c>
      <c r="X2" s="129" t="str">
        <f t="shared" ca="1" si="0"/>
        <v>COPT2</v>
      </c>
      <c r="Y2" s="129" t="str">
        <f t="shared" ca="1" si="0"/>
        <v>CHF3</v>
      </c>
      <c r="Z2" s="129" t="str">
        <f t="shared" ca="1" si="0"/>
        <v>Indomaret</v>
      </c>
      <c r="AA2" s="129" t="str">
        <f t="shared" ca="1" si="0"/>
        <v>BMTR2</v>
      </c>
      <c r="AB2" s="129" t="str">
        <f t="shared" ca="1" si="0"/>
        <v>Mediacom_Donald</v>
      </c>
      <c r="AC2" s="129" t="str">
        <f ca="1">INDIRECT(ADDRESS($B$2,COLUMN()))</f>
        <v>Leopark2</v>
      </c>
      <c r="AD2" s="129" t="str">
        <f t="shared" ca="1" si="0"/>
        <v>Mediacom_Mercury</v>
      </c>
      <c r="AE2" s="129" t="str">
        <f t="shared" ca="1" si="0"/>
        <v xml:space="preserve">Mediacom_Televisi </v>
      </c>
      <c r="AF2" s="129" t="str">
        <f t="shared" ca="1" si="0"/>
        <v>TIH</v>
      </c>
      <c r="AG2" s="129" t="str">
        <f t="shared" ca="1" si="0"/>
        <v>Mediacom_Televisi</v>
      </c>
      <c r="AH2" s="129" t="str">
        <f t="shared" ca="1" si="0"/>
        <v>Grand Total</v>
      </c>
      <c r="AI2" s="129">
        <f t="shared" ca="1" si="0"/>
        <v>0</v>
      </c>
      <c r="AJ2" s="129"/>
      <c r="AK2" s="129"/>
    </row>
    <row r="3" spans="2:37">
      <c r="C3" s="129">
        <f>LARGE(C9:C504,1)</f>
        <v>5654814.7240162529</v>
      </c>
      <c r="D3" s="129">
        <f t="shared" ref="D3:AE3" si="1">LARGE(D9:D504,1)</f>
        <v>631699773.97302437</v>
      </c>
      <c r="E3" s="129">
        <f t="shared" si="1"/>
        <v>65823955.098767616</v>
      </c>
      <c r="F3" s="129">
        <f t="shared" si="1"/>
        <v>27294238.825214498</v>
      </c>
      <c r="G3" s="129">
        <f t="shared" si="1"/>
        <v>254738478.1101</v>
      </c>
      <c r="H3" s="129">
        <f t="shared" si="1"/>
        <v>120481124.22000003</v>
      </c>
      <c r="I3" s="129">
        <f t="shared" si="1"/>
        <v>10900453.286927642</v>
      </c>
      <c r="J3" s="129">
        <f t="shared" si="1"/>
        <v>12941662.31513188</v>
      </c>
      <c r="K3" s="129">
        <f t="shared" si="1"/>
        <v>1068263306.956953</v>
      </c>
      <c r="L3" s="129">
        <f t="shared" si="1"/>
        <v>11158132.2975088</v>
      </c>
      <c r="M3" s="129">
        <f t="shared" si="1"/>
        <v>140794211.57105953</v>
      </c>
      <c r="N3" s="129">
        <f t="shared" si="1"/>
        <v>64557926.877264522</v>
      </c>
      <c r="O3" s="129">
        <f t="shared" si="1"/>
        <v>9501453.4678000007</v>
      </c>
      <c r="P3" s="129">
        <f t="shared" si="1"/>
        <v>32430250.136189248</v>
      </c>
      <c r="Q3" s="129">
        <f t="shared" si="1"/>
        <v>63801975.060000002</v>
      </c>
      <c r="R3" s="129">
        <f t="shared" si="1"/>
        <v>138096674.5</v>
      </c>
      <c r="S3" s="129">
        <f t="shared" si="1"/>
        <v>6056956.9890000001</v>
      </c>
      <c r="T3" s="129">
        <f t="shared" si="1"/>
        <v>999999.5</v>
      </c>
      <c r="U3" s="129">
        <f t="shared" si="1"/>
        <v>15008517.709309621</v>
      </c>
      <c r="V3" s="129">
        <f t="shared" si="1"/>
        <v>68114799.04734081</v>
      </c>
      <c r="W3" s="129">
        <f t="shared" si="1"/>
        <v>225421455.13020152</v>
      </c>
      <c r="X3" s="129">
        <f t="shared" si="1"/>
        <v>258689964.85999998</v>
      </c>
      <c r="Y3" s="129">
        <f t="shared" si="1"/>
        <v>82687116.160000056</v>
      </c>
      <c r="Z3" s="129">
        <f t="shared" si="1"/>
        <v>52717741.156288862</v>
      </c>
      <c r="AA3" s="129">
        <f t="shared" si="1"/>
        <v>873699.32472540811</v>
      </c>
      <c r="AB3" s="129">
        <f t="shared" si="1"/>
        <v>20429107.299999997</v>
      </c>
      <c r="AC3" s="129">
        <f t="shared" si="1"/>
        <v>5078776.5019233469</v>
      </c>
      <c r="AD3" s="129">
        <f t="shared" si="1"/>
        <v>8414875</v>
      </c>
      <c r="AE3" s="129">
        <f t="shared" si="1"/>
        <v>30234637.591206037</v>
      </c>
      <c r="AF3" s="129">
        <f t="shared" ref="AF3:AI3" si="2">LARGE(AF9:AF504,1)</f>
        <v>20933279.1941</v>
      </c>
      <c r="AG3" s="129">
        <f t="shared" si="2"/>
        <v>30704653.75</v>
      </c>
      <c r="AH3" s="129">
        <f t="shared" si="2"/>
        <v>1964555880.6554024</v>
      </c>
      <c r="AI3" s="129" t="e">
        <f t="shared" si="2"/>
        <v>#NUM!</v>
      </c>
    </row>
    <row r="4" spans="2:37">
      <c r="C4" s="130">
        <f ca="1">INDIRECT("B"&amp;C5)</f>
        <v>41698</v>
      </c>
      <c r="D4" s="130">
        <f t="shared" ref="D4:AI4" ca="1" si="3">INDIRECT("B"&amp;D5)</f>
        <v>41243</v>
      </c>
      <c r="E4" s="130">
        <f t="shared" ca="1" si="3"/>
        <v>42095</v>
      </c>
      <c r="F4" s="130">
        <f t="shared" ca="1" si="3"/>
        <v>41820</v>
      </c>
      <c r="G4" s="130">
        <f t="shared" ca="1" si="3"/>
        <v>43100</v>
      </c>
      <c r="H4" s="130">
        <f t="shared" ca="1" si="3"/>
        <v>43098</v>
      </c>
      <c r="I4" s="130">
        <f t="shared" ca="1" si="3"/>
        <v>41607</v>
      </c>
      <c r="J4" s="130">
        <f t="shared" ca="1" si="3"/>
        <v>42429</v>
      </c>
      <c r="K4" s="130">
        <f t="shared" ca="1" si="3"/>
        <v>43159</v>
      </c>
      <c r="L4" s="130">
        <f t="shared" ca="1" si="3"/>
        <v>43100</v>
      </c>
      <c r="M4" s="130">
        <f t="shared" ca="1" si="3"/>
        <v>40480</v>
      </c>
      <c r="N4" s="130">
        <f t="shared" ca="1" si="3"/>
        <v>41943</v>
      </c>
      <c r="O4" s="130">
        <f t="shared" ca="1" si="3"/>
        <v>38595</v>
      </c>
      <c r="P4" s="130">
        <f t="shared" ca="1" si="3"/>
        <v>43188</v>
      </c>
      <c r="Q4" s="130">
        <f t="shared" ca="1" si="3"/>
        <v>43188</v>
      </c>
      <c r="R4" s="130">
        <f t="shared" ca="1" si="3"/>
        <v>42643</v>
      </c>
      <c r="S4" s="130">
        <f t="shared" ca="1" si="3"/>
        <v>42978</v>
      </c>
      <c r="T4" s="130">
        <f t="shared" ca="1" si="3"/>
        <v>42886</v>
      </c>
      <c r="U4" s="130">
        <f t="shared" ca="1" si="3"/>
        <v>42369</v>
      </c>
      <c r="V4" s="130">
        <f t="shared" ca="1" si="3"/>
        <v>40359</v>
      </c>
      <c r="W4" s="130">
        <f t="shared" ca="1" si="3"/>
        <v>40816</v>
      </c>
      <c r="X4" s="130">
        <f t="shared" ca="1" si="3"/>
        <v>41333</v>
      </c>
      <c r="Y4" s="130">
        <f t="shared" ca="1" si="3"/>
        <v>43220</v>
      </c>
      <c r="Z4" s="130">
        <f t="shared" ca="1" si="3"/>
        <v>43220</v>
      </c>
      <c r="AA4" s="130">
        <f t="shared" ca="1" si="3"/>
        <v>43220</v>
      </c>
      <c r="AB4" s="130">
        <f t="shared" ca="1" si="3"/>
        <v>43220</v>
      </c>
      <c r="AC4" s="130">
        <f t="shared" ca="1" si="3"/>
        <v>43188</v>
      </c>
      <c r="AD4" s="130">
        <f t="shared" ca="1" si="3"/>
        <v>43220</v>
      </c>
      <c r="AE4" s="130">
        <f t="shared" ca="1" si="3"/>
        <v>43220</v>
      </c>
      <c r="AF4" s="130">
        <f t="shared" ca="1" si="3"/>
        <v>38990</v>
      </c>
      <c r="AG4" s="130">
        <f t="shared" ca="1" si="3"/>
        <v>43098</v>
      </c>
      <c r="AH4" s="130">
        <f t="shared" ca="1" si="3"/>
        <v>43159</v>
      </c>
      <c r="AI4" s="130" t="e">
        <f t="shared" ca="1" si="3"/>
        <v>#NUM!</v>
      </c>
    </row>
    <row r="5" spans="2:37">
      <c r="C5" s="129">
        <f>MATCH(C3,C$9:C$501,0)</f>
        <v>154</v>
      </c>
      <c r="D5" s="129">
        <f t="shared" ref="D5:AE5" si="4">MATCH(D3,D$9:D$501,0)</f>
        <v>136</v>
      </c>
      <c r="E5" s="129">
        <f t="shared" si="4"/>
        <v>172</v>
      </c>
      <c r="F5" s="129">
        <f t="shared" si="4"/>
        <v>158</v>
      </c>
      <c r="G5" s="129">
        <f t="shared" si="4"/>
        <v>216</v>
      </c>
      <c r="H5" s="129">
        <f t="shared" si="4"/>
        <v>215</v>
      </c>
      <c r="I5" s="129">
        <f t="shared" si="4"/>
        <v>151</v>
      </c>
      <c r="J5" s="129">
        <f t="shared" si="4"/>
        <v>188</v>
      </c>
      <c r="K5" s="129">
        <f t="shared" si="4"/>
        <v>218</v>
      </c>
      <c r="L5" s="129">
        <f t="shared" si="4"/>
        <v>216</v>
      </c>
      <c r="M5" s="129">
        <f t="shared" si="4"/>
        <v>111</v>
      </c>
      <c r="N5" s="129">
        <f t="shared" si="4"/>
        <v>165</v>
      </c>
      <c r="O5" s="129">
        <f t="shared" si="4"/>
        <v>48</v>
      </c>
      <c r="P5" s="129">
        <f t="shared" si="4"/>
        <v>219</v>
      </c>
      <c r="Q5" s="129">
        <f t="shared" si="4"/>
        <v>219</v>
      </c>
      <c r="R5" s="129">
        <f t="shared" si="4"/>
        <v>199</v>
      </c>
      <c r="S5" s="129">
        <f t="shared" si="4"/>
        <v>211</v>
      </c>
      <c r="T5" s="129">
        <f t="shared" si="4"/>
        <v>208</v>
      </c>
      <c r="U5" s="129">
        <f t="shared" si="4"/>
        <v>186</v>
      </c>
      <c r="V5" s="129">
        <f t="shared" si="4"/>
        <v>107</v>
      </c>
      <c r="W5" s="129">
        <f t="shared" si="4"/>
        <v>122</v>
      </c>
      <c r="X5" s="129">
        <f t="shared" si="4"/>
        <v>141</v>
      </c>
      <c r="Y5" s="129">
        <f t="shared" si="4"/>
        <v>220</v>
      </c>
      <c r="Z5" s="129">
        <f t="shared" si="4"/>
        <v>220</v>
      </c>
      <c r="AA5" s="129">
        <f t="shared" si="4"/>
        <v>220</v>
      </c>
      <c r="AB5" s="129">
        <f t="shared" si="4"/>
        <v>220</v>
      </c>
      <c r="AC5" s="129">
        <f t="shared" si="4"/>
        <v>219</v>
      </c>
      <c r="AD5" s="129">
        <f t="shared" si="4"/>
        <v>220</v>
      </c>
      <c r="AE5" s="129">
        <f t="shared" si="4"/>
        <v>220</v>
      </c>
      <c r="AF5" s="129">
        <f t="shared" ref="AF5:AI5" si="5">MATCH(AF3,AF$9:AF$501,0)</f>
        <v>61</v>
      </c>
      <c r="AG5" s="129">
        <f t="shared" si="5"/>
        <v>215</v>
      </c>
      <c r="AH5" s="129">
        <f t="shared" si="5"/>
        <v>218</v>
      </c>
      <c r="AI5" s="129" t="e">
        <f t="shared" si="5"/>
        <v>#NUM!</v>
      </c>
    </row>
    <row r="7" spans="2:37">
      <c r="B7" s="13" t="s">
        <v>184</v>
      </c>
      <c r="C7" s="128" t="s">
        <v>183</v>
      </c>
      <c r="AF7" s="129"/>
      <c r="AG7" s="129"/>
      <c r="AH7" s="129"/>
    </row>
    <row r="8" spans="2:37">
      <c r="B8" s="13" t="s">
        <v>102</v>
      </c>
      <c r="C8" s="129" t="s">
        <v>95</v>
      </c>
      <c r="D8" s="129" t="s">
        <v>0</v>
      </c>
      <c r="E8" s="129" t="s">
        <v>96</v>
      </c>
      <c r="F8" s="129" t="s">
        <v>83</v>
      </c>
      <c r="G8" s="129" t="s">
        <v>136</v>
      </c>
      <c r="H8" s="129" t="s">
        <v>175</v>
      </c>
      <c r="I8" s="129" t="s">
        <v>94</v>
      </c>
      <c r="J8" s="129" t="s">
        <v>92</v>
      </c>
      <c r="K8" s="129" t="s">
        <v>32</v>
      </c>
      <c r="L8" s="129" t="s">
        <v>163</v>
      </c>
      <c r="M8" s="129" t="s">
        <v>15</v>
      </c>
      <c r="N8" s="129" t="s">
        <v>93</v>
      </c>
      <c r="O8" s="129" t="s">
        <v>84</v>
      </c>
      <c r="P8" s="129" t="s">
        <v>33</v>
      </c>
      <c r="Q8" s="129" t="s">
        <v>78</v>
      </c>
      <c r="R8" s="129" t="s">
        <v>19</v>
      </c>
      <c r="S8" s="129" t="s">
        <v>35</v>
      </c>
      <c r="T8" s="129" t="s">
        <v>165</v>
      </c>
      <c r="U8" s="129" t="s">
        <v>82</v>
      </c>
      <c r="V8" s="129" t="s">
        <v>149</v>
      </c>
      <c r="W8" s="129" t="s">
        <v>188</v>
      </c>
      <c r="X8" s="129" t="s">
        <v>189</v>
      </c>
      <c r="Y8" s="129" t="s">
        <v>273</v>
      </c>
      <c r="Z8" s="129" t="s">
        <v>393</v>
      </c>
      <c r="AA8" s="129" t="s">
        <v>392</v>
      </c>
      <c r="AB8" s="129" t="s">
        <v>394</v>
      </c>
      <c r="AC8" s="129" t="s">
        <v>407</v>
      </c>
      <c r="AD8" s="129" t="s">
        <v>395</v>
      </c>
      <c r="AE8" s="129" t="s">
        <v>396</v>
      </c>
      <c r="AF8" s="129" t="s">
        <v>397</v>
      </c>
      <c r="AG8" s="129" t="s">
        <v>408</v>
      </c>
      <c r="AH8" s="129" t="s">
        <v>182</v>
      </c>
    </row>
    <row r="9" spans="2:37">
      <c r="B9" s="14">
        <v>37407</v>
      </c>
      <c r="D9" s="129">
        <v>6749909.9918982461</v>
      </c>
      <c r="AF9" s="129"/>
      <c r="AG9" s="129"/>
      <c r="AH9" s="129">
        <v>6749909.9918982461</v>
      </c>
    </row>
    <row r="10" spans="2:37">
      <c r="B10" s="14">
        <v>37435</v>
      </c>
      <c r="D10" s="129">
        <v>6781984.8891887469</v>
      </c>
      <c r="AF10" s="129"/>
      <c r="AG10" s="129"/>
      <c r="AH10" s="129">
        <v>6781984.8891887469</v>
      </c>
    </row>
    <row r="11" spans="2:37">
      <c r="B11" s="14">
        <v>37468</v>
      </c>
      <c r="D11" s="129">
        <v>7728473.6066321544</v>
      </c>
      <c r="AF11" s="129"/>
      <c r="AG11" s="129"/>
      <c r="AH11" s="129">
        <v>7728473.6066321544</v>
      </c>
    </row>
    <row r="12" spans="2:37">
      <c r="B12" s="14">
        <v>37498</v>
      </c>
      <c r="D12" s="129">
        <v>7851026.2108998587</v>
      </c>
      <c r="AF12" s="129"/>
      <c r="AG12" s="129"/>
      <c r="AH12" s="129">
        <v>7851026.2108998587</v>
      </c>
    </row>
    <row r="13" spans="2:37">
      <c r="B13" s="14">
        <v>37529</v>
      </c>
      <c r="D13" s="129">
        <v>8023874.4039590294</v>
      </c>
      <c r="AF13" s="129"/>
      <c r="AG13" s="129"/>
      <c r="AH13" s="129">
        <v>8023874.4039590294</v>
      </c>
    </row>
    <row r="14" spans="2:37">
      <c r="B14" s="14">
        <v>37559</v>
      </c>
      <c r="D14" s="129">
        <v>11214338.140100392</v>
      </c>
      <c r="AF14" s="129"/>
      <c r="AG14" s="129"/>
      <c r="AH14" s="129">
        <v>11214338.140100392</v>
      </c>
    </row>
    <row r="15" spans="2:37">
      <c r="B15" s="14">
        <v>37589</v>
      </c>
      <c r="D15" s="129">
        <v>14316516.878817642</v>
      </c>
      <c r="AF15" s="129"/>
      <c r="AG15" s="129"/>
      <c r="AH15" s="129">
        <v>14316516.878817642</v>
      </c>
    </row>
    <row r="16" spans="2:37">
      <c r="B16" s="14">
        <v>37621</v>
      </c>
      <c r="D16" s="129">
        <v>16925908.766360465</v>
      </c>
      <c r="AF16" s="129"/>
      <c r="AG16" s="129"/>
      <c r="AH16" s="129">
        <v>16925908.766360465</v>
      </c>
    </row>
    <row r="17" spans="2:34">
      <c r="B17" s="14">
        <v>37652</v>
      </c>
      <c r="D17" s="129">
        <v>22284435.707187761</v>
      </c>
      <c r="AF17" s="129"/>
      <c r="AG17" s="129"/>
      <c r="AH17" s="129">
        <v>22284435.707187761</v>
      </c>
    </row>
    <row r="18" spans="2:34">
      <c r="B18" s="14">
        <v>37680</v>
      </c>
      <c r="D18" s="129">
        <v>26974538.276231118</v>
      </c>
      <c r="AF18" s="129"/>
      <c r="AG18" s="129"/>
      <c r="AH18" s="129">
        <v>26974538.276231118</v>
      </c>
    </row>
    <row r="19" spans="2:34">
      <c r="B19" s="14">
        <v>37711</v>
      </c>
      <c r="D19" s="129">
        <v>27079382.675778888</v>
      </c>
      <c r="AF19" s="129"/>
      <c r="AG19" s="129"/>
      <c r="AH19" s="129">
        <v>27079382.675778888</v>
      </c>
    </row>
    <row r="20" spans="2:34">
      <c r="B20" s="14">
        <v>37741</v>
      </c>
      <c r="D20" s="129">
        <v>48659638.343423203</v>
      </c>
      <c r="AF20" s="129"/>
      <c r="AG20" s="129"/>
      <c r="AH20" s="129">
        <v>48659638.343423203</v>
      </c>
    </row>
    <row r="21" spans="2:34">
      <c r="B21" s="14">
        <v>37771</v>
      </c>
      <c r="D21" s="129">
        <v>49882723.180063948</v>
      </c>
      <c r="AF21" s="129"/>
      <c r="AG21" s="129"/>
      <c r="AH21" s="129">
        <v>49882723.180063948</v>
      </c>
    </row>
    <row r="22" spans="2:34">
      <c r="B22" s="14">
        <v>37802</v>
      </c>
      <c r="D22" s="129">
        <v>53252382.71416261</v>
      </c>
      <c r="AF22" s="129"/>
      <c r="AG22" s="129"/>
      <c r="AH22" s="129">
        <v>53252382.71416261</v>
      </c>
    </row>
    <row r="23" spans="2:34">
      <c r="B23" s="14">
        <v>37833</v>
      </c>
      <c r="D23" s="129">
        <v>54456302.425475195</v>
      </c>
      <c r="AF23" s="129"/>
      <c r="AG23" s="129"/>
      <c r="AH23" s="129">
        <v>54456302.425475195</v>
      </c>
    </row>
    <row r="24" spans="2:34">
      <c r="B24" s="14">
        <v>37862</v>
      </c>
      <c r="D24" s="129">
        <v>55881933.612649925</v>
      </c>
      <c r="AF24" s="129"/>
      <c r="AG24" s="129"/>
      <c r="AH24" s="129">
        <v>55881933.612649925</v>
      </c>
    </row>
    <row r="25" spans="2:34">
      <c r="B25" s="14">
        <v>37894</v>
      </c>
      <c r="D25" s="129">
        <v>57656149.670950986</v>
      </c>
      <c r="AF25" s="129"/>
      <c r="AG25" s="129"/>
      <c r="AH25" s="129">
        <v>57656149.670950986</v>
      </c>
    </row>
    <row r="26" spans="2:34">
      <c r="B26" s="14">
        <v>37925</v>
      </c>
      <c r="D26" s="129">
        <v>79379745.093518212</v>
      </c>
      <c r="AF26" s="129"/>
      <c r="AG26" s="129"/>
      <c r="AH26" s="129">
        <v>79379745.093518212</v>
      </c>
    </row>
    <row r="27" spans="2:34">
      <c r="B27" s="14">
        <v>37953</v>
      </c>
      <c r="D27" s="129">
        <v>90224471.478453606</v>
      </c>
      <c r="AF27" s="129"/>
      <c r="AG27" s="129"/>
      <c r="AH27" s="129">
        <v>90224471.478453606</v>
      </c>
    </row>
    <row r="28" spans="2:34">
      <c r="B28" s="14">
        <v>37986</v>
      </c>
      <c r="D28" s="129">
        <v>91843291.29175207</v>
      </c>
      <c r="AF28" s="129"/>
      <c r="AG28" s="129"/>
      <c r="AH28" s="129">
        <v>91843291.29175207</v>
      </c>
    </row>
    <row r="29" spans="2:34">
      <c r="B29" s="14">
        <v>38017</v>
      </c>
      <c r="D29" s="129">
        <v>90237190.528417513</v>
      </c>
      <c r="AF29" s="129"/>
      <c r="AG29" s="129"/>
      <c r="AH29" s="129">
        <v>90237190.528417513</v>
      </c>
    </row>
    <row r="30" spans="2:34">
      <c r="B30" s="14">
        <v>38044</v>
      </c>
      <c r="D30" s="129">
        <v>93657771.974627659</v>
      </c>
      <c r="AF30" s="129"/>
      <c r="AG30" s="129"/>
      <c r="AH30" s="129">
        <v>93657771.974627659</v>
      </c>
    </row>
    <row r="31" spans="2:34">
      <c r="B31" s="14">
        <v>38077</v>
      </c>
      <c r="D31" s="129">
        <v>97485302.037818968</v>
      </c>
      <c r="AF31" s="129"/>
      <c r="AG31" s="129"/>
      <c r="AH31" s="129">
        <v>97485302.037818968</v>
      </c>
    </row>
    <row r="32" spans="2:34">
      <c r="B32" s="14">
        <v>38107</v>
      </c>
      <c r="D32" s="129">
        <v>101662518.16102278</v>
      </c>
      <c r="AF32" s="129"/>
      <c r="AG32" s="129"/>
      <c r="AH32" s="129">
        <v>101662518.16102278</v>
      </c>
    </row>
    <row r="33" spans="2:34">
      <c r="B33" s="14">
        <v>38138</v>
      </c>
      <c r="D33" s="129">
        <v>118417278.68384798</v>
      </c>
      <c r="AF33" s="129"/>
      <c r="AG33" s="129"/>
      <c r="AH33" s="129">
        <v>118417278.68384798</v>
      </c>
    </row>
    <row r="34" spans="2:34">
      <c r="B34" s="14">
        <v>38168</v>
      </c>
      <c r="D34" s="129">
        <v>119663386.78956835</v>
      </c>
      <c r="AF34" s="129"/>
      <c r="AG34" s="129"/>
      <c r="AH34" s="129">
        <v>119663386.78956835</v>
      </c>
    </row>
    <row r="35" spans="2:34">
      <c r="B35" s="14">
        <v>38198</v>
      </c>
      <c r="D35" s="129">
        <v>120028558.13680373</v>
      </c>
      <c r="AF35" s="129"/>
      <c r="AG35" s="129"/>
      <c r="AH35" s="129">
        <v>120028558.13680373</v>
      </c>
    </row>
    <row r="36" spans="2:34">
      <c r="B36" s="14">
        <v>38230</v>
      </c>
      <c r="D36" s="129">
        <v>120175468.9361843</v>
      </c>
      <c r="AF36" s="129"/>
      <c r="AG36" s="129"/>
      <c r="AH36" s="129">
        <v>120175468.9361843</v>
      </c>
    </row>
    <row r="37" spans="2:34">
      <c r="B37" s="14">
        <v>38260</v>
      </c>
      <c r="D37" s="129">
        <v>133151966.97990951</v>
      </c>
      <c r="AF37" s="129"/>
      <c r="AG37" s="129"/>
      <c r="AH37" s="129">
        <v>133151966.97990951</v>
      </c>
    </row>
    <row r="38" spans="2:34">
      <c r="B38" s="14">
        <v>38289</v>
      </c>
      <c r="D38" s="129">
        <v>132441385.28338923</v>
      </c>
      <c r="AF38" s="129"/>
      <c r="AG38" s="129"/>
      <c r="AH38" s="129">
        <v>132441385.28338923</v>
      </c>
    </row>
    <row r="39" spans="2:34">
      <c r="B39" s="14">
        <v>38321</v>
      </c>
      <c r="D39" s="129">
        <v>138826338.32738152</v>
      </c>
      <c r="AF39" s="129"/>
      <c r="AG39" s="129"/>
      <c r="AH39" s="129">
        <v>138826338.32738152</v>
      </c>
    </row>
    <row r="40" spans="2:34">
      <c r="B40" s="14">
        <v>38352</v>
      </c>
      <c r="D40" s="129">
        <v>161923259.5087077</v>
      </c>
      <c r="AF40" s="129"/>
      <c r="AG40" s="129"/>
      <c r="AH40" s="129">
        <v>161923259.5087077</v>
      </c>
    </row>
    <row r="41" spans="2:34">
      <c r="B41" s="14">
        <v>38383</v>
      </c>
      <c r="D41" s="129">
        <v>183039313.04451823</v>
      </c>
      <c r="AF41" s="129"/>
      <c r="AG41" s="129"/>
      <c r="AH41" s="129">
        <v>183039313.04451823</v>
      </c>
    </row>
    <row r="42" spans="2:34">
      <c r="B42" s="14">
        <v>38411</v>
      </c>
      <c r="D42" s="129">
        <v>197976654.86490938</v>
      </c>
      <c r="AF42" s="129"/>
      <c r="AG42" s="129"/>
      <c r="AH42" s="129">
        <v>197976654.86490938</v>
      </c>
    </row>
    <row r="43" spans="2:34">
      <c r="B43" s="14">
        <v>38442</v>
      </c>
      <c r="D43" s="129">
        <v>197964520.74361074</v>
      </c>
      <c r="AF43" s="129"/>
      <c r="AG43" s="129"/>
      <c r="AH43" s="129">
        <v>197964520.74361074</v>
      </c>
    </row>
    <row r="44" spans="2:34">
      <c r="B44" s="14">
        <v>38472</v>
      </c>
      <c r="D44" s="129">
        <v>195145846.018877</v>
      </c>
      <c r="AF44" s="129"/>
      <c r="AG44" s="129"/>
      <c r="AH44" s="129">
        <v>195145846.018877</v>
      </c>
    </row>
    <row r="45" spans="2:34">
      <c r="B45" s="14">
        <v>38503</v>
      </c>
      <c r="D45" s="129">
        <v>196818576.16448098</v>
      </c>
      <c r="AF45" s="129"/>
      <c r="AG45" s="129"/>
      <c r="AH45" s="129">
        <v>196818576.16448098</v>
      </c>
    </row>
    <row r="46" spans="2:34">
      <c r="B46" s="14">
        <v>38533</v>
      </c>
      <c r="D46" s="129">
        <v>196630871.4554424</v>
      </c>
      <c r="AF46" s="129"/>
      <c r="AG46" s="129"/>
      <c r="AH46" s="129">
        <v>196630871.4554424</v>
      </c>
    </row>
    <row r="47" spans="2:34">
      <c r="B47" s="14">
        <v>38564</v>
      </c>
      <c r="D47" s="129">
        <v>201327054.55061355</v>
      </c>
      <c r="AF47" s="129"/>
      <c r="AG47" s="129"/>
      <c r="AH47" s="129">
        <v>201327054.55061355</v>
      </c>
    </row>
    <row r="48" spans="2:34">
      <c r="B48" s="14">
        <v>38595</v>
      </c>
      <c r="D48" s="129">
        <v>201580000</v>
      </c>
      <c r="AF48" s="129"/>
      <c r="AG48" s="129"/>
      <c r="AH48" s="129">
        <v>201580000</v>
      </c>
    </row>
    <row r="49" spans="2:34">
      <c r="B49" s="14">
        <v>38625</v>
      </c>
      <c r="D49" s="129">
        <v>201700000</v>
      </c>
      <c r="AF49" s="129"/>
      <c r="AG49" s="129"/>
      <c r="AH49" s="129">
        <v>201700000</v>
      </c>
    </row>
    <row r="50" spans="2:34">
      <c r="B50" s="14">
        <v>38656</v>
      </c>
      <c r="D50" s="129">
        <v>219140000</v>
      </c>
      <c r="AF50" s="129"/>
      <c r="AG50" s="129"/>
      <c r="AH50" s="129">
        <v>219140000</v>
      </c>
    </row>
    <row r="51" spans="2:34">
      <c r="B51" s="14">
        <v>38686</v>
      </c>
      <c r="D51" s="129">
        <v>224740000</v>
      </c>
      <c r="AF51" s="129"/>
      <c r="AG51" s="129"/>
      <c r="AH51" s="129">
        <v>224740000</v>
      </c>
    </row>
    <row r="52" spans="2:34">
      <c r="B52" s="14">
        <v>38717</v>
      </c>
      <c r="D52" s="129">
        <v>222840000</v>
      </c>
      <c r="AF52" s="129"/>
      <c r="AG52" s="129"/>
      <c r="AH52" s="129">
        <v>222840000</v>
      </c>
    </row>
    <row r="53" spans="2:34">
      <c r="B53" s="14">
        <v>38747</v>
      </c>
      <c r="D53" s="129">
        <v>233820000</v>
      </c>
      <c r="M53" s="129">
        <v>24929000</v>
      </c>
      <c r="O53" s="129">
        <v>9005953.0999999996</v>
      </c>
      <c r="AF53" s="129"/>
      <c r="AG53" s="129"/>
      <c r="AH53" s="129">
        <v>267754953.09999999</v>
      </c>
    </row>
    <row r="54" spans="2:34">
      <c r="B54" s="14">
        <v>38775</v>
      </c>
      <c r="D54" s="129">
        <v>239660000</v>
      </c>
      <c r="M54" s="129">
        <v>40220000</v>
      </c>
      <c r="O54" s="129">
        <v>9005953.0999999996</v>
      </c>
      <c r="AF54" s="129"/>
      <c r="AG54" s="129"/>
      <c r="AH54" s="129">
        <v>288885953.10000002</v>
      </c>
    </row>
    <row r="55" spans="2:34">
      <c r="B55" s="14">
        <v>38807</v>
      </c>
      <c r="D55" s="129">
        <v>247110000</v>
      </c>
      <c r="M55" s="129">
        <v>50836000</v>
      </c>
      <c r="O55" s="129">
        <v>8850861.3900000006</v>
      </c>
      <c r="AF55" s="129"/>
      <c r="AG55" s="129"/>
      <c r="AH55" s="129">
        <v>306796861.38999999</v>
      </c>
    </row>
    <row r="56" spans="2:34">
      <c r="B56" s="14">
        <v>38837</v>
      </c>
      <c r="D56" s="129">
        <v>254680000</v>
      </c>
      <c r="M56" s="129">
        <v>51139000</v>
      </c>
      <c r="O56" s="129">
        <v>9501453.4678000007</v>
      </c>
      <c r="AF56" s="129"/>
      <c r="AG56" s="129"/>
      <c r="AH56" s="129">
        <v>315320453.46780002</v>
      </c>
    </row>
    <row r="57" spans="2:34">
      <c r="B57" s="14">
        <v>38868</v>
      </c>
      <c r="D57" s="129">
        <v>266430000</v>
      </c>
      <c r="M57" s="129">
        <v>51046000</v>
      </c>
      <c r="AF57" s="129">
        <v>9883443.0380000006</v>
      </c>
      <c r="AG57" s="129"/>
      <c r="AH57" s="129">
        <v>327359443.03799999</v>
      </c>
    </row>
    <row r="58" spans="2:34">
      <c r="B58" s="14">
        <v>38898</v>
      </c>
      <c r="D58" s="129">
        <v>298760000</v>
      </c>
      <c r="M58" s="129">
        <v>50620000</v>
      </c>
      <c r="AF58" s="129">
        <v>9418784.0607000012</v>
      </c>
      <c r="AG58" s="129"/>
      <c r="AH58" s="129">
        <v>358798784.0607</v>
      </c>
    </row>
    <row r="59" spans="2:34">
      <c r="B59" s="14">
        <v>38929</v>
      </c>
      <c r="D59" s="129">
        <v>302060000</v>
      </c>
      <c r="M59" s="129">
        <v>51400000</v>
      </c>
      <c r="AF59" s="129">
        <v>9975706.5765000004</v>
      </c>
      <c r="AG59" s="129"/>
      <c r="AH59" s="129">
        <v>363435706.5765</v>
      </c>
    </row>
    <row r="60" spans="2:34">
      <c r="B60" s="14">
        <v>38960</v>
      </c>
      <c r="D60" s="129">
        <v>328550000</v>
      </c>
      <c r="M60" s="129">
        <v>51500000</v>
      </c>
      <c r="AF60" s="129">
        <v>9352477.5504999999</v>
      </c>
      <c r="AG60" s="129"/>
      <c r="AH60" s="129">
        <v>389402477.55049998</v>
      </c>
    </row>
    <row r="61" spans="2:34">
      <c r="B61" s="14">
        <v>38990</v>
      </c>
      <c r="D61" s="129">
        <v>339800000</v>
      </c>
      <c r="M61" s="129">
        <v>53100000</v>
      </c>
      <c r="AF61" s="129">
        <v>10421864.596500002</v>
      </c>
      <c r="AG61" s="129"/>
      <c r="AH61" s="129">
        <v>403321864.59649998</v>
      </c>
    </row>
    <row r="62" spans="2:34">
      <c r="B62" s="14">
        <v>39021</v>
      </c>
      <c r="D62" s="129">
        <v>350770000</v>
      </c>
      <c r="M62" s="129">
        <v>54270000</v>
      </c>
      <c r="AF62" s="129">
        <v>12168472.222199999</v>
      </c>
      <c r="AG62" s="129"/>
      <c r="AH62" s="129">
        <v>417208472.22219998</v>
      </c>
    </row>
    <row r="63" spans="2:34">
      <c r="B63" s="14">
        <v>39051</v>
      </c>
      <c r="D63" s="129">
        <v>357370000</v>
      </c>
      <c r="M63" s="129">
        <v>56200000</v>
      </c>
      <c r="AF63" s="129">
        <v>11944091.729500001</v>
      </c>
      <c r="AG63" s="129"/>
      <c r="AH63" s="129">
        <v>425514091.7295</v>
      </c>
    </row>
    <row r="64" spans="2:34">
      <c r="B64" s="14">
        <v>39082</v>
      </c>
      <c r="D64" s="129">
        <v>407360000</v>
      </c>
      <c r="M64" s="129">
        <v>58560000</v>
      </c>
      <c r="AF64" s="129">
        <v>13165898.005399998</v>
      </c>
      <c r="AG64" s="129"/>
      <c r="AH64" s="129">
        <v>479085898.0054</v>
      </c>
    </row>
    <row r="65" spans="2:34">
      <c r="B65" s="14">
        <v>39113</v>
      </c>
      <c r="D65" s="129">
        <v>441610000</v>
      </c>
      <c r="M65" s="129">
        <v>60720000</v>
      </c>
      <c r="AF65" s="129">
        <v>13654606.895299999</v>
      </c>
      <c r="AG65" s="129"/>
      <c r="AH65" s="129">
        <v>515984606.89529997</v>
      </c>
    </row>
    <row r="66" spans="2:34">
      <c r="B66" s="14">
        <v>39141</v>
      </c>
      <c r="D66" s="129">
        <v>442030000</v>
      </c>
      <c r="M66" s="129">
        <v>67050000</v>
      </c>
      <c r="AF66" s="129">
        <v>13648686.7699</v>
      </c>
      <c r="AG66" s="129"/>
      <c r="AH66" s="129">
        <v>522728686.76990002</v>
      </c>
    </row>
    <row r="67" spans="2:34">
      <c r="B67" s="14">
        <v>39171</v>
      </c>
      <c r="D67" s="129">
        <v>458480000</v>
      </c>
      <c r="M67" s="129">
        <v>75020000</v>
      </c>
      <c r="AF67" s="129">
        <v>16072364.949200001</v>
      </c>
      <c r="AG67" s="129"/>
      <c r="AH67" s="129">
        <v>549572364.94920003</v>
      </c>
    </row>
    <row r="68" spans="2:34">
      <c r="B68" s="14">
        <v>39202</v>
      </c>
      <c r="D68" s="129">
        <v>477589385.90630847</v>
      </c>
      <c r="M68" s="129">
        <v>83477240.517945811</v>
      </c>
      <c r="AF68" s="129">
        <v>18884341.082600001</v>
      </c>
      <c r="AG68" s="129"/>
      <c r="AH68" s="129">
        <v>579950967.5068543</v>
      </c>
    </row>
    <row r="69" spans="2:34">
      <c r="B69" s="14">
        <v>39233</v>
      </c>
      <c r="D69" s="129">
        <v>512447611.87423545</v>
      </c>
      <c r="M69" s="129">
        <v>86187214.805608019</v>
      </c>
      <c r="AF69" s="129">
        <v>20933279.1941</v>
      </c>
      <c r="AG69" s="129"/>
      <c r="AH69" s="129">
        <v>619568105.87394345</v>
      </c>
    </row>
    <row r="70" spans="2:34">
      <c r="B70" s="14">
        <v>39262</v>
      </c>
      <c r="D70" s="129">
        <v>509518247.52110177</v>
      </c>
      <c r="M70" s="129">
        <v>90814746.693594009</v>
      </c>
      <c r="AF70" s="129">
        <v>17347487.535700001</v>
      </c>
      <c r="AG70" s="129"/>
      <c r="AH70" s="129">
        <v>617680481.75039577</v>
      </c>
    </row>
    <row r="71" spans="2:34">
      <c r="B71" s="14">
        <v>39294</v>
      </c>
      <c r="D71" s="129">
        <v>559120000</v>
      </c>
      <c r="M71" s="129">
        <v>92672791.620249718</v>
      </c>
      <c r="AF71" s="129">
        <v>16650986.466100002</v>
      </c>
      <c r="AG71" s="129"/>
      <c r="AH71" s="129">
        <v>668443778.08634973</v>
      </c>
    </row>
    <row r="72" spans="2:34">
      <c r="B72" s="14">
        <v>39325</v>
      </c>
      <c r="D72" s="129">
        <v>533270000</v>
      </c>
      <c r="M72" s="129">
        <v>97000000</v>
      </c>
      <c r="AF72" s="129">
        <v>17279581.752300002</v>
      </c>
      <c r="AG72" s="129"/>
      <c r="AH72" s="129">
        <v>647549581.75230002</v>
      </c>
    </row>
    <row r="73" spans="2:34">
      <c r="B73" s="14">
        <v>39355</v>
      </c>
      <c r="D73" s="129">
        <v>555580000</v>
      </c>
      <c r="M73" s="129">
        <v>98260000</v>
      </c>
      <c r="AF73" s="129">
        <v>17240114.835999999</v>
      </c>
      <c r="AG73" s="129"/>
      <c r="AH73" s="129">
        <v>671080114.83599997</v>
      </c>
    </row>
    <row r="74" spans="2:34">
      <c r="B74" s="14">
        <v>39386</v>
      </c>
      <c r="D74" s="129">
        <v>558798778.40037513</v>
      </c>
      <c r="M74" s="129">
        <v>99300000</v>
      </c>
      <c r="AF74" s="129">
        <v>17627440.259099998</v>
      </c>
      <c r="AG74" s="129"/>
      <c r="AH74" s="129">
        <v>675726218.65947509</v>
      </c>
    </row>
    <row r="75" spans="2:34">
      <c r="B75" s="14">
        <v>39416</v>
      </c>
      <c r="D75" s="129">
        <v>571347344.46757579</v>
      </c>
      <c r="M75" s="129">
        <v>100550000</v>
      </c>
      <c r="AF75" s="129">
        <v>17281942.715799998</v>
      </c>
      <c r="AG75" s="129"/>
      <c r="AH75" s="129">
        <v>689179287.18337584</v>
      </c>
    </row>
    <row r="76" spans="2:34">
      <c r="B76" s="14">
        <v>39447</v>
      </c>
      <c r="D76" s="129">
        <v>584090357.11431062</v>
      </c>
      <c r="M76" s="129">
        <v>105370000</v>
      </c>
      <c r="AF76" s="129">
        <v>14607353.548899999</v>
      </c>
      <c r="AG76" s="129"/>
      <c r="AH76" s="129">
        <v>704067710.66321063</v>
      </c>
    </row>
    <row r="77" spans="2:34">
      <c r="B77" s="14">
        <v>39478</v>
      </c>
      <c r="D77" s="129">
        <v>578824889.01440358</v>
      </c>
      <c r="M77" s="129">
        <v>104033198.98867595</v>
      </c>
      <c r="AF77" s="129">
        <v>13312883.375400001</v>
      </c>
      <c r="AG77" s="129"/>
      <c r="AH77" s="129">
        <v>696170971.37847948</v>
      </c>
    </row>
    <row r="78" spans="2:34">
      <c r="B78" s="14">
        <v>39507</v>
      </c>
      <c r="D78" s="129">
        <v>623022111.54772389</v>
      </c>
      <c r="M78" s="129">
        <v>105217953.83456975</v>
      </c>
      <c r="AF78" s="129">
        <v>13858374.7568</v>
      </c>
      <c r="AG78" s="129"/>
      <c r="AH78" s="129">
        <v>742098440.13909376</v>
      </c>
    </row>
    <row r="79" spans="2:34">
      <c r="B79" s="14">
        <v>39538</v>
      </c>
      <c r="D79" s="129">
        <v>616185608.06165004</v>
      </c>
      <c r="M79" s="129">
        <v>101967651.478034</v>
      </c>
      <c r="AF79" s="129">
        <v>13198675.3157</v>
      </c>
      <c r="AG79" s="129"/>
      <c r="AH79" s="129">
        <v>731351934.85538411</v>
      </c>
    </row>
    <row r="80" spans="2:34">
      <c r="B80" s="14">
        <v>39568</v>
      </c>
      <c r="D80" s="129">
        <v>612147534.47961235</v>
      </c>
      <c r="M80" s="129">
        <v>100177833.03881393</v>
      </c>
      <c r="AF80" s="129">
        <v>13212696.137141576</v>
      </c>
      <c r="AG80" s="129"/>
      <c r="AH80" s="129">
        <v>725538063.65556788</v>
      </c>
    </row>
    <row r="81" spans="2:34">
      <c r="B81" s="14">
        <v>39598</v>
      </c>
      <c r="D81" s="129">
        <v>613046016.40129268</v>
      </c>
      <c r="M81" s="129">
        <v>98649298.7052131</v>
      </c>
      <c r="AF81" s="129">
        <v>12541219.000179252</v>
      </c>
      <c r="AG81" s="129"/>
      <c r="AH81" s="129">
        <v>724236534.10668504</v>
      </c>
    </row>
    <row r="82" spans="2:34">
      <c r="B82" s="14">
        <v>39629</v>
      </c>
      <c r="D82" s="129">
        <v>624070000</v>
      </c>
      <c r="M82" s="129">
        <v>100340000</v>
      </c>
      <c r="AF82" s="129">
        <v>11973988.358993264</v>
      </c>
      <c r="AG82" s="129"/>
      <c r="AH82" s="129">
        <v>736383988.35899329</v>
      </c>
    </row>
    <row r="83" spans="2:34">
      <c r="B83" s="14">
        <v>39660</v>
      </c>
      <c r="D83" s="129">
        <v>606867092.72744</v>
      </c>
      <c r="M83" s="129">
        <v>97200000</v>
      </c>
      <c r="AF83" s="129">
        <v>10851614.452166066</v>
      </c>
      <c r="AG83" s="129"/>
      <c r="AH83" s="129">
        <v>714918707.17960608</v>
      </c>
    </row>
    <row r="84" spans="2:34">
      <c r="B84" s="14">
        <v>39689</v>
      </c>
      <c r="D84" s="129">
        <v>578360000</v>
      </c>
      <c r="M84" s="129">
        <v>91780000</v>
      </c>
      <c r="AF84" s="129">
        <v>8959547.3835000005</v>
      </c>
      <c r="AG84" s="129"/>
      <c r="AH84" s="129">
        <v>679099547.38349998</v>
      </c>
    </row>
    <row r="85" spans="2:34">
      <c r="B85" s="14">
        <v>39721</v>
      </c>
      <c r="D85" s="129">
        <v>554100000</v>
      </c>
      <c r="M85" s="129">
        <v>89580000</v>
      </c>
      <c r="AF85" s="129">
        <v>7731420.3601257904</v>
      </c>
      <c r="AG85" s="129"/>
      <c r="AH85" s="129">
        <v>651411420.36012578</v>
      </c>
    </row>
    <row r="86" spans="2:34">
      <c r="B86" s="14">
        <v>39752</v>
      </c>
      <c r="D86" s="129">
        <v>518440000.00000006</v>
      </c>
      <c r="M86" s="129">
        <v>84960000</v>
      </c>
      <c r="AF86" s="129">
        <v>5292774.6245671185</v>
      </c>
      <c r="AG86" s="129"/>
      <c r="AH86" s="129">
        <v>608692774.62456715</v>
      </c>
    </row>
    <row r="87" spans="2:34">
      <c r="B87" s="14">
        <v>39780</v>
      </c>
      <c r="D87" s="129">
        <v>517700000.00000006</v>
      </c>
      <c r="M87" s="129">
        <v>82270000</v>
      </c>
      <c r="AF87" s="129">
        <v>5177830.7596805431</v>
      </c>
      <c r="AG87" s="129"/>
      <c r="AH87" s="129">
        <v>605147830.75968051</v>
      </c>
    </row>
    <row r="88" spans="2:34">
      <c r="B88" s="14">
        <v>39813</v>
      </c>
      <c r="D88" s="129">
        <v>508910000</v>
      </c>
      <c r="M88" s="129">
        <v>81210000</v>
      </c>
      <c r="AF88" s="129">
        <v>4669857.4962914446</v>
      </c>
      <c r="AG88" s="129"/>
      <c r="AH88" s="129">
        <v>594789857.4962914</v>
      </c>
    </row>
    <row r="89" spans="2:34">
      <c r="B89" s="14">
        <v>39843</v>
      </c>
      <c r="D89" s="129">
        <v>431380000</v>
      </c>
      <c r="M89" s="129">
        <v>82490000</v>
      </c>
      <c r="AF89" s="129">
        <v>4318747.7726973919</v>
      </c>
      <c r="AG89" s="129"/>
      <c r="AH89" s="129">
        <v>518188747.77269739</v>
      </c>
    </row>
    <row r="90" spans="2:34">
      <c r="B90" s="14">
        <v>39846</v>
      </c>
      <c r="V90" s="129">
        <v>19979521.940000001</v>
      </c>
      <c r="AF90" s="129"/>
      <c r="AG90" s="129"/>
      <c r="AH90" s="129">
        <v>19979521.940000001</v>
      </c>
    </row>
    <row r="91" spans="2:34">
      <c r="B91" s="14">
        <v>39871</v>
      </c>
      <c r="D91" s="129">
        <v>428120000</v>
      </c>
      <c r="M91" s="129">
        <v>81710000</v>
      </c>
      <c r="AF91" s="129">
        <v>4224381.8455724195</v>
      </c>
      <c r="AG91" s="129"/>
      <c r="AH91" s="129">
        <v>514054381.84557241</v>
      </c>
    </row>
    <row r="92" spans="2:34">
      <c r="B92" s="14">
        <v>39903</v>
      </c>
      <c r="D92" s="129">
        <v>408010000</v>
      </c>
      <c r="M92" s="129">
        <v>78530000</v>
      </c>
      <c r="V92" s="129">
        <v>39674246.759999998</v>
      </c>
      <c r="AF92" s="129">
        <v>4152757.4557141424</v>
      </c>
      <c r="AG92" s="129"/>
      <c r="AH92" s="129">
        <v>530367004.21571416</v>
      </c>
    </row>
    <row r="93" spans="2:34">
      <c r="B93" s="14">
        <v>39933</v>
      </c>
      <c r="D93" s="129">
        <v>349930000</v>
      </c>
      <c r="M93" s="129">
        <v>77300000</v>
      </c>
      <c r="V93" s="129">
        <v>39876208.07</v>
      </c>
      <c r="AF93" s="129">
        <v>4184828.7385757361</v>
      </c>
      <c r="AG93" s="129"/>
      <c r="AH93" s="129">
        <v>471291036.80857575</v>
      </c>
    </row>
    <row r="94" spans="2:34">
      <c r="B94" s="14">
        <v>39962</v>
      </c>
      <c r="D94" s="129">
        <v>348210000</v>
      </c>
      <c r="M94" s="129">
        <v>79820000</v>
      </c>
      <c r="V94" s="129">
        <v>40149829.530000001</v>
      </c>
      <c r="AF94" s="129">
        <v>4284028.4058595886</v>
      </c>
      <c r="AG94" s="129"/>
      <c r="AH94" s="129">
        <v>472463857.93585956</v>
      </c>
    </row>
    <row r="95" spans="2:34">
      <c r="B95" s="14">
        <v>39994</v>
      </c>
      <c r="D95" s="129">
        <v>345404460.07499999</v>
      </c>
      <c r="M95" s="129">
        <v>78841958.320000008</v>
      </c>
      <c r="V95" s="129">
        <v>20132711.030000001</v>
      </c>
      <c r="AF95" s="129">
        <v>4039300.7496487615</v>
      </c>
      <c r="AG95" s="129"/>
      <c r="AH95" s="129">
        <v>448418430.1746487</v>
      </c>
    </row>
    <row r="96" spans="2:34">
      <c r="B96" s="14">
        <v>40025</v>
      </c>
      <c r="D96" s="129">
        <v>315390000</v>
      </c>
      <c r="M96" s="129">
        <v>81210000</v>
      </c>
      <c r="V96" s="129">
        <v>26460241.32</v>
      </c>
      <c r="AF96" s="129">
        <v>4199125.3059773697</v>
      </c>
      <c r="AG96" s="129"/>
      <c r="AH96" s="129">
        <v>427259366.62597734</v>
      </c>
    </row>
    <row r="97" spans="2:34">
      <c r="B97" s="14">
        <v>40056</v>
      </c>
      <c r="D97" s="129">
        <v>317550000</v>
      </c>
      <c r="M97" s="129">
        <v>80580000</v>
      </c>
      <c r="V97" s="129">
        <v>41833139.82</v>
      </c>
      <c r="AF97" s="129">
        <v>4518652.24</v>
      </c>
      <c r="AG97" s="129"/>
      <c r="AH97" s="129">
        <v>444481792.06</v>
      </c>
    </row>
    <row r="98" spans="2:34">
      <c r="B98" s="14">
        <v>40086</v>
      </c>
      <c r="D98" s="129">
        <v>338568492.37493181</v>
      </c>
      <c r="M98" s="129">
        <v>87323228.21447818</v>
      </c>
      <c r="V98" s="129">
        <v>42577963.890000001</v>
      </c>
      <c r="AF98" s="129">
        <v>6526871.8700000001</v>
      </c>
      <c r="AG98" s="129"/>
      <c r="AH98" s="129">
        <v>474996556.34941</v>
      </c>
    </row>
    <row r="99" spans="2:34">
      <c r="B99" s="14">
        <v>40116</v>
      </c>
      <c r="D99" s="129">
        <v>334519302.79206502</v>
      </c>
      <c r="M99" s="129">
        <v>87635339.529168323</v>
      </c>
      <c r="V99" s="129">
        <v>42967687.509999998</v>
      </c>
      <c r="AF99" s="129">
        <v>6667129.0700000003</v>
      </c>
      <c r="AG99" s="129"/>
      <c r="AH99" s="129">
        <v>471789458.90123332</v>
      </c>
    </row>
    <row r="100" spans="2:34">
      <c r="B100" s="14">
        <v>40147</v>
      </c>
      <c r="D100" s="129">
        <v>349295003.95000005</v>
      </c>
      <c r="M100" s="129">
        <v>92205431.659999996</v>
      </c>
      <c r="V100" s="129">
        <v>43049081.469999999</v>
      </c>
      <c r="AF100" s="129">
        <v>8278917.5700000012</v>
      </c>
      <c r="AG100" s="129"/>
      <c r="AH100" s="129">
        <v>492828434.65000004</v>
      </c>
    </row>
    <row r="101" spans="2:34">
      <c r="B101" s="14">
        <v>40178</v>
      </c>
      <c r="D101" s="129">
        <v>353252518.72327679</v>
      </c>
      <c r="M101" s="129">
        <v>91418042.249768555</v>
      </c>
      <c r="V101" s="129">
        <v>42607957.950000003</v>
      </c>
      <c r="AF101" s="129">
        <v>6543605.8300000001</v>
      </c>
      <c r="AG101" s="129"/>
      <c r="AH101" s="129">
        <v>493822124.75304532</v>
      </c>
    </row>
    <row r="102" spans="2:34">
      <c r="B102" s="14">
        <v>40207</v>
      </c>
      <c r="D102" s="129">
        <v>352948806.02760398</v>
      </c>
      <c r="M102" s="129">
        <v>93353398.053485274</v>
      </c>
      <c r="V102" s="129">
        <v>43082944.210000001</v>
      </c>
      <c r="AF102" s="129">
        <v>6530913.1100000003</v>
      </c>
      <c r="AG102" s="129"/>
      <c r="AH102" s="129">
        <v>495916061.40108925</v>
      </c>
    </row>
    <row r="103" spans="2:34">
      <c r="B103" s="14">
        <v>40235</v>
      </c>
      <c r="D103" s="129">
        <v>355018201.71693742</v>
      </c>
      <c r="M103" s="129">
        <v>94186318.31120567</v>
      </c>
      <c r="V103" s="129">
        <v>42543722.520000003</v>
      </c>
      <c r="AF103" s="129">
        <v>6800882.0099999998</v>
      </c>
      <c r="AG103" s="129"/>
      <c r="AH103" s="129">
        <v>498549124.55814308</v>
      </c>
    </row>
    <row r="104" spans="2:34">
      <c r="B104" s="14">
        <v>40268</v>
      </c>
      <c r="D104" s="129">
        <v>368917989.54005951</v>
      </c>
      <c r="M104" s="129">
        <v>99176603.113255486</v>
      </c>
      <c r="V104" s="129">
        <v>44934865.420000002</v>
      </c>
      <c r="AF104" s="129">
        <v>7315920.7999999998</v>
      </c>
      <c r="AG104" s="129"/>
      <c r="AH104" s="129">
        <v>520345378.87331504</v>
      </c>
    </row>
    <row r="105" spans="2:34">
      <c r="B105" s="14">
        <v>40298</v>
      </c>
      <c r="D105" s="129">
        <v>372784963.22142768</v>
      </c>
      <c r="M105" s="129">
        <v>103222882.10626243</v>
      </c>
      <c r="V105" s="129">
        <v>46216769.770000003</v>
      </c>
      <c r="AF105" s="129">
        <v>7671479.3700000001</v>
      </c>
      <c r="AG105" s="129"/>
      <c r="AH105" s="129">
        <v>529896094.46769011</v>
      </c>
    </row>
    <row r="106" spans="2:34">
      <c r="B106" s="14">
        <v>40329</v>
      </c>
      <c r="D106" s="129">
        <v>366711884.58983797</v>
      </c>
      <c r="M106" s="129">
        <v>100230076.12996496</v>
      </c>
      <c r="V106" s="129">
        <v>45710298.93</v>
      </c>
      <c r="AF106" s="129">
        <v>6458096.7400000002</v>
      </c>
      <c r="AG106" s="129"/>
      <c r="AH106" s="129">
        <v>519110356.38980293</v>
      </c>
    </row>
    <row r="107" spans="2:34">
      <c r="B107" s="14">
        <v>40359</v>
      </c>
      <c r="D107" s="129">
        <v>397911829.52241683</v>
      </c>
      <c r="M107" s="129">
        <v>107482446.57919998</v>
      </c>
      <c r="V107" s="129">
        <v>45569820.68</v>
      </c>
      <c r="AF107" s="129">
        <v>7782077.1200000001</v>
      </c>
      <c r="AG107" s="129"/>
      <c r="AH107" s="129">
        <v>558746173.90161681</v>
      </c>
    </row>
    <row r="108" spans="2:34">
      <c r="B108" s="14">
        <v>40389</v>
      </c>
      <c r="D108" s="129">
        <v>420171548.96384674</v>
      </c>
      <c r="M108" s="129">
        <v>113564342.34562333</v>
      </c>
      <c r="V108" s="129">
        <v>46933792.829999998</v>
      </c>
      <c r="AF108" s="129">
        <v>8892084.9900000002</v>
      </c>
      <c r="AG108" s="129"/>
      <c r="AH108" s="129">
        <v>589561769.12947011</v>
      </c>
    </row>
    <row r="109" spans="2:34">
      <c r="B109" s="14">
        <v>40421</v>
      </c>
      <c r="D109" s="129">
        <v>423729540.27980381</v>
      </c>
      <c r="M109" s="129">
        <v>113727634.7472409</v>
      </c>
      <c r="V109" s="129">
        <v>50006313.68</v>
      </c>
      <c r="AF109" s="129">
        <v>8548219.9499999993</v>
      </c>
      <c r="AG109" s="129"/>
      <c r="AH109" s="129">
        <v>596011708.65704477</v>
      </c>
    </row>
    <row r="110" spans="2:34">
      <c r="B110" s="14">
        <v>40451</v>
      </c>
      <c r="D110" s="129">
        <v>442850372.91364473</v>
      </c>
      <c r="M110" s="129">
        <v>117979725.83131476</v>
      </c>
      <c r="V110" s="129">
        <v>57583797.530000001</v>
      </c>
      <c r="AF110" s="129">
        <v>9010054.2200000007</v>
      </c>
      <c r="AG110" s="129"/>
      <c r="AH110" s="129">
        <v>627423950.49495947</v>
      </c>
    </row>
    <row r="111" spans="2:34">
      <c r="B111" s="14">
        <v>40480</v>
      </c>
      <c r="D111" s="129">
        <v>457607576.10000002</v>
      </c>
      <c r="M111" s="129">
        <v>124157589.73</v>
      </c>
      <c r="V111" s="129">
        <v>65773613.276856452</v>
      </c>
      <c r="AF111" s="129">
        <v>9492515.5800000001</v>
      </c>
      <c r="AG111" s="129"/>
      <c r="AH111" s="129">
        <v>657031294.68685651</v>
      </c>
    </row>
    <row r="112" spans="2:34">
      <c r="B112" s="14">
        <v>40512</v>
      </c>
      <c r="D112" s="129">
        <v>474324050.08314651</v>
      </c>
      <c r="M112" s="129">
        <v>127900569.39407663</v>
      </c>
      <c r="V112" s="129">
        <v>66222910.400219984</v>
      </c>
      <c r="AF112" s="129">
        <v>10907065.949999999</v>
      </c>
      <c r="AG112" s="129"/>
      <c r="AH112" s="129">
        <v>679354595.82744324</v>
      </c>
    </row>
    <row r="113" spans="2:34">
      <c r="B113" s="14">
        <v>40543</v>
      </c>
      <c r="D113" s="129">
        <v>486399190.24615806</v>
      </c>
      <c r="M113" s="129">
        <v>130481056.52185972</v>
      </c>
      <c r="V113" s="129">
        <v>67377468.915746853</v>
      </c>
      <c r="AF113" s="129">
        <v>9254283.2300000004</v>
      </c>
      <c r="AG113" s="129"/>
      <c r="AH113" s="129">
        <v>693511998.9137646</v>
      </c>
    </row>
    <row r="114" spans="2:34">
      <c r="B114" s="14">
        <v>40574</v>
      </c>
      <c r="D114" s="129">
        <v>491389942.62095493</v>
      </c>
      <c r="M114" s="129">
        <v>132479426.32791139</v>
      </c>
      <c r="V114" s="129">
        <v>67885756.356959596</v>
      </c>
      <c r="AF114" s="129">
        <v>9927969.2599999998</v>
      </c>
      <c r="AG114" s="129"/>
      <c r="AH114" s="129">
        <v>701683094.56582594</v>
      </c>
    </row>
    <row r="115" spans="2:34">
      <c r="B115" s="14">
        <v>40602</v>
      </c>
      <c r="D115" s="129">
        <v>489732805.8110106</v>
      </c>
      <c r="M115" s="129">
        <v>132481465.02715729</v>
      </c>
      <c r="V115" s="129">
        <v>68114799.04734081</v>
      </c>
      <c r="AF115" s="129">
        <v>10574605.560000001</v>
      </c>
      <c r="AG115" s="129"/>
      <c r="AH115" s="129">
        <v>700903675.44550872</v>
      </c>
    </row>
    <row r="116" spans="2:34">
      <c r="B116" s="14">
        <v>40633</v>
      </c>
      <c r="D116" s="129">
        <v>498912940.84981328</v>
      </c>
      <c r="M116" s="129">
        <v>136692982.4412578</v>
      </c>
      <c r="V116" s="129">
        <v>60182122.25</v>
      </c>
      <c r="W116" s="129">
        <v>51685498.109911531</v>
      </c>
      <c r="AF116" s="129">
        <v>11518178.51</v>
      </c>
      <c r="AG116" s="129"/>
      <c r="AH116" s="129">
        <v>758991722.16098261</v>
      </c>
    </row>
    <row r="117" spans="2:34">
      <c r="B117" s="14">
        <v>40662</v>
      </c>
      <c r="D117" s="129">
        <v>492545205.69928956</v>
      </c>
      <c r="M117" s="129">
        <v>139412439.252579</v>
      </c>
      <c r="V117" s="129">
        <v>66433785.296136305</v>
      </c>
      <c r="W117" s="129">
        <v>71922621.260386676</v>
      </c>
      <c r="AF117" s="129">
        <v>12316067.75</v>
      </c>
      <c r="AG117" s="129"/>
      <c r="AH117" s="129">
        <v>782630119.2583915</v>
      </c>
    </row>
    <row r="118" spans="2:34">
      <c r="B118" s="14">
        <v>40694</v>
      </c>
      <c r="D118" s="129">
        <v>492545205.69928956</v>
      </c>
      <c r="M118" s="129">
        <v>140520071.424896</v>
      </c>
      <c r="V118" s="129">
        <v>67489973.196942776</v>
      </c>
      <c r="W118" s="129">
        <v>95815966.114674032</v>
      </c>
      <c r="AF118" s="129">
        <v>12753495.609999999</v>
      </c>
      <c r="AG118" s="129"/>
      <c r="AH118" s="129">
        <v>809124712.04580247</v>
      </c>
    </row>
    <row r="119" spans="2:34">
      <c r="B119" s="14">
        <v>40724</v>
      </c>
      <c r="D119" s="129">
        <v>494491126.54956007</v>
      </c>
      <c r="M119" s="129">
        <v>140794211.57105953</v>
      </c>
      <c r="V119" s="129">
        <v>49220600.577635519</v>
      </c>
      <c r="W119" s="129">
        <v>94190046.625757053</v>
      </c>
      <c r="AF119" s="129">
        <v>10370453.630000001</v>
      </c>
      <c r="AG119" s="129"/>
      <c r="AH119" s="129">
        <v>789066438.95401216</v>
      </c>
    </row>
    <row r="120" spans="2:34">
      <c r="B120" s="14">
        <v>40753</v>
      </c>
      <c r="D120" s="129">
        <v>487597309.0112915</v>
      </c>
      <c r="M120" s="129">
        <v>134609886.65266526</v>
      </c>
      <c r="V120" s="129">
        <v>60018032.444239162</v>
      </c>
      <c r="W120" s="129">
        <v>115392436.36302611</v>
      </c>
      <c r="AF120" s="129">
        <v>10458301.76</v>
      </c>
      <c r="AG120" s="129"/>
      <c r="AH120" s="129">
        <v>808075966.23122203</v>
      </c>
    </row>
    <row r="121" spans="2:34">
      <c r="B121" s="14">
        <v>40786</v>
      </c>
      <c r="D121" s="129">
        <v>462417258.86628366</v>
      </c>
      <c r="M121" s="129">
        <v>126560545.03315544</v>
      </c>
      <c r="V121" s="129">
        <v>59049183.019322127</v>
      </c>
      <c r="W121" s="129">
        <v>118859625.27361602</v>
      </c>
      <c r="AF121" s="129">
        <v>9288797.9000000004</v>
      </c>
      <c r="AG121" s="129"/>
      <c r="AH121" s="129">
        <v>776175410.09237731</v>
      </c>
    </row>
    <row r="122" spans="2:34">
      <c r="B122" s="14">
        <v>40816</v>
      </c>
      <c r="D122" s="129">
        <v>480594466.19034344</v>
      </c>
      <c r="M122" s="129">
        <v>117352349.83240774</v>
      </c>
      <c r="V122" s="129">
        <v>59709573.513177246</v>
      </c>
      <c r="W122" s="129">
        <v>127114325.97025567</v>
      </c>
      <c r="AF122" s="129">
        <v>8044249.4800000014</v>
      </c>
      <c r="AG122" s="129"/>
      <c r="AH122" s="129">
        <v>792814964.98618412</v>
      </c>
    </row>
    <row r="123" spans="2:34">
      <c r="B123" s="14">
        <v>40847</v>
      </c>
      <c r="D123" s="129">
        <v>462880101.72788733</v>
      </c>
      <c r="M123" s="129">
        <v>109107476.907912</v>
      </c>
      <c r="V123" s="129">
        <v>48835268.805867329</v>
      </c>
      <c r="W123" s="129">
        <v>125596119.56870748</v>
      </c>
      <c r="AF123" s="129">
        <v>9118415.7899999991</v>
      </c>
      <c r="AG123" s="129"/>
      <c r="AH123" s="129">
        <v>755537382.80037403</v>
      </c>
    </row>
    <row r="124" spans="2:34">
      <c r="B124" s="14">
        <v>40877</v>
      </c>
      <c r="D124" s="129">
        <v>459860079.32083493</v>
      </c>
      <c r="M124" s="129">
        <v>105500941.64262432</v>
      </c>
      <c r="V124" s="129">
        <v>54901663.88568835</v>
      </c>
      <c r="W124" s="129">
        <v>139062509.90095496</v>
      </c>
      <c r="AF124" s="129">
        <v>8604088.0899999999</v>
      </c>
      <c r="AG124" s="129"/>
      <c r="AH124" s="129">
        <v>767929282.84010255</v>
      </c>
    </row>
    <row r="125" spans="2:34">
      <c r="B125" s="14">
        <v>40907</v>
      </c>
      <c r="D125" s="129">
        <v>469485998.73086625</v>
      </c>
      <c r="M125" s="129">
        <v>106979768.52726816</v>
      </c>
      <c r="V125" s="129">
        <v>54503703.66087345</v>
      </c>
      <c r="W125" s="129">
        <v>196413262.84827924</v>
      </c>
      <c r="AF125" s="129">
        <v>7934380.5999999996</v>
      </c>
      <c r="AG125" s="129"/>
      <c r="AH125" s="129">
        <v>835317114.36728704</v>
      </c>
    </row>
    <row r="126" spans="2:34">
      <c r="B126" s="14">
        <v>40939</v>
      </c>
      <c r="D126" s="129">
        <v>465072443.76236367</v>
      </c>
      <c r="M126" s="129">
        <v>89493725.005111426</v>
      </c>
      <c r="V126" s="129">
        <v>60818698.849999994</v>
      </c>
      <c r="W126" s="129">
        <v>195731466.86603361</v>
      </c>
      <c r="AF126" s="129">
        <v>8635682.4299999997</v>
      </c>
      <c r="AG126" s="129"/>
      <c r="AH126" s="129">
        <v>819752016.91350877</v>
      </c>
    </row>
    <row r="127" spans="2:34">
      <c r="B127" s="14">
        <v>40968</v>
      </c>
      <c r="D127" s="129">
        <v>500712163.51099485</v>
      </c>
      <c r="M127" s="129">
        <v>93715853.324257582</v>
      </c>
      <c r="V127" s="129">
        <v>53866852.88209974</v>
      </c>
      <c r="W127" s="129">
        <v>212862128.46388596</v>
      </c>
      <c r="AF127" s="129">
        <v>9925296.3699999992</v>
      </c>
      <c r="AG127" s="129"/>
      <c r="AH127" s="129">
        <v>871082294.55123818</v>
      </c>
    </row>
    <row r="128" spans="2:34">
      <c r="B128" s="14">
        <v>40998</v>
      </c>
      <c r="D128" s="129">
        <v>503927581.342408</v>
      </c>
      <c r="M128" s="129">
        <v>92777910.430000007</v>
      </c>
      <c r="V128" s="129">
        <v>52272194.220000006</v>
      </c>
      <c r="W128" s="129">
        <v>218144746.9404332</v>
      </c>
      <c r="AF128" s="129">
        <v>9822358.0399999991</v>
      </c>
      <c r="AG128" s="129"/>
      <c r="AH128" s="129">
        <v>876944790.97284126</v>
      </c>
    </row>
    <row r="129" spans="2:34">
      <c r="B129" s="14">
        <v>41029</v>
      </c>
      <c r="D129" s="129">
        <v>499555681.40999997</v>
      </c>
      <c r="M129" s="129">
        <v>96447185.289999992</v>
      </c>
      <c r="V129" s="129">
        <v>52853941.723234795</v>
      </c>
      <c r="W129" s="129">
        <v>224415214.85032877</v>
      </c>
      <c r="AF129" s="129">
        <v>10107152.790000001</v>
      </c>
      <c r="AG129" s="129"/>
      <c r="AH129" s="129">
        <v>883379176.06356347</v>
      </c>
    </row>
    <row r="130" spans="2:34">
      <c r="B130" s="14">
        <v>41060</v>
      </c>
      <c r="D130" s="129">
        <v>517268733.92861003</v>
      </c>
      <c r="M130" s="129">
        <v>94895815.619658604</v>
      </c>
      <c r="V130" s="129">
        <v>52741750.949999996</v>
      </c>
      <c r="W130" s="129">
        <v>225421455.13020152</v>
      </c>
      <c r="AF130" s="129">
        <v>9913889.6500000004</v>
      </c>
      <c r="AG130" s="129"/>
      <c r="AH130" s="129">
        <v>900241645.27847016</v>
      </c>
    </row>
    <row r="131" spans="2:34">
      <c r="B131" s="14">
        <v>41089</v>
      </c>
      <c r="D131" s="129">
        <v>561900298.21897602</v>
      </c>
      <c r="M131" s="129">
        <v>105226430.46118</v>
      </c>
      <c r="V131" s="129">
        <v>52275733.001161598</v>
      </c>
      <c r="W131" s="129">
        <v>170076496.18389151</v>
      </c>
      <c r="X131" s="129">
        <v>25672750.803949352</v>
      </c>
      <c r="AF131" s="129">
        <v>9542944.9800000004</v>
      </c>
      <c r="AG131" s="129"/>
      <c r="AH131" s="129">
        <v>924694653.64915848</v>
      </c>
    </row>
    <row r="132" spans="2:34">
      <c r="B132" s="14">
        <v>41121</v>
      </c>
      <c r="D132" s="129">
        <v>543766689.38784707</v>
      </c>
      <c r="M132" s="129">
        <v>106367658.77000001</v>
      </c>
      <c r="V132" s="129">
        <v>52353735.550000004</v>
      </c>
      <c r="W132" s="129">
        <v>172825627.18276143</v>
      </c>
      <c r="X132" s="129">
        <v>41625918.65669547</v>
      </c>
      <c r="AF132" s="129">
        <v>9757848.9900000002</v>
      </c>
      <c r="AG132" s="129"/>
      <c r="AH132" s="129">
        <v>926697478.53730392</v>
      </c>
    </row>
    <row r="133" spans="2:34">
      <c r="B133" s="14">
        <v>41152</v>
      </c>
      <c r="D133" s="129">
        <v>555879294.26315308</v>
      </c>
      <c r="M133" s="129">
        <v>111126878.56317499</v>
      </c>
      <c r="V133" s="129">
        <v>51015870.414686196</v>
      </c>
      <c r="W133" s="129">
        <v>173121413.42649999</v>
      </c>
      <c r="X133" s="129">
        <v>56779497.803000003</v>
      </c>
      <c r="AF133" s="129">
        <v>11299019.74</v>
      </c>
      <c r="AG133" s="129"/>
      <c r="AH133" s="129">
        <v>959221974.21051419</v>
      </c>
    </row>
    <row r="134" spans="2:34">
      <c r="B134" s="14">
        <v>41180</v>
      </c>
      <c r="D134" s="129">
        <v>576537387.77257502</v>
      </c>
      <c r="M134" s="129">
        <v>117150698.33232999</v>
      </c>
      <c r="V134" s="129">
        <v>49034086.2249512</v>
      </c>
      <c r="W134" s="129">
        <v>170522725.29299998</v>
      </c>
      <c r="X134" s="129">
        <v>72154486.789999992</v>
      </c>
      <c r="AF134" s="129">
        <v>12259013.873834601</v>
      </c>
      <c r="AG134" s="129"/>
      <c r="AH134" s="129">
        <v>997658398.28669071</v>
      </c>
    </row>
    <row r="135" spans="2:34">
      <c r="B135" s="14">
        <v>41213</v>
      </c>
      <c r="D135" s="129">
        <v>568394319.54851401</v>
      </c>
      <c r="M135" s="129">
        <v>115904530.12483177</v>
      </c>
      <c r="V135" s="129">
        <v>48636220.742568232</v>
      </c>
      <c r="W135" s="129">
        <v>149657658.03999999</v>
      </c>
      <c r="X135" s="129">
        <v>72981680.899999991</v>
      </c>
      <c r="AF135" s="129">
        <v>12360190.223033275</v>
      </c>
      <c r="AG135" s="129"/>
      <c r="AH135" s="129">
        <v>967934599.57894731</v>
      </c>
    </row>
    <row r="136" spans="2:34">
      <c r="B136" s="14">
        <v>41243</v>
      </c>
      <c r="D136" s="129">
        <v>572222920.3565985</v>
      </c>
      <c r="M136" s="129">
        <v>115716603.81628507</v>
      </c>
      <c r="V136" s="129">
        <v>48557147.744355425</v>
      </c>
      <c r="W136" s="129">
        <v>150228948.05000001</v>
      </c>
      <c r="X136" s="129">
        <v>135909259.10999998</v>
      </c>
      <c r="AF136" s="129">
        <v>12522151.163343713</v>
      </c>
      <c r="AG136" s="129"/>
      <c r="AH136" s="129">
        <v>1035157030.2405826</v>
      </c>
    </row>
    <row r="137" spans="2:34">
      <c r="B137" s="14">
        <v>41257</v>
      </c>
      <c r="F137" s="129">
        <v>25000000</v>
      </c>
      <c r="AF137" s="129"/>
      <c r="AG137" s="129"/>
      <c r="AH137" s="129">
        <v>25000000</v>
      </c>
    </row>
    <row r="138" spans="2:34">
      <c r="B138" s="14">
        <v>41261</v>
      </c>
      <c r="R138" s="129">
        <v>50000000</v>
      </c>
      <c r="AF138" s="129"/>
      <c r="AG138" s="129"/>
      <c r="AH138" s="129">
        <v>50000000</v>
      </c>
    </row>
    <row r="139" spans="2:34">
      <c r="B139" s="14">
        <v>41274</v>
      </c>
      <c r="D139" s="129">
        <v>579286023.37716031</v>
      </c>
      <c r="F139" s="129">
        <v>25645789.683333334</v>
      </c>
      <c r="M139" s="129">
        <v>120184119.71912195</v>
      </c>
      <c r="R139" s="129">
        <v>65719262.410500407</v>
      </c>
      <c r="V139" s="129">
        <v>50045287.809339911</v>
      </c>
      <c r="W139" s="129">
        <v>153677089.03</v>
      </c>
      <c r="X139" s="129">
        <v>158103061.44000003</v>
      </c>
      <c r="AF139" s="129">
        <v>11663643.111214403</v>
      </c>
      <c r="AG139" s="129"/>
      <c r="AH139" s="129">
        <v>1164324276.5806701</v>
      </c>
    </row>
    <row r="140" spans="2:34">
      <c r="B140" s="14">
        <v>41305</v>
      </c>
      <c r="D140" s="129">
        <v>591693066.89228654</v>
      </c>
      <c r="F140" s="129">
        <v>25772005.156203363</v>
      </c>
      <c r="M140" s="129">
        <v>124648786.45471448</v>
      </c>
      <c r="R140" s="129">
        <v>62213438.039310001</v>
      </c>
      <c r="V140" s="129">
        <v>49458795.79398603</v>
      </c>
      <c r="W140" s="129">
        <v>118929668.16999999</v>
      </c>
      <c r="X140" s="129">
        <v>156935056.56999999</v>
      </c>
      <c r="AF140" s="129">
        <v>12249015.800824463</v>
      </c>
      <c r="AG140" s="129"/>
      <c r="AH140" s="129">
        <v>1141899832.8773248</v>
      </c>
    </row>
    <row r="141" spans="2:34">
      <c r="B141" s="14">
        <v>41333</v>
      </c>
      <c r="D141" s="129">
        <v>603289142.41616726</v>
      </c>
      <c r="F141" s="129">
        <v>25583989.6869055</v>
      </c>
      <c r="M141" s="129">
        <v>126164865.61337222</v>
      </c>
      <c r="R141" s="129">
        <v>57041331.74453</v>
      </c>
      <c r="V141" s="129">
        <v>48881722.736701936</v>
      </c>
      <c r="W141" s="129">
        <v>117237612.89</v>
      </c>
      <c r="X141" s="129">
        <v>181668949.27000001</v>
      </c>
      <c r="AF141" s="129">
        <v>12311712.423821142</v>
      </c>
      <c r="AG141" s="129"/>
      <c r="AH141" s="129">
        <v>1172179326.7814982</v>
      </c>
    </row>
    <row r="142" spans="2:34">
      <c r="B142" s="14">
        <v>41361</v>
      </c>
      <c r="D142" s="129">
        <v>609358108.90183723</v>
      </c>
      <c r="F142" s="129">
        <v>24677865.519999396</v>
      </c>
      <c r="M142" s="129">
        <v>126276143.44013076</v>
      </c>
      <c r="R142" s="129">
        <v>57321785.130564995</v>
      </c>
      <c r="V142" s="129">
        <v>47581388.588106476</v>
      </c>
      <c r="W142" s="129">
        <v>96416427.480000004</v>
      </c>
      <c r="X142" s="129">
        <v>196720773.31999999</v>
      </c>
      <c r="AF142" s="129">
        <v>11729882.238661507</v>
      </c>
      <c r="AG142" s="129"/>
      <c r="AH142" s="129">
        <v>1170082374.6193004</v>
      </c>
    </row>
    <row r="143" spans="2:34">
      <c r="B143" s="14">
        <v>41394</v>
      </c>
      <c r="D143" s="129">
        <v>618889861.5677011</v>
      </c>
      <c r="F143" s="129">
        <v>24033286.523564719</v>
      </c>
      <c r="M143" s="129">
        <v>126443760.47416349</v>
      </c>
      <c r="R143" s="129">
        <v>56000990.289800003</v>
      </c>
      <c r="V143" s="129">
        <v>47584161.415014409</v>
      </c>
      <c r="W143" s="129">
        <v>93157321.120000005</v>
      </c>
      <c r="X143" s="129">
        <v>202662922.34999999</v>
      </c>
      <c r="AF143" s="129">
        <v>11735901.6124679</v>
      </c>
      <c r="AG143" s="129"/>
      <c r="AH143" s="129">
        <v>1180508205.3527117</v>
      </c>
    </row>
    <row r="144" spans="2:34">
      <c r="B144" s="14">
        <v>41425</v>
      </c>
      <c r="D144" s="129">
        <v>631699773.97302437</v>
      </c>
      <c r="F144" s="129">
        <v>24446119.317117728</v>
      </c>
      <c r="M144" s="129">
        <v>131705258.52871521</v>
      </c>
      <c r="R144" s="129">
        <v>56809260.847825803</v>
      </c>
      <c r="V144" s="129">
        <v>48612375.418983497</v>
      </c>
      <c r="W144" s="129">
        <v>84814415.07009998</v>
      </c>
      <c r="X144" s="129">
        <v>204291271.75999999</v>
      </c>
      <c r="AF144" s="129">
        <v>13266416.386573002</v>
      </c>
      <c r="AG144" s="129"/>
      <c r="AH144" s="129">
        <v>1195644891.3023396</v>
      </c>
    </row>
    <row r="145" spans="2:34">
      <c r="B145" s="14">
        <v>41453</v>
      </c>
      <c r="D145" s="129">
        <v>623808928.02271652</v>
      </c>
      <c r="F145" s="129">
        <v>24024233.432600282</v>
      </c>
      <c r="M145" s="129">
        <v>126690978.86147915</v>
      </c>
      <c r="R145" s="129">
        <v>55882347.575962074</v>
      </c>
      <c r="V145" s="129">
        <v>48304948.170925021</v>
      </c>
      <c r="W145" s="129">
        <v>84746499.780100018</v>
      </c>
      <c r="X145" s="129">
        <v>205294139.00999999</v>
      </c>
      <c r="AF145" s="129">
        <v>11808721.390754219</v>
      </c>
      <c r="AG145" s="129"/>
      <c r="AH145" s="129">
        <v>1180560796.2445374</v>
      </c>
    </row>
    <row r="146" spans="2:34">
      <c r="B146" s="14">
        <v>41486</v>
      </c>
      <c r="D146" s="129">
        <v>612933697.98724139</v>
      </c>
      <c r="F146" s="129">
        <v>24247813.102273945</v>
      </c>
      <c r="M146" s="129">
        <v>124642338.01894009</v>
      </c>
      <c r="R146" s="129">
        <v>51967128.741489731</v>
      </c>
      <c r="V146" s="129">
        <v>47924215.662898466</v>
      </c>
      <c r="W146" s="129">
        <v>81110732.200100005</v>
      </c>
      <c r="X146" s="129">
        <v>199316079.31999999</v>
      </c>
      <c r="AF146" s="129">
        <v>11736773.782846084</v>
      </c>
      <c r="AG146" s="129"/>
      <c r="AH146" s="129">
        <v>1153878778.8157895</v>
      </c>
    </row>
    <row r="147" spans="2:34">
      <c r="B147" s="14">
        <v>41516</v>
      </c>
      <c r="D147" s="129">
        <v>604493524.41609669</v>
      </c>
      <c r="F147" s="129">
        <v>24686541.963991936</v>
      </c>
      <c r="M147" s="129">
        <v>121467272.88111438</v>
      </c>
      <c r="R147" s="129">
        <v>51496411.199453689</v>
      </c>
      <c r="V147" s="129">
        <v>47867935.315209247</v>
      </c>
      <c r="W147" s="129">
        <v>78831279.880099997</v>
      </c>
      <c r="X147" s="129">
        <v>196153982.71000004</v>
      </c>
      <c r="AF147" s="129">
        <v>11566719.12818744</v>
      </c>
      <c r="AG147" s="129"/>
      <c r="AH147" s="129">
        <v>1136563667.4941533</v>
      </c>
    </row>
    <row r="148" spans="2:34">
      <c r="B148" s="14">
        <v>41542</v>
      </c>
      <c r="C148" s="129">
        <v>5000000</v>
      </c>
      <c r="I148" s="129">
        <v>10000000</v>
      </c>
      <c r="AF148" s="129"/>
      <c r="AG148" s="129"/>
      <c r="AH148" s="129">
        <v>15000000</v>
      </c>
    </row>
    <row r="149" spans="2:34">
      <c r="B149" s="14">
        <v>41547</v>
      </c>
      <c r="C149" s="129">
        <v>5000000</v>
      </c>
      <c r="D149" s="129">
        <v>591803650.95728004</v>
      </c>
      <c r="F149" s="129">
        <v>24421385.61779771</v>
      </c>
      <c r="I149" s="129">
        <v>10000000</v>
      </c>
      <c r="M149" s="129">
        <v>120920211.13337706</v>
      </c>
      <c r="R149" s="129">
        <v>56652346.486825034</v>
      </c>
      <c r="V149" s="129">
        <v>48555486.880895033</v>
      </c>
      <c r="W149" s="129">
        <v>63480653.440099999</v>
      </c>
      <c r="X149" s="129">
        <v>258689964.85999998</v>
      </c>
      <c r="AF149" s="129">
        <v>11750427.537092499</v>
      </c>
      <c r="AG149" s="129"/>
      <c r="AH149" s="129">
        <v>1191274126.9133673</v>
      </c>
    </row>
    <row r="150" spans="2:34">
      <c r="B150" s="14">
        <v>41578</v>
      </c>
      <c r="C150" s="129">
        <v>5000000</v>
      </c>
      <c r="D150" s="129">
        <v>566819693.64793813</v>
      </c>
      <c r="F150" s="129">
        <v>25094211.274091199</v>
      </c>
      <c r="G150" s="129">
        <v>3125000</v>
      </c>
      <c r="I150" s="129">
        <v>10000000</v>
      </c>
      <c r="M150" s="129">
        <v>122750712.71748152</v>
      </c>
      <c r="R150" s="129">
        <v>59214739.683031447</v>
      </c>
      <c r="V150" s="129">
        <v>49993123.76923421</v>
      </c>
      <c r="W150" s="129">
        <v>64269809.880100004</v>
      </c>
      <c r="X150" s="129">
        <v>224836110.33999997</v>
      </c>
      <c r="AF150" s="129">
        <v>11887180.954927858</v>
      </c>
      <c r="AG150" s="129"/>
      <c r="AH150" s="129">
        <v>1142990582.2668045</v>
      </c>
    </row>
    <row r="151" spans="2:34">
      <c r="B151" s="14">
        <v>41607</v>
      </c>
      <c r="C151" s="129">
        <v>5125316.4396383502</v>
      </c>
      <c r="D151" s="129">
        <v>482046496.66465259</v>
      </c>
      <c r="F151" s="129">
        <v>25174712.007505503</v>
      </c>
      <c r="G151" s="129">
        <v>3063024.97</v>
      </c>
      <c r="I151" s="129">
        <v>10164368.672502527</v>
      </c>
      <c r="M151" s="129">
        <v>121394588.26288603</v>
      </c>
      <c r="R151" s="129">
        <v>57274374.746451333</v>
      </c>
      <c r="V151" s="129">
        <v>49504890.888494551</v>
      </c>
      <c r="W151" s="129">
        <v>62712047.030099995</v>
      </c>
      <c r="X151" s="129">
        <v>224642624.00999999</v>
      </c>
      <c r="AF151" s="129">
        <v>11702406.115568081</v>
      </c>
      <c r="AG151" s="129"/>
      <c r="AH151" s="129">
        <v>1052804849.8077989</v>
      </c>
    </row>
    <row r="152" spans="2:34">
      <c r="B152" s="14">
        <v>41639</v>
      </c>
      <c r="C152" s="129">
        <v>5187317.3793550124</v>
      </c>
      <c r="D152" s="129">
        <v>492330936.31148612</v>
      </c>
      <c r="F152" s="129">
        <v>25553447.800464701</v>
      </c>
      <c r="G152" s="129">
        <v>9549765.709999999</v>
      </c>
      <c r="I152" s="129">
        <v>10257937.023066772</v>
      </c>
      <c r="M152" s="129">
        <v>122373903.61101939</v>
      </c>
      <c r="R152" s="129">
        <v>62937256.873457022</v>
      </c>
      <c r="V152" s="129">
        <v>49968254.353459559</v>
      </c>
      <c r="W152" s="129">
        <v>63353837.1501</v>
      </c>
      <c r="X152" s="129">
        <v>228813710.85000002</v>
      </c>
      <c r="AF152" s="129">
        <v>11764090.47267909</v>
      </c>
      <c r="AG152" s="129"/>
      <c r="AH152" s="129">
        <v>1082090457.5350878</v>
      </c>
    </row>
    <row r="153" spans="2:34">
      <c r="B153" s="14">
        <v>41669</v>
      </c>
      <c r="C153" s="129">
        <v>5245667.6219666172</v>
      </c>
      <c r="D153" s="129">
        <v>494849589.29393572</v>
      </c>
      <c r="F153" s="129">
        <v>25896176.7156156</v>
      </c>
      <c r="G153" s="129">
        <v>30808391.060000002</v>
      </c>
      <c r="I153" s="129">
        <v>10346527.986370357</v>
      </c>
      <c r="M153" s="129">
        <v>123348933.43208557</v>
      </c>
      <c r="R153" s="129">
        <v>69559589.841135517</v>
      </c>
      <c r="V153" s="129">
        <v>49621002.863176726</v>
      </c>
      <c r="W153" s="129">
        <v>61831493.240099996</v>
      </c>
      <c r="X153" s="129">
        <v>232398464.56464875</v>
      </c>
      <c r="AF153" s="129">
        <v>11676868.879779583</v>
      </c>
      <c r="AG153" s="129"/>
      <c r="AH153" s="129">
        <v>1115582705.4988143</v>
      </c>
    </row>
    <row r="154" spans="2:34">
      <c r="B154" s="14">
        <v>41698</v>
      </c>
      <c r="C154" s="129">
        <v>5302134.6910279123</v>
      </c>
      <c r="D154" s="129">
        <v>494353038.32696199</v>
      </c>
      <c r="F154" s="129">
        <v>26363552.1641124</v>
      </c>
      <c r="G154" s="129">
        <v>30857766.719999991</v>
      </c>
      <c r="I154" s="129">
        <v>10432846.72352398</v>
      </c>
      <c r="M154" s="129">
        <v>122559881.30965824</v>
      </c>
      <c r="R154" s="129">
        <v>71305982.316969454</v>
      </c>
      <c r="V154" s="129">
        <v>50549346.715868704</v>
      </c>
      <c r="W154" s="129">
        <v>59703165.040100001</v>
      </c>
      <c r="X154" s="129">
        <v>233901864.79999998</v>
      </c>
      <c r="AF154" s="129">
        <v>11583844.626509063</v>
      </c>
      <c r="AG154" s="129"/>
      <c r="AH154" s="129">
        <v>1116913423.4347317</v>
      </c>
    </row>
    <row r="155" spans="2:34">
      <c r="B155" s="14">
        <v>41729</v>
      </c>
      <c r="C155" s="129">
        <v>5362007.8615804501</v>
      </c>
      <c r="D155" s="129">
        <v>466992186.74625331</v>
      </c>
      <c r="F155" s="129">
        <v>25845197.603877198</v>
      </c>
      <c r="G155" s="129">
        <v>30910190.950000003</v>
      </c>
      <c r="I155" s="129">
        <v>10525942.206504317</v>
      </c>
      <c r="M155" s="129">
        <v>122156170.99987981</v>
      </c>
      <c r="R155" s="129">
        <v>67879116.421086162</v>
      </c>
      <c r="V155" s="129">
        <v>50602153.999588817</v>
      </c>
      <c r="W155" s="129">
        <v>48478973.280100003</v>
      </c>
      <c r="X155" s="129">
        <v>223980483.23000002</v>
      </c>
      <c r="AF155" s="129">
        <v>11430571.1</v>
      </c>
      <c r="AG155" s="129"/>
      <c r="AH155" s="129">
        <v>1064162994.3988701</v>
      </c>
    </row>
    <row r="156" spans="2:34">
      <c r="B156" s="14">
        <v>41759</v>
      </c>
      <c r="C156" s="129">
        <v>5419999.19074817</v>
      </c>
      <c r="D156" s="129">
        <v>475819830.91237307</v>
      </c>
      <c r="F156" s="129">
        <v>26079566.1336242</v>
      </c>
      <c r="G156" s="129">
        <v>29962946.793343537</v>
      </c>
      <c r="I156" s="129">
        <v>10616825.116279578</v>
      </c>
      <c r="M156" s="129">
        <v>125717462.65811197</v>
      </c>
      <c r="R156" s="129">
        <v>63560487.165880002</v>
      </c>
      <c r="V156" s="129">
        <v>50555630.517183371</v>
      </c>
      <c r="W156" s="129">
        <v>48140199.730099998</v>
      </c>
      <c r="X156" s="129">
        <v>220789270.07999998</v>
      </c>
      <c r="AF156" s="129">
        <v>12077816.77</v>
      </c>
      <c r="AG156" s="129"/>
      <c r="AH156" s="129">
        <v>1068740035.0676439</v>
      </c>
    </row>
    <row r="157" spans="2:34">
      <c r="B157" s="14">
        <v>41789</v>
      </c>
      <c r="C157" s="129">
        <v>5478065.2156705195</v>
      </c>
      <c r="D157" s="129">
        <v>467688271.20599842</v>
      </c>
      <c r="F157" s="129">
        <v>26451152.577025499</v>
      </c>
      <c r="G157" s="129">
        <v>30017210.656168815</v>
      </c>
      <c r="I157" s="129">
        <v>10708493.105861999</v>
      </c>
      <c r="M157" s="129">
        <v>122579795.1965078</v>
      </c>
      <c r="R157" s="129">
        <v>62681149.760169737</v>
      </c>
      <c r="V157" s="129">
        <v>50860236.393205814</v>
      </c>
      <c r="W157" s="129">
        <v>42402299.720099993</v>
      </c>
      <c r="X157" s="129">
        <v>222058743.95999998</v>
      </c>
      <c r="AF157" s="129">
        <v>10377040.9767846</v>
      </c>
      <c r="AG157" s="129"/>
      <c r="AH157" s="129">
        <v>1051302458.7674931</v>
      </c>
    </row>
    <row r="158" spans="2:34">
      <c r="B158" s="14">
        <v>41820</v>
      </c>
      <c r="C158" s="129">
        <v>5538169.8641023338</v>
      </c>
      <c r="D158" s="129">
        <v>430385592.93757498</v>
      </c>
      <c r="F158" s="129">
        <v>26006477.390000001</v>
      </c>
      <c r="G158" s="129">
        <v>29856009.590000004</v>
      </c>
      <c r="I158" s="129">
        <v>10804043.874846555</v>
      </c>
      <c r="M158" s="129">
        <v>119781084.55260624</v>
      </c>
      <c r="R158" s="129">
        <v>70171356.072159603</v>
      </c>
      <c r="V158" s="129">
        <v>47380646.734462</v>
      </c>
      <c r="W158" s="129">
        <v>42140194.940099999</v>
      </c>
      <c r="X158" s="129">
        <v>222600524.24000001</v>
      </c>
      <c r="AF158" s="129">
        <v>9796896.9100000001</v>
      </c>
      <c r="AG158" s="129"/>
      <c r="AH158" s="129">
        <v>1014460997.1058518</v>
      </c>
    </row>
    <row r="159" spans="2:34">
      <c r="B159" s="14">
        <v>41851</v>
      </c>
      <c r="C159" s="129">
        <v>5598380.2334553897</v>
      </c>
      <c r="D159" s="129">
        <v>419056108.60221601</v>
      </c>
      <c r="F159" s="129">
        <v>26388437.5363997</v>
      </c>
      <c r="G159" s="129">
        <v>30490143.9769774</v>
      </c>
      <c r="I159" s="129">
        <v>10900453.286927642</v>
      </c>
      <c r="M159" s="129">
        <v>116126136.83612441</v>
      </c>
      <c r="R159" s="129">
        <v>74898465.341994569</v>
      </c>
      <c r="V159" s="129">
        <v>47924162.465852939</v>
      </c>
      <c r="W159" s="129">
        <v>41836725.710099995</v>
      </c>
      <c r="X159" s="129">
        <v>206094876.54000002</v>
      </c>
      <c r="AF159" s="129">
        <v>9352044.7416898012</v>
      </c>
      <c r="AG159" s="129"/>
      <c r="AH159" s="129">
        <v>988665935.27173793</v>
      </c>
    </row>
    <row r="160" spans="2:34">
      <c r="B160" s="14">
        <v>41856</v>
      </c>
      <c r="G160" s="129">
        <v>2022620</v>
      </c>
      <c r="AF160" s="129"/>
      <c r="AG160" s="129"/>
      <c r="AH160" s="129">
        <v>2022620</v>
      </c>
    </row>
    <row r="161" spans="2:34">
      <c r="B161" s="14">
        <v>41870</v>
      </c>
      <c r="G161" s="129">
        <v>4488740</v>
      </c>
      <c r="AF161" s="129"/>
      <c r="AG161" s="129"/>
      <c r="AH161" s="129">
        <v>4488740</v>
      </c>
    </row>
    <row r="162" spans="2:34">
      <c r="B162" s="14">
        <v>41880</v>
      </c>
      <c r="C162" s="129">
        <v>5654814.7240162529</v>
      </c>
      <c r="D162" s="129">
        <v>421138817.86430156</v>
      </c>
      <c r="F162" s="129">
        <v>26766084.7136112</v>
      </c>
      <c r="G162" s="129">
        <v>50631651.299999997</v>
      </c>
      <c r="I162" s="129">
        <v>0</v>
      </c>
      <c r="M162" s="129">
        <v>110904050.70862301</v>
      </c>
      <c r="R162" s="129">
        <v>73088746.202739105</v>
      </c>
      <c r="V162" s="129">
        <v>48205564.307471372</v>
      </c>
      <c r="W162" s="129">
        <v>44234976.430100001</v>
      </c>
      <c r="X162" s="129">
        <v>153702045.38000003</v>
      </c>
      <c r="AF162" s="129">
        <v>8890893.009968942</v>
      </c>
      <c r="AG162" s="129"/>
      <c r="AH162" s="129">
        <v>943217644.64083147</v>
      </c>
    </row>
    <row r="163" spans="2:34">
      <c r="B163" s="14">
        <v>41906</v>
      </c>
      <c r="K163" s="129">
        <v>56000000</v>
      </c>
      <c r="AF163" s="129"/>
      <c r="AG163" s="129"/>
      <c r="AH163" s="129">
        <v>56000000</v>
      </c>
    </row>
    <row r="164" spans="2:34">
      <c r="B164" s="14">
        <v>41912</v>
      </c>
      <c r="C164" s="129">
        <v>0</v>
      </c>
      <c r="D164" s="129">
        <v>412209501.4978497</v>
      </c>
      <c r="F164" s="129">
        <v>26523624.981788699</v>
      </c>
      <c r="G164" s="129">
        <v>49234389.939999998</v>
      </c>
      <c r="K164" s="129">
        <v>55978302.18</v>
      </c>
      <c r="M164" s="129">
        <v>107843228.69521548</v>
      </c>
      <c r="R164" s="129">
        <v>68006387.162528455</v>
      </c>
      <c r="V164" s="129">
        <v>47792846.84105707</v>
      </c>
      <c r="W164" s="129">
        <v>44333632.270099998</v>
      </c>
      <c r="X164" s="129">
        <v>156542003.09</v>
      </c>
      <c r="AF164" s="129">
        <v>8044295.8954608878</v>
      </c>
      <c r="AG164" s="129"/>
      <c r="AH164" s="129">
        <v>976508212.55400014</v>
      </c>
    </row>
    <row r="165" spans="2:34">
      <c r="B165" s="14">
        <v>41943</v>
      </c>
      <c r="D165" s="129">
        <v>370264556.89962053</v>
      </c>
      <c r="F165" s="129">
        <v>26925719.785053298</v>
      </c>
      <c r="G165" s="129">
        <v>63445590.470000006</v>
      </c>
      <c r="K165" s="129">
        <v>55978302.18</v>
      </c>
      <c r="M165" s="129">
        <v>102714681.64907247</v>
      </c>
      <c r="R165" s="129">
        <v>70523903.345223695</v>
      </c>
      <c r="V165" s="129">
        <v>25080401.97889575</v>
      </c>
      <c r="W165" s="129">
        <v>42135549.1501</v>
      </c>
      <c r="X165" s="129">
        <v>124493443.58</v>
      </c>
      <c r="AF165" s="129">
        <v>8771280.3446469381</v>
      </c>
      <c r="AG165" s="129"/>
      <c r="AH165" s="129">
        <v>890333429.38261271</v>
      </c>
    </row>
    <row r="166" spans="2:34">
      <c r="B166" s="14">
        <v>41971</v>
      </c>
      <c r="D166" s="129">
        <v>356152611.33447576</v>
      </c>
      <c r="F166" s="129">
        <v>27294238.825214498</v>
      </c>
      <c r="G166" s="129">
        <v>64291503.339999996</v>
      </c>
      <c r="K166" s="129">
        <v>55978302.18</v>
      </c>
      <c r="M166" s="129">
        <v>98615730.848852426</v>
      </c>
      <c r="R166" s="129">
        <v>67412499.174794555</v>
      </c>
      <c r="V166" s="129">
        <v>24722933.687332001</v>
      </c>
      <c r="W166" s="129">
        <v>39159119</v>
      </c>
      <c r="X166" s="129">
        <v>119855942.59000002</v>
      </c>
      <c r="AF166" s="129">
        <v>8579195.0304291267</v>
      </c>
      <c r="AG166" s="129"/>
      <c r="AH166" s="129">
        <v>862062076.01109838</v>
      </c>
    </row>
    <row r="167" spans="2:34">
      <c r="B167" s="14">
        <v>42004</v>
      </c>
      <c r="D167" s="129">
        <v>329336476.57777905</v>
      </c>
      <c r="F167" s="129">
        <v>17062665.5121461</v>
      </c>
      <c r="G167" s="129">
        <v>63896928.572660901</v>
      </c>
      <c r="K167" s="129">
        <v>55572933.236718029</v>
      </c>
      <c r="M167" s="129">
        <v>94474764.687180534</v>
      </c>
      <c r="R167" s="129">
        <v>74106782.462648049</v>
      </c>
      <c r="V167" s="129">
        <v>24349114.725628544</v>
      </c>
      <c r="W167" s="129">
        <v>34208787</v>
      </c>
      <c r="X167" s="129">
        <v>103741374.84999999</v>
      </c>
      <c r="AF167" s="129">
        <v>7981146.8548097275</v>
      </c>
      <c r="AG167" s="129"/>
      <c r="AH167" s="129">
        <v>804730974.47957098</v>
      </c>
    </row>
    <row r="168" spans="2:34">
      <c r="B168" s="14">
        <v>42019</v>
      </c>
      <c r="G168" s="129">
        <v>5914880</v>
      </c>
      <c r="AF168" s="129"/>
      <c r="AG168" s="129"/>
      <c r="AH168" s="129">
        <v>5914880</v>
      </c>
    </row>
    <row r="169" spans="2:34">
      <c r="B169" s="14">
        <v>42034</v>
      </c>
      <c r="D169" s="129">
        <v>339560282.33671457</v>
      </c>
      <c r="F169" s="129">
        <v>17372148.6819272</v>
      </c>
      <c r="G169" s="129">
        <v>80644762.589999989</v>
      </c>
      <c r="K169" s="129">
        <v>55572933.236717999</v>
      </c>
      <c r="M169" s="129">
        <v>91526561.361671776</v>
      </c>
      <c r="R169" s="129">
        <v>74258043.618664622</v>
      </c>
      <c r="V169" s="129">
        <v>38648777.320519373</v>
      </c>
      <c r="W169" s="129">
        <v>33742733.6699</v>
      </c>
      <c r="X169" s="129">
        <v>105759258.27000001</v>
      </c>
      <c r="AF169" s="129">
        <v>7732859.4476359673</v>
      </c>
      <c r="AG169" s="129"/>
      <c r="AH169" s="129">
        <v>844818360.53375137</v>
      </c>
    </row>
    <row r="170" spans="2:34">
      <c r="B170" s="14">
        <v>42062</v>
      </c>
      <c r="D170" s="129">
        <v>343654344.0506829</v>
      </c>
      <c r="F170" s="129">
        <v>17644593.0530967</v>
      </c>
      <c r="G170" s="129">
        <v>85202206.070100009</v>
      </c>
      <c r="K170" s="129">
        <v>55572933.236717999</v>
      </c>
      <c r="M170" s="129">
        <v>91224092.17975013</v>
      </c>
      <c r="R170" s="129">
        <v>72468164.967020229</v>
      </c>
      <c r="V170" s="129">
        <v>39200325.015439585</v>
      </c>
      <c r="W170" s="129">
        <v>35424756</v>
      </c>
      <c r="X170" s="129">
        <v>108278879.42</v>
      </c>
      <c r="AF170" s="129">
        <v>7482915.7060653726</v>
      </c>
      <c r="AG170" s="129"/>
      <c r="AH170" s="129">
        <v>856153209.69887304</v>
      </c>
    </row>
    <row r="171" spans="2:34">
      <c r="B171" s="14">
        <v>42094</v>
      </c>
      <c r="D171" s="129">
        <v>295358441.80687124</v>
      </c>
      <c r="F171" s="129">
        <v>17143174.444285102</v>
      </c>
      <c r="G171" s="129">
        <v>95121098.649999991</v>
      </c>
      <c r="K171" s="129">
        <v>55376503.040502302</v>
      </c>
      <c r="M171" s="129">
        <v>85851590.800057724</v>
      </c>
      <c r="R171" s="129">
        <v>72893499.448669106</v>
      </c>
      <c r="V171" s="129">
        <v>39923653.93330612</v>
      </c>
      <c r="W171" s="129">
        <v>30206881.550000004</v>
      </c>
      <c r="X171" s="129">
        <v>107953364.75999999</v>
      </c>
      <c r="AF171" s="129">
        <v>6302512.1139103901</v>
      </c>
      <c r="AG171" s="129"/>
      <c r="AH171" s="129">
        <v>806130720.54760194</v>
      </c>
    </row>
    <row r="172" spans="2:34">
      <c r="B172" s="14">
        <v>42095</v>
      </c>
      <c r="E172" s="129">
        <v>64551471.087311998</v>
      </c>
      <c r="AF172" s="129"/>
      <c r="AG172" s="129"/>
      <c r="AH172" s="129">
        <v>64551471.087311998</v>
      </c>
    </row>
    <row r="173" spans="2:34">
      <c r="B173" s="14">
        <v>42114</v>
      </c>
      <c r="N173" s="129">
        <v>64557926.877264522</v>
      </c>
      <c r="AF173" s="129"/>
      <c r="AG173" s="129"/>
      <c r="AH173" s="129">
        <v>64557926.877264522</v>
      </c>
    </row>
    <row r="174" spans="2:34">
      <c r="B174" s="14">
        <v>42124</v>
      </c>
      <c r="D174" s="129">
        <v>296262682.58616579</v>
      </c>
      <c r="E174" s="129">
        <v>61320067.704341397</v>
      </c>
      <c r="F174" s="129">
        <v>17332792</v>
      </c>
      <c r="G174" s="129">
        <v>108076281.9589</v>
      </c>
      <c r="K174" s="129">
        <v>55376503.040502302</v>
      </c>
      <c r="M174" s="129">
        <v>83991517.084733859</v>
      </c>
      <c r="R174" s="129">
        <v>92115550.803931519</v>
      </c>
      <c r="V174" s="129">
        <v>44199557.442608364</v>
      </c>
      <c r="W174" s="129">
        <v>30786679.179900002</v>
      </c>
      <c r="X174" s="129">
        <v>101577387.36999999</v>
      </c>
      <c r="AF174" s="129">
        <v>6469526.0955323968</v>
      </c>
      <c r="AG174" s="129"/>
      <c r="AH174" s="129">
        <v>897508545.26661563</v>
      </c>
    </row>
    <row r="175" spans="2:34">
      <c r="B175" s="14">
        <v>42153</v>
      </c>
      <c r="D175" s="129">
        <v>297046959.72046518</v>
      </c>
      <c r="E175" s="129">
        <v>60883517.728767626</v>
      </c>
      <c r="F175" s="129">
        <v>17538276</v>
      </c>
      <c r="G175" s="129">
        <v>113141206.17060001</v>
      </c>
      <c r="K175" s="129">
        <v>55376503.040502302</v>
      </c>
      <c r="M175" s="129">
        <v>79740760.0835087</v>
      </c>
      <c r="R175" s="129">
        <v>111374907.3837744</v>
      </c>
      <c r="V175" s="129">
        <v>44280514.292427242</v>
      </c>
      <c r="W175" s="129">
        <v>30994966.369899999</v>
      </c>
      <c r="X175" s="129">
        <v>101979628.87</v>
      </c>
      <c r="AF175" s="129">
        <v>6014644.6195175694</v>
      </c>
      <c r="AG175" s="129"/>
      <c r="AH175" s="129">
        <v>918371884.27946293</v>
      </c>
    </row>
    <row r="176" spans="2:34">
      <c r="B176" s="14">
        <v>42156</v>
      </c>
      <c r="Q176" s="129">
        <v>6000000</v>
      </c>
      <c r="AF176" s="129"/>
      <c r="AG176" s="129"/>
      <c r="AH176" s="129">
        <v>6000000</v>
      </c>
    </row>
    <row r="177" spans="2:34">
      <c r="B177" s="14">
        <v>42185</v>
      </c>
      <c r="D177" s="129">
        <v>288817948.81501245</v>
      </c>
      <c r="E177" s="129">
        <v>65373874.499672115</v>
      </c>
      <c r="F177" s="129">
        <v>17102772.816886302</v>
      </c>
      <c r="G177" s="129">
        <v>111868388.3101</v>
      </c>
      <c r="K177" s="129">
        <v>54986154.609450459</v>
      </c>
      <c r="M177" s="129">
        <v>76491035.622110069</v>
      </c>
      <c r="Q177" s="129">
        <v>6029534.29</v>
      </c>
      <c r="R177" s="129">
        <v>108181634.11686856</v>
      </c>
      <c r="V177" s="129">
        <v>43511149.947448865</v>
      </c>
      <c r="W177" s="129">
        <v>30540282.309999995</v>
      </c>
      <c r="X177" s="129">
        <v>104059110.12</v>
      </c>
      <c r="AF177" s="129">
        <v>5053632.1086379457</v>
      </c>
      <c r="AG177" s="129"/>
      <c r="AH177" s="129">
        <v>912015517.56618655</v>
      </c>
    </row>
    <row r="178" spans="2:34">
      <c r="B178" s="14">
        <v>42199</v>
      </c>
      <c r="U178" s="129">
        <v>14696666.67</v>
      </c>
      <c r="AF178" s="129"/>
      <c r="AG178" s="129"/>
      <c r="AH178" s="129">
        <v>14696666.67</v>
      </c>
    </row>
    <row r="179" spans="2:34">
      <c r="B179" s="14">
        <v>42207</v>
      </c>
      <c r="G179" s="129">
        <v>4015311</v>
      </c>
      <c r="AF179" s="129"/>
      <c r="AG179" s="129"/>
      <c r="AH179" s="129">
        <v>4015311</v>
      </c>
    </row>
    <row r="180" spans="2:34">
      <c r="B180" s="14">
        <v>42216</v>
      </c>
      <c r="D180" s="129">
        <v>261856452.08637106</v>
      </c>
      <c r="E180" s="129">
        <v>65823955.098767616</v>
      </c>
      <c r="F180" s="129">
        <v>17373049.710770797</v>
      </c>
      <c r="G180" s="129">
        <v>118288669.95</v>
      </c>
      <c r="K180" s="129">
        <v>54986154.609450459</v>
      </c>
      <c r="M180" s="129">
        <v>72146129.890763551</v>
      </c>
      <c r="Q180" s="129">
        <v>6065516.9800000004</v>
      </c>
      <c r="R180" s="129">
        <v>88780727.979023203</v>
      </c>
      <c r="U180" s="129">
        <v>14645725.628252827</v>
      </c>
      <c r="V180" s="129">
        <v>43024591.898314565</v>
      </c>
      <c r="W180" s="129">
        <v>26506637.639899999</v>
      </c>
      <c r="X180" s="129">
        <v>89437117</v>
      </c>
      <c r="AF180" s="129">
        <v>4574254.4232739527</v>
      </c>
      <c r="AG180" s="129"/>
      <c r="AH180" s="129">
        <v>863508982.89488804</v>
      </c>
    </row>
    <row r="181" spans="2:34">
      <c r="B181" s="14">
        <v>42247</v>
      </c>
      <c r="D181" s="129">
        <v>249270259.18336296</v>
      </c>
      <c r="E181" s="129">
        <v>59740395.084341399</v>
      </c>
      <c r="F181" s="129">
        <v>17642680.043448534</v>
      </c>
      <c r="G181" s="129">
        <v>116196119.37009998</v>
      </c>
      <c r="K181" s="129">
        <v>71186154.609450504</v>
      </c>
      <c r="M181" s="129">
        <v>63798897.999580681</v>
      </c>
      <c r="Q181" s="129">
        <v>6110664.9000000004</v>
      </c>
      <c r="R181" s="129">
        <v>78704201.448774502</v>
      </c>
      <c r="U181" s="129">
        <v>14696851.377192808</v>
      </c>
      <c r="V181" s="129">
        <v>37212533.148588687</v>
      </c>
      <c r="W181" s="129">
        <v>27421423.199999999</v>
      </c>
      <c r="X181" s="129">
        <v>88350014.909999996</v>
      </c>
      <c r="AF181" s="129">
        <v>3346522.7698141458</v>
      </c>
      <c r="AG181" s="129"/>
      <c r="AH181" s="129">
        <v>833676718.04465413</v>
      </c>
    </row>
    <row r="182" spans="2:34">
      <c r="B182" s="14">
        <v>42277</v>
      </c>
      <c r="D182" s="129">
        <v>243935946.43107399</v>
      </c>
      <c r="E182" s="129">
        <v>55807551.999915168</v>
      </c>
      <c r="F182" s="129">
        <v>17156535.915793724</v>
      </c>
      <c r="G182" s="129">
        <v>116607097.58010001</v>
      </c>
      <c r="K182" s="129">
        <v>70994040.009999931</v>
      </c>
      <c r="M182" s="129">
        <v>66392707.737291358</v>
      </c>
      <c r="Q182" s="129">
        <v>43164193.439999998</v>
      </c>
      <c r="R182" s="129">
        <v>78829820.461431265</v>
      </c>
      <c r="U182" s="129">
        <v>14747048.035198668</v>
      </c>
      <c r="V182" s="129">
        <v>36200515.604115196</v>
      </c>
      <c r="W182" s="129">
        <v>27162712.510000002</v>
      </c>
      <c r="X182" s="129">
        <v>82333708.410000011</v>
      </c>
      <c r="AF182" s="129">
        <v>3919614.6482686936</v>
      </c>
      <c r="AG182" s="129"/>
      <c r="AH182" s="129">
        <v>857251492.78318799</v>
      </c>
    </row>
    <row r="183" spans="2:34">
      <c r="B183" s="14">
        <v>42307</v>
      </c>
      <c r="D183" s="129">
        <v>245324847.21667984</v>
      </c>
      <c r="E183" s="129">
        <v>56271664.266705543</v>
      </c>
      <c r="F183" s="129">
        <v>17412183.412775867</v>
      </c>
      <c r="G183" s="129">
        <v>120044045.57999998</v>
      </c>
      <c r="K183" s="129">
        <v>70994040.009999931</v>
      </c>
      <c r="M183" s="129">
        <v>60699761.078674696</v>
      </c>
      <c r="Q183" s="129">
        <v>43162911.119999997</v>
      </c>
      <c r="R183" s="129">
        <v>86709789.018429056</v>
      </c>
      <c r="U183" s="129">
        <v>14792962.810864134</v>
      </c>
      <c r="V183" s="129">
        <v>37114369.528997466</v>
      </c>
      <c r="W183" s="129">
        <v>26868108.299999997</v>
      </c>
      <c r="X183" s="129">
        <v>82795218</v>
      </c>
      <c r="AF183" s="129">
        <v>4174230.9565974711</v>
      </c>
      <c r="AG183" s="129"/>
      <c r="AH183" s="129">
        <v>866364131.29972386</v>
      </c>
    </row>
    <row r="184" spans="2:34">
      <c r="B184" s="14">
        <v>42325</v>
      </c>
      <c r="Z184" s="129">
        <v>13000000</v>
      </c>
      <c r="AF184" s="129"/>
      <c r="AG184" s="129"/>
      <c r="AH184" s="129">
        <v>13000000</v>
      </c>
    </row>
    <row r="185" spans="2:34">
      <c r="B185" s="14">
        <v>42338</v>
      </c>
      <c r="D185" s="129">
        <v>243647935.04559928</v>
      </c>
      <c r="E185" s="129">
        <v>56338493.622279316</v>
      </c>
      <c r="F185" s="129">
        <v>17691784.370716549</v>
      </c>
      <c r="G185" s="129">
        <v>125571677.04009999</v>
      </c>
      <c r="K185" s="129">
        <v>70994040.009999931</v>
      </c>
      <c r="M185" s="129">
        <v>59083182.035678342</v>
      </c>
      <c r="Q185" s="129">
        <v>43509559.960000001</v>
      </c>
      <c r="R185" s="129">
        <v>80853670.232222617</v>
      </c>
      <c r="U185" s="129">
        <v>14851119.460035175</v>
      </c>
      <c r="V185" s="129">
        <v>37012786.193273231</v>
      </c>
      <c r="W185" s="129">
        <v>23803940.980100002</v>
      </c>
      <c r="X185" s="129">
        <v>81998092.939999983</v>
      </c>
      <c r="Z185" s="129">
        <v>13000000</v>
      </c>
      <c r="AF185" s="129">
        <v>3550027.1552387862</v>
      </c>
      <c r="AG185" s="129"/>
      <c r="AH185" s="129">
        <v>871906309.04524314</v>
      </c>
    </row>
    <row r="186" spans="2:34">
      <c r="B186" s="14">
        <v>42369</v>
      </c>
      <c r="D186" s="129">
        <v>229115611.82595748</v>
      </c>
      <c r="E186" s="129">
        <v>60037154.736705534</v>
      </c>
      <c r="F186" s="129">
        <v>8479342.4011224769</v>
      </c>
      <c r="G186" s="129">
        <v>127117070.26010002</v>
      </c>
      <c r="K186" s="129">
        <v>70994040.009999931</v>
      </c>
      <c r="M186" s="129">
        <v>58532501.923675448</v>
      </c>
      <c r="Q186" s="129">
        <v>43776643.130000003</v>
      </c>
      <c r="R186" s="129">
        <v>78275984.417652145</v>
      </c>
      <c r="U186" s="129">
        <v>14756596.616155753</v>
      </c>
      <c r="V186" s="129">
        <v>34971483.686761446</v>
      </c>
      <c r="W186" s="129">
        <v>18495803.27</v>
      </c>
      <c r="X186" s="129">
        <v>59116529.43</v>
      </c>
      <c r="Z186" s="129">
        <v>12997581.6932059</v>
      </c>
      <c r="AF186" s="129">
        <v>3542318.3312115283</v>
      </c>
      <c r="AG186" s="129"/>
      <c r="AH186" s="129">
        <v>820208661.73254764</v>
      </c>
    </row>
    <row r="187" spans="2:34">
      <c r="B187" s="14">
        <v>42398</v>
      </c>
      <c r="D187" s="129">
        <v>215210879.89468837</v>
      </c>
      <c r="E187" s="129">
        <v>60511647.844827257</v>
      </c>
      <c r="F187" s="129">
        <v>8556839.0005567409</v>
      </c>
      <c r="G187" s="129">
        <v>125475755.33000006</v>
      </c>
      <c r="K187" s="129">
        <v>70994040.009999931</v>
      </c>
      <c r="M187" s="129">
        <v>54823626.126298875</v>
      </c>
      <c r="Q187" s="129">
        <v>43879503.289999999</v>
      </c>
      <c r="R187" s="129">
        <v>63262715.536859512</v>
      </c>
      <c r="U187" s="129">
        <v>14794570.903602375</v>
      </c>
      <c r="V187" s="129">
        <v>34791574.441258118</v>
      </c>
      <c r="W187" s="129">
        <v>17794793.039999999</v>
      </c>
      <c r="X187" s="129">
        <v>57429335.259999998</v>
      </c>
      <c r="Z187" s="129">
        <v>14392118.5008907</v>
      </c>
      <c r="AF187" s="129">
        <v>2908506.6755012688</v>
      </c>
      <c r="AG187" s="129"/>
      <c r="AH187" s="129">
        <v>784825905.85448301</v>
      </c>
    </row>
    <row r="188" spans="2:34">
      <c r="B188" s="14">
        <v>42429</v>
      </c>
      <c r="D188" s="129">
        <v>216884947.29431319</v>
      </c>
      <c r="E188" s="129">
        <v>55959711.520489521</v>
      </c>
      <c r="F188" s="129">
        <v>8754153.935605105</v>
      </c>
      <c r="G188" s="129">
        <v>150673200.16</v>
      </c>
      <c r="K188" s="129">
        <v>70994040.009999931</v>
      </c>
      <c r="M188" s="129">
        <v>55962519.612347901</v>
      </c>
      <c r="Q188" s="129">
        <v>44314968.920000002</v>
      </c>
      <c r="R188" s="129">
        <v>66387548.122993052</v>
      </c>
      <c r="U188" s="129">
        <v>14843893.495419782</v>
      </c>
      <c r="V188" s="129">
        <v>35720133.833626002</v>
      </c>
      <c r="W188" s="129">
        <v>18358960.420000002</v>
      </c>
      <c r="X188" s="129">
        <v>58238199.469999999</v>
      </c>
      <c r="Z188" s="129">
        <v>14624251.249622401</v>
      </c>
      <c r="AF188" s="129">
        <v>3186703.4429349126</v>
      </c>
      <c r="AG188" s="129"/>
      <c r="AH188" s="129">
        <v>814903231.48735166</v>
      </c>
    </row>
    <row r="189" spans="2:34">
      <c r="B189" s="14">
        <v>42460</v>
      </c>
      <c r="D189" s="129">
        <v>226940767.57510108</v>
      </c>
      <c r="E189" s="129">
        <v>56979444.618611224</v>
      </c>
      <c r="F189" s="129">
        <v>8550827.4914703406</v>
      </c>
      <c r="G189" s="129">
        <v>152547335.9501</v>
      </c>
      <c r="K189" s="129">
        <v>70994040.009999931</v>
      </c>
      <c r="M189" s="129">
        <v>59250891.208987646</v>
      </c>
      <c r="Q189" s="129">
        <v>44597788.93</v>
      </c>
      <c r="R189" s="129">
        <v>74258403.319707036</v>
      </c>
      <c r="U189" s="129">
        <v>14904099.34772088</v>
      </c>
      <c r="V189" s="129">
        <v>36103572.701761097</v>
      </c>
      <c r="W189" s="129">
        <v>18286557.900000002</v>
      </c>
      <c r="X189" s="129">
        <v>59533814.601300001</v>
      </c>
      <c r="Z189" s="129">
        <v>14860275.666844301</v>
      </c>
      <c r="AF189" s="129">
        <v>3870898.4679717189</v>
      </c>
      <c r="AG189" s="129"/>
      <c r="AH189" s="129">
        <v>841678717.7895751</v>
      </c>
    </row>
    <row r="190" spans="2:34">
      <c r="B190" s="14">
        <v>42466</v>
      </c>
      <c r="P190" s="129">
        <v>5882317.2199999997</v>
      </c>
      <c r="AF190" s="129"/>
      <c r="AG190" s="129"/>
      <c r="AH190" s="129">
        <v>5882317.2199999997</v>
      </c>
    </row>
    <row r="191" spans="2:34">
      <c r="B191" s="14">
        <v>42487</v>
      </c>
      <c r="AF191" s="129"/>
      <c r="AG191" s="129">
        <v>30000000</v>
      </c>
      <c r="AH191" s="129">
        <v>30000000</v>
      </c>
    </row>
    <row r="192" spans="2:34">
      <c r="B192" s="14">
        <v>42489</v>
      </c>
      <c r="D192" s="129">
        <v>210448303.84221861</v>
      </c>
      <c r="E192" s="129">
        <v>55839204.274027817</v>
      </c>
      <c r="F192" s="129">
        <v>8690309.6835255511</v>
      </c>
      <c r="G192" s="129">
        <v>168062535.48010001</v>
      </c>
      <c r="K192" s="129">
        <v>70994040.009999931</v>
      </c>
      <c r="M192" s="129">
        <v>58879114.100439511</v>
      </c>
      <c r="P192" s="129">
        <v>5882317.2199999997</v>
      </c>
      <c r="Q192" s="129">
        <v>44872543.729999997</v>
      </c>
      <c r="R192" s="129">
        <v>87638884.141781285</v>
      </c>
      <c r="U192" s="129">
        <v>14944913.319970088</v>
      </c>
      <c r="V192" s="129">
        <v>36784900.021408923</v>
      </c>
      <c r="W192" s="129">
        <v>19230437.319899999</v>
      </c>
      <c r="X192" s="129">
        <v>61262540.470000006</v>
      </c>
      <c r="Z192" s="129">
        <v>15085445.4692412</v>
      </c>
      <c r="AF192" s="129">
        <v>3469102.0631553303</v>
      </c>
      <c r="AG192" s="129">
        <v>29999989.285714298</v>
      </c>
      <c r="AH192" s="129">
        <v>892084580.43148255</v>
      </c>
    </row>
    <row r="193" spans="2:34">
      <c r="B193" s="14">
        <v>42492</v>
      </c>
      <c r="J193" s="129">
        <v>10377013.1771596</v>
      </c>
      <c r="AF193" s="129"/>
      <c r="AG193" s="129"/>
      <c r="AH193" s="129">
        <v>10377013.1771596</v>
      </c>
    </row>
    <row r="194" spans="2:34">
      <c r="B194" s="14">
        <v>42521</v>
      </c>
      <c r="D194" s="129">
        <v>210448303.84221861</v>
      </c>
      <c r="E194" s="129">
        <v>55355748.643712372</v>
      </c>
      <c r="F194" s="129">
        <v>8441034.9266496263</v>
      </c>
      <c r="G194" s="129">
        <v>171280744.61000004</v>
      </c>
      <c r="J194" s="129">
        <v>10486724.781968523</v>
      </c>
      <c r="K194" s="129">
        <v>70994040.009999931</v>
      </c>
      <c r="M194" s="129">
        <v>59265313.027914785</v>
      </c>
      <c r="P194" s="129">
        <v>5882317.2199999997</v>
      </c>
      <c r="Q194" s="129">
        <v>45159838.82</v>
      </c>
      <c r="R194" s="129">
        <v>86791425.474924549</v>
      </c>
      <c r="U194" s="129">
        <v>15008517.709309621</v>
      </c>
      <c r="V194" s="129">
        <v>37012590.620924376</v>
      </c>
      <c r="W194" s="129">
        <v>19586478.050000001</v>
      </c>
      <c r="X194" s="129">
        <v>60825300.939999998</v>
      </c>
      <c r="Z194" s="129">
        <v>15410306.2508354</v>
      </c>
      <c r="AF194" s="129">
        <v>3610901.9761490626</v>
      </c>
      <c r="AG194" s="129">
        <v>29322203.8983973</v>
      </c>
      <c r="AH194" s="129">
        <v>904881790.80300415</v>
      </c>
    </row>
    <row r="195" spans="2:34">
      <c r="B195" s="14">
        <v>42537</v>
      </c>
      <c r="E195" s="129">
        <v>-478541.16382188606</v>
      </c>
      <c r="AF195" s="129"/>
      <c r="AG195" s="129"/>
      <c r="AH195" s="129">
        <v>-478541.16382188606</v>
      </c>
    </row>
    <row r="196" spans="2:34">
      <c r="B196" s="14">
        <v>42551</v>
      </c>
      <c r="D196" s="129">
        <v>214375470.17588401</v>
      </c>
      <c r="F196" s="129">
        <v>8656372.5526439138</v>
      </c>
      <c r="G196" s="129">
        <v>175412914.18000001</v>
      </c>
      <c r="J196" s="129">
        <v>12941662.31513188</v>
      </c>
      <c r="K196" s="129">
        <v>279792593.61467302</v>
      </c>
      <c r="M196" s="129">
        <v>50966114.59724196</v>
      </c>
      <c r="P196" s="129">
        <v>7165813.2800000003</v>
      </c>
      <c r="Q196" s="129">
        <v>45431340.859999999</v>
      </c>
      <c r="R196" s="129">
        <v>86099971.131198362</v>
      </c>
      <c r="U196" s="129">
        <v>14654670.005635561</v>
      </c>
      <c r="V196" s="129">
        <v>38510896.825249612</v>
      </c>
      <c r="W196" s="129">
        <v>20378218.84</v>
      </c>
      <c r="X196" s="129">
        <v>61363192.649999999</v>
      </c>
      <c r="Z196" s="129">
        <v>15662677.943044046</v>
      </c>
      <c r="AF196" s="129">
        <v>3561047.7545026601</v>
      </c>
      <c r="AG196" s="129">
        <v>29650291.704686102</v>
      </c>
      <c r="AH196" s="129">
        <v>1064623248.4298912</v>
      </c>
    </row>
    <row r="197" spans="2:34">
      <c r="B197" s="14">
        <v>42580</v>
      </c>
      <c r="D197" s="129">
        <v>212639820.515331</v>
      </c>
      <c r="F197" s="129">
        <v>8805165.2137730792</v>
      </c>
      <c r="G197" s="129">
        <v>177082986.59009999</v>
      </c>
      <c r="J197" s="129">
        <v>12939780.3823858</v>
      </c>
      <c r="K197" s="129">
        <v>279792593.61467302</v>
      </c>
      <c r="M197" s="129">
        <v>51150445.813132003</v>
      </c>
      <c r="P197" s="129">
        <v>7165813.2800000003</v>
      </c>
      <c r="Q197" s="129">
        <v>45716828.810000002</v>
      </c>
      <c r="R197" s="129">
        <v>94231012.532591999</v>
      </c>
      <c r="U197" s="129">
        <v>14848729.8660897</v>
      </c>
      <c r="V197" s="129">
        <v>38525017.988930903</v>
      </c>
      <c r="W197" s="129">
        <v>22796937.390000004</v>
      </c>
      <c r="X197" s="129">
        <v>62556640.019999996</v>
      </c>
      <c r="Z197" s="129">
        <v>15845852.657091901</v>
      </c>
      <c r="AF197" s="129">
        <v>3391406.3491183999</v>
      </c>
      <c r="AG197" s="129">
        <v>30003938.835981801</v>
      </c>
      <c r="AH197" s="129">
        <v>1077492969.8591995</v>
      </c>
    </row>
    <row r="198" spans="2:34">
      <c r="B198" s="14">
        <v>42613</v>
      </c>
      <c r="D198" s="129">
        <v>215959790.50103399</v>
      </c>
      <c r="F198" s="129">
        <v>8523639.6865817495</v>
      </c>
      <c r="G198" s="129">
        <v>176642810.79000008</v>
      </c>
      <c r="K198" s="129">
        <v>279792593.61467302</v>
      </c>
      <c r="M198" s="129">
        <v>51397715.603005096</v>
      </c>
      <c r="P198" s="129">
        <v>7165813.2800000003</v>
      </c>
      <c r="Q198" s="129">
        <v>46004700.630000003</v>
      </c>
      <c r="R198" s="129">
        <v>97101597.688332304</v>
      </c>
      <c r="U198" s="129">
        <v>14760472.054414799</v>
      </c>
      <c r="V198" s="129">
        <v>38278706.6967737</v>
      </c>
      <c r="W198" s="129">
        <v>23997776.98</v>
      </c>
      <c r="X198" s="129">
        <v>62964410.619999997</v>
      </c>
      <c r="Z198" s="129">
        <v>16094279.8045302</v>
      </c>
      <c r="AF198" s="129">
        <v>3201453.6413659099</v>
      </c>
      <c r="AG198" s="129">
        <v>29717264.358937398</v>
      </c>
      <c r="AH198" s="129">
        <v>1071603025.949648</v>
      </c>
    </row>
    <row r="199" spans="2:34">
      <c r="B199" s="14">
        <v>42643</v>
      </c>
      <c r="D199" s="129">
        <v>218353454.76887801</v>
      </c>
      <c r="F199" s="129">
        <v>8639239.8956346698</v>
      </c>
      <c r="G199" s="129">
        <v>184337624.07009998</v>
      </c>
      <c r="H199" s="129">
        <v>15758690.299999999</v>
      </c>
      <c r="K199" s="129">
        <v>279298972.78955799</v>
      </c>
      <c r="M199" s="129">
        <v>52478673.193884797</v>
      </c>
      <c r="P199" s="129">
        <v>9258070.5699999984</v>
      </c>
      <c r="Q199" s="129">
        <v>43164193.439999998</v>
      </c>
      <c r="R199" s="129">
        <v>95200452.512183696</v>
      </c>
      <c r="S199" s="129">
        <v>496062.01360000001</v>
      </c>
      <c r="U199" s="129">
        <v>14434308.1285714</v>
      </c>
      <c r="V199" s="129">
        <v>40167494.279139601</v>
      </c>
      <c r="W199" s="129">
        <v>25974775.990000002</v>
      </c>
      <c r="X199" s="129">
        <v>62586217.460000001</v>
      </c>
      <c r="Z199" s="129">
        <v>16196350.337797198</v>
      </c>
      <c r="AF199" s="129">
        <v>3074181.7027843199</v>
      </c>
      <c r="AG199" s="129">
        <v>29604490.160641208</v>
      </c>
      <c r="AH199" s="129">
        <v>1099023251.6127732</v>
      </c>
    </row>
    <row r="200" spans="2:34">
      <c r="B200" s="14">
        <v>42674</v>
      </c>
      <c r="D200" s="129">
        <v>226208428.01196498</v>
      </c>
      <c r="F200" s="129">
        <v>8749623.5137581192</v>
      </c>
      <c r="G200" s="129">
        <v>190338012.55000001</v>
      </c>
      <c r="H200" s="129">
        <v>29275730.609999999</v>
      </c>
      <c r="K200" s="129">
        <v>279298972.78955799</v>
      </c>
      <c r="M200" s="129">
        <v>53029646.579744205</v>
      </c>
      <c r="P200" s="129">
        <v>9258070.5699999984</v>
      </c>
      <c r="Q200" s="129">
        <v>46568592.829999998</v>
      </c>
      <c r="R200" s="129">
        <v>97927163.872442886</v>
      </c>
      <c r="S200" s="129">
        <v>674534.48360000004</v>
      </c>
      <c r="U200" s="129">
        <v>14336357.077197701</v>
      </c>
      <c r="V200" s="129">
        <v>40978146.452339955</v>
      </c>
      <c r="W200" s="129">
        <v>28382505.120100003</v>
      </c>
      <c r="X200" s="129">
        <v>63233167.509899996</v>
      </c>
      <c r="Z200" s="129">
        <v>16446407.960000003</v>
      </c>
      <c r="AF200" s="129">
        <v>2895554.0215577199</v>
      </c>
      <c r="AG200" s="129">
        <v>30011116.047060501</v>
      </c>
      <c r="AH200" s="129">
        <v>1137612029.9992244</v>
      </c>
    </row>
    <row r="201" spans="2:34">
      <c r="B201" s="14">
        <v>42675</v>
      </c>
      <c r="AD201" s="129">
        <v>4000000</v>
      </c>
      <c r="AF201" s="129"/>
      <c r="AG201" s="129"/>
      <c r="AH201" s="129">
        <v>4000000</v>
      </c>
    </row>
    <row r="202" spans="2:34">
      <c r="B202" s="14">
        <v>42704</v>
      </c>
      <c r="D202" s="129">
        <v>210770566.722247</v>
      </c>
      <c r="F202" s="129">
        <v>8878240.9103699606</v>
      </c>
      <c r="G202" s="129">
        <v>191254578.69</v>
      </c>
      <c r="H202" s="129">
        <v>46466576.32</v>
      </c>
      <c r="K202" s="129">
        <v>278335423.63999999</v>
      </c>
      <c r="M202" s="129">
        <v>48683225.941388197</v>
      </c>
      <c r="P202" s="129">
        <v>17698070.57</v>
      </c>
      <c r="Q202" s="129">
        <v>46845538.100000001</v>
      </c>
      <c r="R202" s="129">
        <v>103433048.199292</v>
      </c>
      <c r="S202" s="129">
        <v>3630475.2766999998</v>
      </c>
      <c r="U202" s="129">
        <v>14385027.551208399</v>
      </c>
      <c r="V202" s="129">
        <v>40860433.568360403</v>
      </c>
      <c r="W202" s="129">
        <v>23043127.57</v>
      </c>
      <c r="X202" s="129">
        <v>52838277.480000004</v>
      </c>
      <c r="Z202" s="129">
        <v>16689116.500442998</v>
      </c>
      <c r="AD202" s="129">
        <v>4000000</v>
      </c>
      <c r="AF202" s="129">
        <v>3051675.0085303402</v>
      </c>
      <c r="AG202" s="129">
        <v>29283663</v>
      </c>
      <c r="AH202" s="129">
        <v>1140147065.0485394</v>
      </c>
    </row>
    <row r="203" spans="2:34">
      <c r="B203" s="14">
        <v>42734</v>
      </c>
      <c r="D203" s="129">
        <v>211047913.87174401</v>
      </c>
      <c r="F203" s="129">
        <v>8660621.0364860501</v>
      </c>
      <c r="G203" s="129">
        <v>210090698.79000002</v>
      </c>
      <c r="K203" s="129">
        <v>297515423.63999999</v>
      </c>
      <c r="M203" s="129">
        <v>46799358.9920367</v>
      </c>
      <c r="P203" s="129">
        <v>20366787.039999999</v>
      </c>
      <c r="Q203" s="129">
        <v>47131785.739999995</v>
      </c>
      <c r="R203" s="129">
        <v>105802499.43129019</v>
      </c>
      <c r="S203" s="129">
        <v>3644232.1653875099</v>
      </c>
      <c r="U203" s="129">
        <v>14385501.470089899</v>
      </c>
      <c r="V203" s="129">
        <v>39606680.615125783</v>
      </c>
      <c r="W203" s="129">
        <v>18233392.329999998</v>
      </c>
      <c r="X203" s="129">
        <v>48203925.310099997</v>
      </c>
      <c r="Z203" s="129">
        <v>16831161.48</v>
      </c>
      <c r="AD203" s="129">
        <v>4000000</v>
      </c>
      <c r="AF203" s="129">
        <v>2948636.4878177601</v>
      </c>
      <c r="AG203" s="129">
        <v>29571609.140000001</v>
      </c>
      <c r="AH203" s="129">
        <v>1124840227.5400779</v>
      </c>
    </row>
    <row r="204" spans="2:34">
      <c r="B204" s="14">
        <v>42762</v>
      </c>
      <c r="D204" s="129">
        <v>213759052.237176</v>
      </c>
      <c r="F204" s="129">
        <v>8751206.7843473405</v>
      </c>
      <c r="G204" s="129">
        <v>213315744.96009997</v>
      </c>
      <c r="K204" s="129">
        <v>297515423.63999999</v>
      </c>
      <c r="M204" s="129">
        <v>47697202.9374841</v>
      </c>
      <c r="P204" s="129">
        <v>20366787.039999999</v>
      </c>
      <c r="Q204" s="129">
        <v>47423009.82</v>
      </c>
      <c r="R204" s="129">
        <v>105821795.07890099</v>
      </c>
      <c r="S204" s="129">
        <v>3745933.7941000001</v>
      </c>
      <c r="U204" s="129">
        <v>14358310.264785901</v>
      </c>
      <c r="V204" s="129">
        <v>39296709.031208202</v>
      </c>
      <c r="W204" s="129">
        <v>18553555.659999996</v>
      </c>
      <c r="X204" s="129">
        <v>47942279.738700002</v>
      </c>
      <c r="Z204" s="129">
        <v>17054304.030000001</v>
      </c>
      <c r="AD204" s="129">
        <v>4000000</v>
      </c>
      <c r="AF204" s="129">
        <v>2926383.3195470301</v>
      </c>
      <c r="AG204" s="129">
        <v>29849244.050000001</v>
      </c>
      <c r="AH204" s="129">
        <v>1132376942.3863494</v>
      </c>
    </row>
    <row r="205" spans="2:34">
      <c r="B205" s="14">
        <v>42794</v>
      </c>
      <c r="D205" s="129">
        <v>237836518.87778831</v>
      </c>
      <c r="F205" s="129">
        <v>5522306.5709242104</v>
      </c>
      <c r="G205" s="129">
        <v>221513595.75009996</v>
      </c>
      <c r="H205" s="129">
        <v>55245581.799999997</v>
      </c>
      <c r="K205" s="129">
        <v>297515423.63999999</v>
      </c>
      <c r="M205" s="129">
        <v>52385174.57618285</v>
      </c>
      <c r="P205" s="129">
        <v>20366787.039999999</v>
      </c>
      <c r="Q205" s="129">
        <v>47683967.149999999</v>
      </c>
      <c r="R205" s="129">
        <v>113962660.29977046</v>
      </c>
      <c r="S205" s="129">
        <v>3968825.1388948201</v>
      </c>
      <c r="U205" s="129">
        <v>14383894.4625721</v>
      </c>
      <c r="V205" s="129">
        <v>39990175.47273083</v>
      </c>
      <c r="W205" s="129">
        <v>18812889.560000002</v>
      </c>
      <c r="X205" s="129">
        <v>48715293.902999997</v>
      </c>
      <c r="Z205" s="129">
        <v>17312009.5158903</v>
      </c>
      <c r="AD205" s="129">
        <v>4000000</v>
      </c>
      <c r="AF205" s="129">
        <v>3304077.6886254</v>
      </c>
      <c r="AG205" s="129">
        <v>29173209.593673799</v>
      </c>
      <c r="AH205" s="129">
        <v>1231692391.0401528</v>
      </c>
    </row>
    <row r="206" spans="2:34">
      <c r="B206" s="14">
        <v>42825</v>
      </c>
      <c r="D206" s="129">
        <v>245836832.63201973</v>
      </c>
      <c r="F206" s="129">
        <v>5525772.5703539206</v>
      </c>
      <c r="G206" s="129">
        <v>219135782.81</v>
      </c>
      <c r="H206" s="129">
        <v>54538251.43</v>
      </c>
      <c r="K206" s="129">
        <v>297515423.63999999</v>
      </c>
      <c r="M206" s="129">
        <v>55261929.882489793</v>
      </c>
      <c r="P206" s="129">
        <v>20166787.039999999</v>
      </c>
      <c r="Q206" s="129">
        <v>47979602.689999998</v>
      </c>
      <c r="R206" s="129">
        <v>134448281.32020485</v>
      </c>
      <c r="S206" s="129">
        <v>3969364.9099581363</v>
      </c>
      <c r="U206" s="129">
        <v>14397196.8450264</v>
      </c>
      <c r="V206" s="129">
        <v>39677061.627127267</v>
      </c>
      <c r="W206" s="129">
        <v>15540814.390099999</v>
      </c>
      <c r="X206" s="129">
        <v>48243143.880000003</v>
      </c>
      <c r="Z206" s="129">
        <v>17562064.759999998</v>
      </c>
      <c r="AB206" s="129">
        <v>10000000</v>
      </c>
      <c r="AD206" s="129">
        <v>4000000</v>
      </c>
      <c r="AF206" s="129">
        <v>3941737.3756737304</v>
      </c>
      <c r="AG206" s="129">
        <v>29669203.509999998</v>
      </c>
      <c r="AH206" s="129">
        <v>1267409251.3129537</v>
      </c>
    </row>
    <row r="207" spans="2:34">
      <c r="B207" s="14">
        <v>42853</v>
      </c>
      <c r="D207" s="129">
        <v>242958698.65935501</v>
      </c>
      <c r="F207" s="129">
        <v>3342035.97</v>
      </c>
      <c r="G207" s="129">
        <v>218965370.71599996</v>
      </c>
      <c r="K207" s="129">
        <v>297515423.63999999</v>
      </c>
      <c r="M207" s="129">
        <v>54478214.1233273</v>
      </c>
      <c r="P207" s="129">
        <v>20610000</v>
      </c>
      <c r="Q207" s="129">
        <v>48266683.539999999</v>
      </c>
      <c r="R207" s="129">
        <v>138096674.5</v>
      </c>
      <c r="S207" s="129">
        <v>4015699.8499999996</v>
      </c>
      <c r="U207" s="129">
        <v>14577431.210000001</v>
      </c>
      <c r="V207" s="129">
        <v>39535342.370000005</v>
      </c>
      <c r="W207" s="129">
        <v>15533769.813999999</v>
      </c>
      <c r="X207" s="129">
        <v>45965743.703999996</v>
      </c>
      <c r="Z207" s="129">
        <v>18066577.699999999</v>
      </c>
      <c r="AB207" s="129">
        <v>10000000</v>
      </c>
      <c r="AD207" s="129">
        <v>4000000</v>
      </c>
      <c r="AF207" s="129">
        <v>3852310.14</v>
      </c>
      <c r="AG207" s="129">
        <v>30034146.32</v>
      </c>
      <c r="AH207" s="129">
        <v>1209814122.2566822</v>
      </c>
    </row>
    <row r="208" spans="2:34">
      <c r="B208" s="14">
        <v>42886</v>
      </c>
      <c r="D208" s="129">
        <v>238010661.764819</v>
      </c>
      <c r="F208" s="129">
        <v>3390600.12361567</v>
      </c>
      <c r="G208" s="129">
        <v>216315883.11009997</v>
      </c>
      <c r="H208" s="129">
        <v>76830501.629999995</v>
      </c>
      <c r="K208" s="129">
        <v>297515423.63999999</v>
      </c>
      <c r="M208" s="129">
        <v>52826456.611245103</v>
      </c>
      <c r="P208" s="129">
        <v>20610000</v>
      </c>
      <c r="Q208" s="129">
        <v>48567053.369999997</v>
      </c>
      <c r="R208" s="129">
        <v>126196955.430124</v>
      </c>
      <c r="S208" s="129">
        <v>5558178.2314845603</v>
      </c>
      <c r="U208" s="129">
        <v>14383072.065502601</v>
      </c>
      <c r="V208" s="129">
        <v>37875996.793296397</v>
      </c>
      <c r="W208" s="129">
        <v>15247316.779999999</v>
      </c>
      <c r="X208" s="129">
        <v>43225337.579999998</v>
      </c>
      <c r="Z208" s="129">
        <v>18063548.181330498</v>
      </c>
      <c r="AB208" s="129">
        <v>10055696.75</v>
      </c>
      <c r="AD208" s="129">
        <v>4000000</v>
      </c>
      <c r="AF208" s="129">
        <v>3847270.2890292201</v>
      </c>
      <c r="AG208" s="129">
        <v>29388526.884210601</v>
      </c>
      <c r="AH208" s="129">
        <v>1261908479.2347574</v>
      </c>
    </row>
    <row r="209" spans="2:34">
      <c r="B209" s="14">
        <v>42916</v>
      </c>
      <c r="D209" s="129">
        <v>241533864.84749463</v>
      </c>
      <c r="F209" s="129">
        <v>3429652.5697062798</v>
      </c>
      <c r="G209" s="129">
        <v>221645091.78999996</v>
      </c>
      <c r="H209" s="129">
        <v>77805091.730000004</v>
      </c>
      <c r="K209" s="129">
        <v>365229912.22000003</v>
      </c>
      <c r="M209" s="129">
        <v>52909784.242713489</v>
      </c>
      <c r="P209" s="129">
        <v>20580000</v>
      </c>
      <c r="Q209" s="129">
        <v>48835531.810000002</v>
      </c>
      <c r="R209" s="129">
        <v>115215909.67337903</v>
      </c>
      <c r="S209" s="129">
        <v>5618716.6995986504</v>
      </c>
      <c r="U209" s="129">
        <v>14498427.959645599</v>
      </c>
      <c r="V209" s="129">
        <v>37808882.209424123</v>
      </c>
      <c r="W209" s="129">
        <v>15256184.82</v>
      </c>
      <c r="X209" s="129">
        <v>41764490.209999993</v>
      </c>
      <c r="Z209" s="129">
        <v>20065247.542996299</v>
      </c>
      <c r="AB209" s="129">
        <v>10168024.49</v>
      </c>
      <c r="AD209" s="129">
        <v>4000000</v>
      </c>
      <c r="AF209" s="129">
        <v>3855230.38996726</v>
      </c>
      <c r="AG209" s="129">
        <v>29725696.643229801</v>
      </c>
      <c r="AH209" s="129">
        <v>1329945739.8481548</v>
      </c>
    </row>
    <row r="210" spans="2:34">
      <c r="B210" s="14">
        <v>42947</v>
      </c>
      <c r="D210" s="129">
        <v>214874151.69999999</v>
      </c>
      <c r="F210" s="129">
        <v>3363149.16</v>
      </c>
      <c r="G210" s="129">
        <v>226426755.63099992</v>
      </c>
      <c r="H210" s="129">
        <v>77113808.760000005</v>
      </c>
      <c r="K210" s="129">
        <v>365229912.22000003</v>
      </c>
      <c r="M210" s="129">
        <v>53972888.810000002</v>
      </c>
      <c r="P210" s="129">
        <v>20513333.333333332</v>
      </c>
      <c r="Q210" s="129">
        <v>49113008.232000001</v>
      </c>
      <c r="R210" s="129">
        <v>123246172.59999999</v>
      </c>
      <c r="S210" s="129">
        <v>5611088.6100000003</v>
      </c>
      <c r="U210" s="129">
        <v>14481671.02</v>
      </c>
      <c r="V210" s="129">
        <v>36962039.780000001</v>
      </c>
      <c r="W210" s="129">
        <v>10466985.66</v>
      </c>
      <c r="X210" s="129">
        <v>43921726.671000011</v>
      </c>
      <c r="Z210" s="129">
        <v>19885442.300000001</v>
      </c>
      <c r="AB210" s="129">
        <v>10283744.219999999</v>
      </c>
      <c r="AD210" s="129">
        <v>4000000</v>
      </c>
      <c r="AF210" s="129">
        <v>3879680.6239999998</v>
      </c>
      <c r="AG210" s="129">
        <v>30120000</v>
      </c>
      <c r="AH210" s="129">
        <v>1313465559.3313332</v>
      </c>
    </row>
    <row r="211" spans="2:34">
      <c r="B211" s="14">
        <v>42978</v>
      </c>
      <c r="D211" s="129">
        <v>218153100</v>
      </c>
      <c r="F211" s="129">
        <v>3402563.57</v>
      </c>
      <c r="G211" s="129">
        <v>227142142.34999999</v>
      </c>
      <c r="H211" s="129">
        <v>84718778.780000016</v>
      </c>
      <c r="K211" s="129">
        <v>365229912.22000003</v>
      </c>
      <c r="M211" s="129">
        <v>54809300</v>
      </c>
      <c r="P211" s="129">
        <v>22863291.360000003</v>
      </c>
      <c r="Q211" s="129">
        <v>37218551.07</v>
      </c>
      <c r="R211" s="129">
        <v>121613800</v>
      </c>
      <c r="S211" s="129">
        <v>5460800</v>
      </c>
      <c r="U211" s="129">
        <v>14380000</v>
      </c>
      <c r="V211" s="129">
        <v>37670000</v>
      </c>
      <c r="W211" s="129">
        <v>10620300</v>
      </c>
      <c r="X211" s="129">
        <v>48920700</v>
      </c>
      <c r="Z211" s="129">
        <v>19054129.857872475</v>
      </c>
      <c r="AB211" s="129">
        <v>10216672.289999999</v>
      </c>
      <c r="AD211" s="129">
        <v>4000000</v>
      </c>
      <c r="AF211" s="129">
        <v>3750376.31</v>
      </c>
      <c r="AG211" s="129">
        <v>29449328.25</v>
      </c>
      <c r="AH211" s="129">
        <v>1318673746.0578725</v>
      </c>
    </row>
    <row r="212" spans="2:34">
      <c r="B212" s="14">
        <v>43007</v>
      </c>
      <c r="D212" s="129">
        <v>217665400</v>
      </c>
      <c r="F212" s="129">
        <v>3443364.1599999997</v>
      </c>
      <c r="G212" s="129">
        <v>226631106.24381772</v>
      </c>
      <c r="K212" s="129">
        <v>365229912.22000003</v>
      </c>
      <c r="M212" s="129">
        <v>53853700</v>
      </c>
      <c r="P212" s="129">
        <v>26280631.400000002</v>
      </c>
      <c r="Q212" s="129">
        <v>37503984.410000004</v>
      </c>
      <c r="R212" s="129">
        <v>124489600</v>
      </c>
      <c r="S212" s="129">
        <v>5480500</v>
      </c>
      <c r="U212" s="129">
        <v>14350536.189999999</v>
      </c>
      <c r="V212" s="129">
        <v>36996300</v>
      </c>
      <c r="W212" s="129">
        <v>10389100</v>
      </c>
      <c r="X212" s="129">
        <v>48461100</v>
      </c>
      <c r="Z212" s="129">
        <v>19380300</v>
      </c>
      <c r="AB212" s="129">
        <v>10327045.119999999</v>
      </c>
      <c r="AD212" s="129">
        <v>4000000</v>
      </c>
      <c r="AF212" s="129">
        <v>3493098</v>
      </c>
      <c r="AG212" s="129">
        <v>29702703</v>
      </c>
      <c r="AH212" s="129">
        <v>1237678380.7438176</v>
      </c>
    </row>
    <row r="213" spans="2:34">
      <c r="B213" s="14">
        <v>43039</v>
      </c>
      <c r="D213" s="129">
        <v>234208400</v>
      </c>
      <c r="F213" s="129">
        <v>2500509.04</v>
      </c>
      <c r="G213" s="129">
        <v>228012789.62999997</v>
      </c>
      <c r="H213" s="129">
        <v>85389061.600000009</v>
      </c>
      <c r="K213" s="129">
        <v>365229912.22000003</v>
      </c>
      <c r="M213" s="129">
        <v>55842400</v>
      </c>
      <c r="P213" s="129">
        <v>29023668.82</v>
      </c>
      <c r="Q213" s="129">
        <v>37000828.369999997</v>
      </c>
      <c r="R213" s="129">
        <v>121116367.48999999</v>
      </c>
      <c r="S213" s="129">
        <v>5538206.4699999997</v>
      </c>
      <c r="U213" s="129">
        <v>14407976.119999999</v>
      </c>
      <c r="V213" s="129">
        <v>36253200</v>
      </c>
      <c r="W213" s="129">
        <v>15747100</v>
      </c>
      <c r="X213" s="129">
        <v>48280800</v>
      </c>
      <c r="Z213" s="129">
        <v>19745854.181028899</v>
      </c>
      <c r="AB213" s="129">
        <v>10109069.619999999</v>
      </c>
      <c r="AC213" s="129">
        <v>5000000</v>
      </c>
      <c r="AD213" s="129">
        <v>4000000</v>
      </c>
      <c r="AF213" s="129">
        <v>3538387.8279515295</v>
      </c>
      <c r="AG213" s="129">
        <v>28997985.784473099</v>
      </c>
      <c r="AH213" s="129">
        <v>1349942517.1734533</v>
      </c>
    </row>
    <row r="214" spans="2:34">
      <c r="B214" s="14">
        <v>43069</v>
      </c>
      <c r="D214" s="129">
        <v>226861500</v>
      </c>
      <c r="F214" s="129">
        <v>2531078.9300000002</v>
      </c>
      <c r="G214" s="129">
        <v>228387002.11999997</v>
      </c>
      <c r="H214" s="129">
        <v>85070503.929999977</v>
      </c>
      <c r="K214" s="129">
        <v>365869890</v>
      </c>
      <c r="M214" s="129">
        <v>54286200</v>
      </c>
      <c r="P214" s="129">
        <v>28970000</v>
      </c>
      <c r="Q214" s="129">
        <v>36413162.460000001</v>
      </c>
      <c r="R214" s="129">
        <v>112134034.73999999</v>
      </c>
      <c r="S214" s="129">
        <v>5482523.2199999997</v>
      </c>
      <c r="U214" s="129">
        <v>14385290.359999999</v>
      </c>
      <c r="V214" s="129">
        <v>36213318.939999998</v>
      </c>
      <c r="W214" s="129">
        <v>15695700</v>
      </c>
      <c r="X214" s="129">
        <v>35249700</v>
      </c>
      <c r="Z214" s="129">
        <v>20088177.7783462</v>
      </c>
      <c r="AB214" s="129">
        <v>10112994.91</v>
      </c>
      <c r="AC214" s="129">
        <v>4885734</v>
      </c>
      <c r="AD214" s="129">
        <v>4000000</v>
      </c>
      <c r="AF214" s="129">
        <v>3155560.26</v>
      </c>
      <c r="AG214" s="129">
        <v>29359187.583866201</v>
      </c>
      <c r="AH214" s="129">
        <v>1319151559.2322123</v>
      </c>
    </row>
    <row r="215" spans="2:34">
      <c r="B215" s="14">
        <v>43098</v>
      </c>
      <c r="D215" s="129">
        <v>192630303.73301128</v>
      </c>
      <c r="F215" s="129">
        <v>2559118.13</v>
      </c>
      <c r="G215" s="129">
        <v>240189300</v>
      </c>
      <c r="K215" s="129">
        <v>365869890</v>
      </c>
      <c r="M215" s="129">
        <v>52643700</v>
      </c>
      <c r="P215" s="129">
        <v>28920000</v>
      </c>
      <c r="Q215" s="129">
        <v>36282978.420000002</v>
      </c>
      <c r="R215" s="129">
        <v>111686400</v>
      </c>
      <c r="S215" s="129">
        <v>5995971.9500000002</v>
      </c>
      <c r="U215" s="129">
        <v>13793911.74</v>
      </c>
      <c r="V215" s="129">
        <v>35787200</v>
      </c>
      <c r="W215" s="129">
        <v>9987300</v>
      </c>
      <c r="X215" s="129">
        <v>35621000</v>
      </c>
      <c r="Z215" s="129">
        <v>20378685.620000001</v>
      </c>
      <c r="AB215" s="129">
        <v>10110400.57</v>
      </c>
      <c r="AC215" s="129">
        <v>4906550.93</v>
      </c>
      <c r="AD215" s="129">
        <v>4000000</v>
      </c>
      <c r="AF215" s="129">
        <v>3205132.13</v>
      </c>
      <c r="AG215" s="129">
        <v>29768504.07</v>
      </c>
      <c r="AH215" s="129">
        <v>1204336347.2930112</v>
      </c>
    </row>
    <row r="216" spans="2:34">
      <c r="B216" s="14">
        <v>43100</v>
      </c>
      <c r="H216" s="129">
        <v>111695148.90000001</v>
      </c>
      <c r="T216" s="129">
        <v>999999.5</v>
      </c>
      <c r="AF216" s="129"/>
      <c r="AG216" s="129"/>
      <c r="AH216" s="129">
        <v>112695148.40000001</v>
      </c>
    </row>
    <row r="217" spans="2:34">
      <c r="B217" s="14">
        <v>43131</v>
      </c>
      <c r="D217" s="129">
        <v>197800300</v>
      </c>
      <c r="F217" s="129">
        <v>2507823.14</v>
      </c>
      <c r="G217" s="129">
        <v>244106300</v>
      </c>
      <c r="H217" s="129">
        <v>118293501.97999999</v>
      </c>
      <c r="K217" s="129">
        <v>365869890</v>
      </c>
      <c r="L217" s="129">
        <v>10069896.939999999</v>
      </c>
      <c r="M217" s="129">
        <v>37863400</v>
      </c>
      <c r="P217" s="129">
        <v>28920000</v>
      </c>
      <c r="Q217" s="129">
        <v>36114709.079999998</v>
      </c>
      <c r="R217" s="129">
        <v>115981510.2</v>
      </c>
      <c r="S217" s="129">
        <v>5480500</v>
      </c>
      <c r="T217" s="129">
        <v>999946.76</v>
      </c>
      <c r="U217" s="129">
        <v>13852986.49</v>
      </c>
      <c r="V217" s="129">
        <v>35143700</v>
      </c>
      <c r="W217" s="129">
        <v>9868700</v>
      </c>
      <c r="X217" s="129">
        <v>36388600</v>
      </c>
      <c r="Z217" s="129">
        <v>20794300</v>
      </c>
      <c r="AB217" s="129">
        <v>10117935.5</v>
      </c>
      <c r="AC217" s="129">
        <v>4829312.1500000004</v>
      </c>
      <c r="AD217" s="129">
        <v>4000000</v>
      </c>
      <c r="AF217" s="129">
        <v>3329627.1210000003</v>
      </c>
      <c r="AG217" s="129">
        <v>29846675.48</v>
      </c>
      <c r="AH217" s="129">
        <v>1332179614.8410003</v>
      </c>
    </row>
    <row r="218" spans="2:34">
      <c r="B218" s="14">
        <v>43159</v>
      </c>
      <c r="D218" s="129">
        <v>197016054.0312115</v>
      </c>
      <c r="F218" s="129">
        <v>2536423.0499999998</v>
      </c>
      <c r="G218" s="129">
        <v>246524522.34999996</v>
      </c>
      <c r="H218" s="129">
        <v>118753646.2</v>
      </c>
      <c r="K218" s="129">
        <v>378493319.47299999</v>
      </c>
      <c r="L218" s="129">
        <v>9921204.7799999993</v>
      </c>
      <c r="M218" s="129">
        <v>37010885.307930604</v>
      </c>
      <c r="P218" s="129">
        <v>30915762.989999998</v>
      </c>
      <c r="Q218" s="129">
        <v>35559287.539999999</v>
      </c>
      <c r="R218" s="129">
        <v>107170997.11216848</v>
      </c>
      <c r="S218" s="129">
        <v>5995978.0199999996</v>
      </c>
      <c r="T218" s="129">
        <v>989534.53</v>
      </c>
      <c r="U218" s="129">
        <v>13825486.93</v>
      </c>
      <c r="V218" s="129">
        <v>38372000</v>
      </c>
      <c r="W218" s="129">
        <v>10047000</v>
      </c>
      <c r="X218" s="129">
        <v>35222300</v>
      </c>
      <c r="Z218" s="129">
        <v>23082670.170000002</v>
      </c>
      <c r="AB218" s="129">
        <v>10203462.119999999</v>
      </c>
      <c r="AC218" s="129">
        <v>4890910.379999999</v>
      </c>
      <c r="AD218" s="129">
        <v>3932770.77</v>
      </c>
      <c r="AF218" s="129">
        <v>3847521.01</v>
      </c>
      <c r="AG218" s="129">
        <v>30452765.579999998</v>
      </c>
      <c r="AH218" s="129">
        <v>1344764502.3443105</v>
      </c>
    </row>
    <row r="219" spans="2:34">
      <c r="B219" s="14">
        <v>43188</v>
      </c>
      <c r="D219" s="129">
        <v>193826539.85326615</v>
      </c>
      <c r="F219" s="129">
        <v>2566070.87</v>
      </c>
      <c r="G219" s="129">
        <v>249092855.30999997</v>
      </c>
      <c r="K219" s="129">
        <v>365869789.18608689</v>
      </c>
      <c r="L219" s="129">
        <v>9921204.7799999993</v>
      </c>
      <c r="M219" s="129">
        <v>36398236.2577608</v>
      </c>
      <c r="P219" s="129">
        <v>28961664.705082446</v>
      </c>
      <c r="Q219" s="129">
        <v>58431109.219999999</v>
      </c>
      <c r="R219" s="129">
        <v>86433748.071999997</v>
      </c>
      <c r="S219" s="129">
        <v>6056956.9890000001</v>
      </c>
      <c r="T219" s="129">
        <v>978868.91578947369</v>
      </c>
      <c r="U219" s="129">
        <v>14058249.32</v>
      </c>
      <c r="V219" s="129">
        <v>39107903.892808802</v>
      </c>
      <c r="W219" s="129">
        <v>5625991.1900000004</v>
      </c>
      <c r="X219" s="129">
        <v>35420843.56000001</v>
      </c>
      <c r="Z219" s="129">
        <v>23862699.629999999</v>
      </c>
      <c r="AB219" s="129">
        <v>10310951.2764144</v>
      </c>
      <c r="AC219" s="129">
        <v>4953556.8371344563</v>
      </c>
      <c r="AD219" s="129">
        <v>4000000</v>
      </c>
      <c r="AF219" s="129">
        <v>3839160.035813387</v>
      </c>
      <c r="AG219" s="129">
        <v>29849416.3667624</v>
      </c>
      <c r="AH219" s="129">
        <v>1209565816.2679191</v>
      </c>
    </row>
    <row r="220" spans="2:34">
      <c r="B220" s="14">
        <v>43220</v>
      </c>
      <c r="D220" s="129">
        <v>192484024.09938771</v>
      </c>
      <c r="F220" s="129">
        <v>2514085.81</v>
      </c>
      <c r="G220" s="129">
        <v>251616606.13999999</v>
      </c>
      <c r="H220" s="129">
        <v>118882223.47</v>
      </c>
      <c r="K220" s="129">
        <v>365869789.18608689</v>
      </c>
      <c r="L220" s="129">
        <v>10514171.24</v>
      </c>
      <c r="M220" s="129">
        <v>35777330.796557248</v>
      </c>
      <c r="P220" s="129">
        <v>28961664.705082446</v>
      </c>
      <c r="Q220" s="129">
        <v>58574142.509999998</v>
      </c>
      <c r="R220" s="129">
        <v>87936884.403899997</v>
      </c>
      <c r="S220" s="129">
        <v>6056956.9890000001</v>
      </c>
      <c r="T220" s="129">
        <v>978596.59</v>
      </c>
      <c r="U220" s="129">
        <v>14058249.32</v>
      </c>
      <c r="V220" s="129">
        <v>39272814.07881888</v>
      </c>
      <c r="W220" s="129">
        <v>5675416.4500000002</v>
      </c>
      <c r="X220" s="129">
        <v>20566350.219900001</v>
      </c>
      <c r="Z220" s="129">
        <v>24568284.989999998</v>
      </c>
      <c r="AB220" s="129">
        <v>10095913.02</v>
      </c>
      <c r="AC220" s="129">
        <v>4875922.16</v>
      </c>
      <c r="AD220" s="129">
        <v>4000000</v>
      </c>
      <c r="AF220" s="129">
        <v>3716114.02</v>
      </c>
      <c r="AG220" s="129">
        <v>30289645.559999999</v>
      </c>
      <c r="AH220" s="129">
        <v>1317285185.7587328</v>
      </c>
    </row>
    <row r="221" spans="2:34">
      <c r="B221" s="14">
        <v>42597</v>
      </c>
      <c r="AF221" s="129"/>
      <c r="AG221" s="129"/>
      <c r="AH221" s="129"/>
    </row>
    <row r="222" spans="2:34">
      <c r="B222" s="14">
        <v>42605</v>
      </c>
      <c r="AF222" s="129"/>
      <c r="AG222" s="129"/>
      <c r="AH222" s="129"/>
    </row>
    <row r="223" spans="2:34">
      <c r="B223" s="14">
        <v>43251</v>
      </c>
      <c r="D223" s="129">
        <v>175269750.77325788</v>
      </c>
      <c r="F223" s="129">
        <v>2545874.9087597281</v>
      </c>
      <c r="G223" s="129">
        <v>253446043.38010001</v>
      </c>
      <c r="H223" s="129">
        <v>120481124.22000003</v>
      </c>
      <c r="K223" s="129">
        <v>555837653.47535658</v>
      </c>
      <c r="L223" s="129">
        <v>10844675.633567419</v>
      </c>
      <c r="M223" s="129">
        <v>34776520.342320748</v>
      </c>
      <c r="P223" s="129">
        <v>31846892.637449495</v>
      </c>
      <c r="Q223" s="129">
        <v>58439031.590000004</v>
      </c>
      <c r="R223" s="129">
        <v>96242542.158000007</v>
      </c>
      <c r="S223" s="129">
        <v>5984925.5465000002</v>
      </c>
      <c r="T223" s="129">
        <v>968896.22894736845</v>
      </c>
      <c r="U223" s="129">
        <v>13895942.915481418</v>
      </c>
      <c r="V223" s="129">
        <v>39000157.034882396</v>
      </c>
      <c r="W223" s="129">
        <v>4537768.09</v>
      </c>
      <c r="X223" s="129">
        <v>19656186.889999997</v>
      </c>
      <c r="Z223" s="129">
        <v>24275756.48</v>
      </c>
      <c r="AB223" s="129">
        <v>10212787.85</v>
      </c>
      <c r="AC223" s="129">
        <v>4948624.4364909632</v>
      </c>
      <c r="AD223" s="129">
        <v>4000000</v>
      </c>
      <c r="AF223" s="129">
        <v>3611732.0956333522</v>
      </c>
      <c r="AG223" s="129">
        <v>30704653.75</v>
      </c>
      <c r="AH223" s="129">
        <v>1501527540.4367468</v>
      </c>
    </row>
    <row r="224" spans="2:34">
      <c r="B224" s="14">
        <v>43280</v>
      </c>
      <c r="D224" s="129">
        <v>176066401.24685147</v>
      </c>
      <c r="F224" s="129">
        <v>2575928.85</v>
      </c>
      <c r="G224" s="129">
        <v>254738478.1101</v>
      </c>
      <c r="K224" s="129">
        <v>534131653.47850001</v>
      </c>
      <c r="L224" s="129">
        <v>11158132.2975088</v>
      </c>
      <c r="M224" s="129">
        <v>34020593.371383451</v>
      </c>
      <c r="P224" s="129">
        <v>32262811.969999999</v>
      </c>
      <c r="Q224" s="129">
        <v>62354903.359999999</v>
      </c>
      <c r="R224" s="129">
        <v>87461898.777400002</v>
      </c>
      <c r="S224" s="129">
        <v>5208303.2494999999</v>
      </c>
      <c r="T224" s="129">
        <v>945890.25263157894</v>
      </c>
      <c r="U224" s="129">
        <v>14025870.263168195</v>
      </c>
      <c r="V224" s="129">
        <v>39322567.148689434</v>
      </c>
      <c r="W224" s="129">
        <v>4528052.25</v>
      </c>
      <c r="X224" s="129">
        <v>18931375.6699</v>
      </c>
      <c r="Z224" s="129">
        <v>24632705.91</v>
      </c>
      <c r="AB224" s="129">
        <v>10323346.939999999</v>
      </c>
      <c r="AC224" s="129">
        <v>5012195.6673057461</v>
      </c>
      <c r="AD224" s="129">
        <v>4000000</v>
      </c>
      <c r="AF224" s="129">
        <v>3649853.4114958849</v>
      </c>
      <c r="AG224" s="129">
        <v>30088729.640000001</v>
      </c>
      <c r="AH224" s="129">
        <v>1355439691.864435</v>
      </c>
    </row>
    <row r="225" spans="2:34">
      <c r="B225" s="14">
        <v>43312</v>
      </c>
      <c r="D225" s="129">
        <v>121348961.37462108</v>
      </c>
      <c r="F225" s="129">
        <v>2524083.7422295436</v>
      </c>
      <c r="G225" s="129">
        <v>254736828.88250872</v>
      </c>
      <c r="H225" s="129">
        <v>118604506.75</v>
      </c>
      <c r="K225" s="129">
        <v>534131653.47847652</v>
      </c>
      <c r="L225" s="129">
        <v>695644.66810481949</v>
      </c>
      <c r="M225" s="129">
        <v>33833481.413854949</v>
      </c>
      <c r="P225" s="129">
        <v>32262811.970753297</v>
      </c>
      <c r="Q225" s="129">
        <v>62482244.009999998</v>
      </c>
      <c r="R225" s="129">
        <v>92901734.163000003</v>
      </c>
      <c r="S225" s="129">
        <v>5208303.2494999999</v>
      </c>
      <c r="U225" s="129">
        <v>13868327.043732878</v>
      </c>
      <c r="V225" s="129">
        <v>38565091.831775039</v>
      </c>
      <c r="W225" s="129">
        <v>4548135.3991</v>
      </c>
      <c r="X225" s="129">
        <v>18843606.822999999</v>
      </c>
      <c r="Y225" s="129">
        <v>22359968.030000001</v>
      </c>
      <c r="Z225" s="129">
        <v>25069335.77</v>
      </c>
      <c r="AB225" s="129">
        <v>10105198.85</v>
      </c>
      <c r="AC225" s="129">
        <v>4933516.9081749674</v>
      </c>
      <c r="AD225" s="129">
        <v>4000000</v>
      </c>
      <c r="AF225" s="129">
        <v>3594298.138089078</v>
      </c>
      <c r="AG225" s="129">
        <v>29514207.190000001</v>
      </c>
      <c r="AH225" s="129">
        <v>1434131939.6869209</v>
      </c>
    </row>
    <row r="226" spans="2:34">
      <c r="B226" s="14">
        <v>43343</v>
      </c>
      <c r="D226" s="129">
        <v>118937637.55021498</v>
      </c>
      <c r="F226" s="129">
        <v>2555998.4625278935</v>
      </c>
      <c r="G226" s="129">
        <v>242036700.01010001</v>
      </c>
      <c r="H226" s="129">
        <v>117413969.39</v>
      </c>
      <c r="K226" s="129">
        <v>1068263306.956953</v>
      </c>
      <c r="L226" s="129">
        <v>0</v>
      </c>
      <c r="M226" s="129">
        <v>32791375.5607551</v>
      </c>
      <c r="P226" s="129">
        <v>32262423.420308426</v>
      </c>
      <c r="Q226" s="129">
        <v>63199695.780000001</v>
      </c>
      <c r="R226" s="129">
        <v>89177301.413199991</v>
      </c>
      <c r="S226" s="129">
        <v>5208303.2494999999</v>
      </c>
      <c r="U226" s="129">
        <v>13835310.430643592</v>
      </c>
      <c r="V226" s="129">
        <v>37760099.298761278</v>
      </c>
      <c r="W226" s="129">
        <v>4531297.3929999992</v>
      </c>
      <c r="X226" s="129">
        <v>18772684.922899999</v>
      </c>
      <c r="Y226" s="129">
        <v>39704028.509999998</v>
      </c>
      <c r="Z226" s="129">
        <v>25498318.460000001</v>
      </c>
      <c r="AB226" s="129">
        <v>10222181.18</v>
      </c>
      <c r="AC226" s="129">
        <v>5012637.1890421044</v>
      </c>
      <c r="AD226" s="129">
        <v>4000000</v>
      </c>
      <c r="AF226" s="129">
        <v>3491312.8513562307</v>
      </c>
      <c r="AG226" s="129">
        <v>29881298.626140095</v>
      </c>
      <c r="AH226" s="129">
        <v>1964555880.6554024</v>
      </c>
    </row>
    <row r="227" spans="2:34">
      <c r="B227" s="14">
        <v>43371</v>
      </c>
      <c r="D227" s="129">
        <v>121056603.11353731</v>
      </c>
      <c r="F227" s="129">
        <v>2587230.6109355227</v>
      </c>
      <c r="G227" s="129">
        <v>238790797.12010005</v>
      </c>
      <c r="K227" s="129">
        <v>531954231.70863187</v>
      </c>
      <c r="M227" s="129">
        <v>33486021.614241902</v>
      </c>
      <c r="P227" s="129">
        <v>32430250.136189248</v>
      </c>
      <c r="Q227" s="129">
        <v>63801975.060000002</v>
      </c>
      <c r="R227" s="129">
        <v>88272015.094042137</v>
      </c>
      <c r="S227" s="129">
        <v>5736464.4972999981</v>
      </c>
      <c r="U227" s="129">
        <v>13621237.322509421</v>
      </c>
      <c r="V227" s="129">
        <v>37504777.0763437</v>
      </c>
      <c r="W227" s="129">
        <v>4544311.4879999999</v>
      </c>
      <c r="X227" s="129">
        <v>17945883.650000002</v>
      </c>
      <c r="Y227" s="129">
        <v>48083713.330000013</v>
      </c>
      <c r="Z227" s="129">
        <v>25890189.059999999</v>
      </c>
      <c r="AB227" s="129">
        <v>10328880.869999999</v>
      </c>
      <c r="AC227" s="129">
        <v>5078776.5019233469</v>
      </c>
      <c r="AD227" s="129">
        <v>4000000</v>
      </c>
      <c r="AF227" s="129">
        <v>3526984.3490090291</v>
      </c>
      <c r="AG227" s="129">
        <v>30441498.859999999</v>
      </c>
      <c r="AH227" s="129">
        <v>1319081841.4627633</v>
      </c>
    </row>
    <row r="228" spans="2:34">
      <c r="B228" s="14">
        <v>43404</v>
      </c>
      <c r="D228" s="129">
        <v>120878631.41458665</v>
      </c>
      <c r="F228" s="129">
        <v>0</v>
      </c>
      <c r="G228" s="129">
        <v>237058363.47060004</v>
      </c>
      <c r="H228" s="129">
        <v>111446506.56999998</v>
      </c>
      <c r="K228" s="129">
        <v>531954231.70863187</v>
      </c>
      <c r="M228" s="129">
        <v>32927014.216364101</v>
      </c>
      <c r="P228" s="129">
        <v>32430250.136189248</v>
      </c>
      <c r="Q228" s="129">
        <v>61725396.090000004</v>
      </c>
      <c r="R228" s="129">
        <v>83873806.972081661</v>
      </c>
      <c r="S228" s="129">
        <v>5736464.4972999981</v>
      </c>
      <c r="U228" s="129">
        <v>13608544.490167269</v>
      </c>
      <c r="V228" s="129">
        <v>43122857.423479624</v>
      </c>
      <c r="W228" s="129">
        <v>3194680.9945</v>
      </c>
      <c r="X228" s="129">
        <v>16814863.752099998</v>
      </c>
      <c r="Y228" s="129">
        <v>82687116.160000056</v>
      </c>
      <c r="Z228" s="129">
        <v>52717741.156288862</v>
      </c>
      <c r="AA228" s="129">
        <v>873699.32472540811</v>
      </c>
      <c r="AB228" s="129">
        <v>20429107.299999997</v>
      </c>
      <c r="AC228" s="129">
        <v>4840988.97</v>
      </c>
      <c r="AD228" s="129">
        <v>8414875</v>
      </c>
      <c r="AE228" s="129">
        <v>30234637.591206037</v>
      </c>
      <c r="AF228" s="129">
        <v>8392781.9203551058</v>
      </c>
      <c r="AG228" s="129">
        <v>29230085.91</v>
      </c>
      <c r="AH228" s="129">
        <v>1532592645.0685759</v>
      </c>
    </row>
    <row r="229" spans="2:34">
      <c r="B229" s="14">
        <v>42634</v>
      </c>
      <c r="AF229" s="129"/>
      <c r="AG229" s="129"/>
      <c r="AH229" s="129"/>
    </row>
    <row r="230" spans="2:34">
      <c r="B230" s="14">
        <v>42655</v>
      </c>
      <c r="AF230" s="129"/>
      <c r="AG230" s="129"/>
      <c r="AH230" s="129"/>
    </row>
    <row r="231" spans="2:34">
      <c r="B231" s="14">
        <v>42667</v>
      </c>
      <c r="AF231" s="129"/>
      <c r="AG231" s="129"/>
      <c r="AH231" s="129"/>
    </row>
    <row r="232" spans="2:34">
      <c r="B232" s="14">
        <v>42695</v>
      </c>
      <c r="AF232" s="129"/>
      <c r="AG232" s="129"/>
      <c r="AH232" s="129"/>
    </row>
    <row r="233" spans="2:34">
      <c r="B233" s="14">
        <v>42703</v>
      </c>
      <c r="AF233" s="129"/>
      <c r="AG233" s="129"/>
      <c r="AH233" s="129"/>
    </row>
    <row r="234" spans="2:34">
      <c r="B234" s="14">
        <v>42735</v>
      </c>
      <c r="H234" s="129">
        <v>45967122.649999999</v>
      </c>
      <c r="AF234" s="129"/>
      <c r="AG234" s="129"/>
      <c r="AH234" s="129">
        <v>45967122.649999999</v>
      </c>
    </row>
    <row r="235" spans="2:34">
      <c r="B235" s="14">
        <v>42766</v>
      </c>
      <c r="H235" s="129">
        <v>47084666.189999998</v>
      </c>
      <c r="AF235" s="129"/>
      <c r="AG235" s="129"/>
      <c r="AH235" s="129">
        <v>47084666.189999998</v>
      </c>
    </row>
    <row r="236" spans="2:34">
      <c r="B236" s="14">
        <v>42793</v>
      </c>
      <c r="AF236" s="129"/>
      <c r="AG236" s="129"/>
      <c r="AH236" s="129"/>
    </row>
    <row r="237" spans="2:34">
      <c r="B237" s="14">
        <v>42835</v>
      </c>
      <c r="AF237" s="129"/>
      <c r="AG237" s="129"/>
      <c r="AH237" s="129"/>
    </row>
    <row r="238" spans="2:34">
      <c r="B238" s="14">
        <v>42855</v>
      </c>
      <c r="H238" s="129">
        <v>62969760.340000004</v>
      </c>
      <c r="AF238" s="129"/>
      <c r="AG238" s="129"/>
      <c r="AH238" s="129">
        <v>62969760.340000004</v>
      </c>
    </row>
    <row r="239" spans="2:34">
      <c r="B239" s="14">
        <v>42881</v>
      </c>
      <c r="AF239" s="129"/>
      <c r="AG239" s="129"/>
      <c r="AH239" s="129"/>
    </row>
    <row r="240" spans="2:34">
      <c r="B240" s="14">
        <v>42958</v>
      </c>
      <c r="AF240" s="129"/>
      <c r="AG240" s="129"/>
      <c r="AH240" s="129"/>
    </row>
    <row r="241" spans="2:34">
      <c r="B241" s="14">
        <v>43008</v>
      </c>
      <c r="H241" s="129">
        <v>85136093.059999987</v>
      </c>
      <c r="AF241" s="129"/>
      <c r="AG241" s="129"/>
      <c r="AH241" s="129">
        <v>85136093.059999987</v>
      </c>
    </row>
    <row r="242" spans="2:34">
      <c r="B242" s="14">
        <v>43087</v>
      </c>
      <c r="AF242" s="129"/>
      <c r="AG242" s="129"/>
      <c r="AH242" s="129"/>
    </row>
    <row r="243" spans="2:34">
      <c r="B243" s="14">
        <v>43190</v>
      </c>
      <c r="H243" s="129">
        <v>119730722.75</v>
      </c>
      <c r="AF243" s="129"/>
      <c r="AG243" s="129"/>
      <c r="AH243" s="129">
        <v>119730722.75</v>
      </c>
    </row>
    <row r="244" spans="2:34">
      <c r="B244" s="14">
        <v>43281</v>
      </c>
      <c r="H244" s="129">
        <v>119686328.98999999</v>
      </c>
      <c r="Y244" s="129">
        <v>22307965.510000005</v>
      </c>
      <c r="AF244" s="129"/>
      <c r="AG244" s="129"/>
      <c r="AH244" s="129">
        <v>141994294.5</v>
      </c>
    </row>
    <row r="245" spans="2:34">
      <c r="B245" s="14">
        <v>43373</v>
      </c>
      <c r="H245" s="129">
        <v>112675660.85000004</v>
      </c>
      <c r="AF245" s="129"/>
      <c r="AG245" s="129"/>
      <c r="AH245" s="129">
        <v>112675660.85000004</v>
      </c>
    </row>
    <row r="246" spans="2:34">
      <c r="B246" s="14">
        <v>43252</v>
      </c>
      <c r="AF246" s="129"/>
      <c r="AG246" s="129"/>
      <c r="AH246" s="129"/>
    </row>
    <row r="247" spans="2:34">
      <c r="B247" s="14">
        <v>43329</v>
      </c>
      <c r="AF247" s="129"/>
      <c r="AG247" s="129"/>
      <c r="AH247" s="129"/>
    </row>
    <row r="248" spans="2:34">
      <c r="B248" s="14">
        <v>43369</v>
      </c>
      <c r="AF248" s="129"/>
      <c r="AG248" s="129"/>
      <c r="AH248" s="129"/>
    </row>
    <row r="249" spans="2:34"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232"/>
  <sheetViews>
    <sheetView zoomScale="85" zoomScaleNormal="85" workbookViewId="0">
      <pane xSplit="1" ySplit="2" topLeftCell="B188" activePane="bottomRight" state="frozen"/>
      <selection pane="topRight" activeCell="B1" sqref="B1"/>
      <selection pane="bottomLeft" activeCell="A3" sqref="A3"/>
      <selection pane="bottomRight" activeCell="D209" sqref="D209"/>
    </sheetView>
  </sheetViews>
  <sheetFormatPr defaultColWidth="9.42578125" defaultRowHeight="15" outlineLevelRow="1"/>
  <cols>
    <col min="1" max="1" width="34.5703125" style="136" customWidth="1"/>
    <col min="2" max="2" width="10.42578125" style="142" bestFit="1" customWidth="1"/>
    <col min="3" max="28" width="9.42578125" style="142"/>
    <col min="29" max="29" width="2.42578125" style="142" customWidth="1"/>
    <col min="30" max="32" width="9.42578125" style="142"/>
    <col min="33" max="33" width="10.42578125" style="142" customWidth="1"/>
    <col min="34" max="34" width="12" style="144" customWidth="1"/>
    <col min="35" max="35" width="9.42578125" style="145"/>
    <col min="36" max="16384" width="9.42578125" style="146"/>
  </cols>
  <sheetData>
    <row r="1" spans="1:38" s="135" customFormat="1" ht="31.5">
      <c r="A1" s="131" t="s">
        <v>187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AG1" s="187">
        <f>MATCH($AG$2,$A$2:$AK$2,0)</f>
        <v>33</v>
      </c>
      <c r="AH1" s="133"/>
      <c r="AI1" s="134"/>
    </row>
    <row r="2" spans="1:38" s="141" customFormat="1">
      <c r="A2" s="136" t="s">
        <v>109</v>
      </c>
      <c r="B2" s="137" t="s">
        <v>0</v>
      </c>
      <c r="C2" s="137" t="s">
        <v>15</v>
      </c>
      <c r="D2" s="137" t="s">
        <v>149</v>
      </c>
      <c r="E2" s="137" t="s">
        <v>188</v>
      </c>
      <c r="F2" s="137" t="s">
        <v>189</v>
      </c>
      <c r="G2" s="137" t="s">
        <v>19</v>
      </c>
      <c r="H2" s="138" t="s">
        <v>32</v>
      </c>
      <c r="I2" s="137" t="s">
        <v>136</v>
      </c>
      <c r="J2" s="138" t="s">
        <v>175</v>
      </c>
      <c r="K2" s="138" t="s">
        <v>273</v>
      </c>
      <c r="L2" s="138" t="s">
        <v>35</v>
      </c>
      <c r="M2" s="138" t="s">
        <v>32</v>
      </c>
      <c r="N2" s="138" t="s">
        <v>33</v>
      </c>
      <c r="O2" s="138" t="s">
        <v>397</v>
      </c>
      <c r="P2" s="138" t="s">
        <v>78</v>
      </c>
      <c r="Q2" s="138" t="s">
        <v>393</v>
      </c>
      <c r="R2" s="138" t="s">
        <v>82</v>
      </c>
      <c r="S2" s="138" t="s">
        <v>83</v>
      </c>
      <c r="T2" s="138" t="s">
        <v>408</v>
      </c>
      <c r="U2" s="138" t="s">
        <v>395</v>
      </c>
      <c r="V2" s="138" t="s">
        <v>394</v>
      </c>
      <c r="W2" s="138" t="s">
        <v>407</v>
      </c>
      <c r="X2" s="138" t="s">
        <v>163</v>
      </c>
      <c r="Y2" s="138" t="s">
        <v>165</v>
      </c>
      <c r="Z2" s="138" t="s">
        <v>424</v>
      </c>
      <c r="AA2" s="138" t="s">
        <v>425</v>
      </c>
      <c r="AB2" s="138"/>
      <c r="AC2" s="137"/>
      <c r="AD2" s="137" t="s">
        <v>190</v>
      </c>
      <c r="AE2" s="137" t="s">
        <v>191</v>
      </c>
      <c r="AF2" s="137" t="s">
        <v>192</v>
      </c>
      <c r="AG2" s="137" t="s">
        <v>193</v>
      </c>
      <c r="AH2" s="139" t="s">
        <v>194</v>
      </c>
      <c r="AI2" s="140"/>
    </row>
    <row r="3" spans="1:38" outlineLevel="1">
      <c r="A3" s="136">
        <v>37376</v>
      </c>
      <c r="B3" s="142">
        <v>0</v>
      </c>
      <c r="H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D3" s="142">
        <v>-6.1417652236815723E-2</v>
      </c>
      <c r="AE3" s="142">
        <v>3.5817208727871641E-2</v>
      </c>
      <c r="AF3" s="142">
        <v>3.2389941420986945E-2</v>
      </c>
      <c r="AG3" s="142">
        <v>5.0846999999999996E-2</v>
      </c>
      <c r="AK3" s="147"/>
      <c r="AL3" s="148"/>
    </row>
    <row r="4" spans="1:38" outlineLevel="1">
      <c r="A4" s="136">
        <v>37407</v>
      </c>
      <c r="B4" s="142">
        <v>0</v>
      </c>
      <c r="H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D4" s="142">
        <v>-9.0814545184414452E-3</v>
      </c>
      <c r="AE4" s="142">
        <v>3.7890832008478981E-2</v>
      </c>
      <c r="AF4" s="142">
        <v>7.9331331224916646E-3</v>
      </c>
      <c r="AG4" s="142">
        <v>5.0427E-2</v>
      </c>
      <c r="AK4" s="147"/>
      <c r="AL4" s="148"/>
    </row>
    <row r="5" spans="1:38" outlineLevel="1">
      <c r="A5" s="136">
        <v>37435</v>
      </c>
      <c r="B5" s="142">
        <v>4.7519000000000311E-3</v>
      </c>
      <c r="H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D5" s="142">
        <v>-7.2464718781041104E-2</v>
      </c>
      <c r="AE5" s="142">
        <v>-5.1953025274444786E-2</v>
      </c>
      <c r="AF5" s="142">
        <v>-7.7520401840449615E-3</v>
      </c>
      <c r="AG5" s="142">
        <v>4.7965000000000001E-2</v>
      </c>
      <c r="AK5" s="147"/>
      <c r="AL5" s="148"/>
    </row>
    <row r="6" spans="1:38" outlineLevel="1">
      <c r="A6" s="136">
        <v>37468</v>
      </c>
      <c r="B6" s="142">
        <v>4.2280089243922347E-3</v>
      </c>
      <c r="H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D6" s="142">
        <v>-7.8994958628423539E-2</v>
      </c>
      <c r="AE6" s="142">
        <v>-6.3686549077689336E-2</v>
      </c>
      <c r="AF6" s="142">
        <v>3.4944129253415834E-3</v>
      </c>
      <c r="AG6" s="142">
        <v>4.4588000000000003E-2</v>
      </c>
      <c r="AK6" s="147"/>
      <c r="AL6" s="148"/>
    </row>
    <row r="7" spans="1:38" outlineLevel="1">
      <c r="A7" s="136">
        <v>37498</v>
      </c>
      <c r="B7" s="142">
        <v>1.5857284440039532E-2</v>
      </c>
      <c r="H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D7" s="142">
        <v>4.8814198898663452E-3</v>
      </c>
      <c r="AE7" s="142">
        <v>-8.6281276962900666E-3</v>
      </c>
      <c r="AF7" s="142">
        <v>1.0281227656701031E-2</v>
      </c>
      <c r="AG7" s="142">
        <v>4.1409000000000001E-2</v>
      </c>
      <c r="AK7" s="147"/>
      <c r="AL7" s="148"/>
    </row>
    <row r="8" spans="1:38" outlineLevel="1">
      <c r="A8" s="136">
        <v>37529</v>
      </c>
      <c r="B8" s="142">
        <v>2.2015999999999813E-2</v>
      </c>
      <c r="H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D8" s="142">
        <v>-0.11002434311788412</v>
      </c>
      <c r="AE8" s="142">
        <v>-6.3823614737452683E-2</v>
      </c>
      <c r="AF8" s="142">
        <v>1.5772746633465617E-2</v>
      </c>
      <c r="AG8" s="142">
        <v>3.5942000000000002E-2</v>
      </c>
      <c r="AK8" s="147"/>
      <c r="AL8" s="148"/>
    </row>
    <row r="9" spans="1:38" outlineLevel="1">
      <c r="A9" s="136">
        <v>37559</v>
      </c>
      <c r="B9" s="142">
        <v>1.3685051372400725E-3</v>
      </c>
      <c r="H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D9" s="142">
        <v>8.644882739672255E-2</v>
      </c>
      <c r="AE9" s="142">
        <v>-2.7114967462039119E-2</v>
      </c>
      <c r="AF9" s="142">
        <v>4.193223750419417E-3</v>
      </c>
      <c r="AG9" s="142">
        <v>3.8925000000000001E-2</v>
      </c>
      <c r="AK9" s="147"/>
      <c r="AL9" s="148"/>
    </row>
    <row r="10" spans="1:38" outlineLevel="1">
      <c r="A10" s="136">
        <v>37589</v>
      </c>
      <c r="B10" s="142">
        <v>0.12583412774070535</v>
      </c>
      <c r="H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D10" s="142">
        <v>5.7069635115606809E-2</v>
      </c>
      <c r="AE10" s="142">
        <v>3.9974518235387668E-2</v>
      </c>
      <c r="AF10" s="142">
        <v>1.5957651835386777E-2</v>
      </c>
      <c r="AG10" s="142">
        <v>4.2051999999999999E-2</v>
      </c>
      <c r="AK10" s="147"/>
      <c r="AL10" s="148"/>
    </row>
    <row r="11" spans="1:38" outlineLevel="1">
      <c r="A11" s="136">
        <v>37621</v>
      </c>
      <c r="B11" s="142">
        <v>0.18226443691786609</v>
      </c>
      <c r="H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D11" s="142">
        <v>-6.0332582157618608E-2</v>
      </c>
      <c r="AE11" s="142">
        <v>-3.3078101071975397E-2</v>
      </c>
      <c r="AF11" s="142">
        <v>1.4271622424848029E-2</v>
      </c>
      <c r="AG11" s="142">
        <v>3.8159999999999999E-2</v>
      </c>
      <c r="AK11" s="147"/>
      <c r="AL11" s="148"/>
    </row>
    <row r="12" spans="1:38" outlineLevel="1">
      <c r="A12" s="136">
        <v>37652</v>
      </c>
      <c r="B12" s="142">
        <v>8.5674436239874252E-2</v>
      </c>
      <c r="H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D12" s="142">
        <v>-2.7414698461048825E-2</v>
      </c>
      <c r="AE12" s="142">
        <v>-2.0589166930630287E-2</v>
      </c>
      <c r="AF12" s="142">
        <v>1.116562657805642E-2</v>
      </c>
      <c r="AG12" s="142">
        <v>3.9625E-2</v>
      </c>
      <c r="AK12" s="147"/>
      <c r="AL12" s="148"/>
    </row>
    <row r="13" spans="1:38" outlineLevel="1">
      <c r="A13" s="136">
        <v>37680</v>
      </c>
      <c r="B13" s="142">
        <v>4.1310987113999165E-2</v>
      </c>
      <c r="H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D13" s="142">
        <v>-1.7003622764987791E-2</v>
      </c>
      <c r="AE13" s="142">
        <v>-1.0025873221216064E-2</v>
      </c>
      <c r="AF13" s="142">
        <v>1.2152114134924785E-2</v>
      </c>
      <c r="AG13" s="142">
        <v>3.6896999999999999E-2</v>
      </c>
      <c r="AK13" s="147"/>
      <c r="AL13" s="148"/>
    </row>
    <row r="14" spans="1:38" outlineLevel="1">
      <c r="A14" s="136">
        <v>37711</v>
      </c>
      <c r="B14" s="142">
        <v>3.8867912575228925E-3</v>
      </c>
      <c r="H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D14" s="142">
        <v>8.3576056589194092E-3</v>
      </c>
      <c r="AE14" s="142">
        <v>-3.7896112381574643E-2</v>
      </c>
      <c r="AF14" s="142">
        <v>-3.6548594401941692E-5</v>
      </c>
      <c r="AG14" s="142">
        <v>3.7960000000000001E-2</v>
      </c>
      <c r="AK14" s="147"/>
      <c r="AL14" s="148"/>
    </row>
    <row r="15" spans="1:38" outlineLevel="1">
      <c r="A15" s="136">
        <v>37741</v>
      </c>
      <c r="B15" s="142">
        <v>1.6363036550794741E-2</v>
      </c>
      <c r="H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D15" s="142">
        <v>8.1044117993822162E-2</v>
      </c>
      <c r="AE15" s="142">
        <v>1.3752122241086573E-2</v>
      </c>
      <c r="AF15" s="142">
        <v>3.3753860586382745E-2</v>
      </c>
      <c r="AG15" s="142">
        <v>3.8359000000000004E-2</v>
      </c>
      <c r="AK15" s="147"/>
      <c r="AL15" s="148"/>
    </row>
    <row r="16" spans="1:38" outlineLevel="1">
      <c r="A16" s="136">
        <v>37771</v>
      </c>
      <c r="B16" s="142">
        <v>2.5135510215029244E-2</v>
      </c>
      <c r="H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D16" s="142">
        <v>5.0898660733760925E-2</v>
      </c>
      <c r="AE16" s="142">
        <v>5.3257410818958295E-2</v>
      </c>
      <c r="AF16" s="142">
        <v>3.5686505598114371E-2</v>
      </c>
      <c r="AG16" s="142">
        <v>3.3699E-2</v>
      </c>
      <c r="AK16" s="147"/>
      <c r="AL16" s="148"/>
    </row>
    <row r="17" spans="1:38" outlineLevel="1">
      <c r="A17" s="136">
        <v>37802</v>
      </c>
      <c r="B17" s="142">
        <v>6.2664798853839798E-3</v>
      </c>
      <c r="H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D17" s="142">
        <v>1.1322242862628284E-2</v>
      </c>
      <c r="AE17" s="142">
        <v>6.4239147718238243E-2</v>
      </c>
      <c r="AF17" s="142">
        <v>1.4292541933134562E-2</v>
      </c>
      <c r="AG17" s="142">
        <v>3.5132999999999998E-2</v>
      </c>
      <c r="AK17" s="147"/>
      <c r="AL17" s="148"/>
    </row>
    <row r="18" spans="1:38" outlineLevel="1">
      <c r="A18" s="136">
        <v>37833</v>
      </c>
      <c r="B18" s="142">
        <v>3.7496147151685477E-3</v>
      </c>
      <c r="H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D18" s="142">
        <v>1.6223704463827593E-2</v>
      </c>
      <c r="AE18" s="142">
        <v>4.3030031376064537E-2</v>
      </c>
      <c r="AF18" s="142">
        <v>-1.9790427895079232E-2</v>
      </c>
      <c r="AG18" s="142">
        <v>4.4054999999999997E-2</v>
      </c>
      <c r="AK18" s="147"/>
      <c r="AL18" s="148"/>
    </row>
    <row r="19" spans="1:38" outlineLevel="1">
      <c r="A19" s="136">
        <v>37862</v>
      </c>
      <c r="B19" s="142">
        <v>2.6179360765923088E-2</v>
      </c>
      <c r="H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D19" s="142">
        <v>1.7873191222950391E-2</v>
      </c>
      <c r="AE19" s="142">
        <v>8.4658358401375144E-2</v>
      </c>
      <c r="AF19" s="142">
        <v>1.2675975735378264E-2</v>
      </c>
      <c r="AG19" s="142">
        <v>4.4635999999999995E-2</v>
      </c>
      <c r="AK19" s="147"/>
      <c r="AL19" s="148"/>
    </row>
    <row r="20" spans="1:38" outlineLevel="1">
      <c r="A20" s="136">
        <v>37894</v>
      </c>
      <c r="B20" s="142">
        <v>3.1749367704402953E-2</v>
      </c>
      <c r="H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D20" s="142">
        <v>-1.1944325949147294E-2</v>
      </c>
      <c r="AE20" s="142">
        <v>4.0676175382989843E-2</v>
      </c>
      <c r="AF20" s="142">
        <v>2.5746658755050555E-2</v>
      </c>
      <c r="AG20" s="142">
        <v>3.9375999999999994E-2</v>
      </c>
      <c r="AK20" s="147"/>
      <c r="AL20" s="148"/>
    </row>
    <row r="21" spans="1:38" outlineLevel="1">
      <c r="A21" s="136">
        <v>37925</v>
      </c>
      <c r="B21" s="142">
        <v>1.3948983131900849E-2</v>
      </c>
      <c r="H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D21" s="142">
        <v>5.4961494824141255E-2</v>
      </c>
      <c r="AE21" s="142">
        <v>5.9898477157360297E-2</v>
      </c>
      <c r="AF21" s="142">
        <v>-8.0821548005354238E-3</v>
      </c>
      <c r="AG21" s="142">
        <v>4.2927E-2</v>
      </c>
      <c r="AK21" s="147"/>
      <c r="AL21" s="148"/>
    </row>
    <row r="22" spans="1:38" outlineLevel="1">
      <c r="A22" s="136">
        <v>37953</v>
      </c>
      <c r="B22" s="142">
        <v>-4.5685989557996409E-3</v>
      </c>
      <c r="H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D22" s="142">
        <v>7.1285131006653124E-3</v>
      </c>
      <c r="AE22" s="142">
        <v>-2.3108237547892596E-2</v>
      </c>
      <c r="AF22" s="142">
        <v>-1.1608273533136315E-2</v>
      </c>
      <c r="AG22" s="142">
        <v>4.3316E-2</v>
      </c>
      <c r="AK22" s="147"/>
      <c r="AL22" s="148"/>
    </row>
    <row r="23" spans="1:38" outlineLevel="1">
      <c r="A23" s="136">
        <v>37986</v>
      </c>
      <c r="B23" s="142">
        <v>1.9747218076919815E-3</v>
      </c>
      <c r="H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D23" s="142">
        <v>5.0765450765450693E-2</v>
      </c>
      <c r="AE23" s="142">
        <v>6.8513298198308759E-2</v>
      </c>
      <c r="AF23" s="142">
        <v>3.0788855546939109E-2</v>
      </c>
      <c r="AG23" s="142">
        <v>4.2455E-2</v>
      </c>
      <c r="AK23" s="147"/>
      <c r="AL23" s="148"/>
    </row>
    <row r="24" spans="1:38" outlineLevel="1">
      <c r="A24" s="136">
        <v>38017</v>
      </c>
      <c r="B24" s="142">
        <v>3.4475073686486057E-2</v>
      </c>
      <c r="H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D24" s="142">
        <v>1.7276422764227695E-2</v>
      </c>
      <c r="AE24" s="142">
        <v>2.5005735260380746E-2</v>
      </c>
      <c r="AF24" s="142">
        <v>3.1673690121190035E-3</v>
      </c>
      <c r="AG24" s="142">
        <v>4.1319000000000002E-2</v>
      </c>
      <c r="AK24" s="147"/>
      <c r="AL24" s="148"/>
    </row>
    <row r="25" spans="1:38" outlineLevel="1">
      <c r="A25" s="136">
        <v>38044</v>
      </c>
      <c r="B25" s="142">
        <v>2.653064510370684E-2</v>
      </c>
      <c r="H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D25" s="142">
        <v>1.2209029908144986E-2</v>
      </c>
      <c r="AE25" s="142">
        <v>1.2309758281110028E-2</v>
      </c>
      <c r="AF25" s="142">
        <v>2.7715282532849717E-3</v>
      </c>
      <c r="AG25" s="142">
        <v>3.9710999999999996E-2</v>
      </c>
      <c r="AK25" s="147"/>
      <c r="AL25" s="148"/>
    </row>
    <row r="26" spans="1:38" outlineLevel="1">
      <c r="A26" s="136">
        <v>38077</v>
      </c>
      <c r="B26" s="142">
        <v>-1.7660621468388316E-3</v>
      </c>
      <c r="H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D26" s="142">
        <v>-1.6358935839432598E-2</v>
      </c>
      <c r="AE26" s="142">
        <v>7.3292062790183632E-2</v>
      </c>
      <c r="AF26" s="142">
        <v>1.7396111074982068E-2</v>
      </c>
      <c r="AG26" s="142">
        <v>3.8348E-2</v>
      </c>
      <c r="AK26" s="147"/>
      <c r="AL26" s="148"/>
    </row>
    <row r="27" spans="1:38" outlineLevel="1">
      <c r="A27" s="136">
        <v>38107</v>
      </c>
      <c r="B27" s="142">
        <v>-2.6622339367193826E-3</v>
      </c>
      <c r="H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D27" s="142">
        <v>-1.6790829419024988E-2</v>
      </c>
      <c r="AE27" s="142">
        <v>-5.5824492738696052E-2</v>
      </c>
      <c r="AF27" s="142">
        <v>-9.9981889268859758E-3</v>
      </c>
      <c r="AG27" s="142">
        <v>4.5053000000000003E-2</v>
      </c>
      <c r="AK27" s="147"/>
      <c r="AL27" s="148"/>
    </row>
    <row r="28" spans="1:38" outlineLevel="1">
      <c r="A28" s="136">
        <v>38138</v>
      </c>
      <c r="B28" s="142">
        <v>-2.2254006878842936E-2</v>
      </c>
      <c r="H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D28" s="142">
        <v>1.2083446220536587E-2</v>
      </c>
      <c r="AE28" s="142">
        <v>-3.0653430784335134E-2</v>
      </c>
      <c r="AF28" s="142">
        <v>-1.8799399538354744E-2</v>
      </c>
      <c r="AG28" s="142">
        <v>4.6467999999999995E-2</v>
      </c>
      <c r="AK28" s="147"/>
      <c r="AL28" s="148"/>
    </row>
    <row r="29" spans="1:38" outlineLevel="1">
      <c r="A29" s="136">
        <v>38168</v>
      </c>
      <c r="B29" s="142">
        <v>9.0743988793087205E-3</v>
      </c>
      <c r="H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D29" s="142">
        <v>1.7989078059749364E-2</v>
      </c>
      <c r="AE29" s="142">
        <v>3.0835021381949046E-2</v>
      </c>
      <c r="AF29" s="142">
        <v>1.2760263869315613E-2</v>
      </c>
      <c r="AG29" s="142">
        <v>4.5806000000000006E-2</v>
      </c>
      <c r="AK29" s="147"/>
      <c r="AL29" s="148"/>
    </row>
    <row r="30" spans="1:38" outlineLevel="1">
      <c r="A30" s="136">
        <v>38198</v>
      </c>
      <c r="B30" s="142">
        <v>5.2640791640858886E-3</v>
      </c>
      <c r="H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D30" s="142">
        <v>-3.4290522772693732E-2</v>
      </c>
      <c r="AE30" s="142">
        <v>-4.3013100436681162E-2</v>
      </c>
      <c r="AF30" s="142">
        <v>2.6011153825328925E-2</v>
      </c>
      <c r="AG30" s="142">
        <v>4.4747000000000002E-2</v>
      </c>
      <c r="AK30" s="147"/>
      <c r="AL30" s="148"/>
    </row>
    <row r="31" spans="1:38" outlineLevel="1">
      <c r="A31" s="136">
        <v>38230</v>
      </c>
      <c r="B31" s="142">
        <v>1.2239653767491809E-3</v>
      </c>
      <c r="H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D31" s="142">
        <v>2.2873325345822426E-3</v>
      </c>
      <c r="AE31" s="142">
        <v>1.6541181838923169E-2</v>
      </c>
      <c r="AF31" s="142">
        <v>1.9356813408340168E-2</v>
      </c>
      <c r="AG31" s="142">
        <v>4.1166999999999995E-2</v>
      </c>
      <c r="AK31" s="147"/>
      <c r="AL31" s="148"/>
    </row>
    <row r="32" spans="1:38" outlineLevel="1">
      <c r="A32" s="136">
        <v>38260</v>
      </c>
      <c r="B32" s="142">
        <v>2.2472548549777205E-2</v>
      </c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D32" s="142">
        <v>9.3639063971600045E-3</v>
      </c>
      <c r="AE32" s="142">
        <v>6.7332510380424537E-4</v>
      </c>
      <c r="AF32" s="142">
        <v>4.6282395088061978E-3</v>
      </c>
      <c r="AG32" s="142">
        <v>4.1193999999999995E-2</v>
      </c>
      <c r="AK32" s="147"/>
      <c r="AL32" s="148"/>
    </row>
    <row r="33" spans="1:38" outlineLevel="1">
      <c r="A33" s="136">
        <v>38289</v>
      </c>
      <c r="B33" s="142">
        <v>1.4247451104999032E-2</v>
      </c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D33" s="142">
        <v>1.4014247519245071E-2</v>
      </c>
      <c r="AE33" s="142">
        <v>2.5232701581249239E-2</v>
      </c>
      <c r="AF33" s="142">
        <v>9.7909881683633238E-4</v>
      </c>
      <c r="AG33" s="142">
        <v>4.0235E-2</v>
      </c>
      <c r="AK33" s="147"/>
      <c r="AL33" s="148"/>
    </row>
    <row r="34" spans="1:38" outlineLevel="1">
      <c r="A34" s="136">
        <v>38321</v>
      </c>
      <c r="B34" s="142">
        <v>4.6234750996160923E-2</v>
      </c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D34" s="142">
        <v>3.8594938948858459E-2</v>
      </c>
      <c r="AE34" s="142">
        <v>6.2349595274556968E-2</v>
      </c>
      <c r="AF34" s="142">
        <v>7.1713188431163921E-3</v>
      </c>
      <c r="AG34" s="142">
        <v>4.3491999999999996E-2</v>
      </c>
      <c r="AK34" s="147"/>
      <c r="AL34" s="148"/>
    </row>
    <row r="35" spans="1:38" outlineLevel="1">
      <c r="A35" s="136">
        <v>38352</v>
      </c>
      <c r="B35" s="142">
        <v>2.5958417007654999E-2</v>
      </c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D35" s="142">
        <v>3.2458128162750732E-2</v>
      </c>
      <c r="AE35" s="142">
        <v>4.3966227347611131E-2</v>
      </c>
      <c r="AF35" s="142">
        <v>1.5508155326902973E-2</v>
      </c>
      <c r="AG35" s="142">
        <v>4.2182000000000004E-2</v>
      </c>
      <c r="AK35" s="147"/>
      <c r="AL35" s="148"/>
    </row>
    <row r="36" spans="1:38" outlineLevel="1">
      <c r="A36" s="136">
        <v>38383</v>
      </c>
      <c r="B36" s="142">
        <v>1.2057792011530788E-2</v>
      </c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D36" s="142">
        <v>-2.5290448214403627E-2</v>
      </c>
      <c r="AE36" s="142">
        <v>-1.1934115790511846E-2</v>
      </c>
      <c r="AF36" s="142">
        <v>1.851283264459691E-2</v>
      </c>
      <c r="AG36" s="142">
        <v>4.1280000000000004E-2</v>
      </c>
      <c r="AK36" s="147"/>
      <c r="AL36" s="148"/>
    </row>
    <row r="37" spans="1:38" outlineLevel="1">
      <c r="A37" s="136">
        <v>38411</v>
      </c>
      <c r="B37" s="142">
        <v>2.3456151949367898E-2</v>
      </c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D37" s="142">
        <v>1.8903383646414307E-2</v>
      </c>
      <c r="AE37" s="142">
        <v>3.3339988021561018E-2</v>
      </c>
      <c r="AF37" s="142">
        <v>1.137627192353885E-2</v>
      </c>
      <c r="AG37" s="142">
        <v>4.3765999999999999E-2</v>
      </c>
      <c r="AK37" s="147"/>
      <c r="AL37" s="148"/>
    </row>
    <row r="38" spans="1:38" outlineLevel="1">
      <c r="A38" s="136">
        <v>38442</v>
      </c>
      <c r="B38" s="142">
        <v>-1.0061844260149666E-2</v>
      </c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D38" s="142">
        <v>-1.9117647058823573E-2</v>
      </c>
      <c r="AE38" s="142">
        <v>-3.4775888717156089E-2</v>
      </c>
      <c r="AF38" s="142">
        <v>-1.5010774335094013E-2</v>
      </c>
      <c r="AG38" s="142">
        <v>4.4814999999999994E-2</v>
      </c>
      <c r="AK38" s="147"/>
      <c r="AL38" s="148"/>
    </row>
    <row r="39" spans="1:38" outlineLevel="1">
      <c r="A39" s="136">
        <v>38472</v>
      </c>
      <c r="B39" s="142">
        <v>-2.1203150082151567E-2</v>
      </c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D39" s="142">
        <v>-2.010858977291019E-2</v>
      </c>
      <c r="AE39" s="142">
        <v>-2.1617293835068052E-2</v>
      </c>
      <c r="AF39" s="142">
        <v>2.1380983326801939E-3</v>
      </c>
      <c r="AG39" s="142">
        <v>4.1975999999999992E-2</v>
      </c>
      <c r="AK39" s="147"/>
      <c r="AL39" s="148"/>
    </row>
    <row r="40" spans="1:38" outlineLevel="1">
      <c r="A40" s="136">
        <v>38503</v>
      </c>
      <c r="B40" s="142">
        <v>8.5716922995233702E-3</v>
      </c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D40" s="142">
        <v>2.9952024895189666E-2</v>
      </c>
      <c r="AE40" s="142">
        <v>0</v>
      </c>
      <c r="AF40" s="142">
        <v>2.5587588856107679E-2</v>
      </c>
      <c r="AG40" s="142">
        <v>3.9809999999999998E-2</v>
      </c>
      <c r="AK40" s="147"/>
      <c r="AL40" s="148"/>
    </row>
    <row r="41" spans="1:38" outlineLevel="1">
      <c r="A41" s="136">
        <v>38533</v>
      </c>
      <c r="B41" s="142">
        <v>-9.5369407043033316E-4</v>
      </c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D41" s="142">
        <v>-1.4267729752415192E-4</v>
      </c>
      <c r="AE41" s="142">
        <v>1.3707037643207798E-2</v>
      </c>
      <c r="AF41" s="142">
        <v>1.029534561566936E-2</v>
      </c>
      <c r="AG41" s="142">
        <v>3.9130000000000005E-2</v>
      </c>
      <c r="AK41" s="147"/>
      <c r="AL41" s="148"/>
    </row>
    <row r="42" spans="1:38" outlineLevel="1">
      <c r="A42" s="136">
        <v>38564</v>
      </c>
      <c r="B42" s="142">
        <v>1.6008371535702892E-5</v>
      </c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D42" s="142">
        <v>3.5968203604375137E-2</v>
      </c>
      <c r="AE42" s="142">
        <v>2.6135216952573259E-2</v>
      </c>
      <c r="AF42" s="142">
        <v>1.777234203159006E-3</v>
      </c>
      <c r="AG42" s="142">
        <v>4.2759999999999999E-2</v>
      </c>
      <c r="AK42" s="147"/>
      <c r="AL42" s="148"/>
    </row>
    <row r="43" spans="1:38" outlineLevel="1">
      <c r="A43" s="136">
        <v>38595</v>
      </c>
      <c r="B43" s="142">
        <v>-8.2624852958950168E-3</v>
      </c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D43" s="142">
        <v>-1.1222025960556881E-2</v>
      </c>
      <c r="AE43" s="142">
        <v>2.9599763988592764E-2</v>
      </c>
      <c r="AF43" s="142">
        <v>1.25234875003577E-2</v>
      </c>
      <c r="AG43" s="142">
        <v>4.0136999999999999E-2</v>
      </c>
      <c r="AK43" s="147"/>
      <c r="AL43" s="148"/>
    </row>
    <row r="44" spans="1:38" outlineLevel="1">
      <c r="A44" s="136">
        <v>38625</v>
      </c>
      <c r="B44" s="142">
        <v>9.6029472959693329E-3</v>
      </c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D44" s="142">
        <v>6.9489400408087043E-3</v>
      </c>
      <c r="AE44" s="142">
        <v>8.1088825214899574E-2</v>
      </c>
      <c r="AF44" s="142">
        <v>1.3791024529937079E-2</v>
      </c>
      <c r="AG44" s="142">
        <v>4.3240000000000001E-2</v>
      </c>
      <c r="AK44" s="147"/>
      <c r="AL44" s="148"/>
    </row>
    <row r="45" spans="1:38" outlineLevel="1">
      <c r="A45" s="136">
        <v>38656</v>
      </c>
      <c r="B45" s="142">
        <v>2.0314644436729701E-3</v>
      </c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D45" s="142">
        <v>-1.7740741042146402E-2</v>
      </c>
      <c r="AE45" s="142">
        <v>-3.3660217333686737E-2</v>
      </c>
      <c r="AF45" s="142">
        <v>-1.1940159821595131E-3</v>
      </c>
      <c r="AG45" s="142">
        <v>4.5506000000000005E-2</v>
      </c>
      <c r="AK45" s="147"/>
      <c r="AL45" s="148"/>
    </row>
    <row r="46" spans="1:38" outlineLevel="1">
      <c r="A46" s="136">
        <v>38686</v>
      </c>
      <c r="B46" s="142">
        <v>8.6621020591119979E-3</v>
      </c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D46" s="142">
        <v>3.518612107604735E-2</v>
      </c>
      <c r="AE46" s="142">
        <v>4.8637776558785983E-2</v>
      </c>
      <c r="AF46" s="142">
        <v>3.0211691156975196E-2</v>
      </c>
      <c r="AG46" s="142">
        <v>4.4839999999999998E-2</v>
      </c>
      <c r="AK46" s="147"/>
      <c r="AL46" s="148"/>
    </row>
    <row r="47" spans="1:38" outlineLevel="1">
      <c r="A47" s="136">
        <v>38717</v>
      </c>
      <c r="B47" s="142">
        <v>1.9559862229034941E-2</v>
      </c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D47" s="142">
        <v>-9.5239619681797283E-4</v>
      </c>
      <c r="AE47" s="142">
        <v>6.9921534437663357E-2</v>
      </c>
      <c r="AF47" s="142">
        <v>1.6656281888043134E-2</v>
      </c>
      <c r="AG47" s="142">
        <v>4.3910999999999999E-2</v>
      </c>
      <c r="AK47" s="147"/>
      <c r="AL47" s="148"/>
    </row>
    <row r="48" spans="1:38" outlineLevel="1">
      <c r="A48" s="136">
        <v>38747</v>
      </c>
      <c r="B48" s="142">
        <v>3.1086880915343063E-2</v>
      </c>
      <c r="C48" s="142">
        <v>-3.3006533995756371E-3</v>
      </c>
      <c r="J48" s="143"/>
      <c r="K48" s="143"/>
      <c r="L48" s="143"/>
      <c r="M48" s="143"/>
      <c r="N48" s="143"/>
      <c r="O48" s="143">
        <v>0</v>
      </c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D48" s="142">
        <v>2.5466838635253009E-2</v>
      </c>
      <c r="AE48" s="142">
        <v>5.7936766623207347E-2</v>
      </c>
      <c r="AF48" s="142">
        <v>9.1221182500100806E-3</v>
      </c>
      <c r="AG48" s="142">
        <v>4.5151999999999998E-2</v>
      </c>
      <c r="AK48" s="147"/>
      <c r="AL48" s="148"/>
    </row>
    <row r="49" spans="1:38" outlineLevel="1">
      <c r="A49" s="136">
        <v>38775</v>
      </c>
      <c r="B49" s="142">
        <v>4.849109691019704E-3</v>
      </c>
      <c r="C49" s="142">
        <v>7.5876803724210795E-3</v>
      </c>
      <c r="J49" s="143"/>
      <c r="K49" s="143"/>
      <c r="L49" s="143"/>
      <c r="M49" s="143"/>
      <c r="N49" s="143"/>
      <c r="O49" s="143">
        <v>0</v>
      </c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D49" s="142">
        <v>4.5309668145754323E-4</v>
      </c>
      <c r="AE49" s="142">
        <v>-8.1645228375568646E-3</v>
      </c>
      <c r="AF49" s="142">
        <v>1.4699345571052014E-2</v>
      </c>
      <c r="AG49" s="142">
        <v>4.5510000000000002E-2</v>
      </c>
      <c r="AK49" s="147"/>
      <c r="AL49" s="148"/>
    </row>
    <row r="50" spans="1:38" outlineLevel="1">
      <c r="A50" s="136">
        <v>38807</v>
      </c>
      <c r="B50" s="142">
        <v>2.4982531952626674E-2</v>
      </c>
      <c r="C50" s="142">
        <v>1.2279460747339321E-2</v>
      </c>
      <c r="J50" s="143"/>
      <c r="K50" s="143"/>
      <c r="L50" s="143"/>
      <c r="M50" s="143"/>
      <c r="N50" s="143"/>
      <c r="O50" s="143">
        <v>-1.7221021282022742E-2</v>
      </c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D50" s="142">
        <v>1.1064607311854768E-2</v>
      </c>
      <c r="AE50" s="142">
        <v>1.6929409023840769E-2</v>
      </c>
      <c r="AF50" s="142">
        <v>1.6871890736074313E-3</v>
      </c>
      <c r="AG50" s="142">
        <v>4.8472000000000001E-2</v>
      </c>
      <c r="AK50" s="147"/>
      <c r="AL50" s="148"/>
    </row>
    <row r="51" spans="1:38" outlineLevel="1">
      <c r="A51" s="136">
        <v>38837</v>
      </c>
      <c r="B51" s="142">
        <v>3.767310277499214E-2</v>
      </c>
      <c r="C51" s="142">
        <v>5.9631737627068304E-3</v>
      </c>
      <c r="J51" s="143"/>
      <c r="K51" s="143"/>
      <c r="L51" s="143"/>
      <c r="M51" s="143"/>
      <c r="N51" s="143"/>
      <c r="O51" s="143">
        <v>7.3506074621737971E-2</v>
      </c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D51" s="142">
        <v>1.2186928013716125E-2</v>
      </c>
      <c r="AE51" s="142">
        <v>4.6429935089729035E-2</v>
      </c>
      <c r="AF51" s="142">
        <v>3.9402468066682683E-3</v>
      </c>
      <c r="AG51" s="142">
        <v>5.0505000000000001E-2</v>
      </c>
      <c r="AK51" s="147"/>
      <c r="AL51" s="148"/>
    </row>
    <row r="52" spans="1:38" outlineLevel="1">
      <c r="A52" s="136">
        <v>38868</v>
      </c>
      <c r="B52" s="142">
        <v>-1.4616834877932972E-3</v>
      </c>
      <c r="C52" s="142">
        <v>-1.8266136801495803E-3</v>
      </c>
      <c r="J52" s="143"/>
      <c r="K52" s="143"/>
      <c r="L52" s="143"/>
      <c r="M52" s="143"/>
      <c r="N52" s="143"/>
      <c r="O52" s="143">
        <v>4.0203277476919208E-2</v>
      </c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D52" s="142">
        <v>-3.091690129023883E-2</v>
      </c>
      <c r="AE52" s="142">
        <v>-6.6189885426549022E-2</v>
      </c>
      <c r="AF52" s="142">
        <v>-1.057103424480299E-2</v>
      </c>
      <c r="AG52" s="142">
        <v>5.1185999999999995E-2</v>
      </c>
      <c r="AK52" s="147"/>
      <c r="AL52" s="148"/>
    </row>
    <row r="53" spans="1:38" outlineLevel="1">
      <c r="A53" s="136">
        <v>38898</v>
      </c>
      <c r="B53" s="142">
        <v>-3.1954089195793678E-3</v>
      </c>
      <c r="C53" s="142">
        <v>-8.3681331988609831E-3</v>
      </c>
      <c r="J53" s="143"/>
      <c r="K53" s="143"/>
      <c r="L53" s="143"/>
      <c r="M53" s="143"/>
      <c r="N53" s="143"/>
      <c r="O53" s="143">
        <v>-5.5689072207307788E-3</v>
      </c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D53" s="142">
        <v>8.6608035651192239E-5</v>
      </c>
      <c r="AE53" s="142">
        <v>-8.5182869646763804E-3</v>
      </c>
      <c r="AF53" s="142">
        <v>-7.257779773243378E-3</v>
      </c>
      <c r="AG53" s="142">
        <v>5.1364E-2</v>
      </c>
      <c r="AK53" s="147"/>
      <c r="AL53" s="148"/>
    </row>
    <row r="54" spans="1:38" outlineLevel="1">
      <c r="A54" s="136">
        <v>38929</v>
      </c>
      <c r="B54" s="142">
        <v>1.3061924823477566E-2</v>
      </c>
      <c r="C54" s="142">
        <v>1.3690791218461396E-2</v>
      </c>
      <c r="J54" s="143"/>
      <c r="K54" s="143"/>
      <c r="L54" s="143"/>
      <c r="M54" s="143"/>
      <c r="N54" s="143"/>
      <c r="O54" s="143">
        <v>5.9128918574932188E-2</v>
      </c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D54" s="142">
        <v>5.0858132577547011E-3</v>
      </c>
      <c r="AE54" s="142">
        <v>-2.285804366674582E-3</v>
      </c>
      <c r="AF54" s="142">
        <v>2.171736686806236E-2</v>
      </c>
      <c r="AG54" s="142">
        <v>4.9793999999999998E-2</v>
      </c>
      <c r="AK54" s="147"/>
      <c r="AL54" s="148"/>
    </row>
    <row r="55" spans="1:38" outlineLevel="1">
      <c r="A55" s="136">
        <v>38960</v>
      </c>
      <c r="B55" s="142">
        <v>1.1024581019022595E-2</v>
      </c>
      <c r="C55" s="142">
        <v>3.2140924360415379E-3</v>
      </c>
      <c r="J55" s="143"/>
      <c r="K55" s="143"/>
      <c r="L55" s="143"/>
      <c r="M55" s="143"/>
      <c r="N55" s="143"/>
      <c r="O55" s="143">
        <v>-6.2474674973716171E-2</v>
      </c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D55" s="142">
        <v>2.1274262528785837E-2</v>
      </c>
      <c r="AE55" s="142">
        <v>2.0382366882603975E-2</v>
      </c>
      <c r="AF55" s="142">
        <v>2.1900382483132086E-2</v>
      </c>
      <c r="AG55" s="142">
        <v>4.7257999999999994E-2</v>
      </c>
      <c r="AK55" s="147"/>
      <c r="AL55" s="148"/>
    </row>
    <row r="56" spans="1:38" outlineLevel="1">
      <c r="A56" s="136">
        <v>38990</v>
      </c>
      <c r="B56" s="142">
        <v>1.0761172528646945E-2</v>
      </c>
      <c r="C56" s="142">
        <v>2.0949754360791273E-2</v>
      </c>
      <c r="J56" s="143"/>
      <c r="K56" s="143"/>
      <c r="L56" s="143"/>
      <c r="M56" s="143"/>
      <c r="N56" s="143"/>
      <c r="O56" s="143">
        <v>0.11434264773432479</v>
      </c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D56" s="142">
        <v>2.4566274485741779E-2</v>
      </c>
      <c r="AE56" s="142">
        <v>-5.2647878600186049E-3</v>
      </c>
      <c r="AF56" s="142">
        <v>1.4744349961730352E-2</v>
      </c>
      <c r="AG56" s="142">
        <v>4.6276000000000005E-2</v>
      </c>
      <c r="AK56" s="147"/>
      <c r="AL56" s="148"/>
    </row>
    <row r="57" spans="1:38" outlineLevel="1">
      <c r="A57" s="136">
        <v>39021</v>
      </c>
      <c r="B57" s="142">
        <v>3.7587369784984448E-2</v>
      </c>
      <c r="C57" s="142">
        <v>3.2604204427935102E-2</v>
      </c>
      <c r="J57" s="143"/>
      <c r="K57" s="143"/>
      <c r="L57" s="143"/>
      <c r="M57" s="143"/>
      <c r="N57" s="143"/>
      <c r="O57" s="143">
        <v>0.1675907040940221</v>
      </c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D57" s="142">
        <v>3.1508028596025195E-2</v>
      </c>
      <c r="AE57" s="142">
        <v>2.926525529265267E-2</v>
      </c>
      <c r="AF57" s="142">
        <v>2.3121363327420763E-2</v>
      </c>
      <c r="AG57" s="142">
        <v>4.5980999999999994E-2</v>
      </c>
      <c r="AK57" s="147"/>
      <c r="AL57" s="148"/>
    </row>
    <row r="58" spans="1:38" outlineLevel="1">
      <c r="A58" s="136">
        <v>39051</v>
      </c>
      <c r="B58" s="142">
        <v>2.340667585558931E-2</v>
      </c>
      <c r="C58" s="142">
        <v>3.5637459993454801E-2</v>
      </c>
      <c r="J58" s="143"/>
      <c r="K58" s="143"/>
      <c r="L58" s="143"/>
      <c r="M58" s="143"/>
      <c r="N58" s="143"/>
      <c r="O58" s="143">
        <v>0.11700538993732379</v>
      </c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D58" s="142">
        <v>1.6466609576614388E-2</v>
      </c>
      <c r="AE58" s="142">
        <v>3.092861464004848E-2</v>
      </c>
      <c r="AF58" s="142">
        <v>1.6510647261120059E-2</v>
      </c>
      <c r="AG58" s="142">
        <v>4.4581000000000003E-2</v>
      </c>
      <c r="AK58" s="147"/>
      <c r="AL58" s="148"/>
    </row>
    <row r="59" spans="1:38" outlineLevel="1">
      <c r="A59" s="136">
        <v>39082</v>
      </c>
      <c r="B59" s="142">
        <v>8.735205270921087E-3</v>
      </c>
      <c r="C59" s="142">
        <v>4.185937616511004E-2</v>
      </c>
      <c r="J59" s="143"/>
      <c r="K59" s="143"/>
      <c r="L59" s="143"/>
      <c r="M59" s="143"/>
      <c r="N59" s="143"/>
      <c r="O59" s="143">
        <v>0.10229377867907119</v>
      </c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D59" s="142">
        <v>1.2615751483260995E-2</v>
      </c>
      <c r="AE59" s="142">
        <v>3.0807599207804515E-2</v>
      </c>
      <c r="AF59" s="142">
        <v>1.4381522791665269E-2</v>
      </c>
      <c r="AG59" s="142">
        <v>4.7022000000000001E-2</v>
      </c>
      <c r="AK59" s="147"/>
      <c r="AL59" s="148"/>
    </row>
    <row r="60" spans="1:38" outlineLevel="1">
      <c r="A60" s="136">
        <v>39113</v>
      </c>
      <c r="B60" s="142">
        <v>1.8118225447677716E-2</v>
      </c>
      <c r="C60" s="142">
        <v>3.6893889187386897E-2</v>
      </c>
      <c r="H60" s="143"/>
      <c r="J60" s="143"/>
      <c r="K60" s="143"/>
      <c r="L60" s="143"/>
      <c r="M60" s="143"/>
      <c r="N60" s="143"/>
      <c r="O60" s="143">
        <v>3.7119297878470237E-2</v>
      </c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D60" s="142">
        <v>1.4059084819854739E-2</v>
      </c>
      <c r="AE60" s="142">
        <v>9.2506938020342488E-4</v>
      </c>
      <c r="AF60" s="142">
        <v>-8.4460786624551698E-4</v>
      </c>
      <c r="AG60" s="142">
        <v>4.8079999999999998E-2</v>
      </c>
      <c r="AK60" s="147"/>
      <c r="AL60" s="148"/>
    </row>
    <row r="61" spans="1:38" outlineLevel="1">
      <c r="A61" s="136">
        <v>39141</v>
      </c>
      <c r="B61" s="142">
        <v>1.5320064001350442E-2</v>
      </c>
      <c r="C61" s="142">
        <v>2.0847185976300642E-2</v>
      </c>
      <c r="H61" s="143"/>
      <c r="J61" s="143"/>
      <c r="K61" s="143"/>
      <c r="L61" s="143"/>
      <c r="M61" s="143"/>
      <c r="N61" s="143"/>
      <c r="O61" s="143">
        <v>-4.3356249252679557E-4</v>
      </c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D61" s="142">
        <v>-2.1846145288686225E-2</v>
      </c>
      <c r="AE61" s="142">
        <v>2.5522536613109548E-2</v>
      </c>
      <c r="AF61" s="142">
        <v>1.1213292390923835E-2</v>
      </c>
      <c r="AG61" s="142">
        <v>4.5656999999999996E-2</v>
      </c>
      <c r="AK61" s="147"/>
      <c r="AL61" s="148"/>
    </row>
    <row r="62" spans="1:38" outlineLevel="1">
      <c r="A62" s="136">
        <v>39171</v>
      </c>
      <c r="B62" s="142">
        <v>3.5458182193034649E-2</v>
      </c>
      <c r="C62" s="142">
        <v>4.1903746507065298E-2</v>
      </c>
      <c r="H62" s="143"/>
      <c r="J62" s="143"/>
      <c r="K62" s="143"/>
      <c r="L62" s="143"/>
      <c r="M62" s="143"/>
      <c r="N62" s="143"/>
      <c r="O62" s="143">
        <v>0.23855028283602819</v>
      </c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D62" s="142">
        <v>9.9799547916576969E-3</v>
      </c>
      <c r="AE62" s="142">
        <v>2.7729636048527961E-3</v>
      </c>
      <c r="AF62" s="142">
        <v>9.0515682775194062E-3</v>
      </c>
      <c r="AG62" s="142">
        <v>4.6443000000000005E-2</v>
      </c>
      <c r="AK62" s="147"/>
      <c r="AL62" s="148"/>
    </row>
    <row r="63" spans="1:38" outlineLevel="1">
      <c r="A63" s="136">
        <v>39202</v>
      </c>
      <c r="B63" s="142">
        <v>3.6584495760579427E-2</v>
      </c>
      <c r="C63" s="142">
        <v>4.421646844751792E-2</v>
      </c>
      <c r="H63" s="143"/>
      <c r="J63" s="143"/>
      <c r="K63" s="143"/>
      <c r="L63" s="143"/>
      <c r="M63" s="143"/>
      <c r="N63" s="143"/>
      <c r="O63" s="143">
        <v>0.17495721023557054</v>
      </c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D63" s="142">
        <v>4.3290683107413797E-2</v>
      </c>
      <c r="AE63" s="142">
        <v>1.0784652609747702E-2</v>
      </c>
      <c r="AF63" s="142">
        <v>1.1054982063108509E-2</v>
      </c>
      <c r="AG63" s="142">
        <v>4.6222000000000006E-2</v>
      </c>
      <c r="AK63" s="147"/>
      <c r="AL63" s="148"/>
    </row>
    <row r="64" spans="1:38" outlineLevel="1">
      <c r="A64" s="136">
        <v>39233</v>
      </c>
      <c r="B64" s="142">
        <v>2.6970966572889665E-2</v>
      </c>
      <c r="C64" s="142">
        <v>3.2463635453234607E-2</v>
      </c>
      <c r="H64" s="143"/>
      <c r="J64" s="143"/>
      <c r="K64" s="143"/>
      <c r="L64" s="143"/>
      <c r="M64" s="143"/>
      <c r="N64" s="143"/>
      <c r="O64" s="143">
        <v>0.19170495574429469</v>
      </c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D64" s="142">
        <v>3.2549228600146973E-2</v>
      </c>
      <c r="AE64" s="142">
        <v>2.7426304630326248E-2</v>
      </c>
      <c r="AF64" s="142">
        <v>5.3508136743016799E-3</v>
      </c>
      <c r="AG64" s="142">
        <v>4.8878999999999999E-2</v>
      </c>
      <c r="AK64" s="147"/>
      <c r="AL64" s="148"/>
    </row>
    <row r="65" spans="1:38" outlineLevel="1">
      <c r="A65" s="136">
        <v>39262</v>
      </c>
      <c r="B65" s="142">
        <v>-5.7164172205228514E-3</v>
      </c>
      <c r="C65" s="142">
        <v>-2.5922777078355441E-3</v>
      </c>
      <c r="H65" s="143"/>
      <c r="J65" s="143"/>
      <c r="K65" s="143"/>
      <c r="L65" s="143"/>
      <c r="M65" s="143"/>
      <c r="N65" s="143"/>
      <c r="O65" s="143">
        <v>-6.0051975934774071E-2</v>
      </c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D65" s="142">
        <v>-1.7816309730697366E-2</v>
      </c>
      <c r="AE65" s="142">
        <v>1.7840500599121345E-2</v>
      </c>
      <c r="AF65" s="142">
        <v>-1.5148183810094196E-2</v>
      </c>
      <c r="AG65" s="142">
        <v>5.0243999999999997E-2</v>
      </c>
      <c r="AK65" s="147"/>
      <c r="AL65" s="148"/>
    </row>
    <row r="66" spans="1:38" outlineLevel="1">
      <c r="A66" s="136">
        <v>39294</v>
      </c>
      <c r="B66" s="142">
        <v>2.7281711988220936E-2</v>
      </c>
      <c r="C66" s="142">
        <v>2.0459727019056739E-2</v>
      </c>
      <c r="H66" s="143"/>
      <c r="J66" s="143"/>
      <c r="K66" s="143"/>
      <c r="L66" s="143"/>
      <c r="M66" s="143"/>
      <c r="N66" s="143"/>
      <c r="O66" s="143">
        <v>-4.0149968009295045E-2</v>
      </c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D66" s="142">
        <v>-3.1981907074200899E-2</v>
      </c>
      <c r="AE66" s="142">
        <v>2.0078482668410613E-2</v>
      </c>
      <c r="AF66" s="142">
        <v>-2.2267299979214616E-2</v>
      </c>
      <c r="AG66" s="142">
        <v>4.7388000000000007E-2</v>
      </c>
      <c r="AK66" s="147"/>
      <c r="AL66" s="148"/>
    </row>
    <row r="67" spans="1:38" outlineLevel="1">
      <c r="A67" s="136">
        <v>39325</v>
      </c>
      <c r="B67" s="142">
        <v>-5.4683861946638324E-2</v>
      </c>
      <c r="C67" s="142">
        <v>-5.036177145280496E-2</v>
      </c>
      <c r="H67" s="143"/>
      <c r="J67" s="143"/>
      <c r="K67" s="143"/>
      <c r="L67" s="143"/>
      <c r="M67" s="143"/>
      <c r="N67" s="143"/>
      <c r="O67" s="143">
        <v>0.1659367198349031</v>
      </c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D67" s="142">
        <v>1.2863592323073991E-2</v>
      </c>
      <c r="AE67" s="142">
        <v>-2.4427774572033045E-2</v>
      </c>
      <c r="AF67" s="142">
        <v>3.9564904158448932E-3</v>
      </c>
      <c r="AG67" s="142">
        <v>4.5292000000000006E-2</v>
      </c>
      <c r="AK67" s="147"/>
      <c r="AL67" s="148"/>
    </row>
    <row r="68" spans="1:38" outlineLevel="1">
      <c r="A68" s="136">
        <v>39355</v>
      </c>
      <c r="B68" s="142">
        <v>6.1414087262612327E-3</v>
      </c>
      <c r="C68" s="142">
        <v>1.0751858524809643E-2</v>
      </c>
      <c r="H68" s="143"/>
      <c r="J68" s="143"/>
      <c r="K68" s="143"/>
      <c r="L68" s="143"/>
      <c r="M68" s="143"/>
      <c r="N68" s="143"/>
      <c r="O68" s="143">
        <v>-2.2840203464270514E-3</v>
      </c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D68" s="142">
        <v>3.579400131615551E-2</v>
      </c>
      <c r="AE68" s="142">
        <v>7.2883806519453254E-2</v>
      </c>
      <c r="AF68" s="142">
        <v>3.1778148993404365E-2</v>
      </c>
      <c r="AG68" s="142">
        <v>4.5865000000000003E-2</v>
      </c>
      <c r="AK68" s="147"/>
      <c r="AL68" s="148"/>
    </row>
    <row r="69" spans="1:38" outlineLevel="1">
      <c r="A69" s="136">
        <v>39386</v>
      </c>
      <c r="B69" s="142">
        <v>2.7994963497930403E-3</v>
      </c>
      <c r="C69" s="142">
        <v>1.0504393908956189E-2</v>
      </c>
      <c r="H69" s="143"/>
      <c r="J69" s="143"/>
      <c r="K69" s="143"/>
      <c r="L69" s="143"/>
      <c r="M69" s="143"/>
      <c r="N69" s="143"/>
      <c r="O69" s="143">
        <v>2.2466522223576035E-2</v>
      </c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D69" s="142">
        <v>1.4822335025380884E-2</v>
      </c>
      <c r="AE69" s="142">
        <v>4.9249617151607916E-2</v>
      </c>
      <c r="AF69" s="142">
        <v>1.9078602321356497E-2</v>
      </c>
      <c r="AG69" s="142">
        <v>4.4707999999999998E-2</v>
      </c>
      <c r="AK69" s="147"/>
      <c r="AL69" s="148"/>
    </row>
    <row r="70" spans="1:38" outlineLevel="1">
      <c r="A70" s="136">
        <v>39416</v>
      </c>
      <c r="B70" s="142">
        <v>1.5423934704958286E-2</v>
      </c>
      <c r="C70" s="142">
        <v>1.2652306910485356E-2</v>
      </c>
      <c r="H70" s="143"/>
      <c r="J70" s="143"/>
      <c r="K70" s="143"/>
      <c r="L70" s="143"/>
      <c r="M70" s="143"/>
      <c r="N70" s="143"/>
      <c r="O70" s="143">
        <v>0.15437593415159534</v>
      </c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D70" s="142">
        <v>-4.4043423821141348E-2</v>
      </c>
      <c r="AE70" s="142">
        <v>-5.4702551228910101E-2</v>
      </c>
      <c r="AF70" s="142">
        <v>-1.0307971149614792E-2</v>
      </c>
      <c r="AG70" s="142">
        <v>3.9378999999999997E-2</v>
      </c>
      <c r="AK70" s="147"/>
      <c r="AL70" s="148"/>
    </row>
    <row r="71" spans="1:38" outlineLevel="1">
      <c r="A71" s="136">
        <v>39447</v>
      </c>
      <c r="B71" s="142">
        <v>1.185981792994939E-2</v>
      </c>
      <c r="C71" s="142">
        <v>-4.1953873615108161E-4</v>
      </c>
      <c r="H71" s="143"/>
      <c r="J71" s="143"/>
      <c r="K71" s="143"/>
      <c r="L71" s="143"/>
      <c r="M71" s="143"/>
      <c r="N71" s="143"/>
      <c r="O71" s="143">
        <v>-0.1547620664460807</v>
      </c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D71" s="142">
        <v>-8.628488866683881E-3</v>
      </c>
      <c r="AE71" s="142">
        <v>-2.5506422924901129E-2</v>
      </c>
      <c r="AF71" s="142">
        <v>9.4657432040334832E-3</v>
      </c>
      <c r="AG71" s="142">
        <v>4.0232000000000004E-2</v>
      </c>
      <c r="AK71" s="147"/>
      <c r="AL71" s="148"/>
    </row>
    <row r="72" spans="1:38" outlineLevel="1">
      <c r="A72" s="136">
        <v>39478</v>
      </c>
      <c r="B72" s="142">
        <v>-2.5695532031013824E-2</v>
      </c>
      <c r="C72" s="142">
        <v>-1.9214907303261031E-2</v>
      </c>
      <c r="H72" s="143"/>
      <c r="J72" s="143"/>
      <c r="K72" s="143"/>
      <c r="L72" s="143"/>
      <c r="M72" s="143"/>
      <c r="N72" s="143"/>
      <c r="O72" s="143">
        <v>-8.8617706771222604E-2</v>
      </c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D72" s="142">
        <v>-6.1163474897164116E-2</v>
      </c>
      <c r="AE72" s="142">
        <v>-9.043665631535569E-2</v>
      </c>
      <c r="AF72" s="142">
        <v>-1.2430475195042701E-2</v>
      </c>
      <c r="AG72" s="142">
        <v>3.5930999999999998E-2</v>
      </c>
      <c r="AK72" s="147"/>
      <c r="AL72" s="148"/>
    </row>
    <row r="73" spans="1:38" outlineLevel="1">
      <c r="A73" s="136">
        <v>39507</v>
      </c>
      <c r="B73" s="142">
        <v>1.5761223370153399E-2</v>
      </c>
      <c r="C73" s="142">
        <v>1.1388238152926444E-2</v>
      </c>
      <c r="H73" s="143"/>
      <c r="J73" s="143"/>
      <c r="K73" s="143"/>
      <c r="L73" s="143"/>
      <c r="M73" s="143"/>
      <c r="N73" s="143"/>
      <c r="O73" s="143">
        <v>4.097469841942547E-2</v>
      </c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D73" s="142">
        <v>-3.4761162090602316E-2</v>
      </c>
      <c r="AE73" s="142">
        <v>2.8079710144927494E-2</v>
      </c>
      <c r="AF73" s="142">
        <v>1.0394617478075574E-3</v>
      </c>
      <c r="AG73" s="142">
        <v>3.5091999999999998E-2</v>
      </c>
      <c r="AK73" s="147"/>
      <c r="AL73" s="148"/>
    </row>
    <row r="74" spans="1:38" outlineLevel="1">
      <c r="A74" s="136">
        <v>39538</v>
      </c>
      <c r="B74" s="142">
        <v>-1.9783757309611905E-2</v>
      </c>
      <c r="C74" s="142">
        <v>-3.0891138233363091E-2</v>
      </c>
      <c r="H74" s="143"/>
      <c r="J74" s="143"/>
      <c r="K74" s="143"/>
      <c r="L74" s="143"/>
      <c r="M74" s="143"/>
      <c r="N74" s="143"/>
      <c r="O74" s="143">
        <v>-4.7602944261288638E-2</v>
      </c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D74" s="142">
        <v>-5.9595830546433914E-3</v>
      </c>
      <c r="AE74" s="142">
        <v>-5.5642155201626631E-2</v>
      </c>
      <c r="AF74" s="142">
        <v>-3.6248985217213203E-4</v>
      </c>
      <c r="AG74" s="142">
        <v>3.4096000000000001E-2</v>
      </c>
      <c r="AK74" s="147"/>
      <c r="AL74" s="148"/>
    </row>
    <row r="75" spans="1:38" outlineLevel="1">
      <c r="A75" s="136">
        <v>39568</v>
      </c>
      <c r="B75" s="142">
        <v>-1.8121319523272339E-2</v>
      </c>
      <c r="C75" s="142">
        <v>-1.7552806338842375E-2</v>
      </c>
      <c r="H75" s="143"/>
      <c r="J75" s="143"/>
      <c r="K75" s="143"/>
      <c r="L75" s="143"/>
      <c r="M75" s="143"/>
      <c r="N75" s="143"/>
      <c r="O75" s="143">
        <v>1.06229004852465E-3</v>
      </c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D75" s="142">
        <v>4.7546684811370588E-2</v>
      </c>
      <c r="AE75" s="142">
        <v>7.6647050380364679E-2</v>
      </c>
      <c r="AF75" s="142">
        <v>1.0685996396450959E-2</v>
      </c>
      <c r="AG75" s="142">
        <v>3.7279E-2</v>
      </c>
      <c r="AK75" s="147"/>
      <c r="AL75" s="148"/>
    </row>
    <row r="76" spans="1:38" outlineLevel="1">
      <c r="A76" s="136">
        <v>39598</v>
      </c>
      <c r="B76" s="142">
        <v>5.6876676096484502E-4</v>
      </c>
      <c r="C76" s="142">
        <v>-1.5258209198921291E-2</v>
      </c>
      <c r="H76" s="143"/>
      <c r="J76" s="143"/>
      <c r="K76" s="143"/>
      <c r="L76" s="143"/>
      <c r="M76" s="143"/>
      <c r="N76" s="143"/>
      <c r="O76" s="143">
        <v>-5.0820599368418651E-2</v>
      </c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D76" s="142">
        <v>1.0674153248796614E-2</v>
      </c>
      <c r="AE76" s="142">
        <v>-1.3331555792572836E-4</v>
      </c>
      <c r="AF76" s="142">
        <v>-1.8350475393170695E-3</v>
      </c>
      <c r="AG76" s="142">
        <v>4.0594999999999999E-2</v>
      </c>
      <c r="AK76" s="147"/>
      <c r="AL76" s="148"/>
    </row>
    <row r="77" spans="1:38" outlineLevel="1">
      <c r="A77" s="136">
        <v>39629</v>
      </c>
      <c r="B77" s="142">
        <v>1.797935422825292E-2</v>
      </c>
      <c r="C77" s="142">
        <v>1.7094942148316195E-2</v>
      </c>
      <c r="H77" s="143"/>
      <c r="J77" s="143"/>
      <c r="K77" s="143"/>
      <c r="L77" s="143"/>
      <c r="M77" s="143"/>
      <c r="N77" s="143"/>
      <c r="O77" s="143">
        <v>-4.522930675063408E-2</v>
      </c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D77" s="142">
        <v>-8.5962381639269392E-2</v>
      </c>
      <c r="AE77" s="142">
        <v>-8.8199999999999945E-2</v>
      </c>
      <c r="AF77" s="142">
        <v>-2.8972917922546637E-2</v>
      </c>
      <c r="AG77" s="142">
        <v>3.9689999999999996E-2</v>
      </c>
      <c r="AK77" s="147"/>
      <c r="AL77" s="148"/>
    </row>
    <row r="78" spans="1:38" outlineLevel="1">
      <c r="A78" s="136">
        <v>39660</v>
      </c>
      <c r="B78" s="142">
        <v>-2.7757584395407209E-2</v>
      </c>
      <c r="C78" s="142">
        <v>-3.1230018692235406E-2</v>
      </c>
      <c r="H78" s="143"/>
      <c r="J78" s="143"/>
      <c r="K78" s="143"/>
      <c r="L78" s="143"/>
      <c r="M78" s="143"/>
      <c r="N78" s="143"/>
      <c r="O78" s="143">
        <v>-9.3734340904400582E-2</v>
      </c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D78" s="142">
        <v>-9.8593749999998925E-3</v>
      </c>
      <c r="AE78" s="142">
        <v>-3.2243913138846225E-2</v>
      </c>
      <c r="AF78" s="142">
        <v>2.2221879470499806E-2</v>
      </c>
      <c r="AG78" s="142">
        <v>3.9462000000000004E-2</v>
      </c>
      <c r="AK78" s="147"/>
      <c r="AL78" s="148"/>
    </row>
    <row r="79" spans="1:38" outlineLevel="1">
      <c r="A79" s="136">
        <v>39689</v>
      </c>
      <c r="B79" s="142">
        <v>-4.7205650422647016E-2</v>
      </c>
      <c r="C79" s="142">
        <v>-5.5817262420360891E-2</v>
      </c>
      <c r="H79" s="143"/>
      <c r="J79" s="143"/>
      <c r="K79" s="143"/>
      <c r="L79" s="143"/>
      <c r="M79" s="143"/>
      <c r="N79" s="143"/>
      <c r="O79" s="143">
        <v>-0.17435811758759956</v>
      </c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D79" s="142">
        <v>1.2190503242910378E-2</v>
      </c>
      <c r="AE79" s="142">
        <v>-5.3339377455424719E-2</v>
      </c>
      <c r="AF79" s="142">
        <v>3.085604786082552E-3</v>
      </c>
      <c r="AG79" s="142">
        <v>3.8115999999999997E-2</v>
      </c>
      <c r="AK79" s="147"/>
      <c r="AL79" s="148"/>
    </row>
    <row r="80" spans="1:38" outlineLevel="1">
      <c r="A80" s="136">
        <v>39721</v>
      </c>
      <c r="B80" s="142">
        <v>-4.2347602302745924E-2</v>
      </c>
      <c r="C80" s="142">
        <v>-2.3904923614781137E-2</v>
      </c>
      <c r="H80" s="143"/>
      <c r="J80" s="143"/>
      <c r="K80" s="143"/>
      <c r="L80" s="143"/>
      <c r="M80" s="143"/>
      <c r="N80" s="143"/>
      <c r="O80" s="143">
        <v>-0.13707467250365146</v>
      </c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D80" s="142">
        <v>-9.0791453271283018E-2</v>
      </c>
      <c r="AE80" s="142">
        <v>-0.14588986432561857</v>
      </c>
      <c r="AF80" s="142">
        <v>-6.0980746089049354E-2</v>
      </c>
      <c r="AG80" s="142">
        <v>3.8233999999999997E-2</v>
      </c>
      <c r="AK80" s="147"/>
      <c r="AL80" s="148"/>
    </row>
    <row r="81" spans="1:38" outlineLevel="1">
      <c r="A81" s="136">
        <v>39752</v>
      </c>
      <c r="B81" s="142">
        <v>-4.2347268492376244E-2</v>
      </c>
      <c r="C81" s="142">
        <v>-5.1607668603688817E-2</v>
      </c>
      <c r="H81" s="143"/>
      <c r="J81" s="143"/>
      <c r="K81" s="143"/>
      <c r="L81" s="143"/>
      <c r="M81" s="143"/>
      <c r="N81" s="143"/>
      <c r="O81" s="143">
        <v>-0.31542014558357234</v>
      </c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D81" s="142">
        <v>-0.16942453444905514</v>
      </c>
      <c r="AE81" s="142">
        <v>-0.19706596897776107</v>
      </c>
      <c r="AF81" s="142">
        <v>-0.21992439047832635</v>
      </c>
      <c r="AG81" s="142">
        <v>3.9529999999999996E-2</v>
      </c>
      <c r="AK81" s="147"/>
      <c r="AL81" s="148"/>
    </row>
    <row r="82" spans="1:38" outlineLevel="1">
      <c r="A82" s="136">
        <v>39780</v>
      </c>
      <c r="B82" s="142">
        <v>-2.0279716738400566E-3</v>
      </c>
      <c r="C82" s="142">
        <v>-3.1622085483853368E-2</v>
      </c>
      <c r="H82" s="143"/>
      <c r="J82" s="143"/>
      <c r="K82" s="143"/>
      <c r="L82" s="143"/>
      <c r="M82" s="143"/>
      <c r="N82" s="143"/>
      <c r="O82" s="143">
        <v>-2.1717128168097011E-2</v>
      </c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D82" s="142">
        <v>-7.4849032258064496E-2</v>
      </c>
      <c r="AE82" s="142">
        <v>-3.793785639474001E-2</v>
      </c>
      <c r="AF82" s="142">
        <v>1.7968252664424256E-4</v>
      </c>
      <c r="AG82" s="142">
        <v>2.92E-2</v>
      </c>
      <c r="AK82" s="147"/>
      <c r="AL82" s="148"/>
    </row>
    <row r="83" spans="1:38" outlineLevel="1">
      <c r="A83" s="136">
        <v>39813</v>
      </c>
      <c r="B83" s="142">
        <v>-1.6967739845294094E-2</v>
      </c>
      <c r="C83" s="142">
        <v>-1.2872118396979992E-2</v>
      </c>
      <c r="H83" s="143"/>
      <c r="J83" s="143"/>
      <c r="K83" s="143"/>
      <c r="L83" s="143"/>
      <c r="M83" s="143"/>
      <c r="N83" s="143"/>
      <c r="O83" s="143">
        <v>-9.8105420390456888E-2</v>
      </c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D83" s="142">
        <v>7.8215656520574939E-3</v>
      </c>
      <c r="AE83" s="142">
        <v>8.358533930083456E-2</v>
      </c>
      <c r="AF83" s="142">
        <v>0.10648126761214027</v>
      </c>
      <c r="AG83" s="142">
        <v>2.2123E-2</v>
      </c>
      <c r="AK83" s="147"/>
      <c r="AL83" s="148"/>
    </row>
    <row r="84" spans="1:38" outlineLevel="1">
      <c r="A84" s="136">
        <v>39843</v>
      </c>
      <c r="B84" s="142">
        <v>1.2468458251858605E-2</v>
      </c>
      <c r="C84" s="142">
        <v>1.5760968004423725E-2</v>
      </c>
      <c r="H84" s="143"/>
      <c r="J84" s="143"/>
      <c r="K84" s="143"/>
      <c r="L84" s="143"/>
      <c r="M84" s="143"/>
      <c r="N84" s="143"/>
      <c r="O84" s="143">
        <v>-7.5186389279091603E-2</v>
      </c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D84" s="142">
        <v>-8.5657348463880401E-2</v>
      </c>
      <c r="AE84" s="142">
        <v>-7.2114311230185191E-2</v>
      </c>
      <c r="AF84" s="142">
        <v>2.1311140800118755E-2</v>
      </c>
      <c r="AG84" s="142">
        <v>2.8403000000000001E-2</v>
      </c>
      <c r="AK84" s="147"/>
      <c r="AL84" s="148"/>
    </row>
    <row r="85" spans="1:38" outlineLevel="1">
      <c r="A85" s="136">
        <v>39871</v>
      </c>
      <c r="B85" s="142">
        <v>-7.5607228582069697E-3</v>
      </c>
      <c r="C85" s="142">
        <v>-9.5089499374270137E-3</v>
      </c>
      <c r="D85" s="142">
        <v>-1.0240000000000249E-3</v>
      </c>
      <c r="H85" s="143"/>
      <c r="J85" s="143"/>
      <c r="K85" s="143"/>
      <c r="L85" s="143"/>
      <c r="M85" s="143"/>
      <c r="N85" s="143"/>
      <c r="O85" s="143">
        <v>-2.1850298302101057E-2</v>
      </c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D85" s="142">
        <v>-0.10993122487528451</v>
      </c>
      <c r="AE85" s="142">
        <v>-9.5404234841193536E-2</v>
      </c>
      <c r="AF85" s="142">
        <v>8.929788065151989E-3</v>
      </c>
      <c r="AG85" s="142">
        <v>3.0131000000000002E-2</v>
      </c>
      <c r="AK85" s="147"/>
      <c r="AL85" s="148"/>
    </row>
    <row r="86" spans="1:38" outlineLevel="1">
      <c r="A86" s="136">
        <v>39903</v>
      </c>
      <c r="B86" s="142">
        <v>-4.696546453815631E-2</v>
      </c>
      <c r="C86" s="142">
        <v>-3.8956761132827089E-2</v>
      </c>
      <c r="D86" s="142">
        <v>-7.635819078736672E-3</v>
      </c>
      <c r="H86" s="143"/>
      <c r="J86" s="143"/>
      <c r="K86" s="143"/>
      <c r="L86" s="143"/>
      <c r="M86" s="143"/>
      <c r="N86" s="143"/>
      <c r="O86" s="143">
        <v>-1.6954998974192281E-2</v>
      </c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D86" s="142">
        <v>8.5404508291501591E-2</v>
      </c>
      <c r="AE86" s="142">
        <v>7.6339938821651909E-2</v>
      </c>
      <c r="AF86" s="142">
        <v>5.9794352805589535E-2</v>
      </c>
      <c r="AG86" s="142">
        <v>2.6629E-2</v>
      </c>
      <c r="AK86" s="147"/>
      <c r="AL86" s="148"/>
    </row>
    <row r="87" spans="1:38" outlineLevel="1">
      <c r="A87" s="136">
        <v>39933</v>
      </c>
      <c r="B87" s="142">
        <v>-2.2892053682284641E-2</v>
      </c>
      <c r="C87" s="142">
        <v>-1.5575548688185781E-2</v>
      </c>
      <c r="D87" s="142">
        <v>5.0905433813352996E-3</v>
      </c>
      <c r="H87" s="143"/>
      <c r="J87" s="143"/>
      <c r="K87" s="143"/>
      <c r="L87" s="143"/>
      <c r="M87" s="143"/>
      <c r="N87" s="143"/>
      <c r="O87" s="143">
        <v>7.7228885153077798E-3</v>
      </c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D87" s="142">
        <v>9.3925075513554779E-2</v>
      </c>
      <c r="AE87" s="142">
        <v>0.12393426417891984</v>
      </c>
      <c r="AF87" s="142">
        <v>6.8042988828002304E-2</v>
      </c>
      <c r="AG87" s="142">
        <v>3.1186999999999999E-2</v>
      </c>
      <c r="AK87" s="147"/>
      <c r="AL87" s="148"/>
    </row>
    <row r="88" spans="1:38" outlineLevel="1">
      <c r="A88" s="136">
        <v>39962</v>
      </c>
      <c r="B88" s="142">
        <v>-4.9146603963158286E-3</v>
      </c>
      <c r="C88" s="142">
        <v>3.2516970916860677E-2</v>
      </c>
      <c r="D88" s="142">
        <v>6.8617400035828613E-3</v>
      </c>
      <c r="H88" s="143"/>
      <c r="J88" s="143"/>
      <c r="K88" s="143"/>
      <c r="L88" s="143"/>
      <c r="M88" s="143"/>
      <c r="N88" s="143"/>
      <c r="O88" s="143">
        <v>2.370459425721072E-2</v>
      </c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D88" s="142">
        <v>5.3081426656431674E-2</v>
      </c>
      <c r="AE88" s="142">
        <v>0.12181178540017612</v>
      </c>
      <c r="AF88" s="142">
        <v>6.9574589942249743E-2</v>
      </c>
      <c r="AG88" s="142">
        <v>3.4594E-2</v>
      </c>
      <c r="AK88" s="147"/>
      <c r="AL88" s="148"/>
    </row>
    <row r="89" spans="1:38" outlineLevel="1">
      <c r="A89" s="136">
        <v>39994</v>
      </c>
      <c r="B89" s="142">
        <v>-8.0615894001138111E-3</v>
      </c>
      <c r="C89" s="142">
        <v>-1.2215716044807312E-2</v>
      </c>
      <c r="D89" s="142">
        <v>1.6443263593696855E-2</v>
      </c>
      <c r="H89" s="143"/>
      <c r="J89" s="143"/>
      <c r="K89" s="143"/>
      <c r="L89" s="143"/>
      <c r="M89" s="143"/>
      <c r="N89" s="143"/>
      <c r="O89" s="143">
        <v>-5.7125591388725305E-2</v>
      </c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D89" s="142">
        <v>1.9583523728705643E-4</v>
      </c>
      <c r="AE89" s="142">
        <v>1.1466091728733696E-2</v>
      </c>
      <c r="AF89" s="142">
        <v>1.0226051516988299E-2</v>
      </c>
      <c r="AG89" s="142">
        <v>3.5325999999999996E-2</v>
      </c>
      <c r="AK89" s="147"/>
      <c r="AL89" s="148"/>
    </row>
    <row r="90" spans="1:38" outlineLevel="1">
      <c r="A90" s="136">
        <v>40025</v>
      </c>
      <c r="B90" s="142">
        <v>9.693815109932391E-3</v>
      </c>
      <c r="C90" s="142">
        <v>3.0026677577947414E-2</v>
      </c>
      <c r="D90" s="142">
        <v>5.2820823414849283E-2</v>
      </c>
      <c r="H90" s="143"/>
      <c r="J90" s="143"/>
      <c r="K90" s="143"/>
      <c r="L90" s="143"/>
      <c r="M90" s="143"/>
      <c r="N90" s="143"/>
      <c r="O90" s="143">
        <v>3.9567382137243978E-2</v>
      </c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D90" s="142">
        <v>7.4141756950789617E-2</v>
      </c>
      <c r="AE90" s="142">
        <v>8.4003488034105178E-2</v>
      </c>
      <c r="AF90" s="142">
        <v>4.489621637937069E-2</v>
      </c>
      <c r="AG90" s="142">
        <v>3.4796000000000001E-2</v>
      </c>
      <c r="AK90" s="147"/>
      <c r="AL90" s="148"/>
    </row>
    <row r="91" spans="1:38" outlineLevel="1">
      <c r="A91" s="136">
        <v>40056</v>
      </c>
      <c r="B91" s="142">
        <v>6.4532730445931996E-3</v>
      </c>
      <c r="C91" s="142">
        <v>-7.7146009374270408E-3</v>
      </c>
      <c r="D91" s="142">
        <v>8.9940945251221205E-3</v>
      </c>
      <c r="H91" s="143"/>
      <c r="J91" s="143"/>
      <c r="K91" s="143"/>
      <c r="L91" s="143"/>
      <c r="M91" s="143"/>
      <c r="N91" s="143"/>
      <c r="O91" s="143">
        <v>7.609368874222211E-2</v>
      </c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D91" s="142">
        <v>3.3560173370599911E-2</v>
      </c>
      <c r="AE91" s="142">
        <v>1.3585984983911503E-2</v>
      </c>
      <c r="AF91" s="142">
        <v>3.1437146842898667E-2</v>
      </c>
      <c r="AG91" s="142">
        <v>3.3974999999999998E-2</v>
      </c>
      <c r="AK91" s="147"/>
      <c r="AL91" s="148"/>
    </row>
    <row r="92" spans="1:38" outlineLevel="1">
      <c r="A92" s="136">
        <v>40086</v>
      </c>
      <c r="B92" s="142">
        <v>6.5357263178706493E-2</v>
      </c>
      <c r="C92" s="142">
        <v>8.3645732711177478E-2</v>
      </c>
      <c r="D92" s="142">
        <v>2.6183735710579414E-2</v>
      </c>
      <c r="H92" s="143"/>
      <c r="J92" s="143"/>
      <c r="K92" s="143"/>
      <c r="L92" s="143"/>
      <c r="M92" s="143"/>
      <c r="N92" s="143"/>
      <c r="O92" s="143">
        <v>0.44442889678980912</v>
      </c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D92" s="142">
        <v>3.5723383825517763E-2</v>
      </c>
      <c r="AE92" s="142">
        <v>4.0476190476190332E-2</v>
      </c>
      <c r="AF92" s="142">
        <v>3.9656138145851116E-2</v>
      </c>
      <c r="AG92" s="142">
        <v>3.3052999999999999E-2</v>
      </c>
      <c r="AK92" s="147"/>
      <c r="AL92" s="148"/>
    </row>
    <row r="93" spans="1:38" outlineLevel="1">
      <c r="A93" s="136">
        <v>40116</v>
      </c>
      <c r="B93" s="142">
        <v>2.5631494989855064E-3</v>
      </c>
      <c r="C93" s="142">
        <v>3.5742072421274251E-3</v>
      </c>
      <c r="D93" s="142">
        <v>9.1531812564256132E-3</v>
      </c>
      <c r="H93" s="143"/>
      <c r="J93" s="143"/>
      <c r="K93" s="143"/>
      <c r="L93" s="143"/>
      <c r="M93" s="143"/>
      <c r="N93" s="143"/>
      <c r="O93" s="143">
        <v>2.1489191575013944E-2</v>
      </c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D93" s="142">
        <v>-1.9761985847807084E-2</v>
      </c>
      <c r="AE93" s="142">
        <v>-1.2967200610221163E-2</v>
      </c>
      <c r="AF93" s="142">
        <v>4.4283400623514879E-3</v>
      </c>
      <c r="AG93" s="142">
        <v>3.3827999999999997E-2</v>
      </c>
      <c r="AK93" s="147"/>
      <c r="AL93" s="148"/>
    </row>
    <row r="94" spans="1:38" outlineLevel="1">
      <c r="A94" s="136">
        <v>40147</v>
      </c>
      <c r="B94" s="142">
        <v>4.4169897648336676E-2</v>
      </c>
      <c r="C94" s="142">
        <v>5.2149003324545529E-2</v>
      </c>
      <c r="D94" s="142">
        <v>1.8943103212756274E-3</v>
      </c>
      <c r="H94" s="143"/>
      <c r="J94" s="143"/>
      <c r="K94" s="143"/>
      <c r="L94" s="143"/>
      <c r="M94" s="143"/>
      <c r="N94" s="143"/>
      <c r="O94" s="143">
        <v>0.24175150699459924</v>
      </c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D94" s="142">
        <v>5.7363996950366314E-2</v>
      </c>
      <c r="AE94" s="142">
        <v>1.0561566202988093E-2</v>
      </c>
      <c r="AF94" s="142">
        <v>4.7882100140310691E-3</v>
      </c>
      <c r="AG94" s="142">
        <v>3.1977999999999999E-2</v>
      </c>
      <c r="AK94" s="147"/>
      <c r="AL94" s="148"/>
    </row>
    <row r="95" spans="1:38" outlineLevel="1">
      <c r="A95" s="136">
        <v>40178</v>
      </c>
      <c r="B95" s="142">
        <v>1.1330058324128478E-2</v>
      </c>
      <c r="C95" s="142">
        <v>-8.5395496550138006E-3</v>
      </c>
      <c r="D95" s="142">
        <v>-1.0246694555783309E-3</v>
      </c>
      <c r="H95" s="143"/>
      <c r="J95" s="143"/>
      <c r="K95" s="143"/>
      <c r="L95" s="143"/>
      <c r="M95" s="143"/>
      <c r="N95" s="143"/>
      <c r="O95" s="143">
        <v>1.2160991959242251E-2</v>
      </c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D95" s="142">
        <v>1.7770597738287375E-2</v>
      </c>
      <c r="AE95" s="142">
        <v>2.3451440224318221E-2</v>
      </c>
      <c r="AF95" s="142">
        <v>1.6249206581709918E-2</v>
      </c>
      <c r="AG95" s="142">
        <v>3.8367999999999999E-2</v>
      </c>
      <c r="AK95" s="147"/>
      <c r="AL95" s="148"/>
    </row>
    <row r="96" spans="1:38" outlineLevel="1">
      <c r="A96" s="136">
        <v>40207</v>
      </c>
      <c r="B96" s="142">
        <v>1.6066105865407687E-2</v>
      </c>
      <c r="C96" s="142">
        <v>2.117039214676053E-2</v>
      </c>
      <c r="D96" s="142">
        <v>1.5423778401103982E-2</v>
      </c>
      <c r="H96" s="143"/>
      <c r="J96" s="143"/>
      <c r="K96" s="143"/>
      <c r="L96" s="143"/>
      <c r="M96" s="143"/>
      <c r="N96" s="143"/>
      <c r="O96" s="143">
        <v>-1.9397134133306571E-3</v>
      </c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D96" s="142">
        <v>-3.6974262397991176E-2</v>
      </c>
      <c r="AE96" s="142">
        <v>-3.0053964300539637E-2</v>
      </c>
      <c r="AF96" s="142">
        <v>9.1637919713523086E-3</v>
      </c>
      <c r="AG96" s="142">
        <v>3.5844000000000001E-2</v>
      </c>
      <c r="AK96" s="147"/>
      <c r="AL96" s="148"/>
    </row>
    <row r="97" spans="1:38" outlineLevel="1">
      <c r="A97" s="136">
        <v>40235</v>
      </c>
      <c r="B97" s="142">
        <v>1.6539926153419149E-2</v>
      </c>
      <c r="C97" s="142">
        <v>8.9222275255924632E-3</v>
      </c>
      <c r="D97" s="142">
        <v>-1.2515942994408058E-2</v>
      </c>
      <c r="H97" s="143"/>
      <c r="J97" s="143"/>
      <c r="K97" s="143"/>
      <c r="L97" s="143"/>
      <c r="M97" s="143"/>
      <c r="N97" s="143"/>
      <c r="O97" s="143">
        <v>4.1337083414358711E-2</v>
      </c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D97" s="142">
        <v>2.8513693463827261E-2</v>
      </c>
      <c r="AE97" s="142">
        <v>1.0613712231447359E-2</v>
      </c>
      <c r="AF97" s="142">
        <v>1.1175365317963148E-2</v>
      </c>
      <c r="AG97" s="142">
        <v>3.6116999999999996E-2</v>
      </c>
      <c r="AK97" s="147"/>
      <c r="AL97" s="148"/>
    </row>
    <row r="98" spans="1:38" outlineLevel="1">
      <c r="A98" s="136">
        <v>40268</v>
      </c>
      <c r="B98" s="142">
        <v>3.9152324460830501E-2</v>
      </c>
      <c r="C98" s="142">
        <v>5.2983117840546212E-2</v>
      </c>
      <c r="D98" s="142">
        <v>5.6204413122399988E-2</v>
      </c>
      <c r="H98" s="143"/>
      <c r="J98" s="143"/>
      <c r="K98" s="143"/>
      <c r="L98" s="143"/>
      <c r="M98" s="143"/>
      <c r="N98" s="143"/>
      <c r="O98" s="143">
        <v>7.5731175639084602E-2</v>
      </c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D98" s="142">
        <v>5.8796367554255768E-2</v>
      </c>
      <c r="AE98" s="142">
        <v>5.9625645803337068E-2</v>
      </c>
      <c r="AF98" s="142">
        <v>3.1460596567992161E-2</v>
      </c>
      <c r="AG98" s="142">
        <v>3.8256999999999999E-2</v>
      </c>
      <c r="AK98" s="147"/>
      <c r="AL98" s="148"/>
    </row>
    <row r="99" spans="1:38" outlineLevel="1">
      <c r="A99" s="136">
        <v>40298</v>
      </c>
      <c r="B99" s="142">
        <v>2.1393271630911093E-2</v>
      </c>
      <c r="C99" s="142">
        <v>4.0798725364552757E-2</v>
      </c>
      <c r="D99" s="142">
        <v>2.8528074132334824E-2</v>
      </c>
      <c r="H99" s="143"/>
      <c r="J99" s="143"/>
      <c r="K99" s="143"/>
      <c r="L99" s="143"/>
      <c r="M99" s="143"/>
      <c r="N99" s="143"/>
      <c r="O99" s="143">
        <v>4.8600658716808409E-2</v>
      </c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D99" s="142">
        <v>1.4759327193589966E-2</v>
      </c>
      <c r="AE99" s="142">
        <v>5.9947246423146527E-3</v>
      </c>
      <c r="AF99" s="142">
        <v>1.3690918164887433E-2</v>
      </c>
      <c r="AG99" s="142">
        <v>3.6532000000000002E-2</v>
      </c>
      <c r="AK99" s="147"/>
      <c r="AL99" s="148"/>
    </row>
    <row r="100" spans="1:38" outlineLevel="1">
      <c r="A100" s="136">
        <v>40329</v>
      </c>
      <c r="B100" s="142">
        <v>-2.0861301742673977E-2</v>
      </c>
      <c r="C100" s="142">
        <v>-2.8993629273173505E-2</v>
      </c>
      <c r="D100" s="142">
        <v>-1.0958605872879001E-2</v>
      </c>
      <c r="H100" s="143"/>
      <c r="J100" s="143"/>
      <c r="K100" s="143"/>
      <c r="L100" s="143"/>
      <c r="M100" s="143"/>
      <c r="N100" s="143"/>
      <c r="O100" s="143">
        <v>-9.7118021709546642E-2</v>
      </c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D100" s="142">
        <v>-8.1975916203894883E-2</v>
      </c>
      <c r="AE100" s="142">
        <v>-9.8363260765930383E-2</v>
      </c>
      <c r="AF100" s="142">
        <v>-1.3494000498332381E-2</v>
      </c>
      <c r="AG100" s="142">
        <v>3.2848000000000002E-2</v>
      </c>
      <c r="AK100" s="147"/>
      <c r="AL100" s="148"/>
    </row>
    <row r="101" spans="1:38" outlineLevel="1">
      <c r="A101" s="136">
        <v>40359</v>
      </c>
      <c r="B101" s="142">
        <v>8.5080266671683225E-2</v>
      </c>
      <c r="C101" s="142">
        <v>7.2357227782917422E-2</v>
      </c>
      <c r="D101" s="142">
        <v>1.7484793868541404E-2</v>
      </c>
      <c r="H101" s="143"/>
      <c r="J101" s="143"/>
      <c r="K101" s="143"/>
      <c r="L101" s="143"/>
      <c r="M101" s="143"/>
      <c r="N101" s="143"/>
      <c r="O101" s="143">
        <v>0.20501092400792986</v>
      </c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D101" s="142">
        <v>-5.3882376699314394E-2</v>
      </c>
      <c r="AE101" s="142">
        <v>-5.9922453295735423E-3</v>
      </c>
      <c r="AF101" s="142">
        <v>1.6149548409085446E-2</v>
      </c>
      <c r="AG101" s="142">
        <v>2.9310999999999997E-2</v>
      </c>
      <c r="AK101" s="147"/>
      <c r="AL101" s="148"/>
    </row>
    <row r="102" spans="1:38" outlineLevel="1">
      <c r="A102" s="136">
        <v>40389</v>
      </c>
      <c r="B102" s="142">
        <v>3.5368607565069876E-2</v>
      </c>
      <c r="C102" s="142">
        <v>5.4793485365299599E-2</v>
      </c>
      <c r="D102" s="142">
        <v>2.0621447246040869E-2</v>
      </c>
      <c r="H102" s="143"/>
      <c r="J102" s="143"/>
      <c r="K102" s="143"/>
      <c r="L102" s="143"/>
      <c r="M102" s="143"/>
      <c r="N102" s="143"/>
      <c r="O102" s="143">
        <v>0.14263645205304787</v>
      </c>
      <c r="P102" s="143"/>
      <c r="Q102" s="143"/>
      <c r="R102" s="143"/>
      <c r="S102" s="143"/>
      <c r="T102" s="143"/>
      <c r="U102" s="143"/>
      <c r="V102" s="143"/>
      <c r="W102" s="143"/>
      <c r="X102" s="143"/>
      <c r="Y102" s="143"/>
      <c r="Z102" s="143"/>
      <c r="AA102" s="143"/>
      <c r="AB102" s="143"/>
      <c r="AD102" s="142">
        <v>6.8777832756061308E-2</v>
      </c>
      <c r="AE102" s="142">
        <v>5.5939716312056742E-2</v>
      </c>
      <c r="AF102" s="142">
        <v>4.7142604732228754E-2</v>
      </c>
      <c r="AG102" s="142">
        <v>2.9051999999999998E-2</v>
      </c>
      <c r="AK102" s="147"/>
      <c r="AL102" s="148"/>
    </row>
    <row r="103" spans="1:38" outlineLevel="1">
      <c r="A103" s="136">
        <v>40421</v>
      </c>
      <c r="B103" s="142">
        <v>7.2693088521587068E-3</v>
      </c>
      <c r="C103" s="142">
        <v>3.1387907152178318E-3</v>
      </c>
      <c r="D103" s="142">
        <v>2.0809157439031223E-2</v>
      </c>
      <c r="H103" s="143"/>
      <c r="J103" s="143"/>
      <c r="K103" s="143"/>
      <c r="L103" s="143"/>
      <c r="M103" s="143"/>
      <c r="N103" s="143"/>
      <c r="O103" s="143">
        <v>-3.8670912433553029E-2</v>
      </c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D103" s="142">
        <v>-4.7449164851125603E-2</v>
      </c>
      <c r="AE103" s="142">
        <v>-2.1576693812442205E-2</v>
      </c>
      <c r="AF103" s="142">
        <v>3.4584530908154942E-2</v>
      </c>
      <c r="AG103" s="142">
        <v>2.4683E-2</v>
      </c>
      <c r="AK103" s="147"/>
      <c r="AL103" s="148"/>
    </row>
    <row r="104" spans="1:38" outlineLevel="1">
      <c r="A104" s="136">
        <v>40451</v>
      </c>
      <c r="B104" s="142">
        <v>2.4572205734857855E-2</v>
      </c>
      <c r="C104" s="142">
        <v>3.7388371731497783E-2</v>
      </c>
      <c r="D104" s="142">
        <v>2.4849465905237844E-2</v>
      </c>
      <c r="H104" s="143"/>
      <c r="J104" s="143"/>
      <c r="K104" s="143"/>
      <c r="L104" s="143"/>
      <c r="M104" s="143"/>
      <c r="N104" s="143"/>
      <c r="O104" s="143">
        <v>5.4026952125863614E-2</v>
      </c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D104" s="142">
        <v>8.7551104037814742E-2</v>
      </c>
      <c r="AE104" s="142">
        <v>8.3833876780504468E-2</v>
      </c>
      <c r="AF104" s="142">
        <v>1.612403872201873E-2</v>
      </c>
      <c r="AG104" s="142">
        <v>2.5098000000000002E-2</v>
      </c>
      <c r="AK104" s="147"/>
      <c r="AL104" s="148"/>
    </row>
    <row r="105" spans="1:38" outlineLevel="1">
      <c r="A105" s="136">
        <v>40480</v>
      </c>
      <c r="B105" s="142">
        <v>4.6473156396118709E-2</v>
      </c>
      <c r="C105" s="142">
        <v>5.2363798569328823E-2</v>
      </c>
      <c r="D105" s="142">
        <v>2.2609476172237297E-2</v>
      </c>
      <c r="H105" s="143"/>
      <c r="J105" s="143"/>
      <c r="K105" s="143"/>
      <c r="L105" s="143"/>
      <c r="M105" s="143"/>
      <c r="N105" s="143"/>
      <c r="O105" s="143">
        <v>5.3546998521835754E-2</v>
      </c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  <c r="AA105" s="143"/>
      <c r="AB105" s="143"/>
      <c r="AD105" s="142">
        <v>3.6855941114616098E-2</v>
      </c>
      <c r="AE105" s="142">
        <v>2.4146940068086487E-2</v>
      </c>
      <c r="AF105" s="142">
        <v>8.5611454034510981E-3</v>
      </c>
      <c r="AG105" s="142">
        <v>2.5992999999999999E-2</v>
      </c>
      <c r="AK105" s="147"/>
      <c r="AL105" s="148"/>
    </row>
    <row r="106" spans="1:38" outlineLevel="1">
      <c r="A106" s="136">
        <v>40512</v>
      </c>
      <c r="B106" s="142">
        <v>2.3115400503643357E-2</v>
      </c>
      <c r="C106" s="142">
        <v>3.0146984093431417E-2</v>
      </c>
      <c r="D106" s="142">
        <v>6.830963071351448E-3</v>
      </c>
      <c r="H106" s="143"/>
      <c r="J106" s="143"/>
      <c r="K106" s="143"/>
      <c r="L106" s="143"/>
      <c r="M106" s="143"/>
      <c r="N106" s="143"/>
      <c r="O106" s="143">
        <v>0.14901743990606109</v>
      </c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143"/>
      <c r="AD106" s="142">
        <v>-2.2902827780877377E-3</v>
      </c>
      <c r="AE106" s="142">
        <v>-5.4885590599876855E-3</v>
      </c>
      <c r="AF106" s="142">
        <v>-1.5525789101737519E-2</v>
      </c>
      <c r="AG106" s="142">
        <v>2.7968000000000003E-2</v>
      </c>
      <c r="AK106" s="147"/>
      <c r="AL106" s="148"/>
    </row>
    <row r="107" spans="1:38" outlineLevel="1">
      <c r="A107" s="136">
        <v>40543</v>
      </c>
      <c r="B107" s="142">
        <v>8.4489675295620348E-3</v>
      </c>
      <c r="C107" s="142">
        <v>2.0175728223948086E-2</v>
      </c>
      <c r="D107" s="142">
        <v>1.7434427278252285E-2</v>
      </c>
      <c r="H107" s="143"/>
      <c r="J107" s="143"/>
      <c r="K107" s="143"/>
      <c r="L107" s="143"/>
      <c r="M107" s="143"/>
      <c r="N107" s="143"/>
      <c r="O107" s="143">
        <v>3.2933261029745697E-2</v>
      </c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D107" s="142">
        <v>6.5300072000338938E-2</v>
      </c>
      <c r="AE107" s="142">
        <v>7.0345899727943806E-2</v>
      </c>
      <c r="AF107" s="142">
        <v>-4.5180310261876411E-3</v>
      </c>
      <c r="AG107" s="142">
        <v>3.2934999999999999E-2</v>
      </c>
      <c r="AK107" s="147"/>
      <c r="AL107" s="148"/>
    </row>
    <row r="108" spans="1:38" outlineLevel="1">
      <c r="A108" s="136">
        <v>40574</v>
      </c>
      <c r="B108" s="142">
        <v>1.0642279567053103E-2</v>
      </c>
      <c r="C108" s="142">
        <v>1.5065254179031706E-2</v>
      </c>
      <c r="D108" s="142">
        <v>9.8206263964131235E-3</v>
      </c>
      <c r="H108" s="143"/>
      <c r="J108" s="143"/>
      <c r="K108" s="143"/>
      <c r="L108" s="143"/>
      <c r="M108" s="143"/>
      <c r="N108" s="143"/>
      <c r="O108" s="143">
        <v>7.2797213274830685E-2</v>
      </c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  <c r="AA108" s="143"/>
      <c r="AB108" s="143"/>
      <c r="AD108" s="142">
        <v>2.2645590152984729E-2</v>
      </c>
      <c r="AE108" s="142">
        <v>-7.8431372549018219E-3</v>
      </c>
      <c r="AF108" s="142">
        <v>-7.6871630157459014E-3</v>
      </c>
      <c r="AG108" s="142">
        <v>3.3703999999999998E-2</v>
      </c>
      <c r="AK108" s="147"/>
      <c r="AL108" s="148"/>
    </row>
    <row r="109" spans="1:38" outlineLevel="1">
      <c r="A109" s="136">
        <v>40602</v>
      </c>
      <c r="B109" s="142">
        <v>-2.7481892218128579E-5</v>
      </c>
      <c r="C109" s="142">
        <v>1.5388798868087861E-5</v>
      </c>
      <c r="D109" s="142">
        <v>3.3739432639867672E-3</v>
      </c>
      <c r="H109" s="143"/>
      <c r="J109" s="143"/>
      <c r="K109" s="143"/>
      <c r="L109" s="143"/>
      <c r="M109" s="143"/>
      <c r="N109" s="143"/>
      <c r="O109" s="143">
        <v>6.5132786279396671E-2</v>
      </c>
      <c r="P109" s="143"/>
      <c r="Q109" s="143"/>
      <c r="R109" s="143"/>
      <c r="S109" s="143"/>
      <c r="T109" s="143"/>
      <c r="U109" s="143"/>
      <c r="V109" s="143"/>
      <c r="W109" s="143"/>
      <c r="X109" s="143"/>
      <c r="Y109" s="143"/>
      <c r="Z109" s="143"/>
      <c r="AA109" s="143"/>
      <c r="AB109" s="143"/>
      <c r="AD109" s="142">
        <v>3.1956582589494076E-2</v>
      </c>
      <c r="AE109" s="142">
        <v>6.3680281071585298E-3</v>
      </c>
      <c r="AF109" s="142">
        <v>5.2310423254007254E-3</v>
      </c>
      <c r="AG109" s="142">
        <v>3.4271999999999997E-2</v>
      </c>
      <c r="AK109" s="147"/>
      <c r="AL109" s="148"/>
    </row>
    <row r="110" spans="1:38" outlineLevel="1">
      <c r="A110" s="136">
        <v>40633</v>
      </c>
      <c r="B110" s="142">
        <v>1.8745191112121251E-2</v>
      </c>
      <c r="C110" s="142">
        <v>3.1789484009987046E-2</v>
      </c>
      <c r="D110" s="142">
        <v>1.2733021397011379E-2</v>
      </c>
      <c r="E110" s="142">
        <v>-5.8432124593210677E-4</v>
      </c>
      <c r="H110" s="143"/>
      <c r="J110" s="143"/>
      <c r="K110" s="143"/>
      <c r="L110" s="143"/>
      <c r="M110" s="143"/>
      <c r="N110" s="143"/>
      <c r="O110" s="143">
        <v>8.9230084720058223E-2</v>
      </c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  <c r="AA110" s="143"/>
      <c r="AB110" s="143"/>
      <c r="AD110" s="142">
        <v>-1.0473018791158362E-3</v>
      </c>
      <c r="AE110" s="142">
        <v>-1.2437268164957493E-2</v>
      </c>
      <c r="AF110" s="142">
        <v>5.0437882491876085E-3</v>
      </c>
      <c r="AG110" s="142">
        <v>3.4702999999999998E-2</v>
      </c>
      <c r="AK110" s="147"/>
      <c r="AL110" s="148"/>
    </row>
    <row r="111" spans="1:38" outlineLevel="1">
      <c r="A111" s="136">
        <v>40662</v>
      </c>
      <c r="B111" s="142">
        <v>1.37878470470576E-2</v>
      </c>
      <c r="C111" s="142">
        <v>1.9894633672872475E-2</v>
      </c>
      <c r="D111" s="142">
        <v>1.1818965268992621E-3</v>
      </c>
      <c r="E111" s="142">
        <v>9.8576808715364894E-3</v>
      </c>
      <c r="H111" s="143"/>
      <c r="J111" s="143"/>
      <c r="K111" s="143"/>
      <c r="L111" s="143"/>
      <c r="M111" s="143"/>
      <c r="N111" s="143"/>
      <c r="O111" s="143">
        <v>6.9272171750704992E-2</v>
      </c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  <c r="AA111" s="143"/>
      <c r="AB111" s="143"/>
      <c r="AD111" s="142">
        <v>2.8495357625034856E-2</v>
      </c>
      <c r="AE111" s="142">
        <v>2.7249963175725256E-2</v>
      </c>
      <c r="AF111" s="142">
        <v>1.8703981287782723E-2</v>
      </c>
      <c r="AG111" s="142">
        <v>3.2862999999999996E-2</v>
      </c>
      <c r="AK111" s="147"/>
      <c r="AL111" s="148"/>
    </row>
    <row r="112" spans="1:38" outlineLevel="1">
      <c r="A112" s="136">
        <v>40694</v>
      </c>
      <c r="B112" s="142">
        <v>3.8098301319613448E-3</v>
      </c>
      <c r="C112" s="142">
        <v>7.9450024564211574E-3</v>
      </c>
      <c r="D112" s="142">
        <v>5.7331744365609616E-3</v>
      </c>
      <c r="E112" s="142">
        <v>1.98736919268927E-3</v>
      </c>
      <c r="H112" s="143"/>
      <c r="J112" s="143"/>
      <c r="K112" s="143"/>
      <c r="L112" s="143"/>
      <c r="M112" s="143"/>
      <c r="N112" s="143"/>
      <c r="O112" s="143">
        <v>3.551684424600543E-2</v>
      </c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  <c r="AA112" s="143"/>
      <c r="AB112" s="143"/>
      <c r="AD112" s="142">
        <v>-1.350092768460176E-2</v>
      </c>
      <c r="AE112" s="142">
        <v>-2.2870662460567792E-2</v>
      </c>
      <c r="AF112" s="142">
        <v>7.9985555169281852E-3</v>
      </c>
      <c r="AG112" s="142">
        <v>3.0607000000000002E-2</v>
      </c>
      <c r="AK112" s="147"/>
      <c r="AL112" s="148"/>
    </row>
    <row r="113" spans="1:38" outlineLevel="1">
      <c r="A113" s="136">
        <v>40724</v>
      </c>
      <c r="B113" s="142">
        <v>9.0805771339574903E-5</v>
      </c>
      <c r="C113" s="142">
        <v>1.9508967180508208E-3</v>
      </c>
      <c r="D113" s="142">
        <v>1.5127985338576178E-2</v>
      </c>
      <c r="E113" s="142">
        <v>-1.1686475124379925E-2</v>
      </c>
      <c r="H113" s="143"/>
      <c r="J113" s="143"/>
      <c r="K113" s="143"/>
      <c r="L113" s="143"/>
      <c r="M113" s="143"/>
      <c r="N113" s="143"/>
      <c r="O113" s="143">
        <v>4.6660793103139087E-2</v>
      </c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  <c r="AA113" s="143"/>
      <c r="AB113" s="143"/>
      <c r="AD113" s="142">
        <v>-1.8257508177222714E-2</v>
      </c>
      <c r="AE113" s="142">
        <v>-9.6852300242130651E-3</v>
      </c>
      <c r="AF113" s="142">
        <v>-1.3902442284814409E-3</v>
      </c>
      <c r="AG113" s="142">
        <v>3.1600000000000003E-2</v>
      </c>
      <c r="AK113" s="147"/>
      <c r="AL113" s="148"/>
    </row>
    <row r="114" spans="1:38" outlineLevel="1">
      <c r="A114" s="136">
        <v>40753</v>
      </c>
      <c r="B114" s="142">
        <v>1.6686498563223351E-2</v>
      </c>
      <c r="C114" s="142">
        <v>2.9173119166820083E-2</v>
      </c>
      <c r="D114" s="142">
        <v>9.6153753234879957E-3</v>
      </c>
      <c r="E114" s="142">
        <v>1.5658264400854938E-2</v>
      </c>
      <c r="H114" s="143"/>
      <c r="J114" s="143"/>
      <c r="K114" s="143"/>
      <c r="L114" s="143"/>
      <c r="M114" s="143"/>
      <c r="N114" s="143"/>
      <c r="O114" s="143">
        <v>8.4710016682267852E-3</v>
      </c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D114" s="142">
        <v>-2.1474436636782279E-2</v>
      </c>
      <c r="AE114" s="142">
        <v>1.3336296954878923E-2</v>
      </c>
      <c r="AF114" s="142">
        <v>2.5517047508132329E-2</v>
      </c>
      <c r="AG114" s="142">
        <v>2.7961E-2</v>
      </c>
      <c r="AK114" s="147"/>
      <c r="AL114" s="148"/>
    </row>
    <row r="115" spans="1:38" outlineLevel="1">
      <c r="A115" s="136">
        <v>40786</v>
      </c>
      <c r="B115" s="142">
        <v>-4.8243235878179358E-2</v>
      </c>
      <c r="C115" s="142">
        <v>-5.9797551425621265E-2</v>
      </c>
      <c r="D115" s="142">
        <v>-1.6142638894688255E-2</v>
      </c>
      <c r="E115" s="142">
        <v>-1.9742801547478317E-2</v>
      </c>
      <c r="H115" s="143"/>
      <c r="J115" s="143"/>
      <c r="K115" s="143"/>
      <c r="L115" s="143"/>
      <c r="M115" s="143"/>
      <c r="N115" s="143"/>
      <c r="O115" s="143">
        <v>-0.1118254078757811</v>
      </c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  <c r="Z115" s="143"/>
      <c r="AA115" s="143"/>
      <c r="AB115" s="143"/>
      <c r="AD115" s="142">
        <v>-5.6791097904478782E-2</v>
      </c>
      <c r="AE115" s="142">
        <v>-8.6276230167434464E-2</v>
      </c>
      <c r="AF115" s="142">
        <v>-1.4499564021031364E-2</v>
      </c>
      <c r="AG115" s="142">
        <v>2.2233999999999997E-2</v>
      </c>
      <c r="AK115" s="147"/>
      <c r="AL115" s="148"/>
    </row>
    <row r="116" spans="1:38" outlineLevel="1">
      <c r="A116" s="136">
        <v>40816</v>
      </c>
      <c r="B116" s="142">
        <v>6.4441816578024724E-3</v>
      </c>
      <c r="C116" s="142">
        <v>-7.27572340837771E-2</v>
      </c>
      <c r="D116" s="142">
        <v>1.1183736337876615E-2</v>
      </c>
      <c r="E116" s="142">
        <v>-1.431736347159529E-2</v>
      </c>
      <c r="H116" s="143"/>
      <c r="J116" s="143"/>
      <c r="K116" s="143"/>
      <c r="L116" s="143"/>
      <c r="M116" s="143"/>
      <c r="N116" s="143"/>
      <c r="O116" s="143">
        <v>-0.13398379783890002</v>
      </c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43"/>
      <c r="AA116" s="143"/>
      <c r="AB116" s="143"/>
      <c r="AD116" s="142">
        <v>-7.1762012979021961E-2</v>
      </c>
      <c r="AE116" s="142">
        <v>-9.4822757461790808E-2</v>
      </c>
      <c r="AF116" s="142">
        <v>-7.6298305659457721E-2</v>
      </c>
      <c r="AG116" s="142">
        <v>1.9154000000000001E-2</v>
      </c>
      <c r="AK116" s="147"/>
      <c r="AL116" s="148"/>
    </row>
    <row r="117" spans="1:38" outlineLevel="1">
      <c r="A117" s="136">
        <v>40847</v>
      </c>
      <c r="B117" s="142">
        <v>-2.4655685130411165E-2</v>
      </c>
      <c r="C117" s="142">
        <v>1.6349219349482746E-2</v>
      </c>
      <c r="D117" s="142">
        <v>2.2421705326791663E-3</v>
      </c>
      <c r="E117" s="142">
        <v>-1.1945072087078401E-2</v>
      </c>
      <c r="H117" s="143"/>
      <c r="J117" s="143"/>
      <c r="K117" s="143"/>
      <c r="L117" s="143"/>
      <c r="M117" s="143"/>
      <c r="N117" s="143"/>
      <c r="O117" s="143">
        <v>0.13353219746237865</v>
      </c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  <c r="AA117" s="143"/>
      <c r="AB117" s="143"/>
      <c r="AD117" s="142">
        <v>0.10772303830584562</v>
      </c>
      <c r="AE117" s="142">
        <v>7.6467468175388964E-2</v>
      </c>
      <c r="AF117" s="142">
        <v>7.5465313028764802E-2</v>
      </c>
      <c r="AG117" s="142">
        <v>2.1133000000000002E-2</v>
      </c>
      <c r="AK117" s="147"/>
      <c r="AL117" s="148"/>
    </row>
    <row r="118" spans="1:38" outlineLevel="1">
      <c r="A118" s="136">
        <v>40877</v>
      </c>
      <c r="B118" s="142">
        <v>-8.6660806917718824E-3</v>
      </c>
      <c r="C118" s="142">
        <v>-3.3054886498123603E-2</v>
      </c>
      <c r="D118" s="142">
        <v>1.0084106269245829E-3</v>
      </c>
      <c r="E118" s="142">
        <v>1.8710729228311296E-2</v>
      </c>
      <c r="H118" s="143"/>
      <c r="J118" s="143"/>
      <c r="K118" s="143"/>
      <c r="L118" s="143"/>
      <c r="M118" s="143"/>
      <c r="N118" s="143"/>
      <c r="O118" s="143">
        <v>-5.640537916290822E-2</v>
      </c>
      <c r="P118" s="143"/>
      <c r="Q118" s="143"/>
      <c r="R118" s="143"/>
      <c r="S118" s="143"/>
      <c r="T118" s="143"/>
      <c r="U118" s="143"/>
      <c r="V118" s="143"/>
      <c r="W118" s="143"/>
      <c r="X118" s="143"/>
      <c r="Y118" s="143"/>
      <c r="Z118" s="143"/>
      <c r="AA118" s="143"/>
      <c r="AB118" s="143"/>
      <c r="AD118" s="142">
        <v>-5.0586451767333784E-3</v>
      </c>
      <c r="AE118" s="142">
        <v>-6.7340067340067367E-2</v>
      </c>
      <c r="AF118" s="142">
        <v>-1.4791842220349682E-2</v>
      </c>
      <c r="AG118" s="142">
        <v>2.068E-2</v>
      </c>
      <c r="AK118" s="147"/>
      <c r="AL118" s="148"/>
    </row>
    <row r="119" spans="1:38" outlineLevel="1">
      <c r="A119" s="136">
        <v>40907</v>
      </c>
      <c r="B119" s="142">
        <v>2.0932278845008145E-2</v>
      </c>
      <c r="C119" s="142">
        <v>1.401719133136492E-2</v>
      </c>
      <c r="D119" s="142">
        <v>-7.2486004366550949E-3</v>
      </c>
      <c r="E119" s="142">
        <v>1.2983253182906385E-2</v>
      </c>
      <c r="H119" s="143"/>
      <c r="J119" s="143"/>
      <c r="K119" s="143"/>
      <c r="L119" s="143"/>
      <c r="M119" s="143"/>
      <c r="N119" s="143"/>
      <c r="O119" s="143">
        <v>-8.0428495865528804E-3</v>
      </c>
      <c r="P119" s="143"/>
      <c r="Q119" s="143"/>
      <c r="R119" s="143"/>
      <c r="S119" s="143"/>
      <c r="T119" s="143"/>
      <c r="U119" s="143"/>
      <c r="V119" s="143"/>
      <c r="W119" s="143"/>
      <c r="X119" s="143"/>
      <c r="Y119" s="143"/>
      <c r="Z119" s="143"/>
      <c r="AA119" s="143"/>
      <c r="AB119" s="143"/>
      <c r="AD119" s="142">
        <v>8.5327516520175006E-3</v>
      </c>
      <c r="AE119" s="142">
        <v>2.5534912388835984E-3</v>
      </c>
      <c r="AF119" s="142">
        <v>1.2897306046441015E-2</v>
      </c>
      <c r="AG119" s="142">
        <v>1.8761999999999997E-2</v>
      </c>
      <c r="AK119" s="147"/>
      <c r="AL119" s="148"/>
    </row>
    <row r="120" spans="1:38" outlineLevel="1">
      <c r="A120" s="136">
        <v>40939</v>
      </c>
      <c r="B120" s="142">
        <v>3.2186949688533639E-2</v>
      </c>
      <c r="C120" s="142">
        <v>6.6364501629061268E-2</v>
      </c>
      <c r="D120" s="142">
        <v>2.6622472205711789E-2</v>
      </c>
      <c r="E120" s="142">
        <v>-3.018753798445184E-3</v>
      </c>
      <c r="H120" s="143"/>
      <c r="J120" s="143"/>
      <c r="K120" s="143"/>
      <c r="L120" s="143"/>
      <c r="M120" s="143"/>
      <c r="N120" s="143"/>
      <c r="O120" s="143">
        <v>8.838772241402193E-2</v>
      </c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3"/>
      <c r="AA120" s="143"/>
      <c r="AB120" s="143"/>
      <c r="AD120" s="142">
        <v>4.3583015267175673E-2</v>
      </c>
      <c r="AE120" s="142">
        <v>7.9571403477955327E-2</v>
      </c>
      <c r="AF120" s="142">
        <v>2.7080182351652216E-2</v>
      </c>
      <c r="AG120" s="142">
        <v>1.7971000000000001E-2</v>
      </c>
      <c r="AK120" s="147"/>
      <c r="AL120" s="148"/>
    </row>
    <row r="121" spans="1:38" outlineLevel="1">
      <c r="A121" s="136">
        <v>40968</v>
      </c>
      <c r="B121" s="142">
        <v>1.7971571068994052E-2</v>
      </c>
      <c r="C121" s="142">
        <v>4.7177925814407828E-2</v>
      </c>
      <c r="D121" s="142">
        <v>-3.496753353446036E-2</v>
      </c>
      <c r="E121" s="142">
        <v>1.0942410283235171E-2</v>
      </c>
      <c r="H121" s="143"/>
      <c r="J121" s="143"/>
      <c r="K121" s="143"/>
      <c r="L121" s="143"/>
      <c r="M121" s="143"/>
      <c r="N121" s="143"/>
      <c r="O121" s="143">
        <v>0.14933549843379312</v>
      </c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Z121" s="143"/>
      <c r="AA121" s="143"/>
      <c r="AB121" s="143"/>
      <c r="AD121" s="142">
        <v>4.0589449943234213E-2</v>
      </c>
      <c r="AE121" s="142">
        <v>4.9137650504393227E-2</v>
      </c>
      <c r="AF121" s="142">
        <v>3.8196359624931064E-2</v>
      </c>
      <c r="AG121" s="142">
        <v>1.9705E-2</v>
      </c>
      <c r="AK121" s="147"/>
      <c r="AL121" s="148"/>
    </row>
    <row r="122" spans="1:38" outlineLevel="1">
      <c r="A122" s="136">
        <v>40998</v>
      </c>
      <c r="B122" s="142">
        <v>5.6183387993677947E-3</v>
      </c>
      <c r="C122" s="142">
        <v>-1.0008383320570635E-2</v>
      </c>
      <c r="D122" s="142">
        <v>-2.9603817299749591E-2</v>
      </c>
      <c r="E122" s="142">
        <v>2.135456592652285E-2</v>
      </c>
      <c r="H122" s="143"/>
      <c r="J122" s="143"/>
      <c r="K122" s="143"/>
      <c r="L122" s="143"/>
      <c r="M122" s="143"/>
      <c r="N122" s="143"/>
      <c r="O122" s="143">
        <v>-1.0371310453876181E-2</v>
      </c>
      <c r="P122" s="143"/>
      <c r="Q122" s="143"/>
      <c r="R122" s="143"/>
      <c r="S122" s="143"/>
      <c r="T122" s="143"/>
      <c r="U122" s="143"/>
      <c r="V122" s="143"/>
      <c r="W122" s="143"/>
      <c r="X122" s="143"/>
      <c r="Y122" s="143"/>
      <c r="Z122" s="143"/>
      <c r="AA122" s="143"/>
      <c r="AB122" s="143"/>
      <c r="AD122" s="142">
        <v>3.1332376545017748E-2</v>
      </c>
      <c r="AE122" s="142">
        <v>-1.830024813895792E-2</v>
      </c>
      <c r="AF122" s="142">
        <v>-5.240115578254545E-3</v>
      </c>
      <c r="AG122" s="142">
        <v>2.2088E-2</v>
      </c>
      <c r="AK122" s="147"/>
      <c r="AL122" s="148"/>
    </row>
    <row r="123" spans="1:38" outlineLevel="1">
      <c r="A123" s="136">
        <v>41029</v>
      </c>
      <c r="B123" s="142">
        <v>2.8649659850416453E-2</v>
      </c>
      <c r="C123" s="142">
        <v>3.9549035921437437E-2</v>
      </c>
      <c r="D123" s="142">
        <v>1.1129208929039125E-2</v>
      </c>
      <c r="E123" s="142">
        <v>2.4820230089810824E-2</v>
      </c>
      <c r="H123" s="143"/>
      <c r="J123" s="143"/>
      <c r="K123" s="143"/>
      <c r="L123" s="143"/>
      <c r="M123" s="143"/>
      <c r="N123" s="143"/>
      <c r="O123" s="143">
        <v>2.8994539685910592E-2</v>
      </c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  <c r="AA123" s="143"/>
      <c r="AB123" s="143"/>
      <c r="AD123" s="142">
        <v>-7.497497284287169E-3</v>
      </c>
      <c r="AE123" s="142">
        <v>-9.9526066350710263E-3</v>
      </c>
      <c r="AF123" s="142">
        <v>1.3127730220231282E-2</v>
      </c>
      <c r="AG123" s="142">
        <v>1.9137000000000001E-2</v>
      </c>
      <c r="AK123" s="147"/>
      <c r="AL123" s="148"/>
    </row>
    <row r="124" spans="1:38" outlineLevel="1">
      <c r="A124" s="136">
        <v>41060</v>
      </c>
      <c r="B124" s="142">
        <v>-4.2805290932311779E-3</v>
      </c>
      <c r="C124" s="142">
        <v>-1.6085189091025964E-2</v>
      </c>
      <c r="D124" s="142">
        <v>-2.1226177440187843E-3</v>
      </c>
      <c r="E124" s="142">
        <v>3.8924481323374671E-3</v>
      </c>
      <c r="H124" s="143"/>
      <c r="J124" s="143"/>
      <c r="K124" s="143"/>
      <c r="L124" s="143"/>
      <c r="M124" s="143"/>
      <c r="N124" s="143"/>
      <c r="O124" s="143">
        <v>-1.9121422621731332E-2</v>
      </c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D124" s="142">
        <v>-6.2650671359386623E-2</v>
      </c>
      <c r="AE124" s="142">
        <v>-0.10172331258975587</v>
      </c>
      <c r="AF124" s="142">
        <v>-1.2878055087938267E-2</v>
      </c>
      <c r="AG124" s="142">
        <v>1.5577999999999998E-2</v>
      </c>
      <c r="AK124" s="147"/>
      <c r="AL124" s="148"/>
    </row>
    <row r="125" spans="1:38" outlineLevel="1">
      <c r="A125" s="136">
        <v>41089</v>
      </c>
      <c r="B125" s="142">
        <v>-1.3264350381231083E-2</v>
      </c>
      <c r="C125" s="142">
        <v>-2.3535942815234745E-2</v>
      </c>
      <c r="D125" s="142">
        <v>-8.8358764099977227E-3</v>
      </c>
      <c r="E125" s="142">
        <v>-7.0852548819968497E-3</v>
      </c>
      <c r="F125" s="142">
        <v>4.8885220125787221E-3</v>
      </c>
      <c r="H125" s="143"/>
      <c r="J125" s="143"/>
      <c r="K125" s="143"/>
      <c r="L125" s="143"/>
      <c r="M125" s="143"/>
      <c r="N125" s="143"/>
      <c r="O125" s="143">
        <v>-3.7416663196367161E-2</v>
      </c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  <c r="AA125" s="143"/>
      <c r="AB125" s="143"/>
      <c r="AD125" s="142">
        <v>3.9554921279372435E-2</v>
      </c>
      <c r="AE125" s="142">
        <v>4.1122657429611742E-2</v>
      </c>
      <c r="AF125" s="142">
        <v>2.881519882713901E-2</v>
      </c>
      <c r="AG125" s="142">
        <v>1.6449000000000002E-2</v>
      </c>
      <c r="AK125" s="147"/>
      <c r="AL125" s="148"/>
    </row>
    <row r="126" spans="1:38" outlineLevel="1">
      <c r="A126" s="136">
        <v>41121</v>
      </c>
      <c r="B126" s="142">
        <v>1.380879995391382E-3</v>
      </c>
      <c r="C126" s="142">
        <v>1.0845497219284406E-2</v>
      </c>
      <c r="D126" s="142">
        <v>1.4921865657961941E-3</v>
      </c>
      <c r="E126" s="142">
        <v>1.4031710582361523E-2</v>
      </c>
      <c r="F126" s="142">
        <v>-3.4440520405670805E-3</v>
      </c>
      <c r="H126" s="143"/>
      <c r="J126" s="143"/>
      <c r="K126" s="143"/>
      <c r="L126" s="143"/>
      <c r="M126" s="143"/>
      <c r="N126" s="143"/>
      <c r="O126" s="143">
        <v>2.2519674005287982E-2</v>
      </c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  <c r="AA126" s="143"/>
      <c r="AB126" s="143"/>
      <c r="AD126" s="142">
        <v>1.2597639043871345E-2</v>
      </c>
      <c r="AE126" s="142">
        <v>1.2540522095205509E-2</v>
      </c>
      <c r="AF126" s="142">
        <v>3.412688502192629E-2</v>
      </c>
      <c r="AG126" s="142">
        <v>1.4678999999999999E-2</v>
      </c>
      <c r="AK126" s="147"/>
      <c r="AL126" s="148"/>
    </row>
    <row r="127" spans="1:38" outlineLevel="1">
      <c r="A127" s="136">
        <v>41152</v>
      </c>
      <c r="B127" s="142">
        <v>2.2275367503376664E-2</v>
      </c>
      <c r="C127" s="142">
        <v>4.4743085530045468E-2</v>
      </c>
      <c r="D127" s="142">
        <v>-2.5554345165295089E-2</v>
      </c>
      <c r="E127" s="142">
        <v>1.500666120902272E-3</v>
      </c>
      <c r="F127" s="142">
        <v>4.3032079760054742E-3</v>
      </c>
      <c r="H127" s="143"/>
      <c r="J127" s="143"/>
      <c r="K127" s="143"/>
      <c r="L127" s="143"/>
      <c r="M127" s="143"/>
      <c r="N127" s="143"/>
      <c r="O127" s="143">
        <v>0.15794164795739474</v>
      </c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  <c r="AA127" s="143"/>
      <c r="AB127" s="143"/>
      <c r="AD127" s="142">
        <v>1.9763361656468303E-2</v>
      </c>
      <c r="AE127" s="142">
        <v>-7.9197910523211013E-3</v>
      </c>
      <c r="AF127" s="142">
        <v>5.7913366717570192E-3</v>
      </c>
      <c r="AG127" s="142">
        <v>1.5484E-2</v>
      </c>
      <c r="AK127" s="147"/>
      <c r="AL127" s="148"/>
    </row>
    <row r="128" spans="1:38" outlineLevel="1">
      <c r="A128" s="136">
        <v>41180</v>
      </c>
      <c r="B128" s="142">
        <v>3.3444701179235814E-2</v>
      </c>
      <c r="C128" s="142">
        <v>5.4206684490782475E-2</v>
      </c>
      <c r="D128" s="142">
        <v>-3.8846460325547838E-2</v>
      </c>
      <c r="E128" s="142">
        <v>-1.3048001382532037E-2</v>
      </c>
      <c r="F128" s="142">
        <v>-1.0024989100270831E-2</v>
      </c>
      <c r="H128" s="143"/>
      <c r="J128" s="143"/>
      <c r="K128" s="143"/>
      <c r="L128" s="143"/>
      <c r="M128" s="143"/>
      <c r="N128" s="143"/>
      <c r="O128" s="143">
        <v>8.4962603475777332E-2</v>
      </c>
      <c r="P128" s="143"/>
      <c r="Q128" s="143"/>
      <c r="R128" s="143"/>
      <c r="S128" s="143"/>
      <c r="T128" s="143"/>
      <c r="U128" s="143"/>
      <c r="V128" s="143"/>
      <c r="W128" s="143"/>
      <c r="X128" s="143"/>
      <c r="Y128" s="143"/>
      <c r="Z128" s="143"/>
      <c r="AA128" s="143"/>
      <c r="AB128" s="143"/>
      <c r="AD128" s="142">
        <v>2.4236090375236552E-2</v>
      </c>
      <c r="AE128" s="142">
        <v>4.0084925690021311E-2</v>
      </c>
      <c r="AF128" s="142">
        <v>2.0847408551298185E-2</v>
      </c>
      <c r="AG128" s="142">
        <v>1.6334999999999999E-2</v>
      </c>
      <c r="AK128" s="147"/>
      <c r="AL128" s="148"/>
    </row>
    <row r="129" spans="1:38" outlineLevel="1">
      <c r="A129" s="136">
        <v>41213</v>
      </c>
      <c r="B129" s="142">
        <v>-6.5172100155097556E-3</v>
      </c>
      <c r="C129" s="142">
        <v>-1.0637257990748106E-2</v>
      </c>
      <c r="D129" s="142">
        <v>-8.1139809729821044E-3</v>
      </c>
      <c r="E129" s="142">
        <v>1.0887126278018577E-2</v>
      </c>
      <c r="F129" s="142">
        <v>1.0707592072635386E-2</v>
      </c>
      <c r="H129" s="143"/>
      <c r="J129" s="143"/>
      <c r="K129" s="143"/>
      <c r="L129" s="143"/>
      <c r="M129" s="143"/>
      <c r="N129" s="143"/>
      <c r="O129" s="143">
        <v>8.2532208740397905E-3</v>
      </c>
      <c r="P129" s="143"/>
      <c r="Q129" s="143"/>
      <c r="R129" s="143"/>
      <c r="S129" s="143"/>
      <c r="T129" s="143"/>
      <c r="U129" s="143"/>
      <c r="V129" s="143"/>
      <c r="W129" s="143"/>
      <c r="X129" s="143"/>
      <c r="Y129" s="143"/>
      <c r="Z129" s="143"/>
      <c r="AA129" s="143"/>
      <c r="AB129" s="143"/>
      <c r="AD129" s="142">
        <v>-1.9789403541407791E-2</v>
      </c>
      <c r="AE129" s="142">
        <v>-3.9193271821671427E-3</v>
      </c>
      <c r="AF129" s="142">
        <v>1.9434714532453157E-2</v>
      </c>
      <c r="AG129" s="142">
        <v>1.6901000000000003E-2</v>
      </c>
      <c r="AK129" s="147"/>
      <c r="AL129" s="148"/>
    </row>
    <row r="130" spans="1:38" outlineLevel="1">
      <c r="A130" s="136">
        <v>41243</v>
      </c>
      <c r="B130" s="142">
        <v>-9.813917468928679E-3</v>
      </c>
      <c r="C130" s="142">
        <v>-1.621394467069881E-3</v>
      </c>
      <c r="D130" s="142">
        <v>-1.6258486950037065E-3</v>
      </c>
      <c r="E130" s="142">
        <v>3.3417248199021365E-3</v>
      </c>
      <c r="F130" s="142">
        <v>-5.9563730041978236E-4</v>
      </c>
      <c r="H130" s="143"/>
      <c r="J130" s="143"/>
      <c r="K130" s="143"/>
      <c r="L130" s="143"/>
      <c r="M130" s="143"/>
      <c r="N130" s="143"/>
      <c r="O130" s="143">
        <v>1.3103434282801141E-2</v>
      </c>
      <c r="P130" s="143"/>
      <c r="Q130" s="143"/>
      <c r="R130" s="143"/>
      <c r="S130" s="143"/>
      <c r="T130" s="143"/>
      <c r="U130" s="143"/>
      <c r="V130" s="143"/>
      <c r="W130" s="143"/>
      <c r="X130" s="143"/>
      <c r="Y130" s="143"/>
      <c r="Z130" s="143"/>
      <c r="AA130" s="143"/>
      <c r="AB130" s="143"/>
      <c r="AD130" s="142">
        <v>2.8467029231815655E-3</v>
      </c>
      <c r="AE130" s="142">
        <v>2.180506598901566E-2</v>
      </c>
      <c r="AF130" s="142">
        <v>1.595846952509139E-2</v>
      </c>
      <c r="AG130" s="142">
        <v>1.6156E-2</v>
      </c>
      <c r="AK130" s="147"/>
      <c r="AL130" s="148"/>
    </row>
    <row r="131" spans="1:38" outlineLevel="1">
      <c r="A131" s="136">
        <v>41274</v>
      </c>
      <c r="B131" s="142">
        <v>1.234327950893177E-2</v>
      </c>
      <c r="C131" s="142">
        <v>3.8607348577779366E-2</v>
      </c>
      <c r="D131" s="142">
        <v>3.0647178612204229E-2</v>
      </c>
      <c r="E131" s="142">
        <v>2.0053317799781034E-2</v>
      </c>
      <c r="F131" s="142">
        <v>7.555656615850781E-3</v>
      </c>
      <c r="H131" s="143"/>
      <c r="J131" s="143"/>
      <c r="K131" s="143"/>
      <c r="L131" s="143"/>
      <c r="M131" s="143"/>
      <c r="N131" s="143"/>
      <c r="O131" s="143">
        <v>0.12925244686460946</v>
      </c>
      <c r="P131" s="143"/>
      <c r="Q131" s="143"/>
      <c r="R131" s="143"/>
      <c r="S131" s="143">
        <v>2.5831587333333239E-2</v>
      </c>
      <c r="T131" s="143"/>
      <c r="U131" s="143"/>
      <c r="V131" s="143"/>
      <c r="W131" s="143"/>
      <c r="X131" s="143"/>
      <c r="Y131" s="143"/>
      <c r="Z131" s="143"/>
      <c r="AA131" s="143"/>
      <c r="AB131" s="143"/>
      <c r="AD131" s="142">
        <v>7.0683105254980561E-3</v>
      </c>
      <c r="AE131" s="142">
        <v>3.7785800240673906E-2</v>
      </c>
      <c r="AF131" s="142">
        <v>8.2490982767067234E-3</v>
      </c>
      <c r="AG131" s="142">
        <v>1.7573999999999999E-2</v>
      </c>
      <c r="AH131" s="144">
        <v>1000</v>
      </c>
      <c r="AK131" s="147"/>
      <c r="AL131" s="148"/>
    </row>
    <row r="132" spans="1:38" outlineLevel="1">
      <c r="A132" s="136">
        <v>41305</v>
      </c>
      <c r="B132" s="142">
        <v>1.1608682775025025E-2</v>
      </c>
      <c r="C132" s="142">
        <v>3.5522521570532817E-2</v>
      </c>
      <c r="D132" s="142">
        <v>1.079187808772275E-2</v>
      </c>
      <c r="E132" s="142">
        <v>4.1287569517045153E-2</v>
      </c>
      <c r="F132" s="142">
        <v>-7.3694297033042311E-3</v>
      </c>
      <c r="G132" s="142">
        <f t="shared" ref="G132:G192" si="0">AH132/AH131-1</f>
        <v>0.31439000000000017</v>
      </c>
      <c r="H132" s="143"/>
      <c r="J132" s="143"/>
      <c r="K132" s="143"/>
      <c r="L132" s="143"/>
      <c r="M132" s="143"/>
      <c r="N132" s="143"/>
      <c r="O132" s="143">
        <v>5.0187808734239558E-2</v>
      </c>
      <c r="P132" s="143"/>
      <c r="Q132" s="143"/>
      <c r="R132" s="143"/>
      <c r="S132" s="143">
        <v>4.9214890408328937E-3</v>
      </c>
      <c r="T132" s="143"/>
      <c r="U132" s="143"/>
      <c r="V132" s="143"/>
      <c r="W132" s="143"/>
      <c r="X132" s="143"/>
      <c r="Y132" s="143"/>
      <c r="Z132" s="143"/>
      <c r="AA132" s="143"/>
      <c r="AB132" s="143"/>
      <c r="AD132" s="142">
        <v>5.0428063581991145E-2</v>
      </c>
      <c r="AE132" s="142">
        <v>2.9839208410636919E-2</v>
      </c>
      <c r="AF132" s="142">
        <v>-7.1393081517958645E-3</v>
      </c>
      <c r="AG132" s="142">
        <v>1.9849000000000002E-2</v>
      </c>
      <c r="AH132" s="144">
        <v>1314.39</v>
      </c>
      <c r="AK132" s="147"/>
      <c r="AL132" s="148"/>
    </row>
    <row r="133" spans="1:38" outlineLevel="1">
      <c r="A133" s="136">
        <v>41333</v>
      </c>
      <c r="B133" s="142">
        <v>1.9598116172092839E-2</v>
      </c>
      <c r="C133" s="142">
        <v>1.2162831073808666E-2</v>
      </c>
      <c r="D133" s="142">
        <v>-1.1667792668139998E-2</v>
      </c>
      <c r="E133" s="142">
        <v>-1.2610818400206503E-2</v>
      </c>
      <c r="F133" s="142">
        <v>9.45949072608121E-3</v>
      </c>
      <c r="G133" s="142">
        <f t="shared" si="0"/>
        <v>-5.5965124506425212E-2</v>
      </c>
      <c r="H133" s="143"/>
      <c r="J133" s="143"/>
      <c r="K133" s="143"/>
      <c r="L133" s="143"/>
      <c r="M133" s="143"/>
      <c r="N133" s="143"/>
      <c r="O133" s="143">
        <v>5.1185029080016431E-3</v>
      </c>
      <c r="P133" s="143"/>
      <c r="Q133" s="143"/>
      <c r="R133" s="143"/>
      <c r="S133" s="143">
        <v>-7.2953372528954397E-3</v>
      </c>
      <c r="T133" s="143"/>
      <c r="U133" s="143"/>
      <c r="V133" s="143"/>
      <c r="W133" s="143"/>
      <c r="X133" s="143"/>
      <c r="Y133" s="143"/>
      <c r="Z133" s="143"/>
      <c r="AA133" s="143"/>
      <c r="AB133" s="143"/>
      <c r="AD133" s="142">
        <v>1.1060603026480154E-2</v>
      </c>
      <c r="AE133" s="142">
        <v>1.3811739978982107E-2</v>
      </c>
      <c r="AF133" s="142">
        <v>7.4731101483056506E-3</v>
      </c>
      <c r="AG133" s="142">
        <v>1.8755999999999998E-2</v>
      </c>
      <c r="AH133" s="144">
        <v>1240.83</v>
      </c>
      <c r="AK133" s="147"/>
      <c r="AL133" s="148"/>
    </row>
    <row r="134" spans="1:38" outlineLevel="1">
      <c r="A134" s="136">
        <v>41361</v>
      </c>
      <c r="B134" s="142">
        <v>7.1359193645093022E-4</v>
      </c>
      <c r="C134" s="142">
        <v>8.819998470037671E-4</v>
      </c>
      <c r="D134" s="142">
        <v>-3.0568012343000994E-2</v>
      </c>
      <c r="E134" s="142">
        <v>-4.0192393440601215E-2</v>
      </c>
      <c r="F134" s="142">
        <v>-2.6171415276489141E-3</v>
      </c>
      <c r="G134" s="142">
        <f t="shared" si="0"/>
        <v>-8.5845764528581614E-2</v>
      </c>
      <c r="H134" s="143"/>
      <c r="J134" s="143"/>
      <c r="K134" s="143"/>
      <c r="L134" s="143"/>
      <c r="M134" s="143"/>
      <c r="N134" s="143"/>
      <c r="O134" s="143">
        <v>6.5891000413074163E-3</v>
      </c>
      <c r="P134" s="143"/>
      <c r="Q134" s="143"/>
      <c r="R134" s="143"/>
      <c r="S134" s="143">
        <v>-3.6594826706806138E-3</v>
      </c>
      <c r="T134" s="143"/>
      <c r="U134" s="143"/>
      <c r="V134" s="143"/>
      <c r="W134" s="143"/>
      <c r="X134" s="143"/>
      <c r="Y134" s="143"/>
      <c r="Z134" s="143"/>
      <c r="AA134" s="143"/>
      <c r="AB134" s="143"/>
      <c r="AD134" s="142">
        <v>3.5987799403174314E-2</v>
      </c>
      <c r="AE134" s="142">
        <v>3.702058344439596E-3</v>
      </c>
      <c r="AF134" s="142">
        <v>3.7529913548750571E-4</v>
      </c>
      <c r="AG134" s="142">
        <v>1.8485999999999999E-2</v>
      </c>
      <c r="AH134" s="144">
        <v>1134.31</v>
      </c>
      <c r="AK134" s="147"/>
      <c r="AL134" s="148"/>
    </row>
    <row r="135" spans="1:38" outlineLevel="1">
      <c r="A135" s="136">
        <v>41394</v>
      </c>
      <c r="B135" s="142">
        <v>-3.6525523542380034E-3</v>
      </c>
      <c r="C135" s="142">
        <v>1.3274275218475573E-3</v>
      </c>
      <c r="D135" s="142">
        <v>5.8262957158605744E-5</v>
      </c>
      <c r="E135" s="142">
        <v>-2.9888896385433905E-2</v>
      </c>
      <c r="F135" s="142">
        <v>-1.1738601991876374E-2</v>
      </c>
      <c r="G135" s="142">
        <f t="shared" si="0"/>
        <v>-1.4105491444127427E-4</v>
      </c>
      <c r="H135" s="143"/>
      <c r="J135" s="143"/>
      <c r="K135" s="143"/>
      <c r="L135" s="143"/>
      <c r="M135" s="143"/>
      <c r="N135" s="143"/>
      <c r="O135" s="143">
        <v>5.1316574914572755E-4</v>
      </c>
      <c r="P135" s="143"/>
      <c r="Q135" s="143"/>
      <c r="R135" s="143"/>
      <c r="S135" s="143">
        <v>-2.6119722384916111E-2</v>
      </c>
      <c r="T135" s="143"/>
      <c r="U135" s="143"/>
      <c r="V135" s="143"/>
      <c r="W135" s="143"/>
      <c r="X135" s="143"/>
      <c r="Y135" s="143"/>
      <c r="Z135" s="143"/>
      <c r="AA135" s="143"/>
      <c r="AB135" s="143"/>
      <c r="AD135" s="142">
        <v>1.8085763992887971E-2</v>
      </c>
      <c r="AE135" s="142">
        <v>4.8318087931543241E-2</v>
      </c>
      <c r="AF135" s="142">
        <v>2.1300166393757314E-2</v>
      </c>
      <c r="AG135" s="142">
        <v>1.6716999999999999E-2</v>
      </c>
      <c r="AH135" s="144">
        <v>1134.1500000000001</v>
      </c>
      <c r="AK135" s="147"/>
      <c r="AL135" s="148"/>
    </row>
    <row r="136" spans="1:38" outlineLevel="1">
      <c r="A136" s="136">
        <v>41425</v>
      </c>
      <c r="B136" s="142">
        <v>2.0698178792099453E-2</v>
      </c>
      <c r="C136" s="142">
        <v>4.1611325576675018E-2</v>
      </c>
      <c r="D136" s="142">
        <v>2.1608322453235518E-2</v>
      </c>
      <c r="E136" s="142">
        <v>1.1902165606324067E-2</v>
      </c>
      <c r="F136" s="142">
        <v>7.5259228870863115E-3</v>
      </c>
      <c r="G136" s="142">
        <f t="shared" si="0"/>
        <v>-1.2458669488162988E-2</v>
      </c>
      <c r="H136" s="143"/>
      <c r="J136" s="143"/>
      <c r="K136" s="143"/>
      <c r="L136" s="143"/>
      <c r="M136" s="143"/>
      <c r="N136" s="143"/>
      <c r="O136" s="143">
        <v>0.13041305428797445</v>
      </c>
      <c r="P136" s="143"/>
      <c r="Q136" s="143"/>
      <c r="R136" s="143"/>
      <c r="S136" s="143">
        <v>1.7177542203735907E-2</v>
      </c>
      <c r="T136" s="143"/>
      <c r="U136" s="143"/>
      <c r="V136" s="143"/>
      <c r="W136" s="143"/>
      <c r="X136" s="143"/>
      <c r="Y136" s="143"/>
      <c r="Z136" s="143"/>
      <c r="AA136" s="143"/>
      <c r="AB136" s="143"/>
      <c r="AD136" s="142">
        <v>2.0762783477406455E-2</v>
      </c>
      <c r="AE136" s="142">
        <v>-5.1157554007459027E-2</v>
      </c>
      <c r="AF136" s="142">
        <v>-2.1558187876247303E-2</v>
      </c>
      <c r="AG136" s="142">
        <v>2.1282000000000002E-2</v>
      </c>
      <c r="AH136" s="144">
        <v>1120.02</v>
      </c>
      <c r="AK136" s="147"/>
      <c r="AL136" s="148"/>
    </row>
    <row r="137" spans="1:38" outlineLevel="1">
      <c r="A137" s="136">
        <v>41453</v>
      </c>
      <c r="B137" s="142">
        <v>-1.2491438066546845E-2</v>
      </c>
      <c r="C137" s="142">
        <v>-3.8071978200423628E-2</v>
      </c>
      <c r="D137" s="142">
        <v>-6.3240187121025304E-3</v>
      </c>
      <c r="E137" s="142">
        <v>-7.0125673013887724E-4</v>
      </c>
      <c r="F137" s="142">
        <v>4.8876727707740653E-3</v>
      </c>
      <c r="G137" s="142">
        <f t="shared" si="0"/>
        <v>1.4437242192103739E-2</v>
      </c>
      <c r="H137" s="143"/>
      <c r="J137" s="143"/>
      <c r="K137" s="143"/>
      <c r="L137" s="143"/>
      <c r="M137" s="143"/>
      <c r="N137" s="143"/>
      <c r="O137" s="143">
        <v>-0.10987858011860097</v>
      </c>
      <c r="P137" s="143"/>
      <c r="Q137" s="143"/>
      <c r="R137" s="143"/>
      <c r="S137" s="143">
        <v>1.725689505193384E-2</v>
      </c>
      <c r="T137" s="143"/>
      <c r="U137" s="143"/>
      <c r="V137" s="143"/>
      <c r="W137" s="143"/>
      <c r="X137" s="143"/>
      <c r="Y137" s="143"/>
      <c r="Z137" s="143"/>
      <c r="AA137" s="143"/>
      <c r="AB137" s="143"/>
      <c r="AD137" s="142">
        <v>-1.499932545960736E-2</v>
      </c>
      <c r="AE137" s="142">
        <v>-3.2037970928507797E-2</v>
      </c>
      <c r="AF137" s="142">
        <v>-4.5554826784330094E-2</v>
      </c>
      <c r="AG137" s="142">
        <v>2.4857000000000001E-2</v>
      </c>
      <c r="AH137" s="144">
        <v>1136.19</v>
      </c>
      <c r="AK137" s="147"/>
      <c r="AL137" s="148"/>
    </row>
    <row r="138" spans="1:38" outlineLevel="1">
      <c r="A138" s="136">
        <v>41486</v>
      </c>
      <c r="B138" s="142">
        <v>-2.0537497481349254E-2</v>
      </c>
      <c r="C138" s="142">
        <v>-1.6170360481080337E-2</v>
      </c>
      <c r="D138" s="142">
        <v>-7.8819193453000258E-3</v>
      </c>
      <c r="E138" s="142">
        <v>-3.7962834180633509E-2</v>
      </c>
      <c r="F138" s="142">
        <v>-2.839633930424057E-2</v>
      </c>
      <c r="G138" s="142">
        <f t="shared" si="0"/>
        <v>-1.6317693343542827E-2</v>
      </c>
      <c r="H138" s="143"/>
      <c r="J138" s="143"/>
      <c r="K138" s="143"/>
      <c r="L138" s="143"/>
      <c r="M138" s="143"/>
      <c r="N138" s="143"/>
      <c r="O138" s="143">
        <v>-6.0927517490985128E-3</v>
      </c>
      <c r="P138" s="143"/>
      <c r="Q138" s="143"/>
      <c r="R138" s="143"/>
      <c r="S138" s="143">
        <v>9.3064226295049846E-3</v>
      </c>
      <c r="T138" s="143"/>
      <c r="U138" s="143"/>
      <c r="V138" s="143"/>
      <c r="W138" s="143"/>
      <c r="X138" s="143"/>
      <c r="Y138" s="143"/>
      <c r="Z138" s="143"/>
      <c r="AA138" s="143"/>
      <c r="AB138" s="143"/>
      <c r="AD138" s="142">
        <v>4.9462111213487203E-2</v>
      </c>
      <c r="AE138" s="142">
        <v>1.3254673613239287E-2</v>
      </c>
      <c r="AF138" s="142">
        <v>1.4257651166503571E-2</v>
      </c>
      <c r="AG138" s="142">
        <v>2.5762E-2</v>
      </c>
      <c r="AH138" s="144">
        <v>1117.6500000000001</v>
      </c>
      <c r="AK138" s="147"/>
      <c r="AL138" s="148"/>
    </row>
    <row r="139" spans="1:38" outlineLevel="1">
      <c r="A139" s="136">
        <v>41516</v>
      </c>
      <c r="B139" s="142">
        <v>-1.9369780735552289E-2</v>
      </c>
      <c r="C139" s="142">
        <v>-2.5473451040099793E-2</v>
      </c>
      <c r="D139" s="142">
        <v>-1.1743927016915068E-3</v>
      </c>
      <c r="E139" s="142">
        <v>-2.4737821511470193E-2</v>
      </c>
      <c r="F139" s="142">
        <v>-1.5862965851806243E-2</v>
      </c>
      <c r="G139" s="142">
        <f t="shared" si="0"/>
        <v>-7.0066657719321968E-2</v>
      </c>
      <c r="H139" s="143"/>
      <c r="J139" s="143"/>
      <c r="K139" s="143"/>
      <c r="L139" s="143"/>
      <c r="M139" s="143"/>
      <c r="N139" s="143"/>
      <c r="O139" s="143">
        <v>-1.4489045951212587E-2</v>
      </c>
      <c r="P139" s="143"/>
      <c r="Q139" s="143"/>
      <c r="R139" s="143"/>
      <c r="S139" s="143">
        <v>1.8093543523594935E-2</v>
      </c>
      <c r="T139" s="143"/>
      <c r="U139" s="143"/>
      <c r="V139" s="143"/>
      <c r="W139" s="143"/>
      <c r="X139" s="143"/>
      <c r="Y139" s="143"/>
      <c r="Z139" s="143"/>
      <c r="AA139" s="143"/>
      <c r="AB139" s="143"/>
      <c r="AD139" s="142">
        <v>-3.1298013323604601E-2</v>
      </c>
      <c r="AE139" s="142">
        <v>-1.565217391304341E-2</v>
      </c>
      <c r="AF139" s="142">
        <v>-1.9874484146266358E-2</v>
      </c>
      <c r="AG139" s="142">
        <v>2.7838999999999999E-2</v>
      </c>
      <c r="AH139" s="144">
        <v>1039.3399999999999</v>
      </c>
      <c r="AK139" s="147"/>
      <c r="AL139" s="148"/>
    </row>
    <row r="140" spans="1:38" outlineLevel="1">
      <c r="A140" s="136">
        <v>41547</v>
      </c>
      <c r="B140" s="142">
        <v>-2.1397267528266983E-2</v>
      </c>
      <c r="C140" s="142">
        <v>-4.5037631295807845E-3</v>
      </c>
      <c r="D140" s="142">
        <v>1.4363543694934977E-2</v>
      </c>
      <c r="E140" s="142">
        <v>1.2805286187303366E-2</v>
      </c>
      <c r="F140" s="142">
        <v>5.5557807250388169E-3</v>
      </c>
      <c r="G140" s="142">
        <f t="shared" si="0"/>
        <v>-9.0538226181998693E-3</v>
      </c>
      <c r="H140" s="143"/>
      <c r="J140" s="143"/>
      <c r="K140" s="143"/>
      <c r="L140" s="143"/>
      <c r="M140" s="143"/>
      <c r="N140" s="143"/>
      <c r="O140" s="143">
        <v>1.5882499338759848E-2</v>
      </c>
      <c r="P140" s="143"/>
      <c r="Q140" s="143"/>
      <c r="R140" s="143"/>
      <c r="S140" s="143">
        <v>2.3437614496583548E-2</v>
      </c>
      <c r="T140" s="143"/>
      <c r="U140" s="143"/>
      <c r="V140" s="143"/>
      <c r="W140" s="143"/>
      <c r="X140" s="143"/>
      <c r="Y140" s="143"/>
      <c r="Z140" s="143"/>
      <c r="AA140" s="143"/>
      <c r="AB140" s="143"/>
      <c r="AD140" s="142">
        <v>2.9749474883188354E-2</v>
      </c>
      <c r="AE140" s="142">
        <v>6.4295590720540918E-2</v>
      </c>
      <c r="AF140" s="142">
        <v>3.081424172386571E-2</v>
      </c>
      <c r="AG140" s="142">
        <v>2.6099999999999998E-2</v>
      </c>
      <c r="AH140" s="144">
        <v>1029.93</v>
      </c>
      <c r="AK140" s="147"/>
      <c r="AL140" s="148"/>
    </row>
    <row r="141" spans="1:38" outlineLevel="1">
      <c r="A141" s="136">
        <v>41578</v>
      </c>
      <c r="B141" s="142">
        <v>1.6820413086681807E-2</v>
      </c>
      <c r="C141" s="142">
        <v>1.5138142106287722E-2</v>
      </c>
      <c r="D141" s="142">
        <v>7.0761404508710823E-2</v>
      </c>
      <c r="E141" s="142">
        <v>1.1013576717945339E-2</v>
      </c>
      <c r="F141" s="142">
        <v>1.5538811361575977E-2</v>
      </c>
      <c r="G141" s="142">
        <f t="shared" si="0"/>
        <v>0.1001233093511209</v>
      </c>
      <c r="H141" s="143"/>
      <c r="J141" s="143"/>
      <c r="K141" s="143"/>
      <c r="L141" s="143"/>
      <c r="M141" s="143"/>
      <c r="N141" s="143"/>
      <c r="O141" s="143">
        <v>1.1638165284086011E-2</v>
      </c>
      <c r="P141" s="143"/>
      <c r="Q141" s="143"/>
      <c r="R141" s="143"/>
      <c r="S141" s="143">
        <v>2.7550674921702711E-2</v>
      </c>
      <c r="T141" s="143"/>
      <c r="U141" s="143"/>
      <c r="V141" s="143"/>
      <c r="W141" s="143"/>
      <c r="X141" s="143"/>
      <c r="Y141" s="143"/>
      <c r="Z141" s="143"/>
      <c r="AA141" s="143"/>
      <c r="AB141" s="143"/>
      <c r="AD141" s="142">
        <v>4.4595759864410889E-2</v>
      </c>
      <c r="AE141" s="142">
        <v>2.7210393359797802E-2</v>
      </c>
      <c r="AF141" s="142">
        <v>2.6571651786722272E-2</v>
      </c>
      <c r="AG141" s="142">
        <v>2.5541999999999999E-2</v>
      </c>
      <c r="AH141" s="144">
        <v>1133.05</v>
      </c>
      <c r="AK141" s="147"/>
      <c r="AL141" s="148"/>
    </row>
    <row r="142" spans="1:38" outlineLevel="1">
      <c r="A142" s="136">
        <v>41607</v>
      </c>
      <c r="B142" s="142">
        <v>-4.5369637661937245E-3</v>
      </c>
      <c r="C142" s="142">
        <v>-1.0957947220245234E-2</v>
      </c>
      <c r="D142" s="142">
        <v>-9.7659202937485645E-3</v>
      </c>
      <c r="E142" s="142">
        <v>-2.1461853660645125E-2</v>
      </c>
      <c r="F142" s="142">
        <v>-9.2788895311257669E-4</v>
      </c>
      <c r="G142" s="142">
        <f t="shared" si="0"/>
        <v>4.5223070473500826E-2</v>
      </c>
      <c r="H142" s="143"/>
      <c r="I142" s="142">
        <v>-7.7565042016806696E-2</v>
      </c>
      <c r="J142" s="143"/>
      <c r="K142" s="143"/>
      <c r="L142" s="143"/>
      <c r="M142" s="143"/>
      <c r="N142" s="143"/>
      <c r="O142" s="143">
        <v>-1.5544041944038689E-2</v>
      </c>
      <c r="P142" s="143"/>
      <c r="Q142" s="143"/>
      <c r="R142" s="143"/>
      <c r="S142" s="143">
        <v>3.2079403705913556E-3</v>
      </c>
      <c r="T142" s="143"/>
      <c r="U142" s="143"/>
      <c r="V142" s="143"/>
      <c r="W142" s="143"/>
      <c r="X142" s="143"/>
      <c r="Y142" s="143"/>
      <c r="Z142" s="143"/>
      <c r="AA142" s="143"/>
      <c r="AB142" s="143"/>
      <c r="AD142" s="142">
        <v>2.804946087194149E-2</v>
      </c>
      <c r="AE142" s="142">
        <v>-1.8268690275434762E-3</v>
      </c>
      <c r="AF142" s="142">
        <v>-3.9569247282501552E-3</v>
      </c>
      <c r="AG142" s="142">
        <v>2.7445000000000001E-2</v>
      </c>
      <c r="AH142" s="144">
        <v>1184.29</v>
      </c>
      <c r="AK142" s="147"/>
      <c r="AL142" s="148"/>
    </row>
    <row r="143" spans="1:38" outlineLevel="1">
      <c r="A143" s="136">
        <v>41639</v>
      </c>
      <c r="B143" s="142">
        <v>2.1334970644646623E-2</v>
      </c>
      <c r="C143" s="142">
        <v>7.9755880042708949E-3</v>
      </c>
      <c r="D143" s="142">
        <v>9.3599965921875583E-3</v>
      </c>
      <c r="E143" s="142">
        <v>9.0802390072914907E-3</v>
      </c>
      <c r="F143" s="142">
        <v>1.6341722517361879E-2</v>
      </c>
      <c r="G143" s="142">
        <f t="shared" si="0"/>
        <v>-3.2762245733730766E-2</v>
      </c>
      <c r="H143" s="143"/>
      <c r="I143" s="142">
        <v>6.6669744500162942E-2</v>
      </c>
      <c r="J143" s="143"/>
      <c r="K143" s="143"/>
      <c r="L143" s="143"/>
      <c r="M143" s="143"/>
      <c r="N143" s="143"/>
      <c r="O143" s="143">
        <v>5.2710832714093492E-3</v>
      </c>
      <c r="P143" s="143"/>
      <c r="Q143" s="143"/>
      <c r="R143" s="143"/>
      <c r="S143" s="143">
        <v>4.8560070621452622E-2</v>
      </c>
      <c r="T143" s="143"/>
      <c r="U143" s="143"/>
      <c r="V143" s="143"/>
      <c r="W143" s="143"/>
      <c r="X143" s="143"/>
      <c r="Y143" s="143"/>
      <c r="Z143" s="143"/>
      <c r="AA143" s="143"/>
      <c r="AB143" s="143"/>
      <c r="AD143" s="142">
        <v>2.3562833299184183E-2</v>
      </c>
      <c r="AE143" s="142">
        <v>-4.9978882162466931E-3</v>
      </c>
      <c r="AF143" s="142">
        <v>8.8727539323436577E-3</v>
      </c>
      <c r="AG143" s="142">
        <v>3.0282E-2</v>
      </c>
      <c r="AH143" s="144">
        <v>1145.49</v>
      </c>
      <c r="AK143" s="147"/>
      <c r="AL143" s="148"/>
    </row>
    <row r="144" spans="1:38" outlineLevel="1">
      <c r="A144" s="136">
        <v>41669</v>
      </c>
      <c r="B144" s="142">
        <v>5.1157776230046359E-3</v>
      </c>
      <c r="C144" s="142">
        <v>7.967646272064588E-3</v>
      </c>
      <c r="D144" s="142">
        <v>1.5809392030721181E-3</v>
      </c>
      <c r="E144" s="142">
        <v>-2.1238676848949756E-2</v>
      </c>
      <c r="F144" s="142">
        <v>1.6251052219087958E-2</v>
      </c>
      <c r="G144" s="142">
        <f t="shared" si="0"/>
        <v>9.88747173698592E-2</v>
      </c>
      <c r="H144" s="143"/>
      <c r="I144" s="142">
        <v>-6.9796618582919079E-3</v>
      </c>
      <c r="J144" s="143"/>
      <c r="K144" s="143"/>
      <c r="L144" s="143"/>
      <c r="M144" s="143"/>
      <c r="N144" s="143"/>
      <c r="O144" s="143">
        <v>-7.4142232331577684E-3</v>
      </c>
      <c r="P144" s="143"/>
      <c r="Q144" s="143"/>
      <c r="R144" s="143"/>
      <c r="S144" s="143">
        <v>1.3412237668557037E-2</v>
      </c>
      <c r="T144" s="143"/>
      <c r="U144" s="143"/>
      <c r="V144" s="143"/>
      <c r="W144" s="143"/>
      <c r="X144" s="143"/>
      <c r="Y144" s="143"/>
      <c r="Z144" s="143"/>
      <c r="AA144" s="143"/>
      <c r="AB144" s="143"/>
      <c r="AD144" s="142">
        <v>-3.5582895107013734E-2</v>
      </c>
      <c r="AE144" s="142">
        <v>-4.6268128758401028E-2</v>
      </c>
      <c r="AF144" s="142">
        <v>-4.7191183391155356E-3</v>
      </c>
      <c r="AG144" s="142">
        <v>2.6440000000000002E-2</v>
      </c>
      <c r="AH144" s="144">
        <v>1258.75</v>
      </c>
      <c r="AK144" s="147"/>
      <c r="AL144" s="148"/>
    </row>
    <row r="145" spans="1:38" outlineLevel="1">
      <c r="A145" s="136">
        <v>41698</v>
      </c>
      <c r="B145" s="142">
        <v>-1.0034722617731084E-3</v>
      </c>
      <c r="C145" s="142">
        <v>-6.3969445691541837E-3</v>
      </c>
      <c r="D145" s="142">
        <v>1.870870926318613E-2</v>
      </c>
      <c r="E145" s="142">
        <v>-3.0340979615292807E-2</v>
      </c>
      <c r="F145" s="142">
        <v>6.1392416825851726E-3</v>
      </c>
      <c r="G145" s="142">
        <f t="shared" si="0"/>
        <v>0.10521549155908638</v>
      </c>
      <c r="H145" s="143"/>
      <c r="I145" s="142">
        <v>1.5406941078912606E-3</v>
      </c>
      <c r="J145" s="143"/>
      <c r="K145" s="143"/>
      <c r="L145" s="143"/>
      <c r="M145" s="143"/>
      <c r="N145" s="143"/>
      <c r="O145" s="143">
        <v>-7.9665408790884351E-3</v>
      </c>
      <c r="P145" s="143"/>
      <c r="Q145" s="143"/>
      <c r="R145" s="143"/>
      <c r="S145" s="143">
        <v>1.8048048313439535E-2</v>
      </c>
      <c r="T145" s="143"/>
      <c r="U145" s="143"/>
      <c r="V145" s="143"/>
      <c r="W145" s="143"/>
      <c r="X145" s="143"/>
      <c r="Y145" s="143"/>
      <c r="Z145" s="143"/>
      <c r="AA145" s="143"/>
      <c r="AB145" s="143"/>
      <c r="AD145" s="142">
        <v>4.3117037568930705E-2</v>
      </c>
      <c r="AE145" s="142">
        <v>2.247607744232627E-2</v>
      </c>
      <c r="AF145" s="142">
        <v>1.871966466465369E-2</v>
      </c>
      <c r="AG145" s="142">
        <v>2.6475999999999996E-2</v>
      </c>
      <c r="AH145" s="144">
        <v>1391.19</v>
      </c>
      <c r="AK145" s="147"/>
      <c r="AL145" s="148"/>
    </row>
    <row r="146" spans="1:38" outlineLevel="1">
      <c r="A146" s="136">
        <v>41729</v>
      </c>
      <c r="B146" s="142">
        <v>4.0393474237383487E-3</v>
      </c>
      <c r="C146" s="142">
        <v>-3.2939626792881649E-3</v>
      </c>
      <c r="D146" s="142">
        <v>1.0445889039965017E-3</v>
      </c>
      <c r="E146" s="142">
        <v>-1.0321397057313275E-2</v>
      </c>
      <c r="F146" s="142">
        <v>5.3501794718686657E-3</v>
      </c>
      <c r="G146" s="142">
        <f t="shared" si="0"/>
        <v>2.5108001063837371E-2</v>
      </c>
      <c r="H146" s="143"/>
      <c r="I146" s="142">
        <v>1.6424387010010033E-3</v>
      </c>
      <c r="J146" s="143"/>
      <c r="K146" s="143"/>
      <c r="L146" s="143"/>
      <c r="M146" s="143"/>
      <c r="N146" s="143"/>
      <c r="O146" s="143">
        <v>-1.3231662841739489E-2</v>
      </c>
      <c r="P146" s="143"/>
      <c r="Q146" s="143"/>
      <c r="R146" s="143"/>
      <c r="S146" s="143">
        <v>1.2342625065818957E-2</v>
      </c>
      <c r="T146" s="143"/>
      <c r="U146" s="143"/>
      <c r="V146" s="143"/>
      <c r="W146" s="143"/>
      <c r="X146" s="143"/>
      <c r="Y146" s="143"/>
      <c r="Z146" s="143"/>
      <c r="AA146" s="143"/>
      <c r="AB146" s="143"/>
      <c r="AD146" s="142">
        <v>6.9321573583585039E-3</v>
      </c>
      <c r="AE146" s="142">
        <v>1.1607661056296514E-3</v>
      </c>
      <c r="AF146" s="142">
        <v>2.4912514760773163E-3</v>
      </c>
      <c r="AG146" s="142">
        <v>2.7179999999999999E-2</v>
      </c>
      <c r="AH146" s="144">
        <v>1426.12</v>
      </c>
      <c r="AK146" s="147"/>
      <c r="AL146" s="148"/>
    </row>
    <row r="147" spans="1:38" outlineLevel="1">
      <c r="A147" s="136">
        <v>41759</v>
      </c>
      <c r="B147" s="142">
        <v>1.8903152931141642E-2</v>
      </c>
      <c r="C147" s="142">
        <v>2.9153563161930185E-2</v>
      </c>
      <c r="D147" s="142">
        <v>-9.1938704229121981E-4</v>
      </c>
      <c r="E147" s="142">
        <v>-6.1447809609775916E-3</v>
      </c>
      <c r="F147" s="142">
        <v>-1.3229611211997394E-2</v>
      </c>
      <c r="G147" s="142">
        <f t="shared" si="0"/>
        <v>-4.8060471769556523E-2</v>
      </c>
      <c r="H147" s="143"/>
      <c r="I147" s="142">
        <v>-3.0605123865874218E-2</v>
      </c>
      <c r="J147" s="143"/>
      <c r="K147" s="143"/>
      <c r="L147" s="143"/>
      <c r="M147" s="143"/>
      <c r="N147" s="143"/>
      <c r="O147" s="143">
        <v>5.6624088537448491E-2</v>
      </c>
      <c r="P147" s="143"/>
      <c r="Q147" s="143"/>
      <c r="R147" s="143"/>
      <c r="S147" s="143">
        <v>9.0681655191462429E-3</v>
      </c>
      <c r="T147" s="143"/>
      <c r="U147" s="143"/>
      <c r="V147" s="143"/>
      <c r="W147" s="143"/>
      <c r="X147" s="143"/>
      <c r="Y147" s="143"/>
      <c r="Z147" s="143"/>
      <c r="AA147" s="143"/>
      <c r="AB147" s="143"/>
      <c r="AD147" s="142">
        <v>6.2007968638175814E-3</v>
      </c>
      <c r="AE147" s="142">
        <v>-4.7826086956521685E-3</v>
      </c>
      <c r="AF147" s="142">
        <v>8.2627187079407083E-3</v>
      </c>
      <c r="AG147" s="142">
        <v>2.6459E-2</v>
      </c>
      <c r="AH147" s="144">
        <v>1357.58</v>
      </c>
      <c r="AK147" s="147"/>
      <c r="AL147" s="148"/>
    </row>
    <row r="148" spans="1:38" outlineLevel="1">
      <c r="A148" s="136">
        <v>41789</v>
      </c>
      <c r="B148" s="142">
        <v>-1.7089540580421558E-2</v>
      </c>
      <c r="C148" s="142">
        <v>-2.4958057226384112E-2</v>
      </c>
      <c r="D148" s="142">
        <v>4.9052249753831489E-3</v>
      </c>
      <c r="E148" s="142">
        <v>-1.1856354639322553E-2</v>
      </c>
      <c r="F148" s="142">
        <v>5.3763461866198625E-3</v>
      </c>
      <c r="G148" s="142">
        <f t="shared" si="0"/>
        <v>-6.3620560114321045E-2</v>
      </c>
      <c r="H148" s="143"/>
      <c r="I148" s="142">
        <v>1.2148051545006755E-3</v>
      </c>
      <c r="J148" s="143"/>
      <c r="K148" s="143"/>
      <c r="L148" s="143"/>
      <c r="M148" s="143"/>
      <c r="N148" s="143"/>
      <c r="O148" s="143">
        <v>-0.11212433414117784</v>
      </c>
      <c r="P148" s="143"/>
      <c r="Q148" s="143"/>
      <c r="R148" s="143"/>
      <c r="S148" s="143">
        <v>1.4248183481941235E-2</v>
      </c>
      <c r="T148" s="143"/>
      <c r="U148" s="143"/>
      <c r="V148" s="143"/>
      <c r="W148" s="143"/>
      <c r="X148" s="143"/>
      <c r="Y148" s="143"/>
      <c r="Z148" s="143"/>
      <c r="AA148" s="143"/>
      <c r="AB148" s="143"/>
      <c r="AD148" s="142">
        <v>2.1030282120013677E-2</v>
      </c>
      <c r="AE148" s="142">
        <v>3.2255715741954294E-2</v>
      </c>
      <c r="AF148" s="142">
        <v>2.0460816894910749E-2</v>
      </c>
      <c r="AG148" s="142">
        <v>2.4759000000000003E-2</v>
      </c>
      <c r="AH148" s="144">
        <v>1271.21</v>
      </c>
      <c r="AK148" s="147"/>
      <c r="AL148" s="148"/>
    </row>
    <row r="149" spans="1:38" outlineLevel="1">
      <c r="A149" s="136">
        <v>41820</v>
      </c>
      <c r="B149" s="142">
        <v>-1.4476915445401084E-2</v>
      </c>
      <c r="C149" s="142">
        <v>-2.2831719453576982E-2</v>
      </c>
      <c r="D149" s="142">
        <v>2.9771992624129551E-2</v>
      </c>
      <c r="E149" s="142">
        <v>-5.4354699548271324E-3</v>
      </c>
      <c r="F149" s="142">
        <v>2.2545945379037757E-3</v>
      </c>
      <c r="G149" s="142">
        <f t="shared" si="0"/>
        <v>-1.5032921389857012E-2</v>
      </c>
      <c r="H149" s="143"/>
      <c r="I149" s="142">
        <v>-4.8213876736306061E-3</v>
      </c>
      <c r="J149" s="143"/>
      <c r="K149" s="143"/>
      <c r="L149" s="143"/>
      <c r="M149" s="143"/>
      <c r="N149" s="143"/>
      <c r="O149" s="143">
        <v>-5.5906502449252327E-2</v>
      </c>
      <c r="P149" s="143"/>
      <c r="Q149" s="143"/>
      <c r="R149" s="143"/>
      <c r="S149" s="143">
        <v>1.5087237193630809E-2</v>
      </c>
      <c r="T149" s="143"/>
      <c r="U149" s="143"/>
      <c r="V149" s="143"/>
      <c r="W149" s="143"/>
      <c r="X149" s="143"/>
      <c r="Y149" s="143"/>
      <c r="Z149" s="143"/>
      <c r="AA149" s="143"/>
      <c r="AB149" s="143"/>
      <c r="AD149" s="142">
        <v>1.9058313448431896E-2</v>
      </c>
      <c r="AE149" s="142">
        <v>2.7932566833603678E-2</v>
      </c>
      <c r="AF149" s="142">
        <v>1.4060511687093991E-2</v>
      </c>
      <c r="AG149" s="142">
        <v>2.5304000000000004E-2</v>
      </c>
      <c r="AH149" s="144">
        <v>1252.0999999999999</v>
      </c>
      <c r="AK149" s="147"/>
      <c r="AL149" s="148"/>
    </row>
    <row r="150" spans="1:38" outlineLevel="1">
      <c r="A150" s="136">
        <v>41851</v>
      </c>
      <c r="B150" s="142">
        <v>-2.6324041037978918E-2</v>
      </c>
      <c r="C150" s="142">
        <v>-3.0513557330205887E-2</v>
      </c>
      <c r="D150" s="142">
        <v>1.1471111426586411E-2</v>
      </c>
      <c r="E150" s="142">
        <v>-6.3300832361001813E-3</v>
      </c>
      <c r="F150" s="142">
        <v>4.551870945987968E-3</v>
      </c>
      <c r="G150" s="142">
        <f t="shared" si="0"/>
        <v>0.12086095359795568</v>
      </c>
      <c r="H150" s="143"/>
      <c r="I150" s="142">
        <v>2.1197614509817608E-2</v>
      </c>
      <c r="J150" s="143"/>
      <c r="K150" s="143"/>
      <c r="L150" s="143"/>
      <c r="M150" s="143"/>
      <c r="N150" s="143"/>
      <c r="O150" s="143">
        <v>-4.5407456299363935E-2</v>
      </c>
      <c r="P150" s="143"/>
      <c r="Q150" s="143"/>
      <c r="R150" s="143"/>
      <c r="S150" s="143">
        <v>1.4687115854705057E-2</v>
      </c>
      <c r="T150" s="143"/>
      <c r="U150" s="143"/>
      <c r="V150" s="143"/>
      <c r="W150" s="143"/>
      <c r="X150" s="143"/>
      <c r="Y150" s="143"/>
      <c r="Z150" s="143"/>
      <c r="AA150" s="143"/>
      <c r="AB150" s="143"/>
      <c r="AD150" s="142">
        <v>-1.5079863077291922E-2</v>
      </c>
      <c r="AE150" s="142">
        <v>2.140945584299736E-2</v>
      </c>
      <c r="AF150" s="142">
        <v>1.2067862376421656E-2</v>
      </c>
      <c r="AG150" s="142">
        <v>2.5578E-2</v>
      </c>
      <c r="AH150" s="144">
        <v>1403.43</v>
      </c>
      <c r="AK150" s="147"/>
      <c r="AL150" s="148"/>
    </row>
    <row r="151" spans="1:38" outlineLevel="1">
      <c r="A151" s="136">
        <v>41880</v>
      </c>
      <c r="B151" s="142">
        <v>4.9699921827903726E-3</v>
      </c>
      <c r="C151" s="142">
        <v>-1.9985059939973127E-3</v>
      </c>
      <c r="D151" s="142">
        <v>5.8719606354857845E-3</v>
      </c>
      <c r="E151" s="142">
        <v>5.044676326187858E-2</v>
      </c>
      <c r="F151" s="142">
        <v>1.2882914686773939E-2</v>
      </c>
      <c r="G151" s="142">
        <f t="shared" si="0"/>
        <v>6.6822000384771485E-2</v>
      </c>
      <c r="H151" s="143"/>
      <c r="I151" s="142">
        <v>5.5563476378435173E-3</v>
      </c>
      <c r="J151" s="143"/>
      <c r="K151" s="143"/>
      <c r="L151" s="143"/>
      <c r="M151" s="143"/>
      <c r="N151" s="143"/>
      <c r="O151" s="143">
        <v>-4.931025721734672E-2</v>
      </c>
      <c r="P151" s="143"/>
      <c r="Q151" s="143"/>
      <c r="R151" s="143"/>
      <c r="S151" s="143">
        <v>1.4311085174731675E-2</v>
      </c>
      <c r="T151" s="143"/>
      <c r="U151" s="143"/>
      <c r="V151" s="143"/>
      <c r="W151" s="143"/>
      <c r="X151" s="143"/>
      <c r="Y151" s="143"/>
      <c r="Z151" s="143"/>
      <c r="AA151" s="143"/>
      <c r="AB151" s="143"/>
      <c r="AD151" s="142">
        <v>3.7655321727690261E-2</v>
      </c>
      <c r="AE151" s="142">
        <v>-6.3150822976150156E-3</v>
      </c>
      <c r="AF151" s="142">
        <v>8.0941028679104576E-3</v>
      </c>
      <c r="AG151" s="142">
        <v>2.35E-2</v>
      </c>
      <c r="AH151" s="144">
        <v>1497.21</v>
      </c>
      <c r="AK151" s="147"/>
      <c r="AL151" s="148"/>
    </row>
    <row r="152" spans="1:38" outlineLevel="1">
      <c r="A152" s="136">
        <v>41912</v>
      </c>
      <c r="B152" s="142">
        <v>-2.12027954150944E-2</v>
      </c>
      <c r="C152" s="142">
        <v>-2.7598841767546456E-2</v>
      </c>
      <c r="D152" s="142">
        <v>-8.5616950744641374E-3</v>
      </c>
      <c r="E152" s="142">
        <v>1.9810462053135858E-3</v>
      </c>
      <c r="F152" s="142">
        <v>1.7116495044317448E-2</v>
      </c>
      <c r="G152" s="142">
        <f t="shared" si="0"/>
        <v>-2.3670694157800209E-2</v>
      </c>
      <c r="H152" s="143">
        <f>-0.0392857142857195%/3</f>
        <v>-1.3095238095239833E-4</v>
      </c>
      <c r="I152" s="142">
        <v>-2.7493732947062921E-2</v>
      </c>
      <c r="J152" s="143"/>
      <c r="K152" s="143"/>
      <c r="L152" s="143"/>
      <c r="M152" s="143">
        <v>-3.8746107142861863E-4</v>
      </c>
      <c r="N152" s="143"/>
      <c r="O152" s="143">
        <v>-9.5220706576808922E-2</v>
      </c>
      <c r="P152" s="143"/>
      <c r="Q152" s="143"/>
      <c r="R152" s="143"/>
      <c r="S152" s="143">
        <v>2.2464632934219519E-2</v>
      </c>
      <c r="T152" s="143"/>
      <c r="U152" s="143"/>
      <c r="V152" s="143"/>
      <c r="W152" s="143"/>
      <c r="X152" s="143"/>
      <c r="Y152" s="143"/>
      <c r="Z152" s="143"/>
      <c r="AA152" s="143"/>
      <c r="AB152" s="143"/>
      <c r="AD152" s="142">
        <v>-1.5463943255614176E-2</v>
      </c>
      <c r="AE152" s="142">
        <v>-5.1382597525522211E-2</v>
      </c>
      <c r="AF152" s="142">
        <v>-1.0468799941738882E-2</v>
      </c>
      <c r="AG152" s="142">
        <v>2.4888E-2</v>
      </c>
      <c r="AH152" s="144">
        <v>1461.77</v>
      </c>
      <c r="AK152" s="148"/>
      <c r="AL152" s="148"/>
    </row>
    <row r="153" spans="1:38" outlineLevel="1">
      <c r="A153" s="136">
        <v>41943</v>
      </c>
      <c r="B153" s="142">
        <v>-1.3443151671908793E-2</v>
      </c>
      <c r="C153" s="142">
        <v>-1.2499395708417405E-3</v>
      </c>
      <c r="D153" s="142">
        <v>-2.3527115316162028E-3</v>
      </c>
      <c r="E153" s="142">
        <v>-4.3917177815935626E-2</v>
      </c>
      <c r="F153" s="142">
        <v>-2.7178346491994243E-2</v>
      </c>
      <c r="G153" s="142">
        <f t="shared" si="0"/>
        <v>-6.9532142539523889E-2</v>
      </c>
      <c r="H153" s="143">
        <f>-0.0392857142857195%/3</f>
        <v>-1.3095238095239833E-4</v>
      </c>
      <c r="I153" s="142">
        <v>-1.3164998528334193E-2</v>
      </c>
      <c r="J153" s="143"/>
      <c r="K153" s="143"/>
      <c r="L153" s="143"/>
      <c r="M153" s="143">
        <v>0</v>
      </c>
      <c r="N153" s="143"/>
      <c r="O153" s="143">
        <v>9.0372663889236371E-2</v>
      </c>
      <c r="P153" s="143"/>
      <c r="Q153" s="143"/>
      <c r="R153" s="143"/>
      <c r="S153" s="143">
        <v>1.5159873642485833E-2</v>
      </c>
      <c r="T153" s="143"/>
      <c r="U153" s="143"/>
      <c r="V153" s="143"/>
      <c r="W153" s="143"/>
      <c r="X153" s="143"/>
      <c r="Y153" s="143"/>
      <c r="Z153" s="143"/>
      <c r="AA153" s="143"/>
      <c r="AB153" s="143"/>
      <c r="AD153" s="142">
        <v>2.3149579951226684E-2</v>
      </c>
      <c r="AE153" s="142">
        <v>1.0904425914047389E-2</v>
      </c>
      <c r="AF153" s="142">
        <v>7.7297194526844137E-3</v>
      </c>
      <c r="AG153" s="142">
        <v>2.3300000000000001E-2</v>
      </c>
      <c r="AH153" s="144">
        <v>1360.13</v>
      </c>
      <c r="AK153" s="147"/>
      <c r="AL153" s="148"/>
    </row>
    <row r="154" spans="1:38" outlineLevel="1">
      <c r="A154" s="136">
        <v>41971</v>
      </c>
      <c r="B154" s="142">
        <v>-3.8113127983465334E-2</v>
      </c>
      <c r="C154" s="142">
        <v>-3.9906204594084005E-2</v>
      </c>
      <c r="D154" s="142">
        <v>-1.4252889228000276E-2</v>
      </c>
      <c r="E154" s="142">
        <v>-6.2203592535814645E-2</v>
      </c>
      <c r="F154" s="142">
        <v>-3.4809044736287875E-2</v>
      </c>
      <c r="G154" s="142">
        <f t="shared" si="0"/>
        <v>3.7018520288501833E-2</v>
      </c>
      <c r="H154" s="143">
        <f>-0.0392857142857195%/3</f>
        <v>-1.3095238095239833E-4</v>
      </c>
      <c r="I154" s="142">
        <v>1.3183565473679604E-2</v>
      </c>
      <c r="J154" s="143"/>
      <c r="K154" s="143"/>
      <c r="L154" s="143"/>
      <c r="M154" s="143">
        <v>0</v>
      </c>
      <c r="N154" s="143"/>
      <c r="O154" s="143">
        <v>-2.1899347264055957E-2</v>
      </c>
      <c r="P154" s="143"/>
      <c r="Q154" s="143"/>
      <c r="R154" s="143"/>
      <c r="S154" s="143">
        <v>1.3686506548499677E-2</v>
      </c>
      <c r="T154" s="143"/>
      <c r="U154" s="143"/>
      <c r="V154" s="143"/>
      <c r="W154" s="143"/>
      <c r="X154" s="143"/>
      <c r="Y154" s="143"/>
      <c r="Z154" s="143"/>
      <c r="AA154" s="143"/>
      <c r="AB154" s="143"/>
      <c r="AD154" s="142">
        <v>2.8993335150268917E-2</v>
      </c>
      <c r="AE154" s="142">
        <v>-8.1077270163565363E-3</v>
      </c>
      <c r="AF154" s="142">
        <v>2.2984914754975438E-3</v>
      </c>
      <c r="AG154" s="142">
        <v>2.1600000000000001E-2</v>
      </c>
      <c r="AH154" s="144">
        <v>1410.48</v>
      </c>
      <c r="AK154" s="147"/>
      <c r="AL154" s="148"/>
    </row>
    <row r="155" spans="1:38" outlineLevel="1">
      <c r="A155" s="136">
        <v>42004</v>
      </c>
      <c r="B155" s="142">
        <v>-4.5619129904706845E-2</v>
      </c>
      <c r="C155" s="142">
        <v>-4.1990890879682108E-2</v>
      </c>
      <c r="D155" s="142">
        <v>-1.5120434878978628E-2</v>
      </c>
      <c r="E155" s="142">
        <v>2.2283723523159882E-3</v>
      </c>
      <c r="F155" s="142">
        <v>-9.0607397851333316E-3</v>
      </c>
      <c r="G155" s="142">
        <f t="shared" si="0"/>
        <v>-4.40346548692645E-2</v>
      </c>
      <c r="H155" s="143">
        <f>-0.741362678195001%/3</f>
        <v>-2.47120892731667E-3</v>
      </c>
      <c r="I155" s="142">
        <v>-6.1507180599421618E-3</v>
      </c>
      <c r="J155" s="143"/>
      <c r="K155" s="143"/>
      <c r="L155" s="143"/>
      <c r="M155" s="143">
        <v>-7.2415369436982235E-3</v>
      </c>
      <c r="N155" s="143"/>
      <c r="O155" s="143">
        <v>-6.9709124632114206E-2</v>
      </c>
      <c r="P155" s="143"/>
      <c r="Q155" s="143"/>
      <c r="R155" s="143"/>
      <c r="S155" s="143">
        <v>-3.938462325153147E-2</v>
      </c>
      <c r="T155" s="143"/>
      <c r="U155" s="143"/>
      <c r="V155" s="143"/>
      <c r="W155" s="143"/>
      <c r="X155" s="143"/>
      <c r="Y155" s="143"/>
      <c r="Z155" s="143"/>
      <c r="AA155" s="143"/>
      <c r="AB155" s="143"/>
      <c r="AD155" s="142">
        <v>-8.5044496667564529E-3</v>
      </c>
      <c r="AE155" s="142">
        <v>-2.004406851943985E-2</v>
      </c>
      <c r="AF155" s="142">
        <v>-2.5079695991418127E-2</v>
      </c>
      <c r="AG155" s="142">
        <v>2.1700000000000001E-2</v>
      </c>
      <c r="AH155" s="144">
        <v>1348.37</v>
      </c>
      <c r="AK155" s="147"/>
      <c r="AL155" s="148"/>
    </row>
    <row r="156" spans="1:38" outlineLevel="1">
      <c r="A156" s="136">
        <v>42034</v>
      </c>
      <c r="B156" s="142">
        <v>3.104365196211778E-2</v>
      </c>
      <c r="C156" s="142">
        <v>2.2931528995655537E-2</v>
      </c>
      <c r="D156" s="142">
        <v>1.8457279609418009E-2</v>
      </c>
      <c r="E156" s="142">
        <v>-9.804617818131578E-3</v>
      </c>
      <c r="F156" s="142">
        <v>1.7611310447171791E-2</v>
      </c>
      <c r="G156" s="142">
        <f t="shared" si="0"/>
        <v>9.9208674176969325E-2</v>
      </c>
      <c r="H156" s="143">
        <f>-0.741362678195001%/3</f>
        <v>-2.47120892731667E-3</v>
      </c>
      <c r="I156" s="142">
        <v>2.1168958330382459E-2</v>
      </c>
      <c r="J156" s="143"/>
      <c r="K156" s="143"/>
      <c r="L156" s="143"/>
      <c r="M156" s="143">
        <v>-2.2204460492503131E-16</v>
      </c>
      <c r="N156" s="143"/>
      <c r="O156" s="143">
        <v>-3.1109239272315015E-2</v>
      </c>
      <c r="P156" s="143"/>
      <c r="Q156" s="143"/>
      <c r="R156" s="143"/>
      <c r="S156" s="143">
        <v>1.8138031807562127E-2</v>
      </c>
      <c r="T156" s="143"/>
      <c r="U156" s="143"/>
      <c r="V156" s="143"/>
      <c r="W156" s="143"/>
      <c r="X156" s="143"/>
      <c r="Y156" s="143"/>
      <c r="Z156" s="143"/>
      <c r="AA156" s="143"/>
      <c r="AB156" s="143"/>
      <c r="AD156" s="142">
        <v>-3.1040847054252363E-2</v>
      </c>
      <c r="AE156" s="142">
        <v>1.8133023863059483E-2</v>
      </c>
      <c r="AF156" s="142">
        <v>3.7639565349179005E-3</v>
      </c>
      <c r="AG156" s="142">
        <v>1.6799999999999999E-2</v>
      </c>
      <c r="AH156" s="144">
        <v>1482.14</v>
      </c>
      <c r="AK156" s="147"/>
      <c r="AL156" s="148"/>
    </row>
    <row r="157" spans="1:38" outlineLevel="1">
      <c r="A157" s="136">
        <v>42062</v>
      </c>
      <c r="B157" s="142">
        <v>1.2056946902829324E-2</v>
      </c>
      <c r="C157" s="142">
        <v>-3.304667658551641E-3</v>
      </c>
      <c r="D157" s="142">
        <v>1.4270738757786283E-2</v>
      </c>
      <c r="E157" s="142">
        <v>4.3840878801360228E-2</v>
      </c>
      <c r="F157" s="142">
        <v>2.0661915506659634E-2</v>
      </c>
      <c r="G157" s="142">
        <f t="shared" si="0"/>
        <v>2.4221733439484527E-3</v>
      </c>
      <c r="H157" s="143">
        <f>-0.741362678195001%/3</f>
        <v>-2.47120892731667E-3</v>
      </c>
      <c r="I157" s="142">
        <v>7.4845239130785224E-3</v>
      </c>
      <c r="J157" s="143"/>
      <c r="K157" s="143"/>
      <c r="L157" s="143"/>
      <c r="M157" s="143">
        <v>0</v>
      </c>
      <c r="N157" s="143"/>
      <c r="O157" s="143">
        <v>-3.2322292065841918E-2</v>
      </c>
      <c r="P157" s="143"/>
      <c r="Q157" s="143"/>
      <c r="R157" s="143"/>
      <c r="S157" s="143">
        <v>1.568282520244213E-2</v>
      </c>
      <c r="T157" s="143"/>
      <c r="U157" s="143"/>
      <c r="V157" s="143"/>
      <c r="W157" s="143"/>
      <c r="X157" s="143"/>
      <c r="Y157" s="143"/>
      <c r="Z157" s="143"/>
      <c r="AA157" s="143"/>
      <c r="AB157" s="143"/>
      <c r="AD157" s="142">
        <v>5.4892505726845675E-2</v>
      </c>
      <c r="AE157" s="142">
        <v>4.1746811996865363E-2</v>
      </c>
      <c r="AF157" s="142">
        <v>1.5504036302940838E-2</v>
      </c>
      <c r="AG157" s="142">
        <v>2.0299999999999999E-2</v>
      </c>
      <c r="AH157" s="144">
        <v>1485.73</v>
      </c>
      <c r="AK157" s="147"/>
      <c r="AL157" s="148"/>
    </row>
    <row r="158" spans="1:38" outlineLevel="1">
      <c r="A158" s="136">
        <v>42094</v>
      </c>
      <c r="B158" s="142">
        <v>-4.4856937849498735E-2</v>
      </c>
      <c r="C158" s="142">
        <v>-5.8893450437208728E-2</v>
      </c>
      <c r="D158" s="142">
        <v>1.8452199508913747E-2</v>
      </c>
      <c r="E158" s="142">
        <v>-6.3926634499068546E-3</v>
      </c>
      <c r="F158" s="142">
        <v>-2.5378991155255992E-3</v>
      </c>
      <c r="G158" s="142">
        <f t="shared" si="0"/>
        <v>-2.4479548774003379E-2</v>
      </c>
      <c r="H158" s="143">
        <f>-0.33367528751147%/3</f>
        <v>-1.1122509583715667E-3</v>
      </c>
      <c r="I158" s="142">
        <v>2.1313976551039726E-2</v>
      </c>
      <c r="J158" s="143"/>
      <c r="K158" s="143"/>
      <c r="L158" s="143"/>
      <c r="M158" s="143">
        <v>-3.5346379032934472E-3</v>
      </c>
      <c r="N158" s="143"/>
      <c r="O158" s="143">
        <v>-0.15774647724525237</v>
      </c>
      <c r="P158" s="143"/>
      <c r="Q158" s="143"/>
      <c r="R158" s="143"/>
      <c r="S158" s="143">
        <v>9.8376534197222032E-3</v>
      </c>
      <c r="T158" s="143"/>
      <c r="U158" s="143"/>
      <c r="V158" s="143"/>
      <c r="W158" s="143"/>
      <c r="X158" s="143"/>
      <c r="Y158" s="143"/>
      <c r="Z158" s="143"/>
      <c r="AA158" s="143"/>
      <c r="AB158" s="143"/>
      <c r="AD158" s="142">
        <v>-1.7396056070325572E-2</v>
      </c>
      <c r="AE158" s="142">
        <v>5.4708336182729411E-4</v>
      </c>
      <c r="AF158" s="142">
        <v>4.7048472146693499E-4</v>
      </c>
      <c r="AG158" s="142">
        <v>1.9400000000000001E-2</v>
      </c>
      <c r="AH158" s="144">
        <v>1449.36</v>
      </c>
      <c r="AK158" s="147"/>
      <c r="AL158" s="148"/>
    </row>
    <row r="159" spans="1:38" outlineLevel="1">
      <c r="A159" s="136">
        <v>42124</v>
      </c>
      <c r="B159" s="142">
        <v>3.061502557560436E-3</v>
      </c>
      <c r="C159" s="142">
        <v>-2.1666159778879535E-2</v>
      </c>
      <c r="D159" s="142">
        <v>3.2442771453054187E-2</v>
      </c>
      <c r="E159" s="142">
        <v>1.7253620602807329E-2</v>
      </c>
      <c r="F159" s="142">
        <v>2.1579657549907205E-2</v>
      </c>
      <c r="G159" s="142">
        <f t="shared" si="0"/>
        <v>5.8922558922560597E-3</v>
      </c>
      <c r="H159" s="143">
        <f>-0.33367528751147%/3</f>
        <v>-1.1122509583715667E-3</v>
      </c>
      <c r="I159" s="142">
        <v>7.1263263526455844E-2</v>
      </c>
      <c r="J159" s="143"/>
      <c r="K159" s="143"/>
      <c r="L159" s="143"/>
      <c r="M159" s="143">
        <v>0</v>
      </c>
      <c r="N159" s="143"/>
      <c r="O159" s="143">
        <v>2.6499589148490044E-2</v>
      </c>
      <c r="P159" s="143"/>
      <c r="Q159" s="143"/>
      <c r="R159" s="143"/>
      <c r="S159" s="143">
        <v>1.1060819355898754E-2</v>
      </c>
      <c r="T159" s="143"/>
      <c r="U159" s="143"/>
      <c r="V159" s="143"/>
      <c r="W159" s="143"/>
      <c r="X159" s="143"/>
      <c r="Y159" s="143"/>
      <c r="Z159" s="143"/>
      <c r="AA159" s="143"/>
      <c r="AB159" s="143"/>
      <c r="AD159" s="142">
        <v>8.5207627098153882E-3</v>
      </c>
      <c r="AE159" s="142">
        <v>4.825370788052763E-2</v>
      </c>
      <c r="AF159" s="142">
        <v>2.0713986164889509E-2</v>
      </c>
      <c r="AG159" s="142">
        <v>2.0500000000000001E-2</v>
      </c>
      <c r="AH159" s="144">
        <v>1457.9</v>
      </c>
      <c r="AK159" s="147"/>
      <c r="AL159" s="148"/>
    </row>
    <row r="160" spans="1:38" outlineLevel="1">
      <c r="A160" s="136">
        <v>42153</v>
      </c>
      <c r="B160" s="142">
        <v>2.6473020572124195E-3</v>
      </c>
      <c r="C160" s="142">
        <v>8.9204456767424389E-3</v>
      </c>
      <c r="D160" s="142">
        <v>1.8318655683378093E-3</v>
      </c>
      <c r="E160" s="142">
        <v>6.3228642644155286E-3</v>
      </c>
      <c r="F160" s="142">
        <v>3.4816363937195671E-3</v>
      </c>
      <c r="G160" s="142">
        <f t="shared" si="0"/>
        <v>0.26093010494546931</v>
      </c>
      <c r="H160" s="143">
        <f>-0.33367528751147%/3</f>
        <v>-1.1122509583715667E-3</v>
      </c>
      <c r="I160" s="142">
        <v>1.6324234302446783E-2</v>
      </c>
      <c r="J160" s="143"/>
      <c r="K160" s="143"/>
      <c r="L160" s="143"/>
      <c r="M160" s="143">
        <v>0</v>
      </c>
      <c r="N160" s="143"/>
      <c r="O160" s="143">
        <v>-7.0311406013023214E-2</v>
      </c>
      <c r="P160" s="143"/>
      <c r="Q160" s="143"/>
      <c r="R160" s="143"/>
      <c r="S160" s="143">
        <v>1.1855216401373658E-2</v>
      </c>
      <c r="T160" s="143"/>
      <c r="U160" s="143"/>
      <c r="V160" s="143"/>
      <c r="W160" s="143"/>
      <c r="X160" s="143"/>
      <c r="Y160" s="143"/>
      <c r="Z160" s="143"/>
      <c r="AA160" s="143"/>
      <c r="AB160" s="143"/>
      <c r="AD160" s="142">
        <v>1.0491438545008114E-2</v>
      </c>
      <c r="AE160" s="142">
        <v>-1.2649149116515601E-2</v>
      </c>
      <c r="AF160" s="142">
        <v>5.1895833374884237E-3</v>
      </c>
      <c r="AG160" s="142">
        <v>2.12E-2</v>
      </c>
      <c r="AH160" s="144">
        <v>1838.31</v>
      </c>
      <c r="AK160" s="147"/>
      <c r="AL160" s="148"/>
    </row>
    <row r="161" spans="1:38" outlineLevel="1">
      <c r="A161" s="136">
        <v>42185</v>
      </c>
      <c r="B161" s="142">
        <v>-2.7702801748232475E-2</v>
      </c>
      <c r="C161" s="142">
        <v>-4.0753605348672228E-2</v>
      </c>
      <c r="D161" s="142">
        <v>-1.7374748135239204E-2</v>
      </c>
      <c r="E161" s="142">
        <v>-1.2513149344914098E-2</v>
      </c>
      <c r="F161" s="142">
        <v>1.7898862659707859E-2</v>
      </c>
      <c r="G161" s="142">
        <f t="shared" si="0"/>
        <v>0.21171075607487322</v>
      </c>
      <c r="H161" s="143">
        <f>-0.708951056022644%/3</f>
        <v>-2.3631701867421464E-3</v>
      </c>
      <c r="I161" s="142">
        <v>-1.0874547424943648E-2</v>
      </c>
      <c r="J161" s="143"/>
      <c r="K161" s="143"/>
      <c r="L161" s="143"/>
      <c r="M161" s="143">
        <v>-7.048990268785027E-3</v>
      </c>
      <c r="N161" s="143"/>
      <c r="O161" s="143">
        <v>-0.1597787686010792</v>
      </c>
      <c r="P161" s="143">
        <v>4.9223816666665865E-3</v>
      </c>
      <c r="Q161" s="143"/>
      <c r="R161" s="143"/>
      <c r="S161" s="143">
        <v>1.4396425674125801E-2</v>
      </c>
      <c r="T161" s="143"/>
      <c r="U161" s="143"/>
      <c r="V161" s="143"/>
      <c r="W161" s="143"/>
      <c r="X161" s="143"/>
      <c r="Y161" s="143"/>
      <c r="Z161" s="143"/>
      <c r="AA161" s="143"/>
      <c r="AB161" s="143"/>
      <c r="AD161" s="142">
        <v>-2.10117728564716E-2</v>
      </c>
      <c r="AE161" s="142">
        <v>-3.3943076008717044E-2</v>
      </c>
      <c r="AF161" s="142">
        <v>1.6964588653369805E-3</v>
      </c>
      <c r="AG161" s="142">
        <v>2.35E-2</v>
      </c>
      <c r="AH161" s="144">
        <v>2227.5</v>
      </c>
      <c r="AK161" s="147"/>
      <c r="AL161" s="148"/>
    </row>
    <row r="162" spans="1:38" outlineLevel="1">
      <c r="A162" s="136">
        <v>42216</v>
      </c>
      <c r="B162" s="142">
        <v>-5.6757917629203236E-2</v>
      </c>
      <c r="C162" s="142">
        <v>-5.6802784815293772E-2</v>
      </c>
      <c r="D162" s="142">
        <v>-1.118255066820395E-2</v>
      </c>
      <c r="E162" s="142">
        <v>-4.0014829228699589E-2</v>
      </c>
      <c r="F162" s="142">
        <v>-3.3039602232621812E-2</v>
      </c>
      <c r="G162" s="142">
        <f t="shared" si="0"/>
        <v>-2.8673400673400629E-2</v>
      </c>
      <c r="H162" s="143">
        <f>-0.708951056022644%/3</f>
        <v>-2.3631701867421464E-3</v>
      </c>
      <c r="I162" s="142">
        <v>-1.5905235855230626E-2</v>
      </c>
      <c r="J162" s="143"/>
      <c r="K162" s="143"/>
      <c r="L162" s="143"/>
      <c r="M162" s="143">
        <v>0</v>
      </c>
      <c r="N162" s="143"/>
      <c r="O162" s="143">
        <v>-9.4858049628229635E-2</v>
      </c>
      <c r="P162" s="143">
        <v>5.9677395084523077E-3</v>
      </c>
      <c r="Q162" s="143"/>
      <c r="R162" s="143">
        <v>6.9670416123568391E-3</v>
      </c>
      <c r="S162" s="143">
        <v>1.5803103787804362E-2</v>
      </c>
      <c r="T162" s="143"/>
      <c r="U162" s="143"/>
      <c r="V162" s="143"/>
      <c r="W162" s="143"/>
      <c r="X162" s="143"/>
      <c r="Y162" s="143"/>
      <c r="Z162" s="143"/>
      <c r="AA162" s="143"/>
      <c r="AB162" s="143"/>
      <c r="AD162" s="142">
        <v>1.9742039930008559E-2</v>
      </c>
      <c r="AE162" s="142">
        <v>-2.8983525873265248E-2</v>
      </c>
      <c r="AF162" s="142">
        <v>7.0120393149597504E-4</v>
      </c>
      <c r="AG162" s="142">
        <v>2.1999999999999999E-2</v>
      </c>
      <c r="AH162" s="144">
        <v>2163.63</v>
      </c>
      <c r="AK162" s="147"/>
      <c r="AL162" s="148"/>
    </row>
    <row r="163" spans="1:38" outlineLevel="1">
      <c r="A163" s="136">
        <v>42247</v>
      </c>
      <c r="B163" s="142">
        <v>-4.8065298610373008E-2</v>
      </c>
      <c r="C163" s="142">
        <v>-4.6395129650932843E-2</v>
      </c>
      <c r="D163" s="142">
        <v>-1.3294745410147413E-2</v>
      </c>
      <c r="E163" s="142">
        <v>3.058557601021028E-2</v>
      </c>
      <c r="F163" s="142">
        <v>-6.6546892696107696E-3</v>
      </c>
      <c r="G163" s="142">
        <f t="shared" si="0"/>
        <v>-0.18120473463577424</v>
      </c>
      <c r="H163" s="143">
        <f>-0.708951056022644%/3</f>
        <v>-2.3631701867421464E-3</v>
      </c>
      <c r="I163" s="142">
        <v>-1.5057543741739732E-2</v>
      </c>
      <c r="J163" s="143"/>
      <c r="K163" s="143"/>
      <c r="L163" s="143"/>
      <c r="M163" s="143">
        <v>8.8817841970012523E-16</v>
      </c>
      <c r="N163" s="143"/>
      <c r="O163" s="143">
        <v>-0.26840038612917305</v>
      </c>
      <c r="P163" s="143">
        <v>7.4433754202434255E-3</v>
      </c>
      <c r="Q163" s="143"/>
      <c r="R163" s="143">
        <v>1.3633152865295095E-2</v>
      </c>
      <c r="S163" s="143">
        <v>1.5520034603399235E-2</v>
      </c>
      <c r="T163" s="143"/>
      <c r="U163" s="143"/>
      <c r="V163" s="143"/>
      <c r="W163" s="143"/>
      <c r="X163" s="143"/>
      <c r="Y163" s="143"/>
      <c r="Z163" s="143"/>
      <c r="AA163" s="143"/>
      <c r="AB163" s="143"/>
      <c r="AD163" s="142">
        <v>-6.258080462392579E-2</v>
      </c>
      <c r="AE163" s="142">
        <v>-8.5110876451953588E-2</v>
      </c>
      <c r="AF163" s="142">
        <v>-2.4039984164687223E-2</v>
      </c>
      <c r="AG163" s="142">
        <v>2.2100000000000002E-2</v>
      </c>
      <c r="AH163" s="144">
        <v>1771.57</v>
      </c>
      <c r="AK163" s="147"/>
      <c r="AL163" s="148"/>
    </row>
    <row r="164" spans="1:38" outlineLevel="1">
      <c r="A164" s="136">
        <v>42277</v>
      </c>
      <c r="B164" s="142">
        <v>3.8900848504583196E-2</v>
      </c>
      <c r="C164" s="142">
        <v>4.0656015997650785E-2</v>
      </c>
      <c r="D164" s="142">
        <v>-2.7195573208405488E-2</v>
      </c>
      <c r="E164" s="142">
        <v>-7.9029377466738326E-3</v>
      </c>
      <c r="F164" s="142">
        <v>-9.4065438417239022E-3</v>
      </c>
      <c r="G164" s="142">
        <f t="shared" si="0"/>
        <v>-0.11147739011159596</v>
      </c>
      <c r="H164" s="143">
        <f>-0.268258622202167%/3</f>
        <v>-8.9419540734055666E-4</v>
      </c>
      <c r="I164" s="142">
        <v>1.9067013728431004E-3</v>
      </c>
      <c r="J164" s="143"/>
      <c r="K164" s="143"/>
      <c r="L164" s="143"/>
      <c r="M164" s="143">
        <v>-2.6987635517691233E-3</v>
      </c>
      <c r="N164" s="143"/>
      <c r="O164" s="143">
        <v>0.17124995640964236</v>
      </c>
      <c r="P164" s="143">
        <v>8.7598552491394699E-3</v>
      </c>
      <c r="Q164" s="143"/>
      <c r="R164" s="143">
        <v>1.3182301639554694E-2</v>
      </c>
      <c r="S164" s="143">
        <v>1.217866060122641E-2</v>
      </c>
      <c r="T164" s="143"/>
      <c r="U164" s="143"/>
      <c r="V164" s="143"/>
      <c r="W164" s="143"/>
      <c r="X164" s="143"/>
      <c r="Y164" s="143"/>
      <c r="Z164" s="143"/>
      <c r="AA164" s="143"/>
      <c r="AB164" s="143"/>
      <c r="AD164" s="142">
        <v>-2.6442819620927094E-2</v>
      </c>
      <c r="AE164" s="142">
        <v>-4.7245306248076435E-2</v>
      </c>
      <c r="AF164" s="142">
        <v>-1.0205757978318797E-2</v>
      </c>
      <c r="AG164" s="142">
        <v>2.06E-2</v>
      </c>
      <c r="AH164" s="144">
        <v>1574.08</v>
      </c>
      <c r="AK164" s="147"/>
      <c r="AL164" s="148"/>
    </row>
    <row r="165" spans="1:38" outlineLevel="1">
      <c r="A165" s="136">
        <v>42307</v>
      </c>
      <c r="B165" s="142">
        <v>5.6937120476163727E-3</v>
      </c>
      <c r="C165" s="142">
        <v>3.4748641322268181E-2</v>
      </c>
      <c r="D165" s="142">
        <v>2.5244365034774674E-2</v>
      </c>
      <c r="E165" s="142">
        <v>-9.1158975814032983E-3</v>
      </c>
      <c r="F165" s="142">
        <v>4.736903572478468E-3</v>
      </c>
      <c r="G165" s="142">
        <f t="shared" si="0"/>
        <v>1.6009351494206125E-3</v>
      </c>
      <c r="H165" s="143">
        <f>-0.268258622202167%/3</f>
        <v>-8.9419540734055666E-4</v>
      </c>
      <c r="I165" s="142">
        <v>2.6963814980275336E-2</v>
      </c>
      <c r="J165" s="143"/>
      <c r="K165" s="143"/>
      <c r="L165" s="143"/>
      <c r="M165" s="143">
        <v>0</v>
      </c>
      <c r="N165" s="143"/>
      <c r="O165" s="143">
        <v>6.4959525661851147E-2</v>
      </c>
      <c r="P165" s="143">
        <v>-2.9707956938684887E-5</v>
      </c>
      <c r="Q165" s="143"/>
      <c r="R165" s="143">
        <v>1.2847075917381323E-2</v>
      </c>
      <c r="S165" s="143">
        <v>1.4900880820982065E-2</v>
      </c>
      <c r="T165" s="143"/>
      <c r="U165" s="143"/>
      <c r="V165" s="143"/>
      <c r="W165" s="143"/>
      <c r="X165" s="143"/>
      <c r="Y165" s="143"/>
      <c r="Z165" s="143"/>
      <c r="AA165" s="143"/>
      <c r="AB165" s="143"/>
      <c r="AD165" s="142">
        <v>8.2983078389400333E-2</v>
      </c>
      <c r="AE165" s="142">
        <v>8.593119043773223E-2</v>
      </c>
      <c r="AF165" s="142">
        <v>4.3709005518182353E-2</v>
      </c>
      <c r="AG165" s="142">
        <v>2.1600000000000001E-2</v>
      </c>
      <c r="AH165" s="144">
        <v>1576.6</v>
      </c>
      <c r="AK165" s="147"/>
      <c r="AL165" s="148"/>
    </row>
    <row r="166" spans="1:38" outlineLevel="1">
      <c r="A166" s="136">
        <v>42338</v>
      </c>
      <c r="B166" s="142">
        <v>-6.8354748122806397E-3</v>
      </c>
      <c r="C166" s="142">
        <v>-2.6632398298309545E-2</v>
      </c>
      <c r="D166" s="142">
        <v>-2.7369301143693736E-3</v>
      </c>
      <c r="E166" s="142">
        <v>-6.8850878458537323E-5</v>
      </c>
      <c r="F166" s="142">
        <v>-8.3005403450313597E-3</v>
      </c>
      <c r="G166" s="142">
        <f t="shared" si="0"/>
        <v>9.8598249397437554E-2</v>
      </c>
      <c r="H166" s="143">
        <f>-0.268258622202167%/3</f>
        <v>-8.9419540734055666E-4</v>
      </c>
      <c r="I166" s="142">
        <v>-6.154468666625279E-3</v>
      </c>
      <c r="J166" s="143"/>
      <c r="K166" s="143"/>
      <c r="L166" s="143"/>
      <c r="M166" s="143">
        <v>0</v>
      </c>
      <c r="N166" s="143"/>
      <c r="O166" s="143">
        <v>-0.14953743763797156</v>
      </c>
      <c r="P166" s="143">
        <v>8.0311737787162052E-3</v>
      </c>
      <c r="Q166" s="143">
        <v>0</v>
      </c>
      <c r="R166" s="143">
        <v>1.3634747937236069E-2</v>
      </c>
      <c r="S166" s="143">
        <v>1.6057776977902227E-2</v>
      </c>
      <c r="T166" s="143"/>
      <c r="U166" s="143"/>
      <c r="V166" s="143"/>
      <c r="W166" s="143"/>
      <c r="X166" s="143"/>
      <c r="Y166" s="143"/>
      <c r="Z166" s="143"/>
      <c r="AA166" s="143"/>
      <c r="AB166" s="143"/>
      <c r="AD166" s="142">
        <v>5.0496306555847248E-4</v>
      </c>
      <c r="AE166" s="142">
        <v>-1.9931578164509967E-2</v>
      </c>
      <c r="AF166" s="142">
        <v>-5.210521562606707E-3</v>
      </c>
      <c r="AG166" s="142">
        <v>2.2100000000000002E-2</v>
      </c>
      <c r="AH166" s="144">
        <v>1732.05</v>
      </c>
      <c r="AK166" s="147"/>
      <c r="AL166" s="148"/>
    </row>
    <row r="167" spans="1:38" outlineLevel="1">
      <c r="A167" s="136">
        <v>42369</v>
      </c>
      <c r="B167" s="142">
        <v>-9.2938119878654968E-3</v>
      </c>
      <c r="C167" s="142">
        <v>-9.320462714211053E-3</v>
      </c>
      <c r="D167" s="142">
        <v>-5.5151327478111245E-2</v>
      </c>
      <c r="E167" s="142">
        <v>-4.0428011191480984E-2</v>
      </c>
      <c r="F167" s="142">
        <v>-7.9631280515483738E-2</v>
      </c>
      <c r="G167" s="142">
        <f t="shared" si="0"/>
        <v>-6.6245200773649704E-2</v>
      </c>
      <c r="H167" s="143">
        <f>294.491089605693%/3</f>
        <v>0.98163696535231004</v>
      </c>
      <c r="I167" s="142">
        <v>8.7052952491823987E-3</v>
      </c>
      <c r="J167" s="143"/>
      <c r="K167" s="143"/>
      <c r="L167" s="143"/>
      <c r="M167" s="143">
        <v>0</v>
      </c>
      <c r="N167" s="143"/>
      <c r="O167" s="143">
        <v>-2.1714831155255077E-3</v>
      </c>
      <c r="P167" s="143">
        <v>6.1384939366324609E-3</v>
      </c>
      <c r="Q167" s="143">
        <v>-1.8602359954611458E-4</v>
      </c>
      <c r="R167" s="143">
        <v>1.3414958828976031E-2</v>
      </c>
      <c r="S167" s="143">
        <v>1.0634014436516015E-2</v>
      </c>
      <c r="T167" s="143"/>
      <c r="U167" s="143"/>
      <c r="V167" s="143"/>
      <c r="W167" s="143"/>
      <c r="X167" s="143"/>
      <c r="Y167" s="143"/>
      <c r="Z167" s="143"/>
      <c r="AA167" s="143"/>
      <c r="AB167" s="143"/>
      <c r="AD167" s="142">
        <v>-1.7530198374358763E-2</v>
      </c>
      <c r="AE167" s="142">
        <v>1.3659128851115643E-3</v>
      </c>
      <c r="AF167" s="142">
        <v>-1.0408525754884601E-2</v>
      </c>
      <c r="AG167" s="142">
        <v>2.2700000000000001E-2</v>
      </c>
      <c r="AH167" s="144">
        <v>1617.31</v>
      </c>
      <c r="AK167" s="147"/>
      <c r="AL167" s="148"/>
    </row>
    <row r="168" spans="1:38" outlineLevel="1">
      <c r="A168" s="136">
        <v>42398</v>
      </c>
      <c r="B168" s="142">
        <v>-6.0914507242081362E-2</v>
      </c>
      <c r="C168" s="142">
        <v>-6.3364368693582529E-2</v>
      </c>
      <c r="D168" s="142">
        <v>1.76642588892717E-3</v>
      </c>
      <c r="E168" s="142">
        <v>-3.3702960255525216E-2</v>
      </c>
      <c r="F168" s="142">
        <v>-2.6430299550230907E-2</v>
      </c>
      <c r="G168" s="142">
        <f t="shared" si="0"/>
        <v>-3.2022308648311015E-2</v>
      </c>
      <c r="H168" s="143">
        <f>294.491089605693%/3</f>
        <v>0.98163696535231004</v>
      </c>
      <c r="I168" s="142">
        <v>-1.201158155515003E-2</v>
      </c>
      <c r="J168" s="143"/>
      <c r="K168" s="143"/>
      <c r="L168" s="143"/>
      <c r="M168" s="143">
        <v>0</v>
      </c>
      <c r="N168" s="143"/>
      <c r="O168" s="143">
        <v>-0.17892566292693579</v>
      </c>
      <c r="P168" s="143">
        <v>2.3496584627229478E-3</v>
      </c>
      <c r="Q168" s="143">
        <v>1.6505901847644555E-2</v>
      </c>
      <c r="R168" s="143">
        <v>1.2905292622699127E-2</v>
      </c>
      <c r="S168" s="143">
        <v>9.1394586712296721E-3</v>
      </c>
      <c r="T168" s="143"/>
      <c r="U168" s="143"/>
      <c r="V168" s="143"/>
      <c r="W168" s="143"/>
      <c r="X168" s="143"/>
      <c r="Y168" s="143"/>
      <c r="Z168" s="143"/>
      <c r="AA168" s="143"/>
      <c r="AB168" s="143"/>
      <c r="AD168" s="142">
        <v>-5.0735344481736222E-2</v>
      </c>
      <c r="AE168" s="142">
        <v>-8.0100030312215909E-2</v>
      </c>
      <c r="AF168" s="142">
        <v>-1.0354469054257298E-2</v>
      </c>
      <c r="AG168" s="142">
        <v>1.9199999999999998E-2</v>
      </c>
      <c r="AH168" s="144">
        <v>1565.52</v>
      </c>
      <c r="AK168" s="147"/>
      <c r="AL168" s="148"/>
    </row>
    <row r="169" spans="1:38" outlineLevel="1">
      <c r="A169" s="136">
        <v>42429</v>
      </c>
      <c r="B169" s="142">
        <v>7.7787418887089732E-3</v>
      </c>
      <c r="C169" s="142">
        <v>2.0773787580396164E-2</v>
      </c>
      <c r="D169" s="142">
        <v>2.6689298940407058E-2</v>
      </c>
      <c r="E169" s="142">
        <v>2.8675275911988374E-2</v>
      </c>
      <c r="F169" s="142">
        <v>1.3061527196685629E-2</v>
      </c>
      <c r="G169" s="142">
        <f t="shared" si="0"/>
        <v>-0.19180208493024686</v>
      </c>
      <c r="H169" s="143">
        <f>294.491089605693%/3</f>
        <v>0.98163696535231004</v>
      </c>
      <c r="I169" s="142">
        <v>1.4960113637882966E-2</v>
      </c>
      <c r="J169" s="143"/>
      <c r="K169" s="143"/>
      <c r="L169" s="143"/>
      <c r="M169" s="143">
        <v>0</v>
      </c>
      <c r="N169" s="143"/>
      <c r="O169" s="143">
        <v>9.5649348092246678E-2</v>
      </c>
      <c r="P169" s="143">
        <v>9.9241239610667886E-3</v>
      </c>
      <c r="Q169" s="143">
        <v>1.6129157685669249E-2</v>
      </c>
      <c r="R169" s="143">
        <v>1.4075760392620484E-2</v>
      </c>
      <c r="S169" s="143">
        <v>2.3059325416257881E-2</v>
      </c>
      <c r="T169" s="143"/>
      <c r="U169" s="143"/>
      <c r="V169" s="143"/>
      <c r="W169" s="143"/>
      <c r="X169" s="143"/>
      <c r="Y169" s="143"/>
      <c r="Z169" s="143"/>
      <c r="AA169" s="143"/>
      <c r="AB169" s="143"/>
      <c r="AD169" s="142">
        <v>-4.1283552550199776E-3</v>
      </c>
      <c r="AE169" s="142">
        <v>-1.8288162122085838E-2</v>
      </c>
      <c r="AF169" s="142">
        <v>9.0098622827134989E-3</v>
      </c>
      <c r="AG169" s="142">
        <v>1.7299999999999999E-2</v>
      </c>
      <c r="AH169" s="144">
        <v>1265.25</v>
      </c>
      <c r="AK169" s="147"/>
      <c r="AL169" s="148"/>
    </row>
    <row r="170" spans="1:38" outlineLevel="1">
      <c r="A170" s="136">
        <v>42460</v>
      </c>
      <c r="B170" s="142">
        <v>4.6364720627432465E-2</v>
      </c>
      <c r="C170" s="142">
        <v>5.8760281488969834E-2</v>
      </c>
      <c r="D170" s="142">
        <v>1.0734605244630657E-2</v>
      </c>
      <c r="E170" s="142">
        <v>-3.2275892475185364E-3</v>
      </c>
      <c r="F170" s="142">
        <v>2.4757011049883815E-2</v>
      </c>
      <c r="G170" s="142">
        <f t="shared" si="0"/>
        <v>4.9397352301916664E-2</v>
      </c>
      <c r="H170" s="143">
        <f>-0.0966610532223244%/3</f>
        <v>-3.2220351074108134E-4</v>
      </c>
      <c r="I170" s="142">
        <v>1.159752145788806E-2</v>
      </c>
      <c r="J170" s="143"/>
      <c r="K170" s="143"/>
      <c r="L170" s="143"/>
      <c r="M170" s="143">
        <v>0</v>
      </c>
      <c r="N170" s="143"/>
      <c r="O170" s="143">
        <v>0.21470307397247845</v>
      </c>
      <c r="P170" s="143">
        <v>6.3820423864127118E-3</v>
      </c>
      <c r="Q170" s="143">
        <v>1.6139247965121895E-2</v>
      </c>
      <c r="R170" s="143">
        <v>1.407143947995948E-2</v>
      </c>
      <c r="S170" s="143">
        <v>2.1819148631641472E-2</v>
      </c>
      <c r="T170" s="143"/>
      <c r="U170" s="143"/>
      <c r="V170" s="143"/>
      <c r="W170" s="143"/>
      <c r="X170" s="143"/>
      <c r="Y170" s="143"/>
      <c r="Z170" s="143"/>
      <c r="AA170" s="143"/>
      <c r="AB170" s="143"/>
      <c r="AD170" s="142">
        <v>6.5991108718941094E-2</v>
      </c>
      <c r="AE170" s="142">
        <v>8.18998069984056E-2</v>
      </c>
      <c r="AF170" s="142">
        <v>3.8613554887608537E-2</v>
      </c>
      <c r="AG170" s="142">
        <v>1.77E-2</v>
      </c>
      <c r="AH170" s="144">
        <v>1327.75</v>
      </c>
      <c r="AK170" s="147"/>
      <c r="AL170" s="148"/>
    </row>
    <row r="171" spans="1:38" outlineLevel="1">
      <c r="A171" s="136">
        <v>42489</v>
      </c>
      <c r="B171" s="142">
        <v>-6.4392675166321522E-3</v>
      </c>
      <c r="C171" s="142">
        <v>-6.2746511542081107E-3</v>
      </c>
      <c r="D171" s="142">
        <v>1.887130407477744E-2</v>
      </c>
      <c r="E171" s="142">
        <v>4.61795606521338E-2</v>
      </c>
      <c r="F171" s="142">
        <v>2.3269414197628624E-2</v>
      </c>
      <c r="G171" s="142">
        <f t="shared" si="0"/>
        <v>0.11856147618151014</v>
      </c>
      <c r="H171" s="143">
        <f>-0.0966610532223244%/3</f>
        <v>-3.2220351074108134E-4</v>
      </c>
      <c r="I171" s="142">
        <v>8.5212747036822467E-3</v>
      </c>
      <c r="J171" s="143"/>
      <c r="K171" s="143"/>
      <c r="L171" s="143"/>
      <c r="M171" s="143">
        <v>0</v>
      </c>
      <c r="N171" s="143">
        <v>0</v>
      </c>
      <c r="O171" s="143">
        <v>-0.1037992621457009</v>
      </c>
      <c r="P171" s="143">
        <v>6.160726946155215E-3</v>
      </c>
      <c r="Q171" s="143">
        <v>1.5152464694803136E-2</v>
      </c>
      <c r="R171" s="143">
        <v>1.3361515576115091E-2</v>
      </c>
      <c r="S171" s="143">
        <v>1.6312127942511578E-2</v>
      </c>
      <c r="T171" s="143">
        <v>-3.5714285673282831E-7</v>
      </c>
      <c r="U171" s="143"/>
      <c r="V171" s="143"/>
      <c r="W171" s="143"/>
      <c r="X171" s="143"/>
      <c r="Y171" s="143"/>
      <c r="Z171" s="143"/>
      <c r="AA171" s="143"/>
      <c r="AB171" s="143"/>
      <c r="AD171" s="142">
        <v>2.69936982337593E-3</v>
      </c>
      <c r="AE171" s="142">
        <v>1.7684014581555996E-2</v>
      </c>
      <c r="AF171" s="142">
        <v>2.1982966662115855E-2</v>
      </c>
      <c r="AG171" s="142">
        <v>1.83E-2</v>
      </c>
      <c r="AH171" s="144">
        <v>1485.17</v>
      </c>
      <c r="AK171" s="147"/>
      <c r="AL171" s="148"/>
    </row>
    <row r="172" spans="1:38" outlineLevel="1">
      <c r="A172" s="136">
        <v>42521</v>
      </c>
      <c r="B172" s="142">
        <v>1.9428328075456136E-2</v>
      </c>
      <c r="C172" s="142">
        <v>6.2670189269207199E-3</v>
      </c>
      <c r="D172" s="142">
        <v>6.189840587730977E-3</v>
      </c>
      <c r="E172" s="142">
        <v>1.6628170504742634E-2</v>
      </c>
      <c r="F172" s="142">
        <v>-6.3951009676237458E-3</v>
      </c>
      <c r="G172" s="142">
        <f t="shared" si="0"/>
        <v>3.859490832699275E-2</v>
      </c>
      <c r="H172" s="143">
        <f>-0.0966610532223244%/3</f>
        <v>-3.2220351074108134E-4</v>
      </c>
      <c r="I172" s="142">
        <v>2.0855467372069558E-2</v>
      </c>
      <c r="J172" s="143"/>
      <c r="K172" s="143"/>
      <c r="L172" s="143"/>
      <c r="M172" s="143">
        <v>0</v>
      </c>
      <c r="N172" s="143">
        <v>0</v>
      </c>
      <c r="O172" s="143">
        <v>4.0875105549577739E-2</v>
      </c>
      <c r="P172" s="143">
        <v>6.4024694416406902E-3</v>
      </c>
      <c r="Q172" s="143">
        <v>2.153471584624933E-2</v>
      </c>
      <c r="R172" s="143">
        <v>1.4128556306672202E-2</v>
      </c>
      <c r="S172" s="143">
        <v>1.6159789263931357E-2</v>
      </c>
      <c r="T172" s="143">
        <v>1.240715818722804E-2</v>
      </c>
      <c r="U172" s="143"/>
      <c r="V172" s="143"/>
      <c r="W172" s="143"/>
      <c r="X172" s="143"/>
      <c r="Y172" s="143"/>
      <c r="Z172" s="143"/>
      <c r="AA172" s="143"/>
      <c r="AB172" s="143"/>
      <c r="AD172" s="142">
        <v>1.5329492083474561E-2</v>
      </c>
      <c r="AE172" s="142">
        <v>-1.5623809160887236E-2</v>
      </c>
      <c r="AF172" s="142">
        <v>1.0743765887508472E-2</v>
      </c>
      <c r="AG172" s="142">
        <v>1.8499999999999999E-2</v>
      </c>
      <c r="AH172" s="144">
        <v>1542.49</v>
      </c>
      <c r="AK172" s="147"/>
      <c r="AL172" s="148"/>
    </row>
    <row r="173" spans="1:38" outlineLevel="1">
      <c r="A173" s="136">
        <v>42551</v>
      </c>
      <c r="B173" s="142">
        <v>-7.5274133154201728E-4</v>
      </c>
      <c r="C173" s="142">
        <v>1.2118656929513083E-2</v>
      </c>
      <c r="D173" s="142">
        <v>4.0481023181888176E-2</v>
      </c>
      <c r="E173" s="142">
        <v>3.5760157275634086E-2</v>
      </c>
      <c r="F173" s="142">
        <v>8.7515769983941283E-3</v>
      </c>
      <c r="G173" s="142">
        <f t="shared" si="0"/>
        <v>-9.666189083883947E-3</v>
      </c>
      <c r="H173" s="143">
        <f>-0.177085468769689%/3</f>
        <v>-5.9028489589896336E-4</v>
      </c>
      <c r="I173" s="142">
        <v>2.2597257529251014E-2</v>
      </c>
      <c r="J173" s="143"/>
      <c r="K173" s="143"/>
      <c r="L173" s="143"/>
      <c r="M173" s="143">
        <v>2.9410715825618974</v>
      </c>
      <c r="N173" s="143">
        <v>-3.3751039356561541E-2</v>
      </c>
      <c r="O173" s="143">
        <v>-1.3806584054538829E-2</v>
      </c>
      <c r="P173" s="143">
        <v>6.0120241146597309E-3</v>
      </c>
      <c r="Q173" s="143">
        <v>1.6376812251538864E-2</v>
      </c>
      <c r="R173" s="143">
        <v>1.2927856706701046E-2</v>
      </c>
      <c r="S173" s="143">
        <v>2.5510808551974407E-2</v>
      </c>
      <c r="T173" s="143">
        <v>1.1189056846669487E-2</v>
      </c>
      <c r="U173" s="143"/>
      <c r="V173" s="143"/>
      <c r="W173" s="143"/>
      <c r="X173" s="143"/>
      <c r="Y173" s="143"/>
      <c r="Z173" s="143"/>
      <c r="AA173" s="143"/>
      <c r="AB173" s="143"/>
      <c r="AD173" s="142">
        <v>9.0607355409733081E-4</v>
      </c>
      <c r="AE173" s="142">
        <v>-2.0130071229481628E-3</v>
      </c>
      <c r="AF173" s="142">
        <v>1.4961437578767445E-2</v>
      </c>
      <c r="AG173" s="142">
        <v>1.47E-2</v>
      </c>
      <c r="AH173" s="144">
        <v>1527.58</v>
      </c>
      <c r="AK173" s="147"/>
      <c r="AL173" s="148"/>
    </row>
    <row r="174" spans="1:38" outlineLevel="1">
      <c r="A174" s="136">
        <v>42580</v>
      </c>
      <c r="B174" s="142">
        <v>2.9152793200855065E-2</v>
      </c>
      <c r="C174" s="142">
        <v>3.6167782064127074E-3</v>
      </c>
      <c r="D174" s="142">
        <v>6.6841989918913214E-3</v>
      </c>
      <c r="E174" s="142">
        <v>0.10512728613622202</v>
      </c>
      <c r="F174" s="142">
        <v>1.8021949555675265E-2</v>
      </c>
      <c r="G174" s="142">
        <f t="shared" si="0"/>
        <v>-7.9668495267022355E-3</v>
      </c>
      <c r="H174" s="143">
        <f>-0.177085468769689%/3</f>
        <v>-5.9028489589896336E-4</v>
      </c>
      <c r="I174" s="142">
        <v>8.7638478378191387E-3</v>
      </c>
      <c r="J174" s="143"/>
      <c r="K174" s="143"/>
      <c r="L174" s="143"/>
      <c r="M174" s="143">
        <v>0</v>
      </c>
      <c r="N174" s="143">
        <v>-0.34024272957332768</v>
      </c>
      <c r="O174" s="143">
        <v>-4.7638059660885523E-2</v>
      </c>
      <c r="P174" s="143">
        <v>6.2839428596166425E-3</v>
      </c>
      <c r="Q174" s="143">
        <v>1.1694980559132651E-2</v>
      </c>
      <c r="R174" s="143">
        <v>1.3242185622706737E-2</v>
      </c>
      <c r="S174" s="143">
        <v>1.7188800530970605E-2</v>
      </c>
      <c r="T174" s="143">
        <v>1.1927273256465476E-2</v>
      </c>
      <c r="U174" s="143"/>
      <c r="V174" s="143"/>
      <c r="W174" s="143"/>
      <c r="X174" s="143"/>
      <c r="Y174" s="143"/>
      <c r="Z174" s="143"/>
      <c r="AA174" s="143"/>
      <c r="AB174" s="143"/>
      <c r="AD174" s="142">
        <v>3.5609807228685897E-2</v>
      </c>
      <c r="AE174" s="142">
        <v>5.8262218774243424E-2</v>
      </c>
      <c r="AF174" s="142">
        <v>2.9795421281028966E-2</v>
      </c>
      <c r="AG174" s="142">
        <v>1.4500000000000001E-2</v>
      </c>
      <c r="AH174" s="144">
        <v>1515.41</v>
      </c>
      <c r="AK174" s="147"/>
      <c r="AL174" s="148"/>
    </row>
    <row r="175" spans="1:38" outlineLevel="1">
      <c r="A175" s="136">
        <v>42613</v>
      </c>
      <c r="B175" s="142">
        <v>1.5613162819954285E-2</v>
      </c>
      <c r="C175" s="142">
        <v>4.8341121326185288E-3</v>
      </c>
      <c r="D175" s="142">
        <v>-6.3935820004177302E-3</v>
      </c>
      <c r="E175" s="142">
        <v>4.7423328535314058E-2</v>
      </c>
      <c r="F175" s="142">
        <v>6.3075897984843365E-3</v>
      </c>
      <c r="G175" s="142">
        <f t="shared" si="0"/>
        <v>9.4436489134953616E-2</v>
      </c>
      <c r="H175" s="143">
        <f>-0.177085468769689%/3</f>
        <v>-5.9028489589896336E-4</v>
      </c>
      <c r="I175" s="142">
        <v>-2.4448473425138229E-3</v>
      </c>
      <c r="J175" s="143"/>
      <c r="K175" s="143"/>
      <c r="L175" s="143"/>
      <c r="M175" s="143">
        <v>0</v>
      </c>
      <c r="N175" s="143">
        <v>0</v>
      </c>
      <c r="O175" s="143">
        <v>-5.6010011245590907E-2</v>
      </c>
      <c r="P175" s="143">
        <v>6.2968457675922629E-3</v>
      </c>
      <c r="Q175" s="143">
        <v>1.567773933118799E-2</v>
      </c>
      <c r="R175" s="143">
        <v>1.4011949183630135E-2</v>
      </c>
      <c r="S175" s="143">
        <v>1.4473167704943224E-2</v>
      </c>
      <c r="T175" s="143">
        <v>1.3775708756609051E-2</v>
      </c>
      <c r="U175" s="143"/>
      <c r="V175" s="143"/>
      <c r="W175" s="143"/>
      <c r="X175" s="143"/>
      <c r="Y175" s="143"/>
      <c r="Z175" s="143"/>
      <c r="AA175" s="143"/>
      <c r="AB175" s="143"/>
      <c r="AD175" s="142">
        <v>-1.2191755612808164E-3</v>
      </c>
      <c r="AE175" s="142">
        <v>1.1582728538963583E-2</v>
      </c>
      <c r="AF175" s="142">
        <v>7.6567823703430626E-3</v>
      </c>
      <c r="AG175" s="142">
        <v>1.5800000000000002E-2</v>
      </c>
      <c r="AH175" s="144">
        <v>1658.52</v>
      </c>
      <c r="AK175" s="147"/>
      <c r="AL175" s="148"/>
    </row>
    <row r="176" spans="1:38" outlineLevel="1">
      <c r="A176" s="136">
        <v>42643</v>
      </c>
      <c r="B176" s="188">
        <v>1.108383357653997E-2</v>
      </c>
      <c r="C176" s="188">
        <v>2.1031272656609756E-2</v>
      </c>
      <c r="D176" s="188">
        <v>4.934304122894817E-2</v>
      </c>
      <c r="E176" s="188">
        <v>7.4862309095699506E-2</v>
      </c>
      <c r="F176" s="188">
        <v>-6.3414200866156456E-3</v>
      </c>
      <c r="G176" s="188">
        <f t="shared" si="0"/>
        <v>3.0460892844222487E-2</v>
      </c>
      <c r="H176" s="189">
        <f t="shared" ref="H176:H178" si="1">-0.239701601235787%/3</f>
        <v>-7.9900533745262334E-4</v>
      </c>
      <c r="I176" s="188">
        <v>4.0494440407801813E-2</v>
      </c>
      <c r="J176" s="189">
        <v>3.9103016217781672E-2</v>
      </c>
      <c r="K176" s="189"/>
      <c r="L176" s="189">
        <v>2.100387585</v>
      </c>
      <c r="M176" s="143">
        <v>-1.7642383550541263E-3</v>
      </c>
      <c r="N176" s="143">
        <v>0.29197764555762995</v>
      </c>
      <c r="O176" s="143">
        <v>-3.9754421846723731E-2</v>
      </c>
      <c r="P176" s="143">
        <v>-6.174384684828671E-2</v>
      </c>
      <c r="Q176" s="143">
        <v>6.3420379480583211E-3</v>
      </c>
      <c r="R176" s="143">
        <v>1.3447711977628174E-2</v>
      </c>
      <c r="S176" s="143">
        <v>1.3562305928405571E-2</v>
      </c>
      <c r="T176" s="143">
        <v>7.9827604196167634E-3</v>
      </c>
      <c r="U176" s="143"/>
      <c r="V176" s="143"/>
      <c r="W176" s="143"/>
      <c r="X176" s="143"/>
      <c r="Y176" s="143"/>
      <c r="Z176" s="143"/>
      <c r="AA176" s="143"/>
      <c r="AB176" s="143"/>
      <c r="AD176" s="142">
        <v>-1.2344825997834263E-3</v>
      </c>
      <c r="AE176" s="142">
        <v>1.2537140372490763E-2</v>
      </c>
      <c r="AF176" s="142">
        <v>7.3688229326114296E-3</v>
      </c>
      <c r="AG176" s="142">
        <v>1.5900000000000001E-2</v>
      </c>
      <c r="AH176" s="144">
        <v>1709.04</v>
      </c>
      <c r="AK176" s="147"/>
      <c r="AL176" s="148"/>
    </row>
    <row r="177" spans="1:38" outlineLevel="1">
      <c r="A177" s="136">
        <v>42674</v>
      </c>
      <c r="B177" s="188">
        <v>3.5973644288677997E-2</v>
      </c>
      <c r="C177" s="188">
        <v>1.0498985228725166E-2</v>
      </c>
      <c r="D177" s="188">
        <v>2.0181647809563552E-2</v>
      </c>
      <c r="E177" s="188">
        <v>8.3550504630520939E-2</v>
      </c>
      <c r="F177" s="188">
        <v>1.0084579550558193E-2</v>
      </c>
      <c r="G177" s="188">
        <f t="shared" si="0"/>
        <v>-1.9578242756167263E-2</v>
      </c>
      <c r="H177" s="189">
        <f t="shared" si="1"/>
        <v>-7.9900533745262334E-4</v>
      </c>
      <c r="I177" s="188">
        <v>2.9184105595610355E-2</v>
      </c>
      <c r="J177" s="189">
        <v>3.6482942352337622E-2</v>
      </c>
      <c r="K177" s="189"/>
      <c r="L177" s="189">
        <v>0.35977854604265547</v>
      </c>
      <c r="M177" s="143">
        <v>0</v>
      </c>
      <c r="N177" s="143">
        <v>0</v>
      </c>
      <c r="O177" s="143">
        <v>-5.8105765532601716E-2</v>
      </c>
      <c r="P177" s="143">
        <v>7.8870914030450878E-2</v>
      </c>
      <c r="Q177" s="143">
        <v>1.5439133939900485E-2</v>
      </c>
      <c r="R177" s="143">
        <v>1.393554138437092E-2</v>
      </c>
      <c r="S177" s="143">
        <v>1.2777005784875284E-2</v>
      </c>
      <c r="T177" s="143">
        <v>1.3735277460035222E-2</v>
      </c>
      <c r="U177" s="143"/>
      <c r="V177" s="143"/>
      <c r="W177" s="143"/>
      <c r="X177" s="143"/>
      <c r="Y177" s="143"/>
      <c r="Z177" s="143"/>
      <c r="AA177" s="143"/>
      <c r="AB177" s="143"/>
      <c r="AD177" s="142">
        <v>-1.9425625037472249E-2</v>
      </c>
      <c r="AE177" s="142">
        <v>-4.8668766103636685E-3</v>
      </c>
      <c r="AF177" s="142">
        <v>6.0077447971771392E-3</v>
      </c>
      <c r="AG177" s="142">
        <v>1.8200000000000001E-2</v>
      </c>
      <c r="AH177" s="144">
        <v>1675.58</v>
      </c>
      <c r="AK177" s="147"/>
      <c r="AL177" s="148"/>
    </row>
    <row r="178" spans="1:38" outlineLevel="1">
      <c r="A178" s="136">
        <v>42704</v>
      </c>
      <c r="B178" s="188">
        <v>-1.43E-2</v>
      </c>
      <c r="C178" s="188">
        <v>1.2324851047784469E-2</v>
      </c>
      <c r="D178" s="188">
        <v>-2.8725228777113365E-3</v>
      </c>
      <c r="E178" s="188">
        <v>-6.9944725377546368E-2</v>
      </c>
      <c r="F178" s="188">
        <v>-5.7931087243405788E-3</v>
      </c>
      <c r="G178" s="188">
        <f t="shared" si="0"/>
        <v>2.8640828847324551E-2</v>
      </c>
      <c r="H178" s="189">
        <f t="shared" si="1"/>
        <v>-7.9900533745262334E-4</v>
      </c>
      <c r="I178" s="188">
        <v>6.2692877607670727E-3</v>
      </c>
      <c r="J178" s="189">
        <v>1.9712643650737771E-3</v>
      </c>
      <c r="K178" s="189"/>
      <c r="L178" s="189">
        <v>1.7072476363511502E-2</v>
      </c>
      <c r="M178" s="143">
        <v>-3.4498843298074178E-3</v>
      </c>
      <c r="N178" s="143">
        <v>2.2204460492503131E-16</v>
      </c>
      <c r="O178" s="143">
        <v>5.3917483773496366E-2</v>
      </c>
      <c r="P178" s="143">
        <v>5.9470396928462677E-3</v>
      </c>
      <c r="Q178" s="143">
        <v>1.4757541040772981E-2</v>
      </c>
      <c r="R178" s="143">
        <v>1.3512032748410618E-2</v>
      </c>
      <c r="S178" s="143">
        <v>1.4699763528065013E-2</v>
      </c>
      <c r="T178" s="143">
        <v>1.0747582743464434E-2</v>
      </c>
      <c r="U178" s="143">
        <v>3.499999999999992E-2</v>
      </c>
      <c r="V178" s="143"/>
      <c r="W178" s="143"/>
      <c r="X178" s="143"/>
      <c r="Y178" s="143"/>
      <c r="Z178" s="143"/>
      <c r="AA178" s="143"/>
      <c r="AB178" s="143"/>
      <c r="AD178" s="142">
        <v>3.4174446769983158E-2</v>
      </c>
      <c r="AE178" s="142">
        <v>-2.4237629459148535E-2</v>
      </c>
      <c r="AF178" s="142">
        <v>-8.9822186952236427E-3</v>
      </c>
      <c r="AG178" s="142">
        <v>2.3800000000000002E-2</v>
      </c>
      <c r="AH178" s="144">
        <v>1723.57</v>
      </c>
      <c r="AK178" s="147"/>
      <c r="AL178" s="148"/>
    </row>
    <row r="179" spans="1:38" outlineLevel="1">
      <c r="A179" s="136">
        <v>42734</v>
      </c>
      <c r="B179" s="191">
        <v>2.9786234966146408E-2</v>
      </c>
      <c r="C179" s="191">
        <v>1.269584960970116E-2</v>
      </c>
      <c r="D179" s="191">
        <v>-1.3552454461562835E-3</v>
      </c>
      <c r="E179" s="191">
        <v>9.675283583589378E-3</v>
      </c>
      <c r="F179" s="191">
        <v>-4.5534889521087418E-2</v>
      </c>
      <c r="G179" s="188">
        <f t="shared" si="0"/>
        <v>8.042029044367216E-2</v>
      </c>
      <c r="H179" s="189">
        <f>31.1295541282113%/3</f>
        <v>0.103765180427371</v>
      </c>
      <c r="I179" s="191">
        <v>-7.0863518844442863E-3</v>
      </c>
      <c r="J179" s="192">
        <v>-8.6365971721477086E-3</v>
      </c>
      <c r="K179" s="192"/>
      <c r="L179" s="192">
        <v>3.7892803666230712E-3</v>
      </c>
      <c r="M179" s="143">
        <v>-2.5149511723832063E-5</v>
      </c>
      <c r="N179" s="143">
        <v>0.15079137917574692</v>
      </c>
      <c r="O179" s="143">
        <v>-3.3764578608323825E-2</v>
      </c>
      <c r="P179" s="143">
        <v>6.1104568676091375E-3</v>
      </c>
      <c r="Q179" s="143">
        <v>8.5112342258040208E-3</v>
      </c>
      <c r="R179" s="143">
        <v>1.4678174079543638E-2</v>
      </c>
      <c r="S179" s="143">
        <v>-8.0951231904469179E-3</v>
      </c>
      <c r="T179" s="143">
        <v>9.8329959609220197E-3</v>
      </c>
      <c r="U179" s="143">
        <v>0</v>
      </c>
      <c r="V179" s="149"/>
      <c r="W179" s="149"/>
      <c r="X179" s="149"/>
      <c r="Y179" s="149"/>
      <c r="Z179" s="149"/>
      <c r="AA179" s="149"/>
      <c r="AB179" s="149"/>
      <c r="AD179" s="142">
        <v>1.8200754044233047E-2</v>
      </c>
      <c r="AE179" s="142">
        <v>-4.6436205498635585E-3</v>
      </c>
      <c r="AF179" s="142">
        <v>3.8243239675821439E-3</v>
      </c>
      <c r="AG179" s="142">
        <v>2.4400000000000002E-2</v>
      </c>
      <c r="AH179" s="144">
        <v>1862.18</v>
      </c>
      <c r="AK179" s="147"/>
      <c r="AL179" s="148"/>
    </row>
    <row r="180" spans="1:38" outlineLevel="1">
      <c r="A180" s="136">
        <v>42762</v>
      </c>
      <c r="B180" s="191">
        <v>1.2846015298147995E-2</v>
      </c>
      <c r="C180" s="191">
        <v>1.9184924326957509E-2</v>
      </c>
      <c r="D180" s="191">
        <v>-7.8264287093113838E-3</v>
      </c>
      <c r="E180" s="191">
        <v>1.6482285541806974E-2</v>
      </c>
      <c r="F180" s="191">
        <v>-1.2226657371587901E-3</v>
      </c>
      <c r="G180" s="188">
        <f t="shared" si="0"/>
        <v>1.8258170531315621E-4</v>
      </c>
      <c r="H180" s="189">
        <f t="shared" ref="H180:H181" si="2">31.1295541282113%/3</f>
        <v>0.103765180427371</v>
      </c>
      <c r="I180" s="191">
        <v>1.4148801806993294E-2</v>
      </c>
      <c r="J180" s="192">
        <v>1.7644374800161122E-2</v>
      </c>
      <c r="K180" s="192"/>
      <c r="L180" s="192">
        <v>2.7907560247791174E-2</v>
      </c>
      <c r="M180" s="143">
        <v>0</v>
      </c>
      <c r="N180" s="143">
        <v>0</v>
      </c>
      <c r="O180" s="143">
        <v>-7.5469351215955438E-3</v>
      </c>
      <c r="P180" s="143">
        <v>6.1789315942011314E-3</v>
      </c>
      <c r="Q180" s="143">
        <v>1.3257703591350811E-2</v>
      </c>
      <c r="R180" s="143">
        <v>1.2754565239647464E-2</v>
      </c>
      <c r="S180" s="143">
        <v>1.045949793665657E-2</v>
      </c>
      <c r="T180" s="143">
        <v>9.3885628166394675E-3</v>
      </c>
      <c r="U180" s="143">
        <v>0</v>
      </c>
      <c r="V180" s="149"/>
      <c r="W180" s="149"/>
      <c r="X180" s="149"/>
      <c r="Y180" s="149"/>
      <c r="Z180" s="149"/>
      <c r="AA180" s="149"/>
      <c r="AB180" s="149"/>
      <c r="AD180" s="142">
        <v>2.0199999999999999E-2</v>
      </c>
      <c r="AE180" s="142">
        <v>5.1999999999999998E-2</v>
      </c>
      <c r="AF180" s="142">
        <v>1.89E-2</v>
      </c>
      <c r="AG180" s="142">
        <v>2.4843E-2</v>
      </c>
      <c r="AH180" s="144">
        <v>1862.52</v>
      </c>
      <c r="AK180" s="147"/>
      <c r="AL180" s="148"/>
    </row>
    <row r="181" spans="1:38" s="156" customFormat="1" outlineLevel="1">
      <c r="A181" s="150">
        <v>42794</v>
      </c>
      <c r="B181" s="193">
        <v>0.11263837020092304</v>
      </c>
      <c r="C181" s="193">
        <v>9.8286168333659774E-2</v>
      </c>
      <c r="D181" s="194">
        <v>3.3819058184803907E-2</v>
      </c>
      <c r="E181" s="194">
        <v>1.3198953546678771E-2</v>
      </c>
      <c r="F181" s="194">
        <v>1.6123852770293823E-2</v>
      </c>
      <c r="G181" s="188">
        <f t="shared" si="0"/>
        <v>7.6928032987565231E-2</v>
      </c>
      <c r="H181" s="189">
        <f t="shared" si="2"/>
        <v>0.103765180427371</v>
      </c>
      <c r="I181" s="194">
        <v>3.6346890143077681E-2</v>
      </c>
      <c r="J181" s="193">
        <v>1.7202977554961807E-2</v>
      </c>
      <c r="K181" s="193"/>
      <c r="L181" s="193">
        <v>5.1780867999897673E-3</v>
      </c>
      <c r="M181" s="143">
        <v>0</v>
      </c>
      <c r="N181" s="143">
        <v>0</v>
      </c>
      <c r="O181" s="143">
        <v>0.12906524123327512</v>
      </c>
      <c r="P181" s="143">
        <v>5.5027576484600882E-3</v>
      </c>
      <c r="Q181" s="143">
        <v>1.5110876728652967E-2</v>
      </c>
      <c r="R181" s="143">
        <v>1.5442426442009438E-2</v>
      </c>
      <c r="S181" s="143">
        <v>-7.7746207008643209E-3</v>
      </c>
      <c r="T181" s="143">
        <v>1.2528476200180272E-2</v>
      </c>
      <c r="U181" s="143">
        <v>3.499999999999992E-2</v>
      </c>
      <c r="V181" s="151"/>
      <c r="W181" s="151"/>
      <c r="X181" s="151"/>
      <c r="Y181" s="151"/>
      <c r="Z181" s="151"/>
      <c r="AA181" s="151"/>
      <c r="AB181" s="151"/>
      <c r="AC181" s="152"/>
      <c r="AD181" s="153">
        <v>3.0047631706243472E-2</v>
      </c>
      <c r="AE181" s="153">
        <v>2.1258623116992892E-2</v>
      </c>
      <c r="AF181" s="153">
        <v>1.8897681320142912E-2</v>
      </c>
      <c r="AG181" s="153">
        <v>2.3890000000000002E-2</v>
      </c>
      <c r="AH181" s="154">
        <v>2005.8</v>
      </c>
      <c r="AI181" s="155"/>
      <c r="AK181" s="157"/>
      <c r="AL181" s="158"/>
    </row>
    <row r="182" spans="1:38" s="156" customFormat="1" outlineLevel="1">
      <c r="A182" s="150">
        <v>42825</v>
      </c>
      <c r="B182" s="193">
        <v>3.3637870232972267E-2</v>
      </c>
      <c r="C182" s="193">
        <v>5.4915447463032896E-2</v>
      </c>
      <c r="D182" s="194">
        <v>-7.8297691668700597E-3</v>
      </c>
      <c r="E182" s="194">
        <v>-7.3784919167215746E-3</v>
      </c>
      <c r="F182" s="194">
        <v>5.3358607025761229E-2</v>
      </c>
      <c r="G182" s="188">
        <f t="shared" si="0"/>
        <v>0.17975869977066505</v>
      </c>
      <c r="H182" s="189">
        <f>0.069651298368667%/3</f>
        <v>2.3217099456222334E-4</v>
      </c>
      <c r="I182" s="188">
        <v>-1.0734388253001548E-2</v>
      </c>
      <c r="J182" s="193">
        <v>-1.2802534699568713E-2</v>
      </c>
      <c r="K182" s="193"/>
      <c r="L182" s="193">
        <v>1.3600273240221838E-4</v>
      </c>
      <c r="M182" s="143">
        <v>0</v>
      </c>
      <c r="N182" s="143">
        <v>-9.8199092280585321E-3</v>
      </c>
      <c r="O182" s="143">
        <v>0.19299173540729209</v>
      </c>
      <c r="P182" s="143">
        <v>6.1998939616332294E-3</v>
      </c>
      <c r="Q182" s="143">
        <v>1.4444033425477176E-2</v>
      </c>
      <c r="R182" s="143">
        <v>1.5571160326640632E-2</v>
      </c>
      <c r="S182" s="143">
        <v>6.2763618520556008E-4</v>
      </c>
      <c r="T182" s="143">
        <v>1.7001691731366897E-2</v>
      </c>
      <c r="U182" s="143">
        <v>0</v>
      </c>
      <c r="V182" s="151">
        <v>0</v>
      </c>
      <c r="W182" s="151"/>
      <c r="X182" s="151"/>
      <c r="Y182" s="151"/>
      <c r="Z182" s="151"/>
      <c r="AA182" s="151"/>
      <c r="AB182" s="151"/>
      <c r="AC182" s="152"/>
      <c r="AD182" s="153">
        <v>-3.8923017041514463E-4</v>
      </c>
      <c r="AE182" s="153">
        <v>1.2682657843948064E-2</v>
      </c>
      <c r="AF182" s="153">
        <v>4.5079486714352246E-3</v>
      </c>
      <c r="AG182" s="153">
        <v>2.3873999999999999E-2</v>
      </c>
      <c r="AH182" s="154">
        <v>2366.36</v>
      </c>
      <c r="AI182" s="155"/>
      <c r="AK182" s="157"/>
      <c r="AL182" s="158"/>
    </row>
    <row r="183" spans="1:38" s="156" customFormat="1" outlineLevel="1">
      <c r="A183" s="150">
        <v>42853</v>
      </c>
      <c r="B183" s="193">
        <v>-1.17E-2</v>
      </c>
      <c r="C183" s="193">
        <v>-1.4200000000000001E-2</v>
      </c>
      <c r="D183" s="194">
        <v>-3.5999999999999999E-3</v>
      </c>
      <c r="E183" s="194">
        <v>-2.9999999999999997E-4</v>
      </c>
      <c r="F183" s="194">
        <v>1.49E-2</v>
      </c>
      <c r="G183" s="188">
        <f t="shared" si="0"/>
        <v>2.7138727835156029E-2</v>
      </c>
      <c r="H183" s="189">
        <f t="shared" ref="H183:H184" si="3">0.069651298368667%/3</f>
        <v>2.3217099456222334E-4</v>
      </c>
      <c r="I183" s="188">
        <v>-8.0000000000000004E-4</v>
      </c>
      <c r="J183" s="193">
        <v>6.1000000000000004E-3</v>
      </c>
      <c r="K183" s="193"/>
      <c r="L183" s="193">
        <v>1.1673136910547166E-2</v>
      </c>
      <c r="M183" s="143">
        <v>0</v>
      </c>
      <c r="N183" s="143">
        <v>2.1977370967467769E-2</v>
      </c>
      <c r="O183" s="143">
        <v>-2.2687263800380664E-2</v>
      </c>
      <c r="P183" s="143">
        <v>5.9833936486479722E-3</v>
      </c>
      <c r="Q183" s="143">
        <v>2.8727427377964077E-2</v>
      </c>
      <c r="R183" s="143">
        <v>1.2953211446714796E-2</v>
      </c>
      <c r="S183" s="143">
        <v>-1.5583773899041531E-2</v>
      </c>
      <c r="T183" s="143">
        <v>1.2300391207906936E-2</v>
      </c>
      <c r="U183" s="143">
        <v>0</v>
      </c>
      <c r="V183" s="151">
        <v>0</v>
      </c>
      <c r="W183" s="151"/>
      <c r="X183" s="151"/>
      <c r="Y183" s="151"/>
      <c r="Z183" s="151"/>
      <c r="AA183" s="151"/>
      <c r="AB183" s="151"/>
      <c r="AC183" s="152"/>
      <c r="AD183" s="153">
        <v>9.0912169025529899E-3</v>
      </c>
      <c r="AE183" s="153">
        <v>1.3272529267628785E-2</v>
      </c>
      <c r="AF183" s="153">
        <v>7.5678558529366224E-3</v>
      </c>
      <c r="AG183" s="153">
        <v>2.2801999999999999E-2</v>
      </c>
      <c r="AH183" s="154">
        <v>2430.58</v>
      </c>
      <c r="AI183" s="155"/>
      <c r="AK183" s="157"/>
      <c r="AL183" s="158"/>
    </row>
    <row r="184" spans="1:38" s="156" customFormat="1" outlineLevel="1">
      <c r="A184" s="150">
        <v>42886</v>
      </c>
      <c r="B184" s="193">
        <v>-2.0400000000000001E-2</v>
      </c>
      <c r="C184" s="193">
        <v>-3.0300000000000001E-2</v>
      </c>
      <c r="D184" s="194">
        <v>-4.2000000000000003E-2</v>
      </c>
      <c r="E184" s="194">
        <v>-1.7299999999999999E-2</v>
      </c>
      <c r="F184" s="194">
        <v>-5.5599999999999997E-2</v>
      </c>
      <c r="G184" s="188">
        <f t="shared" si="0"/>
        <v>-8.61728476330752E-2</v>
      </c>
      <c r="H184" s="189">
        <f t="shared" si="3"/>
        <v>2.3217099456222334E-4</v>
      </c>
      <c r="I184" s="188">
        <v>-1.1299999999999999E-2</v>
      </c>
      <c r="J184" s="193">
        <v>-1.6E-2</v>
      </c>
      <c r="K184" s="193"/>
      <c r="L184" s="193">
        <v>9.7150404094350495E-3</v>
      </c>
      <c r="M184" s="143">
        <v>0</v>
      </c>
      <c r="N184" s="143">
        <v>0</v>
      </c>
      <c r="O184" s="143">
        <v>-1.3082671923138056E-3</v>
      </c>
      <c r="P184" s="143">
        <v>6.2231296614998488E-3</v>
      </c>
      <c r="Q184" s="143">
        <v>-1.6768636095931821E-4</v>
      </c>
      <c r="R184" s="143">
        <v>3.4527794575689441E-4</v>
      </c>
      <c r="S184" s="143">
        <v>1.4531307876877841E-2</v>
      </c>
      <c r="T184" s="143">
        <v>1.3464027240931431E-2</v>
      </c>
      <c r="U184" s="143">
        <v>3.499999999999992E-2</v>
      </c>
      <c r="V184" s="151">
        <v>5.5696750000000517E-3</v>
      </c>
      <c r="W184" s="151"/>
      <c r="X184" s="151"/>
      <c r="Y184" s="151"/>
      <c r="Z184" s="151"/>
      <c r="AA184" s="151"/>
      <c r="AB184" s="151"/>
      <c r="AC184" s="152"/>
      <c r="AD184" s="153">
        <v>1.1576210049492719E-2</v>
      </c>
      <c r="AE184" s="153">
        <v>2.559279908645129E-2</v>
      </c>
      <c r="AF184" s="153">
        <v>-6.780683093519202E-3</v>
      </c>
      <c r="AG184" s="153">
        <v>2.2027999999999999E-2</v>
      </c>
      <c r="AH184" s="154">
        <v>2221.13</v>
      </c>
      <c r="AI184" s="155"/>
      <c r="AK184" s="157"/>
      <c r="AL184" s="158"/>
    </row>
    <row r="185" spans="1:38" s="156" customFormat="1" outlineLevel="1">
      <c r="A185" s="150">
        <v>42916</v>
      </c>
      <c r="B185" s="193">
        <v>1.4800000000000001E-2</v>
      </c>
      <c r="C185" s="193">
        <v>1.6000000000000001E-3</v>
      </c>
      <c r="D185" s="194">
        <v>-1.8E-3</v>
      </c>
      <c r="E185" s="194">
        <v>5.9999999999999995E-4</v>
      </c>
      <c r="F185" s="194">
        <v>-2.8799999999999999E-2</v>
      </c>
      <c r="G185" s="188">
        <f t="shared" si="0"/>
        <v>-8.7014267512482424E-2</v>
      </c>
      <c r="H185" s="189">
        <f>0.101913058280778%/3</f>
        <v>3.3971019426925998E-4</v>
      </c>
      <c r="I185" s="188">
        <v>2.3E-2</v>
      </c>
      <c r="J185" s="193">
        <v>1.26E-2</v>
      </c>
      <c r="K185" s="193"/>
      <c r="L185" s="193">
        <v>1.0891782449718335E-2</v>
      </c>
      <c r="M185" s="143">
        <v>0.22759992659048156</v>
      </c>
      <c r="N185" s="143">
        <v>-1.4556040756914523E-3</v>
      </c>
      <c r="O185" s="143">
        <v>2.0690256571622712E-3</v>
      </c>
      <c r="P185" s="143">
        <v>5.5279952430846713E-3</v>
      </c>
      <c r="Q185" s="143">
        <v>0.11081429526313369</v>
      </c>
      <c r="R185" s="143">
        <v>2.2414902927188507E-2</v>
      </c>
      <c r="S185" s="143">
        <v>1.1517856623258993E-2</v>
      </c>
      <c r="T185" s="143">
        <v>1.1472836333295433E-2</v>
      </c>
      <c r="U185" s="143">
        <v>0</v>
      </c>
      <c r="V185" s="151">
        <v>1.1170557624462951E-2</v>
      </c>
      <c r="W185" s="151"/>
      <c r="X185" s="151"/>
      <c r="Y185" s="151"/>
      <c r="Z185" s="151"/>
      <c r="AA185" s="151"/>
      <c r="AB185" s="151"/>
      <c r="AC185" s="152"/>
      <c r="AD185" s="153">
        <v>4.8138319927024664E-3</v>
      </c>
      <c r="AE185" s="153">
        <v>1.250982446947857E-2</v>
      </c>
      <c r="AF185" s="153">
        <v>-1.3222203858049841E-3</v>
      </c>
      <c r="AG185" s="153">
        <v>2.3037000000000002E-2</v>
      </c>
      <c r="AH185" s="154">
        <v>2027.86</v>
      </c>
      <c r="AI185" s="155"/>
      <c r="AK185" s="157"/>
      <c r="AL185" s="158"/>
    </row>
    <row r="186" spans="1:38" s="156" customFormat="1" outlineLevel="1">
      <c r="A186" s="150">
        <v>42947</v>
      </c>
      <c r="B186" s="193">
        <v>5.4999999999999997E-3</v>
      </c>
      <c r="C186" s="193">
        <v>2.01E-2</v>
      </c>
      <c r="D186" s="194">
        <v>-2.24E-2</v>
      </c>
      <c r="E186" s="194">
        <v>-2.2961334704623249E-2</v>
      </c>
      <c r="F186" s="194">
        <v>4.8174407415015441E-2</v>
      </c>
      <c r="G186" s="188">
        <f t="shared" si="0"/>
        <v>1.3771174793772767E-2</v>
      </c>
      <c r="H186" s="189">
        <f t="shared" ref="H186:H187" si="4">0.101913058280778%/3</f>
        <v>3.3971019426925998E-4</v>
      </c>
      <c r="I186" s="188">
        <v>2.0170721811689551E-2</v>
      </c>
      <c r="J186" s="193">
        <v>-6.3E-3</v>
      </c>
      <c r="K186" s="193"/>
      <c r="L186" s="193">
        <v>1.1191576726223174E-2</v>
      </c>
      <c r="M186" s="143">
        <v>0</v>
      </c>
      <c r="N186" s="143">
        <v>-3.2393909944931076E-3</v>
      </c>
      <c r="O186" s="143">
        <v>6.3420941317460233E-3</v>
      </c>
      <c r="P186" s="143">
        <v>5.681855233594435E-3</v>
      </c>
      <c r="Q186" s="143">
        <v>-8.9610278971643531E-3</v>
      </c>
      <c r="R186" s="143">
        <v>1.3237748319238518E-2</v>
      </c>
      <c r="S186" s="143">
        <v>7.9068855350681311E-3</v>
      </c>
      <c r="T186" s="143">
        <v>1.3264730563009586E-2</v>
      </c>
      <c r="U186" s="143">
        <v>0</v>
      </c>
      <c r="V186" s="151">
        <v>2.9452105499403469E-2</v>
      </c>
      <c r="W186" s="151"/>
      <c r="X186" s="151"/>
      <c r="Y186" s="151"/>
      <c r="Z186" s="151"/>
      <c r="AA186" s="151"/>
      <c r="AB186" s="151"/>
      <c r="AC186" s="152"/>
      <c r="AD186" s="153">
        <v>1.9348768883515444E-2</v>
      </c>
      <c r="AE186" s="153">
        <v>3.7259848631864934E-2</v>
      </c>
      <c r="AF186" s="153">
        <v>8.4352487005157073E-3</v>
      </c>
      <c r="AG186" s="153">
        <v>2.2942000000000001E-2</v>
      </c>
      <c r="AH186" s="154">
        <v>2055.7860145172999</v>
      </c>
      <c r="AI186" s="155"/>
      <c r="AK186" s="157"/>
      <c r="AL186" s="158"/>
    </row>
    <row r="187" spans="1:38" s="141" customFormat="1" outlineLevel="1">
      <c r="A187" s="150">
        <v>42978</v>
      </c>
      <c r="B187" s="188">
        <v>1.5299999999999999E-2</v>
      </c>
      <c r="C187" s="188">
        <v>1.55E-2</v>
      </c>
      <c r="D187" s="188">
        <v>1.9199999999999998E-2</v>
      </c>
      <c r="E187" s="188">
        <v>1.35E-2</v>
      </c>
      <c r="F187" s="188">
        <v>0.1057</v>
      </c>
      <c r="G187" s="188">
        <f t="shared" si="0"/>
        <v>4.1192418185154178E-2</v>
      </c>
      <c r="H187" s="189">
        <f t="shared" si="4"/>
        <v>3.3971019426925998E-4</v>
      </c>
      <c r="I187" s="188">
        <v>3.0000000000000001E-3</v>
      </c>
      <c r="J187" s="189">
        <v>-4.5999999999999999E-3</v>
      </c>
      <c r="K187" s="189"/>
      <c r="L187" s="189">
        <v>-1.7574317769203041E-2</v>
      </c>
      <c r="M187" s="143">
        <v>0</v>
      </c>
      <c r="N187" s="143">
        <v>-6.4698579785502641E-3</v>
      </c>
      <c r="O187" s="143">
        <v>-3.3328597513958558E-2</v>
      </c>
      <c r="P187" s="143">
        <v>-0.2421854736694804</v>
      </c>
      <c r="Q187" s="143">
        <v>-4.180507677858003E-2</v>
      </c>
      <c r="R187" s="143">
        <v>1.3544016414205329E-2</v>
      </c>
      <c r="S187" s="143">
        <v>1.1719495069912211E-2</v>
      </c>
      <c r="T187" s="143">
        <v>1.2593899402390418E-2</v>
      </c>
      <c r="U187" s="143">
        <v>3.499999999999992E-2</v>
      </c>
      <c r="V187" s="151">
        <v>-6.5221312943156695E-3</v>
      </c>
      <c r="W187" s="143"/>
      <c r="X187" s="143"/>
      <c r="Y187" s="143"/>
      <c r="Z187" s="143"/>
      <c r="AA187" s="143"/>
      <c r="AB187" s="143"/>
      <c r="AC187" s="142"/>
      <c r="AD187" s="142">
        <v>5.4649232886694321E-4</v>
      </c>
      <c r="AE187" s="142">
        <v>3.4923604614904846E-3</v>
      </c>
      <c r="AF187" s="142">
        <v>1.1876353296391251E-2</v>
      </c>
      <c r="AG187" s="142">
        <v>2.1170000000000001E-2</v>
      </c>
      <c r="AH187" s="144">
        <v>2140.4688117264882</v>
      </c>
      <c r="AI187" s="140"/>
    </row>
    <row r="188" spans="1:38" s="141" customFormat="1" outlineLevel="1">
      <c r="A188" s="150">
        <v>43007</v>
      </c>
      <c r="B188" s="188">
        <v>-2.2000000000000001E-3</v>
      </c>
      <c r="C188" s="188">
        <v>-1.7399999999999999E-2</v>
      </c>
      <c r="D188" s="188">
        <v>-1.7899999999999999E-2</v>
      </c>
      <c r="E188" s="188">
        <v>-2.1499999999999998E-2</v>
      </c>
      <c r="F188" s="188">
        <v>-9.1999999999999998E-3</v>
      </c>
      <c r="G188" s="188">
        <f t="shared" si="0"/>
        <v>2.3644908066980497E-2</v>
      </c>
      <c r="H188" s="189">
        <f>0.0732385401271962%/3</f>
        <v>2.4412846709065403E-4</v>
      </c>
      <c r="I188" s="188">
        <v>-2.2000000000000001E-3</v>
      </c>
      <c r="J188" s="189">
        <v>4.0000000000000001E-3</v>
      </c>
      <c r="K188" s="189"/>
      <c r="L188" s="189">
        <v>2.3283169647858371E-2</v>
      </c>
      <c r="M188" s="143">
        <v>0</v>
      </c>
      <c r="N188" s="143">
        <v>0.14946842019337314</v>
      </c>
      <c r="O188" s="143">
        <v>-6.860066530230402E-2</v>
      </c>
      <c r="P188" s="143">
        <v>7.6691147772833812E-3</v>
      </c>
      <c r="Q188" s="143">
        <v>1.7118081201318303E-2</v>
      </c>
      <c r="R188" s="143">
        <v>1.2671536161335206E-2</v>
      </c>
      <c r="S188" s="143">
        <v>1.1991132321445441E-2</v>
      </c>
      <c r="T188" s="143">
        <v>8.6037531263551958E-3</v>
      </c>
      <c r="U188" s="143">
        <v>0</v>
      </c>
      <c r="V188" s="151">
        <v>1.0803207430665207E-2</v>
      </c>
      <c r="W188" s="143"/>
      <c r="X188" s="143"/>
      <c r="Y188" s="143"/>
      <c r="Z188" s="143"/>
      <c r="AA188" s="143"/>
      <c r="AB188" s="143"/>
      <c r="AC188" s="142"/>
      <c r="AD188" s="142">
        <v>1.9302894827342154E-2</v>
      </c>
      <c r="AE188" s="142">
        <v>1.6158100801690889E-3</v>
      </c>
      <c r="AF188" s="142">
        <v>7.1163187117806448E-3</v>
      </c>
      <c r="AG188" s="142">
        <v>2.3336000000000003E-2</v>
      </c>
      <c r="AH188" s="144">
        <v>2191.08</v>
      </c>
      <c r="AI188" s="140"/>
    </row>
    <row r="189" spans="1:38" s="141" customFormat="1" outlineLevel="1">
      <c r="A189" s="150">
        <v>43039</v>
      </c>
      <c r="B189" s="188">
        <v>7.6001799605626585E-2</v>
      </c>
      <c r="C189" s="188">
        <v>3.6927796469032881E-2</v>
      </c>
      <c r="D189" s="188">
        <v>-2.0087631491140345E-2</v>
      </c>
      <c r="E189" s="188">
        <v>0.51319240896617924</v>
      </c>
      <c r="F189" s="188">
        <v>-3.1291533428915441E-3</v>
      </c>
      <c r="G189" s="188">
        <f t="shared" si="0"/>
        <v>-2.7096226518429245E-2</v>
      </c>
      <c r="H189" s="189">
        <f t="shared" ref="H189:H194" si="5">0.0732385401271962%/3</f>
        <v>2.4412846709065403E-4</v>
      </c>
      <c r="I189" s="188">
        <v>5.939385810705744E-3</v>
      </c>
      <c r="J189" s="189">
        <v>4.4112738707684507E-3</v>
      </c>
      <c r="K189" s="189"/>
      <c r="L189" s="189">
        <v>1.8179619812777048E-2</v>
      </c>
      <c r="M189" s="143">
        <v>0</v>
      </c>
      <c r="N189" s="143">
        <v>0.10437486749271918</v>
      </c>
      <c r="O189" s="143">
        <v>1.2965518846459467E-2</v>
      </c>
      <c r="P189" s="143">
        <v>-1.3416068930154679E-2</v>
      </c>
      <c r="Q189" s="143">
        <v>1.8862152857742176E-2</v>
      </c>
      <c r="R189" s="143">
        <v>1.4042673202721678E-2</v>
      </c>
      <c r="S189" s="143">
        <v>-7.7107325180499897E-3</v>
      </c>
      <c r="T189" s="143">
        <v>-2.3725693096917855E-2</v>
      </c>
      <c r="U189" s="143">
        <v>0</v>
      </c>
      <c r="V189" s="151">
        <v>1.2905559959439872E-2</v>
      </c>
      <c r="W189" s="143">
        <v>0</v>
      </c>
      <c r="X189" s="143"/>
      <c r="Y189" s="143"/>
      <c r="Z189" s="143"/>
      <c r="AA189" s="143"/>
      <c r="AB189" s="143"/>
      <c r="AC189" s="142"/>
      <c r="AD189" s="142">
        <v>2.2188174774546043E-2</v>
      </c>
      <c r="AE189" s="142">
        <v>4.2501706272879636E-2</v>
      </c>
      <c r="AF189" s="142"/>
      <c r="AG189" s="142">
        <v>2.3793000000000002E-2</v>
      </c>
      <c r="AH189" s="144">
        <v>2131.71</v>
      </c>
      <c r="AI189" s="140"/>
    </row>
    <row r="190" spans="1:38" s="141" customFormat="1" outlineLevel="1">
      <c r="A190" s="150">
        <v>43069</v>
      </c>
      <c r="B190" s="188">
        <v>-3.1369341275020002E-2</v>
      </c>
      <c r="C190" s="188">
        <v>-2.7867138610143005E-2</v>
      </c>
      <c r="D190" s="188">
        <v>-1.0991804235966907E-3</v>
      </c>
      <c r="E190" s="188">
        <v>-3.2593615247604735E-3</v>
      </c>
      <c r="F190" s="188">
        <v>-2.9416603524339835E-2</v>
      </c>
      <c r="G190" s="188">
        <f t="shared" si="0"/>
        <v>-7.4161119476852E-2</v>
      </c>
      <c r="H190" s="189">
        <f t="shared" si="5"/>
        <v>2.4412846709065403E-4</v>
      </c>
      <c r="I190" s="188">
        <v>2.4081200499497246E-3</v>
      </c>
      <c r="J190" s="189">
        <v>-4.5143247968003619E-3</v>
      </c>
      <c r="K190" s="189"/>
      <c r="L190" s="189">
        <v>-7.5814931843709576E-3</v>
      </c>
      <c r="M190" s="143">
        <v>1.7522600383685916E-3</v>
      </c>
      <c r="N190" s="143">
        <v>-1.8491397601332338E-3</v>
      </c>
      <c r="O190" s="143">
        <v>-0.10819265342464146</v>
      </c>
      <c r="P190" s="143">
        <v>-1.588250684885939E-2</v>
      </c>
      <c r="Q190" s="143">
        <v>1.7336479555601692E-2</v>
      </c>
      <c r="R190" s="143">
        <v>1.3117368353883663E-2</v>
      </c>
      <c r="S190" s="143">
        <v>1.2225466699372634E-2</v>
      </c>
      <c r="T190" s="143">
        <v>4.8665511111076087E-2</v>
      </c>
      <c r="U190" s="143">
        <v>3.499999999999992E-2</v>
      </c>
      <c r="V190" s="151">
        <v>3.8829389326155983E-4</v>
      </c>
      <c r="W190" s="143">
        <v>-2.2853200000000018E-2</v>
      </c>
      <c r="X190" s="143"/>
      <c r="Y190" s="143"/>
      <c r="Z190" s="143"/>
      <c r="AA190" s="143"/>
      <c r="AB190" s="143"/>
      <c r="AC190" s="142"/>
      <c r="AD190" s="142">
        <v>2.8082601368405458E-2</v>
      </c>
      <c r="AE190" s="142">
        <v>1.4224497083680454E-2</v>
      </c>
      <c r="AF190" s="142"/>
      <c r="AG190" s="142">
        <v>2.4097E-2</v>
      </c>
      <c r="AH190" s="144">
        <v>1973.62</v>
      </c>
      <c r="AI190" s="140"/>
    </row>
    <row r="191" spans="1:38" s="141" customFormat="1" outlineLevel="1">
      <c r="A191" s="150">
        <v>43098</v>
      </c>
      <c r="B191" s="188">
        <v>-9.4468188809040066E-2</v>
      </c>
      <c r="C191" s="188">
        <v>-3.0257487013102602E-2</v>
      </c>
      <c r="D191" s="188">
        <v>-1.1766696997161374E-2</v>
      </c>
      <c r="E191" s="188">
        <v>-7.467735341112447E-3</v>
      </c>
      <c r="F191" s="188">
        <v>1.0037742318850462E-2</v>
      </c>
      <c r="G191" s="188">
        <f t="shared" si="0"/>
        <v>-3.992663227976978E-3</v>
      </c>
      <c r="H191" s="189">
        <f t="shared" si="5"/>
        <v>2.4412846709065403E-4</v>
      </c>
      <c r="I191" s="191">
        <v>4.5922205962849461E-2</v>
      </c>
      <c r="J191" s="192">
        <v>0.13887073832945229</v>
      </c>
      <c r="K191" s="192"/>
      <c r="L191" s="192">
        <v>1.0511446200626384E-2</v>
      </c>
      <c r="M191" s="143">
        <v>0</v>
      </c>
      <c r="N191" s="143">
        <v>-1.7259233690024578E-3</v>
      </c>
      <c r="O191" s="143">
        <v>1.5709372002295385E-2</v>
      </c>
      <c r="P191" s="143">
        <v>-3.5751918044197861E-3</v>
      </c>
      <c r="Q191" s="143">
        <v>1.4461632352086751E-2</v>
      </c>
      <c r="R191" s="143">
        <v>7.8872436468497842E-3</v>
      </c>
      <c r="S191" s="143">
        <v>1.1077963499146914E-2</v>
      </c>
      <c r="T191" s="143">
        <v>1.3941682989849769E-2</v>
      </c>
      <c r="U191" s="143">
        <v>0</v>
      </c>
      <c r="V191" s="151">
        <v>-2.5653528189106822E-4</v>
      </c>
      <c r="W191" s="143">
        <v>4.2607579536666496E-3</v>
      </c>
      <c r="X191" s="160"/>
      <c r="Y191" s="160">
        <v>-4.9999999995886668E-7</v>
      </c>
      <c r="Z191" s="160"/>
      <c r="AA191" s="160"/>
      <c r="AB191" s="160"/>
      <c r="AC191" s="142"/>
      <c r="AD191" s="142">
        <v>9.8316198188534987E-3</v>
      </c>
      <c r="AE191" s="142">
        <v>1.9951880758171558E-2</v>
      </c>
      <c r="AF191" s="142"/>
      <c r="AG191" s="142">
        <v>2.4054000000000002E-2</v>
      </c>
      <c r="AH191" s="144">
        <v>1965.74</v>
      </c>
      <c r="AI191" s="140"/>
    </row>
    <row r="192" spans="1:38" s="141" customFormat="1">
      <c r="A192" s="150">
        <v>43131</v>
      </c>
      <c r="B192" s="188">
        <v>2.6838773864236831E-2</v>
      </c>
      <c r="C192" s="188">
        <v>7.8858342249999769E-2</v>
      </c>
      <c r="D192" s="188">
        <v>-1.2375496154518606E-3</v>
      </c>
      <c r="E192" s="188">
        <v>-1.1862820106410932E-2</v>
      </c>
      <c r="F192" s="188">
        <v>2.034524672763971E-2</v>
      </c>
      <c r="G192" s="188">
        <f t="shared" si="0"/>
        <v>3.845879923082407E-2</v>
      </c>
      <c r="H192" s="189">
        <f t="shared" si="5"/>
        <v>2.4412846709065403E-4</v>
      </c>
      <c r="I192" s="191">
        <v>1.49147288205429E-2</v>
      </c>
      <c r="J192" s="192">
        <v>5.3511315855898411E-2</v>
      </c>
      <c r="K192" s="192"/>
      <c r="L192" s="192">
        <v>-8.0602954355455392E-2</v>
      </c>
      <c r="M192" s="143">
        <v>0</v>
      </c>
      <c r="N192" s="143">
        <v>-0.12621023513139695</v>
      </c>
      <c r="O192" s="143">
        <v>3.8842389627163465E-2</v>
      </c>
      <c r="P192" s="143">
        <v>-4.6376936879924946E-3</v>
      </c>
      <c r="Q192" s="143">
        <v>2.039456262047179E-2</v>
      </c>
      <c r="R192" s="143">
        <v>1.4357345743028604E-2</v>
      </c>
      <c r="S192" s="143">
        <v>1.0176138293389592E-2</v>
      </c>
      <c r="T192" s="143">
        <v>2.6259771003669385E-3</v>
      </c>
      <c r="U192" s="143">
        <v>0</v>
      </c>
      <c r="V192" s="151">
        <v>3.4126731934222443E-2</v>
      </c>
      <c r="W192" s="143">
        <v>1.4772788672551274E-2</v>
      </c>
      <c r="X192" s="160">
        <v>6.9896940000000463E-3</v>
      </c>
      <c r="Y192" s="160">
        <v>-5.2740026370012849E-5</v>
      </c>
      <c r="Z192" s="160"/>
      <c r="AA192" s="160"/>
      <c r="AB192" s="160"/>
      <c r="AC192" s="142"/>
      <c r="AD192" s="142">
        <v>5.6178724645703726E-2</v>
      </c>
      <c r="AE192" s="142">
        <v>5.8799838904550983E-2</v>
      </c>
      <c r="AF192" s="142"/>
      <c r="AG192" s="142">
        <v>2.7050000000000001E-2</v>
      </c>
      <c r="AH192" s="144">
        <v>2041.34</v>
      </c>
      <c r="AI192" s="140"/>
    </row>
    <row r="193" spans="1:43" s="141" customFormat="1">
      <c r="A193" s="150">
        <v>43159</v>
      </c>
      <c r="B193" s="188">
        <v>-3.9646197758653745E-3</v>
      </c>
      <c r="C193" s="188">
        <v>-2.2515119784285664E-2</v>
      </c>
      <c r="D193" s="188">
        <v>9.1860890661373373E-2</v>
      </c>
      <c r="E193" s="188">
        <v>1.8047880115430681E-2</v>
      </c>
      <c r="F193" s="188">
        <v>-2.9795169133284616E-2</v>
      </c>
      <c r="G193" s="188">
        <v>-7.5964807430413339E-2</v>
      </c>
      <c r="H193" s="189">
        <f t="shared" si="5"/>
        <v>2.4412846709065403E-4</v>
      </c>
      <c r="I193" s="191">
        <v>-7.6281086154827982E-4</v>
      </c>
      <c r="J193" s="192">
        <v>3.1766445509961994E-3</v>
      </c>
      <c r="K193" s="192"/>
      <c r="L193" s="192">
        <v>0.11540628394969854</v>
      </c>
      <c r="M193" s="143">
        <v>3.4502509821182636E-2</v>
      </c>
      <c r="N193" s="143">
        <v>3.4431638658367847E-2</v>
      </c>
      <c r="O193" s="143">
        <v>0.15554110721096559</v>
      </c>
      <c r="P193" s="143">
        <v>-1.5379371844575829E-2</v>
      </c>
      <c r="Q193" s="143">
        <v>0.11004795400662681</v>
      </c>
      <c r="R193" s="143">
        <v>8.0888240294529901E-3</v>
      </c>
      <c r="S193" s="143">
        <v>1.1404277097466942E-2</v>
      </c>
      <c r="T193" s="143">
        <v>5.5486585134405741E-2</v>
      </c>
      <c r="U193" s="143">
        <v>1.8192692499999996E-2</v>
      </c>
      <c r="V193" s="151">
        <v>8.4529714584560267E-3</v>
      </c>
      <c r="W193" s="143">
        <v>1.2755073204369083E-2</v>
      </c>
      <c r="X193" s="160">
        <v>2.542670709795769E-2</v>
      </c>
      <c r="Y193" s="160">
        <v>-1.0412784376640172E-2</v>
      </c>
      <c r="Z193" s="160"/>
      <c r="AA193" s="160"/>
      <c r="AB193" s="160"/>
      <c r="AC193" s="142"/>
      <c r="AD193" s="142">
        <v>-3.8947379604151844E-2</v>
      </c>
      <c r="AE193" s="142">
        <v>-3.6244090637395976E-2</v>
      </c>
      <c r="AF193" s="142"/>
      <c r="AG193" s="142">
        <v>2.8605999999999999E-2</v>
      </c>
      <c r="AH193" s="144">
        <v>1886.27</v>
      </c>
      <c r="AI193" s="140"/>
    </row>
    <row r="194" spans="1:43" s="141" customFormat="1">
      <c r="A194" s="190">
        <v>43188</v>
      </c>
      <c r="B194" s="188">
        <v>-1.6189108007614639E-2</v>
      </c>
      <c r="C194" s="188">
        <v>-1.6553212523087724E-2</v>
      </c>
      <c r="D194" s="188">
        <v>1.9178450879498099E-2</v>
      </c>
      <c r="E194" s="188">
        <v>-2.0913758027477636E-3</v>
      </c>
      <c r="F194" s="188">
        <v>5.4528819982495591E-3</v>
      </c>
      <c r="G194" s="188">
        <v>8.1271504079478696E-3</v>
      </c>
      <c r="H194" s="189">
        <f t="shared" si="5"/>
        <v>2.4412846709065403E-4</v>
      </c>
      <c r="I194" s="191">
        <v>9.7315599239802264E-3</v>
      </c>
      <c r="J194" s="192">
        <v>5.7919060785953658E-3</v>
      </c>
      <c r="K194" s="192"/>
      <c r="L194" s="192">
        <v>2.3167385159828191E-2</v>
      </c>
      <c r="M194" s="143">
        <v>-3.3352055736385555E-2</v>
      </c>
      <c r="N194" s="143">
        <v>-6.3207182871392265E-2</v>
      </c>
      <c r="O194" s="143">
        <v>-2.1730808395540313E-3</v>
      </c>
      <c r="P194" s="143">
        <v>0.64320247289184018</v>
      </c>
      <c r="Q194" s="143">
        <v>3.3792860802290603E-2</v>
      </c>
      <c r="R194" s="143">
        <v>3.1664978037775349E-2</v>
      </c>
      <c r="S194" s="143">
        <v>1.1688830851777743E-2</v>
      </c>
      <c r="T194" s="143">
        <v>-1.9812624625260677E-2</v>
      </c>
      <c r="U194" s="143">
        <v>1.7094622069722121E-2</v>
      </c>
      <c r="V194" s="151">
        <v>1.0534576906372717E-2</v>
      </c>
      <c r="W194" s="143">
        <v>1.2808751800203133E-2</v>
      </c>
      <c r="X194" s="160">
        <v>0</v>
      </c>
      <c r="Y194" s="160">
        <v>-1.0778415393474239E-2</v>
      </c>
      <c r="Z194" s="160"/>
      <c r="AA194" s="160"/>
      <c r="AB194" s="160"/>
      <c r="AC194" s="142"/>
      <c r="AD194" s="142">
        <v>-2.6884513768364315E-2</v>
      </c>
      <c r="AE194" s="142">
        <v>-2.9375281912494389E-2</v>
      </c>
      <c r="AF194" s="142"/>
      <c r="AG194" s="142">
        <v>2.7389E-2</v>
      </c>
      <c r="AH194" s="144">
        <v>1886.27</v>
      </c>
      <c r="AI194" s="140"/>
    </row>
    <row r="195" spans="1:43" s="347" customFormat="1">
      <c r="A195" s="341">
        <v>43220</v>
      </c>
      <c r="B195" s="342">
        <v>-6.9263773417963526E-3</v>
      </c>
      <c r="C195" s="342">
        <v>-1.7058668909298191E-2</v>
      </c>
      <c r="D195" s="342">
        <v>4.2167994086843574E-3</v>
      </c>
      <c r="E195" s="342">
        <v>8.8103598788182858E-3</v>
      </c>
      <c r="F195" s="342">
        <v>9.1917055739179077E-3</v>
      </c>
      <c r="G195" s="342">
        <v>1.7390618426588178E-2</v>
      </c>
      <c r="H195" s="343">
        <f t="shared" ref="H195:H196" si="6">51.9222180742112%/3</f>
        <v>0.17307406024737068</v>
      </c>
      <c r="I195" s="344">
        <v>9.4770787277831392E-3</v>
      </c>
      <c r="J195" s="345">
        <v>-7.3684036275901699E-3</v>
      </c>
      <c r="K195" s="345"/>
      <c r="L195" s="345"/>
      <c r="M195" s="342">
        <v>0</v>
      </c>
      <c r="N195" s="342">
        <v>0</v>
      </c>
      <c r="O195" s="342">
        <v>-3.2050243976692649E-2</v>
      </c>
      <c r="P195" s="342">
        <v>2.4478961962104417E-3</v>
      </c>
      <c r="Q195" s="342">
        <v>2.9568547186209493E-2</v>
      </c>
      <c r="R195" s="342">
        <v>9.8991074089158637E-3</v>
      </c>
      <c r="S195" s="342">
        <v>9.8214122979385365E-3</v>
      </c>
      <c r="T195" s="342">
        <v>1.4748335037056082E-2</v>
      </c>
      <c r="U195" s="342">
        <v>0</v>
      </c>
      <c r="V195" s="342">
        <v>1.1876861824158036E-2</v>
      </c>
      <c r="W195" s="342">
        <v>1.3150773274104299E-2</v>
      </c>
      <c r="X195" s="342">
        <v>5.9767586008843576E-2</v>
      </c>
      <c r="Y195" s="342">
        <v>-2.7820455331761806E-4</v>
      </c>
      <c r="Z195" s="342"/>
      <c r="AA195" s="342"/>
      <c r="AD195" s="142">
        <v>2.718801001185378E-3</v>
      </c>
      <c r="AE195" s="142">
        <v>1.1733952948010273E-2</v>
      </c>
    </row>
    <row r="196" spans="1:43" s="347" customFormat="1">
      <c r="A196" s="341">
        <v>43251</v>
      </c>
      <c r="B196" s="342">
        <v>-1.1500509356380806E-2</v>
      </c>
      <c r="C196" s="342">
        <v>-2.797331248458601E-2</v>
      </c>
      <c r="D196" s="342">
        <v>-6.9426408657466965E-3</v>
      </c>
      <c r="E196" s="342">
        <v>-0.20261084941427765</v>
      </c>
      <c r="F196" s="342">
        <v>-4.1642248543075855E-2</v>
      </c>
      <c r="G196" s="342">
        <v>9.4450216315960844E-2</v>
      </c>
      <c r="H196" s="343">
        <f t="shared" si="6"/>
        <v>0.17307406024737068</v>
      </c>
      <c r="I196" s="344">
        <v>6.9382441058964961E-3</v>
      </c>
      <c r="J196" s="345">
        <v>1.1622447579292317E-2</v>
      </c>
      <c r="K196" s="345"/>
      <c r="L196" s="345"/>
      <c r="M196" s="342">
        <v>0.51922260296995759</v>
      </c>
      <c r="N196" s="342">
        <v>9.9622309758344851E-2</v>
      </c>
      <c r="O196" s="342">
        <v>-2.8088999370005308E-2</v>
      </c>
      <c r="P196" s="342">
        <v>-2.3066649243209669E-3</v>
      </c>
      <c r="Q196" s="342">
        <v>-1.1906753365937606E-2</v>
      </c>
      <c r="R196" s="342">
        <v>1.2862213591857019E-2</v>
      </c>
      <c r="S196" s="342">
        <v>1.2644396875112207E-2</v>
      </c>
      <c r="T196" s="342">
        <v>1.3701322096289381E-2</v>
      </c>
      <c r="U196" s="342">
        <v>3.499999999999992E-2</v>
      </c>
      <c r="V196" s="342">
        <v>1.1576449774128417E-2</v>
      </c>
      <c r="W196" s="342">
        <v>1.4910467006093997E-2</v>
      </c>
      <c r="X196" s="342">
        <v>3.1434184019188516E-2</v>
      </c>
      <c r="Y196" s="342">
        <v>-9.9125228431784507E-3</v>
      </c>
      <c r="Z196" s="342"/>
      <c r="AA196" s="342"/>
      <c r="AD196" s="142">
        <v>2.1608353316591389E-2</v>
      </c>
      <c r="AE196" s="142">
        <v>-1.1483033817534571E-2</v>
      </c>
    </row>
    <row r="197" spans="1:43" s="347" customFormat="1">
      <c r="A197" s="341">
        <v>43280</v>
      </c>
      <c r="B197" s="342">
        <v>4.5452821726450487E-3</v>
      </c>
      <c r="C197" s="342">
        <v>-2.1736705210767981E-2</v>
      </c>
      <c r="D197" s="342">
        <v>8.2668927081157584E-3</v>
      </c>
      <c r="E197" s="342">
        <v>-2.1513992065458343E-3</v>
      </c>
      <c r="F197" s="342">
        <v>-3.4578384953079633E-2</v>
      </c>
      <c r="G197" s="342">
        <v>-9.1234532917729316E-2</v>
      </c>
      <c r="H197" s="343">
        <v>0.17307406024737068</v>
      </c>
      <c r="I197" s="344">
        <v>4.7836869616959543E-3</v>
      </c>
      <c r="J197" s="345">
        <v>-6.0603116394498668E-3</v>
      </c>
      <c r="K197" s="345">
        <v>1.8747515418009453E-3</v>
      </c>
      <c r="L197" s="345"/>
      <c r="M197" s="342">
        <v>-3.9050970838590215E-2</v>
      </c>
      <c r="N197" s="342">
        <v>1.3059965921492056E-2</v>
      </c>
      <c r="O197" s="342">
        <v>1.0554857019606123E-2</v>
      </c>
      <c r="P197" s="342">
        <v>6.7007814186128112E-2</v>
      </c>
      <c r="Q197" s="342">
        <v>1.4703946725370898E-2</v>
      </c>
      <c r="R197" s="342">
        <v>9.3500202524599008E-3</v>
      </c>
      <c r="S197" s="342">
        <v>1.1804955984625831E-2</v>
      </c>
      <c r="T197" s="342">
        <v>-2.0059633794111686E-2</v>
      </c>
      <c r="U197" s="342">
        <v>0</v>
      </c>
      <c r="V197" s="342">
        <v>1.0825554356345579E-2</v>
      </c>
      <c r="W197" s="342">
        <v>1.2846242755059523E-2</v>
      </c>
      <c r="X197" s="342">
        <v>2.8904199123406027E-2</v>
      </c>
      <c r="Y197" s="342">
        <v>-2.3744520443416017E-2</v>
      </c>
      <c r="Z197" s="342"/>
      <c r="AA197" s="342"/>
      <c r="AD197" s="142">
        <v>4.8424002040461378E-3</v>
      </c>
      <c r="AE197" s="142">
        <v>-3.5604344543184063E-2</v>
      </c>
    </row>
    <row r="198" spans="1:43" s="347" customFormat="1">
      <c r="A198" s="341">
        <v>43312</v>
      </c>
      <c r="B198" s="342">
        <v>-1.6003781979651244E-2</v>
      </c>
      <c r="C198" s="342">
        <v>-5.4999616110719129E-3</v>
      </c>
      <c r="D198" s="342">
        <v>-1.9263119675024587E-2</v>
      </c>
      <c r="E198" s="342">
        <v>4.4622827365232709E-3</v>
      </c>
      <c r="F198" s="342">
        <v>-4.1903040159422256E-3</v>
      </c>
      <c r="G198" s="342">
        <v>6.2196630322935986E-2</v>
      </c>
      <c r="H198" s="343">
        <v>0.17307406024737068</v>
      </c>
      <c r="I198" s="344">
        <v>1.4169786980211541E-4</v>
      </c>
      <c r="J198" s="345">
        <v>-9.1669562292948648E-3</v>
      </c>
      <c r="K198" s="345">
        <v>2.1737447679301969E-3</v>
      </c>
      <c r="L198" s="345"/>
      <c r="M198" s="342">
        <v>-4.3964831775156199E-14</v>
      </c>
      <c r="N198" s="342">
        <v>2.3348878386286742E-11</v>
      </c>
      <c r="O198" s="342">
        <v>-1.5221234154726648E-2</v>
      </c>
      <c r="P198" s="342">
        <v>2.0421914418631282E-3</v>
      </c>
      <c r="Q198" s="342">
        <v>1.7725614944428036E-2</v>
      </c>
      <c r="R198" s="342">
        <v>1.3266848835278733E-2</v>
      </c>
      <c r="S198" s="342">
        <v>9.8381569155310267E-3</v>
      </c>
      <c r="T198" s="342">
        <v>1.5800822290880978E-2</v>
      </c>
      <c r="U198" s="342">
        <v>0</v>
      </c>
      <c r="V198" s="342">
        <v>1.1561358026004775E-2</v>
      </c>
      <c r="W198" s="342">
        <v>1.3633771585368715E-2</v>
      </c>
      <c r="X198" s="342">
        <v>2.5318965850502861E-2</v>
      </c>
      <c r="Y198" s="342"/>
      <c r="Z198" s="342"/>
      <c r="AA198" s="342"/>
      <c r="AD198" s="142">
        <v>3.6021586465418753E-2</v>
      </c>
      <c r="AE198" s="142">
        <v>5.6612864370031435E-3</v>
      </c>
    </row>
    <row r="199" spans="1:43" s="347" customFormat="1">
      <c r="A199" s="341">
        <v>43343</v>
      </c>
      <c r="B199" s="342">
        <v>-1.9870988569584913E-2</v>
      </c>
      <c r="C199" s="342">
        <v>-3.0801023410883865E-2</v>
      </c>
      <c r="D199" s="342">
        <v>-2.0873606019796931E-2</v>
      </c>
      <c r="E199" s="342">
        <v>-3.728990052109471E-3</v>
      </c>
      <c r="F199" s="342">
        <v>-3.3713694942977268E-3</v>
      </c>
      <c r="G199" s="342">
        <v>-4.0090023973775701E-2</v>
      </c>
      <c r="H199" s="343">
        <f t="shared" ref="H199:H200" si="7">-0.0854771478064009%/3</f>
        <v>-2.8492382602133631E-4</v>
      </c>
      <c r="I199" s="344">
        <v>-8.0385218029155325E-3</v>
      </c>
      <c r="J199" s="345">
        <v>-8.0385218029155325E-3</v>
      </c>
      <c r="K199" s="345">
        <v>-1.3151623216640651E-3</v>
      </c>
      <c r="L199" s="342"/>
      <c r="M199" s="342">
        <v>-4.3964831775156199E-14</v>
      </c>
      <c r="N199" s="342">
        <v>-1.2043291366614639E-5</v>
      </c>
      <c r="O199" s="342">
        <v>-2.8652405219673827E-2</v>
      </c>
      <c r="P199" s="342">
        <v>1.1482490447769056E-2</v>
      </c>
      <c r="Q199" s="342">
        <v>1.7111849070742258E-2</v>
      </c>
      <c r="R199" s="342">
        <v>1.2699395994580476E-2</v>
      </c>
      <c r="S199" s="342">
        <v>1.2644081400468687E-2</v>
      </c>
      <c r="T199" s="342">
        <v>1.2437787462048933E-2</v>
      </c>
      <c r="U199" s="342">
        <v>3.499999999999992E-2</v>
      </c>
      <c r="V199" s="342">
        <v>1.1576450076487221E-2</v>
      </c>
      <c r="W199" s="342">
        <v>1.6037298004600409E-2</v>
      </c>
      <c r="X199" s="342">
        <v>-0.38932825984660646</v>
      </c>
      <c r="Y199" s="342"/>
      <c r="Z199" s="342"/>
      <c r="AA199" s="342"/>
      <c r="AD199" s="342">
        <v>3.0263218631604083E-2</v>
      </c>
      <c r="AE199" s="342">
        <v>-8.3243502215832876E-3</v>
      </c>
      <c r="AG199" s="342">
        <v>2.8604000000000004E-2</v>
      </c>
      <c r="AH199" s="346">
        <v>1961.96</v>
      </c>
    </row>
    <row r="200" spans="1:43" s="347" customFormat="1">
      <c r="A200" s="341">
        <v>43371</v>
      </c>
      <c r="B200" s="342">
        <v>1.7815593862672952E-2</v>
      </c>
      <c r="C200" s="342">
        <v>2.1183803411960467E-2</v>
      </c>
      <c r="D200" s="342">
        <v>-6.7617368198154004E-3</v>
      </c>
      <c r="E200" s="342">
        <v>2.8866696573992545E-3</v>
      </c>
      <c r="F200" s="342">
        <v>-4.1371672027533557E-2</v>
      </c>
      <c r="G200" s="342">
        <v>-1.015311219392856E-2</v>
      </c>
      <c r="H200" s="343">
        <f t="shared" si="7"/>
        <v>-2.8492382602133631E-4</v>
      </c>
      <c r="I200" s="344">
        <v>-1.2305703113408284E-2</v>
      </c>
      <c r="J200" s="345">
        <v>-3.8130693035422936E-2</v>
      </c>
      <c r="K200" s="345">
        <v>7.3238049070518674E-3</v>
      </c>
      <c r="L200" s="342"/>
      <c r="M200" s="342">
        <v>-4.0765638128060777E-3</v>
      </c>
      <c r="N200" s="342">
        <v>5.2019252767967483E-3</v>
      </c>
      <c r="O200" s="342">
        <v>1.0217216036351839E-2</v>
      </c>
      <c r="P200" s="342">
        <v>9.5297813156656197E-3</v>
      </c>
      <c r="Q200" s="342">
        <v>1.5368487950087273E-2</v>
      </c>
      <c r="R200" s="342">
        <v>1.1969157663354713E-2</v>
      </c>
      <c r="S200" s="342">
        <v>1.2219157744226772E-2</v>
      </c>
      <c r="T200" s="342">
        <v>1.8747519673386615E-2</v>
      </c>
      <c r="U200" s="342">
        <v>0</v>
      </c>
      <c r="V200" s="342">
        <v>1.0438055060964846E-2</v>
      </c>
      <c r="W200" s="342">
        <v>1.3194514262038881E-2</v>
      </c>
      <c r="X200" s="342"/>
      <c r="Y200" s="342"/>
      <c r="Z200" s="342"/>
      <c r="AA200" s="342"/>
      <c r="AD200" s="342">
        <v>4.2943009181395375E-3</v>
      </c>
      <c r="AE200" s="342">
        <v>-1.5097530044084762E-3</v>
      </c>
      <c r="AG200" s="342">
        <v>3.0612E-2</v>
      </c>
      <c r="AH200" s="346">
        <v>1942.04</v>
      </c>
    </row>
    <row r="201" spans="1:43" s="347" customFormat="1">
      <c r="A201" s="341">
        <v>43404</v>
      </c>
      <c r="B201" s="342">
        <v>-1.4700119121989763E-3</v>
      </c>
      <c r="C201" s="342">
        <v>-1.6693753719613236E-2</v>
      </c>
      <c r="D201" s="342">
        <v>0.14979618707014986</v>
      </c>
      <c r="E201" s="342">
        <v>6.9527073892183822E-5</v>
      </c>
      <c r="F201" s="342">
        <v>-6.6956154365077625E-3</v>
      </c>
      <c r="G201" s="342">
        <v>-4.9823896521183908E-2</v>
      </c>
      <c r="H201" s="343">
        <v>-2.8492382602133631E-4</v>
      </c>
      <c r="I201" s="344">
        <v>-6.8263634023677522E-3</v>
      </c>
      <c r="J201" s="345">
        <v>-9.1952057312335578E-3</v>
      </c>
      <c r="K201" s="345">
        <v>-4.3638571090047762E-3</v>
      </c>
      <c r="L201" s="342"/>
      <c r="M201" s="342">
        <v>0</v>
      </c>
      <c r="N201" s="342">
        <v>0</v>
      </c>
      <c r="O201" s="342">
        <v>-3.7698663821908562E-2</v>
      </c>
      <c r="P201" s="342">
        <v>-3.2547252150848971E-2</v>
      </c>
      <c r="Q201" s="342">
        <v>1.8102668887965301E-2</v>
      </c>
      <c r="R201" s="342">
        <v>1.425569080548672E-2</v>
      </c>
      <c r="S201" s="342">
        <v>5.9393194404580019E-3</v>
      </c>
      <c r="T201" s="342">
        <v>-3.9794786569848917E-2</v>
      </c>
      <c r="U201" s="342">
        <v>0</v>
      </c>
      <c r="V201" s="342">
        <v>1.1925084774455419E-2</v>
      </c>
      <c r="W201" s="342">
        <v>-1.2964359014107418E-2</v>
      </c>
      <c r="X201" s="342"/>
      <c r="Y201" s="342"/>
      <c r="Z201" s="342"/>
      <c r="AA201" s="342"/>
      <c r="AD201" s="342">
        <v>-6.9403358979814644E-2</v>
      </c>
      <c r="AE201" s="342">
        <v>-9.5863070037498499E-2</v>
      </c>
      <c r="AG201" s="342">
        <v>3.1434999999999998E-2</v>
      </c>
      <c r="AH201" s="346">
        <v>1845.28</v>
      </c>
    </row>
    <row r="202" spans="1:43" s="347" customFormat="1">
      <c r="A202" s="341">
        <v>43434</v>
      </c>
      <c r="B202" s="342">
        <v>5.9365007753355847E-3</v>
      </c>
      <c r="C202" s="342">
        <v>1.6515342692859258E-2</v>
      </c>
      <c r="D202" s="342">
        <v>-1.8929630266076525E-2</v>
      </c>
      <c r="E202" s="342">
        <v>9.7410218324949005E-2</v>
      </c>
      <c r="F202" s="342">
        <v>-8.9246053516638391E-3</v>
      </c>
      <c r="G202" s="342">
        <v>-5.1497394492389437E-2</v>
      </c>
      <c r="H202" s="343">
        <v>-2.8492382602133631E-4</v>
      </c>
      <c r="I202" s="344">
        <v>9.1519505759019015E-3</v>
      </c>
      <c r="J202" s="345">
        <v>3.3289380479017971E-4</v>
      </c>
      <c r="K202" s="345">
        <v>9.9708802773075256E-3</v>
      </c>
      <c r="L202" s="342"/>
      <c r="M202" s="342">
        <v>0</v>
      </c>
      <c r="N202" s="342">
        <v>0</v>
      </c>
      <c r="O202" s="342">
        <v>4.3777343009216985E-3</v>
      </c>
      <c r="P202" s="342">
        <v>7.3734692497782195E-3</v>
      </c>
      <c r="Q202" s="342">
        <v>1.5864574899683515E-2</v>
      </c>
      <c r="R202" s="342">
        <v>1.3104592052475272E-2</v>
      </c>
      <c r="S202" s="342"/>
      <c r="T202" s="342">
        <v>1.4177796187496039E-2</v>
      </c>
      <c r="U202" s="342">
        <v>3.499999999999992E-2</v>
      </c>
      <c r="V202" s="342">
        <v>1.1200932232931393E-2</v>
      </c>
      <c r="W202" s="342">
        <v>0.11963024722353111</v>
      </c>
      <c r="X202" s="342"/>
      <c r="Y202" s="342"/>
      <c r="AD202" s="342">
        <v>1.785938179914015E-2</v>
      </c>
      <c r="AE202" s="342">
        <v>2.7359689611345273E-2</v>
      </c>
      <c r="AG202" s="342">
        <v>2.9878999999999999E-2</v>
      </c>
      <c r="AH202" s="346">
        <v>1842.03</v>
      </c>
    </row>
    <row r="203" spans="1:43" s="347" customFormat="1">
      <c r="A203" s="341">
        <v>43465</v>
      </c>
      <c r="B203" s="342"/>
      <c r="C203" s="342"/>
      <c r="D203" s="342"/>
      <c r="E203" s="342"/>
      <c r="F203" s="342"/>
      <c r="G203" s="342"/>
      <c r="H203" s="343"/>
      <c r="I203" s="344"/>
      <c r="J203" s="345"/>
      <c r="K203" s="345"/>
      <c r="L203" s="342"/>
      <c r="M203" s="342">
        <v>2.5719426588466376E-12</v>
      </c>
      <c r="N203" s="342">
        <v>0</v>
      </c>
      <c r="O203" s="342">
        <v>-1.3327964873921294E-2</v>
      </c>
      <c r="P203" s="342">
        <v>8.2141726609763488E-3</v>
      </c>
      <c r="Q203" s="342">
        <v>8.5618869357759753E-3</v>
      </c>
      <c r="R203" s="342">
        <v>-3.6687288727481615E-3</v>
      </c>
      <c r="S203" s="342"/>
      <c r="T203" s="342">
        <v>1.4507209529930787E-2</v>
      </c>
      <c r="U203" s="342">
        <v>0</v>
      </c>
      <c r="V203" s="342">
        <v>1.1515134181604658E-2</v>
      </c>
      <c r="W203" s="342">
        <v>1.4164563651639872E-2</v>
      </c>
      <c r="X203" s="342"/>
      <c r="Y203" s="342"/>
      <c r="Z203" s="342"/>
      <c r="AA203" s="342"/>
      <c r="AD203" s="342">
        <v>-9.1776955767217339E-2</v>
      </c>
      <c r="AE203" s="342">
        <v>-4.4732387029561171E-2</v>
      </c>
      <c r="AG203" s="342"/>
      <c r="AH203" s="346"/>
    </row>
    <row r="204" spans="1:43" s="347" customFormat="1">
      <c r="A204" s="341">
        <v>43496</v>
      </c>
      <c r="B204" s="342"/>
      <c r="C204" s="342"/>
      <c r="D204" s="342"/>
      <c r="E204" s="342"/>
      <c r="F204" s="342"/>
      <c r="G204" s="342"/>
      <c r="H204" s="343"/>
      <c r="I204" s="344"/>
      <c r="J204" s="345"/>
      <c r="K204" s="345"/>
      <c r="L204" s="342"/>
      <c r="M204" s="342">
        <f ca="1">INDIRECT("Data!AG"&amp;VLOOKUP(M2,Summary!$A$7:$AJ$38,36,0))</f>
        <v>0</v>
      </c>
      <c r="N204" s="342">
        <f ca="1">INDIRECT("Data!AG"&amp;VLOOKUP(N2,Summary!$A$7:$AJ$38,36,0))</f>
        <v>1.1750600492632657E-10</v>
      </c>
      <c r="O204" s="342" t="e">
        <f ca="1">INDIRECT("Data!AG"&amp;VLOOKUP(O2,Summary!$A$7:$AJ$38,36,0))</f>
        <v>#REF!</v>
      </c>
      <c r="P204" s="342">
        <f ca="1">INDIRECT("Data!AG"&amp;VLOOKUP(P2,Summary!$A$7:$AJ$38,36,0))</f>
        <v>4.8310263955116284E-2</v>
      </c>
      <c r="Q204" s="342">
        <f ca="1">INDIRECT("Data!AG"&amp;VLOOKUP(Q2,Summary!$A$7:$AJ$38,36,0))</f>
        <v>-1</v>
      </c>
      <c r="R204" s="342">
        <f ca="1">INDIRECT("Data!AG"&amp;VLOOKUP(R2,Summary!$A$7:$AJ$38,36,0))</f>
        <v>0</v>
      </c>
      <c r="S204" s="342"/>
      <c r="T204" s="342">
        <f ca="1">INDIRECT("Data!AG"&amp;VLOOKUP(T2,Summary!$A$7:$AJ$38,36,0))</f>
        <v>1.4912953672766571E-2</v>
      </c>
      <c r="U204" s="342">
        <f ca="1">INDIRECT("Data!AG"&amp;VLOOKUP(U2,Summary!$A$7:$AJ$38,36,0))</f>
        <v>-1</v>
      </c>
      <c r="V204" s="342">
        <f ca="1">INDIRECT("Data!AG"&amp;VLOOKUP(V2,Summary!$A$7:$AJ$38,36,0))</f>
        <v>-1</v>
      </c>
      <c r="W204" s="342">
        <f ca="1">INDIRECT("Data!AG"&amp;VLOOKUP(W2,Summary!$A$7:$AJ$38,36,0))</f>
        <v>-1</v>
      </c>
      <c r="X204" s="342"/>
      <c r="Y204" s="342"/>
      <c r="Z204" s="342">
        <f ca="1">INDIRECT("Data!AG"&amp;VLOOKUP(Z2,Summary!$A$7:$AJ$38,36,0))</f>
        <v>-1</v>
      </c>
      <c r="AA204" s="342">
        <f ca="1">INDIRECT("Data!AG"&amp;VLOOKUP(AA2,Summary!$A$7:$AJ$38,36,0))</f>
        <v>-0.986790662752553</v>
      </c>
      <c r="AD204" s="342">
        <v>0.1264375610826336</v>
      </c>
      <c r="AE204" s="342">
        <v>0.25437938790811798</v>
      </c>
      <c r="AG204" s="342"/>
      <c r="AH204" s="346"/>
    </row>
    <row r="205" spans="1:43">
      <c r="B205" s="159"/>
      <c r="C205" s="159"/>
      <c r="D205" s="159"/>
      <c r="E205" s="159"/>
      <c r="F205" s="159"/>
      <c r="G205" s="159"/>
      <c r="H205" s="160"/>
      <c r="AC205" s="137"/>
      <c r="AD205" s="159"/>
      <c r="AE205" s="159"/>
      <c r="AF205" s="159"/>
      <c r="AG205" s="159"/>
      <c r="AH205" s="161"/>
      <c r="AI205" s="162"/>
      <c r="AJ205" s="163"/>
      <c r="AK205" s="163"/>
      <c r="AL205" s="163"/>
      <c r="AM205" s="163"/>
      <c r="AN205" s="163"/>
      <c r="AO205" s="163"/>
      <c r="AP205" s="163"/>
      <c r="AQ205" s="163"/>
    </row>
    <row r="206" spans="1:43" s="165" customFormat="1" ht="15.75">
      <c r="A206" s="186">
        <f>ROW()</f>
        <v>206</v>
      </c>
      <c r="B206" s="144"/>
      <c r="C206" s="142"/>
      <c r="D206" s="142"/>
      <c r="E206" s="142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4"/>
      <c r="AI206" s="164"/>
    </row>
    <row r="207" spans="1:43" ht="15.75">
      <c r="A207" s="166" t="s">
        <v>195</v>
      </c>
      <c r="B207" s="167" t="str">
        <f>B$2</f>
        <v>ARF</v>
      </c>
      <c r="C207" s="167" t="str">
        <f t="shared" ref="C207:AA207" si="8">C$2</f>
        <v>HRF</v>
      </c>
      <c r="D207" s="167" t="str">
        <f t="shared" si="8"/>
        <v>COTT</v>
      </c>
      <c r="E207" s="167" t="str">
        <f t="shared" si="8"/>
        <v>COPT1</v>
      </c>
      <c r="F207" s="167" t="str">
        <f t="shared" si="8"/>
        <v>COPT2</v>
      </c>
      <c r="G207" s="167" t="str">
        <f t="shared" si="8"/>
        <v>SKK</v>
      </c>
      <c r="H207" s="167" t="str">
        <f t="shared" si="8"/>
        <v>DTK</v>
      </c>
      <c r="I207" s="167" t="str">
        <f t="shared" si="8"/>
        <v>CHF</v>
      </c>
      <c r="J207" s="167" t="str">
        <f t="shared" si="8"/>
        <v>CHF2</v>
      </c>
      <c r="K207" s="167" t="str">
        <f t="shared" si="8"/>
        <v>CHF3</v>
      </c>
      <c r="L207" s="167" t="str">
        <f t="shared" si="8"/>
        <v>SuperA</v>
      </c>
      <c r="M207" s="167" t="str">
        <f t="shared" si="8"/>
        <v>DTK</v>
      </c>
      <c r="N207" s="167" t="str">
        <f t="shared" si="8"/>
        <v>RR</v>
      </c>
      <c r="O207" s="167" t="str">
        <f t="shared" si="8"/>
        <v>TIH</v>
      </c>
      <c r="P207" s="167" t="str">
        <f t="shared" si="8"/>
        <v>SamSen</v>
      </c>
      <c r="Q207" s="167" t="s">
        <v>393</v>
      </c>
      <c r="R207" s="167" t="str">
        <f t="shared" si="8"/>
        <v>William</v>
      </c>
      <c r="S207" s="167" t="str">
        <f t="shared" si="8"/>
        <v>BMTR4</v>
      </c>
      <c r="T207" s="167" t="str">
        <f t="shared" si="8"/>
        <v>Mediacom_Televisi</v>
      </c>
      <c r="U207" s="167" t="s">
        <v>395</v>
      </c>
      <c r="V207" s="167" t="s">
        <v>394</v>
      </c>
      <c r="W207" s="167" t="s">
        <v>407</v>
      </c>
      <c r="X207" s="167" t="str">
        <f t="shared" si="8"/>
        <v>Gloves</v>
      </c>
      <c r="Y207" s="167" t="str">
        <f t="shared" si="8"/>
        <v>Tanker</v>
      </c>
      <c r="Z207" s="167" t="str">
        <f t="shared" si="8"/>
        <v>West</v>
      </c>
      <c r="AA207" s="167" t="str">
        <f t="shared" si="8"/>
        <v>Solar2</v>
      </c>
      <c r="AB207" s="167"/>
      <c r="AC207" s="168"/>
      <c r="AD207" s="168"/>
      <c r="AE207" s="168"/>
      <c r="AF207" s="168"/>
      <c r="AG207" s="168"/>
      <c r="AH207" s="169"/>
    </row>
    <row r="209" spans="1:43">
      <c r="A209" s="136" t="s">
        <v>196</v>
      </c>
      <c r="B209" s="144">
        <f t="shared" ref="B209:L209" si="9">CORREL(B3:B202,$AD$3:$AD$202)</f>
        <v>0.1206114149596574</v>
      </c>
      <c r="C209" s="144">
        <f t="shared" si="9"/>
        <v>0.35591960937169154</v>
      </c>
      <c r="D209" s="144">
        <f t="shared" si="9"/>
        <v>-4.2847795817667185E-2</v>
      </c>
      <c r="E209" s="144">
        <f t="shared" si="9"/>
        <v>1.8498498280706686E-2</v>
      </c>
      <c r="F209" s="144">
        <f t="shared" si="9"/>
        <v>7.6139195533249063E-2</v>
      </c>
      <c r="G209" s="144">
        <f t="shared" si="9"/>
        <v>0.22333454232022212</v>
      </c>
      <c r="H209" s="144">
        <f t="shared" si="9"/>
        <v>-0.22712466077686405</v>
      </c>
      <c r="I209" s="144">
        <f t="shared" si="9"/>
        <v>0.13541315109446292</v>
      </c>
      <c r="J209" s="144">
        <f t="shared" si="9"/>
        <v>9.8762429949737898E-2</v>
      </c>
      <c r="K209" s="144">
        <f t="shared" si="9"/>
        <v>0.49032682560480295</v>
      </c>
      <c r="L209" s="144">
        <f t="shared" si="9"/>
        <v>-0.2274559195413634</v>
      </c>
      <c r="M209" s="144">
        <f ca="1">CORREL(M3:M204,$AD$3:$AD$204)</f>
        <v>-1.4167412538789732E-2</v>
      </c>
      <c r="N209" s="144">
        <f t="shared" ref="N209:Y209" ca="1" si="10">CORREL(N3:N204,$AD$3:$AD$204)</f>
        <v>-0.10770223622352947</v>
      </c>
      <c r="O209" s="144" t="e">
        <f t="shared" ca="1" si="10"/>
        <v>#REF!</v>
      </c>
      <c r="P209" s="144">
        <f t="shared" ca="1" si="10"/>
        <v>-8.4668202739307336E-2</v>
      </c>
      <c r="Q209" s="144">
        <f t="shared" ca="1" si="10"/>
        <v>-0.55116501259284123</v>
      </c>
      <c r="R209" s="144">
        <f t="shared" ca="1" si="10"/>
        <v>-5.0858904985062459E-2</v>
      </c>
      <c r="S209" s="144">
        <f t="shared" si="10"/>
        <v>2.9546688765376836E-2</v>
      </c>
      <c r="T209" s="144">
        <f t="shared" ca="1" si="10"/>
        <v>0.16152452390710167</v>
      </c>
      <c r="U209" s="144">
        <f t="shared" ca="1" si="10"/>
        <v>-0.57502268056574413</v>
      </c>
      <c r="V209" s="144">
        <f t="shared" ca="1" si="10"/>
        <v>-0.60842956456236752</v>
      </c>
      <c r="W209" s="144">
        <f t="shared" ca="1" si="10"/>
        <v>-0.60907693929933993</v>
      </c>
      <c r="X209" s="144">
        <f t="shared" si="10"/>
        <v>-0.24806026551445043</v>
      </c>
      <c r="Y209" s="144">
        <f t="shared" si="10"/>
        <v>0.36471013609322872</v>
      </c>
      <c r="Z209" s="144" t="e">
        <f ca="1">CORREL(Z3:Z204,$AD$3:$AD$204)</f>
        <v>#DIV/0!</v>
      </c>
      <c r="AA209" s="144" t="e">
        <f t="shared" ref="AA209" ca="1" si="11">CORREL(AA3:AA204,$AD$3:$AD$204)</f>
        <v>#DIV/0!</v>
      </c>
      <c r="AB209" s="144"/>
    </row>
    <row r="210" spans="1:43">
      <c r="A210" s="136" t="s">
        <v>197</v>
      </c>
      <c r="B210" s="144">
        <f t="shared" ref="B210:L210" si="12">CORREL(B3:B202,$AE$3:$AE$202)</f>
        <v>0.23832165666486327</v>
      </c>
      <c r="C210" s="144">
        <f t="shared" si="12"/>
        <v>0.43745766344341103</v>
      </c>
      <c r="D210" s="144">
        <f t="shared" si="12"/>
        <v>2.6588078354421955E-2</v>
      </c>
      <c r="E210" s="144">
        <f t="shared" si="12"/>
        <v>0.15729064748090346</v>
      </c>
      <c r="F210" s="144">
        <f t="shared" si="12"/>
        <v>0.21116648036018379</v>
      </c>
      <c r="G210" s="144">
        <f t="shared" si="12"/>
        <v>0.19251191891369782</v>
      </c>
      <c r="H210" s="144">
        <f t="shared" si="12"/>
        <v>-0.22431589030639124</v>
      </c>
      <c r="I210" s="144">
        <f t="shared" si="12"/>
        <v>0.35750898226059596</v>
      </c>
      <c r="J210" s="144">
        <f t="shared" si="12"/>
        <v>0.25841445124396617</v>
      </c>
      <c r="K210" s="144">
        <f t="shared" si="12"/>
        <v>0.79989055157122624</v>
      </c>
      <c r="L210" s="144">
        <f t="shared" si="12"/>
        <v>-6.219824706191647E-2</v>
      </c>
      <c r="M210" s="144">
        <f ca="1">CORREL(M3:M204,$AE$3:$AE$204)</f>
        <v>-2.4441841342371991E-2</v>
      </c>
      <c r="N210" s="144">
        <f t="shared" ref="N210:Y210" ca="1" si="13">CORREL(N3:N204,$AE$3:$AE$204)</f>
        <v>-0.14692326043883083</v>
      </c>
      <c r="O210" s="144" t="e">
        <f t="shared" ca="1" si="13"/>
        <v>#REF!</v>
      </c>
      <c r="P210" s="144">
        <f t="shared" ca="1" si="13"/>
        <v>-5.0046031746678342E-2</v>
      </c>
      <c r="Q210" s="144">
        <f t="shared" ca="1" si="13"/>
        <v>-0.75938752157565792</v>
      </c>
      <c r="R210" s="144">
        <f t="shared" ca="1" si="13"/>
        <v>-0.22661035683697928</v>
      </c>
      <c r="S210" s="144">
        <f t="shared" si="13"/>
        <v>-2.9410101768152341E-2</v>
      </c>
      <c r="T210" s="144">
        <f t="shared" ca="1" si="13"/>
        <v>0.17841015981450814</v>
      </c>
      <c r="U210" s="144">
        <f t="shared" ca="1" si="13"/>
        <v>-0.82736741718199458</v>
      </c>
      <c r="V210" s="144">
        <f t="shared" ca="1" si="13"/>
        <v>-0.84190980977873497</v>
      </c>
      <c r="W210" s="144">
        <f t="shared" ca="1" si="13"/>
        <v>-0.84455569938978536</v>
      </c>
      <c r="X210" s="144">
        <f t="shared" si="13"/>
        <v>3.0527053827614482E-2</v>
      </c>
      <c r="Y210" s="144">
        <f t="shared" si="13"/>
        <v>0.79959786904422581</v>
      </c>
      <c r="Z210" s="144" t="e">
        <f t="shared" ref="Z210:AA210" ca="1" si="14">CORREL(Z3:Z204,$AE$3:$AE$204)</f>
        <v>#DIV/0!</v>
      </c>
      <c r="AA210" s="144" t="e">
        <f t="shared" ca="1" si="14"/>
        <v>#DIV/0!</v>
      </c>
      <c r="AB210" s="144"/>
    </row>
    <row r="211" spans="1:43" hidden="1">
      <c r="A211" s="136" t="s">
        <v>198</v>
      </c>
      <c r="B211" s="144">
        <f>CORREL(B3:B202,$AF$3:$AF$202)</f>
        <v>0.19540727354080614</v>
      </c>
      <c r="C211" s="144">
        <f>CORREL(C3:C201,$AF$3:$AF$201)</f>
        <v>0.34303425700435419</v>
      </c>
      <c r="D211" s="144">
        <f>CORREL(D3:D201,$AF$3:$AF$201)</f>
        <v>0.26783724252719882</v>
      </c>
      <c r="E211" s="144">
        <f>CORREL(E3:E201,$AF$3:$AF$201)</f>
        <v>0.16688224376680585</v>
      </c>
      <c r="F211" s="144">
        <f>CORREL(F3:F201,$AF$3:$AF$201)</f>
        <v>0.27080226317841249</v>
      </c>
      <c r="G211" s="144">
        <f>CORREL(G3:G201,$AF$3:$AF$201)</f>
        <v>0.15817620910088684</v>
      </c>
      <c r="H211" s="144">
        <f>CORREL(H3:H200,$AF$3:$AF$200)</f>
        <v>-0.18308884127240765</v>
      </c>
      <c r="I211" s="144">
        <f>CORREL(I3:I201,$AF$3:$AF$201)</f>
        <v>0.40138975133910443</v>
      </c>
      <c r="J211" s="144">
        <f>CORREL(J3:J201,$AF$3:$AF$201)</f>
        <v>0.34454015701473778</v>
      </c>
      <c r="K211" s="144"/>
      <c r="L211" s="144">
        <f t="shared" ref="L211" si="15">CORREL(L3:L200,$AF$3:$AF$200)</f>
        <v>5.0519238462350138E-2</v>
      </c>
      <c r="M211" s="144">
        <f t="shared" ref="M211:Y211" si="16">CORREL(M3:M200,$AF$3:$AF$200)</f>
        <v>0.10015999224173974</v>
      </c>
      <c r="N211" s="144">
        <f t="shared" si="16"/>
        <v>-0.44636562050875955</v>
      </c>
      <c r="O211" s="144">
        <f t="shared" si="16"/>
        <v>0.37832537148878093</v>
      </c>
      <c r="P211" s="144">
        <f t="shared" si="16"/>
        <v>-7.5359999092101421E-2</v>
      </c>
      <c r="Q211" s="144">
        <f t="shared" si="16"/>
        <v>-6.4313894166540611E-2</v>
      </c>
      <c r="R211" s="144">
        <f t="shared" si="16"/>
        <v>0.11051022793270122</v>
      </c>
      <c r="S211" s="144">
        <f t="shared" si="16"/>
        <v>0.14949223828259145</v>
      </c>
      <c r="T211" s="144">
        <f t="shared" si="16"/>
        <v>-0.3144927893420072</v>
      </c>
      <c r="U211" s="144">
        <f t="shared" si="16"/>
        <v>-0.1806088482813219</v>
      </c>
      <c r="V211" s="144">
        <f t="shared" si="16"/>
        <v>-6.9113621739974623E-2</v>
      </c>
      <c r="W211" s="144" t="e">
        <f t="shared" si="16"/>
        <v>#DIV/0!</v>
      </c>
      <c r="X211" s="144" t="e">
        <f t="shared" si="16"/>
        <v>#DIV/0!</v>
      </c>
      <c r="Y211" s="144" t="e">
        <f t="shared" si="16"/>
        <v>#DIV/0!</v>
      </c>
      <c r="Z211" s="144"/>
      <c r="AA211" s="144"/>
      <c r="AB211" s="144"/>
    </row>
    <row r="212" spans="1:43" s="165" customFormat="1" ht="15.75">
      <c r="A212" s="136"/>
      <c r="B212" s="142"/>
      <c r="C212" s="142"/>
      <c r="D212" s="142"/>
      <c r="E212" s="142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4"/>
      <c r="AI212" s="164"/>
    </row>
    <row r="213" spans="1:43" ht="15.75">
      <c r="A213" s="166" t="s">
        <v>199</v>
      </c>
      <c r="B213" s="167" t="str">
        <f t="shared" ref="B213:AA213" si="17">B$2</f>
        <v>ARF</v>
      </c>
      <c r="C213" s="167" t="str">
        <f t="shared" si="17"/>
        <v>HRF</v>
      </c>
      <c r="D213" s="167" t="str">
        <f t="shared" si="17"/>
        <v>COTT</v>
      </c>
      <c r="E213" s="167" t="str">
        <f t="shared" si="17"/>
        <v>COPT1</v>
      </c>
      <c r="F213" s="167" t="str">
        <f t="shared" si="17"/>
        <v>COPT2</v>
      </c>
      <c r="G213" s="167" t="str">
        <f t="shared" si="17"/>
        <v>SKK</v>
      </c>
      <c r="H213" s="167" t="str">
        <f t="shared" si="17"/>
        <v>DTK</v>
      </c>
      <c r="I213" s="167" t="str">
        <f t="shared" si="17"/>
        <v>CHF</v>
      </c>
      <c r="J213" s="167" t="str">
        <f t="shared" si="17"/>
        <v>CHF2</v>
      </c>
      <c r="K213" s="167" t="str">
        <f t="shared" si="17"/>
        <v>CHF3</v>
      </c>
      <c r="L213" s="167" t="str">
        <f t="shared" si="17"/>
        <v>SuperA</v>
      </c>
      <c r="M213" s="167" t="str">
        <f t="shared" si="17"/>
        <v>DTK</v>
      </c>
      <c r="N213" s="167" t="str">
        <f t="shared" si="17"/>
        <v>RR</v>
      </c>
      <c r="O213" s="167" t="str">
        <f t="shared" si="17"/>
        <v>TIH</v>
      </c>
      <c r="P213" s="167" t="str">
        <f t="shared" si="17"/>
        <v>SamSen</v>
      </c>
      <c r="Q213" s="167" t="s">
        <v>393</v>
      </c>
      <c r="R213" s="167" t="str">
        <f t="shared" si="17"/>
        <v>William</v>
      </c>
      <c r="S213" s="167" t="str">
        <f t="shared" si="17"/>
        <v>BMTR4</v>
      </c>
      <c r="T213" s="167" t="str">
        <f t="shared" si="17"/>
        <v>Mediacom_Televisi</v>
      </c>
      <c r="U213" s="167" t="s">
        <v>395</v>
      </c>
      <c r="V213" s="167" t="s">
        <v>394</v>
      </c>
      <c r="W213" s="167" t="s">
        <v>407</v>
      </c>
      <c r="X213" s="167" t="str">
        <f t="shared" si="17"/>
        <v>Gloves</v>
      </c>
      <c r="Y213" s="167" t="str">
        <f t="shared" si="17"/>
        <v>Tanker</v>
      </c>
      <c r="Z213" s="167" t="str">
        <f t="shared" si="17"/>
        <v>West</v>
      </c>
      <c r="AA213" s="167" t="str">
        <f t="shared" si="17"/>
        <v>Solar2</v>
      </c>
      <c r="AB213" s="167"/>
      <c r="AC213" s="168"/>
      <c r="AD213" s="168"/>
      <c r="AE213" s="168"/>
      <c r="AF213" s="168"/>
      <c r="AG213" s="168"/>
      <c r="AH213" s="169"/>
    </row>
    <row r="214" spans="1:43">
      <c r="AD214" s="152"/>
      <c r="AE214" s="152"/>
      <c r="AF214" s="152"/>
    </row>
    <row r="215" spans="1:43">
      <c r="A215" s="136" t="s">
        <v>212</v>
      </c>
      <c r="B215" s="144">
        <f t="shared" ref="B215:Y215" si="18">COUNT(B2:B206)</f>
        <v>200</v>
      </c>
      <c r="C215" s="144">
        <f t="shared" si="18"/>
        <v>155</v>
      </c>
      <c r="D215" s="144">
        <f t="shared" si="18"/>
        <v>118</v>
      </c>
      <c r="E215" s="144">
        <f t="shared" si="18"/>
        <v>93</v>
      </c>
      <c r="F215" s="144">
        <f t="shared" si="18"/>
        <v>78</v>
      </c>
      <c r="G215" s="144">
        <f t="shared" si="18"/>
        <v>71</v>
      </c>
      <c r="H215" s="144">
        <f t="shared" si="18"/>
        <v>51</v>
      </c>
      <c r="I215" s="144">
        <f t="shared" si="18"/>
        <v>61</v>
      </c>
      <c r="J215" s="144">
        <f t="shared" si="18"/>
        <v>27</v>
      </c>
      <c r="K215" s="144">
        <f t="shared" si="18"/>
        <v>6</v>
      </c>
      <c r="L215" s="144">
        <f t="shared" si="18"/>
        <v>19</v>
      </c>
      <c r="M215" s="144">
        <f t="shared" ca="1" si="18"/>
        <v>53</v>
      </c>
      <c r="N215" s="144">
        <f t="shared" ca="1" si="18"/>
        <v>34</v>
      </c>
      <c r="O215" s="144">
        <f t="shared" ca="1" si="18"/>
        <v>156</v>
      </c>
      <c r="P215" s="144">
        <f t="shared" ca="1" si="18"/>
        <v>44</v>
      </c>
      <c r="Q215" s="144">
        <f t="shared" ca="1" si="18"/>
        <v>39</v>
      </c>
      <c r="R215" s="144">
        <f t="shared" ca="1" si="18"/>
        <v>43</v>
      </c>
      <c r="S215" s="144">
        <f t="shared" si="18"/>
        <v>71</v>
      </c>
      <c r="T215" s="144">
        <f t="shared" ca="1" si="18"/>
        <v>34</v>
      </c>
      <c r="U215" s="144">
        <f t="shared" ca="1" si="18"/>
        <v>27</v>
      </c>
      <c r="V215" s="144">
        <f t="shared" ca="1" si="18"/>
        <v>23</v>
      </c>
      <c r="W215" s="144">
        <f t="shared" ca="1" si="18"/>
        <v>16</v>
      </c>
      <c r="X215" s="144">
        <f t="shared" si="18"/>
        <v>8</v>
      </c>
      <c r="Y215" s="144">
        <f t="shared" si="18"/>
        <v>7</v>
      </c>
      <c r="Z215" s="144">
        <f t="shared" ref="Z215:AA215" ca="1" si="19">COUNT(Z2:Z206)</f>
        <v>1</v>
      </c>
      <c r="AA215" s="144">
        <f t="shared" ca="1" si="19"/>
        <v>1</v>
      </c>
      <c r="AD215" s="152"/>
      <c r="AE215" s="152"/>
      <c r="AF215" s="152"/>
    </row>
    <row r="216" spans="1:43" outlineLevel="1">
      <c r="A216" s="136" t="s">
        <v>103</v>
      </c>
      <c r="B216" s="188">
        <v>9.66989576816559E-2</v>
      </c>
      <c r="C216" s="188">
        <v>4.6138623356819161E-2</v>
      </c>
      <c r="D216" s="188">
        <v>9.4300970435142517E-2</v>
      </c>
      <c r="E216" s="188">
        <v>3.0587002635002133E-2</v>
      </c>
      <c r="F216" s="188">
        <v>5.0071626901626604E-3</v>
      </c>
      <c r="G216" s="189">
        <v>0.10810916890662203</v>
      </c>
      <c r="H216" s="189">
        <v>0.55093908284133408</v>
      </c>
      <c r="I216" s="188">
        <v>0.1064483940601349</v>
      </c>
      <c r="J216" s="189">
        <v>0.10603350996971131</v>
      </c>
      <c r="K216" s="189">
        <v>4.6098294854164126E-2</v>
      </c>
      <c r="L216" s="189">
        <v>0.24195708632469176</v>
      </c>
      <c r="M216" s="189">
        <v>0.57909633517265313</v>
      </c>
      <c r="N216" s="189">
        <v>0.24783534407615662</v>
      </c>
      <c r="O216" s="189">
        <v>0.43229447007179267</v>
      </c>
      <c r="P216" s="189">
        <v>-7.202815711498263E-2</v>
      </c>
      <c r="Q216" s="189">
        <v>0.24815216660499573</v>
      </c>
      <c r="R216" s="189">
        <v>0.17645704150199892</v>
      </c>
      <c r="S216" s="189">
        <v>0.15066071152687077</v>
      </c>
      <c r="T216" s="189">
        <v>0.15407902598381043</v>
      </c>
      <c r="U216" s="189">
        <v>0.16117702126503</v>
      </c>
      <c r="V216" s="189">
        <v>0.12283607125282286</v>
      </c>
      <c r="W216" s="189">
        <v>5.1959916949272156E-2</v>
      </c>
      <c r="X216" s="189">
        <v>0.23318579792976379</v>
      </c>
      <c r="Y216" s="189">
        <v>-8.477492034435273E-2</v>
      </c>
      <c r="Z216" s="189">
        <v>0.91522507965564703</v>
      </c>
      <c r="AA216" s="189">
        <v>1.91522507965565</v>
      </c>
      <c r="AB216" s="189"/>
      <c r="AD216" s="170" t="s">
        <v>200</v>
      </c>
      <c r="AE216" s="170"/>
      <c r="AF216" s="170"/>
    </row>
    <row r="217" spans="1:43" outlineLevel="1">
      <c r="A217" s="136" t="s">
        <v>201</v>
      </c>
      <c r="B217" s="142">
        <v>3.1983656565656562E-2</v>
      </c>
      <c r="C217" s="142">
        <v>2.906085161290323E-2</v>
      </c>
      <c r="D217" s="142">
        <v>2.4789754237288148E-2</v>
      </c>
      <c r="E217" s="142">
        <v>2.2784191489361706E-2</v>
      </c>
      <c r="F217" s="142">
        <v>2.2784191489361706E-2</v>
      </c>
      <c r="G217" s="142">
        <v>2.325292957746479E-2</v>
      </c>
      <c r="H217" s="142">
        <v>2.2470020408163267E-2</v>
      </c>
      <c r="I217" s="142">
        <v>2.3126338983050852E-2</v>
      </c>
      <c r="J217" s="142">
        <v>2.4829720000000003E-2</v>
      </c>
      <c r="K217" s="142">
        <v>2.9788166666666668E-2</v>
      </c>
      <c r="L217" s="142">
        <f t="shared" ref="L217:Y217" ca="1" si="20">AVERAGE(INDIRECT(ADDRESS($A$206-L215-1,$AG$1)&amp;":"&amp;ADDRESS($A$206-2,$AG$1)))</f>
        <v>2.6382076923076925E-2</v>
      </c>
      <c r="M217" s="142">
        <f t="shared" ca="1" si="20"/>
        <v>2.2255936170212764E-2</v>
      </c>
      <c r="N217" s="142">
        <f t="shared" ca="1" si="20"/>
        <v>2.3126464285714288E-2</v>
      </c>
      <c r="O217" s="142">
        <f t="shared" ca="1" si="20"/>
        <v>2.8953093333333329E-2</v>
      </c>
      <c r="P217" s="142">
        <f t="shared" ca="1" si="20"/>
        <v>2.253528947368421E-2</v>
      </c>
      <c r="Q217" s="142">
        <f t="shared" ca="1" si="20"/>
        <v>2.2622454545454546E-2</v>
      </c>
      <c r="R217" s="142">
        <f t="shared" ca="1" si="20"/>
        <v>2.2509216216216217E-2</v>
      </c>
      <c r="S217" s="142">
        <f t="shared" ca="1" si="20"/>
        <v>2.3015953846153847E-2</v>
      </c>
      <c r="T217" s="142">
        <f t="shared" ca="1" si="20"/>
        <v>2.3126464285714288E-2</v>
      </c>
      <c r="U217" s="142">
        <f t="shared" ca="1" si="20"/>
        <v>2.5316238095238097E-2</v>
      </c>
      <c r="V217" s="142">
        <f t="shared" ca="1" si="20"/>
        <v>2.5571058823529412E-2</v>
      </c>
      <c r="W217" s="142">
        <f t="shared" ca="1" si="20"/>
        <v>2.7551900000000001E-2</v>
      </c>
      <c r="X217" s="142">
        <f t="shared" ca="1" si="20"/>
        <v>3.0132500000000003E-2</v>
      </c>
      <c r="Y217" s="142">
        <f t="shared" ca="1" si="20"/>
        <v>3.0132500000000003E-2</v>
      </c>
      <c r="Z217" s="142" t="e">
        <f t="shared" ref="Z217:AA217" ca="1" si="21">AVERAGE(INDIRECT(ADDRESS($A$206-Z215-1,$AG$1)&amp;":"&amp;ADDRESS($A$206-2,$AG$1)))</f>
        <v>#DIV/0!</v>
      </c>
      <c r="AA217" s="142" t="e">
        <f t="shared" ca="1" si="21"/>
        <v>#DIV/0!</v>
      </c>
      <c r="AB217" s="143"/>
      <c r="AD217" s="170" t="s">
        <v>202</v>
      </c>
      <c r="AE217" s="170"/>
      <c r="AF217" s="170"/>
    </row>
    <row r="218" spans="1:43" outlineLevel="1">
      <c r="A218" s="136" t="s">
        <v>203</v>
      </c>
      <c r="B218" s="142">
        <v>0.1042240629550108</v>
      </c>
      <c r="C218" s="142">
        <v>0.1086204564139482</v>
      </c>
      <c r="D218" s="142">
        <v>8.7136869988645185E-2</v>
      </c>
      <c r="E218" s="142">
        <v>0.22202014304325288</v>
      </c>
      <c r="F218" s="142">
        <v>8.5823901331091676E-2</v>
      </c>
      <c r="G218" s="142">
        <v>0.30139039396228323</v>
      </c>
      <c r="H218" s="142">
        <v>0.8240316739864626</v>
      </c>
      <c r="I218" s="142">
        <v>7.6577239768134187E-2</v>
      </c>
      <c r="J218" s="142">
        <v>0.11438354703317158</v>
      </c>
      <c r="K218" s="142">
        <v>1.8407064084583997E-2</v>
      </c>
      <c r="L218" s="142">
        <f t="shared" ref="L218:Y218" si="22">STDEV(L3:L200)*SQRT(12)</f>
        <v>1.6726899040516972</v>
      </c>
      <c r="M218" s="142">
        <f t="shared" si="22"/>
        <v>1.475433770519482</v>
      </c>
      <c r="N218" s="142">
        <f t="shared" si="22"/>
        <v>0.34481312827708011</v>
      </c>
      <c r="O218" s="142">
        <f t="shared" si="22"/>
        <v>0.34289053822534449</v>
      </c>
      <c r="P218" s="142">
        <f t="shared" si="22"/>
        <v>0.38415105828148205</v>
      </c>
      <c r="Q218" s="142">
        <f t="shared" si="22"/>
        <v>9.2358375323242495E-2</v>
      </c>
      <c r="R218" s="142">
        <f t="shared" si="22"/>
        <v>1.5202896943072515E-2</v>
      </c>
      <c r="S218" s="142">
        <f t="shared" si="22"/>
        <v>4.1102799920831497E-2</v>
      </c>
      <c r="T218" s="142">
        <f t="shared" si="22"/>
        <v>5.3488744593489422E-2</v>
      </c>
      <c r="U218" s="142">
        <f t="shared" si="22"/>
        <v>5.6161320097347478E-2</v>
      </c>
      <c r="V218" s="142">
        <f t="shared" si="22"/>
        <v>3.3406693196393583E-2</v>
      </c>
      <c r="W218" s="142">
        <f t="shared" si="22"/>
        <v>3.8163059035127442E-2</v>
      </c>
      <c r="X218" s="142">
        <f t="shared" si="22"/>
        <v>0.5116658546821008</v>
      </c>
      <c r="Y218" s="142">
        <f t="shared" si="22"/>
        <v>3.0058932918033493E-2</v>
      </c>
      <c r="Z218" s="142" t="e">
        <f t="shared" ref="Z218:AA218" si="23">STDEV(Z3:Z200)*SQRT(12)</f>
        <v>#DIV/0!</v>
      </c>
      <c r="AA218" s="142" t="e">
        <f t="shared" si="23"/>
        <v>#DIV/0!</v>
      </c>
      <c r="AD218" s="170"/>
      <c r="AE218" s="170"/>
      <c r="AF218" s="170"/>
    </row>
    <row r="219" spans="1:43">
      <c r="AD219" s="152"/>
      <c r="AE219" s="152"/>
      <c r="AF219" s="152"/>
    </row>
    <row r="220" spans="1:43" s="142" customFormat="1">
      <c r="A220" s="172" t="s">
        <v>199</v>
      </c>
      <c r="B220" s="173">
        <f>(B216-B217)/B218</f>
        <v>0.62092475845941875</v>
      </c>
      <c r="C220" s="173">
        <f>(C216-C217)/C218</f>
        <v>0.15722426794850897</v>
      </c>
      <c r="D220" s="173">
        <f t="shared" ref="D220:AA220" si="24">(D216-D217)/D218</f>
        <v>0.7977245017741903</v>
      </c>
      <c r="E220" s="173">
        <f t="shared" si="24"/>
        <v>3.514460912729131E-2</v>
      </c>
      <c r="F220" s="173">
        <f t="shared" si="24"/>
        <v>-0.20713377652943996</v>
      </c>
      <c r="G220" s="173">
        <f t="shared" si="24"/>
        <v>0.28154924984031299</v>
      </c>
      <c r="H220" s="173">
        <f t="shared" si="24"/>
        <v>0.64132129761052448</v>
      </c>
      <c r="I220" s="173">
        <f t="shared" si="24"/>
        <v>1.0880785900532883</v>
      </c>
      <c r="J220" s="174">
        <f t="shared" si="24"/>
        <v>0.70992544011737946</v>
      </c>
      <c r="K220" s="174">
        <f t="shared" si="24"/>
        <v>0.88607982851307987</v>
      </c>
      <c r="L220" s="174">
        <f t="shared" ca="1" si="24"/>
        <v>0.12887924347449886</v>
      </c>
      <c r="M220" s="174">
        <f t="shared" ca="1" si="24"/>
        <v>0.37740792581044408</v>
      </c>
      <c r="N220" s="174">
        <f t="shared" ca="1" si="24"/>
        <v>0.65168307515795598</v>
      </c>
      <c r="O220" s="174">
        <f t="shared" ca="1" si="24"/>
        <v>1.1762977737034759</v>
      </c>
      <c r="P220" s="174">
        <f t="shared" ca="1" si="24"/>
        <v>-0.24616213999696079</v>
      </c>
      <c r="Q220" s="174">
        <f t="shared" ca="1" si="24"/>
        <v>2.4418977842585043</v>
      </c>
      <c r="R220" s="174">
        <f t="shared" ca="1" si="24"/>
        <v>10.126216461391717</v>
      </c>
      <c r="S220" s="174">
        <f t="shared" ca="1" si="24"/>
        <v>3.1055003047620779</v>
      </c>
      <c r="T220" s="174">
        <f t="shared" ca="1" si="24"/>
        <v>2.4482264950005108</v>
      </c>
      <c r="U220" s="174">
        <f t="shared" ca="1" si="24"/>
        <v>2.4191166257185017</v>
      </c>
      <c r="V220" s="174">
        <f t="shared" ca="1" si="24"/>
        <v>2.9115426617500018</v>
      </c>
      <c r="W220" s="174">
        <f t="shared" ca="1" si="24"/>
        <v>0.63957181542511132</v>
      </c>
      <c r="X220" s="174">
        <f t="shared" ca="1" si="24"/>
        <v>0.39684746611813931</v>
      </c>
      <c r="Y220" s="174">
        <f t="shared" ca="1" si="24"/>
        <v>-3.8227378416156426</v>
      </c>
      <c r="Z220" s="174" t="e">
        <f t="shared" ca="1" si="24"/>
        <v>#DIV/0!</v>
      </c>
      <c r="AA220" s="174" t="e">
        <f t="shared" ca="1" si="24"/>
        <v>#DIV/0!</v>
      </c>
      <c r="AB220" s="184"/>
      <c r="AH220" s="144"/>
      <c r="AI220" s="145"/>
      <c r="AJ220" s="146"/>
      <c r="AK220" s="146"/>
      <c r="AL220" s="146"/>
      <c r="AM220" s="146"/>
      <c r="AN220" s="146"/>
      <c r="AO220" s="146"/>
      <c r="AP220" s="146"/>
      <c r="AQ220" s="146"/>
    </row>
    <row r="222" spans="1:43" s="142" customFormat="1">
      <c r="A222" s="136" t="s">
        <v>204</v>
      </c>
      <c r="B222" s="142">
        <v>0.13901667732940859</v>
      </c>
      <c r="C222" s="142">
        <v>0.13975399159362273</v>
      </c>
      <c r="D222" s="142">
        <v>0.12967020685132521</v>
      </c>
      <c r="E222" s="142">
        <v>0.10916677375385671</v>
      </c>
      <c r="F222" s="142">
        <v>9.6527859087485499E-2</v>
      </c>
      <c r="G222" s="142">
        <v>9.941777368754097E-2</v>
      </c>
      <c r="H222" s="142">
        <v>9.723795128998039E-2</v>
      </c>
      <c r="I222" s="142">
        <v>9.9389599770347684E-2</v>
      </c>
      <c r="J222" s="142">
        <v>8.7513015002279357E-2</v>
      </c>
      <c r="K222" s="142">
        <v>5.7472053479195408E-2</v>
      </c>
      <c r="AH222" s="144"/>
      <c r="AI222" s="145"/>
      <c r="AJ222" s="146"/>
      <c r="AK222" s="146"/>
      <c r="AL222" s="146"/>
      <c r="AM222" s="146"/>
      <c r="AN222" s="146"/>
      <c r="AO222" s="146"/>
      <c r="AP222" s="146"/>
      <c r="AQ222" s="146"/>
    </row>
    <row r="224" spans="1:43" s="142" customFormat="1">
      <c r="A224" s="136"/>
      <c r="B224" s="171"/>
      <c r="AH224" s="144"/>
      <c r="AI224" s="145"/>
      <c r="AJ224" s="146"/>
      <c r="AK224" s="146"/>
      <c r="AL224" s="146"/>
      <c r="AM224" s="146"/>
      <c r="AN224" s="146"/>
      <c r="AO224" s="146"/>
      <c r="AP224" s="146"/>
      <c r="AQ224" s="146"/>
    </row>
    <row r="225" spans="1:43" s="142" customFormat="1">
      <c r="A225" s="136"/>
      <c r="B225" s="171"/>
      <c r="AH225" s="144"/>
      <c r="AI225" s="145"/>
      <c r="AJ225" s="146"/>
      <c r="AK225" s="146"/>
      <c r="AL225" s="146"/>
      <c r="AM225" s="146"/>
      <c r="AN225" s="146"/>
      <c r="AO225" s="146"/>
      <c r="AP225" s="146"/>
      <c r="AQ225" s="146"/>
    </row>
    <row r="226" spans="1:43" s="142" customFormat="1">
      <c r="A226" s="179" t="s">
        <v>211</v>
      </c>
      <c r="B226" s="171"/>
      <c r="AH226" s="144"/>
      <c r="AI226" s="145"/>
      <c r="AJ226" s="146"/>
      <c r="AK226" s="146"/>
      <c r="AL226" s="146"/>
      <c r="AM226" s="146"/>
      <c r="AN226" s="146"/>
      <c r="AO226" s="146"/>
      <c r="AP226" s="146"/>
      <c r="AQ226" s="146"/>
    </row>
    <row r="227" spans="1:43" s="142" customFormat="1">
      <c r="A227" s="2"/>
      <c r="B227" s="175" t="s">
        <v>190</v>
      </c>
      <c r="C227" s="175" t="s">
        <v>191</v>
      </c>
      <c r="D227" s="175" t="s">
        <v>192</v>
      </c>
      <c r="E227" s="175" t="s">
        <v>193</v>
      </c>
      <c r="F227" s="2"/>
      <c r="G227" s="2"/>
      <c r="H227" s="176" t="s">
        <v>205</v>
      </c>
      <c r="I227" s="2" t="s">
        <v>206</v>
      </c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 t="s">
        <v>190</v>
      </c>
      <c r="AD227" s="2" t="s">
        <v>191</v>
      </c>
      <c r="AE227" s="2" t="s">
        <v>192</v>
      </c>
      <c r="AF227" s="2" t="s">
        <v>193</v>
      </c>
      <c r="AG227" s="2"/>
      <c r="AH227" s="2"/>
      <c r="AI227" s="2"/>
      <c r="AJ227" s="2"/>
      <c r="AK227" s="2"/>
      <c r="AL227" s="146"/>
      <c r="AM227" s="146"/>
      <c r="AN227" s="146"/>
      <c r="AO227" s="146"/>
      <c r="AP227" s="146"/>
      <c r="AQ227" s="146"/>
    </row>
    <row r="228" spans="1:43" s="142" customFormat="1">
      <c r="A228" s="2"/>
      <c r="B228" s="2" t="s">
        <v>207</v>
      </c>
      <c r="C228" s="2" t="s">
        <v>208</v>
      </c>
      <c r="D228" s="2" t="s">
        <v>192</v>
      </c>
      <c r="E228" s="2" t="s">
        <v>209</v>
      </c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 t="s">
        <v>207</v>
      </c>
      <c r="AD228" s="2" t="s">
        <v>208</v>
      </c>
      <c r="AE228" s="2" t="s">
        <v>192</v>
      </c>
      <c r="AF228" s="2" t="s">
        <v>209</v>
      </c>
      <c r="AG228" s="2"/>
      <c r="AH228" s="2"/>
      <c r="AI228" s="2"/>
      <c r="AJ228" s="2"/>
      <c r="AK228" s="2"/>
      <c r="AL228" s="146"/>
      <c r="AM228" s="146"/>
      <c r="AN228" s="146"/>
      <c r="AO228" s="146"/>
      <c r="AP228" s="146"/>
      <c r="AQ228" s="146"/>
    </row>
    <row r="229" spans="1:43" s="142" customFormat="1">
      <c r="A229" s="177">
        <v>43131</v>
      </c>
      <c r="B229" s="2" t="e">
        <f t="shared" ref="B229:E231" ca="1" si="25">BDH(E$227 &amp;" index",$H$1,$A229,$A229,"days=a")</f>
        <v>#NAME?</v>
      </c>
      <c r="C229" s="2" t="e">
        <f t="shared" ca="1" si="25"/>
        <v>#NAME?</v>
      </c>
      <c r="D229" s="2" t="e">
        <f t="shared" ca="1" si="25"/>
        <v>#NAME?</v>
      </c>
      <c r="E229" s="2" t="e">
        <f t="shared" ca="1" si="25"/>
        <v>#NAME?</v>
      </c>
      <c r="F229" s="2"/>
      <c r="G229" s="2"/>
      <c r="H229" s="2"/>
      <c r="I229" s="2"/>
      <c r="J229" s="177">
        <v>43131</v>
      </c>
      <c r="K229" s="177"/>
      <c r="L229" s="177"/>
      <c r="M229" s="177"/>
      <c r="N229" s="177"/>
      <c r="O229" s="177"/>
      <c r="P229" s="177"/>
      <c r="Q229" s="177"/>
      <c r="R229" s="177"/>
      <c r="S229" s="177"/>
      <c r="T229" s="177"/>
      <c r="U229" s="177"/>
      <c r="V229" s="177"/>
      <c r="W229" s="177"/>
      <c r="X229" s="177"/>
      <c r="Y229" s="177"/>
      <c r="Z229" s="177"/>
      <c r="AA229" s="177"/>
      <c r="AB229" s="177"/>
      <c r="AC229" s="2">
        <v>2823.81</v>
      </c>
      <c r="AD229" s="2">
        <v>184.03</v>
      </c>
      <c r="AE229" s="2" t="s">
        <v>210</v>
      </c>
      <c r="AF229" s="2">
        <v>2.7050000000000001</v>
      </c>
      <c r="AG229" s="2"/>
      <c r="AH229" s="2"/>
      <c r="AI229" s="2"/>
      <c r="AJ229" s="2"/>
      <c r="AK229" s="2"/>
      <c r="AL229" s="146"/>
      <c r="AM229" s="146"/>
      <c r="AN229" s="146"/>
      <c r="AO229" s="146"/>
      <c r="AP229" s="146"/>
      <c r="AQ229" s="146"/>
    </row>
    <row r="230" spans="1:43" s="142" customFormat="1">
      <c r="A230" s="177">
        <v>43159</v>
      </c>
      <c r="B230" s="2" t="e">
        <f t="shared" ca="1" si="25"/>
        <v>#NAME?</v>
      </c>
      <c r="C230" s="2" t="e">
        <f t="shared" ca="1" si="25"/>
        <v>#NAME?</v>
      </c>
      <c r="D230" s="2" t="e">
        <f t="shared" ca="1" si="25"/>
        <v>#NAME?</v>
      </c>
      <c r="E230" s="2" t="e">
        <f t="shared" ca="1" si="25"/>
        <v>#NAME?</v>
      </c>
      <c r="F230" s="2"/>
      <c r="G230" s="2"/>
      <c r="H230" s="2"/>
      <c r="I230" s="2"/>
      <c r="J230" s="177">
        <v>43159</v>
      </c>
      <c r="K230" s="177"/>
      <c r="L230" s="177"/>
      <c r="M230" s="177"/>
      <c r="N230" s="177"/>
      <c r="O230" s="177"/>
      <c r="P230" s="177"/>
      <c r="Q230" s="177"/>
      <c r="R230" s="177"/>
      <c r="S230" s="177"/>
      <c r="T230" s="177"/>
      <c r="U230" s="177"/>
      <c r="V230" s="177"/>
      <c r="W230" s="177"/>
      <c r="X230" s="177"/>
      <c r="Y230" s="177"/>
      <c r="Z230" s="177"/>
      <c r="AA230" s="177"/>
      <c r="AB230" s="177"/>
      <c r="AC230" s="2">
        <v>2713.83</v>
      </c>
      <c r="AD230" s="2">
        <v>177.36</v>
      </c>
      <c r="AE230" s="2" t="s">
        <v>210</v>
      </c>
      <c r="AF230" s="2">
        <v>2.8605999999999998</v>
      </c>
      <c r="AG230" s="2"/>
      <c r="AH230" s="178">
        <f t="shared" ref="AH230:AJ231" si="26">AC230/AC229-1</f>
        <v>-3.8947379604151844E-2</v>
      </c>
      <c r="AI230" s="178">
        <f t="shared" si="26"/>
        <v>-3.6244090637395976E-2</v>
      </c>
      <c r="AJ230" s="178" t="e">
        <f t="shared" si="26"/>
        <v>#VALUE!</v>
      </c>
      <c r="AK230" s="178">
        <f>AF230/100</f>
        <v>2.8605999999999999E-2</v>
      </c>
      <c r="AL230" s="146"/>
      <c r="AM230" s="146"/>
      <c r="AN230" s="146"/>
      <c r="AO230" s="146"/>
      <c r="AP230" s="146"/>
      <c r="AQ230" s="146"/>
    </row>
    <row r="231" spans="1:43" s="142" customFormat="1">
      <c r="A231" s="177">
        <v>43188</v>
      </c>
      <c r="B231" s="2" t="e">
        <f t="shared" ca="1" si="25"/>
        <v>#NAME?</v>
      </c>
      <c r="C231" s="2" t="e">
        <f t="shared" ca="1" si="25"/>
        <v>#NAME?</v>
      </c>
      <c r="D231" s="2" t="e">
        <f t="shared" ca="1" si="25"/>
        <v>#NAME?</v>
      </c>
      <c r="E231" s="2" t="e">
        <f t="shared" ca="1" si="25"/>
        <v>#NAME?</v>
      </c>
      <c r="F231" s="2"/>
      <c r="G231" s="2"/>
      <c r="H231" s="2"/>
      <c r="I231" s="2"/>
      <c r="J231" s="177">
        <v>43188</v>
      </c>
      <c r="K231" s="177"/>
      <c r="L231" s="177"/>
      <c r="M231" s="177"/>
      <c r="N231" s="177"/>
      <c r="O231" s="177"/>
      <c r="P231" s="177"/>
      <c r="Q231" s="177"/>
      <c r="R231" s="177"/>
      <c r="S231" s="177"/>
      <c r="T231" s="177"/>
      <c r="U231" s="177"/>
      <c r="V231" s="177"/>
      <c r="W231" s="177"/>
      <c r="X231" s="177"/>
      <c r="Y231" s="177"/>
      <c r="Z231" s="177"/>
      <c r="AA231" s="177"/>
      <c r="AB231" s="177"/>
      <c r="AC231" s="2">
        <v>2640.87</v>
      </c>
      <c r="AD231" s="2">
        <v>172.15</v>
      </c>
      <c r="AE231" s="2" t="s">
        <v>210</v>
      </c>
      <c r="AF231" s="2">
        <v>2.7389000000000001</v>
      </c>
      <c r="AG231" s="2"/>
      <c r="AH231" s="178">
        <f t="shared" si="26"/>
        <v>-2.6884513768364315E-2</v>
      </c>
      <c r="AI231" s="178">
        <f t="shared" si="26"/>
        <v>-2.9375281912494389E-2</v>
      </c>
      <c r="AJ231" s="178" t="e">
        <f t="shared" si="26"/>
        <v>#VALUE!</v>
      </c>
      <c r="AK231" s="178">
        <f>AF231/100</f>
        <v>2.7389E-2</v>
      </c>
      <c r="AL231" s="146"/>
      <c r="AM231" s="146"/>
      <c r="AN231" s="146"/>
      <c r="AO231" s="146"/>
      <c r="AP231" s="146"/>
      <c r="AQ231" s="146"/>
    </row>
    <row r="232" spans="1:43" s="142" customFormat="1">
      <c r="A232" s="136"/>
      <c r="B232" s="171"/>
      <c r="AH232" s="144"/>
      <c r="AI232" s="145"/>
      <c r="AJ232" s="146"/>
      <c r="AK232" s="146"/>
      <c r="AL232" s="146"/>
      <c r="AM232" s="146"/>
      <c r="AN232" s="146"/>
      <c r="AO232" s="146"/>
      <c r="AP232" s="146"/>
      <c r="AQ232" s="146"/>
    </row>
  </sheetData>
  <phoneticPr fontId="11" type="noConversion"/>
  <hyperlinks>
    <hyperlink ref="A226" r:id="rId1"/>
  </hyperlinks>
  <pageMargins left="0.7" right="0.7" top="0.75" bottom="0.75" header="0.3" footer="0.3"/>
  <pageSetup paperSize="9" orientation="portrait"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"/>
  <sheetViews>
    <sheetView workbookViewId="0">
      <selection activeCell="B6" sqref="B6"/>
    </sheetView>
  </sheetViews>
  <sheetFormatPr defaultRowHeight="15"/>
  <cols>
    <col min="2" max="2" width="68.5703125" customWidth="1"/>
  </cols>
  <sheetData>
    <row r="1" spans="1:2">
      <c r="A1" s="91" t="s">
        <v>409</v>
      </c>
      <c r="B1" s="90"/>
    </row>
    <row r="2" spans="1:2">
      <c r="A2">
        <v>1</v>
      </c>
      <c r="B2" t="s">
        <v>410</v>
      </c>
    </row>
    <row r="3" spans="1:2">
      <c r="A3">
        <v>2</v>
      </c>
      <c r="B3" t="s">
        <v>411</v>
      </c>
    </row>
    <row r="4" spans="1:2">
      <c r="A4">
        <v>3</v>
      </c>
      <c r="B4" t="s">
        <v>415</v>
      </c>
    </row>
    <row r="5" spans="1:2">
      <c r="A5">
        <v>4</v>
      </c>
      <c r="B5" t="s">
        <v>412</v>
      </c>
    </row>
    <row r="6" spans="1:2">
      <c r="A6">
        <v>5</v>
      </c>
      <c r="B6" t="s">
        <v>413</v>
      </c>
    </row>
    <row r="7" spans="1:2">
      <c r="A7">
        <v>6</v>
      </c>
      <c r="B7" t="s">
        <v>414</v>
      </c>
    </row>
    <row r="8" spans="1:2">
      <c r="A8">
        <v>7</v>
      </c>
      <c r="B8" t="s">
        <v>213</v>
      </c>
    </row>
  </sheetData>
  <phoneticPr fontId="11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95"/>
  <sheetViews>
    <sheetView workbookViewId="0">
      <selection activeCell="F13" sqref="F13:F14"/>
    </sheetView>
  </sheetViews>
  <sheetFormatPr defaultRowHeight="15"/>
  <cols>
    <col min="1" max="1" width="13.42578125" bestFit="1" customWidth="1"/>
    <col min="2" max="2" width="20.5703125" bestFit="1" customWidth="1"/>
    <col min="6" max="6" width="13.5703125" bestFit="1" customWidth="1"/>
    <col min="7" max="7" width="15.42578125" bestFit="1" customWidth="1"/>
    <col min="8" max="8" width="13.5703125" style="17" customWidth="1"/>
    <col min="9" max="9" width="10.42578125" style="17" bestFit="1" customWidth="1"/>
  </cols>
  <sheetData>
    <row r="1" spans="1:9">
      <c r="A1" s="13" t="s">
        <v>2</v>
      </c>
      <c r="B1" t="s">
        <v>0</v>
      </c>
    </row>
    <row r="2" spans="1:9">
      <c r="F2" s="41">
        <f>COUNTA(B1:B10000)+1</f>
        <v>195</v>
      </c>
    </row>
    <row r="3" spans="1:9">
      <c r="A3" s="13" t="s">
        <v>102</v>
      </c>
      <c r="B3" t="s">
        <v>106</v>
      </c>
      <c r="F3" s="29" t="str">
        <f>B1</f>
        <v>ARF</v>
      </c>
      <c r="G3" s="22" t="s">
        <v>108</v>
      </c>
    </row>
    <row r="4" spans="1:9">
      <c r="A4" s="14">
        <v>37407</v>
      </c>
      <c r="B4" s="16">
        <v>618.68607472861777</v>
      </c>
      <c r="F4" s="23" t="s">
        <v>103</v>
      </c>
      <c r="G4" s="25">
        <f ca="1">XIRR(INDIRECT("$B$4:$B$"&amp;F2),INDIRECT("$A$4:$A$"&amp;F2),0.1)</f>
        <v>9.895567297935487E-2</v>
      </c>
      <c r="H4" s="18"/>
      <c r="I4" s="18"/>
    </row>
    <row r="5" spans="1:9">
      <c r="A5" s="14">
        <v>37435</v>
      </c>
      <c r="B5" s="16">
        <v>0</v>
      </c>
      <c r="F5" s="45" t="s">
        <v>104</v>
      </c>
      <c r="G5" s="26">
        <f ca="1">SUM(INDIRECT("B4:B"&amp;F2-1))</f>
        <v>-836.58392527138221</v>
      </c>
      <c r="H5" s="19"/>
      <c r="I5" s="19"/>
    </row>
    <row r="6" spans="1:9">
      <c r="A6" s="14">
        <v>37468</v>
      </c>
      <c r="B6" s="16">
        <v>0</v>
      </c>
      <c r="F6" s="23" t="s">
        <v>105</v>
      </c>
      <c r="G6" s="27">
        <f ca="1">SUMIF(INDIRECT("B4:B"&amp;F2),"&lt;0")</f>
        <v>-2274.8337000000001</v>
      </c>
      <c r="H6" s="21"/>
      <c r="I6" s="19"/>
    </row>
    <row r="7" spans="1:9">
      <c r="A7" s="14">
        <v>37498</v>
      </c>
      <c r="B7" s="16">
        <v>0</v>
      </c>
      <c r="F7" s="23" t="s">
        <v>107</v>
      </c>
      <c r="G7" s="28">
        <f ca="1">-G5/G6</f>
        <v>-0.36775608048684272</v>
      </c>
      <c r="H7" s="20"/>
      <c r="I7" s="20"/>
    </row>
    <row r="8" spans="1:9">
      <c r="A8" s="14">
        <v>37529</v>
      </c>
      <c r="B8" s="16">
        <v>0</v>
      </c>
      <c r="G8" s="24"/>
    </row>
    <row r="9" spans="1:9">
      <c r="A9" s="14">
        <v>37559</v>
      </c>
      <c r="B9" s="16">
        <v>0</v>
      </c>
    </row>
    <row r="10" spans="1:9">
      <c r="A10" s="14">
        <v>37589</v>
      </c>
      <c r="B10" s="16">
        <v>0</v>
      </c>
    </row>
    <row r="11" spans="1:9">
      <c r="A11" s="14">
        <v>37621</v>
      </c>
      <c r="B11" s="16">
        <v>0</v>
      </c>
    </row>
    <row r="12" spans="1:9">
      <c r="A12" s="14">
        <v>37652</v>
      </c>
      <c r="B12" s="16">
        <v>0</v>
      </c>
    </row>
    <row r="13" spans="1:9">
      <c r="A13" s="14">
        <v>37680</v>
      </c>
      <c r="B13" s="16">
        <v>0</v>
      </c>
    </row>
    <row r="14" spans="1:9">
      <c r="A14" s="14">
        <v>37711</v>
      </c>
      <c r="B14" s="16">
        <v>0</v>
      </c>
    </row>
    <row r="15" spans="1:9">
      <c r="A15" s="14">
        <v>37741</v>
      </c>
      <c r="B15" s="16">
        <v>0</v>
      </c>
    </row>
    <row r="16" spans="1:9">
      <c r="A16" s="14">
        <v>37771</v>
      </c>
      <c r="B16" s="16">
        <v>0</v>
      </c>
    </row>
    <row r="17" spans="1:2">
      <c r="A17" s="14">
        <v>37802</v>
      </c>
      <c r="B17" s="16">
        <v>0</v>
      </c>
    </row>
    <row r="18" spans="1:2">
      <c r="A18" s="14">
        <v>37833</v>
      </c>
      <c r="B18" s="16">
        <v>0</v>
      </c>
    </row>
    <row r="19" spans="1:2">
      <c r="A19" s="14">
        <v>37862</v>
      </c>
      <c r="B19" s="16">
        <v>0</v>
      </c>
    </row>
    <row r="20" spans="1:2">
      <c r="A20" s="14">
        <v>37894</v>
      </c>
      <c r="B20" s="16">
        <v>0</v>
      </c>
    </row>
    <row r="21" spans="1:2">
      <c r="A21" s="14">
        <v>37925</v>
      </c>
      <c r="B21" s="16">
        <v>0</v>
      </c>
    </row>
    <row r="22" spans="1:2">
      <c r="A22" s="14">
        <v>37953</v>
      </c>
      <c r="B22" s="16">
        <v>0</v>
      </c>
    </row>
    <row r="23" spans="1:2">
      <c r="A23" s="14">
        <v>37986</v>
      </c>
      <c r="B23" s="16">
        <v>0</v>
      </c>
    </row>
    <row r="24" spans="1:2">
      <c r="A24" s="14">
        <v>38017</v>
      </c>
      <c r="B24" s="16">
        <v>0</v>
      </c>
    </row>
    <row r="25" spans="1:2">
      <c r="A25" s="14">
        <v>38044</v>
      </c>
      <c r="B25" s="16">
        <v>0</v>
      </c>
    </row>
    <row r="26" spans="1:2">
      <c r="A26" s="14">
        <v>38077</v>
      </c>
      <c r="B26" s="16">
        <v>0</v>
      </c>
    </row>
    <row r="27" spans="1:2">
      <c r="A27" s="14">
        <v>38107</v>
      </c>
      <c r="B27" s="16">
        <v>0</v>
      </c>
    </row>
    <row r="28" spans="1:2">
      <c r="A28" s="14">
        <v>38138</v>
      </c>
      <c r="B28" s="16">
        <v>0</v>
      </c>
    </row>
    <row r="29" spans="1:2">
      <c r="A29" s="14">
        <v>38168</v>
      </c>
      <c r="B29" s="16">
        <v>0</v>
      </c>
    </row>
    <row r="30" spans="1:2">
      <c r="A30" s="14">
        <v>38198</v>
      </c>
      <c r="B30" s="16">
        <v>0</v>
      </c>
    </row>
    <row r="31" spans="1:2">
      <c r="A31" s="14">
        <v>38230</v>
      </c>
      <c r="B31" s="16">
        <v>0</v>
      </c>
    </row>
    <row r="32" spans="1:2">
      <c r="A32" s="14">
        <v>38260</v>
      </c>
      <c r="B32" s="16">
        <v>0</v>
      </c>
    </row>
    <row r="33" spans="1:2">
      <c r="A33" s="14">
        <v>38289</v>
      </c>
      <c r="B33" s="16">
        <v>0</v>
      </c>
    </row>
    <row r="34" spans="1:2">
      <c r="A34" s="14">
        <v>38321</v>
      </c>
      <c r="B34" s="16">
        <v>0</v>
      </c>
    </row>
    <row r="35" spans="1:2">
      <c r="A35" s="14">
        <v>38352</v>
      </c>
      <c r="B35" s="16">
        <v>0</v>
      </c>
    </row>
    <row r="36" spans="1:2">
      <c r="A36" s="14">
        <v>38383</v>
      </c>
      <c r="B36" s="16">
        <v>0</v>
      </c>
    </row>
    <row r="37" spans="1:2">
      <c r="A37" s="14">
        <v>38411</v>
      </c>
      <c r="B37" s="16">
        <v>0</v>
      </c>
    </row>
    <row r="38" spans="1:2">
      <c r="A38" s="14">
        <v>38442</v>
      </c>
      <c r="B38" s="16">
        <v>0</v>
      </c>
    </row>
    <row r="39" spans="1:2">
      <c r="A39" s="14">
        <v>38472</v>
      </c>
      <c r="B39" s="16">
        <v>0</v>
      </c>
    </row>
    <row r="40" spans="1:2">
      <c r="A40" s="14">
        <v>38503</v>
      </c>
      <c r="B40" s="16">
        <v>0</v>
      </c>
    </row>
    <row r="41" spans="1:2">
      <c r="A41" s="14">
        <v>38533</v>
      </c>
      <c r="B41" s="16">
        <v>0</v>
      </c>
    </row>
    <row r="42" spans="1:2">
      <c r="A42" s="14">
        <v>38564</v>
      </c>
      <c r="B42" s="16">
        <v>0</v>
      </c>
    </row>
    <row r="43" spans="1:2">
      <c r="A43" s="14">
        <v>38595</v>
      </c>
      <c r="B43" s="16">
        <v>0</v>
      </c>
    </row>
    <row r="44" spans="1:2">
      <c r="A44" s="14">
        <v>38625</v>
      </c>
      <c r="B44" s="16">
        <v>0</v>
      </c>
    </row>
    <row r="45" spans="1:2">
      <c r="A45" s="14">
        <v>38656</v>
      </c>
      <c r="B45" s="16">
        <v>0</v>
      </c>
    </row>
    <row r="46" spans="1:2">
      <c r="A46" s="14">
        <v>38686</v>
      </c>
      <c r="B46" s="16">
        <v>0</v>
      </c>
    </row>
    <row r="47" spans="1:2">
      <c r="A47" s="14">
        <v>38717</v>
      </c>
      <c r="B47" s="16">
        <v>0</v>
      </c>
    </row>
    <row r="48" spans="1:2">
      <c r="A48" s="14">
        <v>38747</v>
      </c>
      <c r="B48" s="16">
        <v>0</v>
      </c>
    </row>
    <row r="49" spans="1:2">
      <c r="A49" s="14">
        <v>38775</v>
      </c>
      <c r="B49" s="16">
        <v>0</v>
      </c>
    </row>
    <row r="50" spans="1:2">
      <c r="A50" s="14">
        <v>38807</v>
      </c>
      <c r="B50" s="16">
        <v>0</v>
      </c>
    </row>
    <row r="51" spans="1:2">
      <c r="A51" s="14">
        <v>38837</v>
      </c>
      <c r="B51" s="16">
        <v>0</v>
      </c>
    </row>
    <row r="52" spans="1:2">
      <c r="A52" s="14">
        <v>38868</v>
      </c>
      <c r="B52" s="16">
        <v>0</v>
      </c>
    </row>
    <row r="53" spans="1:2">
      <c r="A53" s="14">
        <v>38898</v>
      </c>
      <c r="B53" s="16">
        <v>0</v>
      </c>
    </row>
    <row r="54" spans="1:2">
      <c r="A54" s="14">
        <v>38929</v>
      </c>
      <c r="B54" s="16">
        <v>0</v>
      </c>
    </row>
    <row r="55" spans="1:2">
      <c r="A55" s="14">
        <v>38960</v>
      </c>
      <c r="B55" s="16">
        <v>0</v>
      </c>
    </row>
    <row r="56" spans="1:2">
      <c r="A56" s="14">
        <v>38990</v>
      </c>
      <c r="B56" s="16">
        <v>0</v>
      </c>
    </row>
    <row r="57" spans="1:2">
      <c r="A57" s="14">
        <v>39021</v>
      </c>
      <c r="B57" s="16">
        <v>0</v>
      </c>
    </row>
    <row r="58" spans="1:2">
      <c r="A58" s="14">
        <v>39051</v>
      </c>
      <c r="B58" s="16">
        <v>0</v>
      </c>
    </row>
    <row r="59" spans="1:2">
      <c r="A59" s="14">
        <v>39082</v>
      </c>
      <c r="B59" s="16">
        <v>0</v>
      </c>
    </row>
    <row r="60" spans="1:2">
      <c r="A60" s="14">
        <v>39113</v>
      </c>
      <c r="B60" s="16">
        <v>0</v>
      </c>
    </row>
    <row r="61" spans="1:2">
      <c r="A61" s="14">
        <v>39141</v>
      </c>
      <c r="B61" s="16">
        <v>0</v>
      </c>
    </row>
    <row r="62" spans="1:2">
      <c r="A62" s="14">
        <v>39171</v>
      </c>
      <c r="B62" s="16">
        <v>0</v>
      </c>
    </row>
    <row r="63" spans="1:2">
      <c r="A63" s="14">
        <v>39202</v>
      </c>
      <c r="B63" s="16">
        <v>0</v>
      </c>
    </row>
    <row r="64" spans="1:2">
      <c r="A64" s="14">
        <v>39233</v>
      </c>
      <c r="B64" s="16">
        <v>0</v>
      </c>
    </row>
    <row r="65" spans="1:2">
      <c r="A65" s="14">
        <v>39262</v>
      </c>
      <c r="B65" s="16">
        <v>0</v>
      </c>
    </row>
    <row r="66" spans="1:2">
      <c r="A66" s="14">
        <v>39294</v>
      </c>
      <c r="B66" s="16">
        <v>0</v>
      </c>
    </row>
    <row r="67" spans="1:2">
      <c r="A67" s="14">
        <v>39325</v>
      </c>
      <c r="B67" s="16">
        <v>0</v>
      </c>
    </row>
    <row r="68" spans="1:2">
      <c r="A68" s="14">
        <v>39355</v>
      </c>
      <c r="B68" s="16">
        <v>0</v>
      </c>
    </row>
    <row r="69" spans="1:2">
      <c r="A69" s="14">
        <v>39386</v>
      </c>
      <c r="B69" s="16">
        <v>0</v>
      </c>
    </row>
    <row r="70" spans="1:2">
      <c r="A70" s="14">
        <v>39416</v>
      </c>
      <c r="B70" s="16">
        <v>0</v>
      </c>
    </row>
    <row r="71" spans="1:2">
      <c r="A71" s="14">
        <v>39447</v>
      </c>
      <c r="B71" s="16">
        <v>0</v>
      </c>
    </row>
    <row r="72" spans="1:2">
      <c r="A72" s="14">
        <v>39478</v>
      </c>
      <c r="B72" s="16">
        <v>0</v>
      </c>
    </row>
    <row r="73" spans="1:2">
      <c r="A73" s="14">
        <v>39507</v>
      </c>
      <c r="B73" s="16">
        <v>0</v>
      </c>
    </row>
    <row r="74" spans="1:2">
      <c r="A74" s="14">
        <v>39538</v>
      </c>
      <c r="B74" s="16">
        <v>0</v>
      </c>
    </row>
    <row r="75" spans="1:2">
      <c r="A75" s="14">
        <v>39568</v>
      </c>
      <c r="B75" s="16">
        <v>0</v>
      </c>
    </row>
    <row r="76" spans="1:2">
      <c r="A76" s="14">
        <v>39598</v>
      </c>
      <c r="B76" s="16">
        <v>0</v>
      </c>
    </row>
    <row r="77" spans="1:2">
      <c r="A77" s="14">
        <v>39629</v>
      </c>
      <c r="B77" s="16">
        <v>0</v>
      </c>
    </row>
    <row r="78" spans="1:2">
      <c r="A78" s="14">
        <v>39660</v>
      </c>
      <c r="B78" s="16">
        <v>0</v>
      </c>
    </row>
    <row r="79" spans="1:2">
      <c r="A79" s="14">
        <v>39689</v>
      </c>
      <c r="B79" s="16">
        <v>0</v>
      </c>
    </row>
    <row r="80" spans="1:2">
      <c r="A80" s="14">
        <v>39721</v>
      </c>
      <c r="B80" s="16">
        <v>0</v>
      </c>
    </row>
    <row r="81" spans="1:2">
      <c r="A81" s="14">
        <v>39752</v>
      </c>
      <c r="B81" s="16">
        <v>0</v>
      </c>
    </row>
    <row r="82" spans="1:2">
      <c r="A82" s="14">
        <v>39780</v>
      </c>
      <c r="B82" s="16">
        <v>0</v>
      </c>
    </row>
    <row r="83" spans="1:2">
      <c r="A83" s="14">
        <v>39813</v>
      </c>
      <c r="B83" s="16">
        <v>0</v>
      </c>
    </row>
    <row r="84" spans="1:2">
      <c r="A84" s="14">
        <v>39843</v>
      </c>
      <c r="B84" s="16">
        <v>0</v>
      </c>
    </row>
    <row r="85" spans="1:2">
      <c r="A85" s="14">
        <v>39871</v>
      </c>
      <c r="B85" s="16">
        <v>0</v>
      </c>
    </row>
    <row r="86" spans="1:2">
      <c r="A86" s="14">
        <v>39903</v>
      </c>
      <c r="B86" s="16">
        <v>0</v>
      </c>
    </row>
    <row r="87" spans="1:2">
      <c r="A87" s="14">
        <v>39933</v>
      </c>
      <c r="B87" s="16">
        <v>0</v>
      </c>
    </row>
    <row r="88" spans="1:2">
      <c r="A88" s="14">
        <v>39962</v>
      </c>
      <c r="B88" s="16">
        <v>0</v>
      </c>
    </row>
    <row r="89" spans="1:2">
      <c r="A89" s="14">
        <v>39994</v>
      </c>
      <c r="B89" s="16">
        <v>0</v>
      </c>
    </row>
    <row r="90" spans="1:2">
      <c r="A90" s="14">
        <v>40025</v>
      </c>
      <c r="B90" s="16">
        <v>0</v>
      </c>
    </row>
    <row r="91" spans="1:2">
      <c r="A91" s="14">
        <v>40056</v>
      </c>
      <c r="B91" s="16">
        <v>0</v>
      </c>
    </row>
    <row r="92" spans="1:2">
      <c r="A92" s="14">
        <v>40086</v>
      </c>
      <c r="B92" s="16">
        <v>0</v>
      </c>
    </row>
    <row r="93" spans="1:2">
      <c r="A93" s="14">
        <v>40116</v>
      </c>
      <c r="B93" s="16">
        <v>0</v>
      </c>
    </row>
    <row r="94" spans="1:2">
      <c r="A94" s="14">
        <v>40147</v>
      </c>
      <c r="B94" s="16">
        <v>0</v>
      </c>
    </row>
    <row r="95" spans="1:2">
      <c r="A95" s="14">
        <v>40178</v>
      </c>
      <c r="B95" s="16">
        <v>0</v>
      </c>
    </row>
    <row r="96" spans="1:2">
      <c r="A96" s="14">
        <v>40207</v>
      </c>
      <c r="B96" s="16">
        <v>0</v>
      </c>
    </row>
    <row r="97" spans="1:2">
      <c r="A97" s="14">
        <v>40235</v>
      </c>
      <c r="B97" s="16">
        <v>0</v>
      </c>
    </row>
    <row r="98" spans="1:2">
      <c r="A98" s="14">
        <v>40268</v>
      </c>
      <c r="B98" s="16">
        <v>0</v>
      </c>
    </row>
    <row r="99" spans="1:2">
      <c r="A99" s="14">
        <v>40298</v>
      </c>
      <c r="B99" s="16">
        <v>0</v>
      </c>
    </row>
    <row r="100" spans="1:2">
      <c r="A100" s="14">
        <v>40329</v>
      </c>
      <c r="B100" s="16">
        <v>0</v>
      </c>
    </row>
    <row r="101" spans="1:2">
      <c r="A101" s="14">
        <v>40359</v>
      </c>
      <c r="B101" s="16">
        <v>0</v>
      </c>
    </row>
    <row r="102" spans="1:2">
      <c r="A102" s="14">
        <v>40389</v>
      </c>
      <c r="B102" s="16">
        <v>0</v>
      </c>
    </row>
    <row r="103" spans="1:2">
      <c r="A103" s="14">
        <v>40421</v>
      </c>
      <c r="B103" s="16">
        <v>0</v>
      </c>
    </row>
    <row r="104" spans="1:2">
      <c r="A104" s="14">
        <v>40451</v>
      </c>
      <c r="B104" s="16">
        <v>0</v>
      </c>
    </row>
    <row r="105" spans="1:2">
      <c r="A105" s="14">
        <v>40480</v>
      </c>
      <c r="B105" s="16">
        <v>0</v>
      </c>
    </row>
    <row r="106" spans="1:2">
      <c r="A106" s="14">
        <v>40512</v>
      </c>
      <c r="B106" s="16">
        <v>0</v>
      </c>
    </row>
    <row r="107" spans="1:2">
      <c r="A107" s="14">
        <v>40543</v>
      </c>
      <c r="B107" s="16">
        <v>0</v>
      </c>
    </row>
    <row r="108" spans="1:2">
      <c r="A108" s="14">
        <v>40574</v>
      </c>
      <c r="B108" s="16">
        <v>0</v>
      </c>
    </row>
    <row r="109" spans="1:2">
      <c r="A109" s="14">
        <v>40602</v>
      </c>
      <c r="B109" s="16">
        <v>0</v>
      </c>
    </row>
    <row r="110" spans="1:2">
      <c r="A110" s="14">
        <v>40633</v>
      </c>
      <c r="B110" s="16">
        <v>0</v>
      </c>
    </row>
    <row r="111" spans="1:2">
      <c r="A111" s="14">
        <v>40662</v>
      </c>
      <c r="B111" s="16">
        <v>0</v>
      </c>
    </row>
    <row r="112" spans="1:2">
      <c r="A112" s="14">
        <v>40694</v>
      </c>
      <c r="B112" s="16">
        <v>0</v>
      </c>
    </row>
    <row r="113" spans="1:2">
      <c r="A113" s="14">
        <v>40724</v>
      </c>
      <c r="B113" s="16">
        <v>0</v>
      </c>
    </row>
    <row r="114" spans="1:2">
      <c r="A114" s="14">
        <v>40753</v>
      </c>
      <c r="B114" s="16">
        <v>0</v>
      </c>
    </row>
    <row r="115" spans="1:2">
      <c r="A115" s="14">
        <v>40786</v>
      </c>
      <c r="B115" s="16">
        <v>0</v>
      </c>
    </row>
    <row r="116" spans="1:2">
      <c r="A116" s="14">
        <v>40816</v>
      </c>
      <c r="B116" s="16">
        <v>0</v>
      </c>
    </row>
    <row r="117" spans="1:2">
      <c r="A117" s="14">
        <v>40847</v>
      </c>
      <c r="B117" s="16">
        <v>0</v>
      </c>
    </row>
    <row r="118" spans="1:2">
      <c r="A118" s="14">
        <v>40877</v>
      </c>
      <c r="B118" s="16">
        <v>0</v>
      </c>
    </row>
    <row r="119" spans="1:2">
      <c r="A119" s="14">
        <v>40907</v>
      </c>
      <c r="B119" s="16">
        <v>0</v>
      </c>
    </row>
    <row r="120" spans="1:2">
      <c r="A120" s="14">
        <v>40939</v>
      </c>
      <c r="B120" s="16">
        <v>0</v>
      </c>
    </row>
    <row r="121" spans="1:2">
      <c r="A121" s="14">
        <v>40968</v>
      </c>
      <c r="B121" s="16">
        <v>0</v>
      </c>
    </row>
    <row r="122" spans="1:2">
      <c r="A122" s="14">
        <v>40998</v>
      </c>
      <c r="B122" s="16">
        <v>0</v>
      </c>
    </row>
    <row r="123" spans="1:2">
      <c r="A123" s="14">
        <v>41029</v>
      </c>
      <c r="B123" s="16">
        <v>0</v>
      </c>
    </row>
    <row r="124" spans="1:2">
      <c r="A124" s="14">
        <v>41060</v>
      </c>
      <c r="B124" s="16">
        <v>0</v>
      </c>
    </row>
    <row r="125" spans="1:2">
      <c r="A125" s="14">
        <v>41089</v>
      </c>
      <c r="B125" s="16">
        <v>0</v>
      </c>
    </row>
    <row r="126" spans="1:2">
      <c r="A126" s="14">
        <v>41121</v>
      </c>
      <c r="B126" s="16">
        <v>0</v>
      </c>
    </row>
    <row r="127" spans="1:2">
      <c r="A127" s="14">
        <v>41152</v>
      </c>
      <c r="B127" s="16">
        <v>0</v>
      </c>
    </row>
    <row r="128" spans="1:2">
      <c r="A128" s="14">
        <v>41180</v>
      </c>
      <c r="B128" s="16">
        <v>0</v>
      </c>
    </row>
    <row r="129" spans="1:2">
      <c r="A129" s="14">
        <v>41213</v>
      </c>
      <c r="B129" s="16">
        <v>0</v>
      </c>
    </row>
    <row r="130" spans="1:2">
      <c r="A130" s="14">
        <v>41243</v>
      </c>
      <c r="B130" s="16">
        <v>0</v>
      </c>
    </row>
    <row r="131" spans="1:2">
      <c r="A131" s="14">
        <v>41274</v>
      </c>
      <c r="B131" s="16">
        <v>0</v>
      </c>
    </row>
    <row r="132" spans="1:2">
      <c r="A132" s="14">
        <v>41305</v>
      </c>
      <c r="B132" s="16">
        <v>0</v>
      </c>
    </row>
    <row r="133" spans="1:2">
      <c r="A133" s="14">
        <v>41333</v>
      </c>
      <c r="B133" s="16">
        <v>0</v>
      </c>
    </row>
    <row r="134" spans="1:2">
      <c r="A134" s="14">
        <v>41361</v>
      </c>
      <c r="B134" s="16">
        <v>0</v>
      </c>
    </row>
    <row r="135" spans="1:2">
      <c r="A135" s="14">
        <v>41394</v>
      </c>
      <c r="B135" s="16">
        <v>0</v>
      </c>
    </row>
    <row r="136" spans="1:2">
      <c r="A136" s="14">
        <v>41425</v>
      </c>
      <c r="B136" s="16">
        <v>0</v>
      </c>
    </row>
    <row r="137" spans="1:2">
      <c r="A137" s="14">
        <v>41453</v>
      </c>
      <c r="B137" s="16">
        <v>0</v>
      </c>
    </row>
    <row r="138" spans="1:2">
      <c r="A138" s="14">
        <v>41486</v>
      </c>
      <c r="B138" s="16">
        <v>0</v>
      </c>
    </row>
    <row r="139" spans="1:2">
      <c r="A139" s="14">
        <v>41516</v>
      </c>
      <c r="B139" s="16">
        <v>0</v>
      </c>
    </row>
    <row r="140" spans="1:2">
      <c r="A140" s="14">
        <v>41547</v>
      </c>
      <c r="B140" s="16">
        <v>0</v>
      </c>
    </row>
    <row r="141" spans="1:2">
      <c r="A141" s="14">
        <v>41578</v>
      </c>
      <c r="B141" s="16">
        <v>0</v>
      </c>
    </row>
    <row r="142" spans="1:2">
      <c r="A142" s="14">
        <v>41607</v>
      </c>
      <c r="B142" s="16">
        <v>-350</v>
      </c>
    </row>
    <row r="143" spans="1:2">
      <c r="A143" s="14">
        <v>41639</v>
      </c>
      <c r="B143" s="16">
        <v>0</v>
      </c>
    </row>
    <row r="144" spans="1:2">
      <c r="A144" s="14">
        <v>41669</v>
      </c>
      <c r="B144" s="16">
        <v>0</v>
      </c>
    </row>
    <row r="145" spans="1:2">
      <c r="A145" s="14">
        <v>41698</v>
      </c>
      <c r="B145" s="16">
        <v>0</v>
      </c>
    </row>
    <row r="146" spans="1:2">
      <c r="A146" s="14">
        <v>41729</v>
      </c>
      <c r="B146" s="16">
        <v>-125</v>
      </c>
    </row>
    <row r="147" spans="1:2">
      <c r="A147" s="14">
        <v>41759</v>
      </c>
      <c r="B147" s="16">
        <v>0</v>
      </c>
    </row>
    <row r="148" spans="1:2">
      <c r="A148" s="14">
        <v>41789</v>
      </c>
      <c r="B148" s="16">
        <v>0</v>
      </c>
    </row>
    <row r="149" spans="1:2">
      <c r="A149" s="14">
        <v>41820</v>
      </c>
      <c r="B149" s="16">
        <v>-130</v>
      </c>
    </row>
    <row r="150" spans="1:2">
      <c r="A150" s="14">
        <v>41851</v>
      </c>
      <c r="B150" s="16">
        <v>0</v>
      </c>
    </row>
    <row r="151" spans="1:2">
      <c r="A151" s="14">
        <v>41880</v>
      </c>
      <c r="B151" s="16">
        <v>0</v>
      </c>
    </row>
    <row r="152" spans="1:2">
      <c r="A152" s="14">
        <v>41912</v>
      </c>
      <c r="B152" s="16">
        <v>0</v>
      </c>
    </row>
    <row r="153" spans="1:2">
      <c r="A153" s="14">
        <v>41943</v>
      </c>
      <c r="B153" s="16">
        <v>-155</v>
      </c>
    </row>
    <row r="154" spans="1:2">
      <c r="A154" s="14">
        <v>41971</v>
      </c>
      <c r="B154" s="16">
        <v>0</v>
      </c>
    </row>
    <row r="155" spans="1:2">
      <c r="A155" s="14">
        <v>42004</v>
      </c>
      <c r="B155" s="16">
        <v>-45.000000000000007</v>
      </c>
    </row>
    <row r="156" spans="1:2">
      <c r="A156" s="14">
        <v>42034</v>
      </c>
      <c r="B156" s="16">
        <v>0</v>
      </c>
    </row>
    <row r="157" spans="1:2">
      <c r="A157" s="14">
        <v>42062</v>
      </c>
      <c r="B157" s="16">
        <v>0</v>
      </c>
    </row>
    <row r="158" spans="1:2">
      <c r="A158" s="14">
        <v>42094</v>
      </c>
      <c r="B158" s="16">
        <v>-140</v>
      </c>
    </row>
    <row r="159" spans="1:2">
      <c r="A159" s="14">
        <v>42124</v>
      </c>
      <c r="B159" s="16">
        <v>0</v>
      </c>
    </row>
    <row r="160" spans="1:2">
      <c r="A160" s="14">
        <v>42153</v>
      </c>
      <c r="B160" s="16">
        <v>0</v>
      </c>
    </row>
    <row r="161" spans="1:2">
      <c r="A161" s="14">
        <v>42185</v>
      </c>
      <c r="B161" s="16">
        <v>0</v>
      </c>
    </row>
    <row r="162" spans="1:2">
      <c r="A162" s="14">
        <v>42216</v>
      </c>
      <c r="B162" s="16">
        <v>-45</v>
      </c>
    </row>
    <row r="163" spans="1:2">
      <c r="A163" s="14">
        <v>42247</v>
      </c>
      <c r="B163" s="16">
        <v>0</v>
      </c>
    </row>
    <row r="164" spans="1:2">
      <c r="A164" s="14">
        <v>42277</v>
      </c>
      <c r="B164" s="16">
        <v>-64</v>
      </c>
    </row>
    <row r="165" spans="1:2">
      <c r="A165" s="14">
        <v>42307</v>
      </c>
      <c r="B165" s="16">
        <v>0</v>
      </c>
    </row>
    <row r="166" spans="1:2">
      <c r="A166" s="14">
        <v>42338</v>
      </c>
      <c r="B166" s="16">
        <v>0</v>
      </c>
    </row>
    <row r="167" spans="1:2">
      <c r="A167" s="14">
        <v>42369</v>
      </c>
      <c r="B167" s="16">
        <v>-52</v>
      </c>
    </row>
    <row r="168" spans="1:2">
      <c r="A168" s="14">
        <v>42398</v>
      </c>
      <c r="B168" s="16">
        <v>0</v>
      </c>
    </row>
    <row r="169" spans="1:2">
      <c r="A169" s="14">
        <v>42429</v>
      </c>
      <c r="B169" s="16">
        <v>0</v>
      </c>
    </row>
    <row r="170" spans="1:2">
      <c r="A170" s="14">
        <v>42460</v>
      </c>
      <c r="B170" s="16">
        <v>0</v>
      </c>
    </row>
    <row r="171" spans="1:2">
      <c r="A171" s="14">
        <v>42489</v>
      </c>
      <c r="B171" s="16">
        <v>-64</v>
      </c>
    </row>
    <row r="172" spans="1:2">
      <c r="A172" s="14">
        <v>42521</v>
      </c>
      <c r="B172" s="16">
        <v>0</v>
      </c>
    </row>
    <row r="173" spans="1:2">
      <c r="A173" s="14">
        <v>42551</v>
      </c>
      <c r="B173" s="16">
        <v>0</v>
      </c>
    </row>
    <row r="174" spans="1:2">
      <c r="A174" s="14">
        <v>42580</v>
      </c>
      <c r="B174" s="16">
        <v>-34</v>
      </c>
    </row>
    <row r="175" spans="1:2">
      <c r="A175" s="14">
        <v>42613</v>
      </c>
      <c r="B175" s="16">
        <v>0</v>
      </c>
    </row>
    <row r="176" spans="1:2">
      <c r="A176" s="14">
        <v>42643</v>
      </c>
      <c r="B176" s="16">
        <v>0</v>
      </c>
    </row>
    <row r="177" spans="1:2">
      <c r="A177" s="14">
        <v>42674</v>
      </c>
      <c r="B177" s="16">
        <v>0</v>
      </c>
    </row>
    <row r="178" spans="1:2">
      <c r="A178" s="14">
        <v>42704</v>
      </c>
      <c r="B178" s="16">
        <v>-52</v>
      </c>
    </row>
    <row r="179" spans="1:2">
      <c r="A179" s="14">
        <v>42734</v>
      </c>
      <c r="B179" s="16">
        <v>-25.55</v>
      </c>
    </row>
    <row r="180" spans="1:2">
      <c r="A180" s="14">
        <v>42762</v>
      </c>
      <c r="B180" s="16">
        <v>0</v>
      </c>
    </row>
    <row r="181" spans="1:2">
      <c r="A181" s="14">
        <v>42794</v>
      </c>
      <c r="B181" s="16">
        <v>0</v>
      </c>
    </row>
    <row r="182" spans="1:2">
      <c r="A182" s="14">
        <v>42825</v>
      </c>
      <c r="B182" s="16">
        <v>0</v>
      </c>
    </row>
    <row r="183" spans="1:2">
      <c r="A183" s="14">
        <v>42853</v>
      </c>
      <c r="B183" s="16">
        <v>0</v>
      </c>
    </row>
    <row r="184" spans="1:2">
      <c r="A184" s="14">
        <v>42886</v>
      </c>
      <c r="B184" s="16">
        <v>0</v>
      </c>
    </row>
    <row r="185" spans="1:2">
      <c r="A185" s="14">
        <v>42916</v>
      </c>
      <c r="B185" s="16">
        <v>0</v>
      </c>
    </row>
    <row r="186" spans="1:2">
      <c r="A186" s="14">
        <v>42947</v>
      </c>
      <c r="B186" s="16">
        <v>-119.22</v>
      </c>
    </row>
    <row r="187" spans="1:2">
      <c r="A187" s="14">
        <v>42978</v>
      </c>
      <c r="B187" s="16">
        <v>0</v>
      </c>
    </row>
    <row r="188" spans="1:2">
      <c r="A188" s="14">
        <v>43007</v>
      </c>
      <c r="B188" s="16">
        <v>0</v>
      </c>
    </row>
    <row r="189" spans="1:2">
      <c r="A189" s="14">
        <v>43039</v>
      </c>
      <c r="B189" s="16">
        <v>0</v>
      </c>
    </row>
    <row r="190" spans="1:2">
      <c r="A190" s="14">
        <v>43069</v>
      </c>
      <c r="B190" s="16">
        <v>0</v>
      </c>
    </row>
    <row r="191" spans="1:2">
      <c r="A191" s="14">
        <v>43098</v>
      </c>
      <c r="B191" s="16">
        <v>-54.500000000000007</v>
      </c>
    </row>
    <row r="192" spans="1:2">
      <c r="A192" s="14">
        <v>43131</v>
      </c>
      <c r="B192" s="16">
        <v>0</v>
      </c>
    </row>
    <row r="193" spans="1:2">
      <c r="A193" s="14">
        <v>43159</v>
      </c>
      <c r="B193" s="16">
        <v>0</v>
      </c>
    </row>
    <row r="194" spans="1:2">
      <c r="A194" s="14">
        <v>43188</v>
      </c>
      <c r="B194" s="16">
        <v>0</v>
      </c>
    </row>
    <row r="195" spans="1:2">
      <c r="A195" s="14">
        <v>43220</v>
      </c>
      <c r="B195" s="16">
        <v>-819.56370000000004</v>
      </c>
    </row>
  </sheetData>
  <phoneticPr fontId="1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 tint="0.39997558519241921"/>
  </sheetPr>
  <dimension ref="A1:AG134"/>
  <sheetViews>
    <sheetView zoomScaleNormal="100" workbookViewId="0">
      <pane ySplit="12" topLeftCell="A13" activePane="bottomLeft" state="frozen"/>
      <selection pane="bottomLeft" activeCell="E81" sqref="E81"/>
    </sheetView>
  </sheetViews>
  <sheetFormatPr defaultRowHeight="15"/>
  <cols>
    <col min="1" max="1" width="22.42578125" customWidth="1"/>
    <col min="2" max="2" width="14.42578125" customWidth="1"/>
    <col min="3" max="3" width="25.42578125" bestFit="1" customWidth="1"/>
    <col min="4" max="4" width="17.5703125" customWidth="1"/>
    <col min="5" max="5" width="17.42578125" bestFit="1" customWidth="1"/>
    <col min="6" max="6" width="13.5703125" bestFit="1" customWidth="1"/>
    <col min="7" max="7" width="14" customWidth="1"/>
    <col min="8" max="8" width="14.42578125" bestFit="1" customWidth="1"/>
    <col min="9" max="9" width="20.5703125" bestFit="1" customWidth="1"/>
    <col min="10" max="10" width="12.5703125" bestFit="1" customWidth="1"/>
    <col min="11" max="11" width="15.42578125" bestFit="1" customWidth="1"/>
    <col min="12" max="12" width="15" bestFit="1" customWidth="1"/>
    <col min="13" max="13" width="19.42578125" bestFit="1" customWidth="1"/>
    <col min="14" max="14" width="18" bestFit="1" customWidth="1"/>
    <col min="15" max="15" width="22.5703125" bestFit="1" customWidth="1"/>
    <col min="16" max="16" width="14.42578125" bestFit="1" customWidth="1"/>
    <col min="17" max="17" width="13.5703125" bestFit="1" customWidth="1"/>
    <col min="18" max="18" width="14.42578125" bestFit="1" customWidth="1"/>
    <col min="19" max="19" width="13.5703125" bestFit="1" customWidth="1"/>
    <col min="20" max="20" width="14.42578125" bestFit="1" customWidth="1"/>
    <col min="21" max="21" width="13.5703125" bestFit="1" customWidth="1"/>
    <col min="22" max="22" width="14.42578125" bestFit="1" customWidth="1"/>
    <col min="28" max="28" width="13.5703125" bestFit="1" customWidth="1"/>
    <col min="29" max="29" width="14.42578125" bestFit="1" customWidth="1"/>
  </cols>
  <sheetData>
    <row r="1" spans="1:33">
      <c r="A1" t="s">
        <v>256</v>
      </c>
      <c r="B1" s="302">
        <v>2018</v>
      </c>
      <c r="C1" s="302">
        <v>8</v>
      </c>
      <c r="G1" s="303"/>
    </row>
    <row r="2" spans="1:33">
      <c r="A2" t="s">
        <v>266</v>
      </c>
      <c r="B2" s="304" t="s">
        <v>267</v>
      </c>
      <c r="C2" s="304">
        <v>12</v>
      </c>
      <c r="D2" s="305" t="str">
        <f>CONCATENATE(B2,C2)</f>
        <v>A12</v>
      </c>
      <c r="G2" s="303"/>
    </row>
    <row r="3" spans="1:33">
      <c r="C3" s="308" t="s">
        <v>262</v>
      </c>
      <c r="D3" t="s">
        <v>258</v>
      </c>
      <c r="E3" t="s">
        <v>258</v>
      </c>
      <c r="F3" t="s">
        <v>272</v>
      </c>
      <c r="G3" t="s">
        <v>263</v>
      </c>
      <c r="H3" t="s">
        <v>263</v>
      </c>
      <c r="I3" t="s">
        <v>263</v>
      </c>
      <c r="J3" t="s">
        <v>263</v>
      </c>
      <c r="K3" t="s">
        <v>263</v>
      </c>
      <c r="L3" t="s">
        <v>263</v>
      </c>
      <c r="M3" t="s">
        <v>263</v>
      </c>
      <c r="N3" t="s">
        <v>263</v>
      </c>
      <c r="O3" t="s">
        <v>264</v>
      </c>
      <c r="P3" t="s">
        <v>271</v>
      </c>
      <c r="Q3" t="s">
        <v>264</v>
      </c>
      <c r="R3" t="s">
        <v>264</v>
      </c>
      <c r="S3" t="s">
        <v>264</v>
      </c>
      <c r="T3" t="s">
        <v>264</v>
      </c>
      <c r="U3" t="s">
        <v>264</v>
      </c>
      <c r="V3" t="s">
        <v>264</v>
      </c>
      <c r="W3" t="s">
        <v>264</v>
      </c>
      <c r="X3" t="s">
        <v>264</v>
      </c>
      <c r="Y3" t="s">
        <v>264</v>
      </c>
      <c r="Z3" t="s">
        <v>264</v>
      </c>
      <c r="AA3" t="s">
        <v>264</v>
      </c>
    </row>
    <row r="4" spans="1:33">
      <c r="A4" s="303"/>
      <c r="C4" s="306" t="s">
        <v>257</v>
      </c>
      <c r="D4" t="s">
        <v>258</v>
      </c>
      <c r="E4" t="s">
        <v>271</v>
      </c>
      <c r="F4" t="s">
        <v>259</v>
      </c>
      <c r="G4" t="s">
        <v>260</v>
      </c>
      <c r="H4" t="s">
        <v>260</v>
      </c>
      <c r="I4" t="s">
        <v>260</v>
      </c>
      <c r="J4" t="s">
        <v>261</v>
      </c>
      <c r="K4" t="s">
        <v>261</v>
      </c>
      <c r="L4" t="s">
        <v>261</v>
      </c>
      <c r="M4" t="s">
        <v>261</v>
      </c>
      <c r="N4" t="s">
        <v>261</v>
      </c>
      <c r="O4" t="s">
        <v>261</v>
      </c>
      <c r="P4" t="s">
        <v>261</v>
      </c>
      <c r="Q4" t="s">
        <v>261</v>
      </c>
      <c r="R4" t="s">
        <v>261</v>
      </c>
      <c r="S4" t="s">
        <v>261</v>
      </c>
      <c r="T4" t="s">
        <v>261</v>
      </c>
      <c r="U4" t="s">
        <v>261</v>
      </c>
      <c r="V4" t="s">
        <v>261</v>
      </c>
      <c r="W4" t="s">
        <v>261</v>
      </c>
      <c r="X4" t="s">
        <v>261</v>
      </c>
      <c r="Y4" t="s">
        <v>261</v>
      </c>
      <c r="Z4" t="s">
        <v>261</v>
      </c>
      <c r="AA4" t="s">
        <v>261</v>
      </c>
    </row>
    <row r="5" spans="1:33">
      <c r="A5" t="s">
        <v>255</v>
      </c>
      <c r="C5" s="311" t="s">
        <v>265</v>
      </c>
      <c r="D5" s="300">
        <v>0.03</v>
      </c>
      <c r="E5" s="300">
        <v>0.03</v>
      </c>
      <c r="F5" s="300">
        <v>0.03</v>
      </c>
      <c r="G5" s="300"/>
      <c r="H5" s="300"/>
      <c r="I5" s="300"/>
      <c r="J5" s="300">
        <v>0.03</v>
      </c>
      <c r="K5" s="300"/>
      <c r="L5" s="300"/>
      <c r="M5" s="300"/>
      <c r="N5" s="300"/>
      <c r="O5" s="300"/>
      <c r="P5" s="300">
        <v>0.03</v>
      </c>
      <c r="Q5" s="300">
        <v>0.03</v>
      </c>
      <c r="R5" s="300">
        <v>0.03</v>
      </c>
      <c r="S5" s="300">
        <v>0.03</v>
      </c>
      <c r="T5" s="300">
        <v>0.03</v>
      </c>
      <c r="U5" s="300">
        <v>0.03</v>
      </c>
      <c r="V5" s="300">
        <v>0.03</v>
      </c>
      <c r="W5" s="300">
        <v>0.03</v>
      </c>
      <c r="X5" s="300">
        <v>0.03</v>
      </c>
      <c r="Y5" s="300">
        <v>0.03</v>
      </c>
      <c r="Z5" s="300">
        <v>0.03</v>
      </c>
      <c r="AA5" s="300">
        <v>0.03</v>
      </c>
    </row>
    <row r="6" spans="1:33">
      <c r="C6" s="307" t="s">
        <v>268</v>
      </c>
      <c r="E6" s="300"/>
      <c r="F6" s="300"/>
      <c r="G6" s="300"/>
      <c r="H6" s="300"/>
      <c r="I6" s="300"/>
      <c r="J6" s="300"/>
      <c r="K6" s="300"/>
      <c r="L6" s="300"/>
      <c r="M6" s="300"/>
      <c r="N6" s="300"/>
      <c r="O6" s="300"/>
      <c r="Q6" s="300"/>
      <c r="R6" s="300"/>
      <c r="S6" s="300"/>
      <c r="T6" s="300"/>
      <c r="U6" s="300"/>
      <c r="V6" s="300"/>
      <c r="W6" s="300"/>
      <c r="X6" s="300"/>
      <c r="Y6" s="300"/>
      <c r="Z6" s="300"/>
      <c r="AA6" s="300"/>
    </row>
    <row r="7" spans="1:33">
      <c r="A7" s="303"/>
      <c r="C7" s="301" t="s">
        <v>269</v>
      </c>
      <c r="D7" s="300"/>
      <c r="E7" s="300"/>
      <c r="F7" s="300"/>
      <c r="G7" s="300"/>
      <c r="H7" s="300"/>
      <c r="I7" s="300"/>
      <c r="J7" s="300"/>
      <c r="K7" s="300"/>
      <c r="L7" s="300"/>
      <c r="M7" s="300"/>
      <c r="N7" s="300"/>
      <c r="O7" s="300"/>
      <c r="P7" s="300"/>
      <c r="Q7" s="300"/>
      <c r="R7" s="300"/>
      <c r="S7" s="300"/>
      <c r="T7" s="300"/>
      <c r="U7" s="300"/>
      <c r="V7" s="300"/>
      <c r="W7" s="300"/>
      <c r="X7" s="300"/>
      <c r="Y7" s="300"/>
      <c r="Z7" s="300"/>
      <c r="AA7" s="300"/>
    </row>
    <row r="8" spans="1:33">
      <c r="A8" s="303"/>
      <c r="C8" s="301" t="s">
        <v>270</v>
      </c>
      <c r="D8" s="300"/>
      <c r="E8" s="300"/>
      <c r="F8" s="300"/>
      <c r="G8" s="300"/>
      <c r="H8" s="300"/>
      <c r="I8" s="300"/>
      <c r="J8" s="300"/>
      <c r="K8" s="300"/>
      <c r="L8" s="300"/>
      <c r="M8" s="300"/>
      <c r="N8" s="300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</row>
    <row r="9" spans="1:33">
      <c r="A9" s="303"/>
      <c r="C9" s="314" t="s">
        <v>277</v>
      </c>
      <c r="D9" s="300" t="s">
        <v>278</v>
      </c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</row>
    <row r="10" spans="1:33">
      <c r="A10" s="303"/>
      <c r="C10" s="303"/>
      <c r="D10" s="300"/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</row>
    <row r="11" spans="1:33">
      <c r="A11" s="303"/>
      <c r="C11" s="303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</row>
    <row r="12" spans="1:33">
      <c r="A12" s="30" t="s">
        <v>1</v>
      </c>
      <c r="B12" s="30" t="s">
        <v>113</v>
      </c>
      <c r="C12" s="30" t="s">
        <v>2</v>
      </c>
      <c r="D12" s="31" t="s">
        <v>100</v>
      </c>
      <c r="E12" s="32" t="s">
        <v>99</v>
      </c>
      <c r="F12" s="31" t="s">
        <v>6</v>
      </c>
      <c r="G12" s="31" t="s">
        <v>121</v>
      </c>
      <c r="H12" s="31" t="s">
        <v>122</v>
      </c>
      <c r="I12" s="31" t="s">
        <v>8</v>
      </c>
      <c r="J12" s="31" t="s">
        <v>98</v>
      </c>
      <c r="K12" s="33" t="s">
        <v>123</v>
      </c>
      <c r="L12" s="32" t="s">
        <v>101</v>
      </c>
      <c r="M12" s="32" t="s">
        <v>166</v>
      </c>
      <c r="N12" s="32" t="s">
        <v>164</v>
      </c>
      <c r="O12" s="31" t="s">
        <v>138</v>
      </c>
      <c r="P12" s="31" t="s">
        <v>150</v>
      </c>
      <c r="Q12" s="31" t="s">
        <v>151</v>
      </c>
      <c r="R12" s="31" t="s">
        <v>12</v>
      </c>
      <c r="S12" s="31" t="s">
        <v>13</v>
      </c>
      <c r="T12" s="31" t="s">
        <v>141</v>
      </c>
      <c r="U12" s="31" t="s">
        <v>142</v>
      </c>
      <c r="V12" s="31" t="s">
        <v>143</v>
      </c>
      <c r="W12" s="31" t="s">
        <v>144</v>
      </c>
      <c r="X12" s="31" t="s">
        <v>145</v>
      </c>
      <c r="Y12" s="31" t="s">
        <v>147</v>
      </c>
      <c r="Z12" s="31" t="s">
        <v>148</v>
      </c>
      <c r="AA12" s="31" t="s">
        <v>146</v>
      </c>
    </row>
    <row r="13" spans="1:33">
      <c r="A13" s="351">
        <v>43312</v>
      </c>
      <c r="B13" t="s">
        <v>79</v>
      </c>
      <c r="C13" t="s">
        <v>79</v>
      </c>
      <c r="D13" s="127">
        <v>25069335.77</v>
      </c>
      <c r="E13" s="127">
        <v>22982815.173699994</v>
      </c>
      <c r="H13" s="127">
        <v>0</v>
      </c>
      <c r="I13" s="127">
        <v>0</v>
      </c>
      <c r="J13" s="127">
        <v>1.0907861191299002</v>
      </c>
      <c r="K13" s="127">
        <v>0</v>
      </c>
      <c r="L13" s="127">
        <v>0</v>
      </c>
      <c r="M13" s="127">
        <v>0</v>
      </c>
      <c r="O13" t="s">
        <v>155</v>
      </c>
      <c r="P13" s="127">
        <v>1.6609300000000001E-3</v>
      </c>
      <c r="Q13" s="127">
        <v>0.74184944999999991</v>
      </c>
      <c r="R13" s="127">
        <v>0</v>
      </c>
      <c r="S13" s="127">
        <v>0</v>
      </c>
      <c r="AE13">
        <v>43312</v>
      </c>
      <c r="AF13">
        <v>1.7725614944428036E-2</v>
      </c>
      <c r="AG13" t="s">
        <v>288</v>
      </c>
    </row>
    <row r="14" spans="1:33" s="309" customFormat="1">
      <c r="A14" s="352">
        <v>43343</v>
      </c>
      <c r="B14" s="309" t="s">
        <v>79</v>
      </c>
      <c r="C14" s="309" t="s">
        <v>79</v>
      </c>
      <c r="D14" s="310">
        <v>25498318.460000001</v>
      </c>
      <c r="E14" s="310">
        <v>23376093.638173115</v>
      </c>
      <c r="H14" s="310">
        <v>0</v>
      </c>
      <c r="I14" s="310">
        <v>0</v>
      </c>
      <c r="J14" s="310">
        <v>1.0907861191299002</v>
      </c>
      <c r="K14" s="310">
        <v>0</v>
      </c>
      <c r="L14" s="310">
        <v>0</v>
      </c>
      <c r="M14" s="310">
        <v>-25498318.460000001</v>
      </c>
      <c r="O14" s="309" t="s">
        <v>155</v>
      </c>
      <c r="P14" s="311">
        <v>1.6090254760178751E-3</v>
      </c>
      <c r="Q14" s="311">
        <v>0.77103887906604207</v>
      </c>
      <c r="R14" s="310">
        <v>0</v>
      </c>
      <c r="S14" s="310">
        <v>0</v>
      </c>
      <c r="AE14" s="309">
        <v>43343</v>
      </c>
      <c r="AF14" s="309">
        <v>1.7111849070742258E-2</v>
      </c>
      <c r="AG14" s="309" t="s">
        <v>288</v>
      </c>
    </row>
    <row r="15" spans="1:33">
      <c r="A15" s="351">
        <v>43312</v>
      </c>
      <c r="B15" t="s">
        <v>0</v>
      </c>
      <c r="C15" t="s">
        <v>0</v>
      </c>
      <c r="D15" s="127">
        <v>121348961.37462108</v>
      </c>
      <c r="E15" s="127">
        <v>516.68290000000002</v>
      </c>
      <c r="G15" s="127">
        <v>0</v>
      </c>
      <c r="H15" s="127">
        <v>0</v>
      </c>
      <c r="I15" s="127">
        <v>-51899711.572733998</v>
      </c>
      <c r="J15" s="127">
        <v>234861.57829999999</v>
      </c>
      <c r="K15" s="127">
        <v>-51899711.572733998</v>
      </c>
      <c r="L15" s="127">
        <v>-220.98</v>
      </c>
      <c r="M15" s="127">
        <v>-220.98</v>
      </c>
      <c r="O15" t="s">
        <v>139</v>
      </c>
      <c r="P15" s="127">
        <v>0</v>
      </c>
      <c r="Q15" s="127">
        <v>0</v>
      </c>
      <c r="R15" s="127">
        <v>0</v>
      </c>
      <c r="S15" s="127">
        <v>0</v>
      </c>
      <c r="AE15">
        <v>43312</v>
      </c>
      <c r="AF15">
        <v>-1.6003781979651133E-2</v>
      </c>
      <c r="AG15" t="s">
        <v>286</v>
      </c>
    </row>
    <row r="16" spans="1:33" s="309" customFormat="1">
      <c r="A16" s="352">
        <v>43343</v>
      </c>
      <c r="B16" s="309" t="s">
        <v>0</v>
      </c>
      <c r="C16" s="309" t="s">
        <v>0</v>
      </c>
      <c r="D16" s="310">
        <v>118937637.55021498</v>
      </c>
      <c r="E16" s="310">
        <v>506.41590000000002</v>
      </c>
      <c r="G16" s="310">
        <v>0</v>
      </c>
      <c r="H16" s="310">
        <v>0</v>
      </c>
      <c r="I16" s="310">
        <v>0</v>
      </c>
      <c r="J16" s="310">
        <v>234861.57829999999</v>
      </c>
      <c r="K16" s="310">
        <v>0</v>
      </c>
      <c r="L16" s="310">
        <v>0</v>
      </c>
      <c r="M16" s="310">
        <v>-506.41590000000002</v>
      </c>
      <c r="O16" s="309" t="s">
        <v>139</v>
      </c>
      <c r="P16" s="310">
        <v>0</v>
      </c>
      <c r="Q16" s="310">
        <v>0</v>
      </c>
      <c r="R16" s="310">
        <v>0</v>
      </c>
      <c r="S16" s="310">
        <v>0</v>
      </c>
      <c r="AE16" s="309">
        <v>43343</v>
      </c>
      <c r="AF16" s="309">
        <v>-1.9870988569584913E-2</v>
      </c>
      <c r="AG16" s="309" t="s">
        <v>286</v>
      </c>
    </row>
    <row r="17" spans="1:33">
      <c r="A17" s="351">
        <v>43312</v>
      </c>
      <c r="B17" t="s">
        <v>83</v>
      </c>
      <c r="C17" t="s">
        <v>83</v>
      </c>
      <c r="D17" s="127">
        <v>2524083.7422295436</v>
      </c>
      <c r="E17" s="127">
        <v>2524083.7422295436</v>
      </c>
      <c r="G17" s="127">
        <v>0</v>
      </c>
      <c r="I17" s="127">
        <v>-77187.5</v>
      </c>
      <c r="J17" s="127">
        <v>1</v>
      </c>
      <c r="K17" s="127">
        <v>-77187.5</v>
      </c>
      <c r="L17" s="127">
        <v>-77187.5</v>
      </c>
      <c r="M17" s="127">
        <v>-77187.5</v>
      </c>
      <c r="O17" t="s">
        <v>155</v>
      </c>
      <c r="P17" s="127">
        <v>4.1666666666666666E-3</v>
      </c>
      <c r="Q17" s="127">
        <v>0.58523832661147723</v>
      </c>
      <c r="R17" s="127">
        <v>0</v>
      </c>
      <c r="S17" s="127">
        <v>0</v>
      </c>
      <c r="AE17">
        <v>43312</v>
      </c>
      <c r="AF17">
        <v>9.8381569155310267E-3</v>
      </c>
      <c r="AG17" t="s">
        <v>288</v>
      </c>
    </row>
    <row r="18" spans="1:33" s="309" customFormat="1">
      <c r="A18" s="352">
        <v>43343</v>
      </c>
      <c r="B18" s="309" t="s">
        <v>83</v>
      </c>
      <c r="C18" s="309" t="s">
        <v>83</v>
      </c>
      <c r="D18" s="310">
        <v>2555998.4625278935</v>
      </c>
      <c r="E18" s="310">
        <v>2555998.4625278935</v>
      </c>
      <c r="G18" s="310">
        <v>0</v>
      </c>
      <c r="I18" s="310">
        <v>0</v>
      </c>
      <c r="J18" s="310">
        <v>1</v>
      </c>
      <c r="K18" s="310">
        <v>0</v>
      </c>
      <c r="L18" s="310">
        <v>0</v>
      </c>
      <c r="M18" s="310">
        <v>-2555998.4625278935</v>
      </c>
      <c r="O18" s="309" t="s">
        <v>155</v>
      </c>
      <c r="P18" s="310">
        <v>4.1666666666666666E-3</v>
      </c>
      <c r="Q18" s="310">
        <v>0.5868340626263947</v>
      </c>
      <c r="R18" s="310">
        <v>0</v>
      </c>
      <c r="S18" s="310">
        <v>0</v>
      </c>
      <c r="AE18" s="309">
        <v>43343</v>
      </c>
      <c r="AF18" s="309">
        <v>1.2644081400468687E-2</v>
      </c>
      <c r="AG18" s="309" t="s">
        <v>288</v>
      </c>
    </row>
    <row r="19" spans="1:33">
      <c r="A19" s="351">
        <v>43312</v>
      </c>
      <c r="B19" t="s">
        <v>136</v>
      </c>
      <c r="C19" t="s">
        <v>64</v>
      </c>
      <c r="D19" s="127">
        <v>52876260.840000004</v>
      </c>
      <c r="E19" s="127">
        <v>2803678.9952652119</v>
      </c>
      <c r="F19" s="127">
        <v>29.65</v>
      </c>
      <c r="G19" s="127">
        <v>0</v>
      </c>
      <c r="H19" s="127">
        <v>0</v>
      </c>
      <c r="I19" s="127">
        <v>0</v>
      </c>
      <c r="J19" s="127">
        <v>18.859598737692941</v>
      </c>
      <c r="K19" s="127">
        <v>0</v>
      </c>
      <c r="L19" s="127">
        <v>0</v>
      </c>
      <c r="M19" s="127">
        <v>0</v>
      </c>
      <c r="N19" s="127">
        <v>0</v>
      </c>
      <c r="O19" t="s">
        <v>155</v>
      </c>
      <c r="P19" s="127">
        <v>0</v>
      </c>
      <c r="Q19" s="127">
        <v>0</v>
      </c>
      <c r="R19" s="127">
        <v>0</v>
      </c>
      <c r="S19" s="127">
        <v>0</v>
      </c>
      <c r="AE19">
        <v>43312</v>
      </c>
      <c r="AF19">
        <v>0.12655500783881446</v>
      </c>
      <c r="AG19" t="s">
        <v>286</v>
      </c>
    </row>
    <row r="20" spans="1:33" s="309" customFormat="1">
      <c r="A20" s="352">
        <v>43343</v>
      </c>
      <c r="B20" s="309" t="s">
        <v>136</v>
      </c>
      <c r="C20" s="309" t="s">
        <v>64</v>
      </c>
      <c r="D20" s="310">
        <v>46159993.859999999</v>
      </c>
      <c r="E20" s="310">
        <v>2447559.701667686</v>
      </c>
      <c r="F20" s="310">
        <v>29.65</v>
      </c>
      <c r="G20" s="310">
        <v>0</v>
      </c>
      <c r="H20" s="310">
        <v>0</v>
      </c>
      <c r="I20" s="310">
        <v>-6827557.1600000001</v>
      </c>
      <c r="J20" s="310">
        <v>18.859598737692941</v>
      </c>
      <c r="K20" s="310">
        <v>-6827557.1600000001</v>
      </c>
      <c r="L20" s="310">
        <v>-362020.27704621258</v>
      </c>
      <c r="M20" s="310">
        <v>-52987551.019999996</v>
      </c>
      <c r="N20" s="310">
        <v>-52987551.019999996</v>
      </c>
      <c r="O20" s="309" t="s">
        <v>155</v>
      </c>
      <c r="P20" s="310">
        <v>0</v>
      </c>
      <c r="Q20" s="310">
        <v>0</v>
      </c>
      <c r="R20" s="310">
        <v>0</v>
      </c>
      <c r="S20" s="310">
        <v>0</v>
      </c>
      <c r="AE20" s="309">
        <v>43343</v>
      </c>
      <c r="AF20" s="309">
        <v>2.1047286292945611E-3</v>
      </c>
      <c r="AG20" s="309" t="s">
        <v>286</v>
      </c>
    </row>
    <row r="21" spans="1:33">
      <c r="A21" s="351">
        <v>43312</v>
      </c>
      <c r="B21" t="s">
        <v>136</v>
      </c>
      <c r="C21" t="s">
        <v>40</v>
      </c>
      <c r="D21" s="127">
        <v>7971364.96</v>
      </c>
      <c r="E21" s="127">
        <v>2734657.2105065184</v>
      </c>
      <c r="F21" s="127">
        <v>5</v>
      </c>
      <c r="G21" s="127">
        <v>0</v>
      </c>
      <c r="H21" s="127">
        <v>0</v>
      </c>
      <c r="I21" s="127">
        <v>0</v>
      </c>
      <c r="J21" s="127">
        <v>2.9149411960570841</v>
      </c>
      <c r="K21" s="127">
        <v>0</v>
      </c>
      <c r="L21" s="127">
        <v>0</v>
      </c>
      <c r="M21" s="127">
        <v>0</v>
      </c>
      <c r="N21" s="127">
        <v>0</v>
      </c>
      <c r="O21" t="s">
        <v>155</v>
      </c>
      <c r="P21" s="127">
        <v>0</v>
      </c>
      <c r="Q21" s="127">
        <v>0</v>
      </c>
      <c r="R21" s="127">
        <v>0</v>
      </c>
      <c r="S21" s="127">
        <v>0</v>
      </c>
      <c r="AE21">
        <v>43312</v>
      </c>
      <c r="AF21">
        <v>-5.597873371749551E-3</v>
      </c>
      <c r="AG21" t="s">
        <v>286</v>
      </c>
    </row>
    <row r="22" spans="1:33" s="309" customFormat="1">
      <c r="A22" s="352">
        <v>43343</v>
      </c>
      <c r="B22" s="309" t="s">
        <v>136</v>
      </c>
      <c r="C22" s="309" t="s">
        <v>40</v>
      </c>
      <c r="D22" s="310">
        <v>8001516.6100000003</v>
      </c>
      <c r="E22" s="310">
        <v>2745001.0383822867</v>
      </c>
      <c r="F22" s="310">
        <v>5</v>
      </c>
      <c r="G22" s="310">
        <v>0</v>
      </c>
      <c r="H22" s="310">
        <v>0</v>
      </c>
      <c r="I22" s="310">
        <v>0</v>
      </c>
      <c r="J22" s="310">
        <v>2.9149411960570841</v>
      </c>
      <c r="K22" s="310">
        <v>0</v>
      </c>
      <c r="L22" s="310">
        <v>0</v>
      </c>
      <c r="M22" s="310">
        <v>-8001516.6100000003</v>
      </c>
      <c r="N22" s="310">
        <v>-8001516.6100000003</v>
      </c>
      <c r="O22" s="309" t="s">
        <v>155</v>
      </c>
      <c r="P22" s="310">
        <v>0</v>
      </c>
      <c r="Q22" s="310">
        <v>0</v>
      </c>
      <c r="R22" s="310">
        <v>0</v>
      </c>
      <c r="S22" s="310">
        <v>0</v>
      </c>
      <c r="AE22" s="309">
        <v>43343</v>
      </c>
      <c r="AF22" s="309">
        <v>3.7824952378042731E-3</v>
      </c>
      <c r="AG22" s="309" t="s">
        <v>286</v>
      </c>
    </row>
    <row r="23" spans="1:33">
      <c r="A23" s="351">
        <v>43312</v>
      </c>
      <c r="B23" t="s">
        <v>136</v>
      </c>
      <c r="C23" t="s">
        <v>36</v>
      </c>
      <c r="D23" s="127">
        <v>7448321.3964999998</v>
      </c>
      <c r="E23" s="127">
        <v>381914.64665599249</v>
      </c>
      <c r="F23" s="127">
        <v>3</v>
      </c>
      <c r="G23" s="127">
        <v>0</v>
      </c>
      <c r="H23" s="127"/>
      <c r="I23" s="127">
        <v>0</v>
      </c>
      <c r="J23" s="127">
        <v>19.502581170208522</v>
      </c>
      <c r="K23" s="127">
        <v>0</v>
      </c>
      <c r="L23" s="127">
        <v>0</v>
      </c>
      <c r="M23" s="127">
        <v>0</v>
      </c>
      <c r="O23" t="s">
        <v>155</v>
      </c>
      <c r="P23" s="127">
        <v>0</v>
      </c>
      <c r="Q23" s="127">
        <v>0</v>
      </c>
      <c r="R23" s="127">
        <v>0</v>
      </c>
      <c r="S23" s="127">
        <v>0</v>
      </c>
      <c r="AE23">
        <v>43312</v>
      </c>
      <c r="AF23">
        <v>-0.35295383826896587</v>
      </c>
      <c r="AG23" t="s">
        <v>286</v>
      </c>
    </row>
    <row r="24" spans="1:33" s="309" customFormat="1">
      <c r="A24" s="352">
        <v>43343</v>
      </c>
      <c r="B24" s="309" t="s">
        <v>136</v>
      </c>
      <c r="C24" s="309" t="s">
        <v>36</v>
      </c>
      <c r="D24" s="310">
        <v>7429964.5773</v>
      </c>
      <c r="E24" s="310">
        <v>380973.39590360277</v>
      </c>
      <c r="F24" s="310">
        <v>3</v>
      </c>
      <c r="G24" s="310">
        <v>0</v>
      </c>
      <c r="H24" s="310">
        <v>0</v>
      </c>
      <c r="I24" s="310">
        <v>-33569.160000000003</v>
      </c>
      <c r="J24" s="310">
        <v>19.502581170208522</v>
      </c>
      <c r="K24" s="310">
        <v>-33569.160000000003</v>
      </c>
      <c r="L24" s="310">
        <v>-1721.2675443842843</v>
      </c>
      <c r="M24" s="310">
        <v>-7463533.7373000002</v>
      </c>
      <c r="O24" s="309" t="s">
        <v>155</v>
      </c>
      <c r="P24" s="310">
        <v>0</v>
      </c>
      <c r="Q24" s="310">
        <v>0</v>
      </c>
      <c r="R24" s="310">
        <v>0</v>
      </c>
      <c r="S24" s="310">
        <v>0</v>
      </c>
      <c r="AE24" s="309">
        <v>43343</v>
      </c>
      <c r="AF24" s="309">
        <v>2.0423851214514954E-3</v>
      </c>
      <c r="AG24" s="309" t="s">
        <v>286</v>
      </c>
    </row>
    <row r="25" spans="1:33">
      <c r="A25" s="351">
        <v>43312</v>
      </c>
      <c r="B25" t="s">
        <v>136</v>
      </c>
      <c r="C25" t="s">
        <v>37</v>
      </c>
      <c r="D25" s="127">
        <v>15658718.458000001</v>
      </c>
      <c r="E25" s="127">
        <v>772948.83974469046</v>
      </c>
      <c r="F25" s="127">
        <v>10.6</v>
      </c>
      <c r="G25" s="127">
        <v>0</v>
      </c>
      <c r="H25" s="127">
        <v>0</v>
      </c>
      <c r="I25" s="127">
        <v>0</v>
      </c>
      <c r="J25" s="127">
        <v>20.258415114734071</v>
      </c>
      <c r="K25" s="127">
        <v>0</v>
      </c>
      <c r="L25" s="127">
        <v>0</v>
      </c>
      <c r="M25" s="127">
        <v>0</v>
      </c>
      <c r="N25" s="127">
        <v>0</v>
      </c>
      <c r="O25" t="s">
        <v>155</v>
      </c>
      <c r="P25" s="127">
        <v>2.17949305072885E-2</v>
      </c>
      <c r="Q25" s="127">
        <v>0.89271502199999997</v>
      </c>
      <c r="R25" s="127">
        <v>0</v>
      </c>
      <c r="S25" s="127">
        <v>0</v>
      </c>
      <c r="AE25">
        <v>43312</v>
      </c>
      <c r="AF25">
        <v>2.6337366912646765E-2</v>
      </c>
      <c r="AG25" t="s">
        <v>286</v>
      </c>
    </row>
    <row r="26" spans="1:33" s="309" customFormat="1">
      <c r="A26" s="352">
        <v>43343</v>
      </c>
      <c r="B26" s="309" t="s">
        <v>136</v>
      </c>
      <c r="C26" s="309" t="s">
        <v>37</v>
      </c>
      <c r="D26" s="310">
        <v>13353128.341499999</v>
      </c>
      <c r="E26" s="310">
        <v>659139.83230544953</v>
      </c>
      <c r="F26" s="310">
        <v>10.6</v>
      </c>
      <c r="G26" s="310">
        <v>0</v>
      </c>
      <c r="H26" s="310">
        <v>0</v>
      </c>
      <c r="I26" s="310">
        <v>-2325706.65</v>
      </c>
      <c r="J26" s="310">
        <v>20.258415114734071</v>
      </c>
      <c r="K26" s="310">
        <v>-2325706.65</v>
      </c>
      <c r="L26" s="310">
        <v>-114802.00385016788</v>
      </c>
      <c r="M26" s="310">
        <v>-15678834.9915</v>
      </c>
      <c r="N26" s="310">
        <v>-15678834.9915</v>
      </c>
      <c r="O26" s="309" t="s">
        <v>155</v>
      </c>
      <c r="P26" s="311">
        <v>1.8494014243004644E-2</v>
      </c>
      <c r="Q26" s="310">
        <v>0.89626499849999997</v>
      </c>
      <c r="R26" s="310">
        <v>0</v>
      </c>
      <c r="S26" s="310">
        <v>0</v>
      </c>
      <c r="AE26" s="309">
        <v>43343</v>
      </c>
      <c r="AF26" s="309">
        <v>1.2846858160171504E-3</v>
      </c>
      <c r="AG26" s="309" t="s">
        <v>286</v>
      </c>
    </row>
    <row r="27" spans="1:33">
      <c r="A27" s="351">
        <v>43312</v>
      </c>
      <c r="B27" t="s">
        <v>136</v>
      </c>
      <c r="C27" t="s">
        <v>38</v>
      </c>
      <c r="D27" s="127">
        <v>16928343.462400001</v>
      </c>
      <c r="E27" s="127">
        <v>840023.71349750983</v>
      </c>
      <c r="F27" s="127">
        <v>12.5</v>
      </c>
      <c r="G27" s="127">
        <v>0</v>
      </c>
      <c r="H27" s="127">
        <v>0</v>
      </c>
      <c r="I27" s="127">
        <v>0</v>
      </c>
      <c r="J27" s="127">
        <v>20.152220931856089</v>
      </c>
      <c r="K27" s="127">
        <v>0</v>
      </c>
      <c r="L27" s="127">
        <v>0</v>
      </c>
      <c r="M27" s="127">
        <v>0</v>
      </c>
      <c r="N27" s="127">
        <v>0</v>
      </c>
      <c r="O27" t="s">
        <v>155</v>
      </c>
      <c r="P27" s="127">
        <v>1.8464269415927201E-2</v>
      </c>
      <c r="Q27" s="127">
        <v>0.6038650176</v>
      </c>
      <c r="R27" s="127">
        <v>0</v>
      </c>
      <c r="S27" s="127">
        <v>0</v>
      </c>
      <c r="AE27">
        <v>43312</v>
      </c>
      <c r="AF27">
        <v>-7.7345456396676782E-2</v>
      </c>
      <c r="AG27" t="s">
        <v>286</v>
      </c>
    </row>
    <row r="28" spans="1:33" s="309" customFormat="1">
      <c r="A28" s="352">
        <v>43343</v>
      </c>
      <c r="B28" s="309" t="s">
        <v>136</v>
      </c>
      <c r="C28" s="309" t="s">
        <v>38</v>
      </c>
      <c r="D28" s="310">
        <v>14215265.427999999</v>
      </c>
      <c r="E28" s="310">
        <v>705394.48113775346</v>
      </c>
      <c r="F28" s="310">
        <v>12.5</v>
      </c>
      <c r="G28" s="310">
        <v>0</v>
      </c>
      <c r="H28" s="310">
        <v>0</v>
      </c>
      <c r="I28" s="310">
        <v>-2742578.6</v>
      </c>
      <c r="J28" s="310">
        <v>20.152220931856089</v>
      </c>
      <c r="K28" s="310">
        <v>-2742578.6</v>
      </c>
      <c r="L28" s="310">
        <v>-136093.11893085716</v>
      </c>
      <c r="M28" s="310">
        <v>-16957844.028000001</v>
      </c>
      <c r="N28" s="310">
        <v>-16957844.028000001</v>
      </c>
      <c r="O28" s="309" t="s">
        <v>155</v>
      </c>
      <c r="P28" s="311">
        <v>1.5382962867876762E-2</v>
      </c>
      <c r="Q28" s="310">
        <v>0.60788782199999991</v>
      </c>
      <c r="R28" s="310">
        <v>0</v>
      </c>
      <c r="S28" s="310">
        <v>0</v>
      </c>
      <c r="AE28" s="309">
        <v>43343</v>
      </c>
      <c r="AF28" s="309">
        <v>1.7426729121798878E-3</v>
      </c>
      <c r="AG28" s="309" t="s">
        <v>286</v>
      </c>
    </row>
    <row r="29" spans="1:33">
      <c r="A29" s="351">
        <v>43312</v>
      </c>
      <c r="B29" t="s">
        <v>136</v>
      </c>
      <c r="C29" t="s">
        <v>39</v>
      </c>
      <c r="D29" s="127">
        <v>6472772.3676000005</v>
      </c>
      <c r="E29" s="127">
        <v>317755.7665302878</v>
      </c>
      <c r="F29" s="127">
        <v>5</v>
      </c>
      <c r="G29" s="127">
        <v>0</v>
      </c>
      <c r="H29" s="127">
        <v>0</v>
      </c>
      <c r="I29" s="127">
        <v>0</v>
      </c>
      <c r="J29" s="127">
        <v>20.370275064647899</v>
      </c>
      <c r="K29" s="127">
        <v>0</v>
      </c>
      <c r="L29" s="127">
        <v>0</v>
      </c>
      <c r="M29" s="127">
        <v>0</v>
      </c>
      <c r="N29" s="127">
        <v>0</v>
      </c>
      <c r="O29" t="s">
        <v>155</v>
      </c>
      <c r="P29" s="127">
        <v>5.7921154191905196E-3</v>
      </c>
      <c r="Q29" s="127">
        <v>0.12806716239999999</v>
      </c>
      <c r="R29" s="127">
        <v>0</v>
      </c>
      <c r="S29" s="127">
        <v>0</v>
      </c>
      <c r="AE29">
        <v>43312</v>
      </c>
      <c r="AF29">
        <v>-0.13448734700415488</v>
      </c>
      <c r="AG29" t="s">
        <v>286</v>
      </c>
    </row>
    <row r="30" spans="1:33" s="309" customFormat="1">
      <c r="A30" s="352">
        <v>43343</v>
      </c>
      <c r="B30" s="309" t="s">
        <v>136</v>
      </c>
      <c r="C30" s="309" t="s">
        <v>39</v>
      </c>
      <c r="D30" s="310">
        <v>5389155.2359999996</v>
      </c>
      <c r="E30" s="310">
        <v>264559.76754838933</v>
      </c>
      <c r="F30" s="310">
        <v>5</v>
      </c>
      <c r="G30" s="310">
        <v>0</v>
      </c>
      <c r="H30" s="310">
        <v>0</v>
      </c>
      <c r="I30" s="310">
        <v>-1097031.44</v>
      </c>
      <c r="J30" s="310">
        <v>20.370275064647899</v>
      </c>
      <c r="K30" s="310">
        <v>-1097031.44</v>
      </c>
      <c r="L30" s="310">
        <v>-53854.522657078422</v>
      </c>
      <c r="M30" s="310">
        <v>-6486186.675999999</v>
      </c>
      <c r="N30" s="310">
        <v>-6486186.675999999</v>
      </c>
      <c r="O30" s="309" t="s">
        <v>155</v>
      </c>
      <c r="P30" s="311">
        <v>4.7706795029568245E-3</v>
      </c>
      <c r="Q30" s="310">
        <v>0.12923362400000002</v>
      </c>
      <c r="R30" s="310">
        <v>0</v>
      </c>
      <c r="S30" s="310">
        <v>0</v>
      </c>
      <c r="AE30" s="309">
        <v>43343</v>
      </c>
      <c r="AF30" s="309">
        <v>2.0724208481586182E-3</v>
      </c>
      <c r="AG30" s="309" t="s">
        <v>286</v>
      </c>
    </row>
    <row r="31" spans="1:33">
      <c r="A31" s="351">
        <v>43312</v>
      </c>
      <c r="B31" t="s">
        <v>136</v>
      </c>
      <c r="C31" t="s">
        <v>41</v>
      </c>
      <c r="D31" s="127">
        <v>2019547.2545</v>
      </c>
      <c r="E31" s="127">
        <v>689670.48715113779</v>
      </c>
      <c r="F31" s="127">
        <v>1.3879999999999999</v>
      </c>
      <c r="G31" s="127">
        <v>0</v>
      </c>
      <c r="H31" s="127">
        <v>0</v>
      </c>
      <c r="I31" s="127">
        <v>0</v>
      </c>
      <c r="J31" s="127">
        <v>2.9282784925918204</v>
      </c>
      <c r="K31" s="127">
        <v>0</v>
      </c>
      <c r="L31" s="127">
        <v>0</v>
      </c>
      <c r="M31" s="127">
        <v>0</v>
      </c>
      <c r="N31" s="127">
        <v>0</v>
      </c>
      <c r="O31" t="s">
        <v>155</v>
      </c>
      <c r="P31" s="127">
        <v>2.8060969263649601E-3</v>
      </c>
      <c r="Q31" s="127">
        <v>0.1114495155</v>
      </c>
      <c r="R31" s="127">
        <v>0</v>
      </c>
      <c r="S31" s="127">
        <v>0</v>
      </c>
      <c r="AE31">
        <v>43312</v>
      </c>
      <c r="AF31">
        <v>3.3994761383104866E-3</v>
      </c>
      <c r="AG31" t="s">
        <v>286</v>
      </c>
    </row>
    <row r="32" spans="1:33" s="309" customFormat="1">
      <c r="A32" s="352">
        <v>43343</v>
      </c>
      <c r="B32" s="309" t="s">
        <v>136</v>
      </c>
      <c r="C32" s="309" t="s">
        <v>41</v>
      </c>
      <c r="D32" s="310">
        <v>2024332.7715</v>
      </c>
      <c r="E32" s="310">
        <v>691304.72959498549</v>
      </c>
      <c r="F32" s="310">
        <v>1.3879999999999999</v>
      </c>
      <c r="G32" s="310">
        <v>0</v>
      </c>
      <c r="H32" s="310">
        <v>0</v>
      </c>
      <c r="I32" s="310">
        <v>0</v>
      </c>
      <c r="J32" s="310">
        <v>2.9282784925918204</v>
      </c>
      <c r="K32" s="310">
        <v>0</v>
      </c>
      <c r="L32" s="310">
        <v>0</v>
      </c>
      <c r="M32" s="310">
        <v>-2024332.7715</v>
      </c>
      <c r="N32" s="310">
        <v>-2024332.7715</v>
      </c>
      <c r="O32" s="309" t="s">
        <v>155</v>
      </c>
      <c r="P32" s="310">
        <v>2.7730869252689141E-3</v>
      </c>
      <c r="Q32" s="310">
        <v>0.11229401850000001</v>
      </c>
      <c r="R32" s="310">
        <v>0</v>
      </c>
      <c r="S32" s="310">
        <v>0</v>
      </c>
      <c r="AE32" s="309">
        <v>43343</v>
      </c>
      <c r="AF32" s="309">
        <v>2.3695989233907255E-3</v>
      </c>
      <c r="AG32" s="309" t="s">
        <v>286</v>
      </c>
    </row>
    <row r="33" spans="1:33">
      <c r="A33" s="351">
        <v>43312</v>
      </c>
      <c r="B33" t="s">
        <v>136</v>
      </c>
      <c r="C33" t="s">
        <v>44</v>
      </c>
      <c r="D33" s="127">
        <v>8562379.1999999993</v>
      </c>
      <c r="E33" s="127">
        <v>1029346.9142562371</v>
      </c>
      <c r="F33" s="127">
        <v>5.36</v>
      </c>
      <c r="G33" s="127">
        <v>0</v>
      </c>
      <c r="H33" s="127">
        <v>0</v>
      </c>
      <c r="I33" s="127">
        <v>0</v>
      </c>
      <c r="J33" s="127">
        <v>8.3182638247736094</v>
      </c>
      <c r="K33" s="127">
        <v>0</v>
      </c>
      <c r="L33" s="127">
        <v>0</v>
      </c>
      <c r="M33" s="127">
        <v>0</v>
      </c>
      <c r="N33" s="127">
        <v>0</v>
      </c>
      <c r="O33" t="s">
        <v>155</v>
      </c>
      <c r="P33" s="127">
        <v>0</v>
      </c>
      <c r="Q33" s="127">
        <v>0</v>
      </c>
      <c r="R33" s="127">
        <v>0</v>
      </c>
      <c r="S33" s="127">
        <v>0</v>
      </c>
      <c r="AE33">
        <v>43312</v>
      </c>
      <c r="AF33">
        <v>-4.9488065812249848E-3</v>
      </c>
      <c r="AG33" t="s">
        <v>286</v>
      </c>
    </row>
    <row r="34" spans="1:33" s="309" customFormat="1">
      <c r="A34" s="352">
        <v>43343</v>
      </c>
      <c r="B34" s="309" t="s">
        <v>136</v>
      </c>
      <c r="C34" s="309" t="s">
        <v>44</v>
      </c>
      <c r="D34" s="310">
        <v>8594662.0099999998</v>
      </c>
      <c r="E34" s="310">
        <v>1033227.8695469139</v>
      </c>
      <c r="F34" s="310">
        <v>5.36</v>
      </c>
      <c r="G34" s="310">
        <v>0</v>
      </c>
      <c r="H34" s="310">
        <v>0</v>
      </c>
      <c r="I34" s="310">
        <v>0</v>
      </c>
      <c r="J34" s="310">
        <v>8.3182638247736094</v>
      </c>
      <c r="K34" s="310">
        <v>0</v>
      </c>
      <c r="L34" s="310">
        <v>0</v>
      </c>
      <c r="M34" s="310">
        <v>-8594662.0099999998</v>
      </c>
      <c r="N34" s="310">
        <v>-8594662.0099999998</v>
      </c>
      <c r="O34" s="309" t="s">
        <v>155</v>
      </c>
      <c r="P34" s="310">
        <v>0</v>
      </c>
      <c r="Q34" s="310">
        <v>0</v>
      </c>
      <c r="R34" s="310">
        <v>0</v>
      </c>
      <c r="S34" s="310">
        <v>0</v>
      </c>
      <c r="AE34" s="309">
        <v>43343</v>
      </c>
      <c r="AF34" s="309">
        <v>3.7703083741025267E-3</v>
      </c>
      <c r="AG34" s="309" t="s">
        <v>286</v>
      </c>
    </row>
    <row r="35" spans="1:33">
      <c r="A35" s="351">
        <v>43312</v>
      </c>
      <c r="B35" t="s">
        <v>136</v>
      </c>
      <c r="C35" t="s">
        <v>45</v>
      </c>
      <c r="D35" s="127">
        <v>3850278.5894999998</v>
      </c>
      <c r="E35" s="127">
        <v>456102.33192975342</v>
      </c>
      <c r="F35" s="127">
        <v>2.63</v>
      </c>
      <c r="G35" s="127">
        <v>0</v>
      </c>
      <c r="H35" s="127">
        <v>0</v>
      </c>
      <c r="I35" s="127">
        <v>0</v>
      </c>
      <c r="J35" s="127">
        <v>8.4416989784060128</v>
      </c>
      <c r="K35" s="127">
        <v>0</v>
      </c>
      <c r="L35" s="127">
        <v>0</v>
      </c>
      <c r="M35" s="127">
        <v>0</v>
      </c>
      <c r="N35" s="127">
        <v>0</v>
      </c>
      <c r="O35" t="s">
        <v>155</v>
      </c>
      <c r="P35" s="127">
        <v>5.3536115911745003E-3</v>
      </c>
      <c r="Q35" s="127">
        <v>0.21534328049999998</v>
      </c>
      <c r="R35" s="127">
        <v>0</v>
      </c>
      <c r="S35" s="127">
        <v>0</v>
      </c>
      <c r="AE35">
        <v>43312</v>
      </c>
      <c r="AF35">
        <v>4.0073434198546476E-3</v>
      </c>
      <c r="AG35" t="s">
        <v>286</v>
      </c>
    </row>
    <row r="36" spans="1:33" s="309" customFormat="1">
      <c r="A36" s="352">
        <v>43343</v>
      </c>
      <c r="B36" s="309" t="s">
        <v>136</v>
      </c>
      <c r="C36" s="309" t="s">
        <v>45</v>
      </c>
      <c r="D36" s="310">
        <v>3859226.7179999999</v>
      </c>
      <c r="E36" s="310">
        <v>457162.32335125399</v>
      </c>
      <c r="F36" s="310">
        <v>2.63</v>
      </c>
      <c r="G36" s="310">
        <v>0</v>
      </c>
      <c r="H36" s="310">
        <v>0</v>
      </c>
      <c r="I36" s="310">
        <v>0</v>
      </c>
      <c r="J36" s="310">
        <v>8.4416989784060128</v>
      </c>
      <c r="K36" s="310">
        <v>0</v>
      </c>
      <c r="L36" s="310">
        <v>0</v>
      </c>
      <c r="M36" s="310">
        <v>-3859226.7179999999</v>
      </c>
      <c r="N36" s="310">
        <v>-3859226.7179999999</v>
      </c>
      <c r="O36" s="309" t="s">
        <v>155</v>
      </c>
      <c r="P36" s="310">
        <v>5.2903556946789099E-3</v>
      </c>
      <c r="Q36" s="310">
        <v>0.21692236200000001</v>
      </c>
      <c r="R36" s="310">
        <v>0</v>
      </c>
      <c r="S36" s="310">
        <v>0</v>
      </c>
      <c r="AE36" s="309">
        <v>43343</v>
      </c>
      <c r="AF36" s="309">
        <v>2.3240210525030669E-3</v>
      </c>
      <c r="AG36" s="309" t="s">
        <v>286</v>
      </c>
    </row>
    <row r="37" spans="1:33">
      <c r="A37" s="351">
        <v>43312</v>
      </c>
      <c r="B37" t="s">
        <v>136</v>
      </c>
      <c r="C37" t="s">
        <v>46</v>
      </c>
      <c r="D37" s="127">
        <v>4091275.8254999998</v>
      </c>
      <c r="E37" s="127">
        <v>482500.33871006919</v>
      </c>
      <c r="F37" s="127">
        <v>2.8</v>
      </c>
      <c r="G37" s="127">
        <v>0</v>
      </c>
      <c r="H37" s="127">
        <v>0</v>
      </c>
      <c r="I37" s="127">
        <v>0</v>
      </c>
      <c r="J37" s="127">
        <v>8.4793221833537746</v>
      </c>
      <c r="K37" s="127">
        <v>0</v>
      </c>
      <c r="L37" s="127">
        <v>0</v>
      </c>
      <c r="M37" s="127">
        <v>0</v>
      </c>
      <c r="N37" s="127">
        <v>0</v>
      </c>
      <c r="O37" t="s">
        <v>155</v>
      </c>
      <c r="P37" s="127">
        <v>5.68745489050699E-3</v>
      </c>
      <c r="Q37" s="127">
        <v>0.22787220449999998</v>
      </c>
      <c r="R37" s="127">
        <v>0</v>
      </c>
      <c r="S37" s="127">
        <v>0</v>
      </c>
      <c r="AE37">
        <v>43312</v>
      </c>
      <c r="AF37">
        <v>3.9913891061627016E-3</v>
      </c>
      <c r="AG37" t="s">
        <v>286</v>
      </c>
    </row>
    <row r="38" spans="1:33" s="309" customFormat="1">
      <c r="A38" s="352">
        <v>43343</v>
      </c>
      <c r="B38" s="309" t="s">
        <v>136</v>
      </c>
      <c r="C38" s="309" t="s">
        <v>46</v>
      </c>
      <c r="D38" s="310">
        <v>4100797.585</v>
      </c>
      <c r="E38" s="310">
        <v>483623.27746556228</v>
      </c>
      <c r="F38" s="310">
        <v>2.8</v>
      </c>
      <c r="G38" s="310">
        <v>0</v>
      </c>
      <c r="H38" s="310">
        <v>0</v>
      </c>
      <c r="I38" s="310">
        <v>0</v>
      </c>
      <c r="J38" s="310">
        <v>8.4793221833537746</v>
      </c>
      <c r="K38" s="310">
        <v>0</v>
      </c>
      <c r="L38" s="310">
        <v>0</v>
      </c>
      <c r="M38" s="310">
        <v>-4100797.585</v>
      </c>
      <c r="N38" s="310">
        <v>-4100797.585</v>
      </c>
      <c r="O38" s="309" t="s">
        <v>155</v>
      </c>
      <c r="P38" s="310">
        <v>5.6202783155821215E-3</v>
      </c>
      <c r="Q38" s="310">
        <v>0.22955251499999993</v>
      </c>
      <c r="R38" s="310">
        <v>0</v>
      </c>
      <c r="S38" s="310">
        <v>0</v>
      </c>
      <c r="AE38" s="309">
        <v>43343</v>
      </c>
      <c r="AF38" s="309">
        <v>2.3273325745121198E-3</v>
      </c>
      <c r="AG38" s="309" t="s">
        <v>286</v>
      </c>
    </row>
    <row r="39" spans="1:33">
      <c r="A39" s="351">
        <v>43312</v>
      </c>
      <c r="B39" t="s">
        <v>136</v>
      </c>
      <c r="C39" t="s">
        <v>47</v>
      </c>
      <c r="D39" s="127">
        <v>7718663.8490000004</v>
      </c>
      <c r="E39" s="127">
        <v>916657.95556301367</v>
      </c>
      <c r="F39" s="127">
        <v>5.2</v>
      </c>
      <c r="G39" s="127">
        <v>0</v>
      </c>
      <c r="H39" s="127">
        <v>0</v>
      </c>
      <c r="I39" s="127">
        <v>0</v>
      </c>
      <c r="J39" s="127">
        <v>8.4204405821789621</v>
      </c>
      <c r="K39" s="127">
        <v>0</v>
      </c>
      <c r="L39" s="127">
        <v>0</v>
      </c>
      <c r="M39" s="127">
        <v>0</v>
      </c>
      <c r="N39" s="127">
        <v>0</v>
      </c>
      <c r="O39" t="s">
        <v>155</v>
      </c>
      <c r="P39" s="127">
        <v>5.7293945592931002E-3</v>
      </c>
      <c r="Q39" s="127">
        <v>0.44447009100000001</v>
      </c>
      <c r="R39" s="127">
        <v>0</v>
      </c>
      <c r="S39" s="127">
        <v>0</v>
      </c>
      <c r="AE39">
        <v>43312</v>
      </c>
      <c r="AF39">
        <v>5.5885981609549162E-5</v>
      </c>
      <c r="AG39" t="s">
        <v>286</v>
      </c>
    </row>
    <row r="40" spans="1:33" s="309" customFormat="1">
      <c r="A40" s="352">
        <v>43343</v>
      </c>
      <c r="B40" s="309" t="s">
        <v>136</v>
      </c>
      <c r="C40" s="309" t="s">
        <v>47</v>
      </c>
      <c r="D40" s="310">
        <v>7740461.8439999996</v>
      </c>
      <c r="E40" s="310">
        <v>919246.65561822604</v>
      </c>
      <c r="F40" s="310">
        <v>5.2</v>
      </c>
      <c r="G40" s="310">
        <v>0</v>
      </c>
      <c r="H40" s="310">
        <v>0</v>
      </c>
      <c r="I40" s="310">
        <v>0</v>
      </c>
      <c r="J40" s="310">
        <v>8.4204405821789621</v>
      </c>
      <c r="K40" s="310">
        <v>0</v>
      </c>
      <c r="L40" s="310">
        <v>0</v>
      </c>
      <c r="M40" s="310">
        <v>-7740461.8439999996</v>
      </c>
      <c r="N40" s="310">
        <v>-7740461.8439999996</v>
      </c>
      <c r="O40" s="309" t="s">
        <v>155</v>
      </c>
      <c r="P40" s="310">
        <v>5.6614399536902074E-3</v>
      </c>
      <c r="Q40" s="310">
        <v>0.44831679599999991</v>
      </c>
      <c r="R40" s="310">
        <v>0</v>
      </c>
      <c r="S40" s="310">
        <v>0</v>
      </c>
      <c r="AE40" s="309">
        <v>43343</v>
      </c>
      <c r="AF40" s="309">
        <v>2.8240632610037064E-3</v>
      </c>
      <c r="AG40" s="309" t="s">
        <v>286</v>
      </c>
    </row>
    <row r="41" spans="1:33">
      <c r="A41" s="351">
        <v>43312</v>
      </c>
      <c r="B41" t="s">
        <v>136</v>
      </c>
      <c r="C41" t="s">
        <v>50</v>
      </c>
      <c r="D41" s="127">
        <v>9965116.4167347848</v>
      </c>
      <c r="E41" s="127">
        <v>1365458.1819450695</v>
      </c>
      <c r="F41" s="127">
        <v>6.77</v>
      </c>
      <c r="G41" s="127">
        <v>0</v>
      </c>
      <c r="H41" s="127">
        <v>0</v>
      </c>
      <c r="I41" s="127">
        <v>0</v>
      </c>
      <c r="J41" s="127">
        <v>7.2980019077110541</v>
      </c>
      <c r="K41" s="127">
        <v>0</v>
      </c>
      <c r="L41" s="127">
        <v>0</v>
      </c>
      <c r="M41" s="127">
        <v>0</v>
      </c>
      <c r="N41" s="127">
        <v>0</v>
      </c>
      <c r="O41" t="s">
        <v>155</v>
      </c>
      <c r="P41" s="127">
        <v>0</v>
      </c>
      <c r="Q41" s="127">
        <v>0</v>
      </c>
      <c r="R41" s="127">
        <v>0</v>
      </c>
      <c r="S41" s="127">
        <v>0</v>
      </c>
      <c r="AE41">
        <v>43312</v>
      </c>
      <c r="AF41">
        <v>-5.258976458863196E-3</v>
      </c>
      <c r="AG41" t="s">
        <v>286</v>
      </c>
    </row>
    <row r="42" spans="1:33" s="309" customFormat="1">
      <c r="A42" s="352">
        <v>43343</v>
      </c>
      <c r="B42" s="309" t="s">
        <v>136</v>
      </c>
      <c r="C42" s="309" t="s">
        <v>50</v>
      </c>
      <c r="D42" s="310">
        <v>10000078.720000001</v>
      </c>
      <c r="E42" s="310">
        <v>1370248.8498165419</v>
      </c>
      <c r="F42" s="310">
        <v>6.77</v>
      </c>
      <c r="G42" s="310">
        <v>0</v>
      </c>
      <c r="H42" s="310">
        <v>0</v>
      </c>
      <c r="I42" s="310">
        <v>0</v>
      </c>
      <c r="J42" s="310">
        <v>7.2980019077110541</v>
      </c>
      <c r="K42" s="310">
        <v>0</v>
      </c>
      <c r="L42" s="310">
        <v>0</v>
      </c>
      <c r="M42" s="310">
        <v>-10000078.720000001</v>
      </c>
      <c r="N42" s="310">
        <v>-10000078.720000001</v>
      </c>
      <c r="O42" s="309" t="s">
        <v>155</v>
      </c>
      <c r="P42" s="310">
        <v>0</v>
      </c>
      <c r="Q42" s="310">
        <v>0</v>
      </c>
      <c r="R42" s="310">
        <v>0</v>
      </c>
      <c r="S42" s="310">
        <v>0</v>
      </c>
      <c r="AE42" s="309">
        <v>43343</v>
      </c>
      <c r="AF42" s="309">
        <v>3.5084691240037102E-3</v>
      </c>
      <c r="AG42" s="309" t="s">
        <v>286</v>
      </c>
    </row>
    <row r="43" spans="1:33">
      <c r="A43" s="351">
        <v>43312</v>
      </c>
      <c r="B43" t="s">
        <v>136</v>
      </c>
      <c r="C43" t="s">
        <v>51</v>
      </c>
      <c r="D43" s="127">
        <v>3649588.0674999999</v>
      </c>
      <c r="E43" s="127">
        <v>491094.40332979703</v>
      </c>
      <c r="F43" s="127">
        <v>2.67</v>
      </c>
      <c r="G43" s="127">
        <v>0</v>
      </c>
      <c r="H43" s="127">
        <v>0</v>
      </c>
      <c r="I43" s="127">
        <v>0</v>
      </c>
      <c r="J43" s="127">
        <v>7.4315407440086423</v>
      </c>
      <c r="K43" s="127">
        <v>0</v>
      </c>
      <c r="L43" s="127">
        <v>0</v>
      </c>
      <c r="M43" s="127">
        <v>0</v>
      </c>
      <c r="N43" s="127">
        <v>0</v>
      </c>
      <c r="O43" t="s">
        <v>155</v>
      </c>
      <c r="P43" s="127">
        <v>5.0334114567308396E-3</v>
      </c>
      <c r="Q43" s="127">
        <v>0.1728684825</v>
      </c>
      <c r="R43" s="127">
        <v>0</v>
      </c>
      <c r="S43" s="127">
        <v>0</v>
      </c>
      <c r="AE43">
        <v>43312</v>
      </c>
      <c r="AF43">
        <v>3.7133437956637927E-3</v>
      </c>
      <c r="AG43" t="s">
        <v>286</v>
      </c>
    </row>
    <row r="44" spans="1:33" s="309" customFormat="1">
      <c r="A44" s="352">
        <v>43343</v>
      </c>
      <c r="B44" s="309" t="s">
        <v>136</v>
      </c>
      <c r="C44" s="309" t="s">
        <v>51</v>
      </c>
      <c r="D44" s="310">
        <v>3657115.7779999999</v>
      </c>
      <c r="E44" s="310">
        <v>492107.34408586688</v>
      </c>
      <c r="F44" s="310">
        <v>2.67</v>
      </c>
      <c r="G44" s="310">
        <v>0</v>
      </c>
      <c r="H44" s="310">
        <v>0</v>
      </c>
      <c r="I44" s="310">
        <v>0</v>
      </c>
      <c r="J44" s="310">
        <v>7.4315407440086423</v>
      </c>
      <c r="K44" s="310">
        <v>0</v>
      </c>
      <c r="L44" s="310">
        <v>0</v>
      </c>
      <c r="M44" s="310">
        <v>-3657115.7779999999</v>
      </c>
      <c r="N44" s="310">
        <v>-3657115.7779999999</v>
      </c>
      <c r="O44" s="309" t="s">
        <v>155</v>
      </c>
      <c r="P44" s="310">
        <v>4.9725872209177551E-3</v>
      </c>
      <c r="Q44" s="310">
        <v>0.17419690200000004</v>
      </c>
      <c r="R44" s="310">
        <v>0</v>
      </c>
      <c r="S44" s="310">
        <v>0</v>
      </c>
      <c r="AE44" s="309">
        <v>43343</v>
      </c>
      <c r="AF44" s="309">
        <v>2.0626192218884398E-3</v>
      </c>
      <c r="AG44" s="309" t="s">
        <v>286</v>
      </c>
    </row>
    <row r="45" spans="1:33">
      <c r="A45" s="351">
        <v>43312</v>
      </c>
      <c r="B45" t="s">
        <v>136</v>
      </c>
      <c r="C45" t="s">
        <v>55</v>
      </c>
      <c r="D45" s="127">
        <v>3024051.4804923646</v>
      </c>
      <c r="E45" s="127">
        <v>2019407.1522426654</v>
      </c>
      <c r="F45" s="127">
        <v>1.75</v>
      </c>
      <c r="G45" s="127">
        <v>0</v>
      </c>
      <c r="H45" s="127">
        <v>0</v>
      </c>
      <c r="I45" s="127">
        <v>0</v>
      </c>
      <c r="J45" s="127">
        <v>1.497494686563819</v>
      </c>
      <c r="K45" s="127">
        <v>0</v>
      </c>
      <c r="L45" s="127">
        <v>0</v>
      </c>
      <c r="M45" s="127">
        <v>0</v>
      </c>
      <c r="N45" s="127">
        <v>0</v>
      </c>
      <c r="O45" t="s">
        <v>155</v>
      </c>
      <c r="P45" s="127">
        <v>0</v>
      </c>
      <c r="Q45" s="127">
        <v>0</v>
      </c>
      <c r="R45" s="127">
        <v>0</v>
      </c>
      <c r="S45" s="127">
        <v>0</v>
      </c>
      <c r="AE45">
        <v>43312</v>
      </c>
      <c r="AF45">
        <v>-5.7508376776915782E-3</v>
      </c>
      <c r="AG45" t="s">
        <v>286</v>
      </c>
    </row>
    <row r="46" spans="1:33" s="309" customFormat="1">
      <c r="A46" s="352">
        <v>43343</v>
      </c>
      <c r="B46" s="309" t="s">
        <v>136</v>
      </c>
      <c r="C46" s="309" t="s">
        <v>55</v>
      </c>
      <c r="D46" s="310">
        <v>3049153.62</v>
      </c>
      <c r="E46" s="310">
        <v>2036169.9092212797</v>
      </c>
      <c r="F46" s="310">
        <v>1.75</v>
      </c>
      <c r="G46" s="310">
        <v>0</v>
      </c>
      <c r="H46" s="310">
        <v>0</v>
      </c>
      <c r="I46" s="310">
        <v>0</v>
      </c>
      <c r="J46" s="310">
        <v>1.497494686563819</v>
      </c>
      <c r="K46" s="310">
        <v>0</v>
      </c>
      <c r="L46" s="310">
        <v>0</v>
      </c>
      <c r="M46" s="310">
        <v>-3049153.62</v>
      </c>
      <c r="N46" s="310">
        <v>-3049153.62</v>
      </c>
      <c r="O46" s="309" t="s">
        <v>155</v>
      </c>
      <c r="P46" s="310">
        <v>0</v>
      </c>
      <c r="Q46" s="310">
        <v>0</v>
      </c>
      <c r="R46" s="310">
        <v>0</v>
      </c>
      <c r="S46" s="310">
        <v>0</v>
      </c>
      <c r="AE46" s="309">
        <v>43343</v>
      </c>
      <c r="AF46" s="309">
        <v>8.3008307462901776E-3</v>
      </c>
      <c r="AG46" s="309" t="s">
        <v>286</v>
      </c>
    </row>
    <row r="47" spans="1:33">
      <c r="A47" s="351">
        <v>43312</v>
      </c>
      <c r="B47" t="s">
        <v>136</v>
      </c>
      <c r="C47" t="s">
        <v>54</v>
      </c>
      <c r="D47" s="127">
        <v>30003333.850000001</v>
      </c>
      <c r="E47" s="127">
        <v>4016698.7657083017</v>
      </c>
      <c r="F47" s="127">
        <v>22</v>
      </c>
      <c r="G47" s="127">
        <v>0</v>
      </c>
      <c r="H47" s="127">
        <v>0</v>
      </c>
      <c r="I47" s="127">
        <v>0</v>
      </c>
      <c r="J47" s="127">
        <v>7.4696499787703736</v>
      </c>
      <c r="K47" s="127">
        <v>0</v>
      </c>
      <c r="L47" s="127">
        <v>0</v>
      </c>
      <c r="M47" s="127">
        <v>0</v>
      </c>
      <c r="N47" s="127">
        <v>0</v>
      </c>
      <c r="O47" t="s">
        <v>155</v>
      </c>
      <c r="P47" s="127">
        <v>4.1368179999999997E-2</v>
      </c>
      <c r="Q47" s="127">
        <v>1.41235303</v>
      </c>
      <c r="R47" s="127">
        <v>0</v>
      </c>
      <c r="S47" s="127">
        <v>0</v>
      </c>
      <c r="AE47">
        <v>43312</v>
      </c>
      <c r="AF47">
        <v>3.6871129395676938E-3</v>
      </c>
      <c r="AG47" t="s">
        <v>286</v>
      </c>
    </row>
    <row r="48" spans="1:33" s="309" customFormat="1">
      <c r="A48" s="352">
        <v>43343</v>
      </c>
      <c r="B48" s="309" t="s">
        <v>136</v>
      </c>
      <c r="C48" s="309" t="s">
        <v>54</v>
      </c>
      <c r="D48" s="310">
        <v>30065156.490000002</v>
      </c>
      <c r="E48" s="310">
        <v>4024975.2766794595</v>
      </c>
      <c r="F48" s="310">
        <v>22</v>
      </c>
      <c r="G48" s="310">
        <v>0</v>
      </c>
      <c r="H48" s="310">
        <v>0</v>
      </c>
      <c r="I48" s="310">
        <v>0</v>
      </c>
      <c r="J48" s="310">
        <v>7.4696499787703736</v>
      </c>
      <c r="K48" s="310">
        <v>0</v>
      </c>
      <c r="L48" s="310">
        <v>0</v>
      </c>
      <c r="M48" s="310">
        <v>-30065156.490000002</v>
      </c>
      <c r="N48" s="310">
        <v>-30065156.490000002</v>
      </c>
      <c r="O48" s="309" t="s">
        <v>155</v>
      </c>
      <c r="P48" s="310">
        <v>4.0868215421549524E-2</v>
      </c>
      <c r="Q48" s="310">
        <v>1.4232629099999998</v>
      </c>
      <c r="R48" s="310">
        <v>0</v>
      </c>
      <c r="S48" s="310">
        <v>0</v>
      </c>
      <c r="AE48" s="309">
        <v>43343</v>
      </c>
      <c r="AF48" s="309">
        <v>2.0605256838817088E-3</v>
      </c>
      <c r="AG48" s="309" t="s">
        <v>286</v>
      </c>
    </row>
    <row r="49" spans="1:33">
      <c r="A49" s="351">
        <v>43312</v>
      </c>
      <c r="B49" t="s">
        <v>136</v>
      </c>
      <c r="C49" t="s">
        <v>52</v>
      </c>
      <c r="D49" s="127">
        <v>6907294.6849999996</v>
      </c>
      <c r="E49" s="127">
        <v>931427.76742155373</v>
      </c>
      <c r="F49" s="127">
        <v>5</v>
      </c>
      <c r="G49" s="127">
        <v>0</v>
      </c>
      <c r="H49" s="127">
        <v>0</v>
      </c>
      <c r="I49" s="127">
        <v>0</v>
      </c>
      <c r="J49" s="127">
        <v>7.4158135784605994</v>
      </c>
      <c r="K49" s="127">
        <v>0</v>
      </c>
      <c r="L49" s="127">
        <v>0</v>
      </c>
      <c r="M49" s="127">
        <v>0</v>
      </c>
      <c r="N49" s="127">
        <v>0</v>
      </c>
      <c r="O49" t="s">
        <v>155</v>
      </c>
      <c r="P49" s="127">
        <v>5.0842022928191096E-3</v>
      </c>
      <c r="Q49" s="127">
        <v>0.33658141499999999</v>
      </c>
      <c r="R49" s="127">
        <v>0</v>
      </c>
      <c r="S49" s="127">
        <v>0</v>
      </c>
      <c r="AE49">
        <v>43312</v>
      </c>
      <c r="AF49">
        <v>-2.2342395875030174E-4</v>
      </c>
      <c r="AG49" t="s">
        <v>286</v>
      </c>
    </row>
    <row r="50" spans="1:33" s="309" customFormat="1">
      <c r="A50" s="352">
        <v>43343</v>
      </c>
      <c r="B50" s="309" t="s">
        <v>136</v>
      </c>
      <c r="C50" s="309" t="s">
        <v>52</v>
      </c>
      <c r="D50" s="310">
        <v>6924993.0789999999</v>
      </c>
      <c r="E50" s="310">
        <v>933814.34224746446</v>
      </c>
      <c r="F50" s="310">
        <v>5</v>
      </c>
      <c r="G50" s="310">
        <v>0</v>
      </c>
      <c r="H50" s="310">
        <v>0</v>
      </c>
      <c r="I50" s="310">
        <v>0</v>
      </c>
      <c r="J50" s="310">
        <v>7.4158135784605994</v>
      </c>
      <c r="K50" s="310">
        <v>0</v>
      </c>
      <c r="L50" s="310">
        <v>0</v>
      </c>
      <c r="M50" s="310">
        <v>-6924993.0789999999</v>
      </c>
      <c r="N50" s="310">
        <v>-6924993.0789999999</v>
      </c>
      <c r="O50" s="309" t="s">
        <v>155</v>
      </c>
      <c r="P50" s="310">
        <v>5.0225621994827788E-3</v>
      </c>
      <c r="Q50" s="310">
        <v>0.33970466100000002</v>
      </c>
      <c r="R50" s="310">
        <v>0</v>
      </c>
      <c r="S50" s="310">
        <v>0</v>
      </c>
      <c r="AE50" s="309">
        <v>43343</v>
      </c>
      <c r="AF50" s="309">
        <v>2.5622757978509547E-3</v>
      </c>
      <c r="AG50" s="309" t="s">
        <v>286</v>
      </c>
    </row>
    <row r="51" spans="1:33">
      <c r="A51" s="351">
        <v>43312</v>
      </c>
      <c r="B51" t="s">
        <v>136</v>
      </c>
      <c r="C51" t="s">
        <v>53</v>
      </c>
      <c r="D51" s="127">
        <v>1369115.9424999999</v>
      </c>
      <c r="E51" s="127">
        <v>184317.28332100893</v>
      </c>
      <c r="F51" s="127">
        <v>1</v>
      </c>
      <c r="G51" s="127">
        <v>0</v>
      </c>
      <c r="H51" s="127">
        <v>0</v>
      </c>
      <c r="I51" s="127">
        <v>0</v>
      </c>
      <c r="J51" s="127">
        <v>7.4280388568636457</v>
      </c>
      <c r="K51" s="127">
        <v>0</v>
      </c>
      <c r="L51" s="127">
        <v>0</v>
      </c>
      <c r="M51" s="127">
        <v>0</v>
      </c>
      <c r="N51" s="127">
        <v>0</v>
      </c>
      <c r="O51" t="s">
        <v>155</v>
      </c>
      <c r="P51" s="127">
        <v>1.7625628621509E-3</v>
      </c>
      <c r="Q51" s="127">
        <v>6.51381075E-2</v>
      </c>
      <c r="R51" s="127">
        <v>0</v>
      </c>
      <c r="S51" s="127">
        <v>0</v>
      </c>
      <c r="AE51">
        <v>43312</v>
      </c>
      <c r="AF51">
        <v>3.1512367799608754E-3</v>
      </c>
      <c r="AG51" t="s">
        <v>286</v>
      </c>
    </row>
    <row r="52" spans="1:33" s="309" customFormat="1">
      <c r="A52" s="352">
        <v>43343</v>
      </c>
      <c r="B52" s="309" t="s">
        <v>136</v>
      </c>
      <c r="C52" s="309" t="s">
        <v>53</v>
      </c>
      <c r="D52" s="310">
        <v>1372037.0355</v>
      </c>
      <c r="E52" s="310">
        <v>184710.53557187741</v>
      </c>
      <c r="F52" s="310">
        <v>1</v>
      </c>
      <c r="G52" s="310">
        <v>0</v>
      </c>
      <c r="H52" s="310">
        <v>0</v>
      </c>
      <c r="I52" s="310">
        <v>0</v>
      </c>
      <c r="J52" s="310">
        <v>7.4280388568636457</v>
      </c>
      <c r="K52" s="310">
        <v>0</v>
      </c>
      <c r="L52" s="310">
        <v>0</v>
      </c>
      <c r="M52" s="310">
        <v>-1372037.0355</v>
      </c>
      <c r="N52" s="310">
        <v>-1372037.0355</v>
      </c>
      <c r="O52" s="309" t="s">
        <v>155</v>
      </c>
      <c r="P52" s="310">
        <v>1.7412530160509357E-3</v>
      </c>
      <c r="Q52" s="310">
        <v>6.5653594499999982E-2</v>
      </c>
      <c r="R52" s="310">
        <v>0</v>
      </c>
      <c r="S52" s="310">
        <v>0</v>
      </c>
      <c r="AE52" s="309">
        <v>43343</v>
      </c>
      <c r="AF52" s="309">
        <v>2.1335614532880243E-3</v>
      </c>
      <c r="AG52" s="309" t="s">
        <v>286</v>
      </c>
    </row>
    <row r="53" spans="1:33">
      <c r="A53" s="351">
        <v>43312</v>
      </c>
      <c r="B53" t="s">
        <v>136</v>
      </c>
      <c r="C53" t="s">
        <v>57</v>
      </c>
      <c r="D53" s="127">
        <v>7873150.8774561826</v>
      </c>
      <c r="E53" s="127">
        <v>719776.87006237253</v>
      </c>
      <c r="F53" s="127">
        <v>5.798</v>
      </c>
      <c r="G53" s="127">
        <v>0</v>
      </c>
      <c r="H53" s="127">
        <v>0</v>
      </c>
      <c r="I53" s="127">
        <v>0</v>
      </c>
      <c r="J53" s="127">
        <v>10.938321589541953</v>
      </c>
      <c r="K53" s="127">
        <v>0</v>
      </c>
      <c r="L53" s="127">
        <v>0</v>
      </c>
      <c r="M53" s="127">
        <v>0</v>
      </c>
      <c r="N53" s="127">
        <v>0</v>
      </c>
      <c r="O53" t="s">
        <v>155</v>
      </c>
      <c r="P53" s="127">
        <v>0</v>
      </c>
      <c r="Q53" s="127">
        <v>0</v>
      </c>
      <c r="R53" s="127">
        <v>0</v>
      </c>
      <c r="S53" s="127">
        <v>0</v>
      </c>
      <c r="AE53">
        <v>43312</v>
      </c>
      <c r="AF53">
        <v>-5.1664171977914286E-3</v>
      </c>
      <c r="AG53" t="s">
        <v>286</v>
      </c>
    </row>
    <row r="54" spans="1:33" s="309" customFormat="1">
      <c r="A54" s="352">
        <v>43343</v>
      </c>
      <c r="B54" s="309" t="s">
        <v>136</v>
      </c>
      <c r="C54" s="309" t="s">
        <v>57</v>
      </c>
      <c r="D54" s="310">
        <v>7861182.2000000002</v>
      </c>
      <c r="E54" s="310">
        <v>718682.67317318753</v>
      </c>
      <c r="F54" s="310">
        <v>5.798</v>
      </c>
      <c r="G54" s="310">
        <v>0</v>
      </c>
      <c r="H54" s="310">
        <v>0</v>
      </c>
      <c r="I54" s="310">
        <v>0</v>
      </c>
      <c r="J54" s="310">
        <v>10.938321589541953</v>
      </c>
      <c r="K54" s="310">
        <v>0</v>
      </c>
      <c r="L54" s="310">
        <v>0</v>
      </c>
      <c r="M54" s="310">
        <v>-7861182.2000000002</v>
      </c>
      <c r="N54" s="310">
        <v>-7861182.2000000002</v>
      </c>
      <c r="O54" s="309" t="s">
        <v>155</v>
      </c>
      <c r="P54" s="310">
        <v>0</v>
      </c>
      <c r="Q54" s="310">
        <v>0</v>
      </c>
      <c r="R54" s="310">
        <v>0</v>
      </c>
      <c r="S54" s="310">
        <v>0</v>
      </c>
      <c r="AE54" s="309">
        <v>43343</v>
      </c>
      <c r="AF54" s="309">
        <v>-1.5201890123118789E-3</v>
      </c>
      <c r="AG54" s="309" t="s">
        <v>286</v>
      </c>
    </row>
    <row r="55" spans="1:33">
      <c r="A55" s="351">
        <v>43312</v>
      </c>
      <c r="B55" t="s">
        <v>136</v>
      </c>
      <c r="C55" t="s">
        <v>56</v>
      </c>
      <c r="D55" s="127">
        <v>3394770.276930056</v>
      </c>
      <c r="E55" s="127">
        <v>310355.71055611974</v>
      </c>
      <c r="F55" s="127">
        <v>2.5</v>
      </c>
      <c r="G55" s="127">
        <v>0</v>
      </c>
      <c r="H55" s="127">
        <v>0</v>
      </c>
      <c r="I55" s="127">
        <v>0</v>
      </c>
      <c r="J55" s="127">
        <v>10.938320647772326</v>
      </c>
      <c r="K55" s="127">
        <v>0</v>
      </c>
      <c r="L55" s="127">
        <v>0</v>
      </c>
      <c r="M55" s="127">
        <v>0</v>
      </c>
      <c r="O55" t="s">
        <v>155</v>
      </c>
      <c r="P55" s="127">
        <v>0</v>
      </c>
      <c r="Q55" s="127">
        <v>0</v>
      </c>
      <c r="R55" s="127">
        <v>0</v>
      </c>
      <c r="S55" s="127">
        <v>0</v>
      </c>
      <c r="AE55">
        <v>43312</v>
      </c>
      <c r="AF55">
        <v>-5.1664172556902255E-3</v>
      </c>
      <c r="AG55" t="s">
        <v>286</v>
      </c>
    </row>
    <row r="56" spans="1:33" s="309" customFormat="1">
      <c r="A56" s="352">
        <v>43343</v>
      </c>
      <c r="B56" s="309" t="s">
        <v>136</v>
      </c>
      <c r="C56" s="309" t="s">
        <v>56</v>
      </c>
      <c r="D56" s="310">
        <v>3389609.58</v>
      </c>
      <c r="E56" s="310">
        <v>309883.91080767236</v>
      </c>
      <c r="F56" s="310">
        <v>2.5</v>
      </c>
      <c r="G56" s="310">
        <v>0</v>
      </c>
      <c r="H56" s="310">
        <v>0</v>
      </c>
      <c r="I56" s="310">
        <v>0</v>
      </c>
      <c r="J56" s="310">
        <v>10.938320647772326</v>
      </c>
      <c r="K56" s="310">
        <v>0</v>
      </c>
      <c r="L56" s="310">
        <v>0</v>
      </c>
      <c r="M56" s="310">
        <v>-3389609.58</v>
      </c>
      <c r="O56" s="309" t="s">
        <v>155</v>
      </c>
      <c r="P56" s="310">
        <v>0</v>
      </c>
      <c r="Q56" s="310">
        <v>0</v>
      </c>
      <c r="R56" s="310">
        <v>0</v>
      </c>
      <c r="S56" s="310">
        <v>0</v>
      </c>
      <c r="AE56" s="309">
        <v>43343</v>
      </c>
      <c r="AF56" s="309">
        <v>-1.5201903248436288E-3</v>
      </c>
      <c r="AG56" s="309" t="s">
        <v>286</v>
      </c>
    </row>
    <row r="57" spans="1:33">
      <c r="A57" s="351">
        <v>43312</v>
      </c>
      <c r="B57" t="s">
        <v>136</v>
      </c>
      <c r="C57" t="s">
        <v>58</v>
      </c>
      <c r="D57" s="127">
        <v>262986.17550000001</v>
      </c>
      <c r="E57" s="127">
        <v>23671.828104377735</v>
      </c>
      <c r="F57" s="127">
        <v>0.20499999999999999</v>
      </c>
      <c r="G57" s="127">
        <v>0</v>
      </c>
      <c r="H57" s="127">
        <v>0</v>
      </c>
      <c r="I57" s="127">
        <v>0</v>
      </c>
      <c r="J57" s="127">
        <v>11.109669026844818</v>
      </c>
      <c r="K57" s="127">
        <v>0</v>
      </c>
      <c r="L57" s="127">
        <v>0</v>
      </c>
      <c r="M57" s="127">
        <v>0</v>
      </c>
      <c r="N57" s="127">
        <v>0</v>
      </c>
      <c r="O57" t="s">
        <v>155</v>
      </c>
      <c r="P57" s="127">
        <v>3.5977486802377096E-4</v>
      </c>
      <c r="Q57" s="127">
        <v>1.0232854500000003E-2</v>
      </c>
      <c r="R57" s="127">
        <v>0</v>
      </c>
      <c r="S57" s="127">
        <v>0</v>
      </c>
      <c r="AE57">
        <v>43312</v>
      </c>
      <c r="AF57">
        <v>3.8571517028380686E-3</v>
      </c>
      <c r="AG57" t="s">
        <v>286</v>
      </c>
    </row>
    <row r="58" spans="1:33" s="309" customFormat="1">
      <c r="A58" s="352">
        <v>43343</v>
      </c>
      <c r="B58" s="309" t="s">
        <v>136</v>
      </c>
      <c r="C58" s="309" t="s">
        <v>58</v>
      </c>
      <c r="D58" s="310">
        <v>262331.15700000001</v>
      </c>
      <c r="E58" s="310">
        <v>23612.868787190404</v>
      </c>
      <c r="F58" s="310">
        <v>0.20499999999999999</v>
      </c>
      <c r="G58" s="310">
        <v>0</v>
      </c>
      <c r="H58" s="310">
        <v>0</v>
      </c>
      <c r="I58" s="310">
        <v>0</v>
      </c>
      <c r="J58" s="310">
        <v>11.109669026844818</v>
      </c>
      <c r="K58" s="310">
        <v>0</v>
      </c>
      <c r="L58" s="310">
        <v>0</v>
      </c>
      <c r="M58" s="310">
        <v>-262331.15700000001</v>
      </c>
      <c r="N58" s="310">
        <v>-262331.15700000001</v>
      </c>
      <c r="O58" s="309" t="s">
        <v>155</v>
      </c>
      <c r="P58" s="310">
        <v>3.5360557451658546E-4</v>
      </c>
      <c r="Q58" s="310">
        <v>1.0117262999999998E-2</v>
      </c>
      <c r="R58" s="310">
        <v>0</v>
      </c>
      <c r="S58" s="310">
        <v>0</v>
      </c>
      <c r="AE58" s="309">
        <v>43343</v>
      </c>
      <c r="AF58" s="309">
        <v>-2.4906955612957749E-3</v>
      </c>
      <c r="AG58" s="309" t="s">
        <v>286</v>
      </c>
    </row>
    <row r="59" spans="1:33">
      <c r="A59" s="351">
        <v>43312</v>
      </c>
      <c r="B59" t="s">
        <v>136</v>
      </c>
      <c r="C59" t="s">
        <v>59</v>
      </c>
      <c r="D59" s="127">
        <v>6550824.6339999996</v>
      </c>
      <c r="E59" s="127">
        <v>586439.61005506176</v>
      </c>
      <c r="F59" s="127">
        <v>5</v>
      </c>
      <c r="G59" s="127">
        <v>0</v>
      </c>
      <c r="H59" s="127">
        <v>0</v>
      </c>
      <c r="I59" s="127">
        <v>0</v>
      </c>
      <c r="J59" s="127">
        <v>11.170501653844514</v>
      </c>
      <c r="K59" s="127">
        <v>0</v>
      </c>
      <c r="L59" s="127">
        <v>0</v>
      </c>
      <c r="M59" s="127">
        <v>0</v>
      </c>
      <c r="N59" s="127">
        <v>0</v>
      </c>
      <c r="O59" t="s">
        <v>155</v>
      </c>
      <c r="P59" s="127">
        <v>5.8665604504479401E-3</v>
      </c>
      <c r="Q59" s="127">
        <v>0.13485431600000003</v>
      </c>
      <c r="R59" s="127">
        <v>0</v>
      </c>
      <c r="S59" s="127">
        <v>0</v>
      </c>
      <c r="AE59">
        <v>43312</v>
      </c>
      <c r="AF59">
        <v>1.0910988822014911E-3</v>
      </c>
      <c r="AG59" t="s">
        <v>286</v>
      </c>
    </row>
    <row r="60" spans="1:33" s="309" customFormat="1">
      <c r="A60" s="352">
        <v>43343</v>
      </c>
      <c r="B60" s="309" t="s">
        <v>136</v>
      </c>
      <c r="C60" s="309" t="s">
        <v>59</v>
      </c>
      <c r="D60" s="310">
        <v>6536116.7779999999</v>
      </c>
      <c r="E60" s="310">
        <v>585122.94080816745</v>
      </c>
      <c r="F60" s="310">
        <v>5</v>
      </c>
      <c r="G60" s="310">
        <v>0</v>
      </c>
      <c r="H60" s="310">
        <v>0</v>
      </c>
      <c r="I60" s="310">
        <v>0</v>
      </c>
      <c r="J60" s="310">
        <v>11.170501653844514</v>
      </c>
      <c r="K60" s="310">
        <v>0</v>
      </c>
      <c r="L60" s="310">
        <v>0</v>
      </c>
      <c r="M60" s="310">
        <v>-6536116.7779999999</v>
      </c>
      <c r="N60" s="310">
        <v>-6536116.7779999999</v>
      </c>
      <c r="O60" s="309" t="s">
        <v>155</v>
      </c>
      <c r="P60" s="310">
        <v>5.7659879443151592E-3</v>
      </c>
      <c r="Q60" s="310">
        <v>0.13357537200000003</v>
      </c>
      <c r="R60" s="310">
        <v>0</v>
      </c>
      <c r="S60" s="310">
        <v>0</v>
      </c>
      <c r="AE60" s="309">
        <v>43343</v>
      </c>
      <c r="AF60" s="309">
        <v>-2.2451915326298089E-3</v>
      </c>
      <c r="AG60" s="309" t="s">
        <v>286</v>
      </c>
    </row>
    <row r="61" spans="1:33">
      <c r="A61" s="351">
        <v>43312</v>
      </c>
      <c r="B61" t="s">
        <v>136</v>
      </c>
      <c r="C61" t="s">
        <v>60</v>
      </c>
      <c r="D61" s="127">
        <v>6397608.7429999998</v>
      </c>
      <c r="E61" s="127">
        <v>569554.66530766652</v>
      </c>
      <c r="F61" s="127">
        <v>5</v>
      </c>
      <c r="G61" s="127">
        <v>0</v>
      </c>
      <c r="H61" s="127">
        <v>0</v>
      </c>
      <c r="I61" s="127">
        <v>0</v>
      </c>
      <c r="J61" s="127">
        <v>11.232650933592282</v>
      </c>
      <c r="K61" s="127">
        <v>0</v>
      </c>
      <c r="L61" s="127">
        <v>0</v>
      </c>
      <c r="M61" s="127">
        <v>0</v>
      </c>
      <c r="N61" s="127">
        <v>0</v>
      </c>
      <c r="O61" t="s">
        <v>155</v>
      </c>
      <c r="P61" s="127">
        <v>8.7491437516278685E-3</v>
      </c>
      <c r="Q61" s="127">
        <v>0.246636837</v>
      </c>
      <c r="R61" s="127">
        <v>0</v>
      </c>
      <c r="S61" s="127">
        <v>0</v>
      </c>
      <c r="AE61">
        <v>43312</v>
      </c>
      <c r="AF61">
        <v>3.8412868110266896E-3</v>
      </c>
      <c r="AG61" t="s">
        <v>286</v>
      </c>
    </row>
    <row r="62" spans="1:33" s="309" customFormat="1">
      <c r="A62" s="352">
        <v>43343</v>
      </c>
      <c r="B62" s="309" t="s">
        <v>136</v>
      </c>
      <c r="C62" s="309" t="s">
        <v>60</v>
      </c>
      <c r="D62" s="310">
        <v>6381653.9115000004</v>
      </c>
      <c r="E62" s="310">
        <v>568134.26761220489</v>
      </c>
      <c r="F62" s="310">
        <v>5</v>
      </c>
      <c r="G62" s="310">
        <v>0</v>
      </c>
      <c r="H62" s="310">
        <v>0</v>
      </c>
      <c r="I62" s="310">
        <v>0</v>
      </c>
      <c r="J62" s="310">
        <v>11.232650933592282</v>
      </c>
      <c r="K62" s="310">
        <v>0</v>
      </c>
      <c r="L62" s="310">
        <v>0</v>
      </c>
      <c r="M62" s="310">
        <v>-6381653.9115000004</v>
      </c>
      <c r="N62" s="310">
        <v>-6381653.9115000004</v>
      </c>
      <c r="O62" s="309" t="s">
        <v>155</v>
      </c>
      <c r="P62" s="310">
        <v>8.5990771318668856E-3</v>
      </c>
      <c r="Q62" s="310">
        <v>0.24382127850000004</v>
      </c>
      <c r="R62" s="310">
        <v>0</v>
      </c>
      <c r="S62" s="310">
        <v>0</v>
      </c>
      <c r="AE62" s="309">
        <v>43343</v>
      </c>
      <c r="AF62" s="309">
        <v>-2.4938742178406414E-3</v>
      </c>
      <c r="AG62" s="309" t="s">
        <v>286</v>
      </c>
    </row>
    <row r="63" spans="1:33">
      <c r="A63" s="351">
        <v>43312</v>
      </c>
      <c r="B63" t="s">
        <v>136</v>
      </c>
      <c r="C63" t="s">
        <v>61</v>
      </c>
      <c r="D63" s="127">
        <v>770563.3885</v>
      </c>
      <c r="E63" s="127">
        <v>90968.917583295115</v>
      </c>
      <c r="F63" s="127">
        <v>0.6</v>
      </c>
      <c r="G63" s="127">
        <v>0</v>
      </c>
      <c r="H63" s="127">
        <v>0</v>
      </c>
      <c r="I63" s="127">
        <v>0</v>
      </c>
      <c r="J63" s="127">
        <v>8.4706228123956571</v>
      </c>
      <c r="K63" s="127">
        <v>0</v>
      </c>
      <c r="L63" s="127">
        <v>0</v>
      </c>
      <c r="M63" s="127">
        <v>0</v>
      </c>
      <c r="N63" s="127">
        <v>0</v>
      </c>
      <c r="O63" t="s">
        <v>155</v>
      </c>
      <c r="P63" s="127">
        <v>9.8393902612187493E-4</v>
      </c>
      <c r="Q63" s="127">
        <v>3.0099421500000008E-2</v>
      </c>
      <c r="R63" s="127">
        <v>0</v>
      </c>
      <c r="S63" s="127">
        <v>0</v>
      </c>
      <c r="AE63">
        <v>43312</v>
      </c>
      <c r="AF63">
        <v>3.2935051633433687E-3</v>
      </c>
      <c r="AG63" t="s">
        <v>286</v>
      </c>
    </row>
    <row r="64" spans="1:33" s="309" customFormat="1">
      <c r="A64" s="352">
        <v>43343</v>
      </c>
      <c r="B64" s="309" t="s">
        <v>136</v>
      </c>
      <c r="C64" s="309" t="s">
        <v>61</v>
      </c>
      <c r="D64" s="310">
        <v>768702.9425</v>
      </c>
      <c r="E64" s="310">
        <v>90749.282493738603</v>
      </c>
      <c r="F64" s="310">
        <v>0.6</v>
      </c>
      <c r="G64" s="310">
        <v>0</v>
      </c>
      <c r="H64" s="310">
        <v>0</v>
      </c>
      <c r="I64" s="310">
        <v>0</v>
      </c>
      <c r="J64" s="310">
        <v>8.4706228123956571</v>
      </c>
      <c r="K64" s="310">
        <v>0</v>
      </c>
      <c r="L64" s="310">
        <v>0</v>
      </c>
      <c r="M64" s="310">
        <v>-768702.9425</v>
      </c>
      <c r="N64" s="310">
        <v>-768702.9425</v>
      </c>
      <c r="O64" s="309" t="s">
        <v>155</v>
      </c>
      <c r="P64" s="310">
        <v>9.6706851899083844E-4</v>
      </c>
      <c r="Q64" s="310">
        <v>2.9771107500000005E-2</v>
      </c>
      <c r="R64" s="310">
        <v>0</v>
      </c>
      <c r="S64" s="310">
        <v>0</v>
      </c>
      <c r="AE64" s="309">
        <v>43343</v>
      </c>
      <c r="AF64" s="309">
        <v>-2.4143970862949837E-3</v>
      </c>
      <c r="AG64" s="309" t="s">
        <v>286</v>
      </c>
    </row>
    <row r="65" spans="1:33">
      <c r="A65" s="351">
        <v>43312</v>
      </c>
      <c r="B65" t="s">
        <v>136</v>
      </c>
      <c r="C65" t="s">
        <v>62</v>
      </c>
      <c r="D65" s="127">
        <v>6414307.1885000002</v>
      </c>
      <c r="E65" s="127">
        <v>620635.23510537727</v>
      </c>
      <c r="F65" s="127">
        <v>6</v>
      </c>
      <c r="G65" s="127">
        <v>0</v>
      </c>
      <c r="H65" s="127">
        <v>0</v>
      </c>
      <c r="I65" s="127">
        <v>0</v>
      </c>
      <c r="J65" s="127">
        <v>10.33506772687651</v>
      </c>
      <c r="K65" s="127">
        <v>0</v>
      </c>
      <c r="L65" s="127">
        <v>0</v>
      </c>
      <c r="M65" s="127">
        <v>0</v>
      </c>
      <c r="N65" s="127">
        <v>0</v>
      </c>
      <c r="O65" t="s">
        <v>155</v>
      </c>
      <c r="P65" s="127">
        <v>8.7750125872677193E-3</v>
      </c>
      <c r="Q65" s="127">
        <v>0.24958362149999991</v>
      </c>
      <c r="R65" s="127">
        <v>0</v>
      </c>
      <c r="S65" s="127">
        <v>0</v>
      </c>
      <c r="AE65">
        <v>43312</v>
      </c>
      <c r="AF65">
        <v>3.8571546176813243E-3</v>
      </c>
      <c r="AG65" t="s">
        <v>286</v>
      </c>
    </row>
    <row r="66" spans="1:33" s="309" customFormat="1">
      <c r="A66" s="352">
        <v>43343</v>
      </c>
      <c r="B66" s="309" t="s">
        <v>136</v>
      </c>
      <c r="C66" s="309" t="s">
        <v>62</v>
      </c>
      <c r="D66" s="310">
        <v>6398331.0475000003</v>
      </c>
      <c r="E66" s="310">
        <v>619089.41640131082</v>
      </c>
      <c r="F66" s="310">
        <v>6</v>
      </c>
      <c r="G66" s="310">
        <v>0</v>
      </c>
      <c r="H66" s="310">
        <v>0</v>
      </c>
      <c r="I66" s="310">
        <v>0</v>
      </c>
      <c r="J66" s="310">
        <v>10.33506772687651</v>
      </c>
      <c r="K66" s="310">
        <v>0</v>
      </c>
      <c r="L66" s="310">
        <v>0</v>
      </c>
      <c r="M66" s="310">
        <v>-6398331.0475000003</v>
      </c>
      <c r="N66" s="310">
        <v>-6398331.0475000003</v>
      </c>
      <c r="O66" s="309" t="s">
        <v>155</v>
      </c>
      <c r="P66" s="310">
        <v>8.6245417669498642E-3</v>
      </c>
      <c r="Q66" s="310">
        <v>0.24676430249999992</v>
      </c>
      <c r="R66" s="310">
        <v>0</v>
      </c>
      <c r="S66" s="310">
        <v>0</v>
      </c>
      <c r="AE66" s="309">
        <v>43343</v>
      </c>
      <c r="AF66" s="309">
        <v>-2.4907040667841995E-3</v>
      </c>
      <c r="AG66" s="309" t="s">
        <v>286</v>
      </c>
    </row>
    <row r="67" spans="1:33">
      <c r="A67" s="351">
        <v>43312</v>
      </c>
      <c r="B67" t="s">
        <v>136</v>
      </c>
      <c r="C67" t="s">
        <v>97</v>
      </c>
      <c r="D67" s="127">
        <v>31420.67</v>
      </c>
      <c r="E67" s="127">
        <v>10545.292789509849</v>
      </c>
      <c r="F67" s="127">
        <v>0.02</v>
      </c>
      <c r="G67" s="127">
        <v>0</v>
      </c>
      <c r="H67" s="127">
        <v>0</v>
      </c>
      <c r="I67" s="127">
        <v>0</v>
      </c>
      <c r="J67" s="127">
        <v>2.9795919968439728</v>
      </c>
      <c r="K67" s="127">
        <v>0</v>
      </c>
      <c r="L67" s="127">
        <v>0</v>
      </c>
      <c r="M67" s="127">
        <v>0</v>
      </c>
      <c r="O67" t="s">
        <v>155</v>
      </c>
      <c r="P67" s="127">
        <v>0</v>
      </c>
      <c r="Q67" s="127">
        <v>0</v>
      </c>
      <c r="R67" s="127">
        <v>0</v>
      </c>
      <c r="S67" s="127">
        <v>0</v>
      </c>
      <c r="AE67">
        <v>43312</v>
      </c>
      <c r="AF67">
        <v>-4.9895133451115514E-3</v>
      </c>
      <c r="AG67" t="s">
        <v>286</v>
      </c>
    </row>
    <row r="68" spans="1:33" s="309" customFormat="1">
      <c r="A68" s="352">
        <v>43343</v>
      </c>
      <c r="B68" s="309" t="s">
        <v>136</v>
      </c>
      <c r="C68" s="309" t="s">
        <v>97</v>
      </c>
      <c r="D68" s="310">
        <v>31539.040000000001</v>
      </c>
      <c r="E68" s="310">
        <v>10585.019705183331</v>
      </c>
      <c r="F68" s="310">
        <v>0.02</v>
      </c>
      <c r="G68" s="310">
        <v>0</v>
      </c>
      <c r="H68" s="310">
        <v>0</v>
      </c>
      <c r="I68" s="310">
        <v>0</v>
      </c>
      <c r="J68" s="310">
        <v>2.9795919968439728</v>
      </c>
      <c r="K68" s="310">
        <v>0</v>
      </c>
      <c r="L68" s="310">
        <v>0</v>
      </c>
      <c r="M68" s="310">
        <v>-31539.040000000001</v>
      </c>
      <c r="O68" s="309" t="s">
        <v>155</v>
      </c>
      <c r="P68" s="310">
        <v>0</v>
      </c>
      <c r="Q68" s="310">
        <v>0</v>
      </c>
      <c r="R68" s="310">
        <v>0</v>
      </c>
      <c r="S68" s="310">
        <v>0</v>
      </c>
      <c r="AE68" s="309">
        <v>43343</v>
      </c>
      <c r="AF68" s="309">
        <v>3.7672653065641271E-3</v>
      </c>
      <c r="AG68" s="309" t="s">
        <v>286</v>
      </c>
    </row>
    <row r="69" spans="1:33">
      <c r="A69" s="351">
        <v>43312</v>
      </c>
      <c r="B69" t="s">
        <v>136</v>
      </c>
      <c r="C69" t="s">
        <v>43</v>
      </c>
      <c r="D69" s="127">
        <v>3752807.42</v>
      </c>
      <c r="E69" s="127">
        <v>1256631.6111495777</v>
      </c>
      <c r="F69" s="127">
        <v>2.5</v>
      </c>
      <c r="G69" s="127">
        <v>0</v>
      </c>
      <c r="H69" s="127">
        <v>0</v>
      </c>
      <c r="I69" s="127">
        <v>0</v>
      </c>
      <c r="J69" s="127">
        <v>2.9864022094485581</v>
      </c>
      <c r="K69" s="127">
        <v>0</v>
      </c>
      <c r="L69" s="127">
        <v>0</v>
      </c>
      <c r="M69" s="127">
        <v>0</v>
      </c>
      <c r="N69" s="127">
        <v>0</v>
      </c>
      <c r="O69" t="s">
        <v>155</v>
      </c>
      <c r="P69" s="127">
        <v>2.5360586024727599E-3</v>
      </c>
      <c r="Q69" s="127">
        <v>0.10157898</v>
      </c>
      <c r="R69" s="127">
        <v>0</v>
      </c>
      <c r="S69" s="127">
        <v>0</v>
      </c>
      <c r="AE69">
        <v>43312</v>
      </c>
      <c r="AF69">
        <v>-2.7885867167487532E-4</v>
      </c>
      <c r="AG69" t="s">
        <v>286</v>
      </c>
    </row>
    <row r="70" spans="1:33" s="309" customFormat="1">
      <c r="A70" s="352">
        <v>43343</v>
      </c>
      <c r="B70" s="309" t="s">
        <v>136</v>
      </c>
      <c r="C70" s="309" t="s">
        <v>43</v>
      </c>
      <c r="D70" s="310">
        <v>3764204.2803000002</v>
      </c>
      <c r="E70" s="310">
        <v>1260447.862109995</v>
      </c>
      <c r="F70" s="310">
        <v>2.5</v>
      </c>
      <c r="G70" s="310">
        <v>0</v>
      </c>
      <c r="H70" s="310">
        <v>0</v>
      </c>
      <c r="I70" s="310">
        <v>0</v>
      </c>
      <c r="J70" s="310">
        <v>2.9864022094485581</v>
      </c>
      <c r="K70" s="310">
        <v>0</v>
      </c>
      <c r="L70" s="310">
        <v>0</v>
      </c>
      <c r="M70" s="310">
        <v>-3764204.2803000002</v>
      </c>
      <c r="N70" s="310">
        <v>-3764204.2803000002</v>
      </c>
      <c r="O70" s="309" t="s">
        <v>155</v>
      </c>
      <c r="P70" s="310">
        <v>2.506010127982993E-3</v>
      </c>
      <c r="Q70" s="310">
        <v>0.10250304975000001</v>
      </c>
      <c r="R70" s="310">
        <v>0</v>
      </c>
      <c r="S70" s="310">
        <v>0</v>
      </c>
      <c r="AE70" s="309">
        <v>43343</v>
      </c>
      <c r="AF70" s="309">
        <v>3.0368891937440079E-3</v>
      </c>
      <c r="AG70" s="309" t="s">
        <v>286</v>
      </c>
    </row>
    <row r="71" spans="1:33">
      <c r="A71" s="351">
        <v>43312</v>
      </c>
      <c r="B71" t="s">
        <v>136</v>
      </c>
      <c r="C71" t="s">
        <v>172</v>
      </c>
      <c r="D71" s="127">
        <v>395121.07889534574</v>
      </c>
      <c r="E71" s="127">
        <v>46863.701019813081</v>
      </c>
      <c r="F71" s="127">
        <v>0.25</v>
      </c>
      <c r="G71" s="127">
        <v>0</v>
      </c>
      <c r="H71" s="127">
        <v>0</v>
      </c>
      <c r="I71" s="127">
        <v>0</v>
      </c>
      <c r="J71" s="127">
        <v>8.4312820007172729</v>
      </c>
      <c r="K71" s="127">
        <v>0</v>
      </c>
      <c r="L71" s="127">
        <v>0</v>
      </c>
      <c r="M71" s="127">
        <v>0</v>
      </c>
      <c r="N71" s="127">
        <v>0</v>
      </c>
      <c r="O71" t="s">
        <v>155</v>
      </c>
      <c r="P71" s="127">
        <v>0</v>
      </c>
      <c r="Q71" s="127">
        <v>0</v>
      </c>
      <c r="R71" s="127">
        <v>0</v>
      </c>
      <c r="S71" s="127">
        <v>0</v>
      </c>
      <c r="AE71">
        <v>43312</v>
      </c>
      <c r="AF71">
        <v>-4.3142847086740099E-3</v>
      </c>
      <c r="AG71" t="s">
        <v>286</v>
      </c>
    </row>
    <row r="72" spans="1:33" s="309" customFormat="1">
      <c r="A72" s="352">
        <v>43343</v>
      </c>
      <c r="B72" s="309" t="s">
        <v>136</v>
      </c>
      <c r="C72" s="309" t="s">
        <v>172</v>
      </c>
      <c r="D72" s="310">
        <v>396598.91</v>
      </c>
      <c r="E72" s="310">
        <v>47038.980544863778</v>
      </c>
      <c r="F72" s="310">
        <v>0.25</v>
      </c>
      <c r="G72" s="310">
        <v>0</v>
      </c>
      <c r="H72" s="310">
        <v>0</v>
      </c>
      <c r="I72" s="310">
        <v>0</v>
      </c>
      <c r="J72" s="310">
        <v>8.4312820007172729</v>
      </c>
      <c r="K72" s="310">
        <v>0</v>
      </c>
      <c r="L72" s="310">
        <v>0</v>
      </c>
      <c r="M72" s="310">
        <v>-396598.91</v>
      </c>
      <c r="N72" s="310">
        <v>-396598.91</v>
      </c>
      <c r="O72" s="309" t="s">
        <v>155</v>
      </c>
      <c r="P72" s="310">
        <v>0</v>
      </c>
      <c r="Q72" s="310">
        <v>0</v>
      </c>
      <c r="R72" s="310">
        <v>0</v>
      </c>
      <c r="S72" s="310">
        <v>0</v>
      </c>
      <c r="AE72" s="309">
        <v>43343</v>
      </c>
      <c r="AF72" s="309">
        <v>3.7401980901294873E-3</v>
      </c>
      <c r="AG72" s="309" t="s">
        <v>286</v>
      </c>
    </row>
    <row r="73" spans="1:33">
      <c r="A73" s="351">
        <v>43312</v>
      </c>
      <c r="B73" t="s">
        <v>136</v>
      </c>
      <c r="C73" t="s">
        <v>173</v>
      </c>
      <c r="D73" s="127">
        <v>2170940.3854999999</v>
      </c>
      <c r="E73" s="127">
        <v>252882.55128175116</v>
      </c>
      <c r="F73" s="127">
        <v>1.5</v>
      </c>
      <c r="G73" s="127">
        <v>0</v>
      </c>
      <c r="H73" s="127">
        <v>0</v>
      </c>
      <c r="I73" s="127">
        <v>0</v>
      </c>
      <c r="J73" s="127">
        <v>8.5847772987754656</v>
      </c>
      <c r="K73" s="127">
        <v>0</v>
      </c>
      <c r="L73" s="127">
        <v>0</v>
      </c>
      <c r="M73" s="127">
        <v>0</v>
      </c>
      <c r="N73" s="127">
        <v>0</v>
      </c>
      <c r="O73" t="s">
        <v>155</v>
      </c>
      <c r="P73" s="127">
        <v>3.0146054637560701E-3</v>
      </c>
      <c r="Q73" s="127">
        <v>0.1184012445</v>
      </c>
      <c r="R73" s="127">
        <v>0</v>
      </c>
      <c r="S73" s="127">
        <v>0</v>
      </c>
      <c r="AE73">
        <v>43312</v>
      </c>
      <c r="AF73">
        <v>4.579254335626004E-3</v>
      </c>
      <c r="AG73" t="s">
        <v>286</v>
      </c>
    </row>
    <row r="74" spans="1:33" s="309" customFormat="1">
      <c r="A74" s="352">
        <v>43343</v>
      </c>
      <c r="B74" s="309" t="s">
        <v>136</v>
      </c>
      <c r="C74" s="309" t="s">
        <v>173</v>
      </c>
      <c r="D74" s="310">
        <v>2175925.9925000002</v>
      </c>
      <c r="E74" s="310">
        <v>253463.30100029206</v>
      </c>
      <c r="F74" s="310">
        <v>1.5</v>
      </c>
      <c r="G74" s="310">
        <v>0</v>
      </c>
      <c r="H74" s="310">
        <v>0</v>
      </c>
      <c r="I74" s="310">
        <v>0</v>
      </c>
      <c r="J74" s="310">
        <v>8.5847772987754656</v>
      </c>
      <c r="K74" s="310">
        <v>0</v>
      </c>
      <c r="L74" s="310">
        <v>0</v>
      </c>
      <c r="M74" s="310">
        <v>-2175925.9925000002</v>
      </c>
      <c r="N74" s="310">
        <v>-2175925.9925000002</v>
      </c>
      <c r="O74" s="309" t="s">
        <v>155</v>
      </c>
      <c r="P74" s="310">
        <v>2.9789051976463242E-3</v>
      </c>
      <c r="Q74" s="310">
        <v>0.11928105749999997</v>
      </c>
      <c r="R74" s="310">
        <v>0</v>
      </c>
      <c r="S74" s="310">
        <v>0</v>
      </c>
      <c r="AE74" s="309">
        <v>43343</v>
      </c>
      <c r="AF74" s="309">
        <v>2.296519532871466E-3</v>
      </c>
      <c r="AG74" s="309" t="s">
        <v>286</v>
      </c>
    </row>
    <row r="75" spans="1:33">
      <c r="A75" s="351">
        <v>43312</v>
      </c>
      <c r="B75" t="s">
        <v>136</v>
      </c>
      <c r="C75" t="s">
        <v>174</v>
      </c>
      <c r="D75" s="127">
        <v>28205901.399</v>
      </c>
      <c r="E75" s="127">
        <v>2464020.9178113812</v>
      </c>
      <c r="F75" s="127">
        <v>21.05</v>
      </c>
      <c r="G75" s="127">
        <v>0</v>
      </c>
      <c r="H75" s="127">
        <v>0</v>
      </c>
      <c r="I75" s="127">
        <v>0</v>
      </c>
      <c r="J75" s="127">
        <v>11.447103064390113</v>
      </c>
      <c r="K75" s="127">
        <v>0</v>
      </c>
      <c r="L75" s="127">
        <v>0</v>
      </c>
      <c r="M75" s="127">
        <v>0</v>
      </c>
      <c r="N75" s="127">
        <v>0</v>
      </c>
      <c r="O75" t="s">
        <v>155</v>
      </c>
      <c r="P75" s="127">
        <v>3.8572022749483598E-2</v>
      </c>
      <c r="Q75" s="127">
        <v>1.0863355410000002</v>
      </c>
      <c r="R75" s="127">
        <v>0</v>
      </c>
      <c r="S75" s="127">
        <v>0</v>
      </c>
      <c r="AE75">
        <v>43312</v>
      </c>
      <c r="AF75">
        <v>4.5692114348276913E-3</v>
      </c>
      <c r="AG75" t="s">
        <v>286</v>
      </c>
    </row>
    <row r="76" spans="1:33" s="309" customFormat="1">
      <c r="A76" s="352">
        <v>43343</v>
      </c>
      <c r="B76" s="309" t="s">
        <v>136</v>
      </c>
      <c r="C76" s="309" t="s">
        <v>174</v>
      </c>
      <c r="D76" s="310">
        <v>28133464.467</v>
      </c>
      <c r="E76" s="310">
        <v>2457692.9471805114</v>
      </c>
      <c r="F76" s="310">
        <v>21.05</v>
      </c>
      <c r="G76" s="310">
        <v>0</v>
      </c>
      <c r="H76" s="310">
        <v>0</v>
      </c>
      <c r="I76" s="310">
        <v>0</v>
      </c>
      <c r="J76" s="310">
        <v>11.447103064390113</v>
      </c>
      <c r="K76" s="310">
        <v>0</v>
      </c>
      <c r="L76" s="310">
        <v>0</v>
      </c>
      <c r="M76" s="310">
        <v>-28133464.467</v>
      </c>
      <c r="N76" s="310">
        <v>-28133464.467</v>
      </c>
      <c r="O76" s="309" t="s">
        <v>155</v>
      </c>
      <c r="P76" s="310">
        <v>3.7907227044708815E-2</v>
      </c>
      <c r="Q76" s="310">
        <v>1.0735525529999999</v>
      </c>
      <c r="R76" s="310">
        <v>0</v>
      </c>
      <c r="S76" s="310">
        <v>0</v>
      </c>
      <c r="AE76" s="309">
        <v>43343</v>
      </c>
      <c r="AF76" s="309">
        <v>-2.5681480969287351E-3</v>
      </c>
      <c r="AG76" s="309" t="s">
        <v>286</v>
      </c>
    </row>
    <row r="77" spans="1:33">
      <c r="A77" s="351">
        <v>43312</v>
      </c>
      <c r="B77" t="s">
        <v>175</v>
      </c>
      <c r="C77" t="s">
        <v>176</v>
      </c>
      <c r="D77" s="127">
        <v>49522844.779199988</v>
      </c>
      <c r="E77" s="127">
        <v>9069685.3131306674</v>
      </c>
      <c r="F77" s="127">
        <v>93.427999999999997</v>
      </c>
      <c r="G77" s="127">
        <v>0</v>
      </c>
      <c r="I77" s="127">
        <v>0</v>
      </c>
      <c r="J77" s="127">
        <v>5.4602605348945374</v>
      </c>
      <c r="K77" s="127">
        <v>0</v>
      </c>
      <c r="L77" s="127">
        <v>0</v>
      </c>
      <c r="M77" s="127">
        <v>0</v>
      </c>
      <c r="N77" s="127">
        <v>0</v>
      </c>
      <c r="O77" t="s">
        <v>155</v>
      </c>
      <c r="P77" s="127" t="s">
        <v>281</v>
      </c>
      <c r="Q77" s="127">
        <v>1.2982873408</v>
      </c>
      <c r="R77" s="127">
        <v>0</v>
      </c>
      <c r="S77" s="127">
        <v>0</v>
      </c>
      <c r="AE77">
        <v>43312</v>
      </c>
      <c r="AF77">
        <v>-9.1669562511014213E-3</v>
      </c>
      <c r="AG77" t="s">
        <v>286</v>
      </c>
    </row>
    <row r="78" spans="1:33" s="309" customFormat="1">
      <c r="A78" s="352">
        <v>43343</v>
      </c>
      <c r="B78" s="309" t="s">
        <v>175</v>
      </c>
      <c r="C78" s="309" t="s">
        <v>176</v>
      </c>
      <c r="D78" s="310">
        <v>49124754.311699986</v>
      </c>
      <c r="E78" s="310">
        <v>8996778.4499954842</v>
      </c>
      <c r="F78" s="310">
        <v>93.427999999999997</v>
      </c>
      <c r="G78" s="310">
        <v>0</v>
      </c>
      <c r="I78" s="310">
        <v>0</v>
      </c>
      <c r="J78" s="310">
        <v>5.4602605348945374</v>
      </c>
      <c r="K78" s="310">
        <v>0</v>
      </c>
      <c r="L78" s="310">
        <v>0</v>
      </c>
      <c r="M78" s="310">
        <v>-49124754.311699986</v>
      </c>
      <c r="N78" s="310">
        <v>-49124754.311699986</v>
      </c>
      <c r="O78" s="309" t="s">
        <v>155</v>
      </c>
      <c r="P78" s="310">
        <v>5.5263651751024045E-2</v>
      </c>
      <c r="Q78" s="311">
        <v>1.2442093683000002</v>
      </c>
      <c r="R78" s="310">
        <v>0</v>
      </c>
      <c r="S78" s="310">
        <v>0</v>
      </c>
      <c r="AE78" s="309">
        <v>43343</v>
      </c>
      <c r="AF78" s="309">
        <v>-8.0385218029155325E-3</v>
      </c>
      <c r="AG78" s="309" t="s">
        <v>286</v>
      </c>
    </row>
    <row r="79" spans="1:33">
      <c r="A79" s="351">
        <v>43312</v>
      </c>
      <c r="B79" t="s">
        <v>175</v>
      </c>
      <c r="C79" t="s">
        <v>177</v>
      </c>
      <c r="D79" s="127">
        <v>69081661.950800002</v>
      </c>
      <c r="E79" s="127">
        <v>12651715.336534631</v>
      </c>
      <c r="F79" s="127">
        <v>93.427999999999997</v>
      </c>
      <c r="G79" s="127">
        <v>0</v>
      </c>
      <c r="I79" s="127">
        <v>0</v>
      </c>
      <c r="J79" s="127">
        <v>5.4602605348945374</v>
      </c>
      <c r="K79" s="127">
        <v>0</v>
      </c>
      <c r="L79" s="127">
        <v>0</v>
      </c>
      <c r="M79" s="127">
        <v>0</v>
      </c>
      <c r="O79" t="s">
        <v>155</v>
      </c>
      <c r="AC79">
        <v>118882223.47</v>
      </c>
      <c r="AD79">
        <v>0</v>
      </c>
      <c r="AE79">
        <v>43312</v>
      </c>
      <c r="AF79">
        <v>-8.94692851663903E-3</v>
      </c>
      <c r="AG79" t="s">
        <v>286</v>
      </c>
    </row>
    <row r="80" spans="1:33" s="309" customFormat="1">
      <c r="A80" s="352">
        <v>43343</v>
      </c>
      <c r="B80" s="309" t="s">
        <v>175</v>
      </c>
      <c r="C80" s="309" t="s">
        <v>177</v>
      </c>
      <c r="D80" s="310">
        <v>68289215.088300005</v>
      </c>
      <c r="E80" s="310">
        <v>12506585.473694613</v>
      </c>
      <c r="F80" s="310">
        <v>93.427999999999997</v>
      </c>
      <c r="G80" s="310">
        <v>0</v>
      </c>
      <c r="I80" s="310">
        <v>0</v>
      </c>
      <c r="J80" s="310">
        <v>5.4602605348945374</v>
      </c>
      <c r="K80" s="310">
        <v>0</v>
      </c>
      <c r="L80" s="310">
        <v>0</v>
      </c>
      <c r="M80" s="310">
        <v>-68289215.088300005</v>
      </c>
      <c r="O80" s="309" t="s">
        <v>155</v>
      </c>
      <c r="AC80" s="309">
        <v>118882223.47</v>
      </c>
      <c r="AD80" s="309">
        <v>0</v>
      </c>
      <c r="AE80" s="309">
        <v>43343</v>
      </c>
      <c r="AF80" s="309">
        <v>-1.1471160943759218E-2</v>
      </c>
      <c r="AG80" s="309" t="s">
        <v>286</v>
      </c>
    </row>
    <row r="81" spans="1:33">
      <c r="A81" s="351">
        <v>43312</v>
      </c>
      <c r="B81" t="s">
        <v>273</v>
      </c>
      <c r="C81" t="s">
        <v>275</v>
      </c>
      <c r="D81" s="127">
        <v>22352364.115999997</v>
      </c>
      <c r="E81" s="127">
        <v>22352364.115999997</v>
      </c>
      <c r="F81" s="127">
        <v>58.028849049999998</v>
      </c>
      <c r="G81" s="127">
        <v>0</v>
      </c>
      <c r="I81" s="127">
        <v>0</v>
      </c>
      <c r="J81" s="127">
        <v>1</v>
      </c>
      <c r="K81" s="127">
        <v>0</v>
      </c>
      <c r="L81" s="127">
        <v>0</v>
      </c>
      <c r="M81" s="127">
        <v>0</v>
      </c>
      <c r="N81" s="127">
        <v>0</v>
      </c>
      <c r="O81" t="s">
        <v>155</v>
      </c>
      <c r="P81" s="127">
        <v>3.2809851957345364E-2</v>
      </c>
      <c r="Q81" s="127">
        <v>6.5980440000000555E-3</v>
      </c>
      <c r="AE81">
        <v>43312</v>
      </c>
      <c r="AF81">
        <v>2.173744812862699E-3</v>
      </c>
      <c r="AG81" t="s">
        <v>286</v>
      </c>
    </row>
    <row r="82" spans="1:33" s="309" customFormat="1">
      <c r="A82" s="352">
        <v>43343</v>
      </c>
      <c r="B82" s="309" t="s">
        <v>273</v>
      </c>
      <c r="C82" s="309" t="s">
        <v>275</v>
      </c>
      <c r="D82" s="310">
        <v>39699484.424600005</v>
      </c>
      <c r="E82" s="310">
        <v>39699484.424600005</v>
      </c>
      <c r="F82" s="310">
        <v>58.028849049999998</v>
      </c>
      <c r="G82" s="310">
        <v>17399400.3271087</v>
      </c>
      <c r="I82" s="310">
        <v>0</v>
      </c>
      <c r="J82" s="310">
        <v>1</v>
      </c>
      <c r="K82" s="310">
        <v>17399400.3271087</v>
      </c>
      <c r="L82" s="310">
        <v>0</v>
      </c>
      <c r="M82" s="310">
        <v>-22300084.097491305</v>
      </c>
      <c r="N82" s="310">
        <v>-22300084.097491305</v>
      </c>
      <c r="O82" s="309" t="s">
        <v>155</v>
      </c>
      <c r="P82" s="311">
        <v>4.1999760981621483E-2</v>
      </c>
      <c r="Q82" s="311">
        <v>2.8518054718538314E-3</v>
      </c>
      <c r="AE82" s="309">
        <v>43343</v>
      </c>
      <c r="AF82" s="309">
        <v>-2.3389033140914783E-3</v>
      </c>
      <c r="AG82" s="309" t="s">
        <v>286</v>
      </c>
    </row>
    <row r="83" spans="1:33">
      <c r="A83" s="351">
        <v>43312</v>
      </c>
      <c r="B83" t="s">
        <v>273</v>
      </c>
      <c r="C83" t="s">
        <v>274</v>
      </c>
      <c r="D83" s="315">
        <v>7603.9139999999998</v>
      </c>
      <c r="E83" s="127">
        <v>7603.9139999999998</v>
      </c>
      <c r="F83" s="127">
        <v>1E-3</v>
      </c>
      <c r="G83" s="127">
        <v>0</v>
      </c>
      <c r="I83" s="127">
        <v>0</v>
      </c>
      <c r="J83" s="127">
        <v>1</v>
      </c>
      <c r="K83" s="127">
        <v>0</v>
      </c>
      <c r="L83" s="127">
        <v>0</v>
      </c>
      <c r="M83" s="127">
        <v>0</v>
      </c>
      <c r="O83" t="s">
        <v>155</v>
      </c>
      <c r="AE83">
        <v>43312</v>
      </c>
      <c r="AF83">
        <v>0.86172450425882863</v>
      </c>
      <c r="AG83" t="s">
        <v>286</v>
      </c>
    </row>
    <row r="84" spans="1:33" s="309" customFormat="1">
      <c r="A84" s="352">
        <v>43343</v>
      </c>
      <c r="B84" s="309" t="s">
        <v>273</v>
      </c>
      <c r="C84" s="309" t="s">
        <v>274</v>
      </c>
      <c r="D84" s="314">
        <v>4544.0754999999999</v>
      </c>
      <c r="E84" s="310">
        <v>4544.0754999999999</v>
      </c>
      <c r="F84" s="310">
        <v>1E-3</v>
      </c>
      <c r="G84" s="314">
        <v>599.70000000000005</v>
      </c>
      <c r="I84" s="310">
        <v>0</v>
      </c>
      <c r="J84" s="310">
        <v>1</v>
      </c>
      <c r="K84" s="310">
        <v>599.70000000000005</v>
      </c>
      <c r="L84" s="310">
        <v>0</v>
      </c>
      <c r="M84" s="310">
        <v>-3944.3755000000001</v>
      </c>
      <c r="O84" s="309" t="s">
        <v>155</v>
      </c>
      <c r="AE84" s="309">
        <v>43343</v>
      </c>
      <c r="AF84" s="309">
        <v>-0.48127036944394685</v>
      </c>
      <c r="AG84" s="309" t="s">
        <v>286</v>
      </c>
    </row>
    <row r="85" spans="1:33">
      <c r="A85" s="351">
        <v>43312</v>
      </c>
      <c r="B85" t="s">
        <v>188</v>
      </c>
      <c r="C85" t="s">
        <v>160</v>
      </c>
      <c r="D85" s="127">
        <v>310849.42700000003</v>
      </c>
      <c r="E85" s="127">
        <v>88053.818890008799</v>
      </c>
      <c r="F85" s="127">
        <v>20</v>
      </c>
      <c r="G85" s="127">
        <v>0</v>
      </c>
      <c r="H85" s="127">
        <v>0</v>
      </c>
      <c r="J85" s="127">
        <v>3.5302208458249069</v>
      </c>
      <c r="K85" s="127">
        <v>0</v>
      </c>
      <c r="L85" s="127">
        <v>0</v>
      </c>
      <c r="M85" s="127">
        <v>0</v>
      </c>
      <c r="N85" s="127">
        <v>0</v>
      </c>
      <c r="O85" t="s">
        <v>155</v>
      </c>
      <c r="P85" s="127">
        <v>0</v>
      </c>
      <c r="Q85" s="127">
        <v>0</v>
      </c>
      <c r="R85" s="127">
        <v>0</v>
      </c>
      <c r="S85" s="127">
        <v>0</v>
      </c>
      <c r="T85" t="s">
        <v>0</v>
      </c>
      <c r="U85" s="127">
        <v>0.23313756299999999</v>
      </c>
      <c r="V85" t="s">
        <v>15</v>
      </c>
      <c r="W85" s="127">
        <v>7.7711863999999992E-2</v>
      </c>
      <c r="AE85">
        <v>43312</v>
      </c>
      <c r="AF85">
        <v>6.2154904837767866E-3</v>
      </c>
      <c r="AG85" t="s">
        <v>286</v>
      </c>
    </row>
    <row r="86" spans="1:33" s="309" customFormat="1">
      <c r="A86" s="352">
        <v>43343</v>
      </c>
      <c r="B86" s="309" t="s">
        <v>188</v>
      </c>
      <c r="C86" s="309" t="s">
        <v>160</v>
      </c>
      <c r="D86" s="310">
        <v>309211.40000000002</v>
      </c>
      <c r="E86" s="310">
        <v>87589.817607500576</v>
      </c>
      <c r="F86" s="310">
        <v>20</v>
      </c>
      <c r="G86" s="310">
        <v>0</v>
      </c>
      <c r="H86" s="310">
        <v>0</v>
      </c>
      <c r="J86" s="310">
        <v>3.5302208458249069</v>
      </c>
      <c r="K86" s="310">
        <v>0</v>
      </c>
      <c r="L86" s="310">
        <v>0</v>
      </c>
      <c r="M86" s="310">
        <v>-309211.40000000002</v>
      </c>
      <c r="N86" s="310">
        <v>-309211.40000000002</v>
      </c>
      <c r="O86" s="309" t="s">
        <v>155</v>
      </c>
      <c r="P86" s="310">
        <v>0</v>
      </c>
      <c r="Q86" s="310">
        <v>0</v>
      </c>
      <c r="R86" s="310">
        <v>0</v>
      </c>
      <c r="S86" s="310">
        <v>0</v>
      </c>
      <c r="T86" s="309" t="s">
        <v>0</v>
      </c>
      <c r="U86" s="310">
        <v>0.23190904000000001</v>
      </c>
      <c r="V86" s="309" t="s">
        <v>15</v>
      </c>
      <c r="W86" s="310">
        <v>7.7302360000000001E-2</v>
      </c>
      <c r="AE86" s="309">
        <v>43343</v>
      </c>
      <c r="AF86" s="309">
        <v>-5.2695191231605376E-3</v>
      </c>
      <c r="AG86" s="309" t="s">
        <v>286</v>
      </c>
    </row>
    <row r="87" spans="1:33">
      <c r="A87" s="351">
        <v>43312</v>
      </c>
      <c r="B87" t="s">
        <v>188</v>
      </c>
      <c r="C87" t="s">
        <v>71</v>
      </c>
      <c r="D87" s="127">
        <v>671560.21440000006</v>
      </c>
      <c r="E87" s="127">
        <v>214033.66685986103</v>
      </c>
      <c r="F87" s="127">
        <v>0.33700000000000002</v>
      </c>
      <c r="G87" s="127">
        <v>0</v>
      </c>
      <c r="H87" s="127">
        <v>0</v>
      </c>
      <c r="J87" s="127">
        <v>3.1376382241757574</v>
      </c>
      <c r="K87" s="127">
        <v>0</v>
      </c>
      <c r="L87" s="127">
        <v>0</v>
      </c>
      <c r="M87" s="127">
        <v>0</v>
      </c>
      <c r="O87" t="s">
        <v>155</v>
      </c>
      <c r="P87" s="127">
        <v>0</v>
      </c>
      <c r="Q87" s="127">
        <v>0</v>
      </c>
      <c r="R87" s="127">
        <v>0</v>
      </c>
      <c r="S87" s="127">
        <v>0</v>
      </c>
      <c r="AE87">
        <v>43312</v>
      </c>
      <c r="AF87">
        <v>4.2793897461359531E-3</v>
      </c>
      <c r="AG87" t="s">
        <v>286</v>
      </c>
    </row>
    <row r="88" spans="1:33" s="309" customFormat="1">
      <c r="A88" s="352">
        <v>43343</v>
      </c>
      <c r="B88" s="309" t="s">
        <v>188</v>
      </c>
      <c r="C88" s="309" t="s">
        <v>71</v>
      </c>
      <c r="D88" s="310">
        <v>669177.91859999998</v>
      </c>
      <c r="E88" s="310">
        <v>213274.40284349219</v>
      </c>
      <c r="F88" s="310">
        <v>0.33700000000000002</v>
      </c>
      <c r="G88" s="310">
        <v>0</v>
      </c>
      <c r="H88" s="310">
        <v>0</v>
      </c>
      <c r="J88" s="310">
        <v>3.1376382241757574</v>
      </c>
      <c r="K88" s="310">
        <v>0</v>
      </c>
      <c r="L88" s="310">
        <v>0</v>
      </c>
      <c r="M88" s="310">
        <v>-669177.91859999998</v>
      </c>
      <c r="O88" s="309" t="s">
        <v>155</v>
      </c>
      <c r="P88" s="310">
        <v>0</v>
      </c>
      <c r="Q88" s="310">
        <v>0</v>
      </c>
      <c r="R88" s="310">
        <v>0</v>
      </c>
      <c r="S88" s="310">
        <v>0</v>
      </c>
      <c r="AE88" s="309">
        <v>43343</v>
      </c>
      <c r="AF88" s="309">
        <v>-3.5474046093223466E-3</v>
      </c>
      <c r="AG88" s="309" t="s">
        <v>286</v>
      </c>
    </row>
    <row r="89" spans="1:33">
      <c r="A89" s="351">
        <v>43312</v>
      </c>
      <c r="B89" t="s">
        <v>188</v>
      </c>
      <c r="C89" t="s">
        <v>65</v>
      </c>
      <c r="D89" s="127">
        <v>3061488.2625000002</v>
      </c>
      <c r="E89" s="127">
        <v>835003.68613410858</v>
      </c>
      <c r="F89" s="127">
        <v>166</v>
      </c>
      <c r="G89" s="127">
        <v>0</v>
      </c>
      <c r="H89" s="127">
        <v>0</v>
      </c>
      <c r="J89" s="127">
        <v>3.6664368233798426</v>
      </c>
      <c r="K89" s="127">
        <v>0</v>
      </c>
      <c r="L89" s="127">
        <v>0</v>
      </c>
      <c r="M89" s="127">
        <v>0</v>
      </c>
      <c r="N89" s="127">
        <v>0</v>
      </c>
      <c r="O89" t="s">
        <v>155</v>
      </c>
      <c r="P89" s="127">
        <v>0</v>
      </c>
      <c r="Q89" s="127">
        <v>0.54026263455000001</v>
      </c>
      <c r="R89" s="127">
        <v>0</v>
      </c>
      <c r="S89" s="127">
        <v>0</v>
      </c>
      <c r="AE89">
        <v>43312</v>
      </c>
      <c r="AF89">
        <v>4.4445330135085559E-3</v>
      </c>
      <c r="AG89" t="s">
        <v>286</v>
      </c>
    </row>
    <row r="90" spans="1:33" s="309" customFormat="1">
      <c r="A90" s="352">
        <v>43343</v>
      </c>
      <c r="B90" s="309" t="s">
        <v>188</v>
      </c>
      <c r="C90" s="309" t="s">
        <v>65</v>
      </c>
      <c r="D90" s="310">
        <v>3049931.92</v>
      </c>
      <c r="E90" s="310">
        <v>831851.75878428796</v>
      </c>
      <c r="F90" s="310">
        <v>166</v>
      </c>
      <c r="G90" s="310">
        <v>0</v>
      </c>
      <c r="H90" s="310">
        <v>0</v>
      </c>
      <c r="J90" s="310">
        <v>3.6664368233798426</v>
      </c>
      <c r="K90" s="310">
        <v>0</v>
      </c>
      <c r="L90" s="310">
        <v>0</v>
      </c>
      <c r="M90" s="310">
        <v>-3049931.92</v>
      </c>
      <c r="N90" s="310">
        <v>-3049931.92</v>
      </c>
      <c r="O90" s="309" t="s">
        <v>155</v>
      </c>
      <c r="P90" s="310">
        <v>0</v>
      </c>
      <c r="Q90" s="310">
        <v>0.53822328000000008</v>
      </c>
      <c r="R90" s="310">
        <v>0</v>
      </c>
      <c r="S90" s="310">
        <v>0</v>
      </c>
      <c r="AE90" s="309">
        <v>43343</v>
      </c>
      <c r="AF90" s="309">
        <v>-3.7747466294589804E-3</v>
      </c>
      <c r="AG90" s="309" t="s">
        <v>286</v>
      </c>
    </row>
    <row r="91" spans="1:33">
      <c r="A91" s="351">
        <v>43312</v>
      </c>
      <c r="B91" t="s">
        <v>188</v>
      </c>
      <c r="C91" t="s">
        <v>66</v>
      </c>
      <c r="D91" s="127">
        <v>21876.749599999999</v>
      </c>
      <c r="E91" s="127">
        <v>5779.296569682916</v>
      </c>
      <c r="F91" s="127">
        <v>2.5</v>
      </c>
      <c r="G91" s="127">
        <v>0</v>
      </c>
      <c r="H91" s="127">
        <v>0</v>
      </c>
      <c r="J91" s="127">
        <v>3.7853654568898993</v>
      </c>
      <c r="K91" s="127">
        <v>0</v>
      </c>
      <c r="L91" s="127">
        <v>0</v>
      </c>
      <c r="M91" s="127">
        <v>0</v>
      </c>
      <c r="N91" s="127">
        <v>0</v>
      </c>
      <c r="O91" t="s">
        <v>155</v>
      </c>
      <c r="P91" s="127">
        <v>0</v>
      </c>
      <c r="Q91" s="127">
        <v>5.4691874000000005E-3</v>
      </c>
      <c r="R91" s="127">
        <v>0</v>
      </c>
      <c r="S91" s="127">
        <v>0</v>
      </c>
      <c r="AE91">
        <v>43312</v>
      </c>
      <c r="AF91">
        <v>8.8547815384978357E-3</v>
      </c>
      <c r="AG91" t="s">
        <v>286</v>
      </c>
    </row>
    <row r="92" spans="1:33" s="309" customFormat="1">
      <c r="A92" s="352">
        <v>43343</v>
      </c>
      <c r="B92" s="309" t="s">
        <v>188</v>
      </c>
      <c r="C92" s="309" t="s">
        <v>66</v>
      </c>
      <c r="D92" s="310">
        <v>21712.946400000001</v>
      </c>
      <c r="E92" s="310">
        <v>5736.0238125698997</v>
      </c>
      <c r="F92" s="310">
        <v>2.5</v>
      </c>
      <c r="G92" s="310">
        <v>0</v>
      </c>
      <c r="H92" s="310">
        <v>0</v>
      </c>
      <c r="J92" s="310">
        <v>3.7853654568898993</v>
      </c>
      <c r="K92" s="310">
        <v>0</v>
      </c>
      <c r="L92" s="310">
        <v>0</v>
      </c>
      <c r="M92" s="310">
        <v>-21712.946400000001</v>
      </c>
      <c r="N92" s="310">
        <v>-21712.946400000001</v>
      </c>
      <c r="O92" s="309" t="s">
        <v>155</v>
      </c>
      <c r="P92" s="310">
        <v>0</v>
      </c>
      <c r="Q92" s="310">
        <v>5.4282366000000006E-3</v>
      </c>
      <c r="R92" s="310">
        <v>0</v>
      </c>
      <c r="S92" s="310">
        <v>0</v>
      </c>
      <c r="AE92" s="309">
        <v>43343</v>
      </c>
      <c r="AF92" s="309">
        <v>-7.4875474188358382E-3</v>
      </c>
      <c r="AG92" s="309" t="s">
        <v>286</v>
      </c>
    </row>
    <row r="93" spans="1:33">
      <c r="A93" s="351">
        <v>43312</v>
      </c>
      <c r="B93" t="s">
        <v>188</v>
      </c>
      <c r="C93" t="s">
        <v>67</v>
      </c>
      <c r="D93" s="127">
        <v>482360.74560000002</v>
      </c>
      <c r="E93" s="127">
        <v>130207.46099677515</v>
      </c>
      <c r="F93" s="127">
        <v>21.6</v>
      </c>
      <c r="G93" s="127">
        <v>0</v>
      </c>
      <c r="H93" s="127">
        <v>0</v>
      </c>
      <c r="J93" s="127">
        <v>3.7045553450423756</v>
      </c>
      <c r="K93" s="127">
        <v>0</v>
      </c>
      <c r="L93" s="127">
        <v>0</v>
      </c>
      <c r="M93" s="127">
        <v>0</v>
      </c>
      <c r="N93" s="127">
        <v>0</v>
      </c>
      <c r="O93" t="s">
        <v>155</v>
      </c>
      <c r="P93" s="127">
        <v>0</v>
      </c>
      <c r="Q93" s="127">
        <v>0.12059018640000001</v>
      </c>
      <c r="R93" s="127">
        <v>0</v>
      </c>
      <c r="S93" s="127">
        <v>0</v>
      </c>
      <c r="AE93">
        <v>43312</v>
      </c>
      <c r="AF93">
        <v>3.2501994974789561E-3</v>
      </c>
      <c r="AG93" t="s">
        <v>286</v>
      </c>
    </row>
    <row r="94" spans="1:33" s="309" customFormat="1">
      <c r="A94" s="352">
        <v>43343</v>
      </c>
      <c r="B94" s="309" t="s">
        <v>188</v>
      </c>
      <c r="C94" s="309" t="s">
        <v>67</v>
      </c>
      <c r="D94" s="310">
        <v>481263.20799999998</v>
      </c>
      <c r="E94" s="310">
        <v>129911.19396935205</v>
      </c>
      <c r="F94" s="310">
        <v>21.6</v>
      </c>
      <c r="G94" s="310">
        <v>0</v>
      </c>
      <c r="H94" s="310">
        <v>0</v>
      </c>
      <c r="J94" s="310">
        <v>3.7045553450423756</v>
      </c>
      <c r="K94" s="310">
        <v>0</v>
      </c>
      <c r="L94" s="310">
        <v>0</v>
      </c>
      <c r="M94" s="310">
        <v>-481263.20799999998</v>
      </c>
      <c r="N94" s="310">
        <v>-481263.20799999998</v>
      </c>
      <c r="O94" s="309" t="s">
        <v>155</v>
      </c>
      <c r="P94" s="310">
        <v>0</v>
      </c>
      <c r="Q94" s="310">
        <v>0.12031580200000001</v>
      </c>
      <c r="R94" s="310">
        <v>0</v>
      </c>
      <c r="S94" s="310">
        <v>0</v>
      </c>
      <c r="AE94" s="309">
        <v>43343</v>
      </c>
      <c r="AF94" s="309">
        <v>-2.2753460143918325E-3</v>
      </c>
      <c r="AG94" s="309" t="s">
        <v>286</v>
      </c>
    </row>
    <row r="95" spans="1:33">
      <c r="A95" s="351">
        <v>43312</v>
      </c>
      <c r="B95" t="s">
        <v>189</v>
      </c>
      <c r="C95" t="s">
        <v>161</v>
      </c>
      <c r="D95" s="127">
        <v>1484989.844</v>
      </c>
      <c r="E95" s="127">
        <v>312506.55816205259</v>
      </c>
      <c r="F95" s="127">
        <v>20</v>
      </c>
      <c r="G95" s="127">
        <v>0</v>
      </c>
      <c r="H95" s="127">
        <v>0</v>
      </c>
      <c r="I95" s="127">
        <v>0</v>
      </c>
      <c r="J95" s="127">
        <v>4.7518677775393998</v>
      </c>
      <c r="K95" s="127">
        <v>0</v>
      </c>
      <c r="L95" s="127">
        <v>0</v>
      </c>
      <c r="M95" s="127">
        <v>0</v>
      </c>
      <c r="N95" s="127">
        <v>0</v>
      </c>
      <c r="O95" t="s">
        <v>155</v>
      </c>
      <c r="P95" s="127">
        <v>0</v>
      </c>
      <c r="Q95" s="127">
        <v>0</v>
      </c>
      <c r="R95" s="127">
        <v>0</v>
      </c>
      <c r="S95" s="127">
        <v>0</v>
      </c>
      <c r="T95" t="s">
        <v>0</v>
      </c>
      <c r="U95" s="127">
        <v>0.742494922</v>
      </c>
      <c r="V95" t="s">
        <v>15</v>
      </c>
      <c r="W95" s="127">
        <v>0.742494922</v>
      </c>
      <c r="AB95">
        <v>2164194.4279999998</v>
      </c>
      <c r="AE95">
        <v>43312</v>
      </c>
      <c r="AF95">
        <v>-4.4418261346119703E-3</v>
      </c>
      <c r="AG95" t="s">
        <v>286</v>
      </c>
    </row>
    <row r="96" spans="1:33" s="309" customFormat="1">
      <c r="A96" s="352">
        <v>43343</v>
      </c>
      <c r="B96" s="309" t="s">
        <v>189</v>
      </c>
      <c r="C96" s="309" t="s">
        <v>161</v>
      </c>
      <c r="D96" s="310">
        <v>1479671.04</v>
      </c>
      <c r="E96" s="310">
        <v>311387.25008173514</v>
      </c>
      <c r="F96" s="310">
        <v>20</v>
      </c>
      <c r="G96" s="310">
        <v>0</v>
      </c>
      <c r="H96" s="310">
        <v>0</v>
      </c>
      <c r="I96" s="310">
        <v>0</v>
      </c>
      <c r="J96" s="310">
        <v>4.7518677775393998</v>
      </c>
      <c r="K96" s="310">
        <v>0</v>
      </c>
      <c r="L96" s="310">
        <v>0</v>
      </c>
      <c r="M96" s="310">
        <v>-1479671.04</v>
      </c>
      <c r="N96" s="310">
        <v>-1479671.04</v>
      </c>
      <c r="O96" s="309" t="s">
        <v>155</v>
      </c>
      <c r="P96" s="310">
        <v>0</v>
      </c>
      <c r="Q96" s="310">
        <v>0</v>
      </c>
      <c r="R96" s="310">
        <v>0</v>
      </c>
      <c r="S96" s="310">
        <v>0</v>
      </c>
      <c r="T96" s="309" t="s">
        <v>0</v>
      </c>
      <c r="U96" s="310">
        <v>0.73983551999999997</v>
      </c>
      <c r="V96" s="309" t="s">
        <v>15</v>
      </c>
      <c r="W96" s="310">
        <v>0.73983551999999997</v>
      </c>
      <c r="AB96" s="309">
        <v>2164194.4279999998</v>
      </c>
      <c r="AE96" s="309">
        <v>43343</v>
      </c>
      <c r="AF96" s="309">
        <v>-3.5817106908105911E-3</v>
      </c>
      <c r="AG96" s="309" t="s">
        <v>286</v>
      </c>
    </row>
    <row r="97" spans="1:33">
      <c r="A97" s="351">
        <v>43312</v>
      </c>
      <c r="B97" t="s">
        <v>189</v>
      </c>
      <c r="C97" t="s">
        <v>76</v>
      </c>
      <c r="D97" s="127">
        <v>400774.04690000002</v>
      </c>
      <c r="E97" s="127">
        <v>170942.58986334031</v>
      </c>
      <c r="F97" s="127">
        <v>0.28000000000000003</v>
      </c>
      <c r="G97" s="127">
        <v>0</v>
      </c>
      <c r="H97" s="127">
        <v>0</v>
      </c>
      <c r="I97" s="127">
        <v>0</v>
      </c>
      <c r="J97" s="127">
        <v>2.3444949981183623</v>
      </c>
      <c r="K97" s="127">
        <v>0</v>
      </c>
      <c r="L97" s="127">
        <v>0</v>
      </c>
      <c r="M97" s="127">
        <v>0</v>
      </c>
      <c r="O97" t="s">
        <v>155</v>
      </c>
      <c r="P97" s="127">
        <v>0</v>
      </c>
      <c r="Q97" s="127">
        <v>0</v>
      </c>
      <c r="R97" s="127">
        <v>0</v>
      </c>
      <c r="S97" s="127">
        <v>0</v>
      </c>
      <c r="AE97">
        <v>43312</v>
      </c>
      <c r="AF97">
        <v>-2.4733377860739147E-2</v>
      </c>
      <c r="AG97" t="s">
        <v>286</v>
      </c>
    </row>
    <row r="98" spans="1:33" s="309" customFormat="1">
      <c r="A98" s="352">
        <v>43343</v>
      </c>
      <c r="B98" s="309" t="s">
        <v>189</v>
      </c>
      <c r="C98" s="309" t="s">
        <v>76</v>
      </c>
      <c r="D98" s="310">
        <v>392029.68790000002</v>
      </c>
      <c r="E98" s="310">
        <v>167212.84891400239</v>
      </c>
      <c r="F98" s="310">
        <v>0.28000000000000003</v>
      </c>
      <c r="G98" s="310">
        <v>0</v>
      </c>
      <c r="H98" s="310">
        <v>0</v>
      </c>
      <c r="I98" s="310">
        <v>0</v>
      </c>
      <c r="J98" s="310">
        <v>2.3444949981183623</v>
      </c>
      <c r="K98" s="310">
        <v>0</v>
      </c>
      <c r="L98" s="310">
        <v>0</v>
      </c>
      <c r="M98" s="310">
        <v>-392029.68790000002</v>
      </c>
      <c r="O98" s="309" t="s">
        <v>155</v>
      </c>
      <c r="P98" s="310">
        <v>0</v>
      </c>
      <c r="Q98" s="310">
        <v>0</v>
      </c>
      <c r="R98" s="310">
        <v>0</v>
      </c>
      <c r="S98" s="310">
        <v>0</v>
      </c>
      <c r="AE98" s="309">
        <v>43343</v>
      </c>
      <c r="AF98" s="309">
        <v>-2.1818675804079368E-2</v>
      </c>
      <c r="AG98" s="309" t="s">
        <v>286</v>
      </c>
    </row>
    <row r="99" spans="1:33">
      <c r="A99" s="351">
        <v>43312</v>
      </c>
      <c r="B99" t="s">
        <v>189</v>
      </c>
      <c r="C99" t="s">
        <v>72</v>
      </c>
      <c r="D99" s="127">
        <v>7199775.2790000001</v>
      </c>
      <c r="E99" s="127">
        <v>1436510.3248247535</v>
      </c>
      <c r="F99" s="127">
        <v>107.2</v>
      </c>
      <c r="G99" s="127">
        <v>0</v>
      </c>
      <c r="H99" s="127">
        <v>0</v>
      </c>
      <c r="I99" s="127">
        <v>0</v>
      </c>
      <c r="J99" s="127">
        <v>5.0119899276591235</v>
      </c>
      <c r="K99" s="127">
        <v>0</v>
      </c>
      <c r="L99" s="127">
        <v>0</v>
      </c>
      <c r="M99" s="127">
        <v>0</v>
      </c>
      <c r="N99" s="127">
        <v>0</v>
      </c>
      <c r="O99" t="s">
        <v>155</v>
      </c>
      <c r="P99" s="127">
        <v>0</v>
      </c>
      <c r="Q99" s="127">
        <v>0</v>
      </c>
      <c r="R99" s="127">
        <v>0</v>
      </c>
      <c r="S99" s="127">
        <v>0</v>
      </c>
      <c r="AE99">
        <v>43312</v>
      </c>
      <c r="AF99">
        <v>-4.9087175105408942E-3</v>
      </c>
      <c r="AG99" t="s">
        <v>286</v>
      </c>
    </row>
    <row r="100" spans="1:33" s="309" customFormat="1">
      <c r="A100" s="352">
        <v>43343</v>
      </c>
      <c r="B100" s="309" t="s">
        <v>189</v>
      </c>
      <c r="C100" s="309" t="s">
        <v>72</v>
      </c>
      <c r="D100" s="310">
        <v>7171311.2300000004</v>
      </c>
      <c r="E100" s="310">
        <v>1430831.1336430397</v>
      </c>
      <c r="F100" s="310">
        <v>107.2</v>
      </c>
      <c r="G100" s="310">
        <v>0</v>
      </c>
      <c r="H100" s="310">
        <v>0</v>
      </c>
      <c r="I100" s="310">
        <v>0</v>
      </c>
      <c r="J100" s="310">
        <v>5.0119899276591235</v>
      </c>
      <c r="K100" s="310">
        <v>0</v>
      </c>
      <c r="L100" s="310">
        <v>0</v>
      </c>
      <c r="M100" s="310">
        <v>-7171311.2300000004</v>
      </c>
      <c r="N100" s="310">
        <v>-7171311.2300000004</v>
      </c>
      <c r="O100" s="309" t="s">
        <v>155</v>
      </c>
      <c r="P100" s="310">
        <v>0</v>
      </c>
      <c r="Q100" s="310">
        <v>0</v>
      </c>
      <c r="R100" s="310">
        <v>0</v>
      </c>
      <c r="S100" s="310">
        <v>0</v>
      </c>
      <c r="AE100" s="309">
        <v>43343</v>
      </c>
      <c r="AF100" s="309">
        <v>-3.953463531427448E-3</v>
      </c>
      <c r="AG100" s="309" t="s">
        <v>286</v>
      </c>
    </row>
    <row r="101" spans="1:33">
      <c r="A101" s="351">
        <v>43312</v>
      </c>
      <c r="B101" t="s">
        <v>189</v>
      </c>
      <c r="C101" t="s">
        <v>73</v>
      </c>
      <c r="D101" s="127">
        <v>8940535.7721999995</v>
      </c>
      <c r="E101" s="127">
        <v>1056418.4155058395</v>
      </c>
      <c r="F101" s="127">
        <v>125</v>
      </c>
      <c r="G101" s="127">
        <v>0</v>
      </c>
      <c r="H101" s="127">
        <v>0</v>
      </c>
      <c r="I101" s="127">
        <v>0</v>
      </c>
      <c r="J101" s="127">
        <v>8.4630631584731013</v>
      </c>
      <c r="K101" s="127">
        <v>0</v>
      </c>
      <c r="L101" s="127">
        <v>0</v>
      </c>
      <c r="M101" s="127">
        <v>0</v>
      </c>
      <c r="N101" s="127">
        <v>0</v>
      </c>
      <c r="O101" t="s">
        <v>155</v>
      </c>
      <c r="P101" s="127">
        <v>0</v>
      </c>
      <c r="Q101" s="127">
        <v>0.3742958507710179</v>
      </c>
      <c r="R101" s="127">
        <v>0</v>
      </c>
      <c r="S101" s="127">
        <v>0</v>
      </c>
      <c r="AE101">
        <v>43312</v>
      </c>
      <c r="AF101">
        <v>-3.6357726355743525E-3</v>
      </c>
      <c r="AG101" t="s">
        <v>286</v>
      </c>
    </row>
    <row r="102" spans="1:33" s="309" customFormat="1">
      <c r="A102" s="352">
        <v>43343</v>
      </c>
      <c r="B102" s="309" t="s">
        <v>189</v>
      </c>
      <c r="C102" s="309" t="s">
        <v>73</v>
      </c>
      <c r="D102" s="310">
        <v>8914384.2567999996</v>
      </c>
      <c r="E102" s="310">
        <v>1053328.338673101</v>
      </c>
      <c r="F102" s="310">
        <v>125</v>
      </c>
      <c r="G102" s="310">
        <v>0</v>
      </c>
      <c r="H102" s="310">
        <v>0</v>
      </c>
      <c r="I102" s="310">
        <v>0</v>
      </c>
      <c r="J102" s="310">
        <v>8.4630631584731013</v>
      </c>
      <c r="K102" s="310">
        <v>0</v>
      </c>
      <c r="L102" s="310">
        <v>0</v>
      </c>
      <c r="M102" s="310">
        <v>-8914384.2567999996</v>
      </c>
      <c r="N102" s="310">
        <v>-8914384.2567999996</v>
      </c>
      <c r="O102" s="309" t="s">
        <v>155</v>
      </c>
      <c r="P102" s="310">
        <v>0</v>
      </c>
      <c r="Q102" s="310">
        <v>0.36667664615378581</v>
      </c>
      <c r="R102" s="310">
        <v>0</v>
      </c>
      <c r="S102" s="310">
        <v>0</v>
      </c>
      <c r="AE102" s="309">
        <v>43343</v>
      </c>
      <c r="AF102" s="309">
        <v>-2.9250501386411942E-3</v>
      </c>
      <c r="AG102" s="309" t="s">
        <v>286</v>
      </c>
    </row>
    <row r="103" spans="1:33">
      <c r="A103" s="351">
        <v>43312</v>
      </c>
      <c r="B103" t="s">
        <v>189</v>
      </c>
      <c r="C103" t="s">
        <v>74</v>
      </c>
      <c r="D103" s="127">
        <v>800787.73289999994</v>
      </c>
      <c r="E103" s="127">
        <v>96023.419221099975</v>
      </c>
      <c r="F103" s="127">
        <v>12</v>
      </c>
      <c r="G103" s="127">
        <v>0</v>
      </c>
      <c r="H103" s="127">
        <v>0</v>
      </c>
      <c r="I103" s="127">
        <v>0</v>
      </c>
      <c r="J103" s="127">
        <v>8.3395044604289268</v>
      </c>
      <c r="K103" s="127">
        <v>0</v>
      </c>
      <c r="L103" s="127">
        <v>0</v>
      </c>
      <c r="M103" s="127">
        <v>0</v>
      </c>
      <c r="N103" s="127">
        <v>0</v>
      </c>
      <c r="O103" t="s">
        <v>155</v>
      </c>
      <c r="P103" s="127">
        <v>0</v>
      </c>
      <c r="Q103" s="127">
        <v>5.688323101793998E-3</v>
      </c>
      <c r="R103" s="127">
        <v>0</v>
      </c>
      <c r="S103" s="127">
        <v>0</v>
      </c>
      <c r="AE103">
        <v>43312</v>
      </c>
      <c r="AF103">
        <v>-3.447101281233711E-3</v>
      </c>
      <c r="AG103" t="s">
        <v>286</v>
      </c>
    </row>
    <row r="104" spans="1:33" s="309" customFormat="1">
      <c r="A104" s="352">
        <v>43343</v>
      </c>
      <c r="B104" s="309" t="s">
        <v>189</v>
      </c>
      <c r="C104" s="309" t="s">
        <v>74</v>
      </c>
      <c r="D104" s="310">
        <v>798600.94819999998</v>
      </c>
      <c r="E104" s="310">
        <v>95761.199240239439</v>
      </c>
      <c r="F104" s="310">
        <v>12</v>
      </c>
      <c r="G104" s="310">
        <v>0</v>
      </c>
      <c r="H104" s="310">
        <v>0</v>
      </c>
      <c r="I104" s="310">
        <v>0</v>
      </c>
      <c r="J104" s="310">
        <v>8.3395044604289268</v>
      </c>
      <c r="K104" s="310">
        <v>0</v>
      </c>
      <c r="L104" s="310">
        <v>0</v>
      </c>
      <c r="M104" s="310">
        <v>-798600.94819999998</v>
      </c>
      <c r="N104" s="310">
        <v>-798600.94819999998</v>
      </c>
      <c r="O104" s="309" t="s">
        <v>155</v>
      </c>
      <c r="P104" s="310">
        <v>0</v>
      </c>
      <c r="Q104" s="311">
        <v>4.6376317643694346E-3</v>
      </c>
      <c r="R104" s="310">
        <v>0</v>
      </c>
      <c r="S104" s="310">
        <v>0</v>
      </c>
      <c r="AE104" s="309">
        <v>43343</v>
      </c>
      <c r="AF104" s="309">
        <v>-2.7307919566658123E-3</v>
      </c>
      <c r="AG104" s="309" t="s">
        <v>286</v>
      </c>
    </row>
    <row r="105" spans="1:33">
      <c r="A105" s="351">
        <v>43312</v>
      </c>
      <c r="B105" t="s">
        <v>189</v>
      </c>
      <c r="C105" t="s">
        <v>77</v>
      </c>
      <c r="D105" s="127">
        <v>16744.148000000001</v>
      </c>
      <c r="E105" s="127">
        <v>1959.4970905791804</v>
      </c>
      <c r="F105" s="127">
        <v>0.2084</v>
      </c>
      <c r="G105" s="127">
        <v>0</v>
      </c>
      <c r="H105" s="127">
        <v>0</v>
      </c>
      <c r="I105" s="127">
        <v>0</v>
      </c>
      <c r="J105" s="127">
        <v>8.5451252163129432</v>
      </c>
      <c r="K105" s="127">
        <v>0</v>
      </c>
      <c r="L105" s="127">
        <v>0</v>
      </c>
      <c r="M105" s="127">
        <v>0</v>
      </c>
      <c r="O105" t="s">
        <v>155</v>
      </c>
      <c r="P105" s="127">
        <v>0</v>
      </c>
      <c r="Q105" s="127">
        <v>0</v>
      </c>
      <c r="R105" s="127">
        <v>0</v>
      </c>
      <c r="S105" s="127">
        <v>0</v>
      </c>
      <c r="AE105">
        <v>43312</v>
      </c>
      <c r="AF105">
        <v>-4.1129344031212156E-3</v>
      </c>
      <c r="AG105" t="s">
        <v>286</v>
      </c>
    </row>
    <row r="106" spans="1:33" s="309" customFormat="1">
      <c r="A106" s="352">
        <v>43343</v>
      </c>
      <c r="B106" s="309" t="s">
        <v>189</v>
      </c>
      <c r="C106" s="309" t="s">
        <v>77</v>
      </c>
      <c r="D106" s="310">
        <v>16687.759999999998</v>
      </c>
      <c r="E106" s="310">
        <v>1952.898240524607</v>
      </c>
      <c r="F106" s="310">
        <v>0.2084</v>
      </c>
      <c r="G106" s="310">
        <v>0</v>
      </c>
      <c r="H106" s="310">
        <v>0</v>
      </c>
      <c r="I106" s="310">
        <v>0</v>
      </c>
      <c r="J106" s="310">
        <v>8.5451252163129432</v>
      </c>
      <c r="K106" s="310">
        <v>0</v>
      </c>
      <c r="L106" s="310">
        <v>0</v>
      </c>
      <c r="M106" s="310">
        <v>-16687.759999999998</v>
      </c>
      <c r="O106" s="309" t="s">
        <v>155</v>
      </c>
      <c r="P106" s="310">
        <v>0</v>
      </c>
      <c r="Q106" s="310">
        <v>0</v>
      </c>
      <c r="R106" s="310">
        <v>0</v>
      </c>
      <c r="S106" s="310">
        <v>0</v>
      </c>
      <c r="AE106" s="309">
        <v>43343</v>
      </c>
      <c r="AF106" s="309">
        <v>-3.3676243186576693E-3</v>
      </c>
      <c r="AG106" s="309" t="s">
        <v>286</v>
      </c>
    </row>
    <row r="107" spans="1:33">
      <c r="A107" s="351">
        <v>43312</v>
      </c>
      <c r="B107" t="s">
        <v>149</v>
      </c>
      <c r="C107" t="s">
        <v>149</v>
      </c>
      <c r="D107" s="127">
        <v>38565091.831775039</v>
      </c>
      <c r="E107" s="127">
        <v>362.21820000000002</v>
      </c>
      <c r="G107" s="127">
        <v>0</v>
      </c>
      <c r="H107" s="127">
        <v>0</v>
      </c>
      <c r="I107" s="127">
        <v>0</v>
      </c>
      <c r="J107" s="127">
        <v>106469.22719999999</v>
      </c>
      <c r="K107" s="127">
        <v>0</v>
      </c>
      <c r="L107" s="127">
        <v>0</v>
      </c>
      <c r="M107" s="127">
        <v>0</v>
      </c>
      <c r="O107" t="s">
        <v>139</v>
      </c>
      <c r="P107" s="127">
        <v>3.5122730275699732E-2</v>
      </c>
      <c r="Q107" s="127">
        <v>0</v>
      </c>
      <c r="R107" s="127">
        <v>0</v>
      </c>
      <c r="S107" s="127">
        <v>0</v>
      </c>
      <c r="T107" t="s">
        <v>0</v>
      </c>
      <c r="U107" s="127">
        <v>13.002593379104161</v>
      </c>
      <c r="V107" t="s">
        <v>15</v>
      </c>
      <c r="W107" s="127">
        <v>3.0713443229539203</v>
      </c>
      <c r="AE107">
        <v>43312</v>
      </c>
      <c r="AF107">
        <v>-1.9263119675024587E-2</v>
      </c>
      <c r="AG107" t="s">
        <v>286</v>
      </c>
    </row>
    <row r="108" spans="1:33" s="309" customFormat="1">
      <c r="A108" s="352">
        <v>43343</v>
      </c>
      <c r="B108" s="309" t="s">
        <v>149</v>
      </c>
      <c r="C108" s="309" t="s">
        <v>149</v>
      </c>
      <c r="D108" s="310">
        <v>37760099.298761278</v>
      </c>
      <c r="E108" s="310">
        <v>354.6574</v>
      </c>
      <c r="G108" s="310">
        <v>0</v>
      </c>
      <c r="H108" s="310">
        <v>0</v>
      </c>
      <c r="I108" s="310">
        <v>0</v>
      </c>
      <c r="J108" s="310">
        <v>106469.22719999999</v>
      </c>
      <c r="K108" s="310">
        <v>0</v>
      </c>
      <c r="L108" s="310">
        <v>0</v>
      </c>
      <c r="M108" s="310">
        <v>-354.6574</v>
      </c>
      <c r="O108" s="309" t="s">
        <v>139</v>
      </c>
      <c r="P108" s="311">
        <v>3.4025157159070403E-2</v>
      </c>
      <c r="Q108" s="310">
        <v>0</v>
      </c>
      <c r="R108" s="310">
        <v>0</v>
      </c>
      <c r="S108" s="310">
        <v>0</v>
      </c>
      <c r="T108" s="309" t="s">
        <v>0</v>
      </c>
      <c r="U108" s="310">
        <v>12.731182367673119</v>
      </c>
      <c r="V108" s="309" t="s">
        <v>15</v>
      </c>
      <c r="W108" s="310">
        <v>3.0072342916054398</v>
      </c>
      <c r="AE108" s="309">
        <v>43343</v>
      </c>
      <c r="AF108" s="309">
        <v>-2.0873606019796931E-2</v>
      </c>
      <c r="AG108" s="309" t="s">
        <v>286</v>
      </c>
    </row>
    <row r="109" spans="1:33">
      <c r="A109" s="351">
        <v>43312</v>
      </c>
      <c r="B109" t="s">
        <v>90</v>
      </c>
      <c r="C109" t="s">
        <v>90</v>
      </c>
      <c r="D109" s="127">
        <v>10105198.85</v>
      </c>
      <c r="E109" s="127">
        <v>10105198.85</v>
      </c>
      <c r="H109" s="127">
        <v>0</v>
      </c>
      <c r="I109" s="127">
        <v>0</v>
      </c>
      <c r="J109" s="127">
        <v>1</v>
      </c>
      <c r="K109" s="127">
        <v>0</v>
      </c>
      <c r="L109" s="127">
        <v>0</v>
      </c>
      <c r="M109" s="127">
        <v>0</v>
      </c>
      <c r="O109" t="s">
        <v>155</v>
      </c>
      <c r="P109" s="127">
        <v>0</v>
      </c>
      <c r="Q109" s="127">
        <v>0</v>
      </c>
      <c r="R109" s="127">
        <v>0</v>
      </c>
      <c r="S109" s="127">
        <v>0</v>
      </c>
      <c r="AE109">
        <v>43312</v>
      </c>
      <c r="AF109">
        <v>-2.1131527523766458E-2</v>
      </c>
      <c r="AG109" t="s">
        <v>288</v>
      </c>
    </row>
    <row r="110" spans="1:33" s="309" customFormat="1">
      <c r="A110" s="352">
        <v>43343</v>
      </c>
      <c r="B110" s="309" t="s">
        <v>90</v>
      </c>
      <c r="C110" s="309" t="s">
        <v>90</v>
      </c>
      <c r="D110" s="310">
        <v>10222181.18</v>
      </c>
      <c r="E110" s="310">
        <v>10222181.18</v>
      </c>
      <c r="H110" s="310">
        <v>0</v>
      </c>
      <c r="I110" s="310">
        <v>0</v>
      </c>
      <c r="J110" s="310">
        <v>1</v>
      </c>
      <c r="K110" s="310">
        <v>0</v>
      </c>
      <c r="L110" s="310">
        <v>0</v>
      </c>
      <c r="M110" s="310">
        <v>-10222181.18</v>
      </c>
      <c r="O110" s="309" t="s">
        <v>155</v>
      </c>
      <c r="P110" s="310">
        <v>0</v>
      </c>
      <c r="Q110" s="310">
        <v>0</v>
      </c>
      <c r="R110" s="310">
        <v>0</v>
      </c>
      <c r="S110" s="310">
        <v>0</v>
      </c>
      <c r="AE110" s="309">
        <v>43343</v>
      </c>
      <c r="AF110" s="309">
        <v>1.1576450076487221E-2</v>
      </c>
      <c r="AG110" s="309" t="s">
        <v>288</v>
      </c>
    </row>
    <row r="111" spans="1:33">
      <c r="A111" s="351">
        <v>43312</v>
      </c>
      <c r="B111" t="s">
        <v>32</v>
      </c>
      <c r="C111" t="s">
        <v>32</v>
      </c>
      <c r="D111" s="313">
        <v>534131653.47847652</v>
      </c>
      <c r="E111" s="313">
        <v>689.17067977079012</v>
      </c>
      <c r="G111" s="127">
        <v>0</v>
      </c>
      <c r="H111" s="127">
        <v>0</v>
      </c>
      <c r="I111" s="127">
        <v>0</v>
      </c>
      <c r="J111" s="127">
        <v>775035.37100000004</v>
      </c>
      <c r="K111" s="127">
        <v>0</v>
      </c>
      <c r="L111" s="127">
        <v>0</v>
      </c>
      <c r="M111" s="127">
        <v>0</v>
      </c>
      <c r="O111" t="s">
        <v>155</v>
      </c>
      <c r="P111" s="127">
        <v>7.4489166666666676E-2</v>
      </c>
      <c r="R111" s="127">
        <v>3.5833333333333335E-2</v>
      </c>
      <c r="S111" s="127">
        <v>0</v>
      </c>
      <c r="T111" t="s">
        <v>154</v>
      </c>
      <c r="U111" s="127">
        <v>2.88975180464239</v>
      </c>
      <c r="V111" t="s">
        <v>15</v>
      </c>
      <c r="W111" s="127">
        <v>0.41282168637748401</v>
      </c>
      <c r="AE111">
        <v>43312</v>
      </c>
      <c r="AF111">
        <v>-4.3964831775156199E-14</v>
      </c>
      <c r="AG111" t="s">
        <v>289</v>
      </c>
    </row>
    <row r="112" spans="1:33" s="309" customFormat="1">
      <c r="A112" s="352">
        <v>43343</v>
      </c>
      <c r="B112" s="309" t="s">
        <v>32</v>
      </c>
      <c r="C112" s="309" t="s">
        <v>32</v>
      </c>
      <c r="D112" s="312">
        <v>534131653.47847652</v>
      </c>
      <c r="E112" s="312">
        <v>689.17067977079012</v>
      </c>
      <c r="G112" s="310">
        <v>0</v>
      </c>
      <c r="H112" s="310">
        <v>0</v>
      </c>
      <c r="I112" s="310">
        <v>0</v>
      </c>
      <c r="J112" s="310">
        <v>775035.37100000004</v>
      </c>
      <c r="K112" s="310">
        <v>0</v>
      </c>
      <c r="L112" s="310">
        <v>0</v>
      </c>
      <c r="M112" s="310">
        <v>-534131653.47847652</v>
      </c>
      <c r="O112" s="309" t="s">
        <v>155</v>
      </c>
      <c r="P112" s="310">
        <v>7.4489166666666676E-2</v>
      </c>
      <c r="R112" s="310">
        <v>3.5833333333333335E-2</v>
      </c>
      <c r="S112" s="310">
        <v>0</v>
      </c>
      <c r="T112" s="309" t="s">
        <v>154</v>
      </c>
      <c r="U112" s="310">
        <v>2.88975180464239</v>
      </c>
      <c r="V112" s="309" t="s">
        <v>15</v>
      </c>
      <c r="W112" s="310">
        <v>0.41282168637748401</v>
      </c>
      <c r="AE112" s="309">
        <v>43343</v>
      </c>
      <c r="AF112" s="309">
        <v>0</v>
      </c>
      <c r="AG112" s="309" t="s">
        <v>289</v>
      </c>
    </row>
    <row r="113" spans="1:33">
      <c r="A113" s="351">
        <v>43312</v>
      </c>
      <c r="B113" t="s">
        <v>163</v>
      </c>
      <c r="C113" t="s">
        <v>163</v>
      </c>
      <c r="D113" s="349">
        <v>695644.66810481949</v>
      </c>
      <c r="E113" s="349">
        <v>700507.01146760373</v>
      </c>
      <c r="H113" s="127">
        <v>0</v>
      </c>
      <c r="I113" s="127">
        <v>-10745000</v>
      </c>
      <c r="J113" s="127">
        <v>0.99305882270528978</v>
      </c>
      <c r="K113" s="127">
        <v>-10745000</v>
      </c>
      <c r="L113" s="127">
        <v>-10820104.26203</v>
      </c>
      <c r="M113" s="127">
        <v>-10745000</v>
      </c>
      <c r="O113" t="s">
        <v>155</v>
      </c>
      <c r="P113" s="127">
        <v>0</v>
      </c>
      <c r="Q113" s="349">
        <v>0.21321399999999999</v>
      </c>
      <c r="R113" s="127">
        <v>0</v>
      </c>
      <c r="S113" s="127">
        <v>0</v>
      </c>
      <c r="AE113">
        <v>43312</v>
      </c>
      <c r="AF113">
        <v>2.5318965850502861E-2</v>
      </c>
      <c r="AG113" t="s">
        <v>288</v>
      </c>
    </row>
    <row r="114" spans="1:33" s="309" customFormat="1">
      <c r="A114" s="352">
        <v>43343</v>
      </c>
      <c r="B114" s="309" t="s">
        <v>163</v>
      </c>
      <c r="C114" s="309" t="s">
        <v>163</v>
      </c>
      <c r="D114" s="348">
        <v>0</v>
      </c>
      <c r="E114" s="348">
        <v>0</v>
      </c>
      <c r="H114" s="310">
        <v>0</v>
      </c>
      <c r="I114" s="310">
        <v>-424810.54</v>
      </c>
      <c r="J114" s="310">
        <v>0</v>
      </c>
      <c r="K114" s="310">
        <v>-424810.54</v>
      </c>
      <c r="L114" s="310">
        <v>0</v>
      </c>
      <c r="M114" s="310">
        <v>-424810.54</v>
      </c>
      <c r="O114" s="309" t="s">
        <v>155</v>
      </c>
      <c r="P114" s="310">
        <v>0</v>
      </c>
      <c r="Q114" s="348">
        <v>0</v>
      </c>
      <c r="R114" s="310">
        <v>0</v>
      </c>
      <c r="S114" s="310">
        <v>0</v>
      </c>
      <c r="AE114" s="309">
        <v>43343</v>
      </c>
      <c r="AF114" s="309">
        <v>-0.38932825984660646</v>
      </c>
      <c r="AG114" s="309" t="s">
        <v>288</v>
      </c>
    </row>
    <row r="115" spans="1:33">
      <c r="A115" s="351">
        <v>43312</v>
      </c>
      <c r="B115" t="s">
        <v>15</v>
      </c>
      <c r="C115" t="s">
        <v>15</v>
      </c>
      <c r="D115" s="315">
        <v>33833481.413854949</v>
      </c>
      <c r="E115" s="127">
        <v>1014.2163</v>
      </c>
      <c r="G115" s="127">
        <v>0</v>
      </c>
      <c r="H115" s="127">
        <v>0</v>
      </c>
      <c r="I115" s="127">
        <v>0</v>
      </c>
      <c r="J115" s="127">
        <v>33359.236499999999</v>
      </c>
      <c r="K115" s="127">
        <v>0</v>
      </c>
      <c r="L115" s="127">
        <v>0</v>
      </c>
      <c r="M115" s="127">
        <v>0</v>
      </c>
      <c r="O115" t="s">
        <v>139</v>
      </c>
      <c r="P115" s="127">
        <v>2.16399E-2</v>
      </c>
      <c r="Q115" s="127">
        <v>0</v>
      </c>
      <c r="R115" s="127">
        <v>0</v>
      </c>
      <c r="AE115">
        <v>43312</v>
      </c>
      <c r="AF115">
        <v>-5.499961611072024E-3</v>
      </c>
      <c r="AG115" t="s">
        <v>286</v>
      </c>
    </row>
    <row r="116" spans="1:33" s="309" customFormat="1">
      <c r="A116" s="352">
        <v>43343</v>
      </c>
      <c r="B116" s="309" t="s">
        <v>15</v>
      </c>
      <c r="C116" s="309" t="s">
        <v>15</v>
      </c>
      <c r="D116" s="314">
        <v>32791375.5607551</v>
      </c>
      <c r="E116" s="310">
        <v>982.97739999999999</v>
      </c>
      <c r="G116" s="310">
        <v>0</v>
      </c>
      <c r="H116" s="310">
        <v>0</v>
      </c>
      <c r="I116" s="310">
        <v>0</v>
      </c>
      <c r="J116" s="310">
        <v>33359.236499999999</v>
      </c>
      <c r="K116" s="310">
        <v>0</v>
      </c>
      <c r="L116" s="310">
        <v>0</v>
      </c>
      <c r="M116" s="310">
        <v>-982.97739999999999</v>
      </c>
      <c r="O116" s="309" t="s">
        <v>139</v>
      </c>
      <c r="P116" s="311">
        <v>2.22975892783518E-2</v>
      </c>
      <c r="Q116" s="310">
        <v>0</v>
      </c>
      <c r="R116" s="310">
        <v>0</v>
      </c>
      <c r="AE116" s="309">
        <v>43343</v>
      </c>
      <c r="AF116" s="309">
        <v>-3.0801023410883865E-2</v>
      </c>
      <c r="AG116" s="309" t="s">
        <v>286</v>
      </c>
    </row>
    <row r="117" spans="1:33">
      <c r="A117" s="351">
        <v>43312</v>
      </c>
      <c r="B117" t="s">
        <v>91</v>
      </c>
      <c r="C117" t="s">
        <v>91</v>
      </c>
      <c r="D117" s="127">
        <v>4933516.9081749674</v>
      </c>
      <c r="E117" s="127">
        <v>4933516.9081749674</v>
      </c>
      <c r="H117" s="127">
        <v>0</v>
      </c>
      <c r="I117" s="127">
        <v>-147013.89000000001</v>
      </c>
      <c r="J117" s="127">
        <v>1</v>
      </c>
      <c r="K117" s="127">
        <v>-147013.89000000001</v>
      </c>
      <c r="L117" s="127">
        <v>-147013.89000000001</v>
      </c>
      <c r="M117" s="127">
        <v>-147013.89000000001</v>
      </c>
      <c r="O117" t="s">
        <v>155</v>
      </c>
      <c r="P117" s="127">
        <v>2.2222222222222222E-3</v>
      </c>
      <c r="Q117" s="127">
        <v>0</v>
      </c>
      <c r="R117" s="127">
        <v>0</v>
      </c>
      <c r="S117" s="127">
        <v>0</v>
      </c>
      <c r="AE117">
        <v>43312</v>
      </c>
      <c r="AF117">
        <v>1.3633771585368715E-2</v>
      </c>
      <c r="AG117" t="s">
        <v>288</v>
      </c>
    </row>
    <row r="118" spans="1:33" s="309" customFormat="1">
      <c r="A118" s="352">
        <v>43343</v>
      </c>
      <c r="B118" s="309" t="s">
        <v>91</v>
      </c>
      <c r="C118" s="309" t="s">
        <v>91</v>
      </c>
      <c r="D118" s="310">
        <v>5012637.1890421044</v>
      </c>
      <c r="E118" s="310">
        <v>5012637.1890421044</v>
      </c>
      <c r="H118" s="310">
        <v>0</v>
      </c>
      <c r="I118" s="310">
        <v>0</v>
      </c>
      <c r="J118" s="310">
        <v>1</v>
      </c>
      <c r="K118" s="310">
        <v>0</v>
      </c>
      <c r="L118" s="310">
        <v>0</v>
      </c>
      <c r="M118" s="310">
        <v>-5012637.1890421044</v>
      </c>
      <c r="O118" s="309" t="s">
        <v>155</v>
      </c>
      <c r="P118" s="311">
        <v>2.1527777777777778E-3</v>
      </c>
      <c r="Q118" s="310">
        <v>0</v>
      </c>
      <c r="R118" s="310">
        <v>0</v>
      </c>
      <c r="S118" s="310">
        <v>0</v>
      </c>
      <c r="AE118" s="309">
        <v>43343</v>
      </c>
      <c r="AF118" s="309">
        <v>1.6037298004600409E-2</v>
      </c>
      <c r="AG118" s="309" t="s">
        <v>288</v>
      </c>
    </row>
    <row r="119" spans="1:33">
      <c r="A119" s="351">
        <v>43312</v>
      </c>
      <c r="B119" t="s">
        <v>89</v>
      </c>
      <c r="C119" t="s">
        <v>89</v>
      </c>
      <c r="D119" s="313">
        <v>4000000</v>
      </c>
      <c r="E119" s="313">
        <v>4000000</v>
      </c>
      <c r="H119" s="127">
        <v>0</v>
      </c>
      <c r="I119" s="127">
        <v>0</v>
      </c>
      <c r="J119" s="127">
        <v>1</v>
      </c>
      <c r="K119" s="127">
        <v>0</v>
      </c>
      <c r="L119" s="127">
        <v>0</v>
      </c>
      <c r="M119" s="127">
        <v>0</v>
      </c>
      <c r="O119" t="s">
        <v>155</v>
      </c>
      <c r="P119" s="127">
        <v>0</v>
      </c>
      <c r="Q119" s="127">
        <v>0</v>
      </c>
      <c r="R119" s="127">
        <v>0</v>
      </c>
      <c r="S119" s="127">
        <v>0</v>
      </c>
      <c r="AE119">
        <v>43312</v>
      </c>
      <c r="AF119">
        <v>0</v>
      </c>
      <c r="AG119" t="s">
        <v>288</v>
      </c>
    </row>
    <row r="120" spans="1:33" s="309" customFormat="1">
      <c r="A120" s="352">
        <v>43343</v>
      </c>
      <c r="B120" s="309" t="s">
        <v>89</v>
      </c>
      <c r="C120" s="309" t="s">
        <v>89</v>
      </c>
      <c r="D120" s="312">
        <v>4000000</v>
      </c>
      <c r="E120" s="312">
        <v>4000000</v>
      </c>
      <c r="H120" s="310">
        <v>0</v>
      </c>
      <c r="I120" s="314">
        <v>-140000</v>
      </c>
      <c r="J120" s="310">
        <v>1</v>
      </c>
      <c r="K120" s="310">
        <v>-140000</v>
      </c>
      <c r="L120" s="310">
        <v>-140000</v>
      </c>
      <c r="M120" s="310">
        <v>-4140000</v>
      </c>
      <c r="O120" s="309" t="s">
        <v>155</v>
      </c>
      <c r="P120" s="310">
        <v>0</v>
      </c>
      <c r="Q120" s="310">
        <v>0</v>
      </c>
      <c r="R120" s="310">
        <v>0</v>
      </c>
      <c r="S120" s="310">
        <v>0</v>
      </c>
      <c r="AE120" s="309">
        <v>43343</v>
      </c>
      <c r="AF120" s="309">
        <v>3.499999999999992E-2</v>
      </c>
      <c r="AG120" s="309" t="s">
        <v>288</v>
      </c>
    </row>
    <row r="121" spans="1:33">
      <c r="A121" s="351">
        <v>43312</v>
      </c>
      <c r="B121" t="s">
        <v>84</v>
      </c>
      <c r="C121" t="s">
        <v>84</v>
      </c>
      <c r="D121" s="127">
        <v>3594298.138089078</v>
      </c>
      <c r="E121" s="127">
        <v>3594298.138089078</v>
      </c>
      <c r="H121" s="127">
        <v>0</v>
      </c>
      <c r="I121" s="127">
        <v>0</v>
      </c>
      <c r="J121" s="127">
        <v>1</v>
      </c>
      <c r="K121" s="127">
        <v>0</v>
      </c>
      <c r="L121" s="127">
        <v>0</v>
      </c>
      <c r="M121" s="127">
        <v>0</v>
      </c>
      <c r="O121" t="s">
        <v>155</v>
      </c>
      <c r="P121" s="127">
        <v>0</v>
      </c>
      <c r="Q121" s="127">
        <v>0.35942981380890782</v>
      </c>
      <c r="R121" s="127">
        <v>0</v>
      </c>
      <c r="S121" s="127">
        <v>0</v>
      </c>
      <c r="AE121">
        <v>43312</v>
      </c>
      <c r="AF121">
        <v>-1.5221234154726648E-2</v>
      </c>
      <c r="AG121" t="s">
        <v>288</v>
      </c>
    </row>
    <row r="122" spans="1:33" s="309" customFormat="1">
      <c r="A122" s="352">
        <v>43343</v>
      </c>
      <c r="B122" s="309" t="s">
        <v>84</v>
      </c>
      <c r="C122" s="309" t="s">
        <v>84</v>
      </c>
      <c r="D122" s="310">
        <v>3491312.8513562307</v>
      </c>
      <c r="E122" s="310">
        <v>3491312.8513562307</v>
      </c>
      <c r="H122" s="310">
        <v>0</v>
      </c>
      <c r="I122" s="310">
        <v>0</v>
      </c>
      <c r="J122" s="310">
        <v>1</v>
      </c>
      <c r="K122" s="310">
        <v>0</v>
      </c>
      <c r="L122" s="310">
        <v>0</v>
      </c>
      <c r="M122" s="310">
        <v>-3491312.8513562307</v>
      </c>
      <c r="O122" s="309" t="s">
        <v>155</v>
      </c>
      <c r="P122" s="310">
        <v>0</v>
      </c>
      <c r="Q122" s="310">
        <v>0.34913128513562308</v>
      </c>
      <c r="R122" s="310">
        <v>0</v>
      </c>
      <c r="S122" s="310">
        <v>0</v>
      </c>
      <c r="AE122" s="309">
        <v>43343</v>
      </c>
      <c r="AF122" s="309">
        <v>-2.8652405219673827E-2</v>
      </c>
      <c r="AG122" s="309" t="s">
        <v>288</v>
      </c>
    </row>
    <row r="123" spans="1:33">
      <c r="A123" s="351">
        <v>43312</v>
      </c>
      <c r="B123" t="s">
        <v>33</v>
      </c>
      <c r="C123" t="s">
        <v>33</v>
      </c>
      <c r="D123" s="127">
        <v>32262811.970753297</v>
      </c>
      <c r="E123" s="127">
        <v>1.5566993614642988</v>
      </c>
      <c r="G123" s="127">
        <v>0</v>
      </c>
      <c r="I123" s="127">
        <v>0</v>
      </c>
      <c r="J123" s="127">
        <v>20725139.850000001</v>
      </c>
      <c r="K123" s="127">
        <v>0</v>
      </c>
      <c r="L123" s="127">
        <v>0</v>
      </c>
      <c r="M123" s="127">
        <v>0</v>
      </c>
      <c r="O123" t="s">
        <v>155</v>
      </c>
      <c r="P123" s="127">
        <v>6.6666666666666666E-2</v>
      </c>
      <c r="Q123" s="127">
        <v>0</v>
      </c>
      <c r="R123" s="127">
        <v>0</v>
      </c>
      <c r="S123" s="127">
        <v>0</v>
      </c>
      <c r="AE123">
        <v>43312</v>
      </c>
      <c r="AF123">
        <v>2.3348878386286742E-11</v>
      </c>
      <c r="AG123" t="s">
        <v>287</v>
      </c>
    </row>
    <row r="124" spans="1:33" s="309" customFormat="1">
      <c r="A124" s="352">
        <v>43343</v>
      </c>
      <c r="B124" s="309" t="s">
        <v>33</v>
      </c>
      <c r="C124" s="309" t="s">
        <v>33</v>
      </c>
      <c r="D124" s="310">
        <v>32262423.420308426</v>
      </c>
      <c r="E124" s="310">
        <v>1.5566806136803184</v>
      </c>
      <c r="G124" s="310">
        <v>0</v>
      </c>
      <c r="I124" s="310">
        <v>0</v>
      </c>
      <c r="J124" s="310">
        <v>20725139.850000001</v>
      </c>
      <c r="K124" s="310">
        <v>0</v>
      </c>
      <c r="L124" s="310">
        <v>0</v>
      </c>
      <c r="M124" s="310">
        <v>-32262423.420308426</v>
      </c>
      <c r="O124" s="309" t="s">
        <v>155</v>
      </c>
      <c r="P124" s="310">
        <v>6.6666666666666666E-2</v>
      </c>
      <c r="Q124" s="310">
        <v>0</v>
      </c>
      <c r="R124" s="310">
        <v>0</v>
      </c>
      <c r="S124" s="310">
        <v>0</v>
      </c>
      <c r="AE124" s="309">
        <v>43343</v>
      </c>
      <c r="AF124" s="309">
        <v>-1.2043291366614639E-5</v>
      </c>
      <c r="AG124" s="309" t="s">
        <v>287</v>
      </c>
    </row>
    <row r="125" spans="1:33">
      <c r="A125" s="351">
        <v>43312</v>
      </c>
      <c r="B125" t="s">
        <v>78</v>
      </c>
      <c r="C125" t="s">
        <v>78</v>
      </c>
      <c r="D125" s="127">
        <v>62482244.009999998</v>
      </c>
      <c r="E125" s="127">
        <v>9.6784774588783993</v>
      </c>
      <c r="G125" s="127">
        <v>0</v>
      </c>
      <c r="H125" s="127">
        <v>0</v>
      </c>
      <c r="I125" s="127">
        <v>0</v>
      </c>
      <c r="J125" s="127">
        <v>6455792.688000001</v>
      </c>
      <c r="K125" s="127">
        <v>0</v>
      </c>
      <c r="L125" s="127">
        <v>0</v>
      </c>
      <c r="M125" s="127">
        <v>0</v>
      </c>
      <c r="O125" t="s">
        <v>155</v>
      </c>
      <c r="P125" s="127">
        <v>2.7657223642222225E-2</v>
      </c>
      <c r="Q125" s="127">
        <v>0</v>
      </c>
      <c r="R125" s="127">
        <v>0</v>
      </c>
      <c r="S125" s="127">
        <v>0</v>
      </c>
      <c r="AE125">
        <v>43312</v>
      </c>
      <c r="AF125">
        <v>2.0421914418631282E-3</v>
      </c>
      <c r="AG125" t="s">
        <v>287</v>
      </c>
    </row>
    <row r="126" spans="1:33" s="309" customFormat="1">
      <c r="A126" s="352">
        <v>43343</v>
      </c>
      <c r="B126" s="309" t="s">
        <v>78</v>
      </c>
      <c r="C126" s="309" t="s">
        <v>78</v>
      </c>
      <c r="D126" s="310">
        <v>63199695.780000001</v>
      </c>
      <c r="E126" s="310">
        <v>9.789610483848918</v>
      </c>
      <c r="G126" s="310">
        <v>0</v>
      </c>
      <c r="H126" s="310">
        <v>0</v>
      </c>
      <c r="I126" s="310">
        <v>0</v>
      </c>
      <c r="J126" s="310">
        <v>6455792.688000001</v>
      </c>
      <c r="K126" s="310">
        <v>0</v>
      </c>
      <c r="L126" s="310">
        <v>0</v>
      </c>
      <c r="M126" s="310">
        <v>-63199695.780000001</v>
      </c>
      <c r="O126" s="309" t="s">
        <v>155</v>
      </c>
      <c r="P126" s="310">
        <v>2.7657223642222225E-2</v>
      </c>
      <c r="Q126" s="310">
        <v>0</v>
      </c>
      <c r="R126" s="310">
        <v>0</v>
      </c>
      <c r="S126" s="310">
        <v>0</v>
      </c>
      <c r="AE126" s="309">
        <v>43343</v>
      </c>
      <c r="AF126" s="309">
        <v>1.1482490447769056E-2</v>
      </c>
      <c r="AG126" s="309" t="s">
        <v>287</v>
      </c>
    </row>
    <row r="127" spans="1:33">
      <c r="A127" s="351">
        <v>43312</v>
      </c>
      <c r="B127" t="s">
        <v>19</v>
      </c>
      <c r="C127" t="s">
        <v>19</v>
      </c>
      <c r="D127" s="315">
        <v>92901734.163000003</v>
      </c>
      <c r="E127" s="127">
        <v>2043.9</v>
      </c>
      <c r="G127" s="127">
        <v>0</v>
      </c>
      <c r="H127" s="127">
        <v>0</v>
      </c>
      <c r="I127" s="127">
        <v>0</v>
      </c>
      <c r="J127" s="127">
        <v>45453.17</v>
      </c>
      <c r="K127" s="127">
        <v>0</v>
      </c>
      <c r="L127" s="127">
        <v>0</v>
      </c>
      <c r="M127" s="127">
        <v>0</v>
      </c>
      <c r="O127" t="s">
        <v>139</v>
      </c>
      <c r="P127" s="127">
        <v>3.3333333333333333E-2</v>
      </c>
      <c r="Q127" s="127">
        <v>0</v>
      </c>
      <c r="R127" s="127">
        <v>0</v>
      </c>
      <c r="S127" s="127">
        <v>0</v>
      </c>
      <c r="AE127">
        <v>43312</v>
      </c>
      <c r="AF127">
        <v>6.2196630322935986E-2</v>
      </c>
      <c r="AG127" t="s">
        <v>287</v>
      </c>
    </row>
    <row r="128" spans="1:33" s="309" customFormat="1">
      <c r="A128" s="352">
        <v>43343</v>
      </c>
      <c r="B128" s="309" t="s">
        <v>19</v>
      </c>
      <c r="C128" s="309" t="s">
        <v>19</v>
      </c>
      <c r="D128" s="314">
        <v>89177301.413199991</v>
      </c>
      <c r="E128" s="310">
        <v>1961.96</v>
      </c>
      <c r="G128" s="310">
        <v>0</v>
      </c>
      <c r="H128" s="310">
        <v>0</v>
      </c>
      <c r="I128" s="310">
        <v>0</v>
      </c>
      <c r="J128" s="310">
        <v>45453.17</v>
      </c>
      <c r="K128" s="310">
        <v>0</v>
      </c>
      <c r="L128" s="310">
        <v>0</v>
      </c>
      <c r="M128" s="310">
        <v>-1961.96</v>
      </c>
      <c r="O128" s="309" t="s">
        <v>139</v>
      </c>
      <c r="P128" s="310">
        <v>3.3333333333333333E-2</v>
      </c>
      <c r="Q128" s="310">
        <v>0</v>
      </c>
      <c r="R128" s="310">
        <v>0</v>
      </c>
      <c r="S128" s="310">
        <v>0</v>
      </c>
      <c r="AE128" s="309">
        <v>43343</v>
      </c>
      <c r="AF128" s="309">
        <v>-4.0090023973775701E-2</v>
      </c>
      <c r="AG128" s="309" t="s">
        <v>287</v>
      </c>
    </row>
    <row r="129" spans="1:33">
      <c r="A129" s="351">
        <v>43312</v>
      </c>
      <c r="B129" t="s">
        <v>35</v>
      </c>
      <c r="C129" t="s">
        <v>35</v>
      </c>
      <c r="D129" s="313">
        <v>5208303.2494999999</v>
      </c>
      <c r="E129" s="313">
        <v>1578694.6502938387</v>
      </c>
      <c r="F129" s="127">
        <v>15</v>
      </c>
      <c r="G129" s="127">
        <v>0</v>
      </c>
      <c r="I129" s="127">
        <v>0</v>
      </c>
      <c r="J129" s="127">
        <v>3.2991200980700039</v>
      </c>
      <c r="K129" s="127">
        <v>0</v>
      </c>
      <c r="L129" s="127">
        <v>0</v>
      </c>
      <c r="M129" s="127">
        <v>0</v>
      </c>
      <c r="O129" t="s">
        <v>155</v>
      </c>
      <c r="P129" s="127">
        <v>0</v>
      </c>
      <c r="Q129" s="127">
        <v>8.0567323499999996E-2</v>
      </c>
      <c r="R129" s="127">
        <v>0</v>
      </c>
      <c r="S129" s="127">
        <v>0</v>
      </c>
      <c r="AE129">
        <v>43312</v>
      </c>
      <c r="AF129">
        <v>0</v>
      </c>
      <c r="AG129" t="s">
        <v>288</v>
      </c>
    </row>
    <row r="130" spans="1:33" s="309" customFormat="1">
      <c r="A130" s="352">
        <v>43343</v>
      </c>
      <c r="B130" s="309" t="s">
        <v>35</v>
      </c>
      <c r="C130" s="309" t="s">
        <v>35</v>
      </c>
      <c r="D130" s="312">
        <v>5208303.2494999999</v>
      </c>
      <c r="E130" s="312">
        <v>1578694.6502938387</v>
      </c>
      <c r="F130" s="310">
        <v>15</v>
      </c>
      <c r="G130" s="310">
        <v>0</v>
      </c>
      <c r="I130" s="310">
        <v>0</v>
      </c>
      <c r="J130" s="310">
        <v>3.2991200980700039</v>
      </c>
      <c r="K130" s="310">
        <v>0</v>
      </c>
      <c r="L130" s="310">
        <v>0</v>
      </c>
      <c r="M130" s="310">
        <v>-5208303.2494999999</v>
      </c>
      <c r="O130" s="309" t="s">
        <v>155</v>
      </c>
      <c r="P130" s="310">
        <v>0</v>
      </c>
      <c r="Q130" s="310">
        <v>8.0567323499999996E-2</v>
      </c>
      <c r="R130" s="310">
        <v>0</v>
      </c>
      <c r="S130" s="310">
        <v>0</v>
      </c>
      <c r="AE130" s="309">
        <v>43343</v>
      </c>
      <c r="AF130" s="309">
        <v>0</v>
      </c>
      <c r="AG130" s="309" t="s">
        <v>288</v>
      </c>
    </row>
    <row r="131" spans="1:33">
      <c r="A131" s="351">
        <v>43312</v>
      </c>
      <c r="B131" t="s">
        <v>88</v>
      </c>
      <c r="C131" t="s">
        <v>88</v>
      </c>
      <c r="D131" s="127">
        <v>29514207.190000001</v>
      </c>
      <c r="E131" s="127">
        <v>29514207.190000001</v>
      </c>
      <c r="H131" s="127">
        <v>0</v>
      </c>
      <c r="I131" s="127">
        <v>-1049949.1200000001</v>
      </c>
      <c r="J131" s="127">
        <v>1</v>
      </c>
      <c r="K131" s="127">
        <v>-1049949.1200000001</v>
      </c>
      <c r="L131" s="127">
        <v>-1049949.1200000001</v>
      </c>
      <c r="M131" s="127">
        <v>-1049949.1200000001</v>
      </c>
      <c r="O131" t="s">
        <v>155</v>
      </c>
      <c r="P131" s="127">
        <v>4.4444444444444401E-3</v>
      </c>
      <c r="Q131" s="127">
        <v>0.72348503702799494</v>
      </c>
      <c r="R131" s="127">
        <v>0</v>
      </c>
      <c r="S131" s="127">
        <v>0</v>
      </c>
      <c r="AE131">
        <v>43312</v>
      </c>
      <c r="AF131">
        <v>1.5800822290880978E-2</v>
      </c>
      <c r="AG131" t="s">
        <v>288</v>
      </c>
    </row>
    <row r="132" spans="1:33" s="309" customFormat="1">
      <c r="A132" s="352">
        <v>43343</v>
      </c>
      <c r="B132" s="309" t="s">
        <v>88</v>
      </c>
      <c r="C132" s="309" t="s">
        <v>88</v>
      </c>
      <c r="D132" s="310">
        <v>29881298.626140095</v>
      </c>
      <c r="E132" s="310">
        <v>29881298.626140095</v>
      </c>
      <c r="H132" s="310">
        <v>0</v>
      </c>
      <c r="I132" s="310">
        <v>0</v>
      </c>
      <c r="J132" s="310">
        <v>1</v>
      </c>
      <c r="K132" s="310">
        <v>0</v>
      </c>
      <c r="L132" s="310">
        <v>0</v>
      </c>
      <c r="M132" s="310">
        <v>-29881298.626140095</v>
      </c>
      <c r="O132" s="309" t="s">
        <v>155</v>
      </c>
      <c r="P132" s="311">
        <v>4.3055555555555599E-3</v>
      </c>
      <c r="Q132" s="311">
        <v>0.75001339393064204</v>
      </c>
      <c r="R132" s="310">
        <v>0</v>
      </c>
      <c r="S132" s="310">
        <v>0</v>
      </c>
      <c r="AE132" s="309">
        <v>43343</v>
      </c>
      <c r="AF132" s="309">
        <v>1.2437787462048933E-2</v>
      </c>
      <c r="AG132" s="309" t="s">
        <v>288</v>
      </c>
    </row>
    <row r="133" spans="1:33">
      <c r="A133" s="351">
        <v>43312</v>
      </c>
      <c r="B133" t="s">
        <v>82</v>
      </c>
      <c r="C133" t="s">
        <v>82</v>
      </c>
      <c r="D133" s="127">
        <v>13868327.043732878</v>
      </c>
      <c r="E133" s="127">
        <v>13868327.043732878</v>
      </c>
      <c r="H133" s="127">
        <v>0</v>
      </c>
      <c r="I133" s="127">
        <v>-343622.32</v>
      </c>
      <c r="J133" s="127">
        <v>1</v>
      </c>
      <c r="K133" s="127">
        <v>-343622.32</v>
      </c>
      <c r="L133" s="127">
        <v>-343622.32</v>
      </c>
      <c r="M133" s="127">
        <v>-343622.32</v>
      </c>
      <c r="O133" t="s">
        <v>155</v>
      </c>
      <c r="P133" s="127">
        <v>5.2388741666666667E-3</v>
      </c>
      <c r="Q133" s="127">
        <v>0.774024130442449</v>
      </c>
      <c r="R133" s="127">
        <v>0</v>
      </c>
      <c r="S133" s="127">
        <v>0</v>
      </c>
      <c r="AE133">
        <v>43312</v>
      </c>
      <c r="AF133">
        <v>1.3266848835278733E-2</v>
      </c>
      <c r="AG133" t="s">
        <v>288</v>
      </c>
    </row>
    <row r="134" spans="1:33" s="309" customFormat="1">
      <c r="A134" s="352">
        <v>43343</v>
      </c>
      <c r="B134" s="309" t="s">
        <v>82</v>
      </c>
      <c r="C134" s="309" t="s">
        <v>82</v>
      </c>
      <c r="D134" s="310">
        <v>13835310.430643592</v>
      </c>
      <c r="E134" s="310">
        <v>13835310.430643592</v>
      </c>
      <c r="H134" s="310">
        <v>0</v>
      </c>
      <c r="I134" s="310">
        <v>-215178.129651528</v>
      </c>
      <c r="J134" s="310">
        <v>1</v>
      </c>
      <c r="K134" s="310">
        <v>-215178.129651528</v>
      </c>
      <c r="L134" s="310">
        <v>-215178.129651528</v>
      </c>
      <c r="M134" s="310">
        <v>-14050488.56029512</v>
      </c>
      <c r="O134" s="309" t="s">
        <v>155</v>
      </c>
      <c r="P134" s="310">
        <v>5.2388741666666667E-3</v>
      </c>
      <c r="Q134" s="310">
        <v>0.77302444144244897</v>
      </c>
      <c r="R134" s="310">
        <v>0</v>
      </c>
      <c r="S134" s="310">
        <v>0</v>
      </c>
      <c r="AE134" s="309">
        <v>43343</v>
      </c>
      <c r="AF134" s="309">
        <v>1.3135075051793121E-2</v>
      </c>
      <c r="AG134" s="309" t="s">
        <v>288</v>
      </c>
    </row>
  </sheetData>
  <phoneticPr fontId="1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um_Main.Aum_Main">
                <anchor moveWithCells="1" sizeWithCells="1">
                  <from>
                    <xdr:col>6</xdr:col>
                    <xdr:colOff>0</xdr:colOff>
                    <xdr:row>5</xdr:row>
                    <xdr:rowOff>47625</xdr:rowOff>
                  </from>
                  <to>
                    <xdr:col>7</xdr:col>
                    <xdr:colOff>352425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20"/>
  <sheetViews>
    <sheetView zoomScale="65" zoomScaleNormal="65" workbookViewId="0">
      <selection activeCell="L9" sqref="L9"/>
    </sheetView>
  </sheetViews>
  <sheetFormatPr defaultRowHeight="15"/>
  <cols>
    <col min="2" max="2" width="11.5703125" bestFit="1" customWidth="1"/>
    <col min="3" max="4" width="9.42578125" customWidth="1"/>
    <col min="6" max="6" width="20.85546875" customWidth="1"/>
    <col min="7" max="7" width="10.5703125" customWidth="1"/>
    <col min="8" max="8" width="10.42578125" customWidth="1"/>
    <col min="9" max="14" width="9.42578125" customWidth="1"/>
    <col min="15" max="15" width="8.28515625" customWidth="1"/>
    <col min="16" max="16" width="10.7109375" customWidth="1"/>
    <col min="17" max="21" width="9.42578125" customWidth="1"/>
    <col min="22" max="22" width="8.28515625" customWidth="1"/>
    <col min="23" max="23" width="11.42578125" customWidth="1"/>
    <col min="24" max="29" width="9.42578125" customWidth="1"/>
    <col min="30" max="30" width="8.28515625" customWidth="1"/>
    <col min="31" max="32" width="10.42578125" customWidth="1"/>
    <col min="33" max="38" width="9.42578125" customWidth="1"/>
    <col min="39" max="39" width="8.28515625" customWidth="1"/>
    <col min="40" max="40" width="10.7109375" customWidth="1"/>
    <col min="41" max="44" width="9.42578125" customWidth="1"/>
    <col min="45" max="45" width="8.28515625" customWidth="1"/>
    <col min="46" max="46" width="11.140625" customWidth="1"/>
    <col min="47" max="47" width="10.42578125" customWidth="1"/>
    <col min="48" max="53" width="9.42578125" customWidth="1"/>
    <col min="54" max="54" width="8.28515625" customWidth="1"/>
    <col min="55" max="55" width="11.140625" customWidth="1"/>
    <col min="56" max="56" width="10.42578125" customWidth="1"/>
    <col min="57" max="62" width="9.42578125" customWidth="1"/>
    <col min="63" max="63" width="8.28515625" customWidth="1"/>
    <col min="64" max="64" width="10" customWidth="1"/>
    <col min="65" max="65" width="10.42578125" customWidth="1"/>
    <col min="66" max="71" width="9.42578125" customWidth="1"/>
    <col min="72" max="72" width="8.28515625" customWidth="1"/>
    <col min="73" max="73" width="8.85546875" customWidth="1"/>
    <col min="74" max="74" width="10.42578125" customWidth="1"/>
    <col min="75" max="80" width="9.42578125" customWidth="1"/>
    <col min="81" max="81" width="8.28515625" customWidth="1"/>
    <col min="82" max="82" width="7.7109375" customWidth="1"/>
    <col min="83" max="83" width="10.42578125" customWidth="1"/>
    <col min="84" max="89" width="9.42578125" customWidth="1"/>
    <col min="90" max="90" width="8.28515625" customWidth="1"/>
    <col min="91" max="91" width="12.140625" customWidth="1"/>
    <col min="92" max="92" width="10.42578125" customWidth="1"/>
    <col min="93" max="98" width="9.42578125" customWidth="1"/>
    <col min="99" max="99" width="8.28515625" customWidth="1"/>
    <col min="100" max="100" width="8.5703125" customWidth="1"/>
    <col min="101" max="101" width="11.42578125" customWidth="1"/>
    <col min="102" max="107" width="9.42578125" customWidth="1"/>
    <col min="108" max="108" width="8.28515625" customWidth="1"/>
    <col min="109" max="109" width="8.85546875" customWidth="1"/>
    <col min="110" max="110" width="10.42578125" bestFit="1" customWidth="1"/>
    <col min="111" max="116" width="9.42578125" customWidth="1"/>
    <col min="117" max="117" width="8.28515625" customWidth="1"/>
    <col min="118" max="118" width="9.140625" customWidth="1"/>
    <col min="119" max="119" width="10.42578125" bestFit="1" customWidth="1"/>
    <col min="120" max="125" width="9.42578125" customWidth="1"/>
    <col min="126" max="126" width="8.28515625" customWidth="1"/>
    <col min="127" max="127" width="11.42578125" bestFit="1" customWidth="1"/>
    <col min="128" max="128" width="10.42578125" bestFit="1" customWidth="1"/>
    <col min="129" max="134" width="9.42578125" customWidth="1"/>
    <col min="135" max="135" width="8.28515625" customWidth="1"/>
    <col min="136" max="136" width="11.5703125" bestFit="1" customWidth="1"/>
    <col min="137" max="138" width="9.42578125" customWidth="1"/>
    <col min="139" max="139" width="9.42578125" bestFit="1" customWidth="1"/>
    <col min="140" max="142" width="9.42578125" customWidth="1"/>
    <col min="143" max="143" width="8.28515625" customWidth="1"/>
    <col min="144" max="144" width="11.140625" bestFit="1" customWidth="1"/>
    <col min="145" max="145" width="10.85546875" bestFit="1" customWidth="1"/>
    <col min="146" max="147" width="9.42578125" customWidth="1"/>
    <col min="148" max="148" width="9.42578125" bestFit="1" customWidth="1"/>
    <col min="149" max="151" width="9.42578125" customWidth="1"/>
    <col min="152" max="152" width="8.28515625" customWidth="1"/>
    <col min="153" max="153" width="13.85546875" bestFit="1" customWidth="1"/>
    <col min="154" max="154" width="10.42578125" bestFit="1" customWidth="1"/>
    <col min="155" max="156" width="9.42578125" customWidth="1"/>
    <col min="157" max="157" width="9.42578125" bestFit="1" customWidth="1"/>
    <col min="158" max="160" width="9.42578125" customWidth="1"/>
    <col min="161" max="161" width="8.28515625" customWidth="1"/>
    <col min="162" max="162" width="12.5703125" bestFit="1" customWidth="1"/>
    <col min="163" max="163" width="10.42578125" bestFit="1" customWidth="1"/>
    <col min="164" max="166" width="9.42578125" customWidth="1"/>
    <col min="167" max="169" width="9.42578125" bestFit="1" customWidth="1"/>
    <col min="170" max="170" width="8.28515625" customWidth="1"/>
    <col min="171" max="171" width="8.85546875" customWidth="1"/>
    <col min="172" max="172" width="10.42578125" bestFit="1" customWidth="1"/>
    <col min="173" max="178" width="9.42578125" customWidth="1"/>
    <col min="179" max="179" width="8.28515625" customWidth="1"/>
    <col min="180" max="180" width="11.5703125" bestFit="1" customWidth="1"/>
    <col min="181" max="181" width="10.42578125" bestFit="1" customWidth="1"/>
    <col min="182" max="187" width="9.42578125" customWidth="1"/>
    <col min="188" max="188" width="8.28515625" customWidth="1"/>
    <col min="189" max="189" width="11.42578125" bestFit="1" customWidth="1"/>
    <col min="190" max="190" width="10.42578125" bestFit="1" customWidth="1"/>
    <col min="191" max="196" width="9.42578125" customWidth="1"/>
    <col min="197" max="197" width="8.28515625" customWidth="1"/>
    <col min="198" max="198" width="11.5703125" bestFit="1" customWidth="1"/>
    <col min="199" max="199" width="10.42578125" bestFit="1" customWidth="1"/>
    <col min="200" max="205" width="9.42578125" customWidth="1"/>
    <col min="206" max="206" width="8.28515625" customWidth="1"/>
    <col min="207" max="207" width="11.85546875" bestFit="1" customWidth="1"/>
    <col min="208" max="208" width="10.7109375" bestFit="1" customWidth="1"/>
    <col min="209" max="214" width="10.42578125" bestFit="1" customWidth="1"/>
    <col min="216" max="223" width="10.42578125" bestFit="1" customWidth="1"/>
    <col min="224" max="224" width="8.85546875" bestFit="1" customWidth="1"/>
    <col min="225" max="232" width="10.42578125" bestFit="1" customWidth="1"/>
    <col min="233" max="233" width="9.85546875" bestFit="1" customWidth="1"/>
    <col min="234" max="236" width="9.42578125" bestFit="1" customWidth="1"/>
    <col min="237" max="237" width="9.85546875" bestFit="1" customWidth="1"/>
    <col min="238" max="245" width="10.42578125" bestFit="1" customWidth="1"/>
    <col min="246" max="246" width="11.140625" bestFit="1" customWidth="1"/>
    <col min="247" max="254" width="10.42578125" bestFit="1" customWidth="1"/>
    <col min="255" max="255" width="11.140625" bestFit="1" customWidth="1"/>
    <col min="256" max="263" width="10.42578125" bestFit="1" customWidth="1"/>
    <col min="264" max="264" width="10" bestFit="1" customWidth="1"/>
    <col min="265" max="272" width="10.42578125" bestFit="1" customWidth="1"/>
    <col min="273" max="273" width="8.85546875" bestFit="1" customWidth="1"/>
    <col min="274" max="281" width="10.42578125" bestFit="1" customWidth="1"/>
    <col min="282" max="282" width="7.7109375" customWidth="1"/>
    <col min="283" max="290" width="10.42578125" bestFit="1" customWidth="1"/>
    <col min="291" max="291" width="12.140625" bestFit="1" customWidth="1"/>
    <col min="292" max="299" width="10.42578125" bestFit="1" customWidth="1"/>
    <col min="300" max="300" width="8.5703125" customWidth="1"/>
    <col min="301" max="308" width="10.42578125" bestFit="1" customWidth="1"/>
    <col min="309" max="309" width="7.7109375" customWidth="1"/>
    <col min="310" max="317" width="10.42578125" bestFit="1" customWidth="1"/>
    <col min="318" max="318" width="12.140625" bestFit="1" customWidth="1"/>
    <col min="319" max="326" width="10.42578125" bestFit="1" customWidth="1"/>
    <col min="327" max="327" width="8.5703125" customWidth="1"/>
    <col min="328" max="335" width="10.42578125" bestFit="1" customWidth="1"/>
    <col min="336" max="336" width="7.7109375" customWidth="1"/>
    <col min="337" max="344" width="10.42578125" bestFit="1" customWidth="1"/>
    <col min="345" max="345" width="12.140625" bestFit="1" customWidth="1"/>
    <col min="346" max="353" width="10.42578125" bestFit="1" customWidth="1"/>
    <col min="354" max="354" width="8.5703125" customWidth="1"/>
    <col min="355" max="362" width="10.42578125" bestFit="1" customWidth="1"/>
    <col min="363" max="363" width="7.7109375" customWidth="1"/>
    <col min="364" max="371" width="10.42578125" bestFit="1" customWidth="1"/>
    <col min="372" max="372" width="12.140625" bestFit="1" customWidth="1"/>
    <col min="373" max="380" width="10.42578125" bestFit="1" customWidth="1"/>
    <col min="381" max="381" width="8.5703125" customWidth="1"/>
    <col min="382" max="389" width="11.42578125" bestFit="1" customWidth="1"/>
    <col min="390" max="390" width="8.85546875" bestFit="1" customWidth="1"/>
    <col min="391" max="398" width="10.42578125" bestFit="1" customWidth="1"/>
    <col min="399" max="399" width="8.85546875" bestFit="1" customWidth="1"/>
    <col min="400" max="407" width="10.42578125" bestFit="1" customWidth="1"/>
    <col min="408" max="408" width="8.85546875" bestFit="1" customWidth="1"/>
    <col min="409" max="416" width="10.42578125" bestFit="1" customWidth="1"/>
    <col min="417" max="417" width="8.85546875" bestFit="1" customWidth="1"/>
    <col min="418" max="425" width="10.42578125" bestFit="1" customWidth="1"/>
    <col min="426" max="426" width="9.140625" bestFit="1" customWidth="1"/>
    <col min="427" max="434" width="10.42578125" bestFit="1" customWidth="1"/>
    <col min="435" max="435" width="11.42578125" bestFit="1" customWidth="1"/>
    <col min="436" max="443" width="10.42578125" bestFit="1" customWidth="1"/>
    <col min="444" max="444" width="11.5703125" bestFit="1" customWidth="1"/>
    <col min="445" max="451" width="9.42578125" bestFit="1" customWidth="1"/>
    <col min="452" max="452" width="11.140625" bestFit="1" customWidth="1"/>
    <col min="453" max="460" width="10.85546875" bestFit="1" customWidth="1"/>
    <col min="461" max="461" width="13.85546875" bestFit="1" customWidth="1"/>
    <col min="462" max="469" width="10.42578125" bestFit="1" customWidth="1"/>
    <col min="470" max="470" width="12.5703125" bestFit="1" customWidth="1"/>
    <col min="471" max="478" width="10.42578125" bestFit="1" customWidth="1"/>
    <col min="479" max="479" width="8.85546875" bestFit="1" customWidth="1"/>
    <col min="480" max="487" width="10.42578125" bestFit="1" customWidth="1"/>
    <col min="488" max="488" width="11.5703125" bestFit="1" customWidth="1"/>
    <col min="489" max="496" width="10.42578125" bestFit="1" customWidth="1"/>
    <col min="497" max="497" width="11.42578125" bestFit="1" customWidth="1"/>
    <col min="498" max="505" width="10.42578125" bestFit="1" customWidth="1"/>
    <col min="506" max="506" width="11.5703125" bestFit="1" customWidth="1"/>
    <col min="507" max="514" width="10.42578125" bestFit="1" customWidth="1"/>
    <col min="515" max="515" width="11.85546875" bestFit="1" customWidth="1"/>
    <col min="516" max="523" width="10.42578125" bestFit="1" customWidth="1"/>
    <col min="524" max="524" width="9.140625" bestFit="1" customWidth="1"/>
    <col min="525" max="532" width="10.42578125" bestFit="1" customWidth="1"/>
    <col min="533" max="533" width="11.42578125" bestFit="1" customWidth="1"/>
    <col min="534" max="541" width="10.42578125" bestFit="1" customWidth="1"/>
    <col min="542" max="542" width="11.5703125" bestFit="1" customWidth="1"/>
    <col min="543" max="549" width="9.42578125" bestFit="1" customWidth="1"/>
    <col min="550" max="550" width="11.140625" bestFit="1" customWidth="1"/>
    <col min="551" max="558" width="10.85546875" bestFit="1" customWidth="1"/>
    <col min="559" max="559" width="13.85546875" bestFit="1" customWidth="1"/>
    <col min="560" max="567" width="10.42578125" bestFit="1" customWidth="1"/>
    <col min="568" max="568" width="12.5703125" bestFit="1" customWidth="1"/>
    <col min="569" max="576" width="10.42578125" bestFit="1" customWidth="1"/>
    <col min="577" max="577" width="8.85546875" bestFit="1" customWidth="1"/>
    <col min="578" max="585" width="10.42578125" bestFit="1" customWidth="1"/>
    <col min="586" max="586" width="11.5703125" bestFit="1" customWidth="1"/>
    <col min="587" max="594" width="10.42578125" bestFit="1" customWidth="1"/>
    <col min="595" max="595" width="11.42578125" bestFit="1" customWidth="1"/>
    <col min="596" max="603" width="10.42578125" bestFit="1" customWidth="1"/>
    <col min="604" max="604" width="11.5703125" bestFit="1" customWidth="1"/>
    <col min="605" max="612" width="10.42578125" bestFit="1" customWidth="1"/>
    <col min="613" max="613" width="11.85546875" bestFit="1" customWidth="1"/>
    <col min="614" max="621" width="10.42578125" bestFit="1" customWidth="1"/>
    <col min="622" max="622" width="9.140625" bestFit="1" customWidth="1"/>
    <col min="623" max="630" width="10.42578125" bestFit="1" customWidth="1"/>
    <col min="631" max="631" width="11.42578125" bestFit="1" customWidth="1"/>
    <col min="632" max="639" width="10.42578125" bestFit="1" customWidth="1"/>
    <col min="640" max="640" width="11.5703125" bestFit="1" customWidth="1"/>
    <col min="641" max="647" width="9.42578125" bestFit="1" customWidth="1"/>
    <col min="648" max="648" width="11.140625" bestFit="1" customWidth="1"/>
    <col min="649" max="656" width="10.85546875" bestFit="1" customWidth="1"/>
    <col min="657" max="657" width="13.85546875" bestFit="1" customWidth="1"/>
    <col min="658" max="665" width="10.42578125" bestFit="1" customWidth="1"/>
    <col min="666" max="666" width="12.5703125" bestFit="1" customWidth="1"/>
    <col min="667" max="674" width="10.42578125" bestFit="1" customWidth="1"/>
    <col min="675" max="675" width="8.85546875" bestFit="1" customWidth="1"/>
    <col min="676" max="683" width="10.42578125" bestFit="1" customWidth="1"/>
    <col min="684" max="684" width="11.5703125" bestFit="1" customWidth="1"/>
    <col min="685" max="692" width="10.42578125" bestFit="1" customWidth="1"/>
    <col min="693" max="693" width="11.42578125" bestFit="1" customWidth="1"/>
    <col min="694" max="701" width="10.42578125" bestFit="1" customWidth="1"/>
    <col min="702" max="702" width="11.5703125" bestFit="1" customWidth="1"/>
    <col min="703" max="710" width="10.42578125" bestFit="1" customWidth="1"/>
    <col min="711" max="711" width="11.85546875" bestFit="1" customWidth="1"/>
    <col min="712" max="719" width="10.42578125" bestFit="1" customWidth="1"/>
    <col min="720" max="720" width="9.140625" bestFit="1" customWidth="1"/>
    <col min="721" max="728" width="10.42578125" bestFit="1" customWidth="1"/>
    <col min="729" max="729" width="11.42578125" bestFit="1" customWidth="1"/>
    <col min="730" max="737" width="10.42578125" bestFit="1" customWidth="1"/>
    <col min="738" max="738" width="11.5703125" bestFit="1" customWidth="1"/>
    <col min="739" max="745" width="9.42578125" bestFit="1" customWidth="1"/>
    <col min="746" max="746" width="11.140625" bestFit="1" customWidth="1"/>
    <col min="747" max="754" width="10.85546875" bestFit="1" customWidth="1"/>
    <col min="755" max="755" width="13.85546875" bestFit="1" customWidth="1"/>
    <col min="756" max="763" width="10.42578125" bestFit="1" customWidth="1"/>
    <col min="764" max="764" width="12.5703125" bestFit="1" customWidth="1"/>
    <col min="765" max="772" width="10.42578125" bestFit="1" customWidth="1"/>
    <col min="773" max="773" width="8.85546875" bestFit="1" customWidth="1"/>
    <col min="774" max="781" width="10.42578125" bestFit="1" customWidth="1"/>
    <col min="782" max="782" width="11.5703125" bestFit="1" customWidth="1"/>
    <col min="783" max="790" width="10.42578125" bestFit="1" customWidth="1"/>
    <col min="791" max="791" width="11.42578125" bestFit="1" customWidth="1"/>
    <col min="792" max="799" width="10.42578125" bestFit="1" customWidth="1"/>
    <col min="800" max="800" width="11.5703125" bestFit="1" customWidth="1"/>
    <col min="801" max="808" width="10.42578125" bestFit="1" customWidth="1"/>
    <col min="809" max="809" width="11.85546875" bestFit="1" customWidth="1"/>
    <col min="810" max="810" width="24.85546875" bestFit="1" customWidth="1"/>
    <col min="811" max="811" width="21.140625" bestFit="1" customWidth="1"/>
    <col min="812" max="812" width="24.28515625" bestFit="1" customWidth="1"/>
    <col min="813" max="813" width="20.42578125" bestFit="1" customWidth="1"/>
  </cols>
  <sheetData>
    <row r="1" spans="1:16">
      <c r="A1" s="5" t="s">
        <v>113</v>
      </c>
      <c r="B1" s="5" t="s">
        <v>295</v>
      </c>
      <c r="C1" s="5" t="s">
        <v>10</v>
      </c>
    </row>
    <row r="2" spans="1:16">
      <c r="A2" s="24" t="s">
        <v>79</v>
      </c>
      <c r="B2" t="s">
        <v>288</v>
      </c>
    </row>
    <row r="3" spans="1:16">
      <c r="A3" s="24" t="s">
        <v>95</v>
      </c>
      <c r="B3" t="s">
        <v>288</v>
      </c>
      <c r="G3" s="13" t="s">
        <v>183</v>
      </c>
    </row>
    <row r="4" spans="1:16">
      <c r="A4" s="24" t="s">
        <v>0</v>
      </c>
      <c r="B4" t="s">
        <v>286</v>
      </c>
      <c r="F4" s="336" t="s">
        <v>102</v>
      </c>
      <c r="G4" s="356">
        <v>43098</v>
      </c>
      <c r="H4" s="356">
        <v>43100</v>
      </c>
      <c r="I4" s="356">
        <v>43131</v>
      </c>
      <c r="J4" s="356">
        <v>43159</v>
      </c>
      <c r="K4" s="356">
        <v>43188</v>
      </c>
      <c r="L4" s="356">
        <v>43220</v>
      </c>
      <c r="M4" s="356">
        <v>43251</v>
      </c>
      <c r="N4" s="356">
        <v>43280</v>
      </c>
      <c r="O4" s="130">
        <v>43312</v>
      </c>
      <c r="P4" t="s">
        <v>182</v>
      </c>
    </row>
    <row r="5" spans="1:16" ht="30">
      <c r="A5" s="24" t="s">
        <v>96</v>
      </c>
      <c r="B5" t="s">
        <v>287</v>
      </c>
      <c r="F5" s="337" t="s">
        <v>282</v>
      </c>
      <c r="G5" s="127"/>
      <c r="H5" s="127"/>
      <c r="I5" s="127"/>
      <c r="J5" s="127"/>
      <c r="K5" s="127"/>
      <c r="L5" s="127"/>
      <c r="M5" s="127"/>
      <c r="N5" s="127"/>
      <c r="O5" s="127"/>
      <c r="P5" s="127"/>
    </row>
    <row r="6" spans="1:16">
      <c r="A6" s="24" t="s">
        <v>83</v>
      </c>
      <c r="B6" t="s">
        <v>288</v>
      </c>
      <c r="F6" s="337" t="s">
        <v>286</v>
      </c>
      <c r="G6" s="127"/>
      <c r="H6" s="127"/>
      <c r="I6" s="127"/>
      <c r="J6" s="127"/>
      <c r="K6" s="127"/>
      <c r="L6" s="127"/>
      <c r="M6" s="127"/>
      <c r="N6" s="127"/>
      <c r="O6" s="127"/>
      <c r="P6" s="127"/>
    </row>
    <row r="7" spans="1:16">
      <c r="A7" s="24" t="s">
        <v>136</v>
      </c>
      <c r="B7" t="s">
        <v>286</v>
      </c>
      <c r="F7" s="337" t="s">
        <v>0</v>
      </c>
      <c r="G7" s="127">
        <v>0</v>
      </c>
      <c r="H7" s="127"/>
      <c r="I7" s="127">
        <v>0</v>
      </c>
      <c r="J7" s="127">
        <v>0</v>
      </c>
      <c r="K7" s="127">
        <v>0</v>
      </c>
      <c r="L7" s="127">
        <v>0</v>
      </c>
      <c r="M7" s="127">
        <v>0</v>
      </c>
      <c r="N7" s="127">
        <v>0</v>
      </c>
      <c r="O7" s="127">
        <v>0</v>
      </c>
      <c r="P7" s="127">
        <v>0</v>
      </c>
    </row>
    <row r="8" spans="1:16">
      <c r="A8" s="24" t="s">
        <v>175</v>
      </c>
      <c r="B8" t="s">
        <v>286</v>
      </c>
      <c r="F8" s="337" t="s">
        <v>136</v>
      </c>
      <c r="G8" s="127">
        <v>0.18145</v>
      </c>
      <c r="H8" s="127"/>
      <c r="I8" s="127">
        <v>0.1878348</v>
      </c>
      <c r="J8" s="127">
        <v>0.14811841000000001</v>
      </c>
      <c r="K8" s="127">
        <v>0.52270699369849027</v>
      </c>
      <c r="L8" s="127">
        <v>0.1875794593</v>
      </c>
      <c r="M8" s="127">
        <v>0.1802445</v>
      </c>
      <c r="N8" s="127">
        <v>0.18174040000000005</v>
      </c>
      <c r="O8" s="127">
        <v>0.18174040000000005</v>
      </c>
      <c r="P8" s="127">
        <v>1.7714149629984903</v>
      </c>
    </row>
    <row r="9" spans="1:16">
      <c r="A9" s="24" t="s">
        <v>273</v>
      </c>
      <c r="B9" t="s">
        <v>286</v>
      </c>
      <c r="F9" s="337" t="s">
        <v>175</v>
      </c>
      <c r="G9" s="127">
        <v>0.115</v>
      </c>
      <c r="H9" s="127"/>
      <c r="I9" s="127">
        <v>0.52316344999999997</v>
      </c>
      <c r="J9" s="127">
        <v>0.10928947999999999</v>
      </c>
      <c r="K9" s="127">
        <v>0</v>
      </c>
      <c r="L9" s="127">
        <v>0</v>
      </c>
      <c r="M9" s="127">
        <v>0</v>
      </c>
      <c r="N9" s="127">
        <v>0</v>
      </c>
      <c r="O9" s="127">
        <v>0</v>
      </c>
      <c r="P9" s="127">
        <v>0.7474529299999999</v>
      </c>
    </row>
    <row r="10" spans="1:16">
      <c r="A10" s="24" t="s">
        <v>94</v>
      </c>
      <c r="B10" t="s">
        <v>287</v>
      </c>
      <c r="F10" s="337" t="s">
        <v>273</v>
      </c>
      <c r="G10" s="127"/>
      <c r="H10" s="127"/>
      <c r="I10" s="127"/>
      <c r="J10" s="127"/>
      <c r="K10" s="127"/>
      <c r="L10" s="127"/>
      <c r="M10" s="127"/>
      <c r="N10" s="127">
        <v>1.5512989999999999E-2</v>
      </c>
      <c r="O10" s="127">
        <v>1.5512989999999999E-2</v>
      </c>
      <c r="P10" s="127">
        <v>3.1025979999999998E-2</v>
      </c>
    </row>
    <row r="11" spans="1:16">
      <c r="A11" s="24" t="s">
        <v>92</v>
      </c>
      <c r="B11" t="s">
        <v>287</v>
      </c>
      <c r="F11" s="337" t="s">
        <v>188</v>
      </c>
      <c r="G11" s="127">
        <v>0</v>
      </c>
      <c r="H11" s="127"/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</row>
    <row r="12" spans="1:16">
      <c r="A12" s="24" t="s">
        <v>188</v>
      </c>
      <c r="B12" t="s">
        <v>286</v>
      </c>
      <c r="F12" s="337" t="s">
        <v>189</v>
      </c>
      <c r="G12" s="127">
        <v>0</v>
      </c>
      <c r="H12" s="127"/>
      <c r="I12" s="127">
        <v>0</v>
      </c>
      <c r="J12" s="127">
        <v>0</v>
      </c>
      <c r="K12" s="127">
        <v>0</v>
      </c>
      <c r="L12" s="127">
        <v>0</v>
      </c>
      <c r="M12" s="127">
        <v>0</v>
      </c>
      <c r="N12" s="127">
        <v>0</v>
      </c>
      <c r="O12" s="127">
        <v>0</v>
      </c>
      <c r="P12" s="127">
        <v>0</v>
      </c>
    </row>
    <row r="13" spans="1:16">
      <c r="A13" s="24" t="s">
        <v>189</v>
      </c>
      <c r="B13" t="s">
        <v>286</v>
      </c>
      <c r="F13" s="337" t="s">
        <v>149</v>
      </c>
      <c r="G13" s="127">
        <v>3.1829999999999997E-2</v>
      </c>
      <c r="H13" s="127"/>
      <c r="I13" s="127">
        <v>3.6220299999999997E-2</v>
      </c>
      <c r="J13" s="127">
        <v>3.07324E-2</v>
      </c>
      <c r="K13" s="127">
        <v>3.1829974438904118E-2</v>
      </c>
      <c r="L13" s="127">
        <v>3.1829974438904118E-2</v>
      </c>
      <c r="M13" s="127">
        <v>3.4025199999999999E-2</v>
      </c>
      <c r="N13" s="127">
        <v>3.1829959999999997E-2</v>
      </c>
      <c r="O13" s="127">
        <v>3.1829959999999997E-2</v>
      </c>
      <c r="P13" s="127">
        <v>0.26012776887780825</v>
      </c>
    </row>
    <row r="14" spans="1:16">
      <c r="A14" s="24" t="s">
        <v>149</v>
      </c>
      <c r="B14" t="s">
        <v>286</v>
      </c>
      <c r="F14" s="337" t="s">
        <v>15</v>
      </c>
      <c r="G14" s="127">
        <v>3.34857E-2</v>
      </c>
      <c r="H14" s="127"/>
      <c r="I14" s="127">
        <v>2.74089E-2</v>
      </c>
      <c r="J14" s="127">
        <v>2.2729599999999999E-2</v>
      </c>
      <c r="K14" s="127">
        <v>2.3135317292604124E-2</v>
      </c>
      <c r="L14" s="127">
        <v>2.2740659574798032E-2</v>
      </c>
      <c r="M14" s="127">
        <v>2.2104527998406617E-2</v>
      </c>
      <c r="N14" s="127">
        <v>2.16399E-2</v>
      </c>
      <c r="O14" s="127">
        <v>2.16399E-2</v>
      </c>
      <c r="P14" s="127">
        <v>0.19488450486580874</v>
      </c>
    </row>
    <row r="15" spans="1:16">
      <c r="A15" s="24" t="s">
        <v>90</v>
      </c>
      <c r="B15" t="s">
        <v>288</v>
      </c>
      <c r="F15" s="337" t="s">
        <v>287</v>
      </c>
      <c r="G15" s="127"/>
      <c r="H15" s="127"/>
      <c r="I15" s="127"/>
      <c r="J15" s="127"/>
      <c r="K15" s="127"/>
      <c r="L15" s="127"/>
      <c r="M15" s="127"/>
      <c r="N15" s="127"/>
      <c r="O15" s="127"/>
      <c r="P15" s="127"/>
    </row>
    <row r="16" spans="1:16">
      <c r="A16" s="24" t="s">
        <v>32</v>
      </c>
      <c r="B16" t="s">
        <v>289</v>
      </c>
      <c r="F16" s="337" t="s">
        <v>33</v>
      </c>
      <c r="G16" s="127">
        <v>6.6666666666666666E-2</v>
      </c>
      <c r="H16" s="127"/>
      <c r="I16" s="127">
        <v>6.6666666666666666E-2</v>
      </c>
      <c r="J16" s="127">
        <v>6.6666666666666666E-2</v>
      </c>
      <c r="K16" s="127">
        <v>6.6666666666666666E-2</v>
      </c>
      <c r="L16" s="127">
        <v>6.6666666666666666E-2</v>
      </c>
      <c r="M16" s="127">
        <v>6.6666666666666666E-2</v>
      </c>
      <c r="N16" s="127">
        <v>6.6666666666666666E-2</v>
      </c>
      <c r="O16" s="127">
        <v>6.6666666666666666E-2</v>
      </c>
      <c r="P16" s="127">
        <v>0.53333333333333333</v>
      </c>
    </row>
    <row r="17" spans="1:16">
      <c r="A17" s="24" t="s">
        <v>163</v>
      </c>
      <c r="B17" t="s">
        <v>288</v>
      </c>
      <c r="F17" s="337" t="s">
        <v>78</v>
      </c>
      <c r="G17" s="127">
        <v>2.9227954838333334E-2</v>
      </c>
      <c r="H17" s="127"/>
      <c r="I17" s="127">
        <v>3.3105149989999992E-2</v>
      </c>
      <c r="J17" s="127">
        <v>2.7657223642222225E-2</v>
      </c>
      <c r="K17" s="127">
        <v>2.7657223642222225E-2</v>
      </c>
      <c r="L17" s="127">
        <v>2.7657223642222225E-2</v>
      </c>
      <c r="M17" s="127">
        <v>2.7657223642222225E-2</v>
      </c>
      <c r="N17" s="127">
        <v>2.7657223642222225E-2</v>
      </c>
      <c r="O17" s="127">
        <v>2.7657223642222225E-2</v>
      </c>
      <c r="P17" s="127">
        <v>0.22827644668166669</v>
      </c>
    </row>
    <row r="18" spans="1:16">
      <c r="A18" s="24" t="s">
        <v>15</v>
      </c>
      <c r="B18" t="s">
        <v>286</v>
      </c>
      <c r="F18" s="337" t="s">
        <v>19</v>
      </c>
      <c r="G18" s="127">
        <v>3.3333333333333333E-2</v>
      </c>
      <c r="H18" s="127"/>
      <c r="I18" s="127">
        <v>3.3333333333333333E-2</v>
      </c>
      <c r="J18" s="127">
        <v>3.3333333333333333E-2</v>
      </c>
      <c r="K18" s="127">
        <v>3.3333333333333333E-2</v>
      </c>
      <c r="L18" s="127">
        <v>3.3333333333333333E-2</v>
      </c>
      <c r="M18" s="127">
        <v>3.3333333333333333E-2</v>
      </c>
      <c r="N18" s="127">
        <v>3.3333333333333333E-2</v>
      </c>
      <c r="O18" s="127">
        <v>3.3333333333333333E-2</v>
      </c>
      <c r="P18" s="127">
        <v>0.26666666666666666</v>
      </c>
    </row>
    <row r="19" spans="1:16">
      <c r="A19" s="24" t="s">
        <v>91</v>
      </c>
      <c r="B19" t="s">
        <v>288</v>
      </c>
      <c r="F19" s="337" t="s">
        <v>289</v>
      </c>
      <c r="G19" s="127"/>
      <c r="H19" s="127"/>
      <c r="I19" s="127"/>
      <c r="J19" s="127"/>
      <c r="K19" s="127"/>
      <c r="L19" s="127"/>
      <c r="M19" s="127"/>
      <c r="N19" s="127"/>
      <c r="O19" s="127"/>
      <c r="P19" s="127"/>
    </row>
    <row r="20" spans="1:16">
      <c r="A20" s="24" t="s">
        <v>89</v>
      </c>
      <c r="B20" t="s">
        <v>288</v>
      </c>
      <c r="F20" s="337" t="s">
        <v>32</v>
      </c>
      <c r="G20" s="127">
        <v>5.8500000000000003E-2</v>
      </c>
      <c r="H20" s="127"/>
      <c r="I20" s="127">
        <v>5.8500000000000003E-2</v>
      </c>
      <c r="J20" s="127">
        <v>5.8500000000000003E-2</v>
      </c>
      <c r="K20" s="127">
        <v>7.4489166666666676E-2</v>
      </c>
      <c r="L20" s="127">
        <v>7.4489166666666676E-2</v>
      </c>
      <c r="M20" s="127">
        <v>7.4489166666666676E-2</v>
      </c>
      <c r="N20" s="127">
        <v>7.4489166666666676E-2</v>
      </c>
      <c r="O20" s="127">
        <v>7.4489166666666676E-2</v>
      </c>
      <c r="P20" s="127">
        <v>0.54794583333333335</v>
      </c>
    </row>
    <row r="21" spans="1:16">
      <c r="A21" s="24" t="s">
        <v>93</v>
      </c>
      <c r="B21" t="s">
        <v>288</v>
      </c>
      <c r="F21" s="337" t="s">
        <v>288</v>
      </c>
      <c r="G21" s="127"/>
      <c r="H21" s="127"/>
      <c r="I21" s="127"/>
      <c r="J21" s="127"/>
      <c r="K21" s="127"/>
      <c r="L21" s="127"/>
      <c r="M21" s="127"/>
      <c r="N21" s="127"/>
      <c r="O21" s="127"/>
      <c r="P21" s="127"/>
    </row>
    <row r="22" spans="1:16">
      <c r="A22" s="24" t="s">
        <v>84</v>
      </c>
      <c r="B22" t="s">
        <v>288</v>
      </c>
      <c r="F22" s="337" t="s">
        <v>79</v>
      </c>
      <c r="G22" s="127">
        <v>1.2677599999999999E-3</v>
      </c>
      <c r="H22" s="127"/>
      <c r="I22" s="127">
        <v>1.4426199999999999E-3</v>
      </c>
      <c r="J22" s="127">
        <v>1.22404E-3</v>
      </c>
      <c r="K22" s="127">
        <v>1.50522E-3</v>
      </c>
      <c r="L22" s="127">
        <v>1.6609300000000001E-3</v>
      </c>
      <c r="M22" s="127">
        <v>1.6090200000000001E-3</v>
      </c>
      <c r="N22" s="127">
        <v>1.50522E-3</v>
      </c>
      <c r="O22" s="127">
        <v>1.50522E-3</v>
      </c>
      <c r="P22" s="127">
        <v>1.1720029999999999E-2</v>
      </c>
    </row>
    <row r="23" spans="1:16">
      <c r="A23" s="24" t="s">
        <v>33</v>
      </c>
      <c r="B23" t="s">
        <v>287</v>
      </c>
      <c r="F23" s="337" t="s">
        <v>83</v>
      </c>
      <c r="G23" s="127">
        <v>4.1666666666666666E-3</v>
      </c>
      <c r="H23" s="127"/>
      <c r="I23" s="127">
        <v>4.1666666666666666E-3</v>
      </c>
      <c r="J23" s="127">
        <v>4.1666666666666666E-3</v>
      </c>
      <c r="K23" s="127">
        <v>4.1666666666666666E-3</v>
      </c>
      <c r="L23" s="127">
        <v>4.1666666666666666E-3</v>
      </c>
      <c r="M23" s="127">
        <v>4.1666666666666666E-3</v>
      </c>
      <c r="N23" s="127">
        <v>4.1666666666666666E-3</v>
      </c>
      <c r="O23" s="127">
        <v>4.1666666666666666E-3</v>
      </c>
      <c r="P23" s="127">
        <v>3.3333333333333333E-2</v>
      </c>
    </row>
    <row r="24" spans="1:16">
      <c r="A24" s="24" t="s">
        <v>78</v>
      </c>
      <c r="B24" t="s">
        <v>287</v>
      </c>
      <c r="F24" s="337" t="s">
        <v>90</v>
      </c>
      <c r="G24" s="127">
        <v>0</v>
      </c>
      <c r="H24" s="127"/>
      <c r="I24" s="127">
        <v>0</v>
      </c>
      <c r="J24" s="127">
        <v>0</v>
      </c>
      <c r="K24" s="127">
        <v>0</v>
      </c>
      <c r="L24" s="127">
        <v>0</v>
      </c>
      <c r="M24" s="127">
        <v>0</v>
      </c>
      <c r="N24" s="127">
        <v>0</v>
      </c>
      <c r="O24" s="127">
        <v>0</v>
      </c>
      <c r="P24" s="127">
        <v>0</v>
      </c>
    </row>
    <row r="25" spans="1:16">
      <c r="A25" s="24" t="s">
        <v>19</v>
      </c>
      <c r="B25" t="s">
        <v>287</v>
      </c>
      <c r="F25" s="337" t="s">
        <v>163</v>
      </c>
      <c r="G25" s="127"/>
      <c r="H25" s="127"/>
      <c r="I25" s="127">
        <v>0</v>
      </c>
      <c r="J25" s="127">
        <v>0</v>
      </c>
      <c r="K25" s="127">
        <v>0</v>
      </c>
      <c r="L25" s="127">
        <v>0</v>
      </c>
      <c r="M25" s="127">
        <v>0</v>
      </c>
      <c r="N25" s="127">
        <v>0</v>
      </c>
      <c r="O25" s="127">
        <v>0</v>
      </c>
      <c r="P25" s="127">
        <v>0</v>
      </c>
    </row>
    <row r="26" spans="1:16">
      <c r="A26" s="24" t="s">
        <v>35</v>
      </c>
      <c r="B26" t="s">
        <v>288</v>
      </c>
      <c r="F26" s="337" t="s">
        <v>91</v>
      </c>
      <c r="G26" s="127">
        <v>3.6111099999999998E-3</v>
      </c>
      <c r="H26" s="127"/>
      <c r="I26" s="127">
        <v>0</v>
      </c>
      <c r="J26" s="127">
        <v>0</v>
      </c>
      <c r="K26" s="127">
        <v>0</v>
      </c>
      <c r="L26" s="127">
        <v>6.3888900000000004E-3</v>
      </c>
      <c r="M26" s="127">
        <v>6.3888900000000004E-3</v>
      </c>
      <c r="N26" s="127">
        <v>6.3888900000000004E-3</v>
      </c>
      <c r="O26" s="127">
        <v>6.3888900000000004E-3</v>
      </c>
      <c r="P26" s="127">
        <v>2.9166670000000002E-2</v>
      </c>
    </row>
    <row r="27" spans="1:16">
      <c r="A27" s="24" t="s">
        <v>165</v>
      </c>
      <c r="B27" t="s">
        <v>288</v>
      </c>
      <c r="F27" s="337" t="s">
        <v>89</v>
      </c>
      <c r="G27" s="127">
        <v>0</v>
      </c>
      <c r="H27" s="127"/>
      <c r="I27" s="127">
        <v>0</v>
      </c>
      <c r="J27" s="127">
        <v>0</v>
      </c>
      <c r="K27" s="127">
        <v>0</v>
      </c>
      <c r="L27" s="127">
        <v>0</v>
      </c>
      <c r="M27" s="127">
        <v>0</v>
      </c>
      <c r="N27" s="127">
        <v>0</v>
      </c>
      <c r="O27" s="127">
        <v>0</v>
      </c>
      <c r="P27" s="127">
        <v>0</v>
      </c>
    </row>
    <row r="28" spans="1:16">
      <c r="A28" s="24" t="s">
        <v>88</v>
      </c>
      <c r="B28" t="s">
        <v>288</v>
      </c>
      <c r="F28" s="337" t="s">
        <v>84</v>
      </c>
      <c r="G28" s="127">
        <v>0</v>
      </c>
      <c r="H28" s="127"/>
      <c r="I28" s="127">
        <v>0</v>
      </c>
      <c r="J28" s="127">
        <v>0</v>
      </c>
      <c r="K28" s="127">
        <v>0</v>
      </c>
      <c r="L28" s="127">
        <v>0</v>
      </c>
      <c r="M28" s="127">
        <v>0</v>
      </c>
      <c r="N28" s="127">
        <v>0</v>
      </c>
      <c r="O28" s="127">
        <v>0</v>
      </c>
      <c r="P28" s="127">
        <v>0</v>
      </c>
    </row>
    <row r="29" spans="1:16">
      <c r="A29" s="24" t="s">
        <v>82</v>
      </c>
      <c r="B29" t="s">
        <v>288</v>
      </c>
      <c r="F29" s="337" t="s">
        <v>35</v>
      </c>
      <c r="G29" s="127">
        <v>0</v>
      </c>
      <c r="H29" s="127"/>
      <c r="I29" s="127">
        <v>0</v>
      </c>
      <c r="J29" s="127">
        <v>0</v>
      </c>
      <c r="K29" s="127">
        <v>0</v>
      </c>
      <c r="L29" s="127">
        <v>0</v>
      </c>
      <c r="M29" s="127">
        <v>0</v>
      </c>
      <c r="N29" s="127">
        <v>0</v>
      </c>
      <c r="O29" s="127">
        <v>0</v>
      </c>
      <c r="P29" s="127">
        <v>0</v>
      </c>
    </row>
    <row r="30" spans="1:16">
      <c r="F30" s="337" t="s">
        <v>165</v>
      </c>
      <c r="G30" s="127"/>
      <c r="H30" s="127">
        <v>0</v>
      </c>
      <c r="I30" s="127">
        <v>0</v>
      </c>
      <c r="J30" s="127">
        <v>0</v>
      </c>
      <c r="K30" s="127">
        <v>0</v>
      </c>
      <c r="L30" s="127">
        <v>0</v>
      </c>
      <c r="M30" s="127">
        <v>0</v>
      </c>
      <c r="N30" s="127">
        <v>0</v>
      </c>
      <c r="O30" s="127">
        <v>0</v>
      </c>
      <c r="P30" s="127">
        <v>0</v>
      </c>
    </row>
    <row r="31" spans="1:16">
      <c r="F31" s="337" t="s">
        <v>88</v>
      </c>
      <c r="G31" s="127">
        <v>4.0280000000000003E-3</v>
      </c>
      <c r="H31" s="127"/>
      <c r="I31" s="127">
        <v>4.5830000000000003E-3</v>
      </c>
      <c r="J31" s="127">
        <v>3.8890000000000001E-3</v>
      </c>
      <c r="K31" s="127">
        <v>3.8890000000000001E-3</v>
      </c>
      <c r="L31" s="127">
        <v>4.44444E-3</v>
      </c>
      <c r="M31" s="127">
        <v>4.3055600000000008E-3</v>
      </c>
      <c r="N31" s="127">
        <v>4.0277799999999999E-3</v>
      </c>
      <c r="O31" s="127">
        <v>4.0277799999999999E-3</v>
      </c>
      <c r="P31" s="127">
        <v>3.3194560000000005E-2</v>
      </c>
    </row>
    <row r="32" spans="1:16">
      <c r="F32" s="337" t="s">
        <v>82</v>
      </c>
      <c r="G32" s="127">
        <v>5.2388741666666667E-3</v>
      </c>
      <c r="H32" s="127"/>
      <c r="I32" s="127">
        <v>5.9614775000000004E-3</v>
      </c>
      <c r="J32" s="127">
        <v>5.0582233333333329E-3</v>
      </c>
      <c r="K32" s="127">
        <v>5.2388741666666667E-3</v>
      </c>
      <c r="L32" s="127">
        <v>5.2388741666666667E-3</v>
      </c>
      <c r="M32" s="127">
        <v>5.2388741666666667E-3</v>
      </c>
      <c r="N32" s="127">
        <v>5.2388741666666667E-3</v>
      </c>
      <c r="O32" s="127">
        <v>5.2388741666666667E-3</v>
      </c>
      <c r="P32" s="127">
        <v>4.2452945833333332E-2</v>
      </c>
    </row>
    <row r="33" spans="6:16">
      <c r="F33" s="337" t="s">
        <v>284</v>
      </c>
      <c r="G33" s="127"/>
      <c r="H33" s="127"/>
      <c r="I33" s="127"/>
      <c r="J33" s="127"/>
      <c r="K33" s="127"/>
      <c r="L33" s="127"/>
      <c r="M33" s="127"/>
      <c r="N33" s="127"/>
      <c r="O33" s="127"/>
      <c r="P33" s="127"/>
    </row>
    <row r="34" spans="6:16">
      <c r="F34" s="337" t="s">
        <v>286</v>
      </c>
      <c r="G34" s="127"/>
      <c r="H34" s="127"/>
      <c r="I34" s="127"/>
      <c r="J34" s="127"/>
      <c r="K34" s="127"/>
      <c r="L34" s="127"/>
      <c r="M34" s="127"/>
      <c r="N34" s="127"/>
      <c r="O34" s="127"/>
      <c r="P34" s="127"/>
    </row>
    <row r="35" spans="6:16">
      <c r="F35" s="337" t="s">
        <v>0</v>
      </c>
      <c r="G35" s="127">
        <v>0</v>
      </c>
      <c r="H35" s="127"/>
      <c r="I35" s="127">
        <v>0</v>
      </c>
      <c r="J35" s="127">
        <v>0</v>
      </c>
      <c r="K35" s="127">
        <v>0</v>
      </c>
      <c r="L35" s="127">
        <v>0</v>
      </c>
      <c r="M35" s="127">
        <v>0</v>
      </c>
      <c r="N35" s="127">
        <v>0</v>
      </c>
      <c r="O35" s="127">
        <v>0</v>
      </c>
      <c r="P35" s="127">
        <v>0</v>
      </c>
    </row>
    <row r="36" spans="6:16">
      <c r="F36" s="337" t="s">
        <v>136</v>
      </c>
      <c r="G36" s="127">
        <v>1.5841000000000001E-2</v>
      </c>
      <c r="H36" s="127"/>
      <c r="I36" s="127">
        <v>0</v>
      </c>
      <c r="J36" s="127">
        <v>0</v>
      </c>
      <c r="K36" s="127">
        <v>0</v>
      </c>
      <c r="L36" s="127">
        <v>0</v>
      </c>
      <c r="M36" s="127">
        <v>0</v>
      </c>
      <c r="N36" s="127">
        <v>0</v>
      </c>
      <c r="O36" s="127">
        <v>0</v>
      </c>
      <c r="P36" s="127">
        <v>1.5841000000000001E-2</v>
      </c>
    </row>
    <row r="37" spans="6:16">
      <c r="F37" s="337" t="s">
        <v>175</v>
      </c>
      <c r="G37" s="127">
        <v>1.6313170731707325E-2</v>
      </c>
      <c r="H37" s="127"/>
      <c r="I37" s="127">
        <v>7.4212649395121968E-2</v>
      </c>
      <c r="J37" s="127">
        <v>0</v>
      </c>
      <c r="K37" s="127">
        <v>0</v>
      </c>
      <c r="L37" s="127">
        <v>0</v>
      </c>
      <c r="M37" s="127">
        <v>0</v>
      </c>
      <c r="N37" s="127">
        <v>0</v>
      </c>
      <c r="O37" s="127">
        <v>0</v>
      </c>
      <c r="P37" s="127">
        <v>9.052582012682929E-2</v>
      </c>
    </row>
    <row r="38" spans="6:16">
      <c r="F38" s="337" t="s">
        <v>273</v>
      </c>
      <c r="G38" s="127"/>
      <c r="H38" s="127"/>
      <c r="I38" s="127"/>
      <c r="J38" s="127"/>
      <c r="K38" s="127"/>
      <c r="L38" s="127"/>
      <c r="M38" s="127"/>
      <c r="N38" s="127"/>
      <c r="O38" s="127"/>
      <c r="P38" s="127"/>
    </row>
    <row r="39" spans="6:16">
      <c r="F39" s="337" t="s">
        <v>188</v>
      </c>
      <c r="G39" s="127">
        <v>0</v>
      </c>
      <c r="H39" s="127"/>
      <c r="I39" s="127">
        <v>0</v>
      </c>
      <c r="J39" s="127">
        <v>0</v>
      </c>
      <c r="K39" s="127">
        <v>0</v>
      </c>
      <c r="L39" s="127">
        <v>0</v>
      </c>
      <c r="M39" s="127">
        <v>0</v>
      </c>
      <c r="N39" s="127">
        <v>0</v>
      </c>
      <c r="O39" s="127">
        <v>0</v>
      </c>
      <c r="P39" s="127">
        <v>0</v>
      </c>
    </row>
    <row r="40" spans="6:16">
      <c r="F40" s="337" t="s">
        <v>189</v>
      </c>
      <c r="G40" s="127">
        <v>0</v>
      </c>
      <c r="H40" s="127"/>
      <c r="I40" s="127">
        <v>0</v>
      </c>
      <c r="J40" s="127">
        <v>0</v>
      </c>
      <c r="K40" s="127">
        <v>0</v>
      </c>
      <c r="L40" s="127">
        <v>0</v>
      </c>
      <c r="M40" s="127">
        <v>0</v>
      </c>
      <c r="N40" s="127">
        <v>0</v>
      </c>
      <c r="O40" s="127">
        <v>0</v>
      </c>
      <c r="P40" s="127">
        <v>0</v>
      </c>
    </row>
    <row r="41" spans="6:16">
      <c r="F41" s="337" t="s">
        <v>149</v>
      </c>
      <c r="G41" s="127">
        <v>2.452764E-2</v>
      </c>
      <c r="H41" s="127"/>
      <c r="I41" s="127">
        <v>2.7910770000000001E-2</v>
      </c>
      <c r="J41" s="127">
        <v>0</v>
      </c>
      <c r="K41" s="127">
        <v>0</v>
      </c>
      <c r="L41" s="127">
        <v>0</v>
      </c>
      <c r="M41" s="127">
        <v>0</v>
      </c>
      <c r="N41" s="127">
        <v>0</v>
      </c>
      <c r="O41" s="127">
        <v>0</v>
      </c>
      <c r="P41" s="127">
        <v>5.2438410000000005E-2</v>
      </c>
    </row>
    <row r="42" spans="6:16">
      <c r="F42" s="337" t="s">
        <v>15</v>
      </c>
      <c r="G42" s="127">
        <v>0</v>
      </c>
      <c r="H42" s="127"/>
      <c r="I42" s="127">
        <v>0</v>
      </c>
      <c r="J42" s="127">
        <v>0</v>
      </c>
      <c r="K42" s="127">
        <v>0</v>
      </c>
      <c r="L42" s="127">
        <v>0</v>
      </c>
      <c r="M42" s="127">
        <v>0</v>
      </c>
      <c r="N42" s="127">
        <v>0</v>
      </c>
      <c r="O42" s="127">
        <v>0</v>
      </c>
      <c r="P42" s="127">
        <v>0</v>
      </c>
    </row>
    <row r="43" spans="6:16">
      <c r="F43" s="337" t="s">
        <v>287</v>
      </c>
      <c r="G43" s="127"/>
      <c r="H43" s="127"/>
      <c r="I43" s="127"/>
      <c r="J43" s="127"/>
      <c r="K43" s="127"/>
      <c r="L43" s="127"/>
      <c r="M43" s="127"/>
      <c r="N43" s="127"/>
      <c r="O43" s="127"/>
      <c r="P43" s="127"/>
    </row>
    <row r="44" spans="6:16">
      <c r="F44" s="337" t="s">
        <v>33</v>
      </c>
      <c r="G44" s="127">
        <v>0</v>
      </c>
      <c r="H44" s="127"/>
      <c r="I44" s="127">
        <v>0</v>
      </c>
      <c r="J44" s="127">
        <v>0</v>
      </c>
      <c r="K44" s="127">
        <v>0</v>
      </c>
      <c r="L44" s="127">
        <v>0</v>
      </c>
      <c r="M44" s="127">
        <v>0</v>
      </c>
      <c r="N44" s="127">
        <v>0</v>
      </c>
      <c r="O44" s="127">
        <v>0</v>
      </c>
      <c r="P44" s="127">
        <v>0</v>
      </c>
    </row>
    <row r="45" spans="6:16">
      <c r="F45" s="337" t="s">
        <v>78</v>
      </c>
      <c r="G45" s="127">
        <v>0</v>
      </c>
      <c r="H45" s="127"/>
      <c r="I45" s="127">
        <v>0</v>
      </c>
      <c r="J45" s="127">
        <v>0</v>
      </c>
      <c r="K45" s="127">
        <v>0</v>
      </c>
      <c r="L45" s="127">
        <v>0</v>
      </c>
      <c r="M45" s="127">
        <v>0</v>
      </c>
      <c r="N45" s="127">
        <v>0</v>
      </c>
      <c r="O45" s="127">
        <v>0</v>
      </c>
      <c r="P45" s="127">
        <v>0</v>
      </c>
    </row>
    <row r="46" spans="6:16">
      <c r="F46" s="337" t="s">
        <v>19</v>
      </c>
      <c r="G46" s="127">
        <v>6.6666666666666671E-3</v>
      </c>
      <c r="H46" s="127"/>
      <c r="I46" s="127">
        <v>6.6666666666666671E-3</v>
      </c>
      <c r="J46" s="127">
        <v>6.6666666666666671E-3</v>
      </c>
      <c r="K46" s="127">
        <v>0</v>
      </c>
      <c r="L46" s="127">
        <v>0</v>
      </c>
      <c r="M46" s="127">
        <v>0</v>
      </c>
      <c r="N46" s="127">
        <v>0</v>
      </c>
      <c r="O46" s="127">
        <v>0</v>
      </c>
      <c r="P46" s="127">
        <v>0.02</v>
      </c>
    </row>
    <row r="47" spans="6:16">
      <c r="F47" s="337" t="s">
        <v>289</v>
      </c>
      <c r="G47" s="127"/>
      <c r="H47" s="127"/>
      <c r="I47" s="127"/>
      <c r="J47" s="127"/>
      <c r="K47" s="127"/>
      <c r="L47" s="127"/>
      <c r="M47" s="127"/>
      <c r="N47" s="127"/>
      <c r="O47" s="127"/>
      <c r="P47" s="127"/>
    </row>
    <row r="48" spans="6:16">
      <c r="F48" s="337" t="s">
        <v>32</v>
      </c>
      <c r="G48" s="127">
        <v>3.5833333333333335E-2</v>
      </c>
      <c r="H48" s="127"/>
      <c r="I48" s="127">
        <v>3.5833333333333335E-2</v>
      </c>
      <c r="J48" s="127">
        <v>3.5833333333333335E-2</v>
      </c>
      <c r="K48" s="127">
        <v>3.5833333333333335E-2</v>
      </c>
      <c r="L48" s="127">
        <v>3.5833333333333335E-2</v>
      </c>
      <c r="M48" s="127">
        <v>3.5833333333333335E-2</v>
      </c>
      <c r="N48" s="127">
        <v>3.5833333333333335E-2</v>
      </c>
      <c r="O48" s="127">
        <v>3.5833333333333335E-2</v>
      </c>
      <c r="P48" s="127">
        <v>0.28666666666666668</v>
      </c>
    </row>
    <row r="49" spans="6:16">
      <c r="F49" s="337" t="s">
        <v>288</v>
      </c>
      <c r="G49" s="127"/>
      <c r="H49" s="127"/>
      <c r="I49" s="127"/>
      <c r="J49" s="127"/>
      <c r="K49" s="127"/>
      <c r="L49" s="127"/>
      <c r="M49" s="127"/>
      <c r="N49" s="127"/>
      <c r="O49" s="127"/>
      <c r="P49" s="127"/>
    </row>
    <row r="50" spans="6:16">
      <c r="F50" s="337" t="s">
        <v>79</v>
      </c>
      <c r="G50" s="127">
        <v>0</v>
      </c>
      <c r="H50" s="127"/>
      <c r="I50" s="127">
        <v>0</v>
      </c>
      <c r="J50" s="127">
        <v>0</v>
      </c>
      <c r="K50" s="127">
        <v>0</v>
      </c>
      <c r="L50" s="127">
        <v>0</v>
      </c>
      <c r="M50" s="127">
        <v>0</v>
      </c>
      <c r="N50" s="127">
        <v>0</v>
      </c>
      <c r="O50" s="127">
        <v>0</v>
      </c>
      <c r="P50" s="127">
        <v>0</v>
      </c>
    </row>
    <row r="51" spans="6:16">
      <c r="F51" s="337" t="s">
        <v>83</v>
      </c>
      <c r="G51" s="127">
        <v>0</v>
      </c>
      <c r="H51" s="127"/>
      <c r="I51" s="127">
        <v>0</v>
      </c>
      <c r="J51" s="127">
        <v>0</v>
      </c>
      <c r="K51" s="127">
        <v>0</v>
      </c>
      <c r="L51" s="127">
        <v>0</v>
      </c>
      <c r="M51" s="127">
        <v>0</v>
      </c>
      <c r="N51" s="127">
        <v>0</v>
      </c>
      <c r="O51" s="127">
        <v>0</v>
      </c>
      <c r="P51" s="127">
        <v>0</v>
      </c>
    </row>
    <row r="52" spans="6:16">
      <c r="F52" s="337" t="s">
        <v>90</v>
      </c>
      <c r="G52" s="127">
        <v>0</v>
      </c>
      <c r="H52" s="127"/>
      <c r="I52" s="127">
        <v>0</v>
      </c>
      <c r="J52" s="127">
        <v>0</v>
      </c>
      <c r="K52" s="127">
        <v>0</v>
      </c>
      <c r="L52" s="127">
        <v>0</v>
      </c>
      <c r="M52" s="127">
        <v>0</v>
      </c>
      <c r="N52" s="127">
        <v>0</v>
      </c>
      <c r="O52" s="127">
        <v>0</v>
      </c>
      <c r="P52" s="127">
        <v>0</v>
      </c>
    </row>
    <row r="53" spans="6:16">
      <c r="F53" s="337" t="s">
        <v>163</v>
      </c>
      <c r="G53" s="127"/>
      <c r="H53" s="127"/>
      <c r="I53" s="127">
        <v>0</v>
      </c>
      <c r="J53" s="127">
        <v>0</v>
      </c>
      <c r="K53" s="127">
        <v>0</v>
      </c>
      <c r="L53" s="127">
        <v>0</v>
      </c>
      <c r="M53" s="127">
        <v>0</v>
      </c>
      <c r="N53" s="127">
        <v>0</v>
      </c>
      <c r="O53" s="127">
        <v>0</v>
      </c>
      <c r="P53" s="127">
        <v>0</v>
      </c>
    </row>
    <row r="54" spans="6:16">
      <c r="F54" s="337" t="s">
        <v>91</v>
      </c>
      <c r="G54" s="127">
        <v>0</v>
      </c>
      <c r="H54" s="127"/>
      <c r="I54" s="127">
        <v>0</v>
      </c>
      <c r="J54" s="127">
        <v>0</v>
      </c>
      <c r="K54" s="127">
        <v>0</v>
      </c>
      <c r="L54" s="127">
        <v>0</v>
      </c>
      <c r="M54" s="127">
        <v>0</v>
      </c>
      <c r="N54" s="127">
        <v>0</v>
      </c>
      <c r="O54" s="127">
        <v>0</v>
      </c>
      <c r="P54" s="127">
        <v>0</v>
      </c>
    </row>
    <row r="55" spans="6:16">
      <c r="F55" s="337" t="s">
        <v>89</v>
      </c>
      <c r="G55" s="127">
        <v>0</v>
      </c>
      <c r="H55" s="127"/>
      <c r="I55" s="127">
        <v>0</v>
      </c>
      <c r="J55" s="127">
        <v>0</v>
      </c>
      <c r="K55" s="127">
        <v>0</v>
      </c>
      <c r="L55" s="127">
        <v>0</v>
      </c>
      <c r="M55" s="127">
        <v>0</v>
      </c>
      <c r="N55" s="127">
        <v>0</v>
      </c>
      <c r="O55" s="127">
        <v>0</v>
      </c>
      <c r="P55" s="127">
        <v>0</v>
      </c>
    </row>
    <row r="56" spans="6:16">
      <c r="F56" s="337" t="s">
        <v>84</v>
      </c>
      <c r="G56" s="127">
        <v>0</v>
      </c>
      <c r="H56" s="127"/>
      <c r="I56" s="127">
        <v>0</v>
      </c>
      <c r="J56" s="127">
        <v>0</v>
      </c>
      <c r="K56" s="127">
        <v>0</v>
      </c>
      <c r="L56" s="127">
        <v>0</v>
      </c>
      <c r="M56" s="127">
        <v>0</v>
      </c>
      <c r="N56" s="127">
        <v>0</v>
      </c>
      <c r="O56" s="127">
        <v>0</v>
      </c>
      <c r="P56" s="127">
        <v>0</v>
      </c>
    </row>
    <row r="57" spans="6:16">
      <c r="F57" s="337" t="s">
        <v>35</v>
      </c>
      <c r="G57" s="127">
        <v>0</v>
      </c>
      <c r="H57" s="127"/>
      <c r="I57" s="127">
        <v>0</v>
      </c>
      <c r="J57" s="127">
        <v>0</v>
      </c>
      <c r="K57" s="127">
        <v>0</v>
      </c>
      <c r="L57" s="127">
        <v>0</v>
      </c>
      <c r="M57" s="127">
        <v>0</v>
      </c>
      <c r="N57" s="127">
        <v>0</v>
      </c>
      <c r="O57" s="127">
        <v>0</v>
      </c>
      <c r="P57" s="127">
        <v>0</v>
      </c>
    </row>
    <row r="58" spans="6:16">
      <c r="F58" s="337" t="s">
        <v>165</v>
      </c>
      <c r="G58" s="127"/>
      <c r="H58" s="127">
        <v>0</v>
      </c>
      <c r="I58" s="127">
        <v>0</v>
      </c>
      <c r="J58" s="127">
        <v>0</v>
      </c>
      <c r="K58" s="127">
        <v>0</v>
      </c>
      <c r="L58" s="127">
        <v>0</v>
      </c>
      <c r="M58" s="127">
        <v>0</v>
      </c>
      <c r="N58" s="127">
        <v>0</v>
      </c>
      <c r="O58" s="127">
        <v>0</v>
      </c>
      <c r="P58" s="127">
        <v>0</v>
      </c>
    </row>
    <row r="59" spans="6:16">
      <c r="F59" s="337" t="s">
        <v>88</v>
      </c>
      <c r="G59" s="127">
        <v>0</v>
      </c>
      <c r="H59" s="127"/>
      <c r="I59" s="127">
        <v>0</v>
      </c>
      <c r="J59" s="127">
        <v>0</v>
      </c>
      <c r="K59" s="127">
        <v>0</v>
      </c>
      <c r="L59" s="127">
        <v>0</v>
      </c>
      <c r="M59" s="127">
        <v>0</v>
      </c>
      <c r="N59" s="127">
        <v>0</v>
      </c>
      <c r="O59" s="127">
        <v>0</v>
      </c>
      <c r="P59" s="127">
        <v>0</v>
      </c>
    </row>
    <row r="60" spans="6:16">
      <c r="F60" s="337" t="s">
        <v>82</v>
      </c>
      <c r="G60" s="127">
        <v>0</v>
      </c>
      <c r="H60" s="127"/>
      <c r="I60" s="127">
        <v>0</v>
      </c>
      <c r="J60" s="127">
        <v>0</v>
      </c>
      <c r="K60" s="127">
        <v>0</v>
      </c>
      <c r="L60" s="127">
        <v>0</v>
      </c>
      <c r="M60" s="127">
        <v>0</v>
      </c>
      <c r="N60" s="127">
        <v>0</v>
      </c>
      <c r="O60" s="127">
        <v>0</v>
      </c>
      <c r="P60" s="127">
        <v>0</v>
      </c>
    </row>
    <row r="61" spans="6:16">
      <c r="F61" s="337" t="s">
        <v>283</v>
      </c>
      <c r="G61" s="127"/>
      <c r="H61" s="127"/>
      <c r="I61" s="127"/>
      <c r="J61" s="127"/>
      <c r="K61" s="127"/>
      <c r="L61" s="127"/>
      <c r="M61" s="127"/>
      <c r="N61" s="127"/>
      <c r="O61" s="127"/>
      <c r="P61" s="127"/>
    </row>
    <row r="62" spans="6:16">
      <c r="F62" s="337" t="s">
        <v>286</v>
      </c>
      <c r="G62" s="127"/>
      <c r="H62" s="127"/>
      <c r="I62" s="127"/>
      <c r="J62" s="127"/>
      <c r="K62" s="127"/>
      <c r="L62" s="127"/>
      <c r="M62" s="127"/>
      <c r="N62" s="127"/>
      <c r="O62" s="127"/>
      <c r="P62" s="127"/>
    </row>
    <row r="63" spans="6:16">
      <c r="F63" s="337" t="s">
        <v>0</v>
      </c>
      <c r="G63" s="127">
        <v>0</v>
      </c>
      <c r="H63" s="127"/>
      <c r="I63" s="127">
        <v>0</v>
      </c>
      <c r="J63" s="127">
        <v>0</v>
      </c>
      <c r="K63" s="127">
        <v>0</v>
      </c>
      <c r="L63" s="127">
        <v>0</v>
      </c>
      <c r="M63" s="127">
        <v>0</v>
      </c>
      <c r="N63" s="127">
        <v>0</v>
      </c>
      <c r="O63" s="127">
        <v>0</v>
      </c>
      <c r="P63" s="127">
        <v>0</v>
      </c>
    </row>
    <row r="64" spans="6:16">
      <c r="F64" s="337" t="s">
        <v>136</v>
      </c>
      <c r="G64" s="127">
        <v>5.4838778599999998</v>
      </c>
      <c r="H64" s="127"/>
      <c r="I64" s="127">
        <v>5.8919093199999999</v>
      </c>
      <c r="J64" s="127">
        <v>5.8751034400000002</v>
      </c>
      <c r="K64" s="127">
        <v>6.2854203005999993</v>
      </c>
      <c r="L64" s="127">
        <v>6.5382740839999993</v>
      </c>
      <c r="M64" s="127">
        <v>6.6947589000000001</v>
      </c>
      <c r="N64" s="127">
        <v>6.7351042718999992</v>
      </c>
      <c r="O64" s="127">
        <v>6.7351042718999992</v>
      </c>
      <c r="P64" s="127">
        <v>50.239552448399991</v>
      </c>
    </row>
    <row r="65" spans="6:16">
      <c r="F65" s="337" t="s">
        <v>175</v>
      </c>
      <c r="G65" s="127">
        <v>0.95243478000000004</v>
      </c>
      <c r="H65" s="127"/>
      <c r="I65" s="127">
        <v>1.3346648700000001</v>
      </c>
      <c r="J65" s="127">
        <v>1.3412580000000001</v>
      </c>
      <c r="K65" s="127">
        <v>1.3709299815</v>
      </c>
      <c r="L65" s="127">
        <v>1.3262478900000001</v>
      </c>
      <c r="M65" s="127">
        <v>1.4089706099999999</v>
      </c>
      <c r="N65" s="127">
        <v>1.3541179800000001</v>
      </c>
      <c r="O65" s="127">
        <v>1.3541179800000001</v>
      </c>
      <c r="P65" s="127">
        <v>10.4427420915</v>
      </c>
    </row>
    <row r="66" spans="6:16">
      <c r="F66" s="337" t="s">
        <v>273</v>
      </c>
      <c r="G66" s="127"/>
      <c r="H66" s="127"/>
      <c r="I66" s="127"/>
      <c r="J66" s="127"/>
      <c r="K66" s="127"/>
      <c r="L66" s="127"/>
      <c r="M66" s="127"/>
      <c r="N66" s="127">
        <v>0</v>
      </c>
      <c r="O66" s="127">
        <v>0</v>
      </c>
      <c r="P66" s="127">
        <v>0</v>
      </c>
    </row>
    <row r="67" spans="6:16">
      <c r="F67" s="337" t="s">
        <v>188</v>
      </c>
      <c r="G67" s="127">
        <v>1.4125804399999999</v>
      </c>
      <c r="H67" s="127"/>
      <c r="I67" s="127">
        <v>1.38604745</v>
      </c>
      <c r="J67" s="127">
        <v>1.4112359999999999</v>
      </c>
      <c r="K67" s="127">
        <v>0.81075208099999996</v>
      </c>
      <c r="L67" s="127">
        <v>0.81773784000000005</v>
      </c>
      <c r="M67" s="127">
        <v>0.66487231000000002</v>
      </c>
      <c r="N67" s="127">
        <v>0.66349272999999998</v>
      </c>
      <c r="O67" s="127">
        <v>0.66349272999999998</v>
      </c>
      <c r="P67" s="127">
        <v>7.8302115809999995</v>
      </c>
    </row>
    <row r="68" spans="6:16">
      <c r="F68" s="337" t="s">
        <v>189</v>
      </c>
      <c r="G68" s="127">
        <v>0.53864325000000002</v>
      </c>
      <c r="H68" s="127"/>
      <c r="I68" s="127">
        <v>0.59253429940000002</v>
      </c>
      <c r="J68" s="127">
        <v>0.49278762999999998</v>
      </c>
      <c r="K68" s="127">
        <v>0.50192933382949523</v>
      </c>
      <c r="L68" s="127">
        <v>0.52646028</v>
      </c>
      <c r="M68" s="127">
        <v>0.45078709</v>
      </c>
      <c r="N68" s="127">
        <v>0.39005529999999999</v>
      </c>
      <c r="O68" s="127">
        <v>0.39005529999999999</v>
      </c>
      <c r="P68" s="127">
        <v>3.8832524832294952</v>
      </c>
    </row>
    <row r="69" spans="6:16">
      <c r="F69" s="337" t="s">
        <v>149</v>
      </c>
      <c r="G69" s="127">
        <v>0</v>
      </c>
      <c r="H69" s="127"/>
      <c r="I69" s="127">
        <v>0</v>
      </c>
      <c r="J69" s="127">
        <v>0</v>
      </c>
      <c r="K69" s="127">
        <v>0</v>
      </c>
      <c r="L69" s="127">
        <v>0</v>
      </c>
      <c r="M69" s="127">
        <v>1.8799999999999999E-4</v>
      </c>
      <c r="N69" s="127">
        <v>1.9698029999999998E-2</v>
      </c>
      <c r="O69" s="127">
        <v>1.9698029999999998E-2</v>
      </c>
      <c r="P69" s="127">
        <v>3.9584059999999997E-2</v>
      </c>
    </row>
    <row r="70" spans="6:16">
      <c r="F70" s="337" t="s">
        <v>15</v>
      </c>
      <c r="G70" s="127">
        <v>0</v>
      </c>
      <c r="H70" s="127"/>
      <c r="I70" s="127">
        <v>0</v>
      </c>
      <c r="J70" s="127">
        <v>0</v>
      </c>
      <c r="K70" s="127">
        <v>0</v>
      </c>
      <c r="L70" s="127">
        <v>0</v>
      </c>
      <c r="M70" s="127">
        <v>0</v>
      </c>
      <c r="N70" s="127">
        <v>0</v>
      </c>
      <c r="O70" s="127">
        <v>0</v>
      </c>
      <c r="P70" s="127">
        <v>0</v>
      </c>
    </row>
    <row r="71" spans="6:16">
      <c r="F71" s="337" t="s">
        <v>287</v>
      </c>
      <c r="G71" s="127"/>
      <c r="H71" s="127"/>
      <c r="I71" s="127"/>
      <c r="J71" s="127"/>
      <c r="K71" s="127"/>
      <c r="L71" s="127"/>
      <c r="M71" s="127"/>
      <c r="N71" s="127"/>
      <c r="O71" s="127"/>
      <c r="P71" s="127"/>
    </row>
    <row r="72" spans="6:16">
      <c r="F72" s="337" t="s">
        <v>33</v>
      </c>
      <c r="G72" s="127">
        <v>0</v>
      </c>
      <c r="H72" s="127"/>
      <c r="I72" s="127">
        <v>0</v>
      </c>
      <c r="J72" s="127">
        <v>0</v>
      </c>
      <c r="K72" s="127">
        <v>0</v>
      </c>
      <c r="L72" s="127">
        <v>0</v>
      </c>
      <c r="M72" s="127">
        <v>0</v>
      </c>
      <c r="N72" s="127">
        <v>0</v>
      </c>
      <c r="O72" s="127">
        <v>0</v>
      </c>
      <c r="P72" s="127">
        <v>0</v>
      </c>
    </row>
    <row r="73" spans="6:16">
      <c r="F73" s="337" t="s">
        <v>78</v>
      </c>
      <c r="G73" s="127">
        <v>0</v>
      </c>
      <c r="H73" s="127"/>
      <c r="I73" s="127">
        <v>0</v>
      </c>
      <c r="J73" s="127">
        <v>0</v>
      </c>
      <c r="K73" s="127">
        <v>0</v>
      </c>
      <c r="L73" s="127">
        <v>0</v>
      </c>
      <c r="M73" s="127">
        <v>0</v>
      </c>
      <c r="N73" s="127">
        <v>0</v>
      </c>
      <c r="O73" s="127">
        <v>0</v>
      </c>
      <c r="P73" s="127">
        <v>0</v>
      </c>
    </row>
    <row r="74" spans="6:16">
      <c r="F74" s="337" t="s">
        <v>19</v>
      </c>
      <c r="G74" s="127">
        <v>0</v>
      </c>
      <c r="H74" s="127"/>
      <c r="I74" s="127">
        <v>0</v>
      </c>
      <c r="J74" s="127">
        <v>0</v>
      </c>
      <c r="K74" s="127">
        <v>0</v>
      </c>
      <c r="L74" s="127">
        <v>0</v>
      </c>
      <c r="M74" s="127">
        <v>0</v>
      </c>
      <c r="N74" s="127">
        <v>0</v>
      </c>
      <c r="O74" s="127">
        <v>0</v>
      </c>
      <c r="P74" s="127">
        <v>0</v>
      </c>
    </row>
    <row r="75" spans="6:16">
      <c r="F75" s="337" t="s">
        <v>289</v>
      </c>
      <c r="G75" s="127"/>
      <c r="H75" s="127"/>
      <c r="I75" s="127"/>
      <c r="J75" s="127"/>
      <c r="K75" s="127"/>
      <c r="L75" s="127"/>
      <c r="M75" s="127"/>
      <c r="N75" s="127"/>
      <c r="O75" s="127"/>
      <c r="P75" s="127"/>
    </row>
    <row r="76" spans="6:16">
      <c r="F76" s="337" t="s">
        <v>32</v>
      </c>
      <c r="G76" s="127">
        <v>0</v>
      </c>
      <c r="H76" s="127"/>
      <c r="I76" s="127">
        <v>0</v>
      </c>
      <c r="J76" s="127">
        <v>0</v>
      </c>
      <c r="K76" s="127"/>
      <c r="L76" s="127"/>
      <c r="M76" s="127"/>
      <c r="N76" s="127"/>
      <c r="O76" s="127"/>
      <c r="P76" s="127">
        <v>0</v>
      </c>
    </row>
    <row r="77" spans="6:16">
      <c r="F77" s="337" t="s">
        <v>288</v>
      </c>
      <c r="G77" s="127"/>
      <c r="H77" s="127"/>
      <c r="I77" s="127"/>
      <c r="J77" s="127"/>
      <c r="K77" s="127"/>
      <c r="L77" s="127"/>
      <c r="M77" s="127"/>
      <c r="N77" s="127"/>
      <c r="O77" s="127"/>
      <c r="P77" s="127"/>
    </row>
    <row r="78" spans="6:16">
      <c r="F78" s="337" t="s">
        <v>79</v>
      </c>
      <c r="G78" s="127">
        <v>0.55134995999999992</v>
      </c>
      <c r="H78" s="127"/>
      <c r="I78" s="127">
        <v>0.5801153</v>
      </c>
      <c r="J78" s="127">
        <v>0.60486085000000001</v>
      </c>
      <c r="K78" s="127">
        <v>0.65972897120560203</v>
      </c>
      <c r="L78" s="127">
        <v>0.65972897120560203</v>
      </c>
      <c r="M78" s="127">
        <v>0.68783880000000008</v>
      </c>
      <c r="N78" s="127">
        <v>0.71213811999999999</v>
      </c>
      <c r="O78" s="127">
        <v>0.71213811999999999</v>
      </c>
      <c r="P78" s="127">
        <v>5.1678990924112034</v>
      </c>
    </row>
    <row r="79" spans="6:16">
      <c r="F79" s="337" t="s">
        <v>83</v>
      </c>
      <c r="G79" s="127">
        <v>0.58699004600000004</v>
      </c>
      <c r="H79" s="127"/>
      <c r="I79" s="127">
        <v>0.58442529650000008</v>
      </c>
      <c r="J79" s="127">
        <v>0.58585529200000008</v>
      </c>
      <c r="K79" s="127">
        <v>0.587337683</v>
      </c>
      <c r="L79" s="127">
        <v>0.58473843000000003</v>
      </c>
      <c r="M79" s="127">
        <v>0.58632788493798649</v>
      </c>
      <c r="N79" s="127">
        <v>0.58783058200000005</v>
      </c>
      <c r="O79" s="127">
        <v>0.58783058200000005</v>
      </c>
      <c r="P79" s="127">
        <v>4.691335796437988</v>
      </c>
    </row>
    <row r="80" spans="6:16">
      <c r="F80" s="337" t="s">
        <v>90</v>
      </c>
      <c r="G80" s="127">
        <v>0</v>
      </c>
      <c r="H80" s="127"/>
      <c r="I80" s="127">
        <v>0</v>
      </c>
      <c r="J80" s="127">
        <v>0</v>
      </c>
      <c r="K80" s="127">
        <v>0</v>
      </c>
      <c r="L80" s="127">
        <v>0</v>
      </c>
      <c r="M80" s="127">
        <v>0</v>
      </c>
      <c r="N80" s="127">
        <v>0</v>
      </c>
      <c r="O80" s="127">
        <v>0</v>
      </c>
      <c r="P80" s="127">
        <v>0</v>
      </c>
    </row>
    <row r="81" spans="6:16">
      <c r="F81" s="337" t="s">
        <v>163</v>
      </c>
      <c r="G81" s="127"/>
      <c r="H81" s="127"/>
      <c r="I81" s="127">
        <v>0</v>
      </c>
      <c r="J81" s="127">
        <v>0.21321399999999999</v>
      </c>
      <c r="K81" s="127">
        <v>0.21321399999999999</v>
      </c>
      <c r="L81" s="127">
        <v>0.21321399999999999</v>
      </c>
      <c r="M81" s="127">
        <v>0.21321399999999999</v>
      </c>
      <c r="N81" s="127">
        <v>0.21321399999999999</v>
      </c>
      <c r="O81" s="127">
        <v>0.21321399999999999</v>
      </c>
      <c r="P81" s="127">
        <v>1.2792839999999999</v>
      </c>
    </row>
    <row r="82" spans="6:16">
      <c r="F82" s="337" t="s">
        <v>91</v>
      </c>
      <c r="G82" s="127">
        <v>9.6480699999999999E-3</v>
      </c>
      <c r="H82" s="127"/>
      <c r="I82" s="127">
        <v>1.7195820000000001E-2</v>
      </c>
      <c r="J82" s="127">
        <v>2.3631465000000001E-2</v>
      </c>
      <c r="K82" s="127">
        <v>2.3631465000000001E-2</v>
      </c>
      <c r="L82" s="127">
        <v>3.781019E-2</v>
      </c>
      <c r="M82" s="127">
        <v>4.5022958000000009E-2</v>
      </c>
      <c r="N82" s="127">
        <v>4.5022958000000009E-2</v>
      </c>
      <c r="O82" s="127">
        <v>4.5022958000000009E-2</v>
      </c>
      <c r="P82" s="127">
        <v>0.24698588400000002</v>
      </c>
    </row>
    <row r="83" spans="6:16">
      <c r="F83" s="337" t="s">
        <v>89</v>
      </c>
      <c r="G83" s="127">
        <v>0</v>
      </c>
      <c r="H83" s="127"/>
      <c r="I83" s="127">
        <v>0</v>
      </c>
      <c r="J83" s="127">
        <v>0</v>
      </c>
      <c r="K83" s="127">
        <v>0</v>
      </c>
      <c r="L83" s="127">
        <v>0</v>
      </c>
      <c r="M83" s="127">
        <v>0</v>
      </c>
      <c r="N83" s="127">
        <v>0</v>
      </c>
      <c r="O83" s="127">
        <v>0</v>
      </c>
      <c r="P83" s="127">
        <v>0</v>
      </c>
    </row>
    <row r="84" spans="6:16">
      <c r="F84" s="337" t="s">
        <v>84</v>
      </c>
      <c r="G84" s="127">
        <v>0.32051321300000002</v>
      </c>
      <c r="H84" s="127"/>
      <c r="I84" s="127">
        <v>0.33296271210000006</v>
      </c>
      <c r="J84" s="127">
        <v>0.34627689090000002</v>
      </c>
      <c r="K84" s="127">
        <v>0.38391600358133871</v>
      </c>
      <c r="L84" s="127">
        <v>0.37161140200000004</v>
      </c>
      <c r="M84" s="127">
        <v>0.36117320956333526</v>
      </c>
      <c r="N84" s="127">
        <v>0.36498534114958847</v>
      </c>
      <c r="O84" s="127">
        <v>0.36498534114958847</v>
      </c>
      <c r="P84" s="127">
        <v>2.846424113443851</v>
      </c>
    </row>
    <row r="85" spans="6:16">
      <c r="F85" s="337" t="s">
        <v>35</v>
      </c>
      <c r="G85" s="127">
        <v>6.2408319999999996E-2</v>
      </c>
      <c r="H85" s="127"/>
      <c r="I85" s="127">
        <v>6.703524000000001E-2</v>
      </c>
      <c r="J85" s="127">
        <v>6.977179E-2</v>
      </c>
      <c r="K85" s="127">
        <v>7.6990031E-2</v>
      </c>
      <c r="L85" s="127">
        <v>7.6990031E-2</v>
      </c>
      <c r="M85" s="127">
        <v>8.0567323499999996E-2</v>
      </c>
      <c r="N85" s="127">
        <v>8.0567323499999996E-2</v>
      </c>
      <c r="O85" s="127">
        <v>8.0567323499999996E-2</v>
      </c>
      <c r="P85" s="127">
        <v>0.59489738250000002</v>
      </c>
    </row>
    <row r="86" spans="6:16">
      <c r="F86" s="337" t="s">
        <v>165</v>
      </c>
      <c r="G86" s="127"/>
      <c r="H86" s="127">
        <v>0</v>
      </c>
      <c r="I86" s="127">
        <v>0</v>
      </c>
      <c r="J86" s="127">
        <v>0</v>
      </c>
      <c r="K86" s="127">
        <v>0</v>
      </c>
      <c r="L86" s="127">
        <v>0</v>
      </c>
      <c r="M86" s="127">
        <v>0</v>
      </c>
      <c r="N86" s="127">
        <v>0</v>
      </c>
      <c r="O86" s="127">
        <v>0</v>
      </c>
      <c r="P86" s="127">
        <v>0</v>
      </c>
    </row>
    <row r="87" spans="6:16">
      <c r="F87" s="337" t="s">
        <v>88</v>
      </c>
      <c r="G87" s="127">
        <v>0.56840400000000002</v>
      </c>
      <c r="H87" s="127"/>
      <c r="I87" s="127">
        <v>0.60749600000000004</v>
      </c>
      <c r="J87" s="127">
        <v>0.63493299999999997</v>
      </c>
      <c r="K87" s="127">
        <v>0.59619800000000001</v>
      </c>
      <c r="L87" s="127">
        <v>3.1762400000000003E-2</v>
      </c>
      <c r="M87" s="127">
        <v>0.62796079420812501</v>
      </c>
      <c r="N87" s="127">
        <v>0.68920489514777905</v>
      </c>
      <c r="O87" s="127">
        <v>0.68920489514777905</v>
      </c>
      <c r="P87" s="127">
        <v>4.445163984503683</v>
      </c>
    </row>
    <row r="88" spans="6:16">
      <c r="F88" s="337" t="s">
        <v>82</v>
      </c>
      <c r="G88" s="127">
        <v>0.67098701000000005</v>
      </c>
      <c r="H88" s="127"/>
      <c r="I88" s="127">
        <v>0.67098701000000005</v>
      </c>
      <c r="J88" s="127">
        <v>0.67098701000000005</v>
      </c>
      <c r="K88" s="127">
        <v>0.67098701000000005</v>
      </c>
      <c r="L88" s="127">
        <v>0.67093743000000006</v>
      </c>
      <c r="M88" s="127">
        <v>0.67093743000000006</v>
      </c>
      <c r="N88" s="127">
        <v>0.774024130442449</v>
      </c>
      <c r="O88" s="127">
        <v>0.774024130442449</v>
      </c>
      <c r="P88" s="127">
        <v>5.5738711608848979</v>
      </c>
    </row>
    <row r="89" spans="6:16">
      <c r="F89" s="337" t="s">
        <v>285</v>
      </c>
      <c r="G89" s="127"/>
      <c r="H89" s="127"/>
      <c r="I89" s="127"/>
      <c r="J89" s="127"/>
      <c r="K89" s="127"/>
      <c r="L89" s="127"/>
      <c r="M89" s="127"/>
      <c r="N89" s="127"/>
      <c r="O89" s="127"/>
      <c r="P89" s="127"/>
    </row>
    <row r="90" spans="6:16">
      <c r="F90" s="337" t="s">
        <v>286</v>
      </c>
      <c r="G90" s="127"/>
      <c r="H90" s="127"/>
      <c r="I90" s="127"/>
      <c r="J90" s="127"/>
      <c r="K90" s="127"/>
      <c r="L90" s="127"/>
      <c r="M90" s="127"/>
      <c r="N90" s="127"/>
      <c r="O90" s="127"/>
      <c r="P90" s="127"/>
    </row>
    <row r="91" spans="6:16">
      <c r="F91" s="337" t="s">
        <v>0</v>
      </c>
      <c r="G91" s="127">
        <v>0</v>
      </c>
      <c r="H91" s="127"/>
      <c r="I91" s="127">
        <v>0</v>
      </c>
      <c r="J91" s="127">
        <v>0</v>
      </c>
      <c r="K91" s="127">
        <v>0</v>
      </c>
      <c r="L91" s="127">
        <v>0</v>
      </c>
      <c r="M91" s="127">
        <v>0</v>
      </c>
      <c r="N91" s="127">
        <v>0</v>
      </c>
      <c r="O91" s="127">
        <v>0</v>
      </c>
      <c r="P91" s="127">
        <v>0</v>
      </c>
    </row>
    <row r="92" spans="6:16">
      <c r="F92" s="337" t="s">
        <v>136</v>
      </c>
      <c r="G92" s="127">
        <v>0.129771</v>
      </c>
      <c r="H92" s="127"/>
      <c r="I92" s="127">
        <v>0</v>
      </c>
      <c r="J92" s="127">
        <v>0</v>
      </c>
      <c r="K92" s="127">
        <v>0</v>
      </c>
      <c r="L92" s="127">
        <v>0</v>
      </c>
      <c r="M92" s="127">
        <v>0</v>
      </c>
      <c r="N92" s="127">
        <v>0</v>
      </c>
      <c r="O92" s="127">
        <v>0</v>
      </c>
      <c r="P92" s="127">
        <v>0.129771</v>
      </c>
    </row>
    <row r="93" spans="6:16">
      <c r="F93" s="337" t="s">
        <v>175</v>
      </c>
      <c r="G93" s="127">
        <v>0</v>
      </c>
      <c r="H93" s="127"/>
      <c r="I93" s="127">
        <v>0</v>
      </c>
      <c r="J93" s="127">
        <v>0</v>
      </c>
      <c r="K93" s="127">
        <v>0</v>
      </c>
      <c r="L93" s="127">
        <v>0</v>
      </c>
      <c r="M93" s="127">
        <v>0</v>
      </c>
      <c r="N93" s="127">
        <v>0</v>
      </c>
      <c r="O93" s="127">
        <v>0</v>
      </c>
      <c r="P93" s="127">
        <v>0</v>
      </c>
    </row>
    <row r="94" spans="6:16">
      <c r="F94" s="337" t="s">
        <v>273</v>
      </c>
      <c r="G94" s="127"/>
      <c r="H94" s="127"/>
      <c r="I94" s="127"/>
      <c r="J94" s="127"/>
      <c r="K94" s="127"/>
      <c r="L94" s="127"/>
      <c r="M94" s="127"/>
      <c r="N94" s="127"/>
      <c r="O94" s="127"/>
      <c r="P94" s="127"/>
    </row>
    <row r="95" spans="6:16">
      <c r="F95" s="337" t="s">
        <v>188</v>
      </c>
      <c r="G95" s="127">
        <v>7.1735880000000002E-2</v>
      </c>
      <c r="H95" s="127"/>
      <c r="I95" s="127">
        <v>7.0867179999999988E-2</v>
      </c>
      <c r="J95" s="127">
        <v>7.2165899999999991E-2</v>
      </c>
      <c r="K95" s="127">
        <v>0</v>
      </c>
      <c r="L95" s="127">
        <v>0</v>
      </c>
      <c r="M95" s="127">
        <v>0</v>
      </c>
      <c r="N95" s="127">
        <v>0</v>
      </c>
      <c r="O95" s="127">
        <v>0</v>
      </c>
      <c r="P95" s="127">
        <v>0.21476896000000001</v>
      </c>
    </row>
    <row r="96" spans="6:16">
      <c r="F96" s="337" t="s">
        <v>189</v>
      </c>
      <c r="G96" s="127">
        <v>1.106977051E-2</v>
      </c>
      <c r="H96" s="127"/>
      <c r="I96" s="127">
        <v>1.222187242E-2</v>
      </c>
      <c r="J96" s="127">
        <v>1.008708398E-2</v>
      </c>
      <c r="K96" s="127">
        <v>0</v>
      </c>
      <c r="L96" s="127">
        <v>0</v>
      </c>
      <c r="M96" s="127">
        <v>0</v>
      </c>
      <c r="N96" s="127">
        <v>0</v>
      </c>
      <c r="O96" s="127">
        <v>0</v>
      </c>
      <c r="P96" s="127">
        <v>3.3378726910000003E-2</v>
      </c>
    </row>
    <row r="97" spans="6:16">
      <c r="F97" s="337" t="s">
        <v>149</v>
      </c>
      <c r="G97" s="127">
        <v>0</v>
      </c>
      <c r="H97" s="127"/>
      <c r="I97" s="127">
        <v>0</v>
      </c>
      <c r="J97" s="127">
        <v>0</v>
      </c>
      <c r="K97" s="127">
        <v>0</v>
      </c>
      <c r="L97" s="127">
        <v>0</v>
      </c>
      <c r="M97" s="127">
        <v>0</v>
      </c>
      <c r="N97" s="127">
        <v>0</v>
      </c>
      <c r="O97" s="127">
        <v>0</v>
      </c>
      <c r="P97" s="127">
        <v>0</v>
      </c>
    </row>
    <row r="98" spans="6:16">
      <c r="F98" s="337" t="s">
        <v>15</v>
      </c>
      <c r="G98" s="127"/>
      <c r="H98" s="127"/>
      <c r="I98" s="127"/>
      <c r="J98" s="127"/>
      <c r="K98" s="127"/>
      <c r="L98" s="127"/>
      <c r="M98" s="127"/>
      <c r="N98" s="127"/>
      <c r="O98" s="127"/>
      <c r="P98" s="127"/>
    </row>
    <row r="99" spans="6:16">
      <c r="F99" s="337" t="s">
        <v>287</v>
      </c>
      <c r="G99" s="127"/>
      <c r="H99" s="127"/>
      <c r="I99" s="127"/>
      <c r="J99" s="127"/>
      <c r="K99" s="127"/>
      <c r="L99" s="127"/>
      <c r="M99" s="127"/>
      <c r="N99" s="127"/>
      <c r="O99" s="127"/>
      <c r="P99" s="127"/>
    </row>
    <row r="100" spans="6:16">
      <c r="F100" s="337" t="s">
        <v>33</v>
      </c>
      <c r="G100" s="127">
        <v>0</v>
      </c>
      <c r="H100" s="127"/>
      <c r="I100" s="127">
        <v>0</v>
      </c>
      <c r="J100" s="127">
        <v>0</v>
      </c>
      <c r="K100" s="127">
        <v>0</v>
      </c>
      <c r="L100" s="127">
        <v>0</v>
      </c>
      <c r="M100" s="127">
        <v>0</v>
      </c>
      <c r="N100" s="127">
        <v>0</v>
      </c>
      <c r="O100" s="127">
        <v>0</v>
      </c>
      <c r="P100" s="127">
        <v>0</v>
      </c>
    </row>
    <row r="101" spans="6:16">
      <c r="F101" s="337" t="s">
        <v>78</v>
      </c>
      <c r="G101" s="127">
        <v>0</v>
      </c>
      <c r="H101" s="127"/>
      <c r="I101" s="127">
        <v>0</v>
      </c>
      <c r="J101" s="127">
        <v>0</v>
      </c>
      <c r="K101" s="127">
        <v>0</v>
      </c>
      <c r="L101" s="127">
        <v>0</v>
      </c>
      <c r="M101" s="127">
        <v>0</v>
      </c>
      <c r="N101" s="127">
        <v>0</v>
      </c>
      <c r="O101" s="127">
        <v>0</v>
      </c>
      <c r="P101" s="127">
        <v>0</v>
      </c>
    </row>
    <row r="102" spans="6:16">
      <c r="F102" s="337" t="s">
        <v>19</v>
      </c>
      <c r="G102" s="127">
        <v>0</v>
      </c>
      <c r="H102" s="127"/>
      <c r="I102" s="127">
        <v>0</v>
      </c>
      <c r="J102" s="127">
        <v>0</v>
      </c>
      <c r="K102" s="127">
        <v>0</v>
      </c>
      <c r="L102" s="127">
        <v>0</v>
      </c>
      <c r="M102" s="127">
        <v>0</v>
      </c>
      <c r="N102" s="127">
        <v>0</v>
      </c>
      <c r="O102" s="127">
        <v>0</v>
      </c>
      <c r="P102" s="127">
        <v>0</v>
      </c>
    </row>
    <row r="103" spans="6:16">
      <c r="F103" s="337" t="s">
        <v>289</v>
      </c>
      <c r="G103" s="127"/>
      <c r="H103" s="127"/>
      <c r="I103" s="127"/>
      <c r="J103" s="127"/>
      <c r="K103" s="127"/>
      <c r="L103" s="127"/>
      <c r="M103" s="127"/>
      <c r="N103" s="127"/>
      <c r="O103" s="127"/>
      <c r="P103" s="127"/>
    </row>
    <row r="104" spans="6:16">
      <c r="F104" s="337" t="s">
        <v>32</v>
      </c>
      <c r="G104" s="127">
        <v>0</v>
      </c>
      <c r="H104" s="127"/>
      <c r="I104" s="127">
        <v>0</v>
      </c>
      <c r="J104" s="127">
        <v>0</v>
      </c>
      <c r="K104" s="127">
        <v>0</v>
      </c>
      <c r="L104" s="127">
        <v>0</v>
      </c>
      <c r="M104" s="127">
        <v>0</v>
      </c>
      <c r="N104" s="127">
        <v>0</v>
      </c>
      <c r="O104" s="127">
        <v>0</v>
      </c>
      <c r="P104" s="127">
        <v>0</v>
      </c>
    </row>
    <row r="105" spans="6:16">
      <c r="F105" s="337" t="s">
        <v>288</v>
      </c>
      <c r="G105" s="127"/>
      <c r="H105" s="127"/>
      <c r="I105" s="127"/>
      <c r="J105" s="127"/>
      <c r="K105" s="127"/>
      <c r="L105" s="127"/>
      <c r="M105" s="127"/>
      <c r="N105" s="127"/>
      <c r="O105" s="127"/>
      <c r="P105" s="127"/>
    </row>
    <row r="106" spans="6:16">
      <c r="F106" s="337" t="s">
        <v>79</v>
      </c>
      <c r="G106" s="127">
        <v>0</v>
      </c>
      <c r="H106" s="127"/>
      <c r="I106" s="127">
        <v>0</v>
      </c>
      <c r="J106" s="127">
        <v>0</v>
      </c>
      <c r="K106" s="127">
        <v>0</v>
      </c>
      <c r="L106" s="127">
        <v>0</v>
      </c>
      <c r="M106" s="127">
        <v>0</v>
      </c>
      <c r="N106" s="127">
        <v>0</v>
      </c>
      <c r="O106" s="127">
        <v>0</v>
      </c>
      <c r="P106" s="127">
        <v>0</v>
      </c>
    </row>
    <row r="107" spans="6:16">
      <c r="F107" s="337" t="s">
        <v>83</v>
      </c>
      <c r="G107" s="127">
        <v>0</v>
      </c>
      <c r="H107" s="127"/>
      <c r="I107" s="127">
        <v>0</v>
      </c>
      <c r="J107" s="127">
        <v>0</v>
      </c>
      <c r="K107" s="127">
        <v>0</v>
      </c>
      <c r="L107" s="127">
        <v>0</v>
      </c>
      <c r="M107" s="127">
        <v>0</v>
      </c>
      <c r="N107" s="127">
        <v>0</v>
      </c>
      <c r="O107" s="127">
        <v>0</v>
      </c>
      <c r="P107" s="127">
        <v>0</v>
      </c>
    </row>
    <row r="108" spans="6:16">
      <c r="F108" s="337" t="s">
        <v>90</v>
      </c>
      <c r="G108" s="127">
        <v>0</v>
      </c>
      <c r="H108" s="127"/>
      <c r="I108" s="127">
        <v>0</v>
      </c>
      <c r="J108" s="127">
        <v>0</v>
      </c>
      <c r="K108" s="127">
        <v>0</v>
      </c>
      <c r="L108" s="127">
        <v>0</v>
      </c>
      <c r="M108" s="127">
        <v>0</v>
      </c>
      <c r="N108" s="127">
        <v>0</v>
      </c>
      <c r="O108" s="127">
        <v>0</v>
      </c>
      <c r="P108" s="127">
        <v>0</v>
      </c>
    </row>
    <row r="109" spans="6:16">
      <c r="F109" s="337" t="s">
        <v>163</v>
      </c>
      <c r="G109" s="127"/>
      <c r="H109" s="127"/>
      <c r="I109" s="127">
        <v>0</v>
      </c>
      <c r="J109" s="127">
        <v>0</v>
      </c>
      <c r="K109" s="127">
        <v>0</v>
      </c>
      <c r="L109" s="127">
        <v>0</v>
      </c>
      <c r="M109" s="127">
        <v>0</v>
      </c>
      <c r="N109" s="127">
        <v>0</v>
      </c>
      <c r="O109" s="127">
        <v>0</v>
      </c>
      <c r="P109" s="127">
        <v>0</v>
      </c>
    </row>
    <row r="110" spans="6:16">
      <c r="F110" s="337" t="s">
        <v>91</v>
      </c>
      <c r="G110" s="127">
        <v>0</v>
      </c>
      <c r="H110" s="127"/>
      <c r="I110" s="127">
        <v>0</v>
      </c>
      <c r="J110" s="127">
        <v>0</v>
      </c>
      <c r="K110" s="127">
        <v>0</v>
      </c>
      <c r="L110" s="127">
        <v>0</v>
      </c>
      <c r="M110" s="127">
        <v>0</v>
      </c>
      <c r="N110" s="127">
        <v>0</v>
      </c>
      <c r="O110" s="127">
        <v>0</v>
      </c>
      <c r="P110" s="127">
        <v>0</v>
      </c>
    </row>
    <row r="111" spans="6:16">
      <c r="F111" s="337" t="s">
        <v>89</v>
      </c>
      <c r="G111" s="127">
        <v>0</v>
      </c>
      <c r="H111" s="127"/>
      <c r="I111" s="127">
        <v>0</v>
      </c>
      <c r="J111" s="127">
        <v>0</v>
      </c>
      <c r="K111" s="127">
        <v>0</v>
      </c>
      <c r="L111" s="127">
        <v>0</v>
      </c>
      <c r="M111" s="127">
        <v>0</v>
      </c>
      <c r="N111" s="127">
        <v>0</v>
      </c>
      <c r="O111" s="127">
        <v>0</v>
      </c>
      <c r="P111" s="127">
        <v>0</v>
      </c>
    </row>
    <row r="112" spans="6:16">
      <c r="F112" s="337" t="s">
        <v>84</v>
      </c>
      <c r="G112" s="127">
        <v>0</v>
      </c>
      <c r="H112" s="127"/>
      <c r="I112" s="127">
        <v>0</v>
      </c>
      <c r="J112" s="127">
        <v>0</v>
      </c>
      <c r="K112" s="127">
        <v>0</v>
      </c>
      <c r="L112" s="127">
        <v>0</v>
      </c>
      <c r="M112" s="127">
        <v>0</v>
      </c>
      <c r="N112" s="127">
        <v>0</v>
      </c>
      <c r="O112" s="127">
        <v>0</v>
      </c>
      <c r="P112" s="127">
        <v>0</v>
      </c>
    </row>
    <row r="113" spans="6:16">
      <c r="F113" s="337" t="s">
        <v>35</v>
      </c>
      <c r="G113" s="127">
        <v>0</v>
      </c>
      <c r="H113" s="127"/>
      <c r="I113" s="127">
        <v>0</v>
      </c>
      <c r="J113" s="127">
        <v>0</v>
      </c>
      <c r="K113" s="127">
        <v>0</v>
      </c>
      <c r="L113" s="127">
        <v>0</v>
      </c>
      <c r="M113" s="127">
        <v>0</v>
      </c>
      <c r="N113" s="127">
        <v>0</v>
      </c>
      <c r="O113" s="127">
        <v>0</v>
      </c>
      <c r="P113" s="127">
        <v>0</v>
      </c>
    </row>
    <row r="114" spans="6:16">
      <c r="F114" s="337" t="s">
        <v>165</v>
      </c>
      <c r="G114" s="127"/>
      <c r="H114" s="127">
        <v>0</v>
      </c>
      <c r="I114" s="127">
        <v>0</v>
      </c>
      <c r="J114" s="127">
        <v>0</v>
      </c>
      <c r="K114" s="127">
        <v>0</v>
      </c>
      <c r="L114" s="127">
        <v>0</v>
      </c>
      <c r="M114" s="127">
        <v>0</v>
      </c>
      <c r="N114" s="127">
        <v>0</v>
      </c>
      <c r="O114" s="127">
        <v>0</v>
      </c>
      <c r="P114" s="127">
        <v>0</v>
      </c>
    </row>
    <row r="115" spans="6:16">
      <c r="F115" s="337" t="s">
        <v>88</v>
      </c>
      <c r="G115" s="127">
        <v>0</v>
      </c>
      <c r="H115" s="127"/>
      <c r="I115" s="127">
        <v>0</v>
      </c>
      <c r="J115" s="127">
        <v>0</v>
      </c>
      <c r="K115" s="127">
        <v>0</v>
      </c>
      <c r="L115" s="127">
        <v>0</v>
      </c>
      <c r="M115" s="127">
        <v>0</v>
      </c>
      <c r="N115" s="127">
        <v>0</v>
      </c>
      <c r="O115" s="127">
        <v>0</v>
      </c>
      <c r="P115" s="127">
        <v>0</v>
      </c>
    </row>
    <row r="116" spans="6:16">
      <c r="F116" s="337" t="s">
        <v>82</v>
      </c>
      <c r="G116" s="127">
        <v>0</v>
      </c>
      <c r="H116" s="127"/>
      <c r="I116" s="127">
        <v>0</v>
      </c>
      <c r="J116" s="127">
        <v>0</v>
      </c>
      <c r="K116" s="127">
        <v>0</v>
      </c>
      <c r="L116" s="127">
        <v>0</v>
      </c>
      <c r="M116" s="127">
        <v>0</v>
      </c>
      <c r="N116" s="127">
        <v>0</v>
      </c>
      <c r="O116" s="127">
        <v>0</v>
      </c>
      <c r="P116" s="127">
        <v>0</v>
      </c>
    </row>
    <row r="117" spans="6:16">
      <c r="F117" s="24" t="s">
        <v>351</v>
      </c>
      <c r="G117" s="127">
        <v>0.56780606567166669</v>
      </c>
      <c r="H117" s="127">
        <v>0</v>
      </c>
      <c r="I117" s="127">
        <v>0.98238636415666647</v>
      </c>
      <c r="J117" s="127">
        <v>0.51136504364222213</v>
      </c>
      <c r="K117" s="127">
        <v>0.79461843657222075</v>
      </c>
      <c r="L117" s="127">
        <v>0.46619628445592437</v>
      </c>
      <c r="M117" s="127">
        <v>0.46022962914062882</v>
      </c>
      <c r="N117" s="127">
        <v>0.4741970711422222</v>
      </c>
      <c r="O117" s="127">
        <v>0.4741970711422222</v>
      </c>
      <c r="P117" s="127">
        <v>4.7309959659237748</v>
      </c>
    </row>
    <row r="118" spans="6:16">
      <c r="F118" s="24" t="s">
        <v>352</v>
      </c>
      <c r="G118" s="127">
        <v>9.9181810731707343E-2</v>
      </c>
      <c r="H118" s="127">
        <v>0</v>
      </c>
      <c r="I118" s="127">
        <v>0.14462341939512197</v>
      </c>
      <c r="J118" s="127">
        <v>4.2500000000000003E-2</v>
      </c>
      <c r="K118" s="127">
        <v>3.5833333333333335E-2</v>
      </c>
      <c r="L118" s="127">
        <v>3.5833333333333335E-2</v>
      </c>
      <c r="M118" s="127">
        <v>3.5833333333333335E-2</v>
      </c>
      <c r="N118" s="127">
        <v>3.5833333333333335E-2</v>
      </c>
      <c r="O118" s="127">
        <v>3.5833333333333335E-2</v>
      </c>
      <c r="P118" s="127">
        <v>0.46547189679349599</v>
      </c>
    </row>
    <row r="119" spans="6:16">
      <c r="F119" s="24" t="s">
        <v>353</v>
      </c>
      <c r="G119" s="127">
        <v>11.157836948999998</v>
      </c>
      <c r="H119" s="127">
        <v>0</v>
      </c>
      <c r="I119" s="127">
        <v>12.065373317999999</v>
      </c>
      <c r="J119" s="127">
        <v>12.269915367900001</v>
      </c>
      <c r="K119" s="127">
        <v>12.181034860716434</v>
      </c>
      <c r="L119" s="127">
        <v>11.855512948205602</v>
      </c>
      <c r="M119" s="127">
        <v>12.492619310209449</v>
      </c>
      <c r="N119" s="127">
        <v>12.629455662139817</v>
      </c>
      <c r="O119" s="127">
        <v>12.629455662139817</v>
      </c>
      <c r="P119" s="127">
        <v>97.281204078311077</v>
      </c>
    </row>
    <row r="120" spans="6:16">
      <c r="F120" s="24" t="s">
        <v>354</v>
      </c>
      <c r="G120" s="127">
        <v>0.21257665050999999</v>
      </c>
      <c r="H120" s="127">
        <v>0</v>
      </c>
      <c r="I120" s="127">
        <v>8.308905241999999E-2</v>
      </c>
      <c r="J120" s="127">
        <v>8.2252983979999986E-2</v>
      </c>
      <c r="K120" s="127">
        <v>0</v>
      </c>
      <c r="L120" s="127">
        <v>0</v>
      </c>
      <c r="M120" s="127">
        <v>0</v>
      </c>
      <c r="N120" s="127">
        <v>0</v>
      </c>
      <c r="O120" s="127">
        <v>0</v>
      </c>
      <c r="P120" s="127">
        <v>0.37791868690999997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Header(source)</vt:lpstr>
      <vt:lpstr>MF PF (2)</vt:lpstr>
      <vt:lpstr>Summary</vt:lpstr>
      <vt:lpstr>Data</vt:lpstr>
      <vt:lpstr>Peak NAV</vt:lpstr>
      <vt:lpstr>SharpR</vt:lpstr>
      <vt:lpstr>Manual</vt:lpstr>
      <vt:lpstr>Performance</vt:lpstr>
      <vt:lpstr>Checking</vt:lpstr>
      <vt:lpstr>MF PF</vt:lpstr>
      <vt:lpstr>AG</vt:lpstr>
      <vt:lpstr>AUM</vt:lpstr>
      <vt:lpstr>Data!Extract</vt:lpstr>
      <vt:lpstr>Summary!Print_Area</vt:lpstr>
      <vt:lpstr>Printarea2</vt:lpstr>
      <vt:lpstr>Record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RayChow</dc:creator>
  <cp:lastModifiedBy>Alice Wong</cp:lastModifiedBy>
  <cp:lastPrinted>2019-01-16T14:01:52Z</cp:lastPrinted>
  <dcterms:created xsi:type="dcterms:W3CDTF">2018-01-17T09:06:27Z</dcterms:created>
  <dcterms:modified xsi:type="dcterms:W3CDTF">2019-03-28T17:49:37Z</dcterms:modified>
</cp:coreProperties>
</file>